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queryTables/queryTable2.xml" ContentType="application/vnd.openxmlformats-officedocument.spreadsheetml.queryTable+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never" codeName="ThisWorkbook"/>
  <mc:AlternateContent xmlns:mc="http://schemas.openxmlformats.org/markup-compatibility/2006">
    <mc:Choice Requires="x15">
      <x15ac:absPath xmlns:x15ac="http://schemas.microsoft.com/office/spreadsheetml/2010/11/ac" url="\\cppwind\Projects\status\Active\15141 - 651 Gateway\Project Management\"/>
    </mc:Choice>
  </mc:AlternateContent>
  <xr:revisionPtr revIDLastSave="0" documentId="13_ncr:1_{6CFBC32D-9334-4655-B30D-70C8E6A44288}" xr6:coauthVersionLast="47" xr6:coauthVersionMax="47" xr10:uidLastSave="{00000000-0000-0000-0000-000000000000}"/>
  <bookViews>
    <workbookView xWindow="2130" yWindow="2295" windowWidth="24960" windowHeight="11385" tabRatio="924" xr2:uid="{00000000-000D-0000-FFFF-FFFF00000000}"/>
  </bookViews>
  <sheets>
    <sheet name="Revision Log" sheetId="284" r:id="rId1"/>
    <sheet name="Stack Summary" sheetId="1" r:id="rId2"/>
    <sheet name="QA" sheetId="6" r:id="rId3"/>
    <sheet name="1% Wind" sheetId="39" r:id="rId4"/>
    <sheet name="Receptors" sheetId="9" r:id="rId5"/>
    <sheet name="Combustion Criteria" sheetId="12" r:id="rId6"/>
    <sheet name="Dilution Criteria" sheetId="66" r:id="rId7"/>
    <sheet name="Design Criteria Summary" sheetId="11" r:id="rId8"/>
    <sheet name="Test Plan &amp; Results" sheetId="10" r:id="rId9"/>
    <sheet name="Combustion - Ambient Ratio ARM2" sheetId="1107" r:id="rId10"/>
    <sheet name="Probabilities" sheetId="140" r:id="rId11"/>
    <sheet name="Flow Settings" sheetId="262" r:id="rId12"/>
    <sheet name="Flow Input File" sheetId="38" r:id="rId13"/>
    <sheet name="Flow Cal Input File" sheetId="280" r:id="rId14"/>
    <sheet name="ASHRAE SCREENING TOOL" sheetId="1106" r:id="rId15"/>
    <sheet name="RTP.inp" sheetId="1104" r:id="rId16"/>
    <sheet name="Air Intake Flow Settings" sheetId="261" r:id="rId17"/>
    <sheet name="Flow Vis Settings" sheetId="1103" r:id="rId18"/>
    <sheet name="Isolation Criteria" sheetId="13" r:id="rId19"/>
    <sheet name="Results Iso-Wbl - No HEPA" sheetId="1121" r:id="rId20"/>
    <sheet name="Results Iso-Wbl - With HEPA" sheetId="1122" r:id="rId21"/>
    <sheet name="Results Summary Iso - no wind" sheetId="313" r:id="rId22"/>
    <sheet name="FireCriteria" sheetId="1100" r:id="rId23"/>
    <sheet name="EtoCriteria" sheetId="1099" r:id="rId24"/>
    <sheet name="Formaldehyde Criteria" sheetId="1123" r:id="rId25"/>
    <sheet name="PaintBoothCriteria" sheetId="1101" r:id="rId26"/>
    <sheet name="Results Summary Alternate" sheetId="264" r:id="rId27"/>
    <sheet name="NAAQS Combined Results" sheetId="1124" r:id="rId28"/>
    <sheet name="Vis Plan WT2&amp;3" sheetId="35" r:id="rId29"/>
    <sheet name="fit and interpolation" sheetId="1105" state="hidden" r:id="rId30"/>
    <sheet name="fit and interpolation - V2" sheetId="1120" r:id="rId31"/>
    <sheet name="Sample Calcs" sheetId="8" r:id="rId32"/>
    <sheet name="AA" sheetId="69" r:id="rId33"/>
    <sheet name="AB" sheetId="286" r:id="rId34"/>
    <sheet name="AC" sheetId="287" r:id="rId35"/>
    <sheet name="AD" sheetId="288" r:id="rId36"/>
    <sheet name="AE" sheetId="289" r:id="rId37"/>
    <sheet name="AF" sheetId="290" r:id="rId38"/>
    <sheet name="AG" sheetId="291" r:id="rId39"/>
    <sheet name="AH" sheetId="292" r:id="rId40"/>
    <sheet name="AI" sheetId="293" r:id="rId41"/>
    <sheet name="AJ" sheetId="294" r:id="rId42"/>
    <sheet name="AK" sheetId="295" r:id="rId43"/>
    <sheet name="AL" sheetId="296" r:id="rId44"/>
    <sheet name="AM" sheetId="1108" r:id="rId45"/>
    <sheet name="AN" sheetId="1109" r:id="rId46"/>
    <sheet name="AO" sheetId="1110" r:id="rId47"/>
    <sheet name="AP" sheetId="1111" r:id="rId48"/>
    <sheet name="AQ" sheetId="1112" r:id="rId49"/>
    <sheet name="BA" sheetId="297" r:id="rId50"/>
    <sheet name="BB" sheetId="298" r:id="rId51"/>
    <sheet name="BC" sheetId="299" r:id="rId52"/>
    <sheet name="BD" sheetId="300" r:id="rId53"/>
    <sheet name="BE" sheetId="301" r:id="rId54"/>
    <sheet name="BF" sheetId="302" r:id="rId55"/>
    <sheet name="BG" sheetId="303" r:id="rId56"/>
    <sheet name="BH" sheetId="304" r:id="rId57"/>
    <sheet name="BI" sheetId="305" r:id="rId58"/>
    <sheet name="BJ" sheetId="306" r:id="rId59"/>
    <sheet name="BK" sheetId="307" r:id="rId60"/>
    <sheet name="BL" sheetId="308" r:id="rId61"/>
    <sheet name="BM" sheetId="309" r:id="rId62"/>
    <sheet name="BN" sheetId="310" r:id="rId63"/>
    <sheet name="BO" sheetId="1113" r:id="rId64"/>
    <sheet name="BP" sheetId="1114" r:id="rId65"/>
    <sheet name="BQ" sheetId="1115" r:id="rId66"/>
    <sheet name="CA" sheetId="311" r:id="rId67"/>
    <sheet name="CB" sheetId="1116" r:id="rId68"/>
    <sheet name="CC" sheetId="1117" r:id="rId69"/>
    <sheet name="DA" sheetId="312" r:id="rId70"/>
    <sheet name="DB" sheetId="1118" r:id="rId71"/>
    <sheet name="DC" sheetId="1119" r:id="rId72"/>
    <sheet name="1" sheetId="179" r:id="rId73"/>
    <sheet name="2" sheetId="180" r:id="rId74"/>
    <sheet name="3" sheetId="181" r:id="rId75"/>
    <sheet name="4" sheetId="182" r:id="rId76"/>
    <sheet name="5" sheetId="183" r:id="rId77"/>
    <sheet name="6" sheetId="184" r:id="rId78"/>
    <sheet name="7" sheetId="185" r:id="rId79"/>
    <sheet name="8" sheetId="186" r:id="rId80"/>
    <sheet name="9" sheetId="187" r:id="rId81"/>
    <sheet name="10" sheetId="188" r:id="rId82"/>
    <sheet name="Brass and Gas" sheetId="3" state="hidden" r:id="rId83"/>
  </sheets>
  <functionGroups builtInGroupCount="19"/>
  <externalReferences>
    <externalReference r:id="rId84"/>
    <externalReference r:id="rId85"/>
    <externalReference r:id="rId86"/>
    <externalReference r:id="rId87"/>
    <externalReference r:id="rId88"/>
  </externalReferences>
  <definedNames>
    <definedName name="_6668probs" localSheetId="10">Probabilities!$D$12:$K$77</definedName>
    <definedName name="BldgTerrFlag" localSheetId="29">'[1]Stack Summary'!$E$145</definedName>
    <definedName name="BldgTerrFlag">'Stack Summary'!$E$211</definedName>
    <definedName name="CombCriteriaHLm" localSheetId="29">'[1]Combustion Criteria'!$F$61:$AU$61</definedName>
    <definedName name="CombCriteriaHLm">'Combustion Criteria'!$F$75:$AZ$75</definedName>
    <definedName name="CombCriteriaHLmAlt" localSheetId="29">'[1]Combustion Criteria'!$F$62:$AU$62</definedName>
    <definedName name="CombCriteriaHLmAlt">'Combustion Criteria'!$F$76:$AZ$76</definedName>
    <definedName name="CombCriteriaOTm" localSheetId="29">'[1]Combustion Criteria'!$F$70:$AU$70</definedName>
    <definedName name="CombCriteriaOTm">'Combustion Criteria'!$F$85:$AZ$85</definedName>
    <definedName name="CombCriteriaSourceNumber" localSheetId="29">'[1]Combustion Criteria'!$F$25:$AU$25</definedName>
    <definedName name="CombCriteriaSourceNumber">'Combustion Criteria'!$F$31:$AZ$31</definedName>
    <definedName name="CoordIndex">'RTP.inp'!$A$13:$A$500</definedName>
    <definedName name="DesignCriteriaBasis" localSheetId="29">'[1]Design Criteria Summary'!$D$43:$D$143</definedName>
    <definedName name="DesignCriteriaBasis">'Design Criteria Summary'!$D$64:$D$164</definedName>
    <definedName name="DesignCriteriaBasisNumber" localSheetId="29">'[1]Design Criteria Summary'!$C$43:$C$144</definedName>
    <definedName name="DesignCriteriaBasisNumber">'Design Criteria Summary'!$C$64:$C$165</definedName>
    <definedName name="DilutionCriteria" localSheetId="29">#REF!</definedName>
    <definedName name="DilutionCriteria" localSheetId="30">#REF!</definedName>
    <definedName name="DilutionCriteria" localSheetId="24">'Formaldehyde Criteria'!#REF!</definedName>
    <definedName name="DilutionCriteria">'Dilution Criteria'!$H$12:$H$22</definedName>
    <definedName name="DilutionCriteriaSourceNumber" localSheetId="29">#REF!</definedName>
    <definedName name="DilutionCriteriaSourceNumber" localSheetId="30">#REF!</definedName>
    <definedName name="DilutionCriteriaSourceNumber" localSheetId="24">'Formaldehyde Criteria'!$B$18:$B$25</definedName>
    <definedName name="DilutionCriteriaSourceNumber">'Dilution Criteria'!$B$12:$B$21</definedName>
    <definedName name="EA_A">'fit and interpolation - V2'!$G$8:$G$21</definedName>
    <definedName name="EA_Cm_Max">'fit and interpolation - V2'!$D$8:$D$21</definedName>
    <definedName name="EA_RunNum">'fit and interpolation - V2'!$B$8:$B$21</definedName>
    <definedName name="EA_Ucrit">'fit and interpolation - V2'!$E$23+'fit and interpolation - V2'!$F$8:$F$21</definedName>
    <definedName name="FCalComp1Num">'Flow Cal Input File'!$E:$E</definedName>
    <definedName name="FCalComp1Perc">'Flow Cal Input File'!$F:$F</definedName>
    <definedName name="FCalComp2Num">'Flow Cal Input File'!$G:$G</definedName>
    <definedName name="FCalComp2Perc">'Flow Cal Input File'!$H:$H</definedName>
    <definedName name="FCalComp3Num">'Flow Cal Input File'!$I:$I</definedName>
    <definedName name="FCalComp3Perc">'Flow Cal Input File'!$J:$J</definedName>
    <definedName name="FCalComp4Num">'Flow Cal Input File'!$K:$K</definedName>
    <definedName name="FCalComp4Perc">'Flow Cal Input File'!$L:$L</definedName>
    <definedName name="FCalPercTrac">'Flow Cal Input File'!$B:$B</definedName>
    <definedName name="FCalSpecificWeight">'Flow Cal Input File'!$C:$C</definedName>
    <definedName name="FCalTracerGas">'Flow Cal Input File'!$D:$D</definedName>
    <definedName name="FCalWT1FirstRow">'Flow Cal Input File'!$B$16</definedName>
    <definedName name="FCalWT2FirstRow">'Flow Cal Input File'!$B$35</definedName>
    <definedName name="FCalWT3FirstRow">'Flow Cal Input File'!$B$81</definedName>
    <definedName name="FlowCalConstA" localSheetId="29">[2]Summary!$D$9:$D$1000</definedName>
    <definedName name="FlowCalConstA" localSheetId="30">[2]Summary!$D$9:$D$1000</definedName>
    <definedName name="FlowCalConstA" localSheetId="24">[2]Summary!$D$9:$D$46</definedName>
    <definedName name="FlowCalConstA" localSheetId="27">[2]Summary!$D$9:$D$46</definedName>
    <definedName name="FlowCalConstA">[2]Summary!$D$9:$D$1000</definedName>
    <definedName name="FlowCalConstB" localSheetId="29">[2]Summary!$E$9:$E$1000</definedName>
    <definedName name="FlowCalConstB" localSheetId="30">[2]Summary!$E$9:$E$1000</definedName>
    <definedName name="FlowCalConstB" localSheetId="24">[2]Summary!$E$9:$E$46</definedName>
    <definedName name="FlowCalConstB" localSheetId="27">[2]Summary!$E$9:$E$46</definedName>
    <definedName name="FlowCalConstB">[2]Summary!$E$9:$E$1000</definedName>
    <definedName name="FlowCalDate" localSheetId="29">[2]Summary!$H$9:$H$1000</definedName>
    <definedName name="FlowCalDate" localSheetId="30">[2]Summary!$H$9:$H$1000</definedName>
    <definedName name="FlowCalDate" localSheetId="24">[2]Summary!$H$9:$H$46</definedName>
    <definedName name="FlowCalDate" localSheetId="27">[2]Summary!$H$9:$H$46</definedName>
    <definedName name="FlowCalDate">[2]Summary!$H$9:$H$1000</definedName>
    <definedName name="FlowCalDevice" localSheetId="29">[2]Summary!$C$9:$C$1000</definedName>
    <definedName name="FlowCalDevice" localSheetId="30">[2]Summary!$C$9:$C$1000</definedName>
    <definedName name="FlowCalDevice" localSheetId="24">[2]Summary!$C$9:$C$46</definedName>
    <definedName name="FlowCalDevice" localSheetId="27">[2]Summary!$C$9:$C$1000</definedName>
    <definedName name="FlowCalDevice">[2]Summary!$C$9:$C$1000</definedName>
    <definedName name="FlowCalGasMixture" localSheetId="29">[2]Summary!$B$9:$B$1000</definedName>
    <definedName name="FlowCalGasMixture" localSheetId="30">[2]Summary!$B$9:$B$1000</definedName>
    <definedName name="FlowCalGasMixture" localSheetId="24">[2]Summary!$B$9:$B$1000</definedName>
    <definedName name="FlowCalGasMixture" localSheetId="27">[2]Summary!$B$9:$B$46</definedName>
    <definedName name="FlowCalGasMixture">[2]Summary!$B$9:$B$1000</definedName>
    <definedName name="FlowCalHighSetting" localSheetId="29">[2]Summary!$G$9:$G$1000</definedName>
    <definedName name="FlowCalHighSetting" localSheetId="30">[2]Summary!$G$9:$G$1000</definedName>
    <definedName name="FlowCalHighSetting" localSheetId="24">[2]Summary!$G$9:$G$46</definedName>
    <definedName name="FlowCalHighSetting" localSheetId="27">[2]Summary!$G$9:$G$1000</definedName>
    <definedName name="FlowCalHighSetting">[2]Summary!$G$9:$G$1000</definedName>
    <definedName name="FlowCalLowSetting" localSheetId="29">[2]Summary!$F$9:$F$1000</definedName>
    <definedName name="FlowCalLowSetting" localSheetId="30">[2]Summary!$F$9:$F$1000</definedName>
    <definedName name="FlowCalLowSetting" localSheetId="24">[2]Summary!$F$9:$F$1000</definedName>
    <definedName name="FlowCalLowSetting" localSheetId="27">[2]Summary!$F$9:$F$46</definedName>
    <definedName name="FlowCalLowSetting">[2]Summary!$F$9:$F$1000</definedName>
    <definedName name="FlowCalNumber" localSheetId="29">[2]Summary!$A$9:$A$1000</definedName>
    <definedName name="FlowCalNumber" localSheetId="30">[2]Summary!$A$9:$A$1000</definedName>
    <definedName name="FlowCalNumber" localSheetId="24">[2]Summary!$A$9:$A$1000</definedName>
    <definedName name="FlowCalNumber" localSheetId="27">[2]Summary!$A$9:$A$46</definedName>
    <definedName name="FlowCalNumber">[2]Summary!$A$9:$A$1000</definedName>
    <definedName name="FlowCalStandard" localSheetId="29">[2]Summary!$K$9:$K$1000</definedName>
    <definedName name="FlowCalStandard" localSheetId="30">[2]Summary!$K$9:$K$1000</definedName>
    <definedName name="FlowCalStandard" localSheetId="27">[2]Summary!$K$9:$K$46</definedName>
    <definedName name="FlowCalStandard">[2]Summary!$K$9:$K$1000</definedName>
    <definedName name="FlowCalTech" localSheetId="29">[2]Summary!$J$9:$J$1000</definedName>
    <definedName name="FlowCalTech" localSheetId="30">[2]Summary!$J$9:$J$1000</definedName>
    <definedName name="FlowCalTech" localSheetId="24">[2]Summary!$J$9:$J$46</definedName>
    <definedName name="FlowCalTech" localSheetId="27">[2]Summary!$J$9:$J$1000</definedName>
    <definedName name="FlowCalTech">[2]Summary!$J$9:$J$1000</definedName>
    <definedName name="FlowSetAnemometerWindSpeeds" localSheetId="29">'[1]Flow Settings'!$D$23:$D$37</definedName>
    <definedName name="FlowSetAnemometerWindSpeeds">'Flow Settings'!$D$23:$D$37</definedName>
    <definedName name="FlowSetAQWindTunnel" localSheetId="29">'[1]Flow Settings'!$B$6</definedName>
    <definedName name="FlowSetAQWindTunnel">'Flow Settings'!$B$6</definedName>
    <definedName name="FlowSetSimulationNumbers" localSheetId="29">'[1]Flow Settings'!$A$22:$A$2147</definedName>
    <definedName name="FlowSetSimulationNumbers">'Flow Settings'!$A$22:$A$2147</definedName>
    <definedName name="FlowSetWTSettings" localSheetId="29">'[1]Flow Settings'!$A$22:$I$2147</definedName>
    <definedName name="FlowSetWTSettings">'Flow Settings'!$A$22:$I$2147</definedName>
    <definedName name="GasData" localSheetId="29">'[1]Brass and Gas'!$P$8:$U$27</definedName>
    <definedName name="GasData">'Brass and Gas'!$P$8:$U$27</definedName>
    <definedName name="GasNum" localSheetId="29">'[1]Brass and Gas'!$P$8:$P$27</definedName>
    <definedName name="GasNum">'Brass and Gas'!$P$8:$P$27</definedName>
    <definedName name="HbTypical" localSheetId="29">'[1]Stack Summary'!$E$100</definedName>
    <definedName name="HbTypical">'Stack Summary'!$E$104</definedName>
    <definedName name="IsoHepa">'Isolation Criteria'!$AD$36</definedName>
    <definedName name="IsoNoHepa">'Isolation Criteria'!$AD$17</definedName>
    <definedName name="_xlnm.Print_Area" localSheetId="72">'1'!$A$6:$G$58</definedName>
    <definedName name="_xlnm.Print_Area" localSheetId="3">'1% Wind'!$M$6:$W$67</definedName>
    <definedName name="_xlnm.Print_Area" localSheetId="81">'10'!$A$6:$G$58</definedName>
    <definedName name="_xlnm.Print_Area" localSheetId="73">'2'!$A$6:$G$58</definedName>
    <definedName name="_xlnm.Print_Area" localSheetId="74">'3'!$A$6:$G$58</definedName>
    <definedName name="_xlnm.Print_Area" localSheetId="75">'4'!$A$6:$G$58</definedName>
    <definedName name="_xlnm.Print_Area" localSheetId="76">'5'!$A$6:$G$58</definedName>
    <definedName name="_xlnm.Print_Area" localSheetId="77">'6'!$A$6:$G$58</definedName>
    <definedName name="_xlnm.Print_Area" localSheetId="78">'7'!$A$6:$G$58</definedName>
    <definedName name="_xlnm.Print_Area" localSheetId="79">'8'!$A$6:$G$58</definedName>
    <definedName name="_xlnm.Print_Area" localSheetId="80">'9'!$A$6:$G$58</definedName>
    <definedName name="_xlnm.Print_Area" localSheetId="32">AA!$A$6:$G$58</definedName>
    <definedName name="_xlnm.Print_Area" localSheetId="33">AB!$A$6:$G$58</definedName>
    <definedName name="_xlnm.Print_Area" localSheetId="34">AC!$A$6:$G$58</definedName>
    <definedName name="_xlnm.Print_Area" localSheetId="35">AD!$A$6:$G$58</definedName>
    <definedName name="_xlnm.Print_Area" localSheetId="36">AE!$A$6:$G$58</definedName>
    <definedName name="_xlnm.Print_Area" localSheetId="37">AF!$A$6:$G$58</definedName>
    <definedName name="_xlnm.Print_Area" localSheetId="38">AG!$A$6:$G$58</definedName>
    <definedName name="_xlnm.Print_Area" localSheetId="39">AH!$A$6:$G$58</definedName>
    <definedName name="_xlnm.Print_Area" localSheetId="40">AI!$A$6:$G$58</definedName>
    <definedName name="_xlnm.Print_Area" localSheetId="16">'Air Intake Flow Settings'!$J$20:$Y$360</definedName>
    <definedName name="_xlnm.Print_Area" localSheetId="41">AJ!$A$6:$G$58</definedName>
    <definedName name="_xlnm.Print_Area" localSheetId="42">AK!$A$6:$G$58</definedName>
    <definedName name="_xlnm.Print_Area" localSheetId="43">AL!$A$6:$G$58</definedName>
    <definedName name="_xlnm.Print_Area" localSheetId="44">AM!$A$6:$G$58</definedName>
    <definedName name="_xlnm.Print_Area" localSheetId="45">AN!$A$6:$G$58</definedName>
    <definedName name="_xlnm.Print_Area" localSheetId="46">AO!$A$6:$G$58</definedName>
    <definedName name="_xlnm.Print_Area" localSheetId="47">AP!$A$6:$G$58</definedName>
    <definedName name="_xlnm.Print_Area" localSheetId="48">AQ!$A$6:$G$58</definedName>
    <definedName name="_xlnm.Print_Area" localSheetId="14">'ASHRAE SCREENING TOOL'!$B$7:$CS$56</definedName>
    <definedName name="_xlnm.Print_Area" localSheetId="49">BA!$A$6:$G$58</definedName>
    <definedName name="_xlnm.Print_Area" localSheetId="50">BB!$A$6:$G$58</definedName>
    <definedName name="_xlnm.Print_Area" localSheetId="51">BC!$A$6:$G$58</definedName>
    <definedName name="_xlnm.Print_Area" localSheetId="52">BD!$A$6:$G$58</definedName>
    <definedName name="_xlnm.Print_Area" localSheetId="53">BE!$A$6:$G$58</definedName>
    <definedName name="_xlnm.Print_Area" localSheetId="54">BF!$A$6:$G$58</definedName>
    <definedName name="_xlnm.Print_Area" localSheetId="55">BG!$A$6:$G$58</definedName>
    <definedName name="_xlnm.Print_Area" localSheetId="56">BH!$A$6:$G$58</definedName>
    <definedName name="_xlnm.Print_Area" localSheetId="57">BI!$A$6:$G$58</definedName>
    <definedName name="_xlnm.Print_Area" localSheetId="58">BJ!$A$6:$G$58</definedName>
    <definedName name="_xlnm.Print_Area" localSheetId="59">BK!$A$6:$G$58</definedName>
    <definedName name="_xlnm.Print_Area" localSheetId="60">BL!$A$6:$G$58</definedName>
    <definedName name="_xlnm.Print_Area" localSheetId="61">BM!$A$6:$G$58</definedName>
    <definedName name="_xlnm.Print_Area" localSheetId="62">BN!$A$6:$G$58</definedName>
    <definedName name="_xlnm.Print_Area" localSheetId="63">BO!$A$6:$G$58</definedName>
    <definedName name="_xlnm.Print_Area" localSheetId="64">BP!$A$6:$G$58</definedName>
    <definedName name="_xlnm.Print_Area" localSheetId="65">BQ!$A$6:$G$58</definedName>
    <definedName name="_xlnm.Print_Area" localSheetId="66">CA!$A$6:$G$58</definedName>
    <definedName name="_xlnm.Print_Area" localSheetId="67">CB!$A$6:$G$58</definedName>
    <definedName name="_xlnm.Print_Area" localSheetId="68">CC!$A$6:$G$58</definedName>
    <definedName name="_xlnm.Print_Area" localSheetId="9">'Combustion - Ambient Ratio ARM2'!$B$14:$Q$56</definedName>
    <definedName name="_xlnm.Print_Area" localSheetId="5">'Combustion Criteria'!$F$31:$I$92,'Combustion Criteria'!$J$31:$W$85</definedName>
    <definedName name="_xlnm.Print_Area" localSheetId="69">DA!$A$6:$G$58</definedName>
    <definedName name="_xlnm.Print_Area" localSheetId="70">DB!$A$6:$G$58</definedName>
    <definedName name="_xlnm.Print_Area" localSheetId="71">DC!$A$6:$G$58</definedName>
    <definedName name="_xlnm.Print_Area" localSheetId="7">'Design Criteria Summary'!$B$15:$E$61</definedName>
    <definedName name="_xlnm.Print_Area" localSheetId="6">'Dilution Criteria'!$C$12:$H$22</definedName>
    <definedName name="_xlnm.Print_Area" localSheetId="23">EtoCriteria!$D$5:$I$22</definedName>
    <definedName name="_xlnm.Print_Area" localSheetId="22">FireCriteria!$B$6:$H$29</definedName>
    <definedName name="_xlnm.Print_Area" localSheetId="13">'Flow Cal Input File'!$B$15:$AA$65</definedName>
    <definedName name="_xlnm.Print_Area" localSheetId="11">'Flow Settings'!$N$22:$AK$904</definedName>
    <definedName name="_xlnm.Print_Area" localSheetId="17">'Flow Vis Settings'!$J$22:$U$751</definedName>
    <definedName name="_xlnm.Print_Area" localSheetId="24">'Formaldehyde Criteria'!$C$12:$J$29</definedName>
    <definedName name="_xlnm.Print_Area" localSheetId="18">'Isolation Criteria'!$B$13:$K$49</definedName>
    <definedName name="_xlnm.Print_Area" localSheetId="27">'NAAQS Combined Results'!$B$17:$AH$76</definedName>
    <definedName name="_xlnm.Print_Area" localSheetId="25">PaintBoothCriteria!$B$6:$R$34</definedName>
    <definedName name="_xlnm.Print_Area" localSheetId="2">QA!$B$12:$M$93</definedName>
    <definedName name="_xlnm.Print_Area" localSheetId="4">Receptors!$B$15:$C$52</definedName>
    <definedName name="_xlnm.Print_Area" localSheetId="19">'Results Iso-Wbl - No HEPA'!$B$14:$P$44</definedName>
    <definedName name="_xlnm.Print_Area" localSheetId="20">'Results Iso-Wbl - With HEPA'!$B$14:$P$44</definedName>
    <definedName name="_xlnm.Print_Area" localSheetId="26">'Results Summary Alternate'!$B$14:$V$56</definedName>
    <definedName name="_xlnm.Print_Area" localSheetId="21">'Results Summary Iso - no wind'!$B$14:$Q$24</definedName>
    <definedName name="_xlnm.Print_Area" localSheetId="1">'Stack Summary'!$C$22:$N$111</definedName>
    <definedName name="_xlnm.Print_Area" localSheetId="8">'Test Plan &amp; Results'!$E$16:$W$51</definedName>
    <definedName name="_xlnm.Print_Area" localSheetId="28">'Vis Plan WT2&amp;3'!$B$7:$W$54</definedName>
    <definedName name="_xlnm.Print_Titles" localSheetId="16">'Air Intake Flow Settings'!$A:$I,'Air Intake Flow Settings'!$8:$19</definedName>
    <definedName name="_xlnm.Print_Titles" localSheetId="14">'ASHRAE SCREENING TOOL'!$8:$13</definedName>
    <definedName name="_xlnm.Print_Titles" localSheetId="9">'Combustion - Ambient Ratio ARM2'!$8:$13</definedName>
    <definedName name="_xlnm.Print_Titles" localSheetId="5">'Combustion Criteria'!$B:$E,'Combustion Criteria'!$9:$29</definedName>
    <definedName name="_xlnm.Print_Titles" localSheetId="7">'Design Criteria Summary'!$12:$14</definedName>
    <definedName name="_xlnm.Print_Titles" localSheetId="6">'Dilution Criteria'!$8:$11</definedName>
    <definedName name="_xlnm.Print_Titles" localSheetId="13">'Flow Cal Input File'!$6:$14</definedName>
    <definedName name="_xlnm.Print_Titles" localSheetId="11">'Flow Settings'!$A:$I,'Flow Settings'!$8:$21</definedName>
    <definedName name="_xlnm.Print_Titles" localSheetId="17">'Flow Vis Settings'!$A:$I,'Flow Vis Settings'!$8:$21</definedName>
    <definedName name="_xlnm.Print_Titles" localSheetId="24">'Formaldehyde Criteria'!$8:$11</definedName>
    <definedName name="_xlnm.Print_Titles" localSheetId="27">'NAAQS Combined Results'!$10:$15</definedName>
    <definedName name="_xlnm.Print_Titles" localSheetId="2">QA!$1:$11</definedName>
    <definedName name="_xlnm.Print_Titles" localSheetId="4">Receptors!$12:$14</definedName>
    <definedName name="_xlnm.Print_Titles" localSheetId="19">'Results Iso-Wbl - No HEPA'!$8:$13</definedName>
    <definedName name="_xlnm.Print_Titles" localSheetId="20">'Results Iso-Wbl - With HEPA'!$8:$13</definedName>
    <definedName name="_xlnm.Print_Titles" localSheetId="26">'Results Summary Alternate'!$8:$13</definedName>
    <definedName name="_xlnm.Print_Titles" localSheetId="21">'Results Summary Iso - no wind'!$8:$13</definedName>
    <definedName name="_xlnm.Print_Titles" localSheetId="1">'Stack Summary'!$16:$21</definedName>
    <definedName name="_xlnm.Print_Titles" localSheetId="8">'Test Plan &amp; Results'!$10:$15</definedName>
    <definedName name="_xlnm.Print_Titles" localSheetId="28">'Vis Plan WT2&amp;3'!$1:$6</definedName>
    <definedName name="Prob_Prob" localSheetId="29">[1]Probabilities!$J$12:$J$60099</definedName>
    <definedName name="Prob_Prob">Probabilities!$J$12:$J$60000</definedName>
    <definedName name="Prob_ProbRunandCrit" localSheetId="29">[1]Probabilities!$C$12:$C$60000</definedName>
    <definedName name="Prob_ProbRunandCrit">Probabilities!$C$12:$C$60000</definedName>
    <definedName name="Prob_ProbTotal" localSheetId="29">[1]Probabilities!$L$12:$L$60000</definedName>
    <definedName name="Prob_ProbTotal">Probabilities!$L$12:$L$60000</definedName>
    <definedName name="Prob_RunNumber">Probabilities!$D$12:$D$60000</definedName>
    <definedName name="ReceptorID" localSheetId="29">[1]Receptors!$C$15:$C$60</definedName>
    <definedName name="ReceptorID">Receptors!$C$15:$C$60</definedName>
    <definedName name="ReceptorNumber" localSheetId="29">[1]Receptors!$B$15:$B$60</definedName>
    <definedName name="ReceptorNumber">Receptors!$B$15:$B$60</definedName>
    <definedName name="ReceptorOperating" localSheetId="29">[1]Receptors!$E$15:$E$60</definedName>
    <definedName name="ReceptorOperating">Receptors!$E$15:$E$60</definedName>
    <definedName name="RoundBrass">'Brass and Gas'!$A$5:$C$35</definedName>
    <definedName name="Roundsize">'Brass and Gas'!$A$5:$A$35</definedName>
    <definedName name="RunNumber">'Test Plan &amp; Results'!$E$12:$E$13</definedName>
    <definedName name="sampa" localSheetId="3">'1% Wind'!$A$10:$I$59</definedName>
    <definedName name="SelectedModelEquivID" localSheetId="29">'[1]Stack Summary'!$AI$117:$AI$130</definedName>
    <definedName name="SelectedModelEquivID">'Stack Summary'!$AI$121:$AI$196</definedName>
    <definedName name="SelectedModelIDRound" localSheetId="29">'[1]Stack Summary'!$AB$117:$AB$130</definedName>
    <definedName name="SelectedModelIDRound">'Stack Summary'!$AB$121:$AB$196</definedName>
    <definedName name="SelectedModelSizeSquare" localSheetId="29">'[1]Stack Summary'!$AG$117:$AG$130</definedName>
    <definedName name="SelectedModelSizeSquare">'Stack Summary'!$AG$121:$AG$196</definedName>
    <definedName name="SF" localSheetId="29">'[1]Stack Summary'!$E$98</definedName>
    <definedName name="SF">'Stack Summary'!$E$102</definedName>
    <definedName name="SourceBaseHeightAboveGrade" localSheetId="29">'[1]Stack Summary'!$M$117:$M$130</definedName>
    <definedName name="SourceBaseHeightAboveGrade">'Stack Summary'!$M$121:$M$196</definedName>
    <definedName name="SourceComment" localSheetId="29">'[1]Stack Summary'!$N$117:$N$130</definedName>
    <definedName name="SourceComment">'Stack Summary'!$N$121:$N$196</definedName>
    <definedName name="SourceDescription" localSheetId="29">'[1]Stack Summary'!$D$117:$D$130</definedName>
    <definedName name="SourceDescription">'Stack Summary'!$D$121:$D$196</definedName>
    <definedName name="SourceExhaustShapeFlag" localSheetId="29">'[1]Stack Summary'!$R$117:$R$130</definedName>
    <definedName name="SourceExhaustShapeFlag">'Stack Summary'!$R$121:$R$196</definedName>
    <definedName name="SourceExitDiameter" localSheetId="29">'[1]Stack Summary'!$G$117:$G$130</definedName>
    <definedName name="SourceExitDiameter">'Stack Summary'!$G$121:$G$196</definedName>
    <definedName name="SourceExitTemperature" localSheetId="29">'[1]Stack Summary'!$H$117:$H$130</definedName>
    <definedName name="SourceExitTemperature">'Stack Summary'!$H$121:$H$196</definedName>
    <definedName name="SourceExitVelocity" localSheetId="29">'[1]Stack Summary'!$K$117:$K$130</definedName>
    <definedName name="SourceExitVelocity">'Stack Summary'!$K$121:$K$196</definedName>
    <definedName name="SourceExitVelocityEnglish" localSheetId="29">'[1]Stack Summary'!$K$23:$K$94</definedName>
    <definedName name="SourceExitVelocityEnglish">'Stack Summary'!$K$23:$K$98</definedName>
    <definedName name="SourceExitVelocityEnglishModeled">'Stack Summary'!$Q$23:$Q$98</definedName>
    <definedName name="SourceExitVelocityModeled">'Stack Summary'!$Q$22:$Q$98</definedName>
    <definedName name="SourceHeightAboveBase" localSheetId="29">'[1]Stack Summary'!$F$117:$F$130</definedName>
    <definedName name="SourceHeightAboveBase">'Stack Summary'!$F$121:$F$196</definedName>
    <definedName name="SourceID" localSheetId="29">'[1]Stack Summary'!$E$117:$E$130</definedName>
    <definedName name="SourceID">'Stack Summary'!$E$121:$E$196</definedName>
    <definedName name="SourceMassFlowRate" localSheetId="29">'[1]Stack Summary'!$I$117:$I$130</definedName>
    <definedName name="SourceMassFlowRate">'Stack Summary'!$I$121:$I$196</definedName>
    <definedName name="SourceMinimumModelID">'Stack Summary'!$S$121:$S$196</definedName>
    <definedName name="SourceModelDensityRatio" localSheetId="29">'[1]Stack Summary'!$U$117:$U$130</definedName>
    <definedName name="SourceModelDensityRatio">'Stack Summary'!$U$121:$U$196</definedName>
    <definedName name="SourceModelRefWS" localSheetId="29">'[1]Stack Summary'!$T$117:$T$130</definedName>
    <definedName name="SourceModelRefWS">'Stack Summary'!$T$121:$T$196</definedName>
    <definedName name="SourceNumber" localSheetId="29">'[1]Stack Summary'!$B$117:$B$130</definedName>
    <definedName name="SourceNumber">'Stack Summary'!$B$121:$B$196</definedName>
    <definedName name="SourceOrientation" localSheetId="29">'[1]Stack Summary'!$L$117:$L$130</definedName>
    <definedName name="SourceOrientation">'Stack Summary'!$L$121:$L$196</definedName>
    <definedName name="SourceProjectName1" localSheetId="29">'[1]Stack Summary'!$D$1</definedName>
    <definedName name="SourceProjectName1">'Stack Summary'!$D$1</definedName>
    <definedName name="SourceProjectName2" localSheetId="29">'[1]Stack Summary'!$D$2</definedName>
    <definedName name="SourceProjectName2">'Stack Summary'!$D$2</definedName>
    <definedName name="SourceProjectNumber" localSheetId="29">'[1]Stack Summary'!$D$3</definedName>
    <definedName name="SourceProjectNumber">'Stack Summary'!$D$3</definedName>
    <definedName name="SourceVolumeFlowRate" localSheetId="29">'[1]Stack Summary'!$J$117:$J$130</definedName>
    <definedName name="SourceVolumeFlowRate">'Stack Summary'!$J$121:$J$196</definedName>
    <definedName name="SourceVolumeFlowRateEnglish" localSheetId="29">'[1]Stack Summary'!$J$23:$J$94</definedName>
    <definedName name="SourceVolumeFlowRateEnglish">'Stack Summary'!$J$23:$J$98</definedName>
    <definedName name="SourceVolumeFlowRateEnglishModeled">'Stack Summary'!$P$23:$P$98</definedName>
    <definedName name="SourceVolumeFlowRateModeled">'Stack Summary'!$P$22:$P$98</definedName>
    <definedName name="SquareAreaASC" localSheetId="29">'[1]Brass and Gas'!$E$6:$E$20</definedName>
    <definedName name="SquareAreaASC">'Brass and Gas'!$E$6:$E$20</definedName>
    <definedName name="SquareAreaDSC" localSheetId="29">'[1]Brass and Gas'!$J$6:$J$20</definedName>
    <definedName name="SquareAreaDSC">'Brass and Gas'!$J$6:$J$20</definedName>
    <definedName name="SquareBrass" localSheetId="29">'[1]Brass and Gas'!$E$6:$N$20</definedName>
    <definedName name="SquareBrass">'Brass and Gas'!$E$6:$N$20</definedName>
    <definedName name="Ta" localSheetId="29">'[1]Stack Summary'!$E$101</definedName>
    <definedName name="Ta">'Stack Summary'!$E$105</definedName>
    <definedName name="TaModel" localSheetId="29">'[1]Stack Summary'!$E$148</definedName>
    <definedName name="TaModel">'Stack Summary'!$E$214</definedName>
    <definedName name="TPAchievedCrit1">'Test Plan &amp; Results'!$AB$14</definedName>
    <definedName name="TPAchievedCrit2">'Test Plan &amp; Results'!$AC$14</definedName>
    <definedName name="TPAchievedCrit3">'Test Plan &amp; Results'!$AD$14</definedName>
    <definedName name="TPAchievedCrit4">'Test Plan &amp; Results'!$AE$14</definedName>
    <definedName name="TPAirIntakeOperating" localSheetId="29">'[1]Test Plan &amp; Results'!$L$21:$L$151</definedName>
    <definedName name="TPAirIntakeOperating">'Test Plan &amp; Results'!$L$21:$L$42</definedName>
    <definedName name="TPBGVoltage">'Test Plan &amp; Results'!$S$12</definedName>
    <definedName name="TPConcentration">'Test Plan &amp; Results'!$U$13</definedName>
    <definedName name="TPcrit1" localSheetId="29">'[1]Test Plan &amp; Results'!$V$21:$V$151</definedName>
    <definedName name="TPcrit1">'Test Plan &amp; Results'!$X$21:$X$42</definedName>
    <definedName name="TPcrit2" localSheetId="29">'[1]Test Plan &amp; Results'!$W$21:$W$151</definedName>
    <definedName name="TPcrit2">'Test Plan &amp; Results'!$Y$21:$Y$42</definedName>
    <definedName name="TPcrit3" localSheetId="29">'[1]Test Plan &amp; Results'!$W$21:$W$151</definedName>
    <definedName name="TPcrit3">'Test Plan &amp; Results'!$Y$21:$Y$42</definedName>
    <definedName name="TPcrit4" localSheetId="29">'[1]Test Plan &amp; Results'!$Y$21:$Y$151</definedName>
    <definedName name="TPcrit4">'Test Plan &amp; Results'!$AA$21:$AA$42</definedName>
    <definedName name="TPcritHigh" localSheetId="29">'[3]Test Plan &amp; Results'!$V$21:$V$138</definedName>
    <definedName name="TPcritHigh">'Test Plan &amp; Results'!$W$21:$W$42</definedName>
    <definedName name="TPcritLow" localSheetId="29">'[3]Test Plan &amp; Results'!$U$21:$U$138</definedName>
    <definedName name="TPcritLow">'Test Plan &amp; Results'!$V$21:$V$42</definedName>
    <definedName name="TPDirection">'Test Plan &amp; Results'!$P$13</definedName>
    <definedName name="TPEnergyAnalysisCM">'Test Plan &amp; Results'!$AP$13</definedName>
    <definedName name="TPEnergyAnalysisWS">'Test Plan &amp; Results'!$AO$13</definedName>
    <definedName name="TPFidRange">'Test Plan &amp; Results'!$T$13</definedName>
    <definedName name="TPMaxCm" localSheetId="29">'[1]Test Plan &amp; Results'!$T$21:$T$151</definedName>
    <definedName name="TPMaxCm">'Test Plan &amp; Results'!$U$21:$U$42</definedName>
    <definedName name="TPReceptorID1" localSheetId="29">'[1]Test Plan &amp; Results'!$J$21:$J$151</definedName>
    <definedName name="TPReceptorID1">'Test Plan &amp; Results'!$J$21:$J$42</definedName>
    <definedName name="TPReceptorID2" localSheetId="29">'[1]Test Plan &amp; Results'!$K$21:$K$151</definedName>
    <definedName name="TPReceptorID2">'Test Plan &amp; Results'!$K$21:$K$42</definedName>
    <definedName name="TPReceptorNumRead">'Test Plan &amp; Results'!$O$13</definedName>
    <definedName name="TPRunLetter">'Test Plan &amp; Results'!$C$13</definedName>
    <definedName name="TPRunNumber" localSheetId="29">'[1]Test Plan &amp; Results'!$E$21:$E$151</definedName>
    <definedName name="TPRunNumber">'Test Plan &amp; Results'!$E$21:$E$42</definedName>
    <definedName name="TPSourceHeight" localSheetId="29">'[1]Test Plan &amp; Results'!$H$21:$H$151</definedName>
    <definedName name="TPSourceHeight">'Test Plan &amp; Results'!$H$21:$H$42</definedName>
    <definedName name="TPSourceHeightModel" localSheetId="29">'[1]Test Plan &amp; Results'!$I$21:$I$151</definedName>
    <definedName name="TPSourceHeightModel">'Test Plan &amp; Results'!$I$21:$I$42</definedName>
    <definedName name="TPSourceID" localSheetId="29">'[1]Test Plan &amp; Results'!$G$21:$G$151</definedName>
    <definedName name="TPSourceID">'Test Plan &amp; Results'!$G$21:$G$42</definedName>
    <definedName name="TPSourceLetter" localSheetId="29">'[1]Test Plan &amp; Results'!$F$21:$F$151</definedName>
    <definedName name="TPSourceLetter">'Test Plan &amp; Results'!$F$21:$F$42</definedName>
    <definedName name="TPSpeed">'Test Plan &amp; Results'!$Q$13</definedName>
    <definedName name="TPStackHeightRead">'Test Plan &amp; Results'!$N$13</definedName>
    <definedName name="TPVolt">'Test Plan &amp; Results'!$R$13</definedName>
    <definedName name="TPWWD" localSheetId="29">'[1]Test Plan &amp; Results'!$P$21:$P$151</definedName>
    <definedName name="TPWWD">'Test Plan &amp; Results'!$P$21:$P$42</definedName>
    <definedName name="TPWWS" localSheetId="29">'[1]Test Plan &amp; Results'!$Q$21:$Q$151</definedName>
    <definedName name="TPWWS">'Test Plan &amp; Results'!$Q$21:$Q$42</definedName>
    <definedName name="UAnem1percent" localSheetId="29">'[1]Stack Summary'!$E$107</definedName>
    <definedName name="UAnem1percent">'Stack Summary'!$E$111</definedName>
    <definedName name="VPConcRunNumber" localSheetId="29">'[1]Vis Plan WT2&amp;3'!$C$29:$C$52</definedName>
    <definedName name="VPConcRunNumber">'Vis Plan WT2&amp;3'!$C$29:$C$52</definedName>
    <definedName name="VPHLm" localSheetId="29">'[1]Vis Plan WT2&amp;3'!$X$29:$X$52</definedName>
    <definedName name="VPHLm">'Vis Plan WT2&amp;3'!$X$29:$X$52</definedName>
    <definedName name="VPMaxCm" localSheetId="29">'[1]Vis Plan WT2&amp;3'!$K$29:$K$52</definedName>
    <definedName name="VPMaxCm">'Vis Plan WT2&amp;3'!$K$29:$K$52</definedName>
    <definedName name="VPOTm" localSheetId="29">'[1]Vis Plan WT2&amp;3'!$Y$29:$Y$52</definedName>
    <definedName name="VPOTm">'Vis Plan WT2&amp;3'!$Y$29:$Y$52</definedName>
    <definedName name="VPPedComment" localSheetId="29">'[1]Vis Plan WT2&amp;3'!$G$63:$G$76</definedName>
    <definedName name="VPPedComment">'Vis Plan WT2&amp;3'!$G$63:$G$76</definedName>
    <definedName name="VPPedConfiguration">'Vis Plan WT2&amp;3'!$F$63:$F$76</definedName>
    <definedName name="VPPedLocation" localSheetId="29">'[1]Vis Plan WT2&amp;3'!$C$63:$C$76</definedName>
    <definedName name="VPPedLocation">'Vis Plan WT2&amp;3'!$C$63:$C$76</definedName>
    <definedName name="VPPedRunNumber" localSheetId="29">'[1]Vis Plan WT2&amp;3'!$B$63:$B$76</definedName>
    <definedName name="VPPedRunNumber">'Vis Plan WT2&amp;3'!$B$63:$B$76</definedName>
    <definedName name="VPPedWD" localSheetId="29">'[1]Vis Plan WT2&amp;3'!$E$63:$E$76</definedName>
    <definedName name="VPPedWD">'Vis Plan WT2&amp;3'!$E$63:$E$76</definedName>
    <definedName name="VPReceptorID" localSheetId="29">'[1]Vis Plan WT2&amp;3'!$H$29:$H$52</definedName>
    <definedName name="VPReceptorID">'Vis Plan WT2&amp;3'!$H$29:$H$52</definedName>
    <definedName name="VPRunNumber" localSheetId="29">'[1]Vis Plan WT2&amp;3'!$B$29:$B$52</definedName>
    <definedName name="VPRunNumber">'Vis Plan WT2&amp;3'!$B$29:$B$52</definedName>
    <definedName name="VPSourceHeight" localSheetId="29">'[1]Vis Plan WT2&amp;3'!$F$29:$F$52</definedName>
    <definedName name="VPSourceHeight">'Vis Plan WT2&amp;3'!$F$29:$F$52</definedName>
    <definedName name="VPSourceID" localSheetId="29">'[1]Vis Plan WT2&amp;3'!$E$29:$E$52</definedName>
    <definedName name="VPSourceID">'Vis Plan WT2&amp;3'!$E$29:$E$52</definedName>
    <definedName name="VPWWD" localSheetId="29">'[1]Vis Plan WT2&amp;3'!$I$29:$I$52</definedName>
    <definedName name="VPWWD">'Vis Plan WT2&amp;3'!$I$29:$I$52</definedName>
    <definedName name="VPWWS" localSheetId="29">'[1]Vis Plan WT2&amp;3'!$J$29:$J$52</definedName>
    <definedName name="VPWWS">'Vis Plan WT2&amp;3'!$J$29:$J$52</definedName>
    <definedName name="Xcoord">'RTP.inp'!$C$13:$C$500</definedName>
    <definedName name="xlsProjectNumber" localSheetId="29">[4]ProjectDescription!$C$9</definedName>
    <definedName name="xlsProjectNumber">[5]ProjectDescription!$C$9</definedName>
    <definedName name="Ycoord">'RTP.inp'!$D$13:$D$500</definedName>
    <definedName name="ZAnem" localSheetId="29">'[1]Stack Summary'!$E$103</definedName>
    <definedName name="ZAnem">'Stack Summary'!$E$107</definedName>
    <definedName name="Zcoord">'RTP.inp'!$E$13:$E$500</definedName>
    <definedName name="ZGrade" localSheetId="29">'[1]Stack Summary'!$E$99</definedName>
    <definedName name="ZGrade">'Stack Summary'!$E$103</definedName>
    <definedName name="zGradeModel" localSheetId="29">'[1]Stack Summary'!$E$147</definedName>
    <definedName name="zGradeModel">'Stack Summary'!$E$213</definedName>
    <definedName name="Zinf" localSheetId="29">'[1]Stack Summary'!$E$146</definedName>
    <definedName name="Zinf">'Stack Summary'!$E$212</definedName>
    <definedName name="ZoAnem" localSheetId="29">'[1]Stack Summary'!$E$104</definedName>
    <definedName name="ZoAnem">'Stack Summary'!$E$108</definedName>
    <definedName name="ZoSite" localSheetId="29">'[1]Stack Summary'!$E$106</definedName>
    <definedName name="ZoSite">'Stack Summary'!$E$110</definedName>
    <definedName name="ZSite" localSheetId="29">'[1]Stack Summary'!$E$105</definedName>
    <definedName name="ZSite">'Stack Summary'!$E$109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 i="262" l="1"/>
  <c r="L4" i="6"/>
  <c r="L3" i="6"/>
  <c r="E214" i="1"/>
  <c r="E213" i="1"/>
  <c r="E212" i="1"/>
  <c r="E211" i="1"/>
  <c r="E111" i="1"/>
  <c r="E110" i="1"/>
  <c r="E108" i="1"/>
  <c r="F107" i="1"/>
  <c r="E107" i="1"/>
  <c r="E105" i="1"/>
  <c r="E104" i="1"/>
  <c r="F103" i="1"/>
  <c r="E103" i="1"/>
  <c r="E102" i="1"/>
  <c r="D3" i="1"/>
  <c r="D2" i="1"/>
  <c r="D1" i="1"/>
  <c r="L55" i="12"/>
  <c r="L54" i="12"/>
  <c r="K55" i="12"/>
  <c r="K54" i="12"/>
  <c r="K56" i="12"/>
  <c r="J59" i="12"/>
  <c r="J55" i="12"/>
  <c r="J54" i="12"/>
  <c r="D14" i="1123" l="1"/>
  <c r="D90" i="11" l="1"/>
  <c r="D89" i="11"/>
  <c r="D88" i="11"/>
  <c r="D87" i="11"/>
  <c r="N34" i="1107" l="1"/>
  <c r="N35" i="1107" s="1"/>
  <c r="N36" i="1107" s="1"/>
  <c r="N37" i="1107" s="1"/>
  <c r="N38" i="1107" s="1"/>
  <c r="N39" i="1107" s="1"/>
  <c r="N40" i="1107" s="1"/>
  <c r="N41" i="1107" s="1"/>
  <c r="N42" i="1107" s="1"/>
  <c r="N43" i="1107" s="1"/>
  <c r="N44" i="1107" s="1"/>
  <c r="N45" i="1107" s="1"/>
  <c r="N46" i="1107" s="1"/>
  <c r="N47" i="1107" s="1"/>
  <c r="N48" i="1107" s="1"/>
  <c r="M34" i="1107"/>
  <c r="M35" i="1107" s="1"/>
  <c r="M36" i="1107" s="1"/>
  <c r="M37" i="1107" s="1"/>
  <c r="M38" i="1107" s="1"/>
  <c r="M39" i="1107" s="1"/>
  <c r="M40" i="1107" s="1"/>
  <c r="M41" i="1107" s="1"/>
  <c r="M42" i="1107" s="1"/>
  <c r="M43" i="1107" s="1"/>
  <c r="M44" i="1107" s="1"/>
  <c r="M45" i="1107" s="1"/>
  <c r="M46" i="1107" s="1"/>
  <c r="M47" i="1107" s="1"/>
  <c r="M48" i="1107" s="1"/>
  <c r="N16" i="1107"/>
  <c r="N17" i="1107" s="1"/>
  <c r="N18" i="1107" s="1"/>
  <c r="N19" i="1107" s="1"/>
  <c r="N20" i="1107" s="1"/>
  <c r="N21" i="1107" s="1"/>
  <c r="N22" i="1107" s="1"/>
  <c r="N23" i="1107" s="1"/>
  <c r="N24" i="1107" s="1"/>
  <c r="N25" i="1107" s="1"/>
  <c r="N26" i="1107" s="1"/>
  <c r="N27" i="1107" s="1"/>
  <c r="N28" i="1107" s="1"/>
  <c r="N29" i="1107" s="1"/>
  <c r="N30" i="1107" s="1"/>
  <c r="M16" i="1107"/>
  <c r="M17" i="1107" s="1"/>
  <c r="M18" i="1107" s="1"/>
  <c r="M19" i="1107" s="1"/>
  <c r="M20" i="1107" s="1"/>
  <c r="M21" i="1107" s="1"/>
  <c r="M22" i="1107" s="1"/>
  <c r="M23" i="1107" s="1"/>
  <c r="M24" i="1107" s="1"/>
  <c r="M25" i="1107" s="1"/>
  <c r="M26" i="1107" s="1"/>
  <c r="M27" i="1107" s="1"/>
  <c r="M28" i="1107" s="1"/>
  <c r="M29" i="1107" s="1"/>
  <c r="M30" i="1107" s="1"/>
  <c r="O32" i="12"/>
  <c r="O60" i="12"/>
  <c r="O59" i="12"/>
  <c r="O58" i="12"/>
  <c r="O82" i="12" s="1"/>
  <c r="N55" i="12"/>
  <c r="N56" i="12" s="1"/>
  <c r="N54" i="12"/>
  <c r="N60" i="12"/>
  <c r="N59" i="12"/>
  <c r="N58" i="12"/>
  <c r="N82" i="12" s="1"/>
  <c r="M55" i="12"/>
  <c r="M57" i="12" s="1"/>
  <c r="M54" i="12"/>
  <c r="M62" i="12" s="1"/>
  <c r="M60" i="12"/>
  <c r="M59" i="12"/>
  <c r="M58" i="12"/>
  <c r="M82" i="12" s="1"/>
  <c r="N57" i="12" l="1"/>
  <c r="N66" i="12" s="1"/>
  <c r="N76" i="12" s="1"/>
  <c r="M69" i="12"/>
  <c r="M70" i="12"/>
  <c r="M66" i="12"/>
  <c r="M76" i="12" s="1"/>
  <c r="O57" i="12"/>
  <c r="O81" i="12" s="1"/>
  <c r="O54" i="12"/>
  <c r="O62" i="12" s="1"/>
  <c r="O55" i="12"/>
  <c r="M56" i="12"/>
  <c r="O70" i="12"/>
  <c r="O69" i="12"/>
  <c r="N80" i="12"/>
  <c r="N62" i="12"/>
  <c r="N70" i="12"/>
  <c r="N69" i="12"/>
  <c r="N64" i="12"/>
  <c r="N81" i="12"/>
  <c r="M64" i="12"/>
  <c r="M81" i="12"/>
  <c r="M68" i="12"/>
  <c r="N68" i="12" l="1"/>
  <c r="O64" i="12"/>
  <c r="O68" i="12"/>
  <c r="O66" i="12"/>
  <c r="O76" i="12" s="1"/>
  <c r="M80" i="12"/>
  <c r="O56" i="12"/>
  <c r="O80" i="12" l="1"/>
  <c r="J13" i="9"/>
  <c r="D17" i="12" l="1"/>
  <c r="AN17" i="12"/>
  <c r="AM17" i="12"/>
  <c r="AL17" i="12"/>
  <c r="L16" i="1107" l="1"/>
  <c r="L17" i="1107" s="1"/>
  <c r="L18" i="1107" s="1"/>
  <c r="L19" i="1107" s="1"/>
  <c r="L20" i="1107" s="1"/>
  <c r="L21" i="1107" s="1"/>
  <c r="L22" i="1107" s="1"/>
  <c r="L23" i="1107" s="1"/>
  <c r="L24" i="1107" s="1"/>
  <c r="L25" i="1107" s="1"/>
  <c r="L26" i="1107" s="1"/>
  <c r="L27" i="1107" s="1"/>
  <c r="L28" i="1107" s="1"/>
  <c r="L29" i="1107" s="1"/>
  <c r="L30" i="1107" s="1"/>
  <c r="L34" i="1107"/>
  <c r="L35" i="1107" s="1"/>
  <c r="L36" i="1107" s="1"/>
  <c r="L37" i="1107" s="1"/>
  <c r="L38" i="1107" s="1"/>
  <c r="L39" i="1107" s="1"/>
  <c r="L40" i="1107" s="1"/>
  <c r="L41" i="1107" s="1"/>
  <c r="L42" i="1107" s="1"/>
  <c r="L43" i="1107" s="1"/>
  <c r="L44" i="1107" s="1"/>
  <c r="L45" i="1107" s="1"/>
  <c r="L46" i="1107" s="1"/>
  <c r="L47" i="1107" s="1"/>
  <c r="L48" i="1107" s="1"/>
  <c r="N65" i="12"/>
  <c r="M65" i="12"/>
  <c r="O65" i="12"/>
  <c r="Y55" i="12"/>
  <c r="Y54" i="12"/>
  <c r="X55" i="12"/>
  <c r="X54" i="12"/>
  <c r="Y60" i="12" l="1"/>
  <c r="X60" i="12"/>
  <c r="Y59" i="12"/>
  <c r="X59" i="12"/>
  <c r="Y58" i="12"/>
  <c r="Y70" i="12" s="1"/>
  <c r="X58" i="12"/>
  <c r="X70" i="12" s="1"/>
  <c r="Y56" i="12"/>
  <c r="X56" i="12"/>
  <c r="Y31" i="12"/>
  <c r="Y69" i="12" l="1"/>
  <c r="X69" i="12"/>
  <c r="X82" i="12"/>
  <c r="Y82" i="12"/>
  <c r="Y62" i="12"/>
  <c r="X62" i="12"/>
  <c r="X80" i="12"/>
  <c r="Y80" i="12"/>
  <c r="X57" i="12"/>
  <c r="X65" i="12" s="1"/>
  <c r="Y57" i="12"/>
  <c r="Y65" i="12" s="1"/>
  <c r="Y81" i="12" l="1"/>
  <c r="Y68" i="12"/>
  <c r="Y66" i="12"/>
  <c r="Y76" i="12" s="1"/>
  <c r="Y64" i="12"/>
  <c r="X81" i="12"/>
  <c r="X68" i="12"/>
  <c r="X66" i="12"/>
  <c r="X76" i="12" s="1"/>
  <c r="X64" i="12"/>
  <c r="F64" i="1124" l="1"/>
  <c r="F65" i="1124"/>
  <c r="F66" i="1124"/>
  <c r="F67" i="1124"/>
  <c r="F68" i="1124"/>
  <c r="F63" i="1124"/>
  <c r="Z68" i="1124"/>
  <c r="Y68" i="1124"/>
  <c r="AG68" i="1124" s="1"/>
  <c r="X68" i="1124"/>
  <c r="AF68" i="1124" s="1"/>
  <c r="W68" i="1124"/>
  <c r="AE68" i="1124" s="1"/>
  <c r="V68" i="1124"/>
  <c r="U68" i="1124"/>
  <c r="T68" i="1124"/>
  <c r="S68" i="1124"/>
  <c r="Z67" i="1124"/>
  <c r="Y67" i="1124"/>
  <c r="AG67" i="1124" s="1"/>
  <c r="X67" i="1124"/>
  <c r="AF67" i="1124" s="1"/>
  <c r="W67" i="1124"/>
  <c r="AE67" i="1124" s="1"/>
  <c r="V67" i="1124"/>
  <c r="U67" i="1124"/>
  <c r="T67" i="1124"/>
  <c r="S67" i="1124"/>
  <c r="Z66" i="1124"/>
  <c r="Y66" i="1124"/>
  <c r="AG66" i="1124" s="1"/>
  <c r="X66" i="1124"/>
  <c r="AF66" i="1124" s="1"/>
  <c r="W66" i="1124"/>
  <c r="AE66" i="1124" s="1"/>
  <c r="V66" i="1124"/>
  <c r="U66" i="1124"/>
  <c r="T66" i="1124"/>
  <c r="S66" i="1124"/>
  <c r="Z65" i="1124"/>
  <c r="Y65" i="1124"/>
  <c r="AG65" i="1124" s="1"/>
  <c r="X65" i="1124"/>
  <c r="AF65" i="1124" s="1"/>
  <c r="W65" i="1124"/>
  <c r="AE65" i="1124" s="1"/>
  <c r="V65" i="1124"/>
  <c r="U65" i="1124"/>
  <c r="T65" i="1124"/>
  <c r="S65" i="1124"/>
  <c r="Z64" i="1124"/>
  <c r="Y64" i="1124"/>
  <c r="AG64" i="1124" s="1"/>
  <c r="X64" i="1124"/>
  <c r="AF64" i="1124" s="1"/>
  <c r="W64" i="1124"/>
  <c r="AE64" i="1124" s="1"/>
  <c r="V64" i="1124"/>
  <c r="U64" i="1124"/>
  <c r="T64" i="1124"/>
  <c r="S64" i="1124"/>
  <c r="Z63" i="1124"/>
  <c r="Y63" i="1124"/>
  <c r="AG63" i="1124" s="1"/>
  <c r="X63" i="1124"/>
  <c r="AF63" i="1124" s="1"/>
  <c r="W63" i="1124"/>
  <c r="AE63" i="1124" s="1"/>
  <c r="V63" i="1124"/>
  <c r="U63" i="1124"/>
  <c r="T63" i="1124"/>
  <c r="S63" i="1124"/>
  <c r="AH51" i="1124"/>
  <c r="AD51" i="1124"/>
  <c r="AC51" i="1124"/>
  <c r="AB51" i="1124"/>
  <c r="AA51" i="1124"/>
  <c r="AO51" i="1124"/>
  <c r="AH50" i="1124"/>
  <c r="AD50" i="1124"/>
  <c r="AC50" i="1124"/>
  <c r="AB50" i="1124"/>
  <c r="AA50" i="1124"/>
  <c r="AO50" i="1124"/>
  <c r="AH45" i="1124"/>
  <c r="AD45" i="1124"/>
  <c r="AC45" i="1124"/>
  <c r="AB45" i="1124"/>
  <c r="AA45" i="1124"/>
  <c r="AN45" i="1124"/>
  <c r="AH44" i="1124"/>
  <c r="AD44" i="1124"/>
  <c r="AC44" i="1124"/>
  <c r="AB44" i="1124"/>
  <c r="AA44" i="1124"/>
  <c r="AN44" i="1124"/>
  <c r="AO44" i="1124"/>
  <c r="I44" i="1124"/>
  <c r="H44" i="1124"/>
  <c r="G44" i="1124"/>
  <c r="C44" i="1124"/>
  <c r="AH36" i="1124"/>
  <c r="AD36" i="1124"/>
  <c r="AC36" i="1124"/>
  <c r="AB36" i="1124"/>
  <c r="AA36" i="1124"/>
  <c r="AN36" i="1124"/>
  <c r="AO36" i="1124"/>
  <c r="AH32" i="1124"/>
  <c r="AD32" i="1124"/>
  <c r="AC32" i="1124"/>
  <c r="AB32" i="1124"/>
  <c r="AA32" i="1124"/>
  <c r="AN32" i="1124"/>
  <c r="AO32" i="1124"/>
  <c r="AH28" i="1124"/>
  <c r="AD28" i="1124"/>
  <c r="AC28" i="1124"/>
  <c r="AB28" i="1124"/>
  <c r="AA28" i="1124"/>
  <c r="AO28" i="1124"/>
  <c r="AH27" i="1124"/>
  <c r="AD27" i="1124"/>
  <c r="AC27" i="1124"/>
  <c r="AB27" i="1124"/>
  <c r="AA27" i="1124"/>
  <c r="AN27" i="1124"/>
  <c r="AH23" i="1124"/>
  <c r="AD23" i="1124"/>
  <c r="AL23" i="1124" s="1"/>
  <c r="AC23" i="1124"/>
  <c r="AB23" i="1124"/>
  <c r="AA23" i="1124"/>
  <c r="AN23" i="1124"/>
  <c r="AO23" i="1124"/>
  <c r="AH22" i="1124"/>
  <c r="AD22" i="1124"/>
  <c r="AC22" i="1124"/>
  <c r="AB22" i="1124"/>
  <c r="AA22" i="1124"/>
  <c r="AM22" i="1124"/>
  <c r="AH21" i="1124"/>
  <c r="AD21" i="1124"/>
  <c r="AC21" i="1124"/>
  <c r="AB21" i="1124"/>
  <c r="AA21" i="1124"/>
  <c r="AN21" i="1124"/>
  <c r="AO21" i="1124"/>
  <c r="AH20" i="1124"/>
  <c r="AD20" i="1124"/>
  <c r="AC20" i="1124"/>
  <c r="AB20" i="1124"/>
  <c r="AA20" i="1124"/>
  <c r="AN20" i="1124"/>
  <c r="AO20" i="1124"/>
  <c r="AJ20" i="1124"/>
  <c r="I20" i="1124"/>
  <c r="H20" i="1124"/>
  <c r="G20" i="1124"/>
  <c r="C20" i="1124"/>
  <c r="AH14" i="1124"/>
  <c r="AD14" i="1124"/>
  <c r="AC14" i="1124"/>
  <c r="AB14" i="1124"/>
  <c r="AA14" i="1124"/>
  <c r="AH4" i="1124"/>
  <c r="AG4" i="1124"/>
  <c r="AF4" i="1124"/>
  <c r="AE4" i="1124"/>
  <c r="AD4" i="1124"/>
  <c r="AC4" i="1124"/>
  <c r="AB4" i="1124"/>
  <c r="AA4" i="1124"/>
  <c r="AL32" i="1124" l="1"/>
  <c r="AP27" i="1124"/>
  <c r="AK28" i="1124"/>
  <c r="AJ51" i="1124"/>
  <c r="AI21" i="1124"/>
  <c r="AP50" i="1124"/>
  <c r="AI27" i="1124"/>
  <c r="AL22" i="1124"/>
  <c r="AI23" i="1124"/>
  <c r="AJ23" i="1124"/>
  <c r="AL27" i="1124"/>
  <c r="AI50" i="1124"/>
  <c r="AP23" i="1124"/>
  <c r="AP20" i="1124"/>
  <c r="AJ21" i="1124"/>
  <c r="AJ27" i="1124"/>
  <c r="AP36" i="1124"/>
  <c r="AP51" i="1124"/>
  <c r="AL28" i="1124"/>
  <c r="AL45" i="1124"/>
  <c r="AK51" i="1124"/>
  <c r="AK20" i="1124"/>
  <c r="AL20" i="1124"/>
  <c r="AP22" i="1124"/>
  <c r="AJ50" i="1124"/>
  <c r="AL21" i="1124"/>
  <c r="AP21" i="1124"/>
  <c r="AI36" i="1124"/>
  <c r="AK23" i="1124"/>
  <c r="Z20" i="1124"/>
  <c r="AJ22" i="1124"/>
  <c r="AK32" i="1124"/>
  <c r="W44" i="1124"/>
  <c r="AP45" i="1124"/>
  <c r="AJ45" i="1124"/>
  <c r="AK45" i="1124"/>
  <c r="AJ32" i="1124"/>
  <c r="AM51" i="1124"/>
  <c r="AN51" i="1124"/>
  <c r="AN22" i="1124"/>
  <c r="AI28" i="1124"/>
  <c r="AJ36" i="1124"/>
  <c r="AI20" i="1124"/>
  <c r="AK21" i="1124"/>
  <c r="AM23" i="1124"/>
  <c r="AK36" i="1124"/>
  <c r="AI22" i="1124"/>
  <c r="AO22" i="1124"/>
  <c r="AM27" i="1124"/>
  <c r="AJ28" i="1124"/>
  <c r="AP32" i="1124"/>
  <c r="AL36" i="1124"/>
  <c r="AI32" i="1124"/>
  <c r="AK22" i="1124"/>
  <c r="AM32" i="1124"/>
  <c r="AM36" i="1124"/>
  <c r="AM50" i="1124"/>
  <c r="AN50" i="1124"/>
  <c r="AP28" i="1124"/>
  <c r="U44" i="1124"/>
  <c r="Z44" i="1124"/>
  <c r="AP44" i="1124"/>
  <c r="AO45" i="1124"/>
  <c r="AI51" i="1124"/>
  <c r="AL44" i="1124"/>
  <c r="Y44" i="1124"/>
  <c r="AL51" i="1124"/>
  <c r="T44" i="1124"/>
  <c r="AI44" i="1124"/>
  <c r="AL50" i="1124"/>
  <c r="AJ44" i="1124"/>
  <c r="S20" i="1124"/>
  <c r="V20" i="1124"/>
  <c r="X20" i="1124"/>
  <c r="T20" i="1124"/>
  <c r="U20" i="1124"/>
  <c r="W20" i="1124"/>
  <c r="Y20" i="1124"/>
  <c r="AM20" i="1124"/>
  <c r="AO27" i="1124"/>
  <c r="AC64" i="1124"/>
  <c r="AK27" i="1124"/>
  <c r="AN28" i="1124"/>
  <c r="AM28" i="1124"/>
  <c r="AH65" i="1124"/>
  <c r="AH64" i="1124"/>
  <c r="AH67" i="1124"/>
  <c r="AM21" i="1124"/>
  <c r="AK50" i="1124"/>
  <c r="X44" i="1124"/>
  <c r="AK44" i="1124"/>
  <c r="AD67" i="1124"/>
  <c r="S44" i="1124"/>
  <c r="AM44" i="1124"/>
  <c r="AH66" i="1124"/>
  <c r="AA66" i="1124"/>
  <c r="V44" i="1124"/>
  <c r="AI45" i="1124"/>
  <c r="AM45" i="1124"/>
  <c r="AD63" i="1124"/>
  <c r="AC67" i="1124"/>
  <c r="AB65" i="1124"/>
  <c r="AH63" i="1124"/>
  <c r="AC68" i="1124"/>
  <c r="AA63" i="1124"/>
  <c r="AD68" i="1124"/>
  <c r="AB63" i="1124"/>
  <c r="AA64" i="1124"/>
  <c r="AB64" i="1124"/>
  <c r="AD64" i="1124"/>
  <c r="AB66" i="1124"/>
  <c r="AH68" i="1124"/>
  <c r="AC66" i="1124"/>
  <c r="AA68" i="1124"/>
  <c r="AC63" i="1124"/>
  <c r="AA65" i="1124"/>
  <c r="AD66" i="1124"/>
  <c r="AB68" i="1124"/>
  <c r="AC65" i="1124"/>
  <c r="AA67" i="1124"/>
  <c r="AD65" i="1124"/>
  <c r="AB67" i="1124"/>
  <c r="J20" i="1123"/>
  <c r="I20" i="1123"/>
  <c r="H20" i="1123"/>
  <c r="J19" i="1123"/>
  <c r="I19" i="1123"/>
  <c r="H19" i="1123"/>
  <c r="J18" i="1123"/>
  <c r="I18" i="1123"/>
  <c r="H18" i="1123"/>
  <c r="H24" i="1123" l="1"/>
  <c r="I25" i="1123"/>
  <c r="J25" i="1123"/>
  <c r="I23" i="1123"/>
  <c r="H23" i="1123"/>
  <c r="I24" i="1123"/>
  <c r="J24" i="1123"/>
  <c r="J23" i="1123"/>
  <c r="H25" i="1123"/>
  <c r="V11" i="10"/>
  <c r="G17" i="1106" l="1"/>
  <c r="C18" i="1106"/>
  <c r="C19" i="1106" l="1"/>
  <c r="C20" i="1106" l="1"/>
  <c r="C21" i="1106" s="1"/>
  <c r="C22" i="1106" l="1"/>
  <c r="C23" i="1106" l="1"/>
  <c r="C24" i="1106" l="1"/>
  <c r="C25" i="1106" l="1"/>
  <c r="C26" i="1106" l="1"/>
  <c r="T33" i="1106" l="1"/>
  <c r="T34" i="1106" s="1"/>
  <c r="T35" i="1106" s="1"/>
  <c r="T36" i="1106" s="1"/>
  <c r="T37" i="1106" s="1"/>
  <c r="T38" i="1106" s="1"/>
  <c r="T39" i="1106" s="1"/>
  <c r="T40" i="1106" s="1"/>
  <c r="T41" i="1106" s="1"/>
  <c r="S33" i="1106"/>
  <c r="S34" i="1106" s="1"/>
  <c r="S35" i="1106" s="1"/>
  <c r="S36" i="1106" s="1"/>
  <c r="S37" i="1106" s="1"/>
  <c r="S38" i="1106" s="1"/>
  <c r="S39" i="1106" s="1"/>
  <c r="S40" i="1106" s="1"/>
  <c r="S41" i="1106" s="1"/>
  <c r="R33" i="1106"/>
  <c r="R34" i="1106" s="1"/>
  <c r="R35" i="1106" s="1"/>
  <c r="R36" i="1106" s="1"/>
  <c r="R37" i="1106" s="1"/>
  <c r="R38" i="1106" s="1"/>
  <c r="R39" i="1106" s="1"/>
  <c r="R40" i="1106" s="1"/>
  <c r="R41" i="1106" s="1"/>
  <c r="Q33" i="1106"/>
  <c r="Q34" i="1106" s="1"/>
  <c r="B33" i="1106"/>
  <c r="B34" i="1106" s="1"/>
  <c r="J32" i="1106"/>
  <c r="I32" i="1106"/>
  <c r="H32" i="1106"/>
  <c r="F32" i="1106"/>
  <c r="C32" i="1106"/>
  <c r="P32" i="1106" l="1"/>
  <c r="B35" i="1106"/>
  <c r="Q35" i="1106"/>
  <c r="Q36" i="1106" l="1"/>
  <c r="B36" i="1106"/>
  <c r="B37" i="1106" l="1"/>
  <c r="Q37" i="1106"/>
  <c r="Q38" i="1106" l="1"/>
  <c r="B38" i="1106"/>
  <c r="B39" i="1106" l="1"/>
  <c r="Q39" i="1106"/>
  <c r="Q40" i="1106" l="1"/>
  <c r="B40" i="1106"/>
  <c r="Q41" i="1106" l="1"/>
  <c r="B41" i="1106"/>
  <c r="D42" i="1122" l="1"/>
  <c r="B31" i="1122"/>
  <c r="I30" i="1122"/>
  <c r="H30" i="1122"/>
  <c r="G30" i="1122"/>
  <c r="C30" i="1122"/>
  <c r="B17" i="1122"/>
  <c r="I16" i="1122"/>
  <c r="H16" i="1122"/>
  <c r="G16" i="1122"/>
  <c r="C16" i="1122"/>
  <c r="R7" i="1122"/>
  <c r="B31" i="1121"/>
  <c r="I30" i="1121"/>
  <c r="H30" i="1121"/>
  <c r="G30" i="1121"/>
  <c r="C30" i="1121"/>
  <c r="C12" i="140"/>
  <c r="L12" i="140" s="1"/>
  <c r="X21" i="10"/>
  <c r="C13" i="140"/>
  <c r="R7" i="1121"/>
  <c r="D42" i="1121"/>
  <c r="B17" i="1121"/>
  <c r="B18" i="1121" s="1"/>
  <c r="I16" i="1121"/>
  <c r="H16" i="1121"/>
  <c r="G16" i="1121"/>
  <c r="C16" i="1121"/>
  <c r="B32" i="1122" l="1"/>
  <c r="B33" i="1122" s="1"/>
  <c r="B18" i="1122"/>
  <c r="B32" i="1121"/>
  <c r="B19" i="1121"/>
  <c r="B20" i="1121" s="1"/>
  <c r="E54" i="1120"/>
  <c r="E53" i="1120"/>
  <c r="E52" i="1120"/>
  <c r="E75" i="1120"/>
  <c r="E74" i="1120"/>
  <c r="E73" i="1120"/>
  <c r="E72" i="1120"/>
  <c r="E71" i="1120"/>
  <c r="E70" i="1120"/>
  <c r="E69" i="1120"/>
  <c r="E68" i="1120"/>
  <c r="E67" i="1120"/>
  <c r="E66" i="1120"/>
  <c r="E65" i="1120"/>
  <c r="E64" i="1120"/>
  <c r="E63" i="1120"/>
  <c r="E62" i="1120"/>
  <c r="C56" i="1120"/>
  <c r="P55" i="1120"/>
  <c r="P54" i="1120"/>
  <c r="S8" i="1120"/>
  <c r="U8" i="1120" s="1"/>
  <c r="C28" i="1120"/>
  <c r="E35" i="1120"/>
  <c r="E36" i="1120"/>
  <c r="E37" i="1120"/>
  <c r="E38" i="1120"/>
  <c r="E39" i="1120"/>
  <c r="E40" i="1120"/>
  <c r="E41" i="1120"/>
  <c r="E42" i="1120"/>
  <c r="E43" i="1120"/>
  <c r="E44" i="1120"/>
  <c r="E45" i="1120"/>
  <c r="E46" i="1120"/>
  <c r="E47" i="1120"/>
  <c r="E34" i="1120"/>
  <c r="P27" i="1120"/>
  <c r="P26" i="1120"/>
  <c r="E24" i="1120"/>
  <c r="E26" i="1120"/>
  <c r="E25" i="1120"/>
  <c r="V9" i="1120"/>
  <c r="V10" i="1120"/>
  <c r="V11" i="1120"/>
  <c r="V12" i="1120"/>
  <c r="V13" i="1120"/>
  <c r="V14" i="1120"/>
  <c r="V15" i="1120"/>
  <c r="V16" i="1120"/>
  <c r="V17" i="1120"/>
  <c r="V18" i="1120"/>
  <c r="V8" i="1120"/>
  <c r="S9" i="1120"/>
  <c r="U9" i="1120" s="1"/>
  <c r="S10" i="1120"/>
  <c r="U10" i="1120" s="1"/>
  <c r="S11" i="1120"/>
  <c r="U11" i="1120" s="1"/>
  <c r="S12" i="1120"/>
  <c r="U12" i="1120" s="1"/>
  <c r="S13" i="1120"/>
  <c r="U13" i="1120" s="1"/>
  <c r="S14" i="1120"/>
  <c r="U14" i="1120" s="1"/>
  <c r="S15" i="1120"/>
  <c r="U15" i="1120" s="1"/>
  <c r="S16" i="1120"/>
  <c r="U16" i="1120" s="1"/>
  <c r="S17" i="1120"/>
  <c r="U17" i="1120" s="1"/>
  <c r="S18" i="1120"/>
  <c r="U18" i="1120" s="1"/>
  <c r="R18" i="1120"/>
  <c r="R17" i="1120"/>
  <c r="R16" i="1120"/>
  <c r="R15" i="1120"/>
  <c r="R14" i="1120"/>
  <c r="R13" i="1120"/>
  <c r="R12" i="1120"/>
  <c r="R11" i="1120"/>
  <c r="R10" i="1120"/>
  <c r="R9" i="1120"/>
  <c r="R8" i="1120"/>
  <c r="B21" i="1121" l="1"/>
  <c r="B34" i="1122"/>
  <c r="B19" i="1122"/>
  <c r="B33" i="1121"/>
  <c r="F63" i="1120"/>
  <c r="C62" i="1120"/>
  <c r="C72" i="1120"/>
  <c r="C68" i="1120"/>
  <c r="C64" i="1120"/>
  <c r="F74" i="1120"/>
  <c r="F70" i="1120"/>
  <c r="F66" i="1120"/>
  <c r="C75" i="1120"/>
  <c r="C71" i="1120"/>
  <c r="C67" i="1120"/>
  <c r="C63" i="1120"/>
  <c r="F73" i="1120"/>
  <c r="F69" i="1120"/>
  <c r="F65" i="1120"/>
  <c r="C74" i="1120"/>
  <c r="C70" i="1120"/>
  <c r="C66" i="1120"/>
  <c r="F62" i="1120"/>
  <c r="F72" i="1120"/>
  <c r="F68" i="1120"/>
  <c r="F64" i="1120"/>
  <c r="C73" i="1120"/>
  <c r="C69" i="1120"/>
  <c r="C65" i="1120"/>
  <c r="F75" i="1120"/>
  <c r="F71" i="1120"/>
  <c r="F67" i="1120"/>
  <c r="F39" i="1120"/>
  <c r="C45" i="1120"/>
  <c r="C41" i="1120"/>
  <c r="C37" i="1120"/>
  <c r="F47" i="1120"/>
  <c r="F43" i="1120"/>
  <c r="F35" i="1120"/>
  <c r="C34" i="1120"/>
  <c r="C44" i="1120"/>
  <c r="C40" i="1120"/>
  <c r="C36" i="1120"/>
  <c r="F46" i="1120"/>
  <c r="F42" i="1120"/>
  <c r="F38" i="1120"/>
  <c r="C47" i="1120"/>
  <c r="C43" i="1120"/>
  <c r="C39" i="1120"/>
  <c r="C35" i="1120"/>
  <c r="F45" i="1120"/>
  <c r="F41" i="1120"/>
  <c r="F37" i="1120"/>
  <c r="C46" i="1120"/>
  <c r="C42" i="1120"/>
  <c r="C38" i="1120"/>
  <c r="F34" i="1120"/>
  <c r="F44" i="1120"/>
  <c r="F40" i="1120"/>
  <c r="F36" i="1120"/>
  <c r="H23" i="280"/>
  <c r="B22" i="1121" l="1"/>
  <c r="B20" i="1122"/>
  <c r="B34" i="1121"/>
  <c r="M23" i="280"/>
  <c r="B23" i="1121" l="1"/>
  <c r="B21" i="1122"/>
  <c r="L33" i="280"/>
  <c r="J32" i="280"/>
  <c r="H31" i="280"/>
  <c r="L30" i="280"/>
  <c r="J29" i="280"/>
  <c r="H28" i="280"/>
  <c r="L27" i="280"/>
  <c r="J26" i="280"/>
  <c r="H25" i="280"/>
  <c r="H24" i="280"/>
  <c r="L22" i="280"/>
  <c r="J21" i="280"/>
  <c r="H20" i="280"/>
  <c r="H19" i="280"/>
  <c r="H18" i="280"/>
  <c r="B24" i="1121" l="1"/>
  <c r="B22" i="1122"/>
  <c r="M54" i="1119"/>
  <c r="AC40" i="1119"/>
  <c r="AB40" i="1119"/>
  <c r="AC36" i="1119"/>
  <c r="AB36" i="1119"/>
  <c r="N35" i="1119"/>
  <c r="M35" i="1119"/>
  <c r="Q33" i="1119"/>
  <c r="P33" i="1119"/>
  <c r="O33" i="1119"/>
  <c r="N33" i="1119"/>
  <c r="M33" i="1119"/>
  <c r="AC32" i="1119"/>
  <c r="AB32" i="1119"/>
  <c r="P31" i="1119"/>
  <c r="AE31" i="1119" s="1"/>
  <c r="O31" i="1119"/>
  <c r="N31" i="1119"/>
  <c r="AD31" i="1119" s="1"/>
  <c r="M31" i="1119"/>
  <c r="H26" i="1119"/>
  <c r="H20" i="1119"/>
  <c r="G20" i="1119"/>
  <c r="F20" i="1119"/>
  <c r="B13" i="1119"/>
  <c r="B14" i="1119" s="1"/>
  <c r="B15" i="1119" s="1"/>
  <c r="B16" i="1119" s="1"/>
  <c r="B17" i="1119" s="1"/>
  <c r="B18" i="1119" s="1"/>
  <c r="B19" i="1119" s="1"/>
  <c r="B20" i="1119" s="1"/>
  <c r="B21" i="1119" s="1"/>
  <c r="B22" i="1119" s="1"/>
  <c r="B23" i="1119" s="1"/>
  <c r="B24" i="1119" s="1"/>
  <c r="B25" i="1119" s="1"/>
  <c r="B26" i="1119" s="1"/>
  <c r="B27" i="1119" s="1"/>
  <c r="B28" i="1119" s="1"/>
  <c r="B29" i="1119" s="1"/>
  <c r="B30" i="1119" s="1"/>
  <c r="B31" i="1119" s="1"/>
  <c r="B32" i="1119" s="1"/>
  <c r="B33" i="1119" s="1"/>
  <c r="B34" i="1119" s="1"/>
  <c r="B35" i="1119" s="1"/>
  <c r="B36" i="1119" s="1"/>
  <c r="B37" i="1119" s="1"/>
  <c r="B38" i="1119" s="1"/>
  <c r="B39" i="1119" s="1"/>
  <c r="B42" i="1119" s="1"/>
  <c r="B43" i="1119" s="1"/>
  <c r="B44" i="1119" s="1"/>
  <c r="B45" i="1119" s="1"/>
  <c r="B46" i="1119" s="1"/>
  <c r="B47" i="1119" s="1"/>
  <c r="B48" i="1119" s="1"/>
  <c r="B49" i="1119" s="1"/>
  <c r="B50" i="1119" s="1"/>
  <c r="B51" i="1119" s="1"/>
  <c r="B52" i="1119" s="1"/>
  <c r="B53" i="1119" s="1"/>
  <c r="B54" i="1119" s="1"/>
  <c r="B55" i="1119" s="1"/>
  <c r="B56" i="1119" s="1"/>
  <c r="B57" i="1119" s="1"/>
  <c r="B58" i="1119" s="1"/>
  <c r="A13" i="1119"/>
  <c r="A14" i="1119" s="1"/>
  <c r="A15" i="1119" s="1"/>
  <c r="A16" i="1119" s="1"/>
  <c r="A17" i="1119" s="1"/>
  <c r="A18" i="1119" s="1"/>
  <c r="A19" i="1119" s="1"/>
  <c r="A20" i="1119" s="1"/>
  <c r="A21" i="1119" s="1"/>
  <c r="A22" i="1119" s="1"/>
  <c r="A23" i="1119" s="1"/>
  <c r="A24" i="1119" s="1"/>
  <c r="A25" i="1119" s="1"/>
  <c r="A26" i="1119" s="1"/>
  <c r="A27" i="1119" s="1"/>
  <c r="A28" i="1119" s="1"/>
  <c r="A29" i="1119" s="1"/>
  <c r="A30" i="1119" s="1"/>
  <c r="A31" i="1119" s="1"/>
  <c r="A32" i="1119" s="1"/>
  <c r="A33" i="1119" s="1"/>
  <c r="A34" i="1119" s="1"/>
  <c r="A35" i="1119" s="1"/>
  <c r="A36" i="1119" s="1"/>
  <c r="A37" i="1119" s="1"/>
  <c r="A38" i="1119" s="1"/>
  <c r="A39" i="1119" s="1"/>
  <c r="A42" i="1119" s="1"/>
  <c r="A43" i="1119" s="1"/>
  <c r="A44" i="1119" s="1"/>
  <c r="A45" i="1119" s="1"/>
  <c r="A46" i="1119" s="1"/>
  <c r="A47" i="1119" s="1"/>
  <c r="A48" i="1119" s="1"/>
  <c r="A49" i="1119" s="1"/>
  <c r="A50" i="1119" s="1"/>
  <c r="A51" i="1119" s="1"/>
  <c r="A52" i="1119" s="1"/>
  <c r="A53" i="1119" s="1"/>
  <c r="A54" i="1119" s="1"/>
  <c r="A55" i="1119" s="1"/>
  <c r="A56" i="1119" s="1"/>
  <c r="A57" i="1119" s="1"/>
  <c r="A58" i="1119" s="1"/>
  <c r="A1" i="1119"/>
  <c r="A2" i="1119" s="1"/>
  <c r="M54" i="1118"/>
  <c r="AC40" i="1118"/>
  <c r="AC41" i="1118" s="1"/>
  <c r="AB40" i="1118"/>
  <c r="AC36" i="1118"/>
  <c r="AB36" i="1118"/>
  <c r="N35" i="1118"/>
  <c r="M35" i="1118"/>
  <c r="Q33" i="1118"/>
  <c r="P33" i="1118"/>
  <c r="O33" i="1118"/>
  <c r="N33" i="1118"/>
  <c r="M33" i="1118"/>
  <c r="AC32" i="1118"/>
  <c r="AC33" i="1118" s="1"/>
  <c r="AB32" i="1118"/>
  <c r="P31" i="1118"/>
  <c r="AE31" i="1118" s="1"/>
  <c r="O31" i="1118"/>
  <c r="N31" i="1118"/>
  <c r="AD31" i="1118" s="1"/>
  <c r="M31" i="1118"/>
  <c r="H26" i="1118"/>
  <c r="I20" i="1118"/>
  <c r="H20" i="1118"/>
  <c r="G20" i="1118"/>
  <c r="F20" i="1118"/>
  <c r="D20" i="1118"/>
  <c r="B13" i="1118"/>
  <c r="B14" i="1118" s="1"/>
  <c r="B15" i="1118" s="1"/>
  <c r="B16" i="1118" s="1"/>
  <c r="B17" i="1118" s="1"/>
  <c r="B18" i="1118" s="1"/>
  <c r="B19" i="1118" s="1"/>
  <c r="B20" i="1118" s="1"/>
  <c r="B21" i="1118" s="1"/>
  <c r="B22" i="1118" s="1"/>
  <c r="B23" i="1118" s="1"/>
  <c r="B24" i="1118" s="1"/>
  <c r="B25" i="1118" s="1"/>
  <c r="B26" i="1118" s="1"/>
  <c r="B27" i="1118" s="1"/>
  <c r="B28" i="1118" s="1"/>
  <c r="B29" i="1118" s="1"/>
  <c r="B30" i="1118" s="1"/>
  <c r="B31" i="1118" s="1"/>
  <c r="B32" i="1118" s="1"/>
  <c r="B33" i="1118" s="1"/>
  <c r="B34" i="1118" s="1"/>
  <c r="B35" i="1118" s="1"/>
  <c r="B36" i="1118" s="1"/>
  <c r="B37" i="1118" s="1"/>
  <c r="B38" i="1118" s="1"/>
  <c r="B39" i="1118" s="1"/>
  <c r="B42" i="1118" s="1"/>
  <c r="B43" i="1118" s="1"/>
  <c r="B44" i="1118" s="1"/>
  <c r="B45" i="1118" s="1"/>
  <c r="B46" i="1118" s="1"/>
  <c r="B47" i="1118" s="1"/>
  <c r="B48" i="1118" s="1"/>
  <c r="B49" i="1118" s="1"/>
  <c r="B50" i="1118" s="1"/>
  <c r="B51" i="1118" s="1"/>
  <c r="B52" i="1118" s="1"/>
  <c r="B53" i="1118" s="1"/>
  <c r="B54" i="1118" s="1"/>
  <c r="B55" i="1118" s="1"/>
  <c r="B56" i="1118" s="1"/>
  <c r="B57" i="1118" s="1"/>
  <c r="B58" i="1118" s="1"/>
  <c r="A13" i="1118"/>
  <c r="A14" i="1118" s="1"/>
  <c r="A15" i="1118" s="1"/>
  <c r="A16" i="1118" s="1"/>
  <c r="A17" i="1118" s="1"/>
  <c r="A18" i="1118" s="1"/>
  <c r="A19" i="1118" s="1"/>
  <c r="A20" i="1118" s="1"/>
  <c r="A21" i="1118" s="1"/>
  <c r="A22" i="1118" s="1"/>
  <c r="A23" i="1118" s="1"/>
  <c r="A24" i="1118" s="1"/>
  <c r="A25" i="1118" s="1"/>
  <c r="A26" i="1118" s="1"/>
  <c r="A27" i="1118" s="1"/>
  <c r="A28" i="1118" s="1"/>
  <c r="A29" i="1118" s="1"/>
  <c r="A30" i="1118" s="1"/>
  <c r="A31" i="1118" s="1"/>
  <c r="A32" i="1118" s="1"/>
  <c r="A33" i="1118" s="1"/>
  <c r="A34" i="1118" s="1"/>
  <c r="A35" i="1118" s="1"/>
  <c r="A36" i="1118" s="1"/>
  <c r="A37" i="1118" s="1"/>
  <c r="A38" i="1118" s="1"/>
  <c r="A39" i="1118" s="1"/>
  <c r="A42" i="1118" s="1"/>
  <c r="A43" i="1118" s="1"/>
  <c r="A44" i="1118" s="1"/>
  <c r="A45" i="1118" s="1"/>
  <c r="A46" i="1118" s="1"/>
  <c r="A47" i="1118" s="1"/>
  <c r="A48" i="1118" s="1"/>
  <c r="A49" i="1118" s="1"/>
  <c r="A50" i="1118" s="1"/>
  <c r="A51" i="1118" s="1"/>
  <c r="A52" i="1118" s="1"/>
  <c r="A53" i="1118" s="1"/>
  <c r="A54" i="1118" s="1"/>
  <c r="A55" i="1118" s="1"/>
  <c r="A56" i="1118" s="1"/>
  <c r="A57" i="1118" s="1"/>
  <c r="A58" i="1118" s="1"/>
  <c r="A1" i="1118"/>
  <c r="A2" i="1118" s="1"/>
  <c r="M54" i="1117"/>
  <c r="AC40" i="1117"/>
  <c r="AB40" i="1117"/>
  <c r="AB41" i="1117" s="1"/>
  <c r="AC36" i="1117"/>
  <c r="AC37" i="1117" s="1"/>
  <c r="AB36" i="1117"/>
  <c r="AB37" i="1117" s="1"/>
  <c r="N35" i="1117"/>
  <c r="M35" i="1117"/>
  <c r="Q33" i="1117"/>
  <c r="P33" i="1117"/>
  <c r="O33" i="1117"/>
  <c r="N33" i="1117"/>
  <c r="M33" i="1117"/>
  <c r="AC32" i="1117"/>
  <c r="AB32" i="1117"/>
  <c r="P31" i="1117"/>
  <c r="AE31" i="1117" s="1"/>
  <c r="O31" i="1117"/>
  <c r="N31" i="1117"/>
  <c r="M31" i="1117"/>
  <c r="H26" i="1117"/>
  <c r="H20" i="1117"/>
  <c r="G20" i="1117"/>
  <c r="F20" i="1117"/>
  <c r="B13" i="1117"/>
  <c r="B14" i="1117" s="1"/>
  <c r="B15" i="1117" s="1"/>
  <c r="B16" i="1117" s="1"/>
  <c r="B17" i="1117" s="1"/>
  <c r="B18" i="1117" s="1"/>
  <c r="B19" i="1117" s="1"/>
  <c r="B20" i="1117" s="1"/>
  <c r="B21" i="1117" s="1"/>
  <c r="B22" i="1117" s="1"/>
  <c r="B23" i="1117" s="1"/>
  <c r="B24" i="1117" s="1"/>
  <c r="B25" i="1117" s="1"/>
  <c r="B26" i="1117" s="1"/>
  <c r="B27" i="1117" s="1"/>
  <c r="B28" i="1117" s="1"/>
  <c r="B29" i="1117" s="1"/>
  <c r="B30" i="1117" s="1"/>
  <c r="B31" i="1117" s="1"/>
  <c r="B32" i="1117" s="1"/>
  <c r="B33" i="1117" s="1"/>
  <c r="B34" i="1117" s="1"/>
  <c r="B35" i="1117" s="1"/>
  <c r="B36" i="1117" s="1"/>
  <c r="B37" i="1117" s="1"/>
  <c r="B38" i="1117" s="1"/>
  <c r="B39" i="1117" s="1"/>
  <c r="B42" i="1117" s="1"/>
  <c r="B43" i="1117" s="1"/>
  <c r="B44" i="1117" s="1"/>
  <c r="B45" i="1117" s="1"/>
  <c r="B46" i="1117" s="1"/>
  <c r="B47" i="1117" s="1"/>
  <c r="B48" i="1117" s="1"/>
  <c r="B49" i="1117" s="1"/>
  <c r="B50" i="1117" s="1"/>
  <c r="B51" i="1117" s="1"/>
  <c r="B52" i="1117" s="1"/>
  <c r="B53" i="1117" s="1"/>
  <c r="B54" i="1117" s="1"/>
  <c r="B55" i="1117" s="1"/>
  <c r="B56" i="1117" s="1"/>
  <c r="B57" i="1117" s="1"/>
  <c r="B58" i="1117" s="1"/>
  <c r="A13" i="1117"/>
  <c r="A14" i="1117" s="1"/>
  <c r="A15" i="1117" s="1"/>
  <c r="A16" i="1117" s="1"/>
  <c r="A17" i="1117" s="1"/>
  <c r="A18" i="1117" s="1"/>
  <c r="A19" i="1117" s="1"/>
  <c r="A20" i="1117" s="1"/>
  <c r="A21" i="1117" s="1"/>
  <c r="A22" i="1117" s="1"/>
  <c r="A23" i="1117" s="1"/>
  <c r="A24" i="1117" s="1"/>
  <c r="A25" i="1117" s="1"/>
  <c r="A26" i="1117" s="1"/>
  <c r="A27" i="1117" s="1"/>
  <c r="A28" i="1117" s="1"/>
  <c r="A29" i="1117" s="1"/>
  <c r="A30" i="1117" s="1"/>
  <c r="A31" i="1117" s="1"/>
  <c r="A32" i="1117" s="1"/>
  <c r="A33" i="1117" s="1"/>
  <c r="A34" i="1117" s="1"/>
  <c r="A35" i="1117" s="1"/>
  <c r="A36" i="1117" s="1"/>
  <c r="A37" i="1117" s="1"/>
  <c r="A38" i="1117" s="1"/>
  <c r="A39" i="1117" s="1"/>
  <c r="A42" i="1117" s="1"/>
  <c r="A43" i="1117" s="1"/>
  <c r="A44" i="1117" s="1"/>
  <c r="A45" i="1117" s="1"/>
  <c r="A46" i="1117" s="1"/>
  <c r="A47" i="1117" s="1"/>
  <c r="A48" i="1117" s="1"/>
  <c r="A49" i="1117" s="1"/>
  <c r="A50" i="1117" s="1"/>
  <c r="A51" i="1117" s="1"/>
  <c r="A52" i="1117" s="1"/>
  <c r="A53" i="1117" s="1"/>
  <c r="A54" i="1117" s="1"/>
  <c r="A55" i="1117" s="1"/>
  <c r="A56" i="1117" s="1"/>
  <c r="A57" i="1117" s="1"/>
  <c r="A58" i="1117" s="1"/>
  <c r="A1" i="1117"/>
  <c r="A2" i="1117" s="1"/>
  <c r="M54" i="1116"/>
  <c r="AC40" i="1116"/>
  <c r="AC41" i="1116" s="1"/>
  <c r="AB40" i="1116"/>
  <c r="AC36" i="1116"/>
  <c r="AC37" i="1116" s="1"/>
  <c r="AB36" i="1116"/>
  <c r="AB37" i="1116" s="1"/>
  <c r="N35" i="1116"/>
  <c r="M35" i="1116"/>
  <c r="Q33" i="1116"/>
  <c r="P33" i="1116"/>
  <c r="O33" i="1116"/>
  <c r="N33" i="1116"/>
  <c r="M33" i="1116"/>
  <c r="AC32" i="1116"/>
  <c r="AC33" i="1116" s="1"/>
  <c r="AB32" i="1116"/>
  <c r="P31" i="1116"/>
  <c r="AE31" i="1116" s="1"/>
  <c r="O31" i="1116"/>
  <c r="N31" i="1116"/>
  <c r="M31" i="1116"/>
  <c r="H26" i="1116"/>
  <c r="H20" i="1116"/>
  <c r="G20" i="1116"/>
  <c r="F20" i="1116"/>
  <c r="B13" i="1116"/>
  <c r="B14" i="1116" s="1"/>
  <c r="B15" i="1116" s="1"/>
  <c r="B16" i="1116" s="1"/>
  <c r="B17" i="1116" s="1"/>
  <c r="B18" i="1116" s="1"/>
  <c r="B19" i="1116" s="1"/>
  <c r="B20" i="1116" s="1"/>
  <c r="B21" i="1116" s="1"/>
  <c r="B22" i="1116" s="1"/>
  <c r="B23" i="1116" s="1"/>
  <c r="B24" i="1116" s="1"/>
  <c r="B25" i="1116" s="1"/>
  <c r="B26" i="1116" s="1"/>
  <c r="B27" i="1116" s="1"/>
  <c r="B28" i="1116" s="1"/>
  <c r="B29" i="1116" s="1"/>
  <c r="B30" i="1116" s="1"/>
  <c r="B31" i="1116" s="1"/>
  <c r="B32" i="1116" s="1"/>
  <c r="B33" i="1116" s="1"/>
  <c r="B34" i="1116" s="1"/>
  <c r="B35" i="1116" s="1"/>
  <c r="B36" i="1116" s="1"/>
  <c r="B37" i="1116" s="1"/>
  <c r="B38" i="1116" s="1"/>
  <c r="B39" i="1116" s="1"/>
  <c r="B42" i="1116" s="1"/>
  <c r="B43" i="1116" s="1"/>
  <c r="B44" i="1116" s="1"/>
  <c r="B45" i="1116" s="1"/>
  <c r="B46" i="1116" s="1"/>
  <c r="B47" i="1116" s="1"/>
  <c r="B48" i="1116" s="1"/>
  <c r="B49" i="1116" s="1"/>
  <c r="B50" i="1116" s="1"/>
  <c r="B51" i="1116" s="1"/>
  <c r="B52" i="1116" s="1"/>
  <c r="B53" i="1116" s="1"/>
  <c r="B54" i="1116" s="1"/>
  <c r="B55" i="1116" s="1"/>
  <c r="B56" i="1116" s="1"/>
  <c r="B57" i="1116" s="1"/>
  <c r="B58" i="1116" s="1"/>
  <c r="A13" i="1116"/>
  <c r="A14" i="1116" s="1"/>
  <c r="A15" i="1116" s="1"/>
  <c r="A16" i="1116" s="1"/>
  <c r="A17" i="1116" s="1"/>
  <c r="A18" i="1116" s="1"/>
  <c r="A19" i="1116" s="1"/>
  <c r="A20" i="1116" s="1"/>
  <c r="A21" i="1116" s="1"/>
  <c r="A22" i="1116" s="1"/>
  <c r="A23" i="1116" s="1"/>
  <c r="A24" i="1116" s="1"/>
  <c r="A25" i="1116" s="1"/>
  <c r="A26" i="1116" s="1"/>
  <c r="A27" i="1116" s="1"/>
  <c r="A28" i="1116" s="1"/>
  <c r="A29" i="1116" s="1"/>
  <c r="A30" i="1116" s="1"/>
  <c r="A31" i="1116" s="1"/>
  <c r="A32" i="1116" s="1"/>
  <c r="A33" i="1116" s="1"/>
  <c r="A34" i="1116" s="1"/>
  <c r="A35" i="1116" s="1"/>
  <c r="A36" i="1116" s="1"/>
  <c r="A37" i="1116" s="1"/>
  <c r="A38" i="1116" s="1"/>
  <c r="A39" i="1116" s="1"/>
  <c r="A42" i="1116" s="1"/>
  <c r="A43" i="1116" s="1"/>
  <c r="A44" i="1116" s="1"/>
  <c r="A45" i="1116" s="1"/>
  <c r="A46" i="1116" s="1"/>
  <c r="A47" i="1116" s="1"/>
  <c r="A48" i="1116" s="1"/>
  <c r="A49" i="1116" s="1"/>
  <c r="A50" i="1116" s="1"/>
  <c r="A51" i="1116" s="1"/>
  <c r="A52" i="1116" s="1"/>
  <c r="A53" i="1116" s="1"/>
  <c r="A54" i="1116" s="1"/>
  <c r="A55" i="1116" s="1"/>
  <c r="A56" i="1116" s="1"/>
  <c r="A57" i="1116" s="1"/>
  <c r="A58" i="1116" s="1"/>
  <c r="A1" i="1116"/>
  <c r="A2" i="1116" s="1"/>
  <c r="M54" i="1115"/>
  <c r="AC40" i="1115"/>
  <c r="AB40" i="1115"/>
  <c r="AB41" i="1115" s="1"/>
  <c r="AC36" i="1115"/>
  <c r="AC37" i="1115" s="1"/>
  <c r="AB36" i="1115"/>
  <c r="AB37" i="1115" s="1"/>
  <c r="N35" i="1115"/>
  <c r="M35" i="1115"/>
  <c r="Q33" i="1115"/>
  <c r="P33" i="1115"/>
  <c r="O33" i="1115"/>
  <c r="N33" i="1115"/>
  <c r="M33" i="1115"/>
  <c r="AC32" i="1115"/>
  <c r="AC33" i="1115" s="1"/>
  <c r="AB32" i="1115"/>
  <c r="AB33" i="1115" s="1"/>
  <c r="P31" i="1115"/>
  <c r="O31" i="1115"/>
  <c r="N31" i="1115"/>
  <c r="AD31" i="1115" s="1"/>
  <c r="M31" i="1115"/>
  <c r="H26" i="1115"/>
  <c r="H20" i="1115"/>
  <c r="G20" i="1115"/>
  <c r="F20" i="1115"/>
  <c r="I20" i="1115" s="1"/>
  <c r="A14" i="1115"/>
  <c r="A15" i="1115" s="1"/>
  <c r="A16" i="1115" s="1"/>
  <c r="A17" i="1115" s="1"/>
  <c r="A18" i="1115" s="1"/>
  <c r="A19" i="1115" s="1"/>
  <c r="A20" i="1115" s="1"/>
  <c r="A21" i="1115" s="1"/>
  <c r="A22" i="1115" s="1"/>
  <c r="A23" i="1115" s="1"/>
  <c r="A24" i="1115" s="1"/>
  <c r="A25" i="1115" s="1"/>
  <c r="A26" i="1115" s="1"/>
  <c r="A27" i="1115" s="1"/>
  <c r="A28" i="1115" s="1"/>
  <c r="A29" i="1115" s="1"/>
  <c r="A30" i="1115" s="1"/>
  <c r="A31" i="1115" s="1"/>
  <c r="A32" i="1115" s="1"/>
  <c r="A33" i="1115" s="1"/>
  <c r="A34" i="1115" s="1"/>
  <c r="A35" i="1115" s="1"/>
  <c r="A36" i="1115" s="1"/>
  <c r="A37" i="1115" s="1"/>
  <c r="A38" i="1115" s="1"/>
  <c r="A39" i="1115" s="1"/>
  <c r="A42" i="1115" s="1"/>
  <c r="A43" i="1115" s="1"/>
  <c r="A44" i="1115" s="1"/>
  <c r="A45" i="1115" s="1"/>
  <c r="A46" i="1115" s="1"/>
  <c r="A47" i="1115" s="1"/>
  <c r="A48" i="1115" s="1"/>
  <c r="A49" i="1115" s="1"/>
  <c r="A50" i="1115" s="1"/>
  <c r="A51" i="1115" s="1"/>
  <c r="A52" i="1115" s="1"/>
  <c r="A53" i="1115" s="1"/>
  <c r="A54" i="1115" s="1"/>
  <c r="A55" i="1115" s="1"/>
  <c r="A56" i="1115" s="1"/>
  <c r="A57" i="1115" s="1"/>
  <c r="A58" i="1115" s="1"/>
  <c r="B13" i="1115"/>
  <c r="B14" i="1115" s="1"/>
  <c r="B15" i="1115" s="1"/>
  <c r="B16" i="1115" s="1"/>
  <c r="B17" i="1115" s="1"/>
  <c r="B18" i="1115" s="1"/>
  <c r="B19" i="1115" s="1"/>
  <c r="B20" i="1115" s="1"/>
  <c r="B21" i="1115" s="1"/>
  <c r="B22" i="1115" s="1"/>
  <c r="B23" i="1115" s="1"/>
  <c r="B24" i="1115" s="1"/>
  <c r="B25" i="1115" s="1"/>
  <c r="B26" i="1115" s="1"/>
  <c r="B27" i="1115" s="1"/>
  <c r="B28" i="1115" s="1"/>
  <c r="B29" i="1115" s="1"/>
  <c r="B30" i="1115" s="1"/>
  <c r="B31" i="1115" s="1"/>
  <c r="B32" i="1115" s="1"/>
  <c r="B33" i="1115" s="1"/>
  <c r="B34" i="1115" s="1"/>
  <c r="B35" i="1115" s="1"/>
  <c r="B36" i="1115" s="1"/>
  <c r="B37" i="1115" s="1"/>
  <c r="B38" i="1115" s="1"/>
  <c r="B39" i="1115" s="1"/>
  <c r="B42" i="1115" s="1"/>
  <c r="B43" i="1115" s="1"/>
  <c r="B44" i="1115" s="1"/>
  <c r="B45" i="1115" s="1"/>
  <c r="B46" i="1115" s="1"/>
  <c r="B47" i="1115" s="1"/>
  <c r="B48" i="1115" s="1"/>
  <c r="B49" i="1115" s="1"/>
  <c r="B50" i="1115" s="1"/>
  <c r="B51" i="1115" s="1"/>
  <c r="B52" i="1115" s="1"/>
  <c r="B53" i="1115" s="1"/>
  <c r="B54" i="1115" s="1"/>
  <c r="B55" i="1115" s="1"/>
  <c r="B56" i="1115" s="1"/>
  <c r="B57" i="1115" s="1"/>
  <c r="B58" i="1115" s="1"/>
  <c r="A13" i="1115"/>
  <c r="A1" i="1115"/>
  <c r="A2" i="1115" s="1"/>
  <c r="M54" i="1114"/>
  <c r="AC40" i="1114"/>
  <c r="AB40" i="1114"/>
  <c r="AB41" i="1114" s="1"/>
  <c r="AC36" i="1114"/>
  <c r="AB36" i="1114"/>
  <c r="AB37" i="1114" s="1"/>
  <c r="N35" i="1114"/>
  <c r="M35" i="1114"/>
  <c r="Q33" i="1114"/>
  <c r="P33" i="1114"/>
  <c r="O33" i="1114"/>
  <c r="N33" i="1114"/>
  <c r="M33" i="1114"/>
  <c r="AC32" i="1114"/>
  <c r="AC33" i="1114" s="1"/>
  <c r="AB32" i="1114"/>
  <c r="AB33" i="1114" s="1"/>
  <c r="P31" i="1114"/>
  <c r="O31" i="1114"/>
  <c r="N31" i="1114"/>
  <c r="AD31" i="1114" s="1"/>
  <c r="M31" i="1114"/>
  <c r="H26" i="1114"/>
  <c r="H20" i="1114"/>
  <c r="G20" i="1114"/>
  <c r="F20" i="1114"/>
  <c r="B13" i="1114"/>
  <c r="B14" i="1114" s="1"/>
  <c r="B15" i="1114" s="1"/>
  <c r="B16" i="1114" s="1"/>
  <c r="B17" i="1114" s="1"/>
  <c r="B18" i="1114" s="1"/>
  <c r="B19" i="1114" s="1"/>
  <c r="B20" i="1114" s="1"/>
  <c r="B21" i="1114" s="1"/>
  <c r="B22" i="1114" s="1"/>
  <c r="B23" i="1114" s="1"/>
  <c r="B24" i="1114" s="1"/>
  <c r="B25" i="1114" s="1"/>
  <c r="B26" i="1114" s="1"/>
  <c r="B27" i="1114" s="1"/>
  <c r="B28" i="1114" s="1"/>
  <c r="B29" i="1114" s="1"/>
  <c r="B30" i="1114" s="1"/>
  <c r="B31" i="1114" s="1"/>
  <c r="B32" i="1114" s="1"/>
  <c r="B33" i="1114" s="1"/>
  <c r="B34" i="1114" s="1"/>
  <c r="B35" i="1114" s="1"/>
  <c r="B36" i="1114" s="1"/>
  <c r="B37" i="1114" s="1"/>
  <c r="B38" i="1114" s="1"/>
  <c r="B39" i="1114" s="1"/>
  <c r="B42" i="1114" s="1"/>
  <c r="B43" i="1114" s="1"/>
  <c r="B44" i="1114" s="1"/>
  <c r="B45" i="1114" s="1"/>
  <c r="B46" i="1114" s="1"/>
  <c r="B47" i="1114" s="1"/>
  <c r="B48" i="1114" s="1"/>
  <c r="B49" i="1114" s="1"/>
  <c r="B50" i="1114" s="1"/>
  <c r="B51" i="1114" s="1"/>
  <c r="B52" i="1114" s="1"/>
  <c r="B53" i="1114" s="1"/>
  <c r="B54" i="1114" s="1"/>
  <c r="B55" i="1114" s="1"/>
  <c r="B56" i="1114" s="1"/>
  <c r="B57" i="1114" s="1"/>
  <c r="B58" i="1114" s="1"/>
  <c r="A13" i="1114"/>
  <c r="A14" i="1114" s="1"/>
  <c r="A15" i="1114" s="1"/>
  <c r="A16" i="1114" s="1"/>
  <c r="A17" i="1114" s="1"/>
  <c r="A18" i="1114" s="1"/>
  <c r="A19" i="1114" s="1"/>
  <c r="A20" i="1114" s="1"/>
  <c r="A21" i="1114" s="1"/>
  <c r="A22" i="1114" s="1"/>
  <c r="A23" i="1114" s="1"/>
  <c r="A24" i="1114" s="1"/>
  <c r="A25" i="1114" s="1"/>
  <c r="A26" i="1114" s="1"/>
  <c r="A27" i="1114" s="1"/>
  <c r="A28" i="1114" s="1"/>
  <c r="A29" i="1114" s="1"/>
  <c r="A30" i="1114" s="1"/>
  <c r="A31" i="1114" s="1"/>
  <c r="A32" i="1114" s="1"/>
  <c r="A33" i="1114" s="1"/>
  <c r="A34" i="1114" s="1"/>
  <c r="A35" i="1114" s="1"/>
  <c r="A36" i="1114" s="1"/>
  <c r="A37" i="1114" s="1"/>
  <c r="A38" i="1114" s="1"/>
  <c r="A39" i="1114" s="1"/>
  <c r="A42" i="1114" s="1"/>
  <c r="A43" i="1114" s="1"/>
  <c r="A44" i="1114" s="1"/>
  <c r="A45" i="1114" s="1"/>
  <c r="A46" i="1114" s="1"/>
  <c r="A47" i="1114" s="1"/>
  <c r="A48" i="1114" s="1"/>
  <c r="A49" i="1114" s="1"/>
  <c r="A50" i="1114" s="1"/>
  <c r="A51" i="1114" s="1"/>
  <c r="A52" i="1114" s="1"/>
  <c r="A53" i="1114" s="1"/>
  <c r="A54" i="1114" s="1"/>
  <c r="A55" i="1114" s="1"/>
  <c r="A56" i="1114" s="1"/>
  <c r="A57" i="1114" s="1"/>
  <c r="A58" i="1114" s="1"/>
  <c r="A1" i="1114"/>
  <c r="M54" i="1113"/>
  <c r="AC40" i="1113"/>
  <c r="AC41" i="1113" s="1"/>
  <c r="AB40" i="1113"/>
  <c r="AC37" i="1113"/>
  <c r="AC36" i="1113"/>
  <c r="AB36" i="1113"/>
  <c r="AB37" i="1113" s="1"/>
  <c r="N35" i="1113"/>
  <c r="M35" i="1113"/>
  <c r="Q33" i="1113"/>
  <c r="P33" i="1113"/>
  <c r="O33" i="1113"/>
  <c r="N33" i="1113"/>
  <c r="M33" i="1113"/>
  <c r="AC32" i="1113"/>
  <c r="AB32" i="1113"/>
  <c r="P31" i="1113"/>
  <c r="AE31" i="1113" s="1"/>
  <c r="O31" i="1113"/>
  <c r="N31" i="1113"/>
  <c r="AD31" i="1113" s="1"/>
  <c r="M31" i="1113"/>
  <c r="H26" i="1113"/>
  <c r="H20" i="1113"/>
  <c r="G20" i="1113"/>
  <c r="F20" i="1113"/>
  <c r="B13" i="1113"/>
  <c r="B14" i="1113" s="1"/>
  <c r="B15" i="1113" s="1"/>
  <c r="B16" i="1113" s="1"/>
  <c r="B17" i="1113" s="1"/>
  <c r="B18" i="1113" s="1"/>
  <c r="B19" i="1113" s="1"/>
  <c r="B20" i="1113" s="1"/>
  <c r="B21" i="1113" s="1"/>
  <c r="B22" i="1113" s="1"/>
  <c r="B23" i="1113" s="1"/>
  <c r="B24" i="1113" s="1"/>
  <c r="B25" i="1113" s="1"/>
  <c r="B26" i="1113" s="1"/>
  <c r="B27" i="1113" s="1"/>
  <c r="B28" i="1113" s="1"/>
  <c r="B29" i="1113" s="1"/>
  <c r="B30" i="1113" s="1"/>
  <c r="B31" i="1113" s="1"/>
  <c r="B32" i="1113" s="1"/>
  <c r="B33" i="1113" s="1"/>
  <c r="B34" i="1113" s="1"/>
  <c r="B35" i="1113" s="1"/>
  <c r="B36" i="1113" s="1"/>
  <c r="B37" i="1113" s="1"/>
  <c r="B38" i="1113" s="1"/>
  <c r="B39" i="1113" s="1"/>
  <c r="B42" i="1113" s="1"/>
  <c r="B43" i="1113" s="1"/>
  <c r="B44" i="1113" s="1"/>
  <c r="B45" i="1113" s="1"/>
  <c r="B46" i="1113" s="1"/>
  <c r="B47" i="1113" s="1"/>
  <c r="B48" i="1113" s="1"/>
  <c r="B49" i="1113" s="1"/>
  <c r="B50" i="1113" s="1"/>
  <c r="B51" i="1113" s="1"/>
  <c r="B52" i="1113" s="1"/>
  <c r="B53" i="1113" s="1"/>
  <c r="B54" i="1113" s="1"/>
  <c r="B55" i="1113" s="1"/>
  <c r="B56" i="1113" s="1"/>
  <c r="B57" i="1113" s="1"/>
  <c r="B58" i="1113" s="1"/>
  <c r="A13" i="1113"/>
  <c r="A14" i="1113" s="1"/>
  <c r="A15" i="1113" s="1"/>
  <c r="A16" i="1113" s="1"/>
  <c r="A17" i="1113" s="1"/>
  <c r="A18" i="1113" s="1"/>
  <c r="A19" i="1113" s="1"/>
  <c r="A20" i="1113" s="1"/>
  <c r="A21" i="1113" s="1"/>
  <c r="A22" i="1113" s="1"/>
  <c r="A23" i="1113" s="1"/>
  <c r="A24" i="1113" s="1"/>
  <c r="A25" i="1113" s="1"/>
  <c r="A26" i="1113" s="1"/>
  <c r="A27" i="1113" s="1"/>
  <c r="A28" i="1113" s="1"/>
  <c r="A29" i="1113" s="1"/>
  <c r="A30" i="1113" s="1"/>
  <c r="A31" i="1113" s="1"/>
  <c r="A32" i="1113" s="1"/>
  <c r="A33" i="1113" s="1"/>
  <c r="A34" i="1113" s="1"/>
  <c r="A35" i="1113" s="1"/>
  <c r="A36" i="1113" s="1"/>
  <c r="A37" i="1113" s="1"/>
  <c r="A38" i="1113" s="1"/>
  <c r="A39" i="1113" s="1"/>
  <c r="A42" i="1113" s="1"/>
  <c r="A43" i="1113" s="1"/>
  <c r="A44" i="1113" s="1"/>
  <c r="A45" i="1113" s="1"/>
  <c r="A46" i="1113" s="1"/>
  <c r="A47" i="1113" s="1"/>
  <c r="A48" i="1113" s="1"/>
  <c r="A49" i="1113" s="1"/>
  <c r="A50" i="1113" s="1"/>
  <c r="A51" i="1113" s="1"/>
  <c r="A52" i="1113" s="1"/>
  <c r="A53" i="1113" s="1"/>
  <c r="A54" i="1113" s="1"/>
  <c r="A55" i="1113" s="1"/>
  <c r="A56" i="1113" s="1"/>
  <c r="A57" i="1113" s="1"/>
  <c r="A58" i="1113" s="1"/>
  <c r="A1" i="1113"/>
  <c r="M54" i="1112"/>
  <c r="AC40" i="1112"/>
  <c r="AC41" i="1112" s="1"/>
  <c r="AB40" i="1112"/>
  <c r="AC36" i="1112"/>
  <c r="AC37" i="1112" s="1"/>
  <c r="AB36" i="1112"/>
  <c r="AB37" i="1112" s="1"/>
  <c r="N35" i="1112"/>
  <c r="M35" i="1112"/>
  <c r="Q33" i="1112"/>
  <c r="P33" i="1112"/>
  <c r="O33" i="1112"/>
  <c r="N33" i="1112"/>
  <c r="M33" i="1112"/>
  <c r="AC32" i="1112"/>
  <c r="AB32" i="1112"/>
  <c r="P31" i="1112"/>
  <c r="AE31" i="1112" s="1"/>
  <c r="O31" i="1112"/>
  <c r="N31" i="1112"/>
  <c r="AD31" i="1112" s="1"/>
  <c r="M31" i="1112"/>
  <c r="H26" i="1112"/>
  <c r="H20" i="1112"/>
  <c r="G20" i="1112"/>
  <c r="F20" i="1112"/>
  <c r="B13" i="1112"/>
  <c r="B14" i="1112" s="1"/>
  <c r="B15" i="1112" s="1"/>
  <c r="B16" i="1112" s="1"/>
  <c r="B17" i="1112" s="1"/>
  <c r="B18" i="1112" s="1"/>
  <c r="B19" i="1112" s="1"/>
  <c r="B20" i="1112" s="1"/>
  <c r="B21" i="1112" s="1"/>
  <c r="B22" i="1112" s="1"/>
  <c r="B23" i="1112" s="1"/>
  <c r="B24" i="1112" s="1"/>
  <c r="B25" i="1112" s="1"/>
  <c r="B26" i="1112" s="1"/>
  <c r="B27" i="1112" s="1"/>
  <c r="B28" i="1112" s="1"/>
  <c r="B29" i="1112" s="1"/>
  <c r="B30" i="1112" s="1"/>
  <c r="B31" i="1112" s="1"/>
  <c r="B32" i="1112" s="1"/>
  <c r="B33" i="1112" s="1"/>
  <c r="B34" i="1112" s="1"/>
  <c r="B35" i="1112" s="1"/>
  <c r="B36" i="1112" s="1"/>
  <c r="B37" i="1112" s="1"/>
  <c r="B38" i="1112" s="1"/>
  <c r="B39" i="1112" s="1"/>
  <c r="B42" i="1112" s="1"/>
  <c r="B43" i="1112" s="1"/>
  <c r="B44" i="1112" s="1"/>
  <c r="B45" i="1112" s="1"/>
  <c r="B46" i="1112" s="1"/>
  <c r="B47" i="1112" s="1"/>
  <c r="B48" i="1112" s="1"/>
  <c r="B49" i="1112" s="1"/>
  <c r="B50" i="1112" s="1"/>
  <c r="B51" i="1112" s="1"/>
  <c r="B52" i="1112" s="1"/>
  <c r="B53" i="1112" s="1"/>
  <c r="B54" i="1112" s="1"/>
  <c r="B55" i="1112" s="1"/>
  <c r="B56" i="1112" s="1"/>
  <c r="B57" i="1112" s="1"/>
  <c r="B58" i="1112" s="1"/>
  <c r="A13" i="1112"/>
  <c r="A14" i="1112" s="1"/>
  <c r="A15" i="1112" s="1"/>
  <c r="A16" i="1112" s="1"/>
  <c r="A17" i="1112" s="1"/>
  <c r="A18" i="1112" s="1"/>
  <c r="A19" i="1112" s="1"/>
  <c r="A20" i="1112" s="1"/>
  <c r="A21" i="1112" s="1"/>
  <c r="A22" i="1112" s="1"/>
  <c r="A23" i="1112" s="1"/>
  <c r="A24" i="1112" s="1"/>
  <c r="A25" i="1112" s="1"/>
  <c r="A26" i="1112" s="1"/>
  <c r="A27" i="1112" s="1"/>
  <c r="A28" i="1112" s="1"/>
  <c r="A29" i="1112" s="1"/>
  <c r="A30" i="1112" s="1"/>
  <c r="A31" i="1112" s="1"/>
  <c r="A32" i="1112" s="1"/>
  <c r="A33" i="1112" s="1"/>
  <c r="A34" i="1112" s="1"/>
  <c r="A35" i="1112" s="1"/>
  <c r="A36" i="1112" s="1"/>
  <c r="A37" i="1112" s="1"/>
  <c r="A38" i="1112" s="1"/>
  <c r="A39" i="1112" s="1"/>
  <c r="A42" i="1112" s="1"/>
  <c r="A43" i="1112" s="1"/>
  <c r="A44" i="1112" s="1"/>
  <c r="A45" i="1112" s="1"/>
  <c r="A46" i="1112" s="1"/>
  <c r="A47" i="1112" s="1"/>
  <c r="A48" i="1112" s="1"/>
  <c r="A49" i="1112" s="1"/>
  <c r="A50" i="1112" s="1"/>
  <c r="A51" i="1112" s="1"/>
  <c r="A52" i="1112" s="1"/>
  <c r="A53" i="1112" s="1"/>
  <c r="A54" i="1112" s="1"/>
  <c r="A55" i="1112" s="1"/>
  <c r="A56" i="1112" s="1"/>
  <c r="A57" i="1112" s="1"/>
  <c r="A58" i="1112" s="1"/>
  <c r="A1" i="1112"/>
  <c r="M54" i="1111"/>
  <c r="AC40" i="1111"/>
  <c r="AC41" i="1111" s="1"/>
  <c r="AB40" i="1111"/>
  <c r="AC36" i="1111"/>
  <c r="AC37" i="1111" s="1"/>
  <c r="AB36" i="1111"/>
  <c r="AB37" i="1111" s="1"/>
  <c r="N35" i="1111"/>
  <c r="M35" i="1111"/>
  <c r="Q33" i="1111"/>
  <c r="P33" i="1111"/>
  <c r="O33" i="1111"/>
  <c r="N33" i="1111"/>
  <c r="M33" i="1111"/>
  <c r="AC32" i="1111"/>
  <c r="AC33" i="1111" s="1"/>
  <c r="AB32" i="1111"/>
  <c r="P31" i="1111"/>
  <c r="AE31" i="1111" s="1"/>
  <c r="O31" i="1111"/>
  <c r="N31" i="1111"/>
  <c r="AD31" i="1111" s="1"/>
  <c r="M31" i="1111"/>
  <c r="H26" i="1111"/>
  <c r="H20" i="1111"/>
  <c r="G20" i="1111"/>
  <c r="F20" i="1111"/>
  <c r="I20" i="1111" s="1"/>
  <c r="B13" i="1111"/>
  <c r="B14" i="1111" s="1"/>
  <c r="B15" i="1111" s="1"/>
  <c r="B16" i="1111" s="1"/>
  <c r="B17" i="1111" s="1"/>
  <c r="B18" i="1111" s="1"/>
  <c r="B19" i="1111" s="1"/>
  <c r="B20" i="1111" s="1"/>
  <c r="B21" i="1111" s="1"/>
  <c r="B22" i="1111" s="1"/>
  <c r="B23" i="1111" s="1"/>
  <c r="B24" i="1111" s="1"/>
  <c r="B25" i="1111" s="1"/>
  <c r="B26" i="1111" s="1"/>
  <c r="B27" i="1111" s="1"/>
  <c r="B28" i="1111" s="1"/>
  <c r="B29" i="1111" s="1"/>
  <c r="B30" i="1111" s="1"/>
  <c r="B31" i="1111" s="1"/>
  <c r="B32" i="1111" s="1"/>
  <c r="B33" i="1111" s="1"/>
  <c r="B34" i="1111" s="1"/>
  <c r="B35" i="1111" s="1"/>
  <c r="B36" i="1111" s="1"/>
  <c r="B37" i="1111" s="1"/>
  <c r="B38" i="1111" s="1"/>
  <c r="B39" i="1111" s="1"/>
  <c r="B42" i="1111" s="1"/>
  <c r="B43" i="1111" s="1"/>
  <c r="B44" i="1111" s="1"/>
  <c r="B45" i="1111" s="1"/>
  <c r="B46" i="1111" s="1"/>
  <c r="B47" i="1111" s="1"/>
  <c r="B48" i="1111" s="1"/>
  <c r="B49" i="1111" s="1"/>
  <c r="B50" i="1111" s="1"/>
  <c r="B51" i="1111" s="1"/>
  <c r="B52" i="1111" s="1"/>
  <c r="B53" i="1111" s="1"/>
  <c r="B54" i="1111" s="1"/>
  <c r="B55" i="1111" s="1"/>
  <c r="B56" i="1111" s="1"/>
  <c r="B57" i="1111" s="1"/>
  <c r="B58" i="1111" s="1"/>
  <c r="A13" i="1111"/>
  <c r="A14" i="1111" s="1"/>
  <c r="A15" i="1111" s="1"/>
  <c r="A16" i="1111" s="1"/>
  <c r="A17" i="1111" s="1"/>
  <c r="A18" i="1111" s="1"/>
  <c r="A19" i="1111" s="1"/>
  <c r="A20" i="1111" s="1"/>
  <c r="A21" i="1111" s="1"/>
  <c r="A22" i="1111" s="1"/>
  <c r="A23" i="1111" s="1"/>
  <c r="A24" i="1111" s="1"/>
  <c r="A25" i="1111" s="1"/>
  <c r="A26" i="1111" s="1"/>
  <c r="A27" i="1111" s="1"/>
  <c r="A28" i="1111" s="1"/>
  <c r="A29" i="1111" s="1"/>
  <c r="A30" i="1111" s="1"/>
  <c r="A31" i="1111" s="1"/>
  <c r="A32" i="1111" s="1"/>
  <c r="A33" i="1111" s="1"/>
  <c r="A34" i="1111" s="1"/>
  <c r="A35" i="1111" s="1"/>
  <c r="A36" i="1111" s="1"/>
  <c r="A37" i="1111" s="1"/>
  <c r="A38" i="1111" s="1"/>
  <c r="A39" i="1111" s="1"/>
  <c r="A42" i="1111" s="1"/>
  <c r="A43" i="1111" s="1"/>
  <c r="A44" i="1111" s="1"/>
  <c r="A45" i="1111" s="1"/>
  <c r="A46" i="1111" s="1"/>
  <c r="A47" i="1111" s="1"/>
  <c r="A48" i="1111" s="1"/>
  <c r="A49" i="1111" s="1"/>
  <c r="A50" i="1111" s="1"/>
  <c r="A51" i="1111" s="1"/>
  <c r="A52" i="1111" s="1"/>
  <c r="A53" i="1111" s="1"/>
  <c r="A54" i="1111" s="1"/>
  <c r="A55" i="1111" s="1"/>
  <c r="A56" i="1111" s="1"/>
  <c r="A57" i="1111" s="1"/>
  <c r="A58" i="1111" s="1"/>
  <c r="A1" i="1111"/>
  <c r="A3" i="1111" s="1"/>
  <c r="M54" i="1110"/>
  <c r="AC40" i="1110"/>
  <c r="AC41" i="1110" s="1"/>
  <c r="AB40" i="1110"/>
  <c r="AB41" i="1110" s="1"/>
  <c r="AC36" i="1110"/>
  <c r="AC37" i="1110" s="1"/>
  <c r="AB36" i="1110"/>
  <c r="AB37" i="1110" s="1"/>
  <c r="N35" i="1110"/>
  <c r="M35" i="1110"/>
  <c r="Q33" i="1110"/>
  <c r="P33" i="1110"/>
  <c r="O33" i="1110"/>
  <c r="N33" i="1110"/>
  <c r="M33" i="1110"/>
  <c r="AC32" i="1110"/>
  <c r="AB32" i="1110"/>
  <c r="AB33" i="1110" s="1"/>
  <c r="P31" i="1110"/>
  <c r="AE31" i="1110" s="1"/>
  <c r="O31" i="1110"/>
  <c r="N31" i="1110"/>
  <c r="AD31" i="1110" s="1"/>
  <c r="M31" i="1110"/>
  <c r="H26" i="1110"/>
  <c r="H20" i="1110"/>
  <c r="G20" i="1110"/>
  <c r="F20" i="1110"/>
  <c r="I20" i="1110" s="1"/>
  <c r="B13" i="1110"/>
  <c r="B14" i="1110" s="1"/>
  <c r="B15" i="1110" s="1"/>
  <c r="B16" i="1110" s="1"/>
  <c r="B17" i="1110" s="1"/>
  <c r="B18" i="1110" s="1"/>
  <c r="B19" i="1110" s="1"/>
  <c r="B20" i="1110" s="1"/>
  <c r="B21" i="1110" s="1"/>
  <c r="B22" i="1110" s="1"/>
  <c r="B23" i="1110" s="1"/>
  <c r="B24" i="1110" s="1"/>
  <c r="B25" i="1110" s="1"/>
  <c r="B26" i="1110" s="1"/>
  <c r="B27" i="1110" s="1"/>
  <c r="B28" i="1110" s="1"/>
  <c r="B29" i="1110" s="1"/>
  <c r="B30" i="1110" s="1"/>
  <c r="B31" i="1110" s="1"/>
  <c r="B32" i="1110" s="1"/>
  <c r="B33" i="1110" s="1"/>
  <c r="B34" i="1110" s="1"/>
  <c r="B35" i="1110" s="1"/>
  <c r="B36" i="1110" s="1"/>
  <c r="B37" i="1110" s="1"/>
  <c r="B38" i="1110" s="1"/>
  <c r="B39" i="1110" s="1"/>
  <c r="B42" i="1110" s="1"/>
  <c r="B43" i="1110" s="1"/>
  <c r="B44" i="1110" s="1"/>
  <c r="B45" i="1110" s="1"/>
  <c r="B46" i="1110" s="1"/>
  <c r="B47" i="1110" s="1"/>
  <c r="B48" i="1110" s="1"/>
  <c r="B49" i="1110" s="1"/>
  <c r="B50" i="1110" s="1"/>
  <c r="B51" i="1110" s="1"/>
  <c r="B52" i="1110" s="1"/>
  <c r="B53" i="1110" s="1"/>
  <c r="B54" i="1110" s="1"/>
  <c r="B55" i="1110" s="1"/>
  <c r="B56" i="1110" s="1"/>
  <c r="B57" i="1110" s="1"/>
  <c r="B58" i="1110" s="1"/>
  <c r="A13" i="1110"/>
  <c r="A14" i="1110" s="1"/>
  <c r="A15" i="1110" s="1"/>
  <c r="A16" i="1110" s="1"/>
  <c r="A17" i="1110" s="1"/>
  <c r="A18" i="1110" s="1"/>
  <c r="A19" i="1110" s="1"/>
  <c r="A20" i="1110" s="1"/>
  <c r="A21" i="1110" s="1"/>
  <c r="A22" i="1110" s="1"/>
  <c r="A23" i="1110" s="1"/>
  <c r="A24" i="1110" s="1"/>
  <c r="A25" i="1110" s="1"/>
  <c r="A26" i="1110" s="1"/>
  <c r="A27" i="1110" s="1"/>
  <c r="A28" i="1110" s="1"/>
  <c r="A29" i="1110" s="1"/>
  <c r="A30" i="1110" s="1"/>
  <c r="A31" i="1110" s="1"/>
  <c r="A32" i="1110" s="1"/>
  <c r="A33" i="1110" s="1"/>
  <c r="A34" i="1110" s="1"/>
  <c r="A35" i="1110" s="1"/>
  <c r="A36" i="1110" s="1"/>
  <c r="A37" i="1110" s="1"/>
  <c r="A38" i="1110" s="1"/>
  <c r="A39" i="1110" s="1"/>
  <c r="A42" i="1110" s="1"/>
  <c r="A43" i="1110" s="1"/>
  <c r="A44" i="1110" s="1"/>
  <c r="A45" i="1110" s="1"/>
  <c r="A46" i="1110" s="1"/>
  <c r="A47" i="1110" s="1"/>
  <c r="A48" i="1110" s="1"/>
  <c r="A49" i="1110" s="1"/>
  <c r="A50" i="1110" s="1"/>
  <c r="A51" i="1110" s="1"/>
  <c r="A52" i="1110" s="1"/>
  <c r="A53" i="1110" s="1"/>
  <c r="A54" i="1110" s="1"/>
  <c r="A55" i="1110" s="1"/>
  <c r="A56" i="1110" s="1"/>
  <c r="A57" i="1110" s="1"/>
  <c r="A58" i="1110" s="1"/>
  <c r="A1" i="1110"/>
  <c r="A3" i="1110" s="1"/>
  <c r="M54" i="1109"/>
  <c r="AC40" i="1109"/>
  <c r="AC41" i="1109" s="1"/>
  <c r="AB40" i="1109"/>
  <c r="AB41" i="1109" s="1"/>
  <c r="AC36" i="1109"/>
  <c r="AC37" i="1109" s="1"/>
  <c r="AB36" i="1109"/>
  <c r="AB37" i="1109" s="1"/>
  <c r="N35" i="1109"/>
  <c r="M35" i="1109"/>
  <c r="Q33" i="1109"/>
  <c r="P33" i="1109"/>
  <c r="O33" i="1109"/>
  <c r="N33" i="1109"/>
  <c r="M33" i="1109"/>
  <c r="AC32" i="1109"/>
  <c r="AB32" i="1109"/>
  <c r="AB33" i="1109" s="1"/>
  <c r="P31" i="1109"/>
  <c r="AE31" i="1109" s="1"/>
  <c r="O31" i="1109"/>
  <c r="N31" i="1109"/>
  <c r="AD31" i="1109" s="1"/>
  <c r="M31" i="1109"/>
  <c r="H26" i="1109"/>
  <c r="H20" i="1109"/>
  <c r="G20" i="1109"/>
  <c r="F20" i="1109"/>
  <c r="I20" i="1109" s="1"/>
  <c r="B13" i="1109"/>
  <c r="B14" i="1109" s="1"/>
  <c r="B15" i="1109" s="1"/>
  <c r="B16" i="1109" s="1"/>
  <c r="B17" i="1109" s="1"/>
  <c r="B18" i="1109" s="1"/>
  <c r="B19" i="1109" s="1"/>
  <c r="B20" i="1109" s="1"/>
  <c r="B21" i="1109" s="1"/>
  <c r="B22" i="1109" s="1"/>
  <c r="B23" i="1109" s="1"/>
  <c r="B24" i="1109" s="1"/>
  <c r="B25" i="1109" s="1"/>
  <c r="B26" i="1109" s="1"/>
  <c r="B27" i="1109" s="1"/>
  <c r="B28" i="1109" s="1"/>
  <c r="B29" i="1109" s="1"/>
  <c r="B30" i="1109" s="1"/>
  <c r="B31" i="1109" s="1"/>
  <c r="B32" i="1109" s="1"/>
  <c r="B33" i="1109" s="1"/>
  <c r="B34" i="1109" s="1"/>
  <c r="B35" i="1109" s="1"/>
  <c r="B36" i="1109" s="1"/>
  <c r="B37" i="1109" s="1"/>
  <c r="B38" i="1109" s="1"/>
  <c r="B39" i="1109" s="1"/>
  <c r="B42" i="1109" s="1"/>
  <c r="B43" i="1109" s="1"/>
  <c r="B44" i="1109" s="1"/>
  <c r="B45" i="1109" s="1"/>
  <c r="B46" i="1109" s="1"/>
  <c r="B47" i="1109" s="1"/>
  <c r="B48" i="1109" s="1"/>
  <c r="B49" i="1109" s="1"/>
  <c r="B50" i="1109" s="1"/>
  <c r="B51" i="1109" s="1"/>
  <c r="B52" i="1109" s="1"/>
  <c r="B53" i="1109" s="1"/>
  <c r="B54" i="1109" s="1"/>
  <c r="B55" i="1109" s="1"/>
  <c r="B56" i="1109" s="1"/>
  <c r="B57" i="1109" s="1"/>
  <c r="B58" i="1109" s="1"/>
  <c r="A13" i="1109"/>
  <c r="A14" i="1109" s="1"/>
  <c r="A15" i="1109" s="1"/>
  <c r="A16" i="1109" s="1"/>
  <c r="A17" i="1109" s="1"/>
  <c r="A18" i="1109" s="1"/>
  <c r="A19" i="1109" s="1"/>
  <c r="A20" i="1109" s="1"/>
  <c r="A21" i="1109" s="1"/>
  <c r="A22" i="1109" s="1"/>
  <c r="A23" i="1109" s="1"/>
  <c r="A24" i="1109" s="1"/>
  <c r="A25" i="1109" s="1"/>
  <c r="A26" i="1109" s="1"/>
  <c r="A27" i="1109" s="1"/>
  <c r="A28" i="1109" s="1"/>
  <c r="A29" i="1109" s="1"/>
  <c r="A30" i="1109" s="1"/>
  <c r="A31" i="1109" s="1"/>
  <c r="A32" i="1109" s="1"/>
  <c r="A33" i="1109" s="1"/>
  <c r="A34" i="1109" s="1"/>
  <c r="A35" i="1109" s="1"/>
  <c r="A36" i="1109" s="1"/>
  <c r="A37" i="1109" s="1"/>
  <c r="A38" i="1109" s="1"/>
  <c r="A39" i="1109" s="1"/>
  <c r="A42" i="1109" s="1"/>
  <c r="A43" i="1109" s="1"/>
  <c r="A44" i="1109" s="1"/>
  <c r="A45" i="1109" s="1"/>
  <c r="A46" i="1109" s="1"/>
  <c r="A47" i="1109" s="1"/>
  <c r="A48" i="1109" s="1"/>
  <c r="A49" i="1109" s="1"/>
  <c r="A50" i="1109" s="1"/>
  <c r="A51" i="1109" s="1"/>
  <c r="A52" i="1109" s="1"/>
  <c r="A53" i="1109" s="1"/>
  <c r="A54" i="1109" s="1"/>
  <c r="A55" i="1109" s="1"/>
  <c r="A56" i="1109" s="1"/>
  <c r="A57" i="1109" s="1"/>
  <c r="A58" i="1109" s="1"/>
  <c r="A1" i="1109"/>
  <c r="A3" i="1109" s="1"/>
  <c r="M54" i="1108"/>
  <c r="AC40" i="1108"/>
  <c r="AC41" i="1108" s="1"/>
  <c r="AB40" i="1108"/>
  <c r="AB41" i="1108" s="1"/>
  <c r="AC36" i="1108"/>
  <c r="AC37" i="1108" s="1"/>
  <c r="AB36" i="1108"/>
  <c r="AB37" i="1108" s="1"/>
  <c r="N35" i="1108"/>
  <c r="M35" i="1108"/>
  <c r="Q33" i="1108"/>
  <c r="P33" i="1108"/>
  <c r="O33" i="1108"/>
  <c r="N33" i="1108"/>
  <c r="M33" i="1108"/>
  <c r="AC32" i="1108"/>
  <c r="AB32" i="1108"/>
  <c r="AB33" i="1108" s="1"/>
  <c r="P31" i="1108"/>
  <c r="AE31" i="1108" s="1"/>
  <c r="O31" i="1108"/>
  <c r="N31" i="1108"/>
  <c r="M31" i="1108"/>
  <c r="H26" i="1108"/>
  <c r="H20" i="1108"/>
  <c r="G20" i="1108"/>
  <c r="F20" i="1108"/>
  <c r="B13" i="1108"/>
  <c r="B14" i="1108" s="1"/>
  <c r="B15" i="1108" s="1"/>
  <c r="B16" i="1108" s="1"/>
  <c r="B17" i="1108" s="1"/>
  <c r="B18" i="1108" s="1"/>
  <c r="B19" i="1108" s="1"/>
  <c r="B20" i="1108" s="1"/>
  <c r="B21" i="1108" s="1"/>
  <c r="B22" i="1108" s="1"/>
  <c r="B23" i="1108" s="1"/>
  <c r="B24" i="1108" s="1"/>
  <c r="B25" i="1108" s="1"/>
  <c r="B26" i="1108" s="1"/>
  <c r="B27" i="1108" s="1"/>
  <c r="B28" i="1108" s="1"/>
  <c r="B29" i="1108" s="1"/>
  <c r="B30" i="1108" s="1"/>
  <c r="B31" i="1108" s="1"/>
  <c r="B32" i="1108" s="1"/>
  <c r="B33" i="1108" s="1"/>
  <c r="B34" i="1108" s="1"/>
  <c r="B35" i="1108" s="1"/>
  <c r="B36" i="1108" s="1"/>
  <c r="B37" i="1108" s="1"/>
  <c r="B38" i="1108" s="1"/>
  <c r="B39" i="1108" s="1"/>
  <c r="B42" i="1108" s="1"/>
  <c r="B43" i="1108" s="1"/>
  <c r="B44" i="1108" s="1"/>
  <c r="B45" i="1108" s="1"/>
  <c r="B46" i="1108" s="1"/>
  <c r="B47" i="1108" s="1"/>
  <c r="B48" i="1108" s="1"/>
  <c r="B49" i="1108" s="1"/>
  <c r="B50" i="1108" s="1"/>
  <c r="B51" i="1108" s="1"/>
  <c r="B52" i="1108" s="1"/>
  <c r="B53" i="1108" s="1"/>
  <c r="B54" i="1108" s="1"/>
  <c r="B55" i="1108" s="1"/>
  <c r="B56" i="1108" s="1"/>
  <c r="B57" i="1108" s="1"/>
  <c r="B58" i="1108" s="1"/>
  <c r="A13" i="1108"/>
  <c r="A14" i="1108" s="1"/>
  <c r="A15" i="1108" s="1"/>
  <c r="A16" i="1108" s="1"/>
  <c r="A17" i="1108" s="1"/>
  <c r="A18" i="1108" s="1"/>
  <c r="A19" i="1108" s="1"/>
  <c r="A20" i="1108" s="1"/>
  <c r="A21" i="1108" s="1"/>
  <c r="A22" i="1108" s="1"/>
  <c r="A23" i="1108" s="1"/>
  <c r="A24" i="1108" s="1"/>
  <c r="A25" i="1108" s="1"/>
  <c r="A26" i="1108" s="1"/>
  <c r="A27" i="1108" s="1"/>
  <c r="A28" i="1108" s="1"/>
  <c r="A29" i="1108" s="1"/>
  <c r="A30" i="1108" s="1"/>
  <c r="A31" i="1108" s="1"/>
  <c r="A32" i="1108" s="1"/>
  <c r="A33" i="1108" s="1"/>
  <c r="A34" i="1108" s="1"/>
  <c r="A35" i="1108" s="1"/>
  <c r="A36" i="1108" s="1"/>
  <c r="A37" i="1108" s="1"/>
  <c r="A38" i="1108" s="1"/>
  <c r="A39" i="1108" s="1"/>
  <c r="A42" i="1108" s="1"/>
  <c r="A43" i="1108" s="1"/>
  <c r="A44" i="1108" s="1"/>
  <c r="A45" i="1108" s="1"/>
  <c r="A46" i="1108" s="1"/>
  <c r="A47" i="1108" s="1"/>
  <c r="A48" i="1108" s="1"/>
  <c r="A49" i="1108" s="1"/>
  <c r="A50" i="1108" s="1"/>
  <c r="A51" i="1108" s="1"/>
  <c r="A52" i="1108" s="1"/>
  <c r="A53" i="1108" s="1"/>
  <c r="A54" i="1108" s="1"/>
  <c r="A55" i="1108" s="1"/>
  <c r="A56" i="1108" s="1"/>
  <c r="A57" i="1108" s="1"/>
  <c r="A58" i="1108" s="1"/>
  <c r="A1" i="1108"/>
  <c r="D20" i="1115" l="1"/>
  <c r="B25" i="1121"/>
  <c r="D20" i="1111"/>
  <c r="AF31" i="1112"/>
  <c r="AF31" i="1109"/>
  <c r="AE39" i="1109"/>
  <c r="B23" i="1122"/>
  <c r="AF31" i="1111"/>
  <c r="I20" i="1119"/>
  <c r="D20" i="1119"/>
  <c r="AE39" i="1114"/>
  <c r="AD39" i="1114"/>
  <c r="I20" i="1114"/>
  <c r="D20" i="1114"/>
  <c r="AE39" i="1115"/>
  <c r="AD39" i="1118"/>
  <c r="AD39" i="1115"/>
  <c r="AE39" i="1108"/>
  <c r="AE39" i="1110"/>
  <c r="AE39" i="1111"/>
  <c r="AF31" i="1113"/>
  <c r="AE39" i="1117"/>
  <c r="AE39" i="1112"/>
  <c r="AE31" i="1114"/>
  <c r="AF31" i="1114" s="1"/>
  <c r="AE31" i="1115"/>
  <c r="AF31" i="1115" s="1"/>
  <c r="AD39" i="1119"/>
  <c r="AE39" i="1113"/>
  <c r="AE39" i="1116"/>
  <c r="A3" i="1118"/>
  <c r="A4" i="1118" s="1"/>
  <c r="A3" i="1116"/>
  <c r="A4" i="1116" s="1"/>
  <c r="A3" i="1115"/>
  <c r="A4" i="1115" s="1"/>
  <c r="AE41" i="1109"/>
  <c r="AD41" i="1109"/>
  <c r="I20" i="1108"/>
  <c r="D20" i="1108"/>
  <c r="AE41" i="1108"/>
  <c r="AD41" i="1108"/>
  <c r="AF31" i="1110"/>
  <c r="A3" i="1108"/>
  <c r="A2" i="1108"/>
  <c r="AD31" i="1108"/>
  <c r="AF31" i="1108" s="1"/>
  <c r="AD39" i="1108"/>
  <c r="AF39" i="1108" s="1"/>
  <c r="AE41" i="1110"/>
  <c r="AD41" i="1110"/>
  <c r="A2" i="1109"/>
  <c r="A4" i="1109" s="1"/>
  <c r="AD39" i="1110"/>
  <c r="AB41" i="1111"/>
  <c r="AC33" i="1108"/>
  <c r="D20" i="1109"/>
  <c r="AC33" i="1109"/>
  <c r="AE33" i="1109" s="1"/>
  <c r="D20" i="1110"/>
  <c r="AC33" i="1110"/>
  <c r="AE33" i="1110" s="1"/>
  <c r="AD39" i="1111"/>
  <c r="AD39" i="1116"/>
  <c r="AD31" i="1116"/>
  <c r="AF31" i="1116" s="1"/>
  <c r="AD39" i="1109"/>
  <c r="A2" i="1110"/>
  <c r="A4" i="1110" s="1"/>
  <c r="A2" i="1111"/>
  <c r="A4" i="1111" s="1"/>
  <c r="AB33" i="1111"/>
  <c r="A3" i="1112"/>
  <c r="A2" i="1112"/>
  <c r="A3" i="1113"/>
  <c r="A2" i="1113"/>
  <c r="AB33" i="1116"/>
  <c r="I20" i="1112"/>
  <c r="D20" i="1112"/>
  <c r="AB33" i="1112"/>
  <c r="AD39" i="1113"/>
  <c r="AE39" i="1118"/>
  <c r="AB41" i="1112"/>
  <c r="AB33" i="1113"/>
  <c r="A2" i="1114"/>
  <c r="AC37" i="1114"/>
  <c r="AB41" i="1119"/>
  <c r="AD39" i="1112"/>
  <c r="I20" i="1113"/>
  <c r="D20" i="1113"/>
  <c r="AB41" i="1113"/>
  <c r="A3" i="1114"/>
  <c r="AC41" i="1114"/>
  <c r="AD41" i="1114" s="1"/>
  <c r="AC33" i="1112"/>
  <c r="AC33" i="1113"/>
  <c r="AD33" i="1114"/>
  <c r="AE33" i="1114"/>
  <c r="AC41" i="1115"/>
  <c r="AB41" i="1116"/>
  <c r="AC41" i="1117"/>
  <c r="AE41" i="1117" s="1"/>
  <c r="AB33" i="1118"/>
  <c r="AD33" i="1115"/>
  <c r="AE33" i="1115"/>
  <c r="AD31" i="1117"/>
  <c r="AF31" i="1117" s="1"/>
  <c r="AD39" i="1117"/>
  <c r="AF39" i="1117" s="1"/>
  <c r="AB41" i="1118"/>
  <c r="I20" i="1117"/>
  <c r="D20" i="1117"/>
  <c r="AB33" i="1117"/>
  <c r="AF31" i="1118"/>
  <c r="AB37" i="1118"/>
  <c r="I20" i="1116"/>
  <c r="D20" i="1116"/>
  <c r="A3" i="1117"/>
  <c r="A4" i="1117" s="1"/>
  <c r="AB33" i="1119"/>
  <c r="AC33" i="1117"/>
  <c r="A3" i="1119"/>
  <c r="A4" i="1119" s="1"/>
  <c r="AE39" i="1119"/>
  <c r="AC37" i="1118"/>
  <c r="AC33" i="1119"/>
  <c r="AC41" i="1119"/>
  <c r="AF31" i="1119"/>
  <c r="AB37" i="1119"/>
  <c r="AC37" i="1119"/>
  <c r="G16" i="1107"/>
  <c r="D52" i="1107"/>
  <c r="G34" i="1107"/>
  <c r="C16" i="1107"/>
  <c r="L57" i="12"/>
  <c r="L56" i="12"/>
  <c r="G50" i="12"/>
  <c r="H50" i="12"/>
  <c r="I50" i="12"/>
  <c r="F50" i="12"/>
  <c r="D26" i="12"/>
  <c r="D25" i="12"/>
  <c r="D19" i="12"/>
  <c r="E26" i="12"/>
  <c r="E25" i="12"/>
  <c r="M67" i="12" l="1"/>
  <c r="N67" i="12"/>
  <c r="O67" i="12"/>
  <c r="L68" i="12"/>
  <c r="L65" i="12"/>
  <c r="N73" i="12"/>
  <c r="O73" i="12"/>
  <c r="O77" i="12" s="1"/>
  <c r="M73" i="12"/>
  <c r="O74" i="12"/>
  <c r="N74" i="12"/>
  <c r="M74" i="12"/>
  <c r="X74" i="12"/>
  <c r="Y74" i="12"/>
  <c r="X67" i="12"/>
  <c r="Y67" i="12"/>
  <c r="AF39" i="1110"/>
  <c r="X73" i="12"/>
  <c r="Y73" i="12"/>
  <c r="Y77" i="12" s="1"/>
  <c r="AD33" i="1110"/>
  <c r="AF33" i="1110" s="1"/>
  <c r="AF39" i="1118"/>
  <c r="AF39" i="1115"/>
  <c r="AF39" i="1119"/>
  <c r="AF39" i="1109"/>
  <c r="AF39" i="1116"/>
  <c r="AF39" i="1114"/>
  <c r="AF39" i="1111"/>
  <c r="B24" i="1122"/>
  <c r="AF39" i="1113"/>
  <c r="AF39" i="1112"/>
  <c r="AD33" i="1109"/>
  <c r="AF33" i="1109" s="1"/>
  <c r="L67" i="12"/>
  <c r="AF41" i="1108"/>
  <c r="AF41" i="1109"/>
  <c r="A6" i="1118"/>
  <c r="A4" i="1112"/>
  <c r="A6" i="1115"/>
  <c r="A4" i="1113"/>
  <c r="A4" i="1114"/>
  <c r="A4" i="1108"/>
  <c r="A6" i="1111"/>
  <c r="A6" i="1119"/>
  <c r="AD41" i="1119"/>
  <c r="AE41" i="1119"/>
  <c r="AE41" i="1115"/>
  <c r="AE41" i="1112"/>
  <c r="AD41" i="1112"/>
  <c r="A6" i="1117"/>
  <c r="AD33" i="1119"/>
  <c r="AE33" i="1119"/>
  <c r="AD41" i="1115"/>
  <c r="AD41" i="1117"/>
  <c r="AF41" i="1117" s="1"/>
  <c r="AF33" i="1114"/>
  <c r="AE41" i="1114"/>
  <c r="AF41" i="1114" s="1"/>
  <c r="AD33" i="1113"/>
  <c r="AE33" i="1113"/>
  <c r="A6" i="1109"/>
  <c r="AD33" i="1108"/>
  <c r="AD41" i="1111"/>
  <c r="AE41" i="1111"/>
  <c r="AF41" i="1110"/>
  <c r="AD33" i="1117"/>
  <c r="AE33" i="1117"/>
  <c r="AE41" i="1118"/>
  <c r="AD41" i="1118"/>
  <c r="AD33" i="1112"/>
  <c r="AE33" i="1112"/>
  <c r="A6" i="1116"/>
  <c r="AF33" i="1115"/>
  <c r="AD33" i="1118"/>
  <c r="AE33" i="1118"/>
  <c r="AE41" i="1116"/>
  <c r="AD41" i="1116"/>
  <c r="AE41" i="1113"/>
  <c r="AD41" i="1113"/>
  <c r="AD33" i="1116"/>
  <c r="AE33" i="1116"/>
  <c r="AE33" i="1111"/>
  <c r="AD33" i="1111"/>
  <c r="A6" i="1110"/>
  <c r="AE33" i="1108"/>
  <c r="C34" i="1107"/>
  <c r="AE20" i="10"/>
  <c r="AI20" i="10" s="1"/>
  <c r="AM20" i="10" s="1"/>
  <c r="AD20" i="10"/>
  <c r="AH20" i="10" s="1"/>
  <c r="AL20" i="10" s="1"/>
  <c r="AC20" i="10"/>
  <c r="AG20" i="10" s="1"/>
  <c r="AK20" i="10" s="1"/>
  <c r="AB20" i="10"/>
  <c r="AF20" i="10" s="1"/>
  <c r="AJ20" i="10" s="1"/>
  <c r="AE19" i="10"/>
  <c r="AI19" i="10" s="1"/>
  <c r="AM19" i="10" s="1"/>
  <c r="AD19" i="10"/>
  <c r="AH19" i="10" s="1"/>
  <c r="AL19" i="10" s="1"/>
  <c r="AC19" i="10"/>
  <c r="AG19" i="10" s="1"/>
  <c r="AK19" i="10" s="1"/>
  <c r="AB19" i="10"/>
  <c r="AF19" i="10" s="1"/>
  <c r="AJ19" i="10" s="1"/>
  <c r="AE18" i="10"/>
  <c r="AI18" i="10" s="1"/>
  <c r="AM18" i="10" s="1"/>
  <c r="AD18" i="10"/>
  <c r="AH18" i="10" s="1"/>
  <c r="AL18" i="10" s="1"/>
  <c r="AC18" i="10"/>
  <c r="AG18" i="10" s="1"/>
  <c r="AK18" i="10" s="1"/>
  <c r="AB18" i="10"/>
  <c r="AF18" i="10" s="1"/>
  <c r="AJ18" i="10" s="1"/>
  <c r="M77" i="12" l="1"/>
  <c r="N77" i="12"/>
  <c r="X77" i="12"/>
  <c r="AF41" i="1112"/>
  <c r="AF41" i="1118"/>
  <c r="B25" i="1122"/>
  <c r="AF41" i="1119"/>
  <c r="AF41" i="1116"/>
  <c r="AF33" i="1113"/>
  <c r="A6" i="1112"/>
  <c r="A6" i="1114"/>
  <c r="A6" i="1108"/>
  <c r="A6" i="1113"/>
  <c r="AF33" i="1116"/>
  <c r="AF33" i="1118"/>
  <c r="AF41" i="1115"/>
  <c r="AF33" i="1117"/>
  <c r="AF33" i="1108"/>
  <c r="AF33" i="1111"/>
  <c r="AF41" i="1113"/>
  <c r="AF33" i="1112"/>
  <c r="AF41" i="1111"/>
  <c r="AF33" i="1119"/>
  <c r="J17" i="1106"/>
  <c r="T18" i="1106" l="1"/>
  <c r="T19" i="1106" s="1"/>
  <c r="T20" i="1106" s="1"/>
  <c r="T21" i="1106" s="1"/>
  <c r="T22" i="1106" s="1"/>
  <c r="T23" i="1106" s="1"/>
  <c r="T24" i="1106" s="1"/>
  <c r="T25" i="1106" s="1"/>
  <c r="T26" i="1106" s="1"/>
  <c r="S18" i="1106"/>
  <c r="S19" i="1106" s="1"/>
  <c r="S20" i="1106" s="1"/>
  <c r="S21" i="1106" s="1"/>
  <c r="S22" i="1106" s="1"/>
  <c r="S23" i="1106" s="1"/>
  <c r="S24" i="1106" s="1"/>
  <c r="S25" i="1106" s="1"/>
  <c r="S26" i="1106" s="1"/>
  <c r="R18" i="1106"/>
  <c r="R19" i="1106" s="1"/>
  <c r="R20" i="1106" s="1"/>
  <c r="R21" i="1106" s="1"/>
  <c r="R22" i="1106" s="1"/>
  <c r="R23" i="1106" s="1"/>
  <c r="R24" i="1106" s="1"/>
  <c r="R25" i="1106" s="1"/>
  <c r="R26" i="1106" s="1"/>
  <c r="Q18" i="1106"/>
  <c r="Q19" i="1106" s="1"/>
  <c r="Q20" i="1106" s="1"/>
  <c r="Q21" i="1106" s="1"/>
  <c r="Q22" i="1106" s="1"/>
  <c r="Q23" i="1106" s="1"/>
  <c r="Q24" i="1106" s="1"/>
  <c r="Q25" i="1106" s="1"/>
  <c r="Q26" i="1106" s="1"/>
  <c r="D56" i="1106"/>
  <c r="D55" i="1106"/>
  <c r="D54" i="1106"/>
  <c r="D53" i="1106"/>
  <c r="I17" i="1106"/>
  <c r="H17" i="1106"/>
  <c r="P17" i="1106" l="1"/>
  <c r="T97" i="1" l="1"/>
  <c r="T96" i="1"/>
  <c r="T95" i="1"/>
  <c r="T92" i="1"/>
  <c r="T91" i="1"/>
  <c r="T90" i="1"/>
  <c r="T89" i="1"/>
  <c r="T88" i="1"/>
  <c r="T87" i="1"/>
  <c r="T86" i="1"/>
  <c r="T85" i="1"/>
  <c r="T84" i="1"/>
  <c r="T83" i="1"/>
  <c r="T82" i="1"/>
  <c r="T81" i="1"/>
  <c r="T80" i="1"/>
  <c r="T79" i="1"/>
  <c r="T78" i="1"/>
  <c r="T77" i="1"/>
  <c r="T76" i="1"/>
  <c r="T75" i="1"/>
  <c r="T74" i="1"/>
  <c r="T73" i="1"/>
  <c r="T72" i="1"/>
  <c r="T71" i="1"/>
  <c r="T70" i="1"/>
  <c r="T69" i="1"/>
  <c r="T66" i="1"/>
  <c r="T65" i="1"/>
  <c r="T64" i="1"/>
  <c r="T63" i="1"/>
  <c r="T62" i="1"/>
  <c r="T61" i="1"/>
  <c r="T60" i="1"/>
  <c r="T59" i="1"/>
  <c r="T58" i="1"/>
  <c r="T57" i="1"/>
  <c r="T56" i="1"/>
  <c r="T55" i="1"/>
  <c r="T54" i="1"/>
  <c r="T53" i="1"/>
  <c r="T50" i="1"/>
  <c r="T49" i="1"/>
  <c r="T48" i="1"/>
  <c r="T47" i="1"/>
  <c r="T46" i="1"/>
  <c r="T45" i="1"/>
  <c r="T44" i="1"/>
  <c r="T43" i="1"/>
  <c r="T42" i="1"/>
  <c r="T41" i="1"/>
  <c r="T40" i="1"/>
  <c r="T39" i="1"/>
  <c r="T38" i="1"/>
  <c r="T37" i="1"/>
  <c r="T34" i="1"/>
  <c r="T33" i="1"/>
  <c r="T32" i="1"/>
  <c r="T31" i="1"/>
  <c r="T30" i="1"/>
  <c r="T29" i="1"/>
  <c r="T28" i="1"/>
  <c r="T27" i="1"/>
  <c r="T26" i="1"/>
  <c r="T25" i="1"/>
  <c r="T24" i="1"/>
  <c r="T23" i="1"/>
  <c r="X184" i="1105" l="1"/>
  <c r="AA184" i="1105" s="1"/>
  <c r="X183" i="1105"/>
  <c r="AA183" i="1105" s="1"/>
  <c r="X182" i="1105"/>
  <c r="AA182" i="1105" s="1"/>
  <c r="X181" i="1105"/>
  <c r="AA181" i="1105" s="1"/>
  <c r="X180" i="1105"/>
  <c r="AA180" i="1105" s="1"/>
  <c r="X179" i="1105"/>
  <c r="AA179" i="1105" s="1"/>
  <c r="X178" i="1105"/>
  <c r="AA178" i="1105" s="1"/>
  <c r="X177" i="1105"/>
  <c r="AA177" i="1105" s="1"/>
  <c r="X176" i="1105"/>
  <c r="AA176" i="1105" s="1"/>
  <c r="X175" i="1105"/>
  <c r="AA175" i="1105" s="1"/>
  <c r="X174" i="1105"/>
  <c r="AA174" i="1105" s="1"/>
  <c r="X173" i="1105"/>
  <c r="AA173" i="1105" s="1"/>
  <c r="X172" i="1105"/>
  <c r="AA172" i="1105" s="1"/>
  <c r="X171" i="1105"/>
  <c r="AA171" i="1105" s="1"/>
  <c r="AB166" i="1105"/>
  <c r="Z183" i="1105" s="1"/>
  <c r="X155" i="1105"/>
  <c r="AA155" i="1105" s="1"/>
  <c r="X154" i="1105"/>
  <c r="AA154" i="1105" s="1"/>
  <c r="X153" i="1105"/>
  <c r="AA153" i="1105" s="1"/>
  <c r="X152" i="1105"/>
  <c r="AA152" i="1105" s="1"/>
  <c r="X151" i="1105"/>
  <c r="AA151" i="1105" s="1"/>
  <c r="X150" i="1105"/>
  <c r="AA150" i="1105" s="1"/>
  <c r="X149" i="1105"/>
  <c r="AA149" i="1105" s="1"/>
  <c r="X148" i="1105"/>
  <c r="AA148" i="1105" s="1"/>
  <c r="X147" i="1105"/>
  <c r="AA147" i="1105" s="1"/>
  <c r="X146" i="1105"/>
  <c r="AA146" i="1105" s="1"/>
  <c r="X145" i="1105"/>
  <c r="AA145" i="1105" s="1"/>
  <c r="X144" i="1105"/>
  <c r="AA144" i="1105" s="1"/>
  <c r="X143" i="1105"/>
  <c r="AA143" i="1105" s="1"/>
  <c r="X142" i="1105"/>
  <c r="AA142" i="1105" s="1"/>
  <c r="AB137" i="1105"/>
  <c r="Z154" i="1105" s="1"/>
  <c r="X130" i="1105"/>
  <c r="AA130" i="1105" s="1"/>
  <c r="X129" i="1105"/>
  <c r="AA129" i="1105" s="1"/>
  <c r="X128" i="1105"/>
  <c r="AA128" i="1105" s="1"/>
  <c r="X127" i="1105"/>
  <c r="AA127" i="1105" s="1"/>
  <c r="X126" i="1105"/>
  <c r="AA126" i="1105" s="1"/>
  <c r="X125" i="1105"/>
  <c r="AA125" i="1105" s="1"/>
  <c r="X124" i="1105"/>
  <c r="AA124" i="1105" s="1"/>
  <c r="X123" i="1105"/>
  <c r="AA123" i="1105" s="1"/>
  <c r="X122" i="1105"/>
  <c r="AA122" i="1105" s="1"/>
  <c r="X121" i="1105"/>
  <c r="AA121" i="1105" s="1"/>
  <c r="X120" i="1105"/>
  <c r="AA120" i="1105" s="1"/>
  <c r="X119" i="1105"/>
  <c r="AA119" i="1105" s="1"/>
  <c r="X118" i="1105"/>
  <c r="AA118" i="1105" s="1"/>
  <c r="X117" i="1105"/>
  <c r="AA117" i="1105" s="1"/>
  <c r="AB112" i="1105"/>
  <c r="Z129" i="1105" s="1"/>
  <c r="X93" i="1105"/>
  <c r="AA93" i="1105" s="1"/>
  <c r="X92" i="1105"/>
  <c r="AA92" i="1105" s="1"/>
  <c r="X91" i="1105"/>
  <c r="AA91" i="1105" s="1"/>
  <c r="X90" i="1105"/>
  <c r="AA90" i="1105" s="1"/>
  <c r="X89" i="1105"/>
  <c r="AA89" i="1105" s="1"/>
  <c r="X88" i="1105"/>
  <c r="AA88" i="1105" s="1"/>
  <c r="X87" i="1105"/>
  <c r="AA87" i="1105" s="1"/>
  <c r="X86" i="1105"/>
  <c r="AA86" i="1105" s="1"/>
  <c r="X85" i="1105"/>
  <c r="AA85" i="1105" s="1"/>
  <c r="X84" i="1105"/>
  <c r="AA84" i="1105" s="1"/>
  <c r="X83" i="1105"/>
  <c r="AA83" i="1105" s="1"/>
  <c r="X82" i="1105"/>
  <c r="AA82" i="1105" s="1"/>
  <c r="X81" i="1105"/>
  <c r="AA81" i="1105" s="1"/>
  <c r="X80" i="1105"/>
  <c r="AA80" i="1105" s="1"/>
  <c r="AB75" i="1105"/>
  <c r="Z92" i="1105" s="1"/>
  <c r="X55" i="1105"/>
  <c r="AA55" i="1105" s="1"/>
  <c r="X54" i="1105"/>
  <c r="AA54" i="1105" s="1"/>
  <c r="X53" i="1105"/>
  <c r="AA53" i="1105" s="1"/>
  <c r="X52" i="1105"/>
  <c r="AA52" i="1105" s="1"/>
  <c r="X51" i="1105"/>
  <c r="AA51" i="1105" s="1"/>
  <c r="X50" i="1105"/>
  <c r="AA50" i="1105" s="1"/>
  <c r="X49" i="1105"/>
  <c r="AA49" i="1105" s="1"/>
  <c r="X48" i="1105"/>
  <c r="AA48" i="1105" s="1"/>
  <c r="X47" i="1105"/>
  <c r="AA47" i="1105" s="1"/>
  <c r="X46" i="1105"/>
  <c r="AA46" i="1105" s="1"/>
  <c r="X45" i="1105"/>
  <c r="AA45" i="1105" s="1"/>
  <c r="X44" i="1105"/>
  <c r="AA44" i="1105" s="1"/>
  <c r="X43" i="1105"/>
  <c r="AA43" i="1105" s="1"/>
  <c r="X42" i="1105"/>
  <c r="AA42" i="1105" s="1"/>
  <c r="AB37" i="1105"/>
  <c r="Z54" i="1105" s="1"/>
  <c r="R31" i="1105"/>
  <c r="R30" i="1105"/>
  <c r="R29" i="1105"/>
  <c r="R28" i="1105"/>
  <c r="R27" i="1105"/>
  <c r="R26" i="1105"/>
  <c r="R25" i="1105"/>
  <c r="R24" i="1105"/>
  <c r="R23" i="1105"/>
  <c r="R22" i="1105"/>
  <c r="R21" i="1105"/>
  <c r="R20" i="1105"/>
  <c r="R19" i="1105"/>
  <c r="R18" i="1105"/>
  <c r="R17" i="1105"/>
  <c r="R16" i="1105"/>
  <c r="I181" i="1105" s="1"/>
  <c r="R15" i="1105"/>
  <c r="R14" i="1105"/>
  <c r="I152" i="1105" s="1"/>
  <c r="R13" i="1105"/>
  <c r="R12" i="1105"/>
  <c r="I127" i="1105" s="1"/>
  <c r="R11" i="1105"/>
  <c r="R10" i="1105"/>
  <c r="I90" i="1105" s="1"/>
  <c r="R9" i="1105"/>
  <c r="R8" i="1105"/>
  <c r="R7" i="1105"/>
  <c r="R6" i="1105"/>
  <c r="Z53" i="1105" l="1"/>
  <c r="Z49" i="1105"/>
  <c r="Z45" i="1105"/>
  <c r="Z82" i="1105"/>
  <c r="Z86" i="1105"/>
  <c r="Z123" i="1105"/>
  <c r="Z128" i="1105"/>
  <c r="Z144" i="1105"/>
  <c r="Z148" i="1105"/>
  <c r="Z173" i="1105"/>
  <c r="Z177" i="1105"/>
  <c r="Z182" i="1105"/>
  <c r="Z44" i="1105"/>
  <c r="Z81" i="1105"/>
  <c r="Z85" i="1105"/>
  <c r="Z89" i="1105"/>
  <c r="Z90" i="1105"/>
  <c r="Z118" i="1105"/>
  <c r="Z122" i="1105"/>
  <c r="Z126" i="1105"/>
  <c r="Z127" i="1105"/>
  <c r="Z143" i="1105"/>
  <c r="Z147" i="1105"/>
  <c r="Z151" i="1105"/>
  <c r="Z152" i="1105"/>
  <c r="Z172" i="1105"/>
  <c r="Z176" i="1105"/>
  <c r="Z180" i="1105"/>
  <c r="Z181" i="1105"/>
  <c r="Z43" i="1105"/>
  <c r="Z47" i="1105"/>
  <c r="Z51" i="1105"/>
  <c r="Z55" i="1105"/>
  <c r="Z80" i="1105"/>
  <c r="Z84" i="1105"/>
  <c r="Z88" i="1105"/>
  <c r="Z93" i="1105"/>
  <c r="Z117" i="1105"/>
  <c r="Z121" i="1105"/>
  <c r="Z125" i="1105"/>
  <c r="Z130" i="1105"/>
  <c r="Z142" i="1105"/>
  <c r="Z146" i="1105"/>
  <c r="Z150" i="1105"/>
  <c r="Z155" i="1105"/>
  <c r="Z171" i="1105"/>
  <c r="Z175" i="1105"/>
  <c r="Z179" i="1105"/>
  <c r="Z184" i="1105"/>
  <c r="Z91" i="1105"/>
  <c r="Z119" i="1105"/>
  <c r="Z153" i="1105"/>
  <c r="Z48" i="1105"/>
  <c r="Z52" i="1105"/>
  <c r="Z42" i="1105"/>
  <c r="Z46" i="1105"/>
  <c r="Z50" i="1105"/>
  <c r="Z83" i="1105"/>
  <c r="Z87" i="1105"/>
  <c r="Z120" i="1105"/>
  <c r="Z124" i="1105"/>
  <c r="Z145" i="1105"/>
  <c r="Z149" i="1105"/>
  <c r="Z174" i="1105"/>
  <c r="Z178" i="1105"/>
  <c r="D751" i="1103"/>
  <c r="D750" i="1103"/>
  <c r="D749" i="1103"/>
  <c r="D748" i="1103"/>
  <c r="D747" i="1103"/>
  <c r="D746" i="1103"/>
  <c r="D745" i="1103"/>
  <c r="D744" i="1103"/>
  <c r="D743" i="1103"/>
  <c r="D742" i="1103"/>
  <c r="D741" i="1103"/>
  <c r="D740" i="1103"/>
  <c r="D739" i="1103"/>
  <c r="D738" i="1103"/>
  <c r="D737" i="1103"/>
  <c r="D734" i="1103"/>
  <c r="D733" i="1103"/>
  <c r="D732" i="1103"/>
  <c r="D731" i="1103"/>
  <c r="D730" i="1103"/>
  <c r="D729" i="1103"/>
  <c r="D728" i="1103"/>
  <c r="D727" i="1103"/>
  <c r="D726" i="1103"/>
  <c r="D725" i="1103"/>
  <c r="D724" i="1103"/>
  <c r="D723" i="1103"/>
  <c r="D722" i="1103"/>
  <c r="D721" i="1103"/>
  <c r="D720" i="1103"/>
  <c r="D717" i="1103"/>
  <c r="D716" i="1103"/>
  <c r="D715" i="1103"/>
  <c r="D714" i="1103"/>
  <c r="D713" i="1103"/>
  <c r="D712" i="1103"/>
  <c r="D711" i="1103"/>
  <c r="D710" i="1103"/>
  <c r="D709" i="1103"/>
  <c r="D708" i="1103"/>
  <c r="D707" i="1103"/>
  <c r="D706" i="1103"/>
  <c r="D705" i="1103"/>
  <c r="D704" i="1103"/>
  <c r="D703" i="1103"/>
  <c r="D700" i="1103"/>
  <c r="D699" i="1103"/>
  <c r="D698" i="1103"/>
  <c r="D697" i="1103"/>
  <c r="D696" i="1103"/>
  <c r="D695" i="1103"/>
  <c r="D694" i="1103"/>
  <c r="D693" i="1103"/>
  <c r="D692" i="1103"/>
  <c r="D691" i="1103"/>
  <c r="D690" i="1103"/>
  <c r="D689" i="1103"/>
  <c r="D688" i="1103"/>
  <c r="D687" i="1103"/>
  <c r="D686" i="1103"/>
  <c r="D683" i="1103"/>
  <c r="D682" i="1103"/>
  <c r="D681" i="1103"/>
  <c r="D680" i="1103"/>
  <c r="D679" i="1103"/>
  <c r="D678" i="1103"/>
  <c r="D677" i="1103"/>
  <c r="D676" i="1103"/>
  <c r="D675" i="1103"/>
  <c r="D674" i="1103"/>
  <c r="D673" i="1103"/>
  <c r="D672" i="1103"/>
  <c r="D671" i="1103"/>
  <c r="D670" i="1103"/>
  <c r="D669" i="1103"/>
  <c r="D666" i="1103"/>
  <c r="D665" i="1103"/>
  <c r="D664" i="1103"/>
  <c r="D663" i="1103"/>
  <c r="D662" i="1103"/>
  <c r="D661" i="1103"/>
  <c r="D660" i="1103"/>
  <c r="D659" i="1103"/>
  <c r="D658" i="1103"/>
  <c r="D657" i="1103"/>
  <c r="D656" i="1103"/>
  <c r="D655" i="1103"/>
  <c r="D654" i="1103"/>
  <c r="D653" i="1103"/>
  <c r="D652" i="1103"/>
  <c r="D649" i="1103"/>
  <c r="D648" i="1103"/>
  <c r="D647" i="1103"/>
  <c r="D646" i="1103"/>
  <c r="D645" i="1103"/>
  <c r="D644" i="1103"/>
  <c r="D643" i="1103"/>
  <c r="D642" i="1103"/>
  <c r="D641" i="1103"/>
  <c r="D640" i="1103"/>
  <c r="D639" i="1103"/>
  <c r="D638" i="1103"/>
  <c r="D637" i="1103"/>
  <c r="D636" i="1103"/>
  <c r="D635" i="1103"/>
  <c r="D632" i="1103"/>
  <c r="D631" i="1103"/>
  <c r="D630" i="1103"/>
  <c r="D629" i="1103"/>
  <c r="D628" i="1103"/>
  <c r="D627" i="1103"/>
  <c r="D626" i="1103"/>
  <c r="D625" i="1103"/>
  <c r="D624" i="1103"/>
  <c r="D623" i="1103"/>
  <c r="D622" i="1103"/>
  <c r="D621" i="1103"/>
  <c r="D620" i="1103"/>
  <c r="D619" i="1103"/>
  <c r="D618" i="1103"/>
  <c r="D615" i="1103"/>
  <c r="D614" i="1103"/>
  <c r="D613" i="1103"/>
  <c r="D612" i="1103"/>
  <c r="D611" i="1103"/>
  <c r="D610" i="1103"/>
  <c r="D609" i="1103"/>
  <c r="D608" i="1103"/>
  <c r="D607" i="1103"/>
  <c r="D606" i="1103"/>
  <c r="D605" i="1103"/>
  <c r="D604" i="1103"/>
  <c r="D603" i="1103"/>
  <c r="D602" i="1103"/>
  <c r="D601" i="1103"/>
  <c r="D598" i="1103"/>
  <c r="D597" i="1103"/>
  <c r="D596" i="1103"/>
  <c r="D595" i="1103"/>
  <c r="D594" i="1103"/>
  <c r="D593" i="1103"/>
  <c r="D592" i="1103"/>
  <c r="D591" i="1103"/>
  <c r="D590" i="1103"/>
  <c r="D589" i="1103"/>
  <c r="D588" i="1103"/>
  <c r="D587" i="1103"/>
  <c r="D586" i="1103"/>
  <c r="D585" i="1103"/>
  <c r="D584" i="1103"/>
  <c r="D581" i="1103"/>
  <c r="D580" i="1103"/>
  <c r="D579" i="1103"/>
  <c r="D578" i="1103"/>
  <c r="D577" i="1103"/>
  <c r="D576" i="1103"/>
  <c r="D575" i="1103"/>
  <c r="D574" i="1103"/>
  <c r="D573" i="1103"/>
  <c r="D572" i="1103"/>
  <c r="D571" i="1103"/>
  <c r="D570" i="1103"/>
  <c r="D569" i="1103"/>
  <c r="D568" i="1103"/>
  <c r="D567" i="1103"/>
  <c r="D564" i="1103"/>
  <c r="D563" i="1103"/>
  <c r="D562" i="1103"/>
  <c r="D561" i="1103"/>
  <c r="D560" i="1103"/>
  <c r="D559" i="1103"/>
  <c r="D558" i="1103"/>
  <c r="D557" i="1103"/>
  <c r="D556" i="1103"/>
  <c r="D555" i="1103"/>
  <c r="D554" i="1103"/>
  <c r="D553" i="1103"/>
  <c r="D552" i="1103"/>
  <c r="D551" i="1103"/>
  <c r="D550" i="1103"/>
  <c r="D547" i="1103"/>
  <c r="D546" i="1103"/>
  <c r="D545" i="1103"/>
  <c r="D544" i="1103"/>
  <c r="D543" i="1103"/>
  <c r="D542" i="1103"/>
  <c r="D541" i="1103"/>
  <c r="D540" i="1103"/>
  <c r="D539" i="1103"/>
  <c r="D538" i="1103"/>
  <c r="D537" i="1103"/>
  <c r="D536" i="1103"/>
  <c r="D535" i="1103"/>
  <c r="D534" i="1103"/>
  <c r="D533" i="1103"/>
  <c r="D530" i="1103"/>
  <c r="D529" i="1103"/>
  <c r="D528" i="1103"/>
  <c r="D527" i="1103"/>
  <c r="D526" i="1103"/>
  <c r="D525" i="1103"/>
  <c r="D524" i="1103"/>
  <c r="D523" i="1103"/>
  <c r="D522" i="1103"/>
  <c r="D521" i="1103"/>
  <c r="D520" i="1103"/>
  <c r="D519" i="1103"/>
  <c r="D518" i="1103"/>
  <c r="D517" i="1103"/>
  <c r="D516" i="1103"/>
  <c r="D513" i="1103"/>
  <c r="D512" i="1103"/>
  <c r="D511" i="1103"/>
  <c r="D510" i="1103"/>
  <c r="D509" i="1103"/>
  <c r="D508" i="1103"/>
  <c r="D507" i="1103"/>
  <c r="D506" i="1103"/>
  <c r="D505" i="1103"/>
  <c r="D504" i="1103"/>
  <c r="D503" i="1103"/>
  <c r="D502" i="1103"/>
  <c r="D501" i="1103"/>
  <c r="D500" i="1103"/>
  <c r="D499" i="1103"/>
  <c r="D496" i="1103"/>
  <c r="D495" i="1103"/>
  <c r="D494" i="1103"/>
  <c r="D493" i="1103"/>
  <c r="D492" i="1103"/>
  <c r="D491" i="1103"/>
  <c r="D490" i="1103"/>
  <c r="D489" i="1103"/>
  <c r="D488" i="1103"/>
  <c r="D487" i="1103"/>
  <c r="D486" i="1103"/>
  <c r="D485" i="1103"/>
  <c r="D484" i="1103"/>
  <c r="D483" i="1103"/>
  <c r="D482" i="1103"/>
  <c r="D479" i="1103"/>
  <c r="D478" i="1103"/>
  <c r="D477" i="1103"/>
  <c r="D476" i="1103"/>
  <c r="D475" i="1103"/>
  <c r="D474" i="1103"/>
  <c r="D473" i="1103"/>
  <c r="D472" i="1103"/>
  <c r="D471" i="1103"/>
  <c r="D470" i="1103"/>
  <c r="D469" i="1103"/>
  <c r="D468" i="1103"/>
  <c r="D467" i="1103"/>
  <c r="D466" i="1103"/>
  <c r="D465" i="1103"/>
  <c r="D462" i="1103"/>
  <c r="D461" i="1103"/>
  <c r="D460" i="1103"/>
  <c r="D459" i="1103"/>
  <c r="D458" i="1103"/>
  <c r="D457" i="1103"/>
  <c r="D456" i="1103"/>
  <c r="D455" i="1103"/>
  <c r="D454" i="1103"/>
  <c r="D453" i="1103"/>
  <c r="D452" i="1103"/>
  <c r="D451" i="1103"/>
  <c r="D450" i="1103"/>
  <c r="D449" i="1103"/>
  <c r="D448" i="1103"/>
  <c r="D445" i="1103"/>
  <c r="D444" i="1103"/>
  <c r="D443" i="1103"/>
  <c r="D442" i="1103"/>
  <c r="D441" i="1103"/>
  <c r="D440" i="1103"/>
  <c r="D439" i="1103"/>
  <c r="D438" i="1103"/>
  <c r="D437" i="1103"/>
  <c r="D436" i="1103"/>
  <c r="D435" i="1103"/>
  <c r="D434" i="1103"/>
  <c r="D433" i="1103"/>
  <c r="D432" i="1103"/>
  <c r="D431" i="1103"/>
  <c r="D428" i="1103"/>
  <c r="D427" i="1103"/>
  <c r="D426" i="1103"/>
  <c r="D425" i="1103"/>
  <c r="D424" i="1103"/>
  <c r="D423" i="1103"/>
  <c r="D422" i="1103"/>
  <c r="D421" i="1103"/>
  <c r="D420" i="1103"/>
  <c r="D419" i="1103"/>
  <c r="D418" i="1103"/>
  <c r="D417" i="1103"/>
  <c r="D416" i="1103"/>
  <c r="D415" i="1103"/>
  <c r="D414" i="1103"/>
  <c r="D411" i="1103"/>
  <c r="D410" i="1103"/>
  <c r="D409" i="1103"/>
  <c r="D408" i="1103"/>
  <c r="D407" i="1103"/>
  <c r="D406" i="1103"/>
  <c r="D405" i="1103"/>
  <c r="D404" i="1103"/>
  <c r="D403" i="1103"/>
  <c r="D402" i="1103"/>
  <c r="D401" i="1103"/>
  <c r="D400" i="1103"/>
  <c r="D399" i="1103"/>
  <c r="D398" i="1103"/>
  <c r="D397" i="1103"/>
  <c r="D394" i="1103"/>
  <c r="D393" i="1103"/>
  <c r="D392" i="1103"/>
  <c r="D391" i="1103"/>
  <c r="D390" i="1103"/>
  <c r="D389" i="1103"/>
  <c r="D388" i="1103"/>
  <c r="D387" i="1103"/>
  <c r="D386" i="1103"/>
  <c r="D385" i="1103"/>
  <c r="D384" i="1103"/>
  <c r="D383" i="1103"/>
  <c r="D382" i="1103"/>
  <c r="D381" i="1103"/>
  <c r="D380" i="1103"/>
  <c r="D377" i="1103"/>
  <c r="D376" i="1103"/>
  <c r="D375" i="1103"/>
  <c r="D374" i="1103"/>
  <c r="D373" i="1103"/>
  <c r="D372" i="1103"/>
  <c r="D371" i="1103"/>
  <c r="D370" i="1103"/>
  <c r="D369" i="1103"/>
  <c r="D368" i="1103"/>
  <c r="D367" i="1103"/>
  <c r="D366" i="1103"/>
  <c r="D365" i="1103"/>
  <c r="D364" i="1103"/>
  <c r="D363" i="1103"/>
  <c r="D360" i="1103"/>
  <c r="D359" i="1103"/>
  <c r="D358" i="1103"/>
  <c r="D357" i="1103"/>
  <c r="D356" i="1103"/>
  <c r="D355" i="1103"/>
  <c r="D354" i="1103"/>
  <c r="D353" i="1103"/>
  <c r="D352" i="1103"/>
  <c r="D351" i="1103"/>
  <c r="D350" i="1103"/>
  <c r="D349" i="1103"/>
  <c r="D348" i="1103"/>
  <c r="D347" i="1103"/>
  <c r="D346" i="1103"/>
  <c r="D343" i="1103"/>
  <c r="D342" i="1103"/>
  <c r="D341" i="1103"/>
  <c r="D340" i="1103"/>
  <c r="D339" i="1103"/>
  <c r="D338" i="1103"/>
  <c r="D337" i="1103"/>
  <c r="D336" i="1103"/>
  <c r="D335" i="1103"/>
  <c r="D334" i="1103"/>
  <c r="D333" i="1103"/>
  <c r="D332" i="1103"/>
  <c r="D331" i="1103"/>
  <c r="D330" i="1103"/>
  <c r="D329" i="1103"/>
  <c r="D326" i="1103"/>
  <c r="D325" i="1103"/>
  <c r="D324" i="1103"/>
  <c r="D323" i="1103"/>
  <c r="D322" i="1103"/>
  <c r="D321" i="1103"/>
  <c r="D320" i="1103"/>
  <c r="D319" i="1103"/>
  <c r="D318" i="1103"/>
  <c r="D317" i="1103"/>
  <c r="D316" i="1103"/>
  <c r="D315" i="1103"/>
  <c r="D314" i="1103"/>
  <c r="D313" i="1103"/>
  <c r="D312" i="1103"/>
  <c r="D309" i="1103"/>
  <c r="D308" i="1103"/>
  <c r="D307" i="1103"/>
  <c r="D306" i="1103"/>
  <c r="D305" i="1103"/>
  <c r="D304" i="1103"/>
  <c r="D303" i="1103"/>
  <c r="D302" i="1103"/>
  <c r="D301" i="1103"/>
  <c r="D300" i="1103"/>
  <c r="D299" i="1103"/>
  <c r="D298" i="1103"/>
  <c r="D297" i="1103"/>
  <c r="D296" i="1103"/>
  <c r="D295" i="1103"/>
  <c r="D292" i="1103"/>
  <c r="D291" i="1103"/>
  <c r="D290" i="1103"/>
  <c r="D289" i="1103"/>
  <c r="D288" i="1103"/>
  <c r="D287" i="1103"/>
  <c r="D286" i="1103"/>
  <c r="D285" i="1103"/>
  <c r="D284" i="1103"/>
  <c r="D283" i="1103"/>
  <c r="D282" i="1103"/>
  <c r="D281" i="1103"/>
  <c r="D280" i="1103"/>
  <c r="D279" i="1103"/>
  <c r="D278" i="1103"/>
  <c r="D275" i="1103"/>
  <c r="D274" i="1103"/>
  <c r="D273" i="1103"/>
  <c r="D272" i="1103"/>
  <c r="D271" i="1103"/>
  <c r="D270" i="1103"/>
  <c r="D269" i="1103"/>
  <c r="D268" i="1103"/>
  <c r="D267" i="1103"/>
  <c r="D266" i="1103"/>
  <c r="D265" i="1103"/>
  <c r="D264" i="1103"/>
  <c r="D263" i="1103"/>
  <c r="D262" i="1103"/>
  <c r="D261" i="1103"/>
  <c r="D258" i="1103"/>
  <c r="D257" i="1103"/>
  <c r="D256" i="1103"/>
  <c r="D255" i="1103"/>
  <c r="D254" i="1103"/>
  <c r="D253" i="1103"/>
  <c r="D252" i="1103"/>
  <c r="D251" i="1103"/>
  <c r="D250" i="1103"/>
  <c r="D249" i="1103"/>
  <c r="D248" i="1103"/>
  <c r="D247" i="1103"/>
  <c r="D246" i="1103"/>
  <c r="D245" i="1103"/>
  <c r="D244" i="1103"/>
  <c r="D241" i="1103"/>
  <c r="D240" i="1103"/>
  <c r="D239" i="1103"/>
  <c r="D238" i="1103"/>
  <c r="D237" i="1103"/>
  <c r="D236" i="1103"/>
  <c r="D235" i="1103"/>
  <c r="D234" i="1103"/>
  <c r="D233" i="1103"/>
  <c r="D232" i="1103"/>
  <c r="D231" i="1103"/>
  <c r="D230" i="1103"/>
  <c r="D229" i="1103"/>
  <c r="D228" i="1103"/>
  <c r="D227" i="1103"/>
  <c r="D224" i="1103"/>
  <c r="D223" i="1103"/>
  <c r="D222" i="1103"/>
  <c r="D221" i="1103"/>
  <c r="D220" i="1103"/>
  <c r="D219" i="1103"/>
  <c r="D218" i="1103"/>
  <c r="D217" i="1103"/>
  <c r="D216" i="1103"/>
  <c r="D215" i="1103"/>
  <c r="D214" i="1103"/>
  <c r="D213" i="1103"/>
  <c r="D212" i="1103"/>
  <c r="D211" i="1103"/>
  <c r="D210" i="1103"/>
  <c r="D207" i="1103"/>
  <c r="D206" i="1103"/>
  <c r="D205" i="1103"/>
  <c r="D204" i="1103"/>
  <c r="D203" i="1103"/>
  <c r="D202" i="1103"/>
  <c r="D201" i="1103"/>
  <c r="D200" i="1103"/>
  <c r="D199" i="1103"/>
  <c r="D198" i="1103"/>
  <c r="D197" i="1103"/>
  <c r="D196" i="1103"/>
  <c r="D195" i="1103"/>
  <c r="D194" i="1103"/>
  <c r="D193" i="1103"/>
  <c r="D190" i="1103"/>
  <c r="D189" i="1103"/>
  <c r="D188" i="1103"/>
  <c r="D187" i="1103"/>
  <c r="D186" i="1103"/>
  <c r="D185" i="1103"/>
  <c r="D184" i="1103"/>
  <c r="D183" i="1103"/>
  <c r="D182" i="1103"/>
  <c r="D181" i="1103"/>
  <c r="D180" i="1103"/>
  <c r="D179" i="1103"/>
  <c r="D178" i="1103"/>
  <c r="D177" i="1103"/>
  <c r="D176" i="1103"/>
  <c r="D173" i="1103"/>
  <c r="D172" i="1103"/>
  <c r="D171" i="1103"/>
  <c r="D170" i="1103"/>
  <c r="D169" i="1103"/>
  <c r="D168" i="1103"/>
  <c r="D167" i="1103"/>
  <c r="D166" i="1103"/>
  <c r="D165" i="1103"/>
  <c r="D164" i="1103"/>
  <c r="D163" i="1103"/>
  <c r="D162" i="1103"/>
  <c r="D161" i="1103"/>
  <c r="D160" i="1103"/>
  <c r="D159" i="1103"/>
  <c r="D156" i="1103"/>
  <c r="D155" i="1103"/>
  <c r="D154" i="1103"/>
  <c r="D153" i="1103"/>
  <c r="D152" i="1103"/>
  <c r="D151" i="1103"/>
  <c r="D150" i="1103"/>
  <c r="D149" i="1103"/>
  <c r="D148" i="1103"/>
  <c r="D147" i="1103"/>
  <c r="D146" i="1103"/>
  <c r="D145" i="1103"/>
  <c r="D144" i="1103"/>
  <c r="D143" i="1103"/>
  <c r="D142" i="1103"/>
  <c r="D139" i="1103"/>
  <c r="D138" i="1103"/>
  <c r="D137" i="1103"/>
  <c r="D136" i="1103"/>
  <c r="D135" i="1103"/>
  <c r="D134" i="1103"/>
  <c r="D133" i="1103"/>
  <c r="D132" i="1103"/>
  <c r="D131" i="1103"/>
  <c r="D130" i="1103"/>
  <c r="D129" i="1103"/>
  <c r="D128" i="1103"/>
  <c r="D127" i="1103"/>
  <c r="D126" i="1103"/>
  <c r="D125" i="1103"/>
  <c r="D122" i="1103"/>
  <c r="D121" i="1103"/>
  <c r="D120" i="1103"/>
  <c r="D119" i="1103"/>
  <c r="D118" i="1103"/>
  <c r="D117" i="1103"/>
  <c r="D116" i="1103"/>
  <c r="D115" i="1103"/>
  <c r="D114" i="1103"/>
  <c r="D113" i="1103"/>
  <c r="D112" i="1103"/>
  <c r="D111" i="1103"/>
  <c r="D110" i="1103"/>
  <c r="D109" i="1103"/>
  <c r="D108" i="1103"/>
  <c r="D105" i="1103"/>
  <c r="D104" i="1103"/>
  <c r="D103" i="1103"/>
  <c r="D102" i="1103"/>
  <c r="D101" i="1103"/>
  <c r="D100" i="1103"/>
  <c r="D99" i="1103"/>
  <c r="D98" i="1103"/>
  <c r="D97" i="1103"/>
  <c r="D96" i="1103"/>
  <c r="D95" i="1103"/>
  <c r="D94" i="1103"/>
  <c r="D93" i="1103"/>
  <c r="D92" i="1103"/>
  <c r="D91" i="1103"/>
  <c r="D88" i="1103"/>
  <c r="D87" i="1103"/>
  <c r="D86" i="1103"/>
  <c r="D85" i="1103"/>
  <c r="D84" i="1103"/>
  <c r="D83" i="1103"/>
  <c r="D82" i="1103"/>
  <c r="D81" i="1103"/>
  <c r="D80" i="1103"/>
  <c r="D79" i="1103"/>
  <c r="D78" i="1103"/>
  <c r="D77" i="1103"/>
  <c r="D76" i="1103"/>
  <c r="D75" i="1103"/>
  <c r="D74" i="1103"/>
  <c r="D71" i="1103"/>
  <c r="D70" i="1103"/>
  <c r="D69" i="1103"/>
  <c r="D68" i="1103"/>
  <c r="D67" i="1103"/>
  <c r="D66" i="1103"/>
  <c r="D65" i="1103"/>
  <c r="D64" i="1103"/>
  <c r="D63" i="1103"/>
  <c r="D62" i="1103"/>
  <c r="D61" i="1103"/>
  <c r="D60" i="1103"/>
  <c r="D59" i="1103"/>
  <c r="D58" i="1103"/>
  <c r="D57" i="1103"/>
  <c r="D359" i="261"/>
  <c r="D358" i="261"/>
  <c r="D357" i="261"/>
  <c r="D356" i="261"/>
  <c r="D355" i="261"/>
  <c r="D354" i="261"/>
  <c r="D353" i="261"/>
  <c r="D352" i="261"/>
  <c r="D351" i="261"/>
  <c r="D350" i="261"/>
  <c r="D349" i="261"/>
  <c r="D348" i="261"/>
  <c r="D347" i="261"/>
  <c r="D346" i="261"/>
  <c r="S345" i="261"/>
  <c r="D345" i="261"/>
  <c r="D342" i="261"/>
  <c r="D341" i="261"/>
  <c r="D340" i="261"/>
  <c r="D339" i="261"/>
  <c r="D338" i="261"/>
  <c r="D337" i="261"/>
  <c r="D336" i="261"/>
  <c r="D335" i="261"/>
  <c r="D334" i="261"/>
  <c r="D333" i="261"/>
  <c r="D332" i="261"/>
  <c r="D331" i="261"/>
  <c r="D330" i="261"/>
  <c r="D329" i="261"/>
  <c r="S328" i="261"/>
  <c r="D328" i="261"/>
  <c r="D325" i="261"/>
  <c r="D324" i="261"/>
  <c r="D323" i="261"/>
  <c r="D322" i="261"/>
  <c r="D321" i="261"/>
  <c r="D320" i="261"/>
  <c r="D319" i="261"/>
  <c r="D318" i="261"/>
  <c r="D317" i="261"/>
  <c r="D316" i="261"/>
  <c r="D315" i="261"/>
  <c r="D314" i="261"/>
  <c r="D313" i="261"/>
  <c r="D312" i="261"/>
  <c r="S311" i="261"/>
  <c r="D311" i="261"/>
  <c r="D308" i="261"/>
  <c r="D307" i="261"/>
  <c r="D306" i="261"/>
  <c r="D305" i="261"/>
  <c r="D304" i="261"/>
  <c r="D303" i="261"/>
  <c r="D302" i="261"/>
  <c r="D301" i="261"/>
  <c r="D300" i="261"/>
  <c r="D299" i="261"/>
  <c r="D298" i="261"/>
  <c r="D297" i="261"/>
  <c r="D296" i="261"/>
  <c r="D295" i="261"/>
  <c r="S294" i="261"/>
  <c r="D294" i="261"/>
  <c r="D291" i="261"/>
  <c r="D290" i="261"/>
  <c r="D289" i="261"/>
  <c r="D288" i="261"/>
  <c r="D287" i="261"/>
  <c r="D286" i="261"/>
  <c r="D285" i="261"/>
  <c r="D284" i="261"/>
  <c r="D283" i="261"/>
  <c r="D282" i="261"/>
  <c r="D281" i="261"/>
  <c r="D280" i="261"/>
  <c r="D279" i="261"/>
  <c r="D278" i="261"/>
  <c r="S277" i="261"/>
  <c r="D277" i="261"/>
  <c r="D274" i="261"/>
  <c r="D273" i="261"/>
  <c r="D272" i="261"/>
  <c r="D271" i="261"/>
  <c r="D270" i="261"/>
  <c r="D269" i="261"/>
  <c r="D268" i="261"/>
  <c r="D267" i="261"/>
  <c r="D266" i="261"/>
  <c r="D265" i="261"/>
  <c r="D264" i="261"/>
  <c r="D263" i="261"/>
  <c r="D262" i="261"/>
  <c r="D261" i="261"/>
  <c r="S260" i="261"/>
  <c r="D260" i="261"/>
  <c r="D257" i="261"/>
  <c r="D256" i="261"/>
  <c r="D255" i="261"/>
  <c r="D254" i="261"/>
  <c r="D253" i="261"/>
  <c r="D252" i="261"/>
  <c r="D251" i="261"/>
  <c r="D250" i="261"/>
  <c r="D249" i="261"/>
  <c r="D248" i="261"/>
  <c r="D247" i="261"/>
  <c r="D246" i="261"/>
  <c r="D245" i="261"/>
  <c r="D244" i="261"/>
  <c r="S243" i="261"/>
  <c r="S244" i="261" s="1"/>
  <c r="S245" i="261" s="1"/>
  <c r="D243" i="261"/>
  <c r="D240" i="261"/>
  <c r="D239" i="261"/>
  <c r="D238" i="261"/>
  <c r="D237" i="261"/>
  <c r="D236" i="261"/>
  <c r="D235" i="261"/>
  <c r="D234" i="261"/>
  <c r="D233" i="261"/>
  <c r="D232" i="261"/>
  <c r="D231" i="261"/>
  <c r="D230" i="261"/>
  <c r="D229" i="261"/>
  <c r="D228" i="261"/>
  <c r="D227" i="261"/>
  <c r="S226" i="261"/>
  <c r="S227" i="261" s="1"/>
  <c r="S228" i="261" s="1"/>
  <c r="S229" i="261" s="1"/>
  <c r="D226" i="261"/>
  <c r="D175" i="261"/>
  <c r="S175" i="261"/>
  <c r="S176" i="261" s="1"/>
  <c r="S177" i="261" s="1"/>
  <c r="D176" i="261"/>
  <c r="D177" i="261"/>
  <c r="D178" i="261"/>
  <c r="D179" i="261"/>
  <c r="D180" i="261"/>
  <c r="D181" i="261"/>
  <c r="D182" i="261"/>
  <c r="D183" i="261"/>
  <c r="D184" i="261"/>
  <c r="D185" i="261"/>
  <c r="D186" i="261"/>
  <c r="D187" i="261"/>
  <c r="D188" i="261"/>
  <c r="D189" i="261"/>
  <c r="D172" i="261"/>
  <c r="D171" i="261"/>
  <c r="D170" i="261"/>
  <c r="D169" i="261"/>
  <c r="D168" i="261"/>
  <c r="D167" i="261"/>
  <c r="D166" i="261"/>
  <c r="D165" i="261"/>
  <c r="D164" i="261"/>
  <c r="D163" i="261"/>
  <c r="D162" i="261"/>
  <c r="D161" i="261"/>
  <c r="D160" i="261"/>
  <c r="D159" i="261"/>
  <c r="S158" i="261"/>
  <c r="D158" i="261"/>
  <c r="D155" i="261"/>
  <c r="D154" i="261"/>
  <c r="D153" i="261"/>
  <c r="D152" i="261"/>
  <c r="D151" i="261"/>
  <c r="D150" i="261"/>
  <c r="D149" i="261"/>
  <c r="D148" i="261"/>
  <c r="D147" i="261"/>
  <c r="D146" i="261"/>
  <c r="D145" i="261"/>
  <c r="D144" i="261"/>
  <c r="D143" i="261"/>
  <c r="D142" i="261"/>
  <c r="S141" i="261"/>
  <c r="D141" i="261"/>
  <c r="D138" i="261"/>
  <c r="D137" i="261"/>
  <c r="D136" i="261"/>
  <c r="D135" i="261"/>
  <c r="D134" i="261"/>
  <c r="D133" i="261"/>
  <c r="D132" i="261"/>
  <c r="D131" i="261"/>
  <c r="D130" i="261"/>
  <c r="D129" i="261"/>
  <c r="D128" i="261"/>
  <c r="D127" i="261"/>
  <c r="D126" i="261"/>
  <c r="D125" i="261"/>
  <c r="S124" i="261"/>
  <c r="D124" i="261"/>
  <c r="D121" i="261"/>
  <c r="D120" i="261"/>
  <c r="D119" i="261"/>
  <c r="D118" i="261"/>
  <c r="D117" i="261"/>
  <c r="D116" i="261"/>
  <c r="D115" i="261"/>
  <c r="D114" i="261"/>
  <c r="D113" i="261"/>
  <c r="D112" i="261"/>
  <c r="D111" i="261"/>
  <c r="D110" i="261"/>
  <c r="D109" i="261"/>
  <c r="D108" i="261"/>
  <c r="S107" i="261"/>
  <c r="S108" i="261" s="1"/>
  <c r="D107" i="261"/>
  <c r="S346" i="261" l="1"/>
  <c r="S329" i="261"/>
  <c r="S312" i="261"/>
  <c r="S295" i="261"/>
  <c r="S278" i="261"/>
  <c r="S261" i="261"/>
  <c r="S246" i="261"/>
  <c r="S230" i="261"/>
  <c r="S178" i="261"/>
  <c r="S159" i="261"/>
  <c r="S142" i="261"/>
  <c r="S125" i="261"/>
  <c r="S109" i="261"/>
  <c r="S347" i="261" l="1"/>
  <c r="S330" i="261"/>
  <c r="S313" i="261"/>
  <c r="S296" i="261"/>
  <c r="S279" i="261"/>
  <c r="S262" i="261"/>
  <c r="S247" i="261"/>
  <c r="S231" i="261"/>
  <c r="S179" i="261"/>
  <c r="S160" i="261"/>
  <c r="S143" i="261"/>
  <c r="S126" i="261"/>
  <c r="S110" i="261"/>
  <c r="F50" i="1104"/>
  <c r="F43" i="1104"/>
  <c r="F83" i="1104"/>
  <c r="F42" i="1104"/>
  <c r="F52" i="1104"/>
  <c r="F46" i="1104"/>
  <c r="F62" i="1104"/>
  <c r="F82" i="1104"/>
  <c r="F67" i="1104"/>
  <c r="F66" i="1104"/>
  <c r="F37" i="1104"/>
  <c r="F54" i="1104"/>
  <c r="F61" i="1104"/>
  <c r="F70" i="1104"/>
  <c r="F47" i="1104"/>
  <c r="F45" i="1104"/>
  <c r="F64" i="1104"/>
  <c r="F53" i="1104"/>
  <c r="F40" i="1104"/>
  <c r="F41" i="1104"/>
  <c r="F68" i="1104"/>
  <c r="F59" i="1104"/>
  <c r="F44" i="1104"/>
  <c r="F58" i="1104"/>
  <c r="F69" i="1104"/>
  <c r="F76" i="1104"/>
  <c r="F39" i="1104"/>
  <c r="F73" i="1104"/>
  <c r="F75" i="1104"/>
  <c r="F74" i="1104"/>
  <c r="F72" i="1104"/>
  <c r="F81" i="1104"/>
  <c r="F55" i="1104"/>
  <c r="F49" i="1104"/>
  <c r="F38" i="1104"/>
  <c r="F57" i="1104"/>
  <c r="F80" i="1104"/>
  <c r="F77" i="1104"/>
  <c r="F60" i="1104"/>
  <c r="F48" i="1104"/>
  <c r="F56" i="1104"/>
  <c r="F51" i="1104"/>
  <c r="F79" i="1104"/>
  <c r="F63" i="1104"/>
  <c r="F26" i="1104"/>
  <c r="F71" i="1104"/>
  <c r="F78" i="1104"/>
  <c r="F25" i="1104"/>
  <c r="F84" i="1104"/>
  <c r="F65" i="1104"/>
  <c r="S348" i="261" l="1"/>
  <c r="S331" i="261"/>
  <c r="S314" i="261"/>
  <c r="S297" i="261"/>
  <c r="S280" i="261"/>
  <c r="S263" i="261"/>
  <c r="S248" i="261"/>
  <c r="S232" i="261"/>
  <c r="S180" i="261"/>
  <c r="S161" i="261"/>
  <c r="S144" i="261"/>
  <c r="S127" i="261"/>
  <c r="S111" i="261"/>
  <c r="C10000" i="140"/>
  <c r="C9999" i="140"/>
  <c r="C9998" i="140"/>
  <c r="C9997" i="140"/>
  <c r="C9996" i="140"/>
  <c r="C9995" i="140"/>
  <c r="C9994" i="140"/>
  <c r="C9993" i="140"/>
  <c r="C9992" i="140"/>
  <c r="C9991" i="140"/>
  <c r="C9990" i="140"/>
  <c r="C9989" i="140"/>
  <c r="C9988" i="140"/>
  <c r="C9987" i="140"/>
  <c r="C9986" i="140"/>
  <c r="C9985" i="140"/>
  <c r="C9984" i="140"/>
  <c r="C9983" i="140"/>
  <c r="C9982" i="140"/>
  <c r="C9981" i="140"/>
  <c r="C9980" i="140"/>
  <c r="C9979" i="140"/>
  <c r="C9978" i="140"/>
  <c r="C9977" i="140"/>
  <c r="C9976" i="140"/>
  <c r="C9975" i="140"/>
  <c r="C9974" i="140"/>
  <c r="C9973" i="140"/>
  <c r="C9972" i="140"/>
  <c r="C9971" i="140"/>
  <c r="C9970" i="140"/>
  <c r="C9969" i="140"/>
  <c r="C9968" i="140"/>
  <c r="C9967" i="140"/>
  <c r="C9966" i="140"/>
  <c r="C9965" i="140"/>
  <c r="C9964" i="140"/>
  <c r="C9963" i="140"/>
  <c r="C9962" i="140"/>
  <c r="C9961" i="140"/>
  <c r="C9960" i="140"/>
  <c r="C9959" i="140"/>
  <c r="C9958" i="140"/>
  <c r="C9957" i="140"/>
  <c r="C9956" i="140"/>
  <c r="C9955" i="140"/>
  <c r="C9954" i="140"/>
  <c r="C9953" i="140"/>
  <c r="C9952" i="140"/>
  <c r="C9951" i="140"/>
  <c r="C9950" i="140"/>
  <c r="C9949" i="140"/>
  <c r="C9948" i="140"/>
  <c r="C9947" i="140"/>
  <c r="C9946" i="140"/>
  <c r="C9945" i="140"/>
  <c r="C9944" i="140"/>
  <c r="C9943" i="140"/>
  <c r="C9942" i="140"/>
  <c r="C9941" i="140"/>
  <c r="C9940" i="140"/>
  <c r="C9939" i="140"/>
  <c r="C9938" i="140"/>
  <c r="C9937" i="140"/>
  <c r="C9936" i="140"/>
  <c r="C9935" i="140"/>
  <c r="C9934" i="140"/>
  <c r="C9933" i="140"/>
  <c r="C9932" i="140"/>
  <c r="C9931" i="140"/>
  <c r="C9930" i="140"/>
  <c r="C9929" i="140"/>
  <c r="C9928" i="140"/>
  <c r="C9927" i="140"/>
  <c r="C9926" i="140"/>
  <c r="C9925" i="140"/>
  <c r="C9924" i="140"/>
  <c r="C9923" i="140"/>
  <c r="C9922" i="140"/>
  <c r="C9921" i="140"/>
  <c r="C9920" i="140"/>
  <c r="C9919" i="140"/>
  <c r="C9918" i="140"/>
  <c r="C9917" i="140"/>
  <c r="C9916" i="140"/>
  <c r="C9915" i="140"/>
  <c r="C9914" i="140"/>
  <c r="C9913" i="140"/>
  <c r="C9912" i="140"/>
  <c r="C9911" i="140"/>
  <c r="C9910" i="140"/>
  <c r="C9909" i="140"/>
  <c r="C9908" i="140"/>
  <c r="C9907" i="140"/>
  <c r="C9906" i="140"/>
  <c r="C9905" i="140"/>
  <c r="C9904" i="140"/>
  <c r="C9903" i="140"/>
  <c r="C9902" i="140"/>
  <c r="C9901" i="140"/>
  <c r="C9900" i="140"/>
  <c r="C9899" i="140"/>
  <c r="C9898" i="140"/>
  <c r="C9897" i="140"/>
  <c r="C9896" i="140"/>
  <c r="C9895" i="140"/>
  <c r="C9894" i="140"/>
  <c r="C9893" i="140"/>
  <c r="C9892" i="140"/>
  <c r="C9891" i="140"/>
  <c r="C9890" i="140"/>
  <c r="C9889" i="140"/>
  <c r="C9888" i="140"/>
  <c r="C9887" i="140"/>
  <c r="C9886" i="140"/>
  <c r="C9885" i="140"/>
  <c r="C9884" i="140"/>
  <c r="C9883" i="140"/>
  <c r="C9882" i="140"/>
  <c r="C9881" i="140"/>
  <c r="C9880" i="140"/>
  <c r="C9879" i="140"/>
  <c r="C9878" i="140"/>
  <c r="C9877" i="140"/>
  <c r="C9876" i="140"/>
  <c r="C9875" i="140"/>
  <c r="C9874" i="140"/>
  <c r="C9873" i="140"/>
  <c r="C9872" i="140"/>
  <c r="C9871" i="140"/>
  <c r="C9870" i="140"/>
  <c r="C9869" i="140"/>
  <c r="C9868" i="140"/>
  <c r="C9867" i="140"/>
  <c r="C9866" i="140"/>
  <c r="C9865" i="140"/>
  <c r="C9864" i="140"/>
  <c r="C9863" i="140"/>
  <c r="C9862" i="140"/>
  <c r="C9861" i="140"/>
  <c r="C9860" i="140"/>
  <c r="C9859" i="140"/>
  <c r="C9858" i="140"/>
  <c r="C9857" i="140"/>
  <c r="C9856" i="140"/>
  <c r="C9855" i="140"/>
  <c r="C9854" i="140"/>
  <c r="C9853" i="140"/>
  <c r="C9852" i="140"/>
  <c r="C9851" i="140"/>
  <c r="C9850" i="140"/>
  <c r="C9849" i="140"/>
  <c r="C9848" i="140"/>
  <c r="C9847" i="140"/>
  <c r="C9846" i="140"/>
  <c r="C9845" i="140"/>
  <c r="C9844" i="140"/>
  <c r="C9843" i="140"/>
  <c r="C9842" i="140"/>
  <c r="C9841" i="140"/>
  <c r="C9840" i="140"/>
  <c r="C9839" i="140"/>
  <c r="C9838" i="140"/>
  <c r="C9837" i="140"/>
  <c r="C9836" i="140"/>
  <c r="C9835" i="140"/>
  <c r="C9834" i="140"/>
  <c r="C9833" i="140"/>
  <c r="C9832" i="140"/>
  <c r="C9831" i="140"/>
  <c r="C9830" i="140"/>
  <c r="C9829" i="140"/>
  <c r="C9828" i="140"/>
  <c r="C9827" i="140"/>
  <c r="C9826" i="140"/>
  <c r="C9825" i="140"/>
  <c r="C9824" i="140"/>
  <c r="C9823" i="140"/>
  <c r="C9822" i="140"/>
  <c r="C9821" i="140"/>
  <c r="C9820" i="140"/>
  <c r="C9819" i="140"/>
  <c r="C9818" i="140"/>
  <c r="C9817" i="140"/>
  <c r="C9816" i="140"/>
  <c r="C9815" i="140"/>
  <c r="C9814" i="140"/>
  <c r="C9813" i="140"/>
  <c r="C9812" i="140"/>
  <c r="C9811" i="140"/>
  <c r="C9810" i="140"/>
  <c r="C9809" i="140"/>
  <c r="C9808" i="140"/>
  <c r="C9807" i="140"/>
  <c r="C9806" i="140"/>
  <c r="C9805" i="140"/>
  <c r="C9804" i="140"/>
  <c r="C9803" i="140"/>
  <c r="C9802" i="140"/>
  <c r="C9801" i="140"/>
  <c r="C9800" i="140"/>
  <c r="C9799" i="140"/>
  <c r="C9798" i="140"/>
  <c r="C9797" i="140"/>
  <c r="C9796" i="140"/>
  <c r="C9795" i="140"/>
  <c r="C9794" i="140"/>
  <c r="C9793" i="140"/>
  <c r="C9792" i="140"/>
  <c r="C9791" i="140"/>
  <c r="C9790" i="140"/>
  <c r="C9789" i="140"/>
  <c r="C9788" i="140"/>
  <c r="C9787" i="140"/>
  <c r="C9786" i="140"/>
  <c r="C9785" i="140"/>
  <c r="C9784" i="140"/>
  <c r="C9783" i="140"/>
  <c r="C9782" i="140"/>
  <c r="C9781" i="140"/>
  <c r="C9780" i="140"/>
  <c r="C9779" i="140"/>
  <c r="C9778" i="140"/>
  <c r="C9777" i="140"/>
  <c r="C9776" i="140"/>
  <c r="C9775" i="140"/>
  <c r="C9774" i="140"/>
  <c r="C9773" i="140"/>
  <c r="C9772" i="140"/>
  <c r="C9771" i="140"/>
  <c r="C9770" i="140"/>
  <c r="C9769" i="140"/>
  <c r="C9768" i="140"/>
  <c r="C9767" i="140"/>
  <c r="C9766" i="140"/>
  <c r="C9765" i="140"/>
  <c r="C9764" i="140"/>
  <c r="C9763" i="140"/>
  <c r="C9762" i="140"/>
  <c r="C9761" i="140"/>
  <c r="C9760" i="140"/>
  <c r="C9759" i="140"/>
  <c r="C9758" i="140"/>
  <c r="C9757" i="140"/>
  <c r="C9756" i="140"/>
  <c r="C9755" i="140"/>
  <c r="C9754" i="140"/>
  <c r="C9753" i="140"/>
  <c r="C9752" i="140"/>
  <c r="C9751" i="140"/>
  <c r="C9750" i="140"/>
  <c r="C9749" i="140"/>
  <c r="C9748" i="140"/>
  <c r="C9747" i="140"/>
  <c r="C9746" i="140"/>
  <c r="C9745" i="140"/>
  <c r="C9744" i="140"/>
  <c r="C9743" i="140"/>
  <c r="C9742" i="140"/>
  <c r="C9741" i="140"/>
  <c r="C9740" i="140"/>
  <c r="C9739" i="140"/>
  <c r="C9738" i="140"/>
  <c r="C9737" i="140"/>
  <c r="C9736" i="140"/>
  <c r="C9735" i="140"/>
  <c r="C9734" i="140"/>
  <c r="C9733" i="140"/>
  <c r="C9732" i="140"/>
  <c r="C9731" i="140"/>
  <c r="C9730" i="140"/>
  <c r="C9729" i="140"/>
  <c r="C9728" i="140"/>
  <c r="C9727" i="140"/>
  <c r="C9726" i="140"/>
  <c r="C9725" i="140"/>
  <c r="C9724" i="140"/>
  <c r="C9723" i="140"/>
  <c r="C9722" i="140"/>
  <c r="C9721" i="140"/>
  <c r="C9720" i="140"/>
  <c r="C9719" i="140"/>
  <c r="C9718" i="140"/>
  <c r="C9717" i="140"/>
  <c r="C9716" i="140"/>
  <c r="C9715" i="140"/>
  <c r="C9714" i="140"/>
  <c r="C9713" i="140"/>
  <c r="C9712" i="140"/>
  <c r="C9711" i="140"/>
  <c r="C9710" i="140"/>
  <c r="C9709" i="140"/>
  <c r="C9708" i="140"/>
  <c r="C9707" i="140"/>
  <c r="C9706" i="140"/>
  <c r="C9705" i="140"/>
  <c r="C9704" i="140"/>
  <c r="C9703" i="140"/>
  <c r="C9702" i="140"/>
  <c r="C9701" i="140"/>
  <c r="C9700" i="140"/>
  <c r="C9699" i="140"/>
  <c r="C9698" i="140"/>
  <c r="C9697" i="140"/>
  <c r="C9696" i="140"/>
  <c r="C9695" i="140"/>
  <c r="C9694" i="140"/>
  <c r="C9693" i="140"/>
  <c r="C9692" i="140"/>
  <c r="C9691" i="140"/>
  <c r="C9690" i="140"/>
  <c r="C9689" i="140"/>
  <c r="C9688" i="140"/>
  <c r="C9687" i="140"/>
  <c r="C9686" i="140"/>
  <c r="C9685" i="140"/>
  <c r="C9684" i="140"/>
  <c r="C9683" i="140"/>
  <c r="C9682" i="140"/>
  <c r="C9681" i="140"/>
  <c r="C9680" i="140"/>
  <c r="C9679" i="140"/>
  <c r="C9678" i="140"/>
  <c r="C9677" i="140"/>
  <c r="C9676" i="140"/>
  <c r="C9675" i="140"/>
  <c r="C9674" i="140"/>
  <c r="C9673" i="140"/>
  <c r="C9672" i="140"/>
  <c r="C9671" i="140"/>
  <c r="C9670" i="140"/>
  <c r="C9669" i="140"/>
  <c r="C9668" i="140"/>
  <c r="C9667" i="140"/>
  <c r="C9666" i="140"/>
  <c r="C9665" i="140"/>
  <c r="C9664" i="140"/>
  <c r="C9663" i="140"/>
  <c r="C9662" i="140"/>
  <c r="C9661" i="140"/>
  <c r="C9660" i="140"/>
  <c r="C9659" i="140"/>
  <c r="C9658" i="140"/>
  <c r="C9657" i="140"/>
  <c r="C9656" i="140"/>
  <c r="C9655" i="140"/>
  <c r="C9654" i="140"/>
  <c r="C9653" i="140"/>
  <c r="C9652" i="140"/>
  <c r="C9651" i="140"/>
  <c r="C9650" i="140"/>
  <c r="C9649" i="140"/>
  <c r="C9648" i="140"/>
  <c r="C9647" i="140"/>
  <c r="C9646" i="140"/>
  <c r="C9645" i="140"/>
  <c r="C9644" i="140"/>
  <c r="C9643" i="140"/>
  <c r="C9642" i="140"/>
  <c r="C9641" i="140"/>
  <c r="C9640" i="140"/>
  <c r="C9639" i="140"/>
  <c r="C9638" i="140"/>
  <c r="C9637" i="140"/>
  <c r="C9636" i="140"/>
  <c r="C9635" i="140"/>
  <c r="C9634" i="140"/>
  <c r="C9633" i="140"/>
  <c r="C9632" i="140"/>
  <c r="C9631" i="140"/>
  <c r="C9630" i="140"/>
  <c r="C9629" i="140"/>
  <c r="C9628" i="140"/>
  <c r="C9627" i="140"/>
  <c r="C9626" i="140"/>
  <c r="C9625" i="140"/>
  <c r="C9624" i="140"/>
  <c r="C9623" i="140"/>
  <c r="C9622" i="140"/>
  <c r="C9621" i="140"/>
  <c r="C9620" i="140"/>
  <c r="C9619" i="140"/>
  <c r="C9618" i="140"/>
  <c r="C9617" i="140"/>
  <c r="C9616" i="140"/>
  <c r="C9615" i="140"/>
  <c r="C9614" i="140"/>
  <c r="C9613" i="140"/>
  <c r="C9612" i="140"/>
  <c r="C9611" i="140"/>
  <c r="C9610" i="140"/>
  <c r="C9609" i="140"/>
  <c r="C9608" i="140"/>
  <c r="C9607" i="140"/>
  <c r="C9606" i="140"/>
  <c r="C9605" i="140"/>
  <c r="C9604" i="140"/>
  <c r="C9603" i="140"/>
  <c r="C9602" i="140"/>
  <c r="C9601" i="140"/>
  <c r="C9600" i="140"/>
  <c r="C9599" i="140"/>
  <c r="C9598" i="140"/>
  <c r="C9597" i="140"/>
  <c r="C9596" i="140"/>
  <c r="C9595" i="140"/>
  <c r="C9594" i="140"/>
  <c r="C9593" i="140"/>
  <c r="C9592" i="140"/>
  <c r="C9591" i="140"/>
  <c r="C9590" i="140"/>
  <c r="C9589" i="140"/>
  <c r="C9588" i="140"/>
  <c r="C9587" i="140"/>
  <c r="C9586" i="140"/>
  <c r="C9585" i="140"/>
  <c r="C9584" i="140"/>
  <c r="C9583" i="140"/>
  <c r="C9582" i="140"/>
  <c r="C9581" i="140"/>
  <c r="C9580" i="140"/>
  <c r="C9579" i="140"/>
  <c r="C9578" i="140"/>
  <c r="C9577" i="140"/>
  <c r="C9576" i="140"/>
  <c r="C9575" i="140"/>
  <c r="C9574" i="140"/>
  <c r="C9573" i="140"/>
  <c r="C9572" i="140"/>
  <c r="C9571" i="140"/>
  <c r="C9570" i="140"/>
  <c r="C9569" i="140"/>
  <c r="C9568" i="140"/>
  <c r="C9567" i="140"/>
  <c r="C9566" i="140"/>
  <c r="C9565" i="140"/>
  <c r="C9564" i="140"/>
  <c r="C9563" i="140"/>
  <c r="C9562" i="140"/>
  <c r="C9561" i="140"/>
  <c r="C9560" i="140"/>
  <c r="C9559" i="140"/>
  <c r="C9558" i="140"/>
  <c r="C9557" i="140"/>
  <c r="C9556" i="140"/>
  <c r="C9555" i="140"/>
  <c r="C9554" i="140"/>
  <c r="C9553" i="140"/>
  <c r="C9552" i="140"/>
  <c r="C9551" i="140"/>
  <c r="C9550" i="140"/>
  <c r="C9549" i="140"/>
  <c r="C9548" i="140"/>
  <c r="C9547" i="140"/>
  <c r="C9546" i="140"/>
  <c r="C9545" i="140"/>
  <c r="C9544" i="140"/>
  <c r="C9543" i="140"/>
  <c r="C9542" i="140"/>
  <c r="C9541" i="140"/>
  <c r="C9540" i="140"/>
  <c r="C9539" i="140"/>
  <c r="C9538" i="140"/>
  <c r="C9537" i="140"/>
  <c r="C9536" i="140"/>
  <c r="C9535" i="140"/>
  <c r="C9534" i="140"/>
  <c r="C9533" i="140"/>
  <c r="C9532" i="140"/>
  <c r="C9531" i="140"/>
  <c r="C9530" i="140"/>
  <c r="C9529" i="140"/>
  <c r="C9528" i="140"/>
  <c r="C9527" i="140"/>
  <c r="C9526" i="140"/>
  <c r="C9525" i="140"/>
  <c r="C9524" i="140"/>
  <c r="C9523" i="140"/>
  <c r="C9522" i="140"/>
  <c r="C9521" i="140"/>
  <c r="C9520" i="140"/>
  <c r="C9519" i="140"/>
  <c r="C9518" i="140"/>
  <c r="C9517" i="140"/>
  <c r="C9516" i="140"/>
  <c r="C9515" i="140"/>
  <c r="C9514" i="140"/>
  <c r="C9513" i="140"/>
  <c r="C9512" i="140"/>
  <c r="C9511" i="140"/>
  <c r="C9510" i="140"/>
  <c r="C9509" i="140"/>
  <c r="C9508" i="140"/>
  <c r="C9507" i="140"/>
  <c r="C9506" i="140"/>
  <c r="C9505" i="140"/>
  <c r="C9504" i="140"/>
  <c r="C9503" i="140"/>
  <c r="C9502" i="140"/>
  <c r="C9501" i="140"/>
  <c r="C9500" i="140"/>
  <c r="C9499" i="140"/>
  <c r="C9498" i="140"/>
  <c r="C9497" i="140"/>
  <c r="C9496" i="140"/>
  <c r="C9495" i="140"/>
  <c r="C9494" i="140"/>
  <c r="C9493" i="140"/>
  <c r="C9492" i="140"/>
  <c r="C9491" i="140"/>
  <c r="C9490" i="140"/>
  <c r="C9489" i="140"/>
  <c r="C9488" i="140"/>
  <c r="C9487" i="140"/>
  <c r="C9486" i="140"/>
  <c r="C9485" i="140"/>
  <c r="C9484" i="140"/>
  <c r="C9483" i="140"/>
  <c r="C9482" i="140"/>
  <c r="C9481" i="140"/>
  <c r="C9480" i="140"/>
  <c r="C9479" i="140"/>
  <c r="C9478" i="140"/>
  <c r="C9477" i="140"/>
  <c r="C9476" i="140"/>
  <c r="C9475" i="140"/>
  <c r="C9474" i="140"/>
  <c r="C9473" i="140"/>
  <c r="C9472" i="140"/>
  <c r="C9471" i="140"/>
  <c r="C9470" i="140"/>
  <c r="C9469" i="140"/>
  <c r="C9468" i="140"/>
  <c r="C9467" i="140"/>
  <c r="C9466" i="140"/>
  <c r="C9465" i="140"/>
  <c r="C9464" i="140"/>
  <c r="C9463" i="140"/>
  <c r="C9462" i="140"/>
  <c r="C9461" i="140"/>
  <c r="C9460" i="140"/>
  <c r="C9459" i="140"/>
  <c r="C9458" i="140"/>
  <c r="C9457" i="140"/>
  <c r="C9456" i="140"/>
  <c r="C9455" i="140"/>
  <c r="C9454" i="140"/>
  <c r="C9453" i="140"/>
  <c r="C9452" i="140"/>
  <c r="C9451" i="140"/>
  <c r="C9450" i="140"/>
  <c r="C9449" i="140"/>
  <c r="C9448" i="140"/>
  <c r="C9447" i="140"/>
  <c r="C9446" i="140"/>
  <c r="C9445" i="140"/>
  <c r="C9444" i="140"/>
  <c r="C9443" i="140"/>
  <c r="C9442" i="140"/>
  <c r="C9441" i="140"/>
  <c r="C9440" i="140"/>
  <c r="C9439" i="140"/>
  <c r="C9438" i="140"/>
  <c r="C9437" i="140"/>
  <c r="C9436" i="140"/>
  <c r="C9435" i="140"/>
  <c r="C9434" i="140"/>
  <c r="C9433" i="140"/>
  <c r="C9432" i="140"/>
  <c r="C9431" i="140"/>
  <c r="C9430" i="140"/>
  <c r="C9429" i="140"/>
  <c r="C9428" i="140"/>
  <c r="C9427" i="140"/>
  <c r="C9426" i="140"/>
  <c r="C9425" i="140"/>
  <c r="C9424" i="140"/>
  <c r="C9423" i="140"/>
  <c r="C9422" i="140"/>
  <c r="C9421" i="140"/>
  <c r="C9420" i="140"/>
  <c r="C9419" i="140"/>
  <c r="C9418" i="140"/>
  <c r="C9417" i="140"/>
  <c r="C9416" i="140"/>
  <c r="C9415" i="140"/>
  <c r="C9414" i="140"/>
  <c r="C9413" i="140"/>
  <c r="C9412" i="140"/>
  <c r="C9411" i="140"/>
  <c r="C9410" i="140"/>
  <c r="C9409" i="140"/>
  <c r="C9408" i="140"/>
  <c r="C9407" i="140"/>
  <c r="C9406" i="140"/>
  <c r="C9405" i="140"/>
  <c r="C9404" i="140"/>
  <c r="C9403" i="140"/>
  <c r="C9402" i="140"/>
  <c r="C9401" i="140"/>
  <c r="C9400" i="140"/>
  <c r="C9399" i="140"/>
  <c r="C9398" i="140"/>
  <c r="C9397" i="140"/>
  <c r="C9396" i="140"/>
  <c r="C9395" i="140"/>
  <c r="C9394" i="140"/>
  <c r="C9393" i="140"/>
  <c r="C9392" i="140"/>
  <c r="C9391" i="140"/>
  <c r="C9390" i="140"/>
  <c r="C9389" i="140"/>
  <c r="C9388" i="140"/>
  <c r="C9387" i="140"/>
  <c r="C9386" i="140"/>
  <c r="C9385" i="140"/>
  <c r="C9384" i="140"/>
  <c r="C9383" i="140"/>
  <c r="C9382" i="140"/>
  <c r="C9381" i="140"/>
  <c r="C9380" i="140"/>
  <c r="C9379" i="140"/>
  <c r="C9378" i="140"/>
  <c r="C9377" i="140"/>
  <c r="C9376" i="140"/>
  <c r="C9375" i="140"/>
  <c r="C9374" i="140"/>
  <c r="C9373" i="140"/>
  <c r="C9372" i="140"/>
  <c r="C9371" i="140"/>
  <c r="C9370" i="140"/>
  <c r="C9369" i="140"/>
  <c r="C9368" i="140"/>
  <c r="C9367" i="140"/>
  <c r="C9366" i="140"/>
  <c r="C9365" i="140"/>
  <c r="C9364" i="140"/>
  <c r="C9363" i="140"/>
  <c r="C9362" i="140"/>
  <c r="C9361" i="140"/>
  <c r="C9360" i="140"/>
  <c r="C9359" i="140"/>
  <c r="C9358" i="140"/>
  <c r="C9357" i="140"/>
  <c r="C9356" i="140"/>
  <c r="C9355" i="140"/>
  <c r="C9354" i="140"/>
  <c r="C9353" i="140"/>
  <c r="C9352" i="140"/>
  <c r="C9351" i="140"/>
  <c r="C9350" i="140"/>
  <c r="C9349" i="140"/>
  <c r="C9348" i="140"/>
  <c r="C9347" i="140"/>
  <c r="C9346" i="140"/>
  <c r="C9345" i="140"/>
  <c r="C9344" i="140"/>
  <c r="C9343" i="140"/>
  <c r="C9342" i="140"/>
  <c r="C9341" i="140"/>
  <c r="C9340" i="140"/>
  <c r="C9339" i="140"/>
  <c r="C9338" i="140"/>
  <c r="C9337" i="140"/>
  <c r="C9336" i="140"/>
  <c r="C9335" i="140"/>
  <c r="C9334" i="140"/>
  <c r="C9333" i="140"/>
  <c r="C9332" i="140"/>
  <c r="C9331" i="140"/>
  <c r="C9330" i="140"/>
  <c r="C9329" i="140"/>
  <c r="C9328" i="140"/>
  <c r="C9327" i="140"/>
  <c r="C9326" i="140"/>
  <c r="C9325" i="140"/>
  <c r="C9324" i="140"/>
  <c r="C9323" i="140"/>
  <c r="C9322" i="140"/>
  <c r="C9321" i="140"/>
  <c r="C9320" i="140"/>
  <c r="C9319" i="140"/>
  <c r="C9318" i="140"/>
  <c r="C9317" i="140"/>
  <c r="C9316" i="140"/>
  <c r="C9315" i="140"/>
  <c r="C9314" i="140"/>
  <c r="C9313" i="140"/>
  <c r="C9312" i="140"/>
  <c r="C9311" i="140"/>
  <c r="C9310" i="140"/>
  <c r="C9309" i="140"/>
  <c r="C9308" i="140"/>
  <c r="C9307" i="140"/>
  <c r="C9306" i="140"/>
  <c r="C9305" i="140"/>
  <c r="C9304" i="140"/>
  <c r="C9303" i="140"/>
  <c r="C9302" i="140"/>
  <c r="C9301" i="140"/>
  <c r="C9300" i="140"/>
  <c r="C9299" i="140"/>
  <c r="C9298" i="140"/>
  <c r="C9297" i="140"/>
  <c r="C9296" i="140"/>
  <c r="C9295" i="140"/>
  <c r="C9294" i="140"/>
  <c r="C9293" i="140"/>
  <c r="C9292" i="140"/>
  <c r="C9291" i="140"/>
  <c r="C9290" i="140"/>
  <c r="C9289" i="140"/>
  <c r="C9288" i="140"/>
  <c r="C9287" i="140"/>
  <c r="C9286" i="140"/>
  <c r="C9285" i="140"/>
  <c r="C9284" i="140"/>
  <c r="C9283" i="140"/>
  <c r="C9282" i="140"/>
  <c r="C9281" i="140"/>
  <c r="C9280" i="140"/>
  <c r="C9279" i="140"/>
  <c r="C9278" i="140"/>
  <c r="C9277" i="140"/>
  <c r="C9276" i="140"/>
  <c r="C9275" i="140"/>
  <c r="C9274" i="140"/>
  <c r="C9273" i="140"/>
  <c r="C9272" i="140"/>
  <c r="C9271" i="140"/>
  <c r="C9270" i="140"/>
  <c r="C9269" i="140"/>
  <c r="C9268" i="140"/>
  <c r="C9267" i="140"/>
  <c r="C9266" i="140"/>
  <c r="C9265" i="140"/>
  <c r="C9264" i="140"/>
  <c r="C9263" i="140"/>
  <c r="C9262" i="140"/>
  <c r="C9261" i="140"/>
  <c r="C9260" i="140"/>
  <c r="C9259" i="140"/>
  <c r="C9258" i="140"/>
  <c r="C9257" i="140"/>
  <c r="C9256" i="140"/>
  <c r="C9255" i="140"/>
  <c r="C9254" i="140"/>
  <c r="C9253" i="140"/>
  <c r="C9252" i="140"/>
  <c r="C9251" i="140"/>
  <c r="C9250" i="140"/>
  <c r="C9249" i="140"/>
  <c r="C9248" i="140"/>
  <c r="C9247" i="140"/>
  <c r="C9246" i="140"/>
  <c r="C9245" i="140"/>
  <c r="C9244" i="140"/>
  <c r="C9243" i="140"/>
  <c r="C9242" i="140"/>
  <c r="C9241" i="140"/>
  <c r="C9240" i="140"/>
  <c r="C9239" i="140"/>
  <c r="C9238" i="140"/>
  <c r="C9237" i="140"/>
  <c r="C9236" i="140"/>
  <c r="C9235" i="140"/>
  <c r="C9234" i="140"/>
  <c r="C9233" i="140"/>
  <c r="C9232" i="140"/>
  <c r="C9231" i="140"/>
  <c r="C9230" i="140"/>
  <c r="C9229" i="140"/>
  <c r="C9228" i="140"/>
  <c r="C9227" i="140"/>
  <c r="C9226" i="140"/>
  <c r="C9225" i="140"/>
  <c r="C9224" i="140"/>
  <c r="C9223" i="140"/>
  <c r="C9222" i="140"/>
  <c r="C9221" i="140"/>
  <c r="C9220" i="140"/>
  <c r="C9219" i="140"/>
  <c r="C9218" i="140"/>
  <c r="C9217" i="140"/>
  <c r="C9216" i="140"/>
  <c r="C9215" i="140"/>
  <c r="C9214" i="140"/>
  <c r="C9213" i="140"/>
  <c r="C9212" i="140"/>
  <c r="C9211" i="140"/>
  <c r="C9210" i="140"/>
  <c r="C9209" i="140"/>
  <c r="C9208" i="140"/>
  <c r="C9207" i="140"/>
  <c r="C9206" i="140"/>
  <c r="C9205" i="140"/>
  <c r="C9204" i="140"/>
  <c r="C9203" i="140"/>
  <c r="C9202" i="140"/>
  <c r="C9201" i="140"/>
  <c r="C9200" i="140"/>
  <c r="C9199" i="140"/>
  <c r="C9198" i="140"/>
  <c r="C9197" i="140"/>
  <c r="C9196" i="140"/>
  <c r="C9195" i="140"/>
  <c r="C9194" i="140"/>
  <c r="C9193" i="140"/>
  <c r="C9192" i="140"/>
  <c r="C9191" i="140"/>
  <c r="C9190" i="140"/>
  <c r="C9189" i="140"/>
  <c r="C9188" i="140"/>
  <c r="C9187" i="140"/>
  <c r="C9186" i="140"/>
  <c r="C9185" i="140"/>
  <c r="C9184" i="140"/>
  <c r="C9183" i="140"/>
  <c r="C9182" i="140"/>
  <c r="C9181" i="140"/>
  <c r="C9180" i="140"/>
  <c r="C9179" i="140"/>
  <c r="C9178" i="140"/>
  <c r="C9177" i="140"/>
  <c r="C9176" i="140"/>
  <c r="C9175" i="140"/>
  <c r="C9174" i="140"/>
  <c r="C9173" i="140"/>
  <c r="C9172" i="140"/>
  <c r="C9171" i="140"/>
  <c r="C9170" i="140"/>
  <c r="C9169" i="140"/>
  <c r="C9168" i="140"/>
  <c r="C9167" i="140"/>
  <c r="C9166" i="140"/>
  <c r="C9165" i="140"/>
  <c r="C9164" i="140"/>
  <c r="C9163" i="140"/>
  <c r="C9162" i="140"/>
  <c r="C9161" i="140"/>
  <c r="C9160" i="140"/>
  <c r="C9159" i="140"/>
  <c r="C9158" i="140"/>
  <c r="C9157" i="140"/>
  <c r="C9156" i="140"/>
  <c r="C9155" i="140"/>
  <c r="C9154" i="140"/>
  <c r="C9153" i="140"/>
  <c r="C9152" i="140"/>
  <c r="C9151" i="140"/>
  <c r="C9150" i="140"/>
  <c r="C9149" i="140"/>
  <c r="C9148" i="140"/>
  <c r="C9147" i="140"/>
  <c r="C9146" i="140"/>
  <c r="C9145" i="140"/>
  <c r="C9144" i="140"/>
  <c r="C9143" i="140"/>
  <c r="C9142" i="140"/>
  <c r="C9141" i="140"/>
  <c r="C9140" i="140"/>
  <c r="C9139" i="140"/>
  <c r="C9138" i="140"/>
  <c r="C9137" i="140"/>
  <c r="C9136" i="140"/>
  <c r="C9135" i="140"/>
  <c r="C9134" i="140"/>
  <c r="C9133" i="140"/>
  <c r="C9132" i="140"/>
  <c r="C9131" i="140"/>
  <c r="C9130" i="140"/>
  <c r="C9129" i="140"/>
  <c r="C9128" i="140"/>
  <c r="C9127" i="140"/>
  <c r="C9126" i="140"/>
  <c r="C9125" i="140"/>
  <c r="C9124" i="140"/>
  <c r="C9123" i="140"/>
  <c r="C9122" i="140"/>
  <c r="C9121" i="140"/>
  <c r="C9120" i="140"/>
  <c r="C9119" i="140"/>
  <c r="C9118" i="140"/>
  <c r="C9117" i="140"/>
  <c r="C9116" i="140"/>
  <c r="C9115" i="140"/>
  <c r="C9114" i="140"/>
  <c r="C9113" i="140"/>
  <c r="C9112" i="140"/>
  <c r="C9111" i="140"/>
  <c r="C9110" i="140"/>
  <c r="C9109" i="140"/>
  <c r="C9108" i="140"/>
  <c r="C9107" i="140"/>
  <c r="C9106" i="140"/>
  <c r="C9105" i="140"/>
  <c r="C9104" i="140"/>
  <c r="C9103" i="140"/>
  <c r="C9102" i="140"/>
  <c r="C9101" i="140"/>
  <c r="C9100" i="140"/>
  <c r="C9099" i="140"/>
  <c r="C9098" i="140"/>
  <c r="C9097" i="140"/>
  <c r="C9096" i="140"/>
  <c r="C9095" i="140"/>
  <c r="C9094" i="140"/>
  <c r="C9093" i="140"/>
  <c r="C9092" i="140"/>
  <c r="C9091" i="140"/>
  <c r="C9090" i="140"/>
  <c r="C9089" i="140"/>
  <c r="C9088" i="140"/>
  <c r="C9087" i="140"/>
  <c r="C9086" i="140"/>
  <c r="C9085" i="140"/>
  <c r="C9084" i="140"/>
  <c r="C9083" i="140"/>
  <c r="C9082" i="140"/>
  <c r="C9081" i="140"/>
  <c r="C9080" i="140"/>
  <c r="C9079" i="140"/>
  <c r="C9078" i="140"/>
  <c r="C9077" i="140"/>
  <c r="C9076" i="140"/>
  <c r="C9075" i="140"/>
  <c r="C9074" i="140"/>
  <c r="C9073" i="140"/>
  <c r="C9072" i="140"/>
  <c r="C9071" i="140"/>
  <c r="C9070" i="140"/>
  <c r="C9069" i="140"/>
  <c r="C9068" i="140"/>
  <c r="C9067" i="140"/>
  <c r="C9066" i="140"/>
  <c r="C9065" i="140"/>
  <c r="C9064" i="140"/>
  <c r="C9063" i="140"/>
  <c r="C9062" i="140"/>
  <c r="C9061" i="140"/>
  <c r="C9060" i="140"/>
  <c r="C9059" i="140"/>
  <c r="C9058" i="140"/>
  <c r="C9057" i="140"/>
  <c r="C9056" i="140"/>
  <c r="C9055" i="140"/>
  <c r="C9054" i="140"/>
  <c r="C9053" i="140"/>
  <c r="C9052" i="140"/>
  <c r="C9051" i="140"/>
  <c r="C9050" i="140"/>
  <c r="C9049" i="140"/>
  <c r="C9048" i="140"/>
  <c r="C9047" i="140"/>
  <c r="C9046" i="140"/>
  <c r="C9045" i="140"/>
  <c r="C9044" i="140"/>
  <c r="C9043" i="140"/>
  <c r="C9042" i="140"/>
  <c r="C9041" i="140"/>
  <c r="C9040" i="140"/>
  <c r="C9039" i="140"/>
  <c r="C9038" i="140"/>
  <c r="C9037" i="140"/>
  <c r="C9036" i="140"/>
  <c r="C9035" i="140"/>
  <c r="C9034" i="140"/>
  <c r="C9033" i="140"/>
  <c r="C9032" i="140"/>
  <c r="C9031" i="140"/>
  <c r="C9030" i="140"/>
  <c r="C9029" i="140"/>
  <c r="C9028" i="140"/>
  <c r="C9027" i="140"/>
  <c r="C9026" i="140"/>
  <c r="C9025" i="140"/>
  <c r="C9024" i="140"/>
  <c r="C9023" i="140"/>
  <c r="C9022" i="140"/>
  <c r="C9021" i="140"/>
  <c r="C9020" i="140"/>
  <c r="C9019" i="140"/>
  <c r="C9018" i="140"/>
  <c r="C9017" i="140"/>
  <c r="C9016" i="140"/>
  <c r="C9015" i="140"/>
  <c r="C9014" i="140"/>
  <c r="C9013" i="140"/>
  <c r="C9012" i="140"/>
  <c r="C9011" i="140"/>
  <c r="C9010" i="140"/>
  <c r="C9009" i="140"/>
  <c r="C9008" i="140"/>
  <c r="C9007" i="140"/>
  <c r="C9006" i="140"/>
  <c r="C9005" i="140"/>
  <c r="C9004" i="140"/>
  <c r="C9003" i="140"/>
  <c r="C9002" i="140"/>
  <c r="C9001" i="140"/>
  <c r="C9000" i="140"/>
  <c r="C8999" i="140"/>
  <c r="C8998" i="140"/>
  <c r="C8997" i="140"/>
  <c r="C8996" i="140"/>
  <c r="C8995" i="140"/>
  <c r="C8994" i="140"/>
  <c r="C8993" i="140"/>
  <c r="C8992" i="140"/>
  <c r="C8991" i="140"/>
  <c r="C8990" i="140"/>
  <c r="C8989" i="140"/>
  <c r="C8988" i="140"/>
  <c r="C8987" i="140"/>
  <c r="C8986" i="140"/>
  <c r="C8985" i="140"/>
  <c r="C8984" i="140"/>
  <c r="C8983" i="140"/>
  <c r="C8982" i="140"/>
  <c r="C8981" i="140"/>
  <c r="C8980" i="140"/>
  <c r="C8979" i="140"/>
  <c r="C8978" i="140"/>
  <c r="C8977" i="140"/>
  <c r="C8976" i="140"/>
  <c r="C8975" i="140"/>
  <c r="C8974" i="140"/>
  <c r="C8973" i="140"/>
  <c r="C8972" i="140"/>
  <c r="C8971" i="140"/>
  <c r="C8970" i="140"/>
  <c r="C8969" i="140"/>
  <c r="C8968" i="140"/>
  <c r="C8967" i="140"/>
  <c r="C8966" i="140"/>
  <c r="C8965" i="140"/>
  <c r="C8964" i="140"/>
  <c r="C8963" i="140"/>
  <c r="C8962" i="140"/>
  <c r="C8961" i="140"/>
  <c r="C8960" i="140"/>
  <c r="C8959" i="140"/>
  <c r="C8958" i="140"/>
  <c r="C8957" i="140"/>
  <c r="C8956" i="140"/>
  <c r="C8955" i="140"/>
  <c r="C8954" i="140"/>
  <c r="C8953" i="140"/>
  <c r="C8952" i="140"/>
  <c r="C8951" i="140"/>
  <c r="C8950" i="140"/>
  <c r="C8949" i="140"/>
  <c r="C8948" i="140"/>
  <c r="C8947" i="140"/>
  <c r="C8946" i="140"/>
  <c r="C8945" i="140"/>
  <c r="C8944" i="140"/>
  <c r="C8943" i="140"/>
  <c r="C8942" i="140"/>
  <c r="C8941" i="140"/>
  <c r="C8940" i="140"/>
  <c r="C8939" i="140"/>
  <c r="C8938" i="140"/>
  <c r="C8937" i="140"/>
  <c r="C8936" i="140"/>
  <c r="C8935" i="140"/>
  <c r="C8934" i="140"/>
  <c r="C8933" i="140"/>
  <c r="C8932" i="140"/>
  <c r="C8931" i="140"/>
  <c r="C8930" i="140"/>
  <c r="C8929" i="140"/>
  <c r="C8928" i="140"/>
  <c r="C8927" i="140"/>
  <c r="C8926" i="140"/>
  <c r="C8925" i="140"/>
  <c r="C8924" i="140"/>
  <c r="C8923" i="140"/>
  <c r="C8922" i="140"/>
  <c r="C8921" i="140"/>
  <c r="C8920" i="140"/>
  <c r="C8919" i="140"/>
  <c r="C8918" i="140"/>
  <c r="C8917" i="140"/>
  <c r="C8916" i="140"/>
  <c r="C8915" i="140"/>
  <c r="C8914" i="140"/>
  <c r="C8913" i="140"/>
  <c r="C8912" i="140"/>
  <c r="C8911" i="140"/>
  <c r="C8910" i="140"/>
  <c r="C8909" i="140"/>
  <c r="C8908" i="140"/>
  <c r="C8907" i="140"/>
  <c r="C8906" i="140"/>
  <c r="C8905" i="140"/>
  <c r="C8904" i="140"/>
  <c r="C8903" i="140"/>
  <c r="C8902" i="140"/>
  <c r="C8901" i="140"/>
  <c r="C8900" i="140"/>
  <c r="C8899" i="140"/>
  <c r="C8898" i="140"/>
  <c r="C8897" i="140"/>
  <c r="C8896" i="140"/>
  <c r="C8895" i="140"/>
  <c r="C8894" i="140"/>
  <c r="C8893" i="140"/>
  <c r="C8892" i="140"/>
  <c r="C8891" i="140"/>
  <c r="C8890" i="140"/>
  <c r="C8889" i="140"/>
  <c r="C8888" i="140"/>
  <c r="C8887" i="140"/>
  <c r="C8886" i="140"/>
  <c r="C8885" i="140"/>
  <c r="C8884" i="140"/>
  <c r="C8883" i="140"/>
  <c r="C8882" i="140"/>
  <c r="C8881" i="140"/>
  <c r="C8880" i="140"/>
  <c r="C8879" i="140"/>
  <c r="C8878" i="140"/>
  <c r="C8877" i="140"/>
  <c r="C8876" i="140"/>
  <c r="C8875" i="140"/>
  <c r="C8874" i="140"/>
  <c r="C8873" i="140"/>
  <c r="C8872" i="140"/>
  <c r="C8871" i="140"/>
  <c r="C8870" i="140"/>
  <c r="C8869" i="140"/>
  <c r="C8868" i="140"/>
  <c r="C8867" i="140"/>
  <c r="C8866" i="140"/>
  <c r="C8865" i="140"/>
  <c r="C8864" i="140"/>
  <c r="C8863" i="140"/>
  <c r="C8862" i="140"/>
  <c r="C8861" i="140"/>
  <c r="C8860" i="140"/>
  <c r="C8859" i="140"/>
  <c r="C8858" i="140"/>
  <c r="C8857" i="140"/>
  <c r="C8856" i="140"/>
  <c r="C8855" i="140"/>
  <c r="C8854" i="140"/>
  <c r="C8853" i="140"/>
  <c r="C8852" i="140"/>
  <c r="C8851" i="140"/>
  <c r="C8850" i="140"/>
  <c r="C8849" i="140"/>
  <c r="C8848" i="140"/>
  <c r="C8847" i="140"/>
  <c r="C8846" i="140"/>
  <c r="C8845" i="140"/>
  <c r="C8844" i="140"/>
  <c r="C8843" i="140"/>
  <c r="C8842" i="140"/>
  <c r="C8841" i="140"/>
  <c r="C8840" i="140"/>
  <c r="C8839" i="140"/>
  <c r="C8838" i="140"/>
  <c r="C8837" i="140"/>
  <c r="C8836" i="140"/>
  <c r="C8835" i="140"/>
  <c r="C8834" i="140"/>
  <c r="C8833" i="140"/>
  <c r="C8832" i="140"/>
  <c r="C8831" i="140"/>
  <c r="C8830" i="140"/>
  <c r="C8829" i="140"/>
  <c r="C8828" i="140"/>
  <c r="C8827" i="140"/>
  <c r="C8826" i="140"/>
  <c r="C8825" i="140"/>
  <c r="C8824" i="140"/>
  <c r="C8823" i="140"/>
  <c r="C8822" i="140"/>
  <c r="C8821" i="140"/>
  <c r="C8820" i="140"/>
  <c r="C8819" i="140"/>
  <c r="C8818" i="140"/>
  <c r="C8817" i="140"/>
  <c r="C8816" i="140"/>
  <c r="C8815" i="140"/>
  <c r="C8814" i="140"/>
  <c r="C8813" i="140"/>
  <c r="C8812" i="140"/>
  <c r="C8811" i="140"/>
  <c r="C8810" i="140"/>
  <c r="C8809" i="140"/>
  <c r="C8808" i="140"/>
  <c r="C8807" i="140"/>
  <c r="C8806" i="140"/>
  <c r="C8805" i="140"/>
  <c r="C8804" i="140"/>
  <c r="C8803" i="140"/>
  <c r="C8802" i="140"/>
  <c r="C8801" i="140"/>
  <c r="C8800" i="140"/>
  <c r="C8799" i="140"/>
  <c r="C8798" i="140"/>
  <c r="C8797" i="140"/>
  <c r="C8796" i="140"/>
  <c r="C8795" i="140"/>
  <c r="C8794" i="140"/>
  <c r="C8793" i="140"/>
  <c r="C8792" i="140"/>
  <c r="C8791" i="140"/>
  <c r="C8790" i="140"/>
  <c r="C8789" i="140"/>
  <c r="C8788" i="140"/>
  <c r="C8787" i="140"/>
  <c r="C8786" i="140"/>
  <c r="C8785" i="140"/>
  <c r="C8784" i="140"/>
  <c r="C8783" i="140"/>
  <c r="C8782" i="140"/>
  <c r="C8781" i="140"/>
  <c r="C8780" i="140"/>
  <c r="C8779" i="140"/>
  <c r="C8778" i="140"/>
  <c r="C8777" i="140"/>
  <c r="C8776" i="140"/>
  <c r="C8775" i="140"/>
  <c r="C8774" i="140"/>
  <c r="C8773" i="140"/>
  <c r="C8772" i="140"/>
  <c r="C8771" i="140"/>
  <c r="C8770" i="140"/>
  <c r="C8769" i="140"/>
  <c r="C8768" i="140"/>
  <c r="C8767" i="140"/>
  <c r="C8766" i="140"/>
  <c r="C8765" i="140"/>
  <c r="C8764" i="140"/>
  <c r="C8763" i="140"/>
  <c r="C8762" i="140"/>
  <c r="C8761" i="140"/>
  <c r="C8760" i="140"/>
  <c r="C8759" i="140"/>
  <c r="C8758" i="140"/>
  <c r="C8757" i="140"/>
  <c r="C8756" i="140"/>
  <c r="C8755" i="140"/>
  <c r="C8754" i="140"/>
  <c r="C8753" i="140"/>
  <c r="C8752" i="140"/>
  <c r="C8751" i="140"/>
  <c r="C8750" i="140"/>
  <c r="C8749" i="140"/>
  <c r="C8748" i="140"/>
  <c r="C8747" i="140"/>
  <c r="C8746" i="140"/>
  <c r="C8745" i="140"/>
  <c r="C8744" i="140"/>
  <c r="C8743" i="140"/>
  <c r="C8742" i="140"/>
  <c r="C8741" i="140"/>
  <c r="C8740" i="140"/>
  <c r="C8739" i="140"/>
  <c r="C8738" i="140"/>
  <c r="C8737" i="140"/>
  <c r="C8736" i="140"/>
  <c r="C8735" i="140"/>
  <c r="C8734" i="140"/>
  <c r="C8733" i="140"/>
  <c r="C8732" i="140"/>
  <c r="C8731" i="140"/>
  <c r="C8730" i="140"/>
  <c r="C8729" i="140"/>
  <c r="C8728" i="140"/>
  <c r="C8727" i="140"/>
  <c r="C8726" i="140"/>
  <c r="C8725" i="140"/>
  <c r="C8724" i="140"/>
  <c r="C8723" i="140"/>
  <c r="C8722" i="140"/>
  <c r="C8721" i="140"/>
  <c r="C8720" i="140"/>
  <c r="C8719" i="140"/>
  <c r="C8718" i="140"/>
  <c r="C8717" i="140"/>
  <c r="C8716" i="140"/>
  <c r="C8715" i="140"/>
  <c r="C8714" i="140"/>
  <c r="C8713" i="140"/>
  <c r="C8712" i="140"/>
  <c r="C8711" i="140"/>
  <c r="C8710" i="140"/>
  <c r="C8709" i="140"/>
  <c r="C8708" i="140"/>
  <c r="C8707" i="140"/>
  <c r="C8706" i="140"/>
  <c r="C8705" i="140"/>
  <c r="C8704" i="140"/>
  <c r="C8703" i="140"/>
  <c r="C8702" i="140"/>
  <c r="C8701" i="140"/>
  <c r="C8700" i="140"/>
  <c r="C8699" i="140"/>
  <c r="C8698" i="140"/>
  <c r="C8697" i="140"/>
  <c r="C8696" i="140"/>
  <c r="C8695" i="140"/>
  <c r="C8694" i="140"/>
  <c r="C8693" i="140"/>
  <c r="C8692" i="140"/>
  <c r="C8691" i="140"/>
  <c r="C8690" i="140"/>
  <c r="C8689" i="140"/>
  <c r="C8688" i="140"/>
  <c r="C8687" i="140"/>
  <c r="C8686" i="140"/>
  <c r="C8685" i="140"/>
  <c r="C8684" i="140"/>
  <c r="C8683" i="140"/>
  <c r="C8682" i="140"/>
  <c r="C8681" i="140"/>
  <c r="C8680" i="140"/>
  <c r="C8679" i="140"/>
  <c r="C8678" i="140"/>
  <c r="C8677" i="140"/>
  <c r="C8676" i="140"/>
  <c r="C8675" i="140"/>
  <c r="C8674" i="140"/>
  <c r="C8673" i="140"/>
  <c r="C8672" i="140"/>
  <c r="C8671" i="140"/>
  <c r="C8670" i="140"/>
  <c r="C8669" i="140"/>
  <c r="C8668" i="140"/>
  <c r="C8667" i="140"/>
  <c r="C8666" i="140"/>
  <c r="C8665" i="140"/>
  <c r="C8664" i="140"/>
  <c r="C8663" i="140"/>
  <c r="C8662" i="140"/>
  <c r="C8661" i="140"/>
  <c r="C8660" i="140"/>
  <c r="C8659" i="140"/>
  <c r="C8658" i="140"/>
  <c r="C8657" i="140"/>
  <c r="C8656" i="140"/>
  <c r="C8655" i="140"/>
  <c r="C8654" i="140"/>
  <c r="C8653" i="140"/>
  <c r="C8652" i="140"/>
  <c r="C8651" i="140"/>
  <c r="C8650" i="140"/>
  <c r="C8649" i="140"/>
  <c r="C8648" i="140"/>
  <c r="C8647" i="140"/>
  <c r="C8646" i="140"/>
  <c r="C8645" i="140"/>
  <c r="C8644" i="140"/>
  <c r="C8643" i="140"/>
  <c r="C8642" i="140"/>
  <c r="C8641" i="140"/>
  <c r="C8640" i="140"/>
  <c r="C8639" i="140"/>
  <c r="C8638" i="140"/>
  <c r="C8637" i="140"/>
  <c r="C8636" i="140"/>
  <c r="C8635" i="140"/>
  <c r="C8634" i="140"/>
  <c r="C8633" i="140"/>
  <c r="C8632" i="140"/>
  <c r="C8631" i="140"/>
  <c r="C8630" i="140"/>
  <c r="C8629" i="140"/>
  <c r="C8628" i="140"/>
  <c r="C8627" i="140"/>
  <c r="C8626" i="140"/>
  <c r="C8625" i="140"/>
  <c r="C8624" i="140"/>
  <c r="C8623" i="140"/>
  <c r="C8622" i="140"/>
  <c r="C8621" i="140"/>
  <c r="C8620" i="140"/>
  <c r="C8619" i="140"/>
  <c r="C8618" i="140"/>
  <c r="C8617" i="140"/>
  <c r="C8616" i="140"/>
  <c r="C8615" i="140"/>
  <c r="C8614" i="140"/>
  <c r="C8613" i="140"/>
  <c r="C8612" i="140"/>
  <c r="C8611" i="140"/>
  <c r="C8610" i="140"/>
  <c r="C8609" i="140"/>
  <c r="C8608" i="140"/>
  <c r="C8607" i="140"/>
  <c r="C8606" i="140"/>
  <c r="C8605" i="140"/>
  <c r="C8604" i="140"/>
  <c r="C8603" i="140"/>
  <c r="C8602" i="140"/>
  <c r="C8601" i="140"/>
  <c r="C8600" i="140"/>
  <c r="C8599" i="140"/>
  <c r="C8598" i="140"/>
  <c r="C8597" i="140"/>
  <c r="C8596" i="140"/>
  <c r="C8595" i="140"/>
  <c r="C8594" i="140"/>
  <c r="C8593" i="140"/>
  <c r="C8592" i="140"/>
  <c r="C8591" i="140"/>
  <c r="C8590" i="140"/>
  <c r="C8589" i="140"/>
  <c r="C8588" i="140"/>
  <c r="C8587" i="140"/>
  <c r="C8586" i="140"/>
  <c r="C8585" i="140"/>
  <c r="C8584" i="140"/>
  <c r="C8583" i="140"/>
  <c r="C8582" i="140"/>
  <c r="C8581" i="140"/>
  <c r="C8580" i="140"/>
  <c r="C8579" i="140"/>
  <c r="C8578" i="140"/>
  <c r="C8577" i="140"/>
  <c r="C8576" i="140"/>
  <c r="C8575" i="140"/>
  <c r="C8574" i="140"/>
  <c r="C8573" i="140"/>
  <c r="C8572" i="140"/>
  <c r="C8571" i="140"/>
  <c r="C8570" i="140"/>
  <c r="C8569" i="140"/>
  <c r="C8568" i="140"/>
  <c r="C8567" i="140"/>
  <c r="C8566" i="140"/>
  <c r="C8565" i="140"/>
  <c r="C8564" i="140"/>
  <c r="C8563" i="140"/>
  <c r="C8562" i="140"/>
  <c r="C8561" i="140"/>
  <c r="C8560" i="140"/>
  <c r="C8559" i="140"/>
  <c r="C8558" i="140"/>
  <c r="C8557" i="140"/>
  <c r="C8556" i="140"/>
  <c r="C8555" i="140"/>
  <c r="C8554" i="140"/>
  <c r="C8553" i="140"/>
  <c r="C8552" i="140"/>
  <c r="C8551" i="140"/>
  <c r="C8550" i="140"/>
  <c r="C8549" i="140"/>
  <c r="C8548" i="140"/>
  <c r="C8547" i="140"/>
  <c r="C8546" i="140"/>
  <c r="C8545" i="140"/>
  <c r="C8544" i="140"/>
  <c r="C8543" i="140"/>
  <c r="C8542" i="140"/>
  <c r="C8541" i="140"/>
  <c r="C8540" i="140"/>
  <c r="C8539" i="140"/>
  <c r="C8538" i="140"/>
  <c r="C8537" i="140"/>
  <c r="C8536" i="140"/>
  <c r="C8535" i="140"/>
  <c r="C8534" i="140"/>
  <c r="C8533" i="140"/>
  <c r="C8532" i="140"/>
  <c r="C8531" i="140"/>
  <c r="C8530" i="140"/>
  <c r="C8529" i="140"/>
  <c r="C8528" i="140"/>
  <c r="C8527" i="140"/>
  <c r="C8526" i="140"/>
  <c r="C8525" i="140"/>
  <c r="C8524" i="140"/>
  <c r="C8523" i="140"/>
  <c r="C8522" i="140"/>
  <c r="C8521" i="140"/>
  <c r="C8520" i="140"/>
  <c r="C8519" i="140"/>
  <c r="C8518" i="140"/>
  <c r="C8517" i="140"/>
  <c r="C8516" i="140"/>
  <c r="C8515" i="140"/>
  <c r="C8514" i="140"/>
  <c r="C8513" i="140"/>
  <c r="C8512" i="140"/>
  <c r="C8511" i="140"/>
  <c r="C8510" i="140"/>
  <c r="C8509" i="140"/>
  <c r="C8508" i="140"/>
  <c r="C8507" i="140"/>
  <c r="C8506" i="140"/>
  <c r="C8505" i="140"/>
  <c r="C8504" i="140"/>
  <c r="C8503" i="140"/>
  <c r="C8502" i="140"/>
  <c r="C8501" i="140"/>
  <c r="C8500" i="140"/>
  <c r="C8499" i="140"/>
  <c r="C8498" i="140"/>
  <c r="C8497" i="140"/>
  <c r="C8496" i="140"/>
  <c r="C8495" i="140"/>
  <c r="C8494" i="140"/>
  <c r="C8493" i="140"/>
  <c r="C8492" i="140"/>
  <c r="C8491" i="140"/>
  <c r="C8490" i="140"/>
  <c r="C8489" i="140"/>
  <c r="C8488" i="140"/>
  <c r="C8487" i="140"/>
  <c r="C8486" i="140"/>
  <c r="C8485" i="140"/>
  <c r="C8484" i="140"/>
  <c r="C8483" i="140"/>
  <c r="C8482" i="140"/>
  <c r="C8481" i="140"/>
  <c r="C8480" i="140"/>
  <c r="C8479" i="140"/>
  <c r="C8478" i="140"/>
  <c r="C8477" i="140"/>
  <c r="C8476" i="140"/>
  <c r="C8475" i="140"/>
  <c r="C8474" i="140"/>
  <c r="C8473" i="140"/>
  <c r="C8472" i="140"/>
  <c r="C8471" i="140"/>
  <c r="C8470" i="140"/>
  <c r="C8469" i="140"/>
  <c r="C8468" i="140"/>
  <c r="C8467" i="140"/>
  <c r="C8466" i="140"/>
  <c r="C8465" i="140"/>
  <c r="C8464" i="140"/>
  <c r="C8463" i="140"/>
  <c r="C8462" i="140"/>
  <c r="C8461" i="140"/>
  <c r="C8460" i="140"/>
  <c r="C8459" i="140"/>
  <c r="C8458" i="140"/>
  <c r="C8457" i="140"/>
  <c r="C8456" i="140"/>
  <c r="C8455" i="140"/>
  <c r="C8454" i="140"/>
  <c r="C8453" i="140"/>
  <c r="C8452" i="140"/>
  <c r="C8451" i="140"/>
  <c r="C8450" i="140"/>
  <c r="C8449" i="140"/>
  <c r="C8448" i="140"/>
  <c r="C8447" i="140"/>
  <c r="C8446" i="140"/>
  <c r="C8445" i="140"/>
  <c r="C8444" i="140"/>
  <c r="C8443" i="140"/>
  <c r="C8442" i="140"/>
  <c r="C8441" i="140"/>
  <c r="C8440" i="140"/>
  <c r="C8439" i="140"/>
  <c r="C8438" i="140"/>
  <c r="C8437" i="140"/>
  <c r="C8436" i="140"/>
  <c r="C8435" i="140"/>
  <c r="C8434" i="140"/>
  <c r="C8433" i="140"/>
  <c r="C8432" i="140"/>
  <c r="C8431" i="140"/>
  <c r="C8430" i="140"/>
  <c r="C8429" i="140"/>
  <c r="C8428" i="140"/>
  <c r="C8427" i="140"/>
  <c r="C8426" i="140"/>
  <c r="C8425" i="140"/>
  <c r="C8424" i="140"/>
  <c r="C8423" i="140"/>
  <c r="C8422" i="140"/>
  <c r="C8421" i="140"/>
  <c r="C8420" i="140"/>
  <c r="C8419" i="140"/>
  <c r="C8418" i="140"/>
  <c r="C8417" i="140"/>
  <c r="C8416" i="140"/>
  <c r="C8415" i="140"/>
  <c r="C8414" i="140"/>
  <c r="C8413" i="140"/>
  <c r="C8412" i="140"/>
  <c r="C8411" i="140"/>
  <c r="C8410" i="140"/>
  <c r="C8409" i="140"/>
  <c r="C8408" i="140"/>
  <c r="C8407" i="140"/>
  <c r="C8406" i="140"/>
  <c r="C8405" i="140"/>
  <c r="C8404" i="140"/>
  <c r="C8403" i="140"/>
  <c r="C8402" i="140"/>
  <c r="C8401" i="140"/>
  <c r="C8400" i="140"/>
  <c r="C8399" i="140"/>
  <c r="C8398" i="140"/>
  <c r="C8397" i="140"/>
  <c r="C8396" i="140"/>
  <c r="C8395" i="140"/>
  <c r="C8394" i="140"/>
  <c r="C8393" i="140"/>
  <c r="C8392" i="140"/>
  <c r="C8391" i="140"/>
  <c r="C8390" i="140"/>
  <c r="C8389" i="140"/>
  <c r="C8388" i="140"/>
  <c r="C8387" i="140"/>
  <c r="C8386" i="140"/>
  <c r="C8385" i="140"/>
  <c r="C8384" i="140"/>
  <c r="C8383" i="140"/>
  <c r="C8382" i="140"/>
  <c r="C8381" i="140"/>
  <c r="C8380" i="140"/>
  <c r="C8379" i="140"/>
  <c r="C8378" i="140"/>
  <c r="C8377" i="140"/>
  <c r="C8376" i="140"/>
  <c r="C8375" i="140"/>
  <c r="C8374" i="140"/>
  <c r="C8373" i="140"/>
  <c r="C8372" i="140"/>
  <c r="C8371" i="140"/>
  <c r="C8370" i="140"/>
  <c r="C8369" i="140"/>
  <c r="C8368" i="140"/>
  <c r="C8367" i="140"/>
  <c r="C8366" i="140"/>
  <c r="C8365" i="140"/>
  <c r="C8364" i="140"/>
  <c r="C8363" i="140"/>
  <c r="C8362" i="140"/>
  <c r="C8361" i="140"/>
  <c r="C8360" i="140"/>
  <c r="C8359" i="140"/>
  <c r="C8358" i="140"/>
  <c r="C8357" i="140"/>
  <c r="C8356" i="140"/>
  <c r="C8355" i="140"/>
  <c r="C8354" i="140"/>
  <c r="C8353" i="140"/>
  <c r="C8352" i="140"/>
  <c r="C8351" i="140"/>
  <c r="C8350" i="140"/>
  <c r="C8349" i="140"/>
  <c r="C8348" i="140"/>
  <c r="C8347" i="140"/>
  <c r="C8346" i="140"/>
  <c r="C8345" i="140"/>
  <c r="C8344" i="140"/>
  <c r="C8343" i="140"/>
  <c r="C8342" i="140"/>
  <c r="C8341" i="140"/>
  <c r="C8340" i="140"/>
  <c r="C8339" i="140"/>
  <c r="C8338" i="140"/>
  <c r="C8337" i="140"/>
  <c r="C8336" i="140"/>
  <c r="C8335" i="140"/>
  <c r="C8334" i="140"/>
  <c r="C8333" i="140"/>
  <c r="C8332" i="140"/>
  <c r="C8331" i="140"/>
  <c r="C8330" i="140"/>
  <c r="C8329" i="140"/>
  <c r="C8328" i="140"/>
  <c r="C8327" i="140"/>
  <c r="C8326" i="140"/>
  <c r="C8325" i="140"/>
  <c r="C8324" i="140"/>
  <c r="C8323" i="140"/>
  <c r="C8322" i="140"/>
  <c r="C8321" i="140"/>
  <c r="C8320" i="140"/>
  <c r="C8319" i="140"/>
  <c r="C8318" i="140"/>
  <c r="C8317" i="140"/>
  <c r="C8316" i="140"/>
  <c r="C8315" i="140"/>
  <c r="C8314" i="140"/>
  <c r="C8313" i="140"/>
  <c r="C8312" i="140"/>
  <c r="C8311" i="140"/>
  <c r="C8310" i="140"/>
  <c r="C8309" i="140"/>
  <c r="C8308" i="140"/>
  <c r="C8307" i="140"/>
  <c r="C8306" i="140"/>
  <c r="C8305" i="140"/>
  <c r="C8304" i="140"/>
  <c r="C8303" i="140"/>
  <c r="C8302" i="140"/>
  <c r="C8301" i="140"/>
  <c r="C8300" i="140"/>
  <c r="C8299" i="140"/>
  <c r="C8298" i="140"/>
  <c r="C8297" i="140"/>
  <c r="C8296" i="140"/>
  <c r="C8295" i="140"/>
  <c r="C8294" i="140"/>
  <c r="C8293" i="140"/>
  <c r="C8292" i="140"/>
  <c r="C8291" i="140"/>
  <c r="C8290" i="140"/>
  <c r="C8289" i="140"/>
  <c r="C8288" i="140"/>
  <c r="C8287" i="140"/>
  <c r="C8286" i="140"/>
  <c r="C8285" i="140"/>
  <c r="C8284" i="140"/>
  <c r="C8283" i="140"/>
  <c r="C8282" i="140"/>
  <c r="C8281" i="140"/>
  <c r="C8280" i="140"/>
  <c r="C8279" i="140"/>
  <c r="C8278" i="140"/>
  <c r="C8277" i="140"/>
  <c r="C8276" i="140"/>
  <c r="C8275" i="140"/>
  <c r="C8274" i="140"/>
  <c r="C8273" i="140"/>
  <c r="C8272" i="140"/>
  <c r="C8271" i="140"/>
  <c r="C8270" i="140"/>
  <c r="C8269" i="140"/>
  <c r="C8268" i="140"/>
  <c r="C8267" i="140"/>
  <c r="C8266" i="140"/>
  <c r="C8265" i="140"/>
  <c r="C8264" i="140"/>
  <c r="C8263" i="140"/>
  <c r="C8262" i="140"/>
  <c r="C8261" i="140"/>
  <c r="C8260" i="140"/>
  <c r="C8259" i="140"/>
  <c r="C8258" i="140"/>
  <c r="C8257" i="140"/>
  <c r="C8256" i="140"/>
  <c r="C8255" i="140"/>
  <c r="C8254" i="140"/>
  <c r="C8253" i="140"/>
  <c r="C8252" i="140"/>
  <c r="C8251" i="140"/>
  <c r="C8250" i="140"/>
  <c r="C8249" i="140"/>
  <c r="C8248" i="140"/>
  <c r="C8247" i="140"/>
  <c r="C8246" i="140"/>
  <c r="C8245" i="140"/>
  <c r="C8244" i="140"/>
  <c r="C8243" i="140"/>
  <c r="C8242" i="140"/>
  <c r="C8241" i="140"/>
  <c r="C8240" i="140"/>
  <c r="C8239" i="140"/>
  <c r="C8238" i="140"/>
  <c r="C8237" i="140"/>
  <c r="C8236" i="140"/>
  <c r="C8235" i="140"/>
  <c r="C8234" i="140"/>
  <c r="C8233" i="140"/>
  <c r="C8232" i="140"/>
  <c r="C8231" i="140"/>
  <c r="C8230" i="140"/>
  <c r="C8229" i="140"/>
  <c r="C8228" i="140"/>
  <c r="C8227" i="140"/>
  <c r="C8226" i="140"/>
  <c r="C8225" i="140"/>
  <c r="C8224" i="140"/>
  <c r="C8223" i="140"/>
  <c r="C8222" i="140"/>
  <c r="C8221" i="140"/>
  <c r="C8220" i="140"/>
  <c r="C8219" i="140"/>
  <c r="C8218" i="140"/>
  <c r="C8217" i="140"/>
  <c r="C8216" i="140"/>
  <c r="C8215" i="140"/>
  <c r="C8214" i="140"/>
  <c r="C8213" i="140"/>
  <c r="C8212" i="140"/>
  <c r="C8211" i="140"/>
  <c r="C8210" i="140"/>
  <c r="C8209" i="140"/>
  <c r="C8208" i="140"/>
  <c r="C8207" i="140"/>
  <c r="C8206" i="140"/>
  <c r="C8205" i="140"/>
  <c r="C8204" i="140"/>
  <c r="C8203" i="140"/>
  <c r="C8202" i="140"/>
  <c r="C8201" i="140"/>
  <c r="C8200" i="140"/>
  <c r="C8199" i="140"/>
  <c r="C8198" i="140"/>
  <c r="C8197" i="140"/>
  <c r="C8196" i="140"/>
  <c r="C8195" i="140"/>
  <c r="C8194" i="140"/>
  <c r="C8193" i="140"/>
  <c r="C8192" i="140"/>
  <c r="C8191" i="140"/>
  <c r="C8190" i="140"/>
  <c r="C8189" i="140"/>
  <c r="C8188" i="140"/>
  <c r="C8187" i="140"/>
  <c r="C8186" i="140"/>
  <c r="C8185" i="140"/>
  <c r="C8184" i="140"/>
  <c r="C8183" i="140"/>
  <c r="C8182" i="140"/>
  <c r="C8181" i="140"/>
  <c r="C8180" i="140"/>
  <c r="C8179" i="140"/>
  <c r="C8178" i="140"/>
  <c r="C8177" i="140"/>
  <c r="C8176" i="140"/>
  <c r="C8175" i="140"/>
  <c r="C8174" i="140"/>
  <c r="C8173" i="140"/>
  <c r="C8172" i="140"/>
  <c r="C8171" i="140"/>
  <c r="C8170" i="140"/>
  <c r="C8169" i="140"/>
  <c r="C8168" i="140"/>
  <c r="C8167" i="140"/>
  <c r="C8166" i="140"/>
  <c r="C8165" i="140"/>
  <c r="C8164" i="140"/>
  <c r="C8163" i="140"/>
  <c r="C8162" i="140"/>
  <c r="C8161" i="140"/>
  <c r="C8160" i="140"/>
  <c r="C8159" i="140"/>
  <c r="C8158" i="140"/>
  <c r="C8157" i="140"/>
  <c r="C8156" i="140"/>
  <c r="C8155" i="140"/>
  <c r="C8154" i="140"/>
  <c r="C8153" i="140"/>
  <c r="C8152" i="140"/>
  <c r="C8151" i="140"/>
  <c r="C8150" i="140"/>
  <c r="C8149" i="140"/>
  <c r="C8148" i="140"/>
  <c r="C8147" i="140"/>
  <c r="C8146" i="140"/>
  <c r="C8145" i="140"/>
  <c r="C8144" i="140"/>
  <c r="C8143" i="140"/>
  <c r="C8142" i="140"/>
  <c r="C8141" i="140"/>
  <c r="C8140" i="140"/>
  <c r="C8139" i="140"/>
  <c r="C8138" i="140"/>
  <c r="C8137" i="140"/>
  <c r="C8136" i="140"/>
  <c r="C8135" i="140"/>
  <c r="C8134" i="140"/>
  <c r="C8133" i="140"/>
  <c r="C8132" i="140"/>
  <c r="C8131" i="140"/>
  <c r="C8130" i="140"/>
  <c r="C8129" i="140"/>
  <c r="C8128" i="140"/>
  <c r="C8127" i="140"/>
  <c r="C8126" i="140"/>
  <c r="C8125" i="140"/>
  <c r="C8124" i="140"/>
  <c r="C8123" i="140"/>
  <c r="C8122" i="140"/>
  <c r="C8121" i="140"/>
  <c r="C8120" i="140"/>
  <c r="C8119" i="140"/>
  <c r="C8118" i="140"/>
  <c r="C8117" i="140"/>
  <c r="C8116" i="140"/>
  <c r="C8115" i="140"/>
  <c r="C8114" i="140"/>
  <c r="C8113" i="140"/>
  <c r="C8112" i="140"/>
  <c r="C8111" i="140"/>
  <c r="C8110" i="140"/>
  <c r="C8109" i="140"/>
  <c r="C8108" i="140"/>
  <c r="C8107" i="140"/>
  <c r="C8106" i="140"/>
  <c r="C8105" i="140"/>
  <c r="C8104" i="140"/>
  <c r="C8103" i="140"/>
  <c r="C8102" i="140"/>
  <c r="C8101" i="140"/>
  <c r="C8100" i="140"/>
  <c r="C8099" i="140"/>
  <c r="C8098" i="140"/>
  <c r="C8097" i="140"/>
  <c r="C8096" i="140"/>
  <c r="C8095" i="140"/>
  <c r="C8094" i="140"/>
  <c r="C8093" i="140"/>
  <c r="C8092" i="140"/>
  <c r="C8091" i="140"/>
  <c r="C8090" i="140"/>
  <c r="C8089" i="140"/>
  <c r="C8088" i="140"/>
  <c r="C8087" i="140"/>
  <c r="C8086" i="140"/>
  <c r="C8085" i="140"/>
  <c r="C8084" i="140"/>
  <c r="C8083" i="140"/>
  <c r="C8082" i="140"/>
  <c r="C8081" i="140"/>
  <c r="C8080" i="140"/>
  <c r="C8079" i="140"/>
  <c r="C8078" i="140"/>
  <c r="C8077" i="140"/>
  <c r="C8076" i="140"/>
  <c r="C8075" i="140"/>
  <c r="C8074" i="140"/>
  <c r="C8073" i="140"/>
  <c r="C8072" i="140"/>
  <c r="C8071" i="140"/>
  <c r="C8070" i="140"/>
  <c r="C8069" i="140"/>
  <c r="C8068" i="140"/>
  <c r="C8067" i="140"/>
  <c r="C8066" i="140"/>
  <c r="C8065" i="140"/>
  <c r="C8064" i="140"/>
  <c r="C8063" i="140"/>
  <c r="C8062" i="140"/>
  <c r="C8061" i="140"/>
  <c r="C8060" i="140"/>
  <c r="C8059" i="140"/>
  <c r="C8058" i="140"/>
  <c r="C8057" i="140"/>
  <c r="C8056" i="140"/>
  <c r="C8055" i="140"/>
  <c r="C8054" i="140"/>
  <c r="C8053" i="140"/>
  <c r="C8052" i="140"/>
  <c r="C8051" i="140"/>
  <c r="C8050" i="140"/>
  <c r="C8049" i="140"/>
  <c r="C8048" i="140"/>
  <c r="C8047" i="140"/>
  <c r="C8046" i="140"/>
  <c r="C8045" i="140"/>
  <c r="C8044" i="140"/>
  <c r="C8043" i="140"/>
  <c r="C8042" i="140"/>
  <c r="C8041" i="140"/>
  <c r="C8040" i="140"/>
  <c r="C8039" i="140"/>
  <c r="C8038" i="140"/>
  <c r="C8037" i="140"/>
  <c r="C8036" i="140"/>
  <c r="C8035" i="140"/>
  <c r="C8034" i="140"/>
  <c r="C8033" i="140"/>
  <c r="C8032" i="140"/>
  <c r="C8031" i="140"/>
  <c r="C8030" i="140"/>
  <c r="C8029" i="140"/>
  <c r="C8028" i="140"/>
  <c r="C8027" i="140"/>
  <c r="C8026" i="140"/>
  <c r="C8025" i="140"/>
  <c r="C8024" i="140"/>
  <c r="C8023" i="140"/>
  <c r="C8022" i="140"/>
  <c r="C8021" i="140"/>
  <c r="C8020" i="140"/>
  <c r="C8019" i="140"/>
  <c r="C8018" i="140"/>
  <c r="C8017" i="140"/>
  <c r="C8016" i="140"/>
  <c r="C8015" i="140"/>
  <c r="C8014" i="140"/>
  <c r="C8013" i="140"/>
  <c r="C8012" i="140"/>
  <c r="C8011" i="140"/>
  <c r="C8010" i="140"/>
  <c r="C8009" i="140"/>
  <c r="C8008" i="140"/>
  <c r="C8007" i="140"/>
  <c r="C8006" i="140"/>
  <c r="C8005" i="140"/>
  <c r="C8004" i="140"/>
  <c r="C8003" i="140"/>
  <c r="C8002" i="140"/>
  <c r="C8001" i="140"/>
  <c r="C8000" i="140"/>
  <c r="C7999" i="140"/>
  <c r="C7998" i="140"/>
  <c r="C7997" i="140"/>
  <c r="C7996" i="140"/>
  <c r="C7995" i="140"/>
  <c r="C7994" i="140"/>
  <c r="C7993" i="140"/>
  <c r="C7992" i="140"/>
  <c r="C7991" i="140"/>
  <c r="C7990" i="140"/>
  <c r="C7989" i="140"/>
  <c r="C7988" i="140"/>
  <c r="C7987" i="140"/>
  <c r="C7986" i="140"/>
  <c r="C7985" i="140"/>
  <c r="C7984" i="140"/>
  <c r="C7983" i="140"/>
  <c r="C7982" i="140"/>
  <c r="C7981" i="140"/>
  <c r="C7980" i="140"/>
  <c r="C7979" i="140"/>
  <c r="C7978" i="140"/>
  <c r="C7977" i="140"/>
  <c r="C7976" i="140"/>
  <c r="C7975" i="140"/>
  <c r="C7974" i="140"/>
  <c r="C7973" i="140"/>
  <c r="C7972" i="140"/>
  <c r="C7971" i="140"/>
  <c r="C7970" i="140"/>
  <c r="C7969" i="140"/>
  <c r="C7968" i="140"/>
  <c r="C7967" i="140"/>
  <c r="C7966" i="140"/>
  <c r="C7965" i="140"/>
  <c r="C7964" i="140"/>
  <c r="C7963" i="140"/>
  <c r="C7962" i="140"/>
  <c r="C7961" i="140"/>
  <c r="C7960" i="140"/>
  <c r="C7959" i="140"/>
  <c r="C7958" i="140"/>
  <c r="C7957" i="140"/>
  <c r="C7956" i="140"/>
  <c r="C7955" i="140"/>
  <c r="C7954" i="140"/>
  <c r="C7953" i="140"/>
  <c r="C7952" i="140"/>
  <c r="C7951" i="140"/>
  <c r="C7950" i="140"/>
  <c r="C7949" i="140"/>
  <c r="C7948" i="140"/>
  <c r="C7947" i="140"/>
  <c r="C7946" i="140"/>
  <c r="C7945" i="140"/>
  <c r="C7944" i="140"/>
  <c r="C7943" i="140"/>
  <c r="C7942" i="140"/>
  <c r="C7941" i="140"/>
  <c r="C7940" i="140"/>
  <c r="C7939" i="140"/>
  <c r="C7938" i="140"/>
  <c r="C7937" i="140"/>
  <c r="C7936" i="140"/>
  <c r="C7935" i="140"/>
  <c r="C7934" i="140"/>
  <c r="C7933" i="140"/>
  <c r="C7932" i="140"/>
  <c r="C7931" i="140"/>
  <c r="C7930" i="140"/>
  <c r="C7929" i="140"/>
  <c r="C7928" i="140"/>
  <c r="C7927" i="140"/>
  <c r="C7926" i="140"/>
  <c r="C7925" i="140"/>
  <c r="C7924" i="140"/>
  <c r="C7923" i="140"/>
  <c r="C7922" i="140"/>
  <c r="C7921" i="140"/>
  <c r="C7920" i="140"/>
  <c r="C7919" i="140"/>
  <c r="C7918" i="140"/>
  <c r="C7917" i="140"/>
  <c r="C7916" i="140"/>
  <c r="C7915" i="140"/>
  <c r="C7914" i="140"/>
  <c r="C7913" i="140"/>
  <c r="C7912" i="140"/>
  <c r="C7911" i="140"/>
  <c r="C7910" i="140"/>
  <c r="C7909" i="140"/>
  <c r="C7908" i="140"/>
  <c r="C7907" i="140"/>
  <c r="C7906" i="140"/>
  <c r="C7905" i="140"/>
  <c r="C7904" i="140"/>
  <c r="C7903" i="140"/>
  <c r="C7902" i="140"/>
  <c r="C7901" i="140"/>
  <c r="C7900" i="140"/>
  <c r="C7899" i="140"/>
  <c r="C7898" i="140"/>
  <c r="C7897" i="140"/>
  <c r="C7896" i="140"/>
  <c r="C7895" i="140"/>
  <c r="C7894" i="140"/>
  <c r="C7893" i="140"/>
  <c r="C7892" i="140"/>
  <c r="C7891" i="140"/>
  <c r="C7890" i="140"/>
  <c r="C7889" i="140"/>
  <c r="C7888" i="140"/>
  <c r="C7887" i="140"/>
  <c r="C7886" i="140"/>
  <c r="C7885" i="140"/>
  <c r="C7884" i="140"/>
  <c r="C7883" i="140"/>
  <c r="C7882" i="140"/>
  <c r="C7881" i="140"/>
  <c r="C7880" i="140"/>
  <c r="C7879" i="140"/>
  <c r="C7878" i="140"/>
  <c r="C7877" i="140"/>
  <c r="C7876" i="140"/>
  <c r="C7875" i="140"/>
  <c r="C7874" i="140"/>
  <c r="C7873" i="140"/>
  <c r="C7872" i="140"/>
  <c r="C7871" i="140"/>
  <c r="C7870" i="140"/>
  <c r="C7869" i="140"/>
  <c r="C7868" i="140"/>
  <c r="C7867" i="140"/>
  <c r="C7866" i="140"/>
  <c r="C7865" i="140"/>
  <c r="C7864" i="140"/>
  <c r="C7863" i="140"/>
  <c r="C7862" i="140"/>
  <c r="C7861" i="140"/>
  <c r="C7860" i="140"/>
  <c r="C7859" i="140"/>
  <c r="C7858" i="140"/>
  <c r="C7857" i="140"/>
  <c r="C7856" i="140"/>
  <c r="C7855" i="140"/>
  <c r="C7854" i="140"/>
  <c r="C7853" i="140"/>
  <c r="C7852" i="140"/>
  <c r="C7851" i="140"/>
  <c r="C7850" i="140"/>
  <c r="C7849" i="140"/>
  <c r="C7848" i="140"/>
  <c r="C7847" i="140"/>
  <c r="C7846" i="140"/>
  <c r="C7845" i="140"/>
  <c r="C7844" i="140"/>
  <c r="C7843" i="140"/>
  <c r="C7842" i="140"/>
  <c r="C7841" i="140"/>
  <c r="C7840" i="140"/>
  <c r="C7839" i="140"/>
  <c r="C7838" i="140"/>
  <c r="C7837" i="140"/>
  <c r="C7836" i="140"/>
  <c r="C7835" i="140"/>
  <c r="C7834" i="140"/>
  <c r="C7833" i="140"/>
  <c r="C7832" i="140"/>
  <c r="C7831" i="140"/>
  <c r="C7830" i="140"/>
  <c r="C7829" i="140"/>
  <c r="C7828" i="140"/>
  <c r="C7827" i="140"/>
  <c r="C7826" i="140"/>
  <c r="C7825" i="140"/>
  <c r="C7824" i="140"/>
  <c r="C7823" i="140"/>
  <c r="C7822" i="140"/>
  <c r="C7821" i="140"/>
  <c r="C7820" i="140"/>
  <c r="C7819" i="140"/>
  <c r="C7818" i="140"/>
  <c r="C7817" i="140"/>
  <c r="C7816" i="140"/>
  <c r="C7815" i="140"/>
  <c r="C7814" i="140"/>
  <c r="C7813" i="140"/>
  <c r="C7812" i="140"/>
  <c r="C7811" i="140"/>
  <c r="C7810" i="140"/>
  <c r="C7809" i="140"/>
  <c r="C7808" i="140"/>
  <c r="C7807" i="140"/>
  <c r="C7806" i="140"/>
  <c r="C7805" i="140"/>
  <c r="C7804" i="140"/>
  <c r="C7803" i="140"/>
  <c r="C7802" i="140"/>
  <c r="C7801" i="140"/>
  <c r="C7800" i="140"/>
  <c r="C7799" i="140"/>
  <c r="C7798" i="140"/>
  <c r="C7797" i="140"/>
  <c r="C7796" i="140"/>
  <c r="C7795" i="140"/>
  <c r="C7794" i="140"/>
  <c r="C7793" i="140"/>
  <c r="C7792" i="140"/>
  <c r="C7791" i="140"/>
  <c r="C7790" i="140"/>
  <c r="C7789" i="140"/>
  <c r="C7788" i="140"/>
  <c r="C7787" i="140"/>
  <c r="C7786" i="140"/>
  <c r="C7785" i="140"/>
  <c r="C7784" i="140"/>
  <c r="C7783" i="140"/>
  <c r="C7782" i="140"/>
  <c r="C7781" i="140"/>
  <c r="C7780" i="140"/>
  <c r="C7779" i="140"/>
  <c r="C7778" i="140"/>
  <c r="C7777" i="140"/>
  <c r="C7776" i="140"/>
  <c r="C7775" i="140"/>
  <c r="C7774" i="140"/>
  <c r="C7773" i="140"/>
  <c r="C7772" i="140"/>
  <c r="C7771" i="140"/>
  <c r="C7770" i="140"/>
  <c r="C7769" i="140"/>
  <c r="C7768" i="140"/>
  <c r="C7767" i="140"/>
  <c r="C7766" i="140"/>
  <c r="C7765" i="140"/>
  <c r="C7764" i="140"/>
  <c r="C7763" i="140"/>
  <c r="C7762" i="140"/>
  <c r="C7761" i="140"/>
  <c r="C7760" i="140"/>
  <c r="C7759" i="140"/>
  <c r="C7758" i="140"/>
  <c r="C7757" i="140"/>
  <c r="C7756" i="140"/>
  <c r="C7755" i="140"/>
  <c r="C7754" i="140"/>
  <c r="C7753" i="140"/>
  <c r="C7752" i="140"/>
  <c r="C7751" i="140"/>
  <c r="C7750" i="140"/>
  <c r="C7749" i="140"/>
  <c r="C7748" i="140"/>
  <c r="C7747" i="140"/>
  <c r="C7746" i="140"/>
  <c r="C7745" i="140"/>
  <c r="C7744" i="140"/>
  <c r="C7743" i="140"/>
  <c r="C7742" i="140"/>
  <c r="C7741" i="140"/>
  <c r="C7740" i="140"/>
  <c r="C7739" i="140"/>
  <c r="C7738" i="140"/>
  <c r="C7737" i="140"/>
  <c r="C7736" i="140"/>
  <c r="C7735" i="140"/>
  <c r="C7734" i="140"/>
  <c r="C7733" i="140"/>
  <c r="C7732" i="140"/>
  <c r="C7731" i="140"/>
  <c r="C7730" i="140"/>
  <c r="C7729" i="140"/>
  <c r="C7728" i="140"/>
  <c r="C7727" i="140"/>
  <c r="C7726" i="140"/>
  <c r="C7725" i="140"/>
  <c r="C7724" i="140"/>
  <c r="C7723" i="140"/>
  <c r="C7722" i="140"/>
  <c r="C7721" i="140"/>
  <c r="C7720" i="140"/>
  <c r="C7719" i="140"/>
  <c r="C7718" i="140"/>
  <c r="C7717" i="140"/>
  <c r="C7716" i="140"/>
  <c r="C7715" i="140"/>
  <c r="C7714" i="140"/>
  <c r="C7713" i="140"/>
  <c r="C7712" i="140"/>
  <c r="C7711" i="140"/>
  <c r="C7710" i="140"/>
  <c r="C7709" i="140"/>
  <c r="C7708" i="140"/>
  <c r="C7707" i="140"/>
  <c r="C7706" i="140"/>
  <c r="C7705" i="140"/>
  <c r="C7704" i="140"/>
  <c r="C7703" i="140"/>
  <c r="C7702" i="140"/>
  <c r="C7701" i="140"/>
  <c r="C7700" i="140"/>
  <c r="C7699" i="140"/>
  <c r="C7698" i="140"/>
  <c r="C7697" i="140"/>
  <c r="C7696" i="140"/>
  <c r="C7695" i="140"/>
  <c r="C7694" i="140"/>
  <c r="C7693" i="140"/>
  <c r="C7692" i="140"/>
  <c r="C7691" i="140"/>
  <c r="C7690" i="140"/>
  <c r="C7689" i="140"/>
  <c r="C7688" i="140"/>
  <c r="C7687" i="140"/>
  <c r="C7686" i="140"/>
  <c r="C7685" i="140"/>
  <c r="C7684" i="140"/>
  <c r="C7683" i="140"/>
  <c r="C7682" i="140"/>
  <c r="C7681" i="140"/>
  <c r="C7680" i="140"/>
  <c r="C7679" i="140"/>
  <c r="C7678" i="140"/>
  <c r="C7677" i="140"/>
  <c r="C7676" i="140"/>
  <c r="C7675" i="140"/>
  <c r="C7674" i="140"/>
  <c r="C7673" i="140"/>
  <c r="C7672" i="140"/>
  <c r="C7671" i="140"/>
  <c r="C7670" i="140"/>
  <c r="C7669" i="140"/>
  <c r="C7668" i="140"/>
  <c r="C7667" i="140"/>
  <c r="C7666" i="140"/>
  <c r="C7665" i="140"/>
  <c r="C7664" i="140"/>
  <c r="C7663" i="140"/>
  <c r="C7662" i="140"/>
  <c r="C7661" i="140"/>
  <c r="C7660" i="140"/>
  <c r="C7659" i="140"/>
  <c r="C7658" i="140"/>
  <c r="C7657" i="140"/>
  <c r="C7656" i="140"/>
  <c r="C7655" i="140"/>
  <c r="C7654" i="140"/>
  <c r="C7653" i="140"/>
  <c r="C7652" i="140"/>
  <c r="C7651" i="140"/>
  <c r="C7650" i="140"/>
  <c r="C7649" i="140"/>
  <c r="C7648" i="140"/>
  <c r="C7647" i="140"/>
  <c r="C7646" i="140"/>
  <c r="C7645" i="140"/>
  <c r="C7644" i="140"/>
  <c r="C7643" i="140"/>
  <c r="C7642" i="140"/>
  <c r="C7641" i="140"/>
  <c r="C7640" i="140"/>
  <c r="C7639" i="140"/>
  <c r="C7638" i="140"/>
  <c r="C7637" i="140"/>
  <c r="C7636" i="140"/>
  <c r="C7635" i="140"/>
  <c r="C7634" i="140"/>
  <c r="C7633" i="140"/>
  <c r="C7632" i="140"/>
  <c r="C7631" i="140"/>
  <c r="C7630" i="140"/>
  <c r="C7629" i="140"/>
  <c r="C7628" i="140"/>
  <c r="C7627" i="140"/>
  <c r="C7626" i="140"/>
  <c r="C7625" i="140"/>
  <c r="C7624" i="140"/>
  <c r="C7623" i="140"/>
  <c r="C7622" i="140"/>
  <c r="C7621" i="140"/>
  <c r="C7620" i="140"/>
  <c r="C7619" i="140"/>
  <c r="C7618" i="140"/>
  <c r="C7617" i="140"/>
  <c r="C7616" i="140"/>
  <c r="C7615" i="140"/>
  <c r="C7614" i="140"/>
  <c r="C7613" i="140"/>
  <c r="C7612" i="140"/>
  <c r="C7611" i="140"/>
  <c r="C7610" i="140"/>
  <c r="C7609" i="140"/>
  <c r="C7608" i="140"/>
  <c r="C7607" i="140"/>
  <c r="C7606" i="140"/>
  <c r="C7605" i="140"/>
  <c r="C7604" i="140"/>
  <c r="C7603" i="140"/>
  <c r="C7602" i="140"/>
  <c r="C7601" i="140"/>
  <c r="C7600" i="140"/>
  <c r="C7599" i="140"/>
  <c r="C7598" i="140"/>
  <c r="C7597" i="140"/>
  <c r="C7596" i="140"/>
  <c r="C7595" i="140"/>
  <c r="C7594" i="140"/>
  <c r="C7593" i="140"/>
  <c r="C7592" i="140"/>
  <c r="C7591" i="140"/>
  <c r="C7590" i="140"/>
  <c r="C7589" i="140"/>
  <c r="C7588" i="140"/>
  <c r="C7587" i="140"/>
  <c r="C7586" i="140"/>
  <c r="C7585" i="140"/>
  <c r="C7584" i="140"/>
  <c r="C7583" i="140"/>
  <c r="C7582" i="140"/>
  <c r="C7581" i="140"/>
  <c r="C7580" i="140"/>
  <c r="C7579" i="140"/>
  <c r="C7578" i="140"/>
  <c r="C7577" i="140"/>
  <c r="C7576" i="140"/>
  <c r="C7575" i="140"/>
  <c r="C7574" i="140"/>
  <c r="C7573" i="140"/>
  <c r="C7572" i="140"/>
  <c r="C7571" i="140"/>
  <c r="C7570" i="140"/>
  <c r="C7569" i="140"/>
  <c r="C7568" i="140"/>
  <c r="C7567" i="140"/>
  <c r="C7566" i="140"/>
  <c r="C7565" i="140"/>
  <c r="C7564" i="140"/>
  <c r="C7563" i="140"/>
  <c r="C7562" i="140"/>
  <c r="C7561" i="140"/>
  <c r="C7560" i="140"/>
  <c r="C7559" i="140"/>
  <c r="C7558" i="140"/>
  <c r="C7557" i="140"/>
  <c r="C7556" i="140"/>
  <c r="C7555" i="140"/>
  <c r="C7554" i="140"/>
  <c r="C7553" i="140"/>
  <c r="C7552" i="140"/>
  <c r="C7551" i="140"/>
  <c r="C7550" i="140"/>
  <c r="C7549" i="140"/>
  <c r="C7548" i="140"/>
  <c r="C7547" i="140"/>
  <c r="C7546" i="140"/>
  <c r="C7545" i="140"/>
  <c r="C7544" i="140"/>
  <c r="C7543" i="140"/>
  <c r="C7542" i="140"/>
  <c r="C7541" i="140"/>
  <c r="C7540" i="140"/>
  <c r="C7539" i="140"/>
  <c r="C7538" i="140"/>
  <c r="C7537" i="140"/>
  <c r="C7536" i="140"/>
  <c r="C7535" i="140"/>
  <c r="C7534" i="140"/>
  <c r="C7533" i="140"/>
  <c r="C7532" i="140"/>
  <c r="C7531" i="140"/>
  <c r="C7530" i="140"/>
  <c r="C7529" i="140"/>
  <c r="C7528" i="140"/>
  <c r="C7527" i="140"/>
  <c r="C7526" i="140"/>
  <c r="C7525" i="140"/>
  <c r="C7524" i="140"/>
  <c r="C7523" i="140"/>
  <c r="C7522" i="140"/>
  <c r="C7521" i="140"/>
  <c r="C7520" i="140"/>
  <c r="C7519" i="140"/>
  <c r="C7518" i="140"/>
  <c r="C7517" i="140"/>
  <c r="C7516" i="140"/>
  <c r="C7515" i="140"/>
  <c r="C7514" i="140"/>
  <c r="C7513" i="140"/>
  <c r="C7512" i="140"/>
  <c r="C7511" i="140"/>
  <c r="C7510" i="140"/>
  <c r="C7509" i="140"/>
  <c r="C7508" i="140"/>
  <c r="C7507" i="140"/>
  <c r="C7506" i="140"/>
  <c r="C7505" i="140"/>
  <c r="C7504" i="140"/>
  <c r="C7503" i="140"/>
  <c r="C7502" i="140"/>
  <c r="C7501" i="140"/>
  <c r="C7500" i="140"/>
  <c r="C7499" i="140"/>
  <c r="C7498" i="140"/>
  <c r="C7497" i="140"/>
  <c r="C7496" i="140"/>
  <c r="C7495" i="140"/>
  <c r="C7494" i="140"/>
  <c r="C7493" i="140"/>
  <c r="C7492" i="140"/>
  <c r="C7491" i="140"/>
  <c r="C7490" i="140"/>
  <c r="C7489" i="140"/>
  <c r="C7488" i="140"/>
  <c r="C7487" i="140"/>
  <c r="C7486" i="140"/>
  <c r="C7485" i="140"/>
  <c r="C7484" i="140"/>
  <c r="C7483" i="140"/>
  <c r="C7482" i="140"/>
  <c r="C7481" i="140"/>
  <c r="C7480" i="140"/>
  <c r="C7479" i="140"/>
  <c r="C7478" i="140"/>
  <c r="C7477" i="140"/>
  <c r="C7476" i="140"/>
  <c r="C7475" i="140"/>
  <c r="C7474" i="140"/>
  <c r="C7473" i="140"/>
  <c r="C7472" i="140"/>
  <c r="C7471" i="140"/>
  <c r="C7470" i="140"/>
  <c r="C7469" i="140"/>
  <c r="C7468" i="140"/>
  <c r="C7467" i="140"/>
  <c r="C7466" i="140"/>
  <c r="C7465" i="140"/>
  <c r="C7464" i="140"/>
  <c r="C7463" i="140"/>
  <c r="C7462" i="140"/>
  <c r="C7461" i="140"/>
  <c r="C7460" i="140"/>
  <c r="C7459" i="140"/>
  <c r="C7458" i="140"/>
  <c r="C7457" i="140"/>
  <c r="C7456" i="140"/>
  <c r="C7455" i="140"/>
  <c r="C7454" i="140"/>
  <c r="C7453" i="140"/>
  <c r="C7452" i="140"/>
  <c r="C7451" i="140"/>
  <c r="C7450" i="140"/>
  <c r="C7449" i="140"/>
  <c r="C7448" i="140"/>
  <c r="C7447" i="140"/>
  <c r="C7446" i="140"/>
  <c r="C7445" i="140"/>
  <c r="C7444" i="140"/>
  <c r="C7443" i="140"/>
  <c r="C7442" i="140"/>
  <c r="C7441" i="140"/>
  <c r="C7440" i="140"/>
  <c r="C7439" i="140"/>
  <c r="C7438" i="140"/>
  <c r="C7437" i="140"/>
  <c r="C7436" i="140"/>
  <c r="C7435" i="140"/>
  <c r="C7434" i="140"/>
  <c r="C7433" i="140"/>
  <c r="C7432" i="140"/>
  <c r="C7431" i="140"/>
  <c r="C7430" i="140"/>
  <c r="C7429" i="140"/>
  <c r="C7428" i="140"/>
  <c r="C7427" i="140"/>
  <c r="C7426" i="140"/>
  <c r="C7425" i="140"/>
  <c r="C7424" i="140"/>
  <c r="C7423" i="140"/>
  <c r="C7422" i="140"/>
  <c r="C7421" i="140"/>
  <c r="C7420" i="140"/>
  <c r="C7419" i="140"/>
  <c r="C7418" i="140"/>
  <c r="C7417" i="140"/>
  <c r="C7416" i="140"/>
  <c r="C7415" i="140"/>
  <c r="C7414" i="140"/>
  <c r="C7413" i="140"/>
  <c r="C7412" i="140"/>
  <c r="C7411" i="140"/>
  <c r="C7410" i="140"/>
  <c r="C7409" i="140"/>
  <c r="C7408" i="140"/>
  <c r="C7407" i="140"/>
  <c r="C7406" i="140"/>
  <c r="C7405" i="140"/>
  <c r="C7404" i="140"/>
  <c r="C7403" i="140"/>
  <c r="C7402" i="140"/>
  <c r="C7401" i="140"/>
  <c r="C7400" i="140"/>
  <c r="C7399" i="140"/>
  <c r="C7398" i="140"/>
  <c r="C7397" i="140"/>
  <c r="C7396" i="140"/>
  <c r="C7395" i="140"/>
  <c r="C7394" i="140"/>
  <c r="C7393" i="140"/>
  <c r="C7392" i="140"/>
  <c r="C7391" i="140"/>
  <c r="C7390" i="140"/>
  <c r="C7389" i="140"/>
  <c r="C7388" i="140"/>
  <c r="C7387" i="140"/>
  <c r="C7386" i="140"/>
  <c r="C7385" i="140"/>
  <c r="C7384" i="140"/>
  <c r="C7383" i="140"/>
  <c r="C7382" i="140"/>
  <c r="C7381" i="140"/>
  <c r="C7380" i="140"/>
  <c r="C7379" i="140"/>
  <c r="C7378" i="140"/>
  <c r="C7377" i="140"/>
  <c r="C7376" i="140"/>
  <c r="C7375" i="140"/>
  <c r="C7374" i="140"/>
  <c r="C7373" i="140"/>
  <c r="C7372" i="140"/>
  <c r="C7371" i="140"/>
  <c r="C7370" i="140"/>
  <c r="C7369" i="140"/>
  <c r="C7368" i="140"/>
  <c r="C7367" i="140"/>
  <c r="C7366" i="140"/>
  <c r="C7365" i="140"/>
  <c r="C7364" i="140"/>
  <c r="C7363" i="140"/>
  <c r="C7362" i="140"/>
  <c r="C7361" i="140"/>
  <c r="C7360" i="140"/>
  <c r="C7359" i="140"/>
  <c r="C7358" i="140"/>
  <c r="C7357" i="140"/>
  <c r="C7356" i="140"/>
  <c r="C7355" i="140"/>
  <c r="C7354" i="140"/>
  <c r="C7353" i="140"/>
  <c r="C7352" i="140"/>
  <c r="C7351" i="140"/>
  <c r="C7350" i="140"/>
  <c r="C7349" i="140"/>
  <c r="C7348" i="140"/>
  <c r="C7347" i="140"/>
  <c r="C7346" i="140"/>
  <c r="C7345" i="140"/>
  <c r="C7344" i="140"/>
  <c r="C7343" i="140"/>
  <c r="C7342" i="140"/>
  <c r="C7341" i="140"/>
  <c r="C7340" i="140"/>
  <c r="C7339" i="140"/>
  <c r="C7338" i="140"/>
  <c r="C7337" i="140"/>
  <c r="C7336" i="140"/>
  <c r="C7335" i="140"/>
  <c r="C7334" i="140"/>
  <c r="C7333" i="140"/>
  <c r="C7332" i="140"/>
  <c r="C7331" i="140"/>
  <c r="C7330" i="140"/>
  <c r="C7329" i="140"/>
  <c r="C7328" i="140"/>
  <c r="C7327" i="140"/>
  <c r="C7326" i="140"/>
  <c r="C7325" i="140"/>
  <c r="C7324" i="140"/>
  <c r="C7323" i="140"/>
  <c r="C7322" i="140"/>
  <c r="C7321" i="140"/>
  <c r="C7320" i="140"/>
  <c r="C7319" i="140"/>
  <c r="C7318" i="140"/>
  <c r="C7317" i="140"/>
  <c r="C7316" i="140"/>
  <c r="C7315" i="140"/>
  <c r="C7314" i="140"/>
  <c r="C7313" i="140"/>
  <c r="C7312" i="140"/>
  <c r="C7311" i="140"/>
  <c r="C7310" i="140"/>
  <c r="C7309" i="140"/>
  <c r="C7308" i="140"/>
  <c r="C7307" i="140"/>
  <c r="C7306" i="140"/>
  <c r="C7305" i="140"/>
  <c r="C7304" i="140"/>
  <c r="C7303" i="140"/>
  <c r="C7302" i="140"/>
  <c r="C7301" i="140"/>
  <c r="C7300" i="140"/>
  <c r="C7299" i="140"/>
  <c r="C7298" i="140"/>
  <c r="C7297" i="140"/>
  <c r="C7296" i="140"/>
  <c r="C7295" i="140"/>
  <c r="C7294" i="140"/>
  <c r="C7293" i="140"/>
  <c r="C7292" i="140"/>
  <c r="C7291" i="140"/>
  <c r="C7290" i="140"/>
  <c r="C7289" i="140"/>
  <c r="C7288" i="140"/>
  <c r="C7287" i="140"/>
  <c r="C7286" i="140"/>
  <c r="C7285" i="140"/>
  <c r="C7284" i="140"/>
  <c r="C7283" i="140"/>
  <c r="C7282" i="140"/>
  <c r="C7281" i="140"/>
  <c r="C7280" i="140"/>
  <c r="C7279" i="140"/>
  <c r="C7278" i="140"/>
  <c r="C7277" i="140"/>
  <c r="C7276" i="140"/>
  <c r="C7275" i="140"/>
  <c r="C7274" i="140"/>
  <c r="C7273" i="140"/>
  <c r="C7272" i="140"/>
  <c r="C7271" i="140"/>
  <c r="C7270" i="140"/>
  <c r="C7269" i="140"/>
  <c r="C7268" i="140"/>
  <c r="C7267" i="140"/>
  <c r="C7266" i="140"/>
  <c r="C7265" i="140"/>
  <c r="C7264" i="140"/>
  <c r="C7263" i="140"/>
  <c r="C7262" i="140"/>
  <c r="C7261" i="140"/>
  <c r="C7260" i="140"/>
  <c r="C7259" i="140"/>
  <c r="C7258" i="140"/>
  <c r="C7257" i="140"/>
  <c r="C7256" i="140"/>
  <c r="C7255" i="140"/>
  <c r="C7254" i="140"/>
  <c r="C7253" i="140"/>
  <c r="C7252" i="140"/>
  <c r="C7251" i="140"/>
  <c r="C7250" i="140"/>
  <c r="C7249" i="140"/>
  <c r="C7248" i="140"/>
  <c r="C7247" i="140"/>
  <c r="C7246" i="140"/>
  <c r="C7245" i="140"/>
  <c r="C7244" i="140"/>
  <c r="C7243" i="140"/>
  <c r="C7242" i="140"/>
  <c r="C7241" i="140"/>
  <c r="C7240" i="140"/>
  <c r="C7239" i="140"/>
  <c r="C7238" i="140"/>
  <c r="C7237" i="140"/>
  <c r="C7236" i="140"/>
  <c r="C7235" i="140"/>
  <c r="C7234" i="140"/>
  <c r="C7233" i="140"/>
  <c r="C7232" i="140"/>
  <c r="C7231" i="140"/>
  <c r="C7230" i="140"/>
  <c r="C7229" i="140"/>
  <c r="C7228" i="140"/>
  <c r="C7227" i="140"/>
  <c r="C7226" i="140"/>
  <c r="C7225" i="140"/>
  <c r="C7224" i="140"/>
  <c r="C7223" i="140"/>
  <c r="C7222" i="140"/>
  <c r="C7221" i="140"/>
  <c r="C7220" i="140"/>
  <c r="C7219" i="140"/>
  <c r="C7218" i="140"/>
  <c r="C7217" i="140"/>
  <c r="C7216" i="140"/>
  <c r="C7215" i="140"/>
  <c r="C7214" i="140"/>
  <c r="C7213" i="140"/>
  <c r="C7212" i="140"/>
  <c r="C7211" i="140"/>
  <c r="C7210" i="140"/>
  <c r="C7209" i="140"/>
  <c r="C7208" i="140"/>
  <c r="C7207" i="140"/>
  <c r="C7206" i="140"/>
  <c r="C7205" i="140"/>
  <c r="C7204" i="140"/>
  <c r="C7203" i="140"/>
  <c r="C7202" i="140"/>
  <c r="C7201" i="140"/>
  <c r="C7200" i="140"/>
  <c r="C7199" i="140"/>
  <c r="C7198" i="140"/>
  <c r="C7197" i="140"/>
  <c r="C7196" i="140"/>
  <c r="C7195" i="140"/>
  <c r="C7194" i="140"/>
  <c r="C7193" i="140"/>
  <c r="C7192" i="140"/>
  <c r="C7191" i="140"/>
  <c r="C7190" i="140"/>
  <c r="C7189" i="140"/>
  <c r="C7188" i="140"/>
  <c r="C7187" i="140"/>
  <c r="C7186" i="140"/>
  <c r="C7185" i="140"/>
  <c r="C7184" i="140"/>
  <c r="C7183" i="140"/>
  <c r="C7182" i="140"/>
  <c r="C7181" i="140"/>
  <c r="C7180" i="140"/>
  <c r="C7179" i="140"/>
  <c r="C7178" i="140"/>
  <c r="C7177" i="140"/>
  <c r="C7176" i="140"/>
  <c r="C7175" i="140"/>
  <c r="C7174" i="140"/>
  <c r="C7173" i="140"/>
  <c r="C7172" i="140"/>
  <c r="C7171" i="140"/>
  <c r="C7170" i="140"/>
  <c r="C7169" i="140"/>
  <c r="C7168" i="140"/>
  <c r="C7167" i="140"/>
  <c r="C7166" i="140"/>
  <c r="C7165" i="140"/>
  <c r="C7164" i="140"/>
  <c r="C7163" i="140"/>
  <c r="C7162" i="140"/>
  <c r="C7161" i="140"/>
  <c r="C7160" i="140"/>
  <c r="C7159" i="140"/>
  <c r="C7158" i="140"/>
  <c r="C7157" i="140"/>
  <c r="C7156" i="140"/>
  <c r="C7155" i="140"/>
  <c r="C7154" i="140"/>
  <c r="C7153" i="140"/>
  <c r="C7152" i="140"/>
  <c r="C7151" i="140"/>
  <c r="C7150" i="140"/>
  <c r="C7149" i="140"/>
  <c r="C7148" i="140"/>
  <c r="C7147" i="140"/>
  <c r="C7146" i="140"/>
  <c r="C7145" i="140"/>
  <c r="C7144" i="140"/>
  <c r="C7143" i="140"/>
  <c r="C7142" i="140"/>
  <c r="C7141" i="140"/>
  <c r="C7140" i="140"/>
  <c r="C7139" i="140"/>
  <c r="C7138" i="140"/>
  <c r="C7137" i="140"/>
  <c r="C7136" i="140"/>
  <c r="C7135" i="140"/>
  <c r="C7134" i="140"/>
  <c r="C7133" i="140"/>
  <c r="C7132" i="140"/>
  <c r="C7131" i="140"/>
  <c r="C7130" i="140"/>
  <c r="C7129" i="140"/>
  <c r="C7128" i="140"/>
  <c r="C7127" i="140"/>
  <c r="C7126" i="140"/>
  <c r="C7125" i="140"/>
  <c r="C7124" i="140"/>
  <c r="C7123" i="140"/>
  <c r="C7122" i="140"/>
  <c r="C7121" i="140"/>
  <c r="C7120" i="140"/>
  <c r="C7119" i="140"/>
  <c r="C7118" i="140"/>
  <c r="C7117" i="140"/>
  <c r="C7116" i="140"/>
  <c r="C7115" i="140"/>
  <c r="C7114" i="140"/>
  <c r="C7113" i="140"/>
  <c r="C7112" i="140"/>
  <c r="C7111" i="140"/>
  <c r="C7110" i="140"/>
  <c r="C7109" i="140"/>
  <c r="C7108" i="140"/>
  <c r="C7107" i="140"/>
  <c r="C7106" i="140"/>
  <c r="C7105" i="140"/>
  <c r="C7104" i="140"/>
  <c r="C7103" i="140"/>
  <c r="C7102" i="140"/>
  <c r="C7101" i="140"/>
  <c r="C7100" i="140"/>
  <c r="C7099" i="140"/>
  <c r="C7098" i="140"/>
  <c r="C7097" i="140"/>
  <c r="C7096" i="140"/>
  <c r="C7095" i="140"/>
  <c r="C7094" i="140"/>
  <c r="C7093" i="140"/>
  <c r="C7092" i="140"/>
  <c r="C7091" i="140"/>
  <c r="C7090" i="140"/>
  <c r="C7089" i="140"/>
  <c r="C7088" i="140"/>
  <c r="C7087" i="140"/>
  <c r="C7086" i="140"/>
  <c r="C7085" i="140"/>
  <c r="C7084" i="140"/>
  <c r="C7083" i="140"/>
  <c r="C7082" i="140"/>
  <c r="C7081" i="140"/>
  <c r="C7080" i="140"/>
  <c r="C7079" i="140"/>
  <c r="C7078" i="140"/>
  <c r="C7077" i="140"/>
  <c r="C7076" i="140"/>
  <c r="C7075" i="140"/>
  <c r="C7074" i="140"/>
  <c r="C7073" i="140"/>
  <c r="C7072" i="140"/>
  <c r="C7071" i="140"/>
  <c r="C7070" i="140"/>
  <c r="C7069" i="140"/>
  <c r="C7068" i="140"/>
  <c r="C7067" i="140"/>
  <c r="C7066" i="140"/>
  <c r="C7065" i="140"/>
  <c r="C7064" i="140"/>
  <c r="C7063" i="140"/>
  <c r="C7062" i="140"/>
  <c r="C7061" i="140"/>
  <c r="C7060" i="140"/>
  <c r="C7059" i="140"/>
  <c r="C7058" i="140"/>
  <c r="C7057" i="140"/>
  <c r="C7056" i="140"/>
  <c r="C7055" i="140"/>
  <c r="C7054" i="140"/>
  <c r="C7053" i="140"/>
  <c r="C7052" i="140"/>
  <c r="C7051" i="140"/>
  <c r="C7050" i="140"/>
  <c r="C7049" i="140"/>
  <c r="C7048" i="140"/>
  <c r="C7047" i="140"/>
  <c r="C7046" i="140"/>
  <c r="C7045" i="140"/>
  <c r="C7044" i="140"/>
  <c r="C7043" i="140"/>
  <c r="C7042" i="140"/>
  <c r="C7041" i="140"/>
  <c r="C7040" i="140"/>
  <c r="C7039" i="140"/>
  <c r="C7038" i="140"/>
  <c r="C7037" i="140"/>
  <c r="C7036" i="140"/>
  <c r="C7035" i="140"/>
  <c r="C7034" i="140"/>
  <c r="C7033" i="140"/>
  <c r="C7032" i="140"/>
  <c r="C7031" i="140"/>
  <c r="C7030" i="140"/>
  <c r="C7029" i="140"/>
  <c r="C7028" i="140"/>
  <c r="C7027" i="140"/>
  <c r="C7026" i="140"/>
  <c r="C7025" i="140"/>
  <c r="C7024" i="140"/>
  <c r="C7023" i="140"/>
  <c r="C7022" i="140"/>
  <c r="C7021" i="140"/>
  <c r="C7020" i="140"/>
  <c r="C7019" i="140"/>
  <c r="C7018" i="140"/>
  <c r="C7017" i="140"/>
  <c r="C7016" i="140"/>
  <c r="C7015" i="140"/>
  <c r="C7014" i="140"/>
  <c r="C7013" i="140"/>
  <c r="C7012" i="140"/>
  <c r="C7011" i="140"/>
  <c r="C7010" i="140"/>
  <c r="C7009" i="140"/>
  <c r="C7008" i="140"/>
  <c r="C7007" i="140"/>
  <c r="C7006" i="140"/>
  <c r="C7005" i="140"/>
  <c r="C7004" i="140"/>
  <c r="C7003" i="140"/>
  <c r="C7002" i="140"/>
  <c r="C7001" i="140"/>
  <c r="C7000" i="140"/>
  <c r="C6999" i="140"/>
  <c r="C6998" i="140"/>
  <c r="C6997" i="140"/>
  <c r="C6996" i="140"/>
  <c r="C6995" i="140"/>
  <c r="C6994" i="140"/>
  <c r="C6993" i="140"/>
  <c r="C6992" i="140"/>
  <c r="C6991" i="140"/>
  <c r="C6990" i="140"/>
  <c r="C6989" i="140"/>
  <c r="C6988" i="140"/>
  <c r="C6987" i="140"/>
  <c r="C6986" i="140"/>
  <c r="C6985" i="140"/>
  <c r="C6984" i="140"/>
  <c r="C6983" i="140"/>
  <c r="C6982" i="140"/>
  <c r="C6981" i="140"/>
  <c r="C6980" i="140"/>
  <c r="C6979" i="140"/>
  <c r="C6978" i="140"/>
  <c r="C6977" i="140"/>
  <c r="C6976" i="140"/>
  <c r="C6975" i="140"/>
  <c r="C6974" i="140"/>
  <c r="C6973" i="140"/>
  <c r="C6972" i="140"/>
  <c r="C6971" i="140"/>
  <c r="C6970" i="140"/>
  <c r="C6969" i="140"/>
  <c r="C6968" i="140"/>
  <c r="C6967" i="140"/>
  <c r="C6966" i="140"/>
  <c r="C6965" i="140"/>
  <c r="C6964" i="140"/>
  <c r="C6963" i="140"/>
  <c r="C6962" i="140"/>
  <c r="C6961" i="140"/>
  <c r="C6960" i="140"/>
  <c r="C6959" i="140"/>
  <c r="C6958" i="140"/>
  <c r="C6957" i="140"/>
  <c r="C6956" i="140"/>
  <c r="C6955" i="140"/>
  <c r="C6954" i="140"/>
  <c r="C6953" i="140"/>
  <c r="C6952" i="140"/>
  <c r="C6951" i="140"/>
  <c r="C6950" i="140"/>
  <c r="C6949" i="140"/>
  <c r="C6948" i="140"/>
  <c r="C6947" i="140"/>
  <c r="C6946" i="140"/>
  <c r="C6945" i="140"/>
  <c r="C6944" i="140"/>
  <c r="C6943" i="140"/>
  <c r="C6942" i="140"/>
  <c r="C6941" i="140"/>
  <c r="C6940" i="140"/>
  <c r="C6939" i="140"/>
  <c r="C6938" i="140"/>
  <c r="C6937" i="140"/>
  <c r="C6936" i="140"/>
  <c r="C6935" i="140"/>
  <c r="C6934" i="140"/>
  <c r="C6933" i="140"/>
  <c r="C6932" i="140"/>
  <c r="C6931" i="140"/>
  <c r="C6930" i="140"/>
  <c r="C6929" i="140"/>
  <c r="C6928" i="140"/>
  <c r="C6927" i="140"/>
  <c r="C6926" i="140"/>
  <c r="C6925" i="140"/>
  <c r="C6924" i="140"/>
  <c r="C6923" i="140"/>
  <c r="C6922" i="140"/>
  <c r="C6921" i="140"/>
  <c r="C6920" i="140"/>
  <c r="C6919" i="140"/>
  <c r="C6918" i="140"/>
  <c r="C6917" i="140"/>
  <c r="C6916" i="140"/>
  <c r="C6915" i="140"/>
  <c r="C6914" i="140"/>
  <c r="C6913" i="140"/>
  <c r="C6912" i="140"/>
  <c r="C6911" i="140"/>
  <c r="C6910" i="140"/>
  <c r="C6909" i="140"/>
  <c r="C6908" i="140"/>
  <c r="C6907" i="140"/>
  <c r="C6906" i="140"/>
  <c r="C6905" i="140"/>
  <c r="C6904" i="140"/>
  <c r="C6903" i="140"/>
  <c r="C6902" i="140"/>
  <c r="C6901" i="140"/>
  <c r="C6900" i="140"/>
  <c r="C6899" i="140"/>
  <c r="C6898" i="140"/>
  <c r="C6897" i="140"/>
  <c r="C6896" i="140"/>
  <c r="C6895" i="140"/>
  <c r="C6894" i="140"/>
  <c r="C6893" i="140"/>
  <c r="C6892" i="140"/>
  <c r="C6891" i="140"/>
  <c r="C6890" i="140"/>
  <c r="C6889" i="140"/>
  <c r="C6888" i="140"/>
  <c r="C6887" i="140"/>
  <c r="C6886" i="140"/>
  <c r="C6885" i="140"/>
  <c r="C6884" i="140"/>
  <c r="C6883" i="140"/>
  <c r="C6882" i="140"/>
  <c r="C6881" i="140"/>
  <c r="C6880" i="140"/>
  <c r="C6879" i="140"/>
  <c r="C6878" i="140"/>
  <c r="C6877" i="140"/>
  <c r="C6876" i="140"/>
  <c r="C6875" i="140"/>
  <c r="C6874" i="140"/>
  <c r="C6873" i="140"/>
  <c r="C6872" i="140"/>
  <c r="C6871" i="140"/>
  <c r="C6870" i="140"/>
  <c r="C6869" i="140"/>
  <c r="C6868" i="140"/>
  <c r="C6867" i="140"/>
  <c r="C6866" i="140"/>
  <c r="C6865" i="140"/>
  <c r="C6864" i="140"/>
  <c r="C6863" i="140"/>
  <c r="C6862" i="140"/>
  <c r="C6861" i="140"/>
  <c r="C6860" i="140"/>
  <c r="C6859" i="140"/>
  <c r="C6858" i="140"/>
  <c r="C6857" i="140"/>
  <c r="C6856" i="140"/>
  <c r="C6855" i="140"/>
  <c r="C6854" i="140"/>
  <c r="C6853" i="140"/>
  <c r="C6852" i="140"/>
  <c r="C6851" i="140"/>
  <c r="C6850" i="140"/>
  <c r="C6849" i="140"/>
  <c r="C6848" i="140"/>
  <c r="C6847" i="140"/>
  <c r="C6846" i="140"/>
  <c r="C6845" i="140"/>
  <c r="C6844" i="140"/>
  <c r="C6843" i="140"/>
  <c r="C6842" i="140"/>
  <c r="C6841" i="140"/>
  <c r="C6840" i="140"/>
  <c r="C6839" i="140"/>
  <c r="C6838" i="140"/>
  <c r="C6837" i="140"/>
  <c r="C6836" i="140"/>
  <c r="C6835" i="140"/>
  <c r="C6834" i="140"/>
  <c r="C6833" i="140"/>
  <c r="C6832" i="140"/>
  <c r="C6831" i="140"/>
  <c r="C6830" i="140"/>
  <c r="C6829" i="140"/>
  <c r="C6828" i="140"/>
  <c r="C6827" i="140"/>
  <c r="C6826" i="140"/>
  <c r="C6825" i="140"/>
  <c r="C6824" i="140"/>
  <c r="C6823" i="140"/>
  <c r="C6822" i="140"/>
  <c r="C6821" i="140"/>
  <c r="C6820" i="140"/>
  <c r="C6819" i="140"/>
  <c r="C6818" i="140"/>
  <c r="C6817" i="140"/>
  <c r="C6816" i="140"/>
  <c r="C6815" i="140"/>
  <c r="C6814" i="140"/>
  <c r="C6813" i="140"/>
  <c r="C6812" i="140"/>
  <c r="C6811" i="140"/>
  <c r="C6810" i="140"/>
  <c r="C6809" i="140"/>
  <c r="C6808" i="140"/>
  <c r="C6807" i="140"/>
  <c r="C6806" i="140"/>
  <c r="C6805" i="140"/>
  <c r="C6804" i="140"/>
  <c r="C6803" i="140"/>
  <c r="C6802" i="140"/>
  <c r="C6801" i="140"/>
  <c r="C6800" i="140"/>
  <c r="C6799" i="140"/>
  <c r="C6798" i="140"/>
  <c r="C6797" i="140"/>
  <c r="C6796" i="140"/>
  <c r="C6795" i="140"/>
  <c r="C6794" i="140"/>
  <c r="C6793" i="140"/>
  <c r="C6792" i="140"/>
  <c r="C6791" i="140"/>
  <c r="C6790" i="140"/>
  <c r="C6789" i="140"/>
  <c r="C6788" i="140"/>
  <c r="C6787" i="140"/>
  <c r="C6786" i="140"/>
  <c r="C6785" i="140"/>
  <c r="C6784" i="140"/>
  <c r="C6783" i="140"/>
  <c r="C6782" i="140"/>
  <c r="C6781" i="140"/>
  <c r="C6780" i="140"/>
  <c r="C6779" i="140"/>
  <c r="C6778" i="140"/>
  <c r="C6777" i="140"/>
  <c r="C6776" i="140"/>
  <c r="C6775" i="140"/>
  <c r="C6774" i="140"/>
  <c r="C6773" i="140"/>
  <c r="C6772" i="140"/>
  <c r="C6771" i="140"/>
  <c r="C6770" i="140"/>
  <c r="C6769" i="140"/>
  <c r="C6768" i="140"/>
  <c r="C6767" i="140"/>
  <c r="C6766" i="140"/>
  <c r="C6765" i="140"/>
  <c r="C6764" i="140"/>
  <c r="C6763" i="140"/>
  <c r="C6762" i="140"/>
  <c r="C6761" i="140"/>
  <c r="C6760" i="140"/>
  <c r="C6759" i="140"/>
  <c r="C6758" i="140"/>
  <c r="C6757" i="140"/>
  <c r="C6756" i="140"/>
  <c r="C6755" i="140"/>
  <c r="C6754" i="140"/>
  <c r="C6753" i="140"/>
  <c r="C6752" i="140"/>
  <c r="C6751" i="140"/>
  <c r="C6750" i="140"/>
  <c r="C6749" i="140"/>
  <c r="C6748" i="140"/>
  <c r="C6747" i="140"/>
  <c r="C6746" i="140"/>
  <c r="C6745" i="140"/>
  <c r="C6744" i="140"/>
  <c r="C6743" i="140"/>
  <c r="C6742" i="140"/>
  <c r="C6741" i="140"/>
  <c r="C6740" i="140"/>
  <c r="C6739" i="140"/>
  <c r="C6738" i="140"/>
  <c r="C6737" i="140"/>
  <c r="C6736" i="140"/>
  <c r="C6735" i="140"/>
  <c r="C6734" i="140"/>
  <c r="C6733" i="140"/>
  <c r="C6732" i="140"/>
  <c r="C6731" i="140"/>
  <c r="C6730" i="140"/>
  <c r="C6729" i="140"/>
  <c r="C6728" i="140"/>
  <c r="C6727" i="140"/>
  <c r="C6726" i="140"/>
  <c r="C6725" i="140"/>
  <c r="C6724" i="140"/>
  <c r="C6723" i="140"/>
  <c r="C6722" i="140"/>
  <c r="C6721" i="140"/>
  <c r="C6720" i="140"/>
  <c r="C6719" i="140"/>
  <c r="C6718" i="140"/>
  <c r="C6717" i="140"/>
  <c r="C6716" i="140"/>
  <c r="C6715" i="140"/>
  <c r="C6714" i="140"/>
  <c r="C6713" i="140"/>
  <c r="C6712" i="140"/>
  <c r="C6711" i="140"/>
  <c r="C6710" i="140"/>
  <c r="C6709" i="140"/>
  <c r="C6708" i="140"/>
  <c r="C6707" i="140"/>
  <c r="C6706" i="140"/>
  <c r="C6705" i="140"/>
  <c r="C6704" i="140"/>
  <c r="C6703" i="140"/>
  <c r="C6702" i="140"/>
  <c r="C6701" i="140"/>
  <c r="C6700" i="140"/>
  <c r="C6699" i="140"/>
  <c r="C6698" i="140"/>
  <c r="C6697" i="140"/>
  <c r="C6696" i="140"/>
  <c r="C6695" i="140"/>
  <c r="C6694" i="140"/>
  <c r="C6693" i="140"/>
  <c r="C6692" i="140"/>
  <c r="C6691" i="140"/>
  <c r="C6690" i="140"/>
  <c r="C6689" i="140"/>
  <c r="C6688" i="140"/>
  <c r="C6687" i="140"/>
  <c r="C6686" i="140"/>
  <c r="C6685" i="140"/>
  <c r="C6684" i="140"/>
  <c r="C6683" i="140"/>
  <c r="C6682" i="140"/>
  <c r="C6681" i="140"/>
  <c r="C6680" i="140"/>
  <c r="C6679" i="140"/>
  <c r="C6678" i="140"/>
  <c r="C6677" i="140"/>
  <c r="C6676" i="140"/>
  <c r="C6675" i="140"/>
  <c r="C6674" i="140"/>
  <c r="C6673" i="140"/>
  <c r="C6672" i="140"/>
  <c r="C6671" i="140"/>
  <c r="C6670" i="140"/>
  <c r="C6669" i="140"/>
  <c r="C6668" i="140"/>
  <c r="C6667" i="140"/>
  <c r="C6666" i="140"/>
  <c r="C6665" i="140"/>
  <c r="C6664" i="140"/>
  <c r="C6663" i="140"/>
  <c r="C6662" i="140"/>
  <c r="C6661" i="140"/>
  <c r="C6660" i="140"/>
  <c r="C6659" i="140"/>
  <c r="C6658" i="140"/>
  <c r="C6657" i="140"/>
  <c r="C6656" i="140"/>
  <c r="C6655" i="140"/>
  <c r="C6654" i="140"/>
  <c r="C6653" i="140"/>
  <c r="C6652" i="140"/>
  <c r="C6651" i="140"/>
  <c r="C6650" i="140"/>
  <c r="C6649" i="140"/>
  <c r="C6648" i="140"/>
  <c r="C6647" i="140"/>
  <c r="C6646" i="140"/>
  <c r="C6645" i="140"/>
  <c r="C6644" i="140"/>
  <c r="C6643" i="140"/>
  <c r="C6642" i="140"/>
  <c r="C6641" i="140"/>
  <c r="C6640" i="140"/>
  <c r="C6639" i="140"/>
  <c r="C6638" i="140"/>
  <c r="C6637" i="140"/>
  <c r="C6636" i="140"/>
  <c r="C6635" i="140"/>
  <c r="C6634" i="140"/>
  <c r="C6633" i="140"/>
  <c r="C6632" i="140"/>
  <c r="C6631" i="140"/>
  <c r="C6630" i="140"/>
  <c r="C6629" i="140"/>
  <c r="C6628" i="140"/>
  <c r="C6627" i="140"/>
  <c r="C6626" i="140"/>
  <c r="C6625" i="140"/>
  <c r="C6624" i="140"/>
  <c r="C6623" i="140"/>
  <c r="C6622" i="140"/>
  <c r="C6621" i="140"/>
  <c r="C6620" i="140"/>
  <c r="C6619" i="140"/>
  <c r="C6618" i="140"/>
  <c r="C6617" i="140"/>
  <c r="C6616" i="140"/>
  <c r="C6615" i="140"/>
  <c r="C6614" i="140"/>
  <c r="C6613" i="140"/>
  <c r="C6612" i="140"/>
  <c r="C6611" i="140"/>
  <c r="C6610" i="140"/>
  <c r="C6609" i="140"/>
  <c r="C6608" i="140"/>
  <c r="C6607" i="140"/>
  <c r="C6606" i="140"/>
  <c r="C6605" i="140"/>
  <c r="C6604" i="140"/>
  <c r="C6603" i="140"/>
  <c r="C6602" i="140"/>
  <c r="C6601" i="140"/>
  <c r="C6600" i="140"/>
  <c r="C6599" i="140"/>
  <c r="C6598" i="140"/>
  <c r="C6597" i="140"/>
  <c r="C6596" i="140"/>
  <c r="C6595" i="140"/>
  <c r="C6594" i="140"/>
  <c r="C6593" i="140"/>
  <c r="C6592" i="140"/>
  <c r="C6591" i="140"/>
  <c r="C6590" i="140"/>
  <c r="C6589" i="140"/>
  <c r="C6588" i="140"/>
  <c r="C6587" i="140"/>
  <c r="C6586" i="140"/>
  <c r="C6585" i="140"/>
  <c r="C6584" i="140"/>
  <c r="C6583" i="140"/>
  <c r="C6582" i="140"/>
  <c r="C6581" i="140"/>
  <c r="C6580" i="140"/>
  <c r="C6579" i="140"/>
  <c r="C6578" i="140"/>
  <c r="C6577" i="140"/>
  <c r="C6576" i="140"/>
  <c r="C6575" i="140"/>
  <c r="C6574" i="140"/>
  <c r="C6573" i="140"/>
  <c r="C6572" i="140"/>
  <c r="C6571" i="140"/>
  <c r="C6570" i="140"/>
  <c r="C6569" i="140"/>
  <c r="C6568" i="140"/>
  <c r="C6567" i="140"/>
  <c r="C6566" i="140"/>
  <c r="C6565" i="140"/>
  <c r="C6564" i="140"/>
  <c r="C6563" i="140"/>
  <c r="C6562" i="140"/>
  <c r="C6561" i="140"/>
  <c r="C6560" i="140"/>
  <c r="C6559" i="140"/>
  <c r="C6558" i="140"/>
  <c r="C6557" i="140"/>
  <c r="C6556" i="140"/>
  <c r="C6555" i="140"/>
  <c r="C6554" i="140"/>
  <c r="C6553" i="140"/>
  <c r="C6552" i="140"/>
  <c r="C6551" i="140"/>
  <c r="C6550" i="140"/>
  <c r="C6549" i="140"/>
  <c r="C6548" i="140"/>
  <c r="C6547" i="140"/>
  <c r="C6546" i="140"/>
  <c r="C6545" i="140"/>
  <c r="C6544" i="140"/>
  <c r="C6543" i="140"/>
  <c r="C6542" i="140"/>
  <c r="C6541" i="140"/>
  <c r="C6540" i="140"/>
  <c r="C6539" i="140"/>
  <c r="C6538" i="140"/>
  <c r="C6537" i="140"/>
  <c r="C6536" i="140"/>
  <c r="C6535" i="140"/>
  <c r="C6534" i="140"/>
  <c r="C6533" i="140"/>
  <c r="C6532" i="140"/>
  <c r="C6531" i="140"/>
  <c r="C6530" i="140"/>
  <c r="C6529" i="140"/>
  <c r="C6528" i="140"/>
  <c r="C6527" i="140"/>
  <c r="C6526" i="140"/>
  <c r="C6525" i="140"/>
  <c r="C6524" i="140"/>
  <c r="C6523" i="140"/>
  <c r="C6522" i="140"/>
  <c r="C6521" i="140"/>
  <c r="C6520" i="140"/>
  <c r="C6519" i="140"/>
  <c r="C6518" i="140"/>
  <c r="C6517" i="140"/>
  <c r="C6516" i="140"/>
  <c r="C6515" i="140"/>
  <c r="C6514" i="140"/>
  <c r="C6513" i="140"/>
  <c r="C6512" i="140"/>
  <c r="C6511" i="140"/>
  <c r="C6510" i="140"/>
  <c r="C6509" i="140"/>
  <c r="C6508" i="140"/>
  <c r="C6507" i="140"/>
  <c r="C6506" i="140"/>
  <c r="C6505" i="140"/>
  <c r="C6504" i="140"/>
  <c r="C6503" i="140"/>
  <c r="C6502" i="140"/>
  <c r="C6501" i="140"/>
  <c r="C6500" i="140"/>
  <c r="C6499" i="140"/>
  <c r="C6498" i="140"/>
  <c r="C6497" i="140"/>
  <c r="C6496" i="140"/>
  <c r="C6495" i="140"/>
  <c r="C6494" i="140"/>
  <c r="C6493" i="140"/>
  <c r="C6492" i="140"/>
  <c r="C6491" i="140"/>
  <c r="C6490" i="140"/>
  <c r="C6489" i="140"/>
  <c r="C6488" i="140"/>
  <c r="C6487" i="140"/>
  <c r="C6486" i="140"/>
  <c r="C6485" i="140"/>
  <c r="C6484" i="140"/>
  <c r="C6483" i="140"/>
  <c r="C6482" i="140"/>
  <c r="C6481" i="140"/>
  <c r="C6480" i="140"/>
  <c r="C6479" i="140"/>
  <c r="C6478" i="140"/>
  <c r="C6477" i="140"/>
  <c r="C6476" i="140"/>
  <c r="C6475" i="140"/>
  <c r="C6474" i="140"/>
  <c r="C6473" i="140"/>
  <c r="C6472" i="140"/>
  <c r="C6471" i="140"/>
  <c r="C6470" i="140"/>
  <c r="C6469" i="140"/>
  <c r="C6468" i="140"/>
  <c r="C6467" i="140"/>
  <c r="C6466" i="140"/>
  <c r="C6465" i="140"/>
  <c r="C6464" i="140"/>
  <c r="C6463" i="140"/>
  <c r="C6462" i="140"/>
  <c r="C6461" i="140"/>
  <c r="C6460" i="140"/>
  <c r="C6459" i="140"/>
  <c r="C6458" i="140"/>
  <c r="C6457" i="140"/>
  <c r="C6456" i="140"/>
  <c r="C6455" i="140"/>
  <c r="C6454" i="140"/>
  <c r="C6453" i="140"/>
  <c r="C6452" i="140"/>
  <c r="C6451" i="140"/>
  <c r="C6450" i="140"/>
  <c r="C6449" i="140"/>
  <c r="C6448" i="140"/>
  <c r="C6447" i="140"/>
  <c r="C6446" i="140"/>
  <c r="C6445" i="140"/>
  <c r="C6444" i="140"/>
  <c r="C6443" i="140"/>
  <c r="C6442" i="140"/>
  <c r="C6441" i="140"/>
  <c r="C6440" i="140"/>
  <c r="C6439" i="140"/>
  <c r="C6438" i="140"/>
  <c r="C6437" i="140"/>
  <c r="C6436" i="140"/>
  <c r="C6435" i="140"/>
  <c r="C6434" i="140"/>
  <c r="C6433" i="140"/>
  <c r="C6432" i="140"/>
  <c r="C6431" i="140"/>
  <c r="C6430" i="140"/>
  <c r="C6429" i="140"/>
  <c r="C6428" i="140"/>
  <c r="C6427" i="140"/>
  <c r="C6426" i="140"/>
  <c r="C6425" i="140"/>
  <c r="C6424" i="140"/>
  <c r="C6423" i="140"/>
  <c r="C6422" i="140"/>
  <c r="C6421" i="140"/>
  <c r="C6420" i="140"/>
  <c r="C6419" i="140"/>
  <c r="C6418" i="140"/>
  <c r="C6417" i="140"/>
  <c r="C6416" i="140"/>
  <c r="C6415" i="140"/>
  <c r="C6414" i="140"/>
  <c r="C6413" i="140"/>
  <c r="C6412" i="140"/>
  <c r="C6411" i="140"/>
  <c r="C6410" i="140"/>
  <c r="C6409" i="140"/>
  <c r="C6408" i="140"/>
  <c r="C6407" i="140"/>
  <c r="C6406" i="140"/>
  <c r="C6405" i="140"/>
  <c r="C6404" i="140"/>
  <c r="C6403" i="140"/>
  <c r="C6402" i="140"/>
  <c r="C6401" i="140"/>
  <c r="C6400" i="140"/>
  <c r="C6399" i="140"/>
  <c r="C6398" i="140"/>
  <c r="C6397" i="140"/>
  <c r="C6396" i="140"/>
  <c r="C6395" i="140"/>
  <c r="C6394" i="140"/>
  <c r="C6393" i="140"/>
  <c r="C6392" i="140"/>
  <c r="C6391" i="140"/>
  <c r="C6390" i="140"/>
  <c r="C6389" i="140"/>
  <c r="C6388" i="140"/>
  <c r="C6387" i="140"/>
  <c r="C6386" i="140"/>
  <c r="C6385" i="140"/>
  <c r="C6384" i="140"/>
  <c r="C6383" i="140"/>
  <c r="C6382" i="140"/>
  <c r="C6381" i="140"/>
  <c r="C6380" i="140"/>
  <c r="C6379" i="140"/>
  <c r="C6378" i="140"/>
  <c r="C6377" i="140"/>
  <c r="C6376" i="140"/>
  <c r="C6375" i="140"/>
  <c r="C6374" i="140"/>
  <c r="C6373" i="140"/>
  <c r="C6372" i="140"/>
  <c r="C6371" i="140"/>
  <c r="C6370" i="140"/>
  <c r="C6369" i="140"/>
  <c r="C6368" i="140"/>
  <c r="C6367" i="140"/>
  <c r="C6366" i="140"/>
  <c r="C6365" i="140"/>
  <c r="C6364" i="140"/>
  <c r="C6363" i="140"/>
  <c r="C6362" i="140"/>
  <c r="C6361" i="140"/>
  <c r="C6360" i="140"/>
  <c r="C6359" i="140"/>
  <c r="C6358" i="140"/>
  <c r="C6357" i="140"/>
  <c r="C6356" i="140"/>
  <c r="C6355" i="140"/>
  <c r="C6354" i="140"/>
  <c r="C6353" i="140"/>
  <c r="C6352" i="140"/>
  <c r="C6351" i="140"/>
  <c r="C6350" i="140"/>
  <c r="C6349" i="140"/>
  <c r="C6348" i="140"/>
  <c r="C6347" i="140"/>
  <c r="C6346" i="140"/>
  <c r="C6345" i="140"/>
  <c r="C6344" i="140"/>
  <c r="C6343" i="140"/>
  <c r="C6342" i="140"/>
  <c r="C6341" i="140"/>
  <c r="C6340" i="140"/>
  <c r="C6339" i="140"/>
  <c r="C6338" i="140"/>
  <c r="C6337" i="140"/>
  <c r="C6336" i="140"/>
  <c r="C6335" i="140"/>
  <c r="C6334" i="140"/>
  <c r="C6333" i="140"/>
  <c r="C6332" i="140"/>
  <c r="C6331" i="140"/>
  <c r="C6330" i="140"/>
  <c r="C6329" i="140"/>
  <c r="C6328" i="140"/>
  <c r="C6327" i="140"/>
  <c r="C6326" i="140"/>
  <c r="C6325" i="140"/>
  <c r="C6324" i="140"/>
  <c r="C6323" i="140"/>
  <c r="C6322" i="140"/>
  <c r="C6321" i="140"/>
  <c r="C6320" i="140"/>
  <c r="C6319" i="140"/>
  <c r="C6318" i="140"/>
  <c r="C6317" i="140"/>
  <c r="C6316" i="140"/>
  <c r="C6315" i="140"/>
  <c r="C6314" i="140"/>
  <c r="C6313" i="140"/>
  <c r="C6312" i="140"/>
  <c r="C6311" i="140"/>
  <c r="C6310" i="140"/>
  <c r="C6309" i="140"/>
  <c r="C6308" i="140"/>
  <c r="C6307" i="140"/>
  <c r="C6306" i="140"/>
  <c r="C6305" i="140"/>
  <c r="C6304" i="140"/>
  <c r="C6303" i="140"/>
  <c r="C6302" i="140"/>
  <c r="C6301" i="140"/>
  <c r="C6300" i="140"/>
  <c r="C6299" i="140"/>
  <c r="C6298" i="140"/>
  <c r="C6297" i="140"/>
  <c r="C6296" i="140"/>
  <c r="C6295" i="140"/>
  <c r="C6294" i="140"/>
  <c r="C6293" i="140"/>
  <c r="C6292" i="140"/>
  <c r="C6291" i="140"/>
  <c r="C6290" i="140"/>
  <c r="C6289" i="140"/>
  <c r="C6288" i="140"/>
  <c r="C6287" i="140"/>
  <c r="C6286" i="140"/>
  <c r="C6285" i="140"/>
  <c r="C6284" i="140"/>
  <c r="C6283" i="140"/>
  <c r="C6282" i="140"/>
  <c r="C6281" i="140"/>
  <c r="C6280" i="140"/>
  <c r="C6279" i="140"/>
  <c r="C6278" i="140"/>
  <c r="C6277" i="140"/>
  <c r="C6276" i="140"/>
  <c r="C6275" i="140"/>
  <c r="C6274" i="140"/>
  <c r="C6273" i="140"/>
  <c r="C6272" i="140"/>
  <c r="C6271" i="140"/>
  <c r="C6270" i="140"/>
  <c r="C6269" i="140"/>
  <c r="C6268" i="140"/>
  <c r="C6267" i="140"/>
  <c r="C6266" i="140"/>
  <c r="C6265" i="140"/>
  <c r="C6264" i="140"/>
  <c r="C6263" i="140"/>
  <c r="C6262" i="140"/>
  <c r="C6261" i="140"/>
  <c r="C6260" i="140"/>
  <c r="C6259" i="140"/>
  <c r="C6258" i="140"/>
  <c r="C6257" i="140"/>
  <c r="C6256" i="140"/>
  <c r="C6255" i="140"/>
  <c r="C6254" i="140"/>
  <c r="C6253" i="140"/>
  <c r="C6252" i="140"/>
  <c r="C6251" i="140"/>
  <c r="C6250" i="140"/>
  <c r="C6249" i="140"/>
  <c r="C6248" i="140"/>
  <c r="C6247" i="140"/>
  <c r="C6246" i="140"/>
  <c r="C6245" i="140"/>
  <c r="C6244" i="140"/>
  <c r="C6243" i="140"/>
  <c r="C6242" i="140"/>
  <c r="C6241" i="140"/>
  <c r="C6240" i="140"/>
  <c r="C6239" i="140"/>
  <c r="C6238" i="140"/>
  <c r="C6237" i="140"/>
  <c r="C6236" i="140"/>
  <c r="C6235" i="140"/>
  <c r="C6234" i="140"/>
  <c r="C6233" i="140"/>
  <c r="C6232" i="140"/>
  <c r="C6231" i="140"/>
  <c r="C6230" i="140"/>
  <c r="C6229" i="140"/>
  <c r="C6228" i="140"/>
  <c r="C6227" i="140"/>
  <c r="C6226" i="140"/>
  <c r="C6225" i="140"/>
  <c r="C6224" i="140"/>
  <c r="C6223" i="140"/>
  <c r="C6222" i="140"/>
  <c r="C6221" i="140"/>
  <c r="C6220" i="140"/>
  <c r="C6219" i="140"/>
  <c r="C6218" i="140"/>
  <c r="C6217" i="140"/>
  <c r="C6216" i="140"/>
  <c r="C6215" i="140"/>
  <c r="C6214" i="140"/>
  <c r="C6213" i="140"/>
  <c r="C6212" i="140"/>
  <c r="C6211" i="140"/>
  <c r="C6210" i="140"/>
  <c r="C6209" i="140"/>
  <c r="C6208" i="140"/>
  <c r="C6207" i="140"/>
  <c r="C6206" i="140"/>
  <c r="C6205" i="140"/>
  <c r="C6204" i="140"/>
  <c r="C6203" i="140"/>
  <c r="C6202" i="140"/>
  <c r="C6201" i="140"/>
  <c r="C6200" i="140"/>
  <c r="C6199" i="140"/>
  <c r="C6198" i="140"/>
  <c r="C6197" i="140"/>
  <c r="C6196" i="140"/>
  <c r="C6195" i="140"/>
  <c r="C6194" i="140"/>
  <c r="C6193" i="140"/>
  <c r="C6192" i="140"/>
  <c r="C6191" i="140"/>
  <c r="C6190" i="140"/>
  <c r="C6189" i="140"/>
  <c r="C6188" i="140"/>
  <c r="C6187" i="140"/>
  <c r="C6186" i="140"/>
  <c r="C6185" i="140"/>
  <c r="C6184" i="140"/>
  <c r="C6183" i="140"/>
  <c r="C6182" i="140"/>
  <c r="C6181" i="140"/>
  <c r="C6180" i="140"/>
  <c r="C6179" i="140"/>
  <c r="C6178" i="140"/>
  <c r="C6177" i="140"/>
  <c r="C6176" i="140"/>
  <c r="C6175" i="140"/>
  <c r="C6174" i="140"/>
  <c r="C6173" i="140"/>
  <c r="C6172" i="140"/>
  <c r="C6171" i="140"/>
  <c r="C6170" i="140"/>
  <c r="C6169" i="140"/>
  <c r="C6168" i="140"/>
  <c r="C6167" i="140"/>
  <c r="C6166" i="140"/>
  <c r="C6165" i="140"/>
  <c r="C6164" i="140"/>
  <c r="C6163" i="140"/>
  <c r="C6162" i="140"/>
  <c r="C6161" i="140"/>
  <c r="C6160" i="140"/>
  <c r="C6159" i="140"/>
  <c r="C6158" i="140"/>
  <c r="C6157" i="140"/>
  <c r="C6156" i="140"/>
  <c r="C6155" i="140"/>
  <c r="C6154" i="140"/>
  <c r="C6153" i="140"/>
  <c r="C6152" i="140"/>
  <c r="C6151" i="140"/>
  <c r="C6150" i="140"/>
  <c r="C6149" i="140"/>
  <c r="C6148" i="140"/>
  <c r="C6147" i="140"/>
  <c r="C6146" i="140"/>
  <c r="C6145" i="140"/>
  <c r="C6144" i="140"/>
  <c r="C6143" i="140"/>
  <c r="C6142" i="140"/>
  <c r="C6141" i="140"/>
  <c r="C6140" i="140"/>
  <c r="C6139" i="140"/>
  <c r="C6138" i="140"/>
  <c r="C6137" i="140"/>
  <c r="C6136" i="140"/>
  <c r="C6135" i="140"/>
  <c r="C6134" i="140"/>
  <c r="C6133" i="140"/>
  <c r="C6132" i="140"/>
  <c r="C6131" i="140"/>
  <c r="C6130" i="140"/>
  <c r="C6129" i="140"/>
  <c r="C6128" i="140"/>
  <c r="C6127" i="140"/>
  <c r="C6126" i="140"/>
  <c r="C6125" i="140"/>
  <c r="C6124" i="140"/>
  <c r="C6123" i="140"/>
  <c r="C6122" i="140"/>
  <c r="C6121" i="140"/>
  <c r="C6120" i="140"/>
  <c r="C6119" i="140"/>
  <c r="C6118" i="140"/>
  <c r="C6117" i="140"/>
  <c r="C6116" i="140"/>
  <c r="C6115" i="140"/>
  <c r="C6114" i="140"/>
  <c r="C6113" i="140"/>
  <c r="C6112" i="140"/>
  <c r="C6111" i="140"/>
  <c r="C6110" i="140"/>
  <c r="C6109" i="140"/>
  <c r="C6108" i="140"/>
  <c r="C6107" i="140"/>
  <c r="C6106" i="140"/>
  <c r="C6105" i="140"/>
  <c r="C6104" i="140"/>
  <c r="C6103" i="140"/>
  <c r="C6102" i="140"/>
  <c r="C6101" i="140"/>
  <c r="C6100" i="140"/>
  <c r="C6099" i="140"/>
  <c r="C6098" i="140"/>
  <c r="C6097" i="140"/>
  <c r="C6096" i="140"/>
  <c r="C6095" i="140"/>
  <c r="C6094" i="140"/>
  <c r="C6093" i="140"/>
  <c r="C6092" i="140"/>
  <c r="C6091" i="140"/>
  <c r="C6090" i="140"/>
  <c r="C6089" i="140"/>
  <c r="C6088" i="140"/>
  <c r="C6087" i="140"/>
  <c r="C6086" i="140"/>
  <c r="C6085" i="140"/>
  <c r="C6084" i="140"/>
  <c r="C6083" i="140"/>
  <c r="C6082" i="140"/>
  <c r="C6081" i="140"/>
  <c r="C6080" i="140"/>
  <c r="C6079" i="140"/>
  <c r="C6078" i="140"/>
  <c r="C6077" i="140"/>
  <c r="C6076" i="140"/>
  <c r="C6075" i="140"/>
  <c r="C6074" i="140"/>
  <c r="C6073" i="140"/>
  <c r="C6072" i="140"/>
  <c r="C6071" i="140"/>
  <c r="C6070" i="140"/>
  <c r="C6069" i="140"/>
  <c r="C6068" i="140"/>
  <c r="C6067" i="140"/>
  <c r="C6066" i="140"/>
  <c r="C6065" i="140"/>
  <c r="C6064" i="140"/>
  <c r="C6063" i="140"/>
  <c r="C6062" i="140"/>
  <c r="C6061" i="140"/>
  <c r="C6060" i="140"/>
  <c r="C6059" i="140"/>
  <c r="C6058" i="140"/>
  <c r="C6057" i="140"/>
  <c r="C6056" i="140"/>
  <c r="C6055" i="140"/>
  <c r="C6054" i="140"/>
  <c r="C6053" i="140"/>
  <c r="C6052" i="140"/>
  <c r="C6051" i="140"/>
  <c r="C6050" i="140"/>
  <c r="C6049" i="140"/>
  <c r="C6048" i="140"/>
  <c r="C6047" i="140"/>
  <c r="C6046" i="140"/>
  <c r="C6045" i="140"/>
  <c r="C6044" i="140"/>
  <c r="C6043" i="140"/>
  <c r="C6042" i="140"/>
  <c r="C6041" i="140"/>
  <c r="C6040" i="140"/>
  <c r="C6039" i="140"/>
  <c r="C6038" i="140"/>
  <c r="C6037" i="140"/>
  <c r="C6036" i="140"/>
  <c r="C6035" i="140"/>
  <c r="C6034" i="140"/>
  <c r="C6033" i="140"/>
  <c r="C6032" i="140"/>
  <c r="C6031" i="140"/>
  <c r="C6030" i="140"/>
  <c r="C6029" i="140"/>
  <c r="C6028" i="140"/>
  <c r="C6027" i="140"/>
  <c r="C6026" i="140"/>
  <c r="C6025" i="140"/>
  <c r="C6024" i="140"/>
  <c r="C6023" i="140"/>
  <c r="C6022" i="140"/>
  <c r="C6021" i="140"/>
  <c r="C6020" i="140"/>
  <c r="C6019" i="140"/>
  <c r="C6018" i="140"/>
  <c r="C6017" i="140"/>
  <c r="C6016" i="140"/>
  <c r="C6015" i="140"/>
  <c r="C6014" i="140"/>
  <c r="C6013" i="140"/>
  <c r="C6012" i="140"/>
  <c r="C6011" i="140"/>
  <c r="C6010" i="140"/>
  <c r="C6009" i="140"/>
  <c r="C6008" i="140"/>
  <c r="C6007" i="140"/>
  <c r="C6006" i="140"/>
  <c r="C6005" i="140"/>
  <c r="C6004" i="140"/>
  <c r="C6003" i="140"/>
  <c r="C6002" i="140"/>
  <c r="C6001" i="140"/>
  <c r="C6000" i="140"/>
  <c r="C5999" i="140"/>
  <c r="C5998" i="140"/>
  <c r="C5997" i="140"/>
  <c r="C5996" i="140"/>
  <c r="C5995" i="140"/>
  <c r="C5994" i="140"/>
  <c r="C5993" i="140"/>
  <c r="C5992" i="140"/>
  <c r="C5991" i="140"/>
  <c r="C5990" i="140"/>
  <c r="C5989" i="140"/>
  <c r="C5988" i="140"/>
  <c r="C5987" i="140"/>
  <c r="C5986" i="140"/>
  <c r="C5985" i="140"/>
  <c r="C5984" i="140"/>
  <c r="C5983" i="140"/>
  <c r="C5982" i="140"/>
  <c r="C5981" i="140"/>
  <c r="C5980" i="140"/>
  <c r="C5979" i="140"/>
  <c r="C5978" i="140"/>
  <c r="C5977" i="140"/>
  <c r="C5976" i="140"/>
  <c r="C5975" i="140"/>
  <c r="C5974" i="140"/>
  <c r="C5973" i="140"/>
  <c r="C5972" i="140"/>
  <c r="C5971" i="140"/>
  <c r="C5970" i="140"/>
  <c r="C5969" i="140"/>
  <c r="C5968" i="140"/>
  <c r="C5967" i="140"/>
  <c r="C5966" i="140"/>
  <c r="C5965" i="140"/>
  <c r="C5964" i="140"/>
  <c r="C5963" i="140"/>
  <c r="C5962" i="140"/>
  <c r="C5961" i="140"/>
  <c r="C5960" i="140"/>
  <c r="C5959" i="140"/>
  <c r="C5958" i="140"/>
  <c r="C5957" i="140"/>
  <c r="C5956" i="140"/>
  <c r="C5955" i="140"/>
  <c r="C5954" i="140"/>
  <c r="C5953" i="140"/>
  <c r="C5952" i="140"/>
  <c r="C5951" i="140"/>
  <c r="C5950" i="140"/>
  <c r="C5949" i="140"/>
  <c r="C5948" i="140"/>
  <c r="C5947" i="140"/>
  <c r="C5946" i="140"/>
  <c r="C5945" i="140"/>
  <c r="C5944" i="140"/>
  <c r="C5943" i="140"/>
  <c r="C5942" i="140"/>
  <c r="C5941" i="140"/>
  <c r="C5940" i="140"/>
  <c r="C5939" i="140"/>
  <c r="C5938" i="140"/>
  <c r="C5937" i="140"/>
  <c r="C5936" i="140"/>
  <c r="C5935" i="140"/>
  <c r="C5934" i="140"/>
  <c r="C5933" i="140"/>
  <c r="C5932" i="140"/>
  <c r="C5931" i="140"/>
  <c r="C5930" i="140"/>
  <c r="C5929" i="140"/>
  <c r="C5928" i="140"/>
  <c r="C5927" i="140"/>
  <c r="C5926" i="140"/>
  <c r="C5925" i="140"/>
  <c r="C5924" i="140"/>
  <c r="C5923" i="140"/>
  <c r="C5922" i="140"/>
  <c r="C5921" i="140"/>
  <c r="C5920" i="140"/>
  <c r="C5919" i="140"/>
  <c r="C5918" i="140"/>
  <c r="C5917" i="140"/>
  <c r="C5916" i="140"/>
  <c r="C5915" i="140"/>
  <c r="C5914" i="140"/>
  <c r="C5913" i="140"/>
  <c r="C5912" i="140"/>
  <c r="C5911" i="140"/>
  <c r="C5910" i="140"/>
  <c r="C5909" i="140"/>
  <c r="C5908" i="140"/>
  <c r="C5907" i="140"/>
  <c r="C5906" i="140"/>
  <c r="C5905" i="140"/>
  <c r="C5904" i="140"/>
  <c r="C5903" i="140"/>
  <c r="C5902" i="140"/>
  <c r="C5901" i="140"/>
  <c r="C5900" i="140"/>
  <c r="C5899" i="140"/>
  <c r="C5898" i="140"/>
  <c r="C5897" i="140"/>
  <c r="C5896" i="140"/>
  <c r="C5895" i="140"/>
  <c r="C5894" i="140"/>
  <c r="C5893" i="140"/>
  <c r="C5892" i="140"/>
  <c r="C5891" i="140"/>
  <c r="C5890" i="140"/>
  <c r="C5889" i="140"/>
  <c r="C5888" i="140"/>
  <c r="C5887" i="140"/>
  <c r="C5886" i="140"/>
  <c r="C5885" i="140"/>
  <c r="C5884" i="140"/>
  <c r="C5883" i="140"/>
  <c r="C5882" i="140"/>
  <c r="C5881" i="140"/>
  <c r="C5880" i="140"/>
  <c r="C5879" i="140"/>
  <c r="C5878" i="140"/>
  <c r="C5877" i="140"/>
  <c r="C5876" i="140"/>
  <c r="C5875" i="140"/>
  <c r="C5874" i="140"/>
  <c r="C5873" i="140"/>
  <c r="C5872" i="140"/>
  <c r="C5871" i="140"/>
  <c r="C5870" i="140"/>
  <c r="C5869" i="140"/>
  <c r="C5868" i="140"/>
  <c r="C5867" i="140"/>
  <c r="C5866" i="140"/>
  <c r="C5865" i="140"/>
  <c r="C5864" i="140"/>
  <c r="C5863" i="140"/>
  <c r="C5862" i="140"/>
  <c r="C5861" i="140"/>
  <c r="C5860" i="140"/>
  <c r="C5859" i="140"/>
  <c r="C5858" i="140"/>
  <c r="C5857" i="140"/>
  <c r="C5856" i="140"/>
  <c r="C5855" i="140"/>
  <c r="C5854" i="140"/>
  <c r="C5853" i="140"/>
  <c r="C5852" i="140"/>
  <c r="C5851" i="140"/>
  <c r="C5850" i="140"/>
  <c r="C5849" i="140"/>
  <c r="C5848" i="140"/>
  <c r="C5847" i="140"/>
  <c r="C5846" i="140"/>
  <c r="C5845" i="140"/>
  <c r="C5844" i="140"/>
  <c r="C5843" i="140"/>
  <c r="C5842" i="140"/>
  <c r="C5841" i="140"/>
  <c r="C5840" i="140"/>
  <c r="C5839" i="140"/>
  <c r="C5838" i="140"/>
  <c r="C5837" i="140"/>
  <c r="C5836" i="140"/>
  <c r="C5835" i="140"/>
  <c r="C5834" i="140"/>
  <c r="C5833" i="140"/>
  <c r="C5832" i="140"/>
  <c r="C5831" i="140"/>
  <c r="C5830" i="140"/>
  <c r="C5829" i="140"/>
  <c r="C5828" i="140"/>
  <c r="C5827" i="140"/>
  <c r="C5826" i="140"/>
  <c r="C5825" i="140"/>
  <c r="C5824" i="140"/>
  <c r="C5823" i="140"/>
  <c r="C5822" i="140"/>
  <c r="C5821" i="140"/>
  <c r="C5820" i="140"/>
  <c r="C5819" i="140"/>
  <c r="C5818" i="140"/>
  <c r="C5817" i="140"/>
  <c r="C5816" i="140"/>
  <c r="C5815" i="140"/>
  <c r="C5814" i="140"/>
  <c r="C5813" i="140"/>
  <c r="C5812" i="140"/>
  <c r="C5811" i="140"/>
  <c r="C5810" i="140"/>
  <c r="C5809" i="140"/>
  <c r="C5808" i="140"/>
  <c r="C5807" i="140"/>
  <c r="C5806" i="140"/>
  <c r="C5805" i="140"/>
  <c r="C5804" i="140"/>
  <c r="C5803" i="140"/>
  <c r="C5802" i="140"/>
  <c r="C5801" i="140"/>
  <c r="C5800" i="140"/>
  <c r="C5799" i="140"/>
  <c r="C5798" i="140"/>
  <c r="C5797" i="140"/>
  <c r="C5796" i="140"/>
  <c r="C5795" i="140"/>
  <c r="C5794" i="140"/>
  <c r="C5793" i="140"/>
  <c r="C5792" i="140"/>
  <c r="C5791" i="140"/>
  <c r="C5790" i="140"/>
  <c r="C5789" i="140"/>
  <c r="C5788" i="140"/>
  <c r="C5787" i="140"/>
  <c r="C5786" i="140"/>
  <c r="C5785" i="140"/>
  <c r="C5784" i="140"/>
  <c r="C5783" i="140"/>
  <c r="C5782" i="140"/>
  <c r="C5781" i="140"/>
  <c r="C5780" i="140"/>
  <c r="C5779" i="140"/>
  <c r="C5778" i="140"/>
  <c r="C5777" i="140"/>
  <c r="C5776" i="140"/>
  <c r="C5775" i="140"/>
  <c r="C5774" i="140"/>
  <c r="C5773" i="140"/>
  <c r="C5772" i="140"/>
  <c r="C5771" i="140"/>
  <c r="C5770" i="140"/>
  <c r="C5769" i="140"/>
  <c r="C5768" i="140"/>
  <c r="C5767" i="140"/>
  <c r="C5766" i="140"/>
  <c r="C5765" i="140"/>
  <c r="C5764" i="140"/>
  <c r="C5763" i="140"/>
  <c r="C5762" i="140"/>
  <c r="C5761" i="140"/>
  <c r="C5760" i="140"/>
  <c r="C5759" i="140"/>
  <c r="C5758" i="140"/>
  <c r="C5757" i="140"/>
  <c r="C5756" i="140"/>
  <c r="C5755" i="140"/>
  <c r="C5754" i="140"/>
  <c r="C5753" i="140"/>
  <c r="C5752" i="140"/>
  <c r="C5751" i="140"/>
  <c r="C5750" i="140"/>
  <c r="C5749" i="140"/>
  <c r="C5748" i="140"/>
  <c r="C5747" i="140"/>
  <c r="C5746" i="140"/>
  <c r="C5745" i="140"/>
  <c r="C5744" i="140"/>
  <c r="C5743" i="140"/>
  <c r="C5742" i="140"/>
  <c r="C5741" i="140"/>
  <c r="C5740" i="140"/>
  <c r="C5739" i="140"/>
  <c r="C5738" i="140"/>
  <c r="C5737" i="140"/>
  <c r="C5736" i="140"/>
  <c r="C5735" i="140"/>
  <c r="C5734" i="140"/>
  <c r="C5733" i="140"/>
  <c r="C5732" i="140"/>
  <c r="C5731" i="140"/>
  <c r="C5730" i="140"/>
  <c r="C5729" i="140"/>
  <c r="C5728" i="140"/>
  <c r="C5727" i="140"/>
  <c r="C5726" i="140"/>
  <c r="C5725" i="140"/>
  <c r="C5724" i="140"/>
  <c r="C5723" i="140"/>
  <c r="C5722" i="140"/>
  <c r="C5721" i="140"/>
  <c r="C5720" i="140"/>
  <c r="C5719" i="140"/>
  <c r="C5718" i="140"/>
  <c r="C5717" i="140"/>
  <c r="C5716" i="140"/>
  <c r="C5715" i="140"/>
  <c r="C5714" i="140"/>
  <c r="C5713" i="140"/>
  <c r="C5712" i="140"/>
  <c r="C5711" i="140"/>
  <c r="C5710" i="140"/>
  <c r="C5709" i="140"/>
  <c r="C5708" i="140"/>
  <c r="C5707" i="140"/>
  <c r="C5706" i="140"/>
  <c r="C5705" i="140"/>
  <c r="C5704" i="140"/>
  <c r="C5703" i="140"/>
  <c r="C5702" i="140"/>
  <c r="C5701" i="140"/>
  <c r="C5700" i="140"/>
  <c r="C5699" i="140"/>
  <c r="C5698" i="140"/>
  <c r="C5697" i="140"/>
  <c r="C5696" i="140"/>
  <c r="C5695" i="140"/>
  <c r="C5694" i="140"/>
  <c r="C5693" i="140"/>
  <c r="C5692" i="140"/>
  <c r="C5691" i="140"/>
  <c r="C5690" i="140"/>
  <c r="C5689" i="140"/>
  <c r="C5688" i="140"/>
  <c r="C5687" i="140"/>
  <c r="C5686" i="140"/>
  <c r="C5685" i="140"/>
  <c r="C5684" i="140"/>
  <c r="C5683" i="140"/>
  <c r="C5682" i="140"/>
  <c r="C5681" i="140"/>
  <c r="C5680" i="140"/>
  <c r="C5679" i="140"/>
  <c r="C5678" i="140"/>
  <c r="C5677" i="140"/>
  <c r="C5676" i="140"/>
  <c r="C5675" i="140"/>
  <c r="C5674" i="140"/>
  <c r="C5673" i="140"/>
  <c r="C5672" i="140"/>
  <c r="C5671" i="140"/>
  <c r="C5670" i="140"/>
  <c r="C5669" i="140"/>
  <c r="C5668" i="140"/>
  <c r="C5667" i="140"/>
  <c r="C5666" i="140"/>
  <c r="C5665" i="140"/>
  <c r="C5664" i="140"/>
  <c r="C5663" i="140"/>
  <c r="C5662" i="140"/>
  <c r="C5661" i="140"/>
  <c r="C5660" i="140"/>
  <c r="C5659" i="140"/>
  <c r="C5658" i="140"/>
  <c r="C5657" i="140"/>
  <c r="C5656" i="140"/>
  <c r="C5655" i="140"/>
  <c r="C5654" i="140"/>
  <c r="C5653" i="140"/>
  <c r="C5652" i="140"/>
  <c r="C5651" i="140"/>
  <c r="C5650" i="140"/>
  <c r="C5649" i="140"/>
  <c r="C5648" i="140"/>
  <c r="C5647" i="140"/>
  <c r="C5646" i="140"/>
  <c r="C5645" i="140"/>
  <c r="C5644" i="140"/>
  <c r="C5643" i="140"/>
  <c r="C5642" i="140"/>
  <c r="C5641" i="140"/>
  <c r="C5640" i="140"/>
  <c r="C5639" i="140"/>
  <c r="C5638" i="140"/>
  <c r="C5637" i="140"/>
  <c r="C5636" i="140"/>
  <c r="C5635" i="140"/>
  <c r="C5634" i="140"/>
  <c r="C5633" i="140"/>
  <c r="C5632" i="140"/>
  <c r="C5631" i="140"/>
  <c r="C5630" i="140"/>
  <c r="C5629" i="140"/>
  <c r="C5628" i="140"/>
  <c r="C5627" i="140"/>
  <c r="C5626" i="140"/>
  <c r="C5625" i="140"/>
  <c r="C5624" i="140"/>
  <c r="C5623" i="140"/>
  <c r="C5622" i="140"/>
  <c r="C5621" i="140"/>
  <c r="C5620" i="140"/>
  <c r="C5619" i="140"/>
  <c r="C5618" i="140"/>
  <c r="C5617" i="140"/>
  <c r="C5616" i="140"/>
  <c r="C5615" i="140"/>
  <c r="C5614" i="140"/>
  <c r="C5613" i="140"/>
  <c r="C5612" i="140"/>
  <c r="C5611" i="140"/>
  <c r="C5610" i="140"/>
  <c r="C5609" i="140"/>
  <c r="C5608" i="140"/>
  <c r="C5607" i="140"/>
  <c r="C5606" i="140"/>
  <c r="C5605" i="140"/>
  <c r="C5604" i="140"/>
  <c r="C5603" i="140"/>
  <c r="C5602" i="140"/>
  <c r="C5601" i="140"/>
  <c r="C5600" i="140"/>
  <c r="C5599" i="140"/>
  <c r="C5598" i="140"/>
  <c r="C5597" i="140"/>
  <c r="C5596" i="140"/>
  <c r="C5595" i="140"/>
  <c r="C5594" i="140"/>
  <c r="C5593" i="140"/>
  <c r="C5592" i="140"/>
  <c r="C5591" i="140"/>
  <c r="C5590" i="140"/>
  <c r="C5589" i="140"/>
  <c r="C5588" i="140"/>
  <c r="C5587" i="140"/>
  <c r="C5586" i="140"/>
  <c r="C5585" i="140"/>
  <c r="C5584" i="140"/>
  <c r="C5583" i="140"/>
  <c r="C5582" i="140"/>
  <c r="C5581" i="140"/>
  <c r="C5580" i="140"/>
  <c r="C5579" i="140"/>
  <c r="C5578" i="140"/>
  <c r="C5577" i="140"/>
  <c r="C5576" i="140"/>
  <c r="C5575" i="140"/>
  <c r="C5574" i="140"/>
  <c r="C5573" i="140"/>
  <c r="C5572" i="140"/>
  <c r="C5571" i="140"/>
  <c r="C5570" i="140"/>
  <c r="C5569" i="140"/>
  <c r="C5568" i="140"/>
  <c r="C5567" i="140"/>
  <c r="C5566" i="140"/>
  <c r="C5565" i="140"/>
  <c r="C5564" i="140"/>
  <c r="C5563" i="140"/>
  <c r="C5562" i="140"/>
  <c r="C5561" i="140"/>
  <c r="C5560" i="140"/>
  <c r="C5559" i="140"/>
  <c r="C5558" i="140"/>
  <c r="C5557" i="140"/>
  <c r="C5556" i="140"/>
  <c r="C5555" i="140"/>
  <c r="C5554" i="140"/>
  <c r="C5553" i="140"/>
  <c r="C5552" i="140"/>
  <c r="C5551" i="140"/>
  <c r="C5550" i="140"/>
  <c r="C5549" i="140"/>
  <c r="C5548" i="140"/>
  <c r="C5547" i="140"/>
  <c r="C5546" i="140"/>
  <c r="C5545" i="140"/>
  <c r="C5544" i="140"/>
  <c r="C5543" i="140"/>
  <c r="C5542" i="140"/>
  <c r="C5541" i="140"/>
  <c r="C5540" i="140"/>
  <c r="C5539" i="140"/>
  <c r="C5538" i="140"/>
  <c r="C5537" i="140"/>
  <c r="C5536" i="140"/>
  <c r="C5535" i="140"/>
  <c r="C5534" i="140"/>
  <c r="C5533" i="140"/>
  <c r="C5532" i="140"/>
  <c r="C5531" i="140"/>
  <c r="C5530" i="140"/>
  <c r="C5529" i="140"/>
  <c r="C5528" i="140"/>
  <c r="C5527" i="140"/>
  <c r="C5526" i="140"/>
  <c r="C5525" i="140"/>
  <c r="C5524" i="140"/>
  <c r="C5523" i="140"/>
  <c r="C5522" i="140"/>
  <c r="C5521" i="140"/>
  <c r="C5520" i="140"/>
  <c r="C5519" i="140"/>
  <c r="C5518" i="140"/>
  <c r="C5517" i="140"/>
  <c r="C5516" i="140"/>
  <c r="C5515" i="140"/>
  <c r="C5514" i="140"/>
  <c r="C5513" i="140"/>
  <c r="C5512" i="140"/>
  <c r="C5511" i="140"/>
  <c r="C5510" i="140"/>
  <c r="C5509" i="140"/>
  <c r="C5508" i="140"/>
  <c r="C5507" i="140"/>
  <c r="C5506" i="140"/>
  <c r="C5505" i="140"/>
  <c r="C5504" i="140"/>
  <c r="C5503" i="140"/>
  <c r="C5502" i="140"/>
  <c r="C5501" i="140"/>
  <c r="C5500" i="140"/>
  <c r="C5499" i="140"/>
  <c r="C5498" i="140"/>
  <c r="C5497" i="140"/>
  <c r="C5496" i="140"/>
  <c r="C5495" i="140"/>
  <c r="C5494" i="140"/>
  <c r="C5493" i="140"/>
  <c r="C5492" i="140"/>
  <c r="C5491" i="140"/>
  <c r="C5490" i="140"/>
  <c r="C5489" i="140"/>
  <c r="C5488" i="140"/>
  <c r="C5487" i="140"/>
  <c r="C5486" i="140"/>
  <c r="C5485" i="140"/>
  <c r="C5484" i="140"/>
  <c r="C5483" i="140"/>
  <c r="C5482" i="140"/>
  <c r="C5481" i="140"/>
  <c r="C5480" i="140"/>
  <c r="C5479" i="140"/>
  <c r="C5478" i="140"/>
  <c r="C5477" i="140"/>
  <c r="C5476" i="140"/>
  <c r="C5475" i="140"/>
  <c r="C5474" i="140"/>
  <c r="C5473" i="140"/>
  <c r="C5472" i="140"/>
  <c r="C5471" i="140"/>
  <c r="C5470" i="140"/>
  <c r="C5469" i="140"/>
  <c r="C5468" i="140"/>
  <c r="C5467" i="140"/>
  <c r="C5466" i="140"/>
  <c r="C5465" i="140"/>
  <c r="C5464" i="140"/>
  <c r="C5463" i="140"/>
  <c r="C5462" i="140"/>
  <c r="C5461" i="140"/>
  <c r="C5460" i="140"/>
  <c r="C5459" i="140"/>
  <c r="C5458" i="140"/>
  <c r="C5457" i="140"/>
  <c r="C5456" i="140"/>
  <c r="C5455" i="140"/>
  <c r="C5454" i="140"/>
  <c r="C5453" i="140"/>
  <c r="C5452" i="140"/>
  <c r="C5451" i="140"/>
  <c r="C5450" i="140"/>
  <c r="C5449" i="140"/>
  <c r="C5448" i="140"/>
  <c r="C5447" i="140"/>
  <c r="C5446" i="140"/>
  <c r="C5445" i="140"/>
  <c r="C5444" i="140"/>
  <c r="C5443" i="140"/>
  <c r="C5442" i="140"/>
  <c r="C5441" i="140"/>
  <c r="C5440" i="140"/>
  <c r="C5439" i="140"/>
  <c r="C5438" i="140"/>
  <c r="C5437" i="140"/>
  <c r="C5436" i="140"/>
  <c r="C5435" i="140"/>
  <c r="C5434" i="140"/>
  <c r="C5433" i="140"/>
  <c r="C5432" i="140"/>
  <c r="C5431" i="140"/>
  <c r="C5430" i="140"/>
  <c r="C5429" i="140"/>
  <c r="C5428" i="140"/>
  <c r="C5427" i="140"/>
  <c r="C5426" i="140"/>
  <c r="C5425" i="140"/>
  <c r="C5424" i="140"/>
  <c r="C5423" i="140"/>
  <c r="C5422" i="140"/>
  <c r="C5421" i="140"/>
  <c r="C5420" i="140"/>
  <c r="C5419" i="140"/>
  <c r="C5418" i="140"/>
  <c r="C5417" i="140"/>
  <c r="C5416" i="140"/>
  <c r="C5415" i="140"/>
  <c r="C5414" i="140"/>
  <c r="C5413" i="140"/>
  <c r="C5412" i="140"/>
  <c r="C5411" i="140"/>
  <c r="C5410" i="140"/>
  <c r="C5409" i="140"/>
  <c r="C5408" i="140"/>
  <c r="C5407" i="140"/>
  <c r="C5406" i="140"/>
  <c r="C5405" i="140"/>
  <c r="C5404" i="140"/>
  <c r="C5403" i="140"/>
  <c r="C5402" i="140"/>
  <c r="C5401" i="140"/>
  <c r="C5400" i="140"/>
  <c r="C5399" i="140"/>
  <c r="C5398" i="140"/>
  <c r="C5397" i="140"/>
  <c r="C5396" i="140"/>
  <c r="C5395" i="140"/>
  <c r="C5394" i="140"/>
  <c r="C5393" i="140"/>
  <c r="C5392" i="140"/>
  <c r="C5391" i="140"/>
  <c r="C5390" i="140"/>
  <c r="C5389" i="140"/>
  <c r="C5388" i="140"/>
  <c r="C5387" i="140"/>
  <c r="C5386" i="140"/>
  <c r="C5385" i="140"/>
  <c r="C5384" i="140"/>
  <c r="C5383" i="140"/>
  <c r="C5382" i="140"/>
  <c r="C5381" i="140"/>
  <c r="C5380" i="140"/>
  <c r="C5379" i="140"/>
  <c r="C5378" i="140"/>
  <c r="C5377" i="140"/>
  <c r="C5376" i="140"/>
  <c r="C5375" i="140"/>
  <c r="C5374" i="140"/>
  <c r="C5373" i="140"/>
  <c r="C5372" i="140"/>
  <c r="C5371" i="140"/>
  <c r="C5370" i="140"/>
  <c r="C5369" i="140"/>
  <c r="C5368" i="140"/>
  <c r="C5367" i="140"/>
  <c r="C5366" i="140"/>
  <c r="C5365" i="140"/>
  <c r="C5364" i="140"/>
  <c r="C5363" i="140"/>
  <c r="C5362" i="140"/>
  <c r="C5361" i="140"/>
  <c r="C5360" i="140"/>
  <c r="C5359" i="140"/>
  <c r="C5358" i="140"/>
  <c r="C5357" i="140"/>
  <c r="C5356" i="140"/>
  <c r="C5355" i="140"/>
  <c r="C5354" i="140"/>
  <c r="C5353" i="140"/>
  <c r="C5352" i="140"/>
  <c r="C5351" i="140"/>
  <c r="C5350" i="140"/>
  <c r="C5349" i="140"/>
  <c r="C5348" i="140"/>
  <c r="C5347" i="140"/>
  <c r="C5346" i="140"/>
  <c r="C5345" i="140"/>
  <c r="C5344" i="140"/>
  <c r="C5343" i="140"/>
  <c r="C5342" i="140"/>
  <c r="C5341" i="140"/>
  <c r="C5340" i="140"/>
  <c r="C5339" i="140"/>
  <c r="C5338" i="140"/>
  <c r="C5337" i="140"/>
  <c r="C5336" i="140"/>
  <c r="C5335" i="140"/>
  <c r="C5334" i="140"/>
  <c r="C5333" i="140"/>
  <c r="C5332" i="140"/>
  <c r="C5331" i="140"/>
  <c r="C5330" i="140"/>
  <c r="C5329" i="140"/>
  <c r="C5328" i="140"/>
  <c r="C5327" i="140"/>
  <c r="C5326" i="140"/>
  <c r="C5325" i="140"/>
  <c r="C5324" i="140"/>
  <c r="C5323" i="140"/>
  <c r="C5322" i="140"/>
  <c r="C5321" i="140"/>
  <c r="C5320" i="140"/>
  <c r="C5319" i="140"/>
  <c r="C5318" i="140"/>
  <c r="C5317" i="140"/>
  <c r="C5316" i="140"/>
  <c r="C5315" i="140"/>
  <c r="C5314" i="140"/>
  <c r="C5313" i="140"/>
  <c r="C5312" i="140"/>
  <c r="C5311" i="140"/>
  <c r="C5310" i="140"/>
  <c r="C5309" i="140"/>
  <c r="C5308" i="140"/>
  <c r="C5307" i="140"/>
  <c r="C5306" i="140"/>
  <c r="C5305" i="140"/>
  <c r="C5304" i="140"/>
  <c r="C5303" i="140"/>
  <c r="C5302" i="140"/>
  <c r="C5301" i="140"/>
  <c r="C5300" i="140"/>
  <c r="C5299" i="140"/>
  <c r="C5298" i="140"/>
  <c r="C5297" i="140"/>
  <c r="C5296" i="140"/>
  <c r="C5295" i="140"/>
  <c r="C5294" i="140"/>
  <c r="C5293" i="140"/>
  <c r="C5292" i="140"/>
  <c r="C5291" i="140"/>
  <c r="C5290" i="140"/>
  <c r="C5289" i="140"/>
  <c r="C5288" i="140"/>
  <c r="C5287" i="140"/>
  <c r="C5286" i="140"/>
  <c r="C5285" i="140"/>
  <c r="C5284" i="140"/>
  <c r="C5283" i="140"/>
  <c r="C5282" i="140"/>
  <c r="C5281" i="140"/>
  <c r="C5280" i="140"/>
  <c r="C5279" i="140"/>
  <c r="C5278" i="140"/>
  <c r="C5277" i="140"/>
  <c r="C5276" i="140"/>
  <c r="C5275" i="140"/>
  <c r="C5274" i="140"/>
  <c r="C5273" i="140"/>
  <c r="C5272" i="140"/>
  <c r="C5271" i="140"/>
  <c r="C5270" i="140"/>
  <c r="C5269" i="140"/>
  <c r="C5268" i="140"/>
  <c r="C5267" i="140"/>
  <c r="C5266" i="140"/>
  <c r="C5265" i="140"/>
  <c r="C5264" i="140"/>
  <c r="C5263" i="140"/>
  <c r="C5262" i="140"/>
  <c r="C5261" i="140"/>
  <c r="C5260" i="140"/>
  <c r="C5259" i="140"/>
  <c r="C5258" i="140"/>
  <c r="C5257" i="140"/>
  <c r="C5256" i="140"/>
  <c r="C5255" i="140"/>
  <c r="C5254" i="140"/>
  <c r="C5253" i="140"/>
  <c r="C5252" i="140"/>
  <c r="C5251" i="140"/>
  <c r="C5250" i="140"/>
  <c r="C5249" i="140"/>
  <c r="C5248" i="140"/>
  <c r="C5247" i="140"/>
  <c r="C5246" i="140"/>
  <c r="C5245" i="140"/>
  <c r="C5244" i="140"/>
  <c r="C5243" i="140"/>
  <c r="C5242" i="140"/>
  <c r="C5241" i="140"/>
  <c r="C5240" i="140"/>
  <c r="C5239" i="140"/>
  <c r="C5238" i="140"/>
  <c r="C5237" i="140"/>
  <c r="C5236" i="140"/>
  <c r="C5235" i="140"/>
  <c r="C5234" i="140"/>
  <c r="C5233" i="140"/>
  <c r="C5232" i="140"/>
  <c r="C5231" i="140"/>
  <c r="C5230" i="140"/>
  <c r="C5229" i="140"/>
  <c r="C5228" i="140"/>
  <c r="C5227" i="140"/>
  <c r="C5226" i="140"/>
  <c r="C5225" i="140"/>
  <c r="C5224" i="140"/>
  <c r="C5223" i="140"/>
  <c r="C5222" i="140"/>
  <c r="C5221" i="140"/>
  <c r="C5220" i="140"/>
  <c r="C5219" i="140"/>
  <c r="C5218" i="140"/>
  <c r="C5217" i="140"/>
  <c r="C5216" i="140"/>
  <c r="C5215" i="140"/>
  <c r="C5214" i="140"/>
  <c r="C5213" i="140"/>
  <c r="C5212" i="140"/>
  <c r="C5211" i="140"/>
  <c r="C5210" i="140"/>
  <c r="C5209" i="140"/>
  <c r="C5208" i="140"/>
  <c r="C5207" i="140"/>
  <c r="C5206" i="140"/>
  <c r="C5205" i="140"/>
  <c r="C5204" i="140"/>
  <c r="C5203" i="140"/>
  <c r="C5202" i="140"/>
  <c r="C5201" i="140"/>
  <c r="C5200" i="140"/>
  <c r="C5199" i="140"/>
  <c r="C5198" i="140"/>
  <c r="C5197" i="140"/>
  <c r="C5196" i="140"/>
  <c r="C5195" i="140"/>
  <c r="C5194" i="140"/>
  <c r="C5193" i="140"/>
  <c r="C5192" i="140"/>
  <c r="C5191" i="140"/>
  <c r="C5190" i="140"/>
  <c r="C5189" i="140"/>
  <c r="C5188" i="140"/>
  <c r="C5187" i="140"/>
  <c r="C5186" i="140"/>
  <c r="C5185" i="140"/>
  <c r="C5184" i="140"/>
  <c r="C5183" i="140"/>
  <c r="C5182" i="140"/>
  <c r="C5181" i="140"/>
  <c r="C5180" i="140"/>
  <c r="C5179" i="140"/>
  <c r="C5178" i="140"/>
  <c r="C5177" i="140"/>
  <c r="C5176" i="140"/>
  <c r="C5175" i="140"/>
  <c r="C5174" i="140"/>
  <c r="C5173" i="140"/>
  <c r="C5172" i="140"/>
  <c r="C5171" i="140"/>
  <c r="C5170" i="140"/>
  <c r="C5169" i="140"/>
  <c r="C5168" i="140"/>
  <c r="C5167" i="140"/>
  <c r="C5166" i="140"/>
  <c r="C5165" i="140"/>
  <c r="C5164" i="140"/>
  <c r="C5163" i="140"/>
  <c r="C5162" i="140"/>
  <c r="C5161" i="140"/>
  <c r="C5160" i="140"/>
  <c r="C5159" i="140"/>
  <c r="C5158" i="140"/>
  <c r="C5157" i="140"/>
  <c r="C5156" i="140"/>
  <c r="C5155" i="140"/>
  <c r="C5154" i="140"/>
  <c r="C5153" i="140"/>
  <c r="C5152" i="140"/>
  <c r="C5151" i="140"/>
  <c r="C5150" i="140"/>
  <c r="C5149" i="140"/>
  <c r="C5148" i="140"/>
  <c r="C5147" i="140"/>
  <c r="C5146" i="140"/>
  <c r="C5145" i="140"/>
  <c r="C5144" i="140"/>
  <c r="C5143" i="140"/>
  <c r="C5142" i="140"/>
  <c r="C5141" i="140"/>
  <c r="C5140" i="140"/>
  <c r="C5139" i="140"/>
  <c r="C5138" i="140"/>
  <c r="C5137" i="140"/>
  <c r="C5136" i="140"/>
  <c r="C5135" i="140"/>
  <c r="C5134" i="140"/>
  <c r="C5133" i="140"/>
  <c r="C5132" i="140"/>
  <c r="C5131" i="140"/>
  <c r="C5130" i="140"/>
  <c r="C5129" i="140"/>
  <c r="C5128" i="140"/>
  <c r="C5127" i="140"/>
  <c r="C5126" i="140"/>
  <c r="C5125" i="140"/>
  <c r="C5124" i="140"/>
  <c r="C5123" i="140"/>
  <c r="C5122" i="140"/>
  <c r="C5121" i="140"/>
  <c r="C5120" i="140"/>
  <c r="C5119" i="140"/>
  <c r="C5118" i="140"/>
  <c r="C5117" i="140"/>
  <c r="C5116" i="140"/>
  <c r="C5115" i="140"/>
  <c r="C5114" i="140"/>
  <c r="C5113" i="140"/>
  <c r="C5112" i="140"/>
  <c r="C5111" i="140"/>
  <c r="C5110" i="140"/>
  <c r="C5109" i="140"/>
  <c r="C5108" i="140"/>
  <c r="C5107" i="140"/>
  <c r="C5106" i="140"/>
  <c r="C5105" i="140"/>
  <c r="C5104" i="140"/>
  <c r="C5103" i="140"/>
  <c r="C5102" i="140"/>
  <c r="C5101" i="140"/>
  <c r="C5100" i="140"/>
  <c r="C5099" i="140"/>
  <c r="C5098" i="140"/>
  <c r="C5097" i="140"/>
  <c r="C5096" i="140"/>
  <c r="C5095" i="140"/>
  <c r="C5094" i="140"/>
  <c r="C5093" i="140"/>
  <c r="C5092" i="140"/>
  <c r="C5091" i="140"/>
  <c r="C5090" i="140"/>
  <c r="C5089" i="140"/>
  <c r="C5088" i="140"/>
  <c r="C5087" i="140"/>
  <c r="C5086" i="140"/>
  <c r="C5085" i="140"/>
  <c r="C5084" i="140"/>
  <c r="C5083" i="140"/>
  <c r="C5082" i="140"/>
  <c r="C5081" i="140"/>
  <c r="C5080" i="140"/>
  <c r="C5079" i="140"/>
  <c r="C5078" i="140"/>
  <c r="C5077" i="140"/>
  <c r="C5076" i="140"/>
  <c r="C5075" i="140"/>
  <c r="C5074" i="140"/>
  <c r="C5073" i="140"/>
  <c r="C5072" i="140"/>
  <c r="C5071" i="140"/>
  <c r="C5070" i="140"/>
  <c r="C5069" i="140"/>
  <c r="C5068" i="140"/>
  <c r="C5067" i="140"/>
  <c r="C5066" i="140"/>
  <c r="C5065" i="140"/>
  <c r="C5064" i="140"/>
  <c r="C5063" i="140"/>
  <c r="C5062" i="140"/>
  <c r="C5061" i="140"/>
  <c r="C5060" i="140"/>
  <c r="C5059" i="140"/>
  <c r="C5058" i="140"/>
  <c r="C5057" i="140"/>
  <c r="C5056" i="140"/>
  <c r="C5055" i="140"/>
  <c r="C5054" i="140"/>
  <c r="C5053" i="140"/>
  <c r="C5052" i="140"/>
  <c r="C5051" i="140"/>
  <c r="C5050" i="140"/>
  <c r="C5049" i="140"/>
  <c r="C5048" i="140"/>
  <c r="C5047" i="140"/>
  <c r="C5046" i="140"/>
  <c r="C5045" i="140"/>
  <c r="C5044" i="140"/>
  <c r="C5043" i="140"/>
  <c r="C5042" i="140"/>
  <c r="C5041" i="140"/>
  <c r="C5040" i="140"/>
  <c r="C5039" i="140"/>
  <c r="C5038" i="140"/>
  <c r="C5037" i="140"/>
  <c r="C5036" i="140"/>
  <c r="C5035" i="140"/>
  <c r="C5034" i="140"/>
  <c r="C5033" i="140"/>
  <c r="C5032" i="140"/>
  <c r="C5031" i="140"/>
  <c r="C5030" i="140"/>
  <c r="C5029" i="140"/>
  <c r="C5028" i="140"/>
  <c r="C5027" i="140"/>
  <c r="C5026" i="140"/>
  <c r="C5025" i="140"/>
  <c r="C5024" i="140"/>
  <c r="C5023" i="140"/>
  <c r="C5022" i="140"/>
  <c r="C5021" i="140"/>
  <c r="C5020" i="140"/>
  <c r="C5019" i="140"/>
  <c r="C5018" i="140"/>
  <c r="C5017" i="140"/>
  <c r="C5016" i="140"/>
  <c r="C5015" i="140"/>
  <c r="C5014" i="140"/>
  <c r="C5013" i="140"/>
  <c r="C5012" i="140"/>
  <c r="C5011" i="140"/>
  <c r="C5010" i="140"/>
  <c r="C5009" i="140"/>
  <c r="C5008" i="140"/>
  <c r="C5007" i="140"/>
  <c r="C5006" i="140"/>
  <c r="C5005" i="140"/>
  <c r="C5004" i="140"/>
  <c r="C5003" i="140"/>
  <c r="C5002" i="140"/>
  <c r="C5001" i="140"/>
  <c r="C5000" i="140"/>
  <c r="C4999" i="140"/>
  <c r="C4998" i="140"/>
  <c r="C4997" i="140"/>
  <c r="C4996" i="140"/>
  <c r="C4995" i="140"/>
  <c r="C4994" i="140"/>
  <c r="C4993" i="140"/>
  <c r="C4992" i="140"/>
  <c r="C4991" i="140"/>
  <c r="C4990" i="140"/>
  <c r="C4989" i="140"/>
  <c r="C4988" i="140"/>
  <c r="C4987" i="140"/>
  <c r="C4986" i="140"/>
  <c r="C4985" i="140"/>
  <c r="C4984" i="140"/>
  <c r="C4983" i="140"/>
  <c r="C4982" i="140"/>
  <c r="C4981" i="140"/>
  <c r="C4980" i="140"/>
  <c r="C4979" i="140"/>
  <c r="C4978" i="140"/>
  <c r="C4977" i="140"/>
  <c r="C4976" i="140"/>
  <c r="C4975" i="140"/>
  <c r="C4974" i="140"/>
  <c r="C4973" i="140"/>
  <c r="C4972" i="140"/>
  <c r="C4971" i="140"/>
  <c r="C4970" i="140"/>
  <c r="C4969" i="140"/>
  <c r="C4968" i="140"/>
  <c r="C4967" i="140"/>
  <c r="C4966" i="140"/>
  <c r="C4965" i="140"/>
  <c r="C4964" i="140"/>
  <c r="C4963" i="140"/>
  <c r="C4962" i="140"/>
  <c r="C4961" i="140"/>
  <c r="C4960" i="140"/>
  <c r="C4959" i="140"/>
  <c r="C4958" i="140"/>
  <c r="C4957" i="140"/>
  <c r="C4956" i="140"/>
  <c r="C4955" i="140"/>
  <c r="C4954" i="140"/>
  <c r="C4953" i="140"/>
  <c r="C4952" i="140"/>
  <c r="C4951" i="140"/>
  <c r="C4950" i="140"/>
  <c r="C4949" i="140"/>
  <c r="C4948" i="140"/>
  <c r="C4947" i="140"/>
  <c r="C4946" i="140"/>
  <c r="C4945" i="140"/>
  <c r="C4944" i="140"/>
  <c r="C4943" i="140"/>
  <c r="C4942" i="140"/>
  <c r="C4941" i="140"/>
  <c r="C4940" i="140"/>
  <c r="C4939" i="140"/>
  <c r="C4938" i="140"/>
  <c r="C4937" i="140"/>
  <c r="C4936" i="140"/>
  <c r="C4935" i="140"/>
  <c r="C4934" i="140"/>
  <c r="C4933" i="140"/>
  <c r="C4932" i="140"/>
  <c r="C4931" i="140"/>
  <c r="C4930" i="140"/>
  <c r="C4929" i="140"/>
  <c r="C4928" i="140"/>
  <c r="C4927" i="140"/>
  <c r="C4926" i="140"/>
  <c r="C4925" i="140"/>
  <c r="C4924" i="140"/>
  <c r="C4923" i="140"/>
  <c r="C4922" i="140"/>
  <c r="C4921" i="140"/>
  <c r="C4920" i="140"/>
  <c r="C4919" i="140"/>
  <c r="C4918" i="140"/>
  <c r="C4917" i="140"/>
  <c r="C4916" i="140"/>
  <c r="C4915" i="140"/>
  <c r="C4914" i="140"/>
  <c r="C4913" i="140"/>
  <c r="C4912" i="140"/>
  <c r="C4911" i="140"/>
  <c r="C4910" i="140"/>
  <c r="C4909" i="140"/>
  <c r="C4908" i="140"/>
  <c r="C4907" i="140"/>
  <c r="C4906" i="140"/>
  <c r="C4905" i="140"/>
  <c r="C4904" i="140"/>
  <c r="C4903" i="140"/>
  <c r="C4902" i="140"/>
  <c r="C4901" i="140"/>
  <c r="C4900" i="140"/>
  <c r="C4899" i="140"/>
  <c r="C4898" i="140"/>
  <c r="C4897" i="140"/>
  <c r="C4896" i="140"/>
  <c r="C4895" i="140"/>
  <c r="C4894" i="140"/>
  <c r="C4893" i="140"/>
  <c r="C4892" i="140"/>
  <c r="C4891" i="140"/>
  <c r="C4890" i="140"/>
  <c r="C4889" i="140"/>
  <c r="C4888" i="140"/>
  <c r="C4887" i="140"/>
  <c r="C4886" i="140"/>
  <c r="C4885" i="140"/>
  <c r="C4884" i="140"/>
  <c r="C4883" i="140"/>
  <c r="C4882" i="140"/>
  <c r="C4881" i="140"/>
  <c r="C4880" i="140"/>
  <c r="C4879" i="140"/>
  <c r="C4878" i="140"/>
  <c r="C4877" i="140"/>
  <c r="C4876" i="140"/>
  <c r="C4875" i="140"/>
  <c r="C4874" i="140"/>
  <c r="C4873" i="140"/>
  <c r="C4872" i="140"/>
  <c r="C4871" i="140"/>
  <c r="C4870" i="140"/>
  <c r="C4869" i="140"/>
  <c r="C4868" i="140"/>
  <c r="C4867" i="140"/>
  <c r="C4866" i="140"/>
  <c r="C4865" i="140"/>
  <c r="C4864" i="140"/>
  <c r="C4863" i="140"/>
  <c r="C4862" i="140"/>
  <c r="C4861" i="140"/>
  <c r="C4860" i="140"/>
  <c r="C4859" i="140"/>
  <c r="C4858" i="140"/>
  <c r="C4857" i="140"/>
  <c r="C4856" i="140"/>
  <c r="C4855" i="140"/>
  <c r="C4854" i="140"/>
  <c r="C4853" i="140"/>
  <c r="C4852" i="140"/>
  <c r="C4851" i="140"/>
  <c r="C4850" i="140"/>
  <c r="C4849" i="140"/>
  <c r="C4848" i="140"/>
  <c r="C4847" i="140"/>
  <c r="C4846" i="140"/>
  <c r="C4845" i="140"/>
  <c r="C4844" i="140"/>
  <c r="C4843" i="140"/>
  <c r="C4842" i="140"/>
  <c r="C4841" i="140"/>
  <c r="C4840" i="140"/>
  <c r="C4839" i="140"/>
  <c r="C4838" i="140"/>
  <c r="C4837" i="140"/>
  <c r="C4836" i="140"/>
  <c r="C4835" i="140"/>
  <c r="C4834" i="140"/>
  <c r="C4833" i="140"/>
  <c r="C4832" i="140"/>
  <c r="C4831" i="140"/>
  <c r="C4830" i="140"/>
  <c r="C4829" i="140"/>
  <c r="C4828" i="140"/>
  <c r="C4827" i="140"/>
  <c r="C4826" i="140"/>
  <c r="C4825" i="140"/>
  <c r="C4824" i="140"/>
  <c r="C4823" i="140"/>
  <c r="C4822" i="140"/>
  <c r="C4821" i="140"/>
  <c r="C4820" i="140"/>
  <c r="C4819" i="140"/>
  <c r="C4818" i="140"/>
  <c r="C4817" i="140"/>
  <c r="C4816" i="140"/>
  <c r="C4815" i="140"/>
  <c r="C4814" i="140"/>
  <c r="C4813" i="140"/>
  <c r="C4812" i="140"/>
  <c r="C4811" i="140"/>
  <c r="C4810" i="140"/>
  <c r="C4809" i="140"/>
  <c r="C4808" i="140"/>
  <c r="C4807" i="140"/>
  <c r="C4806" i="140"/>
  <c r="C4805" i="140"/>
  <c r="C4804" i="140"/>
  <c r="C4803" i="140"/>
  <c r="C4802" i="140"/>
  <c r="C4801" i="140"/>
  <c r="C4800" i="140"/>
  <c r="C4799" i="140"/>
  <c r="C4798" i="140"/>
  <c r="C4797" i="140"/>
  <c r="C4796" i="140"/>
  <c r="C4795" i="140"/>
  <c r="C4794" i="140"/>
  <c r="C4793" i="140"/>
  <c r="C4792" i="140"/>
  <c r="C4791" i="140"/>
  <c r="C4790" i="140"/>
  <c r="C4789" i="140"/>
  <c r="C4788" i="140"/>
  <c r="C4787" i="140"/>
  <c r="C4786" i="140"/>
  <c r="C4785" i="140"/>
  <c r="C4784" i="140"/>
  <c r="C4783" i="140"/>
  <c r="C4782" i="140"/>
  <c r="C4781" i="140"/>
  <c r="C4780" i="140"/>
  <c r="C4779" i="140"/>
  <c r="C4778" i="140"/>
  <c r="C4777" i="140"/>
  <c r="C4776" i="140"/>
  <c r="C4775" i="140"/>
  <c r="C4774" i="140"/>
  <c r="C4773" i="140"/>
  <c r="C4772" i="140"/>
  <c r="C4771" i="140"/>
  <c r="C4770" i="140"/>
  <c r="C4769" i="140"/>
  <c r="C4768" i="140"/>
  <c r="C4767" i="140"/>
  <c r="C4766" i="140"/>
  <c r="C4765" i="140"/>
  <c r="C4764" i="140"/>
  <c r="C4763" i="140"/>
  <c r="C4762" i="140"/>
  <c r="C4761" i="140"/>
  <c r="C4760" i="140"/>
  <c r="C4759" i="140"/>
  <c r="C4758" i="140"/>
  <c r="C4757" i="140"/>
  <c r="C4756" i="140"/>
  <c r="C4755" i="140"/>
  <c r="C4754" i="140"/>
  <c r="C4753" i="140"/>
  <c r="C4752" i="140"/>
  <c r="C4751" i="140"/>
  <c r="C4750" i="140"/>
  <c r="C4749" i="140"/>
  <c r="C4748" i="140"/>
  <c r="C4747" i="140"/>
  <c r="C4746" i="140"/>
  <c r="C4745" i="140"/>
  <c r="C4744" i="140"/>
  <c r="C4743" i="140"/>
  <c r="C4742" i="140"/>
  <c r="C4741" i="140"/>
  <c r="C4740" i="140"/>
  <c r="C4739" i="140"/>
  <c r="C4738" i="140"/>
  <c r="C4737" i="140"/>
  <c r="C4736" i="140"/>
  <c r="C4735" i="140"/>
  <c r="C4734" i="140"/>
  <c r="C4733" i="140"/>
  <c r="C4732" i="140"/>
  <c r="C4731" i="140"/>
  <c r="C4730" i="140"/>
  <c r="C4729" i="140"/>
  <c r="C4728" i="140"/>
  <c r="C4727" i="140"/>
  <c r="C4726" i="140"/>
  <c r="C4725" i="140"/>
  <c r="C4724" i="140"/>
  <c r="C4723" i="140"/>
  <c r="C4722" i="140"/>
  <c r="C4721" i="140"/>
  <c r="C4720" i="140"/>
  <c r="C4719" i="140"/>
  <c r="C4718" i="140"/>
  <c r="C4717" i="140"/>
  <c r="C4716" i="140"/>
  <c r="C4715" i="140"/>
  <c r="C4714" i="140"/>
  <c r="C4713" i="140"/>
  <c r="C4712" i="140"/>
  <c r="C4711" i="140"/>
  <c r="C4710" i="140"/>
  <c r="C4709" i="140"/>
  <c r="C4708" i="140"/>
  <c r="C4707" i="140"/>
  <c r="C4706" i="140"/>
  <c r="C4705" i="140"/>
  <c r="C4704" i="140"/>
  <c r="C4703" i="140"/>
  <c r="C4702" i="140"/>
  <c r="C4701" i="140"/>
  <c r="C4700" i="140"/>
  <c r="C4699" i="140"/>
  <c r="C4698" i="140"/>
  <c r="C4697" i="140"/>
  <c r="C4696" i="140"/>
  <c r="C4695" i="140"/>
  <c r="C4694" i="140"/>
  <c r="C4693" i="140"/>
  <c r="C4692" i="140"/>
  <c r="C4691" i="140"/>
  <c r="C4690" i="140"/>
  <c r="C4689" i="140"/>
  <c r="C4688" i="140"/>
  <c r="C4687" i="140"/>
  <c r="C4686" i="140"/>
  <c r="C4685" i="140"/>
  <c r="C4684" i="140"/>
  <c r="C4683" i="140"/>
  <c r="C4682" i="140"/>
  <c r="C4681" i="140"/>
  <c r="C4680" i="140"/>
  <c r="C4679" i="140"/>
  <c r="C4678" i="140"/>
  <c r="C4677" i="140"/>
  <c r="C4676" i="140"/>
  <c r="C4675" i="140"/>
  <c r="C4674" i="140"/>
  <c r="C4673" i="140"/>
  <c r="C4672" i="140"/>
  <c r="C4671" i="140"/>
  <c r="C4670" i="140"/>
  <c r="C4669" i="140"/>
  <c r="C4668" i="140"/>
  <c r="C4667" i="140"/>
  <c r="C4666" i="140"/>
  <c r="C4665" i="140"/>
  <c r="C4664" i="140"/>
  <c r="C4663" i="140"/>
  <c r="C4662" i="140"/>
  <c r="C4661" i="140"/>
  <c r="C4660" i="140"/>
  <c r="C4659" i="140"/>
  <c r="C4658" i="140"/>
  <c r="C4657" i="140"/>
  <c r="C4656" i="140"/>
  <c r="C4655" i="140"/>
  <c r="C4654" i="140"/>
  <c r="C4653" i="140"/>
  <c r="C4652" i="140"/>
  <c r="C4651" i="140"/>
  <c r="C4650" i="140"/>
  <c r="C4649" i="140"/>
  <c r="C4648" i="140"/>
  <c r="C4647" i="140"/>
  <c r="C4646" i="140"/>
  <c r="C4645" i="140"/>
  <c r="C4644" i="140"/>
  <c r="C4643" i="140"/>
  <c r="C4642" i="140"/>
  <c r="C4641" i="140"/>
  <c r="C4640" i="140"/>
  <c r="C4639" i="140"/>
  <c r="C4638" i="140"/>
  <c r="C4637" i="140"/>
  <c r="C4636" i="140"/>
  <c r="C4635" i="140"/>
  <c r="C4634" i="140"/>
  <c r="C4633" i="140"/>
  <c r="C4632" i="140"/>
  <c r="C4631" i="140"/>
  <c r="C4630" i="140"/>
  <c r="C4629" i="140"/>
  <c r="C4628" i="140"/>
  <c r="C4627" i="140"/>
  <c r="C4626" i="140"/>
  <c r="C4625" i="140"/>
  <c r="C4624" i="140"/>
  <c r="C4623" i="140"/>
  <c r="C4622" i="140"/>
  <c r="C4621" i="140"/>
  <c r="C4620" i="140"/>
  <c r="C4619" i="140"/>
  <c r="C4618" i="140"/>
  <c r="C4617" i="140"/>
  <c r="C4616" i="140"/>
  <c r="C4615" i="140"/>
  <c r="C4614" i="140"/>
  <c r="C4613" i="140"/>
  <c r="C4612" i="140"/>
  <c r="C4611" i="140"/>
  <c r="C4610" i="140"/>
  <c r="C4609" i="140"/>
  <c r="C4608" i="140"/>
  <c r="C4607" i="140"/>
  <c r="C4606" i="140"/>
  <c r="C4605" i="140"/>
  <c r="C4604" i="140"/>
  <c r="C4603" i="140"/>
  <c r="C4602" i="140"/>
  <c r="C4601" i="140"/>
  <c r="C4600" i="140"/>
  <c r="C4599" i="140"/>
  <c r="C4598" i="140"/>
  <c r="C4597" i="140"/>
  <c r="C4596" i="140"/>
  <c r="C4595" i="140"/>
  <c r="C4594" i="140"/>
  <c r="C4593" i="140"/>
  <c r="C4592" i="140"/>
  <c r="C4591" i="140"/>
  <c r="C4590" i="140"/>
  <c r="C4589" i="140"/>
  <c r="C4588" i="140"/>
  <c r="C4587" i="140"/>
  <c r="C4586" i="140"/>
  <c r="C4585" i="140"/>
  <c r="C4584" i="140"/>
  <c r="C4583" i="140"/>
  <c r="C4582" i="140"/>
  <c r="C4581" i="140"/>
  <c r="C4580" i="140"/>
  <c r="C4579" i="140"/>
  <c r="C4578" i="140"/>
  <c r="C4577" i="140"/>
  <c r="C4576" i="140"/>
  <c r="C4575" i="140"/>
  <c r="C4574" i="140"/>
  <c r="C4573" i="140"/>
  <c r="C4572" i="140"/>
  <c r="C4571" i="140"/>
  <c r="C4570" i="140"/>
  <c r="C4569" i="140"/>
  <c r="C4568" i="140"/>
  <c r="C4567" i="140"/>
  <c r="C4566" i="140"/>
  <c r="C4565" i="140"/>
  <c r="C4564" i="140"/>
  <c r="C4563" i="140"/>
  <c r="C4562" i="140"/>
  <c r="C4561" i="140"/>
  <c r="C4560" i="140"/>
  <c r="C4559" i="140"/>
  <c r="C4558" i="140"/>
  <c r="C4557" i="140"/>
  <c r="C4556" i="140"/>
  <c r="C4555" i="140"/>
  <c r="C4554" i="140"/>
  <c r="C4553" i="140"/>
  <c r="C4552" i="140"/>
  <c r="C4551" i="140"/>
  <c r="C4550" i="140"/>
  <c r="C4549" i="140"/>
  <c r="C4548" i="140"/>
  <c r="C4547" i="140"/>
  <c r="C4546" i="140"/>
  <c r="C4545" i="140"/>
  <c r="C4544" i="140"/>
  <c r="C4543" i="140"/>
  <c r="C4542" i="140"/>
  <c r="C4541" i="140"/>
  <c r="C4540" i="140"/>
  <c r="C4539" i="140"/>
  <c r="C4538" i="140"/>
  <c r="C4537" i="140"/>
  <c r="C4536" i="140"/>
  <c r="C4535" i="140"/>
  <c r="C4534" i="140"/>
  <c r="C4533" i="140"/>
  <c r="C4532" i="140"/>
  <c r="C4531" i="140"/>
  <c r="C4530" i="140"/>
  <c r="C4529" i="140"/>
  <c r="C4528" i="140"/>
  <c r="C4527" i="140"/>
  <c r="C4526" i="140"/>
  <c r="C4525" i="140"/>
  <c r="C4524" i="140"/>
  <c r="C4523" i="140"/>
  <c r="C4522" i="140"/>
  <c r="C4521" i="140"/>
  <c r="C4520" i="140"/>
  <c r="C4519" i="140"/>
  <c r="C4518" i="140"/>
  <c r="C4517" i="140"/>
  <c r="C4516" i="140"/>
  <c r="C4515" i="140"/>
  <c r="C4514" i="140"/>
  <c r="C4513" i="140"/>
  <c r="C4512" i="140"/>
  <c r="C4511" i="140"/>
  <c r="C4510" i="140"/>
  <c r="C4509" i="140"/>
  <c r="C4508" i="140"/>
  <c r="C4507" i="140"/>
  <c r="C4506" i="140"/>
  <c r="C4505" i="140"/>
  <c r="C4504" i="140"/>
  <c r="C4503" i="140"/>
  <c r="C4502" i="140"/>
  <c r="C4501" i="140"/>
  <c r="C4500" i="140"/>
  <c r="C4499" i="140"/>
  <c r="C4498" i="140"/>
  <c r="C4497" i="140"/>
  <c r="C4496" i="140"/>
  <c r="C4495" i="140"/>
  <c r="C4494" i="140"/>
  <c r="C4493" i="140"/>
  <c r="C4492" i="140"/>
  <c r="C4491" i="140"/>
  <c r="C4490" i="140"/>
  <c r="C4489" i="140"/>
  <c r="C4488" i="140"/>
  <c r="C4487" i="140"/>
  <c r="C4486" i="140"/>
  <c r="C4485" i="140"/>
  <c r="C4484" i="140"/>
  <c r="C4483" i="140"/>
  <c r="C4482" i="140"/>
  <c r="C4481" i="140"/>
  <c r="C4480" i="140"/>
  <c r="C4479" i="140"/>
  <c r="C4478" i="140"/>
  <c r="C4477" i="140"/>
  <c r="C4476" i="140"/>
  <c r="C4475" i="140"/>
  <c r="C4474" i="140"/>
  <c r="C4473" i="140"/>
  <c r="C4472" i="140"/>
  <c r="C4471" i="140"/>
  <c r="C4470" i="140"/>
  <c r="C4469" i="140"/>
  <c r="C4468" i="140"/>
  <c r="C4467" i="140"/>
  <c r="C4466" i="140"/>
  <c r="C4465" i="140"/>
  <c r="C4464" i="140"/>
  <c r="C4463" i="140"/>
  <c r="C4462" i="140"/>
  <c r="C4461" i="140"/>
  <c r="C4460" i="140"/>
  <c r="C4459" i="140"/>
  <c r="C4458" i="140"/>
  <c r="C4457" i="140"/>
  <c r="C4456" i="140"/>
  <c r="C4455" i="140"/>
  <c r="C4454" i="140"/>
  <c r="C4453" i="140"/>
  <c r="C4452" i="140"/>
  <c r="C4451" i="140"/>
  <c r="C4450" i="140"/>
  <c r="C4449" i="140"/>
  <c r="C4448" i="140"/>
  <c r="C4447" i="140"/>
  <c r="C4446" i="140"/>
  <c r="C4445" i="140"/>
  <c r="C4444" i="140"/>
  <c r="C4443" i="140"/>
  <c r="C4442" i="140"/>
  <c r="C4441" i="140"/>
  <c r="C4440" i="140"/>
  <c r="C4439" i="140"/>
  <c r="C4438" i="140"/>
  <c r="C4437" i="140"/>
  <c r="C4436" i="140"/>
  <c r="C4435" i="140"/>
  <c r="C4434" i="140"/>
  <c r="C4433" i="140"/>
  <c r="C4432" i="140"/>
  <c r="C4431" i="140"/>
  <c r="C4430" i="140"/>
  <c r="C4429" i="140"/>
  <c r="C4428" i="140"/>
  <c r="C4427" i="140"/>
  <c r="C4426" i="140"/>
  <c r="C4425" i="140"/>
  <c r="C4424" i="140"/>
  <c r="C4423" i="140"/>
  <c r="C4422" i="140"/>
  <c r="C4421" i="140"/>
  <c r="C4420" i="140"/>
  <c r="C4419" i="140"/>
  <c r="C4418" i="140"/>
  <c r="C4417" i="140"/>
  <c r="C4416" i="140"/>
  <c r="C4415" i="140"/>
  <c r="C4414" i="140"/>
  <c r="C4413" i="140"/>
  <c r="C4412" i="140"/>
  <c r="C4411" i="140"/>
  <c r="C4410" i="140"/>
  <c r="C4409" i="140"/>
  <c r="C4408" i="140"/>
  <c r="C4407" i="140"/>
  <c r="C4406" i="140"/>
  <c r="C4405" i="140"/>
  <c r="C4404" i="140"/>
  <c r="C4403" i="140"/>
  <c r="C4402" i="140"/>
  <c r="C4401" i="140"/>
  <c r="C4400" i="140"/>
  <c r="C4399" i="140"/>
  <c r="C4398" i="140"/>
  <c r="C4397" i="140"/>
  <c r="C4396" i="140"/>
  <c r="C4395" i="140"/>
  <c r="C4394" i="140"/>
  <c r="C4393" i="140"/>
  <c r="C4392" i="140"/>
  <c r="C4391" i="140"/>
  <c r="C4390" i="140"/>
  <c r="C4389" i="140"/>
  <c r="C4388" i="140"/>
  <c r="C4387" i="140"/>
  <c r="C4386" i="140"/>
  <c r="C4385" i="140"/>
  <c r="C4384" i="140"/>
  <c r="C4383" i="140"/>
  <c r="C4382" i="140"/>
  <c r="C4381" i="140"/>
  <c r="C4380" i="140"/>
  <c r="C4379" i="140"/>
  <c r="C4378" i="140"/>
  <c r="C4377" i="140"/>
  <c r="C4376" i="140"/>
  <c r="C4375" i="140"/>
  <c r="C4374" i="140"/>
  <c r="C4373" i="140"/>
  <c r="C4372" i="140"/>
  <c r="C4371" i="140"/>
  <c r="C4370" i="140"/>
  <c r="C4369" i="140"/>
  <c r="C4368" i="140"/>
  <c r="C4367" i="140"/>
  <c r="C4366" i="140"/>
  <c r="C4365" i="140"/>
  <c r="C4364" i="140"/>
  <c r="C4363" i="140"/>
  <c r="C4362" i="140"/>
  <c r="C4361" i="140"/>
  <c r="C4360" i="140"/>
  <c r="C4359" i="140"/>
  <c r="C4358" i="140"/>
  <c r="C4357" i="140"/>
  <c r="C4356" i="140"/>
  <c r="C4355" i="140"/>
  <c r="C4354" i="140"/>
  <c r="C4353" i="140"/>
  <c r="C4352" i="140"/>
  <c r="C4351" i="140"/>
  <c r="C4350" i="140"/>
  <c r="C4349" i="140"/>
  <c r="C4348" i="140"/>
  <c r="C4347" i="140"/>
  <c r="C4346" i="140"/>
  <c r="C4345" i="140"/>
  <c r="C4344" i="140"/>
  <c r="C4343" i="140"/>
  <c r="C4342" i="140"/>
  <c r="C4341" i="140"/>
  <c r="C4340" i="140"/>
  <c r="C4339" i="140"/>
  <c r="C4338" i="140"/>
  <c r="C4337" i="140"/>
  <c r="C4336" i="140"/>
  <c r="C4335" i="140"/>
  <c r="C4334" i="140"/>
  <c r="C4333" i="140"/>
  <c r="C4332" i="140"/>
  <c r="C4331" i="140"/>
  <c r="C4330" i="140"/>
  <c r="C4329" i="140"/>
  <c r="C4328" i="140"/>
  <c r="C4327" i="140"/>
  <c r="C4326" i="140"/>
  <c r="C4325" i="140"/>
  <c r="C4324" i="140"/>
  <c r="C4323" i="140"/>
  <c r="C4322" i="140"/>
  <c r="C4321" i="140"/>
  <c r="C4320" i="140"/>
  <c r="C4319" i="140"/>
  <c r="C4318" i="140"/>
  <c r="C4317" i="140"/>
  <c r="C4316" i="140"/>
  <c r="C4315" i="140"/>
  <c r="C4314" i="140"/>
  <c r="C4313" i="140"/>
  <c r="C4312" i="140"/>
  <c r="C4311" i="140"/>
  <c r="C4310" i="140"/>
  <c r="C4309" i="140"/>
  <c r="C4308" i="140"/>
  <c r="C4307" i="140"/>
  <c r="C4306" i="140"/>
  <c r="C4305" i="140"/>
  <c r="C4304" i="140"/>
  <c r="C4303" i="140"/>
  <c r="C4302" i="140"/>
  <c r="C4301" i="140"/>
  <c r="C4300" i="140"/>
  <c r="C4299" i="140"/>
  <c r="C4298" i="140"/>
  <c r="C4297" i="140"/>
  <c r="C4296" i="140"/>
  <c r="C4295" i="140"/>
  <c r="C4294" i="140"/>
  <c r="C4293" i="140"/>
  <c r="C4292" i="140"/>
  <c r="C4291" i="140"/>
  <c r="C4290" i="140"/>
  <c r="C4289" i="140"/>
  <c r="C4288" i="140"/>
  <c r="C4287" i="140"/>
  <c r="C4286" i="140"/>
  <c r="C4285" i="140"/>
  <c r="C4284" i="140"/>
  <c r="C4283" i="140"/>
  <c r="C4282" i="140"/>
  <c r="C4281" i="140"/>
  <c r="C4280" i="140"/>
  <c r="C4279" i="140"/>
  <c r="C4278" i="140"/>
  <c r="C4277" i="140"/>
  <c r="C4276" i="140"/>
  <c r="C4275" i="140"/>
  <c r="C4274" i="140"/>
  <c r="C4273" i="140"/>
  <c r="C4272" i="140"/>
  <c r="C4271" i="140"/>
  <c r="C4270" i="140"/>
  <c r="C4269" i="140"/>
  <c r="C4268" i="140"/>
  <c r="C4267" i="140"/>
  <c r="C4266" i="140"/>
  <c r="C4265" i="140"/>
  <c r="C4264" i="140"/>
  <c r="C4263" i="140"/>
  <c r="C4262" i="140"/>
  <c r="C4261" i="140"/>
  <c r="C4260" i="140"/>
  <c r="C4259" i="140"/>
  <c r="C4258" i="140"/>
  <c r="C4257" i="140"/>
  <c r="C4256" i="140"/>
  <c r="C4255" i="140"/>
  <c r="C4254" i="140"/>
  <c r="C4253" i="140"/>
  <c r="C4252" i="140"/>
  <c r="C4251" i="140"/>
  <c r="C4250" i="140"/>
  <c r="C4249" i="140"/>
  <c r="C4248" i="140"/>
  <c r="C4247" i="140"/>
  <c r="C4246" i="140"/>
  <c r="C4245" i="140"/>
  <c r="C4244" i="140"/>
  <c r="C4243" i="140"/>
  <c r="C4242" i="140"/>
  <c r="C4241" i="140"/>
  <c r="C4240" i="140"/>
  <c r="C4239" i="140"/>
  <c r="C4238" i="140"/>
  <c r="C4237" i="140"/>
  <c r="C4236" i="140"/>
  <c r="C4235" i="140"/>
  <c r="C4234" i="140"/>
  <c r="C4233" i="140"/>
  <c r="C4232" i="140"/>
  <c r="C4231" i="140"/>
  <c r="C4230" i="140"/>
  <c r="C4229" i="140"/>
  <c r="C4228" i="140"/>
  <c r="C4227" i="140"/>
  <c r="C4226" i="140"/>
  <c r="C4225" i="140"/>
  <c r="C4224" i="140"/>
  <c r="C4223" i="140"/>
  <c r="C4222" i="140"/>
  <c r="C4221" i="140"/>
  <c r="C4220" i="140"/>
  <c r="C4219" i="140"/>
  <c r="C4218" i="140"/>
  <c r="C4217" i="140"/>
  <c r="C4216" i="140"/>
  <c r="C4215" i="140"/>
  <c r="C4214" i="140"/>
  <c r="C4213" i="140"/>
  <c r="C4212" i="140"/>
  <c r="C4211" i="140"/>
  <c r="C4210" i="140"/>
  <c r="C4209" i="140"/>
  <c r="C4208" i="140"/>
  <c r="C4207" i="140"/>
  <c r="C4206" i="140"/>
  <c r="C4205" i="140"/>
  <c r="C4204" i="140"/>
  <c r="C4203" i="140"/>
  <c r="C4202" i="140"/>
  <c r="C4201" i="140"/>
  <c r="C4200" i="140"/>
  <c r="C4199" i="140"/>
  <c r="C4198" i="140"/>
  <c r="C4197" i="140"/>
  <c r="C4196" i="140"/>
  <c r="C4195" i="140"/>
  <c r="C4194" i="140"/>
  <c r="C4193" i="140"/>
  <c r="C4192" i="140"/>
  <c r="C4191" i="140"/>
  <c r="C4190" i="140"/>
  <c r="C4189" i="140"/>
  <c r="C4188" i="140"/>
  <c r="C4187" i="140"/>
  <c r="C4186" i="140"/>
  <c r="C4185" i="140"/>
  <c r="C4184" i="140"/>
  <c r="C4183" i="140"/>
  <c r="C4182" i="140"/>
  <c r="C4181" i="140"/>
  <c r="C4180" i="140"/>
  <c r="C4179" i="140"/>
  <c r="C4178" i="140"/>
  <c r="C4177" i="140"/>
  <c r="C4176" i="140"/>
  <c r="C4175" i="140"/>
  <c r="C4174" i="140"/>
  <c r="C4173" i="140"/>
  <c r="C4172" i="140"/>
  <c r="C4171" i="140"/>
  <c r="C4170" i="140"/>
  <c r="C4169" i="140"/>
  <c r="C4168" i="140"/>
  <c r="C4167" i="140"/>
  <c r="C4166" i="140"/>
  <c r="C4165" i="140"/>
  <c r="C4164" i="140"/>
  <c r="C4163" i="140"/>
  <c r="C4162" i="140"/>
  <c r="C4161" i="140"/>
  <c r="C4160" i="140"/>
  <c r="C4159" i="140"/>
  <c r="C4158" i="140"/>
  <c r="C4157" i="140"/>
  <c r="C4156" i="140"/>
  <c r="C4155" i="140"/>
  <c r="C4154" i="140"/>
  <c r="C4153" i="140"/>
  <c r="C4152" i="140"/>
  <c r="C4151" i="140"/>
  <c r="C4150" i="140"/>
  <c r="C4149" i="140"/>
  <c r="C4148" i="140"/>
  <c r="C4147" i="140"/>
  <c r="C4146" i="140"/>
  <c r="C4145" i="140"/>
  <c r="C4144" i="140"/>
  <c r="C4143" i="140"/>
  <c r="C4142" i="140"/>
  <c r="C4141" i="140"/>
  <c r="C4140" i="140"/>
  <c r="C4139" i="140"/>
  <c r="C4138" i="140"/>
  <c r="C4137" i="140"/>
  <c r="C4136" i="140"/>
  <c r="C4135" i="140"/>
  <c r="C4134" i="140"/>
  <c r="C4133" i="140"/>
  <c r="C4132" i="140"/>
  <c r="C4131" i="140"/>
  <c r="C4130" i="140"/>
  <c r="C4129" i="140"/>
  <c r="C4128" i="140"/>
  <c r="C4127" i="140"/>
  <c r="C4126" i="140"/>
  <c r="C4125" i="140"/>
  <c r="C4124" i="140"/>
  <c r="C4123" i="140"/>
  <c r="C4122" i="140"/>
  <c r="C4121" i="140"/>
  <c r="C4120" i="140"/>
  <c r="C4119" i="140"/>
  <c r="C4118" i="140"/>
  <c r="C4117" i="140"/>
  <c r="C4116" i="140"/>
  <c r="C4115" i="140"/>
  <c r="C4114" i="140"/>
  <c r="C4113" i="140"/>
  <c r="C4112" i="140"/>
  <c r="C4111" i="140"/>
  <c r="C4110" i="140"/>
  <c r="C4109" i="140"/>
  <c r="C4108" i="140"/>
  <c r="C4107" i="140"/>
  <c r="C4106" i="140"/>
  <c r="C4105" i="140"/>
  <c r="C4104" i="140"/>
  <c r="C4103" i="140"/>
  <c r="C4102" i="140"/>
  <c r="C4101" i="140"/>
  <c r="C4100" i="140"/>
  <c r="C4099" i="140"/>
  <c r="C4098" i="140"/>
  <c r="C4097" i="140"/>
  <c r="C4096" i="140"/>
  <c r="C4095" i="140"/>
  <c r="C4094" i="140"/>
  <c r="C4093" i="140"/>
  <c r="C4092" i="140"/>
  <c r="C4091" i="140"/>
  <c r="C4090" i="140"/>
  <c r="C4089" i="140"/>
  <c r="C4088" i="140"/>
  <c r="C4087" i="140"/>
  <c r="C4086" i="140"/>
  <c r="C4085" i="140"/>
  <c r="C4084" i="140"/>
  <c r="C4083" i="140"/>
  <c r="C4082" i="140"/>
  <c r="C4081" i="140"/>
  <c r="C4080" i="140"/>
  <c r="C4079" i="140"/>
  <c r="C4078" i="140"/>
  <c r="C4077" i="140"/>
  <c r="C4076" i="140"/>
  <c r="C4075" i="140"/>
  <c r="C4074" i="140"/>
  <c r="C4073" i="140"/>
  <c r="C4072" i="140"/>
  <c r="C4071" i="140"/>
  <c r="C4070" i="140"/>
  <c r="C4069" i="140"/>
  <c r="C4068" i="140"/>
  <c r="C4067" i="140"/>
  <c r="C4066" i="140"/>
  <c r="C4065" i="140"/>
  <c r="C4064" i="140"/>
  <c r="C4063" i="140"/>
  <c r="C4062" i="140"/>
  <c r="C4061" i="140"/>
  <c r="C4060" i="140"/>
  <c r="C4059" i="140"/>
  <c r="C4058" i="140"/>
  <c r="C4057" i="140"/>
  <c r="C4056" i="140"/>
  <c r="C4055" i="140"/>
  <c r="C4054" i="140"/>
  <c r="C4053" i="140"/>
  <c r="C4052" i="140"/>
  <c r="C4051" i="140"/>
  <c r="C4050" i="140"/>
  <c r="C4049" i="140"/>
  <c r="C4048" i="140"/>
  <c r="C4047" i="140"/>
  <c r="C4046" i="140"/>
  <c r="C4045" i="140"/>
  <c r="C4044" i="140"/>
  <c r="C4043" i="140"/>
  <c r="C4042" i="140"/>
  <c r="C4041" i="140"/>
  <c r="C4040" i="140"/>
  <c r="C4039" i="140"/>
  <c r="C4038" i="140"/>
  <c r="C4037" i="140"/>
  <c r="C4036" i="140"/>
  <c r="C4035" i="140"/>
  <c r="C4034" i="140"/>
  <c r="C4033" i="140"/>
  <c r="C4032" i="140"/>
  <c r="C4031" i="140"/>
  <c r="C4030" i="140"/>
  <c r="C4029" i="140"/>
  <c r="C4028" i="140"/>
  <c r="C4027" i="140"/>
  <c r="C4026" i="140"/>
  <c r="C4025" i="140"/>
  <c r="C4024" i="140"/>
  <c r="C4023" i="140"/>
  <c r="C4022" i="140"/>
  <c r="C4021" i="140"/>
  <c r="C4020" i="140"/>
  <c r="C4019" i="140"/>
  <c r="C4018" i="140"/>
  <c r="C4017" i="140"/>
  <c r="C4016" i="140"/>
  <c r="C4015" i="140"/>
  <c r="C4014" i="140"/>
  <c r="C4013" i="140"/>
  <c r="C4012" i="140"/>
  <c r="C4011" i="140"/>
  <c r="C4010" i="140"/>
  <c r="C4009" i="140"/>
  <c r="C4008" i="140"/>
  <c r="C4007" i="140"/>
  <c r="C4006" i="140"/>
  <c r="C4005" i="140"/>
  <c r="C4004" i="140"/>
  <c r="C4003" i="140"/>
  <c r="C4002" i="140"/>
  <c r="C4001" i="140"/>
  <c r="C4000" i="140"/>
  <c r="C3999" i="140"/>
  <c r="C3998" i="140"/>
  <c r="C3997" i="140"/>
  <c r="C3996" i="140"/>
  <c r="C3995" i="140"/>
  <c r="C3994" i="140"/>
  <c r="C3993" i="140"/>
  <c r="C3992" i="140"/>
  <c r="C3991" i="140"/>
  <c r="C3990" i="140"/>
  <c r="C3989" i="140"/>
  <c r="C3988" i="140"/>
  <c r="C3987" i="140"/>
  <c r="C3986" i="140"/>
  <c r="C3985" i="140"/>
  <c r="C3984" i="140"/>
  <c r="C3983" i="140"/>
  <c r="C3982" i="140"/>
  <c r="C3981" i="140"/>
  <c r="C3980" i="140"/>
  <c r="C3979" i="140"/>
  <c r="C3978" i="140"/>
  <c r="C3977" i="140"/>
  <c r="C3976" i="140"/>
  <c r="C3975" i="140"/>
  <c r="C3974" i="140"/>
  <c r="C3973" i="140"/>
  <c r="C3972" i="140"/>
  <c r="C3971" i="140"/>
  <c r="C3970" i="140"/>
  <c r="C3969" i="140"/>
  <c r="C3968" i="140"/>
  <c r="C3967" i="140"/>
  <c r="C3966" i="140"/>
  <c r="C3965" i="140"/>
  <c r="C3964" i="140"/>
  <c r="C3963" i="140"/>
  <c r="C3962" i="140"/>
  <c r="C3961" i="140"/>
  <c r="C3960" i="140"/>
  <c r="C3959" i="140"/>
  <c r="C3958" i="140"/>
  <c r="C3957" i="140"/>
  <c r="C3956" i="140"/>
  <c r="C3955" i="140"/>
  <c r="C3954" i="140"/>
  <c r="C3953" i="140"/>
  <c r="C3952" i="140"/>
  <c r="C3951" i="140"/>
  <c r="C3950" i="140"/>
  <c r="C3949" i="140"/>
  <c r="C3948" i="140"/>
  <c r="C3947" i="140"/>
  <c r="C3946" i="140"/>
  <c r="C3945" i="140"/>
  <c r="C3944" i="140"/>
  <c r="C3943" i="140"/>
  <c r="C3942" i="140"/>
  <c r="C3941" i="140"/>
  <c r="C3940" i="140"/>
  <c r="C3939" i="140"/>
  <c r="C3938" i="140"/>
  <c r="C3937" i="140"/>
  <c r="C3936" i="140"/>
  <c r="C3935" i="140"/>
  <c r="C3934" i="140"/>
  <c r="C3933" i="140"/>
  <c r="C3932" i="140"/>
  <c r="C3931" i="140"/>
  <c r="C3930" i="140"/>
  <c r="C3929" i="140"/>
  <c r="C3928" i="140"/>
  <c r="C3927" i="140"/>
  <c r="C3926" i="140"/>
  <c r="C3925" i="140"/>
  <c r="C3924" i="140"/>
  <c r="C3923" i="140"/>
  <c r="C3922" i="140"/>
  <c r="C3921" i="140"/>
  <c r="C3920" i="140"/>
  <c r="C3919" i="140"/>
  <c r="C3918" i="140"/>
  <c r="C3917" i="140"/>
  <c r="C3916" i="140"/>
  <c r="C3915" i="140"/>
  <c r="C3914" i="140"/>
  <c r="C3913" i="140"/>
  <c r="C3912" i="140"/>
  <c r="C3911" i="140"/>
  <c r="C3910" i="140"/>
  <c r="C3909" i="140"/>
  <c r="C3908" i="140"/>
  <c r="C3907" i="140"/>
  <c r="C3906" i="140"/>
  <c r="C3905" i="140"/>
  <c r="C3904" i="140"/>
  <c r="C3903" i="140"/>
  <c r="C3902" i="140"/>
  <c r="C3901" i="140"/>
  <c r="C3900" i="140"/>
  <c r="C3899" i="140"/>
  <c r="C3898" i="140"/>
  <c r="C3897" i="140"/>
  <c r="C3896" i="140"/>
  <c r="C3895" i="140"/>
  <c r="C3894" i="140"/>
  <c r="C3893" i="140"/>
  <c r="C3892" i="140"/>
  <c r="C3891" i="140"/>
  <c r="C3890" i="140"/>
  <c r="C3889" i="140"/>
  <c r="C3888" i="140"/>
  <c r="C3887" i="140"/>
  <c r="C3886" i="140"/>
  <c r="C3885" i="140"/>
  <c r="C3884" i="140"/>
  <c r="C3883" i="140"/>
  <c r="C3882" i="140"/>
  <c r="C3881" i="140"/>
  <c r="C3880" i="140"/>
  <c r="C3879" i="140"/>
  <c r="C3878" i="140"/>
  <c r="C3877" i="140"/>
  <c r="C3876" i="140"/>
  <c r="C3875" i="140"/>
  <c r="C3874" i="140"/>
  <c r="C3873" i="140"/>
  <c r="C3872" i="140"/>
  <c r="C3871" i="140"/>
  <c r="C3870" i="140"/>
  <c r="C3869" i="140"/>
  <c r="C3868" i="140"/>
  <c r="C3867" i="140"/>
  <c r="C3866" i="140"/>
  <c r="C3865" i="140"/>
  <c r="C3864" i="140"/>
  <c r="C3863" i="140"/>
  <c r="C3862" i="140"/>
  <c r="C3861" i="140"/>
  <c r="C3860" i="140"/>
  <c r="C3859" i="140"/>
  <c r="C3858" i="140"/>
  <c r="C3857" i="140"/>
  <c r="C3856" i="140"/>
  <c r="C3855" i="140"/>
  <c r="C3854" i="140"/>
  <c r="C3853" i="140"/>
  <c r="C3852" i="140"/>
  <c r="C3851" i="140"/>
  <c r="C3850" i="140"/>
  <c r="C3849" i="140"/>
  <c r="C3848" i="140"/>
  <c r="C3847" i="140"/>
  <c r="C3846" i="140"/>
  <c r="C3845" i="140"/>
  <c r="C3844" i="140"/>
  <c r="C3843" i="140"/>
  <c r="C3842" i="140"/>
  <c r="C3841" i="140"/>
  <c r="C3840" i="140"/>
  <c r="C3839" i="140"/>
  <c r="C3838" i="140"/>
  <c r="C3837" i="140"/>
  <c r="C3836" i="140"/>
  <c r="C3835" i="140"/>
  <c r="C3834" i="140"/>
  <c r="C3833" i="140"/>
  <c r="C3832" i="140"/>
  <c r="C3831" i="140"/>
  <c r="C3830" i="140"/>
  <c r="C3829" i="140"/>
  <c r="C3828" i="140"/>
  <c r="C3827" i="140"/>
  <c r="C3826" i="140"/>
  <c r="C3825" i="140"/>
  <c r="C3824" i="140"/>
  <c r="C3823" i="140"/>
  <c r="C3822" i="140"/>
  <c r="C3821" i="140"/>
  <c r="C3820" i="140"/>
  <c r="C3819" i="140"/>
  <c r="C3818" i="140"/>
  <c r="C3817" i="140"/>
  <c r="C3816" i="140"/>
  <c r="C3815" i="140"/>
  <c r="C3814" i="140"/>
  <c r="C3813" i="140"/>
  <c r="C3812" i="140"/>
  <c r="C3811" i="140"/>
  <c r="C3810" i="140"/>
  <c r="C3809" i="140"/>
  <c r="C3808" i="140"/>
  <c r="C3807" i="140"/>
  <c r="C3806" i="140"/>
  <c r="C3805" i="140"/>
  <c r="C3804" i="140"/>
  <c r="C3803" i="140"/>
  <c r="C3802" i="140"/>
  <c r="C3801" i="140"/>
  <c r="C3800" i="140"/>
  <c r="C3799" i="140"/>
  <c r="C3798" i="140"/>
  <c r="C3797" i="140"/>
  <c r="C3796" i="140"/>
  <c r="C3795" i="140"/>
  <c r="C3794" i="140"/>
  <c r="C3793" i="140"/>
  <c r="C3792" i="140"/>
  <c r="C3791" i="140"/>
  <c r="C3790" i="140"/>
  <c r="C3789" i="140"/>
  <c r="C3788" i="140"/>
  <c r="C3787" i="140"/>
  <c r="C3786" i="140"/>
  <c r="C3785" i="140"/>
  <c r="C3784" i="140"/>
  <c r="C3783" i="140"/>
  <c r="C3782" i="140"/>
  <c r="C3781" i="140"/>
  <c r="C3780" i="140"/>
  <c r="C3779" i="140"/>
  <c r="C3778" i="140"/>
  <c r="C3777" i="140"/>
  <c r="C3776" i="140"/>
  <c r="C3775" i="140"/>
  <c r="C3774" i="140"/>
  <c r="C3773" i="140"/>
  <c r="C3772" i="140"/>
  <c r="C3771" i="140"/>
  <c r="C3770" i="140"/>
  <c r="C3769" i="140"/>
  <c r="C3768" i="140"/>
  <c r="C3767" i="140"/>
  <c r="C3766" i="140"/>
  <c r="C3765" i="140"/>
  <c r="C3764" i="140"/>
  <c r="C3763" i="140"/>
  <c r="C3762" i="140"/>
  <c r="C3761" i="140"/>
  <c r="C3760" i="140"/>
  <c r="C3759" i="140"/>
  <c r="C3758" i="140"/>
  <c r="C3757" i="140"/>
  <c r="C3756" i="140"/>
  <c r="C3755" i="140"/>
  <c r="C3754" i="140"/>
  <c r="C3753" i="140"/>
  <c r="C3752" i="140"/>
  <c r="C3751" i="140"/>
  <c r="C3750" i="140"/>
  <c r="C3749" i="140"/>
  <c r="C3748" i="140"/>
  <c r="C3747" i="140"/>
  <c r="C3746" i="140"/>
  <c r="C3745" i="140"/>
  <c r="C3744" i="140"/>
  <c r="C3743" i="140"/>
  <c r="C3742" i="140"/>
  <c r="C3741" i="140"/>
  <c r="C3740" i="140"/>
  <c r="C3739" i="140"/>
  <c r="C3738" i="140"/>
  <c r="C3737" i="140"/>
  <c r="C3736" i="140"/>
  <c r="C3735" i="140"/>
  <c r="C3734" i="140"/>
  <c r="C3733" i="140"/>
  <c r="C3732" i="140"/>
  <c r="C3731" i="140"/>
  <c r="C3730" i="140"/>
  <c r="C3729" i="140"/>
  <c r="C3728" i="140"/>
  <c r="C3727" i="140"/>
  <c r="C3726" i="140"/>
  <c r="C3725" i="140"/>
  <c r="C3724" i="140"/>
  <c r="C3723" i="140"/>
  <c r="C3722" i="140"/>
  <c r="C3721" i="140"/>
  <c r="C3720" i="140"/>
  <c r="C3719" i="140"/>
  <c r="C3718" i="140"/>
  <c r="C3717" i="140"/>
  <c r="C3716" i="140"/>
  <c r="C3715" i="140"/>
  <c r="C3714" i="140"/>
  <c r="C3713" i="140"/>
  <c r="C3712" i="140"/>
  <c r="C3711" i="140"/>
  <c r="C3710" i="140"/>
  <c r="C3709" i="140"/>
  <c r="C3708" i="140"/>
  <c r="C3707" i="140"/>
  <c r="C3706" i="140"/>
  <c r="C3705" i="140"/>
  <c r="C3704" i="140"/>
  <c r="C3703" i="140"/>
  <c r="C3702" i="140"/>
  <c r="C3701" i="140"/>
  <c r="C3700" i="140"/>
  <c r="C3699" i="140"/>
  <c r="C3698" i="140"/>
  <c r="C3697" i="140"/>
  <c r="C3696" i="140"/>
  <c r="C3695" i="140"/>
  <c r="C3694" i="140"/>
  <c r="C3693" i="140"/>
  <c r="C3692" i="140"/>
  <c r="C3691" i="140"/>
  <c r="C3690" i="140"/>
  <c r="C3689" i="140"/>
  <c r="C3688" i="140"/>
  <c r="C3687" i="140"/>
  <c r="C3686" i="140"/>
  <c r="C3685" i="140"/>
  <c r="C3684" i="140"/>
  <c r="C3683" i="140"/>
  <c r="C3682" i="140"/>
  <c r="C3681" i="140"/>
  <c r="C3680" i="140"/>
  <c r="C3679" i="140"/>
  <c r="C3678" i="140"/>
  <c r="C3677" i="140"/>
  <c r="C3676" i="140"/>
  <c r="C3675" i="140"/>
  <c r="C3674" i="140"/>
  <c r="C3673" i="140"/>
  <c r="C3672" i="140"/>
  <c r="C3671" i="140"/>
  <c r="C3670" i="140"/>
  <c r="C3669" i="140"/>
  <c r="C3668" i="140"/>
  <c r="C3667" i="140"/>
  <c r="C3666" i="140"/>
  <c r="C3665" i="140"/>
  <c r="C3664" i="140"/>
  <c r="C3663" i="140"/>
  <c r="C3662" i="140"/>
  <c r="C3661" i="140"/>
  <c r="C3660" i="140"/>
  <c r="C3659" i="140"/>
  <c r="C3658" i="140"/>
  <c r="C3657" i="140"/>
  <c r="C3656" i="140"/>
  <c r="C3655" i="140"/>
  <c r="C3654" i="140"/>
  <c r="C3653" i="140"/>
  <c r="C3652" i="140"/>
  <c r="C3651" i="140"/>
  <c r="C3650" i="140"/>
  <c r="C3649" i="140"/>
  <c r="C3648" i="140"/>
  <c r="C3647" i="140"/>
  <c r="C3646" i="140"/>
  <c r="C3645" i="140"/>
  <c r="C3644" i="140"/>
  <c r="C3643" i="140"/>
  <c r="C3642" i="140"/>
  <c r="C3641" i="140"/>
  <c r="C3640" i="140"/>
  <c r="C3639" i="140"/>
  <c r="C3638" i="140"/>
  <c r="C3637" i="140"/>
  <c r="C3636" i="140"/>
  <c r="C3635" i="140"/>
  <c r="C3634" i="140"/>
  <c r="C3633" i="140"/>
  <c r="C3632" i="140"/>
  <c r="C3631" i="140"/>
  <c r="C3630" i="140"/>
  <c r="C3629" i="140"/>
  <c r="C3628" i="140"/>
  <c r="C3627" i="140"/>
  <c r="C3626" i="140"/>
  <c r="C3625" i="140"/>
  <c r="C3624" i="140"/>
  <c r="C3623" i="140"/>
  <c r="C3622" i="140"/>
  <c r="C3621" i="140"/>
  <c r="C3620" i="140"/>
  <c r="C3619" i="140"/>
  <c r="C3618" i="140"/>
  <c r="C3617" i="140"/>
  <c r="C3616" i="140"/>
  <c r="C3615" i="140"/>
  <c r="C3614" i="140"/>
  <c r="C3613" i="140"/>
  <c r="C3612" i="140"/>
  <c r="C3611" i="140"/>
  <c r="C3610" i="140"/>
  <c r="C3609" i="140"/>
  <c r="C3608" i="140"/>
  <c r="C3607" i="140"/>
  <c r="C3606" i="140"/>
  <c r="C3605" i="140"/>
  <c r="C3604" i="140"/>
  <c r="C3603" i="140"/>
  <c r="C3602" i="140"/>
  <c r="C3601" i="140"/>
  <c r="C3600" i="140"/>
  <c r="C3599" i="140"/>
  <c r="C3598" i="140"/>
  <c r="C3597" i="140"/>
  <c r="C3596" i="140"/>
  <c r="C3595" i="140"/>
  <c r="C3594" i="140"/>
  <c r="C3593" i="140"/>
  <c r="C3592" i="140"/>
  <c r="C3591" i="140"/>
  <c r="C3590" i="140"/>
  <c r="C3589" i="140"/>
  <c r="C3588" i="140"/>
  <c r="C3587" i="140"/>
  <c r="C3586" i="140"/>
  <c r="C3585" i="140"/>
  <c r="C3584" i="140"/>
  <c r="C3583" i="140"/>
  <c r="C3582" i="140"/>
  <c r="C3581" i="140"/>
  <c r="C3580" i="140"/>
  <c r="C3579" i="140"/>
  <c r="C3578" i="140"/>
  <c r="C3577" i="140"/>
  <c r="C3576" i="140"/>
  <c r="C3575" i="140"/>
  <c r="C3574" i="140"/>
  <c r="C3573" i="140"/>
  <c r="C3572" i="140"/>
  <c r="C3571" i="140"/>
  <c r="C3570" i="140"/>
  <c r="C3569" i="140"/>
  <c r="C3568" i="140"/>
  <c r="C3567" i="140"/>
  <c r="C3566" i="140"/>
  <c r="C3565" i="140"/>
  <c r="C3564" i="140"/>
  <c r="C3563" i="140"/>
  <c r="C3562" i="140"/>
  <c r="C3561" i="140"/>
  <c r="C3560" i="140"/>
  <c r="C3559" i="140"/>
  <c r="C3558" i="140"/>
  <c r="C3557" i="140"/>
  <c r="C3556" i="140"/>
  <c r="C3555" i="140"/>
  <c r="C3554" i="140"/>
  <c r="C3553" i="140"/>
  <c r="C3552" i="140"/>
  <c r="C3551" i="140"/>
  <c r="C3550" i="140"/>
  <c r="C3549" i="140"/>
  <c r="C3548" i="140"/>
  <c r="C3547" i="140"/>
  <c r="C3546" i="140"/>
  <c r="C3545" i="140"/>
  <c r="C3544" i="140"/>
  <c r="C3543" i="140"/>
  <c r="C3542" i="140"/>
  <c r="C3541" i="140"/>
  <c r="C3540" i="140"/>
  <c r="C3539" i="140"/>
  <c r="C3538" i="140"/>
  <c r="C3537" i="140"/>
  <c r="C3536" i="140"/>
  <c r="C3535" i="140"/>
  <c r="C3534" i="140"/>
  <c r="C3533" i="140"/>
  <c r="C3532" i="140"/>
  <c r="C3531" i="140"/>
  <c r="C3530" i="140"/>
  <c r="C3529" i="140"/>
  <c r="C3528" i="140"/>
  <c r="C3527" i="140"/>
  <c r="C3526" i="140"/>
  <c r="C3525" i="140"/>
  <c r="C3524" i="140"/>
  <c r="C3523" i="140"/>
  <c r="C3522" i="140"/>
  <c r="C3521" i="140"/>
  <c r="C3520" i="140"/>
  <c r="C3519" i="140"/>
  <c r="C3518" i="140"/>
  <c r="C3517" i="140"/>
  <c r="C3516" i="140"/>
  <c r="C3515" i="140"/>
  <c r="C3514" i="140"/>
  <c r="C3513" i="140"/>
  <c r="C3512" i="140"/>
  <c r="C3511" i="140"/>
  <c r="C3510" i="140"/>
  <c r="C3509" i="140"/>
  <c r="C3508" i="140"/>
  <c r="C3507" i="140"/>
  <c r="C3506" i="140"/>
  <c r="C3505" i="140"/>
  <c r="C3504" i="140"/>
  <c r="C3503" i="140"/>
  <c r="C3502" i="140"/>
  <c r="C3501" i="140"/>
  <c r="C3500" i="140"/>
  <c r="C3499" i="140"/>
  <c r="C3498" i="140"/>
  <c r="C3497" i="140"/>
  <c r="C3496" i="140"/>
  <c r="C3495" i="140"/>
  <c r="C3494" i="140"/>
  <c r="C3493" i="140"/>
  <c r="C3492" i="140"/>
  <c r="C3491" i="140"/>
  <c r="C3490" i="140"/>
  <c r="C3489" i="140"/>
  <c r="C3488" i="140"/>
  <c r="C3487" i="140"/>
  <c r="C3486" i="140"/>
  <c r="C3485" i="140"/>
  <c r="C3484" i="140"/>
  <c r="C3483" i="140"/>
  <c r="C3482" i="140"/>
  <c r="C3481" i="140"/>
  <c r="C3480" i="140"/>
  <c r="C3479" i="140"/>
  <c r="C3478" i="140"/>
  <c r="C3477" i="140"/>
  <c r="C3476" i="140"/>
  <c r="C3475" i="140"/>
  <c r="C3474" i="140"/>
  <c r="C3473" i="140"/>
  <c r="C3472" i="140"/>
  <c r="C3471" i="140"/>
  <c r="C3470" i="140"/>
  <c r="C3469" i="140"/>
  <c r="C3468" i="140"/>
  <c r="C3467" i="140"/>
  <c r="C3466" i="140"/>
  <c r="C3465" i="140"/>
  <c r="C3464" i="140"/>
  <c r="C3463" i="140"/>
  <c r="C3462" i="140"/>
  <c r="C3461" i="140"/>
  <c r="C3460" i="140"/>
  <c r="C3459" i="140"/>
  <c r="C3458" i="140"/>
  <c r="C3457" i="140"/>
  <c r="C3456" i="140"/>
  <c r="C3455" i="140"/>
  <c r="C3454" i="140"/>
  <c r="C3453" i="140"/>
  <c r="C3452" i="140"/>
  <c r="C3451" i="140"/>
  <c r="C3450" i="140"/>
  <c r="C3449" i="140"/>
  <c r="C3448" i="140"/>
  <c r="C3447" i="140"/>
  <c r="C3446" i="140"/>
  <c r="C3445" i="140"/>
  <c r="C3444" i="140"/>
  <c r="C3443" i="140"/>
  <c r="C3442" i="140"/>
  <c r="C3441" i="140"/>
  <c r="C3440" i="140"/>
  <c r="C3439" i="140"/>
  <c r="C3438" i="140"/>
  <c r="C3437" i="140"/>
  <c r="C3436" i="140"/>
  <c r="C3435" i="140"/>
  <c r="C3434" i="140"/>
  <c r="C3433" i="140"/>
  <c r="C3432" i="140"/>
  <c r="C3431" i="140"/>
  <c r="C3430" i="140"/>
  <c r="C3429" i="140"/>
  <c r="C3428" i="140"/>
  <c r="C3427" i="140"/>
  <c r="C3426" i="140"/>
  <c r="C3425" i="140"/>
  <c r="C3424" i="140"/>
  <c r="C3423" i="140"/>
  <c r="C3422" i="140"/>
  <c r="C3421" i="140"/>
  <c r="C3420" i="140"/>
  <c r="C3419" i="140"/>
  <c r="C3418" i="140"/>
  <c r="C3417" i="140"/>
  <c r="C3416" i="140"/>
  <c r="C3415" i="140"/>
  <c r="C3414" i="140"/>
  <c r="C3413" i="140"/>
  <c r="C3412" i="140"/>
  <c r="C3411" i="140"/>
  <c r="C3410" i="140"/>
  <c r="C3409" i="140"/>
  <c r="C3408" i="140"/>
  <c r="C3407" i="140"/>
  <c r="C3406" i="140"/>
  <c r="C3405" i="140"/>
  <c r="C3404" i="140"/>
  <c r="C3403" i="140"/>
  <c r="C3402" i="140"/>
  <c r="C3401" i="140"/>
  <c r="C3400" i="140"/>
  <c r="C3399" i="140"/>
  <c r="C3398" i="140"/>
  <c r="C3397" i="140"/>
  <c r="C3396" i="140"/>
  <c r="C3395" i="140"/>
  <c r="C3394" i="140"/>
  <c r="C3393" i="140"/>
  <c r="C3392" i="140"/>
  <c r="C3391" i="140"/>
  <c r="C3390" i="140"/>
  <c r="C3389" i="140"/>
  <c r="C3388" i="140"/>
  <c r="C3387" i="140"/>
  <c r="C3386" i="140"/>
  <c r="C3385" i="140"/>
  <c r="C3384" i="140"/>
  <c r="C3383" i="140"/>
  <c r="C3382" i="140"/>
  <c r="C3381" i="140"/>
  <c r="C3380" i="140"/>
  <c r="C3379" i="140"/>
  <c r="C3378" i="140"/>
  <c r="C3377" i="140"/>
  <c r="C3376" i="140"/>
  <c r="C3375" i="140"/>
  <c r="C3374" i="140"/>
  <c r="C3373" i="140"/>
  <c r="C3372" i="140"/>
  <c r="C3371" i="140"/>
  <c r="C3370" i="140"/>
  <c r="C3369" i="140"/>
  <c r="C3368" i="140"/>
  <c r="C3367" i="140"/>
  <c r="C3366" i="140"/>
  <c r="C3365" i="140"/>
  <c r="C3364" i="140"/>
  <c r="C3363" i="140"/>
  <c r="C3362" i="140"/>
  <c r="C3361" i="140"/>
  <c r="C3360" i="140"/>
  <c r="C3359" i="140"/>
  <c r="C3358" i="140"/>
  <c r="C3357" i="140"/>
  <c r="C3356" i="140"/>
  <c r="C3355" i="140"/>
  <c r="C3354" i="140"/>
  <c r="C3353" i="140"/>
  <c r="C3352" i="140"/>
  <c r="C3351" i="140"/>
  <c r="C3350" i="140"/>
  <c r="C3349" i="140"/>
  <c r="C3348" i="140"/>
  <c r="C3347" i="140"/>
  <c r="C3346" i="140"/>
  <c r="C3345" i="140"/>
  <c r="C3344" i="140"/>
  <c r="C3343" i="140"/>
  <c r="C3342" i="140"/>
  <c r="C3341" i="140"/>
  <c r="C3340" i="140"/>
  <c r="C3339" i="140"/>
  <c r="C3338" i="140"/>
  <c r="C3337" i="140"/>
  <c r="C3336" i="140"/>
  <c r="C3335" i="140"/>
  <c r="C3334" i="140"/>
  <c r="C3333" i="140"/>
  <c r="C3332" i="140"/>
  <c r="C3331" i="140"/>
  <c r="C3330" i="140"/>
  <c r="C3329" i="140"/>
  <c r="C3328" i="140"/>
  <c r="C3327" i="140"/>
  <c r="C3326" i="140"/>
  <c r="C3325" i="140"/>
  <c r="C3324" i="140"/>
  <c r="C3323" i="140"/>
  <c r="C3322" i="140"/>
  <c r="C3321" i="140"/>
  <c r="C3320" i="140"/>
  <c r="C3319" i="140"/>
  <c r="C3318" i="140"/>
  <c r="C3317" i="140"/>
  <c r="C3316" i="140"/>
  <c r="C3315" i="140"/>
  <c r="C3314" i="140"/>
  <c r="C3313" i="140"/>
  <c r="C3312" i="140"/>
  <c r="C3311" i="140"/>
  <c r="C3310" i="140"/>
  <c r="C3309" i="140"/>
  <c r="C3308" i="140"/>
  <c r="C3307" i="140"/>
  <c r="C3306" i="140"/>
  <c r="C3305" i="140"/>
  <c r="C3304" i="140"/>
  <c r="C3303" i="140"/>
  <c r="C3302" i="140"/>
  <c r="C3301" i="140"/>
  <c r="C3300" i="140"/>
  <c r="C3299" i="140"/>
  <c r="C3298" i="140"/>
  <c r="C3297" i="140"/>
  <c r="C3296" i="140"/>
  <c r="C3295" i="140"/>
  <c r="C3294" i="140"/>
  <c r="C3293" i="140"/>
  <c r="C3292" i="140"/>
  <c r="C3291" i="140"/>
  <c r="C3290" i="140"/>
  <c r="C3289" i="140"/>
  <c r="C3288" i="140"/>
  <c r="C3287" i="140"/>
  <c r="C3286" i="140"/>
  <c r="C3285" i="140"/>
  <c r="C3284" i="140"/>
  <c r="C3283" i="140"/>
  <c r="C3282" i="140"/>
  <c r="C3281" i="140"/>
  <c r="C3280" i="140"/>
  <c r="C3279" i="140"/>
  <c r="C3278" i="140"/>
  <c r="C3277" i="140"/>
  <c r="C3276" i="140"/>
  <c r="C3275" i="140"/>
  <c r="C3274" i="140"/>
  <c r="C3273" i="140"/>
  <c r="C3272" i="140"/>
  <c r="C3271" i="140"/>
  <c r="C3270" i="140"/>
  <c r="C3269" i="140"/>
  <c r="C3268" i="140"/>
  <c r="C3267" i="140"/>
  <c r="C3266" i="140"/>
  <c r="C3265" i="140"/>
  <c r="C3264" i="140"/>
  <c r="C3263" i="140"/>
  <c r="C3262" i="140"/>
  <c r="C3261" i="140"/>
  <c r="C3260" i="140"/>
  <c r="C3259" i="140"/>
  <c r="C3258" i="140"/>
  <c r="C3257" i="140"/>
  <c r="C3256" i="140"/>
  <c r="C3255" i="140"/>
  <c r="C3254" i="140"/>
  <c r="C3253" i="140"/>
  <c r="C3252" i="140"/>
  <c r="C3251" i="140"/>
  <c r="C3250" i="140"/>
  <c r="C3249" i="140"/>
  <c r="C3248" i="140"/>
  <c r="C3247" i="140"/>
  <c r="C3246" i="140"/>
  <c r="C3245" i="140"/>
  <c r="C3244" i="140"/>
  <c r="C3243" i="140"/>
  <c r="C3242" i="140"/>
  <c r="C3241" i="140"/>
  <c r="C3240" i="140"/>
  <c r="C3239" i="140"/>
  <c r="C3238" i="140"/>
  <c r="C3237" i="140"/>
  <c r="C3236" i="140"/>
  <c r="C3235" i="140"/>
  <c r="C3234" i="140"/>
  <c r="C3233" i="140"/>
  <c r="C3232" i="140"/>
  <c r="C3231" i="140"/>
  <c r="C3230" i="140"/>
  <c r="C3229" i="140"/>
  <c r="C3228" i="140"/>
  <c r="C3227" i="140"/>
  <c r="C3226" i="140"/>
  <c r="C3225" i="140"/>
  <c r="C3224" i="140"/>
  <c r="C3223" i="140"/>
  <c r="C3222" i="140"/>
  <c r="C3221" i="140"/>
  <c r="C3220" i="140"/>
  <c r="C3219" i="140"/>
  <c r="C3218" i="140"/>
  <c r="C3217" i="140"/>
  <c r="C3216" i="140"/>
  <c r="C3215" i="140"/>
  <c r="C3214" i="140"/>
  <c r="C3213" i="140"/>
  <c r="C3212" i="140"/>
  <c r="C3211" i="140"/>
  <c r="C3210" i="140"/>
  <c r="C3209" i="140"/>
  <c r="C3208" i="140"/>
  <c r="C3207" i="140"/>
  <c r="C3206" i="140"/>
  <c r="C3205" i="140"/>
  <c r="C3204" i="140"/>
  <c r="C3203" i="140"/>
  <c r="C3202" i="140"/>
  <c r="C3201" i="140"/>
  <c r="C3200" i="140"/>
  <c r="C3199" i="140"/>
  <c r="C3198" i="140"/>
  <c r="C3197" i="140"/>
  <c r="C3196" i="140"/>
  <c r="C3195" i="140"/>
  <c r="C3194" i="140"/>
  <c r="C3193" i="140"/>
  <c r="C3192" i="140"/>
  <c r="C3191" i="140"/>
  <c r="C3190" i="140"/>
  <c r="C3189" i="140"/>
  <c r="C3188" i="140"/>
  <c r="C3187" i="140"/>
  <c r="C3186" i="140"/>
  <c r="C3185" i="140"/>
  <c r="C3184" i="140"/>
  <c r="C3183" i="140"/>
  <c r="C3182" i="140"/>
  <c r="C3181" i="140"/>
  <c r="C3180" i="140"/>
  <c r="C3179" i="140"/>
  <c r="C3178" i="140"/>
  <c r="C3177" i="140"/>
  <c r="C3176" i="140"/>
  <c r="C3175" i="140"/>
  <c r="C3174" i="140"/>
  <c r="C3173" i="140"/>
  <c r="C3172" i="140"/>
  <c r="C3171" i="140"/>
  <c r="C3170" i="140"/>
  <c r="C3169" i="140"/>
  <c r="C3168" i="140"/>
  <c r="C3167" i="140"/>
  <c r="C3166" i="140"/>
  <c r="C3165" i="140"/>
  <c r="C3164" i="140"/>
  <c r="C3163" i="140"/>
  <c r="C3162" i="140"/>
  <c r="C3161" i="140"/>
  <c r="C3160" i="140"/>
  <c r="C3159" i="140"/>
  <c r="C3158" i="140"/>
  <c r="C3157" i="140"/>
  <c r="C3156" i="140"/>
  <c r="C3155" i="140"/>
  <c r="C3154" i="140"/>
  <c r="C3153" i="140"/>
  <c r="C3152" i="140"/>
  <c r="C3151" i="140"/>
  <c r="C3150" i="140"/>
  <c r="C3149" i="140"/>
  <c r="C3148" i="140"/>
  <c r="C3147" i="140"/>
  <c r="C3146" i="140"/>
  <c r="C3145" i="140"/>
  <c r="C3144" i="140"/>
  <c r="C3143" i="140"/>
  <c r="C3142" i="140"/>
  <c r="C3141" i="140"/>
  <c r="C3140" i="140"/>
  <c r="C3139" i="140"/>
  <c r="C3138" i="140"/>
  <c r="C3137" i="140"/>
  <c r="C3136" i="140"/>
  <c r="C3135" i="140"/>
  <c r="C3134" i="140"/>
  <c r="C3133" i="140"/>
  <c r="C3132" i="140"/>
  <c r="C3131" i="140"/>
  <c r="C3130" i="140"/>
  <c r="C3129" i="140"/>
  <c r="C3128" i="140"/>
  <c r="C3127" i="140"/>
  <c r="C3126" i="140"/>
  <c r="C3125" i="140"/>
  <c r="C3124" i="140"/>
  <c r="C3123" i="140"/>
  <c r="C3122" i="140"/>
  <c r="C3121" i="140"/>
  <c r="C3120" i="140"/>
  <c r="C3119" i="140"/>
  <c r="C3118" i="140"/>
  <c r="C3117" i="140"/>
  <c r="C3116" i="140"/>
  <c r="C3115" i="140"/>
  <c r="C3114" i="140"/>
  <c r="C3113" i="140"/>
  <c r="C3112" i="140"/>
  <c r="C3111" i="140"/>
  <c r="C3110" i="140"/>
  <c r="C3109" i="140"/>
  <c r="C3108" i="140"/>
  <c r="C3107" i="140"/>
  <c r="C3106" i="140"/>
  <c r="C3105" i="140"/>
  <c r="C3104" i="140"/>
  <c r="C3103" i="140"/>
  <c r="C3102" i="140"/>
  <c r="C3101" i="140"/>
  <c r="C3100" i="140"/>
  <c r="C3099" i="140"/>
  <c r="C3098" i="140"/>
  <c r="C3097" i="140"/>
  <c r="C3096" i="140"/>
  <c r="C3095" i="140"/>
  <c r="C3094" i="140"/>
  <c r="C3093" i="140"/>
  <c r="C3092" i="140"/>
  <c r="C3091" i="140"/>
  <c r="C3090" i="140"/>
  <c r="C3089" i="140"/>
  <c r="C3088" i="140"/>
  <c r="C3087" i="140"/>
  <c r="C3086" i="140"/>
  <c r="C3085" i="140"/>
  <c r="C3084" i="140"/>
  <c r="C3083" i="140"/>
  <c r="C3082" i="140"/>
  <c r="C3081" i="140"/>
  <c r="C3080" i="140"/>
  <c r="C3079" i="140"/>
  <c r="C3078" i="140"/>
  <c r="C3077" i="140"/>
  <c r="C3076" i="140"/>
  <c r="C3075" i="140"/>
  <c r="C3074" i="140"/>
  <c r="C3073" i="140"/>
  <c r="C3072" i="140"/>
  <c r="C3071" i="140"/>
  <c r="C3070" i="140"/>
  <c r="C3069" i="140"/>
  <c r="C3068" i="140"/>
  <c r="C3067" i="140"/>
  <c r="C3066" i="140"/>
  <c r="C3065" i="140"/>
  <c r="C3064" i="140"/>
  <c r="C3063" i="140"/>
  <c r="C3062" i="140"/>
  <c r="C3061" i="140"/>
  <c r="C3060" i="140"/>
  <c r="C3059" i="140"/>
  <c r="C3058" i="140"/>
  <c r="C3057" i="140"/>
  <c r="C3056" i="140"/>
  <c r="C3055" i="140"/>
  <c r="C3054" i="140"/>
  <c r="C3053" i="140"/>
  <c r="C3052" i="140"/>
  <c r="C3051" i="140"/>
  <c r="C3050" i="140"/>
  <c r="C3049" i="140"/>
  <c r="C3048" i="140"/>
  <c r="C3047" i="140"/>
  <c r="C3046" i="140"/>
  <c r="C3045" i="140"/>
  <c r="C3044" i="140"/>
  <c r="C3043" i="140"/>
  <c r="C3042" i="140"/>
  <c r="C3041" i="140"/>
  <c r="C3040" i="140"/>
  <c r="C3039" i="140"/>
  <c r="C3038" i="140"/>
  <c r="C3037" i="140"/>
  <c r="C3036" i="140"/>
  <c r="C3035" i="140"/>
  <c r="C3034" i="140"/>
  <c r="C3033" i="140"/>
  <c r="C3032" i="140"/>
  <c r="C3031" i="140"/>
  <c r="C3030" i="140"/>
  <c r="C3029" i="140"/>
  <c r="C3028" i="140"/>
  <c r="C3027" i="140"/>
  <c r="C3026" i="140"/>
  <c r="C3025" i="140"/>
  <c r="C3024" i="140"/>
  <c r="C3023" i="140"/>
  <c r="C3022" i="140"/>
  <c r="C3021" i="140"/>
  <c r="C3020" i="140"/>
  <c r="C3019" i="140"/>
  <c r="C3018" i="140"/>
  <c r="C3017" i="140"/>
  <c r="C3016" i="140"/>
  <c r="C3015" i="140"/>
  <c r="C3014" i="140"/>
  <c r="C3013" i="140"/>
  <c r="C3012" i="140"/>
  <c r="C3011" i="140"/>
  <c r="C3010" i="140"/>
  <c r="C3009" i="140"/>
  <c r="C3008" i="140"/>
  <c r="C3007" i="140"/>
  <c r="C3006" i="140"/>
  <c r="C3005" i="140"/>
  <c r="C3004" i="140"/>
  <c r="C3003" i="140"/>
  <c r="C3002" i="140"/>
  <c r="C3001" i="140"/>
  <c r="C3000" i="140"/>
  <c r="C2999" i="140"/>
  <c r="C2998" i="140"/>
  <c r="C2997" i="140"/>
  <c r="C2996" i="140"/>
  <c r="C2995" i="140"/>
  <c r="C2994" i="140"/>
  <c r="C2993" i="140"/>
  <c r="C2992" i="140"/>
  <c r="C2991" i="140"/>
  <c r="C2990" i="140"/>
  <c r="C2989" i="140"/>
  <c r="C2988" i="140"/>
  <c r="C2987" i="140"/>
  <c r="C2986" i="140"/>
  <c r="C2985" i="140"/>
  <c r="C2984" i="140"/>
  <c r="C2983" i="140"/>
  <c r="C2982" i="140"/>
  <c r="C2981" i="140"/>
  <c r="C2980" i="140"/>
  <c r="C2979" i="140"/>
  <c r="C2978" i="140"/>
  <c r="C2977" i="140"/>
  <c r="C2976" i="140"/>
  <c r="C2975" i="140"/>
  <c r="C2974" i="140"/>
  <c r="C2973" i="140"/>
  <c r="C2972" i="140"/>
  <c r="C2971" i="140"/>
  <c r="C2970" i="140"/>
  <c r="C2969" i="140"/>
  <c r="C2968" i="140"/>
  <c r="C2967" i="140"/>
  <c r="C2966" i="140"/>
  <c r="C2965" i="140"/>
  <c r="C2964" i="140"/>
  <c r="C2963" i="140"/>
  <c r="C2962" i="140"/>
  <c r="C2961" i="140"/>
  <c r="C2960" i="140"/>
  <c r="C2959" i="140"/>
  <c r="C2958" i="140"/>
  <c r="C2957" i="140"/>
  <c r="C2956" i="140"/>
  <c r="C2955" i="140"/>
  <c r="C2954" i="140"/>
  <c r="C2953" i="140"/>
  <c r="C2952" i="140"/>
  <c r="C2951" i="140"/>
  <c r="C2950" i="140"/>
  <c r="C2949" i="140"/>
  <c r="C2948" i="140"/>
  <c r="C2947" i="140"/>
  <c r="C2946" i="140"/>
  <c r="C2945" i="140"/>
  <c r="C2944" i="140"/>
  <c r="C2943" i="140"/>
  <c r="C2942" i="140"/>
  <c r="C2941" i="140"/>
  <c r="C2940" i="140"/>
  <c r="C2939" i="140"/>
  <c r="C2938" i="140"/>
  <c r="C2937" i="140"/>
  <c r="C2936" i="140"/>
  <c r="C2935" i="140"/>
  <c r="C2934" i="140"/>
  <c r="C2933" i="140"/>
  <c r="C2932" i="140"/>
  <c r="C2931" i="140"/>
  <c r="C2930" i="140"/>
  <c r="C2929" i="140"/>
  <c r="C2928" i="140"/>
  <c r="C2927" i="140"/>
  <c r="C2926" i="140"/>
  <c r="C2925" i="140"/>
  <c r="C2924" i="140"/>
  <c r="C2923" i="140"/>
  <c r="C2922" i="140"/>
  <c r="C2921" i="140"/>
  <c r="C2920" i="140"/>
  <c r="C2919" i="140"/>
  <c r="C2918" i="140"/>
  <c r="C2917" i="140"/>
  <c r="C2916" i="140"/>
  <c r="C2915" i="140"/>
  <c r="C2914" i="140"/>
  <c r="C2913" i="140"/>
  <c r="C2912" i="140"/>
  <c r="C2911" i="140"/>
  <c r="C2910" i="140"/>
  <c r="C2909" i="140"/>
  <c r="C2908" i="140"/>
  <c r="C2907" i="140"/>
  <c r="C2906" i="140"/>
  <c r="C2905" i="140"/>
  <c r="C2904" i="140"/>
  <c r="C2903" i="140"/>
  <c r="C2902" i="140"/>
  <c r="C2901" i="140"/>
  <c r="C2900" i="140"/>
  <c r="C2899" i="140"/>
  <c r="C2898" i="140"/>
  <c r="C2897" i="140"/>
  <c r="C2896" i="140"/>
  <c r="C2895" i="140"/>
  <c r="C2894" i="140"/>
  <c r="C2893" i="140"/>
  <c r="C2892" i="140"/>
  <c r="C2891" i="140"/>
  <c r="C2890" i="140"/>
  <c r="C2889" i="140"/>
  <c r="C2888" i="140"/>
  <c r="C2887" i="140"/>
  <c r="C2886" i="140"/>
  <c r="C2885" i="140"/>
  <c r="C2884" i="140"/>
  <c r="C2883" i="140"/>
  <c r="C2882" i="140"/>
  <c r="C2881" i="140"/>
  <c r="C2880" i="140"/>
  <c r="C2879" i="140"/>
  <c r="C2878" i="140"/>
  <c r="C2877" i="140"/>
  <c r="C2876" i="140"/>
  <c r="C2875" i="140"/>
  <c r="C2874" i="140"/>
  <c r="C2873" i="140"/>
  <c r="C2872" i="140"/>
  <c r="C2871" i="140"/>
  <c r="C2870" i="140"/>
  <c r="C2869" i="140"/>
  <c r="C2868" i="140"/>
  <c r="C2867" i="140"/>
  <c r="C2866" i="140"/>
  <c r="C2865" i="140"/>
  <c r="C2864" i="140"/>
  <c r="C2863" i="140"/>
  <c r="C2862" i="140"/>
  <c r="C2861" i="140"/>
  <c r="C2860" i="140"/>
  <c r="C2859" i="140"/>
  <c r="C2858" i="140"/>
  <c r="C2857" i="140"/>
  <c r="C2856" i="140"/>
  <c r="C2855" i="140"/>
  <c r="C2854" i="140"/>
  <c r="C2853" i="140"/>
  <c r="C2852" i="140"/>
  <c r="C2851" i="140"/>
  <c r="C2850" i="140"/>
  <c r="C2849" i="140"/>
  <c r="C2848" i="140"/>
  <c r="C2847" i="140"/>
  <c r="C2846" i="140"/>
  <c r="C2845" i="140"/>
  <c r="C2844" i="140"/>
  <c r="C2843" i="140"/>
  <c r="C2842" i="140"/>
  <c r="C2841" i="140"/>
  <c r="C2840" i="140"/>
  <c r="C2839" i="140"/>
  <c r="C2838" i="140"/>
  <c r="C2837" i="140"/>
  <c r="C2836" i="140"/>
  <c r="C2835" i="140"/>
  <c r="C2834" i="140"/>
  <c r="C2833" i="140"/>
  <c r="C2832" i="140"/>
  <c r="C2831" i="140"/>
  <c r="C2830" i="140"/>
  <c r="C2829" i="140"/>
  <c r="C2828" i="140"/>
  <c r="C2827" i="140"/>
  <c r="C2826" i="140"/>
  <c r="C2825" i="140"/>
  <c r="C2824" i="140"/>
  <c r="C2823" i="140"/>
  <c r="C2822" i="140"/>
  <c r="C2821" i="140"/>
  <c r="C2820" i="140"/>
  <c r="C2819" i="140"/>
  <c r="C2818" i="140"/>
  <c r="C2817" i="140"/>
  <c r="C2816" i="140"/>
  <c r="C2815" i="140"/>
  <c r="C2814" i="140"/>
  <c r="C2813" i="140"/>
  <c r="C2812" i="140"/>
  <c r="C2811" i="140"/>
  <c r="C2810" i="140"/>
  <c r="C2809" i="140"/>
  <c r="C2808" i="140"/>
  <c r="C2807" i="140"/>
  <c r="C2806" i="140"/>
  <c r="C2805" i="140"/>
  <c r="C2804" i="140"/>
  <c r="C2803" i="140"/>
  <c r="C2802" i="140"/>
  <c r="C2801" i="140"/>
  <c r="C2800" i="140"/>
  <c r="C2799" i="140"/>
  <c r="C2798" i="140"/>
  <c r="C2797" i="140"/>
  <c r="C2796" i="140"/>
  <c r="C2795" i="140"/>
  <c r="C2794" i="140"/>
  <c r="C2793" i="140"/>
  <c r="C2792" i="140"/>
  <c r="C2791" i="140"/>
  <c r="C2790" i="140"/>
  <c r="C2789" i="140"/>
  <c r="C2788" i="140"/>
  <c r="C2787" i="140"/>
  <c r="C2786" i="140"/>
  <c r="C2785" i="140"/>
  <c r="C2784" i="140"/>
  <c r="C2783" i="140"/>
  <c r="C2782" i="140"/>
  <c r="C2781" i="140"/>
  <c r="C2780" i="140"/>
  <c r="C2779" i="140"/>
  <c r="C2778" i="140"/>
  <c r="C2777" i="140"/>
  <c r="C2776" i="140"/>
  <c r="C2775" i="140"/>
  <c r="C2774" i="140"/>
  <c r="C2773" i="140"/>
  <c r="C2772" i="140"/>
  <c r="C2771" i="140"/>
  <c r="C2770" i="140"/>
  <c r="C2769" i="140"/>
  <c r="C2768" i="140"/>
  <c r="C2767" i="140"/>
  <c r="C2766" i="140"/>
  <c r="C2765" i="140"/>
  <c r="C2764" i="140"/>
  <c r="C2763" i="140"/>
  <c r="C2762" i="140"/>
  <c r="C2761" i="140"/>
  <c r="C2760" i="140"/>
  <c r="C2759" i="140"/>
  <c r="C2758" i="140"/>
  <c r="C2757" i="140"/>
  <c r="C2756" i="140"/>
  <c r="C2755" i="140"/>
  <c r="C2754" i="140"/>
  <c r="C2753" i="140"/>
  <c r="C2752" i="140"/>
  <c r="C2751" i="140"/>
  <c r="C2750" i="140"/>
  <c r="C2749" i="140"/>
  <c r="C2748" i="140"/>
  <c r="C2747" i="140"/>
  <c r="C2746" i="140"/>
  <c r="C2745" i="140"/>
  <c r="C2744" i="140"/>
  <c r="C2743" i="140"/>
  <c r="C2742" i="140"/>
  <c r="C2741" i="140"/>
  <c r="C2740" i="140"/>
  <c r="C2739" i="140"/>
  <c r="C2738" i="140"/>
  <c r="C2737" i="140"/>
  <c r="C2736" i="140"/>
  <c r="C2735" i="140"/>
  <c r="C2734" i="140"/>
  <c r="C2733" i="140"/>
  <c r="C2732" i="140"/>
  <c r="C2731" i="140"/>
  <c r="C2730" i="140"/>
  <c r="C2729" i="140"/>
  <c r="C2728" i="140"/>
  <c r="C2727" i="140"/>
  <c r="C2726" i="140"/>
  <c r="C2725" i="140"/>
  <c r="C2724" i="140"/>
  <c r="C2723" i="140"/>
  <c r="C2722" i="140"/>
  <c r="C2721" i="140"/>
  <c r="C2720" i="140"/>
  <c r="C2719" i="140"/>
  <c r="C2718" i="140"/>
  <c r="C2717" i="140"/>
  <c r="C2716" i="140"/>
  <c r="C2715" i="140"/>
  <c r="C2714" i="140"/>
  <c r="C2713" i="140"/>
  <c r="C2712" i="140"/>
  <c r="C2711" i="140"/>
  <c r="C2710" i="140"/>
  <c r="C2709" i="140"/>
  <c r="C2708" i="140"/>
  <c r="C2707" i="140"/>
  <c r="C2706" i="140"/>
  <c r="C2705" i="140"/>
  <c r="C2704" i="140"/>
  <c r="C2703" i="140"/>
  <c r="C2702" i="140"/>
  <c r="C2701" i="140"/>
  <c r="C2700" i="140"/>
  <c r="C2699" i="140"/>
  <c r="C2698" i="140"/>
  <c r="C2697" i="140"/>
  <c r="C2696" i="140"/>
  <c r="C2695" i="140"/>
  <c r="C2694" i="140"/>
  <c r="C2693" i="140"/>
  <c r="C2692" i="140"/>
  <c r="C2691" i="140"/>
  <c r="C2690" i="140"/>
  <c r="C2689" i="140"/>
  <c r="C2688" i="140"/>
  <c r="C2687" i="140"/>
  <c r="C2686" i="140"/>
  <c r="C2685" i="140"/>
  <c r="C2684" i="140"/>
  <c r="C2683" i="140"/>
  <c r="C2682" i="140"/>
  <c r="C2681" i="140"/>
  <c r="C2680" i="140"/>
  <c r="C2679" i="140"/>
  <c r="C2678" i="140"/>
  <c r="C2677" i="140"/>
  <c r="C2676" i="140"/>
  <c r="C2675" i="140"/>
  <c r="C2674" i="140"/>
  <c r="C2673" i="140"/>
  <c r="C2672" i="140"/>
  <c r="C2671" i="140"/>
  <c r="C2670" i="140"/>
  <c r="C2669" i="140"/>
  <c r="C2668" i="140"/>
  <c r="C2667" i="140"/>
  <c r="C2666" i="140"/>
  <c r="C2665" i="140"/>
  <c r="C2664" i="140"/>
  <c r="C2663" i="140"/>
  <c r="C2662" i="140"/>
  <c r="C2661" i="140"/>
  <c r="C2660" i="140"/>
  <c r="C2659" i="140"/>
  <c r="C2658" i="140"/>
  <c r="C2657" i="140"/>
  <c r="C2656" i="140"/>
  <c r="C2655" i="140"/>
  <c r="C2654" i="140"/>
  <c r="C2653" i="140"/>
  <c r="C2652" i="140"/>
  <c r="C2651" i="140"/>
  <c r="C2650" i="140"/>
  <c r="C2649" i="140"/>
  <c r="C2648" i="140"/>
  <c r="C2647" i="140"/>
  <c r="C2646" i="140"/>
  <c r="C2645" i="140"/>
  <c r="C2644" i="140"/>
  <c r="C2643" i="140"/>
  <c r="C2642" i="140"/>
  <c r="C2641" i="140"/>
  <c r="C2640" i="140"/>
  <c r="C2639" i="140"/>
  <c r="C2638" i="140"/>
  <c r="C2637" i="140"/>
  <c r="C2636" i="140"/>
  <c r="C2635" i="140"/>
  <c r="C2634" i="140"/>
  <c r="C2633" i="140"/>
  <c r="C2632" i="140"/>
  <c r="C2631" i="140"/>
  <c r="C2630" i="140"/>
  <c r="C2629" i="140"/>
  <c r="C2628" i="140"/>
  <c r="C2627" i="140"/>
  <c r="C2626" i="140"/>
  <c r="C2625" i="140"/>
  <c r="C2624" i="140"/>
  <c r="C2623" i="140"/>
  <c r="C2622" i="140"/>
  <c r="C2621" i="140"/>
  <c r="C2620" i="140"/>
  <c r="C2619" i="140"/>
  <c r="C2618" i="140"/>
  <c r="C2617" i="140"/>
  <c r="C2616" i="140"/>
  <c r="C2615" i="140"/>
  <c r="C2614" i="140"/>
  <c r="C2613" i="140"/>
  <c r="C2612" i="140"/>
  <c r="C2611" i="140"/>
  <c r="C2610" i="140"/>
  <c r="C2609" i="140"/>
  <c r="C2608" i="140"/>
  <c r="C2607" i="140"/>
  <c r="C2606" i="140"/>
  <c r="C2605" i="140"/>
  <c r="C2604" i="140"/>
  <c r="C2603" i="140"/>
  <c r="C2602" i="140"/>
  <c r="C2601" i="140"/>
  <c r="C2600" i="140"/>
  <c r="C2599" i="140"/>
  <c r="C2598" i="140"/>
  <c r="C2597" i="140"/>
  <c r="C2596" i="140"/>
  <c r="C2595" i="140"/>
  <c r="C2594" i="140"/>
  <c r="C2593" i="140"/>
  <c r="C2592" i="140"/>
  <c r="C2591" i="140"/>
  <c r="C2590" i="140"/>
  <c r="C2589" i="140"/>
  <c r="C2588" i="140"/>
  <c r="C2587" i="140"/>
  <c r="C2586" i="140"/>
  <c r="C2585" i="140"/>
  <c r="C2584" i="140"/>
  <c r="C2583" i="140"/>
  <c r="C2582" i="140"/>
  <c r="C2581" i="140"/>
  <c r="C2580" i="140"/>
  <c r="C2579" i="140"/>
  <c r="C2578" i="140"/>
  <c r="C2577" i="140"/>
  <c r="C2576" i="140"/>
  <c r="C2575" i="140"/>
  <c r="C2574" i="140"/>
  <c r="C2573" i="140"/>
  <c r="C2572" i="140"/>
  <c r="C2571" i="140"/>
  <c r="C2570" i="140"/>
  <c r="C2569" i="140"/>
  <c r="C2568" i="140"/>
  <c r="C2567" i="140"/>
  <c r="C2566" i="140"/>
  <c r="C2565" i="140"/>
  <c r="C2564" i="140"/>
  <c r="C2563" i="140"/>
  <c r="C2562" i="140"/>
  <c r="C2561" i="140"/>
  <c r="C2560" i="140"/>
  <c r="C2559" i="140"/>
  <c r="C2558" i="140"/>
  <c r="C2557" i="140"/>
  <c r="C2556" i="140"/>
  <c r="C2555" i="140"/>
  <c r="C2554" i="140"/>
  <c r="C2553" i="140"/>
  <c r="C2552" i="140"/>
  <c r="C2551" i="140"/>
  <c r="C2550" i="140"/>
  <c r="C2549" i="140"/>
  <c r="C2548" i="140"/>
  <c r="C2547" i="140"/>
  <c r="C2546" i="140"/>
  <c r="C2545" i="140"/>
  <c r="C2544" i="140"/>
  <c r="C2543" i="140"/>
  <c r="C2542" i="140"/>
  <c r="C2541" i="140"/>
  <c r="C2540" i="140"/>
  <c r="C2539" i="140"/>
  <c r="C2538" i="140"/>
  <c r="C2537" i="140"/>
  <c r="C2536" i="140"/>
  <c r="C2535" i="140"/>
  <c r="C2534" i="140"/>
  <c r="C2533" i="140"/>
  <c r="C2532" i="140"/>
  <c r="C2531" i="140"/>
  <c r="C2530" i="140"/>
  <c r="C2529" i="140"/>
  <c r="C2528" i="140"/>
  <c r="C2527" i="140"/>
  <c r="C2526" i="140"/>
  <c r="C2525" i="140"/>
  <c r="C2524" i="140"/>
  <c r="C2523" i="140"/>
  <c r="C2522" i="140"/>
  <c r="C2521" i="140"/>
  <c r="C2520" i="140"/>
  <c r="C2519" i="140"/>
  <c r="C2518" i="140"/>
  <c r="C2517" i="140"/>
  <c r="C2516" i="140"/>
  <c r="C2515" i="140"/>
  <c r="C2514" i="140"/>
  <c r="C2513" i="140"/>
  <c r="C2512" i="140"/>
  <c r="C2511" i="140"/>
  <c r="C2510" i="140"/>
  <c r="C2509" i="140"/>
  <c r="C2508" i="140"/>
  <c r="C2507" i="140"/>
  <c r="C2506" i="140"/>
  <c r="C2505" i="140"/>
  <c r="C2504" i="140"/>
  <c r="C2503" i="140"/>
  <c r="C2502" i="140"/>
  <c r="C2501" i="140"/>
  <c r="C2500" i="140"/>
  <c r="C2499" i="140"/>
  <c r="C2498" i="140"/>
  <c r="C2497" i="140"/>
  <c r="C2496" i="140"/>
  <c r="C2495" i="140"/>
  <c r="C2494" i="140"/>
  <c r="C2493" i="140"/>
  <c r="C2492" i="140"/>
  <c r="C2491" i="140"/>
  <c r="C2490" i="140"/>
  <c r="C2489" i="140"/>
  <c r="C2488" i="140"/>
  <c r="C2487" i="140"/>
  <c r="C2486" i="140"/>
  <c r="C2485" i="140"/>
  <c r="C2484" i="140"/>
  <c r="C2483" i="140"/>
  <c r="C2482" i="140"/>
  <c r="C2481" i="140"/>
  <c r="C2480" i="140"/>
  <c r="C2479" i="140"/>
  <c r="C2478" i="140"/>
  <c r="C2477" i="140"/>
  <c r="C2476" i="140"/>
  <c r="C2475" i="140"/>
  <c r="C2474" i="140"/>
  <c r="C2473" i="140"/>
  <c r="C2472" i="140"/>
  <c r="C2471" i="140"/>
  <c r="C2470" i="140"/>
  <c r="C2469" i="140"/>
  <c r="C2468" i="140"/>
  <c r="C2467" i="140"/>
  <c r="C2466" i="140"/>
  <c r="C2465" i="140"/>
  <c r="C2464" i="140"/>
  <c r="C2463" i="140"/>
  <c r="C2462" i="140"/>
  <c r="C2461" i="140"/>
  <c r="C2460" i="140"/>
  <c r="C2459" i="140"/>
  <c r="C2458" i="140"/>
  <c r="C2457" i="140"/>
  <c r="C2456" i="140"/>
  <c r="C2455" i="140"/>
  <c r="C2454" i="140"/>
  <c r="C2453" i="140"/>
  <c r="C2452" i="140"/>
  <c r="C2451" i="140"/>
  <c r="C2450" i="140"/>
  <c r="C2449" i="140"/>
  <c r="C2448" i="140"/>
  <c r="C2447" i="140"/>
  <c r="C2446" i="140"/>
  <c r="C2445" i="140"/>
  <c r="C2444" i="140"/>
  <c r="C2443" i="140"/>
  <c r="C2442" i="140"/>
  <c r="C2441" i="140"/>
  <c r="C2440" i="140"/>
  <c r="C2439" i="140"/>
  <c r="C2438" i="140"/>
  <c r="C2437" i="140"/>
  <c r="C2436" i="140"/>
  <c r="C2435" i="140"/>
  <c r="C2434" i="140"/>
  <c r="C2433" i="140"/>
  <c r="C2432" i="140"/>
  <c r="C2431" i="140"/>
  <c r="C2430" i="140"/>
  <c r="C2429" i="140"/>
  <c r="C2428" i="140"/>
  <c r="C2427" i="140"/>
  <c r="C2426" i="140"/>
  <c r="C2425" i="140"/>
  <c r="C2424" i="140"/>
  <c r="C2423" i="140"/>
  <c r="C2422" i="140"/>
  <c r="C2421" i="140"/>
  <c r="C2420" i="140"/>
  <c r="C2419" i="140"/>
  <c r="C2418" i="140"/>
  <c r="C2417" i="140"/>
  <c r="C2416" i="140"/>
  <c r="C2415" i="140"/>
  <c r="C2414" i="140"/>
  <c r="C2413" i="140"/>
  <c r="C2412" i="140"/>
  <c r="C2411" i="140"/>
  <c r="C2410" i="140"/>
  <c r="C2409" i="140"/>
  <c r="C2408" i="140"/>
  <c r="C2407" i="140"/>
  <c r="C2406" i="140"/>
  <c r="C2405" i="140"/>
  <c r="C2404" i="140"/>
  <c r="C2403" i="140"/>
  <c r="C2402" i="140"/>
  <c r="C2401" i="140"/>
  <c r="C2400" i="140"/>
  <c r="C2399" i="140"/>
  <c r="C2398" i="140"/>
  <c r="C2397" i="140"/>
  <c r="C2396" i="140"/>
  <c r="C2395" i="140"/>
  <c r="C2394" i="140"/>
  <c r="C2393" i="140"/>
  <c r="C2392" i="140"/>
  <c r="C2391" i="140"/>
  <c r="C2390" i="140"/>
  <c r="C2389" i="140"/>
  <c r="C2388" i="140"/>
  <c r="C2387" i="140"/>
  <c r="C2386" i="140"/>
  <c r="C2385" i="140"/>
  <c r="C2384" i="140"/>
  <c r="C2383" i="140"/>
  <c r="C2382" i="140"/>
  <c r="C2381" i="140"/>
  <c r="C2380" i="140"/>
  <c r="C2379" i="140"/>
  <c r="C2378" i="140"/>
  <c r="C2377" i="140"/>
  <c r="C2376" i="140"/>
  <c r="C2375" i="140"/>
  <c r="C2374" i="140"/>
  <c r="C2373" i="140"/>
  <c r="C2372" i="140"/>
  <c r="C2371" i="140"/>
  <c r="C2370" i="140"/>
  <c r="C2369" i="140"/>
  <c r="C2368" i="140"/>
  <c r="C2367" i="140"/>
  <c r="C2366" i="140"/>
  <c r="C2365" i="140"/>
  <c r="C2364" i="140"/>
  <c r="C2363" i="140"/>
  <c r="C2362" i="140"/>
  <c r="C2361" i="140"/>
  <c r="C2360" i="140"/>
  <c r="C2359" i="140"/>
  <c r="C2358" i="140"/>
  <c r="C2357" i="140"/>
  <c r="C2356" i="140"/>
  <c r="C2355" i="140"/>
  <c r="C2354" i="140"/>
  <c r="C2353" i="140"/>
  <c r="C2352" i="140"/>
  <c r="C2351" i="140"/>
  <c r="C2350" i="140"/>
  <c r="C2349" i="140"/>
  <c r="C2348" i="140"/>
  <c r="C2347" i="140"/>
  <c r="C2346" i="140"/>
  <c r="C2345" i="140"/>
  <c r="C2344" i="140"/>
  <c r="C2343" i="140"/>
  <c r="C2342" i="140"/>
  <c r="C2341" i="140"/>
  <c r="C2340" i="140"/>
  <c r="C2339" i="140"/>
  <c r="C2338" i="140"/>
  <c r="C2337" i="140"/>
  <c r="C2336" i="140"/>
  <c r="C2335" i="140"/>
  <c r="C2334" i="140"/>
  <c r="C2333" i="140"/>
  <c r="C2332" i="140"/>
  <c r="C2331" i="140"/>
  <c r="C2330" i="140"/>
  <c r="C2329" i="140"/>
  <c r="C2328" i="140"/>
  <c r="C2327" i="140"/>
  <c r="C2326" i="140"/>
  <c r="C2325" i="140"/>
  <c r="C2324" i="140"/>
  <c r="C2323" i="140"/>
  <c r="C2322" i="140"/>
  <c r="C2321" i="140"/>
  <c r="C2320" i="140"/>
  <c r="C2319" i="140"/>
  <c r="C2318" i="140"/>
  <c r="C2317" i="140"/>
  <c r="C2316" i="140"/>
  <c r="C2315" i="140"/>
  <c r="C2314" i="140"/>
  <c r="C2313" i="140"/>
  <c r="C2312" i="140"/>
  <c r="C2311" i="140"/>
  <c r="C2310" i="140"/>
  <c r="C2309" i="140"/>
  <c r="C2308" i="140"/>
  <c r="C2307" i="140"/>
  <c r="C2306" i="140"/>
  <c r="C2305" i="140"/>
  <c r="C2304" i="140"/>
  <c r="C2303" i="140"/>
  <c r="C2302" i="140"/>
  <c r="C2301" i="140"/>
  <c r="C2300" i="140"/>
  <c r="C2299" i="140"/>
  <c r="C2298" i="140"/>
  <c r="C2297" i="140"/>
  <c r="C2296" i="140"/>
  <c r="C2295" i="140"/>
  <c r="C2294" i="140"/>
  <c r="C2293" i="140"/>
  <c r="C2292" i="140"/>
  <c r="C2291" i="140"/>
  <c r="C2290" i="140"/>
  <c r="C2289" i="140"/>
  <c r="C2288" i="140"/>
  <c r="C2287" i="140"/>
  <c r="C2286" i="140"/>
  <c r="C2285" i="140"/>
  <c r="C2284" i="140"/>
  <c r="C2283" i="140"/>
  <c r="C2282" i="140"/>
  <c r="C2281" i="140"/>
  <c r="C2280" i="140"/>
  <c r="C2279" i="140"/>
  <c r="C2278" i="140"/>
  <c r="C2277" i="140"/>
  <c r="C2276" i="140"/>
  <c r="C2275" i="140"/>
  <c r="C2274" i="140"/>
  <c r="C2273" i="140"/>
  <c r="C2272" i="140"/>
  <c r="C2271" i="140"/>
  <c r="C2270" i="140"/>
  <c r="C2269" i="140"/>
  <c r="C2268" i="140"/>
  <c r="C2267" i="140"/>
  <c r="C2266" i="140"/>
  <c r="C2265" i="140"/>
  <c r="C2264" i="140"/>
  <c r="C2263" i="140"/>
  <c r="C2262" i="140"/>
  <c r="C2261" i="140"/>
  <c r="C2260" i="140"/>
  <c r="C2259" i="140"/>
  <c r="C2258" i="140"/>
  <c r="C2257" i="140"/>
  <c r="C2256" i="140"/>
  <c r="C2255" i="140"/>
  <c r="C2254" i="140"/>
  <c r="C2253" i="140"/>
  <c r="C2252" i="140"/>
  <c r="C2251" i="140"/>
  <c r="C2250" i="140"/>
  <c r="C2249" i="140"/>
  <c r="C2248" i="140"/>
  <c r="C2247" i="140"/>
  <c r="C2246" i="140"/>
  <c r="C2245" i="140"/>
  <c r="C2244" i="140"/>
  <c r="C2243" i="140"/>
  <c r="C2242" i="140"/>
  <c r="C2241" i="140"/>
  <c r="C2240" i="140"/>
  <c r="C2239" i="140"/>
  <c r="C2238" i="140"/>
  <c r="C2237" i="140"/>
  <c r="C2236" i="140"/>
  <c r="C2235" i="140"/>
  <c r="C2234" i="140"/>
  <c r="C2233" i="140"/>
  <c r="C2232" i="140"/>
  <c r="C2231" i="140"/>
  <c r="C2230" i="140"/>
  <c r="C2229" i="140"/>
  <c r="C2228" i="140"/>
  <c r="C2227" i="140"/>
  <c r="C2226" i="140"/>
  <c r="C2225" i="140"/>
  <c r="C2224" i="140"/>
  <c r="C2223" i="140"/>
  <c r="C2222" i="140"/>
  <c r="C2221" i="140"/>
  <c r="C2220" i="140"/>
  <c r="C2219" i="140"/>
  <c r="C2218" i="140"/>
  <c r="C2217" i="140"/>
  <c r="C2216" i="140"/>
  <c r="C2215" i="140"/>
  <c r="C2214" i="140"/>
  <c r="C2213" i="140"/>
  <c r="C2212" i="140"/>
  <c r="C2211" i="140"/>
  <c r="C2210" i="140"/>
  <c r="C2209" i="140"/>
  <c r="C2208" i="140"/>
  <c r="C2207" i="140"/>
  <c r="C2206" i="140"/>
  <c r="C2205" i="140"/>
  <c r="C2204" i="140"/>
  <c r="C2203" i="140"/>
  <c r="C2202" i="140"/>
  <c r="C2201" i="140"/>
  <c r="C2200" i="140"/>
  <c r="C2199" i="140"/>
  <c r="C2198" i="140"/>
  <c r="C2197" i="140"/>
  <c r="C2196" i="140"/>
  <c r="C2195" i="140"/>
  <c r="C2194" i="140"/>
  <c r="C2193" i="140"/>
  <c r="C2192" i="140"/>
  <c r="C2191" i="140"/>
  <c r="C2190" i="140"/>
  <c r="C2189" i="140"/>
  <c r="C2188" i="140"/>
  <c r="C2187" i="140"/>
  <c r="C2186" i="140"/>
  <c r="C2185" i="140"/>
  <c r="C2184" i="140"/>
  <c r="C2183" i="140"/>
  <c r="C2182" i="140"/>
  <c r="C2181" i="140"/>
  <c r="C2180" i="140"/>
  <c r="C2179" i="140"/>
  <c r="C2178" i="140"/>
  <c r="C2177" i="140"/>
  <c r="C2176" i="140"/>
  <c r="C2175" i="140"/>
  <c r="C2174" i="140"/>
  <c r="C2173" i="140"/>
  <c r="C2172" i="140"/>
  <c r="C2171" i="140"/>
  <c r="C2170" i="140"/>
  <c r="C2169" i="140"/>
  <c r="C2168" i="140"/>
  <c r="C2167" i="140"/>
  <c r="C2166" i="140"/>
  <c r="C2165" i="140"/>
  <c r="C2164" i="140"/>
  <c r="C2163" i="140"/>
  <c r="C2162" i="140"/>
  <c r="C2161" i="140"/>
  <c r="C2160" i="140"/>
  <c r="C2159" i="140"/>
  <c r="C2158" i="140"/>
  <c r="C2157" i="140"/>
  <c r="C2156" i="140"/>
  <c r="C2155" i="140"/>
  <c r="C2154" i="140"/>
  <c r="C2153" i="140"/>
  <c r="C2152" i="140"/>
  <c r="C2151" i="140"/>
  <c r="C2150" i="140"/>
  <c r="C2149" i="140"/>
  <c r="C2148" i="140"/>
  <c r="C2147" i="140"/>
  <c r="C2146" i="140"/>
  <c r="C2145" i="140"/>
  <c r="C2144" i="140"/>
  <c r="C2143" i="140"/>
  <c r="C2142" i="140"/>
  <c r="C2141" i="140"/>
  <c r="C2140" i="140"/>
  <c r="C2139" i="140"/>
  <c r="C2138" i="140"/>
  <c r="C2137" i="140"/>
  <c r="C2136" i="140"/>
  <c r="C2135" i="140"/>
  <c r="C2134" i="140"/>
  <c r="C2133" i="140"/>
  <c r="C2132" i="140"/>
  <c r="C2131" i="140"/>
  <c r="C2130" i="140"/>
  <c r="C2129" i="140"/>
  <c r="C2128" i="140"/>
  <c r="C2127" i="140"/>
  <c r="C2126" i="140"/>
  <c r="C2125" i="140"/>
  <c r="C2124" i="140"/>
  <c r="C2123" i="140"/>
  <c r="C2122" i="140"/>
  <c r="C2121" i="140"/>
  <c r="C2120" i="140"/>
  <c r="C2119" i="140"/>
  <c r="C2118" i="140"/>
  <c r="C2117" i="140"/>
  <c r="C2116" i="140"/>
  <c r="C2115" i="140"/>
  <c r="C2114" i="140"/>
  <c r="C2113" i="140"/>
  <c r="C2112" i="140"/>
  <c r="C2111" i="140"/>
  <c r="C2110" i="140"/>
  <c r="C2109" i="140"/>
  <c r="C2108" i="140"/>
  <c r="C2107" i="140"/>
  <c r="C2106" i="140"/>
  <c r="C2105" i="140"/>
  <c r="C2104" i="140"/>
  <c r="C2103" i="140"/>
  <c r="C2102" i="140"/>
  <c r="C2101" i="140"/>
  <c r="C2100" i="140"/>
  <c r="C2099" i="140"/>
  <c r="C2098" i="140"/>
  <c r="C2097" i="140"/>
  <c r="C2096" i="140"/>
  <c r="C2095" i="140"/>
  <c r="C2094" i="140"/>
  <c r="C2093" i="140"/>
  <c r="C2092" i="140"/>
  <c r="C2091" i="140"/>
  <c r="C2090" i="140"/>
  <c r="C2089" i="140"/>
  <c r="C2088" i="140"/>
  <c r="C2087" i="140"/>
  <c r="C2086" i="140"/>
  <c r="C2085" i="140"/>
  <c r="C2084" i="140"/>
  <c r="C2083" i="140"/>
  <c r="C2082" i="140"/>
  <c r="C2081" i="140"/>
  <c r="C2080" i="140"/>
  <c r="C2079" i="140"/>
  <c r="C2078" i="140"/>
  <c r="C2077" i="140"/>
  <c r="C2076" i="140"/>
  <c r="C2075" i="140"/>
  <c r="C2074" i="140"/>
  <c r="C2073" i="140"/>
  <c r="C2072" i="140"/>
  <c r="C2071" i="140"/>
  <c r="C2070" i="140"/>
  <c r="C2069" i="140"/>
  <c r="C2068" i="140"/>
  <c r="C2067" i="140"/>
  <c r="C2066" i="140"/>
  <c r="C2065" i="140"/>
  <c r="C2064" i="140"/>
  <c r="C2063" i="140"/>
  <c r="C2062" i="140"/>
  <c r="C2061" i="140"/>
  <c r="C2060" i="140"/>
  <c r="C2059" i="140"/>
  <c r="C2058" i="140"/>
  <c r="C2057" i="140"/>
  <c r="C2056" i="140"/>
  <c r="C2055" i="140"/>
  <c r="C2054" i="140"/>
  <c r="C2053" i="140"/>
  <c r="C2052" i="140"/>
  <c r="C2051" i="140"/>
  <c r="C2050" i="140"/>
  <c r="C2049" i="140"/>
  <c r="C2048" i="140"/>
  <c r="C2047" i="140"/>
  <c r="C2046" i="140"/>
  <c r="C2045" i="140"/>
  <c r="C2044" i="140"/>
  <c r="C2043" i="140"/>
  <c r="C2042" i="140"/>
  <c r="C2041" i="140"/>
  <c r="C2040" i="140"/>
  <c r="C2039" i="140"/>
  <c r="C2038" i="140"/>
  <c r="C2037" i="140"/>
  <c r="C2036" i="140"/>
  <c r="C2035" i="140"/>
  <c r="C2034" i="140"/>
  <c r="C2033" i="140"/>
  <c r="C2032" i="140"/>
  <c r="C2031" i="140"/>
  <c r="C2030" i="140"/>
  <c r="C2029" i="140"/>
  <c r="C2028" i="140"/>
  <c r="C2027" i="140"/>
  <c r="C2026" i="140"/>
  <c r="C2025" i="140"/>
  <c r="C2024" i="140"/>
  <c r="C2023" i="140"/>
  <c r="C2022" i="140"/>
  <c r="C2021" i="140"/>
  <c r="C2020" i="140"/>
  <c r="C2019" i="140"/>
  <c r="C2018" i="140"/>
  <c r="C2017" i="140"/>
  <c r="C2016" i="140"/>
  <c r="C2015" i="140"/>
  <c r="C2014" i="140"/>
  <c r="C2013" i="140"/>
  <c r="C2012" i="140"/>
  <c r="C2011" i="140"/>
  <c r="C2010" i="140"/>
  <c r="C2009" i="140"/>
  <c r="C2008" i="140"/>
  <c r="C2007" i="140"/>
  <c r="C2006" i="140"/>
  <c r="C2005" i="140"/>
  <c r="C2004" i="140"/>
  <c r="C2003" i="140"/>
  <c r="C2002" i="140"/>
  <c r="C2001" i="140"/>
  <c r="C2000" i="140"/>
  <c r="C1999" i="140"/>
  <c r="C1998" i="140"/>
  <c r="C1997" i="140"/>
  <c r="C1996" i="140"/>
  <c r="C1995" i="140"/>
  <c r="C1994" i="140"/>
  <c r="C1993" i="140"/>
  <c r="C1992" i="140"/>
  <c r="C1991" i="140"/>
  <c r="C1990" i="140"/>
  <c r="C1989" i="140"/>
  <c r="C1988" i="140"/>
  <c r="C1987" i="140"/>
  <c r="C1986" i="140"/>
  <c r="C1985" i="140"/>
  <c r="C1984" i="140"/>
  <c r="C1983" i="140"/>
  <c r="C1982" i="140"/>
  <c r="C1981" i="140"/>
  <c r="C1980" i="140"/>
  <c r="C1979" i="140"/>
  <c r="C1978" i="140"/>
  <c r="C1977" i="140"/>
  <c r="C1976" i="140"/>
  <c r="C1975" i="140"/>
  <c r="C1974" i="140"/>
  <c r="C1973" i="140"/>
  <c r="C1972" i="140"/>
  <c r="C1971" i="140"/>
  <c r="C1970" i="140"/>
  <c r="C1969" i="140"/>
  <c r="C1968" i="140"/>
  <c r="C1967" i="140"/>
  <c r="C1966" i="140"/>
  <c r="C1965" i="140"/>
  <c r="C1964" i="140"/>
  <c r="C1963" i="140"/>
  <c r="C1962" i="140"/>
  <c r="C1961" i="140"/>
  <c r="C1960" i="140"/>
  <c r="C1959" i="140"/>
  <c r="C1958" i="140"/>
  <c r="C1957" i="140"/>
  <c r="C1956" i="140"/>
  <c r="C1955" i="140"/>
  <c r="C1954" i="140"/>
  <c r="C1953" i="140"/>
  <c r="C1952" i="140"/>
  <c r="C1951" i="140"/>
  <c r="C1950" i="140"/>
  <c r="C1949" i="140"/>
  <c r="C1948" i="140"/>
  <c r="C1947" i="140"/>
  <c r="C1946" i="140"/>
  <c r="C1945" i="140"/>
  <c r="C1944" i="140"/>
  <c r="C1943" i="140"/>
  <c r="C1942" i="140"/>
  <c r="C1941" i="140"/>
  <c r="C1940" i="140"/>
  <c r="C1939" i="140"/>
  <c r="C1938" i="140"/>
  <c r="C1937" i="140"/>
  <c r="C1936" i="140"/>
  <c r="C1935" i="140"/>
  <c r="C1934" i="140"/>
  <c r="C1933" i="140"/>
  <c r="C1932" i="140"/>
  <c r="C1931" i="140"/>
  <c r="C1930" i="140"/>
  <c r="C1929" i="140"/>
  <c r="C1928" i="140"/>
  <c r="C1927" i="140"/>
  <c r="C1926" i="140"/>
  <c r="C1925" i="140"/>
  <c r="C1924" i="140"/>
  <c r="C1923" i="140"/>
  <c r="C1922" i="140"/>
  <c r="C1921" i="140"/>
  <c r="C1920" i="140"/>
  <c r="C1919" i="140"/>
  <c r="C1918" i="140"/>
  <c r="C1917" i="140"/>
  <c r="C1916" i="140"/>
  <c r="C1915" i="140"/>
  <c r="C1914" i="140"/>
  <c r="C1913" i="140"/>
  <c r="C1912" i="140"/>
  <c r="C1911" i="140"/>
  <c r="C1910" i="140"/>
  <c r="C1909" i="140"/>
  <c r="C1908" i="140"/>
  <c r="C1907" i="140"/>
  <c r="C1906" i="140"/>
  <c r="C1905" i="140"/>
  <c r="C1904" i="140"/>
  <c r="C1903" i="140"/>
  <c r="C1902" i="140"/>
  <c r="C1901" i="140"/>
  <c r="C1900" i="140"/>
  <c r="C1899" i="140"/>
  <c r="C1898" i="140"/>
  <c r="C1897" i="140"/>
  <c r="C1896" i="140"/>
  <c r="C1895" i="140"/>
  <c r="C1894" i="140"/>
  <c r="C1893" i="140"/>
  <c r="C1892" i="140"/>
  <c r="C1891" i="140"/>
  <c r="C1890" i="140"/>
  <c r="C1889" i="140"/>
  <c r="C1888" i="140"/>
  <c r="C1887" i="140"/>
  <c r="C1886" i="140"/>
  <c r="C1885" i="140"/>
  <c r="C1884" i="140"/>
  <c r="C1883" i="140"/>
  <c r="C1882" i="140"/>
  <c r="C1881" i="140"/>
  <c r="C1880" i="140"/>
  <c r="C1879" i="140"/>
  <c r="C1878" i="140"/>
  <c r="C1877" i="140"/>
  <c r="C1876" i="140"/>
  <c r="C1875" i="140"/>
  <c r="C1874" i="140"/>
  <c r="C1873" i="140"/>
  <c r="C1872" i="140"/>
  <c r="C1871" i="140"/>
  <c r="C1870" i="140"/>
  <c r="C1869" i="140"/>
  <c r="C1868" i="140"/>
  <c r="C1867" i="140"/>
  <c r="C1866" i="140"/>
  <c r="C1865" i="140"/>
  <c r="C1864" i="140"/>
  <c r="C1863" i="140"/>
  <c r="C1862" i="140"/>
  <c r="C1861" i="140"/>
  <c r="C1860" i="140"/>
  <c r="C1859" i="140"/>
  <c r="C1858" i="140"/>
  <c r="C1857" i="140"/>
  <c r="C1856" i="140"/>
  <c r="C1855" i="140"/>
  <c r="C1854" i="140"/>
  <c r="C1853" i="140"/>
  <c r="C1852" i="140"/>
  <c r="C1851" i="140"/>
  <c r="C1850" i="140"/>
  <c r="C1849" i="140"/>
  <c r="C1848" i="140"/>
  <c r="C1847" i="140"/>
  <c r="C1846" i="140"/>
  <c r="C1845" i="140"/>
  <c r="C1844" i="140"/>
  <c r="C1843" i="140"/>
  <c r="C1842" i="140"/>
  <c r="C1841" i="140"/>
  <c r="C1840" i="140"/>
  <c r="C1839" i="140"/>
  <c r="C1838" i="140"/>
  <c r="C1837" i="140"/>
  <c r="C1836" i="140"/>
  <c r="C1835" i="140"/>
  <c r="C1834" i="140"/>
  <c r="C1833" i="140"/>
  <c r="C1832" i="140"/>
  <c r="C1831" i="140"/>
  <c r="C1830" i="140"/>
  <c r="C1829" i="140"/>
  <c r="C1828" i="140"/>
  <c r="C1827" i="140"/>
  <c r="C1826" i="140"/>
  <c r="C1825" i="140"/>
  <c r="C1824" i="140"/>
  <c r="C1823" i="140"/>
  <c r="C1822" i="140"/>
  <c r="C1821" i="140"/>
  <c r="C1820" i="140"/>
  <c r="C1819" i="140"/>
  <c r="C1818" i="140"/>
  <c r="C1817" i="140"/>
  <c r="C1816" i="140"/>
  <c r="C1815" i="140"/>
  <c r="C1814" i="140"/>
  <c r="C1813" i="140"/>
  <c r="C1812" i="140"/>
  <c r="C1811" i="140"/>
  <c r="C1810" i="140"/>
  <c r="C1809" i="140"/>
  <c r="C1808" i="140"/>
  <c r="C1807" i="140"/>
  <c r="C1806" i="140"/>
  <c r="C1805" i="140"/>
  <c r="C1804" i="140"/>
  <c r="C1803" i="140"/>
  <c r="C1802" i="140"/>
  <c r="C1801" i="140"/>
  <c r="C1800" i="140"/>
  <c r="C1799" i="140"/>
  <c r="C1798" i="140"/>
  <c r="C1797" i="140"/>
  <c r="C1796" i="140"/>
  <c r="C1795" i="140"/>
  <c r="C1794" i="140"/>
  <c r="C1793" i="140"/>
  <c r="C1792" i="140"/>
  <c r="C1791" i="140"/>
  <c r="C1790" i="140"/>
  <c r="C1789" i="140"/>
  <c r="C1788" i="140"/>
  <c r="C1787" i="140"/>
  <c r="C1786" i="140"/>
  <c r="C1785" i="140"/>
  <c r="C1784" i="140"/>
  <c r="C1783" i="140"/>
  <c r="C1782" i="140"/>
  <c r="C1781" i="140"/>
  <c r="C1780" i="140"/>
  <c r="C1779" i="140"/>
  <c r="C1778" i="140"/>
  <c r="C1777" i="140"/>
  <c r="C1776" i="140"/>
  <c r="C1775" i="140"/>
  <c r="C1774" i="140"/>
  <c r="C1773" i="140"/>
  <c r="C1772" i="140"/>
  <c r="C1771" i="140"/>
  <c r="C1770" i="140"/>
  <c r="C1769" i="140"/>
  <c r="C1768" i="140"/>
  <c r="C1767" i="140"/>
  <c r="C1766" i="140"/>
  <c r="C1765" i="140"/>
  <c r="C1764" i="140"/>
  <c r="C1763" i="140"/>
  <c r="C1762" i="140"/>
  <c r="C1761" i="140"/>
  <c r="C1760" i="140"/>
  <c r="C1759" i="140"/>
  <c r="C1758" i="140"/>
  <c r="C1757" i="140"/>
  <c r="C1756" i="140"/>
  <c r="C1755" i="140"/>
  <c r="C1754" i="140"/>
  <c r="C1753" i="140"/>
  <c r="C1752" i="140"/>
  <c r="C1751" i="140"/>
  <c r="C1750" i="140"/>
  <c r="C1749" i="140"/>
  <c r="C1748" i="140"/>
  <c r="C1747" i="140"/>
  <c r="C1746" i="140"/>
  <c r="C1745" i="140"/>
  <c r="C1744" i="140"/>
  <c r="C1743" i="140"/>
  <c r="C1742" i="140"/>
  <c r="C1741" i="140"/>
  <c r="C1740" i="140"/>
  <c r="C1739" i="140"/>
  <c r="C1738" i="140"/>
  <c r="C1737" i="140"/>
  <c r="C1736" i="140"/>
  <c r="C1735" i="140"/>
  <c r="C1734" i="140"/>
  <c r="C1733" i="140"/>
  <c r="C1732" i="140"/>
  <c r="C1731" i="140"/>
  <c r="C1730" i="140"/>
  <c r="C1729" i="140"/>
  <c r="C1728" i="140"/>
  <c r="C1727" i="140"/>
  <c r="C1726" i="140"/>
  <c r="C1725" i="140"/>
  <c r="C1724" i="140"/>
  <c r="C1723" i="140"/>
  <c r="C1722" i="140"/>
  <c r="C1721" i="140"/>
  <c r="C1720" i="140"/>
  <c r="C1719" i="140"/>
  <c r="C1718" i="140"/>
  <c r="C1717" i="140"/>
  <c r="C1716" i="140"/>
  <c r="C1715" i="140"/>
  <c r="C1714" i="140"/>
  <c r="C1713" i="140"/>
  <c r="C1712" i="140"/>
  <c r="C1711" i="140"/>
  <c r="C1710" i="140"/>
  <c r="C1709" i="140"/>
  <c r="C1708" i="140"/>
  <c r="C1707" i="140"/>
  <c r="C1706" i="140"/>
  <c r="C1705" i="140"/>
  <c r="C1704" i="140"/>
  <c r="C1703" i="140"/>
  <c r="C1702" i="140"/>
  <c r="C1701" i="140"/>
  <c r="C1700" i="140"/>
  <c r="C1699" i="140"/>
  <c r="C1698" i="140"/>
  <c r="C1697" i="140"/>
  <c r="C1696" i="140"/>
  <c r="C1695" i="140"/>
  <c r="C1694" i="140"/>
  <c r="C1693" i="140"/>
  <c r="C1692" i="140"/>
  <c r="C1691" i="140"/>
  <c r="C1690" i="140"/>
  <c r="C1689" i="140"/>
  <c r="C1688" i="140"/>
  <c r="C1687" i="140"/>
  <c r="C1686" i="140"/>
  <c r="C1685" i="140"/>
  <c r="C1684" i="140"/>
  <c r="C1683" i="140"/>
  <c r="C1682" i="140"/>
  <c r="C1681" i="140"/>
  <c r="C1680" i="140"/>
  <c r="C1679" i="140"/>
  <c r="C1678" i="140"/>
  <c r="C1677" i="140"/>
  <c r="C1676" i="140"/>
  <c r="C1675" i="140"/>
  <c r="C1674" i="140"/>
  <c r="C1673" i="140"/>
  <c r="C1672" i="140"/>
  <c r="C1671" i="140"/>
  <c r="C1670" i="140"/>
  <c r="C1669" i="140"/>
  <c r="C1668" i="140"/>
  <c r="C1667" i="140"/>
  <c r="C1666" i="140"/>
  <c r="C1665" i="140"/>
  <c r="C1664" i="140"/>
  <c r="C1663" i="140"/>
  <c r="C1662" i="140"/>
  <c r="C1661" i="140"/>
  <c r="C1660" i="140"/>
  <c r="C1659" i="140"/>
  <c r="C1658" i="140"/>
  <c r="C1657" i="140"/>
  <c r="C1656" i="140"/>
  <c r="C1655" i="140"/>
  <c r="C1654" i="140"/>
  <c r="C1653" i="140"/>
  <c r="C1652" i="140"/>
  <c r="C1651" i="140"/>
  <c r="C1650" i="140"/>
  <c r="C1649" i="140"/>
  <c r="C1648" i="140"/>
  <c r="C1647" i="140"/>
  <c r="C1646" i="140"/>
  <c r="C1645" i="140"/>
  <c r="C1644" i="140"/>
  <c r="C1643" i="140"/>
  <c r="C1642" i="140"/>
  <c r="C1641" i="140"/>
  <c r="C1640" i="140"/>
  <c r="C1639" i="140"/>
  <c r="C1638" i="140"/>
  <c r="C1637" i="140"/>
  <c r="C1636" i="140"/>
  <c r="C1635" i="140"/>
  <c r="C1634" i="140"/>
  <c r="C1633" i="140"/>
  <c r="C1632" i="140"/>
  <c r="C1631" i="140"/>
  <c r="C1630" i="140"/>
  <c r="C1629" i="140"/>
  <c r="C1628" i="140"/>
  <c r="C1627" i="140"/>
  <c r="C1626" i="140"/>
  <c r="C1625" i="140"/>
  <c r="C1624" i="140"/>
  <c r="C1623" i="140"/>
  <c r="C1622" i="140"/>
  <c r="C1621" i="140"/>
  <c r="C1620" i="140"/>
  <c r="C1619" i="140"/>
  <c r="C1618" i="140"/>
  <c r="C1617" i="140"/>
  <c r="C1616" i="140"/>
  <c r="C1615" i="140"/>
  <c r="C1614" i="140"/>
  <c r="C1613" i="140"/>
  <c r="C1612" i="140"/>
  <c r="C1611" i="140"/>
  <c r="C1610" i="140"/>
  <c r="C1609" i="140"/>
  <c r="C1608" i="140"/>
  <c r="C1607" i="140"/>
  <c r="C1606" i="140"/>
  <c r="C1605" i="140"/>
  <c r="C1604" i="140"/>
  <c r="C1603" i="140"/>
  <c r="C1602" i="140"/>
  <c r="C1601" i="140"/>
  <c r="C1600" i="140"/>
  <c r="C1599" i="140"/>
  <c r="C1598" i="140"/>
  <c r="C1597" i="140"/>
  <c r="C1596" i="140"/>
  <c r="C1595" i="140"/>
  <c r="C1594" i="140"/>
  <c r="C1593" i="140"/>
  <c r="C1592" i="140"/>
  <c r="C1591" i="140"/>
  <c r="C1590" i="140"/>
  <c r="C1589" i="140"/>
  <c r="C1588" i="140"/>
  <c r="C1587" i="140"/>
  <c r="C1586" i="140"/>
  <c r="C1585" i="140"/>
  <c r="C1584" i="140"/>
  <c r="C1583" i="140"/>
  <c r="C1582" i="140"/>
  <c r="C1581" i="140"/>
  <c r="C1580" i="140"/>
  <c r="C1579" i="140"/>
  <c r="C1578" i="140"/>
  <c r="C1577" i="140"/>
  <c r="C1576" i="140"/>
  <c r="C1575" i="140"/>
  <c r="C1574" i="140"/>
  <c r="C1573" i="140"/>
  <c r="C1572" i="140"/>
  <c r="C1571" i="140"/>
  <c r="C1570" i="140"/>
  <c r="C1569" i="140"/>
  <c r="C1568" i="140"/>
  <c r="C1567" i="140"/>
  <c r="C1566" i="140"/>
  <c r="C1565" i="140"/>
  <c r="C1564" i="140"/>
  <c r="C1563" i="140"/>
  <c r="C1562" i="140"/>
  <c r="C1561" i="140"/>
  <c r="C1560" i="140"/>
  <c r="C1559" i="140"/>
  <c r="C1558" i="140"/>
  <c r="C1557" i="140"/>
  <c r="C1556" i="140"/>
  <c r="C1555" i="140"/>
  <c r="C1554" i="140"/>
  <c r="C1553" i="140"/>
  <c r="C1552" i="140"/>
  <c r="C1551" i="140"/>
  <c r="C1550" i="140"/>
  <c r="C1549" i="140"/>
  <c r="C1548" i="140"/>
  <c r="C1547" i="140"/>
  <c r="C1546" i="140"/>
  <c r="C1545" i="140"/>
  <c r="C1544" i="140"/>
  <c r="C1543" i="140"/>
  <c r="C1542" i="140"/>
  <c r="C1541" i="140"/>
  <c r="C1540" i="140"/>
  <c r="C1539" i="140"/>
  <c r="C1538" i="140"/>
  <c r="C1537" i="140"/>
  <c r="C1536" i="140"/>
  <c r="C1535" i="140"/>
  <c r="C1534" i="140"/>
  <c r="C1533" i="140"/>
  <c r="C1532" i="140"/>
  <c r="C1531" i="140"/>
  <c r="C1530" i="140"/>
  <c r="C1529" i="140"/>
  <c r="C1528" i="140"/>
  <c r="C1527" i="140"/>
  <c r="C1526" i="140"/>
  <c r="C1525" i="140"/>
  <c r="C1524" i="140"/>
  <c r="C1523" i="140"/>
  <c r="C1522" i="140"/>
  <c r="C1521" i="140"/>
  <c r="C1520" i="140"/>
  <c r="C1519" i="140"/>
  <c r="C1518" i="140"/>
  <c r="C1517" i="140"/>
  <c r="C1516" i="140"/>
  <c r="C1515" i="140"/>
  <c r="C1514" i="140"/>
  <c r="C1513" i="140"/>
  <c r="C1512" i="140"/>
  <c r="C1511" i="140"/>
  <c r="C1510" i="140"/>
  <c r="C1509" i="140"/>
  <c r="C1508" i="140"/>
  <c r="C1507" i="140"/>
  <c r="C1506" i="140"/>
  <c r="C1505" i="140"/>
  <c r="C1504" i="140"/>
  <c r="C1503" i="140"/>
  <c r="C1502" i="140"/>
  <c r="C1501" i="140"/>
  <c r="C1500" i="140"/>
  <c r="C1499" i="140"/>
  <c r="C1498" i="140"/>
  <c r="C1497" i="140"/>
  <c r="C1496" i="140"/>
  <c r="C1495" i="140"/>
  <c r="C1494" i="140"/>
  <c r="C1493" i="140"/>
  <c r="C1492" i="140"/>
  <c r="C1491" i="140"/>
  <c r="C1490" i="140"/>
  <c r="C1489" i="140"/>
  <c r="C1488" i="140"/>
  <c r="C1487" i="140"/>
  <c r="C1486" i="140"/>
  <c r="C1485" i="140"/>
  <c r="C1484" i="140"/>
  <c r="C1483" i="140"/>
  <c r="C1482" i="140"/>
  <c r="C1481" i="140"/>
  <c r="C1480" i="140"/>
  <c r="C1479" i="140"/>
  <c r="C1478" i="140"/>
  <c r="C1477" i="140"/>
  <c r="C1476" i="140"/>
  <c r="C1475" i="140"/>
  <c r="C1474" i="140"/>
  <c r="C1473" i="140"/>
  <c r="C1472" i="140"/>
  <c r="C1471" i="140"/>
  <c r="C1470" i="140"/>
  <c r="C1469" i="140"/>
  <c r="C1468" i="140"/>
  <c r="C1467" i="140"/>
  <c r="C1466" i="140"/>
  <c r="C1465" i="140"/>
  <c r="C1464" i="140"/>
  <c r="C1463" i="140"/>
  <c r="C1462" i="140"/>
  <c r="C1461" i="140"/>
  <c r="C1460" i="140"/>
  <c r="C1459" i="140"/>
  <c r="C1458" i="140"/>
  <c r="C1457" i="140"/>
  <c r="C1456" i="140"/>
  <c r="C1455" i="140"/>
  <c r="C1454" i="140"/>
  <c r="C1453" i="140"/>
  <c r="C1452" i="140"/>
  <c r="C1451" i="140"/>
  <c r="C1450" i="140"/>
  <c r="C1449" i="140"/>
  <c r="C1448" i="140"/>
  <c r="C1447" i="140"/>
  <c r="C1446" i="140"/>
  <c r="C1445" i="140"/>
  <c r="C1444" i="140"/>
  <c r="C1443" i="140"/>
  <c r="C1442" i="140"/>
  <c r="C1441" i="140"/>
  <c r="C1440" i="140"/>
  <c r="C1439" i="140"/>
  <c r="C1438" i="140"/>
  <c r="C1437" i="140"/>
  <c r="C1436" i="140"/>
  <c r="C1435" i="140"/>
  <c r="C1434" i="140"/>
  <c r="C1433" i="140"/>
  <c r="C1432" i="140"/>
  <c r="C1431" i="140"/>
  <c r="C1430" i="140"/>
  <c r="C1429" i="140"/>
  <c r="C1428" i="140"/>
  <c r="C1427" i="140"/>
  <c r="C1426" i="140"/>
  <c r="C1425" i="140"/>
  <c r="C1424" i="140"/>
  <c r="C1423" i="140"/>
  <c r="C1422" i="140"/>
  <c r="C1421" i="140"/>
  <c r="C1420" i="140"/>
  <c r="C1419" i="140"/>
  <c r="C1418" i="140"/>
  <c r="C1417" i="140"/>
  <c r="C1416" i="140"/>
  <c r="C1415" i="140"/>
  <c r="C1414" i="140"/>
  <c r="C1413" i="140"/>
  <c r="C1412" i="140"/>
  <c r="C1411" i="140"/>
  <c r="C1410" i="140"/>
  <c r="C1409" i="140"/>
  <c r="C1408" i="140"/>
  <c r="C1407" i="140"/>
  <c r="C1406" i="140"/>
  <c r="C1405" i="140"/>
  <c r="C1404" i="140"/>
  <c r="C1403" i="140"/>
  <c r="C1402" i="140"/>
  <c r="C1401" i="140"/>
  <c r="C1400" i="140"/>
  <c r="C1399" i="140"/>
  <c r="C1398" i="140"/>
  <c r="C1397" i="140"/>
  <c r="C1396" i="140"/>
  <c r="C1395" i="140"/>
  <c r="C1394" i="140"/>
  <c r="C1393" i="140"/>
  <c r="C1392" i="140"/>
  <c r="C1391" i="140"/>
  <c r="C1390" i="140"/>
  <c r="C1389" i="140"/>
  <c r="C1388" i="140"/>
  <c r="C1387" i="140"/>
  <c r="C1386" i="140"/>
  <c r="C1385" i="140"/>
  <c r="C1384" i="140"/>
  <c r="C1383" i="140"/>
  <c r="C1382" i="140"/>
  <c r="C1381" i="140"/>
  <c r="C1380" i="140"/>
  <c r="C1379" i="140"/>
  <c r="C1378" i="140"/>
  <c r="C1377" i="140"/>
  <c r="C1376" i="140"/>
  <c r="C1375" i="140"/>
  <c r="C1374" i="140"/>
  <c r="C1373" i="140"/>
  <c r="C1372" i="140"/>
  <c r="C1371" i="140"/>
  <c r="C1370" i="140"/>
  <c r="C1369" i="140"/>
  <c r="C1368" i="140"/>
  <c r="C1367" i="140"/>
  <c r="C1366" i="140"/>
  <c r="C1365" i="140"/>
  <c r="C1364" i="140"/>
  <c r="C1363" i="140"/>
  <c r="C1362" i="140"/>
  <c r="C1361" i="140"/>
  <c r="C1360" i="140"/>
  <c r="C1359" i="140"/>
  <c r="C1358" i="140"/>
  <c r="C1357" i="140"/>
  <c r="C1356" i="140"/>
  <c r="C1355" i="140"/>
  <c r="C1354" i="140"/>
  <c r="C1353" i="140"/>
  <c r="C1352" i="140"/>
  <c r="C1351" i="140"/>
  <c r="C1350" i="140"/>
  <c r="C1349" i="140"/>
  <c r="C1348" i="140"/>
  <c r="C1347" i="140"/>
  <c r="C1346" i="140"/>
  <c r="C1345" i="140"/>
  <c r="C1344" i="140"/>
  <c r="C1343" i="140"/>
  <c r="C1342" i="140"/>
  <c r="C1341" i="140"/>
  <c r="C1340" i="140"/>
  <c r="C1339" i="140"/>
  <c r="C1338" i="140"/>
  <c r="C1337" i="140"/>
  <c r="C1336" i="140"/>
  <c r="C1335" i="140"/>
  <c r="C1334" i="140"/>
  <c r="C1333" i="140"/>
  <c r="C1332" i="140"/>
  <c r="C1331" i="140"/>
  <c r="C1330" i="140"/>
  <c r="C1329" i="140"/>
  <c r="C1328" i="140"/>
  <c r="C1327" i="140"/>
  <c r="C1326" i="140"/>
  <c r="C1325" i="140"/>
  <c r="C1324" i="140"/>
  <c r="C1323" i="140"/>
  <c r="C1322" i="140"/>
  <c r="C1321" i="140"/>
  <c r="C1320" i="140"/>
  <c r="C1319" i="140"/>
  <c r="C1318" i="140"/>
  <c r="C1317" i="140"/>
  <c r="C1316" i="140"/>
  <c r="C1315" i="140"/>
  <c r="C1314" i="140"/>
  <c r="C1313" i="140"/>
  <c r="C1312" i="140"/>
  <c r="C1311" i="140"/>
  <c r="C1310" i="140"/>
  <c r="C1309" i="140"/>
  <c r="C1308" i="140"/>
  <c r="C1307" i="140"/>
  <c r="C1306" i="140"/>
  <c r="C1305" i="140"/>
  <c r="C1304" i="140"/>
  <c r="C1303" i="140"/>
  <c r="C1302" i="140"/>
  <c r="C1301" i="140"/>
  <c r="C1300" i="140"/>
  <c r="C1299" i="140"/>
  <c r="C1298" i="140"/>
  <c r="C1297" i="140"/>
  <c r="C1296" i="140"/>
  <c r="C1295" i="140"/>
  <c r="C1294" i="140"/>
  <c r="C1293" i="140"/>
  <c r="C1292" i="140"/>
  <c r="C1291" i="140"/>
  <c r="C1290" i="140"/>
  <c r="C1289" i="140"/>
  <c r="C1288" i="140"/>
  <c r="C1287" i="140"/>
  <c r="C1286" i="140"/>
  <c r="C1285" i="140"/>
  <c r="C1284" i="140"/>
  <c r="C1283" i="140"/>
  <c r="C1282" i="140"/>
  <c r="C1281" i="140"/>
  <c r="C1280" i="140"/>
  <c r="C1279" i="140"/>
  <c r="C1278" i="140"/>
  <c r="C1277" i="140"/>
  <c r="C1276" i="140"/>
  <c r="C1275" i="140"/>
  <c r="C1274" i="140"/>
  <c r="C1273" i="140"/>
  <c r="C1272" i="140"/>
  <c r="C1271" i="140"/>
  <c r="C1270" i="140"/>
  <c r="C1269" i="140"/>
  <c r="C1268" i="140"/>
  <c r="C1267" i="140"/>
  <c r="C1266" i="140"/>
  <c r="C1265" i="140"/>
  <c r="C1264" i="140"/>
  <c r="C1263" i="140"/>
  <c r="C1262" i="140"/>
  <c r="C1261" i="140"/>
  <c r="C1260" i="140"/>
  <c r="C1259" i="140"/>
  <c r="C1258" i="140"/>
  <c r="C1257" i="140"/>
  <c r="C1256" i="140"/>
  <c r="C1255" i="140"/>
  <c r="C1254" i="140"/>
  <c r="C1253" i="140"/>
  <c r="C1252" i="140"/>
  <c r="C1251" i="140"/>
  <c r="C1250" i="140"/>
  <c r="C1249" i="140"/>
  <c r="C1248" i="140"/>
  <c r="C1247" i="140"/>
  <c r="C1246" i="140"/>
  <c r="C1245" i="140"/>
  <c r="C1244" i="140"/>
  <c r="C1243" i="140"/>
  <c r="C1242" i="140"/>
  <c r="C1241" i="140"/>
  <c r="C1240" i="140"/>
  <c r="C1239" i="140"/>
  <c r="C1238" i="140"/>
  <c r="C1237" i="140"/>
  <c r="C1236" i="140"/>
  <c r="C1235" i="140"/>
  <c r="C1234" i="140"/>
  <c r="C1233" i="140"/>
  <c r="C1232" i="140"/>
  <c r="C1231" i="140"/>
  <c r="C1230" i="140"/>
  <c r="C1229" i="140"/>
  <c r="C1228" i="140"/>
  <c r="C1227" i="140"/>
  <c r="C1226" i="140"/>
  <c r="C1225" i="140"/>
  <c r="C1224" i="140"/>
  <c r="C1223" i="140"/>
  <c r="C1222" i="140"/>
  <c r="C1221" i="140"/>
  <c r="C1220" i="140"/>
  <c r="C1219" i="140"/>
  <c r="C1218" i="140"/>
  <c r="C1217" i="140"/>
  <c r="C1216" i="140"/>
  <c r="C1215" i="140"/>
  <c r="C1214" i="140"/>
  <c r="C1213" i="140"/>
  <c r="C1212" i="140"/>
  <c r="C1211" i="140"/>
  <c r="C1210" i="140"/>
  <c r="C1209" i="140"/>
  <c r="C1208" i="140"/>
  <c r="C1207" i="140"/>
  <c r="C1206" i="140"/>
  <c r="C1205" i="140"/>
  <c r="C1204" i="140"/>
  <c r="C1203" i="140"/>
  <c r="C1202" i="140"/>
  <c r="C1201" i="140"/>
  <c r="C1200" i="140"/>
  <c r="C1199" i="140"/>
  <c r="C1198" i="140"/>
  <c r="C1197" i="140"/>
  <c r="C1196" i="140"/>
  <c r="C1195" i="140"/>
  <c r="C1194" i="140"/>
  <c r="C1193" i="140"/>
  <c r="L1193" i="140" s="1"/>
  <c r="C1192" i="140"/>
  <c r="C1191" i="140"/>
  <c r="C1190" i="140"/>
  <c r="C1189" i="140"/>
  <c r="C1188" i="140"/>
  <c r="C1187" i="140"/>
  <c r="C1186" i="140"/>
  <c r="C1185" i="140"/>
  <c r="L1185" i="140" s="1"/>
  <c r="C1184" i="140"/>
  <c r="C1183" i="140"/>
  <c r="C1182" i="140"/>
  <c r="C1181" i="140"/>
  <c r="C1180" i="140"/>
  <c r="C1179" i="140"/>
  <c r="C1178" i="140"/>
  <c r="C1177" i="140"/>
  <c r="L1177" i="140" s="1"/>
  <c r="C1176" i="140"/>
  <c r="C1175" i="140"/>
  <c r="C1174" i="140"/>
  <c r="C1173" i="140"/>
  <c r="C1172" i="140"/>
  <c r="C1171" i="140"/>
  <c r="C1170" i="140"/>
  <c r="C1169" i="140"/>
  <c r="L1169" i="140" s="1"/>
  <c r="C1168" i="140"/>
  <c r="C1167" i="140"/>
  <c r="C1166" i="140"/>
  <c r="C1165" i="140"/>
  <c r="C1164" i="140"/>
  <c r="C1163" i="140"/>
  <c r="C1162" i="140"/>
  <c r="C1161" i="140"/>
  <c r="L1161" i="140" s="1"/>
  <c r="C1160" i="140"/>
  <c r="C1159" i="140"/>
  <c r="C1158" i="140"/>
  <c r="C1157" i="140"/>
  <c r="C1156" i="140"/>
  <c r="C1155" i="140"/>
  <c r="C1154" i="140"/>
  <c r="C1153" i="140"/>
  <c r="L1153" i="140" s="1"/>
  <c r="C1152" i="140"/>
  <c r="C1151" i="140"/>
  <c r="C1150" i="140"/>
  <c r="C1149" i="140"/>
  <c r="C1148" i="140"/>
  <c r="C1147" i="140"/>
  <c r="C1146" i="140"/>
  <c r="C1145" i="140"/>
  <c r="L1145" i="140" s="1"/>
  <c r="C1144" i="140"/>
  <c r="C1143" i="140"/>
  <c r="C1142" i="140"/>
  <c r="C1141" i="140"/>
  <c r="C1140" i="140"/>
  <c r="C1139" i="140"/>
  <c r="C1138" i="140"/>
  <c r="C1137" i="140"/>
  <c r="L1137" i="140" s="1"/>
  <c r="C1136" i="140"/>
  <c r="C1135" i="140"/>
  <c r="C1134" i="140"/>
  <c r="C1133" i="140"/>
  <c r="C1132" i="140"/>
  <c r="C1131" i="140"/>
  <c r="C1130" i="140"/>
  <c r="C1129" i="140"/>
  <c r="L1129" i="140" s="1"/>
  <c r="C1128" i="140"/>
  <c r="C1127" i="140"/>
  <c r="C1126" i="140"/>
  <c r="C1125" i="140"/>
  <c r="C1124" i="140"/>
  <c r="C1123" i="140"/>
  <c r="C1122" i="140"/>
  <c r="C1121" i="140"/>
  <c r="L1121" i="140" s="1"/>
  <c r="C1120" i="140"/>
  <c r="C1119" i="140"/>
  <c r="C1118" i="140"/>
  <c r="C1117" i="140"/>
  <c r="C1116" i="140"/>
  <c r="C1115" i="140"/>
  <c r="C1114" i="140"/>
  <c r="C1113" i="140"/>
  <c r="L1113" i="140" s="1"/>
  <c r="C1112" i="140"/>
  <c r="C1111" i="140"/>
  <c r="C1110" i="140"/>
  <c r="C1109" i="140"/>
  <c r="C1108" i="140"/>
  <c r="C1107" i="140"/>
  <c r="C1106" i="140"/>
  <c r="C1105" i="140"/>
  <c r="L1105" i="140" s="1"/>
  <c r="C1104" i="140"/>
  <c r="C1103" i="140"/>
  <c r="C1102" i="140"/>
  <c r="C1101" i="140"/>
  <c r="C1100" i="140"/>
  <c r="C1099" i="140"/>
  <c r="C1098" i="140"/>
  <c r="C1097" i="140"/>
  <c r="L1097" i="140" s="1"/>
  <c r="C1096" i="140"/>
  <c r="C1095" i="140"/>
  <c r="C1094" i="140"/>
  <c r="C1093" i="140"/>
  <c r="C1092" i="140"/>
  <c r="C1091" i="140"/>
  <c r="C1090" i="140"/>
  <c r="C1089" i="140"/>
  <c r="L1089" i="140" s="1"/>
  <c r="C1088" i="140"/>
  <c r="C1087" i="140"/>
  <c r="C1086" i="140"/>
  <c r="C1085" i="140"/>
  <c r="C1084" i="140"/>
  <c r="C1083" i="140"/>
  <c r="C1082" i="140"/>
  <c r="C1081" i="140"/>
  <c r="L1081" i="140" s="1"/>
  <c r="C1080" i="140"/>
  <c r="C1079" i="140"/>
  <c r="C1078" i="140"/>
  <c r="C1077" i="140"/>
  <c r="C1076" i="140"/>
  <c r="C1075" i="140"/>
  <c r="C1074" i="140"/>
  <c r="C1073" i="140"/>
  <c r="L1073" i="140" s="1"/>
  <c r="C1072" i="140"/>
  <c r="C1071" i="140"/>
  <c r="C1070" i="140"/>
  <c r="C1069" i="140"/>
  <c r="C1068" i="140"/>
  <c r="C1067" i="140"/>
  <c r="C1066" i="140"/>
  <c r="C1065" i="140"/>
  <c r="L1065" i="140" s="1"/>
  <c r="C1064" i="140"/>
  <c r="C1063" i="140"/>
  <c r="C1062" i="140"/>
  <c r="C1061" i="140"/>
  <c r="C1060" i="140"/>
  <c r="C1059" i="140"/>
  <c r="C1058" i="140"/>
  <c r="C1057" i="140"/>
  <c r="L1057" i="140" s="1"/>
  <c r="C1056" i="140"/>
  <c r="C1055" i="140"/>
  <c r="C1054" i="140"/>
  <c r="C1053" i="140"/>
  <c r="C1052" i="140"/>
  <c r="C1051" i="140"/>
  <c r="C1050" i="140"/>
  <c r="C1049" i="140"/>
  <c r="C1048" i="140"/>
  <c r="C1047" i="140"/>
  <c r="C1046" i="140"/>
  <c r="C1045" i="140"/>
  <c r="C1044" i="140"/>
  <c r="C1043" i="140"/>
  <c r="C1042" i="140"/>
  <c r="C1041" i="140"/>
  <c r="C1040" i="140"/>
  <c r="C1039" i="140"/>
  <c r="C1038" i="140"/>
  <c r="C1037" i="140"/>
  <c r="C1036" i="140"/>
  <c r="C1035" i="140"/>
  <c r="C1034" i="140"/>
  <c r="C1033" i="140"/>
  <c r="C1032" i="140"/>
  <c r="C1031" i="140"/>
  <c r="C1030" i="140"/>
  <c r="C1029" i="140"/>
  <c r="C1028" i="140"/>
  <c r="C1027" i="140"/>
  <c r="C1026" i="140"/>
  <c r="C1025" i="140"/>
  <c r="C1024" i="140"/>
  <c r="C1023" i="140"/>
  <c r="C1022" i="140"/>
  <c r="C1021" i="140"/>
  <c r="C1020" i="140"/>
  <c r="C1019" i="140"/>
  <c r="C1018" i="140"/>
  <c r="C1017" i="140"/>
  <c r="C1016" i="140"/>
  <c r="C1015" i="140"/>
  <c r="C1014" i="140"/>
  <c r="C1013" i="140"/>
  <c r="C1012" i="140"/>
  <c r="C1011" i="140"/>
  <c r="C1010" i="140"/>
  <c r="C1009" i="140"/>
  <c r="C1008" i="140"/>
  <c r="C1007" i="140"/>
  <c r="C1006" i="140"/>
  <c r="C1005" i="140"/>
  <c r="C1004" i="140"/>
  <c r="C1003" i="140"/>
  <c r="C1002" i="140"/>
  <c r="C1001" i="140"/>
  <c r="C1000" i="140"/>
  <c r="C999" i="140"/>
  <c r="C998" i="140"/>
  <c r="C997" i="140"/>
  <c r="C996" i="140"/>
  <c r="C995" i="140"/>
  <c r="C994" i="140"/>
  <c r="C993" i="140"/>
  <c r="C992" i="140"/>
  <c r="C991" i="140"/>
  <c r="C990" i="140"/>
  <c r="C989" i="140"/>
  <c r="C988" i="140"/>
  <c r="C987" i="140"/>
  <c r="C986" i="140"/>
  <c r="C985" i="140"/>
  <c r="C984" i="140"/>
  <c r="C983" i="140"/>
  <c r="C982" i="140"/>
  <c r="C981" i="140"/>
  <c r="C980" i="140"/>
  <c r="C979" i="140"/>
  <c r="C978" i="140"/>
  <c r="C977" i="140"/>
  <c r="C976" i="140"/>
  <c r="C975" i="140"/>
  <c r="C974" i="140"/>
  <c r="C973" i="140"/>
  <c r="C972" i="140"/>
  <c r="C971" i="140"/>
  <c r="C970" i="140"/>
  <c r="C969" i="140"/>
  <c r="C968" i="140"/>
  <c r="C967" i="140"/>
  <c r="C966" i="140"/>
  <c r="C965" i="140"/>
  <c r="C964" i="140"/>
  <c r="C963" i="140"/>
  <c r="C962" i="140"/>
  <c r="C961" i="140"/>
  <c r="C960" i="140"/>
  <c r="C959" i="140"/>
  <c r="C958" i="140"/>
  <c r="C957" i="140"/>
  <c r="C956" i="140"/>
  <c r="C955" i="140"/>
  <c r="C954" i="140"/>
  <c r="C953" i="140"/>
  <c r="C952" i="140"/>
  <c r="C951" i="140"/>
  <c r="C950" i="140"/>
  <c r="C949" i="140"/>
  <c r="C948" i="140"/>
  <c r="C947" i="140"/>
  <c r="C946" i="140"/>
  <c r="C945" i="140"/>
  <c r="C944" i="140"/>
  <c r="C943" i="140"/>
  <c r="C942" i="140"/>
  <c r="C941" i="140"/>
  <c r="C940" i="140"/>
  <c r="C939" i="140"/>
  <c r="C938" i="140"/>
  <c r="C937" i="140"/>
  <c r="C936" i="140"/>
  <c r="C935" i="140"/>
  <c r="C934" i="140"/>
  <c r="C933" i="140"/>
  <c r="C932" i="140"/>
  <c r="C931" i="140"/>
  <c r="C930" i="140"/>
  <c r="C929" i="140"/>
  <c r="C928" i="140"/>
  <c r="C927" i="140"/>
  <c r="C926" i="140"/>
  <c r="C925" i="140"/>
  <c r="C924" i="140"/>
  <c r="C923" i="140"/>
  <c r="C922" i="140"/>
  <c r="C921" i="140"/>
  <c r="C920" i="140"/>
  <c r="C919" i="140"/>
  <c r="C918" i="140"/>
  <c r="C917" i="140"/>
  <c r="C916" i="140"/>
  <c r="C915" i="140"/>
  <c r="C914" i="140"/>
  <c r="C913" i="140"/>
  <c r="C912" i="140"/>
  <c r="C911" i="140"/>
  <c r="C910" i="140"/>
  <c r="C909" i="140"/>
  <c r="C908" i="140"/>
  <c r="C907" i="140"/>
  <c r="C906" i="140"/>
  <c r="C905" i="140"/>
  <c r="C904" i="140"/>
  <c r="C903" i="140"/>
  <c r="C902" i="140"/>
  <c r="C901" i="140"/>
  <c r="C900" i="140"/>
  <c r="C899" i="140"/>
  <c r="C898" i="140"/>
  <c r="C897" i="140"/>
  <c r="C896" i="140"/>
  <c r="C895" i="140"/>
  <c r="C894" i="140"/>
  <c r="C893" i="140"/>
  <c r="C892" i="140"/>
  <c r="C891" i="140"/>
  <c r="C890" i="140"/>
  <c r="C889" i="140"/>
  <c r="C888" i="140"/>
  <c r="C887" i="140"/>
  <c r="C886" i="140"/>
  <c r="C885" i="140"/>
  <c r="C884" i="140"/>
  <c r="C883" i="140"/>
  <c r="C882" i="140"/>
  <c r="C881" i="140"/>
  <c r="C880" i="140"/>
  <c r="C879" i="140"/>
  <c r="C878" i="140"/>
  <c r="C877" i="140"/>
  <c r="C876" i="140"/>
  <c r="C875" i="140"/>
  <c r="C874" i="140"/>
  <c r="C873" i="140"/>
  <c r="C872" i="140"/>
  <c r="C871" i="140"/>
  <c r="C870" i="140"/>
  <c r="C869" i="140"/>
  <c r="C868" i="140"/>
  <c r="C867" i="140"/>
  <c r="C866" i="140"/>
  <c r="C865" i="140"/>
  <c r="C864" i="140"/>
  <c r="C863" i="140"/>
  <c r="C862" i="140"/>
  <c r="C861" i="140"/>
  <c r="C860" i="140"/>
  <c r="C859" i="140"/>
  <c r="C858" i="140"/>
  <c r="C857" i="140"/>
  <c r="C856" i="140"/>
  <c r="C855" i="140"/>
  <c r="C854" i="140"/>
  <c r="C853" i="140"/>
  <c r="C852" i="140"/>
  <c r="C851" i="140"/>
  <c r="C850" i="140"/>
  <c r="C849" i="140"/>
  <c r="C848" i="140"/>
  <c r="C847" i="140"/>
  <c r="C846" i="140"/>
  <c r="C845" i="140"/>
  <c r="C844" i="140"/>
  <c r="C843" i="140"/>
  <c r="C842" i="140"/>
  <c r="C841" i="140"/>
  <c r="C840" i="140"/>
  <c r="C839" i="140"/>
  <c r="C838" i="140"/>
  <c r="C837" i="140"/>
  <c r="C836" i="140"/>
  <c r="C835" i="140"/>
  <c r="C834" i="140"/>
  <c r="C833" i="140"/>
  <c r="C832" i="140"/>
  <c r="C831" i="140"/>
  <c r="C830" i="140"/>
  <c r="C829" i="140"/>
  <c r="C828" i="140"/>
  <c r="C827" i="140"/>
  <c r="C826" i="140"/>
  <c r="C825" i="140"/>
  <c r="C824" i="140"/>
  <c r="C823" i="140"/>
  <c r="C822" i="140"/>
  <c r="C821" i="140"/>
  <c r="C820" i="140"/>
  <c r="C819" i="140"/>
  <c r="C818" i="140"/>
  <c r="C817" i="140"/>
  <c r="C816" i="140"/>
  <c r="C815" i="140"/>
  <c r="C814" i="140"/>
  <c r="C813" i="140"/>
  <c r="C812" i="140"/>
  <c r="C811" i="140"/>
  <c r="C810" i="140"/>
  <c r="C809" i="140"/>
  <c r="C808" i="140"/>
  <c r="C807" i="140"/>
  <c r="C806" i="140"/>
  <c r="C805" i="140"/>
  <c r="C804" i="140"/>
  <c r="C803" i="140"/>
  <c r="C802" i="140"/>
  <c r="C801" i="140"/>
  <c r="C800" i="140"/>
  <c r="C799" i="140"/>
  <c r="C798" i="140"/>
  <c r="C797" i="140"/>
  <c r="C796" i="140"/>
  <c r="C795" i="140"/>
  <c r="C794" i="140"/>
  <c r="C793" i="140"/>
  <c r="C792" i="140"/>
  <c r="C791" i="140"/>
  <c r="C790" i="140"/>
  <c r="C789" i="140"/>
  <c r="C788" i="140"/>
  <c r="C787" i="140"/>
  <c r="C786" i="140"/>
  <c r="C785" i="140"/>
  <c r="C784" i="140"/>
  <c r="C783" i="140"/>
  <c r="C782" i="140"/>
  <c r="C781" i="140"/>
  <c r="C780" i="140"/>
  <c r="C779" i="140"/>
  <c r="C778" i="140"/>
  <c r="C777" i="140"/>
  <c r="C776" i="140"/>
  <c r="C775" i="140"/>
  <c r="C774" i="140"/>
  <c r="C773" i="140"/>
  <c r="C772" i="140"/>
  <c r="C771" i="140"/>
  <c r="C770" i="140"/>
  <c r="C769" i="140"/>
  <c r="C768" i="140"/>
  <c r="C767" i="140"/>
  <c r="C766" i="140"/>
  <c r="C765" i="140"/>
  <c r="C764" i="140"/>
  <c r="C763" i="140"/>
  <c r="C762" i="140"/>
  <c r="C761" i="140"/>
  <c r="C760" i="140"/>
  <c r="C759" i="140"/>
  <c r="C758" i="140"/>
  <c r="C757" i="140"/>
  <c r="C756" i="140"/>
  <c r="C755" i="140"/>
  <c r="C754" i="140"/>
  <c r="C753" i="140"/>
  <c r="C752" i="140"/>
  <c r="C751" i="140"/>
  <c r="C750" i="140"/>
  <c r="C749" i="140"/>
  <c r="C748" i="140"/>
  <c r="C747" i="140"/>
  <c r="C746" i="140"/>
  <c r="C745" i="140"/>
  <c r="C744" i="140"/>
  <c r="C743" i="140"/>
  <c r="C742" i="140"/>
  <c r="C741" i="140"/>
  <c r="C740" i="140"/>
  <c r="C739" i="140"/>
  <c r="C738" i="140"/>
  <c r="C737" i="140"/>
  <c r="C736" i="140"/>
  <c r="C735" i="140"/>
  <c r="C734" i="140"/>
  <c r="C733" i="140"/>
  <c r="C732" i="140"/>
  <c r="C731" i="140"/>
  <c r="C730" i="140"/>
  <c r="C729" i="140"/>
  <c r="C728" i="140"/>
  <c r="C727" i="140"/>
  <c r="C726" i="140"/>
  <c r="C725" i="140"/>
  <c r="C724" i="140"/>
  <c r="C723" i="140"/>
  <c r="C722" i="140"/>
  <c r="C721" i="140"/>
  <c r="C720" i="140"/>
  <c r="C719" i="140"/>
  <c r="C718" i="140"/>
  <c r="C717" i="140"/>
  <c r="C716" i="140"/>
  <c r="C715" i="140"/>
  <c r="C714" i="140"/>
  <c r="C713" i="140"/>
  <c r="C712" i="140"/>
  <c r="C711" i="140"/>
  <c r="C710" i="140"/>
  <c r="C709" i="140"/>
  <c r="C708" i="140"/>
  <c r="C707" i="140"/>
  <c r="C706" i="140"/>
  <c r="C705" i="140"/>
  <c r="C704" i="140"/>
  <c r="C703" i="140"/>
  <c r="C702" i="140"/>
  <c r="C701" i="140"/>
  <c r="C700" i="140"/>
  <c r="C699" i="140"/>
  <c r="C698" i="140"/>
  <c r="C697" i="140"/>
  <c r="C696" i="140"/>
  <c r="C695" i="140"/>
  <c r="C694" i="140"/>
  <c r="C693" i="140"/>
  <c r="C692" i="140"/>
  <c r="C691" i="140"/>
  <c r="C690" i="140"/>
  <c r="C689" i="140"/>
  <c r="C688" i="140"/>
  <c r="C687" i="140"/>
  <c r="C686" i="140"/>
  <c r="C685" i="140"/>
  <c r="C684" i="140"/>
  <c r="C683" i="140"/>
  <c r="C682" i="140"/>
  <c r="C681" i="140"/>
  <c r="C680" i="140"/>
  <c r="C679" i="140"/>
  <c r="C678" i="140"/>
  <c r="C677" i="140"/>
  <c r="C676" i="140"/>
  <c r="C675" i="140"/>
  <c r="C674" i="140"/>
  <c r="C673" i="140"/>
  <c r="C672" i="140"/>
  <c r="C671" i="140"/>
  <c r="C670" i="140"/>
  <c r="C669" i="140"/>
  <c r="C668" i="140"/>
  <c r="C667" i="140"/>
  <c r="C666" i="140"/>
  <c r="C665" i="140"/>
  <c r="C664" i="140"/>
  <c r="C663" i="140"/>
  <c r="C662" i="140"/>
  <c r="C661" i="140"/>
  <c r="C660" i="140"/>
  <c r="C659" i="140"/>
  <c r="C658" i="140"/>
  <c r="C657" i="140"/>
  <c r="C656" i="140"/>
  <c r="C655" i="140"/>
  <c r="C654" i="140"/>
  <c r="C653" i="140"/>
  <c r="C652" i="140"/>
  <c r="C651" i="140"/>
  <c r="C650" i="140"/>
  <c r="C649" i="140"/>
  <c r="C648" i="140"/>
  <c r="C647" i="140"/>
  <c r="C646" i="140"/>
  <c r="C645" i="140"/>
  <c r="C644" i="140"/>
  <c r="C643" i="140"/>
  <c r="C642" i="140"/>
  <c r="C641" i="140"/>
  <c r="C640" i="140"/>
  <c r="C639" i="140"/>
  <c r="C638" i="140"/>
  <c r="C637" i="140"/>
  <c r="C636" i="140"/>
  <c r="C635" i="140"/>
  <c r="C634" i="140"/>
  <c r="C633" i="140"/>
  <c r="C632" i="140"/>
  <c r="C631" i="140"/>
  <c r="C630" i="140"/>
  <c r="C629" i="140"/>
  <c r="C628" i="140"/>
  <c r="C627" i="140"/>
  <c r="C626" i="140"/>
  <c r="C625" i="140"/>
  <c r="C624" i="140"/>
  <c r="C623" i="140"/>
  <c r="C622" i="140"/>
  <c r="C621" i="140"/>
  <c r="C620" i="140"/>
  <c r="C619" i="140"/>
  <c r="C618" i="140"/>
  <c r="C617" i="140"/>
  <c r="C616" i="140"/>
  <c r="C615" i="140"/>
  <c r="C614" i="140"/>
  <c r="C613" i="140"/>
  <c r="C612" i="140"/>
  <c r="C611" i="140"/>
  <c r="C610" i="140"/>
  <c r="C609" i="140"/>
  <c r="C608" i="140"/>
  <c r="C607" i="140"/>
  <c r="C606" i="140"/>
  <c r="C605" i="140"/>
  <c r="C604" i="140"/>
  <c r="C603" i="140"/>
  <c r="C602" i="140"/>
  <c r="C601" i="140"/>
  <c r="C600" i="140"/>
  <c r="C599" i="140"/>
  <c r="C598" i="140"/>
  <c r="C597" i="140"/>
  <c r="C596" i="140"/>
  <c r="C595" i="140"/>
  <c r="C594" i="140"/>
  <c r="C593" i="140"/>
  <c r="C592" i="140"/>
  <c r="C591" i="140"/>
  <c r="C590" i="140"/>
  <c r="C589" i="140"/>
  <c r="C588" i="140"/>
  <c r="C587" i="140"/>
  <c r="C586" i="140"/>
  <c r="C585" i="140"/>
  <c r="C584" i="140"/>
  <c r="C583" i="140"/>
  <c r="C582" i="140"/>
  <c r="C581" i="140"/>
  <c r="C580" i="140"/>
  <c r="C579" i="140"/>
  <c r="C578" i="140"/>
  <c r="C577" i="140"/>
  <c r="C576" i="140"/>
  <c r="C575" i="140"/>
  <c r="C574" i="140"/>
  <c r="C573" i="140"/>
  <c r="C572" i="140"/>
  <c r="C571" i="140"/>
  <c r="C570" i="140"/>
  <c r="C569" i="140"/>
  <c r="C568" i="140"/>
  <c r="C567" i="140"/>
  <c r="C566" i="140"/>
  <c r="C565" i="140"/>
  <c r="C564" i="140"/>
  <c r="C563" i="140"/>
  <c r="C562" i="140"/>
  <c r="C561" i="140"/>
  <c r="C560" i="140"/>
  <c r="C559" i="140"/>
  <c r="C558" i="140"/>
  <c r="C557" i="140"/>
  <c r="C556" i="140"/>
  <c r="C555" i="140"/>
  <c r="C554" i="140"/>
  <c r="C553" i="140"/>
  <c r="C552" i="140"/>
  <c r="C551" i="140"/>
  <c r="C550" i="140"/>
  <c r="C549" i="140"/>
  <c r="C548" i="140"/>
  <c r="C547" i="140"/>
  <c r="C546" i="140"/>
  <c r="C545" i="140"/>
  <c r="C544" i="140"/>
  <c r="C543" i="140"/>
  <c r="C542" i="140"/>
  <c r="C541" i="140"/>
  <c r="C540" i="140"/>
  <c r="C539" i="140"/>
  <c r="C538" i="140"/>
  <c r="C537" i="140"/>
  <c r="C536" i="140"/>
  <c r="C535" i="140"/>
  <c r="C534" i="140"/>
  <c r="C533" i="140"/>
  <c r="C532" i="140"/>
  <c r="C531" i="140"/>
  <c r="C530" i="140"/>
  <c r="C529" i="140"/>
  <c r="C528" i="140"/>
  <c r="C527" i="140"/>
  <c r="C526" i="140"/>
  <c r="C525" i="140"/>
  <c r="C524" i="140"/>
  <c r="C523" i="140"/>
  <c r="C522" i="140"/>
  <c r="C521" i="140"/>
  <c r="C520" i="140"/>
  <c r="C519" i="140"/>
  <c r="C518" i="140"/>
  <c r="C517" i="140"/>
  <c r="C516" i="140"/>
  <c r="C515" i="140"/>
  <c r="C514" i="140"/>
  <c r="C513" i="140"/>
  <c r="C512" i="140"/>
  <c r="C511" i="140"/>
  <c r="C510" i="140"/>
  <c r="C509" i="140"/>
  <c r="C508" i="140"/>
  <c r="C507" i="140"/>
  <c r="C506" i="140"/>
  <c r="C505" i="140"/>
  <c r="C504" i="140"/>
  <c r="C503" i="140"/>
  <c r="C502" i="140"/>
  <c r="C501" i="140"/>
  <c r="C500" i="140"/>
  <c r="C499" i="140"/>
  <c r="C498" i="140"/>
  <c r="C497" i="140"/>
  <c r="C496" i="140"/>
  <c r="C495" i="140"/>
  <c r="C494" i="140"/>
  <c r="C493" i="140"/>
  <c r="C492" i="140"/>
  <c r="C491" i="140"/>
  <c r="C490" i="140"/>
  <c r="C489" i="140"/>
  <c r="C488" i="140"/>
  <c r="C487" i="140"/>
  <c r="C486" i="140"/>
  <c r="C485" i="140"/>
  <c r="C484" i="140"/>
  <c r="C483" i="140"/>
  <c r="C482" i="140"/>
  <c r="C481" i="140"/>
  <c r="C480" i="140"/>
  <c r="C479" i="140"/>
  <c r="C478" i="140"/>
  <c r="C477" i="140"/>
  <c r="C476" i="140"/>
  <c r="C475" i="140"/>
  <c r="C474" i="140"/>
  <c r="C473" i="140"/>
  <c r="C472" i="140"/>
  <c r="C471" i="140"/>
  <c r="C470" i="140"/>
  <c r="C469" i="140"/>
  <c r="C468" i="140"/>
  <c r="C467" i="140"/>
  <c r="C466" i="140"/>
  <c r="C465" i="140"/>
  <c r="C464" i="140"/>
  <c r="C463" i="140"/>
  <c r="C462" i="140"/>
  <c r="C461" i="140"/>
  <c r="C460" i="140"/>
  <c r="C459" i="140"/>
  <c r="C458" i="140"/>
  <c r="C457" i="140"/>
  <c r="C456" i="140"/>
  <c r="C455" i="140"/>
  <c r="C454" i="140"/>
  <c r="C453" i="140"/>
  <c r="C452" i="140"/>
  <c r="C451" i="140"/>
  <c r="C450" i="140"/>
  <c r="C449" i="140"/>
  <c r="C448" i="140"/>
  <c r="C447" i="140"/>
  <c r="C446" i="140"/>
  <c r="C445" i="140"/>
  <c r="C444" i="140"/>
  <c r="C443" i="140"/>
  <c r="C442" i="140"/>
  <c r="C441" i="140"/>
  <c r="C440" i="140"/>
  <c r="C439" i="140"/>
  <c r="C438" i="140"/>
  <c r="C437" i="140"/>
  <c r="C436" i="140"/>
  <c r="C435" i="140"/>
  <c r="C434" i="140"/>
  <c r="C433" i="140"/>
  <c r="C432" i="140"/>
  <c r="C431" i="140"/>
  <c r="C430" i="140"/>
  <c r="C429" i="140"/>
  <c r="C428" i="140"/>
  <c r="C427" i="140"/>
  <c r="C426" i="140"/>
  <c r="C425" i="140"/>
  <c r="C424" i="140"/>
  <c r="C423" i="140"/>
  <c r="C422" i="140"/>
  <c r="C421" i="140"/>
  <c r="C420" i="140"/>
  <c r="C419" i="140"/>
  <c r="C418" i="140"/>
  <c r="C417" i="140"/>
  <c r="C416" i="140"/>
  <c r="C415" i="140"/>
  <c r="C414" i="140"/>
  <c r="C413" i="140"/>
  <c r="C412" i="140"/>
  <c r="C411" i="140"/>
  <c r="C410" i="140"/>
  <c r="C409" i="140"/>
  <c r="C408" i="140"/>
  <c r="C407" i="140"/>
  <c r="C406" i="140"/>
  <c r="C405" i="140"/>
  <c r="C404" i="140"/>
  <c r="C403" i="140"/>
  <c r="C402" i="140"/>
  <c r="C401" i="140"/>
  <c r="C400" i="140"/>
  <c r="C399" i="140"/>
  <c r="C398" i="140"/>
  <c r="C397" i="140"/>
  <c r="C396" i="140"/>
  <c r="C395" i="140"/>
  <c r="C394" i="140"/>
  <c r="C393" i="140"/>
  <c r="C392" i="140"/>
  <c r="C391" i="140"/>
  <c r="C390" i="140"/>
  <c r="C389" i="140"/>
  <c r="C388" i="140"/>
  <c r="C387" i="140"/>
  <c r="C386" i="140"/>
  <c r="C385" i="140"/>
  <c r="C384" i="140"/>
  <c r="C383" i="140"/>
  <c r="C382" i="140"/>
  <c r="C381" i="140"/>
  <c r="C380" i="140"/>
  <c r="C379" i="140"/>
  <c r="C378" i="140"/>
  <c r="C377" i="140"/>
  <c r="C376" i="140"/>
  <c r="C375" i="140"/>
  <c r="C374" i="140"/>
  <c r="C373" i="140"/>
  <c r="C372" i="140"/>
  <c r="C371" i="140"/>
  <c r="C370" i="140"/>
  <c r="C369" i="140"/>
  <c r="C368" i="140"/>
  <c r="C367" i="140"/>
  <c r="C366" i="140"/>
  <c r="C365" i="140"/>
  <c r="C364" i="140"/>
  <c r="C363" i="140"/>
  <c r="C362" i="140"/>
  <c r="C361" i="140"/>
  <c r="C360" i="140"/>
  <c r="C359" i="140"/>
  <c r="C358" i="140"/>
  <c r="C357" i="140"/>
  <c r="C356" i="140"/>
  <c r="C355" i="140"/>
  <c r="C354" i="140"/>
  <c r="C353" i="140"/>
  <c r="C352" i="140"/>
  <c r="C351" i="140"/>
  <c r="C350" i="140"/>
  <c r="C349" i="140"/>
  <c r="C348" i="140"/>
  <c r="C347" i="140"/>
  <c r="C346" i="140"/>
  <c r="C345" i="140"/>
  <c r="C344" i="140"/>
  <c r="C343" i="140"/>
  <c r="C342" i="140"/>
  <c r="C341" i="140"/>
  <c r="C340" i="140"/>
  <c r="C339" i="140"/>
  <c r="C338" i="140"/>
  <c r="C337" i="140"/>
  <c r="C336" i="140"/>
  <c r="C335" i="140"/>
  <c r="C334" i="140"/>
  <c r="C333" i="140"/>
  <c r="C332" i="140"/>
  <c r="C331" i="140"/>
  <c r="C330" i="140"/>
  <c r="C329" i="140"/>
  <c r="C328" i="140"/>
  <c r="C327" i="140"/>
  <c r="C326" i="140"/>
  <c r="C325" i="140"/>
  <c r="C324" i="140"/>
  <c r="C323" i="140"/>
  <c r="C322" i="140"/>
  <c r="C321" i="140"/>
  <c r="C320" i="140"/>
  <c r="C319" i="140"/>
  <c r="C318" i="140"/>
  <c r="C317" i="140"/>
  <c r="C316" i="140"/>
  <c r="C315" i="140"/>
  <c r="C314" i="140"/>
  <c r="C313" i="140"/>
  <c r="C312" i="140"/>
  <c r="C311" i="140"/>
  <c r="C310" i="140"/>
  <c r="C309" i="140"/>
  <c r="C308" i="140"/>
  <c r="C307" i="140"/>
  <c r="C306" i="140"/>
  <c r="C305" i="140"/>
  <c r="C304" i="140"/>
  <c r="C303" i="140"/>
  <c r="C302" i="140"/>
  <c r="C301" i="140"/>
  <c r="C300" i="140"/>
  <c r="C299" i="140"/>
  <c r="C298" i="140"/>
  <c r="C297" i="140"/>
  <c r="C296" i="140"/>
  <c r="C295" i="140"/>
  <c r="C294" i="140"/>
  <c r="C293" i="140"/>
  <c r="C292" i="140"/>
  <c r="C291" i="140"/>
  <c r="C290" i="140"/>
  <c r="C289" i="140"/>
  <c r="C288" i="140"/>
  <c r="C287" i="140"/>
  <c r="C286" i="140"/>
  <c r="C285" i="140"/>
  <c r="C284" i="140"/>
  <c r="C283" i="140"/>
  <c r="C282" i="140"/>
  <c r="C281" i="140"/>
  <c r="C280" i="140"/>
  <c r="C279" i="140"/>
  <c r="C278" i="140"/>
  <c r="C277" i="140"/>
  <c r="C276" i="140"/>
  <c r="C275" i="140"/>
  <c r="C274" i="140"/>
  <c r="C273" i="140"/>
  <c r="C272" i="140"/>
  <c r="C271" i="140"/>
  <c r="C270" i="140"/>
  <c r="C269" i="140"/>
  <c r="C268" i="140"/>
  <c r="C267" i="140"/>
  <c r="C266" i="140"/>
  <c r="C265" i="140"/>
  <c r="C264" i="140"/>
  <c r="C263" i="140"/>
  <c r="C262" i="140"/>
  <c r="C261" i="140"/>
  <c r="C260" i="140"/>
  <c r="C259" i="140"/>
  <c r="C258" i="140"/>
  <c r="C257" i="140"/>
  <c r="C256" i="140"/>
  <c r="C255" i="140"/>
  <c r="C254" i="140"/>
  <c r="C253" i="140"/>
  <c r="C252" i="140"/>
  <c r="C251" i="140"/>
  <c r="C250" i="140"/>
  <c r="C249" i="140"/>
  <c r="C248" i="140"/>
  <c r="C247" i="140"/>
  <c r="C246" i="140"/>
  <c r="C245" i="140"/>
  <c r="C244" i="140"/>
  <c r="C243" i="140"/>
  <c r="C242" i="140"/>
  <c r="C241" i="140"/>
  <c r="C240" i="140"/>
  <c r="C239" i="140"/>
  <c r="C238" i="140"/>
  <c r="C237" i="140"/>
  <c r="C236" i="140"/>
  <c r="C235" i="140"/>
  <c r="C234" i="140"/>
  <c r="C233" i="140"/>
  <c r="C232" i="140"/>
  <c r="C231" i="140"/>
  <c r="C230" i="140"/>
  <c r="C229" i="140"/>
  <c r="C228" i="140"/>
  <c r="C227" i="140"/>
  <c r="C226" i="140"/>
  <c r="C225" i="140"/>
  <c r="C224" i="140"/>
  <c r="C223" i="140"/>
  <c r="C222" i="140"/>
  <c r="C221" i="140"/>
  <c r="C220" i="140"/>
  <c r="C219" i="140"/>
  <c r="C218" i="140"/>
  <c r="C217" i="140"/>
  <c r="C216" i="140"/>
  <c r="C215" i="140"/>
  <c r="C214" i="140"/>
  <c r="C213" i="140"/>
  <c r="C212" i="140"/>
  <c r="C211" i="140"/>
  <c r="C210" i="140"/>
  <c r="C209" i="140"/>
  <c r="C208" i="140"/>
  <c r="C207" i="140"/>
  <c r="C206" i="140"/>
  <c r="C205" i="140"/>
  <c r="C204" i="140"/>
  <c r="C203" i="140"/>
  <c r="C202" i="140"/>
  <c r="C201" i="140"/>
  <c r="C200" i="140"/>
  <c r="C199" i="140"/>
  <c r="C198" i="140"/>
  <c r="C197" i="140"/>
  <c r="C196" i="140"/>
  <c r="C195" i="140"/>
  <c r="C194" i="140"/>
  <c r="C193" i="140"/>
  <c r="C192" i="140"/>
  <c r="C191" i="140"/>
  <c r="C190" i="140"/>
  <c r="C189" i="140"/>
  <c r="C188" i="140"/>
  <c r="C187" i="140"/>
  <c r="C186" i="140"/>
  <c r="C185" i="140"/>
  <c r="C184" i="140"/>
  <c r="C183" i="140"/>
  <c r="C182" i="140"/>
  <c r="C181" i="140"/>
  <c r="C180" i="140"/>
  <c r="C179" i="140"/>
  <c r="C178" i="140"/>
  <c r="C177" i="140"/>
  <c r="C176" i="140"/>
  <c r="C175" i="140"/>
  <c r="C174" i="140"/>
  <c r="C173" i="140"/>
  <c r="C172" i="140"/>
  <c r="C171" i="140"/>
  <c r="C170" i="140"/>
  <c r="C169" i="140"/>
  <c r="C168" i="140"/>
  <c r="C167" i="140"/>
  <c r="C166" i="140"/>
  <c r="C165" i="140"/>
  <c r="C164" i="140"/>
  <c r="C163" i="140"/>
  <c r="C162" i="140"/>
  <c r="C161" i="140"/>
  <c r="C160" i="140"/>
  <c r="C159" i="140"/>
  <c r="C158" i="140"/>
  <c r="C157" i="140"/>
  <c r="C156" i="140"/>
  <c r="C155" i="140"/>
  <c r="C154" i="140"/>
  <c r="C153" i="140"/>
  <c r="C152" i="140"/>
  <c r="C151" i="140"/>
  <c r="C150" i="140"/>
  <c r="C149" i="140"/>
  <c r="C148" i="140"/>
  <c r="C147" i="140"/>
  <c r="C146" i="140"/>
  <c r="C145" i="140"/>
  <c r="C144" i="140"/>
  <c r="C143" i="140"/>
  <c r="C142" i="140"/>
  <c r="C141" i="140"/>
  <c r="C140" i="140"/>
  <c r="C139" i="140"/>
  <c r="C138" i="140"/>
  <c r="C137" i="140"/>
  <c r="C136" i="140"/>
  <c r="C135" i="140"/>
  <c r="C134" i="140"/>
  <c r="C133" i="140"/>
  <c r="C132" i="140"/>
  <c r="C131" i="140"/>
  <c r="C130" i="140"/>
  <c r="C129" i="140"/>
  <c r="C128" i="140"/>
  <c r="C127" i="140"/>
  <c r="C126" i="140"/>
  <c r="C125" i="140"/>
  <c r="C124" i="140"/>
  <c r="C123" i="140"/>
  <c r="C122" i="140"/>
  <c r="C121" i="140"/>
  <c r="C120" i="140"/>
  <c r="C119" i="140"/>
  <c r="C118" i="140"/>
  <c r="C117" i="140"/>
  <c r="C116" i="140"/>
  <c r="C115" i="140"/>
  <c r="C114" i="140"/>
  <c r="C113" i="140"/>
  <c r="C112" i="140"/>
  <c r="C111" i="140"/>
  <c r="C110" i="140"/>
  <c r="C109" i="140"/>
  <c r="C108" i="140"/>
  <c r="C107" i="140"/>
  <c r="C106" i="140"/>
  <c r="C105" i="140"/>
  <c r="C104" i="140"/>
  <c r="C103" i="140"/>
  <c r="C102" i="140"/>
  <c r="C101" i="140"/>
  <c r="C100" i="140"/>
  <c r="C99" i="140"/>
  <c r="C98" i="140"/>
  <c r="C97" i="140"/>
  <c r="C96" i="140"/>
  <c r="C95" i="140"/>
  <c r="C94" i="140"/>
  <c r="C93" i="140"/>
  <c r="C92" i="140"/>
  <c r="C91" i="140"/>
  <c r="C90" i="140"/>
  <c r="C89" i="140"/>
  <c r="C88" i="140"/>
  <c r="C87" i="140"/>
  <c r="C86" i="140"/>
  <c r="C85" i="140"/>
  <c r="C84" i="140"/>
  <c r="C83" i="140"/>
  <c r="C82" i="140"/>
  <c r="C81" i="140"/>
  <c r="C80" i="140"/>
  <c r="C79" i="140"/>
  <c r="C78" i="140"/>
  <c r="L1053" i="140" l="1"/>
  <c r="L1061" i="140"/>
  <c r="L1069" i="140"/>
  <c r="L1077" i="140"/>
  <c r="L1085" i="140"/>
  <c r="L1093" i="140"/>
  <c r="L1101" i="140"/>
  <c r="L1109" i="140"/>
  <c r="L1117" i="140"/>
  <c r="L1125" i="140"/>
  <c r="L1133" i="140"/>
  <c r="L1141" i="140"/>
  <c r="L1149" i="140"/>
  <c r="L1157" i="140"/>
  <c r="L1165" i="140"/>
  <c r="L1173" i="140"/>
  <c r="L1181" i="140"/>
  <c r="L1189" i="140"/>
  <c r="L1197" i="140"/>
  <c r="L86" i="140"/>
  <c r="L98" i="140"/>
  <c r="L106" i="140"/>
  <c r="L118" i="140"/>
  <c r="L134" i="140"/>
  <c r="L146" i="140"/>
  <c r="L158" i="140"/>
  <c r="L174" i="140"/>
  <c r="L90" i="140"/>
  <c r="L102" i="140"/>
  <c r="L114" i="140"/>
  <c r="L122" i="140"/>
  <c r="L130" i="140"/>
  <c r="L142" i="140"/>
  <c r="L154" i="140"/>
  <c r="L166" i="140"/>
  <c r="L178" i="140"/>
  <c r="L82" i="140"/>
  <c r="L94" i="140"/>
  <c r="L110" i="140"/>
  <c r="L126" i="140"/>
  <c r="L138" i="140"/>
  <c r="L150" i="140"/>
  <c r="L162" i="140"/>
  <c r="L170" i="140"/>
  <c r="L182" i="140"/>
  <c r="L186" i="140"/>
  <c r="L194" i="140"/>
  <c r="L206" i="140"/>
  <c r="L218" i="140"/>
  <c r="L234" i="140"/>
  <c r="L246" i="140"/>
  <c r="L258" i="140"/>
  <c r="L270" i="140"/>
  <c r="L282" i="140"/>
  <c r="L294" i="140"/>
  <c r="L298" i="140"/>
  <c r="L310" i="140"/>
  <c r="L322" i="140"/>
  <c r="L334" i="140"/>
  <c r="L346" i="140"/>
  <c r="L358" i="140"/>
  <c r="L370" i="140"/>
  <c r="L378" i="140"/>
  <c r="L394" i="140"/>
  <c r="L406" i="140"/>
  <c r="L418" i="140"/>
  <c r="L430" i="140"/>
  <c r="L442" i="140"/>
  <c r="L458" i="140"/>
  <c r="L470" i="140"/>
  <c r="L482" i="140"/>
  <c r="L494" i="140"/>
  <c r="L502" i="140"/>
  <c r="L514" i="140"/>
  <c r="L526" i="140"/>
  <c r="L538" i="140"/>
  <c r="L546" i="140"/>
  <c r="L558" i="140"/>
  <c r="L570" i="140"/>
  <c r="L582" i="140"/>
  <c r="L594" i="140"/>
  <c r="L606" i="140"/>
  <c r="L614" i="140"/>
  <c r="L630" i="140"/>
  <c r="L638" i="140"/>
  <c r="L650" i="140"/>
  <c r="L666" i="140"/>
  <c r="L674" i="140"/>
  <c r="L686" i="140"/>
  <c r="L698" i="140"/>
  <c r="L710" i="140"/>
  <c r="L722" i="140"/>
  <c r="L738" i="140"/>
  <c r="L750" i="140"/>
  <c r="L758" i="140"/>
  <c r="L774" i="140"/>
  <c r="L786" i="140"/>
  <c r="L794" i="140"/>
  <c r="L806" i="140"/>
  <c r="L818" i="140"/>
  <c r="L830" i="140"/>
  <c r="L842" i="140"/>
  <c r="L854" i="140"/>
  <c r="L870" i="140"/>
  <c r="L882" i="140"/>
  <c r="L894" i="140"/>
  <c r="L906" i="140"/>
  <c r="L918" i="140"/>
  <c r="L926" i="140"/>
  <c r="L942" i="140"/>
  <c r="L954" i="140"/>
  <c r="L966" i="140"/>
  <c r="L978" i="140"/>
  <c r="L986" i="140"/>
  <c r="L998" i="140"/>
  <c r="L1010" i="140"/>
  <c r="L1018" i="140"/>
  <c r="L1022" i="140"/>
  <c r="L1026" i="140"/>
  <c r="L1030" i="140"/>
  <c r="L1034" i="140"/>
  <c r="L1038" i="140"/>
  <c r="L1046" i="140"/>
  <c r="L1054" i="140"/>
  <c r="L1058" i="140"/>
  <c r="L1062" i="140"/>
  <c r="L1066" i="140"/>
  <c r="L1070" i="140"/>
  <c r="L1074" i="140"/>
  <c r="L1078" i="140"/>
  <c r="L190" i="140"/>
  <c r="L198" i="140"/>
  <c r="L210" i="140"/>
  <c r="L222" i="140"/>
  <c r="L230" i="140"/>
  <c r="L242" i="140"/>
  <c r="L254" i="140"/>
  <c r="L266" i="140"/>
  <c r="L278" i="140"/>
  <c r="L286" i="140"/>
  <c r="L302" i="140"/>
  <c r="L314" i="140"/>
  <c r="L326" i="140"/>
  <c r="L338" i="140"/>
  <c r="L350" i="140"/>
  <c r="L362" i="140"/>
  <c r="L374" i="140"/>
  <c r="L382" i="140"/>
  <c r="L390" i="140"/>
  <c r="L402" i="140"/>
  <c r="L414" i="140"/>
  <c r="L422" i="140"/>
  <c r="L434" i="140"/>
  <c r="L446" i="140"/>
  <c r="L454" i="140"/>
  <c r="L466" i="140"/>
  <c r="L478" i="140"/>
  <c r="L490" i="140"/>
  <c r="L506" i="140"/>
  <c r="L518" i="140"/>
  <c r="L530" i="140"/>
  <c r="L542" i="140"/>
  <c r="L550" i="140"/>
  <c r="L562" i="140"/>
  <c r="L574" i="140"/>
  <c r="L586" i="140"/>
  <c r="L598" i="140"/>
  <c r="L610" i="140"/>
  <c r="L618" i="140"/>
  <c r="L626" i="140"/>
  <c r="L642" i="140"/>
  <c r="L654" i="140"/>
  <c r="L662" i="140"/>
  <c r="L678" i="140"/>
  <c r="L690" i="140"/>
  <c r="L702" i="140"/>
  <c r="L714" i="140"/>
  <c r="L726" i="140"/>
  <c r="L734" i="140"/>
  <c r="L746" i="140"/>
  <c r="L762" i="140"/>
  <c r="L770" i="140"/>
  <c r="L782" i="140"/>
  <c r="L798" i="140"/>
  <c r="L810" i="140"/>
  <c r="L822" i="140"/>
  <c r="L834" i="140"/>
  <c r="L846" i="140"/>
  <c r="L858" i="140"/>
  <c r="L866" i="140"/>
  <c r="L878" i="140"/>
  <c r="L890" i="140"/>
  <c r="L902" i="140"/>
  <c r="L914" i="140"/>
  <c r="L930" i="140"/>
  <c r="L938" i="140"/>
  <c r="L950" i="140"/>
  <c r="L962" i="140"/>
  <c r="L974" i="140"/>
  <c r="L990" i="140"/>
  <c r="L1006" i="140"/>
  <c r="L1042" i="140"/>
  <c r="L79" i="140"/>
  <c r="L87" i="140"/>
  <c r="L95" i="140"/>
  <c r="L103" i="140"/>
  <c r="L123" i="140"/>
  <c r="L202" i="140"/>
  <c r="L214" i="140"/>
  <c r="L226" i="140"/>
  <c r="L238" i="140"/>
  <c r="L250" i="140"/>
  <c r="L262" i="140"/>
  <c r="L274" i="140"/>
  <c r="L290" i="140"/>
  <c r="L306" i="140"/>
  <c r="L318" i="140"/>
  <c r="L330" i="140"/>
  <c r="L342" i="140"/>
  <c r="L354" i="140"/>
  <c r="L366" i="140"/>
  <c r="L386" i="140"/>
  <c r="L398" i="140"/>
  <c r="L410" i="140"/>
  <c r="L426" i="140"/>
  <c r="L438" i="140"/>
  <c r="L450" i="140"/>
  <c r="L462" i="140"/>
  <c r="L474" i="140"/>
  <c r="L486" i="140"/>
  <c r="L498" i="140"/>
  <c r="L510" i="140"/>
  <c r="L522" i="140"/>
  <c r="L534" i="140"/>
  <c r="L554" i="140"/>
  <c r="L566" i="140"/>
  <c r="L578" i="140"/>
  <c r="L590" i="140"/>
  <c r="L602" i="140"/>
  <c r="L622" i="140"/>
  <c r="L634" i="140"/>
  <c r="L646" i="140"/>
  <c r="L658" i="140"/>
  <c r="L670" i="140"/>
  <c r="L682" i="140"/>
  <c r="L694" i="140"/>
  <c r="L706" i="140"/>
  <c r="L718" i="140"/>
  <c r="L730" i="140"/>
  <c r="L742" i="140"/>
  <c r="L754" i="140"/>
  <c r="L766" i="140"/>
  <c r="L778" i="140"/>
  <c r="L790" i="140"/>
  <c r="L802" i="140"/>
  <c r="L814" i="140"/>
  <c r="L826" i="140"/>
  <c r="L838" i="140"/>
  <c r="L850" i="140"/>
  <c r="L862" i="140"/>
  <c r="L874" i="140"/>
  <c r="L886" i="140"/>
  <c r="L898" i="140"/>
  <c r="L910" i="140"/>
  <c r="L922" i="140"/>
  <c r="L934" i="140"/>
  <c r="L946" i="140"/>
  <c r="L958" i="140"/>
  <c r="L970" i="140"/>
  <c r="L982" i="140"/>
  <c r="L994" i="140"/>
  <c r="L1002" i="140"/>
  <c r="L1014" i="140"/>
  <c r="L83" i="140"/>
  <c r="L91" i="140"/>
  <c r="L99" i="140"/>
  <c r="L107" i="140"/>
  <c r="L111" i="140"/>
  <c r="L115" i="140"/>
  <c r="L119" i="140"/>
  <c r="L1082" i="140"/>
  <c r="L1086" i="140"/>
  <c r="L1090" i="140"/>
  <c r="L1094" i="140"/>
  <c r="L1098" i="140"/>
  <c r="L1102" i="140"/>
  <c r="L1106" i="140"/>
  <c r="L1110" i="140"/>
  <c r="L1114" i="140"/>
  <c r="L1118" i="140"/>
  <c r="L1122" i="140"/>
  <c r="L1126" i="140"/>
  <c r="L1130" i="140"/>
  <c r="L1134" i="140"/>
  <c r="L1138" i="140"/>
  <c r="L1142" i="140"/>
  <c r="L1146" i="140"/>
  <c r="L1150" i="140"/>
  <c r="L1154" i="140"/>
  <c r="L1158" i="140"/>
  <c r="L1162" i="140"/>
  <c r="L1166" i="140"/>
  <c r="L1170" i="140"/>
  <c r="L1174" i="140"/>
  <c r="L1178" i="140"/>
  <c r="L1182" i="140"/>
  <c r="L1186" i="140"/>
  <c r="L1190" i="140"/>
  <c r="L1194" i="140"/>
  <c r="L1198" i="140"/>
  <c r="L131" i="140"/>
  <c r="L139" i="140"/>
  <c r="L147" i="140"/>
  <c r="L155" i="140"/>
  <c r="L167" i="140"/>
  <c r="L175" i="140"/>
  <c r="L183" i="140"/>
  <c r="L195" i="140"/>
  <c r="L203" i="140"/>
  <c r="L211" i="140"/>
  <c r="L219" i="140"/>
  <c r="L227" i="140"/>
  <c r="L231" i="140"/>
  <c r="L235" i="140"/>
  <c r="L239" i="140"/>
  <c r="L243" i="140"/>
  <c r="L247" i="140"/>
  <c r="L251" i="140"/>
  <c r="L255" i="140"/>
  <c r="L259" i="140"/>
  <c r="L263" i="140"/>
  <c r="L267" i="140"/>
  <c r="L271" i="140"/>
  <c r="L275" i="140"/>
  <c r="L279" i="140"/>
  <c r="L283" i="140"/>
  <c r="L287" i="140"/>
  <c r="L291" i="140"/>
  <c r="L295" i="140"/>
  <c r="L299" i="140"/>
  <c r="L303" i="140"/>
  <c r="L307" i="140"/>
  <c r="L311" i="140"/>
  <c r="L315" i="140"/>
  <c r="L319" i="140"/>
  <c r="L323" i="140"/>
  <c r="L327" i="140"/>
  <c r="L331" i="140"/>
  <c r="L335" i="140"/>
  <c r="L339" i="140"/>
  <c r="L343" i="140"/>
  <c r="L347" i="140"/>
  <c r="L351" i="140"/>
  <c r="L355" i="140"/>
  <c r="L359" i="140"/>
  <c r="L363" i="140"/>
  <c r="L367" i="140"/>
  <c r="L371" i="140"/>
  <c r="L375" i="140"/>
  <c r="L379" i="140"/>
  <c r="L383" i="140"/>
  <c r="L387" i="140"/>
  <c r="L391" i="140"/>
  <c r="L395" i="140"/>
  <c r="L399" i="140"/>
  <c r="L403" i="140"/>
  <c r="L407" i="140"/>
  <c r="L411" i="140"/>
  <c r="L415" i="140"/>
  <c r="L419" i="140"/>
  <c r="L423" i="140"/>
  <c r="L427" i="140"/>
  <c r="L431" i="140"/>
  <c r="L435" i="140"/>
  <c r="L439" i="140"/>
  <c r="L443" i="140"/>
  <c r="L447" i="140"/>
  <c r="L451" i="140"/>
  <c r="L455" i="140"/>
  <c r="L459" i="140"/>
  <c r="L463" i="140"/>
  <c r="L467" i="140"/>
  <c r="L471" i="140"/>
  <c r="L475" i="140"/>
  <c r="L479" i="140"/>
  <c r="L483" i="140"/>
  <c r="L487" i="140"/>
  <c r="L491" i="140"/>
  <c r="L495" i="140"/>
  <c r="L499" i="140"/>
  <c r="L503" i="140"/>
  <c r="L507" i="140"/>
  <c r="L511" i="140"/>
  <c r="L515" i="140"/>
  <c r="L519" i="140"/>
  <c r="L523" i="140"/>
  <c r="L527" i="140"/>
  <c r="L531" i="140"/>
  <c r="L535" i="140"/>
  <c r="L539" i="140"/>
  <c r="L543" i="140"/>
  <c r="L547" i="140"/>
  <c r="L551" i="140"/>
  <c r="L555" i="140"/>
  <c r="L559" i="140"/>
  <c r="L563" i="140"/>
  <c r="L567" i="140"/>
  <c r="L571" i="140"/>
  <c r="L575" i="140"/>
  <c r="L579" i="140"/>
  <c r="L583" i="140"/>
  <c r="L587" i="140"/>
  <c r="L591" i="140"/>
  <c r="L595" i="140"/>
  <c r="L599" i="140"/>
  <c r="L603" i="140"/>
  <c r="L607" i="140"/>
  <c r="L611" i="140"/>
  <c r="L615" i="140"/>
  <c r="L619" i="140"/>
  <c r="L623" i="140"/>
  <c r="L627" i="140"/>
  <c r="L631" i="140"/>
  <c r="L635" i="140"/>
  <c r="L639" i="140"/>
  <c r="L643" i="140"/>
  <c r="L647" i="140"/>
  <c r="L651" i="140"/>
  <c r="L655" i="140"/>
  <c r="L659" i="140"/>
  <c r="L663" i="140"/>
  <c r="L667" i="140"/>
  <c r="L671" i="140"/>
  <c r="L675" i="140"/>
  <c r="L679" i="140"/>
  <c r="L683" i="140"/>
  <c r="L687" i="140"/>
  <c r="L691" i="140"/>
  <c r="L695" i="140"/>
  <c r="L699" i="140"/>
  <c r="L703" i="140"/>
  <c r="L707" i="140"/>
  <c r="L711" i="140"/>
  <c r="L715" i="140"/>
  <c r="L719" i="140"/>
  <c r="L723" i="140"/>
  <c r="L727" i="140"/>
  <c r="L731" i="140"/>
  <c r="L735" i="140"/>
  <c r="L739" i="140"/>
  <c r="L743" i="140"/>
  <c r="L747" i="140"/>
  <c r="L751" i="140"/>
  <c r="L755" i="140"/>
  <c r="L759" i="140"/>
  <c r="L763" i="140"/>
  <c r="L767" i="140"/>
  <c r="L771" i="140"/>
  <c r="L775" i="140"/>
  <c r="L779" i="140"/>
  <c r="L783" i="140"/>
  <c r="L787" i="140"/>
  <c r="L791" i="140"/>
  <c r="L795" i="140"/>
  <c r="L799" i="140"/>
  <c r="L803" i="140"/>
  <c r="L807" i="140"/>
  <c r="L811" i="140"/>
  <c r="L815" i="140"/>
  <c r="L819" i="140"/>
  <c r="L823" i="140"/>
  <c r="L827" i="140"/>
  <c r="L831" i="140"/>
  <c r="L835" i="140"/>
  <c r="L839" i="140"/>
  <c r="L843" i="140"/>
  <c r="L847" i="140"/>
  <c r="L851" i="140"/>
  <c r="L855" i="140"/>
  <c r="L859" i="140"/>
  <c r="L127" i="140"/>
  <c r="L135" i="140"/>
  <c r="L143" i="140"/>
  <c r="L151" i="140"/>
  <c r="L159" i="140"/>
  <c r="L163" i="140"/>
  <c r="L171" i="140"/>
  <c r="L179" i="140"/>
  <c r="L187" i="140"/>
  <c r="L191" i="140"/>
  <c r="L199" i="140"/>
  <c r="L207" i="140"/>
  <c r="L215" i="140"/>
  <c r="L223" i="140"/>
  <c r="L863" i="140"/>
  <c r="L867" i="140"/>
  <c r="L871" i="140"/>
  <c r="L875" i="140"/>
  <c r="L879" i="140"/>
  <c r="L883" i="140"/>
  <c r="L887" i="140"/>
  <c r="L891" i="140"/>
  <c r="L895" i="140"/>
  <c r="L899" i="140"/>
  <c r="L903" i="140"/>
  <c r="L907" i="140"/>
  <c r="L911" i="140"/>
  <c r="L915" i="140"/>
  <c r="L919" i="140"/>
  <c r="L923" i="140"/>
  <c r="L927" i="140"/>
  <c r="L931" i="140"/>
  <c r="L935" i="140"/>
  <c r="L939" i="140"/>
  <c r="L943" i="140"/>
  <c r="L947" i="140"/>
  <c r="L951" i="140"/>
  <c r="L955" i="140"/>
  <c r="L959" i="140"/>
  <c r="L963" i="140"/>
  <c r="L967" i="140"/>
  <c r="L971" i="140"/>
  <c r="L975" i="140"/>
  <c r="L979" i="140"/>
  <c r="L983" i="140"/>
  <c r="L987" i="140"/>
  <c r="L991" i="140"/>
  <c r="L995" i="140"/>
  <c r="L999" i="140"/>
  <c r="L1003" i="140"/>
  <c r="L1007" i="140"/>
  <c r="L1011" i="140"/>
  <c r="L1015" i="140"/>
  <c r="L1019" i="140"/>
  <c r="L1023" i="140"/>
  <c r="L1027" i="140"/>
  <c r="L1031" i="140"/>
  <c r="L1035" i="140"/>
  <c r="L1039" i="140"/>
  <c r="L1043" i="140"/>
  <c r="L1047" i="140"/>
  <c r="L1051" i="140"/>
  <c r="L1055" i="140"/>
  <c r="L1059" i="140"/>
  <c r="L1063" i="140"/>
  <c r="L1067" i="140"/>
  <c r="L1071" i="140"/>
  <c r="L1075" i="140"/>
  <c r="L1079" i="140"/>
  <c r="L1083" i="140"/>
  <c r="L1087" i="140"/>
  <c r="L1091" i="140"/>
  <c r="L1095" i="140"/>
  <c r="L1099" i="140"/>
  <c r="L1103" i="140"/>
  <c r="L1107" i="140"/>
  <c r="L1111" i="140"/>
  <c r="L1115" i="140"/>
  <c r="L1119" i="140"/>
  <c r="L1123" i="140"/>
  <c r="L1127" i="140"/>
  <c r="L1131" i="140"/>
  <c r="L1135" i="140"/>
  <c r="L1139" i="140"/>
  <c r="L1143" i="140"/>
  <c r="L1147" i="140"/>
  <c r="L1151" i="140"/>
  <c r="L1155" i="140"/>
  <c r="L1159" i="140"/>
  <c r="L1163" i="140"/>
  <c r="L1167" i="140"/>
  <c r="L1171" i="140"/>
  <c r="L1175" i="140"/>
  <c r="L1179" i="140"/>
  <c r="L1183" i="140"/>
  <c r="L1187" i="140"/>
  <c r="L1191" i="140"/>
  <c r="L1195" i="140"/>
  <c r="L1199" i="140"/>
  <c r="L1050" i="140"/>
  <c r="L80" i="140"/>
  <c r="L88" i="140"/>
  <c r="L92" i="140"/>
  <c r="L96" i="140"/>
  <c r="L100" i="140"/>
  <c r="L104" i="140"/>
  <c r="L108" i="140"/>
  <c r="L112" i="140"/>
  <c r="L116" i="140"/>
  <c r="L120" i="140"/>
  <c r="L124" i="140"/>
  <c r="L128" i="140"/>
  <c r="L132" i="140"/>
  <c r="L136" i="140"/>
  <c r="L140" i="140"/>
  <c r="L144" i="140"/>
  <c r="L148" i="140"/>
  <c r="L152" i="140"/>
  <c r="L156" i="140"/>
  <c r="L160" i="140"/>
  <c r="L164" i="140"/>
  <c r="L168" i="140"/>
  <c r="L172" i="140"/>
  <c r="L176" i="140"/>
  <c r="L180" i="140"/>
  <c r="L184" i="140"/>
  <c r="L188" i="140"/>
  <c r="L192" i="140"/>
  <c r="L196" i="140"/>
  <c r="L200" i="140"/>
  <c r="L204" i="140"/>
  <c r="L208" i="140"/>
  <c r="L212" i="140"/>
  <c r="L216" i="140"/>
  <c r="L220" i="140"/>
  <c r="L224" i="140"/>
  <c r="L228" i="140"/>
  <c r="L232" i="140"/>
  <c r="L236" i="140"/>
  <c r="L240" i="140"/>
  <c r="L244" i="140"/>
  <c r="L248" i="140"/>
  <c r="L252" i="140"/>
  <c r="L256" i="140"/>
  <c r="L260" i="140"/>
  <c r="L264" i="140"/>
  <c r="L268" i="140"/>
  <c r="L272" i="140"/>
  <c r="L276" i="140"/>
  <c r="L280" i="140"/>
  <c r="L284" i="140"/>
  <c r="L288" i="140"/>
  <c r="L292" i="140"/>
  <c r="L296" i="140"/>
  <c r="L300" i="140"/>
  <c r="L304" i="140"/>
  <c r="L308" i="140"/>
  <c r="L312" i="140"/>
  <c r="L316" i="140"/>
  <c r="L320" i="140"/>
  <c r="L324" i="140"/>
  <c r="L328" i="140"/>
  <c r="L332" i="140"/>
  <c r="L336" i="140"/>
  <c r="L340" i="140"/>
  <c r="L344" i="140"/>
  <c r="L348" i="140"/>
  <c r="L352" i="140"/>
  <c r="L356" i="140"/>
  <c r="L360" i="140"/>
  <c r="L364" i="140"/>
  <c r="L368" i="140"/>
  <c r="L372" i="140"/>
  <c r="L376" i="140"/>
  <c r="L380" i="140"/>
  <c r="L384" i="140"/>
  <c r="L388" i="140"/>
  <c r="L392" i="140"/>
  <c r="L396" i="140"/>
  <c r="L400" i="140"/>
  <c r="L404" i="140"/>
  <c r="L408" i="140"/>
  <c r="L412" i="140"/>
  <c r="L416" i="140"/>
  <c r="L420" i="140"/>
  <c r="L424" i="140"/>
  <c r="L428" i="140"/>
  <c r="L432" i="140"/>
  <c r="L436" i="140"/>
  <c r="L440" i="140"/>
  <c r="L444" i="140"/>
  <c r="L448" i="140"/>
  <c r="L452" i="140"/>
  <c r="L456" i="140"/>
  <c r="L460" i="140"/>
  <c r="L464" i="140"/>
  <c r="L468" i="140"/>
  <c r="L472" i="140"/>
  <c r="L476" i="140"/>
  <c r="L480" i="140"/>
  <c r="L484" i="140"/>
  <c r="L488" i="140"/>
  <c r="L492" i="140"/>
  <c r="L496" i="140"/>
  <c r="L500" i="140"/>
  <c r="L504" i="140"/>
  <c r="L508" i="140"/>
  <c r="L512" i="140"/>
  <c r="L516" i="140"/>
  <c r="L520" i="140"/>
  <c r="L524" i="140"/>
  <c r="L528" i="140"/>
  <c r="L532" i="140"/>
  <c r="L536" i="140"/>
  <c r="L540" i="140"/>
  <c r="L544" i="140"/>
  <c r="L548" i="140"/>
  <c r="L552" i="140"/>
  <c r="L556" i="140"/>
  <c r="L560" i="140"/>
  <c r="L564" i="140"/>
  <c r="L568" i="140"/>
  <c r="L572" i="140"/>
  <c r="L576" i="140"/>
  <c r="L580" i="140"/>
  <c r="L584" i="140"/>
  <c r="L588" i="140"/>
  <c r="L592" i="140"/>
  <c r="L596" i="140"/>
  <c r="L600" i="140"/>
  <c r="L604" i="140"/>
  <c r="L608" i="140"/>
  <c r="L612" i="140"/>
  <c r="L616" i="140"/>
  <c r="L620" i="140"/>
  <c r="L624" i="140"/>
  <c r="L628" i="140"/>
  <c r="L632" i="140"/>
  <c r="L636" i="140"/>
  <c r="L640" i="140"/>
  <c r="L644" i="140"/>
  <c r="L648" i="140"/>
  <c r="L652" i="140"/>
  <c r="L656" i="140"/>
  <c r="L660" i="140"/>
  <c r="L664" i="140"/>
  <c r="L668" i="140"/>
  <c r="L672" i="140"/>
  <c r="L676" i="140"/>
  <c r="L680" i="140"/>
  <c r="L684" i="140"/>
  <c r="L688" i="140"/>
  <c r="L692" i="140"/>
  <c r="L696" i="140"/>
  <c r="L700" i="140"/>
  <c r="L704" i="140"/>
  <c r="L708" i="140"/>
  <c r="L712" i="140"/>
  <c r="L716" i="140"/>
  <c r="L720" i="140"/>
  <c r="L724" i="140"/>
  <c r="L728" i="140"/>
  <c r="L732" i="140"/>
  <c r="L736" i="140"/>
  <c r="L740" i="140"/>
  <c r="L744" i="140"/>
  <c r="L748" i="140"/>
  <c r="L752" i="140"/>
  <c r="L756" i="140"/>
  <c r="L760" i="140"/>
  <c r="L764" i="140"/>
  <c r="L768" i="140"/>
  <c r="L772" i="140"/>
  <c r="L776" i="140"/>
  <c r="L780" i="140"/>
  <c r="L784" i="140"/>
  <c r="L788" i="140"/>
  <c r="L792" i="140"/>
  <c r="L796" i="140"/>
  <c r="L800" i="140"/>
  <c r="L804" i="140"/>
  <c r="L808" i="140"/>
  <c r="L812" i="140"/>
  <c r="L816" i="140"/>
  <c r="L820" i="140"/>
  <c r="L824" i="140"/>
  <c r="L828" i="140"/>
  <c r="L832" i="140"/>
  <c r="L836" i="140"/>
  <c r="L840" i="140"/>
  <c r="L844" i="140"/>
  <c r="L848" i="140"/>
  <c r="L852" i="140"/>
  <c r="L856" i="140"/>
  <c r="L860" i="140"/>
  <c r="L864" i="140"/>
  <c r="L868" i="140"/>
  <c r="L872" i="140"/>
  <c r="L876" i="140"/>
  <c r="L880" i="140"/>
  <c r="L884" i="140"/>
  <c r="L888" i="140"/>
  <c r="L892" i="140"/>
  <c r="L896" i="140"/>
  <c r="L900" i="140"/>
  <c r="L904" i="140"/>
  <c r="L908" i="140"/>
  <c r="L912" i="140"/>
  <c r="L916" i="140"/>
  <c r="L920" i="140"/>
  <c r="L924" i="140"/>
  <c r="L928" i="140"/>
  <c r="L932" i="140"/>
  <c r="L936" i="140"/>
  <c r="L940" i="140"/>
  <c r="L944" i="140"/>
  <c r="L948" i="140"/>
  <c r="L952" i="140"/>
  <c r="L956" i="140"/>
  <c r="L960" i="140"/>
  <c r="L964" i="140"/>
  <c r="L968" i="140"/>
  <c r="L972" i="140"/>
  <c r="L976" i="140"/>
  <c r="L980" i="140"/>
  <c r="L984" i="140"/>
  <c r="L988" i="140"/>
  <c r="L992" i="140"/>
  <c r="L996" i="140"/>
  <c r="L1000" i="140"/>
  <c r="L1004" i="140"/>
  <c r="L1008" i="140"/>
  <c r="L1012" i="140"/>
  <c r="L1016" i="140"/>
  <c r="L1020" i="140"/>
  <c r="L1024" i="140"/>
  <c r="L1028" i="140"/>
  <c r="L1032" i="140"/>
  <c r="L1036" i="140"/>
  <c r="L1040" i="140"/>
  <c r="L1044" i="140"/>
  <c r="L1048" i="140"/>
  <c r="L1052" i="140"/>
  <c r="L1056" i="140"/>
  <c r="L1060" i="140"/>
  <c r="L1064" i="140"/>
  <c r="L1068" i="140"/>
  <c r="L1072" i="140"/>
  <c r="L1076" i="140"/>
  <c r="L1080" i="140"/>
  <c r="L1084" i="140"/>
  <c r="L1088" i="140"/>
  <c r="L1092" i="140"/>
  <c r="L1096" i="140"/>
  <c r="L1100" i="140"/>
  <c r="L1104" i="140"/>
  <c r="L1108" i="140"/>
  <c r="L1112" i="140"/>
  <c r="L1116" i="140"/>
  <c r="L1120" i="140"/>
  <c r="L1124" i="140"/>
  <c r="L1128" i="140"/>
  <c r="L1132" i="140"/>
  <c r="L1136" i="140"/>
  <c r="L1140" i="140"/>
  <c r="L1144" i="140"/>
  <c r="L1148" i="140"/>
  <c r="L1152" i="140"/>
  <c r="L1156" i="140"/>
  <c r="L1160" i="140"/>
  <c r="L1164" i="140"/>
  <c r="L1168" i="140"/>
  <c r="L1172" i="140"/>
  <c r="L1176" i="140"/>
  <c r="L1180" i="140"/>
  <c r="L1184" i="140"/>
  <c r="L1188" i="140"/>
  <c r="L1192" i="140"/>
  <c r="L1196" i="140"/>
  <c r="L1200" i="140"/>
  <c r="L84" i="140"/>
  <c r="L81" i="140"/>
  <c r="L85" i="140"/>
  <c r="L89" i="140"/>
  <c r="L93" i="140"/>
  <c r="L97" i="140"/>
  <c r="L101" i="140"/>
  <c r="L105" i="140"/>
  <c r="L109" i="140"/>
  <c r="L113" i="140"/>
  <c r="L117" i="140"/>
  <c r="L121" i="140"/>
  <c r="L125" i="140"/>
  <c r="L129" i="140"/>
  <c r="L133" i="140"/>
  <c r="L137" i="140"/>
  <c r="L141" i="140"/>
  <c r="L145" i="140"/>
  <c r="L149" i="140"/>
  <c r="L153" i="140"/>
  <c r="L157" i="140"/>
  <c r="L161" i="140"/>
  <c r="L165" i="140"/>
  <c r="L169" i="140"/>
  <c r="L173" i="140"/>
  <c r="L177" i="140"/>
  <c r="L181" i="140"/>
  <c r="L185" i="140"/>
  <c r="L189" i="140"/>
  <c r="L193" i="140"/>
  <c r="L197" i="140"/>
  <c r="L201" i="140"/>
  <c r="L205" i="140"/>
  <c r="L209" i="140"/>
  <c r="L213" i="140"/>
  <c r="L217" i="140"/>
  <c r="L221" i="140"/>
  <c r="L225" i="140"/>
  <c r="L229" i="140"/>
  <c r="L233" i="140"/>
  <c r="L237" i="140"/>
  <c r="L241" i="140"/>
  <c r="L245" i="140"/>
  <c r="L249" i="140"/>
  <c r="L253" i="140"/>
  <c r="L257" i="140"/>
  <c r="L261" i="140"/>
  <c r="L265" i="140"/>
  <c r="L269" i="140"/>
  <c r="L273" i="140"/>
  <c r="L277" i="140"/>
  <c r="L281" i="140"/>
  <c r="L285" i="140"/>
  <c r="L289" i="140"/>
  <c r="L293" i="140"/>
  <c r="L297" i="140"/>
  <c r="L301" i="140"/>
  <c r="L305" i="140"/>
  <c r="L309" i="140"/>
  <c r="L313" i="140"/>
  <c r="L317" i="140"/>
  <c r="L321" i="140"/>
  <c r="L325" i="140"/>
  <c r="L329" i="140"/>
  <c r="L333" i="140"/>
  <c r="L337" i="140"/>
  <c r="L341" i="140"/>
  <c r="L345" i="140"/>
  <c r="L349" i="140"/>
  <c r="L353" i="140"/>
  <c r="L357" i="140"/>
  <c r="L361" i="140"/>
  <c r="L365" i="140"/>
  <c r="L369" i="140"/>
  <c r="L373" i="140"/>
  <c r="L377" i="140"/>
  <c r="L381" i="140"/>
  <c r="L385" i="140"/>
  <c r="L389" i="140"/>
  <c r="L393" i="140"/>
  <c r="L397" i="140"/>
  <c r="L401" i="140"/>
  <c r="L405" i="140"/>
  <c r="L409" i="140"/>
  <c r="L413" i="140"/>
  <c r="L417" i="140"/>
  <c r="L421" i="140"/>
  <c r="L425" i="140"/>
  <c r="L429" i="140"/>
  <c r="L433" i="140"/>
  <c r="L437" i="140"/>
  <c r="L441" i="140"/>
  <c r="L445" i="140"/>
  <c r="L449" i="140"/>
  <c r="L453" i="140"/>
  <c r="L457" i="140"/>
  <c r="L461" i="140"/>
  <c r="L465" i="140"/>
  <c r="L469" i="140"/>
  <c r="L473" i="140"/>
  <c r="L477" i="140"/>
  <c r="L481" i="140"/>
  <c r="L485" i="140"/>
  <c r="L489" i="140"/>
  <c r="L493" i="140"/>
  <c r="L497" i="140"/>
  <c r="L501" i="140"/>
  <c r="L505" i="140"/>
  <c r="L509" i="140"/>
  <c r="L513" i="140"/>
  <c r="L517" i="140"/>
  <c r="L521" i="140"/>
  <c r="L525" i="140"/>
  <c r="L529" i="140"/>
  <c r="L533" i="140"/>
  <c r="L537" i="140"/>
  <c r="L541" i="140"/>
  <c r="L545" i="140"/>
  <c r="L549" i="140"/>
  <c r="L553" i="140"/>
  <c r="L557" i="140"/>
  <c r="L561" i="140"/>
  <c r="L565" i="140"/>
  <c r="L569" i="140"/>
  <c r="L573" i="140"/>
  <c r="L577" i="140"/>
  <c r="L581" i="140"/>
  <c r="L585" i="140"/>
  <c r="L589" i="140"/>
  <c r="L593" i="140"/>
  <c r="L597" i="140"/>
  <c r="L601" i="140"/>
  <c r="L605" i="140"/>
  <c r="L609" i="140"/>
  <c r="L613" i="140"/>
  <c r="L617" i="140"/>
  <c r="L621" i="140"/>
  <c r="L625" i="140"/>
  <c r="L629" i="140"/>
  <c r="L633" i="140"/>
  <c r="L637" i="140"/>
  <c r="L641" i="140"/>
  <c r="L645" i="140"/>
  <c r="L649" i="140"/>
  <c r="L653" i="140"/>
  <c r="L657" i="140"/>
  <c r="L661" i="140"/>
  <c r="L665" i="140"/>
  <c r="L669" i="140"/>
  <c r="L673" i="140"/>
  <c r="L677" i="140"/>
  <c r="L681" i="140"/>
  <c r="L685" i="140"/>
  <c r="L689" i="140"/>
  <c r="L693" i="140"/>
  <c r="L697" i="140"/>
  <c r="L701" i="140"/>
  <c r="L705" i="140"/>
  <c r="L709" i="140"/>
  <c r="L713" i="140"/>
  <c r="L717" i="140"/>
  <c r="L721" i="140"/>
  <c r="L725" i="140"/>
  <c r="L729" i="140"/>
  <c r="L733" i="140"/>
  <c r="L737" i="140"/>
  <c r="L741" i="140"/>
  <c r="L745" i="140"/>
  <c r="L749" i="140"/>
  <c r="L753" i="140"/>
  <c r="L757" i="140"/>
  <c r="L761" i="140"/>
  <c r="L765" i="140"/>
  <c r="L769" i="140"/>
  <c r="L773" i="140"/>
  <c r="L777" i="140"/>
  <c r="L781" i="140"/>
  <c r="L785" i="140"/>
  <c r="L789" i="140"/>
  <c r="L793" i="140"/>
  <c r="L797" i="140"/>
  <c r="L801" i="140"/>
  <c r="L805" i="140"/>
  <c r="L809" i="140"/>
  <c r="L813" i="140"/>
  <c r="L817" i="140"/>
  <c r="L821" i="140"/>
  <c r="L825" i="140"/>
  <c r="L829" i="140"/>
  <c r="L833" i="140"/>
  <c r="L837" i="140"/>
  <c r="L841" i="140"/>
  <c r="L845" i="140"/>
  <c r="L849" i="140"/>
  <c r="L853" i="140"/>
  <c r="L857" i="140"/>
  <c r="L861" i="140"/>
  <c r="L865" i="140"/>
  <c r="L869" i="140"/>
  <c r="L873" i="140"/>
  <c r="L877" i="140"/>
  <c r="L881" i="140"/>
  <c r="L885" i="140"/>
  <c r="L889" i="140"/>
  <c r="L893" i="140"/>
  <c r="L897" i="140"/>
  <c r="L901" i="140"/>
  <c r="L905" i="140"/>
  <c r="L909" i="140"/>
  <c r="L913" i="140"/>
  <c r="L917" i="140"/>
  <c r="L921" i="140"/>
  <c r="L925" i="140"/>
  <c r="L929" i="140"/>
  <c r="L933" i="140"/>
  <c r="L937" i="140"/>
  <c r="L941" i="140"/>
  <c r="L945" i="140"/>
  <c r="L949" i="140"/>
  <c r="L953" i="140"/>
  <c r="L957" i="140"/>
  <c r="L961" i="140"/>
  <c r="L965" i="140"/>
  <c r="L969" i="140"/>
  <c r="L973" i="140"/>
  <c r="L977" i="140"/>
  <c r="L981" i="140"/>
  <c r="L985" i="140"/>
  <c r="L989" i="140"/>
  <c r="L993" i="140"/>
  <c r="L997" i="140"/>
  <c r="L1001" i="140"/>
  <c r="L1005" i="140"/>
  <c r="L1009" i="140"/>
  <c r="L1013" i="140"/>
  <c r="L1017" i="140"/>
  <c r="L1021" i="140"/>
  <c r="L1025" i="140"/>
  <c r="L1029" i="140"/>
  <c r="L1033" i="140"/>
  <c r="L1037" i="140"/>
  <c r="L1041" i="140"/>
  <c r="L1045" i="140"/>
  <c r="L1049" i="140"/>
  <c r="S349" i="261"/>
  <c r="S332" i="261"/>
  <c r="S315" i="261"/>
  <c r="S298" i="261"/>
  <c r="S281" i="261"/>
  <c r="S264" i="261"/>
  <c r="S249" i="261"/>
  <c r="S233" i="261"/>
  <c r="S181" i="261"/>
  <c r="S162" i="261"/>
  <c r="S145" i="261"/>
  <c r="S128" i="261"/>
  <c r="S112" i="261"/>
  <c r="S350" i="261" l="1"/>
  <c r="S333" i="261"/>
  <c r="S316" i="261"/>
  <c r="S299" i="261"/>
  <c r="S282" i="261"/>
  <c r="S265" i="261"/>
  <c r="S250" i="261"/>
  <c r="S234" i="261"/>
  <c r="S182" i="261"/>
  <c r="S163" i="261"/>
  <c r="S146" i="261"/>
  <c r="S129" i="261"/>
  <c r="S113" i="261"/>
  <c r="O27" i="1101"/>
  <c r="S351" i="261" l="1"/>
  <c r="S334" i="261"/>
  <c r="S317" i="261"/>
  <c r="S300" i="261"/>
  <c r="S283" i="261"/>
  <c r="S266" i="261"/>
  <c r="S251" i="261"/>
  <c r="S235" i="261"/>
  <c r="S183" i="261"/>
  <c r="S164" i="261"/>
  <c r="S147" i="261"/>
  <c r="S130" i="261"/>
  <c r="S114" i="261"/>
  <c r="AL38" i="12"/>
  <c r="AL36" i="12"/>
  <c r="AL34" i="12"/>
  <c r="AL32" i="12"/>
  <c r="AL31" i="12"/>
  <c r="AL28" i="12"/>
  <c r="AL27" i="12"/>
  <c r="AL21" i="12"/>
  <c r="AL18" i="12"/>
  <c r="AN16" i="12"/>
  <c r="AM16" i="12"/>
  <c r="AL16" i="12"/>
  <c r="AL15" i="12"/>
  <c r="AL14" i="12"/>
  <c r="AN12" i="12"/>
  <c r="AM12" i="12"/>
  <c r="AL12" i="12"/>
  <c r="AL11" i="12"/>
  <c r="AL10" i="12"/>
  <c r="AL9" i="12"/>
  <c r="AL8" i="12"/>
  <c r="AL7" i="12"/>
  <c r="AL6" i="12"/>
  <c r="A42" i="38"/>
  <c r="A45" i="38" s="1"/>
  <c r="A48" i="38" s="1"/>
  <c r="A51" i="38" s="1"/>
  <c r="A54" i="38" s="1"/>
  <c r="A57" i="38" s="1"/>
  <c r="A60" i="38" s="1"/>
  <c r="A63" i="38" s="1"/>
  <c r="A66" i="38" s="1"/>
  <c r="A69" i="38" s="1"/>
  <c r="A72" i="38" s="1"/>
  <c r="A75" i="38" s="1"/>
  <c r="A78" i="38" s="1"/>
  <c r="A81" i="38" s="1"/>
  <c r="A84" i="38" s="1"/>
  <c r="A87" i="38" s="1"/>
  <c r="A90" i="38" s="1"/>
  <c r="A93" i="38" s="1"/>
  <c r="A96" i="38" s="1"/>
  <c r="A99" i="38" s="1"/>
  <c r="A102" i="38" s="1"/>
  <c r="A105" i="38" s="1"/>
  <c r="A108" i="38" s="1"/>
  <c r="A111" i="38" s="1"/>
  <c r="A114" i="38" s="1"/>
  <c r="A117" i="38" s="1"/>
  <c r="A120" i="38" s="1"/>
  <c r="A123" i="38" s="1"/>
  <c r="A126" i="38" s="1"/>
  <c r="A129" i="38" s="1"/>
  <c r="A132" i="38" s="1"/>
  <c r="A135" i="38" s="1"/>
  <c r="A138" i="38" s="1"/>
  <c r="A141" i="38" s="1"/>
  <c r="A144" i="38" s="1"/>
  <c r="A147" i="38" s="1"/>
  <c r="A150" i="38" s="1"/>
  <c r="A153" i="38" s="1"/>
  <c r="A156" i="38" s="1"/>
  <c r="A159" i="38" s="1"/>
  <c r="A162" i="38" s="1"/>
  <c r="A165" i="38" s="1"/>
  <c r="A168" i="38" s="1"/>
  <c r="A171" i="38" s="1"/>
  <c r="A174" i="38" s="1"/>
  <c r="A177" i="38" s="1"/>
  <c r="A180" i="38" s="1"/>
  <c r="A183" i="38" s="1"/>
  <c r="A186" i="38" s="1"/>
  <c r="A189" i="38" s="1"/>
  <c r="A192" i="38" s="1"/>
  <c r="S352" i="261" l="1"/>
  <c r="S335" i="261"/>
  <c r="S318" i="261"/>
  <c r="S301" i="261"/>
  <c r="S284" i="261"/>
  <c r="S267" i="261"/>
  <c r="S252" i="261"/>
  <c r="S236" i="261"/>
  <c r="S184" i="261"/>
  <c r="S165" i="261"/>
  <c r="S148" i="261"/>
  <c r="S131" i="261"/>
  <c r="S115" i="261"/>
  <c r="E87" i="38"/>
  <c r="E84" i="38"/>
  <c r="E81" i="38"/>
  <c r="E78" i="38"/>
  <c r="E75" i="38"/>
  <c r="E72" i="38"/>
  <c r="E69" i="38"/>
  <c r="E66" i="38"/>
  <c r="E63" i="38"/>
  <c r="E60" i="38"/>
  <c r="E57" i="38"/>
  <c r="E54" i="38"/>
  <c r="E51" i="38"/>
  <c r="E48" i="38"/>
  <c r="E45" i="38"/>
  <c r="E42" i="38"/>
  <c r="S353" i="261" l="1"/>
  <c r="S336" i="261"/>
  <c r="S319" i="261"/>
  <c r="S302" i="261"/>
  <c r="S285" i="261"/>
  <c r="S268" i="261"/>
  <c r="S253" i="261"/>
  <c r="S237" i="261"/>
  <c r="S185" i="261"/>
  <c r="S166" i="261"/>
  <c r="S149" i="261"/>
  <c r="S132" i="261"/>
  <c r="S116" i="261"/>
  <c r="D223" i="261"/>
  <c r="D222" i="261"/>
  <c r="D221" i="261"/>
  <c r="D220" i="261"/>
  <c r="D219" i="261"/>
  <c r="D218" i="261"/>
  <c r="D217" i="261"/>
  <c r="D216" i="261"/>
  <c r="D215" i="261"/>
  <c r="D214" i="261"/>
  <c r="D213" i="261"/>
  <c r="D212" i="261"/>
  <c r="D211" i="261"/>
  <c r="D210" i="261"/>
  <c r="D209" i="261"/>
  <c r="D206" i="261"/>
  <c r="D205" i="261"/>
  <c r="D204" i="261"/>
  <c r="D203" i="261"/>
  <c r="D202" i="261"/>
  <c r="D201" i="261"/>
  <c r="D200" i="261"/>
  <c r="D199" i="261"/>
  <c r="D198" i="261"/>
  <c r="D197" i="261"/>
  <c r="D196" i="261"/>
  <c r="D195" i="261"/>
  <c r="D194" i="261"/>
  <c r="D193" i="261"/>
  <c r="D192" i="261"/>
  <c r="D104" i="261"/>
  <c r="D103" i="261"/>
  <c r="D102" i="261"/>
  <c r="D101" i="261"/>
  <c r="D100" i="261"/>
  <c r="D99" i="261"/>
  <c r="D98" i="261"/>
  <c r="D97" i="261"/>
  <c r="D96" i="261"/>
  <c r="D95" i="261"/>
  <c r="D94" i="261"/>
  <c r="D93" i="261"/>
  <c r="D92" i="261"/>
  <c r="D91" i="261"/>
  <c r="D90" i="261"/>
  <c r="D87" i="261"/>
  <c r="D86" i="261"/>
  <c r="D85" i="261"/>
  <c r="D84" i="261"/>
  <c r="D83" i="261"/>
  <c r="D82" i="261"/>
  <c r="D81" i="261"/>
  <c r="D80" i="261"/>
  <c r="D79" i="261"/>
  <c r="D78" i="261"/>
  <c r="D77" i="261"/>
  <c r="D76" i="261"/>
  <c r="D75" i="261"/>
  <c r="D74" i="261"/>
  <c r="D73" i="261"/>
  <c r="D70" i="261"/>
  <c r="D69" i="261"/>
  <c r="D68" i="261"/>
  <c r="D67" i="261"/>
  <c r="D66" i="261"/>
  <c r="D65" i="261"/>
  <c r="D64" i="261"/>
  <c r="D63" i="261"/>
  <c r="D62" i="261"/>
  <c r="D61" i="261"/>
  <c r="D60" i="261"/>
  <c r="D59" i="261"/>
  <c r="D58" i="261"/>
  <c r="D57" i="261"/>
  <c r="D56" i="261"/>
  <c r="D53" i="261"/>
  <c r="D52" i="261"/>
  <c r="D51" i="261"/>
  <c r="D50" i="261"/>
  <c r="D49" i="261"/>
  <c r="D48" i="261"/>
  <c r="D47" i="261"/>
  <c r="D46" i="261"/>
  <c r="D45" i="261"/>
  <c r="D44" i="261"/>
  <c r="D43" i="261"/>
  <c r="D42" i="261"/>
  <c r="D41" i="261"/>
  <c r="D40" i="261"/>
  <c r="D39" i="261"/>
  <c r="D36" i="261"/>
  <c r="D35" i="261"/>
  <c r="D34" i="261"/>
  <c r="D33" i="261"/>
  <c r="D32" i="261"/>
  <c r="D31" i="261"/>
  <c r="D30" i="261"/>
  <c r="D29" i="261"/>
  <c r="D28" i="261"/>
  <c r="D27" i="261"/>
  <c r="D26" i="261"/>
  <c r="D25" i="261"/>
  <c r="D24" i="261"/>
  <c r="D23" i="261"/>
  <c r="D22" i="261"/>
  <c r="D54" i="1103"/>
  <c r="D53" i="1103"/>
  <c r="D52" i="1103"/>
  <c r="D51" i="1103"/>
  <c r="D50" i="1103"/>
  <c r="D49" i="1103"/>
  <c r="D48" i="1103"/>
  <c r="D47" i="1103"/>
  <c r="D46" i="1103"/>
  <c r="D45" i="1103"/>
  <c r="D44" i="1103"/>
  <c r="D43" i="1103"/>
  <c r="D42" i="1103"/>
  <c r="D41" i="1103"/>
  <c r="D40" i="1103"/>
  <c r="D37" i="1103"/>
  <c r="D36" i="1103"/>
  <c r="D35" i="1103"/>
  <c r="D34" i="1103"/>
  <c r="D33" i="1103"/>
  <c r="D32" i="1103"/>
  <c r="D31" i="1103"/>
  <c r="D30" i="1103"/>
  <c r="D29" i="1103"/>
  <c r="D28" i="1103"/>
  <c r="D27" i="1103"/>
  <c r="D26" i="1103"/>
  <c r="D25" i="1103"/>
  <c r="D24" i="1103"/>
  <c r="D23" i="1103"/>
  <c r="D904" i="262"/>
  <c r="D903" i="262"/>
  <c r="D902" i="262"/>
  <c r="D901" i="262"/>
  <c r="D900" i="262"/>
  <c r="D899" i="262"/>
  <c r="D898" i="262"/>
  <c r="D897" i="262"/>
  <c r="D896" i="262"/>
  <c r="D895" i="262"/>
  <c r="D894" i="262"/>
  <c r="D893" i="262"/>
  <c r="D892" i="262"/>
  <c r="D891" i="262"/>
  <c r="D890" i="262"/>
  <c r="D887" i="262"/>
  <c r="D886" i="262"/>
  <c r="D885" i="262"/>
  <c r="D884" i="262"/>
  <c r="D883" i="262"/>
  <c r="D882" i="262"/>
  <c r="D881" i="262"/>
  <c r="D880" i="262"/>
  <c r="D879" i="262"/>
  <c r="D878" i="262"/>
  <c r="D877" i="262"/>
  <c r="D876" i="262"/>
  <c r="D875" i="262"/>
  <c r="D874" i="262"/>
  <c r="D873" i="262"/>
  <c r="D870" i="262"/>
  <c r="D869" i="262"/>
  <c r="D868" i="262"/>
  <c r="D867" i="262"/>
  <c r="D866" i="262"/>
  <c r="D865" i="262"/>
  <c r="D864" i="262"/>
  <c r="D863" i="262"/>
  <c r="D862" i="262"/>
  <c r="D861" i="262"/>
  <c r="D860" i="262"/>
  <c r="D859" i="262"/>
  <c r="D858" i="262"/>
  <c r="D857" i="262"/>
  <c r="D856" i="262"/>
  <c r="D853" i="262"/>
  <c r="D852" i="262"/>
  <c r="D851" i="262"/>
  <c r="D850" i="262"/>
  <c r="D849" i="262"/>
  <c r="D848" i="262"/>
  <c r="D847" i="262"/>
  <c r="D846" i="262"/>
  <c r="D845" i="262"/>
  <c r="D844" i="262"/>
  <c r="D843" i="262"/>
  <c r="D842" i="262"/>
  <c r="D841" i="262"/>
  <c r="D840" i="262"/>
  <c r="D839" i="262"/>
  <c r="D836" i="262"/>
  <c r="D835" i="262"/>
  <c r="D834" i="262"/>
  <c r="D833" i="262"/>
  <c r="D832" i="262"/>
  <c r="D831" i="262"/>
  <c r="D830" i="262"/>
  <c r="D829" i="262"/>
  <c r="D828" i="262"/>
  <c r="D827" i="262"/>
  <c r="D826" i="262"/>
  <c r="D825" i="262"/>
  <c r="D824" i="262"/>
  <c r="D823" i="262"/>
  <c r="D822" i="262"/>
  <c r="D819" i="262"/>
  <c r="D818" i="262"/>
  <c r="D817" i="262"/>
  <c r="D816" i="262"/>
  <c r="D815" i="262"/>
  <c r="D814" i="262"/>
  <c r="D813" i="262"/>
  <c r="D812" i="262"/>
  <c r="D811" i="262"/>
  <c r="D810" i="262"/>
  <c r="D809" i="262"/>
  <c r="D808" i="262"/>
  <c r="D807" i="262"/>
  <c r="D806" i="262"/>
  <c r="D805" i="262"/>
  <c r="D802" i="262"/>
  <c r="D801" i="262"/>
  <c r="D800" i="262"/>
  <c r="D799" i="262"/>
  <c r="D798" i="262"/>
  <c r="D797" i="262"/>
  <c r="D796" i="262"/>
  <c r="D795" i="262"/>
  <c r="D794" i="262"/>
  <c r="D793" i="262"/>
  <c r="D792" i="262"/>
  <c r="D791" i="262"/>
  <c r="D790" i="262"/>
  <c r="D789" i="262"/>
  <c r="D788" i="262"/>
  <c r="D785" i="262"/>
  <c r="D784" i="262"/>
  <c r="D783" i="262"/>
  <c r="D782" i="262"/>
  <c r="D781" i="262"/>
  <c r="D780" i="262"/>
  <c r="D779" i="262"/>
  <c r="D778" i="262"/>
  <c r="D777" i="262"/>
  <c r="D776" i="262"/>
  <c r="D775" i="262"/>
  <c r="D774" i="262"/>
  <c r="D773" i="262"/>
  <c r="D772" i="262"/>
  <c r="D771" i="262"/>
  <c r="D768" i="262"/>
  <c r="D767" i="262"/>
  <c r="D766" i="262"/>
  <c r="D765" i="262"/>
  <c r="D764" i="262"/>
  <c r="D763" i="262"/>
  <c r="D762" i="262"/>
  <c r="D761" i="262"/>
  <c r="D760" i="262"/>
  <c r="D759" i="262"/>
  <c r="D758" i="262"/>
  <c r="D757" i="262"/>
  <c r="D756" i="262"/>
  <c r="D755" i="262"/>
  <c r="D754" i="262"/>
  <c r="D751" i="262"/>
  <c r="D750" i="262"/>
  <c r="D749" i="262"/>
  <c r="D748" i="262"/>
  <c r="D747" i="262"/>
  <c r="D746" i="262"/>
  <c r="D745" i="262"/>
  <c r="D744" i="262"/>
  <c r="D743" i="262"/>
  <c r="D742" i="262"/>
  <c r="D741" i="262"/>
  <c r="D740" i="262"/>
  <c r="D739" i="262"/>
  <c r="D738" i="262"/>
  <c r="D737" i="262"/>
  <c r="D734" i="262"/>
  <c r="D733" i="262"/>
  <c r="D732" i="262"/>
  <c r="D731" i="262"/>
  <c r="D730" i="262"/>
  <c r="D729" i="262"/>
  <c r="D728" i="262"/>
  <c r="D727" i="262"/>
  <c r="D726" i="262"/>
  <c r="D725" i="262"/>
  <c r="D724" i="262"/>
  <c r="D723" i="262"/>
  <c r="D722" i="262"/>
  <c r="D721" i="262"/>
  <c r="D720" i="262"/>
  <c r="D717" i="262"/>
  <c r="D716" i="262"/>
  <c r="D715" i="262"/>
  <c r="D714" i="262"/>
  <c r="D713" i="262"/>
  <c r="D712" i="262"/>
  <c r="D711" i="262"/>
  <c r="D710" i="262"/>
  <c r="D709" i="262"/>
  <c r="D708" i="262"/>
  <c r="D707" i="262"/>
  <c r="D706" i="262"/>
  <c r="D705" i="262"/>
  <c r="D704" i="262"/>
  <c r="D703" i="262"/>
  <c r="D700" i="262"/>
  <c r="D699" i="262"/>
  <c r="D698" i="262"/>
  <c r="D697" i="262"/>
  <c r="D696" i="262"/>
  <c r="D695" i="262"/>
  <c r="D694" i="262"/>
  <c r="D693" i="262"/>
  <c r="D692" i="262"/>
  <c r="D691" i="262"/>
  <c r="D690" i="262"/>
  <c r="D689" i="262"/>
  <c r="D688" i="262"/>
  <c r="D687" i="262"/>
  <c r="D686" i="262"/>
  <c r="D683" i="262"/>
  <c r="D682" i="262"/>
  <c r="D681" i="262"/>
  <c r="D680" i="262"/>
  <c r="D679" i="262"/>
  <c r="D678" i="262"/>
  <c r="D677" i="262"/>
  <c r="D676" i="262"/>
  <c r="D675" i="262"/>
  <c r="D674" i="262"/>
  <c r="D673" i="262"/>
  <c r="D672" i="262"/>
  <c r="D671" i="262"/>
  <c r="D670" i="262"/>
  <c r="D669" i="262"/>
  <c r="D666" i="262"/>
  <c r="D665" i="262"/>
  <c r="D664" i="262"/>
  <c r="D663" i="262"/>
  <c r="D662" i="262"/>
  <c r="D661" i="262"/>
  <c r="D660" i="262"/>
  <c r="D659" i="262"/>
  <c r="D658" i="262"/>
  <c r="D657" i="262"/>
  <c r="D656" i="262"/>
  <c r="D655" i="262"/>
  <c r="D654" i="262"/>
  <c r="D653" i="262"/>
  <c r="D652" i="262"/>
  <c r="D649" i="262"/>
  <c r="D648" i="262"/>
  <c r="D647" i="262"/>
  <c r="D646" i="262"/>
  <c r="D645" i="262"/>
  <c r="D644" i="262"/>
  <c r="D643" i="262"/>
  <c r="D642" i="262"/>
  <c r="D641" i="262"/>
  <c r="D640" i="262"/>
  <c r="D639" i="262"/>
  <c r="D638" i="262"/>
  <c r="D637" i="262"/>
  <c r="D636" i="262"/>
  <c r="D635" i="262"/>
  <c r="D632" i="262"/>
  <c r="D631" i="262"/>
  <c r="D630" i="262"/>
  <c r="D629" i="262"/>
  <c r="D628" i="262"/>
  <c r="D627" i="262"/>
  <c r="D626" i="262"/>
  <c r="D625" i="262"/>
  <c r="D624" i="262"/>
  <c r="D623" i="262"/>
  <c r="D622" i="262"/>
  <c r="D621" i="262"/>
  <c r="D620" i="262"/>
  <c r="D619" i="262"/>
  <c r="D618" i="262"/>
  <c r="D615" i="262"/>
  <c r="D614" i="262"/>
  <c r="D613" i="262"/>
  <c r="D612" i="262"/>
  <c r="D611" i="262"/>
  <c r="D610" i="262"/>
  <c r="D609" i="262"/>
  <c r="D608" i="262"/>
  <c r="D607" i="262"/>
  <c r="D606" i="262"/>
  <c r="D605" i="262"/>
  <c r="D604" i="262"/>
  <c r="D603" i="262"/>
  <c r="D602" i="262"/>
  <c r="D601" i="262"/>
  <c r="D598" i="262"/>
  <c r="D597" i="262"/>
  <c r="D596" i="262"/>
  <c r="D595" i="262"/>
  <c r="D594" i="262"/>
  <c r="D593" i="262"/>
  <c r="D592" i="262"/>
  <c r="D591" i="262"/>
  <c r="D590" i="262"/>
  <c r="D589" i="262"/>
  <c r="D588" i="262"/>
  <c r="D587" i="262"/>
  <c r="D586" i="262"/>
  <c r="D585" i="262"/>
  <c r="D584" i="262"/>
  <c r="D581" i="262"/>
  <c r="D580" i="262"/>
  <c r="D579" i="262"/>
  <c r="D578" i="262"/>
  <c r="D577" i="262"/>
  <c r="D576" i="262"/>
  <c r="D575" i="262"/>
  <c r="D574" i="262"/>
  <c r="D573" i="262"/>
  <c r="D572" i="262"/>
  <c r="D571" i="262"/>
  <c r="D570" i="262"/>
  <c r="D569" i="262"/>
  <c r="D568" i="262"/>
  <c r="D567" i="262"/>
  <c r="D564" i="262"/>
  <c r="D563" i="262"/>
  <c r="D562" i="262"/>
  <c r="D561" i="262"/>
  <c r="D560" i="262"/>
  <c r="D559" i="262"/>
  <c r="D558" i="262"/>
  <c r="D557" i="262"/>
  <c r="D556" i="262"/>
  <c r="D555" i="262"/>
  <c r="D554" i="262"/>
  <c r="D553" i="262"/>
  <c r="D552" i="262"/>
  <c r="D551" i="262"/>
  <c r="D550" i="262"/>
  <c r="D547" i="262"/>
  <c r="D546" i="262"/>
  <c r="D545" i="262"/>
  <c r="D544" i="262"/>
  <c r="D543" i="262"/>
  <c r="D542" i="262"/>
  <c r="D541" i="262"/>
  <c r="D540" i="262"/>
  <c r="D539" i="262"/>
  <c r="D538" i="262"/>
  <c r="D537" i="262"/>
  <c r="D536" i="262"/>
  <c r="D535" i="262"/>
  <c r="D534" i="262"/>
  <c r="D533" i="262"/>
  <c r="D530" i="262"/>
  <c r="D529" i="262"/>
  <c r="D528" i="262"/>
  <c r="D527" i="262"/>
  <c r="D526" i="262"/>
  <c r="D525" i="262"/>
  <c r="D524" i="262"/>
  <c r="D523" i="262"/>
  <c r="D522" i="262"/>
  <c r="D521" i="262"/>
  <c r="D520" i="262"/>
  <c r="D519" i="262"/>
  <c r="D518" i="262"/>
  <c r="D517" i="262"/>
  <c r="D516" i="262"/>
  <c r="D513" i="262"/>
  <c r="D512" i="262"/>
  <c r="D511" i="262"/>
  <c r="D510" i="262"/>
  <c r="D509" i="262"/>
  <c r="D508" i="262"/>
  <c r="D507" i="262"/>
  <c r="D506" i="262"/>
  <c r="D505" i="262"/>
  <c r="D504" i="262"/>
  <c r="D503" i="262"/>
  <c r="D502" i="262"/>
  <c r="D501" i="262"/>
  <c r="D500" i="262"/>
  <c r="D499" i="262"/>
  <c r="D496" i="262"/>
  <c r="D495" i="262"/>
  <c r="D494" i="262"/>
  <c r="D493" i="262"/>
  <c r="D492" i="262"/>
  <c r="D491" i="262"/>
  <c r="D490" i="262"/>
  <c r="D489" i="262"/>
  <c r="D488" i="262"/>
  <c r="D487" i="262"/>
  <c r="D486" i="262"/>
  <c r="D485" i="262"/>
  <c r="D484" i="262"/>
  <c r="D483" i="262"/>
  <c r="D482" i="262"/>
  <c r="D479" i="262"/>
  <c r="D478" i="262"/>
  <c r="D477" i="262"/>
  <c r="D476" i="262"/>
  <c r="D475" i="262"/>
  <c r="D474" i="262"/>
  <c r="D473" i="262"/>
  <c r="D472" i="262"/>
  <c r="D471" i="262"/>
  <c r="D470" i="262"/>
  <c r="D469" i="262"/>
  <c r="D468" i="262"/>
  <c r="D467" i="262"/>
  <c r="D466" i="262"/>
  <c r="D465" i="262"/>
  <c r="D462" i="262"/>
  <c r="D461" i="262"/>
  <c r="D460" i="262"/>
  <c r="D459" i="262"/>
  <c r="D458" i="262"/>
  <c r="D457" i="262"/>
  <c r="D456" i="262"/>
  <c r="D455" i="262"/>
  <c r="D454" i="262"/>
  <c r="D453" i="262"/>
  <c r="D452" i="262"/>
  <c r="D451" i="262"/>
  <c r="D450" i="262"/>
  <c r="D449" i="262"/>
  <c r="D448" i="262"/>
  <c r="D445" i="262"/>
  <c r="D444" i="262"/>
  <c r="D443" i="262"/>
  <c r="D442" i="262"/>
  <c r="D441" i="262"/>
  <c r="D440" i="262"/>
  <c r="D439" i="262"/>
  <c r="D438" i="262"/>
  <c r="D437" i="262"/>
  <c r="D436" i="262"/>
  <c r="D435" i="262"/>
  <c r="D434" i="262"/>
  <c r="D433" i="262"/>
  <c r="D432" i="262"/>
  <c r="D431" i="262"/>
  <c r="D428" i="262"/>
  <c r="D427" i="262"/>
  <c r="D426" i="262"/>
  <c r="D425" i="262"/>
  <c r="D424" i="262"/>
  <c r="D423" i="262"/>
  <c r="D422" i="262"/>
  <c r="D421" i="262"/>
  <c r="D420" i="262"/>
  <c r="D419" i="262"/>
  <c r="D418" i="262"/>
  <c r="D417" i="262"/>
  <c r="D416" i="262"/>
  <c r="D415" i="262"/>
  <c r="D414" i="262"/>
  <c r="D411" i="262"/>
  <c r="D410" i="262"/>
  <c r="D409" i="262"/>
  <c r="D408" i="262"/>
  <c r="D407" i="262"/>
  <c r="D406" i="262"/>
  <c r="D405" i="262"/>
  <c r="D404" i="262"/>
  <c r="D403" i="262"/>
  <c r="D402" i="262"/>
  <c r="D401" i="262"/>
  <c r="D400" i="262"/>
  <c r="D399" i="262"/>
  <c r="D398" i="262"/>
  <c r="D397" i="262"/>
  <c r="D394" i="262"/>
  <c r="D393" i="262"/>
  <c r="D392" i="262"/>
  <c r="D391" i="262"/>
  <c r="D390" i="262"/>
  <c r="D389" i="262"/>
  <c r="D388" i="262"/>
  <c r="D387" i="262"/>
  <c r="D386" i="262"/>
  <c r="D385" i="262"/>
  <c r="D384" i="262"/>
  <c r="D383" i="262"/>
  <c r="D382" i="262"/>
  <c r="D381" i="262"/>
  <c r="D380" i="262"/>
  <c r="D377" i="262"/>
  <c r="D376" i="262"/>
  <c r="D375" i="262"/>
  <c r="D374" i="262"/>
  <c r="D373" i="262"/>
  <c r="D372" i="262"/>
  <c r="D371" i="262"/>
  <c r="D370" i="262"/>
  <c r="D369" i="262"/>
  <c r="D368" i="262"/>
  <c r="D367" i="262"/>
  <c r="D366" i="262"/>
  <c r="D365" i="262"/>
  <c r="D364" i="262"/>
  <c r="D363" i="262"/>
  <c r="D360" i="262"/>
  <c r="D359" i="262"/>
  <c r="D358" i="262"/>
  <c r="D357" i="262"/>
  <c r="D356" i="262"/>
  <c r="D355" i="262"/>
  <c r="D354" i="262"/>
  <c r="D353" i="262"/>
  <c r="D352" i="262"/>
  <c r="D351" i="262"/>
  <c r="D350" i="262"/>
  <c r="D349" i="262"/>
  <c r="D348" i="262"/>
  <c r="D347" i="262"/>
  <c r="D346" i="262"/>
  <c r="D343" i="262"/>
  <c r="D342" i="262"/>
  <c r="D341" i="262"/>
  <c r="D340" i="262"/>
  <c r="D339" i="262"/>
  <c r="D338" i="262"/>
  <c r="D337" i="262"/>
  <c r="D336" i="262"/>
  <c r="D335" i="262"/>
  <c r="D334" i="262"/>
  <c r="D333" i="262"/>
  <c r="D332" i="262"/>
  <c r="D331" i="262"/>
  <c r="D330" i="262"/>
  <c r="D329" i="262"/>
  <c r="D326" i="262"/>
  <c r="D325" i="262"/>
  <c r="D324" i="262"/>
  <c r="D323" i="262"/>
  <c r="D322" i="262"/>
  <c r="D321" i="262"/>
  <c r="D320" i="262"/>
  <c r="D319" i="262"/>
  <c r="D318" i="262"/>
  <c r="D317" i="262"/>
  <c r="D316" i="262"/>
  <c r="D315" i="262"/>
  <c r="D314" i="262"/>
  <c r="D313" i="262"/>
  <c r="D312" i="262"/>
  <c r="D309" i="262"/>
  <c r="D308" i="262"/>
  <c r="D307" i="262"/>
  <c r="D306" i="262"/>
  <c r="D305" i="262"/>
  <c r="D304" i="262"/>
  <c r="D303" i="262"/>
  <c r="D302" i="262"/>
  <c r="D301" i="262"/>
  <c r="D300" i="262"/>
  <c r="D299" i="262"/>
  <c r="D298" i="262"/>
  <c r="D297" i="262"/>
  <c r="D296" i="262"/>
  <c r="D295" i="262"/>
  <c r="D292" i="262"/>
  <c r="D291" i="262"/>
  <c r="D290" i="262"/>
  <c r="D289" i="262"/>
  <c r="D288" i="262"/>
  <c r="D287" i="262"/>
  <c r="D286" i="262"/>
  <c r="D285" i="262"/>
  <c r="D284" i="262"/>
  <c r="D283" i="262"/>
  <c r="D282" i="262"/>
  <c r="D281" i="262"/>
  <c r="D280" i="262"/>
  <c r="D279" i="262"/>
  <c r="D278" i="262"/>
  <c r="D275" i="262"/>
  <c r="D274" i="262"/>
  <c r="D273" i="262"/>
  <c r="D272" i="262"/>
  <c r="D271" i="262"/>
  <c r="D270" i="262"/>
  <c r="D269" i="262"/>
  <c r="D268" i="262"/>
  <c r="D267" i="262"/>
  <c r="D266" i="262"/>
  <c r="D265" i="262"/>
  <c r="D264" i="262"/>
  <c r="D263" i="262"/>
  <c r="D262" i="262"/>
  <c r="D261" i="262"/>
  <c r="D258" i="262"/>
  <c r="D257" i="262"/>
  <c r="D256" i="262"/>
  <c r="D255" i="262"/>
  <c r="D254" i="262"/>
  <c r="D253" i="262"/>
  <c r="D252" i="262"/>
  <c r="D251" i="262"/>
  <c r="D250" i="262"/>
  <c r="D249" i="262"/>
  <c r="D248" i="262"/>
  <c r="D247" i="262"/>
  <c r="D246" i="262"/>
  <c r="D245" i="262"/>
  <c r="D244" i="262"/>
  <c r="D241" i="262"/>
  <c r="D240" i="262"/>
  <c r="D239" i="262"/>
  <c r="D238" i="262"/>
  <c r="D237" i="262"/>
  <c r="D236" i="262"/>
  <c r="D235" i="262"/>
  <c r="D234" i="262"/>
  <c r="D233" i="262"/>
  <c r="D232" i="262"/>
  <c r="D231" i="262"/>
  <c r="D230" i="262"/>
  <c r="D229" i="262"/>
  <c r="D228" i="262"/>
  <c r="D227" i="262"/>
  <c r="D224" i="262"/>
  <c r="D223" i="262"/>
  <c r="D222" i="262"/>
  <c r="D221" i="262"/>
  <c r="D220" i="262"/>
  <c r="D219" i="262"/>
  <c r="D218" i="262"/>
  <c r="D217" i="262"/>
  <c r="D216" i="262"/>
  <c r="D215" i="262"/>
  <c r="D214" i="262"/>
  <c r="D213" i="262"/>
  <c r="D212" i="262"/>
  <c r="D211" i="262"/>
  <c r="D210" i="262"/>
  <c r="D207" i="262"/>
  <c r="D206" i="262"/>
  <c r="D205" i="262"/>
  <c r="D204" i="262"/>
  <c r="D203" i="262"/>
  <c r="D202" i="262"/>
  <c r="D201" i="262"/>
  <c r="D200" i="262"/>
  <c r="D199" i="262"/>
  <c r="D198" i="262"/>
  <c r="D197" i="262"/>
  <c r="D196" i="262"/>
  <c r="D195" i="262"/>
  <c r="D194" i="262"/>
  <c r="D193" i="262"/>
  <c r="D190" i="262"/>
  <c r="D189" i="262"/>
  <c r="D188" i="262"/>
  <c r="D187" i="262"/>
  <c r="D186" i="262"/>
  <c r="D185" i="262"/>
  <c r="D184" i="262"/>
  <c r="D183" i="262"/>
  <c r="D182" i="262"/>
  <c r="D181" i="262"/>
  <c r="D180" i="262"/>
  <c r="D179" i="262"/>
  <c r="D178" i="262"/>
  <c r="D177" i="262"/>
  <c r="D176" i="262"/>
  <c r="D173" i="262"/>
  <c r="D172" i="262"/>
  <c r="D171" i="262"/>
  <c r="D170" i="262"/>
  <c r="D169" i="262"/>
  <c r="D168" i="262"/>
  <c r="D167" i="262"/>
  <c r="D166" i="262"/>
  <c r="D165" i="262"/>
  <c r="D164" i="262"/>
  <c r="D163" i="262"/>
  <c r="D162" i="262"/>
  <c r="D161" i="262"/>
  <c r="D160" i="262"/>
  <c r="D159" i="262"/>
  <c r="D156" i="262"/>
  <c r="D155" i="262"/>
  <c r="D154" i="262"/>
  <c r="D153" i="262"/>
  <c r="D152" i="262"/>
  <c r="D151" i="262"/>
  <c r="D150" i="262"/>
  <c r="D149" i="262"/>
  <c r="D148" i="262"/>
  <c r="D147" i="262"/>
  <c r="D146" i="262"/>
  <c r="D145" i="262"/>
  <c r="D144" i="262"/>
  <c r="D143" i="262"/>
  <c r="D142" i="262"/>
  <c r="D139" i="262"/>
  <c r="D138" i="262"/>
  <c r="D137" i="262"/>
  <c r="D136" i="262"/>
  <c r="D135" i="262"/>
  <c r="D134" i="262"/>
  <c r="D133" i="262"/>
  <c r="D132" i="262"/>
  <c r="D131" i="262"/>
  <c r="D130" i="262"/>
  <c r="D129" i="262"/>
  <c r="D128" i="262"/>
  <c r="D127" i="262"/>
  <c r="D126" i="262"/>
  <c r="D125" i="262"/>
  <c r="D122" i="262"/>
  <c r="D121" i="262"/>
  <c r="D120" i="262"/>
  <c r="D119" i="262"/>
  <c r="D118" i="262"/>
  <c r="D117" i="262"/>
  <c r="D116" i="262"/>
  <c r="D115" i="262"/>
  <c r="D114" i="262"/>
  <c r="D113" i="262"/>
  <c r="D112" i="262"/>
  <c r="D111" i="262"/>
  <c r="D110" i="262"/>
  <c r="D109" i="262"/>
  <c r="D108" i="262"/>
  <c r="D105" i="262"/>
  <c r="D104" i="262"/>
  <c r="D103" i="262"/>
  <c r="D102" i="262"/>
  <c r="D101" i="262"/>
  <c r="D100" i="262"/>
  <c r="D99" i="262"/>
  <c r="D98" i="262"/>
  <c r="D97" i="262"/>
  <c r="D96" i="262"/>
  <c r="D95" i="262"/>
  <c r="D94" i="262"/>
  <c r="D93" i="262"/>
  <c r="D92" i="262"/>
  <c r="D91" i="262"/>
  <c r="D88" i="262"/>
  <c r="D87" i="262"/>
  <c r="D86" i="262"/>
  <c r="D85" i="262"/>
  <c r="D84" i="262"/>
  <c r="D83" i="262"/>
  <c r="D82" i="262"/>
  <c r="D81" i="262"/>
  <c r="D80" i="262"/>
  <c r="D79" i="262"/>
  <c r="D78" i="262"/>
  <c r="D77" i="262"/>
  <c r="D76" i="262"/>
  <c r="D75" i="262"/>
  <c r="D74" i="262"/>
  <c r="D71" i="262"/>
  <c r="D70" i="262"/>
  <c r="D69" i="262"/>
  <c r="D68" i="262"/>
  <c r="D67" i="262"/>
  <c r="D66" i="262"/>
  <c r="D65" i="262"/>
  <c r="D64" i="262"/>
  <c r="D63" i="262"/>
  <c r="D62" i="262"/>
  <c r="D61" i="262"/>
  <c r="D60" i="262"/>
  <c r="D59" i="262"/>
  <c r="D58" i="262"/>
  <c r="D57" i="262"/>
  <c r="D54" i="262"/>
  <c r="D53" i="262"/>
  <c r="D52" i="262"/>
  <c r="D51" i="262"/>
  <c r="D50" i="262"/>
  <c r="D49" i="262"/>
  <c r="D48" i="262"/>
  <c r="D47" i="262"/>
  <c r="D46" i="262"/>
  <c r="D45" i="262"/>
  <c r="D44" i="262"/>
  <c r="D43" i="262"/>
  <c r="D42" i="262"/>
  <c r="D41" i="262"/>
  <c r="D40" i="262"/>
  <c r="D37" i="262"/>
  <c r="D36" i="262"/>
  <c r="D35" i="262"/>
  <c r="D34" i="262"/>
  <c r="D33" i="262"/>
  <c r="D32" i="262"/>
  <c r="D31" i="262"/>
  <c r="D30" i="262"/>
  <c r="D29" i="262"/>
  <c r="D28" i="262"/>
  <c r="D27" i="262"/>
  <c r="D26" i="262"/>
  <c r="D25" i="262"/>
  <c r="D24" i="262"/>
  <c r="D23" i="262"/>
  <c r="H32" i="38"/>
  <c r="M32" i="38"/>
  <c r="N32" i="38"/>
  <c r="S32" i="38"/>
  <c r="R32" i="38"/>
  <c r="Q32" i="38"/>
  <c r="P32" i="38"/>
  <c r="O32" i="38"/>
  <c r="L32" i="38"/>
  <c r="K32" i="38"/>
  <c r="J32" i="38"/>
  <c r="I32" i="38"/>
  <c r="T32" i="38"/>
  <c r="U32" i="38"/>
  <c r="V32" i="38"/>
  <c r="S354" i="261" l="1"/>
  <c r="S337" i="261"/>
  <c r="S320" i="261"/>
  <c r="S303" i="261"/>
  <c r="S286" i="261"/>
  <c r="S269" i="261"/>
  <c r="S254" i="261"/>
  <c r="S238" i="261"/>
  <c r="S186" i="261"/>
  <c r="S167" i="261"/>
  <c r="S150" i="261"/>
  <c r="S133" i="261"/>
  <c r="S117" i="261"/>
  <c r="B3" i="1124"/>
  <c r="B2" i="1124"/>
  <c r="B4" i="1124" l="1"/>
  <c r="W10" i="10"/>
  <c r="B2" i="1122"/>
  <c r="B2" i="1121"/>
  <c r="B3" i="1121"/>
  <c r="B3" i="1122"/>
  <c r="B4" i="1122"/>
  <c r="B4" i="1121"/>
  <c r="B3" i="1107"/>
  <c r="B3" i="1106"/>
  <c r="F13" i="1117"/>
  <c r="F13" i="1119"/>
  <c r="F13" i="1118"/>
  <c r="F13" i="1108"/>
  <c r="F13" i="1115"/>
  <c r="F13" i="1114"/>
  <c r="F13" i="1113"/>
  <c r="F13" i="1111"/>
  <c r="F13" i="1110"/>
  <c r="F13" i="1109"/>
  <c r="F13" i="1116"/>
  <c r="F13" i="1112"/>
  <c r="F32" i="1116"/>
  <c r="F32" i="1112"/>
  <c r="F32" i="1111"/>
  <c r="F32" i="1113"/>
  <c r="F32" i="1108"/>
  <c r="F32" i="1118"/>
  <c r="F32" i="1119"/>
  <c r="F32" i="1115"/>
  <c r="F32" i="1117"/>
  <c r="F32" i="1114"/>
  <c r="F32" i="1109"/>
  <c r="F32" i="1110"/>
  <c r="B9" i="1104"/>
  <c r="F31" i="1119"/>
  <c r="I31" i="1117"/>
  <c r="A9" i="1116"/>
  <c r="A9" i="1115"/>
  <c r="F31" i="1113"/>
  <c r="F31" i="1111"/>
  <c r="D31" i="1111" s="1"/>
  <c r="I31" i="1119"/>
  <c r="F31" i="1116"/>
  <c r="I31" i="1115"/>
  <c r="A9" i="1114"/>
  <c r="I31" i="1110"/>
  <c r="A9" i="1109"/>
  <c r="F31" i="1108"/>
  <c r="A9" i="1113"/>
  <c r="I31" i="1111"/>
  <c r="F31" i="1110"/>
  <c r="A9" i="1110"/>
  <c r="I31" i="1109"/>
  <c r="A9" i="1119"/>
  <c r="A9" i="1118"/>
  <c r="F31" i="1117"/>
  <c r="A9" i="1117"/>
  <c r="F31" i="1115"/>
  <c r="I31" i="1114"/>
  <c r="I31" i="1112"/>
  <c r="I31" i="1118"/>
  <c r="F31" i="1114"/>
  <c r="F31" i="1118"/>
  <c r="I31" i="1116"/>
  <c r="A9" i="1112"/>
  <c r="A9" i="1111"/>
  <c r="I31" i="1108"/>
  <c r="A9" i="1108"/>
  <c r="I31" i="1113"/>
  <c r="F31" i="1112"/>
  <c r="F31" i="1109"/>
  <c r="D736" i="1103"/>
  <c r="D702" i="1103"/>
  <c r="D634" i="1103"/>
  <c r="D566" i="1103"/>
  <c r="D515" i="1103"/>
  <c r="D498" i="1103"/>
  <c r="D447" i="1103"/>
  <c r="D396" i="1103"/>
  <c r="D345" i="1103"/>
  <c r="B744" i="1103"/>
  <c r="B710" i="1103"/>
  <c r="B697" i="1103"/>
  <c r="D685" i="1103"/>
  <c r="B642" i="1103"/>
  <c r="B629" i="1103"/>
  <c r="D617" i="1103"/>
  <c r="B574" i="1103"/>
  <c r="B561" i="1103"/>
  <c r="D549" i="1103"/>
  <c r="B510" i="1103"/>
  <c r="B489" i="1103"/>
  <c r="D481" i="1103"/>
  <c r="B453" i="1103"/>
  <c r="B442" i="1103"/>
  <c r="D430" i="1103"/>
  <c r="B404" i="1103"/>
  <c r="D668" i="1103"/>
  <c r="D600" i="1103"/>
  <c r="D532" i="1103"/>
  <c r="B521" i="1103"/>
  <c r="B485" i="1103"/>
  <c r="B415" i="1103"/>
  <c r="D362" i="1103"/>
  <c r="D277" i="1103"/>
  <c r="D175" i="1103"/>
  <c r="D124" i="1103"/>
  <c r="D56" i="1103"/>
  <c r="D344" i="261"/>
  <c r="D327" i="261"/>
  <c r="D310" i="261"/>
  <c r="D293" i="261"/>
  <c r="D276" i="261"/>
  <c r="D259" i="261"/>
  <c r="D242" i="261"/>
  <c r="D225" i="261"/>
  <c r="D157" i="261"/>
  <c r="D140" i="261"/>
  <c r="D123" i="261"/>
  <c r="D106" i="261"/>
  <c r="D719" i="1103"/>
  <c r="B676" i="1103"/>
  <c r="D651" i="1103"/>
  <c r="B608" i="1103"/>
  <c r="D583" i="1103"/>
  <c r="B540" i="1103"/>
  <c r="B476" i="1103"/>
  <c r="B383" i="1103"/>
  <c r="B374" i="1103"/>
  <c r="B349" i="1103"/>
  <c r="B342" i="1103"/>
  <c r="B287" i="1103"/>
  <c r="D260" i="1103"/>
  <c r="D243" i="1103"/>
  <c r="B223" i="1103"/>
  <c r="D209" i="1103"/>
  <c r="D192" i="1103"/>
  <c r="B162" i="1103"/>
  <c r="B134" i="1103"/>
  <c r="D107" i="1103"/>
  <c r="D90" i="1103"/>
  <c r="B625" i="1103"/>
  <c r="B557" i="1103"/>
  <c r="B680" i="1103"/>
  <c r="B663" i="1103"/>
  <c r="B612" i="1103"/>
  <c r="B595" i="1103"/>
  <c r="B544" i="1103"/>
  <c r="B527" i="1103"/>
  <c r="B517" i="1103"/>
  <c r="D464" i="1103"/>
  <c r="B417" i="1103"/>
  <c r="B381" i="1103"/>
  <c r="D379" i="1103"/>
  <c r="B269" i="1103"/>
  <c r="B266" i="1103"/>
  <c r="B253" i="1103"/>
  <c r="B236" i="1103"/>
  <c r="B217" i="1103"/>
  <c r="B211" i="1103"/>
  <c r="B202" i="1103"/>
  <c r="B185" i="1103"/>
  <c r="B179" i="1103"/>
  <c r="D158" i="1103"/>
  <c r="B109" i="1103"/>
  <c r="D174" i="261"/>
  <c r="B228" i="1103"/>
  <c r="B181" i="1103"/>
  <c r="B70" i="1103"/>
  <c r="B59" i="1103"/>
  <c r="B693" i="1103"/>
  <c r="B472" i="1103"/>
  <c r="B438" i="1103"/>
  <c r="D413" i="1103"/>
  <c r="B317" i="1103"/>
  <c r="D226" i="1103"/>
  <c r="B102" i="1103"/>
  <c r="D141" i="1103"/>
  <c r="D328" i="1103"/>
  <c r="B274" i="1103"/>
  <c r="B149" i="1103"/>
  <c r="B130" i="1103"/>
  <c r="B121" i="1103"/>
  <c r="B85" i="1103"/>
  <c r="D311" i="1103"/>
  <c r="B168" i="1103"/>
  <c r="D73" i="1103"/>
  <c r="B385" i="1103"/>
  <c r="B351" i="1103"/>
  <c r="B330" i="1103"/>
  <c r="D294" i="1103"/>
  <c r="B176" i="1103"/>
  <c r="B234" i="1103"/>
  <c r="B281" i="1103"/>
  <c r="B354" i="1103"/>
  <c r="B499" i="1103"/>
  <c r="B282" i="1103"/>
  <c r="B369" i="1103"/>
  <c r="B61" i="1103"/>
  <c r="B88" i="1103"/>
  <c r="B145" i="1103"/>
  <c r="B190" i="1103"/>
  <c r="B270" i="1103"/>
  <c r="B180" i="1103"/>
  <c r="B215" i="1103"/>
  <c r="B58" i="1103"/>
  <c r="B105" i="1103"/>
  <c r="B196" i="1103"/>
  <c r="B254" i="1103"/>
  <c r="B320" i="1103"/>
  <c r="B408" i="1103"/>
  <c r="B475" i="1103"/>
  <c r="B585" i="1103"/>
  <c r="B689" i="1103"/>
  <c r="B738" i="1103"/>
  <c r="B95" i="1103"/>
  <c r="B143" i="1103"/>
  <c r="B197" i="1103"/>
  <c r="B227" i="1103"/>
  <c r="B63" i="1103"/>
  <c r="B83" i="1103"/>
  <c r="B96" i="1103"/>
  <c r="B112" i="1103"/>
  <c r="B128" i="1103"/>
  <c r="B147" i="1103"/>
  <c r="B169" i="1103"/>
  <c r="B194" i="1103"/>
  <c r="B214" i="1103"/>
  <c r="B244" i="1103"/>
  <c r="B261" i="1103"/>
  <c r="B284" i="1103"/>
  <c r="B304" i="1103"/>
  <c r="B339" i="1103"/>
  <c r="B390" i="1103"/>
  <c r="B406" i="1103"/>
  <c r="B443" i="1103"/>
  <c r="B484" i="1103"/>
  <c r="B500" i="1103"/>
  <c r="B520" i="1103"/>
  <c r="B547" i="1103"/>
  <c r="B584" i="1103"/>
  <c r="B615" i="1103"/>
  <c r="B652" i="1103"/>
  <c r="B683" i="1103"/>
  <c r="B720" i="1103"/>
  <c r="B589" i="1103"/>
  <c r="B696" i="1103"/>
  <c r="B99" i="1103"/>
  <c r="B146" i="1103"/>
  <c r="B184" i="1103"/>
  <c r="B238" i="1103"/>
  <c r="B268" i="1103"/>
  <c r="B295" i="1103"/>
  <c r="B307" i="1103"/>
  <c r="B324" i="1103"/>
  <c r="B359" i="1103"/>
  <c r="B393" i="1103"/>
  <c r="B419" i="1103"/>
  <c r="B454" i="1103"/>
  <c r="B479" i="1103"/>
  <c r="B536" i="1103"/>
  <c r="B578" i="1103"/>
  <c r="B635" i="1103"/>
  <c r="B682" i="1103"/>
  <c r="B743" i="1103"/>
  <c r="B218" i="1103"/>
  <c r="B247" i="1103"/>
  <c r="B289" i="1103"/>
  <c r="B358" i="1103"/>
  <c r="B136" i="1103"/>
  <c r="B298" i="1103"/>
  <c r="B382" i="1103"/>
  <c r="B65" i="1103"/>
  <c r="B117" i="1103"/>
  <c r="B152" i="1103"/>
  <c r="B203" i="1103"/>
  <c r="B279" i="1103"/>
  <c r="B125" i="1103"/>
  <c r="B278" i="1103"/>
  <c r="B78" i="1103"/>
  <c r="B110" i="1103"/>
  <c r="B200" i="1103"/>
  <c r="B258" i="1103"/>
  <c r="B346" i="1103"/>
  <c r="B434" i="1103"/>
  <c r="B516" i="1103"/>
  <c r="B628" i="1103"/>
  <c r="B705" i="1103"/>
  <c r="B742" i="1103"/>
  <c r="B62" i="1103"/>
  <c r="B111" i="1103"/>
  <c r="B153" i="1103"/>
  <c r="B204" i="1103"/>
  <c r="B235" i="1103"/>
  <c r="B67" i="1103"/>
  <c r="B86" i="1103"/>
  <c r="B100" i="1103"/>
  <c r="B116" i="1103"/>
  <c r="B131" i="1103"/>
  <c r="B150" i="1103"/>
  <c r="B173" i="1103"/>
  <c r="B198" i="1103"/>
  <c r="B220" i="1103"/>
  <c r="B245" i="1103"/>
  <c r="B262" i="1103"/>
  <c r="B291" i="1103"/>
  <c r="B308" i="1103"/>
  <c r="B367" i="1103"/>
  <c r="B394" i="1103"/>
  <c r="B420" i="1103"/>
  <c r="B451" i="1103"/>
  <c r="B487" i="1103"/>
  <c r="B504" i="1103"/>
  <c r="B523" i="1103"/>
  <c r="B562" i="1103"/>
  <c r="B591" i="1103"/>
  <c r="B630" i="1103"/>
  <c r="B659" i="1103"/>
  <c r="B698" i="1103"/>
  <c r="B737" i="1103"/>
  <c r="B621" i="1103"/>
  <c r="B709" i="1103"/>
  <c r="B66" i="1103"/>
  <c r="B118" i="1103"/>
  <c r="B156" i="1103"/>
  <c r="B201" i="1103"/>
  <c r="B252" i="1103"/>
  <c r="B271" i="1103"/>
  <c r="B296" i="1103"/>
  <c r="B312" i="1103"/>
  <c r="B329" i="1103"/>
  <c r="B370" i="1103"/>
  <c r="B405" i="1103"/>
  <c r="B423" i="1103"/>
  <c r="B458" i="1103"/>
  <c r="B490" i="1103"/>
  <c r="B543" i="1103"/>
  <c r="B604" i="1103"/>
  <c r="B646" i="1103"/>
  <c r="B703" i="1103"/>
  <c r="B60" i="1103"/>
  <c r="B77" i="1103"/>
  <c r="B97" i="1103"/>
  <c r="B120" i="1103"/>
  <c r="B139" i="1103"/>
  <c r="B160" i="1103"/>
  <c r="B182" i="1103"/>
  <c r="B222" i="1103"/>
  <c r="B251" i="1103"/>
  <c r="B333" i="1103"/>
  <c r="B388" i="1103"/>
  <c r="B155" i="1103"/>
  <c r="B348" i="1103"/>
  <c r="B449" i="1103"/>
  <c r="B69" i="1103"/>
  <c r="B126" i="1103"/>
  <c r="B161" i="1103"/>
  <c r="B207" i="1103"/>
  <c r="B323" i="1103"/>
  <c r="B164" i="1103"/>
  <c r="B286" i="1103"/>
  <c r="B94" i="1103"/>
  <c r="B114" i="1103"/>
  <c r="B237" i="1103"/>
  <c r="B267" i="1103"/>
  <c r="B363" i="1103"/>
  <c r="B441" i="1103"/>
  <c r="B560" i="1103"/>
  <c r="B637" i="1103"/>
  <c r="B721" i="1103"/>
  <c r="B746" i="1103"/>
  <c r="B75" i="1103"/>
  <c r="B115" i="1103"/>
  <c r="B165" i="1103"/>
  <c r="B213" i="1103"/>
  <c r="B248" i="1103"/>
  <c r="B76" i="1103"/>
  <c r="B91" i="1103"/>
  <c r="B103" i="1103"/>
  <c r="B119" i="1103"/>
  <c r="B138" i="1103"/>
  <c r="B154" i="1103"/>
  <c r="B188" i="1103"/>
  <c r="B205" i="1103"/>
  <c r="B232" i="1103"/>
  <c r="B249" i="1103"/>
  <c r="B272" i="1103"/>
  <c r="B297" i="1103"/>
  <c r="B331" i="1103"/>
  <c r="B371" i="1103"/>
  <c r="B398" i="1103"/>
  <c r="B424" i="1103"/>
  <c r="B455" i="1103"/>
  <c r="B491" i="1103"/>
  <c r="B508" i="1103"/>
  <c r="B530" i="1103"/>
  <c r="B575" i="1103"/>
  <c r="B598" i="1103"/>
  <c r="B643" i="1103"/>
  <c r="B666" i="1103"/>
  <c r="B711" i="1103"/>
  <c r="B553" i="1103"/>
  <c r="B641" i="1103"/>
  <c r="B725" i="1103"/>
  <c r="B74" i="1103"/>
  <c r="B127" i="1103"/>
  <c r="B172" i="1103"/>
  <c r="B216" i="1103"/>
  <c r="B255" i="1103"/>
  <c r="B280" i="1103"/>
  <c r="B299" i="1103"/>
  <c r="B314" i="1103"/>
  <c r="B338" i="1103"/>
  <c r="B377" i="1103"/>
  <c r="B409" i="1103"/>
  <c r="B427" i="1103"/>
  <c r="B462" i="1103"/>
  <c r="B494" i="1103"/>
  <c r="B546" i="1103"/>
  <c r="B611" i="1103"/>
  <c r="B672" i="1103"/>
  <c r="B714" i="1103"/>
  <c r="B64" i="1103"/>
  <c r="B84" i="1103"/>
  <c r="B101" i="1103"/>
  <c r="B129" i="1103"/>
  <c r="B148" i="1103"/>
  <c r="B163" i="1103"/>
  <c r="B189" i="1103"/>
  <c r="B230" i="1103"/>
  <c r="B264" i="1103"/>
  <c r="B337" i="1103"/>
  <c r="B392" i="1103"/>
  <c r="B177" i="1103"/>
  <c r="B365" i="1103"/>
  <c r="B57" i="1103"/>
  <c r="B81" i="1103"/>
  <c r="B133" i="1103"/>
  <c r="B186" i="1103"/>
  <c r="B212" i="1103"/>
  <c r="B478" i="1103"/>
  <c r="B171" i="1103"/>
  <c r="B306" i="1103"/>
  <c r="B98" i="1103"/>
  <c r="B183" i="1103"/>
  <c r="B241" i="1103"/>
  <c r="B313" i="1103"/>
  <c r="B400" i="1103"/>
  <c r="B468" i="1103"/>
  <c r="B569" i="1103"/>
  <c r="B657" i="1103"/>
  <c r="B729" i="1103"/>
  <c r="B750" i="1103"/>
  <c r="B82" i="1103"/>
  <c r="B137" i="1103"/>
  <c r="B187" i="1103"/>
  <c r="B219" i="1103"/>
  <c r="B290" i="1103"/>
  <c r="B80" i="1103"/>
  <c r="B92" i="1103"/>
  <c r="B108" i="1103"/>
  <c r="B122" i="1103"/>
  <c r="B144" i="1103"/>
  <c r="B166" i="1103"/>
  <c r="B193" i="1103"/>
  <c r="B210" i="1103"/>
  <c r="B239" i="1103"/>
  <c r="B256" i="1103"/>
  <c r="B275" i="1103"/>
  <c r="B300" i="1103"/>
  <c r="B335" i="1103"/>
  <c r="B386" i="1103"/>
  <c r="B402" i="1103"/>
  <c r="B428" i="1103"/>
  <c r="B459" i="1103"/>
  <c r="B495" i="1103"/>
  <c r="B512" i="1103"/>
  <c r="B537" i="1103"/>
  <c r="B579" i="1103"/>
  <c r="B605" i="1103"/>
  <c r="B647" i="1103"/>
  <c r="B673" i="1103"/>
  <c r="B715" i="1103"/>
  <c r="B573" i="1103"/>
  <c r="B653" i="1103"/>
  <c r="B733" i="1103"/>
  <c r="B79" i="1103"/>
  <c r="B142" i="1103"/>
  <c r="B178" i="1103"/>
  <c r="B231" i="1103"/>
  <c r="B265" i="1103"/>
  <c r="B283" i="1103"/>
  <c r="B303" i="1103"/>
  <c r="B321" i="1103"/>
  <c r="B355" i="1103"/>
  <c r="B389" i="1103"/>
  <c r="B414" i="1103"/>
  <c r="B448" i="1103"/>
  <c r="B469" i="1103"/>
  <c r="B511" i="1103"/>
  <c r="B567" i="1103"/>
  <c r="B614" i="1103"/>
  <c r="B679" i="1103"/>
  <c r="B739" i="1103"/>
  <c r="B68" i="1103"/>
  <c r="B104" i="1103"/>
  <c r="B151" i="1103"/>
  <c r="B195" i="1103"/>
  <c r="B224" i="1103"/>
  <c r="B246" i="1103"/>
  <c r="B273" i="1103"/>
  <c r="B301" i="1103"/>
  <c r="B326" i="1103"/>
  <c r="B343" i="1103"/>
  <c r="B357" i="1103"/>
  <c r="B375" i="1103"/>
  <c r="B403" i="1103"/>
  <c r="B444" i="1103"/>
  <c r="B505" i="1103"/>
  <c r="B556" i="1103"/>
  <c r="B572" i="1103"/>
  <c r="B620" i="1103"/>
  <c r="B636" i="1103"/>
  <c r="B660" i="1103"/>
  <c r="B699" i="1103"/>
  <c r="B724" i="1103"/>
  <c r="B749" i="1103"/>
  <c r="B418" i="1103"/>
  <c r="B445" i="1103"/>
  <c r="B465" i="1103"/>
  <c r="B492" i="1103"/>
  <c r="B513" i="1103"/>
  <c r="B533" i="1103"/>
  <c r="B554" i="1103"/>
  <c r="B580" i="1103"/>
  <c r="B596" i="1103"/>
  <c r="B609" i="1103"/>
  <c r="B645" i="1103"/>
  <c r="B661" i="1103"/>
  <c r="B674" i="1103"/>
  <c r="B706" i="1103"/>
  <c r="B726" i="1103"/>
  <c r="B747" i="1103"/>
  <c r="B315" i="1103"/>
  <c r="B334" i="1103"/>
  <c r="B360" i="1103"/>
  <c r="B384" i="1103"/>
  <c r="B411" i="1103"/>
  <c r="B431" i="1103"/>
  <c r="B457" i="1103"/>
  <c r="B474" i="1103"/>
  <c r="B486" i="1103"/>
  <c r="B519" i="1103"/>
  <c r="B535" i="1103"/>
  <c r="B550" i="1103"/>
  <c r="B571" i="1103"/>
  <c r="B597" i="1103"/>
  <c r="B613" i="1103"/>
  <c r="B626" i="1103"/>
  <c r="B662" i="1103"/>
  <c r="B678" i="1103"/>
  <c r="B691" i="1103"/>
  <c r="B723" i="1103"/>
  <c r="B748" i="1103"/>
  <c r="B439" i="1103"/>
  <c r="B545" i="1103"/>
  <c r="B610" i="1103"/>
  <c r="B687" i="1103"/>
  <c r="B71" i="1103"/>
  <c r="B113" i="1103"/>
  <c r="B159" i="1103"/>
  <c r="B199" i="1103"/>
  <c r="B229" i="1103"/>
  <c r="B250" i="1103"/>
  <c r="B285" i="1103"/>
  <c r="B305" i="1103"/>
  <c r="B332" i="1103"/>
  <c r="B347" i="1103"/>
  <c r="B364" i="1103"/>
  <c r="B380" i="1103"/>
  <c r="B433" i="1103"/>
  <c r="B452" i="1103"/>
  <c r="B509" i="1103"/>
  <c r="B559" i="1103"/>
  <c r="B576" i="1103"/>
  <c r="B624" i="1103"/>
  <c r="B640" i="1103"/>
  <c r="B688" i="1103"/>
  <c r="B704" i="1103"/>
  <c r="B728" i="1103"/>
  <c r="B421" i="1103"/>
  <c r="B450" i="1103"/>
  <c r="B466" i="1103"/>
  <c r="B496" i="1103"/>
  <c r="B518" i="1103"/>
  <c r="B534" i="1103"/>
  <c r="B564" i="1103"/>
  <c r="B586" i="1103"/>
  <c r="B601" i="1103"/>
  <c r="B622" i="1103"/>
  <c r="B648" i="1103"/>
  <c r="B664" i="1103"/>
  <c r="B677" i="1103"/>
  <c r="B713" i="1103"/>
  <c r="B730" i="1103"/>
  <c r="B751" i="1103"/>
  <c r="B318" i="1103"/>
  <c r="B341" i="1103"/>
  <c r="B366" i="1103"/>
  <c r="B387" i="1103"/>
  <c r="B416" i="1103"/>
  <c r="B432" i="1103"/>
  <c r="B461" i="1103"/>
  <c r="B477" i="1103"/>
  <c r="B493" i="1103"/>
  <c r="B522" i="1103"/>
  <c r="B539" i="1103"/>
  <c r="B551" i="1103"/>
  <c r="B581" i="1103"/>
  <c r="B603" i="1103"/>
  <c r="B618" i="1103"/>
  <c r="B639" i="1103"/>
  <c r="B665" i="1103"/>
  <c r="B681" i="1103"/>
  <c r="B694" i="1103"/>
  <c r="B727" i="1103"/>
  <c r="B401" i="1103"/>
  <c r="B623" i="1103"/>
  <c r="B717" i="1103"/>
  <c r="B87" i="1103"/>
  <c r="B132" i="1103"/>
  <c r="B167" i="1103"/>
  <c r="B206" i="1103"/>
  <c r="B233" i="1103"/>
  <c r="B257" i="1103"/>
  <c r="B288" i="1103"/>
  <c r="B316" i="1103"/>
  <c r="B336" i="1103"/>
  <c r="B350" i="1103"/>
  <c r="B368" i="1103"/>
  <c r="B397" i="1103"/>
  <c r="B437" i="1103"/>
  <c r="B488" i="1103"/>
  <c r="B524" i="1103"/>
  <c r="B563" i="1103"/>
  <c r="B588" i="1103"/>
  <c r="B627" i="1103"/>
  <c r="B644" i="1103"/>
  <c r="B692" i="1103"/>
  <c r="B708" i="1103"/>
  <c r="B732" i="1103"/>
  <c r="B407" i="1103"/>
  <c r="B425" i="1103"/>
  <c r="B456" i="1103"/>
  <c r="B470" i="1103"/>
  <c r="B502" i="1103"/>
  <c r="B525" i="1103"/>
  <c r="B538" i="1103"/>
  <c r="B570" i="1103"/>
  <c r="B590" i="1103"/>
  <c r="B602" i="1103"/>
  <c r="B632" i="1103"/>
  <c r="B654" i="1103"/>
  <c r="B669" i="1103"/>
  <c r="B690" i="1103"/>
  <c r="B716" i="1103"/>
  <c r="B734" i="1103"/>
  <c r="B302" i="1103"/>
  <c r="B322" i="1103"/>
  <c r="B352" i="1103"/>
  <c r="B373" i="1103"/>
  <c r="B391" i="1103"/>
  <c r="B422" i="1103"/>
  <c r="B436" i="1103"/>
  <c r="B467" i="1103"/>
  <c r="B482" i="1103"/>
  <c r="B503" i="1103"/>
  <c r="B526" i="1103"/>
  <c r="B542" i="1103"/>
  <c r="B555" i="1103"/>
  <c r="B587" i="1103"/>
  <c r="B607" i="1103"/>
  <c r="B619" i="1103"/>
  <c r="B649" i="1103"/>
  <c r="B671" i="1103"/>
  <c r="B686" i="1103"/>
  <c r="B707" i="1103"/>
  <c r="B731" i="1103"/>
  <c r="B376" i="1103"/>
  <c r="B558" i="1103"/>
  <c r="B655" i="1103"/>
  <c r="B741" i="1103"/>
  <c r="B93" i="1103"/>
  <c r="B135" i="1103"/>
  <c r="B170" i="1103"/>
  <c r="B221" i="1103"/>
  <c r="B240" i="1103"/>
  <c r="B263" i="1103"/>
  <c r="B292" i="1103"/>
  <c r="B319" i="1103"/>
  <c r="B340" i="1103"/>
  <c r="B353" i="1103"/>
  <c r="B372" i="1103"/>
  <c r="B399" i="1103"/>
  <c r="B440" i="1103"/>
  <c r="B501" i="1103"/>
  <c r="B552" i="1103"/>
  <c r="B568" i="1103"/>
  <c r="B592" i="1103"/>
  <c r="B631" i="1103"/>
  <c r="B656" i="1103"/>
  <c r="B695" i="1103"/>
  <c r="B712" i="1103"/>
  <c r="B745" i="1103"/>
  <c r="B410" i="1103"/>
  <c r="B435" i="1103"/>
  <c r="B460" i="1103"/>
  <c r="B473" i="1103"/>
  <c r="B506" i="1103"/>
  <c r="B528" i="1103"/>
  <c r="B541" i="1103"/>
  <c r="B577" i="1103"/>
  <c r="B593" i="1103"/>
  <c r="B606" i="1103"/>
  <c r="B638" i="1103"/>
  <c r="B658" i="1103"/>
  <c r="B670" i="1103"/>
  <c r="B700" i="1103"/>
  <c r="B722" i="1103"/>
  <c r="B740" i="1103"/>
  <c r="B309" i="1103"/>
  <c r="B325" i="1103"/>
  <c r="B356" i="1103"/>
  <c r="B426" i="1103"/>
  <c r="B471" i="1103"/>
  <c r="B483" i="1103"/>
  <c r="B507" i="1103"/>
  <c r="B529" i="1103"/>
  <c r="B594" i="1103"/>
  <c r="B675" i="1103"/>
  <c r="G22" i="1117"/>
  <c r="H22" i="1115"/>
  <c r="H22" i="1114"/>
  <c r="H22" i="1113"/>
  <c r="G22" i="1112"/>
  <c r="H22" i="1110"/>
  <c r="H22" i="1108"/>
  <c r="G22" i="1110"/>
  <c r="G22" i="1119"/>
  <c r="H22" i="1119"/>
  <c r="H22" i="1118"/>
  <c r="H22" i="1116"/>
  <c r="G22" i="1115"/>
  <c r="G22" i="1113"/>
  <c r="G22" i="1108"/>
  <c r="G22" i="1118"/>
  <c r="H22" i="1117"/>
  <c r="G22" i="1116"/>
  <c r="G22" i="1109"/>
  <c r="G22" i="1111"/>
  <c r="H22" i="1112"/>
  <c r="H22" i="1109"/>
  <c r="G22" i="1114"/>
  <c r="H22" i="1111"/>
  <c r="B4" i="1107"/>
  <c r="B4" i="1106"/>
  <c r="B3" i="1104"/>
  <c r="C56" i="1119"/>
  <c r="C12" i="1119"/>
  <c r="C36" i="1118"/>
  <c r="C12" i="1118"/>
  <c r="C36" i="1117"/>
  <c r="C12" i="1117"/>
  <c r="C48" i="1115"/>
  <c r="C36" i="1115"/>
  <c r="C48" i="1114"/>
  <c r="C56" i="1112"/>
  <c r="C56" i="1111"/>
  <c r="C36" i="1111"/>
  <c r="C36" i="1119"/>
  <c r="C36" i="1116"/>
  <c r="C12" i="1115"/>
  <c r="C48" i="1113"/>
  <c r="C12" i="1113"/>
  <c r="C48" i="1112"/>
  <c r="C56" i="1110"/>
  <c r="C12" i="1110"/>
  <c r="C12" i="1111"/>
  <c r="C48" i="1109"/>
  <c r="C36" i="1109"/>
  <c r="C56" i="1114"/>
  <c r="C48" i="1119"/>
  <c r="C48" i="1118"/>
  <c r="C48" i="1117"/>
  <c r="C48" i="1116"/>
  <c r="C56" i="1115"/>
  <c r="C36" i="1114"/>
  <c r="C12" i="1112"/>
  <c r="C48" i="1111"/>
  <c r="C48" i="1108"/>
  <c r="C36" i="1108"/>
  <c r="C12" i="1108"/>
  <c r="C56" i="1113"/>
  <c r="C36" i="1113"/>
  <c r="C12" i="1116"/>
  <c r="C36" i="1112"/>
  <c r="C48" i="1110"/>
  <c r="C12" i="1109"/>
  <c r="C56" i="1118"/>
  <c r="C56" i="1108"/>
  <c r="C12" i="1114"/>
  <c r="C36" i="1110"/>
  <c r="C56" i="1117"/>
  <c r="C56" i="1116"/>
  <c r="C56" i="1109"/>
  <c r="L5" i="6"/>
  <c r="F42" i="1119"/>
  <c r="F30" i="1119"/>
  <c r="F42" i="1116"/>
  <c r="F30" i="1116"/>
  <c r="F30" i="1115"/>
  <c r="F42" i="1112"/>
  <c r="F42" i="1111"/>
  <c r="F42" i="1115"/>
  <c r="F42" i="1114"/>
  <c r="F30" i="1112"/>
  <c r="F30" i="1111"/>
  <c r="F42" i="1113"/>
  <c r="F30" i="1118"/>
  <c r="F30" i="1117"/>
  <c r="F42" i="1117"/>
  <c r="F30" i="1114"/>
  <c r="F42" i="1109"/>
  <c r="F30" i="1113"/>
  <c r="F42" i="1118"/>
  <c r="F42" i="1110"/>
  <c r="F30" i="1110"/>
  <c r="F42" i="1108"/>
  <c r="F30" i="1108"/>
  <c r="F30" i="1109"/>
  <c r="B5" i="1104"/>
  <c r="F12" i="1113"/>
  <c r="F12" i="1112"/>
  <c r="F12" i="1118"/>
  <c r="F12" i="1117"/>
  <c r="F12" i="1111"/>
  <c r="F12" i="1108"/>
  <c r="F12" i="1109"/>
  <c r="F12" i="1116"/>
  <c r="F12" i="1114"/>
  <c r="F12" i="1115"/>
  <c r="F12" i="1110"/>
  <c r="F12" i="1119"/>
  <c r="F37" i="1119"/>
  <c r="F37" i="1114"/>
  <c r="F37" i="1113"/>
  <c r="F37" i="1118"/>
  <c r="F37" i="1110"/>
  <c r="F37" i="1111"/>
  <c r="F37" i="1108"/>
  <c r="F37" i="1115"/>
  <c r="F37" i="1116"/>
  <c r="F37" i="1117"/>
  <c r="F37" i="1112"/>
  <c r="F37" i="1109"/>
  <c r="B7" i="1104"/>
  <c r="B8" i="1104"/>
  <c r="F28" i="1118"/>
  <c r="F28" i="1111"/>
  <c r="F28" i="1117"/>
  <c r="F28" i="1114"/>
  <c r="F28" i="1109"/>
  <c r="F28" i="1108"/>
  <c r="F28" i="1110"/>
  <c r="F28" i="1119"/>
  <c r="F28" i="1113"/>
  <c r="F28" i="1112"/>
  <c r="F28" i="1115"/>
  <c r="F28" i="1116"/>
  <c r="B10" i="1104"/>
  <c r="B2" i="1107"/>
  <c r="B2" i="1106"/>
  <c r="B4" i="1104"/>
  <c r="F22" i="1119"/>
  <c r="F22" i="1118"/>
  <c r="F22" i="1116"/>
  <c r="F22" i="1113"/>
  <c r="F22" i="1111"/>
  <c r="F22" i="1114"/>
  <c r="F22" i="1109"/>
  <c r="F22" i="1112"/>
  <c r="F22" i="1115"/>
  <c r="F22" i="1110"/>
  <c r="F22" i="1117"/>
  <c r="F22" i="1108"/>
  <c r="F38" i="1112"/>
  <c r="F38" i="1111"/>
  <c r="F38" i="1115"/>
  <c r="F38" i="1110"/>
  <c r="F38" i="1113"/>
  <c r="F38" i="1119"/>
  <c r="F38" i="1116"/>
  <c r="F38" i="1114"/>
  <c r="F38" i="1108"/>
  <c r="F38" i="1118"/>
  <c r="F38" i="1117"/>
  <c r="F38" i="1109"/>
  <c r="B6" i="1104"/>
  <c r="G13" i="1115"/>
  <c r="G13" i="1113"/>
  <c r="G13" i="1112"/>
  <c r="G13" i="1111"/>
  <c r="G13" i="1117"/>
  <c r="G13" i="1114"/>
  <c r="G13" i="1109"/>
  <c r="G13" i="1116"/>
  <c r="G13" i="1110"/>
  <c r="G13" i="1118"/>
  <c r="G13" i="1108"/>
  <c r="G13" i="1119"/>
  <c r="S355" i="261"/>
  <c r="S338" i="261"/>
  <c r="S321" i="261"/>
  <c r="S304" i="261"/>
  <c r="S287" i="261"/>
  <c r="S270" i="261"/>
  <c r="S255" i="261"/>
  <c r="S239" i="261"/>
  <c r="S187" i="261"/>
  <c r="S168" i="261"/>
  <c r="S151" i="261"/>
  <c r="S134" i="261"/>
  <c r="S118" i="261"/>
  <c r="D208" i="261"/>
  <c r="D191" i="261"/>
  <c r="D89" i="261"/>
  <c r="D72" i="261"/>
  <c r="D55" i="261"/>
  <c r="D38" i="261"/>
  <c r="D21" i="261"/>
  <c r="D39" i="1103"/>
  <c r="D22" i="1103"/>
  <c r="D889" i="262"/>
  <c r="D872" i="262"/>
  <c r="D855" i="262"/>
  <c r="D838" i="262"/>
  <c r="D821" i="262"/>
  <c r="D804" i="262"/>
  <c r="D787" i="262"/>
  <c r="D770" i="262"/>
  <c r="D753" i="262"/>
  <c r="D736" i="262"/>
  <c r="D719" i="262"/>
  <c r="D702" i="262"/>
  <c r="D685" i="262"/>
  <c r="D668" i="262"/>
  <c r="D651" i="262"/>
  <c r="D634" i="262"/>
  <c r="D617" i="262"/>
  <c r="D600" i="262"/>
  <c r="D583" i="262"/>
  <c r="D566" i="262"/>
  <c r="D549" i="262"/>
  <c r="D532" i="262"/>
  <c r="D515" i="262"/>
  <c r="D498" i="262"/>
  <c r="D481" i="262"/>
  <c r="D464" i="262"/>
  <c r="D447" i="262"/>
  <c r="D430" i="262"/>
  <c r="D413" i="262"/>
  <c r="D396" i="262"/>
  <c r="D379" i="262"/>
  <c r="D362" i="262"/>
  <c r="D345" i="262"/>
  <c r="D328" i="262"/>
  <c r="D311" i="262"/>
  <c r="D294" i="262"/>
  <c r="D277" i="262"/>
  <c r="D260" i="262"/>
  <c r="D243" i="262"/>
  <c r="D226" i="262"/>
  <c r="D209" i="262"/>
  <c r="D192" i="262"/>
  <c r="D175" i="262"/>
  <c r="D158" i="262"/>
  <c r="D141" i="262"/>
  <c r="D124" i="262"/>
  <c r="D107" i="262"/>
  <c r="D90" i="262"/>
  <c r="D73" i="262"/>
  <c r="D56" i="262"/>
  <c r="D39" i="262"/>
  <c r="W5" i="1124" l="1"/>
  <c r="U5" i="1124"/>
  <c r="H13" i="1110"/>
  <c r="H21" i="1110" s="1"/>
  <c r="G21" i="1110"/>
  <c r="I21" i="1110" s="1"/>
  <c r="H13" i="1117"/>
  <c r="H21" i="1117" s="1"/>
  <c r="G21" i="1117"/>
  <c r="I21" i="1117" s="1"/>
  <c r="H13" i="1115"/>
  <c r="H21" i="1115" s="1"/>
  <c r="H23" i="1115" s="1"/>
  <c r="H24" i="1115" s="1"/>
  <c r="G21" i="1115"/>
  <c r="I21" i="1115" s="1"/>
  <c r="D38" i="1118"/>
  <c r="F45" i="1118"/>
  <c r="G38" i="1118"/>
  <c r="H38" i="1118" s="1"/>
  <c r="F58" i="1118"/>
  <c r="I38" i="1118"/>
  <c r="D38" i="1119"/>
  <c r="G38" i="1119"/>
  <c r="H38" i="1119" s="1"/>
  <c r="F58" i="1119"/>
  <c r="I38" i="1119"/>
  <c r="F45" i="1119"/>
  <c r="F58" i="1111"/>
  <c r="I38" i="1111"/>
  <c r="D38" i="1111"/>
  <c r="F45" i="1111"/>
  <c r="G38" i="1111"/>
  <c r="H38" i="1111" s="1"/>
  <c r="D22" i="1115"/>
  <c r="I22" i="1115"/>
  <c r="I22" i="1111"/>
  <c r="D22" i="1111"/>
  <c r="I22" i="1119"/>
  <c r="D22" i="1119"/>
  <c r="I28" i="1113"/>
  <c r="G28" i="1113"/>
  <c r="H28" i="1113" s="1"/>
  <c r="D28" i="1113"/>
  <c r="G28" i="1109"/>
  <c r="H28" i="1109" s="1"/>
  <c r="D28" i="1109"/>
  <c r="I28" i="1109"/>
  <c r="G28" i="1118"/>
  <c r="H28" i="1118" s="1"/>
  <c r="I28" i="1118"/>
  <c r="D28" i="1118"/>
  <c r="D37" i="1112"/>
  <c r="F44" i="1112"/>
  <c r="F27" i="1112" s="1"/>
  <c r="G37" i="1112"/>
  <c r="H37" i="1112" s="1"/>
  <c r="I37" i="1112"/>
  <c r="F44" i="1108"/>
  <c r="I37" i="1108"/>
  <c r="D37" i="1108"/>
  <c r="G37" i="1108"/>
  <c r="H37" i="1108" s="1"/>
  <c r="F44" i="1113"/>
  <c r="F27" i="1113" s="1"/>
  <c r="G37" i="1113"/>
  <c r="H37" i="1113" s="1"/>
  <c r="I37" i="1113"/>
  <c r="D37" i="1113"/>
  <c r="G12" i="1110"/>
  <c r="H12" i="1110" s="1"/>
  <c r="I12" i="1110"/>
  <c r="D12" i="1110"/>
  <c r="G12" i="1109"/>
  <c r="H12" i="1109" s="1"/>
  <c r="D12" i="1109"/>
  <c r="I12" i="1109"/>
  <c r="G12" i="1118"/>
  <c r="H12" i="1118" s="1"/>
  <c r="I12" i="1118"/>
  <c r="D12" i="1118"/>
  <c r="G30" i="1109"/>
  <c r="H30" i="1109" s="1"/>
  <c r="D30" i="1109"/>
  <c r="I30" i="1109"/>
  <c r="I42" i="1110"/>
  <c r="D42" i="1110"/>
  <c r="G30" i="1114"/>
  <c r="H30" i="1114" s="1"/>
  <c r="D30" i="1114"/>
  <c r="I30" i="1114"/>
  <c r="I42" i="1113"/>
  <c r="D42" i="1113"/>
  <c r="D42" i="1115"/>
  <c r="I42" i="1115"/>
  <c r="G30" i="1116"/>
  <c r="H30" i="1116" s="1"/>
  <c r="D30" i="1116"/>
  <c r="I30" i="1116"/>
  <c r="H18" i="1111"/>
  <c r="G18" i="1111"/>
  <c r="G18" i="1118"/>
  <c r="H18" i="1116"/>
  <c r="G18" i="1110"/>
  <c r="G23" i="1110"/>
  <c r="I25" i="1110" s="1"/>
  <c r="H18" i="1113"/>
  <c r="D31" i="1117"/>
  <c r="D31" i="1108"/>
  <c r="D31" i="1113"/>
  <c r="D31" i="1119"/>
  <c r="D32" i="1114"/>
  <c r="I32" i="1114"/>
  <c r="G32" i="1114"/>
  <c r="H32" i="1114" s="1"/>
  <c r="G32" i="1118"/>
  <c r="H32" i="1118" s="1"/>
  <c r="I32" i="1118"/>
  <c r="D32" i="1118"/>
  <c r="I32" i="1112"/>
  <c r="G32" i="1112"/>
  <c r="H32" i="1112" s="1"/>
  <c r="D32" i="1112"/>
  <c r="F21" i="1109"/>
  <c r="I13" i="1109"/>
  <c r="D13" i="1109"/>
  <c r="F21" i="1114"/>
  <c r="I13" i="1114"/>
  <c r="D13" i="1114"/>
  <c r="D13" i="1119"/>
  <c r="F21" i="1119"/>
  <c r="I13" i="1119"/>
  <c r="G21" i="1119"/>
  <c r="I21" i="1119" s="1"/>
  <c r="H13" i="1119"/>
  <c r="H21" i="1119" s="1"/>
  <c r="H23" i="1119" s="1"/>
  <c r="H24" i="1119" s="1"/>
  <c r="H13" i="1116"/>
  <c r="H21" i="1116" s="1"/>
  <c r="H23" i="1116" s="1"/>
  <c r="H24" i="1116" s="1"/>
  <c r="G21" i="1116"/>
  <c r="I21" i="1116" s="1"/>
  <c r="H13" i="1111"/>
  <c r="H21" i="1111" s="1"/>
  <c r="H23" i="1111" s="1"/>
  <c r="H24" i="1111" s="1"/>
  <c r="G21" i="1111"/>
  <c r="I21" i="1111" s="1"/>
  <c r="G38" i="1108"/>
  <c r="H38" i="1108" s="1"/>
  <c r="I38" i="1108"/>
  <c r="F45" i="1108"/>
  <c r="D38" i="1108"/>
  <c r="F58" i="1108"/>
  <c r="F45" i="1113"/>
  <c r="F58" i="1113"/>
  <c r="D38" i="1113"/>
  <c r="G38" i="1113"/>
  <c r="H38" i="1113" s="1"/>
  <c r="I38" i="1113"/>
  <c r="G38" i="1112"/>
  <c r="H38" i="1112" s="1"/>
  <c r="I38" i="1112"/>
  <c r="F45" i="1112"/>
  <c r="F58" i="1112"/>
  <c r="D38" i="1112"/>
  <c r="I22" i="1108"/>
  <c r="D22" i="1108"/>
  <c r="I22" i="1112"/>
  <c r="D22" i="1112"/>
  <c r="I22" i="1113"/>
  <c r="D22" i="1113"/>
  <c r="D28" i="1116"/>
  <c r="I28" i="1116"/>
  <c r="G28" i="1116"/>
  <c r="H28" i="1116" s="1"/>
  <c r="G28" i="1119"/>
  <c r="H28" i="1119" s="1"/>
  <c r="I28" i="1119"/>
  <c r="D28" i="1119"/>
  <c r="G28" i="1114"/>
  <c r="H28" i="1114" s="1"/>
  <c r="I28" i="1114"/>
  <c r="D28" i="1114"/>
  <c r="G37" i="1117"/>
  <c r="H37" i="1117" s="1"/>
  <c r="D37" i="1117"/>
  <c r="I37" i="1117"/>
  <c r="F44" i="1117"/>
  <c r="F27" i="1117" s="1"/>
  <c r="I37" i="1111"/>
  <c r="G37" i="1111"/>
  <c r="H37" i="1111" s="1"/>
  <c r="F44" i="1111"/>
  <c r="F27" i="1111" s="1"/>
  <c r="D37" i="1111"/>
  <c r="D37" i="1114"/>
  <c r="G37" i="1114"/>
  <c r="H37" i="1114" s="1"/>
  <c r="I37" i="1114"/>
  <c r="F44" i="1114"/>
  <c r="F27" i="1114" s="1"/>
  <c r="D12" i="1115"/>
  <c r="G12" i="1115"/>
  <c r="H12" i="1115" s="1"/>
  <c r="I12" i="1115"/>
  <c r="G12" i="1108"/>
  <c r="H12" i="1108" s="1"/>
  <c r="I12" i="1108"/>
  <c r="D12" i="1108"/>
  <c r="I12" i="1112"/>
  <c r="G12" i="1112"/>
  <c r="H12" i="1112" s="1"/>
  <c r="D12" i="1112"/>
  <c r="I30" i="1108"/>
  <c r="D30" i="1108"/>
  <c r="G30" i="1108"/>
  <c r="H30" i="1108" s="1"/>
  <c r="I42" i="1118"/>
  <c r="D42" i="1118"/>
  <c r="D42" i="1117"/>
  <c r="I42" i="1117"/>
  <c r="D30" i="1111"/>
  <c r="G30" i="1111"/>
  <c r="H30" i="1111" s="1"/>
  <c r="I30" i="1111"/>
  <c r="I42" i="1111"/>
  <c r="D42" i="1111"/>
  <c r="I42" i="1116"/>
  <c r="D42" i="1116"/>
  <c r="G18" i="1114"/>
  <c r="G18" i="1109"/>
  <c r="G18" i="1108"/>
  <c r="H18" i="1118"/>
  <c r="H18" i="1108"/>
  <c r="H18" i="1114"/>
  <c r="D31" i="1109"/>
  <c r="D31" i="1118"/>
  <c r="D31" i="1110"/>
  <c r="D31" i="1116"/>
  <c r="D32" i="1117"/>
  <c r="I32" i="1117"/>
  <c r="G32" i="1117"/>
  <c r="H32" i="1117" s="1"/>
  <c r="G32" i="1108"/>
  <c r="H32" i="1108" s="1"/>
  <c r="D32" i="1108"/>
  <c r="I32" i="1108"/>
  <c r="D32" i="1116"/>
  <c r="I32" i="1116"/>
  <c r="G32" i="1116"/>
  <c r="H32" i="1116" s="1"/>
  <c r="F21" i="1110"/>
  <c r="D13" i="1110"/>
  <c r="I13" i="1110"/>
  <c r="F21" i="1115"/>
  <c r="I13" i="1115"/>
  <c r="D13" i="1115"/>
  <c r="I13" i="1117"/>
  <c r="D13" i="1117"/>
  <c r="F21" i="1117"/>
  <c r="H13" i="1108"/>
  <c r="H21" i="1108" s="1"/>
  <c r="H23" i="1108" s="1"/>
  <c r="G21" i="1108"/>
  <c r="I21" i="1108" s="1"/>
  <c r="H13" i="1109"/>
  <c r="H21" i="1109" s="1"/>
  <c r="G21" i="1109"/>
  <c r="I21" i="1109" s="1"/>
  <c r="H13" i="1112"/>
  <c r="H21" i="1112" s="1"/>
  <c r="H23" i="1112" s="1"/>
  <c r="H24" i="1112" s="1"/>
  <c r="G21" i="1112"/>
  <c r="I21" i="1112" s="1"/>
  <c r="G38" i="1109"/>
  <c r="H38" i="1109" s="1"/>
  <c r="F58" i="1109"/>
  <c r="F45" i="1109"/>
  <c r="I38" i="1109"/>
  <c r="D38" i="1109"/>
  <c r="G38" i="1114"/>
  <c r="H38" i="1114" s="1"/>
  <c r="F45" i="1114"/>
  <c r="D38" i="1114"/>
  <c r="I38" i="1114"/>
  <c r="F58" i="1114"/>
  <c r="G38" i="1110"/>
  <c r="H38" i="1110" s="1"/>
  <c r="F58" i="1110"/>
  <c r="F45" i="1110"/>
  <c r="D38" i="1110"/>
  <c r="I38" i="1110"/>
  <c r="I22" i="1117"/>
  <c r="D22" i="1117"/>
  <c r="I22" i="1109"/>
  <c r="D22" i="1109"/>
  <c r="I22" i="1116"/>
  <c r="D22" i="1116"/>
  <c r="G28" i="1115"/>
  <c r="H28" i="1115" s="1"/>
  <c r="I28" i="1115"/>
  <c r="D28" i="1115"/>
  <c r="G28" i="1110"/>
  <c r="H28" i="1110" s="1"/>
  <c r="D28" i="1110"/>
  <c r="I28" i="1110"/>
  <c r="I28" i="1117"/>
  <c r="G28" i="1117"/>
  <c r="H28" i="1117" s="1"/>
  <c r="D28" i="1117"/>
  <c r="G37" i="1116"/>
  <c r="H37" i="1116" s="1"/>
  <c r="I37" i="1116"/>
  <c r="D37" i="1116"/>
  <c r="F44" i="1116"/>
  <c r="F44" i="1110"/>
  <c r="D37" i="1110"/>
  <c r="I37" i="1110"/>
  <c r="G37" i="1110"/>
  <c r="H37" i="1110" s="1"/>
  <c r="G37" i="1119"/>
  <c r="H37" i="1119" s="1"/>
  <c r="F44" i="1119"/>
  <c r="F27" i="1119" s="1"/>
  <c r="D37" i="1119"/>
  <c r="I37" i="1119"/>
  <c r="G12" i="1114"/>
  <c r="H12" i="1114" s="1"/>
  <c r="D12" i="1114"/>
  <c r="I12" i="1114"/>
  <c r="D12" i="1111"/>
  <c r="I12" i="1111"/>
  <c r="G12" i="1111"/>
  <c r="H12" i="1111" s="1"/>
  <c r="D12" i="1113"/>
  <c r="G12" i="1113"/>
  <c r="H12" i="1113" s="1"/>
  <c r="I12" i="1113"/>
  <c r="I42" i="1108"/>
  <c r="D42" i="1108"/>
  <c r="G30" i="1113"/>
  <c r="H30" i="1113" s="1"/>
  <c r="I30" i="1113"/>
  <c r="D30" i="1113"/>
  <c r="G30" i="1117"/>
  <c r="H30" i="1117" s="1"/>
  <c r="I30" i="1117"/>
  <c r="D30" i="1117"/>
  <c r="G30" i="1112"/>
  <c r="H30" i="1112" s="1"/>
  <c r="I30" i="1112"/>
  <c r="D30" i="1112"/>
  <c r="I42" i="1112"/>
  <c r="D42" i="1112"/>
  <c r="D30" i="1119"/>
  <c r="I30" i="1119"/>
  <c r="G30" i="1119"/>
  <c r="H30" i="1119" s="1"/>
  <c r="H18" i="1109"/>
  <c r="H23" i="1109"/>
  <c r="H24" i="1109" s="1"/>
  <c r="G18" i="1116"/>
  <c r="G18" i="1113"/>
  <c r="H18" i="1119"/>
  <c r="H25" i="1119"/>
  <c r="H18" i="1110"/>
  <c r="H23" i="1110"/>
  <c r="H24" i="1110" s="1"/>
  <c r="H18" i="1115"/>
  <c r="D31" i="1112"/>
  <c r="D31" i="1114"/>
  <c r="D31" i="1115"/>
  <c r="G32" i="1110"/>
  <c r="H32" i="1110" s="1"/>
  <c r="I32" i="1110"/>
  <c r="D32" i="1110"/>
  <c r="D32" i="1115"/>
  <c r="I32" i="1115"/>
  <c r="G32" i="1115"/>
  <c r="H32" i="1115" s="1"/>
  <c r="D32" i="1113"/>
  <c r="G32" i="1113"/>
  <c r="H32" i="1113" s="1"/>
  <c r="I32" i="1113"/>
  <c r="F21" i="1112"/>
  <c r="D13" i="1112"/>
  <c r="I13" i="1112"/>
  <c r="D13" i="1111"/>
  <c r="F21" i="1111"/>
  <c r="I13" i="1111"/>
  <c r="F21" i="1108"/>
  <c r="I13" i="1108"/>
  <c r="D13" i="1108"/>
  <c r="G21" i="1118"/>
  <c r="I21" i="1118" s="1"/>
  <c r="H13" i="1118"/>
  <c r="H21" i="1118" s="1"/>
  <c r="H23" i="1118" s="1"/>
  <c r="H13" i="1114"/>
  <c r="H21" i="1114" s="1"/>
  <c r="H23" i="1114" s="1"/>
  <c r="G21" i="1114"/>
  <c r="I21" i="1114" s="1"/>
  <c r="H13" i="1113"/>
  <c r="H21" i="1113" s="1"/>
  <c r="H23" i="1113" s="1"/>
  <c r="G21" i="1113"/>
  <c r="I21" i="1113" s="1"/>
  <c r="G38" i="1117"/>
  <c r="H38" i="1117" s="1"/>
  <c r="I38" i="1117"/>
  <c r="F58" i="1117"/>
  <c r="D38" i="1117"/>
  <c r="F45" i="1117"/>
  <c r="G38" i="1116"/>
  <c r="H38" i="1116" s="1"/>
  <c r="I38" i="1116"/>
  <c r="F45" i="1116"/>
  <c r="F58" i="1116"/>
  <c r="D38" i="1116"/>
  <c r="G38" i="1115"/>
  <c r="H38" i="1115" s="1"/>
  <c r="F58" i="1115"/>
  <c r="F45" i="1115"/>
  <c r="I38" i="1115"/>
  <c r="D38" i="1115"/>
  <c r="I22" i="1110"/>
  <c r="D22" i="1110"/>
  <c r="D22" i="1114"/>
  <c r="I22" i="1114"/>
  <c r="D22" i="1118"/>
  <c r="I22" i="1118"/>
  <c r="I28" i="1112"/>
  <c r="G28" i="1112"/>
  <c r="H28" i="1112" s="1"/>
  <c r="D28" i="1112"/>
  <c r="G28" i="1108"/>
  <c r="H28" i="1108" s="1"/>
  <c r="D28" i="1108"/>
  <c r="I28" i="1108"/>
  <c r="I28" i="1111"/>
  <c r="G28" i="1111"/>
  <c r="H28" i="1111" s="1"/>
  <c r="D28" i="1111"/>
  <c r="F44" i="1109"/>
  <c r="G37" i="1109"/>
  <c r="H37" i="1109" s="1"/>
  <c r="D37" i="1109"/>
  <c r="I37" i="1109"/>
  <c r="I37" i="1115"/>
  <c r="F44" i="1115"/>
  <c r="F27" i="1115" s="1"/>
  <c r="G37" i="1115"/>
  <c r="H37" i="1115" s="1"/>
  <c r="D37" i="1115"/>
  <c r="G37" i="1118"/>
  <c r="H37" i="1118" s="1"/>
  <c r="I37" i="1118"/>
  <c r="F44" i="1118"/>
  <c r="F27" i="1118" s="1"/>
  <c r="D37" i="1118"/>
  <c r="I12" i="1119"/>
  <c r="D12" i="1119"/>
  <c r="G12" i="1119"/>
  <c r="H12" i="1119" s="1"/>
  <c r="G12" i="1116"/>
  <c r="H12" i="1116" s="1"/>
  <c r="D12" i="1116"/>
  <c r="I12" i="1116"/>
  <c r="I12" i="1117"/>
  <c r="G12" i="1117"/>
  <c r="H12" i="1117" s="1"/>
  <c r="D12" i="1117"/>
  <c r="I30" i="1110"/>
  <c r="D30" i="1110"/>
  <c r="G30" i="1110"/>
  <c r="H30" i="1110" s="1"/>
  <c r="I42" i="1109"/>
  <c r="D42" i="1109"/>
  <c r="D30" i="1118"/>
  <c r="I30" i="1118"/>
  <c r="G30" i="1118"/>
  <c r="H30" i="1118" s="1"/>
  <c r="D42" i="1114"/>
  <c r="I42" i="1114"/>
  <c r="G30" i="1115"/>
  <c r="H30" i="1115" s="1"/>
  <c r="D30" i="1115"/>
  <c r="I30" i="1115"/>
  <c r="I42" i="1119"/>
  <c r="D42" i="1119"/>
  <c r="H18" i="1112"/>
  <c r="H18" i="1117"/>
  <c r="H23" i="1117"/>
  <c r="H24" i="1117" s="1"/>
  <c r="G18" i="1115"/>
  <c r="G18" i="1119"/>
  <c r="G18" i="1112"/>
  <c r="G18" i="1117"/>
  <c r="G32" i="1109"/>
  <c r="H32" i="1109" s="1"/>
  <c r="I32" i="1109"/>
  <c r="D32" i="1109"/>
  <c r="I32" i="1119"/>
  <c r="G32" i="1119"/>
  <c r="H32" i="1119" s="1"/>
  <c r="D32" i="1119"/>
  <c r="G32" i="1111"/>
  <c r="H32" i="1111" s="1"/>
  <c r="I32" i="1111"/>
  <c r="D32" i="1111"/>
  <c r="F21" i="1116"/>
  <c r="D13" i="1116"/>
  <c r="I13" i="1116"/>
  <c r="F21" i="1113"/>
  <c r="I13" i="1113"/>
  <c r="D13" i="1113"/>
  <c r="D13" i="1118"/>
  <c r="F21" i="1118"/>
  <c r="I13" i="1118"/>
  <c r="S356" i="261"/>
  <c r="S339" i="261"/>
  <c r="S322" i="261"/>
  <c r="S305" i="261"/>
  <c r="S288" i="261"/>
  <c r="S271" i="261"/>
  <c r="S256" i="261"/>
  <c r="S240" i="261"/>
  <c r="S188" i="261"/>
  <c r="S169" i="261"/>
  <c r="S152" i="261"/>
  <c r="S135" i="261"/>
  <c r="S119" i="261"/>
  <c r="C56" i="181"/>
  <c r="C48" i="181"/>
  <c r="F42" i="181"/>
  <c r="D42" i="181" s="1"/>
  <c r="C56" i="182"/>
  <c r="C48" i="182"/>
  <c r="F42" i="182"/>
  <c r="D42" i="182" s="1"/>
  <c r="C56" i="183"/>
  <c r="C48" i="183"/>
  <c r="F42" i="183"/>
  <c r="D42" i="183" s="1"/>
  <c r="C56" i="184"/>
  <c r="C48" i="184"/>
  <c r="F42" i="184"/>
  <c r="D42" i="184" s="1"/>
  <c r="C56" i="185"/>
  <c r="C48" i="185"/>
  <c r="F42" i="185"/>
  <c r="D42" i="185" s="1"/>
  <c r="C56" i="186"/>
  <c r="C48" i="186"/>
  <c r="F42" i="186"/>
  <c r="D42" i="186" s="1"/>
  <c r="C56" i="187"/>
  <c r="C48" i="187"/>
  <c r="F42" i="187"/>
  <c r="D42" i="187" s="1"/>
  <c r="C56" i="188"/>
  <c r="C48" i="188"/>
  <c r="F42" i="188"/>
  <c r="D42" i="188" s="1"/>
  <c r="C56" i="180"/>
  <c r="C48" i="180"/>
  <c r="F42" i="180"/>
  <c r="D42" i="180" s="1"/>
  <c r="C56" i="179"/>
  <c r="C48" i="179"/>
  <c r="F42" i="179"/>
  <c r="D42" i="179" s="1"/>
  <c r="C56" i="287"/>
  <c r="C48" i="287"/>
  <c r="F42" i="287"/>
  <c r="I42" i="287" s="1"/>
  <c r="C56" i="288"/>
  <c r="C48" i="288"/>
  <c r="F42" i="288"/>
  <c r="I42" i="288" s="1"/>
  <c r="C56" i="289"/>
  <c r="C48" i="289"/>
  <c r="F42" i="289"/>
  <c r="I42" i="289" s="1"/>
  <c r="C56" i="290"/>
  <c r="C48" i="290"/>
  <c r="F42" i="290"/>
  <c r="I42" i="290" s="1"/>
  <c r="C56" i="291"/>
  <c r="C48" i="291"/>
  <c r="F42" i="291"/>
  <c r="I42" i="291" s="1"/>
  <c r="C56" i="292"/>
  <c r="C48" i="292"/>
  <c r="F42" i="292"/>
  <c r="I42" i="292" s="1"/>
  <c r="C56" i="293"/>
  <c r="C48" i="293"/>
  <c r="F42" i="293"/>
  <c r="I42" i="293" s="1"/>
  <c r="C56" i="294"/>
  <c r="C48" i="294"/>
  <c r="F42" i="294"/>
  <c r="I42" i="294" s="1"/>
  <c r="C56" i="295"/>
  <c r="C48" i="295"/>
  <c r="F42" i="295"/>
  <c r="I42" i="295" s="1"/>
  <c r="C56" i="296"/>
  <c r="C48" i="296"/>
  <c r="F42" i="296"/>
  <c r="I42" i="296" s="1"/>
  <c r="C56" i="297"/>
  <c r="C48" i="297"/>
  <c r="F42" i="297"/>
  <c r="I42" i="297" s="1"/>
  <c r="C56" i="298"/>
  <c r="C48" i="298"/>
  <c r="F42" i="298"/>
  <c r="I42" i="298" s="1"/>
  <c r="C56" i="299"/>
  <c r="C48" i="299"/>
  <c r="F42" i="299"/>
  <c r="I42" i="299" s="1"/>
  <c r="C56" i="300"/>
  <c r="C48" i="300"/>
  <c r="F42" i="300"/>
  <c r="I42" i="300" s="1"/>
  <c r="C56" i="301"/>
  <c r="C48" i="301"/>
  <c r="F42" i="301"/>
  <c r="I42" i="301" s="1"/>
  <c r="C56" i="302"/>
  <c r="C48" i="302"/>
  <c r="F42" i="302"/>
  <c r="I42" i="302" s="1"/>
  <c r="C56" i="303"/>
  <c r="C48" i="303"/>
  <c r="F42" i="303"/>
  <c r="I42" i="303" s="1"/>
  <c r="C56" i="304"/>
  <c r="C48" i="304"/>
  <c r="F42" i="304"/>
  <c r="I42" i="304" s="1"/>
  <c r="C56" i="305"/>
  <c r="C48" i="305"/>
  <c r="F42" i="305"/>
  <c r="I42" i="305" s="1"/>
  <c r="C56" i="306"/>
  <c r="C48" i="306"/>
  <c r="F42" i="306"/>
  <c r="I42" i="306" s="1"/>
  <c r="C56" i="307"/>
  <c r="C48" i="307"/>
  <c r="F42" i="307"/>
  <c r="I42" i="307" s="1"/>
  <c r="C56" i="308"/>
  <c r="C48" i="308"/>
  <c r="F42" i="308"/>
  <c r="I42" i="308" s="1"/>
  <c r="C56" i="309"/>
  <c r="C48" i="309"/>
  <c r="F42" i="309"/>
  <c r="I42" i="309" s="1"/>
  <c r="C56" i="310"/>
  <c r="C48" i="310"/>
  <c r="F42" i="310"/>
  <c r="I42" i="310" s="1"/>
  <c r="C56" i="311"/>
  <c r="C48" i="311"/>
  <c r="F42" i="311"/>
  <c r="I42" i="311" s="1"/>
  <c r="C56" i="312"/>
  <c r="C48" i="312"/>
  <c r="F42" i="312"/>
  <c r="I42" i="312" s="1"/>
  <c r="C56" i="286"/>
  <c r="C48" i="286"/>
  <c r="F42" i="286"/>
  <c r="I42" i="286" s="1"/>
  <c r="C56" i="69"/>
  <c r="C48" i="69"/>
  <c r="F42" i="69"/>
  <c r="I42" i="69" s="1"/>
  <c r="G23" i="1115" l="1"/>
  <c r="I25" i="1115" s="1"/>
  <c r="H25" i="1112"/>
  <c r="G23" i="1112"/>
  <c r="I25" i="1112" s="1"/>
  <c r="G23" i="1117"/>
  <c r="G25" i="1117" s="1"/>
  <c r="G23" i="1119"/>
  <c r="H25" i="1110"/>
  <c r="H25" i="1117"/>
  <c r="H25" i="1109"/>
  <c r="G23" i="1116"/>
  <c r="D27" i="1118"/>
  <c r="F36" i="1118"/>
  <c r="F29" i="1118"/>
  <c r="D29" i="1118" s="1"/>
  <c r="D27" i="1115"/>
  <c r="F36" i="1115"/>
  <c r="F29" i="1115"/>
  <c r="D29" i="1115" s="1"/>
  <c r="H24" i="1114"/>
  <c r="H25" i="1114"/>
  <c r="H24" i="1108"/>
  <c r="H25" i="1108"/>
  <c r="F39" i="1117"/>
  <c r="F29" i="1117"/>
  <c r="D29" i="1117" s="1"/>
  <c r="D27" i="1117"/>
  <c r="F36" i="1117"/>
  <c r="H24" i="1118"/>
  <c r="H25" i="1118"/>
  <c r="H24" i="1113"/>
  <c r="H25" i="1113"/>
  <c r="D27" i="1119"/>
  <c r="F29" i="1119"/>
  <c r="D29" i="1119" s="1"/>
  <c r="F36" i="1119"/>
  <c r="D21" i="1116"/>
  <c r="F23" i="1116"/>
  <c r="I23" i="1116"/>
  <c r="G44" i="1109"/>
  <c r="H44" i="1109" s="1"/>
  <c r="D44" i="1109"/>
  <c r="I44" i="1109"/>
  <c r="I27" i="1109" s="1"/>
  <c r="D27" i="1111"/>
  <c r="F36" i="1111"/>
  <c r="F29" i="1111"/>
  <c r="D29" i="1111" s="1"/>
  <c r="D58" i="1115"/>
  <c r="I58" i="1115"/>
  <c r="F39" i="1115"/>
  <c r="G58" i="1115"/>
  <c r="G58" i="1116"/>
  <c r="D58" i="1116"/>
  <c r="I58" i="1116"/>
  <c r="D21" i="1111"/>
  <c r="F23" i="1111"/>
  <c r="I23" i="1111"/>
  <c r="D21" i="1112"/>
  <c r="F23" i="1112"/>
  <c r="I23" i="1112"/>
  <c r="D27" i="1112"/>
  <c r="F36" i="1112"/>
  <c r="F29" i="1112"/>
  <c r="D29" i="1112" s="1"/>
  <c r="G23" i="1113"/>
  <c r="D44" i="1110"/>
  <c r="G44" i="1110"/>
  <c r="H44" i="1110" s="1"/>
  <c r="I44" i="1110"/>
  <c r="I27" i="1110" s="1"/>
  <c r="I23" i="1115"/>
  <c r="D21" i="1115"/>
  <c r="F23" i="1115"/>
  <c r="F27" i="1109"/>
  <c r="F39" i="1109" s="1"/>
  <c r="G58" i="1108"/>
  <c r="I58" i="1108"/>
  <c r="D58" i="1108"/>
  <c r="D21" i="1119"/>
  <c r="F23" i="1119"/>
  <c r="I23" i="1119"/>
  <c r="D21" i="1114"/>
  <c r="I23" i="1114"/>
  <c r="F23" i="1114"/>
  <c r="H25" i="1111"/>
  <c r="I44" i="1112"/>
  <c r="I27" i="1112" s="1"/>
  <c r="D44" i="1112"/>
  <c r="G44" i="1112"/>
  <c r="H44" i="1112" s="1"/>
  <c r="I45" i="1118"/>
  <c r="D45" i="1118"/>
  <c r="G45" i="1118"/>
  <c r="H45" i="1118" s="1"/>
  <c r="H27" i="1118" s="1"/>
  <c r="D21" i="1118"/>
  <c r="F23" i="1118"/>
  <c r="I23" i="1118"/>
  <c r="D21" i="1113"/>
  <c r="I23" i="1113"/>
  <c r="F23" i="1113"/>
  <c r="G45" i="1116"/>
  <c r="H45" i="1116" s="1"/>
  <c r="H27" i="1116" s="1"/>
  <c r="I45" i="1116"/>
  <c r="D45" i="1116"/>
  <c r="G45" i="1117"/>
  <c r="H45" i="1117" s="1"/>
  <c r="H27" i="1117" s="1"/>
  <c r="D45" i="1117"/>
  <c r="I45" i="1117"/>
  <c r="D44" i="1116"/>
  <c r="G44" i="1116"/>
  <c r="H44" i="1116" s="1"/>
  <c r="I44" i="1116"/>
  <c r="I27" i="1116" s="1"/>
  <c r="I45" i="1114"/>
  <c r="D45" i="1114"/>
  <c r="G45" i="1114"/>
  <c r="H45" i="1114" s="1"/>
  <c r="H27" i="1114" s="1"/>
  <c r="F27" i="1116"/>
  <c r="G23" i="1108"/>
  <c r="G23" i="1109"/>
  <c r="G23" i="1114"/>
  <c r="I44" i="1114"/>
  <c r="I27" i="1114" s="1"/>
  <c r="D44" i="1114"/>
  <c r="G44" i="1114"/>
  <c r="H44" i="1114" s="1"/>
  <c r="I44" i="1117"/>
  <c r="I27" i="1117" s="1"/>
  <c r="D44" i="1117"/>
  <c r="G44" i="1117"/>
  <c r="H44" i="1117" s="1"/>
  <c r="G58" i="1112"/>
  <c r="D58" i="1112"/>
  <c r="I58" i="1112"/>
  <c r="F39" i="1112"/>
  <c r="D58" i="1113"/>
  <c r="G58" i="1113"/>
  <c r="F39" i="1113"/>
  <c r="I58" i="1113"/>
  <c r="I44" i="1113"/>
  <c r="I27" i="1113" s="1"/>
  <c r="D44" i="1113"/>
  <c r="G44" i="1113"/>
  <c r="H44" i="1113" s="1"/>
  <c r="G44" i="1108"/>
  <c r="H44" i="1108" s="1"/>
  <c r="I44" i="1108"/>
  <c r="I27" i="1108" s="1"/>
  <c r="D44" i="1108"/>
  <c r="G58" i="1111"/>
  <c r="I58" i="1111"/>
  <c r="F39" i="1111"/>
  <c r="D58" i="1111"/>
  <c r="G58" i="1119"/>
  <c r="F39" i="1119"/>
  <c r="D58" i="1119"/>
  <c r="I58" i="1119"/>
  <c r="D44" i="1118"/>
  <c r="G44" i="1118"/>
  <c r="H44" i="1118" s="1"/>
  <c r="I44" i="1118"/>
  <c r="I27" i="1118" s="1"/>
  <c r="D21" i="1108"/>
  <c r="F23" i="1108"/>
  <c r="I23" i="1108"/>
  <c r="F36" i="1114"/>
  <c r="F29" i="1114"/>
  <c r="D29" i="1114" s="1"/>
  <c r="D27" i="1114"/>
  <c r="H25" i="1115"/>
  <c r="I45" i="1110"/>
  <c r="G45" i="1110"/>
  <c r="H45" i="1110" s="1"/>
  <c r="H27" i="1110" s="1"/>
  <c r="D45" i="1110"/>
  <c r="D58" i="1114"/>
  <c r="G58" i="1114"/>
  <c r="F39" i="1114"/>
  <c r="I58" i="1114"/>
  <c r="I45" i="1109"/>
  <c r="G45" i="1109"/>
  <c r="H45" i="1109" s="1"/>
  <c r="H27" i="1109" s="1"/>
  <c r="D45" i="1109"/>
  <c r="G44" i="1111"/>
  <c r="H44" i="1111" s="1"/>
  <c r="D44" i="1111"/>
  <c r="I44" i="1111"/>
  <c r="I27" i="1111" s="1"/>
  <c r="G45" i="1112"/>
  <c r="H45" i="1112" s="1"/>
  <c r="H27" i="1112" s="1"/>
  <c r="D45" i="1112"/>
  <c r="I45" i="1112"/>
  <c r="G45" i="1113"/>
  <c r="H45" i="1113" s="1"/>
  <c r="H27" i="1113" s="1"/>
  <c r="I45" i="1113"/>
  <c r="D45" i="1113"/>
  <c r="I45" i="1108"/>
  <c r="D45" i="1108"/>
  <c r="G45" i="1108"/>
  <c r="H45" i="1108" s="1"/>
  <c r="H27" i="1108" s="1"/>
  <c r="F27" i="1108"/>
  <c r="G25" i="1110"/>
  <c r="H25" i="1116"/>
  <c r="G23" i="1111"/>
  <c r="G45" i="1111"/>
  <c r="H45" i="1111" s="1"/>
  <c r="H27" i="1111" s="1"/>
  <c r="I45" i="1111"/>
  <c r="D45" i="1111"/>
  <c r="G58" i="1118"/>
  <c r="F39" i="1118"/>
  <c r="I58" i="1118"/>
  <c r="D58" i="1118"/>
  <c r="G44" i="1115"/>
  <c r="H44" i="1115" s="1"/>
  <c r="I44" i="1115"/>
  <c r="I27" i="1115" s="1"/>
  <c r="D44" i="1115"/>
  <c r="G45" i="1115"/>
  <c r="H45" i="1115" s="1"/>
  <c r="H27" i="1115" s="1"/>
  <c r="I45" i="1115"/>
  <c r="D45" i="1115"/>
  <c r="I58" i="1117"/>
  <c r="D58" i="1117"/>
  <c r="G58" i="1117"/>
  <c r="I44" i="1119"/>
  <c r="I27" i="1119" s="1"/>
  <c r="D44" i="1119"/>
  <c r="G44" i="1119"/>
  <c r="H44" i="1119" s="1"/>
  <c r="D58" i="1110"/>
  <c r="G58" i="1110"/>
  <c r="I58" i="1110"/>
  <c r="I58" i="1109"/>
  <c r="D58" i="1109"/>
  <c r="G58" i="1109"/>
  <c r="D21" i="1117"/>
  <c r="F23" i="1117"/>
  <c r="I23" i="1117"/>
  <c r="D21" i="1110"/>
  <c r="F23" i="1110"/>
  <c r="I23" i="1110"/>
  <c r="F27" i="1110"/>
  <c r="F39" i="1110" s="1"/>
  <c r="D21" i="1109"/>
  <c r="I23" i="1109"/>
  <c r="F23" i="1109"/>
  <c r="F36" i="1113"/>
  <c r="F29" i="1113"/>
  <c r="D29" i="1113" s="1"/>
  <c r="D27" i="1113"/>
  <c r="G23" i="1118"/>
  <c r="I45" i="1119"/>
  <c r="D45" i="1119"/>
  <c r="G45" i="1119"/>
  <c r="H45" i="1119" s="1"/>
  <c r="H27" i="1119" s="1"/>
  <c r="D42" i="306"/>
  <c r="S357" i="261"/>
  <c r="S340" i="261"/>
  <c r="S323" i="261"/>
  <c r="S306" i="261"/>
  <c r="S289" i="261"/>
  <c r="S272" i="261"/>
  <c r="S257" i="261"/>
  <c r="S189" i="261"/>
  <c r="S170" i="261"/>
  <c r="S153" i="261"/>
  <c r="S136" i="261"/>
  <c r="S120" i="261"/>
  <c r="D42" i="287"/>
  <c r="D42" i="296"/>
  <c r="D42" i="295"/>
  <c r="D42" i="301"/>
  <c r="D42" i="69"/>
  <c r="D42" i="286"/>
  <c r="D42" i="312"/>
  <c r="D42" i="311"/>
  <c r="D42" i="310"/>
  <c r="D42" i="309"/>
  <c r="D42" i="308"/>
  <c r="D42" i="307"/>
  <c r="D42" i="305"/>
  <c r="D42" i="304"/>
  <c r="D42" i="303"/>
  <c r="D42" i="302"/>
  <c r="D42" i="299"/>
  <c r="D42" i="298"/>
  <c r="D42" i="297"/>
  <c r="D42" i="290"/>
  <c r="D42" i="289"/>
  <c r="D42" i="288"/>
  <c r="D42" i="294"/>
  <c r="D42" i="293"/>
  <c r="D42" i="292"/>
  <c r="D42" i="291"/>
  <c r="D42" i="300"/>
  <c r="G25" i="1115" l="1"/>
  <c r="I25" i="1117"/>
  <c r="I39" i="1117"/>
  <c r="I57" i="1117" s="1"/>
  <c r="G25" i="1112"/>
  <c r="G25" i="1119"/>
  <c r="I25" i="1119"/>
  <c r="G25" i="1116"/>
  <c r="I25" i="1116"/>
  <c r="I29" i="1111"/>
  <c r="I36" i="1111"/>
  <c r="I36" i="1118"/>
  <c r="I36" i="1116"/>
  <c r="I29" i="1116"/>
  <c r="I36" i="1115"/>
  <c r="I56" i="1115" s="1"/>
  <c r="I29" i="1115"/>
  <c r="H31" i="1111"/>
  <c r="H36" i="1111"/>
  <c r="H56" i="1111" s="1"/>
  <c r="H31" i="1113"/>
  <c r="H36" i="1113"/>
  <c r="H56" i="1113" s="1"/>
  <c r="I29" i="1108"/>
  <c r="I29" i="1113"/>
  <c r="I36" i="1113"/>
  <c r="H31" i="1112"/>
  <c r="H36" i="1112"/>
  <c r="H56" i="1112" s="1"/>
  <c r="H31" i="1110"/>
  <c r="H36" i="1110"/>
  <c r="H56" i="1110" s="1"/>
  <c r="I29" i="1110"/>
  <c r="I36" i="1110"/>
  <c r="I56" i="1110" s="1"/>
  <c r="H36" i="1119"/>
  <c r="H56" i="1119" s="1"/>
  <c r="H31" i="1119"/>
  <c r="D23" i="1109"/>
  <c r="F25" i="1109"/>
  <c r="D25" i="1109" s="1"/>
  <c r="D27" i="1110"/>
  <c r="F29" i="1110"/>
  <c r="D29" i="1110" s="1"/>
  <c r="F36" i="1110"/>
  <c r="I39" i="1110"/>
  <c r="I57" i="1110" s="1"/>
  <c r="I25" i="1111"/>
  <c r="G25" i="1111"/>
  <c r="I29" i="1112"/>
  <c r="I36" i="1112"/>
  <c r="I56" i="1112" s="1"/>
  <c r="H31" i="1109"/>
  <c r="H36" i="1109"/>
  <c r="H56" i="1109" s="1"/>
  <c r="H58" i="1114"/>
  <c r="H39" i="1114" s="1"/>
  <c r="H57" i="1114" s="1"/>
  <c r="D23" i="1108"/>
  <c r="F25" i="1108"/>
  <c r="D25" i="1108" s="1"/>
  <c r="D39" i="1111"/>
  <c r="H58" i="1113"/>
  <c r="H39" i="1113" s="1"/>
  <c r="H57" i="1113" s="1"/>
  <c r="I36" i="1117"/>
  <c r="I56" i="1117" s="1"/>
  <c r="I29" i="1117"/>
  <c r="I25" i="1114"/>
  <c r="G25" i="1114"/>
  <c r="G25" i="1113"/>
  <c r="I25" i="1113"/>
  <c r="I39" i="1116"/>
  <c r="D39" i="1115"/>
  <c r="D36" i="1119"/>
  <c r="D36" i="1117"/>
  <c r="D39" i="1117"/>
  <c r="D23" i="1117"/>
  <c r="F25" i="1117"/>
  <c r="D25" i="1117" s="1"/>
  <c r="D39" i="1109"/>
  <c r="H58" i="1110"/>
  <c r="H39" i="1110" s="1"/>
  <c r="H57" i="1110" s="1"/>
  <c r="H58" i="1117"/>
  <c r="H39" i="1117" s="1"/>
  <c r="H57" i="1117" s="1"/>
  <c r="I39" i="1118"/>
  <c r="H36" i="1108"/>
  <c r="H56" i="1108" s="1"/>
  <c r="H31" i="1108"/>
  <c r="I29" i="1119"/>
  <c r="D39" i="1119"/>
  <c r="I39" i="1111"/>
  <c r="I36" i="1109"/>
  <c r="I29" i="1109"/>
  <c r="H58" i="1112"/>
  <c r="H39" i="1112" s="1"/>
  <c r="H57" i="1112" s="1"/>
  <c r="I25" i="1109"/>
  <c r="G25" i="1109"/>
  <c r="H36" i="1114"/>
  <c r="H56" i="1114" s="1"/>
  <c r="H31" i="1114"/>
  <c r="H31" i="1118"/>
  <c r="H36" i="1118"/>
  <c r="H56" i="1118" s="1"/>
  <c r="D23" i="1114"/>
  <c r="F25" i="1114"/>
  <c r="D25" i="1114" s="1"/>
  <c r="D23" i="1119"/>
  <c r="F25" i="1119"/>
  <c r="D25" i="1119" s="1"/>
  <c r="I39" i="1108"/>
  <c r="D23" i="1111"/>
  <c r="F25" i="1111"/>
  <c r="D25" i="1111" s="1"/>
  <c r="I39" i="1115"/>
  <c r="I57" i="1115" s="1"/>
  <c r="D36" i="1111"/>
  <c r="D23" i="1116"/>
  <c r="F25" i="1116"/>
  <c r="D25" i="1116" s="1"/>
  <c r="D36" i="1115"/>
  <c r="I36" i="1119"/>
  <c r="D23" i="1110"/>
  <c r="F25" i="1110"/>
  <c r="D25" i="1110" s="1"/>
  <c r="I39" i="1109"/>
  <c r="H31" i="1115"/>
  <c r="H36" i="1115"/>
  <c r="H56" i="1115" s="1"/>
  <c r="D39" i="1118"/>
  <c r="I39" i="1114"/>
  <c r="D36" i="1114"/>
  <c r="H58" i="1119"/>
  <c r="H39" i="1119" s="1"/>
  <c r="H57" i="1119" s="1"/>
  <c r="H58" i="1111"/>
  <c r="H39" i="1111" s="1"/>
  <c r="H57" i="1111" s="1"/>
  <c r="I39" i="1113"/>
  <c r="D39" i="1112"/>
  <c r="I25" i="1108"/>
  <c r="G25" i="1108"/>
  <c r="H36" i="1117"/>
  <c r="H56" i="1117" s="1"/>
  <c r="H31" i="1117"/>
  <c r="H58" i="1108"/>
  <c r="H39" i="1108" s="1"/>
  <c r="H57" i="1108" s="1"/>
  <c r="F36" i="1109"/>
  <c r="D27" i="1109"/>
  <c r="F29" i="1109"/>
  <c r="D29" i="1109" s="1"/>
  <c r="D23" i="1112"/>
  <c r="F25" i="1112"/>
  <c r="D25" i="1112" s="1"/>
  <c r="H58" i="1116"/>
  <c r="H39" i="1116" s="1"/>
  <c r="H57" i="1116" s="1"/>
  <c r="D36" i="1118"/>
  <c r="I25" i="1118"/>
  <c r="G25" i="1118"/>
  <c r="D36" i="1113"/>
  <c r="H31" i="1116"/>
  <c r="H36" i="1116"/>
  <c r="H56" i="1116" s="1"/>
  <c r="H58" i="1109"/>
  <c r="H39" i="1109" s="1"/>
  <c r="H57" i="1109" s="1"/>
  <c r="D39" i="1110"/>
  <c r="H58" i="1118"/>
  <c r="H39" i="1118" s="1"/>
  <c r="H57" i="1118" s="1"/>
  <c r="F36" i="1108"/>
  <c r="D27" i="1108"/>
  <c r="F29" i="1108"/>
  <c r="D29" i="1108" s="1"/>
  <c r="I36" i="1108"/>
  <c r="D39" i="1114"/>
  <c r="I39" i="1119"/>
  <c r="I57" i="1119" s="1"/>
  <c r="D39" i="1113"/>
  <c r="I39" i="1112"/>
  <c r="I57" i="1112" s="1"/>
  <c r="I36" i="1114"/>
  <c r="I29" i="1114"/>
  <c r="F36" i="1116"/>
  <c r="F29" i="1116"/>
  <c r="D29" i="1116" s="1"/>
  <c r="D27" i="1116"/>
  <c r="D23" i="1113"/>
  <c r="F25" i="1113"/>
  <c r="D25" i="1113" s="1"/>
  <c r="D23" i="1118"/>
  <c r="F25" i="1118"/>
  <c r="D25" i="1118" s="1"/>
  <c r="I29" i="1118"/>
  <c r="F39" i="1108"/>
  <c r="D23" i="1115"/>
  <c r="F25" i="1115"/>
  <c r="D25" i="1115" s="1"/>
  <c r="D36" i="1112"/>
  <c r="F39" i="1116"/>
  <c r="H58" i="1115"/>
  <c r="H39" i="1115" s="1"/>
  <c r="H57" i="1115" s="1"/>
  <c r="S358" i="261"/>
  <c r="S341" i="261"/>
  <c r="S324" i="261"/>
  <c r="S307" i="261"/>
  <c r="S290" i="261"/>
  <c r="S273" i="261"/>
  <c r="S171" i="261"/>
  <c r="S154" i="261"/>
  <c r="S137" i="261"/>
  <c r="S121" i="261"/>
  <c r="L117" i="280"/>
  <c r="J116" i="280"/>
  <c r="H115" i="280"/>
  <c r="L114" i="280"/>
  <c r="J113" i="280"/>
  <c r="L112" i="280"/>
  <c r="J111" i="280"/>
  <c r="H110" i="280"/>
  <c r="H109" i="280"/>
  <c r="L108" i="280"/>
  <c r="J107" i="280"/>
  <c r="H106" i="280"/>
  <c r="H105" i="280"/>
  <c r="H124" i="280"/>
  <c r="H123" i="280"/>
  <c r="H122" i="280"/>
  <c r="H121" i="280"/>
  <c r="H120" i="280"/>
  <c r="H119" i="280"/>
  <c r="H118" i="280"/>
  <c r="L99" i="280"/>
  <c r="J98" i="280"/>
  <c r="H97" i="280"/>
  <c r="H96" i="280"/>
  <c r="L130" i="280"/>
  <c r="J129" i="280"/>
  <c r="H128" i="280"/>
  <c r="H95" i="280"/>
  <c r="L94" i="280"/>
  <c r="J93" i="280"/>
  <c r="H92" i="280"/>
  <c r="H91" i="280"/>
  <c r="H90" i="280"/>
  <c r="H89" i="280"/>
  <c r="L88" i="280"/>
  <c r="J87" i="280"/>
  <c r="H86" i="280"/>
  <c r="H85" i="280"/>
  <c r="H84" i="280"/>
  <c r="H83" i="280"/>
  <c r="L79" i="280"/>
  <c r="J78" i="280"/>
  <c r="H77" i="280"/>
  <c r="H76" i="280"/>
  <c r="L75" i="280"/>
  <c r="J74" i="280"/>
  <c r="H73" i="280"/>
  <c r="H72" i="280"/>
  <c r="L71" i="280"/>
  <c r="J70" i="280"/>
  <c r="H69" i="280"/>
  <c r="H68" i="280"/>
  <c r="H67" i="280"/>
  <c r="H66" i="280"/>
  <c r="BS17" i="262"/>
  <c r="L65" i="280"/>
  <c r="J64" i="280"/>
  <c r="H63" i="280"/>
  <c r="H62" i="280"/>
  <c r="H51" i="280"/>
  <c r="L53" i="280"/>
  <c r="J52" i="280"/>
  <c r="H50" i="280"/>
  <c r="L57" i="280"/>
  <c r="J56" i="280"/>
  <c r="H55" i="280"/>
  <c r="H54" i="280"/>
  <c r="L49" i="280"/>
  <c r="J48" i="280"/>
  <c r="H47" i="280"/>
  <c r="H46" i="280"/>
  <c r="H45" i="280"/>
  <c r="H44" i="280"/>
  <c r="L43" i="280"/>
  <c r="H41" i="280"/>
  <c r="H40" i="280"/>
  <c r="H39" i="280"/>
  <c r="I56" i="1119" l="1"/>
  <c r="I57" i="1113"/>
  <c r="F57" i="1114"/>
  <c r="D57" i="1114" s="1"/>
  <c r="F57" i="1110"/>
  <c r="D57" i="1110" s="1"/>
  <c r="F56" i="1114"/>
  <c r="D56" i="1114" s="1"/>
  <c r="I56" i="1116"/>
  <c r="F57" i="1109"/>
  <c r="D57" i="1109" s="1"/>
  <c r="I57" i="1116"/>
  <c r="I56" i="1113"/>
  <c r="F57" i="1118"/>
  <c r="D57" i="1118" s="1"/>
  <c r="F57" i="1113"/>
  <c r="D57" i="1113" s="1"/>
  <c r="I56" i="1109"/>
  <c r="F56" i="1119"/>
  <c r="D56" i="1119" s="1"/>
  <c r="F57" i="1119"/>
  <c r="D57" i="1119" s="1"/>
  <c r="F57" i="1117"/>
  <c r="D57" i="1117" s="1"/>
  <c r="I56" i="1114"/>
  <c r="F56" i="1118"/>
  <c r="D56" i="1118" s="1"/>
  <c r="I57" i="1114"/>
  <c r="I57" i="1108"/>
  <c r="D36" i="1108"/>
  <c r="F56" i="1108"/>
  <c r="D56" i="1108" s="1"/>
  <c r="D36" i="1109"/>
  <c r="F56" i="1109"/>
  <c r="D56" i="1109" s="1"/>
  <c r="I56" i="1108"/>
  <c r="I57" i="1109"/>
  <c r="F56" i="1115"/>
  <c r="D56" i="1115" s="1"/>
  <c r="F56" i="1111"/>
  <c r="D56" i="1111" s="1"/>
  <c r="I57" i="1111"/>
  <c r="I57" i="1118"/>
  <c r="F57" i="1111"/>
  <c r="D57" i="1111" s="1"/>
  <c r="I56" i="1118"/>
  <c r="D39" i="1116"/>
  <c r="F57" i="1116"/>
  <c r="D57" i="1116" s="1"/>
  <c r="F57" i="1112"/>
  <c r="D57" i="1112" s="1"/>
  <c r="D36" i="1110"/>
  <c r="F56" i="1110"/>
  <c r="D56" i="1110" s="1"/>
  <c r="F56" i="1112"/>
  <c r="D56" i="1112" s="1"/>
  <c r="D39" i="1108"/>
  <c r="F57" i="1108"/>
  <c r="D57" i="1108" s="1"/>
  <c r="D36" i="1116"/>
  <c r="F56" i="1116"/>
  <c r="D56" i="1116" s="1"/>
  <c r="F56" i="1113"/>
  <c r="D56" i="1113" s="1"/>
  <c r="I56" i="1111"/>
  <c r="F56" i="1117"/>
  <c r="D56" i="1117" s="1"/>
  <c r="F57" i="1115"/>
  <c r="D57" i="1115" s="1"/>
  <c r="S359" i="261"/>
  <c r="S342" i="261"/>
  <c r="S325" i="261"/>
  <c r="S308" i="261"/>
  <c r="S291" i="261"/>
  <c r="S274" i="261"/>
  <c r="S172" i="261"/>
  <c r="S155" i="261"/>
  <c r="S138" i="261"/>
  <c r="B6" i="261"/>
  <c r="B6" i="1103"/>
  <c r="R7" i="1103" l="1"/>
  <c r="S18" i="1103"/>
  <c r="S17" i="1103"/>
  <c r="O18" i="1103"/>
  <c r="O17" i="1103"/>
  <c r="A39" i="1103"/>
  <c r="A56" i="1103" s="1"/>
  <c r="AE23" i="1103"/>
  <c r="AE24" i="1103" s="1"/>
  <c r="W23" i="1103"/>
  <c r="W24" i="1103" s="1"/>
  <c r="AE18" i="1103"/>
  <c r="W18" i="1103"/>
  <c r="K18" i="1103"/>
  <c r="AI17" i="1103"/>
  <c r="AA17" i="1103"/>
  <c r="K17" i="1103"/>
  <c r="AI16" i="1103"/>
  <c r="AI18" i="1103" s="1"/>
  <c r="AA16" i="1103"/>
  <c r="AA18" i="1103" s="1"/>
  <c r="AH7" i="1103"/>
  <c r="AD7" i="1103"/>
  <c r="Z7" i="1103"/>
  <c r="V7" i="1103"/>
  <c r="J7" i="1103"/>
  <c r="AH6" i="1103"/>
  <c r="AD6" i="1103"/>
  <c r="Z6" i="1103"/>
  <c r="V6" i="1103"/>
  <c r="J6" i="1103"/>
  <c r="S209" i="261"/>
  <c r="S210" i="261" s="1"/>
  <c r="S192" i="261"/>
  <c r="S193" i="261" s="1"/>
  <c r="S90" i="261"/>
  <c r="S91" i="261" s="1"/>
  <c r="S73" i="261"/>
  <c r="S74" i="261" s="1"/>
  <c r="S56" i="261"/>
  <c r="S57" i="261" s="1"/>
  <c r="S39" i="261"/>
  <c r="S40" i="261" s="1"/>
  <c r="S41" i="261" s="1"/>
  <c r="S42" i="261" s="1"/>
  <c r="S43" i="261" s="1"/>
  <c r="S44" i="261" s="1"/>
  <c r="S45" i="261" s="1"/>
  <c r="S46" i="261" s="1"/>
  <c r="S47" i="261" s="1"/>
  <c r="S48" i="261" s="1"/>
  <c r="S49" i="261" s="1"/>
  <c r="S50" i="261" s="1"/>
  <c r="S51" i="261" s="1"/>
  <c r="S52" i="261" s="1"/>
  <c r="S53" i="261" s="1"/>
  <c r="R6" i="261"/>
  <c r="S22" i="261"/>
  <c r="K16" i="261"/>
  <c r="O16" i="261"/>
  <c r="W16" i="261"/>
  <c r="V6" i="261"/>
  <c r="BW17" i="262"/>
  <c r="F22" i="1103"/>
  <c r="E22" i="1103"/>
  <c r="O22" i="261" l="1"/>
  <c r="O175" i="261"/>
  <c r="O176" i="261" s="1"/>
  <c r="O177" i="261" s="1"/>
  <c r="O178" i="261" s="1"/>
  <c r="O179" i="261" s="1"/>
  <c r="O180" i="261" s="1"/>
  <c r="O181" i="261" s="1"/>
  <c r="O182" i="261" s="1"/>
  <c r="O183" i="261" s="1"/>
  <c r="O184" i="261" s="1"/>
  <c r="O185" i="261" s="1"/>
  <c r="O186" i="261" s="1"/>
  <c r="O187" i="261" s="1"/>
  <c r="O188" i="261" s="1"/>
  <c r="O189" i="261" s="1"/>
  <c r="O158" i="261"/>
  <c r="O159" i="261" s="1"/>
  <c r="O160" i="261" s="1"/>
  <c r="O161" i="261" s="1"/>
  <c r="O162" i="261" s="1"/>
  <c r="O163" i="261" s="1"/>
  <c r="O164" i="261" s="1"/>
  <c r="O165" i="261" s="1"/>
  <c r="O166" i="261" s="1"/>
  <c r="O167" i="261" s="1"/>
  <c r="O168" i="261" s="1"/>
  <c r="O169" i="261" s="1"/>
  <c r="O170" i="261" s="1"/>
  <c r="O171" i="261" s="1"/>
  <c r="O172" i="261" s="1"/>
  <c r="O141" i="261"/>
  <c r="O142" i="261" s="1"/>
  <c r="O143" i="261" s="1"/>
  <c r="O144" i="261" s="1"/>
  <c r="O145" i="261" s="1"/>
  <c r="O146" i="261" s="1"/>
  <c r="O147" i="261" s="1"/>
  <c r="O148" i="261" s="1"/>
  <c r="O149" i="261" s="1"/>
  <c r="O150" i="261" s="1"/>
  <c r="O151" i="261" s="1"/>
  <c r="O152" i="261" s="1"/>
  <c r="O153" i="261" s="1"/>
  <c r="O154" i="261" s="1"/>
  <c r="O155" i="261" s="1"/>
  <c r="O124" i="261"/>
  <c r="O125" i="261" s="1"/>
  <c r="O126" i="261" s="1"/>
  <c r="O127" i="261" s="1"/>
  <c r="O128" i="261" s="1"/>
  <c r="O129" i="261" s="1"/>
  <c r="O130" i="261" s="1"/>
  <c r="O131" i="261" s="1"/>
  <c r="O132" i="261" s="1"/>
  <c r="O133" i="261" s="1"/>
  <c r="O134" i="261" s="1"/>
  <c r="O135" i="261" s="1"/>
  <c r="O136" i="261" s="1"/>
  <c r="O137" i="261" s="1"/>
  <c r="O138" i="261" s="1"/>
  <c r="O107" i="261"/>
  <c r="O108" i="261" s="1"/>
  <c r="O109" i="261" s="1"/>
  <c r="O110" i="261" s="1"/>
  <c r="O111" i="261" s="1"/>
  <c r="O112" i="261" s="1"/>
  <c r="O113" i="261" s="1"/>
  <c r="O114" i="261" s="1"/>
  <c r="O115" i="261" s="1"/>
  <c r="O116" i="261" s="1"/>
  <c r="O117" i="261" s="1"/>
  <c r="O118" i="261" s="1"/>
  <c r="O119" i="261" s="1"/>
  <c r="O120" i="261" s="1"/>
  <c r="O121" i="261" s="1"/>
  <c r="O345" i="261"/>
  <c r="O346" i="261" s="1"/>
  <c r="O347" i="261" s="1"/>
  <c r="O348" i="261" s="1"/>
  <c r="O349" i="261" s="1"/>
  <c r="O350" i="261" s="1"/>
  <c r="O351" i="261" s="1"/>
  <c r="O352" i="261" s="1"/>
  <c r="O353" i="261" s="1"/>
  <c r="O354" i="261" s="1"/>
  <c r="O355" i="261" s="1"/>
  <c r="O356" i="261" s="1"/>
  <c r="O357" i="261" s="1"/>
  <c r="O358" i="261" s="1"/>
  <c r="O359" i="261" s="1"/>
  <c r="O328" i="261"/>
  <c r="O329" i="261" s="1"/>
  <c r="O330" i="261" s="1"/>
  <c r="O331" i="261" s="1"/>
  <c r="O332" i="261" s="1"/>
  <c r="O333" i="261" s="1"/>
  <c r="O334" i="261" s="1"/>
  <c r="O335" i="261" s="1"/>
  <c r="O336" i="261" s="1"/>
  <c r="O337" i="261" s="1"/>
  <c r="O338" i="261" s="1"/>
  <c r="O339" i="261" s="1"/>
  <c r="O340" i="261" s="1"/>
  <c r="O341" i="261" s="1"/>
  <c r="O342" i="261" s="1"/>
  <c r="O311" i="261"/>
  <c r="O312" i="261" s="1"/>
  <c r="O313" i="261" s="1"/>
  <c r="O314" i="261" s="1"/>
  <c r="O315" i="261" s="1"/>
  <c r="O316" i="261" s="1"/>
  <c r="O317" i="261" s="1"/>
  <c r="O318" i="261" s="1"/>
  <c r="O319" i="261" s="1"/>
  <c r="O320" i="261" s="1"/>
  <c r="O321" i="261" s="1"/>
  <c r="O322" i="261" s="1"/>
  <c r="O323" i="261" s="1"/>
  <c r="O324" i="261" s="1"/>
  <c r="O325" i="261" s="1"/>
  <c r="O294" i="261"/>
  <c r="O295" i="261" s="1"/>
  <c r="O296" i="261" s="1"/>
  <c r="O297" i="261" s="1"/>
  <c r="O298" i="261" s="1"/>
  <c r="O299" i="261" s="1"/>
  <c r="O300" i="261" s="1"/>
  <c r="O301" i="261" s="1"/>
  <c r="O302" i="261" s="1"/>
  <c r="O303" i="261" s="1"/>
  <c r="O304" i="261" s="1"/>
  <c r="O305" i="261" s="1"/>
  <c r="O306" i="261" s="1"/>
  <c r="O307" i="261" s="1"/>
  <c r="O308" i="261" s="1"/>
  <c r="O277" i="261"/>
  <c r="O278" i="261" s="1"/>
  <c r="O279" i="261" s="1"/>
  <c r="O280" i="261" s="1"/>
  <c r="O281" i="261" s="1"/>
  <c r="O282" i="261" s="1"/>
  <c r="O283" i="261" s="1"/>
  <c r="O284" i="261" s="1"/>
  <c r="O285" i="261" s="1"/>
  <c r="O286" i="261" s="1"/>
  <c r="O287" i="261" s="1"/>
  <c r="O288" i="261" s="1"/>
  <c r="O289" i="261" s="1"/>
  <c r="O290" i="261" s="1"/>
  <c r="O291" i="261" s="1"/>
  <c r="O260" i="261"/>
  <c r="O261" i="261" s="1"/>
  <c r="O262" i="261" s="1"/>
  <c r="O263" i="261" s="1"/>
  <c r="O264" i="261" s="1"/>
  <c r="O265" i="261" s="1"/>
  <c r="O266" i="261" s="1"/>
  <c r="O267" i="261" s="1"/>
  <c r="O268" i="261" s="1"/>
  <c r="O269" i="261" s="1"/>
  <c r="O270" i="261" s="1"/>
  <c r="O271" i="261" s="1"/>
  <c r="O272" i="261" s="1"/>
  <c r="O273" i="261" s="1"/>
  <c r="O274" i="261" s="1"/>
  <c r="O243" i="261"/>
  <c r="O244" i="261" s="1"/>
  <c r="O245" i="261" s="1"/>
  <c r="O246" i="261" s="1"/>
  <c r="O247" i="261" s="1"/>
  <c r="O248" i="261" s="1"/>
  <c r="O249" i="261" s="1"/>
  <c r="O250" i="261" s="1"/>
  <c r="O251" i="261" s="1"/>
  <c r="O252" i="261" s="1"/>
  <c r="O253" i="261" s="1"/>
  <c r="O254" i="261" s="1"/>
  <c r="O255" i="261" s="1"/>
  <c r="O256" i="261" s="1"/>
  <c r="O257" i="261" s="1"/>
  <c r="O226" i="261"/>
  <c r="O227" i="261" s="1"/>
  <c r="O228" i="261" s="1"/>
  <c r="O229" i="261" s="1"/>
  <c r="O230" i="261" s="1"/>
  <c r="O231" i="261" s="1"/>
  <c r="O232" i="261" s="1"/>
  <c r="O233" i="261" s="1"/>
  <c r="O234" i="261" s="1"/>
  <c r="O235" i="261" s="1"/>
  <c r="O236" i="261" s="1"/>
  <c r="O237" i="261" s="1"/>
  <c r="O238" i="261" s="1"/>
  <c r="O239" i="261" s="1"/>
  <c r="O240" i="261" s="1"/>
  <c r="K311" i="261"/>
  <c r="K312" i="261" s="1"/>
  <c r="K313" i="261" s="1"/>
  <c r="K314" i="261" s="1"/>
  <c r="K315" i="261" s="1"/>
  <c r="K316" i="261" s="1"/>
  <c r="K317" i="261" s="1"/>
  <c r="K318" i="261" s="1"/>
  <c r="K319" i="261" s="1"/>
  <c r="K320" i="261" s="1"/>
  <c r="K321" i="261" s="1"/>
  <c r="K322" i="261" s="1"/>
  <c r="K323" i="261" s="1"/>
  <c r="K324" i="261" s="1"/>
  <c r="K325" i="261" s="1"/>
  <c r="K277" i="261"/>
  <c r="K278" i="261" s="1"/>
  <c r="K279" i="261" s="1"/>
  <c r="K280" i="261" s="1"/>
  <c r="K281" i="261" s="1"/>
  <c r="K282" i="261" s="1"/>
  <c r="K283" i="261" s="1"/>
  <c r="K284" i="261" s="1"/>
  <c r="K285" i="261" s="1"/>
  <c r="K286" i="261" s="1"/>
  <c r="K287" i="261" s="1"/>
  <c r="K288" i="261" s="1"/>
  <c r="K289" i="261" s="1"/>
  <c r="K290" i="261" s="1"/>
  <c r="K291" i="261" s="1"/>
  <c r="K243" i="261"/>
  <c r="K244" i="261" s="1"/>
  <c r="K245" i="261" s="1"/>
  <c r="K246" i="261" s="1"/>
  <c r="K247" i="261" s="1"/>
  <c r="K248" i="261" s="1"/>
  <c r="K249" i="261" s="1"/>
  <c r="K250" i="261" s="1"/>
  <c r="K251" i="261" s="1"/>
  <c r="K252" i="261" s="1"/>
  <c r="K253" i="261" s="1"/>
  <c r="K254" i="261" s="1"/>
  <c r="K255" i="261" s="1"/>
  <c r="K256" i="261" s="1"/>
  <c r="K257" i="261" s="1"/>
  <c r="K141" i="261"/>
  <c r="K142" i="261" s="1"/>
  <c r="K143" i="261" s="1"/>
  <c r="K144" i="261" s="1"/>
  <c r="K145" i="261" s="1"/>
  <c r="K146" i="261" s="1"/>
  <c r="K147" i="261" s="1"/>
  <c r="K148" i="261" s="1"/>
  <c r="K149" i="261" s="1"/>
  <c r="K150" i="261" s="1"/>
  <c r="K151" i="261" s="1"/>
  <c r="K152" i="261" s="1"/>
  <c r="K153" i="261" s="1"/>
  <c r="K154" i="261" s="1"/>
  <c r="K155" i="261" s="1"/>
  <c r="K124" i="261"/>
  <c r="K125" i="261" s="1"/>
  <c r="K126" i="261" s="1"/>
  <c r="K127" i="261" s="1"/>
  <c r="K128" i="261" s="1"/>
  <c r="K129" i="261" s="1"/>
  <c r="K130" i="261" s="1"/>
  <c r="K131" i="261" s="1"/>
  <c r="K132" i="261" s="1"/>
  <c r="K133" i="261" s="1"/>
  <c r="K134" i="261" s="1"/>
  <c r="K135" i="261" s="1"/>
  <c r="K136" i="261" s="1"/>
  <c r="K137" i="261" s="1"/>
  <c r="K138" i="261" s="1"/>
  <c r="K107" i="261"/>
  <c r="K108" i="261" s="1"/>
  <c r="K109" i="261" s="1"/>
  <c r="K110" i="261" s="1"/>
  <c r="K111" i="261" s="1"/>
  <c r="K112" i="261" s="1"/>
  <c r="K113" i="261" s="1"/>
  <c r="K114" i="261" s="1"/>
  <c r="K115" i="261" s="1"/>
  <c r="K116" i="261" s="1"/>
  <c r="K117" i="261" s="1"/>
  <c r="K118" i="261" s="1"/>
  <c r="K119" i="261" s="1"/>
  <c r="K120" i="261" s="1"/>
  <c r="K121" i="261" s="1"/>
  <c r="K345" i="261"/>
  <c r="K346" i="261" s="1"/>
  <c r="K347" i="261" s="1"/>
  <c r="K348" i="261" s="1"/>
  <c r="K349" i="261" s="1"/>
  <c r="K350" i="261" s="1"/>
  <c r="K351" i="261" s="1"/>
  <c r="K352" i="261" s="1"/>
  <c r="K353" i="261" s="1"/>
  <c r="K354" i="261" s="1"/>
  <c r="K355" i="261" s="1"/>
  <c r="K356" i="261" s="1"/>
  <c r="K357" i="261" s="1"/>
  <c r="K358" i="261" s="1"/>
  <c r="K359" i="261" s="1"/>
  <c r="K328" i="261"/>
  <c r="K329" i="261" s="1"/>
  <c r="K330" i="261" s="1"/>
  <c r="K331" i="261" s="1"/>
  <c r="K332" i="261" s="1"/>
  <c r="K333" i="261" s="1"/>
  <c r="K334" i="261" s="1"/>
  <c r="K335" i="261" s="1"/>
  <c r="K336" i="261" s="1"/>
  <c r="K337" i="261" s="1"/>
  <c r="K338" i="261" s="1"/>
  <c r="K339" i="261" s="1"/>
  <c r="K340" i="261" s="1"/>
  <c r="K341" i="261" s="1"/>
  <c r="K342" i="261" s="1"/>
  <c r="K294" i="261"/>
  <c r="K295" i="261" s="1"/>
  <c r="K296" i="261" s="1"/>
  <c r="K297" i="261" s="1"/>
  <c r="K298" i="261" s="1"/>
  <c r="K299" i="261" s="1"/>
  <c r="K300" i="261" s="1"/>
  <c r="K301" i="261" s="1"/>
  <c r="K302" i="261" s="1"/>
  <c r="K303" i="261" s="1"/>
  <c r="K304" i="261" s="1"/>
  <c r="K305" i="261" s="1"/>
  <c r="K306" i="261" s="1"/>
  <c r="K307" i="261" s="1"/>
  <c r="K308" i="261" s="1"/>
  <c r="K260" i="261"/>
  <c r="K261" i="261" s="1"/>
  <c r="K262" i="261" s="1"/>
  <c r="K263" i="261" s="1"/>
  <c r="K264" i="261" s="1"/>
  <c r="K265" i="261" s="1"/>
  <c r="K266" i="261" s="1"/>
  <c r="K267" i="261" s="1"/>
  <c r="K268" i="261" s="1"/>
  <c r="K269" i="261" s="1"/>
  <c r="K270" i="261" s="1"/>
  <c r="K271" i="261" s="1"/>
  <c r="K272" i="261" s="1"/>
  <c r="K273" i="261" s="1"/>
  <c r="K274" i="261" s="1"/>
  <c r="K226" i="261"/>
  <c r="K227" i="261" s="1"/>
  <c r="K228" i="261" s="1"/>
  <c r="K229" i="261" s="1"/>
  <c r="K230" i="261" s="1"/>
  <c r="K231" i="261" s="1"/>
  <c r="K232" i="261" s="1"/>
  <c r="K233" i="261" s="1"/>
  <c r="K234" i="261" s="1"/>
  <c r="K235" i="261" s="1"/>
  <c r="K236" i="261" s="1"/>
  <c r="K237" i="261" s="1"/>
  <c r="K238" i="261" s="1"/>
  <c r="K239" i="261" s="1"/>
  <c r="K240" i="261" s="1"/>
  <c r="K158" i="261"/>
  <c r="K159" i="261" s="1"/>
  <c r="K160" i="261" s="1"/>
  <c r="K161" i="261" s="1"/>
  <c r="K162" i="261" s="1"/>
  <c r="K163" i="261" s="1"/>
  <c r="K164" i="261" s="1"/>
  <c r="K165" i="261" s="1"/>
  <c r="K166" i="261" s="1"/>
  <c r="K167" i="261" s="1"/>
  <c r="K168" i="261" s="1"/>
  <c r="K169" i="261" s="1"/>
  <c r="K170" i="261" s="1"/>
  <c r="K171" i="261" s="1"/>
  <c r="K172" i="261" s="1"/>
  <c r="K175" i="261"/>
  <c r="K176" i="261" s="1"/>
  <c r="K177" i="261" s="1"/>
  <c r="K178" i="261" s="1"/>
  <c r="K179" i="261" s="1"/>
  <c r="K180" i="261" s="1"/>
  <c r="K181" i="261" s="1"/>
  <c r="K182" i="261" s="1"/>
  <c r="K183" i="261" s="1"/>
  <c r="K184" i="261" s="1"/>
  <c r="K185" i="261" s="1"/>
  <c r="K186" i="261" s="1"/>
  <c r="K187" i="261" s="1"/>
  <c r="K188" i="261" s="1"/>
  <c r="K189" i="261" s="1"/>
  <c r="S737" i="1103"/>
  <c r="S738" i="1103" s="1"/>
  <c r="S739" i="1103" s="1"/>
  <c r="S740" i="1103" s="1"/>
  <c r="S741" i="1103" s="1"/>
  <c r="S742" i="1103" s="1"/>
  <c r="S743" i="1103" s="1"/>
  <c r="S744" i="1103" s="1"/>
  <c r="S745" i="1103" s="1"/>
  <c r="S746" i="1103" s="1"/>
  <c r="S747" i="1103" s="1"/>
  <c r="S748" i="1103" s="1"/>
  <c r="S749" i="1103" s="1"/>
  <c r="S750" i="1103" s="1"/>
  <c r="S751" i="1103" s="1"/>
  <c r="S703" i="1103"/>
  <c r="S704" i="1103" s="1"/>
  <c r="S705" i="1103" s="1"/>
  <c r="S706" i="1103" s="1"/>
  <c r="S707" i="1103" s="1"/>
  <c r="S708" i="1103" s="1"/>
  <c r="S709" i="1103" s="1"/>
  <c r="S710" i="1103" s="1"/>
  <c r="S711" i="1103" s="1"/>
  <c r="S712" i="1103" s="1"/>
  <c r="S713" i="1103" s="1"/>
  <c r="S714" i="1103" s="1"/>
  <c r="S715" i="1103" s="1"/>
  <c r="S716" i="1103" s="1"/>
  <c r="S717" i="1103" s="1"/>
  <c r="S635" i="1103"/>
  <c r="S636" i="1103" s="1"/>
  <c r="S637" i="1103" s="1"/>
  <c r="S638" i="1103" s="1"/>
  <c r="S639" i="1103" s="1"/>
  <c r="S640" i="1103" s="1"/>
  <c r="S641" i="1103" s="1"/>
  <c r="S642" i="1103" s="1"/>
  <c r="S643" i="1103" s="1"/>
  <c r="S644" i="1103" s="1"/>
  <c r="S645" i="1103" s="1"/>
  <c r="S646" i="1103" s="1"/>
  <c r="S647" i="1103" s="1"/>
  <c r="S648" i="1103" s="1"/>
  <c r="S649" i="1103" s="1"/>
  <c r="S567" i="1103"/>
  <c r="S568" i="1103" s="1"/>
  <c r="S569" i="1103" s="1"/>
  <c r="S570" i="1103" s="1"/>
  <c r="S571" i="1103" s="1"/>
  <c r="S572" i="1103" s="1"/>
  <c r="S573" i="1103" s="1"/>
  <c r="S574" i="1103" s="1"/>
  <c r="S575" i="1103" s="1"/>
  <c r="S576" i="1103" s="1"/>
  <c r="S577" i="1103" s="1"/>
  <c r="S578" i="1103" s="1"/>
  <c r="S579" i="1103" s="1"/>
  <c r="S580" i="1103" s="1"/>
  <c r="S581" i="1103" s="1"/>
  <c r="S516" i="1103"/>
  <c r="S517" i="1103" s="1"/>
  <c r="S518" i="1103" s="1"/>
  <c r="S519" i="1103" s="1"/>
  <c r="S520" i="1103" s="1"/>
  <c r="S521" i="1103" s="1"/>
  <c r="S522" i="1103" s="1"/>
  <c r="S523" i="1103" s="1"/>
  <c r="S524" i="1103" s="1"/>
  <c r="S525" i="1103" s="1"/>
  <c r="S526" i="1103" s="1"/>
  <c r="S527" i="1103" s="1"/>
  <c r="S528" i="1103" s="1"/>
  <c r="S529" i="1103" s="1"/>
  <c r="S530" i="1103" s="1"/>
  <c r="S499" i="1103"/>
  <c r="S500" i="1103" s="1"/>
  <c r="S501" i="1103" s="1"/>
  <c r="S502" i="1103" s="1"/>
  <c r="S503" i="1103" s="1"/>
  <c r="S504" i="1103" s="1"/>
  <c r="S505" i="1103" s="1"/>
  <c r="S506" i="1103" s="1"/>
  <c r="S507" i="1103" s="1"/>
  <c r="S508" i="1103" s="1"/>
  <c r="S509" i="1103" s="1"/>
  <c r="S510" i="1103" s="1"/>
  <c r="S511" i="1103" s="1"/>
  <c r="S512" i="1103" s="1"/>
  <c r="S513" i="1103" s="1"/>
  <c r="S448" i="1103"/>
  <c r="S449" i="1103" s="1"/>
  <c r="S450" i="1103" s="1"/>
  <c r="S451" i="1103" s="1"/>
  <c r="S452" i="1103" s="1"/>
  <c r="S453" i="1103" s="1"/>
  <c r="S454" i="1103" s="1"/>
  <c r="S455" i="1103" s="1"/>
  <c r="S456" i="1103" s="1"/>
  <c r="S457" i="1103" s="1"/>
  <c r="S458" i="1103" s="1"/>
  <c r="S459" i="1103" s="1"/>
  <c r="S460" i="1103" s="1"/>
  <c r="S461" i="1103" s="1"/>
  <c r="S462" i="1103" s="1"/>
  <c r="S397" i="1103"/>
  <c r="S398" i="1103" s="1"/>
  <c r="S399" i="1103" s="1"/>
  <c r="S400" i="1103" s="1"/>
  <c r="S401" i="1103" s="1"/>
  <c r="S402" i="1103" s="1"/>
  <c r="S403" i="1103" s="1"/>
  <c r="S404" i="1103" s="1"/>
  <c r="S405" i="1103" s="1"/>
  <c r="S406" i="1103" s="1"/>
  <c r="S407" i="1103" s="1"/>
  <c r="S408" i="1103" s="1"/>
  <c r="S409" i="1103" s="1"/>
  <c r="S410" i="1103" s="1"/>
  <c r="S411" i="1103" s="1"/>
  <c r="S346" i="1103"/>
  <c r="S347" i="1103" s="1"/>
  <c r="S348" i="1103" s="1"/>
  <c r="S349" i="1103" s="1"/>
  <c r="S350" i="1103" s="1"/>
  <c r="S351" i="1103" s="1"/>
  <c r="S352" i="1103" s="1"/>
  <c r="S353" i="1103" s="1"/>
  <c r="S354" i="1103" s="1"/>
  <c r="S355" i="1103" s="1"/>
  <c r="S356" i="1103" s="1"/>
  <c r="S357" i="1103" s="1"/>
  <c r="S358" i="1103" s="1"/>
  <c r="S359" i="1103" s="1"/>
  <c r="S360" i="1103" s="1"/>
  <c r="S686" i="1103"/>
  <c r="S687" i="1103" s="1"/>
  <c r="S688" i="1103" s="1"/>
  <c r="S689" i="1103" s="1"/>
  <c r="S690" i="1103" s="1"/>
  <c r="S691" i="1103" s="1"/>
  <c r="S692" i="1103" s="1"/>
  <c r="S693" i="1103" s="1"/>
  <c r="S694" i="1103" s="1"/>
  <c r="S695" i="1103" s="1"/>
  <c r="S696" i="1103" s="1"/>
  <c r="S697" i="1103" s="1"/>
  <c r="S698" i="1103" s="1"/>
  <c r="S699" i="1103" s="1"/>
  <c r="S700" i="1103" s="1"/>
  <c r="S618" i="1103"/>
  <c r="S619" i="1103" s="1"/>
  <c r="S620" i="1103" s="1"/>
  <c r="S621" i="1103" s="1"/>
  <c r="S622" i="1103" s="1"/>
  <c r="S623" i="1103" s="1"/>
  <c r="S624" i="1103" s="1"/>
  <c r="S625" i="1103" s="1"/>
  <c r="S626" i="1103" s="1"/>
  <c r="S627" i="1103" s="1"/>
  <c r="S628" i="1103" s="1"/>
  <c r="S629" i="1103" s="1"/>
  <c r="S630" i="1103" s="1"/>
  <c r="S631" i="1103" s="1"/>
  <c r="S632" i="1103" s="1"/>
  <c r="S550" i="1103"/>
  <c r="S551" i="1103" s="1"/>
  <c r="S552" i="1103" s="1"/>
  <c r="S553" i="1103" s="1"/>
  <c r="S554" i="1103" s="1"/>
  <c r="S555" i="1103" s="1"/>
  <c r="S556" i="1103" s="1"/>
  <c r="S557" i="1103" s="1"/>
  <c r="S558" i="1103" s="1"/>
  <c r="S559" i="1103" s="1"/>
  <c r="S560" i="1103" s="1"/>
  <c r="S561" i="1103" s="1"/>
  <c r="S562" i="1103" s="1"/>
  <c r="S563" i="1103" s="1"/>
  <c r="S564" i="1103" s="1"/>
  <c r="S482" i="1103"/>
  <c r="S483" i="1103" s="1"/>
  <c r="S484" i="1103" s="1"/>
  <c r="S485" i="1103" s="1"/>
  <c r="S486" i="1103" s="1"/>
  <c r="S487" i="1103" s="1"/>
  <c r="S488" i="1103" s="1"/>
  <c r="S489" i="1103" s="1"/>
  <c r="S490" i="1103" s="1"/>
  <c r="S491" i="1103" s="1"/>
  <c r="S492" i="1103" s="1"/>
  <c r="S493" i="1103" s="1"/>
  <c r="S494" i="1103" s="1"/>
  <c r="S495" i="1103" s="1"/>
  <c r="S496" i="1103" s="1"/>
  <c r="S431" i="1103"/>
  <c r="S432" i="1103" s="1"/>
  <c r="S433" i="1103" s="1"/>
  <c r="S434" i="1103" s="1"/>
  <c r="S435" i="1103" s="1"/>
  <c r="S436" i="1103" s="1"/>
  <c r="S437" i="1103" s="1"/>
  <c r="S438" i="1103" s="1"/>
  <c r="S439" i="1103" s="1"/>
  <c r="S440" i="1103" s="1"/>
  <c r="S441" i="1103" s="1"/>
  <c r="S442" i="1103" s="1"/>
  <c r="S443" i="1103" s="1"/>
  <c r="S444" i="1103" s="1"/>
  <c r="S445" i="1103" s="1"/>
  <c r="S720" i="1103"/>
  <c r="S721" i="1103" s="1"/>
  <c r="S722" i="1103" s="1"/>
  <c r="S723" i="1103" s="1"/>
  <c r="S724" i="1103" s="1"/>
  <c r="S725" i="1103" s="1"/>
  <c r="S726" i="1103" s="1"/>
  <c r="S727" i="1103" s="1"/>
  <c r="S728" i="1103" s="1"/>
  <c r="S729" i="1103" s="1"/>
  <c r="S730" i="1103" s="1"/>
  <c r="S731" i="1103" s="1"/>
  <c r="S732" i="1103" s="1"/>
  <c r="S733" i="1103" s="1"/>
  <c r="S734" i="1103" s="1"/>
  <c r="S652" i="1103"/>
  <c r="S653" i="1103" s="1"/>
  <c r="S654" i="1103" s="1"/>
  <c r="S655" i="1103" s="1"/>
  <c r="S656" i="1103" s="1"/>
  <c r="S657" i="1103" s="1"/>
  <c r="S658" i="1103" s="1"/>
  <c r="S659" i="1103" s="1"/>
  <c r="S660" i="1103" s="1"/>
  <c r="S661" i="1103" s="1"/>
  <c r="S662" i="1103" s="1"/>
  <c r="S663" i="1103" s="1"/>
  <c r="S664" i="1103" s="1"/>
  <c r="S665" i="1103" s="1"/>
  <c r="S666" i="1103" s="1"/>
  <c r="S584" i="1103"/>
  <c r="S585" i="1103" s="1"/>
  <c r="S586" i="1103" s="1"/>
  <c r="S587" i="1103" s="1"/>
  <c r="S588" i="1103" s="1"/>
  <c r="S589" i="1103" s="1"/>
  <c r="S590" i="1103" s="1"/>
  <c r="S591" i="1103" s="1"/>
  <c r="S592" i="1103" s="1"/>
  <c r="S593" i="1103" s="1"/>
  <c r="S594" i="1103" s="1"/>
  <c r="S595" i="1103" s="1"/>
  <c r="S596" i="1103" s="1"/>
  <c r="S597" i="1103" s="1"/>
  <c r="S598" i="1103" s="1"/>
  <c r="S329" i="1103"/>
  <c r="S330" i="1103" s="1"/>
  <c r="S331" i="1103" s="1"/>
  <c r="S332" i="1103" s="1"/>
  <c r="S333" i="1103" s="1"/>
  <c r="S334" i="1103" s="1"/>
  <c r="S335" i="1103" s="1"/>
  <c r="S336" i="1103" s="1"/>
  <c r="S337" i="1103" s="1"/>
  <c r="S338" i="1103" s="1"/>
  <c r="S339" i="1103" s="1"/>
  <c r="S340" i="1103" s="1"/>
  <c r="S341" i="1103" s="1"/>
  <c r="S342" i="1103" s="1"/>
  <c r="S343" i="1103" s="1"/>
  <c r="S312" i="1103"/>
  <c r="S313" i="1103" s="1"/>
  <c r="S314" i="1103" s="1"/>
  <c r="S315" i="1103" s="1"/>
  <c r="S316" i="1103" s="1"/>
  <c r="S317" i="1103" s="1"/>
  <c r="S318" i="1103" s="1"/>
  <c r="S319" i="1103" s="1"/>
  <c r="S320" i="1103" s="1"/>
  <c r="S321" i="1103" s="1"/>
  <c r="S322" i="1103" s="1"/>
  <c r="S323" i="1103" s="1"/>
  <c r="S324" i="1103" s="1"/>
  <c r="S325" i="1103" s="1"/>
  <c r="S326" i="1103" s="1"/>
  <c r="S278" i="1103"/>
  <c r="S279" i="1103" s="1"/>
  <c r="S280" i="1103" s="1"/>
  <c r="S281" i="1103" s="1"/>
  <c r="S282" i="1103" s="1"/>
  <c r="S283" i="1103" s="1"/>
  <c r="S284" i="1103" s="1"/>
  <c r="S285" i="1103" s="1"/>
  <c r="S286" i="1103" s="1"/>
  <c r="S287" i="1103" s="1"/>
  <c r="S288" i="1103" s="1"/>
  <c r="S289" i="1103" s="1"/>
  <c r="S290" i="1103" s="1"/>
  <c r="S291" i="1103" s="1"/>
  <c r="S292" i="1103" s="1"/>
  <c r="S176" i="1103"/>
  <c r="S177" i="1103" s="1"/>
  <c r="S178" i="1103" s="1"/>
  <c r="S179" i="1103" s="1"/>
  <c r="S180" i="1103" s="1"/>
  <c r="S181" i="1103" s="1"/>
  <c r="S182" i="1103" s="1"/>
  <c r="S183" i="1103" s="1"/>
  <c r="S184" i="1103" s="1"/>
  <c r="S185" i="1103" s="1"/>
  <c r="S186" i="1103" s="1"/>
  <c r="S187" i="1103" s="1"/>
  <c r="S188" i="1103" s="1"/>
  <c r="S189" i="1103" s="1"/>
  <c r="S190" i="1103" s="1"/>
  <c r="S125" i="1103"/>
  <c r="S126" i="1103" s="1"/>
  <c r="S127" i="1103" s="1"/>
  <c r="S128" i="1103" s="1"/>
  <c r="S129" i="1103" s="1"/>
  <c r="S130" i="1103" s="1"/>
  <c r="S131" i="1103" s="1"/>
  <c r="S132" i="1103" s="1"/>
  <c r="S133" i="1103" s="1"/>
  <c r="S134" i="1103" s="1"/>
  <c r="S135" i="1103" s="1"/>
  <c r="S136" i="1103" s="1"/>
  <c r="S137" i="1103" s="1"/>
  <c r="S138" i="1103" s="1"/>
  <c r="S139" i="1103" s="1"/>
  <c r="S57" i="1103"/>
  <c r="S58" i="1103" s="1"/>
  <c r="S59" i="1103" s="1"/>
  <c r="S60" i="1103" s="1"/>
  <c r="S61" i="1103" s="1"/>
  <c r="S62" i="1103" s="1"/>
  <c r="S63" i="1103" s="1"/>
  <c r="S64" i="1103" s="1"/>
  <c r="S65" i="1103" s="1"/>
  <c r="S66" i="1103" s="1"/>
  <c r="S67" i="1103" s="1"/>
  <c r="S68" i="1103" s="1"/>
  <c r="S69" i="1103" s="1"/>
  <c r="S70" i="1103" s="1"/>
  <c r="S71" i="1103" s="1"/>
  <c r="S465" i="1103"/>
  <c r="S466" i="1103" s="1"/>
  <c r="S467" i="1103" s="1"/>
  <c r="S468" i="1103" s="1"/>
  <c r="S469" i="1103" s="1"/>
  <c r="S470" i="1103" s="1"/>
  <c r="S471" i="1103" s="1"/>
  <c r="S472" i="1103" s="1"/>
  <c r="S473" i="1103" s="1"/>
  <c r="S474" i="1103" s="1"/>
  <c r="S475" i="1103" s="1"/>
  <c r="S476" i="1103" s="1"/>
  <c r="S477" i="1103" s="1"/>
  <c r="S478" i="1103" s="1"/>
  <c r="S479" i="1103" s="1"/>
  <c r="S380" i="1103"/>
  <c r="S381" i="1103" s="1"/>
  <c r="S382" i="1103" s="1"/>
  <c r="S383" i="1103" s="1"/>
  <c r="S384" i="1103" s="1"/>
  <c r="S385" i="1103" s="1"/>
  <c r="S386" i="1103" s="1"/>
  <c r="S387" i="1103" s="1"/>
  <c r="S388" i="1103" s="1"/>
  <c r="S389" i="1103" s="1"/>
  <c r="S390" i="1103" s="1"/>
  <c r="S391" i="1103" s="1"/>
  <c r="S392" i="1103" s="1"/>
  <c r="S393" i="1103" s="1"/>
  <c r="S394" i="1103" s="1"/>
  <c r="S261" i="1103"/>
  <c r="S262" i="1103" s="1"/>
  <c r="S263" i="1103" s="1"/>
  <c r="S264" i="1103" s="1"/>
  <c r="S265" i="1103" s="1"/>
  <c r="S266" i="1103" s="1"/>
  <c r="S267" i="1103" s="1"/>
  <c r="S268" i="1103" s="1"/>
  <c r="S269" i="1103" s="1"/>
  <c r="S270" i="1103" s="1"/>
  <c r="S271" i="1103" s="1"/>
  <c r="S272" i="1103" s="1"/>
  <c r="S273" i="1103" s="1"/>
  <c r="S274" i="1103" s="1"/>
  <c r="S275" i="1103" s="1"/>
  <c r="S244" i="1103"/>
  <c r="S245" i="1103" s="1"/>
  <c r="S246" i="1103" s="1"/>
  <c r="S247" i="1103" s="1"/>
  <c r="S248" i="1103" s="1"/>
  <c r="S249" i="1103" s="1"/>
  <c r="S250" i="1103" s="1"/>
  <c r="S251" i="1103" s="1"/>
  <c r="S252" i="1103" s="1"/>
  <c r="S253" i="1103" s="1"/>
  <c r="S254" i="1103" s="1"/>
  <c r="S255" i="1103" s="1"/>
  <c r="S256" i="1103" s="1"/>
  <c r="S257" i="1103" s="1"/>
  <c r="S258" i="1103" s="1"/>
  <c r="S210" i="1103"/>
  <c r="S211" i="1103" s="1"/>
  <c r="S212" i="1103" s="1"/>
  <c r="S213" i="1103" s="1"/>
  <c r="S214" i="1103" s="1"/>
  <c r="S215" i="1103" s="1"/>
  <c r="S216" i="1103" s="1"/>
  <c r="S217" i="1103" s="1"/>
  <c r="S218" i="1103" s="1"/>
  <c r="S219" i="1103" s="1"/>
  <c r="S220" i="1103" s="1"/>
  <c r="S221" i="1103" s="1"/>
  <c r="S222" i="1103" s="1"/>
  <c r="S223" i="1103" s="1"/>
  <c r="S224" i="1103" s="1"/>
  <c r="S193" i="1103"/>
  <c r="S194" i="1103" s="1"/>
  <c r="S195" i="1103" s="1"/>
  <c r="S196" i="1103" s="1"/>
  <c r="S197" i="1103" s="1"/>
  <c r="S198" i="1103" s="1"/>
  <c r="S199" i="1103" s="1"/>
  <c r="S200" i="1103" s="1"/>
  <c r="S201" i="1103" s="1"/>
  <c r="S202" i="1103" s="1"/>
  <c r="S203" i="1103" s="1"/>
  <c r="S204" i="1103" s="1"/>
  <c r="S205" i="1103" s="1"/>
  <c r="S206" i="1103" s="1"/>
  <c r="S207" i="1103" s="1"/>
  <c r="S108" i="1103"/>
  <c r="S109" i="1103" s="1"/>
  <c r="S110" i="1103" s="1"/>
  <c r="S111" i="1103" s="1"/>
  <c r="S112" i="1103" s="1"/>
  <c r="S113" i="1103" s="1"/>
  <c r="S114" i="1103" s="1"/>
  <c r="S115" i="1103" s="1"/>
  <c r="S116" i="1103" s="1"/>
  <c r="S117" i="1103" s="1"/>
  <c r="S118" i="1103" s="1"/>
  <c r="S119" i="1103" s="1"/>
  <c r="S120" i="1103" s="1"/>
  <c r="S121" i="1103" s="1"/>
  <c r="S122" i="1103" s="1"/>
  <c r="S669" i="1103"/>
  <c r="S670" i="1103" s="1"/>
  <c r="S671" i="1103" s="1"/>
  <c r="S672" i="1103" s="1"/>
  <c r="S673" i="1103" s="1"/>
  <c r="S674" i="1103" s="1"/>
  <c r="S675" i="1103" s="1"/>
  <c r="S676" i="1103" s="1"/>
  <c r="S677" i="1103" s="1"/>
  <c r="S678" i="1103" s="1"/>
  <c r="S679" i="1103" s="1"/>
  <c r="S680" i="1103" s="1"/>
  <c r="S681" i="1103" s="1"/>
  <c r="S682" i="1103" s="1"/>
  <c r="S683" i="1103" s="1"/>
  <c r="S601" i="1103"/>
  <c r="S602" i="1103" s="1"/>
  <c r="S603" i="1103" s="1"/>
  <c r="S604" i="1103" s="1"/>
  <c r="S605" i="1103" s="1"/>
  <c r="S606" i="1103" s="1"/>
  <c r="S607" i="1103" s="1"/>
  <c r="S608" i="1103" s="1"/>
  <c r="S609" i="1103" s="1"/>
  <c r="S610" i="1103" s="1"/>
  <c r="S611" i="1103" s="1"/>
  <c r="S612" i="1103" s="1"/>
  <c r="S613" i="1103" s="1"/>
  <c r="S614" i="1103" s="1"/>
  <c r="S615" i="1103" s="1"/>
  <c r="S533" i="1103"/>
  <c r="S534" i="1103" s="1"/>
  <c r="S535" i="1103" s="1"/>
  <c r="S536" i="1103" s="1"/>
  <c r="S537" i="1103" s="1"/>
  <c r="S538" i="1103" s="1"/>
  <c r="S539" i="1103" s="1"/>
  <c r="S540" i="1103" s="1"/>
  <c r="S541" i="1103" s="1"/>
  <c r="S542" i="1103" s="1"/>
  <c r="S543" i="1103" s="1"/>
  <c r="S544" i="1103" s="1"/>
  <c r="S545" i="1103" s="1"/>
  <c r="S546" i="1103" s="1"/>
  <c r="S547" i="1103" s="1"/>
  <c r="S414" i="1103"/>
  <c r="S415" i="1103" s="1"/>
  <c r="S416" i="1103" s="1"/>
  <c r="S417" i="1103" s="1"/>
  <c r="S418" i="1103" s="1"/>
  <c r="S419" i="1103" s="1"/>
  <c r="S420" i="1103" s="1"/>
  <c r="S421" i="1103" s="1"/>
  <c r="S422" i="1103" s="1"/>
  <c r="S423" i="1103" s="1"/>
  <c r="S424" i="1103" s="1"/>
  <c r="S425" i="1103" s="1"/>
  <c r="S426" i="1103" s="1"/>
  <c r="S427" i="1103" s="1"/>
  <c r="S428" i="1103" s="1"/>
  <c r="S363" i="1103"/>
  <c r="S364" i="1103" s="1"/>
  <c r="S365" i="1103" s="1"/>
  <c r="S366" i="1103" s="1"/>
  <c r="S367" i="1103" s="1"/>
  <c r="S368" i="1103" s="1"/>
  <c r="S369" i="1103" s="1"/>
  <c r="S370" i="1103" s="1"/>
  <c r="S371" i="1103" s="1"/>
  <c r="S372" i="1103" s="1"/>
  <c r="S373" i="1103" s="1"/>
  <c r="S374" i="1103" s="1"/>
  <c r="S375" i="1103" s="1"/>
  <c r="S376" i="1103" s="1"/>
  <c r="S377" i="1103" s="1"/>
  <c r="S159" i="1103"/>
  <c r="S160" i="1103" s="1"/>
  <c r="S161" i="1103" s="1"/>
  <c r="S162" i="1103" s="1"/>
  <c r="S163" i="1103" s="1"/>
  <c r="S164" i="1103" s="1"/>
  <c r="S165" i="1103" s="1"/>
  <c r="S166" i="1103" s="1"/>
  <c r="S167" i="1103" s="1"/>
  <c r="S168" i="1103" s="1"/>
  <c r="S169" i="1103" s="1"/>
  <c r="S170" i="1103" s="1"/>
  <c r="S171" i="1103" s="1"/>
  <c r="S172" i="1103" s="1"/>
  <c r="S173" i="1103" s="1"/>
  <c r="S91" i="1103"/>
  <c r="S92" i="1103" s="1"/>
  <c r="S93" i="1103" s="1"/>
  <c r="S94" i="1103" s="1"/>
  <c r="S95" i="1103" s="1"/>
  <c r="S96" i="1103" s="1"/>
  <c r="S97" i="1103" s="1"/>
  <c r="S98" i="1103" s="1"/>
  <c r="S99" i="1103" s="1"/>
  <c r="S100" i="1103" s="1"/>
  <c r="S101" i="1103" s="1"/>
  <c r="S102" i="1103" s="1"/>
  <c r="S103" i="1103" s="1"/>
  <c r="S104" i="1103" s="1"/>
  <c r="S105" i="1103" s="1"/>
  <c r="S142" i="1103"/>
  <c r="S143" i="1103" s="1"/>
  <c r="S144" i="1103" s="1"/>
  <c r="S145" i="1103" s="1"/>
  <c r="S146" i="1103" s="1"/>
  <c r="S147" i="1103" s="1"/>
  <c r="S148" i="1103" s="1"/>
  <c r="S149" i="1103" s="1"/>
  <c r="S150" i="1103" s="1"/>
  <c r="S151" i="1103" s="1"/>
  <c r="S152" i="1103" s="1"/>
  <c r="S153" i="1103" s="1"/>
  <c r="S154" i="1103" s="1"/>
  <c r="S155" i="1103" s="1"/>
  <c r="S156" i="1103" s="1"/>
  <c r="S74" i="1103"/>
  <c r="S75" i="1103" s="1"/>
  <c r="S76" i="1103" s="1"/>
  <c r="S77" i="1103" s="1"/>
  <c r="S78" i="1103" s="1"/>
  <c r="S79" i="1103" s="1"/>
  <c r="S80" i="1103" s="1"/>
  <c r="S81" i="1103" s="1"/>
  <c r="S82" i="1103" s="1"/>
  <c r="S83" i="1103" s="1"/>
  <c r="S84" i="1103" s="1"/>
  <c r="S85" i="1103" s="1"/>
  <c r="S86" i="1103" s="1"/>
  <c r="S87" i="1103" s="1"/>
  <c r="S88" i="1103" s="1"/>
  <c r="S295" i="1103"/>
  <c r="S296" i="1103" s="1"/>
  <c r="S297" i="1103" s="1"/>
  <c r="S298" i="1103" s="1"/>
  <c r="S299" i="1103" s="1"/>
  <c r="S300" i="1103" s="1"/>
  <c r="S301" i="1103" s="1"/>
  <c r="S302" i="1103" s="1"/>
  <c r="S303" i="1103" s="1"/>
  <c r="S304" i="1103" s="1"/>
  <c r="S305" i="1103" s="1"/>
  <c r="S306" i="1103" s="1"/>
  <c r="S307" i="1103" s="1"/>
  <c r="S308" i="1103" s="1"/>
  <c r="S309" i="1103" s="1"/>
  <c r="S227" i="1103"/>
  <c r="S228" i="1103" s="1"/>
  <c r="S229" i="1103" s="1"/>
  <c r="S230" i="1103" s="1"/>
  <c r="S231" i="1103" s="1"/>
  <c r="S232" i="1103" s="1"/>
  <c r="S233" i="1103" s="1"/>
  <c r="S234" i="1103" s="1"/>
  <c r="S235" i="1103" s="1"/>
  <c r="S236" i="1103" s="1"/>
  <c r="S237" i="1103" s="1"/>
  <c r="S238" i="1103" s="1"/>
  <c r="S239" i="1103" s="1"/>
  <c r="S240" i="1103" s="1"/>
  <c r="S241" i="1103" s="1"/>
  <c r="K669" i="1103"/>
  <c r="K670" i="1103" s="1"/>
  <c r="K671" i="1103" s="1"/>
  <c r="K672" i="1103" s="1"/>
  <c r="K673" i="1103" s="1"/>
  <c r="K674" i="1103" s="1"/>
  <c r="K675" i="1103" s="1"/>
  <c r="K676" i="1103" s="1"/>
  <c r="K677" i="1103" s="1"/>
  <c r="K678" i="1103" s="1"/>
  <c r="K679" i="1103" s="1"/>
  <c r="K680" i="1103" s="1"/>
  <c r="K681" i="1103" s="1"/>
  <c r="K682" i="1103" s="1"/>
  <c r="K683" i="1103" s="1"/>
  <c r="K601" i="1103"/>
  <c r="K602" i="1103" s="1"/>
  <c r="K603" i="1103" s="1"/>
  <c r="K604" i="1103" s="1"/>
  <c r="K605" i="1103" s="1"/>
  <c r="K606" i="1103" s="1"/>
  <c r="K607" i="1103" s="1"/>
  <c r="K608" i="1103" s="1"/>
  <c r="K609" i="1103" s="1"/>
  <c r="K610" i="1103" s="1"/>
  <c r="K611" i="1103" s="1"/>
  <c r="K612" i="1103" s="1"/>
  <c r="K613" i="1103" s="1"/>
  <c r="K614" i="1103" s="1"/>
  <c r="K615" i="1103" s="1"/>
  <c r="K533" i="1103"/>
  <c r="K534" i="1103" s="1"/>
  <c r="K535" i="1103" s="1"/>
  <c r="K536" i="1103" s="1"/>
  <c r="K537" i="1103" s="1"/>
  <c r="K538" i="1103" s="1"/>
  <c r="K539" i="1103" s="1"/>
  <c r="K540" i="1103" s="1"/>
  <c r="K541" i="1103" s="1"/>
  <c r="K542" i="1103" s="1"/>
  <c r="K543" i="1103" s="1"/>
  <c r="K544" i="1103" s="1"/>
  <c r="K545" i="1103" s="1"/>
  <c r="K546" i="1103" s="1"/>
  <c r="K547" i="1103" s="1"/>
  <c r="K465" i="1103"/>
  <c r="K466" i="1103" s="1"/>
  <c r="K467" i="1103" s="1"/>
  <c r="K468" i="1103" s="1"/>
  <c r="K469" i="1103" s="1"/>
  <c r="K470" i="1103" s="1"/>
  <c r="K471" i="1103" s="1"/>
  <c r="K472" i="1103" s="1"/>
  <c r="K473" i="1103" s="1"/>
  <c r="K474" i="1103" s="1"/>
  <c r="K475" i="1103" s="1"/>
  <c r="K476" i="1103" s="1"/>
  <c r="K477" i="1103" s="1"/>
  <c r="K478" i="1103" s="1"/>
  <c r="K479" i="1103" s="1"/>
  <c r="K380" i="1103"/>
  <c r="K381" i="1103" s="1"/>
  <c r="K382" i="1103" s="1"/>
  <c r="K383" i="1103" s="1"/>
  <c r="K384" i="1103" s="1"/>
  <c r="K385" i="1103" s="1"/>
  <c r="K386" i="1103" s="1"/>
  <c r="K387" i="1103" s="1"/>
  <c r="K388" i="1103" s="1"/>
  <c r="K389" i="1103" s="1"/>
  <c r="K390" i="1103" s="1"/>
  <c r="K391" i="1103" s="1"/>
  <c r="K392" i="1103" s="1"/>
  <c r="K393" i="1103" s="1"/>
  <c r="K394" i="1103" s="1"/>
  <c r="K329" i="1103"/>
  <c r="K330" i="1103" s="1"/>
  <c r="K331" i="1103" s="1"/>
  <c r="K332" i="1103" s="1"/>
  <c r="K333" i="1103" s="1"/>
  <c r="K334" i="1103" s="1"/>
  <c r="K335" i="1103" s="1"/>
  <c r="K336" i="1103" s="1"/>
  <c r="K337" i="1103" s="1"/>
  <c r="K338" i="1103" s="1"/>
  <c r="K339" i="1103" s="1"/>
  <c r="K340" i="1103" s="1"/>
  <c r="K341" i="1103" s="1"/>
  <c r="K342" i="1103" s="1"/>
  <c r="K343" i="1103" s="1"/>
  <c r="K720" i="1103"/>
  <c r="K721" i="1103" s="1"/>
  <c r="K722" i="1103" s="1"/>
  <c r="K723" i="1103" s="1"/>
  <c r="K724" i="1103" s="1"/>
  <c r="K725" i="1103" s="1"/>
  <c r="K726" i="1103" s="1"/>
  <c r="K727" i="1103" s="1"/>
  <c r="K728" i="1103" s="1"/>
  <c r="K729" i="1103" s="1"/>
  <c r="K730" i="1103" s="1"/>
  <c r="K731" i="1103" s="1"/>
  <c r="K732" i="1103" s="1"/>
  <c r="K733" i="1103" s="1"/>
  <c r="K734" i="1103" s="1"/>
  <c r="K652" i="1103"/>
  <c r="K653" i="1103" s="1"/>
  <c r="K654" i="1103" s="1"/>
  <c r="K655" i="1103" s="1"/>
  <c r="K656" i="1103" s="1"/>
  <c r="K657" i="1103" s="1"/>
  <c r="K658" i="1103" s="1"/>
  <c r="K659" i="1103" s="1"/>
  <c r="K660" i="1103" s="1"/>
  <c r="K661" i="1103" s="1"/>
  <c r="K662" i="1103" s="1"/>
  <c r="K663" i="1103" s="1"/>
  <c r="K664" i="1103" s="1"/>
  <c r="K665" i="1103" s="1"/>
  <c r="K666" i="1103" s="1"/>
  <c r="K584" i="1103"/>
  <c r="K585" i="1103" s="1"/>
  <c r="K586" i="1103" s="1"/>
  <c r="K587" i="1103" s="1"/>
  <c r="K588" i="1103" s="1"/>
  <c r="K589" i="1103" s="1"/>
  <c r="K590" i="1103" s="1"/>
  <c r="K591" i="1103" s="1"/>
  <c r="K592" i="1103" s="1"/>
  <c r="K593" i="1103" s="1"/>
  <c r="K594" i="1103" s="1"/>
  <c r="K595" i="1103" s="1"/>
  <c r="K596" i="1103" s="1"/>
  <c r="K597" i="1103" s="1"/>
  <c r="K598" i="1103" s="1"/>
  <c r="K414" i="1103"/>
  <c r="K415" i="1103" s="1"/>
  <c r="K416" i="1103" s="1"/>
  <c r="K417" i="1103" s="1"/>
  <c r="K418" i="1103" s="1"/>
  <c r="K419" i="1103" s="1"/>
  <c r="K420" i="1103" s="1"/>
  <c r="K421" i="1103" s="1"/>
  <c r="K422" i="1103" s="1"/>
  <c r="K423" i="1103" s="1"/>
  <c r="K424" i="1103" s="1"/>
  <c r="K425" i="1103" s="1"/>
  <c r="K426" i="1103" s="1"/>
  <c r="K427" i="1103" s="1"/>
  <c r="K428" i="1103" s="1"/>
  <c r="K737" i="1103"/>
  <c r="K738" i="1103" s="1"/>
  <c r="K739" i="1103" s="1"/>
  <c r="K740" i="1103" s="1"/>
  <c r="K741" i="1103" s="1"/>
  <c r="K742" i="1103" s="1"/>
  <c r="K743" i="1103" s="1"/>
  <c r="K744" i="1103" s="1"/>
  <c r="K745" i="1103" s="1"/>
  <c r="K746" i="1103" s="1"/>
  <c r="K747" i="1103" s="1"/>
  <c r="K748" i="1103" s="1"/>
  <c r="K749" i="1103" s="1"/>
  <c r="K750" i="1103" s="1"/>
  <c r="K751" i="1103" s="1"/>
  <c r="K482" i="1103"/>
  <c r="K483" i="1103" s="1"/>
  <c r="K484" i="1103" s="1"/>
  <c r="K485" i="1103" s="1"/>
  <c r="K486" i="1103" s="1"/>
  <c r="K487" i="1103" s="1"/>
  <c r="K488" i="1103" s="1"/>
  <c r="K489" i="1103" s="1"/>
  <c r="K490" i="1103" s="1"/>
  <c r="K491" i="1103" s="1"/>
  <c r="K492" i="1103" s="1"/>
  <c r="K493" i="1103" s="1"/>
  <c r="K494" i="1103" s="1"/>
  <c r="K495" i="1103" s="1"/>
  <c r="K496" i="1103" s="1"/>
  <c r="K261" i="1103"/>
  <c r="K262" i="1103" s="1"/>
  <c r="K263" i="1103" s="1"/>
  <c r="K264" i="1103" s="1"/>
  <c r="K265" i="1103" s="1"/>
  <c r="K266" i="1103" s="1"/>
  <c r="K267" i="1103" s="1"/>
  <c r="K268" i="1103" s="1"/>
  <c r="K269" i="1103" s="1"/>
  <c r="K270" i="1103" s="1"/>
  <c r="K271" i="1103" s="1"/>
  <c r="K272" i="1103" s="1"/>
  <c r="K273" i="1103" s="1"/>
  <c r="K274" i="1103" s="1"/>
  <c r="K275" i="1103" s="1"/>
  <c r="K244" i="1103"/>
  <c r="K245" i="1103" s="1"/>
  <c r="K246" i="1103" s="1"/>
  <c r="K247" i="1103" s="1"/>
  <c r="K248" i="1103" s="1"/>
  <c r="K249" i="1103" s="1"/>
  <c r="K250" i="1103" s="1"/>
  <c r="K251" i="1103" s="1"/>
  <c r="K252" i="1103" s="1"/>
  <c r="K253" i="1103" s="1"/>
  <c r="K254" i="1103" s="1"/>
  <c r="K255" i="1103" s="1"/>
  <c r="K256" i="1103" s="1"/>
  <c r="K257" i="1103" s="1"/>
  <c r="K258" i="1103" s="1"/>
  <c r="K210" i="1103"/>
  <c r="K211" i="1103" s="1"/>
  <c r="K212" i="1103" s="1"/>
  <c r="K213" i="1103" s="1"/>
  <c r="K214" i="1103" s="1"/>
  <c r="K215" i="1103" s="1"/>
  <c r="K216" i="1103" s="1"/>
  <c r="K217" i="1103" s="1"/>
  <c r="K218" i="1103" s="1"/>
  <c r="K219" i="1103" s="1"/>
  <c r="K220" i="1103" s="1"/>
  <c r="K221" i="1103" s="1"/>
  <c r="K222" i="1103" s="1"/>
  <c r="K223" i="1103" s="1"/>
  <c r="K224" i="1103" s="1"/>
  <c r="K193" i="1103"/>
  <c r="K194" i="1103" s="1"/>
  <c r="K195" i="1103" s="1"/>
  <c r="K196" i="1103" s="1"/>
  <c r="K197" i="1103" s="1"/>
  <c r="K198" i="1103" s="1"/>
  <c r="K199" i="1103" s="1"/>
  <c r="K200" i="1103" s="1"/>
  <c r="K201" i="1103" s="1"/>
  <c r="K202" i="1103" s="1"/>
  <c r="K203" i="1103" s="1"/>
  <c r="K204" i="1103" s="1"/>
  <c r="K205" i="1103" s="1"/>
  <c r="K206" i="1103" s="1"/>
  <c r="K207" i="1103" s="1"/>
  <c r="K108" i="1103"/>
  <c r="K109" i="1103" s="1"/>
  <c r="K110" i="1103" s="1"/>
  <c r="K111" i="1103" s="1"/>
  <c r="K112" i="1103" s="1"/>
  <c r="K113" i="1103" s="1"/>
  <c r="K114" i="1103" s="1"/>
  <c r="K115" i="1103" s="1"/>
  <c r="K116" i="1103" s="1"/>
  <c r="K117" i="1103" s="1"/>
  <c r="K118" i="1103" s="1"/>
  <c r="K119" i="1103" s="1"/>
  <c r="K120" i="1103" s="1"/>
  <c r="K121" i="1103" s="1"/>
  <c r="K122" i="1103" s="1"/>
  <c r="K91" i="1103"/>
  <c r="K92" i="1103" s="1"/>
  <c r="K93" i="1103" s="1"/>
  <c r="K94" i="1103" s="1"/>
  <c r="K95" i="1103" s="1"/>
  <c r="K96" i="1103" s="1"/>
  <c r="K97" i="1103" s="1"/>
  <c r="K98" i="1103" s="1"/>
  <c r="K99" i="1103" s="1"/>
  <c r="K100" i="1103" s="1"/>
  <c r="K101" i="1103" s="1"/>
  <c r="K102" i="1103" s="1"/>
  <c r="K103" i="1103" s="1"/>
  <c r="K104" i="1103" s="1"/>
  <c r="K105" i="1103" s="1"/>
  <c r="K516" i="1103"/>
  <c r="K517" i="1103" s="1"/>
  <c r="K518" i="1103" s="1"/>
  <c r="K519" i="1103" s="1"/>
  <c r="K520" i="1103" s="1"/>
  <c r="K521" i="1103" s="1"/>
  <c r="K522" i="1103" s="1"/>
  <c r="K523" i="1103" s="1"/>
  <c r="K524" i="1103" s="1"/>
  <c r="K525" i="1103" s="1"/>
  <c r="K526" i="1103" s="1"/>
  <c r="K527" i="1103" s="1"/>
  <c r="K528" i="1103" s="1"/>
  <c r="K529" i="1103" s="1"/>
  <c r="K530" i="1103" s="1"/>
  <c r="K499" i="1103"/>
  <c r="K500" i="1103" s="1"/>
  <c r="K501" i="1103" s="1"/>
  <c r="K502" i="1103" s="1"/>
  <c r="K503" i="1103" s="1"/>
  <c r="K504" i="1103" s="1"/>
  <c r="K505" i="1103" s="1"/>
  <c r="K506" i="1103" s="1"/>
  <c r="K507" i="1103" s="1"/>
  <c r="K508" i="1103" s="1"/>
  <c r="K509" i="1103" s="1"/>
  <c r="K510" i="1103" s="1"/>
  <c r="K511" i="1103" s="1"/>
  <c r="K512" i="1103" s="1"/>
  <c r="K513" i="1103" s="1"/>
  <c r="K363" i="1103"/>
  <c r="K364" i="1103" s="1"/>
  <c r="K365" i="1103" s="1"/>
  <c r="K366" i="1103" s="1"/>
  <c r="K367" i="1103" s="1"/>
  <c r="K368" i="1103" s="1"/>
  <c r="K369" i="1103" s="1"/>
  <c r="K370" i="1103" s="1"/>
  <c r="K371" i="1103" s="1"/>
  <c r="K372" i="1103" s="1"/>
  <c r="K373" i="1103" s="1"/>
  <c r="K374" i="1103" s="1"/>
  <c r="K375" i="1103" s="1"/>
  <c r="K376" i="1103" s="1"/>
  <c r="K377" i="1103" s="1"/>
  <c r="K346" i="1103"/>
  <c r="K347" i="1103" s="1"/>
  <c r="K348" i="1103" s="1"/>
  <c r="K349" i="1103" s="1"/>
  <c r="K350" i="1103" s="1"/>
  <c r="K351" i="1103" s="1"/>
  <c r="K352" i="1103" s="1"/>
  <c r="K353" i="1103" s="1"/>
  <c r="K354" i="1103" s="1"/>
  <c r="K355" i="1103" s="1"/>
  <c r="K356" i="1103" s="1"/>
  <c r="K357" i="1103" s="1"/>
  <c r="K358" i="1103" s="1"/>
  <c r="K359" i="1103" s="1"/>
  <c r="K360" i="1103" s="1"/>
  <c r="K57" i="1103"/>
  <c r="K58" i="1103" s="1"/>
  <c r="K59" i="1103" s="1"/>
  <c r="K60" i="1103" s="1"/>
  <c r="K61" i="1103" s="1"/>
  <c r="K62" i="1103" s="1"/>
  <c r="K63" i="1103" s="1"/>
  <c r="K64" i="1103" s="1"/>
  <c r="K65" i="1103" s="1"/>
  <c r="K66" i="1103" s="1"/>
  <c r="K67" i="1103" s="1"/>
  <c r="K68" i="1103" s="1"/>
  <c r="K69" i="1103" s="1"/>
  <c r="K70" i="1103" s="1"/>
  <c r="K71" i="1103" s="1"/>
  <c r="K686" i="1103"/>
  <c r="K687" i="1103" s="1"/>
  <c r="K688" i="1103" s="1"/>
  <c r="K689" i="1103" s="1"/>
  <c r="K690" i="1103" s="1"/>
  <c r="K691" i="1103" s="1"/>
  <c r="K692" i="1103" s="1"/>
  <c r="K693" i="1103" s="1"/>
  <c r="K694" i="1103" s="1"/>
  <c r="K695" i="1103" s="1"/>
  <c r="K696" i="1103" s="1"/>
  <c r="K697" i="1103" s="1"/>
  <c r="K698" i="1103" s="1"/>
  <c r="K699" i="1103" s="1"/>
  <c r="K700" i="1103" s="1"/>
  <c r="K703" i="1103"/>
  <c r="K704" i="1103" s="1"/>
  <c r="K705" i="1103" s="1"/>
  <c r="K706" i="1103" s="1"/>
  <c r="K707" i="1103" s="1"/>
  <c r="K708" i="1103" s="1"/>
  <c r="K709" i="1103" s="1"/>
  <c r="K710" i="1103" s="1"/>
  <c r="K711" i="1103" s="1"/>
  <c r="K712" i="1103" s="1"/>
  <c r="K713" i="1103" s="1"/>
  <c r="K714" i="1103" s="1"/>
  <c r="K715" i="1103" s="1"/>
  <c r="K716" i="1103" s="1"/>
  <c r="K717" i="1103" s="1"/>
  <c r="K635" i="1103"/>
  <c r="K636" i="1103" s="1"/>
  <c r="K637" i="1103" s="1"/>
  <c r="K638" i="1103" s="1"/>
  <c r="K639" i="1103" s="1"/>
  <c r="K640" i="1103" s="1"/>
  <c r="K641" i="1103" s="1"/>
  <c r="K642" i="1103" s="1"/>
  <c r="K643" i="1103" s="1"/>
  <c r="K644" i="1103" s="1"/>
  <c r="K645" i="1103" s="1"/>
  <c r="K646" i="1103" s="1"/>
  <c r="K647" i="1103" s="1"/>
  <c r="K648" i="1103" s="1"/>
  <c r="K649" i="1103" s="1"/>
  <c r="K567" i="1103"/>
  <c r="K568" i="1103" s="1"/>
  <c r="K569" i="1103" s="1"/>
  <c r="K570" i="1103" s="1"/>
  <c r="K571" i="1103" s="1"/>
  <c r="K572" i="1103" s="1"/>
  <c r="K573" i="1103" s="1"/>
  <c r="K574" i="1103" s="1"/>
  <c r="K575" i="1103" s="1"/>
  <c r="K576" i="1103" s="1"/>
  <c r="K577" i="1103" s="1"/>
  <c r="K578" i="1103" s="1"/>
  <c r="K579" i="1103" s="1"/>
  <c r="K580" i="1103" s="1"/>
  <c r="K581" i="1103" s="1"/>
  <c r="K448" i="1103"/>
  <c r="K449" i="1103" s="1"/>
  <c r="K450" i="1103" s="1"/>
  <c r="K451" i="1103" s="1"/>
  <c r="K452" i="1103" s="1"/>
  <c r="K453" i="1103" s="1"/>
  <c r="K454" i="1103" s="1"/>
  <c r="K455" i="1103" s="1"/>
  <c r="K456" i="1103" s="1"/>
  <c r="K457" i="1103" s="1"/>
  <c r="K458" i="1103" s="1"/>
  <c r="K459" i="1103" s="1"/>
  <c r="K460" i="1103" s="1"/>
  <c r="K461" i="1103" s="1"/>
  <c r="K462" i="1103" s="1"/>
  <c r="K312" i="1103"/>
  <c r="K313" i="1103" s="1"/>
  <c r="K314" i="1103" s="1"/>
  <c r="K315" i="1103" s="1"/>
  <c r="K316" i="1103" s="1"/>
  <c r="K317" i="1103" s="1"/>
  <c r="K318" i="1103" s="1"/>
  <c r="K319" i="1103" s="1"/>
  <c r="K320" i="1103" s="1"/>
  <c r="K321" i="1103" s="1"/>
  <c r="K322" i="1103" s="1"/>
  <c r="K323" i="1103" s="1"/>
  <c r="K324" i="1103" s="1"/>
  <c r="K325" i="1103" s="1"/>
  <c r="K326" i="1103" s="1"/>
  <c r="K295" i="1103"/>
  <c r="K296" i="1103" s="1"/>
  <c r="K297" i="1103" s="1"/>
  <c r="K298" i="1103" s="1"/>
  <c r="K299" i="1103" s="1"/>
  <c r="K300" i="1103" s="1"/>
  <c r="K301" i="1103" s="1"/>
  <c r="K302" i="1103" s="1"/>
  <c r="K303" i="1103" s="1"/>
  <c r="K304" i="1103" s="1"/>
  <c r="K305" i="1103" s="1"/>
  <c r="K306" i="1103" s="1"/>
  <c r="K307" i="1103" s="1"/>
  <c r="K308" i="1103" s="1"/>
  <c r="K309" i="1103" s="1"/>
  <c r="K227" i="1103"/>
  <c r="K228" i="1103" s="1"/>
  <c r="K229" i="1103" s="1"/>
  <c r="K230" i="1103" s="1"/>
  <c r="K231" i="1103" s="1"/>
  <c r="K232" i="1103" s="1"/>
  <c r="K233" i="1103" s="1"/>
  <c r="K234" i="1103" s="1"/>
  <c r="K235" i="1103" s="1"/>
  <c r="K236" i="1103" s="1"/>
  <c r="K237" i="1103" s="1"/>
  <c r="K238" i="1103" s="1"/>
  <c r="K239" i="1103" s="1"/>
  <c r="K240" i="1103" s="1"/>
  <c r="K241" i="1103" s="1"/>
  <c r="K142" i="1103"/>
  <c r="K143" i="1103" s="1"/>
  <c r="K144" i="1103" s="1"/>
  <c r="K145" i="1103" s="1"/>
  <c r="K146" i="1103" s="1"/>
  <c r="K147" i="1103" s="1"/>
  <c r="K148" i="1103" s="1"/>
  <c r="K149" i="1103" s="1"/>
  <c r="K150" i="1103" s="1"/>
  <c r="K151" i="1103" s="1"/>
  <c r="K152" i="1103" s="1"/>
  <c r="K153" i="1103" s="1"/>
  <c r="K154" i="1103" s="1"/>
  <c r="K155" i="1103" s="1"/>
  <c r="K156" i="1103" s="1"/>
  <c r="K74" i="1103"/>
  <c r="K75" i="1103" s="1"/>
  <c r="K76" i="1103" s="1"/>
  <c r="K77" i="1103" s="1"/>
  <c r="K78" i="1103" s="1"/>
  <c r="K79" i="1103" s="1"/>
  <c r="K80" i="1103" s="1"/>
  <c r="K81" i="1103" s="1"/>
  <c r="K82" i="1103" s="1"/>
  <c r="K83" i="1103" s="1"/>
  <c r="K84" i="1103" s="1"/>
  <c r="K85" i="1103" s="1"/>
  <c r="K86" i="1103" s="1"/>
  <c r="K87" i="1103" s="1"/>
  <c r="K88" i="1103" s="1"/>
  <c r="K278" i="1103"/>
  <c r="K279" i="1103" s="1"/>
  <c r="K280" i="1103" s="1"/>
  <c r="K281" i="1103" s="1"/>
  <c r="K282" i="1103" s="1"/>
  <c r="K283" i="1103" s="1"/>
  <c r="K284" i="1103" s="1"/>
  <c r="K285" i="1103" s="1"/>
  <c r="K286" i="1103" s="1"/>
  <c r="K287" i="1103" s="1"/>
  <c r="K288" i="1103" s="1"/>
  <c r="K289" i="1103" s="1"/>
  <c r="K290" i="1103" s="1"/>
  <c r="K291" i="1103" s="1"/>
  <c r="K292" i="1103" s="1"/>
  <c r="K176" i="1103"/>
  <c r="K177" i="1103" s="1"/>
  <c r="K178" i="1103" s="1"/>
  <c r="K179" i="1103" s="1"/>
  <c r="K180" i="1103" s="1"/>
  <c r="K181" i="1103" s="1"/>
  <c r="K182" i="1103" s="1"/>
  <c r="K183" i="1103" s="1"/>
  <c r="K184" i="1103" s="1"/>
  <c r="K185" i="1103" s="1"/>
  <c r="K186" i="1103" s="1"/>
  <c r="K187" i="1103" s="1"/>
  <c r="K188" i="1103" s="1"/>
  <c r="K189" i="1103" s="1"/>
  <c r="K190" i="1103" s="1"/>
  <c r="K125" i="1103"/>
  <c r="K126" i="1103" s="1"/>
  <c r="K127" i="1103" s="1"/>
  <c r="K128" i="1103" s="1"/>
  <c r="K129" i="1103" s="1"/>
  <c r="K130" i="1103" s="1"/>
  <c r="K131" i="1103" s="1"/>
  <c r="K132" i="1103" s="1"/>
  <c r="K133" i="1103" s="1"/>
  <c r="K134" i="1103" s="1"/>
  <c r="K135" i="1103" s="1"/>
  <c r="K136" i="1103" s="1"/>
  <c r="K137" i="1103" s="1"/>
  <c r="K138" i="1103" s="1"/>
  <c r="K139" i="1103" s="1"/>
  <c r="K618" i="1103"/>
  <c r="K619" i="1103" s="1"/>
  <c r="K620" i="1103" s="1"/>
  <c r="K621" i="1103" s="1"/>
  <c r="K622" i="1103" s="1"/>
  <c r="K623" i="1103" s="1"/>
  <c r="K624" i="1103" s="1"/>
  <c r="K625" i="1103" s="1"/>
  <c r="K626" i="1103" s="1"/>
  <c r="K627" i="1103" s="1"/>
  <c r="K628" i="1103" s="1"/>
  <c r="K629" i="1103" s="1"/>
  <c r="K630" i="1103" s="1"/>
  <c r="K631" i="1103" s="1"/>
  <c r="K632" i="1103" s="1"/>
  <c r="K550" i="1103"/>
  <c r="K551" i="1103" s="1"/>
  <c r="K552" i="1103" s="1"/>
  <c r="K553" i="1103" s="1"/>
  <c r="K554" i="1103" s="1"/>
  <c r="K555" i="1103" s="1"/>
  <c r="K556" i="1103" s="1"/>
  <c r="K557" i="1103" s="1"/>
  <c r="K558" i="1103" s="1"/>
  <c r="K559" i="1103" s="1"/>
  <c r="K560" i="1103" s="1"/>
  <c r="K561" i="1103" s="1"/>
  <c r="K562" i="1103" s="1"/>
  <c r="K563" i="1103" s="1"/>
  <c r="K564" i="1103" s="1"/>
  <c r="K431" i="1103"/>
  <c r="K432" i="1103" s="1"/>
  <c r="K433" i="1103" s="1"/>
  <c r="K434" i="1103" s="1"/>
  <c r="K435" i="1103" s="1"/>
  <c r="K436" i="1103" s="1"/>
  <c r="K437" i="1103" s="1"/>
  <c r="K438" i="1103" s="1"/>
  <c r="K439" i="1103" s="1"/>
  <c r="K440" i="1103" s="1"/>
  <c r="K441" i="1103" s="1"/>
  <c r="K442" i="1103" s="1"/>
  <c r="K443" i="1103" s="1"/>
  <c r="K444" i="1103" s="1"/>
  <c r="K445" i="1103" s="1"/>
  <c r="K397" i="1103"/>
  <c r="K398" i="1103" s="1"/>
  <c r="K399" i="1103" s="1"/>
  <c r="K400" i="1103" s="1"/>
  <c r="K401" i="1103" s="1"/>
  <c r="K402" i="1103" s="1"/>
  <c r="K403" i="1103" s="1"/>
  <c r="K404" i="1103" s="1"/>
  <c r="K405" i="1103" s="1"/>
  <c r="K406" i="1103" s="1"/>
  <c r="K407" i="1103" s="1"/>
  <c r="K408" i="1103" s="1"/>
  <c r="K409" i="1103" s="1"/>
  <c r="K410" i="1103" s="1"/>
  <c r="K411" i="1103" s="1"/>
  <c r="K159" i="1103"/>
  <c r="K160" i="1103" s="1"/>
  <c r="K161" i="1103" s="1"/>
  <c r="K162" i="1103" s="1"/>
  <c r="K163" i="1103" s="1"/>
  <c r="K164" i="1103" s="1"/>
  <c r="K165" i="1103" s="1"/>
  <c r="K166" i="1103" s="1"/>
  <c r="K167" i="1103" s="1"/>
  <c r="K168" i="1103" s="1"/>
  <c r="K169" i="1103" s="1"/>
  <c r="K170" i="1103" s="1"/>
  <c r="K171" i="1103" s="1"/>
  <c r="K172" i="1103" s="1"/>
  <c r="K173" i="1103" s="1"/>
  <c r="W22" i="261"/>
  <c r="W175" i="261"/>
  <c r="W176" i="261" s="1"/>
  <c r="W177" i="261" s="1"/>
  <c r="W178" i="261" s="1"/>
  <c r="W179" i="261" s="1"/>
  <c r="W180" i="261" s="1"/>
  <c r="W181" i="261" s="1"/>
  <c r="W182" i="261" s="1"/>
  <c r="W183" i="261" s="1"/>
  <c r="W184" i="261" s="1"/>
  <c r="W185" i="261" s="1"/>
  <c r="W186" i="261" s="1"/>
  <c r="W187" i="261" s="1"/>
  <c r="W188" i="261" s="1"/>
  <c r="W189" i="261" s="1"/>
  <c r="W345" i="261"/>
  <c r="W346" i="261" s="1"/>
  <c r="W347" i="261" s="1"/>
  <c r="W348" i="261" s="1"/>
  <c r="W349" i="261" s="1"/>
  <c r="W350" i="261" s="1"/>
  <c r="W351" i="261" s="1"/>
  <c r="W352" i="261" s="1"/>
  <c r="W353" i="261" s="1"/>
  <c r="W354" i="261" s="1"/>
  <c r="W355" i="261" s="1"/>
  <c r="W356" i="261" s="1"/>
  <c r="W357" i="261" s="1"/>
  <c r="W358" i="261" s="1"/>
  <c r="W359" i="261" s="1"/>
  <c r="W277" i="261"/>
  <c r="W278" i="261" s="1"/>
  <c r="W279" i="261" s="1"/>
  <c r="W280" i="261" s="1"/>
  <c r="W281" i="261" s="1"/>
  <c r="W282" i="261" s="1"/>
  <c r="W283" i="261" s="1"/>
  <c r="W284" i="261" s="1"/>
  <c r="W285" i="261" s="1"/>
  <c r="W286" i="261" s="1"/>
  <c r="W287" i="261" s="1"/>
  <c r="W288" i="261" s="1"/>
  <c r="W289" i="261" s="1"/>
  <c r="W290" i="261" s="1"/>
  <c r="W291" i="261" s="1"/>
  <c r="W107" i="261"/>
  <c r="W108" i="261" s="1"/>
  <c r="W109" i="261" s="1"/>
  <c r="W110" i="261" s="1"/>
  <c r="W111" i="261" s="1"/>
  <c r="W112" i="261" s="1"/>
  <c r="W113" i="261" s="1"/>
  <c r="W114" i="261" s="1"/>
  <c r="W115" i="261" s="1"/>
  <c r="W116" i="261" s="1"/>
  <c r="W117" i="261" s="1"/>
  <c r="W118" i="261" s="1"/>
  <c r="W119" i="261" s="1"/>
  <c r="W120" i="261" s="1"/>
  <c r="W121" i="261" s="1"/>
  <c r="W124" i="261"/>
  <c r="W125" i="261" s="1"/>
  <c r="W126" i="261" s="1"/>
  <c r="W127" i="261" s="1"/>
  <c r="W128" i="261" s="1"/>
  <c r="W129" i="261" s="1"/>
  <c r="W130" i="261" s="1"/>
  <c r="W131" i="261" s="1"/>
  <c r="W132" i="261" s="1"/>
  <c r="W133" i="261" s="1"/>
  <c r="W134" i="261" s="1"/>
  <c r="W135" i="261" s="1"/>
  <c r="W136" i="261" s="1"/>
  <c r="W137" i="261" s="1"/>
  <c r="W138" i="261" s="1"/>
  <c r="W328" i="261"/>
  <c r="W329" i="261" s="1"/>
  <c r="W330" i="261" s="1"/>
  <c r="W331" i="261" s="1"/>
  <c r="W332" i="261" s="1"/>
  <c r="W333" i="261" s="1"/>
  <c r="W334" i="261" s="1"/>
  <c r="W335" i="261" s="1"/>
  <c r="W336" i="261" s="1"/>
  <c r="W337" i="261" s="1"/>
  <c r="W338" i="261" s="1"/>
  <c r="W339" i="261" s="1"/>
  <c r="W340" i="261" s="1"/>
  <c r="W341" i="261" s="1"/>
  <c r="W342" i="261" s="1"/>
  <c r="W260" i="261"/>
  <c r="W261" i="261" s="1"/>
  <c r="W262" i="261" s="1"/>
  <c r="W263" i="261" s="1"/>
  <c r="W264" i="261" s="1"/>
  <c r="W265" i="261" s="1"/>
  <c r="W266" i="261" s="1"/>
  <c r="W267" i="261" s="1"/>
  <c r="W268" i="261" s="1"/>
  <c r="W269" i="261" s="1"/>
  <c r="W270" i="261" s="1"/>
  <c r="W271" i="261" s="1"/>
  <c r="W272" i="261" s="1"/>
  <c r="W273" i="261" s="1"/>
  <c r="W274" i="261" s="1"/>
  <c r="W158" i="261"/>
  <c r="W159" i="261" s="1"/>
  <c r="W160" i="261" s="1"/>
  <c r="W161" i="261" s="1"/>
  <c r="W162" i="261" s="1"/>
  <c r="W163" i="261" s="1"/>
  <c r="W164" i="261" s="1"/>
  <c r="W165" i="261" s="1"/>
  <c r="W166" i="261" s="1"/>
  <c r="W167" i="261" s="1"/>
  <c r="W168" i="261" s="1"/>
  <c r="W169" i="261" s="1"/>
  <c r="W170" i="261" s="1"/>
  <c r="W171" i="261" s="1"/>
  <c r="W172" i="261" s="1"/>
  <c r="W311" i="261"/>
  <c r="W312" i="261" s="1"/>
  <c r="W313" i="261" s="1"/>
  <c r="W314" i="261" s="1"/>
  <c r="W315" i="261" s="1"/>
  <c r="W316" i="261" s="1"/>
  <c r="W317" i="261" s="1"/>
  <c r="W318" i="261" s="1"/>
  <c r="W319" i="261" s="1"/>
  <c r="W320" i="261" s="1"/>
  <c r="W321" i="261" s="1"/>
  <c r="W322" i="261" s="1"/>
  <c r="W323" i="261" s="1"/>
  <c r="W324" i="261" s="1"/>
  <c r="W325" i="261" s="1"/>
  <c r="W243" i="261"/>
  <c r="W244" i="261" s="1"/>
  <c r="W245" i="261" s="1"/>
  <c r="W246" i="261" s="1"/>
  <c r="W247" i="261" s="1"/>
  <c r="W248" i="261" s="1"/>
  <c r="W249" i="261" s="1"/>
  <c r="W250" i="261" s="1"/>
  <c r="W251" i="261" s="1"/>
  <c r="W252" i="261" s="1"/>
  <c r="W253" i="261" s="1"/>
  <c r="W254" i="261" s="1"/>
  <c r="W255" i="261" s="1"/>
  <c r="W256" i="261" s="1"/>
  <c r="W257" i="261" s="1"/>
  <c r="W141" i="261"/>
  <c r="W142" i="261" s="1"/>
  <c r="W143" i="261" s="1"/>
  <c r="W144" i="261" s="1"/>
  <c r="W145" i="261" s="1"/>
  <c r="W146" i="261" s="1"/>
  <c r="W147" i="261" s="1"/>
  <c r="W148" i="261" s="1"/>
  <c r="W149" i="261" s="1"/>
  <c r="W150" i="261" s="1"/>
  <c r="W151" i="261" s="1"/>
  <c r="W152" i="261" s="1"/>
  <c r="W153" i="261" s="1"/>
  <c r="W154" i="261" s="1"/>
  <c r="W155" i="261" s="1"/>
  <c r="W294" i="261"/>
  <c r="W295" i="261" s="1"/>
  <c r="W296" i="261" s="1"/>
  <c r="W297" i="261" s="1"/>
  <c r="W298" i="261" s="1"/>
  <c r="W299" i="261" s="1"/>
  <c r="W300" i="261" s="1"/>
  <c r="W301" i="261" s="1"/>
  <c r="W302" i="261" s="1"/>
  <c r="W303" i="261" s="1"/>
  <c r="W304" i="261" s="1"/>
  <c r="W305" i="261" s="1"/>
  <c r="W306" i="261" s="1"/>
  <c r="W307" i="261" s="1"/>
  <c r="W308" i="261" s="1"/>
  <c r="W226" i="261"/>
  <c r="W227" i="261" s="1"/>
  <c r="W228" i="261" s="1"/>
  <c r="W229" i="261" s="1"/>
  <c r="W230" i="261" s="1"/>
  <c r="W231" i="261" s="1"/>
  <c r="W232" i="261" s="1"/>
  <c r="W233" i="261" s="1"/>
  <c r="W234" i="261" s="1"/>
  <c r="W235" i="261" s="1"/>
  <c r="W236" i="261" s="1"/>
  <c r="W237" i="261" s="1"/>
  <c r="W238" i="261" s="1"/>
  <c r="W239" i="261" s="1"/>
  <c r="W240" i="261" s="1"/>
  <c r="O720" i="1103"/>
  <c r="O721" i="1103" s="1"/>
  <c r="O722" i="1103" s="1"/>
  <c r="O723" i="1103" s="1"/>
  <c r="O724" i="1103" s="1"/>
  <c r="O725" i="1103" s="1"/>
  <c r="O726" i="1103" s="1"/>
  <c r="O727" i="1103" s="1"/>
  <c r="O728" i="1103" s="1"/>
  <c r="O729" i="1103" s="1"/>
  <c r="O730" i="1103" s="1"/>
  <c r="O731" i="1103" s="1"/>
  <c r="O732" i="1103" s="1"/>
  <c r="O733" i="1103" s="1"/>
  <c r="O734" i="1103" s="1"/>
  <c r="O652" i="1103"/>
  <c r="O653" i="1103" s="1"/>
  <c r="O654" i="1103" s="1"/>
  <c r="O655" i="1103" s="1"/>
  <c r="O656" i="1103" s="1"/>
  <c r="O657" i="1103" s="1"/>
  <c r="O658" i="1103" s="1"/>
  <c r="O659" i="1103" s="1"/>
  <c r="O660" i="1103" s="1"/>
  <c r="O661" i="1103" s="1"/>
  <c r="O662" i="1103" s="1"/>
  <c r="O663" i="1103" s="1"/>
  <c r="O664" i="1103" s="1"/>
  <c r="O665" i="1103" s="1"/>
  <c r="O666" i="1103" s="1"/>
  <c r="O584" i="1103"/>
  <c r="O585" i="1103" s="1"/>
  <c r="O586" i="1103" s="1"/>
  <c r="O587" i="1103" s="1"/>
  <c r="O588" i="1103" s="1"/>
  <c r="O589" i="1103" s="1"/>
  <c r="O590" i="1103" s="1"/>
  <c r="O591" i="1103" s="1"/>
  <c r="O592" i="1103" s="1"/>
  <c r="O593" i="1103" s="1"/>
  <c r="O594" i="1103" s="1"/>
  <c r="O595" i="1103" s="1"/>
  <c r="O596" i="1103" s="1"/>
  <c r="O597" i="1103" s="1"/>
  <c r="O598" i="1103" s="1"/>
  <c r="O414" i="1103"/>
  <c r="O415" i="1103" s="1"/>
  <c r="O416" i="1103" s="1"/>
  <c r="O417" i="1103" s="1"/>
  <c r="O418" i="1103" s="1"/>
  <c r="O419" i="1103" s="1"/>
  <c r="O420" i="1103" s="1"/>
  <c r="O421" i="1103" s="1"/>
  <c r="O422" i="1103" s="1"/>
  <c r="O423" i="1103" s="1"/>
  <c r="O424" i="1103" s="1"/>
  <c r="O425" i="1103" s="1"/>
  <c r="O426" i="1103" s="1"/>
  <c r="O427" i="1103" s="1"/>
  <c r="O428" i="1103" s="1"/>
  <c r="O363" i="1103"/>
  <c r="O364" i="1103" s="1"/>
  <c r="O365" i="1103" s="1"/>
  <c r="O366" i="1103" s="1"/>
  <c r="O367" i="1103" s="1"/>
  <c r="O368" i="1103" s="1"/>
  <c r="O369" i="1103" s="1"/>
  <c r="O370" i="1103" s="1"/>
  <c r="O371" i="1103" s="1"/>
  <c r="O372" i="1103" s="1"/>
  <c r="O373" i="1103" s="1"/>
  <c r="O374" i="1103" s="1"/>
  <c r="O375" i="1103" s="1"/>
  <c r="O376" i="1103" s="1"/>
  <c r="O377" i="1103" s="1"/>
  <c r="O312" i="1103"/>
  <c r="O313" i="1103" s="1"/>
  <c r="O314" i="1103" s="1"/>
  <c r="O315" i="1103" s="1"/>
  <c r="O316" i="1103" s="1"/>
  <c r="O317" i="1103" s="1"/>
  <c r="O318" i="1103" s="1"/>
  <c r="O319" i="1103" s="1"/>
  <c r="O320" i="1103" s="1"/>
  <c r="O321" i="1103" s="1"/>
  <c r="O322" i="1103" s="1"/>
  <c r="O323" i="1103" s="1"/>
  <c r="O324" i="1103" s="1"/>
  <c r="O325" i="1103" s="1"/>
  <c r="O326" i="1103" s="1"/>
  <c r="O737" i="1103"/>
  <c r="O738" i="1103" s="1"/>
  <c r="O739" i="1103" s="1"/>
  <c r="O740" i="1103" s="1"/>
  <c r="O741" i="1103" s="1"/>
  <c r="O742" i="1103" s="1"/>
  <c r="O743" i="1103" s="1"/>
  <c r="O744" i="1103" s="1"/>
  <c r="O745" i="1103" s="1"/>
  <c r="O746" i="1103" s="1"/>
  <c r="O747" i="1103" s="1"/>
  <c r="O748" i="1103" s="1"/>
  <c r="O749" i="1103" s="1"/>
  <c r="O750" i="1103" s="1"/>
  <c r="O751" i="1103" s="1"/>
  <c r="O703" i="1103"/>
  <c r="O704" i="1103" s="1"/>
  <c r="O705" i="1103" s="1"/>
  <c r="O706" i="1103" s="1"/>
  <c r="O707" i="1103" s="1"/>
  <c r="O708" i="1103" s="1"/>
  <c r="O709" i="1103" s="1"/>
  <c r="O710" i="1103" s="1"/>
  <c r="O711" i="1103" s="1"/>
  <c r="O712" i="1103" s="1"/>
  <c r="O713" i="1103" s="1"/>
  <c r="O714" i="1103" s="1"/>
  <c r="O715" i="1103" s="1"/>
  <c r="O716" i="1103" s="1"/>
  <c r="O717" i="1103" s="1"/>
  <c r="O635" i="1103"/>
  <c r="O636" i="1103" s="1"/>
  <c r="O637" i="1103" s="1"/>
  <c r="O638" i="1103" s="1"/>
  <c r="O639" i="1103" s="1"/>
  <c r="O640" i="1103" s="1"/>
  <c r="O641" i="1103" s="1"/>
  <c r="O642" i="1103" s="1"/>
  <c r="O643" i="1103" s="1"/>
  <c r="O644" i="1103" s="1"/>
  <c r="O645" i="1103" s="1"/>
  <c r="O646" i="1103" s="1"/>
  <c r="O647" i="1103" s="1"/>
  <c r="O648" i="1103" s="1"/>
  <c r="O649" i="1103" s="1"/>
  <c r="O567" i="1103"/>
  <c r="O568" i="1103" s="1"/>
  <c r="O569" i="1103" s="1"/>
  <c r="O570" i="1103" s="1"/>
  <c r="O571" i="1103" s="1"/>
  <c r="O572" i="1103" s="1"/>
  <c r="O573" i="1103" s="1"/>
  <c r="O574" i="1103" s="1"/>
  <c r="O575" i="1103" s="1"/>
  <c r="O576" i="1103" s="1"/>
  <c r="O577" i="1103" s="1"/>
  <c r="O578" i="1103" s="1"/>
  <c r="O579" i="1103" s="1"/>
  <c r="O580" i="1103" s="1"/>
  <c r="O581" i="1103" s="1"/>
  <c r="O516" i="1103"/>
  <c r="O517" i="1103" s="1"/>
  <c r="O518" i="1103" s="1"/>
  <c r="O519" i="1103" s="1"/>
  <c r="O520" i="1103" s="1"/>
  <c r="O521" i="1103" s="1"/>
  <c r="O522" i="1103" s="1"/>
  <c r="O523" i="1103" s="1"/>
  <c r="O524" i="1103" s="1"/>
  <c r="O525" i="1103" s="1"/>
  <c r="O526" i="1103" s="1"/>
  <c r="O527" i="1103" s="1"/>
  <c r="O528" i="1103" s="1"/>
  <c r="O529" i="1103" s="1"/>
  <c r="O530" i="1103" s="1"/>
  <c r="O499" i="1103"/>
  <c r="O500" i="1103" s="1"/>
  <c r="O501" i="1103" s="1"/>
  <c r="O502" i="1103" s="1"/>
  <c r="O503" i="1103" s="1"/>
  <c r="O504" i="1103" s="1"/>
  <c r="O505" i="1103" s="1"/>
  <c r="O506" i="1103" s="1"/>
  <c r="O507" i="1103" s="1"/>
  <c r="O508" i="1103" s="1"/>
  <c r="O509" i="1103" s="1"/>
  <c r="O510" i="1103" s="1"/>
  <c r="O511" i="1103" s="1"/>
  <c r="O512" i="1103" s="1"/>
  <c r="O513" i="1103" s="1"/>
  <c r="O448" i="1103"/>
  <c r="O449" i="1103" s="1"/>
  <c r="O450" i="1103" s="1"/>
  <c r="O451" i="1103" s="1"/>
  <c r="O452" i="1103" s="1"/>
  <c r="O453" i="1103" s="1"/>
  <c r="O454" i="1103" s="1"/>
  <c r="O455" i="1103" s="1"/>
  <c r="O456" i="1103" s="1"/>
  <c r="O457" i="1103" s="1"/>
  <c r="O458" i="1103" s="1"/>
  <c r="O459" i="1103" s="1"/>
  <c r="O460" i="1103" s="1"/>
  <c r="O461" i="1103" s="1"/>
  <c r="O462" i="1103" s="1"/>
  <c r="O295" i="1103"/>
  <c r="O296" i="1103" s="1"/>
  <c r="O297" i="1103" s="1"/>
  <c r="O298" i="1103" s="1"/>
  <c r="O299" i="1103" s="1"/>
  <c r="O300" i="1103" s="1"/>
  <c r="O301" i="1103" s="1"/>
  <c r="O302" i="1103" s="1"/>
  <c r="O303" i="1103" s="1"/>
  <c r="O304" i="1103" s="1"/>
  <c r="O305" i="1103" s="1"/>
  <c r="O306" i="1103" s="1"/>
  <c r="O307" i="1103" s="1"/>
  <c r="O308" i="1103" s="1"/>
  <c r="O309" i="1103" s="1"/>
  <c r="O227" i="1103"/>
  <c r="O228" i="1103" s="1"/>
  <c r="O229" i="1103" s="1"/>
  <c r="O230" i="1103" s="1"/>
  <c r="O231" i="1103" s="1"/>
  <c r="O232" i="1103" s="1"/>
  <c r="O233" i="1103" s="1"/>
  <c r="O234" i="1103" s="1"/>
  <c r="O235" i="1103" s="1"/>
  <c r="O236" i="1103" s="1"/>
  <c r="O237" i="1103" s="1"/>
  <c r="O238" i="1103" s="1"/>
  <c r="O239" i="1103" s="1"/>
  <c r="O240" i="1103" s="1"/>
  <c r="O241" i="1103" s="1"/>
  <c r="O142" i="1103"/>
  <c r="O143" i="1103" s="1"/>
  <c r="O144" i="1103" s="1"/>
  <c r="O145" i="1103" s="1"/>
  <c r="O146" i="1103" s="1"/>
  <c r="O147" i="1103" s="1"/>
  <c r="O148" i="1103" s="1"/>
  <c r="O149" i="1103" s="1"/>
  <c r="O150" i="1103" s="1"/>
  <c r="O151" i="1103" s="1"/>
  <c r="O152" i="1103" s="1"/>
  <c r="O153" i="1103" s="1"/>
  <c r="O154" i="1103" s="1"/>
  <c r="O155" i="1103" s="1"/>
  <c r="O156" i="1103" s="1"/>
  <c r="O74" i="1103"/>
  <c r="O75" i="1103" s="1"/>
  <c r="O76" i="1103" s="1"/>
  <c r="O77" i="1103" s="1"/>
  <c r="O78" i="1103" s="1"/>
  <c r="O79" i="1103" s="1"/>
  <c r="O80" i="1103" s="1"/>
  <c r="O81" i="1103" s="1"/>
  <c r="O82" i="1103" s="1"/>
  <c r="O83" i="1103" s="1"/>
  <c r="O84" i="1103" s="1"/>
  <c r="O85" i="1103" s="1"/>
  <c r="O86" i="1103" s="1"/>
  <c r="O87" i="1103" s="1"/>
  <c r="O88" i="1103" s="1"/>
  <c r="O686" i="1103"/>
  <c r="O687" i="1103" s="1"/>
  <c r="O688" i="1103" s="1"/>
  <c r="O689" i="1103" s="1"/>
  <c r="O690" i="1103" s="1"/>
  <c r="O691" i="1103" s="1"/>
  <c r="O692" i="1103" s="1"/>
  <c r="O693" i="1103" s="1"/>
  <c r="O694" i="1103" s="1"/>
  <c r="O695" i="1103" s="1"/>
  <c r="O696" i="1103" s="1"/>
  <c r="O697" i="1103" s="1"/>
  <c r="O698" i="1103" s="1"/>
  <c r="O699" i="1103" s="1"/>
  <c r="O700" i="1103" s="1"/>
  <c r="O669" i="1103"/>
  <c r="O670" i="1103" s="1"/>
  <c r="O671" i="1103" s="1"/>
  <c r="O672" i="1103" s="1"/>
  <c r="O673" i="1103" s="1"/>
  <c r="O674" i="1103" s="1"/>
  <c r="O675" i="1103" s="1"/>
  <c r="O676" i="1103" s="1"/>
  <c r="O677" i="1103" s="1"/>
  <c r="O678" i="1103" s="1"/>
  <c r="O679" i="1103" s="1"/>
  <c r="O680" i="1103" s="1"/>
  <c r="O681" i="1103" s="1"/>
  <c r="O682" i="1103" s="1"/>
  <c r="O683" i="1103" s="1"/>
  <c r="O618" i="1103"/>
  <c r="O619" i="1103" s="1"/>
  <c r="O620" i="1103" s="1"/>
  <c r="O621" i="1103" s="1"/>
  <c r="O622" i="1103" s="1"/>
  <c r="O623" i="1103" s="1"/>
  <c r="O624" i="1103" s="1"/>
  <c r="O625" i="1103" s="1"/>
  <c r="O626" i="1103" s="1"/>
  <c r="O627" i="1103" s="1"/>
  <c r="O628" i="1103" s="1"/>
  <c r="O629" i="1103" s="1"/>
  <c r="O630" i="1103" s="1"/>
  <c r="O631" i="1103" s="1"/>
  <c r="O632" i="1103" s="1"/>
  <c r="O601" i="1103"/>
  <c r="O602" i="1103" s="1"/>
  <c r="O603" i="1103" s="1"/>
  <c r="O604" i="1103" s="1"/>
  <c r="O605" i="1103" s="1"/>
  <c r="O606" i="1103" s="1"/>
  <c r="O607" i="1103" s="1"/>
  <c r="O608" i="1103" s="1"/>
  <c r="O609" i="1103" s="1"/>
  <c r="O610" i="1103" s="1"/>
  <c r="O611" i="1103" s="1"/>
  <c r="O612" i="1103" s="1"/>
  <c r="O613" i="1103" s="1"/>
  <c r="O614" i="1103" s="1"/>
  <c r="O615" i="1103" s="1"/>
  <c r="O550" i="1103"/>
  <c r="O551" i="1103" s="1"/>
  <c r="O552" i="1103" s="1"/>
  <c r="O553" i="1103" s="1"/>
  <c r="O554" i="1103" s="1"/>
  <c r="O555" i="1103" s="1"/>
  <c r="O556" i="1103" s="1"/>
  <c r="O557" i="1103" s="1"/>
  <c r="O558" i="1103" s="1"/>
  <c r="O559" i="1103" s="1"/>
  <c r="O560" i="1103" s="1"/>
  <c r="O561" i="1103" s="1"/>
  <c r="O562" i="1103" s="1"/>
  <c r="O563" i="1103" s="1"/>
  <c r="O564" i="1103" s="1"/>
  <c r="O533" i="1103"/>
  <c r="O534" i="1103" s="1"/>
  <c r="O535" i="1103" s="1"/>
  <c r="O536" i="1103" s="1"/>
  <c r="O537" i="1103" s="1"/>
  <c r="O538" i="1103" s="1"/>
  <c r="O539" i="1103" s="1"/>
  <c r="O540" i="1103" s="1"/>
  <c r="O541" i="1103" s="1"/>
  <c r="O542" i="1103" s="1"/>
  <c r="O543" i="1103" s="1"/>
  <c r="O544" i="1103" s="1"/>
  <c r="O545" i="1103" s="1"/>
  <c r="O546" i="1103" s="1"/>
  <c r="O547" i="1103" s="1"/>
  <c r="O431" i="1103"/>
  <c r="O432" i="1103" s="1"/>
  <c r="O433" i="1103" s="1"/>
  <c r="O434" i="1103" s="1"/>
  <c r="O435" i="1103" s="1"/>
  <c r="O436" i="1103" s="1"/>
  <c r="O437" i="1103" s="1"/>
  <c r="O438" i="1103" s="1"/>
  <c r="O439" i="1103" s="1"/>
  <c r="O440" i="1103" s="1"/>
  <c r="O441" i="1103" s="1"/>
  <c r="O442" i="1103" s="1"/>
  <c r="O443" i="1103" s="1"/>
  <c r="O444" i="1103" s="1"/>
  <c r="O445" i="1103" s="1"/>
  <c r="O397" i="1103"/>
  <c r="O398" i="1103" s="1"/>
  <c r="O399" i="1103" s="1"/>
  <c r="O400" i="1103" s="1"/>
  <c r="O401" i="1103" s="1"/>
  <c r="O402" i="1103" s="1"/>
  <c r="O403" i="1103" s="1"/>
  <c r="O404" i="1103" s="1"/>
  <c r="O405" i="1103" s="1"/>
  <c r="O406" i="1103" s="1"/>
  <c r="O407" i="1103" s="1"/>
  <c r="O408" i="1103" s="1"/>
  <c r="O409" i="1103" s="1"/>
  <c r="O410" i="1103" s="1"/>
  <c r="O411" i="1103" s="1"/>
  <c r="O346" i="1103"/>
  <c r="O347" i="1103" s="1"/>
  <c r="O348" i="1103" s="1"/>
  <c r="O349" i="1103" s="1"/>
  <c r="O350" i="1103" s="1"/>
  <c r="O351" i="1103" s="1"/>
  <c r="O352" i="1103" s="1"/>
  <c r="O353" i="1103" s="1"/>
  <c r="O354" i="1103" s="1"/>
  <c r="O355" i="1103" s="1"/>
  <c r="O356" i="1103" s="1"/>
  <c r="O357" i="1103" s="1"/>
  <c r="O358" i="1103" s="1"/>
  <c r="O359" i="1103" s="1"/>
  <c r="O360" i="1103" s="1"/>
  <c r="O329" i="1103"/>
  <c r="O330" i="1103" s="1"/>
  <c r="O331" i="1103" s="1"/>
  <c r="O332" i="1103" s="1"/>
  <c r="O333" i="1103" s="1"/>
  <c r="O334" i="1103" s="1"/>
  <c r="O335" i="1103" s="1"/>
  <c r="O336" i="1103" s="1"/>
  <c r="O337" i="1103" s="1"/>
  <c r="O338" i="1103" s="1"/>
  <c r="O339" i="1103" s="1"/>
  <c r="O340" i="1103" s="1"/>
  <c r="O341" i="1103" s="1"/>
  <c r="O342" i="1103" s="1"/>
  <c r="O343" i="1103" s="1"/>
  <c r="O278" i="1103"/>
  <c r="O279" i="1103" s="1"/>
  <c r="O280" i="1103" s="1"/>
  <c r="O281" i="1103" s="1"/>
  <c r="O282" i="1103" s="1"/>
  <c r="O283" i="1103" s="1"/>
  <c r="O284" i="1103" s="1"/>
  <c r="O285" i="1103" s="1"/>
  <c r="O286" i="1103" s="1"/>
  <c r="O287" i="1103" s="1"/>
  <c r="O288" i="1103" s="1"/>
  <c r="O289" i="1103" s="1"/>
  <c r="O290" i="1103" s="1"/>
  <c r="O291" i="1103" s="1"/>
  <c r="O292" i="1103" s="1"/>
  <c r="O176" i="1103"/>
  <c r="O177" i="1103" s="1"/>
  <c r="O178" i="1103" s="1"/>
  <c r="O179" i="1103" s="1"/>
  <c r="O180" i="1103" s="1"/>
  <c r="O181" i="1103" s="1"/>
  <c r="O182" i="1103" s="1"/>
  <c r="O183" i="1103" s="1"/>
  <c r="O184" i="1103" s="1"/>
  <c r="O185" i="1103" s="1"/>
  <c r="O186" i="1103" s="1"/>
  <c r="O187" i="1103" s="1"/>
  <c r="O188" i="1103" s="1"/>
  <c r="O189" i="1103" s="1"/>
  <c r="O190" i="1103" s="1"/>
  <c r="O125" i="1103"/>
  <c r="O126" i="1103" s="1"/>
  <c r="O127" i="1103" s="1"/>
  <c r="O128" i="1103" s="1"/>
  <c r="O129" i="1103" s="1"/>
  <c r="O130" i="1103" s="1"/>
  <c r="O131" i="1103" s="1"/>
  <c r="O132" i="1103" s="1"/>
  <c r="O133" i="1103" s="1"/>
  <c r="O134" i="1103" s="1"/>
  <c r="O135" i="1103" s="1"/>
  <c r="O136" i="1103" s="1"/>
  <c r="O137" i="1103" s="1"/>
  <c r="O138" i="1103" s="1"/>
  <c r="O139" i="1103" s="1"/>
  <c r="O57" i="1103"/>
  <c r="O58" i="1103" s="1"/>
  <c r="O59" i="1103" s="1"/>
  <c r="O60" i="1103" s="1"/>
  <c r="O61" i="1103" s="1"/>
  <c r="O62" i="1103" s="1"/>
  <c r="O63" i="1103" s="1"/>
  <c r="O64" i="1103" s="1"/>
  <c r="O65" i="1103" s="1"/>
  <c r="O66" i="1103" s="1"/>
  <c r="O67" i="1103" s="1"/>
  <c r="O68" i="1103" s="1"/>
  <c r="O69" i="1103" s="1"/>
  <c r="O70" i="1103" s="1"/>
  <c r="O71" i="1103" s="1"/>
  <c r="O159" i="1103"/>
  <c r="O160" i="1103" s="1"/>
  <c r="O161" i="1103" s="1"/>
  <c r="O162" i="1103" s="1"/>
  <c r="O163" i="1103" s="1"/>
  <c r="O164" i="1103" s="1"/>
  <c r="O165" i="1103" s="1"/>
  <c r="O166" i="1103" s="1"/>
  <c r="O167" i="1103" s="1"/>
  <c r="O168" i="1103" s="1"/>
  <c r="O169" i="1103" s="1"/>
  <c r="O170" i="1103" s="1"/>
  <c r="O171" i="1103" s="1"/>
  <c r="O172" i="1103" s="1"/>
  <c r="O173" i="1103" s="1"/>
  <c r="O380" i="1103"/>
  <c r="O381" i="1103" s="1"/>
  <c r="O382" i="1103" s="1"/>
  <c r="O383" i="1103" s="1"/>
  <c r="O384" i="1103" s="1"/>
  <c r="O385" i="1103" s="1"/>
  <c r="O386" i="1103" s="1"/>
  <c r="O387" i="1103" s="1"/>
  <c r="O388" i="1103" s="1"/>
  <c r="O389" i="1103" s="1"/>
  <c r="O390" i="1103" s="1"/>
  <c r="O391" i="1103" s="1"/>
  <c r="O392" i="1103" s="1"/>
  <c r="O393" i="1103" s="1"/>
  <c r="O394" i="1103" s="1"/>
  <c r="O482" i="1103"/>
  <c r="O483" i="1103" s="1"/>
  <c r="O484" i="1103" s="1"/>
  <c r="O485" i="1103" s="1"/>
  <c r="O486" i="1103" s="1"/>
  <c r="O487" i="1103" s="1"/>
  <c r="O488" i="1103" s="1"/>
  <c r="O489" i="1103" s="1"/>
  <c r="O490" i="1103" s="1"/>
  <c r="O491" i="1103" s="1"/>
  <c r="O492" i="1103" s="1"/>
  <c r="O493" i="1103" s="1"/>
  <c r="O494" i="1103" s="1"/>
  <c r="O495" i="1103" s="1"/>
  <c r="O496" i="1103" s="1"/>
  <c r="O261" i="1103"/>
  <c r="O262" i="1103" s="1"/>
  <c r="O263" i="1103" s="1"/>
  <c r="O264" i="1103" s="1"/>
  <c r="O265" i="1103" s="1"/>
  <c r="O266" i="1103" s="1"/>
  <c r="O267" i="1103" s="1"/>
  <c r="O268" i="1103" s="1"/>
  <c r="O269" i="1103" s="1"/>
  <c r="O270" i="1103" s="1"/>
  <c r="O271" i="1103" s="1"/>
  <c r="O272" i="1103" s="1"/>
  <c r="O273" i="1103" s="1"/>
  <c r="O274" i="1103" s="1"/>
  <c r="O275" i="1103" s="1"/>
  <c r="O244" i="1103"/>
  <c r="O245" i="1103" s="1"/>
  <c r="O246" i="1103" s="1"/>
  <c r="O247" i="1103" s="1"/>
  <c r="O248" i="1103" s="1"/>
  <c r="O249" i="1103" s="1"/>
  <c r="O250" i="1103" s="1"/>
  <c r="O251" i="1103" s="1"/>
  <c r="O252" i="1103" s="1"/>
  <c r="O253" i="1103" s="1"/>
  <c r="O254" i="1103" s="1"/>
  <c r="O255" i="1103" s="1"/>
  <c r="O256" i="1103" s="1"/>
  <c r="O257" i="1103" s="1"/>
  <c r="O258" i="1103" s="1"/>
  <c r="O108" i="1103"/>
  <c r="O109" i="1103" s="1"/>
  <c r="O110" i="1103" s="1"/>
  <c r="O111" i="1103" s="1"/>
  <c r="O112" i="1103" s="1"/>
  <c r="O113" i="1103" s="1"/>
  <c r="O114" i="1103" s="1"/>
  <c r="O115" i="1103" s="1"/>
  <c r="O116" i="1103" s="1"/>
  <c r="O117" i="1103" s="1"/>
  <c r="O118" i="1103" s="1"/>
  <c r="O119" i="1103" s="1"/>
  <c r="O120" i="1103" s="1"/>
  <c r="O121" i="1103" s="1"/>
  <c r="O122" i="1103" s="1"/>
  <c r="O465" i="1103"/>
  <c r="O466" i="1103" s="1"/>
  <c r="O467" i="1103" s="1"/>
  <c r="O468" i="1103" s="1"/>
  <c r="O469" i="1103" s="1"/>
  <c r="O470" i="1103" s="1"/>
  <c r="O471" i="1103" s="1"/>
  <c r="O472" i="1103" s="1"/>
  <c r="O473" i="1103" s="1"/>
  <c r="O474" i="1103" s="1"/>
  <c r="O475" i="1103" s="1"/>
  <c r="O476" i="1103" s="1"/>
  <c r="O477" i="1103" s="1"/>
  <c r="O478" i="1103" s="1"/>
  <c r="O479" i="1103" s="1"/>
  <c r="O210" i="1103"/>
  <c r="O211" i="1103" s="1"/>
  <c r="O212" i="1103" s="1"/>
  <c r="O213" i="1103" s="1"/>
  <c r="O214" i="1103" s="1"/>
  <c r="O215" i="1103" s="1"/>
  <c r="O216" i="1103" s="1"/>
  <c r="O217" i="1103" s="1"/>
  <c r="O218" i="1103" s="1"/>
  <c r="O219" i="1103" s="1"/>
  <c r="O220" i="1103" s="1"/>
  <c r="O221" i="1103" s="1"/>
  <c r="O222" i="1103" s="1"/>
  <c r="O223" i="1103" s="1"/>
  <c r="O224" i="1103" s="1"/>
  <c r="O193" i="1103"/>
  <c r="O194" i="1103" s="1"/>
  <c r="O195" i="1103" s="1"/>
  <c r="O196" i="1103" s="1"/>
  <c r="O197" i="1103" s="1"/>
  <c r="O198" i="1103" s="1"/>
  <c r="O199" i="1103" s="1"/>
  <c r="O200" i="1103" s="1"/>
  <c r="O201" i="1103" s="1"/>
  <c r="O202" i="1103" s="1"/>
  <c r="O203" i="1103" s="1"/>
  <c r="O204" i="1103" s="1"/>
  <c r="O205" i="1103" s="1"/>
  <c r="O206" i="1103" s="1"/>
  <c r="O207" i="1103" s="1"/>
  <c r="O91" i="1103"/>
  <c r="O92" i="1103" s="1"/>
  <c r="O93" i="1103" s="1"/>
  <c r="O94" i="1103" s="1"/>
  <c r="O95" i="1103" s="1"/>
  <c r="O96" i="1103" s="1"/>
  <c r="O97" i="1103" s="1"/>
  <c r="O98" i="1103" s="1"/>
  <c r="O99" i="1103" s="1"/>
  <c r="O100" i="1103" s="1"/>
  <c r="O101" i="1103" s="1"/>
  <c r="O102" i="1103" s="1"/>
  <c r="O103" i="1103" s="1"/>
  <c r="O104" i="1103" s="1"/>
  <c r="O105" i="1103" s="1"/>
  <c r="A73" i="1103"/>
  <c r="K22" i="261"/>
  <c r="O39" i="261"/>
  <c r="O40" i="261" s="1"/>
  <c r="O41" i="261" s="1"/>
  <c r="W39" i="261"/>
  <c r="W40" i="261" s="1"/>
  <c r="O56" i="261"/>
  <c r="O57" i="261" s="1"/>
  <c r="O58" i="261" s="1"/>
  <c r="W56" i="261"/>
  <c r="W57" i="261" s="1"/>
  <c r="O73" i="261"/>
  <c r="O74" i="261" s="1"/>
  <c r="O75" i="261" s="1"/>
  <c r="W73" i="261"/>
  <c r="W74" i="261" s="1"/>
  <c r="W75" i="261" s="1"/>
  <c r="O90" i="261"/>
  <c r="O91" i="261" s="1"/>
  <c r="O92" i="261" s="1"/>
  <c r="W90" i="261"/>
  <c r="W91" i="261" s="1"/>
  <c r="O192" i="261"/>
  <c r="O193" i="261" s="1"/>
  <c r="O194" i="261" s="1"/>
  <c r="W192" i="261"/>
  <c r="W193" i="261" s="1"/>
  <c r="W194" i="261" s="1"/>
  <c r="O209" i="261"/>
  <c r="O210" i="261" s="1"/>
  <c r="O211" i="261" s="1"/>
  <c r="W209" i="261"/>
  <c r="W210" i="261" s="1"/>
  <c r="W211" i="261" s="1"/>
  <c r="K39" i="261"/>
  <c r="K40" i="261" s="1"/>
  <c r="K41" i="261" s="1"/>
  <c r="K42" i="261" s="1"/>
  <c r="K43" i="261" s="1"/>
  <c r="K44" i="261" s="1"/>
  <c r="K45" i="261" s="1"/>
  <c r="K46" i="261" s="1"/>
  <c r="K47" i="261" s="1"/>
  <c r="K48" i="261" s="1"/>
  <c r="K49" i="261" s="1"/>
  <c r="K50" i="261" s="1"/>
  <c r="K51" i="261" s="1"/>
  <c r="K52" i="261" s="1"/>
  <c r="K53" i="261" s="1"/>
  <c r="K56" i="261"/>
  <c r="K57" i="261" s="1"/>
  <c r="K58" i="261" s="1"/>
  <c r="K73" i="261"/>
  <c r="K74" i="261" s="1"/>
  <c r="K75" i="261" s="1"/>
  <c r="K90" i="261"/>
  <c r="K91" i="261" s="1"/>
  <c r="K92" i="261" s="1"/>
  <c r="K192" i="261"/>
  <c r="K193" i="261" s="1"/>
  <c r="K194" i="261" s="1"/>
  <c r="K209" i="261"/>
  <c r="K210" i="261" s="1"/>
  <c r="K211" i="261" s="1"/>
  <c r="N6" i="1103"/>
  <c r="R6" i="1103"/>
  <c r="N7" i="1103"/>
  <c r="O40" i="1103"/>
  <c r="O41" i="1103" s="1"/>
  <c r="O42" i="1103" s="1"/>
  <c r="O23" i="1103"/>
  <c r="O24" i="1103" s="1"/>
  <c r="O25" i="1103" s="1"/>
  <c r="S23" i="1103"/>
  <c r="S40" i="1103"/>
  <c r="W25" i="1103"/>
  <c r="AE25" i="1103"/>
  <c r="K23" i="1103"/>
  <c r="AA23" i="1103"/>
  <c r="AI23" i="1103"/>
  <c r="K40" i="1103"/>
  <c r="S211" i="261"/>
  <c r="S194" i="261"/>
  <c r="S92" i="261"/>
  <c r="S75" i="261"/>
  <c r="S58" i="261"/>
  <c r="J6" i="261"/>
  <c r="N6" i="261"/>
  <c r="R157" i="261"/>
  <c r="BW18" i="262"/>
  <c r="BS18" i="262"/>
  <c r="BO18" i="262"/>
  <c r="BG18" i="262"/>
  <c r="BC18" i="262"/>
  <c r="AU18" i="262"/>
  <c r="AM18" i="262"/>
  <c r="AE18" i="262"/>
  <c r="W18" i="262"/>
  <c r="S18" i="262"/>
  <c r="O18" i="262"/>
  <c r="K18" i="262"/>
  <c r="AE890" i="262"/>
  <c r="W890" i="262"/>
  <c r="S890" i="262"/>
  <c r="S891" i="262" s="1"/>
  <c r="O890" i="262"/>
  <c r="O891" i="262" s="1"/>
  <c r="AE873" i="262"/>
  <c r="W873" i="262"/>
  <c r="S873" i="262"/>
  <c r="S874" i="262" s="1"/>
  <c r="O873" i="262"/>
  <c r="AE856" i="262"/>
  <c r="W856" i="262"/>
  <c r="S856" i="262"/>
  <c r="S857" i="262" s="1"/>
  <c r="O856" i="262"/>
  <c r="AE839" i="262"/>
  <c r="W839" i="262"/>
  <c r="S839" i="262"/>
  <c r="S840" i="262" s="1"/>
  <c r="O839" i="262"/>
  <c r="AE822" i="262"/>
  <c r="AE823" i="262" s="1"/>
  <c r="W822" i="262"/>
  <c r="S822" i="262"/>
  <c r="S823" i="262" s="1"/>
  <c r="S824" i="262" s="1"/>
  <c r="S825" i="262" s="1"/>
  <c r="S826" i="262" s="1"/>
  <c r="O822" i="262"/>
  <c r="O823" i="262" s="1"/>
  <c r="AE805" i="262"/>
  <c r="AE806" i="262" s="1"/>
  <c r="W805" i="262"/>
  <c r="W806" i="262" s="1"/>
  <c r="S805" i="262"/>
  <c r="S806" i="262" s="1"/>
  <c r="O805" i="262"/>
  <c r="O806" i="262" s="1"/>
  <c r="AE788" i="262"/>
  <c r="AE789" i="262" s="1"/>
  <c r="W788" i="262"/>
  <c r="W789" i="262" s="1"/>
  <c r="S788" i="262"/>
  <c r="O788" i="262"/>
  <c r="O789" i="262" s="1"/>
  <c r="AE771" i="262"/>
  <c r="AE772" i="262" s="1"/>
  <c r="W771" i="262"/>
  <c r="W772" i="262" s="1"/>
  <c r="S771" i="262"/>
  <c r="S772" i="262" s="1"/>
  <c r="O771" i="262"/>
  <c r="O772" i="262" s="1"/>
  <c r="AE754" i="262"/>
  <c r="AE755" i="262" s="1"/>
  <c r="W754" i="262"/>
  <c r="W755" i="262" s="1"/>
  <c r="S754" i="262"/>
  <c r="S755" i="262" s="1"/>
  <c r="O754" i="262"/>
  <c r="O755" i="262" s="1"/>
  <c r="AE737" i="262"/>
  <c r="AE738" i="262" s="1"/>
  <c r="W737" i="262"/>
  <c r="W738" i="262" s="1"/>
  <c r="S737" i="262"/>
  <c r="S738" i="262" s="1"/>
  <c r="O737" i="262"/>
  <c r="O738" i="262" s="1"/>
  <c r="AE720" i="262"/>
  <c r="AE721" i="262" s="1"/>
  <c r="W720" i="262"/>
  <c r="W721" i="262" s="1"/>
  <c r="S720" i="262"/>
  <c r="S721" i="262" s="1"/>
  <c r="O720" i="262"/>
  <c r="O721" i="262" s="1"/>
  <c r="AE703" i="262"/>
  <c r="AE704" i="262" s="1"/>
  <c r="W703" i="262"/>
  <c r="W704" i="262" s="1"/>
  <c r="S703" i="262"/>
  <c r="S704" i="262" s="1"/>
  <c r="O703" i="262"/>
  <c r="O704" i="262" s="1"/>
  <c r="AE686" i="262"/>
  <c r="AE687" i="262" s="1"/>
  <c r="W686" i="262"/>
  <c r="W687" i="262" s="1"/>
  <c r="S686" i="262"/>
  <c r="O686" i="262"/>
  <c r="O687" i="262" s="1"/>
  <c r="AE669" i="262"/>
  <c r="W669" i="262"/>
  <c r="S669" i="262"/>
  <c r="S670" i="262" s="1"/>
  <c r="O669" i="262"/>
  <c r="AE652" i="262"/>
  <c r="W652" i="262"/>
  <c r="S652" i="262"/>
  <c r="S653" i="262" s="1"/>
  <c r="O652" i="262"/>
  <c r="AE635" i="262"/>
  <c r="W635" i="262"/>
  <c r="S635" i="262"/>
  <c r="S636" i="262" s="1"/>
  <c r="O635" i="262"/>
  <c r="AE618" i="262"/>
  <c r="AE619" i="262" s="1"/>
  <c r="W618" i="262"/>
  <c r="W619" i="262" s="1"/>
  <c r="S618" i="262"/>
  <c r="S619" i="262" s="1"/>
  <c r="O618" i="262"/>
  <c r="O619" i="262" s="1"/>
  <c r="AE601" i="262"/>
  <c r="AE602" i="262" s="1"/>
  <c r="W601" i="262"/>
  <c r="W602" i="262" s="1"/>
  <c r="S601" i="262"/>
  <c r="O601" i="262"/>
  <c r="O602" i="262" s="1"/>
  <c r="AE584" i="262"/>
  <c r="AE585" i="262" s="1"/>
  <c r="W584" i="262"/>
  <c r="W585" i="262" s="1"/>
  <c r="S584" i="262"/>
  <c r="S585" i="262" s="1"/>
  <c r="O584" i="262"/>
  <c r="O585" i="262" s="1"/>
  <c r="AE567" i="262"/>
  <c r="AE568" i="262" s="1"/>
  <c r="W567" i="262"/>
  <c r="W568" i="262" s="1"/>
  <c r="S567" i="262"/>
  <c r="S568" i="262" s="1"/>
  <c r="O567" i="262"/>
  <c r="O568" i="262" s="1"/>
  <c r="AE550" i="262"/>
  <c r="AE551" i="262" s="1"/>
  <c r="W550" i="262"/>
  <c r="W551" i="262" s="1"/>
  <c r="S550" i="262"/>
  <c r="O550" i="262"/>
  <c r="O551" i="262" s="1"/>
  <c r="AE533" i="262"/>
  <c r="AE534" i="262" s="1"/>
  <c r="W533" i="262"/>
  <c r="W534" i="262" s="1"/>
  <c r="S533" i="262"/>
  <c r="O533" i="262"/>
  <c r="O534" i="262" s="1"/>
  <c r="AE516" i="262"/>
  <c r="AE517" i="262" s="1"/>
  <c r="W516" i="262"/>
  <c r="W517" i="262" s="1"/>
  <c r="S516" i="262"/>
  <c r="S517" i="262" s="1"/>
  <c r="O516" i="262"/>
  <c r="O517" i="262" s="1"/>
  <c r="AE499" i="262"/>
  <c r="AE500" i="262" s="1"/>
  <c r="W499" i="262"/>
  <c r="W500" i="262" s="1"/>
  <c r="S499" i="262"/>
  <c r="S500" i="262" s="1"/>
  <c r="O499" i="262"/>
  <c r="O500" i="262" s="1"/>
  <c r="AE482" i="262"/>
  <c r="AE483" i="262" s="1"/>
  <c r="W482" i="262"/>
  <c r="W483" i="262" s="1"/>
  <c r="S482" i="262"/>
  <c r="S483" i="262" s="1"/>
  <c r="O482" i="262"/>
  <c r="O483" i="262" s="1"/>
  <c r="AE465" i="262"/>
  <c r="AE466" i="262" s="1"/>
  <c r="W465" i="262"/>
  <c r="W466" i="262" s="1"/>
  <c r="S465" i="262"/>
  <c r="S466" i="262" s="1"/>
  <c r="O465" i="262"/>
  <c r="O466" i="262" s="1"/>
  <c r="AE448" i="262"/>
  <c r="AE449" i="262" s="1"/>
  <c r="W448" i="262"/>
  <c r="W449" i="262" s="1"/>
  <c r="S448" i="262"/>
  <c r="S449" i="262" s="1"/>
  <c r="O448" i="262"/>
  <c r="O449" i="262" s="1"/>
  <c r="AE431" i="262"/>
  <c r="AE432" i="262" s="1"/>
  <c r="W431" i="262"/>
  <c r="W432" i="262" s="1"/>
  <c r="S431" i="262"/>
  <c r="S432" i="262" s="1"/>
  <c r="O431" i="262"/>
  <c r="O432" i="262" s="1"/>
  <c r="AE414" i="262"/>
  <c r="AE415" i="262" s="1"/>
  <c r="W414" i="262"/>
  <c r="W415" i="262" s="1"/>
  <c r="S414" i="262"/>
  <c r="O414" i="262"/>
  <c r="O415" i="262" s="1"/>
  <c r="AE397" i="262"/>
  <c r="AE398" i="262" s="1"/>
  <c r="W397" i="262"/>
  <c r="W398" i="262" s="1"/>
  <c r="S397" i="262"/>
  <c r="S398" i="262" s="1"/>
  <c r="O397" i="262"/>
  <c r="O398" i="262" s="1"/>
  <c r="AE380" i="262"/>
  <c r="AE381" i="262" s="1"/>
  <c r="W380" i="262"/>
  <c r="W381" i="262" s="1"/>
  <c r="S380" i="262"/>
  <c r="O380" i="262"/>
  <c r="O381" i="262" s="1"/>
  <c r="AE363" i="262"/>
  <c r="AE364" i="262" s="1"/>
  <c r="W363" i="262"/>
  <c r="W364" i="262" s="1"/>
  <c r="S363" i="262"/>
  <c r="O363" i="262"/>
  <c r="O364" i="262" s="1"/>
  <c r="AE346" i="262"/>
  <c r="AE347" i="262" s="1"/>
  <c r="W346" i="262"/>
  <c r="W347" i="262" s="1"/>
  <c r="S346" i="262"/>
  <c r="O346" i="262"/>
  <c r="O347" i="262" s="1"/>
  <c r="AE329" i="262"/>
  <c r="AE330" i="262" s="1"/>
  <c r="W329" i="262"/>
  <c r="W330" i="262" s="1"/>
  <c r="S329" i="262"/>
  <c r="O329" i="262"/>
  <c r="O330" i="262" s="1"/>
  <c r="AE312" i="262"/>
  <c r="AE313" i="262" s="1"/>
  <c r="W312" i="262"/>
  <c r="W313" i="262" s="1"/>
  <c r="S312" i="262"/>
  <c r="S313" i="262" s="1"/>
  <c r="O312" i="262"/>
  <c r="O313" i="262" s="1"/>
  <c r="AE295" i="262"/>
  <c r="AE296" i="262" s="1"/>
  <c r="W295" i="262"/>
  <c r="W296" i="262" s="1"/>
  <c r="S295" i="262"/>
  <c r="S296" i="262" s="1"/>
  <c r="O295" i="262"/>
  <c r="O296" i="262" s="1"/>
  <c r="AE278" i="262"/>
  <c r="AE279" i="262" s="1"/>
  <c r="W278" i="262"/>
  <c r="W279" i="262" s="1"/>
  <c r="S278" i="262"/>
  <c r="S279" i="262" s="1"/>
  <c r="O278" i="262"/>
  <c r="O279" i="262" s="1"/>
  <c r="AE261" i="262"/>
  <c r="AE262" i="262" s="1"/>
  <c r="W261" i="262"/>
  <c r="W262" i="262" s="1"/>
  <c r="S261" i="262"/>
  <c r="S262" i="262" s="1"/>
  <c r="O261" i="262"/>
  <c r="O262" i="262" s="1"/>
  <c r="AE244" i="262"/>
  <c r="AE245" i="262" s="1"/>
  <c r="W244" i="262"/>
  <c r="W245" i="262" s="1"/>
  <c r="S244" i="262"/>
  <c r="S245" i="262" s="1"/>
  <c r="O244" i="262"/>
  <c r="O245" i="262" s="1"/>
  <c r="AE227" i="262"/>
  <c r="AE228" i="262" s="1"/>
  <c r="W227" i="262"/>
  <c r="W228" i="262" s="1"/>
  <c r="S227" i="262"/>
  <c r="O227" i="262"/>
  <c r="O228" i="262" s="1"/>
  <c r="AE210" i="262"/>
  <c r="AE211" i="262" s="1"/>
  <c r="W210" i="262"/>
  <c r="W211" i="262" s="1"/>
  <c r="S210" i="262"/>
  <c r="O210" i="262"/>
  <c r="O211" i="262" s="1"/>
  <c r="AE193" i="262"/>
  <c r="AE194" i="262" s="1"/>
  <c r="W193" i="262"/>
  <c r="W194" i="262" s="1"/>
  <c r="S193" i="262"/>
  <c r="O193" i="262"/>
  <c r="O194" i="262" s="1"/>
  <c r="AE176" i="262"/>
  <c r="AE177" i="262" s="1"/>
  <c r="W176" i="262"/>
  <c r="W177" i="262" s="1"/>
  <c r="S176" i="262"/>
  <c r="O176" i="262"/>
  <c r="O177" i="262" s="1"/>
  <c r="BW23" i="262"/>
  <c r="BS23" i="262"/>
  <c r="BS24" i="262" s="1"/>
  <c r="BZ7" i="262"/>
  <c r="BV7" i="262"/>
  <c r="BZ6" i="262"/>
  <c r="BV6" i="262"/>
  <c r="BR7" i="262"/>
  <c r="BR6" i="262"/>
  <c r="BN7" i="262"/>
  <c r="BN6" i="262"/>
  <c r="CA17" i="262"/>
  <c r="CA16" i="262"/>
  <c r="CA18" i="262" s="1"/>
  <c r="BK17" i="262"/>
  <c r="BK16" i="262"/>
  <c r="BK18" i="262" s="1"/>
  <c r="BJ7" i="262"/>
  <c r="BJ6" i="262"/>
  <c r="BF7" i="262"/>
  <c r="BB7" i="262"/>
  <c r="BF6" i="262"/>
  <c r="BB6" i="262"/>
  <c r="AU23" i="262"/>
  <c r="AY17" i="262"/>
  <c r="AY16" i="262"/>
  <c r="AY18" i="262" s="1"/>
  <c r="AX7" i="262"/>
  <c r="AT7" i="262"/>
  <c r="AX6" i="262"/>
  <c r="AT6" i="262"/>
  <c r="AP7" i="262"/>
  <c r="AL7" i="262"/>
  <c r="AP6" i="262"/>
  <c r="AL6" i="262"/>
  <c r="AM23" i="262"/>
  <c r="AQ17" i="262"/>
  <c r="AQ16" i="262"/>
  <c r="AQ18" i="262" s="1"/>
  <c r="AE159" i="262"/>
  <c r="AE160" i="262" s="1"/>
  <c r="AE161" i="262" s="1"/>
  <c r="W159" i="262"/>
  <c r="W160" i="262" s="1"/>
  <c r="W161" i="262" s="1"/>
  <c r="S159" i="262"/>
  <c r="S160" i="262" s="1"/>
  <c r="O159" i="262"/>
  <c r="O160" i="262" s="1"/>
  <c r="O161" i="262" s="1"/>
  <c r="AE142" i="262"/>
  <c r="AE143" i="262" s="1"/>
  <c r="W142" i="262"/>
  <c r="W143" i="262" s="1"/>
  <c r="S142" i="262"/>
  <c r="S143" i="262" s="1"/>
  <c r="S144" i="262" s="1"/>
  <c r="O142" i="262"/>
  <c r="O143" i="262" s="1"/>
  <c r="AE125" i="262"/>
  <c r="AE126" i="262" s="1"/>
  <c r="AE127" i="262" s="1"/>
  <c r="W125" i="262"/>
  <c r="W126" i="262" s="1"/>
  <c r="S125" i="262"/>
  <c r="O125" i="262"/>
  <c r="O126" i="262" s="1"/>
  <c r="AE108" i="262"/>
  <c r="AE109" i="262" s="1"/>
  <c r="W108" i="262"/>
  <c r="W109" i="262" s="1"/>
  <c r="S108" i="262"/>
  <c r="S109" i="262" s="1"/>
  <c r="S110" i="262" s="1"/>
  <c r="O108" i="262"/>
  <c r="O109" i="262" s="1"/>
  <c r="AE91" i="262"/>
  <c r="AE92" i="262" s="1"/>
  <c r="AE93" i="262" s="1"/>
  <c r="W91" i="262"/>
  <c r="W92" i="262" s="1"/>
  <c r="W93" i="262" s="1"/>
  <c r="S91" i="262"/>
  <c r="S92" i="262" s="1"/>
  <c r="O91" i="262"/>
  <c r="O92" i="262" s="1"/>
  <c r="O93" i="262" s="1"/>
  <c r="AE74" i="262"/>
  <c r="W74" i="262"/>
  <c r="S74" i="262"/>
  <c r="S75" i="262" s="1"/>
  <c r="O74" i="262"/>
  <c r="O75" i="262" s="1"/>
  <c r="O76" i="262" s="1"/>
  <c r="AE57" i="262"/>
  <c r="W57" i="262"/>
  <c r="S57" i="262"/>
  <c r="S58" i="262" s="1"/>
  <c r="O57" i="262"/>
  <c r="AE40" i="262"/>
  <c r="AE41" i="262" s="1"/>
  <c r="W40" i="262"/>
  <c r="W41" i="262" s="1"/>
  <c r="S40" i="262"/>
  <c r="O40" i="262"/>
  <c r="O41" i="262" s="1"/>
  <c r="AE23" i="262"/>
  <c r="AE24" i="262" s="1"/>
  <c r="AH7" i="262"/>
  <c r="AH6" i="262"/>
  <c r="AD7" i="262"/>
  <c r="AD6" i="262"/>
  <c r="AI17" i="262"/>
  <c r="AI16" i="262"/>
  <c r="AI18" i="262" s="1"/>
  <c r="Z7" i="262"/>
  <c r="Z6" i="262"/>
  <c r="V7" i="262"/>
  <c r="V6" i="262"/>
  <c r="R7" i="262"/>
  <c r="R6" i="262"/>
  <c r="N7" i="262"/>
  <c r="N6" i="262"/>
  <c r="J7" i="262"/>
  <c r="J6" i="262"/>
  <c r="BO23" i="262"/>
  <c r="BG23" i="262"/>
  <c r="BC23" i="262"/>
  <c r="W23" i="262"/>
  <c r="S23" i="262"/>
  <c r="O23" i="262"/>
  <c r="AA17" i="262"/>
  <c r="AA16" i="262"/>
  <c r="AA18" i="262" s="1"/>
  <c r="F39" i="1103"/>
  <c r="F56" i="1103"/>
  <c r="E39" i="1103"/>
  <c r="E56" i="1103"/>
  <c r="A90" i="1103" l="1"/>
  <c r="R174" i="261"/>
  <c r="S174" i="261" s="1"/>
  <c r="R140" i="261"/>
  <c r="S140" i="261" s="1"/>
  <c r="R293" i="261"/>
  <c r="U293" i="261" s="1"/>
  <c r="R242" i="261"/>
  <c r="S242" i="261" s="1"/>
  <c r="R310" i="261"/>
  <c r="U310" i="261" s="1"/>
  <c r="N344" i="261"/>
  <c r="V310" i="261"/>
  <c r="J293" i="261"/>
  <c r="N276" i="261"/>
  <c r="N242" i="261"/>
  <c r="J225" i="261"/>
  <c r="V157" i="261"/>
  <c r="V123" i="261"/>
  <c r="V106" i="261"/>
  <c r="J106" i="261"/>
  <c r="J344" i="261"/>
  <c r="N327" i="261"/>
  <c r="V293" i="261"/>
  <c r="J276" i="261"/>
  <c r="N259" i="261"/>
  <c r="J242" i="261"/>
  <c r="N174" i="261"/>
  <c r="N157" i="261"/>
  <c r="N123" i="261"/>
  <c r="J123" i="261"/>
  <c r="V344" i="261"/>
  <c r="J327" i="261"/>
  <c r="N310" i="261"/>
  <c r="V276" i="261"/>
  <c r="J259" i="261"/>
  <c r="V225" i="261"/>
  <c r="V174" i="261"/>
  <c r="N140" i="261"/>
  <c r="N106" i="261"/>
  <c r="V327" i="261"/>
  <c r="J310" i="261"/>
  <c r="N293" i="261"/>
  <c r="V259" i="261"/>
  <c r="V242" i="261"/>
  <c r="N225" i="261"/>
  <c r="J174" i="261"/>
  <c r="J157" i="261"/>
  <c r="V140" i="261"/>
  <c r="J140" i="261"/>
  <c r="R123" i="261"/>
  <c r="U123" i="261" s="1"/>
  <c r="R344" i="261"/>
  <c r="S344" i="261" s="1"/>
  <c r="R259" i="261"/>
  <c r="U259" i="261" s="1"/>
  <c r="R106" i="261"/>
  <c r="S106" i="261" s="1"/>
  <c r="R276" i="261"/>
  <c r="S276" i="261" s="1"/>
  <c r="R225" i="261"/>
  <c r="U225" i="261" s="1"/>
  <c r="R327" i="261"/>
  <c r="S327" i="261" s="1"/>
  <c r="U242" i="261"/>
  <c r="S157" i="261"/>
  <c r="U157" i="261"/>
  <c r="V21" i="261"/>
  <c r="V208" i="261"/>
  <c r="N208" i="261"/>
  <c r="V191" i="261"/>
  <c r="N191" i="261"/>
  <c r="V89" i="261"/>
  <c r="N89" i="261"/>
  <c r="V72" i="261"/>
  <c r="N72" i="261"/>
  <c r="V55" i="261"/>
  <c r="N55" i="261"/>
  <c r="V38" i="261"/>
  <c r="N38" i="261"/>
  <c r="R208" i="261"/>
  <c r="J208" i="261"/>
  <c r="R191" i="261"/>
  <c r="J191" i="261"/>
  <c r="R89" i="261"/>
  <c r="J89" i="261"/>
  <c r="R72" i="261"/>
  <c r="J72" i="261"/>
  <c r="R55" i="261"/>
  <c r="J55" i="261"/>
  <c r="R38" i="261"/>
  <c r="J38" i="261"/>
  <c r="S24" i="1103"/>
  <c r="S41" i="1103"/>
  <c r="O26" i="1103"/>
  <c r="O43" i="1103"/>
  <c r="AI24" i="1103"/>
  <c r="K24" i="1103"/>
  <c r="K41" i="1103"/>
  <c r="AA24" i="1103"/>
  <c r="AE26" i="1103"/>
  <c r="W26" i="1103"/>
  <c r="S212" i="261"/>
  <c r="K212" i="261"/>
  <c r="O212" i="261"/>
  <c r="W212" i="261"/>
  <c r="S195" i="261"/>
  <c r="K195" i="261"/>
  <c r="O195" i="261"/>
  <c r="W195" i="261"/>
  <c r="W92" i="261"/>
  <c r="S93" i="261"/>
  <c r="K93" i="261"/>
  <c r="O93" i="261"/>
  <c r="S76" i="261"/>
  <c r="K76" i="261"/>
  <c r="O76" i="261"/>
  <c r="W76" i="261"/>
  <c r="W58" i="261"/>
  <c r="S59" i="261"/>
  <c r="K59" i="261"/>
  <c r="O59" i="261"/>
  <c r="W41" i="261"/>
  <c r="O42" i="261"/>
  <c r="N21" i="261"/>
  <c r="R21" i="261"/>
  <c r="J21" i="261"/>
  <c r="AA23" i="262"/>
  <c r="AA890" i="262"/>
  <c r="AA891" i="262" s="1"/>
  <c r="AA892" i="262" s="1"/>
  <c r="AA873" i="262"/>
  <c r="AA874" i="262" s="1"/>
  <c r="AA875" i="262" s="1"/>
  <c r="AA856" i="262"/>
  <c r="AA857" i="262" s="1"/>
  <c r="AA858" i="262" s="1"/>
  <c r="AA839" i="262"/>
  <c r="AA840" i="262" s="1"/>
  <c r="AA841" i="262" s="1"/>
  <c r="AA822" i="262"/>
  <c r="AA823" i="262" s="1"/>
  <c r="AA824" i="262" s="1"/>
  <c r="AA825" i="262" s="1"/>
  <c r="AA826" i="262" s="1"/>
  <c r="AA827" i="262" s="1"/>
  <c r="AA805" i="262"/>
  <c r="AA806" i="262" s="1"/>
  <c r="AA807" i="262" s="1"/>
  <c r="AA788" i="262"/>
  <c r="AA789" i="262" s="1"/>
  <c r="AA771" i="262"/>
  <c r="AA772" i="262" s="1"/>
  <c r="AA773" i="262" s="1"/>
  <c r="AA754" i="262"/>
  <c r="AA755" i="262" s="1"/>
  <c r="AA756" i="262" s="1"/>
  <c r="AA737" i="262"/>
  <c r="AA738" i="262" s="1"/>
  <c r="AA739" i="262" s="1"/>
  <c r="AA720" i="262"/>
  <c r="AA721" i="262" s="1"/>
  <c r="AA722" i="262" s="1"/>
  <c r="AA703" i="262"/>
  <c r="AA704" i="262" s="1"/>
  <c r="AA705" i="262" s="1"/>
  <c r="AA686" i="262"/>
  <c r="AA687" i="262" s="1"/>
  <c r="AA669" i="262"/>
  <c r="AA670" i="262" s="1"/>
  <c r="AA671" i="262" s="1"/>
  <c r="AA652" i="262"/>
  <c r="AA653" i="262" s="1"/>
  <c r="AA654" i="262" s="1"/>
  <c r="AA635" i="262"/>
  <c r="AA636" i="262" s="1"/>
  <c r="AA637" i="262" s="1"/>
  <c r="AA618" i="262"/>
  <c r="AA619" i="262" s="1"/>
  <c r="AA620" i="262" s="1"/>
  <c r="AA601" i="262"/>
  <c r="AA602" i="262" s="1"/>
  <c r="AA603" i="262" s="1"/>
  <c r="AA584" i="262"/>
  <c r="AA585" i="262" s="1"/>
  <c r="AA586" i="262" s="1"/>
  <c r="AA567" i="262"/>
  <c r="AA568" i="262" s="1"/>
  <c r="AA569" i="262" s="1"/>
  <c r="AA550" i="262"/>
  <c r="AA551" i="262" s="1"/>
  <c r="AA533" i="262"/>
  <c r="AA534" i="262" s="1"/>
  <c r="AA516" i="262"/>
  <c r="AA517" i="262" s="1"/>
  <c r="AA518" i="262" s="1"/>
  <c r="AA499" i="262"/>
  <c r="AA500" i="262" s="1"/>
  <c r="AA501" i="262" s="1"/>
  <c r="AA482" i="262"/>
  <c r="AA483" i="262" s="1"/>
  <c r="AA484" i="262" s="1"/>
  <c r="AA465" i="262"/>
  <c r="AA466" i="262" s="1"/>
  <c r="AA467" i="262" s="1"/>
  <c r="AA448" i="262"/>
  <c r="AA449" i="262" s="1"/>
  <c r="AA450" i="262" s="1"/>
  <c r="AA431" i="262"/>
  <c r="AA432" i="262" s="1"/>
  <c r="AA433" i="262" s="1"/>
  <c r="AA414" i="262"/>
  <c r="AA415" i="262" s="1"/>
  <c r="AA397" i="262"/>
  <c r="AA398" i="262" s="1"/>
  <c r="AA399" i="262" s="1"/>
  <c r="AA380" i="262"/>
  <c r="AA381" i="262" s="1"/>
  <c r="AA363" i="262"/>
  <c r="AA364" i="262" s="1"/>
  <c r="AA346" i="262"/>
  <c r="AA347" i="262" s="1"/>
  <c r="AI142" i="262"/>
  <c r="AI143" i="262" s="1"/>
  <c r="AI144" i="262" s="1"/>
  <c r="AI145" i="262" s="1"/>
  <c r="AI890" i="262"/>
  <c r="AI891" i="262" s="1"/>
  <c r="AI892" i="262" s="1"/>
  <c r="AI893" i="262" s="1"/>
  <c r="AI873" i="262"/>
  <c r="AI874" i="262" s="1"/>
  <c r="AI875" i="262" s="1"/>
  <c r="AI856" i="262"/>
  <c r="AI857" i="262" s="1"/>
  <c r="AI858" i="262" s="1"/>
  <c r="AI839" i="262"/>
  <c r="AI840" i="262" s="1"/>
  <c r="AI841" i="262" s="1"/>
  <c r="AI822" i="262"/>
  <c r="AI823" i="262" s="1"/>
  <c r="AI824" i="262" s="1"/>
  <c r="AI825" i="262" s="1"/>
  <c r="AI826" i="262" s="1"/>
  <c r="AI827" i="262" s="1"/>
  <c r="AI805" i="262"/>
  <c r="AI806" i="262" s="1"/>
  <c r="AI807" i="262" s="1"/>
  <c r="AI788" i="262"/>
  <c r="AI789" i="262" s="1"/>
  <c r="AI771" i="262"/>
  <c r="AI772" i="262" s="1"/>
  <c r="AI773" i="262" s="1"/>
  <c r="AI754" i="262"/>
  <c r="AI755" i="262" s="1"/>
  <c r="AI756" i="262" s="1"/>
  <c r="AI737" i="262"/>
  <c r="AI738" i="262" s="1"/>
  <c r="AI739" i="262" s="1"/>
  <c r="AI720" i="262"/>
  <c r="AI721" i="262" s="1"/>
  <c r="AI722" i="262" s="1"/>
  <c r="AI703" i="262"/>
  <c r="AI704" i="262" s="1"/>
  <c r="AI705" i="262" s="1"/>
  <c r="AI686" i="262"/>
  <c r="AI687" i="262" s="1"/>
  <c r="AI669" i="262"/>
  <c r="AI670" i="262" s="1"/>
  <c r="AI671" i="262" s="1"/>
  <c r="AI652" i="262"/>
  <c r="AI653" i="262" s="1"/>
  <c r="AI654" i="262" s="1"/>
  <c r="AI635" i="262"/>
  <c r="AI636" i="262" s="1"/>
  <c r="AI637" i="262" s="1"/>
  <c r="AI618" i="262"/>
  <c r="AI619" i="262" s="1"/>
  <c r="AI620" i="262" s="1"/>
  <c r="AI601" i="262"/>
  <c r="AI602" i="262" s="1"/>
  <c r="AI603" i="262" s="1"/>
  <c r="AI584" i="262"/>
  <c r="AI585" i="262" s="1"/>
  <c r="AI586" i="262" s="1"/>
  <c r="AI567" i="262"/>
  <c r="AI568" i="262" s="1"/>
  <c r="AI569" i="262" s="1"/>
  <c r="AI550" i="262"/>
  <c r="AI551" i="262" s="1"/>
  <c r="AI533" i="262"/>
  <c r="AI534" i="262" s="1"/>
  <c r="AI516" i="262"/>
  <c r="AI517" i="262" s="1"/>
  <c r="AI518" i="262" s="1"/>
  <c r="AI499" i="262"/>
  <c r="AI500" i="262" s="1"/>
  <c r="AI501" i="262" s="1"/>
  <c r="AI482" i="262"/>
  <c r="AI483" i="262" s="1"/>
  <c r="AI484" i="262" s="1"/>
  <c r="AI465" i="262"/>
  <c r="AI466" i="262" s="1"/>
  <c r="AI467" i="262" s="1"/>
  <c r="AI448" i="262"/>
  <c r="AI449" i="262" s="1"/>
  <c r="AI450" i="262" s="1"/>
  <c r="AI431" i="262"/>
  <c r="AI432" i="262" s="1"/>
  <c r="AI433" i="262" s="1"/>
  <c r="AI414" i="262"/>
  <c r="AI415" i="262" s="1"/>
  <c r="AI397" i="262"/>
  <c r="AI398" i="262" s="1"/>
  <c r="AI399" i="262" s="1"/>
  <c r="AI380" i="262"/>
  <c r="AI381" i="262" s="1"/>
  <c r="AI363" i="262"/>
  <c r="AI364" i="262" s="1"/>
  <c r="AI346" i="262"/>
  <c r="AI347" i="262" s="1"/>
  <c r="AY23" i="262"/>
  <c r="AY24" i="262" s="1"/>
  <c r="AY25" i="262" s="1"/>
  <c r="AY26" i="262" s="1"/>
  <c r="AY27" i="262" s="1"/>
  <c r="AA176" i="262"/>
  <c r="AA177" i="262" s="1"/>
  <c r="AI176" i="262"/>
  <c r="AI177" i="262" s="1"/>
  <c r="AA193" i="262"/>
  <c r="AA194" i="262" s="1"/>
  <c r="AI193" i="262"/>
  <c r="AI194" i="262" s="1"/>
  <c r="AA210" i="262"/>
  <c r="AA211" i="262" s="1"/>
  <c r="AI210" i="262"/>
  <c r="AI211" i="262" s="1"/>
  <c r="AA227" i="262"/>
  <c r="AA228" i="262" s="1"/>
  <c r="AI227" i="262"/>
  <c r="AI228" i="262" s="1"/>
  <c r="AA244" i="262"/>
  <c r="AA245" i="262" s="1"/>
  <c r="AA246" i="262" s="1"/>
  <c r="AI244" i="262"/>
  <c r="AI245" i="262" s="1"/>
  <c r="AI246" i="262" s="1"/>
  <c r="AA261" i="262"/>
  <c r="AA262" i="262" s="1"/>
  <c r="AA263" i="262" s="1"/>
  <c r="AI261" i="262"/>
  <c r="AI262" i="262" s="1"/>
  <c r="AI263" i="262" s="1"/>
  <c r="AA278" i="262"/>
  <c r="AA279" i="262" s="1"/>
  <c r="AA280" i="262" s="1"/>
  <c r="AI278" i="262"/>
  <c r="AI279" i="262" s="1"/>
  <c r="AI280" i="262" s="1"/>
  <c r="AA295" i="262"/>
  <c r="AA296" i="262" s="1"/>
  <c r="AA297" i="262" s="1"/>
  <c r="AI295" i="262"/>
  <c r="AI296" i="262" s="1"/>
  <c r="AI297" i="262" s="1"/>
  <c r="AA312" i="262"/>
  <c r="AA313" i="262" s="1"/>
  <c r="AA314" i="262" s="1"/>
  <c r="AI312" i="262"/>
  <c r="AI313" i="262" s="1"/>
  <c r="AI314" i="262" s="1"/>
  <c r="AA329" i="262"/>
  <c r="AA330" i="262" s="1"/>
  <c r="AI329" i="262"/>
  <c r="AI330" i="262" s="1"/>
  <c r="AQ23" i="262"/>
  <c r="AQ24" i="262" s="1"/>
  <c r="CA23" i="262"/>
  <c r="S807" i="262"/>
  <c r="O790" i="262"/>
  <c r="W790" i="262"/>
  <c r="AE790" i="262"/>
  <c r="O807" i="262"/>
  <c r="W807" i="262"/>
  <c r="AE807" i="262"/>
  <c r="O824" i="262"/>
  <c r="AE824" i="262"/>
  <c r="S789" i="262"/>
  <c r="S841" i="262"/>
  <c r="S858" i="262"/>
  <c r="S827" i="262"/>
  <c r="W823" i="262"/>
  <c r="O840" i="262"/>
  <c r="W840" i="262"/>
  <c r="AE840" i="262"/>
  <c r="O857" i="262"/>
  <c r="W857" i="262"/>
  <c r="AE857" i="262"/>
  <c r="S875" i="262"/>
  <c r="O892" i="262"/>
  <c r="O874" i="262"/>
  <c r="W874" i="262"/>
  <c r="AE874" i="262"/>
  <c r="W891" i="262"/>
  <c r="AE891" i="262"/>
  <c r="S892" i="262"/>
  <c r="S637" i="262"/>
  <c r="S654" i="262"/>
  <c r="S671" i="262"/>
  <c r="O636" i="262"/>
  <c r="W636" i="262"/>
  <c r="AE636" i="262"/>
  <c r="O653" i="262"/>
  <c r="W653" i="262"/>
  <c r="AE653" i="262"/>
  <c r="O670" i="262"/>
  <c r="W670" i="262"/>
  <c r="AE670" i="262"/>
  <c r="S705" i="262"/>
  <c r="O688" i="262"/>
  <c r="W688" i="262"/>
  <c r="AE688" i="262"/>
  <c r="O705" i="262"/>
  <c r="W705" i="262"/>
  <c r="AE705" i="262"/>
  <c r="S687" i="262"/>
  <c r="S722" i="262"/>
  <c r="S739" i="262"/>
  <c r="O722" i="262"/>
  <c r="W722" i="262"/>
  <c r="AE722" i="262"/>
  <c r="O739" i="262"/>
  <c r="W739" i="262"/>
  <c r="AE739" i="262"/>
  <c r="S756" i="262"/>
  <c r="O756" i="262"/>
  <c r="W756" i="262"/>
  <c r="AE756" i="262"/>
  <c r="S773" i="262"/>
  <c r="O773" i="262"/>
  <c r="W773" i="262"/>
  <c r="AE773" i="262"/>
  <c r="S484" i="262"/>
  <c r="S501" i="262"/>
  <c r="S518" i="262"/>
  <c r="O484" i="262"/>
  <c r="W484" i="262"/>
  <c r="AE484" i="262"/>
  <c r="O501" i="262"/>
  <c r="W501" i="262"/>
  <c r="AE501" i="262"/>
  <c r="O518" i="262"/>
  <c r="W518" i="262"/>
  <c r="AE518" i="262"/>
  <c r="O535" i="262"/>
  <c r="W535" i="262"/>
  <c r="AE535" i="262"/>
  <c r="O552" i="262"/>
  <c r="W552" i="262"/>
  <c r="AE552" i="262"/>
  <c r="S534" i="262"/>
  <c r="S551" i="262"/>
  <c r="S569" i="262"/>
  <c r="S586" i="262"/>
  <c r="O569" i="262"/>
  <c r="W569" i="262"/>
  <c r="AE569" i="262"/>
  <c r="O586" i="262"/>
  <c r="W586" i="262"/>
  <c r="AE586" i="262"/>
  <c r="O603" i="262"/>
  <c r="S602" i="262"/>
  <c r="W603" i="262"/>
  <c r="AE603" i="262"/>
  <c r="S620" i="262"/>
  <c r="O620" i="262"/>
  <c r="W620" i="262"/>
  <c r="AE620" i="262"/>
  <c r="O331" i="262"/>
  <c r="W331" i="262"/>
  <c r="AE331" i="262"/>
  <c r="O348" i="262"/>
  <c r="W348" i="262"/>
  <c r="AE348" i="262"/>
  <c r="O365" i="262"/>
  <c r="W365" i="262"/>
  <c r="AE365" i="262"/>
  <c r="S330" i="262"/>
  <c r="S347" i="262"/>
  <c r="S364" i="262"/>
  <c r="S399" i="262"/>
  <c r="O382" i="262"/>
  <c r="W382" i="262"/>
  <c r="AE382" i="262"/>
  <c r="O399" i="262"/>
  <c r="W399" i="262"/>
  <c r="AE399" i="262"/>
  <c r="S381" i="262"/>
  <c r="S433" i="262"/>
  <c r="O416" i="262"/>
  <c r="W416" i="262"/>
  <c r="AE416" i="262"/>
  <c r="O433" i="262"/>
  <c r="W433" i="262"/>
  <c r="AE433" i="262"/>
  <c r="S415" i="262"/>
  <c r="S450" i="262"/>
  <c r="O450" i="262"/>
  <c r="W450" i="262"/>
  <c r="AE450" i="262"/>
  <c r="S467" i="262"/>
  <c r="O467" i="262"/>
  <c r="W467" i="262"/>
  <c r="AE467" i="262"/>
  <c r="AE178" i="262"/>
  <c r="O178" i="262"/>
  <c r="W178" i="262"/>
  <c r="O195" i="262"/>
  <c r="W195" i="262"/>
  <c r="AE195" i="262"/>
  <c r="O212" i="262"/>
  <c r="W212" i="262"/>
  <c r="AE212" i="262"/>
  <c r="S177" i="262"/>
  <c r="S194" i="262"/>
  <c r="S211" i="262"/>
  <c r="S246" i="262"/>
  <c r="O229" i="262"/>
  <c r="W229" i="262"/>
  <c r="AE229" i="262"/>
  <c r="O246" i="262"/>
  <c r="W246" i="262"/>
  <c r="AE246" i="262"/>
  <c r="S228" i="262"/>
  <c r="S263" i="262"/>
  <c r="S280" i="262"/>
  <c r="O263" i="262"/>
  <c r="W263" i="262"/>
  <c r="AE263" i="262"/>
  <c r="O280" i="262"/>
  <c r="W280" i="262"/>
  <c r="AE280" i="262"/>
  <c r="S297" i="262"/>
  <c r="O297" i="262"/>
  <c r="W297" i="262"/>
  <c r="AE297" i="262"/>
  <c r="S314" i="262"/>
  <c r="O314" i="262"/>
  <c r="W314" i="262"/>
  <c r="AE314" i="262"/>
  <c r="BS25" i="262"/>
  <c r="AU24" i="262"/>
  <c r="AM24" i="262"/>
  <c r="AI23" i="262"/>
  <c r="AI24" i="262" s="1"/>
  <c r="AI25" i="262" s="1"/>
  <c r="AA74" i="262"/>
  <c r="AA75" i="262" s="1"/>
  <c r="AA76" i="262" s="1"/>
  <c r="AI74" i="262"/>
  <c r="AI75" i="262" s="1"/>
  <c r="AI76" i="262" s="1"/>
  <c r="AA91" i="262"/>
  <c r="AA92" i="262" s="1"/>
  <c r="AA93" i="262" s="1"/>
  <c r="AI91" i="262"/>
  <c r="AI92" i="262" s="1"/>
  <c r="AI93" i="262" s="1"/>
  <c r="AA108" i="262"/>
  <c r="AA109" i="262" s="1"/>
  <c r="AA110" i="262" s="1"/>
  <c r="AA111" i="262" s="1"/>
  <c r="AI108" i="262"/>
  <c r="AI109" i="262" s="1"/>
  <c r="AI110" i="262" s="1"/>
  <c r="AI111" i="262" s="1"/>
  <c r="AA159" i="262"/>
  <c r="AA160" i="262" s="1"/>
  <c r="AA161" i="262" s="1"/>
  <c r="AI159" i="262"/>
  <c r="AI160" i="262" s="1"/>
  <c r="AI161" i="262" s="1"/>
  <c r="AA40" i="262"/>
  <c r="AA41" i="262" s="1"/>
  <c r="AI40" i="262"/>
  <c r="AI41" i="262" s="1"/>
  <c r="AA57" i="262"/>
  <c r="AA58" i="262" s="1"/>
  <c r="AA59" i="262" s="1"/>
  <c r="AI57" i="262"/>
  <c r="AI58" i="262" s="1"/>
  <c r="AI59" i="262" s="1"/>
  <c r="AI60" i="262" s="1"/>
  <c r="AA125" i="262"/>
  <c r="AA126" i="262" s="1"/>
  <c r="AI125" i="262"/>
  <c r="AI126" i="262" s="1"/>
  <c r="AA142" i="262"/>
  <c r="AA143" i="262" s="1"/>
  <c r="AA144" i="262" s="1"/>
  <c r="AA145" i="262" s="1"/>
  <c r="O162" i="262"/>
  <c r="AE162" i="262"/>
  <c r="S161" i="262"/>
  <c r="W162" i="262"/>
  <c r="O144" i="262"/>
  <c r="W144" i="262"/>
  <c r="AE144" i="262"/>
  <c r="S145" i="262"/>
  <c r="O127" i="262"/>
  <c r="S126" i="262"/>
  <c r="W127" i="262"/>
  <c r="AE128" i="262"/>
  <c r="S111" i="262"/>
  <c r="O110" i="262"/>
  <c r="W110" i="262"/>
  <c r="AE110" i="262"/>
  <c r="AE94" i="262"/>
  <c r="S93" i="262"/>
  <c r="W94" i="262"/>
  <c r="O94" i="262"/>
  <c r="O77" i="262"/>
  <c r="W75" i="262"/>
  <c r="AE75" i="262"/>
  <c r="S76" i="262"/>
  <c r="O58" i="262"/>
  <c r="W58" i="262"/>
  <c r="AE58" i="262"/>
  <c r="S59" i="262"/>
  <c r="O42" i="262"/>
  <c r="AE42" i="262"/>
  <c r="S41" i="262"/>
  <c r="W42" i="262"/>
  <c r="AE25" i="262"/>
  <c r="F30" i="1101"/>
  <c r="D32" i="1101" s="1"/>
  <c r="D34" i="1101" s="1"/>
  <c r="L24" i="1101" s="1"/>
  <c r="E28" i="1100"/>
  <c r="G26" i="1100"/>
  <c r="E22" i="1100"/>
  <c r="E20" i="1100"/>
  <c r="G19" i="1100"/>
  <c r="E16" i="1100"/>
  <c r="E15" i="1099"/>
  <c r="E8" i="1099"/>
  <c r="E6" i="1099"/>
  <c r="E73" i="1103"/>
  <c r="F73" i="1103"/>
  <c r="E29" i="1100" l="1"/>
  <c r="E21" i="1100"/>
  <c r="N24" i="1101"/>
  <c r="M24" i="1101"/>
  <c r="P24" i="1101"/>
  <c r="S225" i="261"/>
  <c r="U327" i="261"/>
  <c r="U174" i="261"/>
  <c r="S293" i="261"/>
  <c r="S259" i="261"/>
  <c r="U140" i="261"/>
  <c r="U344" i="261"/>
  <c r="A107" i="1103"/>
  <c r="U276" i="261"/>
  <c r="U106" i="261"/>
  <c r="M174" i="261"/>
  <c r="K174" i="261"/>
  <c r="K123" i="261"/>
  <c r="M123" i="261"/>
  <c r="O276" i="261"/>
  <c r="Q276" i="261"/>
  <c r="S123" i="261"/>
  <c r="S310" i="261"/>
  <c r="Y140" i="261"/>
  <c r="W140" i="261"/>
  <c r="Y242" i="261"/>
  <c r="W242" i="261"/>
  <c r="Y327" i="261"/>
  <c r="W327" i="261"/>
  <c r="Y225" i="261"/>
  <c r="W225" i="261"/>
  <c r="K327" i="261"/>
  <c r="M327" i="261"/>
  <c r="Q157" i="261"/>
  <c r="O157" i="261"/>
  <c r="K276" i="261"/>
  <c r="M276" i="261"/>
  <c r="K106" i="261"/>
  <c r="M106" i="261"/>
  <c r="M225" i="261"/>
  <c r="K225" i="261"/>
  <c r="Y310" i="261"/>
  <c r="W310" i="261"/>
  <c r="O293" i="261"/>
  <c r="Q293" i="261"/>
  <c r="Y276" i="261"/>
  <c r="W276" i="261"/>
  <c r="O327" i="261"/>
  <c r="Q327" i="261"/>
  <c r="K157" i="261"/>
  <c r="M157" i="261"/>
  <c r="Y259" i="261"/>
  <c r="W259" i="261"/>
  <c r="O106" i="261"/>
  <c r="Q106" i="261"/>
  <c r="M259" i="261"/>
  <c r="K259" i="261"/>
  <c r="Y344" i="261"/>
  <c r="W344" i="261"/>
  <c r="O174" i="261"/>
  <c r="Q174" i="261"/>
  <c r="W293" i="261"/>
  <c r="Y293" i="261"/>
  <c r="Y106" i="261"/>
  <c r="W106" i="261"/>
  <c r="O242" i="261"/>
  <c r="Q242" i="261"/>
  <c r="O344" i="261"/>
  <c r="Q344" i="261"/>
  <c r="Q140" i="261"/>
  <c r="O140" i="261"/>
  <c r="K242" i="261"/>
  <c r="M242" i="261"/>
  <c r="Y123" i="261"/>
  <c r="W123" i="261"/>
  <c r="M140" i="261"/>
  <c r="K140" i="261"/>
  <c r="Q225" i="261"/>
  <c r="O225" i="261"/>
  <c r="K310" i="261"/>
  <c r="M310" i="261"/>
  <c r="Y174" i="261"/>
  <c r="W174" i="261"/>
  <c r="O310" i="261"/>
  <c r="Q310" i="261"/>
  <c r="Q123" i="261"/>
  <c r="O123" i="261"/>
  <c r="O259" i="261"/>
  <c r="Q259" i="261"/>
  <c r="M344" i="261"/>
  <c r="K344" i="261"/>
  <c r="W157" i="261"/>
  <c r="Y157" i="261"/>
  <c r="K293" i="261"/>
  <c r="M293" i="261"/>
  <c r="S42" i="1103"/>
  <c r="S25" i="1103"/>
  <c r="O44" i="1103"/>
  <c r="O27" i="1103"/>
  <c r="AA25" i="1103"/>
  <c r="K25" i="1103"/>
  <c r="AI25" i="1103"/>
  <c r="W27" i="1103"/>
  <c r="AE27" i="1103"/>
  <c r="K42" i="1103"/>
  <c r="K213" i="261"/>
  <c r="S213" i="261"/>
  <c r="W213" i="261"/>
  <c r="O213" i="261"/>
  <c r="K196" i="261"/>
  <c r="S196" i="261"/>
  <c r="W196" i="261"/>
  <c r="O196" i="261"/>
  <c r="K94" i="261"/>
  <c r="S94" i="261"/>
  <c r="O94" i="261"/>
  <c r="W93" i="261"/>
  <c r="K77" i="261"/>
  <c r="S77" i="261"/>
  <c r="W77" i="261"/>
  <c r="O77" i="261"/>
  <c r="K60" i="261"/>
  <c r="S60" i="261"/>
  <c r="O60" i="261"/>
  <c r="W59" i="261"/>
  <c r="O43" i="261"/>
  <c r="W42" i="261"/>
  <c r="AA893" i="262"/>
  <c r="W875" i="262"/>
  <c r="AI876" i="262"/>
  <c r="AA876" i="262"/>
  <c r="S876" i="262"/>
  <c r="W858" i="262"/>
  <c r="AE841" i="262"/>
  <c r="O841" i="262"/>
  <c r="AI828" i="262"/>
  <c r="S828" i="262"/>
  <c r="AA790" i="262"/>
  <c r="AE808" i="262"/>
  <c r="W808" i="262"/>
  <c r="O808" i="262"/>
  <c r="AE791" i="262"/>
  <c r="W791" i="262"/>
  <c r="O791" i="262"/>
  <c r="S893" i="262"/>
  <c r="AE892" i="262"/>
  <c r="W892" i="262"/>
  <c r="AE875" i="262"/>
  <c r="O875" i="262"/>
  <c r="O893" i="262"/>
  <c r="AI894" i="262"/>
  <c r="AE858" i="262"/>
  <c r="O858" i="262"/>
  <c r="W841" i="262"/>
  <c r="W824" i="262"/>
  <c r="AA828" i="262"/>
  <c r="AI859" i="262"/>
  <c r="AA859" i="262"/>
  <c r="S859" i="262"/>
  <c r="AI842" i="262"/>
  <c r="AA842" i="262"/>
  <c r="S842" i="262"/>
  <c r="AI790" i="262"/>
  <c r="S790" i="262"/>
  <c r="AE825" i="262"/>
  <c r="O825" i="262"/>
  <c r="AI808" i="262"/>
  <c r="AA808" i="262"/>
  <c r="S808" i="262"/>
  <c r="AA774" i="262"/>
  <c r="S774" i="262"/>
  <c r="AE757" i="262"/>
  <c r="W757" i="262"/>
  <c r="O757" i="262"/>
  <c r="AE740" i="262"/>
  <c r="W740" i="262"/>
  <c r="O740" i="262"/>
  <c r="AE723" i="262"/>
  <c r="W723" i="262"/>
  <c r="O723" i="262"/>
  <c r="AA688" i="262"/>
  <c r="AE706" i="262"/>
  <c r="W706" i="262"/>
  <c r="O706" i="262"/>
  <c r="AE689" i="262"/>
  <c r="W689" i="262"/>
  <c r="O689" i="262"/>
  <c r="AE671" i="262"/>
  <c r="O671" i="262"/>
  <c r="W654" i="262"/>
  <c r="AE637" i="262"/>
  <c r="O637" i="262"/>
  <c r="AE774" i="262"/>
  <c r="W774" i="262"/>
  <c r="O774" i="262"/>
  <c r="AI774" i="262"/>
  <c r="AI757" i="262"/>
  <c r="AA757" i="262"/>
  <c r="S757" i="262"/>
  <c r="AI740" i="262"/>
  <c r="AA740" i="262"/>
  <c r="S740" i="262"/>
  <c r="AI723" i="262"/>
  <c r="AA723" i="262"/>
  <c r="S723" i="262"/>
  <c r="AI688" i="262"/>
  <c r="S688" i="262"/>
  <c r="AI706" i="262"/>
  <c r="AA706" i="262"/>
  <c r="S706" i="262"/>
  <c r="W671" i="262"/>
  <c r="AE654" i="262"/>
  <c r="O654" i="262"/>
  <c r="W637" i="262"/>
  <c r="AI672" i="262"/>
  <c r="AA672" i="262"/>
  <c r="S672" i="262"/>
  <c r="AI655" i="262"/>
  <c r="AA655" i="262"/>
  <c r="S655" i="262"/>
  <c r="AI638" i="262"/>
  <c r="AA638" i="262"/>
  <c r="S638" i="262"/>
  <c r="W621" i="262"/>
  <c r="O621" i="262"/>
  <c r="AI604" i="262"/>
  <c r="AA604" i="262"/>
  <c r="S603" i="262"/>
  <c r="AI587" i="262"/>
  <c r="AA587" i="262"/>
  <c r="S587" i="262"/>
  <c r="AI570" i="262"/>
  <c r="AA570" i="262"/>
  <c r="S570" i="262"/>
  <c r="AI552" i="262"/>
  <c r="S552" i="262"/>
  <c r="AA535" i="262"/>
  <c r="AE553" i="262"/>
  <c r="W553" i="262"/>
  <c r="O553" i="262"/>
  <c r="AE536" i="262"/>
  <c r="W536" i="262"/>
  <c r="O536" i="262"/>
  <c r="AE519" i="262"/>
  <c r="W519" i="262"/>
  <c r="O519" i="262"/>
  <c r="AE502" i="262"/>
  <c r="W502" i="262"/>
  <c r="O502" i="262"/>
  <c r="AE485" i="262"/>
  <c r="W485" i="262"/>
  <c r="O485" i="262"/>
  <c r="AE621" i="262"/>
  <c r="AI621" i="262"/>
  <c r="AA621" i="262"/>
  <c r="S621" i="262"/>
  <c r="AE604" i="262"/>
  <c r="W604" i="262"/>
  <c r="O604" i="262"/>
  <c r="AE587" i="262"/>
  <c r="W587" i="262"/>
  <c r="O587" i="262"/>
  <c r="AE570" i="262"/>
  <c r="W570" i="262"/>
  <c r="O570" i="262"/>
  <c r="AA552" i="262"/>
  <c r="AI535" i="262"/>
  <c r="S535" i="262"/>
  <c r="AI519" i="262"/>
  <c r="AA519" i="262"/>
  <c r="S519" i="262"/>
  <c r="AI502" i="262"/>
  <c r="AA502" i="262"/>
  <c r="S502" i="262"/>
  <c r="AI485" i="262"/>
  <c r="AA485" i="262"/>
  <c r="S485" i="262"/>
  <c r="W468" i="262"/>
  <c r="AI468" i="262"/>
  <c r="AA468" i="262"/>
  <c r="S468" i="262"/>
  <c r="AE451" i="262"/>
  <c r="W451" i="262"/>
  <c r="O451" i="262"/>
  <c r="AI416" i="262"/>
  <c r="S416" i="262"/>
  <c r="AA434" i="262"/>
  <c r="S434" i="262"/>
  <c r="AA382" i="262"/>
  <c r="AE400" i="262"/>
  <c r="W400" i="262"/>
  <c r="O400" i="262"/>
  <c r="AE383" i="262"/>
  <c r="W383" i="262"/>
  <c r="O383" i="262"/>
  <c r="AA331" i="262"/>
  <c r="AI400" i="262"/>
  <c r="AA400" i="262"/>
  <c r="S400" i="262"/>
  <c r="AI365" i="262"/>
  <c r="S365" i="262"/>
  <c r="AA348" i="262"/>
  <c r="S331" i="262"/>
  <c r="AE366" i="262"/>
  <c r="W366" i="262"/>
  <c r="O366" i="262"/>
  <c r="AE349" i="262"/>
  <c r="W349" i="262"/>
  <c r="O349" i="262"/>
  <c r="AE332" i="262"/>
  <c r="W332" i="262"/>
  <c r="O332" i="262"/>
  <c r="AE468" i="262"/>
  <c r="O468" i="262"/>
  <c r="AI451" i="262"/>
  <c r="AA451" i="262"/>
  <c r="S451" i="262"/>
  <c r="AA416" i="262"/>
  <c r="AE434" i="262"/>
  <c r="W434" i="262"/>
  <c r="O434" i="262"/>
  <c r="AE417" i="262"/>
  <c r="W417" i="262"/>
  <c r="O417" i="262"/>
  <c r="AI434" i="262"/>
  <c r="AI382" i="262"/>
  <c r="S382" i="262"/>
  <c r="AI331" i="262"/>
  <c r="AA365" i="262"/>
  <c r="AI348" i="262"/>
  <c r="S348" i="262"/>
  <c r="W315" i="262"/>
  <c r="O315" i="262"/>
  <c r="AE298" i="262"/>
  <c r="W298" i="262"/>
  <c r="O298" i="262"/>
  <c r="AE281" i="262"/>
  <c r="W281" i="262"/>
  <c r="O281" i="262"/>
  <c r="AE264" i="262"/>
  <c r="W264" i="262"/>
  <c r="O264" i="262"/>
  <c r="AA229" i="262"/>
  <c r="AE247" i="262"/>
  <c r="W247" i="262"/>
  <c r="O247" i="262"/>
  <c r="AE230" i="262"/>
  <c r="W230" i="262"/>
  <c r="O230" i="262"/>
  <c r="AA212" i="262"/>
  <c r="AI195" i="262"/>
  <c r="S195" i="262"/>
  <c r="AA178" i="262"/>
  <c r="AE213" i="262"/>
  <c r="W213" i="262"/>
  <c r="O213" i="262"/>
  <c r="AE196" i="262"/>
  <c r="W196" i="262"/>
  <c r="O196" i="262"/>
  <c r="W179" i="262"/>
  <c r="O179" i="262"/>
  <c r="AE315" i="262"/>
  <c r="AI315" i="262"/>
  <c r="AA315" i="262"/>
  <c r="S315" i="262"/>
  <c r="AI298" i="262"/>
  <c r="AA298" i="262"/>
  <c r="S298" i="262"/>
  <c r="AI281" i="262"/>
  <c r="AA281" i="262"/>
  <c r="S281" i="262"/>
  <c r="AI264" i="262"/>
  <c r="AA264" i="262"/>
  <c r="S264" i="262"/>
  <c r="AI229" i="262"/>
  <c r="S229" i="262"/>
  <c r="AI247" i="262"/>
  <c r="AA247" i="262"/>
  <c r="S247" i="262"/>
  <c r="AI212" i="262"/>
  <c r="S212" i="262"/>
  <c r="AA195" i="262"/>
  <c r="AI178" i="262"/>
  <c r="S178" i="262"/>
  <c r="AE179" i="262"/>
  <c r="BS26" i="262"/>
  <c r="AU25" i="262"/>
  <c r="AY28" i="262"/>
  <c r="AQ25" i="262"/>
  <c r="AM25" i="262"/>
  <c r="W163" i="262"/>
  <c r="AI162" i="262"/>
  <c r="AA162" i="262"/>
  <c r="S162" i="262"/>
  <c r="AE163" i="262"/>
  <c r="O163" i="262"/>
  <c r="AI146" i="262"/>
  <c r="S146" i="262"/>
  <c r="AA146" i="262"/>
  <c r="AE145" i="262"/>
  <c r="W145" i="262"/>
  <c r="O145" i="262"/>
  <c r="AE129" i="262"/>
  <c r="W128" i="262"/>
  <c r="AI127" i="262"/>
  <c r="AA127" i="262"/>
  <c r="S127" i="262"/>
  <c r="O128" i="262"/>
  <c r="AA112" i="262"/>
  <c r="AE111" i="262"/>
  <c r="W111" i="262"/>
  <c r="O111" i="262"/>
  <c r="AI112" i="262"/>
  <c r="S112" i="262"/>
  <c r="O95" i="262"/>
  <c r="W95" i="262"/>
  <c r="AI94" i="262"/>
  <c r="AA94" i="262"/>
  <c r="S94" i="262"/>
  <c r="AE95" i="262"/>
  <c r="AI77" i="262"/>
  <c r="S77" i="262"/>
  <c r="AA77" i="262"/>
  <c r="O78" i="262"/>
  <c r="AE76" i="262"/>
  <c r="W76" i="262"/>
  <c r="S60" i="262"/>
  <c r="AI61" i="262"/>
  <c r="AA60" i="262"/>
  <c r="AE59" i="262"/>
  <c r="W59" i="262"/>
  <c r="O59" i="262"/>
  <c r="W43" i="262"/>
  <c r="AI42" i="262"/>
  <c r="S42" i="262"/>
  <c r="AE43" i="262"/>
  <c r="O43" i="262"/>
  <c r="AA42" i="262"/>
  <c r="AE26" i="262"/>
  <c r="AI26" i="262"/>
  <c r="L23" i="1101"/>
  <c r="L22" i="1101"/>
  <c r="L21" i="1101"/>
  <c r="L20" i="1101"/>
  <c r="L19" i="1101"/>
  <c r="L18" i="1101"/>
  <c r="L17" i="1101"/>
  <c r="L16" i="1101"/>
  <c r="L15" i="1101"/>
  <c r="L14" i="1101"/>
  <c r="L13" i="1101"/>
  <c r="B35" i="264"/>
  <c r="B34" i="264"/>
  <c r="C34" i="264" s="1"/>
  <c r="C16" i="264"/>
  <c r="E90" i="1103"/>
  <c r="F90" i="1103"/>
  <c r="Q24" i="1101" l="1"/>
  <c r="R24" i="1101"/>
  <c r="A124" i="1103"/>
  <c r="S26" i="1103"/>
  <c r="S43" i="1103"/>
  <c r="O28" i="1103"/>
  <c r="O45" i="1103"/>
  <c r="K43" i="1103"/>
  <c r="AE28" i="1103"/>
  <c r="W28" i="1103"/>
  <c r="AI26" i="1103"/>
  <c r="K26" i="1103"/>
  <c r="AA26" i="1103"/>
  <c r="S214" i="261"/>
  <c r="K214" i="261"/>
  <c r="O214" i="261"/>
  <c r="W214" i="261"/>
  <c r="S197" i="261"/>
  <c r="K197" i="261"/>
  <c r="O197" i="261"/>
  <c r="W197" i="261"/>
  <c r="S95" i="261"/>
  <c r="K95" i="261"/>
  <c r="W94" i="261"/>
  <c r="O95" i="261"/>
  <c r="S78" i="261"/>
  <c r="K78" i="261"/>
  <c r="O78" i="261"/>
  <c r="W78" i="261"/>
  <c r="S61" i="261"/>
  <c r="K61" i="261"/>
  <c r="W60" i="261"/>
  <c r="O61" i="261"/>
  <c r="W43" i="261"/>
  <c r="O44" i="261"/>
  <c r="S809" i="262"/>
  <c r="AA809" i="262"/>
  <c r="AI809" i="262"/>
  <c r="O826" i="262"/>
  <c r="AE826" i="262"/>
  <c r="S791" i="262"/>
  <c r="AI791" i="262"/>
  <c r="W825" i="262"/>
  <c r="W842" i="262"/>
  <c r="O859" i="262"/>
  <c r="AE859" i="262"/>
  <c r="AI895" i="262"/>
  <c r="O876" i="262"/>
  <c r="AE876" i="262"/>
  <c r="S894" i="262"/>
  <c r="AA791" i="262"/>
  <c r="O842" i="262"/>
  <c r="AE842" i="262"/>
  <c r="W859" i="262"/>
  <c r="W876" i="262"/>
  <c r="AA894" i="262"/>
  <c r="S843" i="262"/>
  <c r="AA843" i="262"/>
  <c r="AI843" i="262"/>
  <c r="S860" i="262"/>
  <c r="AA860" i="262"/>
  <c r="AI860" i="262"/>
  <c r="AA829" i="262"/>
  <c r="O894" i="262"/>
  <c r="W893" i="262"/>
  <c r="AE893" i="262"/>
  <c r="O792" i="262"/>
  <c r="W792" i="262"/>
  <c r="AE792" i="262"/>
  <c r="O809" i="262"/>
  <c r="W809" i="262"/>
  <c r="AE809" i="262"/>
  <c r="S829" i="262"/>
  <c r="AI829" i="262"/>
  <c r="S877" i="262"/>
  <c r="AA877" i="262"/>
  <c r="AI877" i="262"/>
  <c r="W638" i="262"/>
  <c r="O655" i="262"/>
  <c r="AE655" i="262"/>
  <c r="W672" i="262"/>
  <c r="S707" i="262"/>
  <c r="AA707" i="262"/>
  <c r="AI707" i="262"/>
  <c r="S689" i="262"/>
  <c r="AI689" i="262"/>
  <c r="S724" i="262"/>
  <c r="AA724" i="262"/>
  <c r="AI724" i="262"/>
  <c r="S758" i="262"/>
  <c r="AA758" i="262"/>
  <c r="AI758" i="262"/>
  <c r="O638" i="262"/>
  <c r="AE638" i="262"/>
  <c r="W655" i="262"/>
  <c r="O672" i="262"/>
  <c r="AE672" i="262"/>
  <c r="AA689" i="262"/>
  <c r="S639" i="262"/>
  <c r="AA639" i="262"/>
  <c r="AI639" i="262"/>
  <c r="S656" i="262"/>
  <c r="AA656" i="262"/>
  <c r="AI656" i="262"/>
  <c r="S673" i="262"/>
  <c r="AA673" i="262"/>
  <c r="AI673" i="262"/>
  <c r="S741" i="262"/>
  <c r="AA741" i="262"/>
  <c r="AI741" i="262"/>
  <c r="AI775" i="262"/>
  <c r="O775" i="262"/>
  <c r="W775" i="262"/>
  <c r="AE775" i="262"/>
  <c r="O690" i="262"/>
  <c r="W690" i="262"/>
  <c r="AE690" i="262"/>
  <c r="O707" i="262"/>
  <c r="W707" i="262"/>
  <c r="AE707" i="262"/>
  <c r="O724" i="262"/>
  <c r="W724" i="262"/>
  <c r="AE724" i="262"/>
  <c r="O741" i="262"/>
  <c r="W741" i="262"/>
  <c r="AE741" i="262"/>
  <c r="O758" i="262"/>
  <c r="W758" i="262"/>
  <c r="AE758" i="262"/>
  <c r="S775" i="262"/>
  <c r="AA775" i="262"/>
  <c r="S536" i="262"/>
  <c r="AI536" i="262"/>
  <c r="AA553" i="262"/>
  <c r="O571" i="262"/>
  <c r="W571" i="262"/>
  <c r="AE571" i="262"/>
  <c r="O588" i="262"/>
  <c r="W588" i="262"/>
  <c r="AE588" i="262"/>
  <c r="O605" i="262"/>
  <c r="W605" i="262"/>
  <c r="AE605" i="262"/>
  <c r="AE622" i="262"/>
  <c r="O486" i="262"/>
  <c r="W486" i="262"/>
  <c r="AE486" i="262"/>
  <c r="O503" i="262"/>
  <c r="W503" i="262"/>
  <c r="AE503" i="262"/>
  <c r="O520" i="262"/>
  <c r="W520" i="262"/>
  <c r="AE520" i="262"/>
  <c r="AA536" i="262"/>
  <c r="S553" i="262"/>
  <c r="AI553" i="262"/>
  <c r="O622" i="262"/>
  <c r="W622" i="262"/>
  <c r="S486" i="262"/>
  <c r="AA486" i="262"/>
  <c r="AI486" i="262"/>
  <c r="S503" i="262"/>
  <c r="AA503" i="262"/>
  <c r="AI503" i="262"/>
  <c r="S520" i="262"/>
  <c r="AA520" i="262"/>
  <c r="AI520" i="262"/>
  <c r="S622" i="262"/>
  <c r="AA622" i="262"/>
  <c r="AI622" i="262"/>
  <c r="O537" i="262"/>
  <c r="W537" i="262"/>
  <c r="AE537" i="262"/>
  <c r="O554" i="262"/>
  <c r="W554" i="262"/>
  <c r="AE554" i="262"/>
  <c r="S571" i="262"/>
  <c r="AA571" i="262"/>
  <c r="AI571" i="262"/>
  <c r="S588" i="262"/>
  <c r="AA588" i="262"/>
  <c r="AI588" i="262"/>
  <c r="S604" i="262"/>
  <c r="AA605" i="262"/>
  <c r="AI605" i="262"/>
  <c r="S349" i="262"/>
  <c r="AI349" i="262"/>
  <c r="AA366" i="262"/>
  <c r="AI332" i="262"/>
  <c r="S383" i="262"/>
  <c r="AI383" i="262"/>
  <c r="AI435" i="262"/>
  <c r="AA417" i="262"/>
  <c r="S332" i="262"/>
  <c r="AA349" i="262"/>
  <c r="S366" i="262"/>
  <c r="AI366" i="262"/>
  <c r="S401" i="262"/>
  <c r="AA401" i="262"/>
  <c r="AI401" i="262"/>
  <c r="AA332" i="262"/>
  <c r="AA383" i="262"/>
  <c r="AA435" i="262"/>
  <c r="S417" i="262"/>
  <c r="AI417" i="262"/>
  <c r="O452" i="262"/>
  <c r="W452" i="262"/>
  <c r="AE452" i="262"/>
  <c r="O418" i="262"/>
  <c r="W418" i="262"/>
  <c r="AE418" i="262"/>
  <c r="O435" i="262"/>
  <c r="W435" i="262"/>
  <c r="AE435" i="262"/>
  <c r="S452" i="262"/>
  <c r="AA452" i="262"/>
  <c r="AI452" i="262"/>
  <c r="O469" i="262"/>
  <c r="AE469" i="262"/>
  <c r="O333" i="262"/>
  <c r="W333" i="262"/>
  <c r="AE333" i="262"/>
  <c r="O350" i="262"/>
  <c r="W350" i="262"/>
  <c r="AE350" i="262"/>
  <c r="O367" i="262"/>
  <c r="W367" i="262"/>
  <c r="AE367" i="262"/>
  <c r="O384" i="262"/>
  <c r="W384" i="262"/>
  <c r="AE384" i="262"/>
  <c r="O401" i="262"/>
  <c r="W401" i="262"/>
  <c r="AE401" i="262"/>
  <c r="S435" i="262"/>
  <c r="S469" i="262"/>
  <c r="AA469" i="262"/>
  <c r="AI469" i="262"/>
  <c r="W469" i="262"/>
  <c r="S179" i="262"/>
  <c r="AI179" i="262"/>
  <c r="AA196" i="262"/>
  <c r="S213" i="262"/>
  <c r="AI213" i="262"/>
  <c r="S248" i="262"/>
  <c r="AA248" i="262"/>
  <c r="AI248" i="262"/>
  <c r="S230" i="262"/>
  <c r="AI230" i="262"/>
  <c r="S265" i="262"/>
  <c r="AA265" i="262"/>
  <c r="AI265" i="262"/>
  <c r="S299" i="262"/>
  <c r="AA299" i="262"/>
  <c r="AI299" i="262"/>
  <c r="AA179" i="262"/>
  <c r="S196" i="262"/>
  <c r="AI196" i="262"/>
  <c r="AA213" i="262"/>
  <c r="AA230" i="262"/>
  <c r="AE180" i="262"/>
  <c r="S282" i="262"/>
  <c r="AA282" i="262"/>
  <c r="AI282" i="262"/>
  <c r="S316" i="262"/>
  <c r="AA316" i="262"/>
  <c r="AI316" i="262"/>
  <c r="AE316" i="262"/>
  <c r="O180" i="262"/>
  <c r="W180" i="262"/>
  <c r="O197" i="262"/>
  <c r="W197" i="262"/>
  <c r="AE197" i="262"/>
  <c r="O214" i="262"/>
  <c r="W214" i="262"/>
  <c r="AE214" i="262"/>
  <c r="O231" i="262"/>
  <c r="W231" i="262"/>
  <c r="AE231" i="262"/>
  <c r="O248" i="262"/>
  <c r="W248" i="262"/>
  <c r="AE248" i="262"/>
  <c r="O265" i="262"/>
  <c r="W265" i="262"/>
  <c r="AE265" i="262"/>
  <c r="O282" i="262"/>
  <c r="W282" i="262"/>
  <c r="AE282" i="262"/>
  <c r="O299" i="262"/>
  <c r="W299" i="262"/>
  <c r="AE299" i="262"/>
  <c r="O316" i="262"/>
  <c r="W316" i="262"/>
  <c r="BS27" i="262"/>
  <c r="AY29" i="262"/>
  <c r="AU26" i="262"/>
  <c r="AM26" i="262"/>
  <c r="AQ26" i="262"/>
  <c r="O164" i="262"/>
  <c r="AE164" i="262"/>
  <c r="S163" i="262"/>
  <c r="AA163" i="262"/>
  <c r="AI163" i="262"/>
  <c r="W164" i="262"/>
  <c r="AE146" i="262"/>
  <c r="O146" i="262"/>
  <c r="W146" i="262"/>
  <c r="AA147" i="262"/>
  <c r="S147" i="262"/>
  <c r="AI147" i="262"/>
  <c r="O129" i="262"/>
  <c r="S128" i="262"/>
  <c r="AA128" i="262"/>
  <c r="AI128" i="262"/>
  <c r="W129" i="262"/>
  <c r="AE130" i="262"/>
  <c r="O112" i="262"/>
  <c r="S113" i="262"/>
  <c r="AI113" i="262"/>
  <c r="W112" i="262"/>
  <c r="AE112" i="262"/>
  <c r="AA113" i="262"/>
  <c r="S95" i="262"/>
  <c r="AE96" i="262"/>
  <c r="AA95" i="262"/>
  <c r="AI95" i="262"/>
  <c r="W96" i="262"/>
  <c r="O96" i="262"/>
  <c r="AA78" i="262"/>
  <c r="W77" i="262"/>
  <c r="AE77" i="262"/>
  <c r="O79" i="262"/>
  <c r="S78" i="262"/>
  <c r="AI78" i="262"/>
  <c r="O60" i="262"/>
  <c r="W60" i="262"/>
  <c r="AE60" i="262"/>
  <c r="AA61" i="262"/>
  <c r="AI62" i="262"/>
  <c r="S61" i="262"/>
  <c r="AA43" i="262"/>
  <c r="S43" i="262"/>
  <c r="O44" i="262"/>
  <c r="AE44" i="262"/>
  <c r="AI43" i="262"/>
  <c r="W44" i="262"/>
  <c r="AI27" i="262"/>
  <c r="AE27" i="262"/>
  <c r="M13" i="1101"/>
  <c r="N13" i="1101"/>
  <c r="P13" i="1101"/>
  <c r="M15" i="1101"/>
  <c r="N15" i="1101"/>
  <c r="P15" i="1101"/>
  <c r="N17" i="1101"/>
  <c r="P17" i="1101"/>
  <c r="M17" i="1101"/>
  <c r="P19" i="1101"/>
  <c r="Q19" i="1101" s="1"/>
  <c r="M19" i="1101"/>
  <c r="M21" i="1101"/>
  <c r="P21" i="1101"/>
  <c r="Q21" i="1101" s="1"/>
  <c r="N23" i="1101"/>
  <c r="P23" i="1101"/>
  <c r="M23" i="1101"/>
  <c r="P14" i="1101"/>
  <c r="N14" i="1101"/>
  <c r="M14" i="1101"/>
  <c r="P16" i="1101"/>
  <c r="Q16" i="1101" s="1"/>
  <c r="M16" i="1101"/>
  <c r="N18" i="1101"/>
  <c r="P18" i="1101"/>
  <c r="M18" i="1101"/>
  <c r="N20" i="1101"/>
  <c r="P20" i="1101"/>
  <c r="M20" i="1101"/>
  <c r="P22" i="1101"/>
  <c r="Q22" i="1101" s="1"/>
  <c r="M22" i="1101"/>
  <c r="E107" i="1103"/>
  <c r="F107" i="1103"/>
  <c r="A141" i="1103" l="1"/>
  <c r="S44" i="1103"/>
  <c r="S27" i="1103"/>
  <c r="O46" i="1103"/>
  <c r="O29" i="1103"/>
  <c r="W29" i="1103"/>
  <c r="AE29" i="1103"/>
  <c r="K44" i="1103"/>
  <c r="AA27" i="1103"/>
  <c r="K27" i="1103"/>
  <c r="AI27" i="1103"/>
  <c r="K215" i="261"/>
  <c r="S215" i="261"/>
  <c r="W215" i="261"/>
  <c r="O215" i="261"/>
  <c r="W198" i="261"/>
  <c r="O198" i="261"/>
  <c r="K198" i="261"/>
  <c r="S198" i="261"/>
  <c r="O96" i="261"/>
  <c r="W95" i="261"/>
  <c r="K96" i="261"/>
  <c r="S96" i="261"/>
  <c r="K79" i="261"/>
  <c r="S79" i="261"/>
  <c r="W79" i="261"/>
  <c r="O79" i="261"/>
  <c r="K62" i="261"/>
  <c r="S62" i="261"/>
  <c r="O62" i="261"/>
  <c r="W61" i="261"/>
  <c r="O45" i="261"/>
  <c r="W44" i="261"/>
  <c r="AA895" i="262"/>
  <c r="W877" i="262"/>
  <c r="W860" i="262"/>
  <c r="AE843" i="262"/>
  <c r="O843" i="262"/>
  <c r="AA792" i="262"/>
  <c r="S895" i="262"/>
  <c r="AE877" i="262"/>
  <c r="O877" i="262"/>
  <c r="AI896" i="262"/>
  <c r="AE860" i="262"/>
  <c r="O860" i="262"/>
  <c r="W843" i="262"/>
  <c r="W826" i="262"/>
  <c r="AI792" i="262"/>
  <c r="S792" i="262"/>
  <c r="AE827" i="262"/>
  <c r="O827" i="262"/>
  <c r="AI810" i="262"/>
  <c r="AA810" i="262"/>
  <c r="S810" i="262"/>
  <c r="AI878" i="262"/>
  <c r="AA878" i="262"/>
  <c r="S878" i="262"/>
  <c r="AI830" i="262"/>
  <c r="S830" i="262"/>
  <c r="AE810" i="262"/>
  <c r="W810" i="262"/>
  <c r="O810" i="262"/>
  <c r="AE793" i="262"/>
  <c r="W793" i="262"/>
  <c r="O793" i="262"/>
  <c r="AE894" i="262"/>
  <c r="W894" i="262"/>
  <c r="O895" i="262"/>
  <c r="AA830" i="262"/>
  <c r="AI861" i="262"/>
  <c r="AA861" i="262"/>
  <c r="S861" i="262"/>
  <c r="AI844" i="262"/>
  <c r="AA844" i="262"/>
  <c r="S844" i="262"/>
  <c r="AA776" i="262"/>
  <c r="AI776" i="262"/>
  <c r="AI742" i="262"/>
  <c r="AA742" i="262"/>
  <c r="S742" i="262"/>
  <c r="AA690" i="262"/>
  <c r="AE673" i="262"/>
  <c r="O673" i="262"/>
  <c r="W656" i="262"/>
  <c r="AE639" i="262"/>
  <c r="O639" i="262"/>
  <c r="AI759" i="262"/>
  <c r="AA759" i="262"/>
  <c r="S759" i="262"/>
  <c r="AI725" i="262"/>
  <c r="AA725" i="262"/>
  <c r="S725" i="262"/>
  <c r="AI690" i="262"/>
  <c r="S690" i="262"/>
  <c r="AI708" i="262"/>
  <c r="AA708" i="262"/>
  <c r="S708" i="262"/>
  <c r="W673" i="262"/>
  <c r="AE656" i="262"/>
  <c r="O656" i="262"/>
  <c r="W639" i="262"/>
  <c r="S776" i="262"/>
  <c r="AE759" i="262"/>
  <c r="W759" i="262"/>
  <c r="O759" i="262"/>
  <c r="AE742" i="262"/>
  <c r="W742" i="262"/>
  <c r="O742" i="262"/>
  <c r="AE725" i="262"/>
  <c r="W725" i="262"/>
  <c r="O725" i="262"/>
  <c r="AE708" i="262"/>
  <c r="W708" i="262"/>
  <c r="O708" i="262"/>
  <c r="AE691" i="262"/>
  <c r="W691" i="262"/>
  <c r="O691" i="262"/>
  <c r="AE776" i="262"/>
  <c r="W776" i="262"/>
  <c r="O776" i="262"/>
  <c r="AI674" i="262"/>
  <c r="AA674" i="262"/>
  <c r="S674" i="262"/>
  <c r="AI657" i="262"/>
  <c r="AA657" i="262"/>
  <c r="S657" i="262"/>
  <c r="AI640" i="262"/>
  <c r="AA640" i="262"/>
  <c r="S640" i="262"/>
  <c r="W623" i="262"/>
  <c r="O623" i="262"/>
  <c r="AI554" i="262"/>
  <c r="S554" i="262"/>
  <c r="AA537" i="262"/>
  <c r="AE521" i="262"/>
  <c r="W521" i="262"/>
  <c r="O521" i="262"/>
  <c r="AE504" i="262"/>
  <c r="W504" i="262"/>
  <c r="O504" i="262"/>
  <c r="AE487" i="262"/>
  <c r="W487" i="262"/>
  <c r="O487" i="262"/>
  <c r="AE623" i="262"/>
  <c r="AE606" i="262"/>
  <c r="W606" i="262"/>
  <c r="O606" i="262"/>
  <c r="AE572" i="262"/>
  <c r="W572" i="262"/>
  <c r="O572" i="262"/>
  <c r="AA554" i="262"/>
  <c r="AI537" i="262"/>
  <c r="S537" i="262"/>
  <c r="AI606" i="262"/>
  <c r="AA606" i="262"/>
  <c r="S605" i="262"/>
  <c r="AI589" i="262"/>
  <c r="AA589" i="262"/>
  <c r="S589" i="262"/>
  <c r="AI572" i="262"/>
  <c r="AA572" i="262"/>
  <c r="S572" i="262"/>
  <c r="AE555" i="262"/>
  <c r="W555" i="262"/>
  <c r="O555" i="262"/>
  <c r="AE538" i="262"/>
  <c r="W538" i="262"/>
  <c r="O538" i="262"/>
  <c r="AI623" i="262"/>
  <c r="AA623" i="262"/>
  <c r="S623" i="262"/>
  <c r="AI521" i="262"/>
  <c r="AA521" i="262"/>
  <c r="S521" i="262"/>
  <c r="AI504" i="262"/>
  <c r="AA504" i="262"/>
  <c r="S504" i="262"/>
  <c r="AI487" i="262"/>
  <c r="AA487" i="262"/>
  <c r="S487" i="262"/>
  <c r="AE589" i="262"/>
  <c r="W589" i="262"/>
  <c r="O589" i="262"/>
  <c r="AI470" i="262"/>
  <c r="AA470" i="262"/>
  <c r="S470" i="262"/>
  <c r="S436" i="262"/>
  <c r="AE453" i="262"/>
  <c r="W453" i="262"/>
  <c r="O453" i="262"/>
  <c r="AI418" i="262"/>
  <c r="S418" i="262"/>
  <c r="AA436" i="262"/>
  <c r="AA384" i="262"/>
  <c r="AA333" i="262"/>
  <c r="AI402" i="262"/>
  <c r="AA402" i="262"/>
  <c r="S402" i="262"/>
  <c r="AI367" i="262"/>
  <c r="S367" i="262"/>
  <c r="AA350" i="262"/>
  <c r="S333" i="262"/>
  <c r="AA418" i="262"/>
  <c r="AI436" i="262"/>
  <c r="AI384" i="262"/>
  <c r="S384" i="262"/>
  <c r="AI333" i="262"/>
  <c r="AA367" i="262"/>
  <c r="AI350" i="262"/>
  <c r="S350" i="262"/>
  <c r="W470" i="262"/>
  <c r="AE402" i="262"/>
  <c r="W402" i="262"/>
  <c r="O402" i="262"/>
  <c r="AE385" i="262"/>
  <c r="W385" i="262"/>
  <c r="O385" i="262"/>
  <c r="AE368" i="262"/>
  <c r="W368" i="262"/>
  <c r="O368" i="262"/>
  <c r="AE351" i="262"/>
  <c r="W351" i="262"/>
  <c r="O351" i="262"/>
  <c r="AE334" i="262"/>
  <c r="W334" i="262"/>
  <c r="O334" i="262"/>
  <c r="AE470" i="262"/>
  <c r="O470" i="262"/>
  <c r="AI453" i="262"/>
  <c r="AA453" i="262"/>
  <c r="S453" i="262"/>
  <c r="AE436" i="262"/>
  <c r="W436" i="262"/>
  <c r="O436" i="262"/>
  <c r="AE419" i="262"/>
  <c r="W419" i="262"/>
  <c r="O419" i="262"/>
  <c r="W317" i="262"/>
  <c r="O317" i="262"/>
  <c r="AE317" i="262"/>
  <c r="AI283" i="262"/>
  <c r="AA283" i="262"/>
  <c r="S283" i="262"/>
  <c r="AA231" i="262"/>
  <c r="AA214" i="262"/>
  <c r="AI197" i="262"/>
  <c r="S197" i="262"/>
  <c r="AA180" i="262"/>
  <c r="AI300" i="262"/>
  <c r="AA300" i="262"/>
  <c r="S300" i="262"/>
  <c r="AI266" i="262"/>
  <c r="AA266" i="262"/>
  <c r="S266" i="262"/>
  <c r="AI231" i="262"/>
  <c r="S231" i="262"/>
  <c r="AI249" i="262"/>
  <c r="AA249" i="262"/>
  <c r="S249" i="262"/>
  <c r="AI214" i="262"/>
  <c r="S214" i="262"/>
  <c r="AA197" i="262"/>
  <c r="AI180" i="262"/>
  <c r="S180" i="262"/>
  <c r="AE300" i="262"/>
  <c r="W300" i="262"/>
  <c r="O300" i="262"/>
  <c r="AE283" i="262"/>
  <c r="W283" i="262"/>
  <c r="O283" i="262"/>
  <c r="AE266" i="262"/>
  <c r="W266" i="262"/>
  <c r="O266" i="262"/>
  <c r="AE249" i="262"/>
  <c r="W249" i="262"/>
  <c r="O249" i="262"/>
  <c r="AE232" i="262"/>
  <c r="W232" i="262"/>
  <c r="O232" i="262"/>
  <c r="AE215" i="262"/>
  <c r="W215" i="262"/>
  <c r="O215" i="262"/>
  <c r="AE198" i="262"/>
  <c r="W198" i="262"/>
  <c r="O198" i="262"/>
  <c r="W181" i="262"/>
  <c r="O181" i="262"/>
  <c r="AI317" i="262"/>
  <c r="AA317" i="262"/>
  <c r="S317" i="262"/>
  <c r="AE181" i="262"/>
  <c r="BS28" i="262"/>
  <c r="AY30" i="262"/>
  <c r="AU27" i="262"/>
  <c r="AQ27" i="262"/>
  <c r="AM27" i="262"/>
  <c r="W165" i="262"/>
  <c r="AI164" i="262"/>
  <c r="AA164" i="262"/>
  <c r="S164" i="262"/>
  <c r="AE165" i="262"/>
  <c r="O165" i="262"/>
  <c r="AI148" i="262"/>
  <c r="S148" i="262"/>
  <c r="AA148" i="262"/>
  <c r="W147" i="262"/>
  <c r="O147" i="262"/>
  <c r="AE147" i="262"/>
  <c r="AE131" i="262"/>
  <c r="W130" i="262"/>
  <c r="AI129" i="262"/>
  <c r="AA129" i="262"/>
  <c r="S129" i="262"/>
  <c r="O130" i="262"/>
  <c r="AA114" i="262"/>
  <c r="AE113" i="262"/>
  <c r="W113" i="262"/>
  <c r="AI114" i="262"/>
  <c r="S114" i="262"/>
  <c r="O113" i="262"/>
  <c r="O97" i="262"/>
  <c r="W97" i="262"/>
  <c r="AI96" i="262"/>
  <c r="AA96" i="262"/>
  <c r="AE97" i="262"/>
  <c r="S96" i="262"/>
  <c r="AI79" i="262"/>
  <c r="S79" i="262"/>
  <c r="O80" i="262"/>
  <c r="AE78" i="262"/>
  <c r="W78" i="262"/>
  <c r="AA79" i="262"/>
  <c r="S62" i="262"/>
  <c r="AI63" i="262"/>
  <c r="AA62" i="262"/>
  <c r="AE61" i="262"/>
  <c r="W61" i="262"/>
  <c r="O61" i="262"/>
  <c r="W45" i="262"/>
  <c r="AI44" i="262"/>
  <c r="AE45" i="262"/>
  <c r="O45" i="262"/>
  <c r="S44" i="262"/>
  <c r="AA44" i="262"/>
  <c r="AI28" i="262"/>
  <c r="AE28" i="262"/>
  <c r="Q14" i="1101"/>
  <c r="R14" i="1101"/>
  <c r="Q20" i="1101"/>
  <c r="R20" i="1101"/>
  <c r="R17" i="1101"/>
  <c r="Q17" i="1101"/>
  <c r="R15" i="1101"/>
  <c r="Q15" i="1101"/>
  <c r="R18" i="1101"/>
  <c r="Q18" i="1101"/>
  <c r="Q23" i="1101"/>
  <c r="R23" i="1101"/>
  <c r="R13" i="1101"/>
  <c r="Q13" i="1101"/>
  <c r="BW24" i="262"/>
  <c r="BW25" i="262" s="1"/>
  <c r="BO24" i="262"/>
  <c r="BK23" i="262"/>
  <c r="BK24" i="262" s="1"/>
  <c r="BK25" i="262" s="1"/>
  <c r="BK26" i="262" s="1"/>
  <c r="BK27" i="262" s="1"/>
  <c r="BK28" i="262" s="1"/>
  <c r="BK29" i="262" s="1"/>
  <c r="BK30" i="262" s="1"/>
  <c r="BK31" i="262" s="1"/>
  <c r="BK32" i="262" s="1"/>
  <c r="BK33" i="262" s="1"/>
  <c r="BK34" i="262" s="1"/>
  <c r="BK35" i="262" s="1"/>
  <c r="BK36" i="262" s="1"/>
  <c r="BK37" i="262" s="1"/>
  <c r="BG24" i="262"/>
  <c r="BG25" i="262" s="1"/>
  <c r="BG26" i="262" s="1"/>
  <c r="BG27" i="262" s="1"/>
  <c r="BG28" i="262" s="1"/>
  <c r="BG29" i="262" s="1"/>
  <c r="BG30" i="262" s="1"/>
  <c r="BG31" i="262" s="1"/>
  <c r="BG32" i="262" s="1"/>
  <c r="BG33" i="262" s="1"/>
  <c r="BG34" i="262" s="1"/>
  <c r="BG35" i="262" s="1"/>
  <c r="BG36" i="262" s="1"/>
  <c r="BG37" i="262" s="1"/>
  <c r="BC24" i="262"/>
  <c r="BC25" i="262" s="1"/>
  <c r="BC26" i="262" s="1"/>
  <c r="BC27" i="262" s="1"/>
  <c r="BC28" i="262" s="1"/>
  <c r="BC29" i="262" s="1"/>
  <c r="BC30" i="262" s="1"/>
  <c r="BC31" i="262" s="1"/>
  <c r="BC32" i="262" s="1"/>
  <c r="BC33" i="262" s="1"/>
  <c r="BC34" i="262" s="1"/>
  <c r="BC35" i="262" s="1"/>
  <c r="BC36" i="262" s="1"/>
  <c r="BC37" i="262" s="1"/>
  <c r="B4" i="313"/>
  <c r="K17" i="262"/>
  <c r="D22" i="313"/>
  <c r="C16" i="313"/>
  <c r="B17" i="313"/>
  <c r="I16" i="313"/>
  <c r="H16" i="313"/>
  <c r="G16" i="313"/>
  <c r="B2" i="313"/>
  <c r="F124" i="1103"/>
  <c r="E124" i="1103"/>
  <c r="R28" i="1101" l="1"/>
  <c r="A158" i="1103"/>
  <c r="B8" i="1103"/>
  <c r="B8" i="261"/>
  <c r="B10" i="1103"/>
  <c r="B10" i="261"/>
  <c r="B23" i="1103"/>
  <c r="B25" i="1103"/>
  <c r="B27" i="1103"/>
  <c r="B29" i="1103"/>
  <c r="B31" i="1103"/>
  <c r="B33" i="1103"/>
  <c r="B35" i="1103"/>
  <c r="B37" i="1103"/>
  <c r="B40" i="1103"/>
  <c r="B24" i="1103"/>
  <c r="B26" i="1103"/>
  <c r="B28" i="1103"/>
  <c r="B30" i="1103"/>
  <c r="B32" i="1103"/>
  <c r="B34" i="1103"/>
  <c r="B36" i="1103"/>
  <c r="B41" i="1103"/>
  <c r="B42" i="1103"/>
  <c r="B43" i="1103"/>
  <c r="B44" i="1103"/>
  <c r="B45" i="1103"/>
  <c r="B46" i="1103"/>
  <c r="B47" i="1103"/>
  <c r="B48" i="1103"/>
  <c r="B49" i="1103"/>
  <c r="B50" i="1103"/>
  <c r="B51" i="1103"/>
  <c r="B52" i="1103"/>
  <c r="B53" i="1103"/>
  <c r="B54" i="1103"/>
  <c r="B3" i="313"/>
  <c r="B9" i="1103"/>
  <c r="B9" i="261"/>
  <c r="S28" i="1103"/>
  <c r="S45" i="1103"/>
  <c r="O30" i="1103"/>
  <c r="O47" i="1103"/>
  <c r="AI28" i="1103"/>
  <c r="K28" i="1103"/>
  <c r="AA28" i="1103"/>
  <c r="K45" i="1103"/>
  <c r="AE30" i="1103"/>
  <c r="W30" i="1103"/>
  <c r="S216" i="261"/>
  <c r="K216" i="261"/>
  <c r="O216" i="261"/>
  <c r="W216" i="261"/>
  <c r="O199" i="261"/>
  <c r="W199" i="261"/>
  <c r="S199" i="261"/>
  <c r="K199" i="261"/>
  <c r="S97" i="261"/>
  <c r="K97" i="261"/>
  <c r="W96" i="261"/>
  <c r="O97" i="261"/>
  <c r="O80" i="261"/>
  <c r="W80" i="261"/>
  <c r="S80" i="261"/>
  <c r="K80" i="261"/>
  <c r="S63" i="261"/>
  <c r="K63" i="261"/>
  <c r="W62" i="261"/>
  <c r="O63" i="261"/>
  <c r="W45" i="261"/>
  <c r="O46" i="261"/>
  <c r="K890" i="262"/>
  <c r="K891" i="262" s="1"/>
  <c r="K892" i="262" s="1"/>
  <c r="K893" i="262" s="1"/>
  <c r="K894" i="262" s="1"/>
  <c r="K895" i="262" s="1"/>
  <c r="K896" i="262" s="1"/>
  <c r="K897" i="262" s="1"/>
  <c r="K873" i="262"/>
  <c r="K874" i="262" s="1"/>
  <c r="K875" i="262" s="1"/>
  <c r="K876" i="262" s="1"/>
  <c r="K877" i="262" s="1"/>
  <c r="K878" i="262" s="1"/>
  <c r="K879" i="262" s="1"/>
  <c r="K856" i="262"/>
  <c r="K857" i="262" s="1"/>
  <c r="K858" i="262" s="1"/>
  <c r="K859" i="262" s="1"/>
  <c r="K860" i="262" s="1"/>
  <c r="K861" i="262" s="1"/>
  <c r="K862" i="262" s="1"/>
  <c r="K839" i="262"/>
  <c r="K840" i="262" s="1"/>
  <c r="K841" i="262" s="1"/>
  <c r="K842" i="262" s="1"/>
  <c r="K843" i="262" s="1"/>
  <c r="K844" i="262" s="1"/>
  <c r="K845" i="262" s="1"/>
  <c r="K822" i="262"/>
  <c r="K823" i="262" s="1"/>
  <c r="K824" i="262" s="1"/>
  <c r="K825" i="262" s="1"/>
  <c r="K826" i="262" s="1"/>
  <c r="K827" i="262" s="1"/>
  <c r="K828" i="262" s="1"/>
  <c r="K829" i="262" s="1"/>
  <c r="K830" i="262" s="1"/>
  <c r="K831" i="262" s="1"/>
  <c r="K805" i="262"/>
  <c r="K806" i="262" s="1"/>
  <c r="K807" i="262" s="1"/>
  <c r="K808" i="262" s="1"/>
  <c r="K809" i="262" s="1"/>
  <c r="K810" i="262" s="1"/>
  <c r="K811" i="262" s="1"/>
  <c r="K788" i="262"/>
  <c r="K789" i="262" s="1"/>
  <c r="K790" i="262" s="1"/>
  <c r="K791" i="262" s="1"/>
  <c r="K792" i="262" s="1"/>
  <c r="K793" i="262" s="1"/>
  <c r="K771" i="262"/>
  <c r="K772" i="262" s="1"/>
  <c r="K773" i="262" s="1"/>
  <c r="K774" i="262" s="1"/>
  <c r="K775" i="262" s="1"/>
  <c r="K776" i="262" s="1"/>
  <c r="K777" i="262" s="1"/>
  <c r="K754" i="262"/>
  <c r="K755" i="262" s="1"/>
  <c r="K756" i="262" s="1"/>
  <c r="K757" i="262" s="1"/>
  <c r="K758" i="262" s="1"/>
  <c r="K759" i="262" s="1"/>
  <c r="K760" i="262" s="1"/>
  <c r="K737" i="262"/>
  <c r="K738" i="262" s="1"/>
  <c r="K739" i="262" s="1"/>
  <c r="K740" i="262" s="1"/>
  <c r="K741" i="262" s="1"/>
  <c r="K742" i="262" s="1"/>
  <c r="K743" i="262" s="1"/>
  <c r="K720" i="262"/>
  <c r="K721" i="262" s="1"/>
  <c r="K722" i="262" s="1"/>
  <c r="K723" i="262" s="1"/>
  <c r="K724" i="262" s="1"/>
  <c r="K725" i="262" s="1"/>
  <c r="K726" i="262" s="1"/>
  <c r="K703" i="262"/>
  <c r="K704" i="262" s="1"/>
  <c r="K705" i="262" s="1"/>
  <c r="K706" i="262" s="1"/>
  <c r="K707" i="262" s="1"/>
  <c r="K708" i="262" s="1"/>
  <c r="K709" i="262" s="1"/>
  <c r="K686" i="262"/>
  <c r="K687" i="262" s="1"/>
  <c r="K688" i="262" s="1"/>
  <c r="K689" i="262" s="1"/>
  <c r="K690" i="262" s="1"/>
  <c r="K691" i="262" s="1"/>
  <c r="K669" i="262"/>
  <c r="K670" i="262" s="1"/>
  <c r="K671" i="262" s="1"/>
  <c r="K672" i="262" s="1"/>
  <c r="K673" i="262" s="1"/>
  <c r="K674" i="262" s="1"/>
  <c r="K675" i="262" s="1"/>
  <c r="K652" i="262"/>
  <c r="K653" i="262" s="1"/>
  <c r="K654" i="262" s="1"/>
  <c r="K655" i="262" s="1"/>
  <c r="K656" i="262" s="1"/>
  <c r="K657" i="262" s="1"/>
  <c r="K658" i="262" s="1"/>
  <c r="K635" i="262"/>
  <c r="K636" i="262" s="1"/>
  <c r="K637" i="262" s="1"/>
  <c r="K638" i="262" s="1"/>
  <c r="K639" i="262" s="1"/>
  <c r="K640" i="262" s="1"/>
  <c r="K641" i="262" s="1"/>
  <c r="K618" i="262"/>
  <c r="K619" i="262" s="1"/>
  <c r="K620" i="262" s="1"/>
  <c r="K621" i="262" s="1"/>
  <c r="K622" i="262" s="1"/>
  <c r="K623" i="262" s="1"/>
  <c r="K624" i="262" s="1"/>
  <c r="K601" i="262"/>
  <c r="K602" i="262" s="1"/>
  <c r="K603" i="262" s="1"/>
  <c r="K604" i="262" s="1"/>
  <c r="K605" i="262" s="1"/>
  <c r="K606" i="262" s="1"/>
  <c r="K584" i="262"/>
  <c r="K585" i="262" s="1"/>
  <c r="K586" i="262" s="1"/>
  <c r="K587" i="262" s="1"/>
  <c r="K588" i="262" s="1"/>
  <c r="K589" i="262" s="1"/>
  <c r="K590" i="262" s="1"/>
  <c r="K567" i="262"/>
  <c r="K568" i="262" s="1"/>
  <c r="K569" i="262" s="1"/>
  <c r="K570" i="262" s="1"/>
  <c r="K571" i="262" s="1"/>
  <c r="K572" i="262" s="1"/>
  <c r="K573" i="262" s="1"/>
  <c r="K550" i="262"/>
  <c r="K551" i="262" s="1"/>
  <c r="K552" i="262" s="1"/>
  <c r="K553" i="262" s="1"/>
  <c r="K554" i="262" s="1"/>
  <c r="K555" i="262" s="1"/>
  <c r="K533" i="262"/>
  <c r="K534" i="262" s="1"/>
  <c r="K535" i="262" s="1"/>
  <c r="K536" i="262" s="1"/>
  <c r="K537" i="262" s="1"/>
  <c r="K538" i="262" s="1"/>
  <c r="K516" i="262"/>
  <c r="K517" i="262" s="1"/>
  <c r="K518" i="262" s="1"/>
  <c r="K519" i="262" s="1"/>
  <c r="K520" i="262" s="1"/>
  <c r="K521" i="262" s="1"/>
  <c r="K522" i="262" s="1"/>
  <c r="K499" i="262"/>
  <c r="K500" i="262" s="1"/>
  <c r="K501" i="262" s="1"/>
  <c r="K502" i="262" s="1"/>
  <c r="K503" i="262" s="1"/>
  <c r="K504" i="262" s="1"/>
  <c r="K505" i="262" s="1"/>
  <c r="K482" i="262"/>
  <c r="K483" i="262" s="1"/>
  <c r="K484" i="262" s="1"/>
  <c r="K485" i="262" s="1"/>
  <c r="K486" i="262" s="1"/>
  <c r="K487" i="262" s="1"/>
  <c r="K488" i="262" s="1"/>
  <c r="K465" i="262"/>
  <c r="K466" i="262" s="1"/>
  <c r="K467" i="262" s="1"/>
  <c r="K468" i="262" s="1"/>
  <c r="K469" i="262" s="1"/>
  <c r="K470" i="262" s="1"/>
  <c r="K471" i="262" s="1"/>
  <c r="K448" i="262"/>
  <c r="K449" i="262" s="1"/>
  <c r="K450" i="262" s="1"/>
  <c r="K451" i="262" s="1"/>
  <c r="K452" i="262" s="1"/>
  <c r="K453" i="262" s="1"/>
  <c r="K454" i="262" s="1"/>
  <c r="K431" i="262"/>
  <c r="K432" i="262" s="1"/>
  <c r="K433" i="262" s="1"/>
  <c r="K434" i="262" s="1"/>
  <c r="K435" i="262" s="1"/>
  <c r="K436" i="262" s="1"/>
  <c r="K437" i="262" s="1"/>
  <c r="K414" i="262"/>
  <c r="K415" i="262" s="1"/>
  <c r="K416" i="262" s="1"/>
  <c r="K417" i="262" s="1"/>
  <c r="K418" i="262" s="1"/>
  <c r="K419" i="262" s="1"/>
  <c r="K397" i="262"/>
  <c r="K398" i="262" s="1"/>
  <c r="K399" i="262" s="1"/>
  <c r="K400" i="262" s="1"/>
  <c r="K401" i="262" s="1"/>
  <c r="K402" i="262" s="1"/>
  <c r="K403" i="262" s="1"/>
  <c r="K380" i="262"/>
  <c r="K381" i="262" s="1"/>
  <c r="K382" i="262" s="1"/>
  <c r="K383" i="262" s="1"/>
  <c r="K384" i="262" s="1"/>
  <c r="K385" i="262" s="1"/>
  <c r="K363" i="262"/>
  <c r="K364" i="262" s="1"/>
  <c r="K365" i="262" s="1"/>
  <c r="K366" i="262" s="1"/>
  <c r="K367" i="262" s="1"/>
  <c r="K368" i="262" s="1"/>
  <c r="K346" i="262"/>
  <c r="K347" i="262" s="1"/>
  <c r="K348" i="262" s="1"/>
  <c r="K349" i="262" s="1"/>
  <c r="K350" i="262" s="1"/>
  <c r="K351" i="262" s="1"/>
  <c r="K329" i="262"/>
  <c r="K330" i="262" s="1"/>
  <c r="K331" i="262" s="1"/>
  <c r="K332" i="262" s="1"/>
  <c r="K333" i="262" s="1"/>
  <c r="K334" i="262" s="1"/>
  <c r="K312" i="262"/>
  <c r="K313" i="262" s="1"/>
  <c r="K314" i="262" s="1"/>
  <c r="K315" i="262" s="1"/>
  <c r="K316" i="262" s="1"/>
  <c r="K317" i="262" s="1"/>
  <c r="K318" i="262" s="1"/>
  <c r="K295" i="262"/>
  <c r="K296" i="262" s="1"/>
  <c r="K297" i="262" s="1"/>
  <c r="K298" i="262" s="1"/>
  <c r="K299" i="262" s="1"/>
  <c r="K300" i="262" s="1"/>
  <c r="K301" i="262" s="1"/>
  <c r="K278" i="262"/>
  <c r="K279" i="262" s="1"/>
  <c r="K280" i="262" s="1"/>
  <c r="K281" i="262" s="1"/>
  <c r="K282" i="262" s="1"/>
  <c r="K283" i="262" s="1"/>
  <c r="K284" i="262" s="1"/>
  <c r="K261" i="262"/>
  <c r="K262" i="262" s="1"/>
  <c r="K263" i="262" s="1"/>
  <c r="K264" i="262" s="1"/>
  <c r="K265" i="262" s="1"/>
  <c r="K266" i="262" s="1"/>
  <c r="K267" i="262" s="1"/>
  <c r="K244" i="262"/>
  <c r="K245" i="262" s="1"/>
  <c r="K246" i="262" s="1"/>
  <c r="K247" i="262" s="1"/>
  <c r="K248" i="262" s="1"/>
  <c r="K249" i="262" s="1"/>
  <c r="K250" i="262" s="1"/>
  <c r="K227" i="262"/>
  <c r="K228" i="262" s="1"/>
  <c r="K229" i="262" s="1"/>
  <c r="K230" i="262" s="1"/>
  <c r="K231" i="262" s="1"/>
  <c r="K232" i="262" s="1"/>
  <c r="K210" i="262"/>
  <c r="K211" i="262" s="1"/>
  <c r="K212" i="262" s="1"/>
  <c r="K213" i="262" s="1"/>
  <c r="K214" i="262" s="1"/>
  <c r="K215" i="262" s="1"/>
  <c r="K193" i="262"/>
  <c r="K194" i="262" s="1"/>
  <c r="K195" i="262" s="1"/>
  <c r="K196" i="262" s="1"/>
  <c r="K197" i="262" s="1"/>
  <c r="K198" i="262" s="1"/>
  <c r="K176" i="262"/>
  <c r="K177" i="262" s="1"/>
  <c r="K178" i="262" s="1"/>
  <c r="K179" i="262" s="1"/>
  <c r="K180" i="262" s="1"/>
  <c r="K181" i="262" s="1"/>
  <c r="S811" i="262"/>
  <c r="AA811" i="262"/>
  <c r="AI811" i="262"/>
  <c r="O828" i="262"/>
  <c r="AE828" i="262"/>
  <c r="S793" i="262"/>
  <c r="AI793" i="262"/>
  <c r="W827" i="262"/>
  <c r="W844" i="262"/>
  <c r="O861" i="262"/>
  <c r="AE861" i="262"/>
  <c r="AI897" i="262"/>
  <c r="O878" i="262"/>
  <c r="AE878" i="262"/>
  <c r="S896" i="262"/>
  <c r="AA793" i="262"/>
  <c r="O844" i="262"/>
  <c r="AE844" i="262"/>
  <c r="W861" i="262"/>
  <c r="W878" i="262"/>
  <c r="AA896" i="262"/>
  <c r="S845" i="262"/>
  <c r="AA845" i="262"/>
  <c r="AI845" i="262"/>
  <c r="S862" i="262"/>
  <c r="AA862" i="262"/>
  <c r="AI862" i="262"/>
  <c r="AA831" i="262"/>
  <c r="O896" i="262"/>
  <c r="W895" i="262"/>
  <c r="AE895" i="262"/>
  <c r="O794" i="262"/>
  <c r="W794" i="262"/>
  <c r="AE794" i="262"/>
  <c r="O811" i="262"/>
  <c r="W811" i="262"/>
  <c r="AE811" i="262"/>
  <c r="S831" i="262"/>
  <c r="AI831" i="262"/>
  <c r="S879" i="262"/>
  <c r="AA879" i="262"/>
  <c r="AI879" i="262"/>
  <c r="S777" i="262"/>
  <c r="W640" i="262"/>
  <c r="O657" i="262"/>
  <c r="AE657" i="262"/>
  <c r="W674" i="262"/>
  <c r="S709" i="262"/>
  <c r="AA709" i="262"/>
  <c r="AI709" i="262"/>
  <c r="S691" i="262"/>
  <c r="AI691" i="262"/>
  <c r="S726" i="262"/>
  <c r="AA726" i="262"/>
  <c r="AI726" i="262"/>
  <c r="S760" i="262"/>
  <c r="AA760" i="262"/>
  <c r="AI760" i="262"/>
  <c r="O640" i="262"/>
  <c r="AE640" i="262"/>
  <c r="W657" i="262"/>
  <c r="O674" i="262"/>
  <c r="AE674" i="262"/>
  <c r="AA691" i="262"/>
  <c r="S743" i="262"/>
  <c r="AA743" i="262"/>
  <c r="AI743" i="262"/>
  <c r="AI777" i="262"/>
  <c r="AA777" i="262"/>
  <c r="S641" i="262"/>
  <c r="AA641" i="262"/>
  <c r="AI641" i="262"/>
  <c r="S658" i="262"/>
  <c r="AA658" i="262"/>
  <c r="AI658" i="262"/>
  <c r="S675" i="262"/>
  <c r="AA675" i="262"/>
  <c r="AI675" i="262"/>
  <c r="O777" i="262"/>
  <c r="W777" i="262"/>
  <c r="AE777" i="262"/>
  <c r="O692" i="262"/>
  <c r="W692" i="262"/>
  <c r="AE692" i="262"/>
  <c r="O709" i="262"/>
  <c r="W709" i="262"/>
  <c r="AE709" i="262"/>
  <c r="O726" i="262"/>
  <c r="W726" i="262"/>
  <c r="AE726" i="262"/>
  <c r="O743" i="262"/>
  <c r="W743" i="262"/>
  <c r="AE743" i="262"/>
  <c r="O760" i="262"/>
  <c r="W760" i="262"/>
  <c r="AE760" i="262"/>
  <c r="O590" i="262"/>
  <c r="W590" i="262"/>
  <c r="AE590" i="262"/>
  <c r="S538" i="262"/>
  <c r="AI538" i="262"/>
  <c r="AA555" i="262"/>
  <c r="O573" i="262"/>
  <c r="W573" i="262"/>
  <c r="AE573" i="262"/>
  <c r="O607" i="262"/>
  <c r="W607" i="262"/>
  <c r="AE607" i="262"/>
  <c r="O488" i="262"/>
  <c r="W488" i="262"/>
  <c r="AE488" i="262"/>
  <c r="O505" i="262"/>
  <c r="W505" i="262"/>
  <c r="AE505" i="262"/>
  <c r="O522" i="262"/>
  <c r="W522" i="262"/>
  <c r="AE522" i="262"/>
  <c r="AA538" i="262"/>
  <c r="S555" i="262"/>
  <c r="AI555" i="262"/>
  <c r="S488" i="262"/>
  <c r="AA488" i="262"/>
  <c r="AI488" i="262"/>
  <c r="S505" i="262"/>
  <c r="AA505" i="262"/>
  <c r="AI505" i="262"/>
  <c r="S522" i="262"/>
  <c r="AA522" i="262"/>
  <c r="AI522" i="262"/>
  <c r="S624" i="262"/>
  <c r="AA624" i="262"/>
  <c r="AI624" i="262"/>
  <c r="O539" i="262"/>
  <c r="W539" i="262"/>
  <c r="AE539" i="262"/>
  <c r="O556" i="262"/>
  <c r="W556" i="262"/>
  <c r="AE556" i="262"/>
  <c r="S573" i="262"/>
  <c r="AA573" i="262"/>
  <c r="AI573" i="262"/>
  <c r="S590" i="262"/>
  <c r="AA590" i="262"/>
  <c r="AI590" i="262"/>
  <c r="S606" i="262"/>
  <c r="AA607" i="262"/>
  <c r="AI607" i="262"/>
  <c r="AE624" i="262"/>
  <c r="O624" i="262"/>
  <c r="W624" i="262"/>
  <c r="S351" i="262"/>
  <c r="AI351" i="262"/>
  <c r="AA368" i="262"/>
  <c r="AI334" i="262"/>
  <c r="S385" i="262"/>
  <c r="AI385" i="262"/>
  <c r="AI437" i="262"/>
  <c r="AA419" i="262"/>
  <c r="S334" i="262"/>
  <c r="AA351" i="262"/>
  <c r="S368" i="262"/>
  <c r="AI368" i="262"/>
  <c r="S403" i="262"/>
  <c r="AA403" i="262"/>
  <c r="AI403" i="262"/>
  <c r="AA334" i="262"/>
  <c r="AA385" i="262"/>
  <c r="AA437" i="262"/>
  <c r="S419" i="262"/>
  <c r="AI419" i="262"/>
  <c r="O454" i="262"/>
  <c r="W454" i="262"/>
  <c r="AE454" i="262"/>
  <c r="S437" i="262"/>
  <c r="S471" i="262"/>
  <c r="AA471" i="262"/>
  <c r="AI471" i="262"/>
  <c r="O420" i="262"/>
  <c r="W420" i="262"/>
  <c r="AE420" i="262"/>
  <c r="O437" i="262"/>
  <c r="W437" i="262"/>
  <c r="AE437" i="262"/>
  <c r="S454" i="262"/>
  <c r="AA454" i="262"/>
  <c r="AI454" i="262"/>
  <c r="O471" i="262"/>
  <c r="AE471" i="262"/>
  <c r="O335" i="262"/>
  <c r="W335" i="262"/>
  <c r="AE335" i="262"/>
  <c r="O352" i="262"/>
  <c r="W352" i="262"/>
  <c r="AE352" i="262"/>
  <c r="O369" i="262"/>
  <c r="W369" i="262"/>
  <c r="AE369" i="262"/>
  <c r="O386" i="262"/>
  <c r="W386" i="262"/>
  <c r="AE386" i="262"/>
  <c r="O403" i="262"/>
  <c r="W403" i="262"/>
  <c r="AE403" i="262"/>
  <c r="W471" i="262"/>
  <c r="S181" i="262"/>
  <c r="AI181" i="262"/>
  <c r="AA198" i="262"/>
  <c r="S215" i="262"/>
  <c r="AI215" i="262"/>
  <c r="S250" i="262"/>
  <c r="AA250" i="262"/>
  <c r="AI250" i="262"/>
  <c r="S232" i="262"/>
  <c r="AI232" i="262"/>
  <c r="S267" i="262"/>
  <c r="AA267" i="262"/>
  <c r="AI267" i="262"/>
  <c r="S301" i="262"/>
  <c r="AA301" i="262"/>
  <c r="AI301" i="262"/>
  <c r="AA181" i="262"/>
  <c r="S198" i="262"/>
  <c r="AI198" i="262"/>
  <c r="AA215" i="262"/>
  <c r="AA232" i="262"/>
  <c r="S284" i="262"/>
  <c r="AA284" i="262"/>
  <c r="AI284" i="262"/>
  <c r="AE318" i="262"/>
  <c r="O318" i="262"/>
  <c r="W318" i="262"/>
  <c r="AE182" i="262"/>
  <c r="S318" i="262"/>
  <c r="AA318" i="262"/>
  <c r="AI318" i="262"/>
  <c r="O182" i="262"/>
  <c r="W182" i="262"/>
  <c r="O199" i="262"/>
  <c r="W199" i="262"/>
  <c r="AE199" i="262"/>
  <c r="O216" i="262"/>
  <c r="W216" i="262"/>
  <c r="AE216" i="262"/>
  <c r="O233" i="262"/>
  <c r="W233" i="262"/>
  <c r="AE233" i="262"/>
  <c r="O250" i="262"/>
  <c r="W250" i="262"/>
  <c r="AE250" i="262"/>
  <c r="O267" i="262"/>
  <c r="W267" i="262"/>
  <c r="AE267" i="262"/>
  <c r="O284" i="262"/>
  <c r="W284" i="262"/>
  <c r="AE284" i="262"/>
  <c r="O301" i="262"/>
  <c r="W301" i="262"/>
  <c r="AE301" i="262"/>
  <c r="BS29" i="262"/>
  <c r="AY31" i="262"/>
  <c r="AU28" i="262"/>
  <c r="AQ28" i="262"/>
  <c r="AM28" i="262"/>
  <c r="K23" i="262"/>
  <c r="K142" i="262"/>
  <c r="K143" i="262" s="1"/>
  <c r="K144" i="262" s="1"/>
  <c r="K145" i="262" s="1"/>
  <c r="K146" i="262" s="1"/>
  <c r="K147" i="262" s="1"/>
  <c r="K148" i="262" s="1"/>
  <c r="K149" i="262" s="1"/>
  <c r="K125" i="262"/>
  <c r="K126" i="262" s="1"/>
  <c r="K127" i="262" s="1"/>
  <c r="K128" i="262" s="1"/>
  <c r="K129" i="262" s="1"/>
  <c r="K130" i="262" s="1"/>
  <c r="K57" i="262"/>
  <c r="K58" i="262" s="1"/>
  <c r="K59" i="262" s="1"/>
  <c r="K60" i="262" s="1"/>
  <c r="K61" i="262" s="1"/>
  <c r="K62" i="262" s="1"/>
  <c r="K63" i="262" s="1"/>
  <c r="K40" i="262"/>
  <c r="K41" i="262" s="1"/>
  <c r="K42" i="262" s="1"/>
  <c r="K43" i="262" s="1"/>
  <c r="K44" i="262" s="1"/>
  <c r="K45" i="262" s="1"/>
  <c r="K159" i="262"/>
  <c r="K160" i="262" s="1"/>
  <c r="K161" i="262" s="1"/>
  <c r="K162" i="262" s="1"/>
  <c r="K163" i="262" s="1"/>
  <c r="K164" i="262" s="1"/>
  <c r="K165" i="262" s="1"/>
  <c r="K108" i="262"/>
  <c r="K109" i="262" s="1"/>
  <c r="K110" i="262" s="1"/>
  <c r="K111" i="262" s="1"/>
  <c r="K112" i="262" s="1"/>
  <c r="K113" i="262" s="1"/>
  <c r="K114" i="262" s="1"/>
  <c r="K115" i="262" s="1"/>
  <c r="K91" i="262"/>
  <c r="K92" i="262" s="1"/>
  <c r="K93" i="262" s="1"/>
  <c r="K94" i="262" s="1"/>
  <c r="K95" i="262" s="1"/>
  <c r="K96" i="262" s="1"/>
  <c r="K74" i="262"/>
  <c r="K75" i="262" s="1"/>
  <c r="K76" i="262" s="1"/>
  <c r="K77" i="262" s="1"/>
  <c r="K78" i="262" s="1"/>
  <c r="K79" i="262" s="1"/>
  <c r="K80" i="262" s="1"/>
  <c r="O166" i="262"/>
  <c r="AA165" i="262"/>
  <c r="AE166" i="262"/>
  <c r="S165" i="262"/>
  <c r="AI165" i="262"/>
  <c r="W166" i="262"/>
  <c r="AE148" i="262"/>
  <c r="O148" i="262"/>
  <c r="W148" i="262"/>
  <c r="AA149" i="262"/>
  <c r="S149" i="262"/>
  <c r="AI149" i="262"/>
  <c r="O131" i="262"/>
  <c r="S130" i="262"/>
  <c r="AA130" i="262"/>
  <c r="AI130" i="262"/>
  <c r="W131" i="262"/>
  <c r="AE132" i="262"/>
  <c r="AI115" i="262"/>
  <c r="O114" i="262"/>
  <c r="S115" i="262"/>
  <c r="W114" i="262"/>
  <c r="AE114" i="262"/>
  <c r="AA115" i="262"/>
  <c r="S97" i="262"/>
  <c r="AE98" i="262"/>
  <c r="AA97" i="262"/>
  <c r="AI97" i="262"/>
  <c r="W98" i="262"/>
  <c r="O98" i="262"/>
  <c r="AA80" i="262"/>
  <c r="W79" i="262"/>
  <c r="AE79" i="262"/>
  <c r="O81" i="262"/>
  <c r="S80" i="262"/>
  <c r="AI80" i="262"/>
  <c r="W62" i="262"/>
  <c r="O62" i="262"/>
  <c r="AE62" i="262"/>
  <c r="AA63" i="262"/>
  <c r="AI64" i="262"/>
  <c r="S63" i="262"/>
  <c r="AA45" i="262"/>
  <c r="S45" i="262"/>
  <c r="O46" i="262"/>
  <c r="AE46" i="262"/>
  <c r="AI45" i="262"/>
  <c r="W46" i="262"/>
  <c r="AI29" i="262"/>
  <c r="AE29" i="262"/>
  <c r="Q28" i="1101"/>
  <c r="CA24" i="262"/>
  <c r="BO25" i="262"/>
  <c r="BW26" i="262"/>
  <c r="B18" i="313"/>
  <c r="E141" i="1103"/>
  <c r="F141" i="1103"/>
  <c r="A175" i="1103" l="1"/>
  <c r="S46" i="1103"/>
  <c r="S29" i="1103"/>
  <c r="O48" i="1103"/>
  <c r="O31" i="1103"/>
  <c r="AA29" i="1103"/>
  <c r="K29" i="1103"/>
  <c r="AI29" i="1103"/>
  <c r="W31" i="1103"/>
  <c r="AE31" i="1103"/>
  <c r="K46" i="1103"/>
  <c r="K217" i="261"/>
  <c r="S217" i="261"/>
  <c r="W217" i="261"/>
  <c r="O217" i="261"/>
  <c r="W200" i="261"/>
  <c r="O200" i="261"/>
  <c r="K200" i="261"/>
  <c r="S200" i="261"/>
  <c r="K98" i="261"/>
  <c r="S98" i="261"/>
  <c r="O98" i="261"/>
  <c r="W97" i="261"/>
  <c r="W81" i="261"/>
  <c r="O81" i="261"/>
  <c r="K81" i="261"/>
  <c r="S81" i="261"/>
  <c r="K64" i="261"/>
  <c r="S64" i="261"/>
  <c r="O64" i="261"/>
  <c r="W63" i="261"/>
  <c r="O47" i="261"/>
  <c r="W46" i="261"/>
  <c r="AI880" i="262"/>
  <c r="AA880" i="262"/>
  <c r="S880" i="262"/>
  <c r="K880" i="262"/>
  <c r="AI832" i="262"/>
  <c r="S832" i="262"/>
  <c r="AE812" i="262"/>
  <c r="W812" i="262"/>
  <c r="O812" i="262"/>
  <c r="AE795" i="262"/>
  <c r="W795" i="262"/>
  <c r="O795" i="262"/>
  <c r="AA897" i="262"/>
  <c r="W879" i="262"/>
  <c r="W862" i="262"/>
  <c r="AE845" i="262"/>
  <c r="O845" i="262"/>
  <c r="AA794" i="262"/>
  <c r="K794" i="262"/>
  <c r="K898" i="262"/>
  <c r="S897" i="262"/>
  <c r="AE879" i="262"/>
  <c r="O879" i="262"/>
  <c r="AI898" i="262"/>
  <c r="AE862" i="262"/>
  <c r="O862" i="262"/>
  <c r="W845" i="262"/>
  <c r="W828" i="262"/>
  <c r="AI794" i="262"/>
  <c r="S794" i="262"/>
  <c r="AE829" i="262"/>
  <c r="O829" i="262"/>
  <c r="AE896" i="262"/>
  <c r="W896" i="262"/>
  <c r="O897" i="262"/>
  <c r="AA832" i="262"/>
  <c r="K832" i="262"/>
  <c r="AI863" i="262"/>
  <c r="AA863" i="262"/>
  <c r="S863" i="262"/>
  <c r="K863" i="262"/>
  <c r="AI846" i="262"/>
  <c r="AA846" i="262"/>
  <c r="S846" i="262"/>
  <c r="K846" i="262"/>
  <c r="AI812" i="262"/>
  <c r="AA812" i="262"/>
  <c r="S812" i="262"/>
  <c r="K812" i="262"/>
  <c r="AA778" i="262"/>
  <c r="AI778" i="262"/>
  <c r="AI744" i="262"/>
  <c r="AA744" i="262"/>
  <c r="S744" i="262"/>
  <c r="K744" i="262"/>
  <c r="AA692" i="262"/>
  <c r="K692" i="262"/>
  <c r="AE675" i="262"/>
  <c r="O675" i="262"/>
  <c r="W658" i="262"/>
  <c r="AE641" i="262"/>
  <c r="O641" i="262"/>
  <c r="AI761" i="262"/>
  <c r="AA761" i="262"/>
  <c r="S761" i="262"/>
  <c r="K761" i="262"/>
  <c r="AI727" i="262"/>
  <c r="AA727" i="262"/>
  <c r="S727" i="262"/>
  <c r="K727" i="262"/>
  <c r="AI692" i="262"/>
  <c r="S692" i="262"/>
  <c r="AI710" i="262"/>
  <c r="AA710" i="262"/>
  <c r="S710" i="262"/>
  <c r="K710" i="262"/>
  <c r="W675" i="262"/>
  <c r="AE658" i="262"/>
  <c r="O658" i="262"/>
  <c r="W641" i="262"/>
  <c r="S778" i="262"/>
  <c r="K778" i="262"/>
  <c r="AE761" i="262"/>
  <c r="W761" i="262"/>
  <c r="O761" i="262"/>
  <c r="AE744" i="262"/>
  <c r="W744" i="262"/>
  <c r="O744" i="262"/>
  <c r="AE727" i="262"/>
  <c r="W727" i="262"/>
  <c r="O727" i="262"/>
  <c r="AE710" i="262"/>
  <c r="W710" i="262"/>
  <c r="O710" i="262"/>
  <c r="AE693" i="262"/>
  <c r="W693" i="262"/>
  <c r="O693" i="262"/>
  <c r="AE778" i="262"/>
  <c r="W778" i="262"/>
  <c r="O778" i="262"/>
  <c r="AI676" i="262"/>
  <c r="AA676" i="262"/>
  <c r="S676" i="262"/>
  <c r="K676" i="262"/>
  <c r="AI659" i="262"/>
  <c r="AA659" i="262"/>
  <c r="S659" i="262"/>
  <c r="K659" i="262"/>
  <c r="AI642" i="262"/>
  <c r="AA642" i="262"/>
  <c r="S642" i="262"/>
  <c r="K642" i="262"/>
  <c r="AI625" i="262"/>
  <c r="AA625" i="262"/>
  <c r="S625" i="262"/>
  <c r="K625" i="262"/>
  <c r="AI556" i="262"/>
  <c r="S556" i="262"/>
  <c r="AA539" i="262"/>
  <c r="K539" i="262"/>
  <c r="AE523" i="262"/>
  <c r="W523" i="262"/>
  <c r="O523" i="262"/>
  <c r="AE506" i="262"/>
  <c r="W506" i="262"/>
  <c r="O506" i="262"/>
  <c r="AE489" i="262"/>
  <c r="W489" i="262"/>
  <c r="O489" i="262"/>
  <c r="AE608" i="262"/>
  <c r="W608" i="262"/>
  <c r="O608" i="262"/>
  <c r="AE574" i="262"/>
  <c r="W574" i="262"/>
  <c r="O574" i="262"/>
  <c r="AA556" i="262"/>
  <c r="K556" i="262"/>
  <c r="AI539" i="262"/>
  <c r="S539" i="262"/>
  <c r="AE591" i="262"/>
  <c r="W591" i="262"/>
  <c r="O591" i="262"/>
  <c r="W625" i="262"/>
  <c r="O625" i="262"/>
  <c r="AE625" i="262"/>
  <c r="AI608" i="262"/>
  <c r="AA608" i="262"/>
  <c r="S607" i="262"/>
  <c r="K607" i="262"/>
  <c r="AI591" i="262"/>
  <c r="AA591" i="262"/>
  <c r="S591" i="262"/>
  <c r="K591" i="262"/>
  <c r="AI574" i="262"/>
  <c r="AA574" i="262"/>
  <c r="S574" i="262"/>
  <c r="K574" i="262"/>
  <c r="AE557" i="262"/>
  <c r="W557" i="262"/>
  <c r="O557" i="262"/>
  <c r="AE540" i="262"/>
  <c r="W540" i="262"/>
  <c r="O540" i="262"/>
  <c r="AI523" i="262"/>
  <c r="AA523" i="262"/>
  <c r="S523" i="262"/>
  <c r="K523" i="262"/>
  <c r="AI506" i="262"/>
  <c r="AA506" i="262"/>
  <c r="S506" i="262"/>
  <c r="K506" i="262"/>
  <c r="AI489" i="262"/>
  <c r="AA489" i="262"/>
  <c r="S489" i="262"/>
  <c r="K489" i="262"/>
  <c r="AI472" i="262"/>
  <c r="AA472" i="262"/>
  <c r="S472" i="262"/>
  <c r="S438" i="262"/>
  <c r="K438" i="262"/>
  <c r="AE455" i="262"/>
  <c r="W455" i="262"/>
  <c r="O455" i="262"/>
  <c r="AI420" i="262"/>
  <c r="S420" i="262"/>
  <c r="AA438" i="262"/>
  <c r="AA386" i="262"/>
  <c r="K386" i="262"/>
  <c r="AA335" i="262"/>
  <c r="AI404" i="262"/>
  <c r="AA404" i="262"/>
  <c r="S404" i="262"/>
  <c r="K404" i="262"/>
  <c r="AI369" i="262"/>
  <c r="S369" i="262"/>
  <c r="AA352" i="262"/>
  <c r="K352" i="262"/>
  <c r="S335" i="262"/>
  <c r="AA420" i="262"/>
  <c r="K420" i="262"/>
  <c r="AI438" i="262"/>
  <c r="AI386" i="262"/>
  <c r="S386" i="262"/>
  <c r="AI335" i="262"/>
  <c r="K335" i="262"/>
  <c r="AA369" i="262"/>
  <c r="K369" i="262"/>
  <c r="AI352" i="262"/>
  <c r="S352" i="262"/>
  <c r="K472" i="262"/>
  <c r="W472" i="262"/>
  <c r="AE404" i="262"/>
  <c r="W404" i="262"/>
  <c r="O404" i="262"/>
  <c r="AE387" i="262"/>
  <c r="W387" i="262"/>
  <c r="O387" i="262"/>
  <c r="AE370" i="262"/>
  <c r="W370" i="262"/>
  <c r="O370" i="262"/>
  <c r="AE353" i="262"/>
  <c r="W353" i="262"/>
  <c r="O353" i="262"/>
  <c r="AE336" i="262"/>
  <c r="W336" i="262"/>
  <c r="O336" i="262"/>
  <c r="AE472" i="262"/>
  <c r="O472" i="262"/>
  <c r="AI455" i="262"/>
  <c r="AA455" i="262"/>
  <c r="S455" i="262"/>
  <c r="K455" i="262"/>
  <c r="AE438" i="262"/>
  <c r="W438" i="262"/>
  <c r="O438" i="262"/>
  <c r="AE421" i="262"/>
  <c r="W421" i="262"/>
  <c r="O421" i="262"/>
  <c r="W319" i="262"/>
  <c r="O319" i="262"/>
  <c r="AE319" i="262"/>
  <c r="AI285" i="262"/>
  <c r="AA285" i="262"/>
  <c r="S285" i="262"/>
  <c r="K285" i="262"/>
  <c r="AA233" i="262"/>
  <c r="K233" i="262"/>
  <c r="AA216" i="262"/>
  <c r="K216" i="262"/>
  <c r="AI199" i="262"/>
  <c r="S199" i="262"/>
  <c r="AA182" i="262"/>
  <c r="K182" i="262"/>
  <c r="AI302" i="262"/>
  <c r="AA302" i="262"/>
  <c r="S302" i="262"/>
  <c r="K302" i="262"/>
  <c r="AI268" i="262"/>
  <c r="AA268" i="262"/>
  <c r="S268" i="262"/>
  <c r="K268" i="262"/>
  <c r="AI233" i="262"/>
  <c r="S233" i="262"/>
  <c r="AI251" i="262"/>
  <c r="AA251" i="262"/>
  <c r="S251" i="262"/>
  <c r="K251" i="262"/>
  <c r="AI216" i="262"/>
  <c r="S216" i="262"/>
  <c r="AA199" i="262"/>
  <c r="K199" i="262"/>
  <c r="AI182" i="262"/>
  <c r="S182" i="262"/>
  <c r="AE302" i="262"/>
  <c r="W302" i="262"/>
  <c r="O302" i="262"/>
  <c r="AE285" i="262"/>
  <c r="W285" i="262"/>
  <c r="O285" i="262"/>
  <c r="AE268" i="262"/>
  <c r="W268" i="262"/>
  <c r="O268" i="262"/>
  <c r="AE251" i="262"/>
  <c r="W251" i="262"/>
  <c r="O251" i="262"/>
  <c r="AE234" i="262"/>
  <c r="W234" i="262"/>
  <c r="O234" i="262"/>
  <c r="AE217" i="262"/>
  <c r="W217" i="262"/>
  <c r="O217" i="262"/>
  <c r="AE200" i="262"/>
  <c r="W200" i="262"/>
  <c r="O200" i="262"/>
  <c r="W183" i="262"/>
  <c r="O183" i="262"/>
  <c r="AI319" i="262"/>
  <c r="AA319" i="262"/>
  <c r="S319" i="262"/>
  <c r="K319" i="262"/>
  <c r="AE183" i="262"/>
  <c r="BS30" i="262"/>
  <c r="AY32" i="262"/>
  <c r="AU29" i="262"/>
  <c r="AQ29" i="262"/>
  <c r="AM29" i="262"/>
  <c r="W167" i="262"/>
  <c r="AI166" i="262"/>
  <c r="S166" i="262"/>
  <c r="K166" i="262"/>
  <c r="AA166" i="262"/>
  <c r="AE167" i="262"/>
  <c r="O167" i="262"/>
  <c r="AI150" i="262"/>
  <c r="S150" i="262"/>
  <c r="AA150" i="262"/>
  <c r="W149" i="262"/>
  <c r="O149" i="262"/>
  <c r="K150" i="262"/>
  <c r="AE149" i="262"/>
  <c r="AE133" i="262"/>
  <c r="W132" i="262"/>
  <c r="AI131" i="262"/>
  <c r="AA131" i="262"/>
  <c r="S131" i="262"/>
  <c r="O132" i="262"/>
  <c r="K131" i="262"/>
  <c r="AA116" i="262"/>
  <c r="K116" i="262"/>
  <c r="AE115" i="262"/>
  <c r="W115" i="262"/>
  <c r="S116" i="262"/>
  <c r="O115" i="262"/>
  <c r="AI116" i="262"/>
  <c r="W99" i="262"/>
  <c r="AI98" i="262"/>
  <c r="AA98" i="262"/>
  <c r="S98" i="262"/>
  <c r="K97" i="262"/>
  <c r="O99" i="262"/>
  <c r="AE99" i="262"/>
  <c r="AI81" i="262"/>
  <c r="S81" i="262"/>
  <c r="O82" i="262"/>
  <c r="AE80" i="262"/>
  <c r="W80" i="262"/>
  <c r="K81" i="262"/>
  <c r="AA81" i="262"/>
  <c r="S64" i="262"/>
  <c r="AI65" i="262"/>
  <c r="AA64" i="262"/>
  <c r="AE63" i="262"/>
  <c r="O63" i="262"/>
  <c r="K64" i="262"/>
  <c r="W63" i="262"/>
  <c r="W47" i="262"/>
  <c r="AI46" i="262"/>
  <c r="AE47" i="262"/>
  <c r="O47" i="262"/>
  <c r="S46" i="262"/>
  <c r="K46" i="262"/>
  <c r="AA46" i="262"/>
  <c r="AI30" i="262"/>
  <c r="AE30" i="262"/>
  <c r="BW27" i="262"/>
  <c r="BO26" i="262"/>
  <c r="CA25" i="262"/>
  <c r="B19" i="313"/>
  <c r="F158" i="1103"/>
  <c r="E158" i="1103"/>
  <c r="A192" i="1103" l="1"/>
  <c r="S30" i="1103"/>
  <c r="S47" i="1103"/>
  <c r="O32" i="1103"/>
  <c r="O49" i="1103"/>
  <c r="AI30" i="1103"/>
  <c r="K30" i="1103"/>
  <c r="AA30" i="1103"/>
  <c r="K47" i="1103"/>
  <c r="AE32" i="1103"/>
  <c r="W32" i="1103"/>
  <c r="S218" i="261"/>
  <c r="K218" i="261"/>
  <c r="O218" i="261"/>
  <c r="W218" i="261"/>
  <c r="S201" i="261"/>
  <c r="K201" i="261"/>
  <c r="O201" i="261"/>
  <c r="W201" i="261"/>
  <c r="S99" i="261"/>
  <c r="K99" i="261"/>
  <c r="W98" i="261"/>
  <c r="O99" i="261"/>
  <c r="O82" i="261"/>
  <c r="W82" i="261"/>
  <c r="S82" i="261"/>
  <c r="K82" i="261"/>
  <c r="S65" i="261"/>
  <c r="K65" i="261"/>
  <c r="W64" i="261"/>
  <c r="O65" i="261"/>
  <c r="W47" i="261"/>
  <c r="O48" i="261"/>
  <c r="O830" i="262"/>
  <c r="AE830" i="262"/>
  <c r="S795" i="262"/>
  <c r="AI795" i="262"/>
  <c r="W829" i="262"/>
  <c r="W846" i="262"/>
  <c r="O863" i="262"/>
  <c r="AE863" i="262"/>
  <c r="AI899" i="262"/>
  <c r="O880" i="262"/>
  <c r="AE880" i="262"/>
  <c r="S898" i="262"/>
  <c r="K899" i="262"/>
  <c r="K795" i="262"/>
  <c r="AA795" i="262"/>
  <c r="O846" i="262"/>
  <c r="AE846" i="262"/>
  <c r="W863" i="262"/>
  <c r="W880" i="262"/>
  <c r="AA898" i="262"/>
  <c r="O813" i="262"/>
  <c r="W813" i="262"/>
  <c r="AE813" i="262"/>
  <c r="K813" i="262"/>
  <c r="S813" i="262"/>
  <c r="AA813" i="262"/>
  <c r="AI813" i="262"/>
  <c r="K847" i="262"/>
  <c r="S847" i="262"/>
  <c r="AA847" i="262"/>
  <c r="AI847" i="262"/>
  <c r="K864" i="262"/>
  <c r="S864" i="262"/>
  <c r="AA864" i="262"/>
  <c r="AI864" i="262"/>
  <c r="K833" i="262"/>
  <c r="AA833" i="262"/>
  <c r="O898" i="262"/>
  <c r="W897" i="262"/>
  <c r="AE897" i="262"/>
  <c r="O796" i="262"/>
  <c r="W796" i="262"/>
  <c r="AE796" i="262"/>
  <c r="S833" i="262"/>
  <c r="AI833" i="262"/>
  <c r="K881" i="262"/>
  <c r="S881" i="262"/>
  <c r="AA881" i="262"/>
  <c r="AI881" i="262"/>
  <c r="K779" i="262"/>
  <c r="S779" i="262"/>
  <c r="W642" i="262"/>
  <c r="O659" i="262"/>
  <c r="AE659" i="262"/>
  <c r="W676" i="262"/>
  <c r="K711" i="262"/>
  <c r="S711" i="262"/>
  <c r="AA711" i="262"/>
  <c r="AI711" i="262"/>
  <c r="S693" i="262"/>
  <c r="AI693" i="262"/>
  <c r="K728" i="262"/>
  <c r="S728" i="262"/>
  <c r="AA728" i="262"/>
  <c r="AI728" i="262"/>
  <c r="K762" i="262"/>
  <c r="S762" i="262"/>
  <c r="AA762" i="262"/>
  <c r="AI762" i="262"/>
  <c r="O642" i="262"/>
  <c r="AE642" i="262"/>
  <c r="W659" i="262"/>
  <c r="O676" i="262"/>
  <c r="AE676" i="262"/>
  <c r="K693" i="262"/>
  <c r="AA693" i="262"/>
  <c r="K745" i="262"/>
  <c r="S745" i="262"/>
  <c r="AA745" i="262"/>
  <c r="AI745" i="262"/>
  <c r="AI779" i="262"/>
  <c r="AA779" i="262"/>
  <c r="K643" i="262"/>
  <c r="S643" i="262"/>
  <c r="AA643" i="262"/>
  <c r="AI643" i="262"/>
  <c r="K660" i="262"/>
  <c r="S660" i="262"/>
  <c r="AA660" i="262"/>
  <c r="AI660" i="262"/>
  <c r="K677" i="262"/>
  <c r="S677" i="262"/>
  <c r="AA677" i="262"/>
  <c r="AI677" i="262"/>
  <c r="O779" i="262"/>
  <c r="W779" i="262"/>
  <c r="AE779" i="262"/>
  <c r="O694" i="262"/>
  <c r="W694" i="262"/>
  <c r="AE694" i="262"/>
  <c r="O711" i="262"/>
  <c r="W711" i="262"/>
  <c r="AE711" i="262"/>
  <c r="O728" i="262"/>
  <c r="W728" i="262"/>
  <c r="AE728" i="262"/>
  <c r="O745" i="262"/>
  <c r="W745" i="262"/>
  <c r="AE745" i="262"/>
  <c r="O762" i="262"/>
  <c r="W762" i="262"/>
  <c r="AE762" i="262"/>
  <c r="O592" i="262"/>
  <c r="W592" i="262"/>
  <c r="AE592" i="262"/>
  <c r="S540" i="262"/>
  <c r="AI540" i="262"/>
  <c r="K557" i="262"/>
  <c r="AA557" i="262"/>
  <c r="O575" i="262"/>
  <c r="W575" i="262"/>
  <c r="AE575" i="262"/>
  <c r="O609" i="262"/>
  <c r="W609" i="262"/>
  <c r="AE609" i="262"/>
  <c r="O490" i="262"/>
  <c r="W490" i="262"/>
  <c r="AE490" i="262"/>
  <c r="O507" i="262"/>
  <c r="W507" i="262"/>
  <c r="AE507" i="262"/>
  <c r="O524" i="262"/>
  <c r="W524" i="262"/>
  <c r="AE524" i="262"/>
  <c r="K540" i="262"/>
  <c r="AA540" i="262"/>
  <c r="S557" i="262"/>
  <c r="AI557" i="262"/>
  <c r="K626" i="262"/>
  <c r="S626" i="262"/>
  <c r="AA626" i="262"/>
  <c r="AI626" i="262"/>
  <c r="K490" i="262"/>
  <c r="S490" i="262"/>
  <c r="AA490" i="262"/>
  <c r="AI490" i="262"/>
  <c r="K507" i="262"/>
  <c r="S507" i="262"/>
  <c r="AA507" i="262"/>
  <c r="AI507" i="262"/>
  <c r="K524" i="262"/>
  <c r="S524" i="262"/>
  <c r="AA524" i="262"/>
  <c r="AI524" i="262"/>
  <c r="O541" i="262"/>
  <c r="W541" i="262"/>
  <c r="AE541" i="262"/>
  <c r="O558" i="262"/>
  <c r="W558" i="262"/>
  <c r="AE558" i="262"/>
  <c r="K575" i="262"/>
  <c r="S575" i="262"/>
  <c r="AA575" i="262"/>
  <c r="AI575" i="262"/>
  <c r="K592" i="262"/>
  <c r="S592" i="262"/>
  <c r="AA592" i="262"/>
  <c r="AI592" i="262"/>
  <c r="K608" i="262"/>
  <c r="S608" i="262"/>
  <c r="AA609" i="262"/>
  <c r="AI609" i="262"/>
  <c r="AE626" i="262"/>
  <c r="O626" i="262"/>
  <c r="W626" i="262"/>
  <c r="K473" i="262"/>
  <c r="S353" i="262"/>
  <c r="AI353" i="262"/>
  <c r="K370" i="262"/>
  <c r="AA370" i="262"/>
  <c r="K336" i="262"/>
  <c r="AI336" i="262"/>
  <c r="S387" i="262"/>
  <c r="AI387" i="262"/>
  <c r="AI439" i="262"/>
  <c r="K421" i="262"/>
  <c r="AA421" i="262"/>
  <c r="S336" i="262"/>
  <c r="K353" i="262"/>
  <c r="AA353" i="262"/>
  <c r="S370" i="262"/>
  <c r="AI370" i="262"/>
  <c r="K405" i="262"/>
  <c r="S405" i="262"/>
  <c r="AA405" i="262"/>
  <c r="AI405" i="262"/>
  <c r="AA336" i="262"/>
  <c r="K387" i="262"/>
  <c r="AA387" i="262"/>
  <c r="AA439" i="262"/>
  <c r="S421" i="262"/>
  <c r="AI421" i="262"/>
  <c r="O456" i="262"/>
  <c r="W456" i="262"/>
  <c r="AE456" i="262"/>
  <c r="K439" i="262"/>
  <c r="S439" i="262"/>
  <c r="S473" i="262"/>
  <c r="AA473" i="262"/>
  <c r="AI473" i="262"/>
  <c r="O422" i="262"/>
  <c r="W422" i="262"/>
  <c r="AE422" i="262"/>
  <c r="O439" i="262"/>
  <c r="W439" i="262"/>
  <c r="AE439" i="262"/>
  <c r="K456" i="262"/>
  <c r="S456" i="262"/>
  <c r="AA456" i="262"/>
  <c r="AI456" i="262"/>
  <c r="O473" i="262"/>
  <c r="AE473" i="262"/>
  <c r="O337" i="262"/>
  <c r="W337" i="262"/>
  <c r="AE337" i="262"/>
  <c r="O354" i="262"/>
  <c r="W354" i="262"/>
  <c r="AE354" i="262"/>
  <c r="O371" i="262"/>
  <c r="W371" i="262"/>
  <c r="AE371" i="262"/>
  <c r="O388" i="262"/>
  <c r="W388" i="262"/>
  <c r="AE388" i="262"/>
  <c r="O405" i="262"/>
  <c r="W405" i="262"/>
  <c r="AE405" i="262"/>
  <c r="W473" i="262"/>
  <c r="S183" i="262"/>
  <c r="AI183" i="262"/>
  <c r="K200" i="262"/>
  <c r="AA200" i="262"/>
  <c r="S217" i="262"/>
  <c r="AI217" i="262"/>
  <c r="K252" i="262"/>
  <c r="S252" i="262"/>
  <c r="AA252" i="262"/>
  <c r="AI252" i="262"/>
  <c r="S234" i="262"/>
  <c r="AI234" i="262"/>
  <c r="K269" i="262"/>
  <c r="S269" i="262"/>
  <c r="AA269" i="262"/>
  <c r="AI269" i="262"/>
  <c r="K303" i="262"/>
  <c r="S303" i="262"/>
  <c r="AA303" i="262"/>
  <c r="AI303" i="262"/>
  <c r="K183" i="262"/>
  <c r="AA183" i="262"/>
  <c r="S200" i="262"/>
  <c r="AI200" i="262"/>
  <c r="K217" i="262"/>
  <c r="AA217" i="262"/>
  <c r="K234" i="262"/>
  <c r="AA234" i="262"/>
  <c r="K286" i="262"/>
  <c r="S286" i="262"/>
  <c r="AA286" i="262"/>
  <c r="AI286" i="262"/>
  <c r="AE320" i="262"/>
  <c r="O320" i="262"/>
  <c r="W320" i="262"/>
  <c r="AE184" i="262"/>
  <c r="K320" i="262"/>
  <c r="S320" i="262"/>
  <c r="AA320" i="262"/>
  <c r="AI320" i="262"/>
  <c r="O184" i="262"/>
  <c r="W184" i="262"/>
  <c r="O201" i="262"/>
  <c r="W201" i="262"/>
  <c r="AE201" i="262"/>
  <c r="O218" i="262"/>
  <c r="W218" i="262"/>
  <c r="AE218" i="262"/>
  <c r="O235" i="262"/>
  <c r="W235" i="262"/>
  <c r="AE235" i="262"/>
  <c r="O252" i="262"/>
  <c r="W252" i="262"/>
  <c r="AE252" i="262"/>
  <c r="O269" i="262"/>
  <c r="W269" i="262"/>
  <c r="AE269" i="262"/>
  <c r="O286" i="262"/>
  <c r="W286" i="262"/>
  <c r="AE286" i="262"/>
  <c r="O303" i="262"/>
  <c r="W303" i="262"/>
  <c r="AE303" i="262"/>
  <c r="BS31" i="262"/>
  <c r="AY33" i="262"/>
  <c r="AU30" i="262"/>
  <c r="AQ30" i="262"/>
  <c r="AM30" i="262"/>
  <c r="O168" i="262"/>
  <c r="AE168" i="262"/>
  <c r="AA167" i="262"/>
  <c r="K167" i="262"/>
  <c r="S167" i="262"/>
  <c r="AI167" i="262"/>
  <c r="W168" i="262"/>
  <c r="AE150" i="262"/>
  <c r="K151" i="262"/>
  <c r="O150" i="262"/>
  <c r="W150" i="262"/>
  <c r="AA151" i="262"/>
  <c r="S151" i="262"/>
  <c r="AI151" i="262"/>
  <c r="K132" i="262"/>
  <c r="O133" i="262"/>
  <c r="S132" i="262"/>
  <c r="AA132" i="262"/>
  <c r="AI132" i="262"/>
  <c r="W133" i="262"/>
  <c r="AE134" i="262"/>
  <c r="AI117" i="262"/>
  <c r="O116" i="262"/>
  <c r="S117" i="262"/>
  <c r="W116" i="262"/>
  <c r="AE116" i="262"/>
  <c r="K117" i="262"/>
  <c r="AA117" i="262"/>
  <c r="AE100" i="262"/>
  <c r="O100" i="262"/>
  <c r="K98" i="262"/>
  <c r="S99" i="262"/>
  <c r="AA99" i="262"/>
  <c r="AI99" i="262"/>
  <c r="W100" i="262"/>
  <c r="AA82" i="262"/>
  <c r="K82" i="262"/>
  <c r="W81" i="262"/>
  <c r="AE81" i="262"/>
  <c r="O83" i="262"/>
  <c r="S82" i="262"/>
  <c r="AI82" i="262"/>
  <c r="W64" i="262"/>
  <c r="O64" i="262"/>
  <c r="AE64" i="262"/>
  <c r="AI66" i="262"/>
  <c r="S65" i="262"/>
  <c r="K65" i="262"/>
  <c r="AA65" i="262"/>
  <c r="AA47" i="262"/>
  <c r="K47" i="262"/>
  <c r="S47" i="262"/>
  <c r="O48" i="262"/>
  <c r="AE48" i="262"/>
  <c r="AI47" i="262"/>
  <c r="W48" i="262"/>
  <c r="AI31" i="262"/>
  <c r="AE31" i="262"/>
  <c r="CA26" i="262"/>
  <c r="BO27" i="262"/>
  <c r="BW28" i="262"/>
  <c r="E175" i="1103"/>
  <c r="F175" i="1103"/>
  <c r="A209" i="1103" l="1"/>
  <c r="S48" i="1103"/>
  <c r="S31" i="1103"/>
  <c r="O50" i="1103"/>
  <c r="O33" i="1103"/>
  <c r="AA31" i="1103"/>
  <c r="K31" i="1103"/>
  <c r="AI31" i="1103"/>
  <c r="W33" i="1103"/>
  <c r="AE33" i="1103"/>
  <c r="K48" i="1103"/>
  <c r="K219" i="261"/>
  <c r="S219" i="261"/>
  <c r="W219" i="261"/>
  <c r="O219" i="261"/>
  <c r="K202" i="261"/>
  <c r="S202" i="261"/>
  <c r="W202" i="261"/>
  <c r="O202" i="261"/>
  <c r="K100" i="261"/>
  <c r="S100" i="261"/>
  <c r="O100" i="261"/>
  <c r="W99" i="261"/>
  <c r="W83" i="261"/>
  <c r="O83" i="261"/>
  <c r="K83" i="261"/>
  <c r="S83" i="261"/>
  <c r="O66" i="261"/>
  <c r="W65" i="261"/>
  <c r="K66" i="261"/>
  <c r="S66" i="261"/>
  <c r="O49" i="261"/>
  <c r="W48" i="261"/>
  <c r="AI882" i="262"/>
  <c r="AA882" i="262"/>
  <c r="S882" i="262"/>
  <c r="K882" i="262"/>
  <c r="AI834" i="262"/>
  <c r="S834" i="262"/>
  <c r="AE797" i="262"/>
  <c r="W797" i="262"/>
  <c r="O797" i="262"/>
  <c r="AE814" i="262"/>
  <c r="W814" i="262"/>
  <c r="O814" i="262"/>
  <c r="AA899" i="262"/>
  <c r="W881" i="262"/>
  <c r="W864" i="262"/>
  <c r="AE847" i="262"/>
  <c r="O847" i="262"/>
  <c r="AA796" i="262"/>
  <c r="K796" i="262"/>
  <c r="K900" i="262"/>
  <c r="S899" i="262"/>
  <c r="AE881" i="262"/>
  <c r="O881" i="262"/>
  <c r="AI900" i="262"/>
  <c r="AE864" i="262"/>
  <c r="O864" i="262"/>
  <c r="W847" i="262"/>
  <c r="W830" i="262"/>
  <c r="AI796" i="262"/>
  <c r="S796" i="262"/>
  <c r="AE831" i="262"/>
  <c r="O831" i="262"/>
  <c r="AE898" i="262"/>
  <c r="W898" i="262"/>
  <c r="O899" i="262"/>
  <c r="AA834" i="262"/>
  <c r="K834" i="262"/>
  <c r="AI865" i="262"/>
  <c r="AA865" i="262"/>
  <c r="S865" i="262"/>
  <c r="K865" i="262"/>
  <c r="AI848" i="262"/>
  <c r="AA848" i="262"/>
  <c r="S848" i="262"/>
  <c r="K848" i="262"/>
  <c r="AI814" i="262"/>
  <c r="AA814" i="262"/>
  <c r="S814" i="262"/>
  <c r="K814" i="262"/>
  <c r="AA780" i="262"/>
  <c r="AI746" i="262"/>
  <c r="AA746" i="262"/>
  <c r="S746" i="262"/>
  <c r="K746" i="262"/>
  <c r="AA694" i="262"/>
  <c r="K694" i="262"/>
  <c r="AE677" i="262"/>
  <c r="O677" i="262"/>
  <c r="W660" i="262"/>
  <c r="AE643" i="262"/>
  <c r="O643" i="262"/>
  <c r="AI763" i="262"/>
  <c r="AA763" i="262"/>
  <c r="S763" i="262"/>
  <c r="K763" i="262"/>
  <c r="AI729" i="262"/>
  <c r="AA729" i="262"/>
  <c r="S729" i="262"/>
  <c r="K729" i="262"/>
  <c r="AI694" i="262"/>
  <c r="S694" i="262"/>
  <c r="AI712" i="262"/>
  <c r="AA712" i="262"/>
  <c r="S712" i="262"/>
  <c r="K712" i="262"/>
  <c r="W677" i="262"/>
  <c r="AE660" i="262"/>
  <c r="O660" i="262"/>
  <c r="W643" i="262"/>
  <c r="K780" i="262"/>
  <c r="AE763" i="262"/>
  <c r="W763" i="262"/>
  <c r="O763" i="262"/>
  <c r="AE746" i="262"/>
  <c r="W746" i="262"/>
  <c r="O746" i="262"/>
  <c r="AE729" i="262"/>
  <c r="W729" i="262"/>
  <c r="O729" i="262"/>
  <c r="AE712" i="262"/>
  <c r="W712" i="262"/>
  <c r="O712" i="262"/>
  <c r="AE695" i="262"/>
  <c r="W695" i="262"/>
  <c r="O695" i="262"/>
  <c r="AE780" i="262"/>
  <c r="W780" i="262"/>
  <c r="O780" i="262"/>
  <c r="AI678" i="262"/>
  <c r="AA678" i="262"/>
  <c r="S678" i="262"/>
  <c r="K678" i="262"/>
  <c r="AI661" i="262"/>
  <c r="AA661" i="262"/>
  <c r="S661" i="262"/>
  <c r="K661" i="262"/>
  <c r="AI644" i="262"/>
  <c r="AA644" i="262"/>
  <c r="S644" i="262"/>
  <c r="K644" i="262"/>
  <c r="AI780" i="262"/>
  <c r="S780" i="262"/>
  <c r="AI627" i="262"/>
  <c r="S627" i="262"/>
  <c r="AI558" i="262"/>
  <c r="S558" i="262"/>
  <c r="AA541" i="262"/>
  <c r="K541" i="262"/>
  <c r="AE525" i="262"/>
  <c r="W525" i="262"/>
  <c r="O525" i="262"/>
  <c r="AE508" i="262"/>
  <c r="W508" i="262"/>
  <c r="O508" i="262"/>
  <c r="AE491" i="262"/>
  <c r="W491" i="262"/>
  <c r="O491" i="262"/>
  <c r="AE610" i="262"/>
  <c r="W610" i="262"/>
  <c r="O610" i="262"/>
  <c r="AE576" i="262"/>
  <c r="W576" i="262"/>
  <c r="O576" i="262"/>
  <c r="AA558" i="262"/>
  <c r="K558" i="262"/>
  <c r="AI541" i="262"/>
  <c r="S541" i="262"/>
  <c r="AE593" i="262"/>
  <c r="W593" i="262"/>
  <c r="O593" i="262"/>
  <c r="W627" i="262"/>
  <c r="O627" i="262"/>
  <c r="AE627" i="262"/>
  <c r="AI610" i="262"/>
  <c r="AA610" i="262"/>
  <c r="S609" i="262"/>
  <c r="K609" i="262"/>
  <c r="AI593" i="262"/>
  <c r="AA593" i="262"/>
  <c r="S593" i="262"/>
  <c r="K593" i="262"/>
  <c r="AI576" i="262"/>
  <c r="AA576" i="262"/>
  <c r="S576" i="262"/>
  <c r="K576" i="262"/>
  <c r="AE559" i="262"/>
  <c r="W559" i="262"/>
  <c r="O559" i="262"/>
  <c r="AE542" i="262"/>
  <c r="W542" i="262"/>
  <c r="O542" i="262"/>
  <c r="AI525" i="262"/>
  <c r="AA525" i="262"/>
  <c r="S525" i="262"/>
  <c r="K525" i="262"/>
  <c r="AI508" i="262"/>
  <c r="AA508" i="262"/>
  <c r="S508" i="262"/>
  <c r="K508" i="262"/>
  <c r="AI491" i="262"/>
  <c r="AA491" i="262"/>
  <c r="S491" i="262"/>
  <c r="K491" i="262"/>
  <c r="AA627" i="262"/>
  <c r="K627" i="262"/>
  <c r="S440" i="262"/>
  <c r="K440" i="262"/>
  <c r="AE457" i="262"/>
  <c r="W457" i="262"/>
  <c r="O457" i="262"/>
  <c r="AI422" i="262"/>
  <c r="S422" i="262"/>
  <c r="AA440" i="262"/>
  <c r="AA388" i="262"/>
  <c r="K388" i="262"/>
  <c r="AA337" i="262"/>
  <c r="AI406" i="262"/>
  <c r="AA406" i="262"/>
  <c r="S406" i="262"/>
  <c r="K406" i="262"/>
  <c r="AI371" i="262"/>
  <c r="S371" i="262"/>
  <c r="AA354" i="262"/>
  <c r="K354" i="262"/>
  <c r="S337" i="262"/>
  <c r="AA422" i="262"/>
  <c r="K422" i="262"/>
  <c r="AI440" i="262"/>
  <c r="AI388" i="262"/>
  <c r="S388" i="262"/>
  <c r="AI337" i="262"/>
  <c r="K337" i="262"/>
  <c r="AA371" i="262"/>
  <c r="K371" i="262"/>
  <c r="AI354" i="262"/>
  <c r="S354" i="262"/>
  <c r="W474" i="262"/>
  <c r="AE406" i="262"/>
  <c r="W406" i="262"/>
  <c r="O406" i="262"/>
  <c r="AE389" i="262"/>
  <c r="W389" i="262"/>
  <c r="O389" i="262"/>
  <c r="AE372" i="262"/>
  <c r="W372" i="262"/>
  <c r="O372" i="262"/>
  <c r="AE355" i="262"/>
  <c r="W355" i="262"/>
  <c r="O355" i="262"/>
  <c r="AE338" i="262"/>
  <c r="W338" i="262"/>
  <c r="O338" i="262"/>
  <c r="AE474" i="262"/>
  <c r="O474" i="262"/>
  <c r="AI457" i="262"/>
  <c r="AA457" i="262"/>
  <c r="S457" i="262"/>
  <c r="K457" i="262"/>
  <c r="AE440" i="262"/>
  <c r="W440" i="262"/>
  <c r="O440" i="262"/>
  <c r="AE423" i="262"/>
  <c r="W423" i="262"/>
  <c r="O423" i="262"/>
  <c r="AI474" i="262"/>
  <c r="AA474" i="262"/>
  <c r="S474" i="262"/>
  <c r="K474" i="262"/>
  <c r="W321" i="262"/>
  <c r="AI287" i="262"/>
  <c r="AA287" i="262"/>
  <c r="S287" i="262"/>
  <c r="K287" i="262"/>
  <c r="AA235" i="262"/>
  <c r="K235" i="262"/>
  <c r="AA218" i="262"/>
  <c r="K218" i="262"/>
  <c r="AI201" i="262"/>
  <c r="S201" i="262"/>
  <c r="AA184" i="262"/>
  <c r="K184" i="262"/>
  <c r="AI304" i="262"/>
  <c r="AA304" i="262"/>
  <c r="S304" i="262"/>
  <c r="K304" i="262"/>
  <c r="AI270" i="262"/>
  <c r="AA270" i="262"/>
  <c r="S270" i="262"/>
  <c r="K270" i="262"/>
  <c r="AI235" i="262"/>
  <c r="S235" i="262"/>
  <c r="AI253" i="262"/>
  <c r="AA253" i="262"/>
  <c r="S253" i="262"/>
  <c r="K253" i="262"/>
  <c r="AI218" i="262"/>
  <c r="S218" i="262"/>
  <c r="AA201" i="262"/>
  <c r="K201" i="262"/>
  <c r="AI184" i="262"/>
  <c r="S184" i="262"/>
  <c r="AE304" i="262"/>
  <c r="W304" i="262"/>
  <c r="O304" i="262"/>
  <c r="AE287" i="262"/>
  <c r="W287" i="262"/>
  <c r="O287" i="262"/>
  <c r="AE270" i="262"/>
  <c r="W270" i="262"/>
  <c r="O270" i="262"/>
  <c r="AE253" i="262"/>
  <c r="W253" i="262"/>
  <c r="O253" i="262"/>
  <c r="AE236" i="262"/>
  <c r="W236" i="262"/>
  <c r="O236" i="262"/>
  <c r="AE219" i="262"/>
  <c r="W219" i="262"/>
  <c r="O219" i="262"/>
  <c r="AE202" i="262"/>
  <c r="W202" i="262"/>
  <c r="O202" i="262"/>
  <c r="W185" i="262"/>
  <c r="O185" i="262"/>
  <c r="AI321" i="262"/>
  <c r="AA321" i="262"/>
  <c r="S321" i="262"/>
  <c r="K321" i="262"/>
  <c r="AE185" i="262"/>
  <c r="O321" i="262"/>
  <c r="AE321" i="262"/>
  <c r="BS32" i="262"/>
  <c r="AY34" i="262"/>
  <c r="AU31" i="262"/>
  <c r="AQ31" i="262"/>
  <c r="AM31" i="262"/>
  <c r="W169" i="262"/>
  <c r="AI168" i="262"/>
  <c r="S168" i="262"/>
  <c r="K168" i="262"/>
  <c r="AA168" i="262"/>
  <c r="AE169" i="262"/>
  <c r="O169" i="262"/>
  <c r="AI152" i="262"/>
  <c r="S152" i="262"/>
  <c r="AA152" i="262"/>
  <c r="W151" i="262"/>
  <c r="O151" i="262"/>
  <c r="K152" i="262"/>
  <c r="AE151" i="262"/>
  <c r="AE135" i="262"/>
  <c r="W134" i="262"/>
  <c r="AI133" i="262"/>
  <c r="AA133" i="262"/>
  <c r="S133" i="262"/>
  <c r="O134" i="262"/>
  <c r="K133" i="262"/>
  <c r="AA118" i="262"/>
  <c r="K118" i="262"/>
  <c r="AE117" i="262"/>
  <c r="W117" i="262"/>
  <c r="S118" i="262"/>
  <c r="O117" i="262"/>
  <c r="AI118" i="262"/>
  <c r="W101" i="262"/>
  <c r="AI100" i="262"/>
  <c r="AA100" i="262"/>
  <c r="S100" i="262"/>
  <c r="K99" i="262"/>
  <c r="O101" i="262"/>
  <c r="AE101" i="262"/>
  <c r="AI83" i="262"/>
  <c r="S83" i="262"/>
  <c r="O84" i="262"/>
  <c r="AE82" i="262"/>
  <c r="W82" i="262"/>
  <c r="K83" i="262"/>
  <c r="AA83" i="262"/>
  <c r="AA66" i="262"/>
  <c r="K66" i="262"/>
  <c r="S66" i="262"/>
  <c r="AI67" i="262"/>
  <c r="AE65" i="262"/>
  <c r="O65" i="262"/>
  <c r="W65" i="262"/>
  <c r="W49" i="262"/>
  <c r="AI48" i="262"/>
  <c r="AE49" i="262"/>
  <c r="O49" i="262"/>
  <c r="S48" i="262"/>
  <c r="K48" i="262"/>
  <c r="AA48" i="262"/>
  <c r="AI32" i="262"/>
  <c r="AE32" i="262"/>
  <c r="BO28" i="262"/>
  <c r="CA27" i="262"/>
  <c r="BW29" i="262"/>
  <c r="E192" i="1103"/>
  <c r="F192" i="1103"/>
  <c r="A226" i="1103" l="1"/>
  <c r="S32" i="1103"/>
  <c r="S49" i="1103"/>
  <c r="O34" i="1103"/>
  <c r="O51" i="1103"/>
  <c r="AI32" i="1103"/>
  <c r="K32" i="1103"/>
  <c r="AA32" i="1103"/>
  <c r="K49" i="1103"/>
  <c r="AE34" i="1103"/>
  <c r="W34" i="1103"/>
  <c r="S220" i="261"/>
  <c r="K220" i="261"/>
  <c r="O220" i="261"/>
  <c r="W220" i="261"/>
  <c r="S203" i="261"/>
  <c r="K203" i="261"/>
  <c r="O203" i="261"/>
  <c r="W203" i="261"/>
  <c r="S101" i="261"/>
  <c r="K101" i="261"/>
  <c r="W100" i="261"/>
  <c r="O101" i="261"/>
  <c r="S84" i="261"/>
  <c r="K84" i="261"/>
  <c r="O84" i="261"/>
  <c r="W84" i="261"/>
  <c r="W66" i="261"/>
  <c r="O67" i="261"/>
  <c r="S67" i="261"/>
  <c r="K67" i="261"/>
  <c r="W49" i="261"/>
  <c r="O50" i="261"/>
  <c r="O832" i="262"/>
  <c r="AE832" i="262"/>
  <c r="S797" i="262"/>
  <c r="AI797" i="262"/>
  <c r="W831" i="262"/>
  <c r="W848" i="262"/>
  <c r="O865" i="262"/>
  <c r="AE865" i="262"/>
  <c r="AI901" i="262"/>
  <c r="O882" i="262"/>
  <c r="AE882" i="262"/>
  <c r="S900" i="262"/>
  <c r="K901" i="262"/>
  <c r="K797" i="262"/>
  <c r="AA797" i="262"/>
  <c r="O848" i="262"/>
  <c r="AE848" i="262"/>
  <c r="W865" i="262"/>
  <c r="W882" i="262"/>
  <c r="AA900" i="262"/>
  <c r="O815" i="262"/>
  <c r="W815" i="262"/>
  <c r="AE815" i="262"/>
  <c r="K815" i="262"/>
  <c r="S815" i="262"/>
  <c r="AA815" i="262"/>
  <c r="AI815" i="262"/>
  <c r="K849" i="262"/>
  <c r="S849" i="262"/>
  <c r="AA849" i="262"/>
  <c r="AI849" i="262"/>
  <c r="K866" i="262"/>
  <c r="S866" i="262"/>
  <c r="AA866" i="262"/>
  <c r="AI866" i="262"/>
  <c r="K835" i="262"/>
  <c r="AA835" i="262"/>
  <c r="O900" i="262"/>
  <c r="W899" i="262"/>
  <c r="AE899" i="262"/>
  <c r="O798" i="262"/>
  <c r="W798" i="262"/>
  <c r="AE798" i="262"/>
  <c r="S835" i="262"/>
  <c r="AI835" i="262"/>
  <c r="K883" i="262"/>
  <c r="S883" i="262"/>
  <c r="AA883" i="262"/>
  <c r="AI883" i="262"/>
  <c r="W644" i="262"/>
  <c r="O661" i="262"/>
  <c r="AE661" i="262"/>
  <c r="W678" i="262"/>
  <c r="K713" i="262"/>
  <c r="S695" i="262"/>
  <c r="AI695" i="262"/>
  <c r="K730" i="262"/>
  <c r="S730" i="262"/>
  <c r="AA730" i="262"/>
  <c r="AI730" i="262"/>
  <c r="K764" i="262"/>
  <c r="S764" i="262"/>
  <c r="AA764" i="262"/>
  <c r="AI764" i="262"/>
  <c r="O644" i="262"/>
  <c r="AE644" i="262"/>
  <c r="W661" i="262"/>
  <c r="O678" i="262"/>
  <c r="AE678" i="262"/>
  <c r="K695" i="262"/>
  <c r="AA695" i="262"/>
  <c r="K747" i="262"/>
  <c r="S747" i="262"/>
  <c r="AA747" i="262"/>
  <c r="AI747" i="262"/>
  <c r="S781" i="262"/>
  <c r="AI781" i="262"/>
  <c r="K645" i="262"/>
  <c r="S645" i="262"/>
  <c r="AA645" i="262"/>
  <c r="AI645" i="262"/>
  <c r="K662" i="262"/>
  <c r="S662" i="262"/>
  <c r="AA662" i="262"/>
  <c r="AI662" i="262"/>
  <c r="K679" i="262"/>
  <c r="S679" i="262"/>
  <c r="AA679" i="262"/>
  <c r="AI679" i="262"/>
  <c r="O781" i="262"/>
  <c r="W781" i="262"/>
  <c r="AE781" i="262"/>
  <c r="O696" i="262"/>
  <c r="W696" i="262"/>
  <c r="AE696" i="262"/>
  <c r="O713" i="262"/>
  <c r="W713" i="262"/>
  <c r="AE713" i="262"/>
  <c r="O730" i="262"/>
  <c r="W730" i="262"/>
  <c r="AE730" i="262"/>
  <c r="O747" i="262"/>
  <c r="W747" i="262"/>
  <c r="AE747" i="262"/>
  <c r="O764" i="262"/>
  <c r="W764" i="262"/>
  <c r="AE764" i="262"/>
  <c r="K781" i="262"/>
  <c r="S713" i="262"/>
  <c r="AA713" i="262"/>
  <c r="AI713" i="262"/>
  <c r="AA781" i="262"/>
  <c r="O594" i="262"/>
  <c r="W594" i="262"/>
  <c r="AE594" i="262"/>
  <c r="S542" i="262"/>
  <c r="AI542" i="262"/>
  <c r="K559" i="262"/>
  <c r="AA559" i="262"/>
  <c r="O577" i="262"/>
  <c r="W577" i="262"/>
  <c r="AE577" i="262"/>
  <c r="O611" i="262"/>
  <c r="W611" i="262"/>
  <c r="AE611" i="262"/>
  <c r="O492" i="262"/>
  <c r="W492" i="262"/>
  <c r="AE492" i="262"/>
  <c r="O509" i="262"/>
  <c r="W509" i="262"/>
  <c r="AE509" i="262"/>
  <c r="O526" i="262"/>
  <c r="W526" i="262"/>
  <c r="AE526" i="262"/>
  <c r="K542" i="262"/>
  <c r="AA542" i="262"/>
  <c r="S559" i="262"/>
  <c r="AI559" i="262"/>
  <c r="K628" i="262"/>
  <c r="AA628" i="262"/>
  <c r="K492" i="262"/>
  <c r="S492" i="262"/>
  <c r="AA492" i="262"/>
  <c r="AI492" i="262"/>
  <c r="K509" i="262"/>
  <c r="S509" i="262"/>
  <c r="AA509" i="262"/>
  <c r="AI509" i="262"/>
  <c r="K526" i="262"/>
  <c r="S526" i="262"/>
  <c r="AA526" i="262"/>
  <c r="AI526" i="262"/>
  <c r="O543" i="262"/>
  <c r="W543" i="262"/>
  <c r="AE543" i="262"/>
  <c r="O560" i="262"/>
  <c r="W560" i="262"/>
  <c r="AE560" i="262"/>
  <c r="K577" i="262"/>
  <c r="S577" i="262"/>
  <c r="AA577" i="262"/>
  <c r="AI577" i="262"/>
  <c r="K594" i="262"/>
  <c r="S594" i="262"/>
  <c r="AA594" i="262"/>
  <c r="AI594" i="262"/>
  <c r="K610" i="262"/>
  <c r="S610" i="262"/>
  <c r="AA611" i="262"/>
  <c r="AI611" i="262"/>
  <c r="AE628" i="262"/>
  <c r="O628" i="262"/>
  <c r="W628" i="262"/>
  <c r="S628" i="262"/>
  <c r="AI628" i="262"/>
  <c r="K475" i="262"/>
  <c r="S475" i="262"/>
  <c r="AA475" i="262"/>
  <c r="AI475" i="262"/>
  <c r="O424" i="262"/>
  <c r="W424" i="262"/>
  <c r="AE424" i="262"/>
  <c r="O441" i="262"/>
  <c r="W441" i="262"/>
  <c r="AE441" i="262"/>
  <c r="K458" i="262"/>
  <c r="S458" i="262"/>
  <c r="AA458" i="262"/>
  <c r="AI458" i="262"/>
  <c r="O475" i="262"/>
  <c r="AE475" i="262"/>
  <c r="O339" i="262"/>
  <c r="W339" i="262"/>
  <c r="AE339" i="262"/>
  <c r="O356" i="262"/>
  <c r="W356" i="262"/>
  <c r="AE356" i="262"/>
  <c r="O373" i="262"/>
  <c r="W373" i="262"/>
  <c r="AE373" i="262"/>
  <c r="O390" i="262"/>
  <c r="W390" i="262"/>
  <c r="AE390" i="262"/>
  <c r="O407" i="262"/>
  <c r="W407" i="262"/>
  <c r="AE407" i="262"/>
  <c r="W475" i="262"/>
  <c r="S407" i="262"/>
  <c r="AA407" i="262"/>
  <c r="S355" i="262"/>
  <c r="AI355" i="262"/>
  <c r="K372" i="262"/>
  <c r="AA372" i="262"/>
  <c r="K338" i="262"/>
  <c r="AI338" i="262"/>
  <c r="S389" i="262"/>
  <c r="AI389" i="262"/>
  <c r="AI441" i="262"/>
  <c r="K423" i="262"/>
  <c r="AA423" i="262"/>
  <c r="S338" i="262"/>
  <c r="K355" i="262"/>
  <c r="AA355" i="262"/>
  <c r="S372" i="262"/>
  <c r="AI372" i="262"/>
  <c r="K407" i="262"/>
  <c r="AI407" i="262"/>
  <c r="AA338" i="262"/>
  <c r="K389" i="262"/>
  <c r="AA389" i="262"/>
  <c r="AA441" i="262"/>
  <c r="S423" i="262"/>
  <c r="AI423" i="262"/>
  <c r="O458" i="262"/>
  <c r="W458" i="262"/>
  <c r="AE458" i="262"/>
  <c r="K441" i="262"/>
  <c r="S441" i="262"/>
  <c r="S185" i="262"/>
  <c r="AI185" i="262"/>
  <c r="K202" i="262"/>
  <c r="AA202" i="262"/>
  <c r="S219" i="262"/>
  <c r="AI219" i="262"/>
  <c r="S236" i="262"/>
  <c r="AI236" i="262"/>
  <c r="K271" i="262"/>
  <c r="S271" i="262"/>
  <c r="AA271" i="262"/>
  <c r="AI271" i="262"/>
  <c r="K305" i="262"/>
  <c r="S305" i="262"/>
  <c r="AA305" i="262"/>
  <c r="AI305" i="262"/>
  <c r="K185" i="262"/>
  <c r="AA185" i="262"/>
  <c r="S202" i="262"/>
  <c r="AI202" i="262"/>
  <c r="K219" i="262"/>
  <c r="AA219" i="262"/>
  <c r="K236" i="262"/>
  <c r="AA236" i="262"/>
  <c r="K288" i="262"/>
  <c r="S288" i="262"/>
  <c r="AA288" i="262"/>
  <c r="AI288" i="262"/>
  <c r="AE322" i="262"/>
  <c r="O322" i="262"/>
  <c r="AE186" i="262"/>
  <c r="K322" i="262"/>
  <c r="S322" i="262"/>
  <c r="AA322" i="262"/>
  <c r="AI322" i="262"/>
  <c r="O186" i="262"/>
  <c r="W186" i="262"/>
  <c r="O203" i="262"/>
  <c r="W203" i="262"/>
  <c r="AE203" i="262"/>
  <c r="O220" i="262"/>
  <c r="W220" i="262"/>
  <c r="AE220" i="262"/>
  <c r="O237" i="262"/>
  <c r="W237" i="262"/>
  <c r="AE237" i="262"/>
  <c r="O254" i="262"/>
  <c r="W254" i="262"/>
  <c r="AE254" i="262"/>
  <c r="O271" i="262"/>
  <c r="W271" i="262"/>
  <c r="AE271" i="262"/>
  <c r="O288" i="262"/>
  <c r="W288" i="262"/>
  <c r="AE288" i="262"/>
  <c r="O305" i="262"/>
  <c r="W305" i="262"/>
  <c r="AE305" i="262"/>
  <c r="K254" i="262"/>
  <c r="S254" i="262"/>
  <c r="AA254" i="262"/>
  <c r="AI254" i="262"/>
  <c r="W322" i="262"/>
  <c r="BS33" i="262"/>
  <c r="AY35" i="262"/>
  <c r="AU32" i="262"/>
  <c r="AQ32" i="262"/>
  <c r="AM32" i="262"/>
  <c r="O170" i="262"/>
  <c r="AE170" i="262"/>
  <c r="AA169" i="262"/>
  <c r="K169" i="262"/>
  <c r="S169" i="262"/>
  <c r="AI169" i="262"/>
  <c r="W170" i="262"/>
  <c r="AE152" i="262"/>
  <c r="K153" i="262"/>
  <c r="O152" i="262"/>
  <c r="W152" i="262"/>
  <c r="AA153" i="262"/>
  <c r="S153" i="262"/>
  <c r="AI153" i="262"/>
  <c r="K134" i="262"/>
  <c r="O135" i="262"/>
  <c r="S134" i="262"/>
  <c r="AA134" i="262"/>
  <c r="AI134" i="262"/>
  <c r="W135" i="262"/>
  <c r="AE136" i="262"/>
  <c r="AI119" i="262"/>
  <c r="O118" i="262"/>
  <c r="S119" i="262"/>
  <c r="W118" i="262"/>
  <c r="AE118" i="262"/>
  <c r="K119" i="262"/>
  <c r="AA119" i="262"/>
  <c r="AE102" i="262"/>
  <c r="O102" i="262"/>
  <c r="K100" i="262"/>
  <c r="S101" i="262"/>
  <c r="AA101" i="262"/>
  <c r="AI101" i="262"/>
  <c r="W102" i="262"/>
  <c r="AA84" i="262"/>
  <c r="K84" i="262"/>
  <c r="W83" i="262"/>
  <c r="AE83" i="262"/>
  <c r="O85" i="262"/>
  <c r="S84" i="262"/>
  <c r="AI84" i="262"/>
  <c r="W66" i="262"/>
  <c r="O66" i="262"/>
  <c r="AE66" i="262"/>
  <c r="AI68" i="262"/>
  <c r="S67" i="262"/>
  <c r="K67" i="262"/>
  <c r="AA67" i="262"/>
  <c r="AA49" i="262"/>
  <c r="K49" i="262"/>
  <c r="S49" i="262"/>
  <c r="O50" i="262"/>
  <c r="AE50" i="262"/>
  <c r="AI49" i="262"/>
  <c r="W50" i="262"/>
  <c r="AI33" i="262"/>
  <c r="AE33" i="262"/>
  <c r="CA28" i="262"/>
  <c r="BO29" i="262"/>
  <c r="BW30" i="262"/>
  <c r="F209" i="1103"/>
  <c r="E209" i="1103"/>
  <c r="A243" i="1103" l="1"/>
  <c r="S50" i="1103"/>
  <c r="S33" i="1103"/>
  <c r="O52" i="1103"/>
  <c r="O35" i="1103"/>
  <c r="AA33" i="1103"/>
  <c r="K33" i="1103"/>
  <c r="AI33" i="1103"/>
  <c r="W35" i="1103"/>
  <c r="AE35" i="1103"/>
  <c r="K50" i="1103"/>
  <c r="K221" i="261"/>
  <c r="S221" i="261"/>
  <c r="W221" i="261"/>
  <c r="O221" i="261"/>
  <c r="K204" i="261"/>
  <c r="S204" i="261"/>
  <c r="W204" i="261"/>
  <c r="O204" i="261"/>
  <c r="K102" i="261"/>
  <c r="S102" i="261"/>
  <c r="O102" i="261"/>
  <c r="W101" i="261"/>
  <c r="K85" i="261"/>
  <c r="S85" i="261"/>
  <c r="W85" i="261"/>
  <c r="O85" i="261"/>
  <c r="O68" i="261"/>
  <c r="W67" i="261"/>
  <c r="K68" i="261"/>
  <c r="S68" i="261"/>
  <c r="O51" i="261"/>
  <c r="W50" i="261"/>
  <c r="AI884" i="262"/>
  <c r="AA884" i="262"/>
  <c r="S884" i="262"/>
  <c r="K884" i="262"/>
  <c r="AI836" i="262"/>
  <c r="S836" i="262"/>
  <c r="AE799" i="262"/>
  <c r="W799" i="262"/>
  <c r="O799" i="262"/>
  <c r="AE816" i="262"/>
  <c r="W816" i="262"/>
  <c r="O816" i="262"/>
  <c r="AA901" i="262"/>
  <c r="W883" i="262"/>
  <c r="W866" i="262"/>
  <c r="AE849" i="262"/>
  <c r="O849" i="262"/>
  <c r="AA798" i="262"/>
  <c r="K798" i="262"/>
  <c r="K902" i="262"/>
  <c r="S901" i="262"/>
  <c r="AE883" i="262"/>
  <c r="O883" i="262"/>
  <c r="AI902" i="262"/>
  <c r="W849" i="262"/>
  <c r="W832" i="262"/>
  <c r="AI798" i="262"/>
  <c r="S798" i="262"/>
  <c r="AE833" i="262"/>
  <c r="O833" i="262"/>
  <c r="AE900" i="262"/>
  <c r="W900" i="262"/>
  <c r="O901" i="262"/>
  <c r="AA836" i="262"/>
  <c r="K836" i="262"/>
  <c r="AI867" i="262"/>
  <c r="AA867" i="262"/>
  <c r="S867" i="262"/>
  <c r="K867" i="262"/>
  <c r="AI850" i="262"/>
  <c r="AA850" i="262"/>
  <c r="S850" i="262"/>
  <c r="K850" i="262"/>
  <c r="AI816" i="262"/>
  <c r="AA816" i="262"/>
  <c r="S816" i="262"/>
  <c r="K816" i="262"/>
  <c r="AE866" i="262"/>
  <c r="O866" i="262"/>
  <c r="AI714" i="262"/>
  <c r="AA714" i="262"/>
  <c r="S714" i="262"/>
  <c r="AE782" i="262"/>
  <c r="W782" i="262"/>
  <c r="O782" i="262"/>
  <c r="AI748" i="262"/>
  <c r="AA748" i="262"/>
  <c r="S748" i="262"/>
  <c r="K748" i="262"/>
  <c r="AA696" i="262"/>
  <c r="K696" i="262"/>
  <c r="AE679" i="262"/>
  <c r="O679" i="262"/>
  <c r="W662" i="262"/>
  <c r="AE645" i="262"/>
  <c r="O645" i="262"/>
  <c r="AI765" i="262"/>
  <c r="AA765" i="262"/>
  <c r="S765" i="262"/>
  <c r="K765" i="262"/>
  <c r="AI731" i="262"/>
  <c r="AA731" i="262"/>
  <c r="S731" i="262"/>
  <c r="K731" i="262"/>
  <c r="AI696" i="262"/>
  <c r="S696" i="262"/>
  <c r="W679" i="262"/>
  <c r="AE662" i="262"/>
  <c r="O662" i="262"/>
  <c r="W645" i="262"/>
  <c r="AA782" i="262"/>
  <c r="K782" i="262"/>
  <c r="AE765" i="262"/>
  <c r="W765" i="262"/>
  <c r="O765" i="262"/>
  <c r="AE748" i="262"/>
  <c r="W748" i="262"/>
  <c r="O748" i="262"/>
  <c r="AE731" i="262"/>
  <c r="W731" i="262"/>
  <c r="O731" i="262"/>
  <c r="AE714" i="262"/>
  <c r="W714" i="262"/>
  <c r="O714" i="262"/>
  <c r="AE697" i="262"/>
  <c r="W697" i="262"/>
  <c r="O697" i="262"/>
  <c r="AI680" i="262"/>
  <c r="AA680" i="262"/>
  <c r="S680" i="262"/>
  <c r="K680" i="262"/>
  <c r="AI663" i="262"/>
  <c r="AA663" i="262"/>
  <c r="S663" i="262"/>
  <c r="K663" i="262"/>
  <c r="AI646" i="262"/>
  <c r="AA646" i="262"/>
  <c r="S646" i="262"/>
  <c r="K646" i="262"/>
  <c r="AI782" i="262"/>
  <c r="S782" i="262"/>
  <c r="K714" i="262"/>
  <c r="W629" i="262"/>
  <c r="O629" i="262"/>
  <c r="AE629" i="262"/>
  <c r="AI560" i="262"/>
  <c r="S560" i="262"/>
  <c r="AA543" i="262"/>
  <c r="K543" i="262"/>
  <c r="AE527" i="262"/>
  <c r="W527" i="262"/>
  <c r="O527" i="262"/>
  <c r="AE510" i="262"/>
  <c r="W510" i="262"/>
  <c r="O510" i="262"/>
  <c r="AE493" i="262"/>
  <c r="W493" i="262"/>
  <c r="O493" i="262"/>
  <c r="AE612" i="262"/>
  <c r="W612" i="262"/>
  <c r="O612" i="262"/>
  <c r="AE578" i="262"/>
  <c r="W578" i="262"/>
  <c r="O578" i="262"/>
  <c r="AA560" i="262"/>
  <c r="K560" i="262"/>
  <c r="AI543" i="262"/>
  <c r="S543" i="262"/>
  <c r="AE595" i="262"/>
  <c r="W595" i="262"/>
  <c r="O595" i="262"/>
  <c r="AI629" i="262"/>
  <c r="S629" i="262"/>
  <c r="AI612" i="262"/>
  <c r="AA612" i="262"/>
  <c r="S611" i="262"/>
  <c r="K611" i="262"/>
  <c r="AI595" i="262"/>
  <c r="AA595" i="262"/>
  <c r="S595" i="262"/>
  <c r="K595" i="262"/>
  <c r="AI578" i="262"/>
  <c r="AA578" i="262"/>
  <c r="S578" i="262"/>
  <c r="K578" i="262"/>
  <c r="AE561" i="262"/>
  <c r="W561" i="262"/>
  <c r="O561" i="262"/>
  <c r="AE544" i="262"/>
  <c r="W544" i="262"/>
  <c r="O544" i="262"/>
  <c r="AI527" i="262"/>
  <c r="AA527" i="262"/>
  <c r="S527" i="262"/>
  <c r="K527" i="262"/>
  <c r="AI510" i="262"/>
  <c r="AA510" i="262"/>
  <c r="S510" i="262"/>
  <c r="K510" i="262"/>
  <c r="AI493" i="262"/>
  <c r="AA493" i="262"/>
  <c r="S493" i="262"/>
  <c r="K493" i="262"/>
  <c r="AA629" i="262"/>
  <c r="K629" i="262"/>
  <c r="S442" i="262"/>
  <c r="K442" i="262"/>
  <c r="AE459" i="262"/>
  <c r="W459" i="262"/>
  <c r="O459" i="262"/>
  <c r="AI424" i="262"/>
  <c r="S424" i="262"/>
  <c r="AA442" i="262"/>
  <c r="AA390" i="262"/>
  <c r="K390" i="262"/>
  <c r="AA339" i="262"/>
  <c r="AI408" i="262"/>
  <c r="K408" i="262"/>
  <c r="AI373" i="262"/>
  <c r="S373" i="262"/>
  <c r="AA356" i="262"/>
  <c r="K356" i="262"/>
  <c r="S339" i="262"/>
  <c r="AA424" i="262"/>
  <c r="K424" i="262"/>
  <c r="AI442" i="262"/>
  <c r="AI390" i="262"/>
  <c r="S390" i="262"/>
  <c r="AI339" i="262"/>
  <c r="K339" i="262"/>
  <c r="AA373" i="262"/>
  <c r="K373" i="262"/>
  <c r="AI356" i="262"/>
  <c r="S356" i="262"/>
  <c r="AA408" i="262"/>
  <c r="S408" i="262"/>
  <c r="AI476" i="262"/>
  <c r="AA476" i="262"/>
  <c r="S476" i="262"/>
  <c r="K476" i="262"/>
  <c r="W476" i="262"/>
  <c r="AE408" i="262"/>
  <c r="W408" i="262"/>
  <c r="O408" i="262"/>
  <c r="AE391" i="262"/>
  <c r="W391" i="262"/>
  <c r="O391" i="262"/>
  <c r="AE374" i="262"/>
  <c r="W374" i="262"/>
  <c r="O374" i="262"/>
  <c r="AE357" i="262"/>
  <c r="W357" i="262"/>
  <c r="O357" i="262"/>
  <c r="AE340" i="262"/>
  <c r="W340" i="262"/>
  <c r="O340" i="262"/>
  <c r="AE476" i="262"/>
  <c r="O476" i="262"/>
  <c r="AI459" i="262"/>
  <c r="AA459" i="262"/>
  <c r="S459" i="262"/>
  <c r="K459" i="262"/>
  <c r="AE442" i="262"/>
  <c r="W442" i="262"/>
  <c r="O442" i="262"/>
  <c r="AE425" i="262"/>
  <c r="W425" i="262"/>
  <c r="O425" i="262"/>
  <c r="AE306" i="262"/>
  <c r="W306" i="262"/>
  <c r="W289" i="262"/>
  <c r="AE272" i="262"/>
  <c r="O272" i="262"/>
  <c r="AE255" i="262"/>
  <c r="AI255" i="262"/>
  <c r="AA255" i="262"/>
  <c r="S255" i="262"/>
  <c r="K255" i="262"/>
  <c r="AI323" i="262"/>
  <c r="AA323" i="262"/>
  <c r="S323" i="262"/>
  <c r="AI289" i="262"/>
  <c r="AA289" i="262"/>
  <c r="S289" i="262"/>
  <c r="K289" i="262"/>
  <c r="AA237" i="262"/>
  <c r="K237" i="262"/>
  <c r="AA220" i="262"/>
  <c r="K220" i="262"/>
  <c r="AI203" i="262"/>
  <c r="S203" i="262"/>
  <c r="AA186" i="262"/>
  <c r="K186" i="262"/>
  <c r="AI306" i="262"/>
  <c r="AA306" i="262"/>
  <c r="S306" i="262"/>
  <c r="K306" i="262"/>
  <c r="AI272" i="262"/>
  <c r="AA272" i="262"/>
  <c r="S272" i="262"/>
  <c r="K272" i="262"/>
  <c r="AI237" i="262"/>
  <c r="S237" i="262"/>
  <c r="AI220" i="262"/>
  <c r="S220" i="262"/>
  <c r="AA203" i="262"/>
  <c r="K203" i="262"/>
  <c r="AI186" i="262"/>
  <c r="S186" i="262"/>
  <c r="W323" i="262"/>
  <c r="O306" i="262"/>
  <c r="AE289" i="262"/>
  <c r="O289" i="262"/>
  <c r="W272" i="262"/>
  <c r="W255" i="262"/>
  <c r="O255" i="262"/>
  <c r="AE238" i="262"/>
  <c r="W238" i="262"/>
  <c r="O238" i="262"/>
  <c r="AE221" i="262"/>
  <c r="W221" i="262"/>
  <c r="O221" i="262"/>
  <c r="AE204" i="262"/>
  <c r="W204" i="262"/>
  <c r="O204" i="262"/>
  <c r="W187" i="262"/>
  <c r="O187" i="262"/>
  <c r="K323" i="262"/>
  <c r="AE187" i="262"/>
  <c r="O323" i="262"/>
  <c r="AE323" i="262"/>
  <c r="BS34" i="262"/>
  <c r="AY36" i="262"/>
  <c r="AU33" i="262"/>
  <c r="AQ33" i="262"/>
  <c r="AM33" i="262"/>
  <c r="W171" i="262"/>
  <c r="AI170" i="262"/>
  <c r="S170" i="262"/>
  <c r="K170" i="262"/>
  <c r="AA170" i="262"/>
  <c r="AE171" i="262"/>
  <c r="O171" i="262"/>
  <c r="AI154" i="262"/>
  <c r="S154" i="262"/>
  <c r="AA154" i="262"/>
  <c r="W153" i="262"/>
  <c r="O153" i="262"/>
  <c r="K154" i="262"/>
  <c r="AE153" i="262"/>
  <c r="AE137" i="262"/>
  <c r="W136" i="262"/>
  <c r="AI135" i="262"/>
  <c r="AA135" i="262"/>
  <c r="S135" i="262"/>
  <c r="O136" i="262"/>
  <c r="K135" i="262"/>
  <c r="AA120" i="262"/>
  <c r="K120" i="262"/>
  <c r="AE119" i="262"/>
  <c r="W119" i="262"/>
  <c r="S120" i="262"/>
  <c r="O119" i="262"/>
  <c r="AI120" i="262"/>
  <c r="W103" i="262"/>
  <c r="AI102" i="262"/>
  <c r="AA102" i="262"/>
  <c r="S102" i="262"/>
  <c r="K101" i="262"/>
  <c r="O103" i="262"/>
  <c r="AE103" i="262"/>
  <c r="AI85" i="262"/>
  <c r="S85" i="262"/>
  <c r="O86" i="262"/>
  <c r="AE84" i="262"/>
  <c r="W84" i="262"/>
  <c r="K85" i="262"/>
  <c r="AA85" i="262"/>
  <c r="AA68" i="262"/>
  <c r="K68" i="262"/>
  <c r="S68" i="262"/>
  <c r="AI69" i="262"/>
  <c r="AE67" i="262"/>
  <c r="O67" i="262"/>
  <c r="W67" i="262"/>
  <c r="W51" i="262"/>
  <c r="AI50" i="262"/>
  <c r="AE51" i="262"/>
  <c r="O51" i="262"/>
  <c r="S50" i="262"/>
  <c r="K50" i="262"/>
  <c r="AA50" i="262"/>
  <c r="AI34" i="262"/>
  <c r="AE34" i="262"/>
  <c r="BW31" i="262"/>
  <c r="CA29" i="262"/>
  <c r="BO30" i="262"/>
  <c r="E49" i="13"/>
  <c r="K41" i="13"/>
  <c r="J41" i="13"/>
  <c r="I41" i="13"/>
  <c r="H41" i="13"/>
  <c r="G41" i="13"/>
  <c r="G44" i="13" s="1"/>
  <c r="F41" i="13"/>
  <c r="F44" i="13" s="1"/>
  <c r="K40" i="13"/>
  <c r="J40" i="13"/>
  <c r="I40" i="13"/>
  <c r="H40" i="13"/>
  <c r="G40" i="13"/>
  <c r="F40" i="13"/>
  <c r="K39" i="13"/>
  <c r="J39" i="13"/>
  <c r="I39" i="13"/>
  <c r="H39" i="13"/>
  <c r="G39" i="13"/>
  <c r="F39" i="13"/>
  <c r="K38" i="13"/>
  <c r="J38" i="13"/>
  <c r="I38" i="13"/>
  <c r="I43" i="13" s="1"/>
  <c r="H38" i="13"/>
  <c r="H43" i="13" s="1"/>
  <c r="G38" i="13"/>
  <c r="G43" i="13" s="1"/>
  <c r="F38" i="13"/>
  <c r="F43" i="13" s="1"/>
  <c r="E28" i="13"/>
  <c r="E48" i="13" s="1"/>
  <c r="E27" i="13"/>
  <c r="E47" i="13" s="1"/>
  <c r="K21" i="13"/>
  <c r="J21" i="13"/>
  <c r="I21" i="13"/>
  <c r="H21" i="13"/>
  <c r="G21" i="13"/>
  <c r="F21" i="13"/>
  <c r="K20" i="13"/>
  <c r="J20" i="13"/>
  <c r="I20" i="13"/>
  <c r="H20" i="13"/>
  <c r="G20" i="13"/>
  <c r="F20" i="13"/>
  <c r="K19" i="13"/>
  <c r="J19" i="13"/>
  <c r="I19" i="13"/>
  <c r="H19" i="13"/>
  <c r="G19" i="13"/>
  <c r="F19" i="13"/>
  <c r="K18" i="13"/>
  <c r="K23" i="13" s="1"/>
  <c r="Q23" i="13" s="1"/>
  <c r="J18" i="13"/>
  <c r="J23" i="13" s="1"/>
  <c r="P23" i="13" s="1"/>
  <c r="I18" i="13"/>
  <c r="H18" i="13"/>
  <c r="G18" i="13"/>
  <c r="G23" i="13" s="1"/>
  <c r="M23" i="13" s="1"/>
  <c r="F18" i="13"/>
  <c r="F23" i="13" s="1"/>
  <c r="L23" i="13" s="1"/>
  <c r="E18" i="13"/>
  <c r="E38" i="13" s="1"/>
  <c r="K9" i="13"/>
  <c r="Q9" i="13" s="1"/>
  <c r="J9" i="13"/>
  <c r="P9" i="13" s="1"/>
  <c r="I9" i="13"/>
  <c r="O9" i="13" s="1"/>
  <c r="H9" i="13"/>
  <c r="N9" i="13" s="1"/>
  <c r="G9" i="13"/>
  <c r="M9" i="13" s="1"/>
  <c r="F9" i="13"/>
  <c r="L9" i="13" s="1"/>
  <c r="E226" i="1103"/>
  <c r="F226" i="1103"/>
  <c r="I23" i="13" l="1"/>
  <c r="O23" i="13" s="1"/>
  <c r="H23" i="13"/>
  <c r="N23" i="13" s="1"/>
  <c r="A260" i="1103"/>
  <c r="S34" i="1103"/>
  <c r="S51" i="1103"/>
  <c r="O36" i="1103"/>
  <c r="O53" i="1103"/>
  <c r="AI34" i="1103"/>
  <c r="K34" i="1103"/>
  <c r="AA34" i="1103"/>
  <c r="K51" i="1103"/>
  <c r="AE36" i="1103"/>
  <c r="W36" i="1103"/>
  <c r="S222" i="261"/>
  <c r="K222" i="261"/>
  <c r="O222" i="261"/>
  <c r="W222" i="261"/>
  <c r="S205" i="261"/>
  <c r="K205" i="261"/>
  <c r="O205" i="261"/>
  <c r="W205" i="261"/>
  <c r="S103" i="261"/>
  <c r="K103" i="261"/>
  <c r="W102" i="261"/>
  <c r="O103" i="261"/>
  <c r="S86" i="261"/>
  <c r="K86" i="261"/>
  <c r="O86" i="261"/>
  <c r="W86" i="261"/>
  <c r="S69" i="261"/>
  <c r="K69" i="261"/>
  <c r="W68" i="261"/>
  <c r="O69" i="261"/>
  <c r="W51" i="261"/>
  <c r="O52" i="261"/>
  <c r="O867" i="262"/>
  <c r="AE867" i="262"/>
  <c r="O834" i="262"/>
  <c r="AE834" i="262"/>
  <c r="S799" i="262"/>
  <c r="AI799" i="262"/>
  <c r="W833" i="262"/>
  <c r="W850" i="262"/>
  <c r="AI903" i="262"/>
  <c r="O884" i="262"/>
  <c r="AE884" i="262"/>
  <c r="S902" i="262"/>
  <c r="K903" i="262"/>
  <c r="K799" i="262"/>
  <c r="AA799" i="262"/>
  <c r="O850" i="262"/>
  <c r="AE850" i="262"/>
  <c r="W867" i="262"/>
  <c r="W884" i="262"/>
  <c r="AA902" i="262"/>
  <c r="O817" i="262"/>
  <c r="W817" i="262"/>
  <c r="AE817" i="262"/>
  <c r="K817" i="262"/>
  <c r="S817" i="262"/>
  <c r="AA817" i="262"/>
  <c r="AI817" i="262"/>
  <c r="K851" i="262"/>
  <c r="S851" i="262"/>
  <c r="AA851" i="262"/>
  <c r="AI851" i="262"/>
  <c r="K868" i="262"/>
  <c r="S868" i="262"/>
  <c r="AA868" i="262"/>
  <c r="AI868" i="262"/>
  <c r="O902" i="262"/>
  <c r="W901" i="262"/>
  <c r="AE901" i="262"/>
  <c r="O800" i="262"/>
  <c r="W800" i="262"/>
  <c r="AE800" i="262"/>
  <c r="K885" i="262"/>
  <c r="S885" i="262"/>
  <c r="AA885" i="262"/>
  <c r="AI885" i="262"/>
  <c r="K715" i="262"/>
  <c r="W646" i="262"/>
  <c r="O663" i="262"/>
  <c r="AE663" i="262"/>
  <c r="W680" i="262"/>
  <c r="S697" i="262"/>
  <c r="AI697" i="262"/>
  <c r="K732" i="262"/>
  <c r="S732" i="262"/>
  <c r="AA732" i="262"/>
  <c r="AI732" i="262"/>
  <c r="K766" i="262"/>
  <c r="S766" i="262"/>
  <c r="AA766" i="262"/>
  <c r="AI766" i="262"/>
  <c r="O646" i="262"/>
  <c r="AE646" i="262"/>
  <c r="W663" i="262"/>
  <c r="O680" i="262"/>
  <c r="AE680" i="262"/>
  <c r="K697" i="262"/>
  <c r="AA697" i="262"/>
  <c r="K749" i="262"/>
  <c r="S749" i="262"/>
  <c r="AA749" i="262"/>
  <c r="AI749" i="262"/>
  <c r="O783" i="262"/>
  <c r="W783" i="262"/>
  <c r="AE783" i="262"/>
  <c r="S715" i="262"/>
  <c r="AA715" i="262"/>
  <c r="AI715" i="262"/>
  <c r="S783" i="262"/>
  <c r="AI783" i="262"/>
  <c r="K647" i="262"/>
  <c r="S647" i="262"/>
  <c r="AA647" i="262"/>
  <c r="AI647" i="262"/>
  <c r="K664" i="262"/>
  <c r="S664" i="262"/>
  <c r="AA664" i="262"/>
  <c r="AI664" i="262"/>
  <c r="K681" i="262"/>
  <c r="S681" i="262"/>
  <c r="AA681" i="262"/>
  <c r="AI681" i="262"/>
  <c r="O698" i="262"/>
  <c r="W698" i="262"/>
  <c r="AE698" i="262"/>
  <c r="O715" i="262"/>
  <c r="W715" i="262"/>
  <c r="AE715" i="262"/>
  <c r="O732" i="262"/>
  <c r="W732" i="262"/>
  <c r="AE732" i="262"/>
  <c r="O749" i="262"/>
  <c r="W749" i="262"/>
  <c r="AE749" i="262"/>
  <c r="O766" i="262"/>
  <c r="W766" i="262"/>
  <c r="AE766" i="262"/>
  <c r="K783" i="262"/>
  <c r="AA783" i="262"/>
  <c r="O562" i="262"/>
  <c r="W562" i="262"/>
  <c r="AE562" i="262"/>
  <c r="O596" i="262"/>
  <c r="W596" i="262"/>
  <c r="AE596" i="262"/>
  <c r="S544" i="262"/>
  <c r="AI544" i="262"/>
  <c r="O579" i="262"/>
  <c r="W579" i="262"/>
  <c r="AE579" i="262"/>
  <c r="O613" i="262"/>
  <c r="W613" i="262"/>
  <c r="AE613" i="262"/>
  <c r="O494" i="262"/>
  <c r="W494" i="262"/>
  <c r="AE494" i="262"/>
  <c r="O511" i="262"/>
  <c r="W511" i="262"/>
  <c r="AE511" i="262"/>
  <c r="O528" i="262"/>
  <c r="W528" i="262"/>
  <c r="AE528" i="262"/>
  <c r="K544" i="262"/>
  <c r="AA544" i="262"/>
  <c r="AE630" i="262"/>
  <c r="O630" i="262"/>
  <c r="W630" i="262"/>
  <c r="K630" i="262"/>
  <c r="AA630" i="262"/>
  <c r="K494" i="262"/>
  <c r="S494" i="262"/>
  <c r="AA494" i="262"/>
  <c r="AI494" i="262"/>
  <c r="K511" i="262"/>
  <c r="S511" i="262"/>
  <c r="AA511" i="262"/>
  <c r="AI511" i="262"/>
  <c r="K528" i="262"/>
  <c r="S528" i="262"/>
  <c r="AA528" i="262"/>
  <c r="AI528" i="262"/>
  <c r="O545" i="262"/>
  <c r="W545" i="262"/>
  <c r="AE545" i="262"/>
  <c r="K579" i="262"/>
  <c r="S579" i="262"/>
  <c r="AA579" i="262"/>
  <c r="AI579" i="262"/>
  <c r="K596" i="262"/>
  <c r="S596" i="262"/>
  <c r="AA596" i="262"/>
  <c r="AI596" i="262"/>
  <c r="K612" i="262"/>
  <c r="S612" i="262"/>
  <c r="AA613" i="262"/>
  <c r="AI613" i="262"/>
  <c r="S630" i="262"/>
  <c r="AI630" i="262"/>
  <c r="K561" i="262"/>
  <c r="AA561" i="262"/>
  <c r="S561" i="262"/>
  <c r="AI561" i="262"/>
  <c r="K477" i="262"/>
  <c r="S477" i="262"/>
  <c r="AA477" i="262"/>
  <c r="AI477" i="262"/>
  <c r="S409" i="262"/>
  <c r="AA409" i="262"/>
  <c r="S357" i="262"/>
  <c r="AI357" i="262"/>
  <c r="K374" i="262"/>
  <c r="AA374" i="262"/>
  <c r="K340" i="262"/>
  <c r="AI340" i="262"/>
  <c r="S391" i="262"/>
  <c r="AI391" i="262"/>
  <c r="AI443" i="262"/>
  <c r="K425" i="262"/>
  <c r="AA425" i="262"/>
  <c r="S340" i="262"/>
  <c r="K357" i="262"/>
  <c r="AA357" i="262"/>
  <c r="S374" i="262"/>
  <c r="AI374" i="262"/>
  <c r="K409" i="262"/>
  <c r="AI409" i="262"/>
  <c r="AA340" i="262"/>
  <c r="K391" i="262"/>
  <c r="AA391" i="262"/>
  <c r="AA443" i="262"/>
  <c r="S425" i="262"/>
  <c r="AI425" i="262"/>
  <c r="O460" i="262"/>
  <c r="K443" i="262"/>
  <c r="S443" i="262"/>
  <c r="O426" i="262"/>
  <c r="W426" i="262"/>
  <c r="AE426" i="262"/>
  <c r="O443" i="262"/>
  <c r="W443" i="262"/>
  <c r="AE443" i="262"/>
  <c r="K460" i="262"/>
  <c r="S460" i="262"/>
  <c r="AA460" i="262"/>
  <c r="AI460" i="262"/>
  <c r="O477" i="262"/>
  <c r="AE477" i="262"/>
  <c r="O341" i="262"/>
  <c r="W341" i="262"/>
  <c r="AE341" i="262"/>
  <c r="O358" i="262"/>
  <c r="W358" i="262"/>
  <c r="AE358" i="262"/>
  <c r="O375" i="262"/>
  <c r="W375" i="262"/>
  <c r="AE375" i="262"/>
  <c r="O392" i="262"/>
  <c r="W392" i="262"/>
  <c r="AE392" i="262"/>
  <c r="O409" i="262"/>
  <c r="W409" i="262"/>
  <c r="AE409" i="262"/>
  <c r="W477" i="262"/>
  <c r="W460" i="262"/>
  <c r="AE460" i="262"/>
  <c r="K324" i="262"/>
  <c r="S187" i="262"/>
  <c r="AI187" i="262"/>
  <c r="K204" i="262"/>
  <c r="AA204" i="262"/>
  <c r="S221" i="262"/>
  <c r="AI221" i="262"/>
  <c r="S238" i="262"/>
  <c r="AI238" i="262"/>
  <c r="K273" i="262"/>
  <c r="S273" i="262"/>
  <c r="AA273" i="262"/>
  <c r="AI273" i="262"/>
  <c r="K307" i="262"/>
  <c r="S307" i="262"/>
  <c r="AA307" i="262"/>
  <c r="AI307" i="262"/>
  <c r="K187" i="262"/>
  <c r="AA187" i="262"/>
  <c r="S204" i="262"/>
  <c r="AI204" i="262"/>
  <c r="K221" i="262"/>
  <c r="AA221" i="262"/>
  <c r="K238" i="262"/>
  <c r="AA238" i="262"/>
  <c r="K290" i="262"/>
  <c r="S290" i="262"/>
  <c r="AA290" i="262"/>
  <c r="AI290" i="262"/>
  <c r="S324" i="262"/>
  <c r="AA324" i="262"/>
  <c r="AI324" i="262"/>
  <c r="K256" i="262"/>
  <c r="S256" i="262"/>
  <c r="AA256" i="262"/>
  <c r="AI256" i="262"/>
  <c r="AE324" i="262"/>
  <c r="O324" i="262"/>
  <c r="AE188" i="262"/>
  <c r="O188" i="262"/>
  <c r="W188" i="262"/>
  <c r="O205" i="262"/>
  <c r="W205" i="262"/>
  <c r="AE205" i="262"/>
  <c r="O222" i="262"/>
  <c r="W222" i="262"/>
  <c r="AE222" i="262"/>
  <c r="O239" i="262"/>
  <c r="W239" i="262"/>
  <c r="AE239" i="262"/>
  <c r="O256" i="262"/>
  <c r="W256" i="262"/>
  <c r="W273" i="262"/>
  <c r="O290" i="262"/>
  <c r="AE290" i="262"/>
  <c r="O307" i="262"/>
  <c r="W324" i="262"/>
  <c r="AE256" i="262"/>
  <c r="O273" i="262"/>
  <c r="AE273" i="262"/>
  <c r="W290" i="262"/>
  <c r="W307" i="262"/>
  <c r="AE307" i="262"/>
  <c r="BS35" i="262"/>
  <c r="AY37" i="262"/>
  <c r="AU34" i="262"/>
  <c r="AQ34" i="262"/>
  <c r="AM34" i="262"/>
  <c r="AE172" i="262"/>
  <c r="AA171" i="262"/>
  <c r="K171" i="262"/>
  <c r="S171" i="262"/>
  <c r="AI171" i="262"/>
  <c r="W172" i="262"/>
  <c r="O172" i="262"/>
  <c r="AE154" i="262"/>
  <c r="K155" i="262"/>
  <c r="O154" i="262"/>
  <c r="AA155" i="262"/>
  <c r="S155" i="262"/>
  <c r="AI155" i="262"/>
  <c r="W154" i="262"/>
  <c r="K136" i="262"/>
  <c r="O137" i="262"/>
  <c r="S136" i="262"/>
  <c r="AA136" i="262"/>
  <c r="W137" i="262"/>
  <c r="AE138" i="262"/>
  <c r="AI136" i="262"/>
  <c r="AI121" i="262"/>
  <c r="O120" i="262"/>
  <c r="W120" i="262"/>
  <c r="AE120" i="262"/>
  <c r="K121" i="262"/>
  <c r="AA121" i="262"/>
  <c r="S121" i="262"/>
  <c r="AE104" i="262"/>
  <c r="O104" i="262"/>
  <c r="K102" i="262"/>
  <c r="AA103" i="262"/>
  <c r="AI103" i="262"/>
  <c r="W104" i="262"/>
  <c r="S103" i="262"/>
  <c r="AA86" i="262"/>
  <c r="W85" i="262"/>
  <c r="AE85" i="262"/>
  <c r="O87" i="262"/>
  <c r="S86" i="262"/>
  <c r="AI86" i="262"/>
  <c r="K86" i="262"/>
  <c r="O68" i="262"/>
  <c r="AE68" i="262"/>
  <c r="AI70" i="262"/>
  <c r="K69" i="262"/>
  <c r="AA69" i="262"/>
  <c r="W68" i="262"/>
  <c r="S69" i="262"/>
  <c r="AA51" i="262"/>
  <c r="K51" i="262"/>
  <c r="S51" i="262"/>
  <c r="O52" i="262"/>
  <c r="AI51" i="262"/>
  <c r="W52" i="262"/>
  <c r="AE52" i="262"/>
  <c r="AI35" i="262"/>
  <c r="AE35" i="262"/>
  <c r="BO31" i="262"/>
  <c r="CA30" i="262"/>
  <c r="BW32" i="262"/>
  <c r="R23" i="13"/>
  <c r="S23" i="13"/>
  <c r="T23" i="13"/>
  <c r="AD18" i="13"/>
  <c r="AF18" i="13"/>
  <c r="AH18" i="13"/>
  <c r="AE18" i="13"/>
  <c r="AG18" i="13"/>
  <c r="AI18" i="13"/>
  <c r="F243" i="1103"/>
  <c r="E243" i="1103"/>
  <c r="A277" i="1103" l="1"/>
  <c r="S52" i="1103"/>
  <c r="S35" i="1103"/>
  <c r="O54" i="1103"/>
  <c r="O37" i="1103"/>
  <c r="AA35" i="1103"/>
  <c r="K35" i="1103"/>
  <c r="AI35" i="1103"/>
  <c r="W37" i="1103"/>
  <c r="AE37" i="1103"/>
  <c r="K52" i="1103"/>
  <c r="K223" i="261"/>
  <c r="S223" i="261"/>
  <c r="W223" i="261"/>
  <c r="O223" i="261"/>
  <c r="K206" i="261"/>
  <c r="S206" i="261"/>
  <c r="W206" i="261"/>
  <c r="O206" i="261"/>
  <c r="K104" i="261"/>
  <c r="S104" i="261"/>
  <c r="O104" i="261"/>
  <c r="W103" i="261"/>
  <c r="K87" i="261"/>
  <c r="S87" i="261"/>
  <c r="W87" i="261"/>
  <c r="O87" i="261"/>
  <c r="K70" i="261"/>
  <c r="S70" i="261"/>
  <c r="O70" i="261"/>
  <c r="W69" i="261"/>
  <c r="O53" i="261"/>
  <c r="W52" i="261"/>
  <c r="AI886" i="262"/>
  <c r="AA886" i="262"/>
  <c r="S886" i="262"/>
  <c r="K886" i="262"/>
  <c r="AE801" i="262"/>
  <c r="W801" i="262"/>
  <c r="O801" i="262"/>
  <c r="AE902" i="262"/>
  <c r="W902" i="262"/>
  <c r="O903" i="262"/>
  <c r="AE818" i="262"/>
  <c r="W818" i="262"/>
  <c r="O818" i="262"/>
  <c r="AA903" i="262"/>
  <c r="W885" i="262"/>
  <c r="W868" i="262"/>
  <c r="AE851" i="262"/>
  <c r="O851" i="262"/>
  <c r="AA800" i="262"/>
  <c r="K800" i="262"/>
  <c r="K904" i="262"/>
  <c r="S903" i="262"/>
  <c r="AE885" i="262"/>
  <c r="O885" i="262"/>
  <c r="AI904" i="262"/>
  <c r="W851" i="262"/>
  <c r="W834" i="262"/>
  <c r="AI800" i="262"/>
  <c r="S800" i="262"/>
  <c r="AE835" i="262"/>
  <c r="O835" i="262"/>
  <c r="AE868" i="262"/>
  <c r="O868" i="262"/>
  <c r="AI869" i="262"/>
  <c r="AA869" i="262"/>
  <c r="S869" i="262"/>
  <c r="K869" i="262"/>
  <c r="AI852" i="262"/>
  <c r="AA852" i="262"/>
  <c r="S852" i="262"/>
  <c r="K852" i="262"/>
  <c r="AI818" i="262"/>
  <c r="AA818" i="262"/>
  <c r="S818" i="262"/>
  <c r="K818" i="262"/>
  <c r="AI716" i="262"/>
  <c r="AA716" i="262"/>
  <c r="S716" i="262"/>
  <c r="AE784" i="262"/>
  <c r="O784" i="262"/>
  <c r="AI750" i="262"/>
  <c r="AA750" i="262"/>
  <c r="S750" i="262"/>
  <c r="K750" i="262"/>
  <c r="AA698" i="262"/>
  <c r="K698" i="262"/>
  <c r="AE681" i="262"/>
  <c r="O681" i="262"/>
  <c r="W664" i="262"/>
  <c r="AE647" i="262"/>
  <c r="O647" i="262"/>
  <c r="K767" i="262"/>
  <c r="AI733" i="262"/>
  <c r="AA733" i="262"/>
  <c r="S733" i="262"/>
  <c r="K733" i="262"/>
  <c r="AI698" i="262"/>
  <c r="S698" i="262"/>
  <c r="W681" i="262"/>
  <c r="AE664" i="262"/>
  <c r="O664" i="262"/>
  <c r="W647" i="262"/>
  <c r="K716" i="262"/>
  <c r="AA784" i="262"/>
  <c r="K784" i="262"/>
  <c r="AE767" i="262"/>
  <c r="W767" i="262"/>
  <c r="O767" i="262"/>
  <c r="AE750" i="262"/>
  <c r="W750" i="262"/>
  <c r="O750" i="262"/>
  <c r="AE733" i="262"/>
  <c r="W733" i="262"/>
  <c r="O733" i="262"/>
  <c r="AE716" i="262"/>
  <c r="W716" i="262"/>
  <c r="O716" i="262"/>
  <c r="AE699" i="262"/>
  <c r="W699" i="262"/>
  <c r="O699" i="262"/>
  <c r="AI682" i="262"/>
  <c r="AA682" i="262"/>
  <c r="S682" i="262"/>
  <c r="K682" i="262"/>
  <c r="AI665" i="262"/>
  <c r="AA665" i="262"/>
  <c r="S665" i="262"/>
  <c r="K665" i="262"/>
  <c r="AI648" i="262"/>
  <c r="AA648" i="262"/>
  <c r="S648" i="262"/>
  <c r="K648" i="262"/>
  <c r="AI784" i="262"/>
  <c r="S784" i="262"/>
  <c r="W784" i="262"/>
  <c r="AI767" i="262"/>
  <c r="AA767" i="262"/>
  <c r="S767" i="262"/>
  <c r="O631" i="262"/>
  <c r="AE631" i="262"/>
  <c r="AA545" i="262"/>
  <c r="K545" i="262"/>
  <c r="AE529" i="262"/>
  <c r="W529" i="262"/>
  <c r="O529" i="262"/>
  <c r="AE512" i="262"/>
  <c r="W512" i="262"/>
  <c r="O512" i="262"/>
  <c r="AE495" i="262"/>
  <c r="W495" i="262"/>
  <c r="O495" i="262"/>
  <c r="AE614" i="262"/>
  <c r="W614" i="262"/>
  <c r="O614" i="262"/>
  <c r="AE580" i="262"/>
  <c r="W580" i="262"/>
  <c r="O580" i="262"/>
  <c r="AI545" i="262"/>
  <c r="S545" i="262"/>
  <c r="AE597" i="262"/>
  <c r="W597" i="262"/>
  <c r="O597" i="262"/>
  <c r="AE563" i="262"/>
  <c r="W563" i="262"/>
  <c r="O563" i="262"/>
  <c r="AI562" i="262"/>
  <c r="S562" i="262"/>
  <c r="AA562" i="262"/>
  <c r="K562" i="262"/>
  <c r="AI631" i="262"/>
  <c r="S631" i="262"/>
  <c r="AI614" i="262"/>
  <c r="AA614" i="262"/>
  <c r="S613" i="262"/>
  <c r="K613" i="262"/>
  <c r="AI597" i="262"/>
  <c r="AA597" i="262"/>
  <c r="S597" i="262"/>
  <c r="K597" i="262"/>
  <c r="AI580" i="262"/>
  <c r="AA580" i="262"/>
  <c r="S580" i="262"/>
  <c r="K580" i="262"/>
  <c r="AE546" i="262"/>
  <c r="W546" i="262"/>
  <c r="O546" i="262"/>
  <c r="AI529" i="262"/>
  <c r="AA529" i="262"/>
  <c r="S529" i="262"/>
  <c r="K529" i="262"/>
  <c r="AI512" i="262"/>
  <c r="AA512" i="262"/>
  <c r="S512" i="262"/>
  <c r="K512" i="262"/>
  <c r="AI495" i="262"/>
  <c r="AA495" i="262"/>
  <c r="S495" i="262"/>
  <c r="K495" i="262"/>
  <c r="AA631" i="262"/>
  <c r="K631" i="262"/>
  <c r="W631" i="262"/>
  <c r="S444" i="262"/>
  <c r="K444" i="262"/>
  <c r="AI426" i="262"/>
  <c r="S426" i="262"/>
  <c r="AA444" i="262"/>
  <c r="AA392" i="262"/>
  <c r="K392" i="262"/>
  <c r="AA341" i="262"/>
  <c r="AI410" i="262"/>
  <c r="K410" i="262"/>
  <c r="AI375" i="262"/>
  <c r="S375" i="262"/>
  <c r="AA358" i="262"/>
  <c r="K358" i="262"/>
  <c r="S341" i="262"/>
  <c r="AA426" i="262"/>
  <c r="K426" i="262"/>
  <c r="AI444" i="262"/>
  <c r="AI392" i="262"/>
  <c r="S392" i="262"/>
  <c r="AI341" i="262"/>
  <c r="K341" i="262"/>
  <c r="AA375" i="262"/>
  <c r="K375" i="262"/>
  <c r="AI358" i="262"/>
  <c r="S358" i="262"/>
  <c r="AA410" i="262"/>
  <c r="S410" i="262"/>
  <c r="AE461" i="262"/>
  <c r="W461" i="262"/>
  <c r="W478" i="262"/>
  <c r="AE410" i="262"/>
  <c r="W410" i="262"/>
  <c r="O410" i="262"/>
  <c r="AE393" i="262"/>
  <c r="W393" i="262"/>
  <c r="O393" i="262"/>
  <c r="AE376" i="262"/>
  <c r="W376" i="262"/>
  <c r="O376" i="262"/>
  <c r="AE359" i="262"/>
  <c r="W359" i="262"/>
  <c r="O359" i="262"/>
  <c r="AE342" i="262"/>
  <c r="W342" i="262"/>
  <c r="O342" i="262"/>
  <c r="AE478" i="262"/>
  <c r="O478" i="262"/>
  <c r="AI461" i="262"/>
  <c r="AA461" i="262"/>
  <c r="S461" i="262"/>
  <c r="K461" i="262"/>
  <c r="AE444" i="262"/>
  <c r="W444" i="262"/>
  <c r="O444" i="262"/>
  <c r="AE427" i="262"/>
  <c r="W427" i="262"/>
  <c r="O427" i="262"/>
  <c r="O461" i="262"/>
  <c r="AI478" i="262"/>
  <c r="AA478" i="262"/>
  <c r="S478" i="262"/>
  <c r="K478" i="262"/>
  <c r="AI257" i="262"/>
  <c r="AA257" i="262"/>
  <c r="S257" i="262"/>
  <c r="K257" i="262"/>
  <c r="AI291" i="262"/>
  <c r="AA291" i="262"/>
  <c r="S291" i="262"/>
  <c r="K291" i="262"/>
  <c r="AA239" i="262"/>
  <c r="K239" i="262"/>
  <c r="AA222" i="262"/>
  <c r="K222" i="262"/>
  <c r="AI205" i="262"/>
  <c r="S205" i="262"/>
  <c r="AA188" i="262"/>
  <c r="K188" i="262"/>
  <c r="AI274" i="262"/>
  <c r="AA274" i="262"/>
  <c r="S274" i="262"/>
  <c r="K274" i="262"/>
  <c r="AI239" i="262"/>
  <c r="S239" i="262"/>
  <c r="AI222" i="262"/>
  <c r="S222" i="262"/>
  <c r="AA205" i="262"/>
  <c r="K205" i="262"/>
  <c r="AI188" i="262"/>
  <c r="S188" i="262"/>
  <c r="AE308" i="262"/>
  <c r="W308" i="262"/>
  <c r="W291" i="262"/>
  <c r="AE274" i="262"/>
  <c r="O274" i="262"/>
  <c r="AE257" i="262"/>
  <c r="W325" i="262"/>
  <c r="O308" i="262"/>
  <c r="AE291" i="262"/>
  <c r="O291" i="262"/>
  <c r="W274" i="262"/>
  <c r="W257" i="262"/>
  <c r="O257" i="262"/>
  <c r="AE240" i="262"/>
  <c r="W240" i="262"/>
  <c r="O240" i="262"/>
  <c r="AE223" i="262"/>
  <c r="W223" i="262"/>
  <c r="O223" i="262"/>
  <c r="AE206" i="262"/>
  <c r="W206" i="262"/>
  <c r="O206" i="262"/>
  <c r="W189" i="262"/>
  <c r="O189" i="262"/>
  <c r="AE189" i="262"/>
  <c r="O325" i="262"/>
  <c r="AE325" i="262"/>
  <c r="AI325" i="262"/>
  <c r="AA325" i="262"/>
  <c r="S325" i="262"/>
  <c r="AI308" i="262"/>
  <c r="AA308" i="262"/>
  <c r="S308" i="262"/>
  <c r="K308" i="262"/>
  <c r="K325" i="262"/>
  <c r="BS36" i="262"/>
  <c r="AU35" i="262"/>
  <c r="AQ35" i="262"/>
  <c r="AM35" i="262"/>
  <c r="O173" i="262"/>
  <c r="W173" i="262"/>
  <c r="AI172" i="262"/>
  <c r="S172" i="262"/>
  <c r="K172" i="262"/>
  <c r="AA172" i="262"/>
  <c r="AE173" i="262"/>
  <c r="W155" i="262"/>
  <c r="AI156" i="262"/>
  <c r="S156" i="262"/>
  <c r="AA156" i="262"/>
  <c r="O155" i="262"/>
  <c r="K156" i="262"/>
  <c r="AE155" i="262"/>
  <c r="AI137" i="262"/>
  <c r="AE139" i="262"/>
  <c r="W138" i="262"/>
  <c r="AA137" i="262"/>
  <c r="S137" i="262"/>
  <c r="O138" i="262"/>
  <c r="K137" i="262"/>
  <c r="S122" i="262"/>
  <c r="AA122" i="262"/>
  <c r="K122" i="262"/>
  <c r="AE121" i="262"/>
  <c r="W121" i="262"/>
  <c r="O121" i="262"/>
  <c r="AI122" i="262"/>
  <c r="S104" i="262"/>
  <c r="W105" i="262"/>
  <c r="AI104" i="262"/>
  <c r="AA104" i="262"/>
  <c r="K103" i="262"/>
  <c r="O105" i="262"/>
  <c r="AE105" i="262"/>
  <c r="K87" i="262"/>
  <c r="AI87" i="262"/>
  <c r="S87" i="262"/>
  <c r="O88" i="262"/>
  <c r="AE86" i="262"/>
  <c r="W86" i="262"/>
  <c r="AA87" i="262"/>
  <c r="S70" i="262"/>
  <c r="W69" i="262"/>
  <c r="AA70" i="262"/>
  <c r="K70" i="262"/>
  <c r="AI71" i="262"/>
  <c r="AE69" i="262"/>
  <c r="O69" i="262"/>
  <c r="AE53" i="262"/>
  <c r="W53" i="262"/>
  <c r="AI52" i="262"/>
  <c r="O53" i="262"/>
  <c r="S52" i="262"/>
  <c r="K52" i="262"/>
  <c r="AA52" i="262"/>
  <c r="AI36" i="262"/>
  <c r="AE36" i="262"/>
  <c r="BW33" i="262"/>
  <c r="CA31" i="262"/>
  <c r="BO32" i="262"/>
  <c r="E260" i="1103"/>
  <c r="F260" i="1103"/>
  <c r="A294" i="1103" l="1"/>
  <c r="S36" i="1103"/>
  <c r="S53" i="1103"/>
  <c r="K53" i="1103"/>
  <c r="AI36" i="1103"/>
  <c r="K36" i="1103"/>
  <c r="AA36" i="1103"/>
  <c r="W104" i="261"/>
  <c r="W70" i="261"/>
  <c r="W53" i="261"/>
  <c r="O869" i="262"/>
  <c r="AE869" i="262"/>
  <c r="O836" i="262"/>
  <c r="AE836" i="262"/>
  <c r="S801" i="262"/>
  <c r="AI801" i="262"/>
  <c r="W835" i="262"/>
  <c r="W852" i="262"/>
  <c r="O886" i="262"/>
  <c r="AE886" i="262"/>
  <c r="S904" i="262"/>
  <c r="K801" i="262"/>
  <c r="AA801" i="262"/>
  <c r="O852" i="262"/>
  <c r="AE852" i="262"/>
  <c r="W869" i="262"/>
  <c r="W886" i="262"/>
  <c r="AA904" i="262"/>
  <c r="O819" i="262"/>
  <c r="W819" i="262"/>
  <c r="AE819" i="262"/>
  <c r="K819" i="262"/>
  <c r="S819" i="262"/>
  <c r="AA819" i="262"/>
  <c r="AI819" i="262"/>
  <c r="K853" i="262"/>
  <c r="S853" i="262"/>
  <c r="AA853" i="262"/>
  <c r="AI853" i="262"/>
  <c r="K870" i="262"/>
  <c r="S870" i="262"/>
  <c r="AA870" i="262"/>
  <c r="AI870" i="262"/>
  <c r="O904" i="262"/>
  <c r="W903" i="262"/>
  <c r="AE903" i="262"/>
  <c r="O802" i="262"/>
  <c r="W802" i="262"/>
  <c r="AE802" i="262"/>
  <c r="K887" i="262"/>
  <c r="S887" i="262"/>
  <c r="AA887" i="262"/>
  <c r="AI887" i="262"/>
  <c r="S768" i="262"/>
  <c r="AA768" i="262"/>
  <c r="AI768" i="262"/>
  <c r="K717" i="262"/>
  <c r="W648" i="262"/>
  <c r="O665" i="262"/>
  <c r="AE665" i="262"/>
  <c r="W682" i="262"/>
  <c r="S699" i="262"/>
  <c r="AI699" i="262"/>
  <c r="K734" i="262"/>
  <c r="S734" i="262"/>
  <c r="AA734" i="262"/>
  <c r="AI734" i="262"/>
  <c r="O648" i="262"/>
  <c r="AE648" i="262"/>
  <c r="W665" i="262"/>
  <c r="O682" i="262"/>
  <c r="AE682" i="262"/>
  <c r="K699" i="262"/>
  <c r="AA699" i="262"/>
  <c r="K751" i="262"/>
  <c r="S751" i="262"/>
  <c r="AA751" i="262"/>
  <c r="AI751" i="262"/>
  <c r="S717" i="262"/>
  <c r="AA717" i="262"/>
  <c r="AI717" i="262"/>
  <c r="W785" i="262"/>
  <c r="S785" i="262"/>
  <c r="AI785" i="262"/>
  <c r="K649" i="262"/>
  <c r="S649" i="262"/>
  <c r="AA649" i="262"/>
  <c r="AI649" i="262"/>
  <c r="K666" i="262"/>
  <c r="S666" i="262"/>
  <c r="AA666" i="262"/>
  <c r="AI666" i="262"/>
  <c r="K683" i="262"/>
  <c r="S683" i="262"/>
  <c r="AA683" i="262"/>
  <c r="AI683" i="262"/>
  <c r="O700" i="262"/>
  <c r="W700" i="262"/>
  <c r="AE700" i="262"/>
  <c r="O717" i="262"/>
  <c r="W717" i="262"/>
  <c r="AE717" i="262"/>
  <c r="O734" i="262"/>
  <c r="W734" i="262"/>
  <c r="AE734" i="262"/>
  <c r="O751" i="262"/>
  <c r="W751" i="262"/>
  <c r="AE751" i="262"/>
  <c r="O768" i="262"/>
  <c r="W768" i="262"/>
  <c r="AE768" i="262"/>
  <c r="K785" i="262"/>
  <c r="AA785" i="262"/>
  <c r="K768" i="262"/>
  <c r="O785" i="262"/>
  <c r="AE785" i="262"/>
  <c r="O564" i="262"/>
  <c r="W564" i="262"/>
  <c r="AE564" i="262"/>
  <c r="O598" i="262"/>
  <c r="W598" i="262"/>
  <c r="AE598" i="262"/>
  <c r="S546" i="262"/>
  <c r="AI546" i="262"/>
  <c r="O581" i="262"/>
  <c r="W581" i="262"/>
  <c r="AE581" i="262"/>
  <c r="O496" i="262"/>
  <c r="W496" i="262"/>
  <c r="AE496" i="262"/>
  <c r="O513" i="262"/>
  <c r="W513" i="262"/>
  <c r="AE513" i="262"/>
  <c r="O530" i="262"/>
  <c r="W530" i="262"/>
  <c r="AE530" i="262"/>
  <c r="K546" i="262"/>
  <c r="AA546" i="262"/>
  <c r="W632" i="262"/>
  <c r="K632" i="262"/>
  <c r="AA632" i="262"/>
  <c r="K496" i="262"/>
  <c r="S496" i="262"/>
  <c r="AA496" i="262"/>
  <c r="AI496" i="262"/>
  <c r="K513" i="262"/>
  <c r="S513" i="262"/>
  <c r="AA513" i="262"/>
  <c r="AI513" i="262"/>
  <c r="K530" i="262"/>
  <c r="S530" i="262"/>
  <c r="AA530" i="262"/>
  <c r="AI530" i="262"/>
  <c r="O547" i="262"/>
  <c r="W547" i="262"/>
  <c r="AE547" i="262"/>
  <c r="K581" i="262"/>
  <c r="S581" i="262"/>
  <c r="AA581" i="262"/>
  <c r="AI581" i="262"/>
  <c r="K598" i="262"/>
  <c r="S598" i="262"/>
  <c r="AA598" i="262"/>
  <c r="AI598" i="262"/>
  <c r="K614" i="262"/>
  <c r="S614" i="262"/>
  <c r="AA615" i="262"/>
  <c r="AI615" i="262"/>
  <c r="S632" i="262"/>
  <c r="AI632" i="262"/>
  <c r="K563" i="262"/>
  <c r="AA563" i="262"/>
  <c r="S563" i="262"/>
  <c r="AI563" i="262"/>
  <c r="O615" i="262"/>
  <c r="W615" i="262"/>
  <c r="AE615" i="262"/>
  <c r="AE632" i="262"/>
  <c r="O632" i="262"/>
  <c r="O462" i="262"/>
  <c r="W462" i="262"/>
  <c r="AE462" i="262"/>
  <c r="S411" i="262"/>
  <c r="AA411" i="262"/>
  <c r="S359" i="262"/>
  <c r="AI359" i="262"/>
  <c r="K376" i="262"/>
  <c r="AA376" i="262"/>
  <c r="K342" i="262"/>
  <c r="AI342" i="262"/>
  <c r="S393" i="262"/>
  <c r="AI393" i="262"/>
  <c r="AI445" i="262"/>
  <c r="K427" i="262"/>
  <c r="AA427" i="262"/>
  <c r="S342" i="262"/>
  <c r="K359" i="262"/>
  <c r="AA359" i="262"/>
  <c r="S376" i="262"/>
  <c r="AI376" i="262"/>
  <c r="K411" i="262"/>
  <c r="AI411" i="262"/>
  <c r="AA342" i="262"/>
  <c r="K393" i="262"/>
  <c r="AA393" i="262"/>
  <c r="AA445" i="262"/>
  <c r="S427" i="262"/>
  <c r="AI427" i="262"/>
  <c r="K445" i="262"/>
  <c r="S445" i="262"/>
  <c r="K479" i="262"/>
  <c r="S479" i="262"/>
  <c r="AA479" i="262"/>
  <c r="AI479" i="262"/>
  <c r="O428" i="262"/>
  <c r="W428" i="262"/>
  <c r="AE428" i="262"/>
  <c r="O445" i="262"/>
  <c r="W445" i="262"/>
  <c r="AE445" i="262"/>
  <c r="K462" i="262"/>
  <c r="S462" i="262"/>
  <c r="AA462" i="262"/>
  <c r="AI462" i="262"/>
  <c r="O479" i="262"/>
  <c r="AE479" i="262"/>
  <c r="O343" i="262"/>
  <c r="W343" i="262"/>
  <c r="AE343" i="262"/>
  <c r="O360" i="262"/>
  <c r="W360" i="262"/>
  <c r="AE360" i="262"/>
  <c r="O377" i="262"/>
  <c r="W377" i="262"/>
  <c r="AE377" i="262"/>
  <c r="O394" i="262"/>
  <c r="W394" i="262"/>
  <c r="AE394" i="262"/>
  <c r="O411" i="262"/>
  <c r="W411" i="262"/>
  <c r="AE411" i="262"/>
  <c r="W479" i="262"/>
  <c r="AA309" i="262"/>
  <c r="O309" i="262"/>
  <c r="W309" i="262"/>
  <c r="AE309" i="262"/>
  <c r="S189" i="262"/>
  <c r="AI189" i="262"/>
  <c r="K206" i="262"/>
  <c r="AA206" i="262"/>
  <c r="S223" i="262"/>
  <c r="AI223" i="262"/>
  <c r="S240" i="262"/>
  <c r="AI240" i="262"/>
  <c r="K275" i="262"/>
  <c r="S275" i="262"/>
  <c r="AA275" i="262"/>
  <c r="AI275" i="262"/>
  <c r="K189" i="262"/>
  <c r="AA189" i="262"/>
  <c r="S206" i="262"/>
  <c r="AI206" i="262"/>
  <c r="K223" i="262"/>
  <c r="AA223" i="262"/>
  <c r="K240" i="262"/>
  <c r="AA240" i="262"/>
  <c r="K292" i="262"/>
  <c r="S292" i="262"/>
  <c r="AA292" i="262"/>
  <c r="AI292" i="262"/>
  <c r="K258" i="262"/>
  <c r="S258" i="262"/>
  <c r="AA258" i="262"/>
  <c r="AI258" i="262"/>
  <c r="K326" i="262"/>
  <c r="K309" i="262"/>
  <c r="S309" i="262"/>
  <c r="AI309" i="262"/>
  <c r="S326" i="262"/>
  <c r="AA326" i="262"/>
  <c r="AI326" i="262"/>
  <c r="AE326" i="262"/>
  <c r="O326" i="262"/>
  <c r="AE190" i="262"/>
  <c r="O190" i="262"/>
  <c r="W190" i="262"/>
  <c r="O207" i="262"/>
  <c r="W207" i="262"/>
  <c r="AE207" i="262"/>
  <c r="O224" i="262"/>
  <c r="W224" i="262"/>
  <c r="AE224" i="262"/>
  <c r="O241" i="262"/>
  <c r="W241" i="262"/>
  <c r="AE241" i="262"/>
  <c r="O258" i="262"/>
  <c r="W258" i="262"/>
  <c r="W275" i="262"/>
  <c r="O292" i="262"/>
  <c r="AE292" i="262"/>
  <c r="W326" i="262"/>
  <c r="AE258" i="262"/>
  <c r="O275" i="262"/>
  <c r="AE275" i="262"/>
  <c r="W292" i="262"/>
  <c r="BS37" i="262"/>
  <c r="AU36" i="262"/>
  <c r="AQ36" i="262"/>
  <c r="AM36" i="262"/>
  <c r="AA173" i="262"/>
  <c r="K173" i="262"/>
  <c r="S173" i="262"/>
  <c r="AI173" i="262"/>
  <c r="AE156" i="262"/>
  <c r="O156" i="262"/>
  <c r="W156" i="262"/>
  <c r="K138" i="262"/>
  <c r="O139" i="262"/>
  <c r="S138" i="262"/>
  <c r="AA138" i="262"/>
  <c r="W139" i="262"/>
  <c r="AI138" i="262"/>
  <c r="O122" i="262"/>
  <c r="W122" i="262"/>
  <c r="AE122" i="262"/>
  <c r="K104" i="262"/>
  <c r="AA105" i="262"/>
  <c r="AI105" i="262"/>
  <c r="S105" i="262"/>
  <c r="AA88" i="262"/>
  <c r="W87" i="262"/>
  <c r="AE87" i="262"/>
  <c r="S88" i="262"/>
  <c r="AI88" i="262"/>
  <c r="K88" i="262"/>
  <c r="O70" i="262"/>
  <c r="AE70" i="262"/>
  <c r="K71" i="262"/>
  <c r="AA71" i="262"/>
  <c r="W70" i="262"/>
  <c r="S71" i="262"/>
  <c r="AA53" i="262"/>
  <c r="K53" i="262"/>
  <c r="S53" i="262"/>
  <c r="O54" i="262"/>
  <c r="AI53" i="262"/>
  <c r="W54" i="262"/>
  <c r="AE54" i="262"/>
  <c r="AI37" i="262"/>
  <c r="AE37" i="262"/>
  <c r="CA32" i="262"/>
  <c r="BW34" i="262"/>
  <c r="BO33" i="262"/>
  <c r="F277" i="1103"/>
  <c r="E277" i="1103"/>
  <c r="A311" i="1103" l="1"/>
  <c r="S54" i="1103"/>
  <c r="S37" i="1103"/>
  <c r="AA37" i="1103"/>
  <c r="K54" i="1103"/>
  <c r="K37" i="1103"/>
  <c r="AI37" i="1103"/>
  <c r="AE904" i="262"/>
  <c r="W904" i="262"/>
  <c r="AE887" i="262"/>
  <c r="O887" i="262"/>
  <c r="W853" i="262"/>
  <c r="W836" i="262"/>
  <c r="AI802" i="262"/>
  <c r="S802" i="262"/>
  <c r="AE870" i="262"/>
  <c r="O870" i="262"/>
  <c r="W887" i="262"/>
  <c r="W870" i="262"/>
  <c r="AE853" i="262"/>
  <c r="O853" i="262"/>
  <c r="AA802" i="262"/>
  <c r="K802" i="262"/>
  <c r="AA700" i="262"/>
  <c r="K700" i="262"/>
  <c r="AE683" i="262"/>
  <c r="O683" i="262"/>
  <c r="W666" i="262"/>
  <c r="AE649" i="262"/>
  <c r="O649" i="262"/>
  <c r="AI700" i="262"/>
  <c r="S700" i="262"/>
  <c r="W683" i="262"/>
  <c r="AE666" i="262"/>
  <c r="O666" i="262"/>
  <c r="W649" i="262"/>
  <c r="AA547" i="262"/>
  <c r="K547" i="262"/>
  <c r="AI547" i="262"/>
  <c r="S547" i="262"/>
  <c r="AI564" i="262"/>
  <c r="S564" i="262"/>
  <c r="AA564" i="262"/>
  <c r="K564" i="262"/>
  <c r="S615" i="262"/>
  <c r="K615" i="262"/>
  <c r="AI428" i="262"/>
  <c r="S428" i="262"/>
  <c r="AA394" i="262"/>
  <c r="K394" i="262"/>
  <c r="AA343" i="262"/>
  <c r="AI377" i="262"/>
  <c r="S377" i="262"/>
  <c r="AA360" i="262"/>
  <c r="K360" i="262"/>
  <c r="S343" i="262"/>
  <c r="AA428" i="262"/>
  <c r="K428" i="262"/>
  <c r="AI394" i="262"/>
  <c r="S394" i="262"/>
  <c r="AI343" i="262"/>
  <c r="K343" i="262"/>
  <c r="AA377" i="262"/>
  <c r="K377" i="262"/>
  <c r="AI360" i="262"/>
  <c r="S360" i="262"/>
  <c r="AA241" i="262"/>
  <c r="K241" i="262"/>
  <c r="AA224" i="262"/>
  <c r="K224" i="262"/>
  <c r="AI207" i="262"/>
  <c r="S207" i="262"/>
  <c r="AA190" i="262"/>
  <c r="K190" i="262"/>
  <c r="AI241" i="262"/>
  <c r="S241" i="262"/>
  <c r="AI224" i="262"/>
  <c r="S224" i="262"/>
  <c r="AA207" i="262"/>
  <c r="K207" i="262"/>
  <c r="AI190" i="262"/>
  <c r="S190" i="262"/>
  <c r="AU37" i="262"/>
  <c r="AM37" i="262"/>
  <c r="AQ37" i="262"/>
  <c r="AI139" i="262"/>
  <c r="AA139" i="262"/>
  <c r="S139" i="262"/>
  <c r="K139" i="262"/>
  <c r="K105" i="262"/>
  <c r="AE88" i="262"/>
  <c r="W88" i="262"/>
  <c r="W71" i="262"/>
  <c r="AE71" i="262"/>
  <c r="O71" i="262"/>
  <c r="AI54" i="262"/>
  <c r="S54" i="262"/>
  <c r="K54" i="262"/>
  <c r="AA54" i="262"/>
  <c r="BO34" i="262"/>
  <c r="BW35" i="262"/>
  <c r="CA33" i="262"/>
  <c r="F294" i="1103"/>
  <c r="E294" i="1103"/>
  <c r="A328" i="1103" l="1"/>
  <c r="CA34" i="262"/>
  <c r="BW36" i="262"/>
  <c r="BO35" i="262"/>
  <c r="M54" i="312"/>
  <c r="AC40" i="312"/>
  <c r="AC41" i="312" s="1"/>
  <c r="AB40" i="312"/>
  <c r="AB41" i="312" s="1"/>
  <c r="AC36" i="312"/>
  <c r="AC37" i="312" s="1"/>
  <c r="AB36" i="312"/>
  <c r="AB37" i="312" s="1"/>
  <c r="N35" i="312"/>
  <c r="M35" i="312"/>
  <c r="Q33" i="312"/>
  <c r="P33" i="312"/>
  <c r="O33" i="312"/>
  <c r="N33" i="312"/>
  <c r="M33" i="312"/>
  <c r="AC32" i="312"/>
  <c r="AC33" i="312" s="1"/>
  <c r="AB32" i="312"/>
  <c r="AB33" i="312" s="1"/>
  <c r="P31" i="312"/>
  <c r="O31" i="312"/>
  <c r="N31" i="312"/>
  <c r="M31" i="312"/>
  <c r="H26" i="312"/>
  <c r="H20" i="312"/>
  <c r="G20" i="312"/>
  <c r="F20" i="312"/>
  <c r="I20" i="312" s="1"/>
  <c r="B13" i="312"/>
  <c r="B14" i="312" s="1"/>
  <c r="B15" i="312" s="1"/>
  <c r="B16" i="312" s="1"/>
  <c r="B17" i="312" s="1"/>
  <c r="B18" i="312" s="1"/>
  <c r="B19" i="312" s="1"/>
  <c r="B20" i="312" s="1"/>
  <c r="B21" i="312" s="1"/>
  <c r="B22" i="312" s="1"/>
  <c r="B23" i="312" s="1"/>
  <c r="B24" i="312" s="1"/>
  <c r="B25" i="312" s="1"/>
  <c r="B26" i="312" s="1"/>
  <c r="B27" i="312" s="1"/>
  <c r="B28" i="312" s="1"/>
  <c r="B29" i="312" s="1"/>
  <c r="B30" i="312" s="1"/>
  <c r="B31" i="312" s="1"/>
  <c r="B32" i="312" s="1"/>
  <c r="B33" i="312" s="1"/>
  <c r="B34" i="312" s="1"/>
  <c r="B35" i="312" s="1"/>
  <c r="B36" i="312" s="1"/>
  <c r="B37" i="312" s="1"/>
  <c r="B38" i="312" s="1"/>
  <c r="B39" i="312" s="1"/>
  <c r="B42" i="312" s="1"/>
  <c r="B43" i="312" s="1"/>
  <c r="B44" i="312" s="1"/>
  <c r="B45" i="312" s="1"/>
  <c r="B46" i="312" s="1"/>
  <c r="B47" i="312" s="1"/>
  <c r="B48" i="312" s="1"/>
  <c r="B49" i="312" s="1"/>
  <c r="B50" i="312" s="1"/>
  <c r="B51" i="312" s="1"/>
  <c r="B52" i="312" s="1"/>
  <c r="B53" i="312" s="1"/>
  <c r="B54" i="312" s="1"/>
  <c r="B55" i="312" s="1"/>
  <c r="B56" i="312" s="1"/>
  <c r="B57" i="312" s="1"/>
  <c r="B58" i="312" s="1"/>
  <c r="A13" i="312"/>
  <c r="A14" i="312" s="1"/>
  <c r="A15" i="312" s="1"/>
  <c r="A16" i="312" s="1"/>
  <c r="A17" i="312" s="1"/>
  <c r="A18" i="312" s="1"/>
  <c r="A19" i="312" s="1"/>
  <c r="A20" i="312" s="1"/>
  <c r="A21" i="312" s="1"/>
  <c r="A22" i="312" s="1"/>
  <c r="A23" i="312" s="1"/>
  <c r="A24" i="312" s="1"/>
  <c r="A25" i="312" s="1"/>
  <c r="A26" i="312" s="1"/>
  <c r="A27" i="312" s="1"/>
  <c r="A28" i="312" s="1"/>
  <c r="A29" i="312" s="1"/>
  <c r="A30" i="312" s="1"/>
  <c r="A31" i="312" s="1"/>
  <c r="A32" i="312" s="1"/>
  <c r="A33" i="312" s="1"/>
  <c r="A34" i="312" s="1"/>
  <c r="A35" i="312" s="1"/>
  <c r="A36" i="312" s="1"/>
  <c r="A37" i="312" s="1"/>
  <c r="A38" i="312" s="1"/>
  <c r="A39" i="312" s="1"/>
  <c r="A42" i="312" s="1"/>
  <c r="A43" i="312" s="1"/>
  <c r="A44" i="312" s="1"/>
  <c r="A45" i="312" s="1"/>
  <c r="A46" i="312" s="1"/>
  <c r="A47" i="312" s="1"/>
  <c r="A48" i="312" s="1"/>
  <c r="A49" i="312" s="1"/>
  <c r="A50" i="312" s="1"/>
  <c r="A51" i="312" s="1"/>
  <c r="A52" i="312" s="1"/>
  <c r="A53" i="312" s="1"/>
  <c r="A54" i="312" s="1"/>
  <c r="A55" i="312" s="1"/>
  <c r="A56" i="312" s="1"/>
  <c r="A57" i="312" s="1"/>
  <c r="A58" i="312" s="1"/>
  <c r="A1" i="312"/>
  <c r="A3" i="312" s="1"/>
  <c r="M54" i="311"/>
  <c r="AC40" i="311"/>
  <c r="AC41" i="311" s="1"/>
  <c r="AB40" i="311"/>
  <c r="AB41" i="311" s="1"/>
  <c r="AC36" i="311"/>
  <c r="AC37" i="311" s="1"/>
  <c r="AB36" i="311"/>
  <c r="N35" i="311"/>
  <c r="M35" i="311"/>
  <c r="Q33" i="311"/>
  <c r="P33" i="311"/>
  <c r="O33" i="311"/>
  <c r="N33" i="311"/>
  <c r="M33" i="311"/>
  <c r="AC32" i="311"/>
  <c r="AC33" i="311" s="1"/>
  <c r="AB32" i="311"/>
  <c r="AB33" i="311" s="1"/>
  <c r="P31" i="311"/>
  <c r="AE31" i="311" s="1"/>
  <c r="O31" i="311"/>
  <c r="N31" i="311"/>
  <c r="AD31" i="311" s="1"/>
  <c r="M31" i="311"/>
  <c r="H26" i="311"/>
  <c r="H20" i="311"/>
  <c r="G20" i="311"/>
  <c r="F20" i="311"/>
  <c r="I20" i="311" s="1"/>
  <c r="B13" i="311"/>
  <c r="B14" i="311" s="1"/>
  <c r="B15" i="311" s="1"/>
  <c r="B16" i="311" s="1"/>
  <c r="B17" i="311" s="1"/>
  <c r="B18" i="311" s="1"/>
  <c r="B19" i="311" s="1"/>
  <c r="B20" i="311" s="1"/>
  <c r="B21" i="311" s="1"/>
  <c r="B22" i="311" s="1"/>
  <c r="B23" i="311" s="1"/>
  <c r="B24" i="311" s="1"/>
  <c r="B25" i="311" s="1"/>
  <c r="B26" i="311" s="1"/>
  <c r="B27" i="311" s="1"/>
  <c r="B28" i="311" s="1"/>
  <c r="B29" i="311" s="1"/>
  <c r="B30" i="311" s="1"/>
  <c r="B31" i="311" s="1"/>
  <c r="B32" i="311" s="1"/>
  <c r="B33" i="311" s="1"/>
  <c r="B34" i="311" s="1"/>
  <c r="B35" i="311" s="1"/>
  <c r="B36" i="311" s="1"/>
  <c r="B37" i="311" s="1"/>
  <c r="B38" i="311" s="1"/>
  <c r="B39" i="311" s="1"/>
  <c r="B42" i="311" s="1"/>
  <c r="B43" i="311" s="1"/>
  <c r="B44" i="311" s="1"/>
  <c r="B45" i="311" s="1"/>
  <c r="B46" i="311" s="1"/>
  <c r="B47" i="311" s="1"/>
  <c r="B48" i="311" s="1"/>
  <c r="B49" i="311" s="1"/>
  <c r="B50" i="311" s="1"/>
  <c r="B51" i="311" s="1"/>
  <c r="B52" i="311" s="1"/>
  <c r="B53" i="311" s="1"/>
  <c r="B54" i="311" s="1"/>
  <c r="B55" i="311" s="1"/>
  <c r="B56" i="311" s="1"/>
  <c r="B57" i="311" s="1"/>
  <c r="B58" i="311" s="1"/>
  <c r="A13" i="311"/>
  <c r="A14" i="311" s="1"/>
  <c r="A15" i="311" s="1"/>
  <c r="A16" i="311" s="1"/>
  <c r="A17" i="311" s="1"/>
  <c r="A18" i="311" s="1"/>
  <c r="A19" i="311" s="1"/>
  <c r="A20" i="311" s="1"/>
  <c r="A21" i="311" s="1"/>
  <c r="A22" i="311" s="1"/>
  <c r="A23" i="311" s="1"/>
  <c r="A24" i="311" s="1"/>
  <c r="A25" i="311" s="1"/>
  <c r="A26" i="311" s="1"/>
  <c r="A27" i="311" s="1"/>
  <c r="A28" i="311" s="1"/>
  <c r="A29" i="311" s="1"/>
  <c r="A30" i="311" s="1"/>
  <c r="A31" i="311" s="1"/>
  <c r="A32" i="311" s="1"/>
  <c r="A33" i="311" s="1"/>
  <c r="A34" i="311" s="1"/>
  <c r="A35" i="311" s="1"/>
  <c r="A36" i="311" s="1"/>
  <c r="A37" i="311" s="1"/>
  <c r="A38" i="311" s="1"/>
  <c r="A39" i="311" s="1"/>
  <c r="A42" i="311" s="1"/>
  <c r="A43" i="311" s="1"/>
  <c r="A44" i="311" s="1"/>
  <c r="A45" i="311" s="1"/>
  <c r="A46" i="311" s="1"/>
  <c r="A47" i="311" s="1"/>
  <c r="A48" i="311" s="1"/>
  <c r="A49" i="311" s="1"/>
  <c r="A50" i="311" s="1"/>
  <c r="A51" i="311" s="1"/>
  <c r="A52" i="311" s="1"/>
  <c r="A53" i="311" s="1"/>
  <c r="A54" i="311" s="1"/>
  <c r="A55" i="311" s="1"/>
  <c r="A56" i="311" s="1"/>
  <c r="A57" i="311" s="1"/>
  <c r="A58" i="311" s="1"/>
  <c r="A1" i="311"/>
  <c r="A3" i="311" s="1"/>
  <c r="M54" i="310"/>
  <c r="AC40" i="310"/>
  <c r="AC41" i="310" s="1"/>
  <c r="AB40" i="310"/>
  <c r="AB41" i="310" s="1"/>
  <c r="AC36" i="310"/>
  <c r="AC37" i="310" s="1"/>
  <c r="AB36" i="310"/>
  <c r="AB37" i="310" s="1"/>
  <c r="N35" i="310"/>
  <c r="M35" i="310"/>
  <c r="Q33" i="310"/>
  <c r="P33" i="310"/>
  <c r="O33" i="310"/>
  <c r="N33" i="310"/>
  <c r="M33" i="310"/>
  <c r="AC32" i="310"/>
  <c r="AC33" i="310" s="1"/>
  <c r="AB32" i="310"/>
  <c r="AB33" i="310" s="1"/>
  <c r="P31" i="310"/>
  <c r="AE31" i="310" s="1"/>
  <c r="O31" i="310"/>
  <c r="N31" i="310"/>
  <c r="M31" i="310"/>
  <c r="H26" i="310"/>
  <c r="H20" i="310"/>
  <c r="G20" i="310"/>
  <c r="F20" i="310"/>
  <c r="I20" i="310" s="1"/>
  <c r="B13" i="310"/>
  <c r="B14" i="310" s="1"/>
  <c r="B15" i="310" s="1"/>
  <c r="B16" i="310" s="1"/>
  <c r="B17" i="310" s="1"/>
  <c r="B18" i="310" s="1"/>
  <c r="B19" i="310" s="1"/>
  <c r="B20" i="310" s="1"/>
  <c r="B21" i="310" s="1"/>
  <c r="B22" i="310" s="1"/>
  <c r="B23" i="310" s="1"/>
  <c r="B24" i="310" s="1"/>
  <c r="B25" i="310" s="1"/>
  <c r="B26" i="310" s="1"/>
  <c r="B27" i="310" s="1"/>
  <c r="B28" i="310" s="1"/>
  <c r="B29" i="310" s="1"/>
  <c r="B30" i="310" s="1"/>
  <c r="B31" i="310" s="1"/>
  <c r="B32" i="310" s="1"/>
  <c r="B33" i="310" s="1"/>
  <c r="B34" i="310" s="1"/>
  <c r="B35" i="310" s="1"/>
  <c r="B36" i="310" s="1"/>
  <c r="B37" i="310" s="1"/>
  <c r="B38" i="310" s="1"/>
  <c r="B39" i="310" s="1"/>
  <c r="B42" i="310" s="1"/>
  <c r="B43" i="310" s="1"/>
  <c r="B44" i="310" s="1"/>
  <c r="B45" i="310" s="1"/>
  <c r="B46" i="310" s="1"/>
  <c r="B47" i="310" s="1"/>
  <c r="B48" i="310" s="1"/>
  <c r="B49" i="310" s="1"/>
  <c r="B50" i="310" s="1"/>
  <c r="B51" i="310" s="1"/>
  <c r="B52" i="310" s="1"/>
  <c r="B53" i="310" s="1"/>
  <c r="B54" i="310" s="1"/>
  <c r="B55" i="310" s="1"/>
  <c r="B56" i="310" s="1"/>
  <c r="B57" i="310" s="1"/>
  <c r="B58" i="310" s="1"/>
  <c r="A13" i="310"/>
  <c r="A14" i="310" s="1"/>
  <c r="A15" i="310" s="1"/>
  <c r="A16" i="310" s="1"/>
  <c r="A17" i="310" s="1"/>
  <c r="A18" i="310" s="1"/>
  <c r="A19" i="310" s="1"/>
  <c r="A20" i="310" s="1"/>
  <c r="A21" i="310" s="1"/>
  <c r="A22" i="310" s="1"/>
  <c r="A23" i="310" s="1"/>
  <c r="A24" i="310" s="1"/>
  <c r="A25" i="310" s="1"/>
  <c r="A26" i="310" s="1"/>
  <c r="A27" i="310" s="1"/>
  <c r="A28" i="310" s="1"/>
  <c r="A29" i="310" s="1"/>
  <c r="A30" i="310" s="1"/>
  <c r="A31" i="310" s="1"/>
  <c r="A32" i="310" s="1"/>
  <c r="A33" i="310" s="1"/>
  <c r="A34" i="310" s="1"/>
  <c r="A35" i="310" s="1"/>
  <c r="A36" i="310" s="1"/>
  <c r="A37" i="310" s="1"/>
  <c r="A38" i="310" s="1"/>
  <c r="A39" i="310" s="1"/>
  <c r="A42" i="310" s="1"/>
  <c r="A43" i="310" s="1"/>
  <c r="A44" i="310" s="1"/>
  <c r="A45" i="310" s="1"/>
  <c r="A46" i="310" s="1"/>
  <c r="A47" i="310" s="1"/>
  <c r="A48" i="310" s="1"/>
  <c r="A49" i="310" s="1"/>
  <c r="A50" i="310" s="1"/>
  <c r="A51" i="310" s="1"/>
  <c r="A52" i="310" s="1"/>
  <c r="A53" i="310" s="1"/>
  <c r="A54" i="310" s="1"/>
  <c r="A55" i="310" s="1"/>
  <c r="A56" i="310" s="1"/>
  <c r="A57" i="310" s="1"/>
  <c r="A58" i="310" s="1"/>
  <c r="A1" i="310"/>
  <c r="A3" i="310" s="1"/>
  <c r="M54" i="309"/>
  <c r="AC40" i="309"/>
  <c r="AC41" i="309" s="1"/>
  <c r="AB40" i="309"/>
  <c r="AB41" i="309" s="1"/>
  <c r="AC36" i="309"/>
  <c r="AC37" i="309" s="1"/>
  <c r="AB36" i="309"/>
  <c r="AB37" i="309" s="1"/>
  <c r="N35" i="309"/>
  <c r="M35" i="309"/>
  <c r="Q33" i="309"/>
  <c r="P33" i="309"/>
  <c r="O33" i="309"/>
  <c r="N33" i="309"/>
  <c r="M33" i="309"/>
  <c r="AC32" i="309"/>
  <c r="AC33" i="309" s="1"/>
  <c r="AB32" i="309"/>
  <c r="AB33" i="309" s="1"/>
  <c r="P31" i="309"/>
  <c r="AE31" i="309" s="1"/>
  <c r="O31" i="309"/>
  <c r="N31" i="309"/>
  <c r="M31" i="309"/>
  <c r="H26" i="309"/>
  <c r="H20" i="309"/>
  <c r="G20" i="309"/>
  <c r="F20" i="309"/>
  <c r="I20" i="309" s="1"/>
  <c r="B13" i="309"/>
  <c r="B14" i="309" s="1"/>
  <c r="B15" i="309" s="1"/>
  <c r="B16" i="309" s="1"/>
  <c r="B17" i="309" s="1"/>
  <c r="B18" i="309" s="1"/>
  <c r="B19" i="309" s="1"/>
  <c r="B20" i="309" s="1"/>
  <c r="B21" i="309" s="1"/>
  <c r="B22" i="309" s="1"/>
  <c r="B23" i="309" s="1"/>
  <c r="B24" i="309" s="1"/>
  <c r="B25" i="309" s="1"/>
  <c r="B26" i="309" s="1"/>
  <c r="B27" i="309" s="1"/>
  <c r="B28" i="309" s="1"/>
  <c r="B29" i="309" s="1"/>
  <c r="B30" i="309" s="1"/>
  <c r="B31" i="309" s="1"/>
  <c r="B32" i="309" s="1"/>
  <c r="B33" i="309" s="1"/>
  <c r="B34" i="309" s="1"/>
  <c r="B35" i="309" s="1"/>
  <c r="B36" i="309" s="1"/>
  <c r="B37" i="309" s="1"/>
  <c r="B38" i="309" s="1"/>
  <c r="B39" i="309" s="1"/>
  <c r="B42" i="309" s="1"/>
  <c r="B43" i="309" s="1"/>
  <c r="B44" i="309" s="1"/>
  <c r="B45" i="309" s="1"/>
  <c r="B46" i="309" s="1"/>
  <c r="B47" i="309" s="1"/>
  <c r="B48" i="309" s="1"/>
  <c r="B49" i="309" s="1"/>
  <c r="B50" i="309" s="1"/>
  <c r="B51" i="309" s="1"/>
  <c r="B52" i="309" s="1"/>
  <c r="B53" i="309" s="1"/>
  <c r="B54" i="309" s="1"/>
  <c r="B55" i="309" s="1"/>
  <c r="B56" i="309" s="1"/>
  <c r="B57" i="309" s="1"/>
  <c r="B58" i="309" s="1"/>
  <c r="A13" i="309"/>
  <c r="A14" i="309" s="1"/>
  <c r="A15" i="309" s="1"/>
  <c r="A16" i="309" s="1"/>
  <c r="A17" i="309" s="1"/>
  <c r="A18" i="309" s="1"/>
  <c r="A19" i="309" s="1"/>
  <c r="A20" i="309" s="1"/>
  <c r="A21" i="309" s="1"/>
  <c r="A22" i="309" s="1"/>
  <c r="A23" i="309" s="1"/>
  <c r="A24" i="309" s="1"/>
  <c r="A25" i="309" s="1"/>
  <c r="A26" i="309" s="1"/>
  <c r="A27" i="309" s="1"/>
  <c r="A28" i="309" s="1"/>
  <c r="A29" i="309" s="1"/>
  <c r="A30" i="309" s="1"/>
  <c r="A31" i="309" s="1"/>
  <c r="A32" i="309" s="1"/>
  <c r="A33" i="309" s="1"/>
  <c r="A34" i="309" s="1"/>
  <c r="A35" i="309" s="1"/>
  <c r="A36" i="309" s="1"/>
  <c r="A37" i="309" s="1"/>
  <c r="A38" i="309" s="1"/>
  <c r="A39" i="309" s="1"/>
  <c r="A42" i="309" s="1"/>
  <c r="A43" i="309" s="1"/>
  <c r="A44" i="309" s="1"/>
  <c r="A45" i="309" s="1"/>
  <c r="A46" i="309" s="1"/>
  <c r="A47" i="309" s="1"/>
  <c r="A48" i="309" s="1"/>
  <c r="A49" i="309" s="1"/>
  <c r="A50" i="309" s="1"/>
  <c r="A51" i="309" s="1"/>
  <c r="A52" i="309" s="1"/>
  <c r="A53" i="309" s="1"/>
  <c r="A54" i="309" s="1"/>
  <c r="A55" i="309" s="1"/>
  <c r="A56" i="309" s="1"/>
  <c r="A57" i="309" s="1"/>
  <c r="A58" i="309" s="1"/>
  <c r="A1" i="309"/>
  <c r="A2" i="309" s="1"/>
  <c r="M54" i="308"/>
  <c r="AC40" i="308"/>
  <c r="AC41" i="308" s="1"/>
  <c r="AB40" i="308"/>
  <c r="AB41" i="308" s="1"/>
  <c r="AC36" i="308"/>
  <c r="AC37" i="308" s="1"/>
  <c r="AB36" i="308"/>
  <c r="AB37" i="308" s="1"/>
  <c r="N35" i="308"/>
  <c r="M35" i="308"/>
  <c r="Q33" i="308"/>
  <c r="P33" i="308"/>
  <c r="O33" i="308"/>
  <c r="N33" i="308"/>
  <c r="M33" i="308"/>
  <c r="AC32" i="308"/>
  <c r="AC33" i="308" s="1"/>
  <c r="AB32" i="308"/>
  <c r="AB33" i="308" s="1"/>
  <c r="P31" i="308"/>
  <c r="AE31" i="308" s="1"/>
  <c r="O31" i="308"/>
  <c r="N31" i="308"/>
  <c r="M31" i="308"/>
  <c r="H26" i="308"/>
  <c r="H20" i="308"/>
  <c r="G20" i="308"/>
  <c r="F20" i="308"/>
  <c r="I20" i="308" s="1"/>
  <c r="B13" i="308"/>
  <c r="B14" i="308" s="1"/>
  <c r="B15" i="308" s="1"/>
  <c r="B16" i="308" s="1"/>
  <c r="B17" i="308" s="1"/>
  <c r="B18" i="308" s="1"/>
  <c r="B19" i="308" s="1"/>
  <c r="B20" i="308" s="1"/>
  <c r="B21" i="308" s="1"/>
  <c r="B22" i="308" s="1"/>
  <c r="B23" i="308" s="1"/>
  <c r="B24" i="308" s="1"/>
  <c r="B25" i="308" s="1"/>
  <c r="B26" i="308" s="1"/>
  <c r="B27" i="308" s="1"/>
  <c r="B28" i="308" s="1"/>
  <c r="B29" i="308" s="1"/>
  <c r="B30" i="308" s="1"/>
  <c r="B31" i="308" s="1"/>
  <c r="B32" i="308" s="1"/>
  <c r="B33" i="308" s="1"/>
  <c r="B34" i="308" s="1"/>
  <c r="B35" i="308" s="1"/>
  <c r="B36" i="308" s="1"/>
  <c r="B37" i="308" s="1"/>
  <c r="B38" i="308" s="1"/>
  <c r="B39" i="308" s="1"/>
  <c r="B42" i="308" s="1"/>
  <c r="B43" i="308" s="1"/>
  <c r="B44" i="308" s="1"/>
  <c r="B45" i="308" s="1"/>
  <c r="B46" i="308" s="1"/>
  <c r="B47" i="308" s="1"/>
  <c r="B48" i="308" s="1"/>
  <c r="B49" i="308" s="1"/>
  <c r="B50" i="308" s="1"/>
  <c r="B51" i="308" s="1"/>
  <c r="B52" i="308" s="1"/>
  <c r="B53" i="308" s="1"/>
  <c r="B54" i="308" s="1"/>
  <c r="B55" i="308" s="1"/>
  <c r="B56" i="308" s="1"/>
  <c r="B57" i="308" s="1"/>
  <c r="B58" i="308" s="1"/>
  <c r="A13" i="308"/>
  <c r="A14" i="308" s="1"/>
  <c r="A15" i="308" s="1"/>
  <c r="A16" i="308" s="1"/>
  <c r="A17" i="308" s="1"/>
  <c r="A18" i="308" s="1"/>
  <c r="A19" i="308" s="1"/>
  <c r="A20" i="308" s="1"/>
  <c r="A21" i="308" s="1"/>
  <c r="A22" i="308" s="1"/>
  <c r="A23" i="308" s="1"/>
  <c r="A24" i="308" s="1"/>
  <c r="A25" i="308" s="1"/>
  <c r="A26" i="308" s="1"/>
  <c r="A27" i="308" s="1"/>
  <c r="A28" i="308" s="1"/>
  <c r="A29" i="308" s="1"/>
  <c r="A30" i="308" s="1"/>
  <c r="A31" i="308" s="1"/>
  <c r="A32" i="308" s="1"/>
  <c r="A33" i="308" s="1"/>
  <c r="A34" i="308" s="1"/>
  <c r="A35" i="308" s="1"/>
  <c r="A36" i="308" s="1"/>
  <c r="A37" i="308" s="1"/>
  <c r="A38" i="308" s="1"/>
  <c r="A39" i="308" s="1"/>
  <c r="A42" i="308" s="1"/>
  <c r="A43" i="308" s="1"/>
  <c r="A44" i="308" s="1"/>
  <c r="A45" i="308" s="1"/>
  <c r="A46" i="308" s="1"/>
  <c r="A47" i="308" s="1"/>
  <c r="A48" i="308" s="1"/>
  <c r="A49" i="308" s="1"/>
  <c r="A50" i="308" s="1"/>
  <c r="A51" i="308" s="1"/>
  <c r="A52" i="308" s="1"/>
  <c r="A53" i="308" s="1"/>
  <c r="A54" i="308" s="1"/>
  <c r="A55" i="308" s="1"/>
  <c r="A56" i="308" s="1"/>
  <c r="A57" i="308" s="1"/>
  <c r="A58" i="308" s="1"/>
  <c r="A1" i="308"/>
  <c r="A3" i="308" s="1"/>
  <c r="M54" i="307"/>
  <c r="AC40" i="307"/>
  <c r="AC41" i="307" s="1"/>
  <c r="AB40" i="307"/>
  <c r="AB41" i="307" s="1"/>
  <c r="AC36" i="307"/>
  <c r="AC37" i="307" s="1"/>
  <c r="AB36" i="307"/>
  <c r="N35" i="307"/>
  <c r="M35" i="307"/>
  <c r="Q33" i="307"/>
  <c r="P33" i="307"/>
  <c r="O33" i="307"/>
  <c r="N33" i="307"/>
  <c r="M33" i="307"/>
  <c r="AC32" i="307"/>
  <c r="AB32" i="307"/>
  <c r="AB33" i="307" s="1"/>
  <c r="P31" i="307"/>
  <c r="O31" i="307"/>
  <c r="N31" i="307"/>
  <c r="AD31" i="307" s="1"/>
  <c r="M31" i="307"/>
  <c r="H26" i="307"/>
  <c r="H20" i="307"/>
  <c r="G20" i="307"/>
  <c r="F20" i="307"/>
  <c r="I20" i="307" s="1"/>
  <c r="B13" i="307"/>
  <c r="B14" i="307" s="1"/>
  <c r="B15" i="307" s="1"/>
  <c r="B16" i="307" s="1"/>
  <c r="B17" i="307" s="1"/>
  <c r="B18" i="307" s="1"/>
  <c r="B19" i="307" s="1"/>
  <c r="B20" i="307" s="1"/>
  <c r="B21" i="307" s="1"/>
  <c r="B22" i="307" s="1"/>
  <c r="B23" i="307" s="1"/>
  <c r="B24" i="307" s="1"/>
  <c r="B25" i="307" s="1"/>
  <c r="B26" i="307" s="1"/>
  <c r="B27" i="307" s="1"/>
  <c r="B28" i="307" s="1"/>
  <c r="B29" i="307" s="1"/>
  <c r="B30" i="307" s="1"/>
  <c r="B31" i="307" s="1"/>
  <c r="B32" i="307" s="1"/>
  <c r="B33" i="307" s="1"/>
  <c r="B34" i="307" s="1"/>
  <c r="B35" i="307" s="1"/>
  <c r="B36" i="307" s="1"/>
  <c r="B37" i="307" s="1"/>
  <c r="B38" i="307" s="1"/>
  <c r="B39" i="307" s="1"/>
  <c r="B42" i="307" s="1"/>
  <c r="B43" i="307" s="1"/>
  <c r="B44" i="307" s="1"/>
  <c r="B45" i="307" s="1"/>
  <c r="B46" i="307" s="1"/>
  <c r="B47" i="307" s="1"/>
  <c r="B48" i="307" s="1"/>
  <c r="B49" i="307" s="1"/>
  <c r="B50" i="307" s="1"/>
  <c r="B51" i="307" s="1"/>
  <c r="B52" i="307" s="1"/>
  <c r="B53" i="307" s="1"/>
  <c r="B54" i="307" s="1"/>
  <c r="B55" i="307" s="1"/>
  <c r="B56" i="307" s="1"/>
  <c r="B57" i="307" s="1"/>
  <c r="B58" i="307" s="1"/>
  <c r="A13" i="307"/>
  <c r="A14" i="307" s="1"/>
  <c r="A15" i="307" s="1"/>
  <c r="A16" i="307" s="1"/>
  <c r="A17" i="307" s="1"/>
  <c r="A18" i="307" s="1"/>
  <c r="A19" i="307" s="1"/>
  <c r="A20" i="307" s="1"/>
  <c r="A21" i="307" s="1"/>
  <c r="A22" i="307" s="1"/>
  <c r="A23" i="307" s="1"/>
  <c r="A24" i="307" s="1"/>
  <c r="A25" i="307" s="1"/>
  <c r="A26" i="307" s="1"/>
  <c r="A27" i="307" s="1"/>
  <c r="A28" i="307" s="1"/>
  <c r="A29" i="307" s="1"/>
  <c r="A30" i="307" s="1"/>
  <c r="A31" i="307" s="1"/>
  <c r="A32" i="307" s="1"/>
  <c r="A33" i="307" s="1"/>
  <c r="A34" i="307" s="1"/>
  <c r="A35" i="307" s="1"/>
  <c r="A36" i="307" s="1"/>
  <c r="A37" i="307" s="1"/>
  <c r="A38" i="307" s="1"/>
  <c r="A39" i="307" s="1"/>
  <c r="A42" i="307" s="1"/>
  <c r="A43" i="307" s="1"/>
  <c r="A44" i="307" s="1"/>
  <c r="A45" i="307" s="1"/>
  <c r="A46" i="307" s="1"/>
  <c r="A47" i="307" s="1"/>
  <c r="A48" i="307" s="1"/>
  <c r="A49" i="307" s="1"/>
  <c r="A50" i="307" s="1"/>
  <c r="A51" i="307" s="1"/>
  <c r="A52" i="307" s="1"/>
  <c r="A53" i="307" s="1"/>
  <c r="A54" i="307" s="1"/>
  <c r="A55" i="307" s="1"/>
  <c r="A56" i="307" s="1"/>
  <c r="A57" i="307" s="1"/>
  <c r="A58" i="307" s="1"/>
  <c r="A1" i="307"/>
  <c r="A3" i="307" s="1"/>
  <c r="M54" i="306"/>
  <c r="AC40" i="306"/>
  <c r="AC41" i="306" s="1"/>
  <c r="AB40" i="306"/>
  <c r="AB41" i="306" s="1"/>
  <c r="AC36" i="306"/>
  <c r="AC37" i="306" s="1"/>
  <c r="AB36" i="306"/>
  <c r="N35" i="306"/>
  <c r="M35" i="306"/>
  <c r="Q33" i="306"/>
  <c r="P33" i="306"/>
  <c r="O33" i="306"/>
  <c r="N33" i="306"/>
  <c r="M33" i="306"/>
  <c r="AC32" i="306"/>
  <c r="AB32" i="306"/>
  <c r="AB33" i="306" s="1"/>
  <c r="P31" i="306"/>
  <c r="AE31" i="306" s="1"/>
  <c r="O31" i="306"/>
  <c r="N31" i="306"/>
  <c r="AD31" i="306" s="1"/>
  <c r="M31" i="306"/>
  <c r="H26" i="306"/>
  <c r="H20" i="306"/>
  <c r="G20" i="306"/>
  <c r="F20" i="306"/>
  <c r="I20" i="306" s="1"/>
  <c r="B13" i="306"/>
  <c r="B14" i="306" s="1"/>
  <c r="B15" i="306" s="1"/>
  <c r="B16" i="306" s="1"/>
  <c r="B17" i="306" s="1"/>
  <c r="B18" i="306" s="1"/>
  <c r="B19" i="306" s="1"/>
  <c r="B20" i="306" s="1"/>
  <c r="B21" i="306" s="1"/>
  <c r="B22" i="306" s="1"/>
  <c r="B23" i="306" s="1"/>
  <c r="B24" i="306" s="1"/>
  <c r="B25" i="306" s="1"/>
  <c r="B26" i="306" s="1"/>
  <c r="B27" i="306" s="1"/>
  <c r="B28" i="306" s="1"/>
  <c r="B29" i="306" s="1"/>
  <c r="B30" i="306" s="1"/>
  <c r="B31" i="306" s="1"/>
  <c r="B32" i="306" s="1"/>
  <c r="B33" i="306" s="1"/>
  <c r="B34" i="306" s="1"/>
  <c r="B35" i="306" s="1"/>
  <c r="B36" i="306" s="1"/>
  <c r="B37" i="306" s="1"/>
  <c r="B38" i="306" s="1"/>
  <c r="B39" i="306" s="1"/>
  <c r="B42" i="306" s="1"/>
  <c r="B43" i="306" s="1"/>
  <c r="B44" i="306" s="1"/>
  <c r="B45" i="306" s="1"/>
  <c r="B46" i="306" s="1"/>
  <c r="B47" i="306" s="1"/>
  <c r="B48" i="306" s="1"/>
  <c r="B49" i="306" s="1"/>
  <c r="B50" i="306" s="1"/>
  <c r="B51" i="306" s="1"/>
  <c r="B52" i="306" s="1"/>
  <c r="B53" i="306" s="1"/>
  <c r="B54" i="306" s="1"/>
  <c r="B55" i="306" s="1"/>
  <c r="B56" i="306" s="1"/>
  <c r="B57" i="306" s="1"/>
  <c r="B58" i="306" s="1"/>
  <c r="A13" i="306"/>
  <c r="A14" i="306" s="1"/>
  <c r="A15" i="306" s="1"/>
  <c r="A16" i="306" s="1"/>
  <c r="A17" i="306" s="1"/>
  <c r="A18" i="306" s="1"/>
  <c r="A19" i="306" s="1"/>
  <c r="A20" i="306" s="1"/>
  <c r="A21" i="306" s="1"/>
  <c r="A22" i="306" s="1"/>
  <c r="A23" i="306" s="1"/>
  <c r="A24" i="306" s="1"/>
  <c r="A25" i="306" s="1"/>
  <c r="A26" i="306" s="1"/>
  <c r="A27" i="306" s="1"/>
  <c r="A28" i="306" s="1"/>
  <c r="A29" i="306" s="1"/>
  <c r="A30" i="306" s="1"/>
  <c r="A31" i="306" s="1"/>
  <c r="A32" i="306" s="1"/>
  <c r="A33" i="306" s="1"/>
  <c r="A34" i="306" s="1"/>
  <c r="A35" i="306" s="1"/>
  <c r="A36" i="306" s="1"/>
  <c r="A37" i="306" s="1"/>
  <c r="A38" i="306" s="1"/>
  <c r="A39" i="306" s="1"/>
  <c r="A42" i="306" s="1"/>
  <c r="A43" i="306" s="1"/>
  <c r="A44" i="306" s="1"/>
  <c r="A45" i="306" s="1"/>
  <c r="A46" i="306" s="1"/>
  <c r="A47" i="306" s="1"/>
  <c r="A48" i="306" s="1"/>
  <c r="A49" i="306" s="1"/>
  <c r="A50" i="306" s="1"/>
  <c r="A51" i="306" s="1"/>
  <c r="A52" i="306" s="1"/>
  <c r="A53" i="306" s="1"/>
  <c r="A54" i="306" s="1"/>
  <c r="A55" i="306" s="1"/>
  <c r="A56" i="306" s="1"/>
  <c r="A57" i="306" s="1"/>
  <c r="A58" i="306" s="1"/>
  <c r="A1" i="306"/>
  <c r="M54" i="305"/>
  <c r="AC40" i="305"/>
  <c r="AC41" i="305" s="1"/>
  <c r="AB40" i="305"/>
  <c r="AB41" i="305" s="1"/>
  <c r="AC36" i="305"/>
  <c r="AC37" i="305" s="1"/>
  <c r="AB36" i="305"/>
  <c r="AB37" i="305" s="1"/>
  <c r="N35" i="305"/>
  <c r="M35" i="305"/>
  <c r="Q33" i="305"/>
  <c r="P33" i="305"/>
  <c r="O33" i="305"/>
  <c r="N33" i="305"/>
  <c r="M33" i="305"/>
  <c r="AC32" i="305"/>
  <c r="AC33" i="305" s="1"/>
  <c r="AB32" i="305"/>
  <c r="AB33" i="305" s="1"/>
  <c r="P31" i="305"/>
  <c r="AE31" i="305" s="1"/>
  <c r="O31" i="305"/>
  <c r="N31" i="305"/>
  <c r="AD31" i="305" s="1"/>
  <c r="M31" i="305"/>
  <c r="H26" i="305"/>
  <c r="H20" i="305"/>
  <c r="G20" i="305"/>
  <c r="F20" i="305"/>
  <c r="B13" i="305"/>
  <c r="B14" i="305" s="1"/>
  <c r="B15" i="305" s="1"/>
  <c r="B16" i="305" s="1"/>
  <c r="B17" i="305" s="1"/>
  <c r="B18" i="305" s="1"/>
  <c r="B19" i="305" s="1"/>
  <c r="B20" i="305" s="1"/>
  <c r="B21" i="305" s="1"/>
  <c r="B22" i="305" s="1"/>
  <c r="B23" i="305" s="1"/>
  <c r="B24" i="305" s="1"/>
  <c r="B25" i="305" s="1"/>
  <c r="B26" i="305" s="1"/>
  <c r="B27" i="305" s="1"/>
  <c r="B28" i="305" s="1"/>
  <c r="B29" i="305" s="1"/>
  <c r="B30" i="305" s="1"/>
  <c r="B31" i="305" s="1"/>
  <c r="B32" i="305" s="1"/>
  <c r="B33" i="305" s="1"/>
  <c r="B34" i="305" s="1"/>
  <c r="B35" i="305" s="1"/>
  <c r="B36" i="305" s="1"/>
  <c r="B37" i="305" s="1"/>
  <c r="B38" i="305" s="1"/>
  <c r="B39" i="305" s="1"/>
  <c r="B42" i="305" s="1"/>
  <c r="B43" i="305" s="1"/>
  <c r="B44" i="305" s="1"/>
  <c r="B45" i="305" s="1"/>
  <c r="B46" i="305" s="1"/>
  <c r="B47" i="305" s="1"/>
  <c r="B48" i="305" s="1"/>
  <c r="B49" i="305" s="1"/>
  <c r="B50" i="305" s="1"/>
  <c r="B51" i="305" s="1"/>
  <c r="B52" i="305" s="1"/>
  <c r="B53" i="305" s="1"/>
  <c r="B54" i="305" s="1"/>
  <c r="B55" i="305" s="1"/>
  <c r="B56" i="305" s="1"/>
  <c r="B57" i="305" s="1"/>
  <c r="B58" i="305" s="1"/>
  <c r="A13" i="305"/>
  <c r="A14" i="305" s="1"/>
  <c r="A15" i="305" s="1"/>
  <c r="A16" i="305" s="1"/>
  <c r="A17" i="305" s="1"/>
  <c r="A18" i="305" s="1"/>
  <c r="A19" i="305" s="1"/>
  <c r="A20" i="305" s="1"/>
  <c r="A21" i="305" s="1"/>
  <c r="A22" i="305" s="1"/>
  <c r="A23" i="305" s="1"/>
  <c r="A24" i="305" s="1"/>
  <c r="A25" i="305" s="1"/>
  <c r="A26" i="305" s="1"/>
  <c r="A27" i="305" s="1"/>
  <c r="A28" i="305" s="1"/>
  <c r="A29" i="305" s="1"/>
  <c r="A30" i="305" s="1"/>
  <c r="A31" i="305" s="1"/>
  <c r="A32" i="305" s="1"/>
  <c r="A33" i="305" s="1"/>
  <c r="A34" i="305" s="1"/>
  <c r="A35" i="305" s="1"/>
  <c r="A36" i="305" s="1"/>
  <c r="A37" i="305" s="1"/>
  <c r="A38" i="305" s="1"/>
  <c r="A39" i="305" s="1"/>
  <c r="A42" i="305" s="1"/>
  <c r="A43" i="305" s="1"/>
  <c r="A44" i="305" s="1"/>
  <c r="A45" i="305" s="1"/>
  <c r="A46" i="305" s="1"/>
  <c r="A47" i="305" s="1"/>
  <c r="A48" i="305" s="1"/>
  <c r="A49" i="305" s="1"/>
  <c r="A50" i="305" s="1"/>
  <c r="A51" i="305" s="1"/>
  <c r="A52" i="305" s="1"/>
  <c r="A53" i="305" s="1"/>
  <c r="A54" i="305" s="1"/>
  <c r="A55" i="305" s="1"/>
  <c r="A56" i="305" s="1"/>
  <c r="A57" i="305" s="1"/>
  <c r="A58" i="305" s="1"/>
  <c r="A1" i="305"/>
  <c r="M54" i="304"/>
  <c r="AC40" i="304"/>
  <c r="AC41" i="304" s="1"/>
  <c r="AB40" i="304"/>
  <c r="AB41" i="304" s="1"/>
  <c r="AC36" i="304"/>
  <c r="AC37" i="304" s="1"/>
  <c r="AB36" i="304"/>
  <c r="AB37" i="304" s="1"/>
  <c r="N35" i="304"/>
  <c r="M35" i="304"/>
  <c r="Q33" i="304"/>
  <c r="P33" i="304"/>
  <c r="O33" i="304"/>
  <c r="N33" i="304"/>
  <c r="M33" i="304"/>
  <c r="AC32" i="304"/>
  <c r="AC33" i="304" s="1"/>
  <c r="AB32" i="304"/>
  <c r="AB33" i="304" s="1"/>
  <c r="P31" i="304"/>
  <c r="AE31" i="304" s="1"/>
  <c r="O31" i="304"/>
  <c r="N31" i="304"/>
  <c r="M31" i="304"/>
  <c r="H26" i="304"/>
  <c r="H20" i="304"/>
  <c r="G20" i="304"/>
  <c r="F20" i="304"/>
  <c r="I20" i="304" s="1"/>
  <c r="B13" i="304"/>
  <c r="B14" i="304" s="1"/>
  <c r="B15" i="304" s="1"/>
  <c r="B16" i="304" s="1"/>
  <c r="B17" i="304" s="1"/>
  <c r="B18" i="304" s="1"/>
  <c r="B19" i="304" s="1"/>
  <c r="B20" i="304" s="1"/>
  <c r="B21" i="304" s="1"/>
  <c r="B22" i="304" s="1"/>
  <c r="B23" i="304" s="1"/>
  <c r="B24" i="304" s="1"/>
  <c r="B25" i="304" s="1"/>
  <c r="B26" i="304" s="1"/>
  <c r="B27" i="304" s="1"/>
  <c r="B28" i="304" s="1"/>
  <c r="B29" i="304" s="1"/>
  <c r="B30" i="304" s="1"/>
  <c r="B31" i="304" s="1"/>
  <c r="B32" i="304" s="1"/>
  <c r="B33" i="304" s="1"/>
  <c r="B34" i="304" s="1"/>
  <c r="B35" i="304" s="1"/>
  <c r="B36" i="304" s="1"/>
  <c r="B37" i="304" s="1"/>
  <c r="B38" i="304" s="1"/>
  <c r="B39" i="304" s="1"/>
  <c r="B42" i="304" s="1"/>
  <c r="B43" i="304" s="1"/>
  <c r="B44" i="304" s="1"/>
  <c r="B45" i="304" s="1"/>
  <c r="B46" i="304" s="1"/>
  <c r="B47" i="304" s="1"/>
  <c r="B48" i="304" s="1"/>
  <c r="B49" i="304" s="1"/>
  <c r="B50" i="304" s="1"/>
  <c r="B51" i="304" s="1"/>
  <c r="B52" i="304" s="1"/>
  <c r="B53" i="304" s="1"/>
  <c r="B54" i="304" s="1"/>
  <c r="B55" i="304" s="1"/>
  <c r="B56" i="304" s="1"/>
  <c r="B57" i="304" s="1"/>
  <c r="B58" i="304" s="1"/>
  <c r="A13" i="304"/>
  <c r="A14" i="304" s="1"/>
  <c r="A15" i="304" s="1"/>
  <c r="A16" i="304" s="1"/>
  <c r="A17" i="304" s="1"/>
  <c r="A18" i="304" s="1"/>
  <c r="A19" i="304" s="1"/>
  <c r="A20" i="304" s="1"/>
  <c r="A21" i="304" s="1"/>
  <c r="A22" i="304" s="1"/>
  <c r="A23" i="304" s="1"/>
  <c r="A24" i="304" s="1"/>
  <c r="A25" i="304" s="1"/>
  <c r="A26" i="304" s="1"/>
  <c r="A27" i="304" s="1"/>
  <c r="A28" i="304" s="1"/>
  <c r="A29" i="304" s="1"/>
  <c r="A30" i="304" s="1"/>
  <c r="A31" i="304" s="1"/>
  <c r="A32" i="304" s="1"/>
  <c r="A33" i="304" s="1"/>
  <c r="A34" i="304" s="1"/>
  <c r="A35" i="304" s="1"/>
  <c r="A36" i="304" s="1"/>
  <c r="A37" i="304" s="1"/>
  <c r="A38" i="304" s="1"/>
  <c r="A39" i="304" s="1"/>
  <c r="A42" i="304" s="1"/>
  <c r="A43" i="304" s="1"/>
  <c r="A44" i="304" s="1"/>
  <c r="A45" i="304" s="1"/>
  <c r="A46" i="304" s="1"/>
  <c r="A47" i="304" s="1"/>
  <c r="A48" i="304" s="1"/>
  <c r="A49" i="304" s="1"/>
  <c r="A50" i="304" s="1"/>
  <c r="A51" i="304" s="1"/>
  <c r="A52" i="304" s="1"/>
  <c r="A53" i="304" s="1"/>
  <c r="A54" i="304" s="1"/>
  <c r="A55" i="304" s="1"/>
  <c r="A56" i="304" s="1"/>
  <c r="A57" i="304" s="1"/>
  <c r="A58" i="304" s="1"/>
  <c r="A1" i="304"/>
  <c r="M54" i="303"/>
  <c r="AC40" i="303"/>
  <c r="AC41" i="303" s="1"/>
  <c r="AB40" i="303"/>
  <c r="AC36" i="303"/>
  <c r="AC37" i="303" s="1"/>
  <c r="AB36" i="303"/>
  <c r="AB37" i="303" s="1"/>
  <c r="N35" i="303"/>
  <c r="M35" i="303"/>
  <c r="Q33" i="303"/>
  <c r="P33" i="303"/>
  <c r="O33" i="303"/>
  <c r="N33" i="303"/>
  <c r="M33" i="303"/>
  <c r="AC32" i="303"/>
  <c r="AB32" i="303"/>
  <c r="AB33" i="303" s="1"/>
  <c r="P31" i="303"/>
  <c r="AE31" i="303" s="1"/>
  <c r="O31" i="303"/>
  <c r="N31" i="303"/>
  <c r="M31" i="303"/>
  <c r="H26" i="303"/>
  <c r="H20" i="303"/>
  <c r="G20" i="303"/>
  <c r="F20" i="303"/>
  <c r="I20" i="303" s="1"/>
  <c r="B13" i="303"/>
  <c r="B14" i="303" s="1"/>
  <c r="B15" i="303" s="1"/>
  <c r="B16" i="303" s="1"/>
  <c r="B17" i="303" s="1"/>
  <c r="B18" i="303" s="1"/>
  <c r="B19" i="303" s="1"/>
  <c r="B20" i="303" s="1"/>
  <c r="B21" i="303" s="1"/>
  <c r="B22" i="303" s="1"/>
  <c r="B23" i="303" s="1"/>
  <c r="B24" i="303" s="1"/>
  <c r="B25" i="303" s="1"/>
  <c r="B26" i="303" s="1"/>
  <c r="B27" i="303" s="1"/>
  <c r="B28" i="303" s="1"/>
  <c r="B29" i="303" s="1"/>
  <c r="B30" i="303" s="1"/>
  <c r="B31" i="303" s="1"/>
  <c r="B32" i="303" s="1"/>
  <c r="B33" i="303" s="1"/>
  <c r="B34" i="303" s="1"/>
  <c r="B35" i="303" s="1"/>
  <c r="B36" i="303" s="1"/>
  <c r="B37" i="303" s="1"/>
  <c r="B38" i="303" s="1"/>
  <c r="B39" i="303" s="1"/>
  <c r="B42" i="303" s="1"/>
  <c r="B43" i="303" s="1"/>
  <c r="B44" i="303" s="1"/>
  <c r="B45" i="303" s="1"/>
  <c r="B46" i="303" s="1"/>
  <c r="B47" i="303" s="1"/>
  <c r="B48" i="303" s="1"/>
  <c r="B49" i="303" s="1"/>
  <c r="B50" i="303" s="1"/>
  <c r="B51" i="303" s="1"/>
  <c r="B52" i="303" s="1"/>
  <c r="B53" i="303" s="1"/>
  <c r="B54" i="303" s="1"/>
  <c r="B55" i="303" s="1"/>
  <c r="B56" i="303" s="1"/>
  <c r="B57" i="303" s="1"/>
  <c r="B58" i="303" s="1"/>
  <c r="A13" i="303"/>
  <c r="A14" i="303" s="1"/>
  <c r="A15" i="303" s="1"/>
  <c r="A16" i="303" s="1"/>
  <c r="A17" i="303" s="1"/>
  <c r="A18" i="303" s="1"/>
  <c r="A19" i="303" s="1"/>
  <c r="A20" i="303" s="1"/>
  <c r="A21" i="303" s="1"/>
  <c r="A22" i="303" s="1"/>
  <c r="A23" i="303" s="1"/>
  <c r="A24" i="303" s="1"/>
  <c r="A25" i="303" s="1"/>
  <c r="A26" i="303" s="1"/>
  <c r="A27" i="303" s="1"/>
  <c r="A28" i="303" s="1"/>
  <c r="A29" i="303" s="1"/>
  <c r="A30" i="303" s="1"/>
  <c r="A31" i="303" s="1"/>
  <c r="A32" i="303" s="1"/>
  <c r="A33" i="303" s="1"/>
  <c r="A34" i="303" s="1"/>
  <c r="A35" i="303" s="1"/>
  <c r="A36" i="303" s="1"/>
  <c r="A37" i="303" s="1"/>
  <c r="A38" i="303" s="1"/>
  <c r="A39" i="303" s="1"/>
  <c r="A42" i="303" s="1"/>
  <c r="A43" i="303" s="1"/>
  <c r="A44" i="303" s="1"/>
  <c r="A45" i="303" s="1"/>
  <c r="A46" i="303" s="1"/>
  <c r="A47" i="303" s="1"/>
  <c r="A48" i="303" s="1"/>
  <c r="A49" i="303" s="1"/>
  <c r="A50" i="303" s="1"/>
  <c r="A51" i="303" s="1"/>
  <c r="A52" i="303" s="1"/>
  <c r="A53" i="303" s="1"/>
  <c r="A54" i="303" s="1"/>
  <c r="A55" i="303" s="1"/>
  <c r="A56" i="303" s="1"/>
  <c r="A57" i="303" s="1"/>
  <c r="A58" i="303" s="1"/>
  <c r="A1" i="303"/>
  <c r="A3" i="303" s="1"/>
  <c r="M54" i="302"/>
  <c r="AC40" i="302"/>
  <c r="AC41" i="302" s="1"/>
  <c r="AB40" i="302"/>
  <c r="AC36" i="302"/>
  <c r="AC37" i="302" s="1"/>
  <c r="AB36" i="302"/>
  <c r="AB37" i="302" s="1"/>
  <c r="N35" i="302"/>
  <c r="M35" i="302"/>
  <c r="Q33" i="302"/>
  <c r="P33" i="302"/>
  <c r="O33" i="302"/>
  <c r="N33" i="302"/>
  <c r="M33" i="302"/>
  <c r="AC32" i="302"/>
  <c r="AB32" i="302"/>
  <c r="AB33" i="302" s="1"/>
  <c r="P31" i="302"/>
  <c r="O31" i="302"/>
  <c r="N31" i="302"/>
  <c r="AD31" i="302" s="1"/>
  <c r="M31" i="302"/>
  <c r="H26" i="302"/>
  <c r="H20" i="302"/>
  <c r="G20" i="302"/>
  <c r="F20" i="302"/>
  <c r="I20" i="302" s="1"/>
  <c r="B13" i="302"/>
  <c r="B14" i="302" s="1"/>
  <c r="B15" i="302" s="1"/>
  <c r="B16" i="302" s="1"/>
  <c r="B17" i="302" s="1"/>
  <c r="B18" i="302" s="1"/>
  <c r="B19" i="302" s="1"/>
  <c r="B20" i="302" s="1"/>
  <c r="B21" i="302" s="1"/>
  <c r="B22" i="302" s="1"/>
  <c r="B23" i="302" s="1"/>
  <c r="B24" i="302" s="1"/>
  <c r="B25" i="302" s="1"/>
  <c r="B26" i="302" s="1"/>
  <c r="B27" i="302" s="1"/>
  <c r="B28" i="302" s="1"/>
  <c r="B29" i="302" s="1"/>
  <c r="B30" i="302" s="1"/>
  <c r="B31" i="302" s="1"/>
  <c r="B32" i="302" s="1"/>
  <c r="B33" i="302" s="1"/>
  <c r="B34" i="302" s="1"/>
  <c r="B35" i="302" s="1"/>
  <c r="B36" i="302" s="1"/>
  <c r="B37" i="302" s="1"/>
  <c r="B38" i="302" s="1"/>
  <c r="B39" i="302" s="1"/>
  <c r="B42" i="302" s="1"/>
  <c r="B43" i="302" s="1"/>
  <c r="B44" i="302" s="1"/>
  <c r="B45" i="302" s="1"/>
  <c r="B46" i="302" s="1"/>
  <c r="B47" i="302" s="1"/>
  <c r="B48" i="302" s="1"/>
  <c r="B49" i="302" s="1"/>
  <c r="B50" i="302" s="1"/>
  <c r="B51" i="302" s="1"/>
  <c r="B52" i="302" s="1"/>
  <c r="B53" i="302" s="1"/>
  <c r="B54" i="302" s="1"/>
  <c r="B55" i="302" s="1"/>
  <c r="B56" i="302" s="1"/>
  <c r="B57" i="302" s="1"/>
  <c r="B58" i="302" s="1"/>
  <c r="A13" i="302"/>
  <c r="A14" i="302" s="1"/>
  <c r="A15" i="302" s="1"/>
  <c r="A16" i="302" s="1"/>
  <c r="A17" i="302" s="1"/>
  <c r="A18" i="302" s="1"/>
  <c r="A19" i="302" s="1"/>
  <c r="A20" i="302" s="1"/>
  <c r="A21" i="302" s="1"/>
  <c r="A22" i="302" s="1"/>
  <c r="A23" i="302" s="1"/>
  <c r="A24" i="302" s="1"/>
  <c r="A25" i="302" s="1"/>
  <c r="A26" i="302" s="1"/>
  <c r="A27" i="302" s="1"/>
  <c r="A28" i="302" s="1"/>
  <c r="A29" i="302" s="1"/>
  <c r="A30" i="302" s="1"/>
  <c r="A31" i="302" s="1"/>
  <c r="A32" i="302" s="1"/>
  <c r="A33" i="302" s="1"/>
  <c r="A34" i="302" s="1"/>
  <c r="A35" i="302" s="1"/>
  <c r="A36" i="302" s="1"/>
  <c r="A37" i="302" s="1"/>
  <c r="A38" i="302" s="1"/>
  <c r="A39" i="302" s="1"/>
  <c r="A42" i="302" s="1"/>
  <c r="A43" i="302" s="1"/>
  <c r="A44" i="302" s="1"/>
  <c r="A45" i="302" s="1"/>
  <c r="A46" i="302" s="1"/>
  <c r="A47" i="302" s="1"/>
  <c r="A48" i="302" s="1"/>
  <c r="A49" i="302" s="1"/>
  <c r="A50" i="302" s="1"/>
  <c r="A51" i="302" s="1"/>
  <c r="A52" i="302" s="1"/>
  <c r="A53" i="302" s="1"/>
  <c r="A54" i="302" s="1"/>
  <c r="A55" i="302" s="1"/>
  <c r="A56" i="302" s="1"/>
  <c r="A57" i="302" s="1"/>
  <c r="A58" i="302" s="1"/>
  <c r="A1" i="302"/>
  <c r="A3" i="302" s="1"/>
  <c r="M54" i="301"/>
  <c r="AC40" i="301"/>
  <c r="AC41" i="301" s="1"/>
  <c r="AB40" i="301"/>
  <c r="AB41" i="301" s="1"/>
  <c r="AC36" i="301"/>
  <c r="AB36" i="301"/>
  <c r="AB37" i="301" s="1"/>
  <c r="N35" i="301"/>
  <c r="M35" i="301"/>
  <c r="Q33" i="301"/>
  <c r="P33" i="301"/>
  <c r="AE41" i="301" s="1"/>
  <c r="O33" i="301"/>
  <c r="N33" i="301"/>
  <c r="M33" i="301"/>
  <c r="AC32" i="301"/>
  <c r="AC33" i="301" s="1"/>
  <c r="AB32" i="301"/>
  <c r="P31" i="301"/>
  <c r="O31" i="301"/>
  <c r="N31" i="301"/>
  <c r="AD31" i="301" s="1"/>
  <c r="M31" i="301"/>
  <c r="H26" i="301"/>
  <c r="H20" i="301"/>
  <c r="G20" i="301"/>
  <c r="F20" i="301"/>
  <c r="I20" i="301" s="1"/>
  <c r="B13" i="301"/>
  <c r="B14" i="301" s="1"/>
  <c r="B15" i="301" s="1"/>
  <c r="B16" i="301" s="1"/>
  <c r="B17" i="301" s="1"/>
  <c r="B18" i="301" s="1"/>
  <c r="B19" i="301" s="1"/>
  <c r="B20" i="301" s="1"/>
  <c r="B21" i="301" s="1"/>
  <c r="B22" i="301" s="1"/>
  <c r="B23" i="301" s="1"/>
  <c r="B24" i="301" s="1"/>
  <c r="B25" i="301" s="1"/>
  <c r="B26" i="301" s="1"/>
  <c r="B27" i="301" s="1"/>
  <c r="B28" i="301" s="1"/>
  <c r="B29" i="301" s="1"/>
  <c r="B30" i="301" s="1"/>
  <c r="B31" i="301" s="1"/>
  <c r="B32" i="301" s="1"/>
  <c r="B33" i="301" s="1"/>
  <c r="B34" i="301" s="1"/>
  <c r="B35" i="301" s="1"/>
  <c r="B36" i="301" s="1"/>
  <c r="B37" i="301" s="1"/>
  <c r="B38" i="301" s="1"/>
  <c r="B39" i="301" s="1"/>
  <c r="B42" i="301" s="1"/>
  <c r="B43" i="301" s="1"/>
  <c r="B44" i="301" s="1"/>
  <c r="B45" i="301" s="1"/>
  <c r="B46" i="301" s="1"/>
  <c r="B47" i="301" s="1"/>
  <c r="B48" i="301" s="1"/>
  <c r="B49" i="301" s="1"/>
  <c r="B50" i="301" s="1"/>
  <c r="B51" i="301" s="1"/>
  <c r="B52" i="301" s="1"/>
  <c r="B53" i="301" s="1"/>
  <c r="B54" i="301" s="1"/>
  <c r="B55" i="301" s="1"/>
  <c r="B56" i="301" s="1"/>
  <c r="B57" i="301" s="1"/>
  <c r="B58" i="301" s="1"/>
  <c r="A13" i="301"/>
  <c r="A14" i="301" s="1"/>
  <c r="A15" i="301" s="1"/>
  <c r="A16" i="301" s="1"/>
  <c r="A17" i="301" s="1"/>
  <c r="A18" i="301" s="1"/>
  <c r="A19" i="301" s="1"/>
  <c r="A20" i="301" s="1"/>
  <c r="A21" i="301" s="1"/>
  <c r="A22" i="301" s="1"/>
  <c r="A23" i="301" s="1"/>
  <c r="A24" i="301" s="1"/>
  <c r="A25" i="301" s="1"/>
  <c r="A26" i="301" s="1"/>
  <c r="A27" i="301" s="1"/>
  <c r="A28" i="301" s="1"/>
  <c r="A29" i="301" s="1"/>
  <c r="A30" i="301" s="1"/>
  <c r="A31" i="301" s="1"/>
  <c r="A32" i="301" s="1"/>
  <c r="A33" i="301" s="1"/>
  <c r="A34" i="301" s="1"/>
  <c r="A35" i="301" s="1"/>
  <c r="A36" i="301" s="1"/>
  <c r="A37" i="301" s="1"/>
  <c r="A38" i="301" s="1"/>
  <c r="A39" i="301" s="1"/>
  <c r="A42" i="301" s="1"/>
  <c r="A43" i="301" s="1"/>
  <c r="A44" i="301" s="1"/>
  <c r="A45" i="301" s="1"/>
  <c r="A46" i="301" s="1"/>
  <c r="A47" i="301" s="1"/>
  <c r="A48" i="301" s="1"/>
  <c r="A49" i="301" s="1"/>
  <c r="A50" i="301" s="1"/>
  <c r="A51" i="301" s="1"/>
  <c r="A52" i="301" s="1"/>
  <c r="A53" i="301" s="1"/>
  <c r="A54" i="301" s="1"/>
  <c r="A55" i="301" s="1"/>
  <c r="A56" i="301" s="1"/>
  <c r="A57" i="301" s="1"/>
  <c r="A58" i="301" s="1"/>
  <c r="A1" i="301"/>
  <c r="A3" i="301" s="1"/>
  <c r="M54" i="300"/>
  <c r="AC40" i="300"/>
  <c r="AC41" i="300" s="1"/>
  <c r="AB40" i="300"/>
  <c r="AB41" i="300" s="1"/>
  <c r="AC36" i="300"/>
  <c r="AC37" i="300" s="1"/>
  <c r="AB36" i="300"/>
  <c r="AB37" i="300" s="1"/>
  <c r="N35" i="300"/>
  <c r="M35" i="300"/>
  <c r="Q33" i="300"/>
  <c r="P33" i="300"/>
  <c r="O33" i="300"/>
  <c r="N33" i="300"/>
  <c r="M33" i="300"/>
  <c r="AC32" i="300"/>
  <c r="AC33" i="300" s="1"/>
  <c r="AB32" i="300"/>
  <c r="P31" i="300"/>
  <c r="AE31" i="300" s="1"/>
  <c r="O31" i="300"/>
  <c r="N31" i="300"/>
  <c r="M31" i="300"/>
  <c r="H26" i="300"/>
  <c r="H20" i="300"/>
  <c r="G20" i="300"/>
  <c r="F20" i="300"/>
  <c r="I20" i="300" s="1"/>
  <c r="B13" i="300"/>
  <c r="B14" i="300" s="1"/>
  <c r="B15" i="300" s="1"/>
  <c r="B16" i="300" s="1"/>
  <c r="B17" i="300" s="1"/>
  <c r="B18" i="300" s="1"/>
  <c r="B19" i="300" s="1"/>
  <c r="B20" i="300" s="1"/>
  <c r="B21" i="300" s="1"/>
  <c r="B22" i="300" s="1"/>
  <c r="B23" i="300" s="1"/>
  <c r="B24" i="300" s="1"/>
  <c r="B25" i="300" s="1"/>
  <c r="B26" i="300" s="1"/>
  <c r="B27" i="300" s="1"/>
  <c r="B28" i="300" s="1"/>
  <c r="B29" i="300" s="1"/>
  <c r="B30" i="300" s="1"/>
  <c r="B31" i="300" s="1"/>
  <c r="B32" i="300" s="1"/>
  <c r="B33" i="300" s="1"/>
  <c r="B34" i="300" s="1"/>
  <c r="B35" i="300" s="1"/>
  <c r="B36" i="300" s="1"/>
  <c r="B37" i="300" s="1"/>
  <c r="B38" i="300" s="1"/>
  <c r="B39" i="300" s="1"/>
  <c r="B42" i="300" s="1"/>
  <c r="B43" i="300" s="1"/>
  <c r="B44" i="300" s="1"/>
  <c r="B45" i="300" s="1"/>
  <c r="B46" i="300" s="1"/>
  <c r="B47" i="300" s="1"/>
  <c r="B48" i="300" s="1"/>
  <c r="B49" i="300" s="1"/>
  <c r="B50" i="300" s="1"/>
  <c r="B51" i="300" s="1"/>
  <c r="B52" i="300" s="1"/>
  <c r="B53" i="300" s="1"/>
  <c r="B54" i="300" s="1"/>
  <c r="B55" i="300" s="1"/>
  <c r="B56" i="300" s="1"/>
  <c r="B57" i="300" s="1"/>
  <c r="B58" i="300" s="1"/>
  <c r="A13" i="300"/>
  <c r="A14" i="300" s="1"/>
  <c r="A15" i="300" s="1"/>
  <c r="A16" i="300" s="1"/>
  <c r="A17" i="300" s="1"/>
  <c r="A18" i="300" s="1"/>
  <c r="A19" i="300" s="1"/>
  <c r="A20" i="300" s="1"/>
  <c r="A21" i="300" s="1"/>
  <c r="A22" i="300" s="1"/>
  <c r="A23" i="300" s="1"/>
  <c r="A24" i="300" s="1"/>
  <c r="A25" i="300" s="1"/>
  <c r="A26" i="300" s="1"/>
  <c r="A27" i="300" s="1"/>
  <c r="A28" i="300" s="1"/>
  <c r="A29" i="300" s="1"/>
  <c r="A30" i="300" s="1"/>
  <c r="A31" i="300" s="1"/>
  <c r="A32" i="300" s="1"/>
  <c r="A33" i="300" s="1"/>
  <c r="A34" i="300" s="1"/>
  <c r="A35" i="300" s="1"/>
  <c r="A36" i="300" s="1"/>
  <c r="A37" i="300" s="1"/>
  <c r="A38" i="300" s="1"/>
  <c r="A39" i="300" s="1"/>
  <c r="A42" i="300" s="1"/>
  <c r="A43" i="300" s="1"/>
  <c r="A44" i="300" s="1"/>
  <c r="A45" i="300" s="1"/>
  <c r="A46" i="300" s="1"/>
  <c r="A47" i="300" s="1"/>
  <c r="A48" i="300" s="1"/>
  <c r="A49" i="300" s="1"/>
  <c r="A50" i="300" s="1"/>
  <c r="A51" i="300" s="1"/>
  <c r="A52" i="300" s="1"/>
  <c r="A53" i="300" s="1"/>
  <c r="A54" i="300" s="1"/>
  <c r="A55" i="300" s="1"/>
  <c r="A56" i="300" s="1"/>
  <c r="A57" i="300" s="1"/>
  <c r="A58" i="300" s="1"/>
  <c r="A1" i="300"/>
  <c r="A3" i="300" s="1"/>
  <c r="M54" i="299"/>
  <c r="AC40" i="299"/>
  <c r="AC41" i="299" s="1"/>
  <c r="AB40" i="299"/>
  <c r="AB41" i="299" s="1"/>
  <c r="AC36" i="299"/>
  <c r="AB36" i="299"/>
  <c r="AB37" i="299" s="1"/>
  <c r="N35" i="299"/>
  <c r="M35" i="299"/>
  <c r="Q33" i="299"/>
  <c r="P33" i="299"/>
  <c r="O33" i="299"/>
  <c r="N33" i="299"/>
  <c r="M33" i="299"/>
  <c r="AC32" i="299"/>
  <c r="AC33" i="299" s="1"/>
  <c r="AB32" i="299"/>
  <c r="AB33" i="299" s="1"/>
  <c r="P31" i="299"/>
  <c r="O31" i="299"/>
  <c r="N31" i="299"/>
  <c r="AD31" i="299" s="1"/>
  <c r="M31" i="299"/>
  <c r="H26" i="299"/>
  <c r="H20" i="299"/>
  <c r="G20" i="299"/>
  <c r="F20" i="299"/>
  <c r="I20" i="299" s="1"/>
  <c r="B13" i="299"/>
  <c r="B14" i="299" s="1"/>
  <c r="B15" i="299" s="1"/>
  <c r="B16" i="299" s="1"/>
  <c r="B17" i="299" s="1"/>
  <c r="B18" i="299" s="1"/>
  <c r="B19" i="299" s="1"/>
  <c r="B20" i="299" s="1"/>
  <c r="B21" i="299" s="1"/>
  <c r="B22" i="299" s="1"/>
  <c r="B23" i="299" s="1"/>
  <c r="B24" i="299" s="1"/>
  <c r="B25" i="299" s="1"/>
  <c r="B26" i="299" s="1"/>
  <c r="B27" i="299" s="1"/>
  <c r="B28" i="299" s="1"/>
  <c r="B29" i="299" s="1"/>
  <c r="B30" i="299" s="1"/>
  <c r="B31" i="299" s="1"/>
  <c r="B32" i="299" s="1"/>
  <c r="B33" i="299" s="1"/>
  <c r="B34" i="299" s="1"/>
  <c r="B35" i="299" s="1"/>
  <c r="B36" i="299" s="1"/>
  <c r="B37" i="299" s="1"/>
  <c r="B38" i="299" s="1"/>
  <c r="B39" i="299" s="1"/>
  <c r="B42" i="299" s="1"/>
  <c r="B43" i="299" s="1"/>
  <c r="B44" i="299" s="1"/>
  <c r="B45" i="299" s="1"/>
  <c r="B46" i="299" s="1"/>
  <c r="B47" i="299" s="1"/>
  <c r="B48" i="299" s="1"/>
  <c r="B49" i="299" s="1"/>
  <c r="B50" i="299" s="1"/>
  <c r="B51" i="299" s="1"/>
  <c r="B52" i="299" s="1"/>
  <c r="B53" i="299" s="1"/>
  <c r="B54" i="299" s="1"/>
  <c r="B55" i="299" s="1"/>
  <c r="B56" i="299" s="1"/>
  <c r="B57" i="299" s="1"/>
  <c r="B58" i="299" s="1"/>
  <c r="A13" i="299"/>
  <c r="A14" i="299" s="1"/>
  <c r="A15" i="299" s="1"/>
  <c r="A16" i="299" s="1"/>
  <c r="A17" i="299" s="1"/>
  <c r="A18" i="299" s="1"/>
  <c r="A19" i="299" s="1"/>
  <c r="A20" i="299" s="1"/>
  <c r="A21" i="299" s="1"/>
  <c r="A22" i="299" s="1"/>
  <c r="A23" i="299" s="1"/>
  <c r="A24" i="299" s="1"/>
  <c r="A25" i="299" s="1"/>
  <c r="A26" i="299" s="1"/>
  <c r="A27" i="299" s="1"/>
  <c r="A28" i="299" s="1"/>
  <c r="A29" i="299" s="1"/>
  <c r="A30" i="299" s="1"/>
  <c r="A31" i="299" s="1"/>
  <c r="A32" i="299" s="1"/>
  <c r="A33" i="299" s="1"/>
  <c r="A34" i="299" s="1"/>
  <c r="A35" i="299" s="1"/>
  <c r="A36" i="299" s="1"/>
  <c r="A37" i="299" s="1"/>
  <c r="A38" i="299" s="1"/>
  <c r="A39" i="299" s="1"/>
  <c r="A42" i="299" s="1"/>
  <c r="A43" i="299" s="1"/>
  <c r="A44" i="299" s="1"/>
  <c r="A45" i="299" s="1"/>
  <c r="A46" i="299" s="1"/>
  <c r="A47" i="299" s="1"/>
  <c r="A48" i="299" s="1"/>
  <c r="A49" i="299" s="1"/>
  <c r="A50" i="299" s="1"/>
  <c r="A51" i="299" s="1"/>
  <c r="A52" i="299" s="1"/>
  <c r="A53" i="299" s="1"/>
  <c r="A54" i="299" s="1"/>
  <c r="A55" i="299" s="1"/>
  <c r="A56" i="299" s="1"/>
  <c r="A57" i="299" s="1"/>
  <c r="A58" i="299" s="1"/>
  <c r="A1" i="299"/>
  <c r="A3" i="299" s="1"/>
  <c r="M54" i="298"/>
  <c r="AC40" i="298"/>
  <c r="AC41" i="298" s="1"/>
  <c r="AB40" i="298"/>
  <c r="AB41" i="298" s="1"/>
  <c r="AC36" i="298"/>
  <c r="AB36" i="298"/>
  <c r="AB37" i="298" s="1"/>
  <c r="N35" i="298"/>
  <c r="M35" i="298"/>
  <c r="Q33" i="298"/>
  <c r="P33" i="298"/>
  <c r="O33" i="298"/>
  <c r="N33" i="298"/>
  <c r="M33" i="298"/>
  <c r="AC32" i="298"/>
  <c r="AC33" i="298" s="1"/>
  <c r="AB32" i="298"/>
  <c r="AB33" i="298" s="1"/>
  <c r="P31" i="298"/>
  <c r="AE31" i="298" s="1"/>
  <c r="O31" i="298"/>
  <c r="N31" i="298"/>
  <c r="M31" i="298"/>
  <c r="H26" i="298"/>
  <c r="H20" i="298"/>
  <c r="G20" i="298"/>
  <c r="F20" i="298"/>
  <c r="I20" i="298" s="1"/>
  <c r="B13" i="298"/>
  <c r="B14" i="298" s="1"/>
  <c r="B15" i="298" s="1"/>
  <c r="B16" i="298" s="1"/>
  <c r="B17" i="298" s="1"/>
  <c r="B18" i="298" s="1"/>
  <c r="B19" i="298" s="1"/>
  <c r="B20" i="298" s="1"/>
  <c r="B21" i="298" s="1"/>
  <c r="B22" i="298" s="1"/>
  <c r="B23" i="298" s="1"/>
  <c r="B24" i="298" s="1"/>
  <c r="B25" i="298" s="1"/>
  <c r="B26" i="298" s="1"/>
  <c r="B27" i="298" s="1"/>
  <c r="B28" i="298" s="1"/>
  <c r="B29" i="298" s="1"/>
  <c r="B30" i="298" s="1"/>
  <c r="B31" i="298" s="1"/>
  <c r="B32" i="298" s="1"/>
  <c r="B33" i="298" s="1"/>
  <c r="B34" i="298" s="1"/>
  <c r="B35" i="298" s="1"/>
  <c r="B36" i="298" s="1"/>
  <c r="B37" i="298" s="1"/>
  <c r="B38" i="298" s="1"/>
  <c r="B39" i="298" s="1"/>
  <c r="B42" i="298" s="1"/>
  <c r="B43" i="298" s="1"/>
  <c r="B44" i="298" s="1"/>
  <c r="B45" i="298" s="1"/>
  <c r="B46" i="298" s="1"/>
  <c r="B47" i="298" s="1"/>
  <c r="B48" i="298" s="1"/>
  <c r="B49" i="298" s="1"/>
  <c r="B50" i="298" s="1"/>
  <c r="B51" i="298" s="1"/>
  <c r="B52" i="298" s="1"/>
  <c r="B53" i="298" s="1"/>
  <c r="B54" i="298" s="1"/>
  <c r="B55" i="298" s="1"/>
  <c r="B56" i="298" s="1"/>
  <c r="B57" i="298" s="1"/>
  <c r="B58" i="298" s="1"/>
  <c r="A13" i="298"/>
  <c r="A14" i="298" s="1"/>
  <c r="A15" i="298" s="1"/>
  <c r="A16" i="298" s="1"/>
  <c r="A17" i="298" s="1"/>
  <c r="A18" i="298" s="1"/>
  <c r="A19" i="298" s="1"/>
  <c r="A20" i="298" s="1"/>
  <c r="A21" i="298" s="1"/>
  <c r="A22" i="298" s="1"/>
  <c r="A23" i="298" s="1"/>
  <c r="A24" i="298" s="1"/>
  <c r="A25" i="298" s="1"/>
  <c r="A26" i="298" s="1"/>
  <c r="A27" i="298" s="1"/>
  <c r="A28" i="298" s="1"/>
  <c r="A29" i="298" s="1"/>
  <c r="A30" i="298" s="1"/>
  <c r="A31" i="298" s="1"/>
  <c r="A32" i="298" s="1"/>
  <c r="A33" i="298" s="1"/>
  <c r="A34" i="298" s="1"/>
  <c r="A35" i="298" s="1"/>
  <c r="A36" i="298" s="1"/>
  <c r="A37" i="298" s="1"/>
  <c r="A38" i="298" s="1"/>
  <c r="A39" i="298" s="1"/>
  <c r="A42" i="298" s="1"/>
  <c r="A43" i="298" s="1"/>
  <c r="A44" i="298" s="1"/>
  <c r="A45" i="298" s="1"/>
  <c r="A46" i="298" s="1"/>
  <c r="A47" i="298" s="1"/>
  <c r="A48" i="298" s="1"/>
  <c r="A49" i="298" s="1"/>
  <c r="A50" i="298" s="1"/>
  <c r="A51" i="298" s="1"/>
  <c r="A52" i="298" s="1"/>
  <c r="A53" i="298" s="1"/>
  <c r="A54" i="298" s="1"/>
  <c r="A55" i="298" s="1"/>
  <c r="A56" i="298" s="1"/>
  <c r="A57" i="298" s="1"/>
  <c r="A58" i="298" s="1"/>
  <c r="A1" i="298"/>
  <c r="A3" i="298" s="1"/>
  <c r="M54" i="297"/>
  <c r="AC40" i="297"/>
  <c r="AC41" i="297" s="1"/>
  <c r="AB40" i="297"/>
  <c r="AB41" i="297" s="1"/>
  <c r="AC36" i="297"/>
  <c r="AB36" i="297"/>
  <c r="AB37" i="297" s="1"/>
  <c r="N35" i="297"/>
  <c r="M35" i="297"/>
  <c r="Q33" i="297"/>
  <c r="P33" i="297"/>
  <c r="O33" i="297"/>
  <c r="N33" i="297"/>
  <c r="M33" i="297"/>
  <c r="AC32" i="297"/>
  <c r="AC33" i="297" s="1"/>
  <c r="AB32" i="297"/>
  <c r="AB33" i="297" s="1"/>
  <c r="P31" i="297"/>
  <c r="AE31" i="297" s="1"/>
  <c r="O31" i="297"/>
  <c r="N31" i="297"/>
  <c r="M31" i="297"/>
  <c r="H26" i="297"/>
  <c r="H20" i="297"/>
  <c r="G20" i="297"/>
  <c r="F20" i="297"/>
  <c r="I20" i="297" s="1"/>
  <c r="B13" i="297"/>
  <c r="B14" i="297" s="1"/>
  <c r="B15" i="297" s="1"/>
  <c r="B16" i="297" s="1"/>
  <c r="B17" i="297" s="1"/>
  <c r="B18" i="297" s="1"/>
  <c r="B19" i="297" s="1"/>
  <c r="B20" i="297" s="1"/>
  <c r="B21" i="297" s="1"/>
  <c r="B22" i="297" s="1"/>
  <c r="B23" i="297" s="1"/>
  <c r="B24" i="297" s="1"/>
  <c r="B25" i="297" s="1"/>
  <c r="B26" i="297" s="1"/>
  <c r="B27" i="297" s="1"/>
  <c r="B28" i="297" s="1"/>
  <c r="B29" i="297" s="1"/>
  <c r="B30" i="297" s="1"/>
  <c r="B31" i="297" s="1"/>
  <c r="B32" i="297" s="1"/>
  <c r="B33" i="297" s="1"/>
  <c r="B34" i="297" s="1"/>
  <c r="B35" i="297" s="1"/>
  <c r="B36" i="297" s="1"/>
  <c r="B37" i="297" s="1"/>
  <c r="B38" i="297" s="1"/>
  <c r="B39" i="297" s="1"/>
  <c r="B42" i="297" s="1"/>
  <c r="B43" i="297" s="1"/>
  <c r="B44" i="297" s="1"/>
  <c r="B45" i="297" s="1"/>
  <c r="B46" i="297" s="1"/>
  <c r="B47" i="297" s="1"/>
  <c r="B48" i="297" s="1"/>
  <c r="B49" i="297" s="1"/>
  <c r="B50" i="297" s="1"/>
  <c r="B51" i="297" s="1"/>
  <c r="B52" i="297" s="1"/>
  <c r="B53" i="297" s="1"/>
  <c r="B54" i="297" s="1"/>
  <c r="B55" i="297" s="1"/>
  <c r="B56" i="297" s="1"/>
  <c r="B57" i="297" s="1"/>
  <c r="B58" i="297" s="1"/>
  <c r="A13" i="297"/>
  <c r="A14" i="297" s="1"/>
  <c r="A15" i="297" s="1"/>
  <c r="A16" i="297" s="1"/>
  <c r="A17" i="297" s="1"/>
  <c r="A18" i="297" s="1"/>
  <c r="A19" i="297" s="1"/>
  <c r="A20" i="297" s="1"/>
  <c r="A21" i="297" s="1"/>
  <c r="A22" i="297" s="1"/>
  <c r="A23" i="297" s="1"/>
  <c r="A24" i="297" s="1"/>
  <c r="A25" i="297" s="1"/>
  <c r="A26" i="297" s="1"/>
  <c r="A27" i="297" s="1"/>
  <c r="A28" i="297" s="1"/>
  <c r="A29" i="297" s="1"/>
  <c r="A30" i="297" s="1"/>
  <c r="A31" i="297" s="1"/>
  <c r="A32" i="297" s="1"/>
  <c r="A33" i="297" s="1"/>
  <c r="A34" i="297" s="1"/>
  <c r="A35" i="297" s="1"/>
  <c r="A36" i="297" s="1"/>
  <c r="A37" i="297" s="1"/>
  <c r="A38" i="297" s="1"/>
  <c r="A39" i="297" s="1"/>
  <c r="A42" i="297" s="1"/>
  <c r="A43" i="297" s="1"/>
  <c r="A44" i="297" s="1"/>
  <c r="A45" i="297" s="1"/>
  <c r="A46" i="297" s="1"/>
  <c r="A47" i="297" s="1"/>
  <c r="A48" i="297" s="1"/>
  <c r="A49" i="297" s="1"/>
  <c r="A50" i="297" s="1"/>
  <c r="A51" i="297" s="1"/>
  <c r="A52" i="297" s="1"/>
  <c r="A53" i="297" s="1"/>
  <c r="A54" i="297" s="1"/>
  <c r="A55" i="297" s="1"/>
  <c r="A56" i="297" s="1"/>
  <c r="A57" i="297" s="1"/>
  <c r="A58" i="297" s="1"/>
  <c r="A1" i="297"/>
  <c r="A3" i="297" s="1"/>
  <c r="AB37" i="311"/>
  <c r="D20" i="309"/>
  <c r="AC37" i="297"/>
  <c r="AC37" i="298"/>
  <c r="AC37" i="299"/>
  <c r="AB33" i="300"/>
  <c r="AB33" i="301"/>
  <c r="AC37" i="301"/>
  <c r="AC33" i="302"/>
  <c r="AB41" i="302"/>
  <c r="AC33" i="303"/>
  <c r="AB41" i="303"/>
  <c r="I20" i="305"/>
  <c r="D20" i="305"/>
  <c r="AC33" i="306"/>
  <c r="AB37" i="306"/>
  <c r="AC33" i="307"/>
  <c r="AB37" i="307"/>
  <c r="M54" i="296"/>
  <c r="AC40" i="296"/>
  <c r="AC41" i="296" s="1"/>
  <c r="AB40" i="296"/>
  <c r="AB41" i="296" s="1"/>
  <c r="AC36" i="296"/>
  <c r="AC37" i="296" s="1"/>
  <c r="AB36" i="296"/>
  <c r="AB37" i="296" s="1"/>
  <c r="N35" i="296"/>
  <c r="M35" i="296"/>
  <c r="Q33" i="296"/>
  <c r="P33" i="296"/>
  <c r="O33" i="296"/>
  <c r="N33" i="296"/>
  <c r="M33" i="296"/>
  <c r="AC32" i="296"/>
  <c r="AC33" i="296" s="1"/>
  <c r="AB32" i="296"/>
  <c r="AB33" i="296" s="1"/>
  <c r="P31" i="296"/>
  <c r="O31" i="296"/>
  <c r="N31" i="296"/>
  <c r="AD31" i="296" s="1"/>
  <c r="M31" i="296"/>
  <c r="H26" i="296"/>
  <c r="H20" i="296"/>
  <c r="G20" i="296"/>
  <c r="F20" i="296"/>
  <c r="I20" i="296" s="1"/>
  <c r="B13" i="296"/>
  <c r="B14" i="296" s="1"/>
  <c r="B15" i="296" s="1"/>
  <c r="B16" i="296" s="1"/>
  <c r="B17" i="296" s="1"/>
  <c r="B18" i="296" s="1"/>
  <c r="B19" i="296" s="1"/>
  <c r="B20" i="296" s="1"/>
  <c r="B21" i="296" s="1"/>
  <c r="B22" i="296" s="1"/>
  <c r="B23" i="296" s="1"/>
  <c r="B24" i="296" s="1"/>
  <c r="B25" i="296" s="1"/>
  <c r="B26" i="296" s="1"/>
  <c r="B27" i="296" s="1"/>
  <c r="B28" i="296" s="1"/>
  <c r="B29" i="296" s="1"/>
  <c r="B30" i="296" s="1"/>
  <c r="B31" i="296" s="1"/>
  <c r="B32" i="296" s="1"/>
  <c r="B33" i="296" s="1"/>
  <c r="B34" i="296" s="1"/>
  <c r="B35" i="296" s="1"/>
  <c r="B36" i="296" s="1"/>
  <c r="B37" i="296" s="1"/>
  <c r="B38" i="296" s="1"/>
  <c r="B39" i="296" s="1"/>
  <c r="B42" i="296" s="1"/>
  <c r="B43" i="296" s="1"/>
  <c r="B44" i="296" s="1"/>
  <c r="B45" i="296" s="1"/>
  <c r="B46" i="296" s="1"/>
  <c r="B47" i="296" s="1"/>
  <c r="B48" i="296" s="1"/>
  <c r="B49" i="296" s="1"/>
  <c r="B50" i="296" s="1"/>
  <c r="B51" i="296" s="1"/>
  <c r="B52" i="296" s="1"/>
  <c r="B53" i="296" s="1"/>
  <c r="B54" i="296" s="1"/>
  <c r="B55" i="296" s="1"/>
  <c r="B56" i="296" s="1"/>
  <c r="B57" i="296" s="1"/>
  <c r="B58" i="296" s="1"/>
  <c r="A13" i="296"/>
  <c r="A14" i="296" s="1"/>
  <c r="A15" i="296" s="1"/>
  <c r="A16" i="296" s="1"/>
  <c r="A17" i="296" s="1"/>
  <c r="A18" i="296" s="1"/>
  <c r="A19" i="296" s="1"/>
  <c r="A20" i="296" s="1"/>
  <c r="A21" i="296" s="1"/>
  <c r="A22" i="296" s="1"/>
  <c r="A23" i="296" s="1"/>
  <c r="A24" i="296" s="1"/>
  <c r="A25" i="296" s="1"/>
  <c r="A26" i="296" s="1"/>
  <c r="A27" i="296" s="1"/>
  <c r="A28" i="296" s="1"/>
  <c r="A29" i="296" s="1"/>
  <c r="A30" i="296" s="1"/>
  <c r="A31" i="296" s="1"/>
  <c r="A32" i="296" s="1"/>
  <c r="A33" i="296" s="1"/>
  <c r="A34" i="296" s="1"/>
  <c r="A35" i="296" s="1"/>
  <c r="A36" i="296" s="1"/>
  <c r="A37" i="296" s="1"/>
  <c r="A38" i="296" s="1"/>
  <c r="A39" i="296" s="1"/>
  <c r="A42" i="296" s="1"/>
  <c r="A43" i="296" s="1"/>
  <c r="A44" i="296" s="1"/>
  <c r="A45" i="296" s="1"/>
  <c r="A46" i="296" s="1"/>
  <c r="A47" i="296" s="1"/>
  <c r="A48" i="296" s="1"/>
  <c r="A49" i="296" s="1"/>
  <c r="A50" i="296" s="1"/>
  <c r="A51" i="296" s="1"/>
  <c r="A52" i="296" s="1"/>
  <c r="A53" i="296" s="1"/>
  <c r="A54" i="296" s="1"/>
  <c r="A55" i="296" s="1"/>
  <c r="A56" i="296" s="1"/>
  <c r="A57" i="296" s="1"/>
  <c r="A58" i="296" s="1"/>
  <c r="A1" i="296"/>
  <c r="A3" i="296" s="1"/>
  <c r="M54" i="295"/>
  <c r="AC40" i="295"/>
  <c r="AC41" i="295" s="1"/>
  <c r="AB40" i="295"/>
  <c r="AB41" i="295" s="1"/>
  <c r="AC36" i="295"/>
  <c r="AC37" i="295" s="1"/>
  <c r="AB36" i="295"/>
  <c r="AB37" i="295" s="1"/>
  <c r="N35" i="295"/>
  <c r="M35" i="295"/>
  <c r="Q33" i="295"/>
  <c r="P33" i="295"/>
  <c r="O33" i="295"/>
  <c r="N33" i="295"/>
  <c r="M33" i="295"/>
  <c r="AC32" i="295"/>
  <c r="AC33" i="295" s="1"/>
  <c r="AB32" i="295"/>
  <c r="AB33" i="295" s="1"/>
  <c r="P31" i="295"/>
  <c r="AE31" i="295" s="1"/>
  <c r="O31" i="295"/>
  <c r="N31" i="295"/>
  <c r="M31" i="295"/>
  <c r="H26" i="295"/>
  <c r="H20" i="295"/>
  <c r="G20" i="295"/>
  <c r="F20" i="295"/>
  <c r="I20" i="295" s="1"/>
  <c r="B13" i="295"/>
  <c r="B14" i="295" s="1"/>
  <c r="B15" i="295" s="1"/>
  <c r="B16" i="295" s="1"/>
  <c r="B17" i="295" s="1"/>
  <c r="B18" i="295" s="1"/>
  <c r="B19" i="295" s="1"/>
  <c r="B20" i="295" s="1"/>
  <c r="B21" i="295" s="1"/>
  <c r="B22" i="295" s="1"/>
  <c r="B23" i="295" s="1"/>
  <c r="B24" i="295" s="1"/>
  <c r="B25" i="295" s="1"/>
  <c r="B26" i="295" s="1"/>
  <c r="B27" i="295" s="1"/>
  <c r="B28" i="295" s="1"/>
  <c r="B29" i="295" s="1"/>
  <c r="B30" i="295" s="1"/>
  <c r="B31" i="295" s="1"/>
  <c r="B32" i="295" s="1"/>
  <c r="B33" i="295" s="1"/>
  <c r="B34" i="295" s="1"/>
  <c r="B35" i="295" s="1"/>
  <c r="B36" i="295" s="1"/>
  <c r="B37" i="295" s="1"/>
  <c r="B38" i="295" s="1"/>
  <c r="B39" i="295" s="1"/>
  <c r="B42" i="295" s="1"/>
  <c r="B43" i="295" s="1"/>
  <c r="B44" i="295" s="1"/>
  <c r="B45" i="295" s="1"/>
  <c r="B46" i="295" s="1"/>
  <c r="B47" i="295" s="1"/>
  <c r="B48" i="295" s="1"/>
  <c r="B49" i="295" s="1"/>
  <c r="B50" i="295" s="1"/>
  <c r="B51" i="295" s="1"/>
  <c r="B52" i="295" s="1"/>
  <c r="B53" i="295" s="1"/>
  <c r="B54" i="295" s="1"/>
  <c r="B55" i="295" s="1"/>
  <c r="B56" i="295" s="1"/>
  <c r="B57" i="295" s="1"/>
  <c r="B58" i="295" s="1"/>
  <c r="A13" i="295"/>
  <c r="A14" i="295" s="1"/>
  <c r="A15" i="295" s="1"/>
  <c r="A16" i="295" s="1"/>
  <c r="A17" i="295" s="1"/>
  <c r="A18" i="295" s="1"/>
  <c r="A19" i="295" s="1"/>
  <c r="A20" i="295" s="1"/>
  <c r="A21" i="295" s="1"/>
  <c r="A22" i="295" s="1"/>
  <c r="A23" i="295" s="1"/>
  <c r="A24" i="295" s="1"/>
  <c r="A25" i="295" s="1"/>
  <c r="A26" i="295" s="1"/>
  <c r="A27" i="295" s="1"/>
  <c r="A28" i="295" s="1"/>
  <c r="A29" i="295" s="1"/>
  <c r="A30" i="295" s="1"/>
  <c r="A31" i="295" s="1"/>
  <c r="A32" i="295" s="1"/>
  <c r="A33" i="295" s="1"/>
  <c r="A34" i="295" s="1"/>
  <c r="A35" i="295" s="1"/>
  <c r="A36" i="295" s="1"/>
  <c r="A37" i="295" s="1"/>
  <c r="A38" i="295" s="1"/>
  <c r="A39" i="295" s="1"/>
  <c r="A42" i="295" s="1"/>
  <c r="A43" i="295" s="1"/>
  <c r="A44" i="295" s="1"/>
  <c r="A45" i="295" s="1"/>
  <c r="A46" i="295" s="1"/>
  <c r="A47" i="295" s="1"/>
  <c r="A48" i="295" s="1"/>
  <c r="A49" i="295" s="1"/>
  <c r="A50" i="295" s="1"/>
  <c r="A51" i="295" s="1"/>
  <c r="A52" i="295" s="1"/>
  <c r="A53" i="295" s="1"/>
  <c r="A54" i="295" s="1"/>
  <c r="A55" i="295" s="1"/>
  <c r="A56" i="295" s="1"/>
  <c r="A57" i="295" s="1"/>
  <c r="A58" i="295" s="1"/>
  <c r="A1" i="295"/>
  <c r="A3" i="295" s="1"/>
  <c r="M54" i="294"/>
  <c r="AC40" i="294"/>
  <c r="AC41" i="294" s="1"/>
  <c r="AB40" i="294"/>
  <c r="AB41" i="294" s="1"/>
  <c r="AC36" i="294"/>
  <c r="AB36" i="294"/>
  <c r="AB37" i="294" s="1"/>
  <c r="N35" i="294"/>
  <c r="M35" i="294"/>
  <c r="Q33" i="294"/>
  <c r="P33" i="294"/>
  <c r="O33" i="294"/>
  <c r="N33" i="294"/>
  <c r="M33" i="294"/>
  <c r="AC32" i="294"/>
  <c r="AC33" i="294" s="1"/>
  <c r="AB32" i="294"/>
  <c r="AB33" i="294" s="1"/>
  <c r="P31" i="294"/>
  <c r="AE31" i="294" s="1"/>
  <c r="O31" i="294"/>
  <c r="N31" i="294"/>
  <c r="M31" i="294"/>
  <c r="H26" i="294"/>
  <c r="H20" i="294"/>
  <c r="G20" i="294"/>
  <c r="F20" i="294"/>
  <c r="B13" i="294"/>
  <c r="B14" i="294" s="1"/>
  <c r="B15" i="294" s="1"/>
  <c r="B16" i="294" s="1"/>
  <c r="B17" i="294" s="1"/>
  <c r="B18" i="294" s="1"/>
  <c r="B19" i="294" s="1"/>
  <c r="B20" i="294" s="1"/>
  <c r="B21" i="294" s="1"/>
  <c r="B22" i="294" s="1"/>
  <c r="B23" i="294" s="1"/>
  <c r="B24" i="294" s="1"/>
  <c r="B25" i="294" s="1"/>
  <c r="B26" i="294" s="1"/>
  <c r="B27" i="294" s="1"/>
  <c r="B28" i="294" s="1"/>
  <c r="B29" i="294" s="1"/>
  <c r="B30" i="294" s="1"/>
  <c r="B31" i="294" s="1"/>
  <c r="B32" i="294" s="1"/>
  <c r="B33" i="294" s="1"/>
  <c r="B34" i="294" s="1"/>
  <c r="B35" i="294" s="1"/>
  <c r="B36" i="294" s="1"/>
  <c r="B37" i="294" s="1"/>
  <c r="B38" i="294" s="1"/>
  <c r="B39" i="294" s="1"/>
  <c r="B42" i="294" s="1"/>
  <c r="B43" i="294" s="1"/>
  <c r="B44" i="294" s="1"/>
  <c r="B45" i="294" s="1"/>
  <c r="B46" i="294" s="1"/>
  <c r="B47" i="294" s="1"/>
  <c r="B48" i="294" s="1"/>
  <c r="B49" i="294" s="1"/>
  <c r="B50" i="294" s="1"/>
  <c r="B51" i="294" s="1"/>
  <c r="B52" i="294" s="1"/>
  <c r="B53" i="294" s="1"/>
  <c r="B54" i="294" s="1"/>
  <c r="B55" i="294" s="1"/>
  <c r="B56" i="294" s="1"/>
  <c r="B57" i="294" s="1"/>
  <c r="B58" i="294" s="1"/>
  <c r="A13" i="294"/>
  <c r="A14" i="294" s="1"/>
  <c r="A15" i="294" s="1"/>
  <c r="A16" i="294" s="1"/>
  <c r="A17" i="294" s="1"/>
  <c r="A18" i="294" s="1"/>
  <c r="A19" i="294" s="1"/>
  <c r="A20" i="294" s="1"/>
  <c r="A21" i="294" s="1"/>
  <c r="A22" i="294" s="1"/>
  <c r="A23" i="294" s="1"/>
  <c r="A24" i="294" s="1"/>
  <c r="A25" i="294" s="1"/>
  <c r="A26" i="294" s="1"/>
  <c r="A27" i="294" s="1"/>
  <c r="A28" i="294" s="1"/>
  <c r="A29" i="294" s="1"/>
  <c r="A30" i="294" s="1"/>
  <c r="A31" i="294" s="1"/>
  <c r="A32" i="294" s="1"/>
  <c r="A33" i="294" s="1"/>
  <c r="A34" i="294" s="1"/>
  <c r="A35" i="294" s="1"/>
  <c r="A36" i="294" s="1"/>
  <c r="A37" i="294" s="1"/>
  <c r="A38" i="294" s="1"/>
  <c r="A39" i="294" s="1"/>
  <c r="A42" i="294" s="1"/>
  <c r="A43" i="294" s="1"/>
  <c r="A44" i="294" s="1"/>
  <c r="A45" i="294" s="1"/>
  <c r="A46" i="294" s="1"/>
  <c r="A47" i="294" s="1"/>
  <c r="A48" i="294" s="1"/>
  <c r="A49" i="294" s="1"/>
  <c r="A50" i="294" s="1"/>
  <c r="A51" i="294" s="1"/>
  <c r="A52" i="294" s="1"/>
  <c r="A53" i="294" s="1"/>
  <c r="A54" i="294" s="1"/>
  <c r="A55" i="294" s="1"/>
  <c r="A56" i="294" s="1"/>
  <c r="A57" i="294" s="1"/>
  <c r="A58" i="294" s="1"/>
  <c r="A1" i="294"/>
  <c r="A3" i="294" s="1"/>
  <c r="M54" i="293"/>
  <c r="AC40" i="293"/>
  <c r="AC41" i="293" s="1"/>
  <c r="AB40" i="293"/>
  <c r="AB41" i="293" s="1"/>
  <c r="AC36" i="293"/>
  <c r="AB36" i="293"/>
  <c r="AB37" i="293" s="1"/>
  <c r="N35" i="293"/>
  <c r="M35" i="293"/>
  <c r="Q33" i="293"/>
  <c r="P33" i="293"/>
  <c r="O33" i="293"/>
  <c r="N33" i="293"/>
  <c r="M33" i="293"/>
  <c r="AC32" i="293"/>
  <c r="AC33" i="293" s="1"/>
  <c r="AB32" i="293"/>
  <c r="AB33" i="293" s="1"/>
  <c r="P31" i="293"/>
  <c r="O31" i="293"/>
  <c r="N31" i="293"/>
  <c r="AD31" i="293" s="1"/>
  <c r="M31" i="293"/>
  <c r="H26" i="293"/>
  <c r="H20" i="293"/>
  <c r="G20" i="293"/>
  <c r="F20" i="293"/>
  <c r="I20" i="293" s="1"/>
  <c r="B13" i="293"/>
  <c r="B14" i="293" s="1"/>
  <c r="B15" i="293" s="1"/>
  <c r="B16" i="293" s="1"/>
  <c r="B17" i="293" s="1"/>
  <c r="B18" i="293" s="1"/>
  <c r="B19" i="293" s="1"/>
  <c r="B20" i="293" s="1"/>
  <c r="B21" i="293" s="1"/>
  <c r="B22" i="293" s="1"/>
  <c r="B23" i="293" s="1"/>
  <c r="B24" i="293" s="1"/>
  <c r="B25" i="293" s="1"/>
  <c r="B26" i="293" s="1"/>
  <c r="B27" i="293" s="1"/>
  <c r="B28" i="293" s="1"/>
  <c r="B29" i="293" s="1"/>
  <c r="B30" i="293" s="1"/>
  <c r="B31" i="293" s="1"/>
  <c r="B32" i="293" s="1"/>
  <c r="B33" i="293" s="1"/>
  <c r="B34" i="293" s="1"/>
  <c r="B35" i="293" s="1"/>
  <c r="B36" i="293" s="1"/>
  <c r="B37" i="293" s="1"/>
  <c r="B38" i="293" s="1"/>
  <c r="B39" i="293" s="1"/>
  <c r="B42" i="293" s="1"/>
  <c r="B43" i="293" s="1"/>
  <c r="B44" i="293" s="1"/>
  <c r="B45" i="293" s="1"/>
  <c r="B46" i="293" s="1"/>
  <c r="B47" i="293" s="1"/>
  <c r="B48" i="293" s="1"/>
  <c r="B49" i="293" s="1"/>
  <c r="B50" i="293" s="1"/>
  <c r="B51" i="293" s="1"/>
  <c r="B52" i="293" s="1"/>
  <c r="B53" i="293" s="1"/>
  <c r="B54" i="293" s="1"/>
  <c r="B55" i="293" s="1"/>
  <c r="B56" i="293" s="1"/>
  <c r="B57" i="293" s="1"/>
  <c r="B58" i="293" s="1"/>
  <c r="A13" i="293"/>
  <c r="A14" i="293" s="1"/>
  <c r="A15" i="293" s="1"/>
  <c r="A16" i="293" s="1"/>
  <c r="A17" i="293" s="1"/>
  <c r="A18" i="293" s="1"/>
  <c r="A19" i="293" s="1"/>
  <c r="A20" i="293" s="1"/>
  <c r="A21" i="293" s="1"/>
  <c r="A22" i="293" s="1"/>
  <c r="A23" i="293" s="1"/>
  <c r="A24" i="293" s="1"/>
  <c r="A25" i="293" s="1"/>
  <c r="A26" i="293" s="1"/>
  <c r="A27" i="293" s="1"/>
  <c r="A28" i="293" s="1"/>
  <c r="A29" i="293" s="1"/>
  <c r="A30" i="293" s="1"/>
  <c r="A31" i="293" s="1"/>
  <c r="A32" i="293" s="1"/>
  <c r="A33" i="293" s="1"/>
  <c r="A34" i="293" s="1"/>
  <c r="A35" i="293" s="1"/>
  <c r="A36" i="293" s="1"/>
  <c r="A37" i="293" s="1"/>
  <c r="A38" i="293" s="1"/>
  <c r="A39" i="293" s="1"/>
  <c r="A42" i="293" s="1"/>
  <c r="A43" i="293" s="1"/>
  <c r="A44" i="293" s="1"/>
  <c r="A45" i="293" s="1"/>
  <c r="A46" i="293" s="1"/>
  <c r="A47" i="293" s="1"/>
  <c r="A48" i="293" s="1"/>
  <c r="A49" i="293" s="1"/>
  <c r="A50" i="293" s="1"/>
  <c r="A51" i="293" s="1"/>
  <c r="A52" i="293" s="1"/>
  <c r="A53" i="293" s="1"/>
  <c r="A54" i="293" s="1"/>
  <c r="A55" i="293" s="1"/>
  <c r="A56" i="293" s="1"/>
  <c r="A57" i="293" s="1"/>
  <c r="A58" i="293" s="1"/>
  <c r="A1" i="293"/>
  <c r="A3" i="293" s="1"/>
  <c r="M54" i="292"/>
  <c r="AC40" i="292"/>
  <c r="AC41" i="292" s="1"/>
  <c r="AB40" i="292"/>
  <c r="AB41" i="292" s="1"/>
  <c r="AC36" i="292"/>
  <c r="AC37" i="292" s="1"/>
  <c r="AB36" i="292"/>
  <c r="AB37" i="292" s="1"/>
  <c r="N35" i="292"/>
  <c r="M35" i="292"/>
  <c r="Q33" i="292"/>
  <c r="P33" i="292"/>
  <c r="O33" i="292"/>
  <c r="N33" i="292"/>
  <c r="M33" i="292"/>
  <c r="AC32" i="292"/>
  <c r="AC33" i="292" s="1"/>
  <c r="AB32" i="292"/>
  <c r="AB33" i="292" s="1"/>
  <c r="P31" i="292"/>
  <c r="O31" i="292"/>
  <c r="N31" i="292"/>
  <c r="AD31" i="292" s="1"/>
  <c r="M31" i="292"/>
  <c r="H26" i="292"/>
  <c r="H20" i="292"/>
  <c r="G20" i="292"/>
  <c r="F20" i="292"/>
  <c r="B13" i="292"/>
  <c r="B14" i="292" s="1"/>
  <c r="B15" i="292" s="1"/>
  <c r="B16" i="292" s="1"/>
  <c r="B17" i="292" s="1"/>
  <c r="B18" i="292" s="1"/>
  <c r="B19" i="292" s="1"/>
  <c r="B20" i="292" s="1"/>
  <c r="B21" i="292" s="1"/>
  <c r="B22" i="292" s="1"/>
  <c r="B23" i="292" s="1"/>
  <c r="B24" i="292" s="1"/>
  <c r="B25" i="292" s="1"/>
  <c r="B26" i="292" s="1"/>
  <c r="B27" i="292" s="1"/>
  <c r="B28" i="292" s="1"/>
  <c r="B29" i="292" s="1"/>
  <c r="B30" i="292" s="1"/>
  <c r="B31" i="292" s="1"/>
  <c r="B32" i="292" s="1"/>
  <c r="B33" i="292" s="1"/>
  <c r="B34" i="292" s="1"/>
  <c r="B35" i="292" s="1"/>
  <c r="B36" i="292" s="1"/>
  <c r="B37" i="292" s="1"/>
  <c r="B38" i="292" s="1"/>
  <c r="B39" i="292" s="1"/>
  <c r="B42" i="292" s="1"/>
  <c r="B43" i="292" s="1"/>
  <c r="B44" i="292" s="1"/>
  <c r="B45" i="292" s="1"/>
  <c r="B46" i="292" s="1"/>
  <c r="B47" i="292" s="1"/>
  <c r="B48" i="292" s="1"/>
  <c r="B49" i="292" s="1"/>
  <c r="B50" i="292" s="1"/>
  <c r="B51" i="292" s="1"/>
  <c r="B52" i="292" s="1"/>
  <c r="B53" i="292" s="1"/>
  <c r="B54" i="292" s="1"/>
  <c r="B55" i="292" s="1"/>
  <c r="B56" i="292" s="1"/>
  <c r="B57" i="292" s="1"/>
  <c r="B58" i="292" s="1"/>
  <c r="A13" i="292"/>
  <c r="A14" i="292" s="1"/>
  <c r="A15" i="292" s="1"/>
  <c r="A16" i="292" s="1"/>
  <c r="A17" i="292" s="1"/>
  <c r="A18" i="292" s="1"/>
  <c r="A19" i="292" s="1"/>
  <c r="A20" i="292" s="1"/>
  <c r="A21" i="292" s="1"/>
  <c r="A22" i="292" s="1"/>
  <c r="A23" i="292" s="1"/>
  <c r="A24" i="292" s="1"/>
  <c r="A25" i="292" s="1"/>
  <c r="A26" i="292" s="1"/>
  <c r="A27" i="292" s="1"/>
  <c r="A28" i="292" s="1"/>
  <c r="A29" i="292" s="1"/>
  <c r="A30" i="292" s="1"/>
  <c r="A31" i="292" s="1"/>
  <c r="A32" i="292" s="1"/>
  <c r="A33" i="292" s="1"/>
  <c r="A34" i="292" s="1"/>
  <c r="A35" i="292" s="1"/>
  <c r="A36" i="292" s="1"/>
  <c r="A37" i="292" s="1"/>
  <c r="A38" i="292" s="1"/>
  <c r="A39" i="292" s="1"/>
  <c r="A42" i="292" s="1"/>
  <c r="A43" i="292" s="1"/>
  <c r="A44" i="292" s="1"/>
  <c r="A45" i="292" s="1"/>
  <c r="A46" i="292" s="1"/>
  <c r="A47" i="292" s="1"/>
  <c r="A48" i="292" s="1"/>
  <c r="A49" i="292" s="1"/>
  <c r="A50" i="292" s="1"/>
  <c r="A51" i="292" s="1"/>
  <c r="A52" i="292" s="1"/>
  <c r="A53" i="292" s="1"/>
  <c r="A54" i="292" s="1"/>
  <c r="A55" i="292" s="1"/>
  <c r="A56" i="292" s="1"/>
  <c r="A57" i="292" s="1"/>
  <c r="A58" i="292" s="1"/>
  <c r="A1" i="292"/>
  <c r="A3" i="292" s="1"/>
  <c r="M54" i="291"/>
  <c r="AC40" i="291"/>
  <c r="AC41" i="291" s="1"/>
  <c r="AB40" i="291"/>
  <c r="AB41" i="291" s="1"/>
  <c r="AC36" i="291"/>
  <c r="AC37" i="291" s="1"/>
  <c r="AB36" i="291"/>
  <c r="AB37" i="291" s="1"/>
  <c r="N35" i="291"/>
  <c r="M35" i="291"/>
  <c r="Q33" i="291"/>
  <c r="P33" i="291"/>
  <c r="O33" i="291"/>
  <c r="N33" i="291"/>
  <c r="M33" i="291"/>
  <c r="AC32" i="291"/>
  <c r="AC33" i="291" s="1"/>
  <c r="AB32" i="291"/>
  <c r="AB33" i="291" s="1"/>
  <c r="P31" i="291"/>
  <c r="AE31" i="291" s="1"/>
  <c r="O31" i="291"/>
  <c r="N31" i="291"/>
  <c r="M31" i="291"/>
  <c r="H26" i="291"/>
  <c r="H20" i="291"/>
  <c r="G20" i="291"/>
  <c r="F20" i="291"/>
  <c r="I20" i="291" s="1"/>
  <c r="B13" i="291"/>
  <c r="B14" i="291" s="1"/>
  <c r="B15" i="291" s="1"/>
  <c r="B16" i="291" s="1"/>
  <c r="B17" i="291" s="1"/>
  <c r="B18" i="291" s="1"/>
  <c r="B19" i="291" s="1"/>
  <c r="B20" i="291" s="1"/>
  <c r="B21" i="291" s="1"/>
  <c r="B22" i="291" s="1"/>
  <c r="B23" i="291" s="1"/>
  <c r="B24" i="291" s="1"/>
  <c r="B25" i="291" s="1"/>
  <c r="B26" i="291" s="1"/>
  <c r="B27" i="291" s="1"/>
  <c r="B28" i="291" s="1"/>
  <c r="B29" i="291" s="1"/>
  <c r="B30" i="291" s="1"/>
  <c r="B31" i="291" s="1"/>
  <c r="B32" i="291" s="1"/>
  <c r="B33" i="291" s="1"/>
  <c r="B34" i="291" s="1"/>
  <c r="B35" i="291" s="1"/>
  <c r="B36" i="291" s="1"/>
  <c r="B37" i="291" s="1"/>
  <c r="B38" i="291" s="1"/>
  <c r="B39" i="291" s="1"/>
  <c r="B42" i="291" s="1"/>
  <c r="B43" i="291" s="1"/>
  <c r="B44" i="291" s="1"/>
  <c r="B45" i="291" s="1"/>
  <c r="B46" i="291" s="1"/>
  <c r="B47" i="291" s="1"/>
  <c r="B48" i="291" s="1"/>
  <c r="B49" i="291" s="1"/>
  <c r="B50" i="291" s="1"/>
  <c r="B51" i="291" s="1"/>
  <c r="B52" i="291" s="1"/>
  <c r="B53" i="291" s="1"/>
  <c r="B54" i="291" s="1"/>
  <c r="B55" i="291" s="1"/>
  <c r="B56" i="291" s="1"/>
  <c r="B57" i="291" s="1"/>
  <c r="B58" i="291" s="1"/>
  <c r="A13" i="291"/>
  <c r="A14" i="291" s="1"/>
  <c r="A15" i="291" s="1"/>
  <c r="A16" i="291" s="1"/>
  <c r="A17" i="291" s="1"/>
  <c r="A18" i="291" s="1"/>
  <c r="A19" i="291" s="1"/>
  <c r="A20" i="291" s="1"/>
  <c r="A21" i="291" s="1"/>
  <c r="A22" i="291" s="1"/>
  <c r="A23" i="291" s="1"/>
  <c r="A24" i="291" s="1"/>
  <c r="A25" i="291" s="1"/>
  <c r="A26" i="291" s="1"/>
  <c r="A27" i="291" s="1"/>
  <c r="A28" i="291" s="1"/>
  <c r="A29" i="291" s="1"/>
  <c r="A30" i="291" s="1"/>
  <c r="A31" i="291" s="1"/>
  <c r="A32" i="291" s="1"/>
  <c r="A33" i="291" s="1"/>
  <c r="A34" i="291" s="1"/>
  <c r="A35" i="291" s="1"/>
  <c r="A36" i="291" s="1"/>
  <c r="A37" i="291" s="1"/>
  <c r="A38" i="291" s="1"/>
  <c r="A39" i="291" s="1"/>
  <c r="A42" i="291" s="1"/>
  <c r="A43" i="291" s="1"/>
  <c r="A44" i="291" s="1"/>
  <c r="A45" i="291" s="1"/>
  <c r="A46" i="291" s="1"/>
  <c r="A47" i="291" s="1"/>
  <c r="A48" i="291" s="1"/>
  <c r="A49" i="291" s="1"/>
  <c r="A50" i="291" s="1"/>
  <c r="A51" i="291" s="1"/>
  <c r="A52" i="291" s="1"/>
  <c r="A53" i="291" s="1"/>
  <c r="A54" i="291" s="1"/>
  <c r="A55" i="291" s="1"/>
  <c r="A56" i="291" s="1"/>
  <c r="A57" i="291" s="1"/>
  <c r="A58" i="291" s="1"/>
  <c r="A1" i="291"/>
  <c r="A3" i="291" s="1"/>
  <c r="M54" i="290"/>
  <c r="AC40" i="290"/>
  <c r="AC41" i="290" s="1"/>
  <c r="AE41" i="290" s="1"/>
  <c r="AB40" i="290"/>
  <c r="AB41" i="290" s="1"/>
  <c r="AC36" i="290"/>
  <c r="AC37" i="290" s="1"/>
  <c r="AB36" i="290"/>
  <c r="AB37" i="290" s="1"/>
  <c r="N35" i="290"/>
  <c r="M35" i="290"/>
  <c r="Q33" i="290"/>
  <c r="P33" i="290"/>
  <c r="O33" i="290"/>
  <c r="N33" i="290"/>
  <c r="M33" i="290"/>
  <c r="AC32" i="290"/>
  <c r="AC33" i="290" s="1"/>
  <c r="AB32" i="290"/>
  <c r="AB33" i="290" s="1"/>
  <c r="P31" i="290"/>
  <c r="O31" i="290"/>
  <c r="N31" i="290"/>
  <c r="AD31" i="290" s="1"/>
  <c r="M31" i="290"/>
  <c r="H26" i="290"/>
  <c r="H20" i="290"/>
  <c r="G20" i="290"/>
  <c r="F20" i="290"/>
  <c r="I20" i="290" s="1"/>
  <c r="B13" i="290"/>
  <c r="B14" i="290" s="1"/>
  <c r="B15" i="290" s="1"/>
  <c r="B16" i="290" s="1"/>
  <c r="B17" i="290" s="1"/>
  <c r="B18" i="290" s="1"/>
  <c r="B19" i="290" s="1"/>
  <c r="B20" i="290" s="1"/>
  <c r="B21" i="290" s="1"/>
  <c r="B22" i="290" s="1"/>
  <c r="B23" i="290" s="1"/>
  <c r="B24" i="290" s="1"/>
  <c r="B25" i="290" s="1"/>
  <c r="B26" i="290" s="1"/>
  <c r="B27" i="290" s="1"/>
  <c r="B28" i="290" s="1"/>
  <c r="B29" i="290" s="1"/>
  <c r="B30" i="290" s="1"/>
  <c r="B31" i="290" s="1"/>
  <c r="B32" i="290" s="1"/>
  <c r="B33" i="290" s="1"/>
  <c r="B34" i="290" s="1"/>
  <c r="B35" i="290" s="1"/>
  <c r="B36" i="290" s="1"/>
  <c r="B37" i="290" s="1"/>
  <c r="B38" i="290" s="1"/>
  <c r="B39" i="290" s="1"/>
  <c r="B42" i="290" s="1"/>
  <c r="B43" i="290" s="1"/>
  <c r="B44" i="290" s="1"/>
  <c r="B45" i="290" s="1"/>
  <c r="B46" i="290" s="1"/>
  <c r="B47" i="290" s="1"/>
  <c r="B48" i="290" s="1"/>
  <c r="B49" i="290" s="1"/>
  <c r="B50" i="290" s="1"/>
  <c r="B51" i="290" s="1"/>
  <c r="B52" i="290" s="1"/>
  <c r="B53" i="290" s="1"/>
  <c r="B54" i="290" s="1"/>
  <c r="B55" i="290" s="1"/>
  <c r="B56" i="290" s="1"/>
  <c r="B57" i="290" s="1"/>
  <c r="B58" i="290" s="1"/>
  <c r="A13" i="290"/>
  <c r="A14" i="290" s="1"/>
  <c r="A15" i="290" s="1"/>
  <c r="A16" i="290" s="1"/>
  <c r="A17" i="290" s="1"/>
  <c r="A18" i="290" s="1"/>
  <c r="A19" i="290" s="1"/>
  <c r="A20" i="290" s="1"/>
  <c r="A21" i="290" s="1"/>
  <c r="A22" i="290" s="1"/>
  <c r="A23" i="290" s="1"/>
  <c r="A24" i="290" s="1"/>
  <c r="A25" i="290" s="1"/>
  <c r="A26" i="290" s="1"/>
  <c r="A27" i="290" s="1"/>
  <c r="A28" i="290" s="1"/>
  <c r="A29" i="290" s="1"/>
  <c r="A30" i="290" s="1"/>
  <c r="A31" i="290" s="1"/>
  <c r="A32" i="290" s="1"/>
  <c r="A33" i="290" s="1"/>
  <c r="A34" i="290" s="1"/>
  <c r="A35" i="290" s="1"/>
  <c r="A36" i="290" s="1"/>
  <c r="A37" i="290" s="1"/>
  <c r="A38" i="290" s="1"/>
  <c r="A39" i="290" s="1"/>
  <c r="A42" i="290" s="1"/>
  <c r="A43" i="290" s="1"/>
  <c r="A44" i="290" s="1"/>
  <c r="A45" i="290" s="1"/>
  <c r="A46" i="290" s="1"/>
  <c r="A47" i="290" s="1"/>
  <c r="A48" i="290" s="1"/>
  <c r="A49" i="290" s="1"/>
  <c r="A50" i="290" s="1"/>
  <c r="A51" i="290" s="1"/>
  <c r="A52" i="290" s="1"/>
  <c r="A53" i="290" s="1"/>
  <c r="A54" i="290" s="1"/>
  <c r="A55" i="290" s="1"/>
  <c r="A56" i="290" s="1"/>
  <c r="A57" i="290" s="1"/>
  <c r="A58" i="290" s="1"/>
  <c r="A1" i="290"/>
  <c r="A3" i="290" s="1"/>
  <c r="M54" i="289"/>
  <c r="AC40" i="289"/>
  <c r="AC41" i="289" s="1"/>
  <c r="AB40" i="289"/>
  <c r="AB41" i="289" s="1"/>
  <c r="AC36" i="289"/>
  <c r="AB36" i="289"/>
  <c r="AB37" i="289" s="1"/>
  <c r="N35" i="289"/>
  <c r="M35" i="289"/>
  <c r="Q33" i="289"/>
  <c r="P33" i="289"/>
  <c r="O33" i="289"/>
  <c r="N33" i="289"/>
  <c r="M33" i="289"/>
  <c r="AC32" i="289"/>
  <c r="AC33" i="289" s="1"/>
  <c r="AB32" i="289"/>
  <c r="AB33" i="289" s="1"/>
  <c r="P31" i="289"/>
  <c r="O31" i="289"/>
  <c r="N31" i="289"/>
  <c r="AD31" i="289" s="1"/>
  <c r="M31" i="289"/>
  <c r="H26" i="289"/>
  <c r="H20" i="289"/>
  <c r="G20" i="289"/>
  <c r="F20" i="289"/>
  <c r="I20" i="289" s="1"/>
  <c r="B13" i="289"/>
  <c r="B14" i="289" s="1"/>
  <c r="B15" i="289" s="1"/>
  <c r="B16" i="289" s="1"/>
  <c r="B17" i="289" s="1"/>
  <c r="B18" i="289" s="1"/>
  <c r="B19" i="289" s="1"/>
  <c r="B20" i="289" s="1"/>
  <c r="B21" i="289" s="1"/>
  <c r="B22" i="289" s="1"/>
  <c r="B23" i="289" s="1"/>
  <c r="B24" i="289" s="1"/>
  <c r="B25" i="289" s="1"/>
  <c r="B26" i="289" s="1"/>
  <c r="B27" i="289" s="1"/>
  <c r="B28" i="289" s="1"/>
  <c r="B29" i="289" s="1"/>
  <c r="B30" i="289" s="1"/>
  <c r="B31" i="289" s="1"/>
  <c r="B32" i="289" s="1"/>
  <c r="B33" i="289" s="1"/>
  <c r="B34" i="289" s="1"/>
  <c r="B35" i="289" s="1"/>
  <c r="B36" i="289" s="1"/>
  <c r="B37" i="289" s="1"/>
  <c r="B38" i="289" s="1"/>
  <c r="B39" i="289" s="1"/>
  <c r="B42" i="289" s="1"/>
  <c r="B43" i="289" s="1"/>
  <c r="B44" i="289" s="1"/>
  <c r="B45" i="289" s="1"/>
  <c r="B46" i="289" s="1"/>
  <c r="B47" i="289" s="1"/>
  <c r="B48" i="289" s="1"/>
  <c r="B49" i="289" s="1"/>
  <c r="B50" i="289" s="1"/>
  <c r="B51" i="289" s="1"/>
  <c r="B52" i="289" s="1"/>
  <c r="B53" i="289" s="1"/>
  <c r="B54" i="289" s="1"/>
  <c r="B55" i="289" s="1"/>
  <c r="B56" i="289" s="1"/>
  <c r="B57" i="289" s="1"/>
  <c r="B58" i="289" s="1"/>
  <c r="A13" i="289"/>
  <c r="A14" i="289" s="1"/>
  <c r="A15" i="289" s="1"/>
  <c r="A16" i="289" s="1"/>
  <c r="A17" i="289" s="1"/>
  <c r="A18" i="289" s="1"/>
  <c r="A19" i="289" s="1"/>
  <c r="A20" i="289" s="1"/>
  <c r="A21" i="289" s="1"/>
  <c r="A22" i="289" s="1"/>
  <c r="A23" i="289" s="1"/>
  <c r="A24" i="289" s="1"/>
  <c r="A25" i="289" s="1"/>
  <c r="A26" i="289" s="1"/>
  <c r="A27" i="289" s="1"/>
  <c r="A28" i="289" s="1"/>
  <c r="A29" i="289" s="1"/>
  <c r="A30" i="289" s="1"/>
  <c r="A31" i="289" s="1"/>
  <c r="A32" i="289" s="1"/>
  <c r="A33" i="289" s="1"/>
  <c r="A34" i="289" s="1"/>
  <c r="A35" i="289" s="1"/>
  <c r="A36" i="289" s="1"/>
  <c r="A37" i="289" s="1"/>
  <c r="A38" i="289" s="1"/>
  <c r="A39" i="289" s="1"/>
  <c r="A42" i="289" s="1"/>
  <c r="A43" i="289" s="1"/>
  <c r="A44" i="289" s="1"/>
  <c r="A45" i="289" s="1"/>
  <c r="A46" i="289" s="1"/>
  <c r="A47" i="289" s="1"/>
  <c r="A48" i="289" s="1"/>
  <c r="A49" i="289" s="1"/>
  <c r="A50" i="289" s="1"/>
  <c r="A51" i="289" s="1"/>
  <c r="A52" i="289" s="1"/>
  <c r="A53" i="289" s="1"/>
  <c r="A54" i="289" s="1"/>
  <c r="A55" i="289" s="1"/>
  <c r="A56" i="289" s="1"/>
  <c r="A57" i="289" s="1"/>
  <c r="A58" i="289" s="1"/>
  <c r="A1" i="289"/>
  <c r="A3" i="289" s="1"/>
  <c r="M54" i="288"/>
  <c r="AC40" i="288"/>
  <c r="AC41" i="288" s="1"/>
  <c r="AB40" i="288"/>
  <c r="AB41" i="288" s="1"/>
  <c r="AC36" i="288"/>
  <c r="AC37" i="288" s="1"/>
  <c r="AB36" i="288"/>
  <c r="AB37" i="288" s="1"/>
  <c r="N35" i="288"/>
  <c r="M35" i="288"/>
  <c r="Q33" i="288"/>
  <c r="P33" i="288"/>
  <c r="O33" i="288"/>
  <c r="N33" i="288"/>
  <c r="M33" i="288"/>
  <c r="AC32" i="288"/>
  <c r="AC33" i="288" s="1"/>
  <c r="AB32" i="288"/>
  <c r="AB33" i="288" s="1"/>
  <c r="P31" i="288"/>
  <c r="AE31" i="288" s="1"/>
  <c r="O31" i="288"/>
  <c r="N31" i="288"/>
  <c r="M31" i="288"/>
  <c r="H26" i="288"/>
  <c r="H20" i="288"/>
  <c r="G20" i="288"/>
  <c r="F20" i="288"/>
  <c r="I20" i="288" s="1"/>
  <c r="B13" i="288"/>
  <c r="B14" i="288" s="1"/>
  <c r="B15" i="288" s="1"/>
  <c r="B16" i="288" s="1"/>
  <c r="B17" i="288" s="1"/>
  <c r="B18" i="288" s="1"/>
  <c r="B19" i="288" s="1"/>
  <c r="B20" i="288" s="1"/>
  <c r="B21" i="288" s="1"/>
  <c r="B22" i="288" s="1"/>
  <c r="B23" i="288" s="1"/>
  <c r="B24" i="288" s="1"/>
  <c r="B25" i="288" s="1"/>
  <c r="B26" i="288" s="1"/>
  <c r="B27" i="288" s="1"/>
  <c r="B28" i="288" s="1"/>
  <c r="B29" i="288" s="1"/>
  <c r="B30" i="288" s="1"/>
  <c r="B31" i="288" s="1"/>
  <c r="B32" i="288" s="1"/>
  <c r="B33" i="288" s="1"/>
  <c r="B34" i="288" s="1"/>
  <c r="B35" i="288" s="1"/>
  <c r="B36" i="288" s="1"/>
  <c r="B37" i="288" s="1"/>
  <c r="B38" i="288" s="1"/>
  <c r="B39" i="288" s="1"/>
  <c r="B42" i="288" s="1"/>
  <c r="B43" i="288" s="1"/>
  <c r="B44" i="288" s="1"/>
  <c r="B45" i="288" s="1"/>
  <c r="B46" i="288" s="1"/>
  <c r="B47" i="288" s="1"/>
  <c r="B48" i="288" s="1"/>
  <c r="B49" i="288" s="1"/>
  <c r="B50" i="288" s="1"/>
  <c r="B51" i="288" s="1"/>
  <c r="B52" i="288" s="1"/>
  <c r="B53" i="288" s="1"/>
  <c r="B54" i="288" s="1"/>
  <c r="B55" i="288" s="1"/>
  <c r="B56" i="288" s="1"/>
  <c r="B57" i="288" s="1"/>
  <c r="B58" i="288" s="1"/>
  <c r="A13" i="288"/>
  <c r="A14" i="288" s="1"/>
  <c r="A15" i="288" s="1"/>
  <c r="A16" i="288" s="1"/>
  <c r="A17" i="288" s="1"/>
  <c r="A18" i="288" s="1"/>
  <c r="A19" i="288" s="1"/>
  <c r="A20" i="288" s="1"/>
  <c r="A21" i="288" s="1"/>
  <c r="A22" i="288" s="1"/>
  <c r="A23" i="288" s="1"/>
  <c r="A24" i="288" s="1"/>
  <c r="A25" i="288" s="1"/>
  <c r="A26" i="288" s="1"/>
  <c r="A27" i="288" s="1"/>
  <c r="A28" i="288" s="1"/>
  <c r="A29" i="288" s="1"/>
  <c r="A30" i="288" s="1"/>
  <c r="A31" i="288" s="1"/>
  <c r="A32" i="288" s="1"/>
  <c r="A33" i="288" s="1"/>
  <c r="A34" i="288" s="1"/>
  <c r="A35" i="288" s="1"/>
  <c r="A36" i="288" s="1"/>
  <c r="A37" i="288" s="1"/>
  <c r="A38" i="288" s="1"/>
  <c r="A39" i="288" s="1"/>
  <c r="A42" i="288" s="1"/>
  <c r="A43" i="288" s="1"/>
  <c r="A44" i="288" s="1"/>
  <c r="A45" i="288" s="1"/>
  <c r="A46" i="288" s="1"/>
  <c r="A47" i="288" s="1"/>
  <c r="A48" i="288" s="1"/>
  <c r="A49" i="288" s="1"/>
  <c r="A50" i="288" s="1"/>
  <c r="A51" i="288" s="1"/>
  <c r="A52" i="288" s="1"/>
  <c r="A53" i="288" s="1"/>
  <c r="A54" i="288" s="1"/>
  <c r="A55" i="288" s="1"/>
  <c r="A56" i="288" s="1"/>
  <c r="A57" i="288" s="1"/>
  <c r="A58" i="288" s="1"/>
  <c r="A1" i="288"/>
  <c r="A2" i="288" s="1"/>
  <c r="M54" i="287"/>
  <c r="AC40" i="287"/>
  <c r="AC41" i="287" s="1"/>
  <c r="AB40" i="287"/>
  <c r="AC36" i="287"/>
  <c r="AC37" i="287" s="1"/>
  <c r="AB36" i="287"/>
  <c r="AB37" i="287" s="1"/>
  <c r="N35" i="287"/>
  <c r="M35" i="287"/>
  <c r="Q33" i="287"/>
  <c r="P33" i="287"/>
  <c r="O33" i="287"/>
  <c r="N33" i="287"/>
  <c r="M33" i="287"/>
  <c r="AC32" i="287"/>
  <c r="AC33" i="287" s="1"/>
  <c r="AB32" i="287"/>
  <c r="AB33" i="287" s="1"/>
  <c r="P31" i="287"/>
  <c r="AE31" i="287" s="1"/>
  <c r="O31" i="287"/>
  <c r="N31" i="287"/>
  <c r="AD31" i="287" s="1"/>
  <c r="M31" i="287"/>
  <c r="H26" i="287"/>
  <c r="H20" i="287"/>
  <c r="G20" i="287"/>
  <c r="F20" i="287"/>
  <c r="I20" i="287" s="1"/>
  <c r="B13" i="287"/>
  <c r="B14" i="287" s="1"/>
  <c r="B15" i="287" s="1"/>
  <c r="B16" i="287" s="1"/>
  <c r="B17" i="287" s="1"/>
  <c r="B18" i="287" s="1"/>
  <c r="B19" i="287" s="1"/>
  <c r="B20" i="287" s="1"/>
  <c r="B21" i="287" s="1"/>
  <c r="B22" i="287" s="1"/>
  <c r="B23" i="287" s="1"/>
  <c r="B24" i="287" s="1"/>
  <c r="B25" i="287" s="1"/>
  <c r="B26" i="287" s="1"/>
  <c r="B27" i="287" s="1"/>
  <c r="B28" i="287" s="1"/>
  <c r="B29" i="287" s="1"/>
  <c r="B30" i="287" s="1"/>
  <c r="B31" i="287" s="1"/>
  <c r="B32" i="287" s="1"/>
  <c r="B33" i="287" s="1"/>
  <c r="B34" i="287" s="1"/>
  <c r="B35" i="287" s="1"/>
  <c r="B36" i="287" s="1"/>
  <c r="B37" i="287" s="1"/>
  <c r="B38" i="287" s="1"/>
  <c r="B39" i="287" s="1"/>
  <c r="B42" i="287" s="1"/>
  <c r="B43" i="287" s="1"/>
  <c r="B44" i="287" s="1"/>
  <c r="B45" i="287" s="1"/>
  <c r="B46" i="287" s="1"/>
  <c r="B47" i="287" s="1"/>
  <c r="B48" i="287" s="1"/>
  <c r="B49" i="287" s="1"/>
  <c r="B50" i="287" s="1"/>
  <c r="B51" i="287" s="1"/>
  <c r="B52" i="287" s="1"/>
  <c r="B53" i="287" s="1"/>
  <c r="B54" i="287" s="1"/>
  <c r="B55" i="287" s="1"/>
  <c r="B56" i="287" s="1"/>
  <c r="B57" i="287" s="1"/>
  <c r="B58" i="287" s="1"/>
  <c r="A13" i="287"/>
  <c r="A14" i="287" s="1"/>
  <c r="A15" i="287" s="1"/>
  <c r="A16" i="287" s="1"/>
  <c r="A17" i="287" s="1"/>
  <c r="A18" i="287" s="1"/>
  <c r="A19" i="287" s="1"/>
  <c r="A20" i="287" s="1"/>
  <c r="A21" i="287" s="1"/>
  <c r="A22" i="287" s="1"/>
  <c r="A23" i="287" s="1"/>
  <c r="A24" i="287" s="1"/>
  <c r="A25" i="287" s="1"/>
  <c r="A26" i="287" s="1"/>
  <c r="A27" i="287" s="1"/>
  <c r="A28" i="287" s="1"/>
  <c r="A29" i="287" s="1"/>
  <c r="A30" i="287" s="1"/>
  <c r="A31" i="287" s="1"/>
  <c r="A32" i="287" s="1"/>
  <c r="A33" i="287" s="1"/>
  <c r="A34" i="287" s="1"/>
  <c r="A35" i="287" s="1"/>
  <c r="A36" i="287" s="1"/>
  <c r="A37" i="287" s="1"/>
  <c r="A38" i="287" s="1"/>
  <c r="A39" i="287" s="1"/>
  <c r="A42" i="287" s="1"/>
  <c r="A43" i="287" s="1"/>
  <c r="A44" i="287" s="1"/>
  <c r="A45" i="287" s="1"/>
  <c r="A46" i="287" s="1"/>
  <c r="A47" i="287" s="1"/>
  <c r="A48" i="287" s="1"/>
  <c r="A49" i="287" s="1"/>
  <c r="A50" i="287" s="1"/>
  <c r="A51" i="287" s="1"/>
  <c r="A52" i="287" s="1"/>
  <c r="A53" i="287" s="1"/>
  <c r="A54" i="287" s="1"/>
  <c r="A55" i="287" s="1"/>
  <c r="A56" i="287" s="1"/>
  <c r="A57" i="287" s="1"/>
  <c r="A58" i="287" s="1"/>
  <c r="A1" i="287"/>
  <c r="A3" i="287" s="1"/>
  <c r="M54" i="286"/>
  <c r="AC40" i="286"/>
  <c r="AC41" i="286" s="1"/>
  <c r="AB40" i="286"/>
  <c r="AB41" i="286" s="1"/>
  <c r="AC36" i="286"/>
  <c r="AC37" i="286" s="1"/>
  <c r="AB36" i="286"/>
  <c r="N35" i="286"/>
  <c r="M35" i="286"/>
  <c r="Q33" i="286"/>
  <c r="P33" i="286"/>
  <c r="O33" i="286"/>
  <c r="N33" i="286"/>
  <c r="M33" i="286"/>
  <c r="AC32" i="286"/>
  <c r="AB32" i="286"/>
  <c r="AB33" i="286" s="1"/>
  <c r="P31" i="286"/>
  <c r="AE31" i="286" s="1"/>
  <c r="O31" i="286"/>
  <c r="N31" i="286"/>
  <c r="M31" i="286"/>
  <c r="H26" i="286"/>
  <c r="H20" i="286"/>
  <c r="G20" i="286"/>
  <c r="F20" i="286"/>
  <c r="I20" i="286" s="1"/>
  <c r="B13" i="286"/>
  <c r="B14" i="286" s="1"/>
  <c r="B15" i="286" s="1"/>
  <c r="B16" i="286" s="1"/>
  <c r="B17" i="286" s="1"/>
  <c r="B18" i="286" s="1"/>
  <c r="B19" i="286" s="1"/>
  <c r="B20" i="286" s="1"/>
  <c r="B21" i="286" s="1"/>
  <c r="B22" i="286" s="1"/>
  <c r="B23" i="286" s="1"/>
  <c r="B24" i="286" s="1"/>
  <c r="B25" i="286" s="1"/>
  <c r="B26" i="286" s="1"/>
  <c r="B27" i="286" s="1"/>
  <c r="B28" i="286" s="1"/>
  <c r="B29" i="286" s="1"/>
  <c r="B30" i="286" s="1"/>
  <c r="B31" i="286" s="1"/>
  <c r="B32" i="286" s="1"/>
  <c r="B33" i="286" s="1"/>
  <c r="B34" i="286" s="1"/>
  <c r="B35" i="286" s="1"/>
  <c r="B36" i="286" s="1"/>
  <c r="B37" i="286" s="1"/>
  <c r="B38" i="286" s="1"/>
  <c r="B39" i="286" s="1"/>
  <c r="B42" i="286" s="1"/>
  <c r="B43" i="286" s="1"/>
  <c r="B44" i="286" s="1"/>
  <c r="B45" i="286" s="1"/>
  <c r="B46" i="286" s="1"/>
  <c r="B47" i="286" s="1"/>
  <c r="B48" i="286" s="1"/>
  <c r="B49" i="286" s="1"/>
  <c r="B50" i="286" s="1"/>
  <c r="B51" i="286" s="1"/>
  <c r="B52" i="286" s="1"/>
  <c r="B53" i="286" s="1"/>
  <c r="B54" i="286" s="1"/>
  <c r="B55" i="286" s="1"/>
  <c r="B56" i="286" s="1"/>
  <c r="B57" i="286" s="1"/>
  <c r="B58" i="286" s="1"/>
  <c r="A13" i="286"/>
  <c r="A14" i="286" s="1"/>
  <c r="A15" i="286" s="1"/>
  <c r="A16" i="286" s="1"/>
  <c r="A17" i="286" s="1"/>
  <c r="A18" i="286" s="1"/>
  <c r="A19" i="286" s="1"/>
  <c r="A20" i="286" s="1"/>
  <c r="A21" i="286" s="1"/>
  <c r="A22" i="286" s="1"/>
  <c r="A23" i="286" s="1"/>
  <c r="A24" i="286" s="1"/>
  <c r="A25" i="286" s="1"/>
  <c r="A26" i="286" s="1"/>
  <c r="A27" i="286" s="1"/>
  <c r="A28" i="286" s="1"/>
  <c r="A29" i="286" s="1"/>
  <c r="A30" i="286" s="1"/>
  <c r="A31" i="286" s="1"/>
  <c r="A32" i="286" s="1"/>
  <c r="A33" i="286" s="1"/>
  <c r="A34" i="286" s="1"/>
  <c r="A35" i="286" s="1"/>
  <c r="A36" i="286" s="1"/>
  <c r="A37" i="286" s="1"/>
  <c r="A38" i="286" s="1"/>
  <c r="A39" i="286" s="1"/>
  <c r="A42" i="286" s="1"/>
  <c r="A43" i="286" s="1"/>
  <c r="A44" i="286" s="1"/>
  <c r="A45" i="286" s="1"/>
  <c r="A46" i="286" s="1"/>
  <c r="A47" i="286" s="1"/>
  <c r="A48" i="286" s="1"/>
  <c r="A49" i="286" s="1"/>
  <c r="A50" i="286" s="1"/>
  <c r="A51" i="286" s="1"/>
  <c r="A52" i="286" s="1"/>
  <c r="A53" i="286" s="1"/>
  <c r="A54" i="286" s="1"/>
  <c r="A55" i="286" s="1"/>
  <c r="A56" i="286" s="1"/>
  <c r="A57" i="286" s="1"/>
  <c r="A58" i="286" s="1"/>
  <c r="A1" i="286"/>
  <c r="A3" i="286" s="1"/>
  <c r="M54" i="69"/>
  <c r="E39" i="38"/>
  <c r="J121" i="1"/>
  <c r="G13" i="290"/>
  <c r="G21" i="290" s="1"/>
  <c r="I21" i="290" s="1"/>
  <c r="C12" i="290"/>
  <c r="F38" i="289"/>
  <c r="D38" i="289" s="1"/>
  <c r="F22" i="286"/>
  <c r="U47" i="12"/>
  <c r="T47" i="12"/>
  <c r="S47" i="12"/>
  <c r="R47" i="12"/>
  <c r="Q47" i="12"/>
  <c r="P47" i="12"/>
  <c r="S60" i="12"/>
  <c r="S74" i="12" s="1"/>
  <c r="S59" i="12"/>
  <c r="P60" i="12"/>
  <c r="P74" i="12" s="1"/>
  <c r="P59" i="12"/>
  <c r="P73" i="12" s="1"/>
  <c r="H60" i="12"/>
  <c r="H59" i="12"/>
  <c r="G60" i="12"/>
  <c r="G74" i="12" s="1"/>
  <c r="G59" i="12"/>
  <c r="G73" i="12" s="1"/>
  <c r="F59" i="12"/>
  <c r="V60" i="12"/>
  <c r="V74" i="12" s="1"/>
  <c r="V59" i="12"/>
  <c r="V73" i="12" s="1"/>
  <c r="V58" i="12"/>
  <c r="F60" i="12"/>
  <c r="F74" i="12" s="1"/>
  <c r="W59" i="12"/>
  <c r="W73" i="12" s="1"/>
  <c r="L59" i="12"/>
  <c r="L73" i="12" s="1"/>
  <c r="K59" i="12"/>
  <c r="K73" i="12" s="1"/>
  <c r="J73" i="12"/>
  <c r="E23" i="12"/>
  <c r="D23" i="12"/>
  <c r="D24" i="12"/>
  <c r="F108" i="1"/>
  <c r="F111" i="1" s="1"/>
  <c r="X23" i="10"/>
  <c r="Y23" i="10"/>
  <c r="AT23" i="10" s="1"/>
  <c r="Z23" i="10"/>
  <c r="AU23" i="10" s="1"/>
  <c r="AA23" i="10"/>
  <c r="AV23" i="10" s="1"/>
  <c r="X24" i="10"/>
  <c r="Y24" i="10"/>
  <c r="Z24" i="10"/>
  <c r="AU24" i="10" s="1"/>
  <c r="AA24" i="10"/>
  <c r="AV24" i="10" s="1"/>
  <c r="X25" i="10"/>
  <c r="Y25" i="10"/>
  <c r="AT25" i="10" s="1"/>
  <c r="Z25" i="10"/>
  <c r="AU25" i="10" s="1"/>
  <c r="AA25" i="10"/>
  <c r="AV25" i="10" s="1"/>
  <c r="X26" i="10"/>
  <c r="AB26" i="10" s="1"/>
  <c r="Y26" i="10"/>
  <c r="Z26" i="10"/>
  <c r="AU26" i="10" s="1"/>
  <c r="AA26" i="10"/>
  <c r="AV26" i="10" s="1"/>
  <c r="X27" i="10"/>
  <c r="Y27" i="10"/>
  <c r="AT27" i="10" s="1"/>
  <c r="Z27" i="10"/>
  <c r="AU27" i="10" s="1"/>
  <c r="AA27" i="10"/>
  <c r="AV27" i="10" s="1"/>
  <c r="X28" i="10"/>
  <c r="Y28" i="10"/>
  <c r="AT28" i="10" s="1"/>
  <c r="Z28" i="10"/>
  <c r="AU28" i="10" s="1"/>
  <c r="AA28" i="10"/>
  <c r="AV28" i="10" s="1"/>
  <c r="X29" i="10"/>
  <c r="Y29" i="10"/>
  <c r="AT29" i="10" s="1"/>
  <c r="Z29" i="10"/>
  <c r="AU29" i="10" s="1"/>
  <c r="AA29" i="10"/>
  <c r="AV29" i="10" s="1"/>
  <c r="X30" i="10"/>
  <c r="AB30" i="10" s="1"/>
  <c r="Y30" i="10"/>
  <c r="Z30" i="10"/>
  <c r="AU30" i="10" s="1"/>
  <c r="AA30" i="10"/>
  <c r="AV30" i="10" s="1"/>
  <c r="X31" i="10"/>
  <c r="Y31" i="10"/>
  <c r="AT31" i="10" s="1"/>
  <c r="Z31" i="10"/>
  <c r="AU31" i="10" s="1"/>
  <c r="AA31" i="10"/>
  <c r="AV31" i="10" s="1"/>
  <c r="X32" i="10"/>
  <c r="Y32" i="10"/>
  <c r="AT32" i="10" s="1"/>
  <c r="Z32" i="10"/>
  <c r="AU32" i="10" s="1"/>
  <c r="AA32" i="10"/>
  <c r="AV32" i="10" s="1"/>
  <c r="X33" i="10"/>
  <c r="Y33" i="10"/>
  <c r="AT33" i="10" s="1"/>
  <c r="Z33" i="10"/>
  <c r="AU33" i="10" s="1"/>
  <c r="AA33" i="10"/>
  <c r="AV33" i="10" s="1"/>
  <c r="X34" i="10"/>
  <c r="AB34" i="10" s="1"/>
  <c r="Y34" i="10"/>
  <c r="Z34" i="10"/>
  <c r="AU34" i="10" s="1"/>
  <c r="AA34" i="10"/>
  <c r="AV34" i="10" s="1"/>
  <c r="X35" i="10"/>
  <c r="Y35" i="10"/>
  <c r="Z35" i="10"/>
  <c r="AU35" i="10" s="1"/>
  <c r="AA35" i="10"/>
  <c r="AV35" i="10" s="1"/>
  <c r="X36" i="10"/>
  <c r="Y36" i="10"/>
  <c r="AT36" i="10" s="1"/>
  <c r="Z36" i="10"/>
  <c r="AU36" i="10" s="1"/>
  <c r="AA36" i="10"/>
  <c r="AV36" i="10" s="1"/>
  <c r="X37" i="10"/>
  <c r="Y37" i="10"/>
  <c r="AT37" i="10" s="1"/>
  <c r="Z37" i="10"/>
  <c r="AU37" i="10" s="1"/>
  <c r="AA37" i="10"/>
  <c r="AV37" i="10" s="1"/>
  <c r="X38" i="10"/>
  <c r="AB38" i="10" s="1"/>
  <c r="Y38" i="10"/>
  <c r="Z38" i="10"/>
  <c r="AU38" i="10" s="1"/>
  <c r="AA38" i="10"/>
  <c r="AV38" i="10" s="1"/>
  <c r="X39" i="10"/>
  <c r="Y39" i="10"/>
  <c r="AT39" i="10" s="1"/>
  <c r="Z39" i="10"/>
  <c r="AU39" i="10" s="1"/>
  <c r="AA39" i="10"/>
  <c r="AV39" i="10" s="1"/>
  <c r="X40" i="10"/>
  <c r="Y40" i="10"/>
  <c r="AT40" i="10" s="1"/>
  <c r="Z40" i="10"/>
  <c r="AU40" i="10" s="1"/>
  <c r="AA40" i="10"/>
  <c r="AV40" i="10" s="1"/>
  <c r="X22" i="10"/>
  <c r="Y22" i="10"/>
  <c r="Z22" i="10"/>
  <c r="AD22" i="10" s="1"/>
  <c r="AA22" i="10"/>
  <c r="AV22" i="10" s="1"/>
  <c r="Y21" i="10"/>
  <c r="AT21" i="10" s="1"/>
  <c r="Z21" i="10"/>
  <c r="AU21" i="10" s="1"/>
  <c r="AA21" i="10"/>
  <c r="C65" i="11"/>
  <c r="C66" i="11" s="1"/>
  <c r="D22" i="11"/>
  <c r="D21" i="11"/>
  <c r="C84" i="39"/>
  <c r="D84" i="39" s="1"/>
  <c r="I125" i="39"/>
  <c r="J125" i="39" s="1"/>
  <c r="I122" i="39"/>
  <c r="J122" i="39" s="1"/>
  <c r="D56" i="264"/>
  <c r="D55" i="264"/>
  <c r="D54" i="264"/>
  <c r="D53" i="264"/>
  <c r="E22" i="10"/>
  <c r="I17" i="264" s="1"/>
  <c r="H61" i="280"/>
  <c r="H38" i="280"/>
  <c r="A1" i="69"/>
  <c r="A3" i="69" s="1"/>
  <c r="AA24" i="1"/>
  <c r="AB24" i="1" s="1"/>
  <c r="AB122" i="1" s="1"/>
  <c r="H24" i="1"/>
  <c r="H122" i="1" s="1"/>
  <c r="AA25" i="1"/>
  <c r="AB25" i="1" s="1"/>
  <c r="O25" i="1" s="1"/>
  <c r="H25" i="1"/>
  <c r="H123" i="1" s="1"/>
  <c r="AA26" i="1"/>
  <c r="H26" i="1"/>
  <c r="H124" i="1" s="1"/>
  <c r="AA27" i="1"/>
  <c r="AB27" i="1" s="1"/>
  <c r="O27" i="1" s="1"/>
  <c r="H27" i="1"/>
  <c r="H125" i="1" s="1"/>
  <c r="AA28" i="1"/>
  <c r="AB28" i="1" s="1"/>
  <c r="H28" i="1"/>
  <c r="H126" i="1" s="1"/>
  <c r="AA29" i="1"/>
  <c r="AB29" i="1" s="1"/>
  <c r="H29" i="1"/>
  <c r="H127" i="1" s="1"/>
  <c r="AA30" i="1"/>
  <c r="AB30" i="1" s="1"/>
  <c r="H30" i="1"/>
  <c r="H128" i="1" s="1"/>
  <c r="AA31" i="1"/>
  <c r="AB31" i="1" s="1"/>
  <c r="H31" i="1"/>
  <c r="H129" i="1" s="1"/>
  <c r="AA32" i="1"/>
  <c r="AB32" i="1" s="1"/>
  <c r="AB130" i="1" s="1"/>
  <c r="H32" i="1"/>
  <c r="H130" i="1" s="1"/>
  <c r="AA33" i="1"/>
  <c r="AB33" i="1" s="1"/>
  <c r="AB131" i="1" s="1"/>
  <c r="AA34" i="1"/>
  <c r="AB34" i="1" s="1"/>
  <c r="AB132" i="1" s="1"/>
  <c r="AA37" i="1"/>
  <c r="AB37" i="1" s="1"/>
  <c r="O37" i="1" s="1"/>
  <c r="H37" i="1"/>
  <c r="H135" i="1" s="1"/>
  <c r="AA38" i="1"/>
  <c r="AB38" i="1" s="1"/>
  <c r="AB136" i="1" s="1"/>
  <c r="H38" i="1"/>
  <c r="H136" i="1" s="1"/>
  <c r="AA39" i="1"/>
  <c r="AB39" i="1" s="1"/>
  <c r="H39" i="1"/>
  <c r="H137" i="1" s="1"/>
  <c r="AA40" i="1"/>
  <c r="H40" i="1"/>
  <c r="H138" i="1" s="1"/>
  <c r="AA41" i="1"/>
  <c r="H41" i="1"/>
  <c r="H139" i="1" s="1"/>
  <c r="AA42" i="1"/>
  <c r="AB42" i="1" s="1"/>
  <c r="H42" i="1"/>
  <c r="H140" i="1" s="1"/>
  <c r="AA43" i="1"/>
  <c r="AB43" i="1" s="1"/>
  <c r="O43" i="1" s="1"/>
  <c r="H43" i="1"/>
  <c r="H141" i="1" s="1"/>
  <c r="AA44" i="1"/>
  <c r="H44" i="1"/>
  <c r="H142" i="1" s="1"/>
  <c r="AA45" i="1"/>
  <c r="H45" i="1"/>
  <c r="H143" i="1" s="1"/>
  <c r="AA46" i="1"/>
  <c r="H46" i="1"/>
  <c r="H144" i="1" s="1"/>
  <c r="AA47" i="1"/>
  <c r="AB47" i="1" s="1"/>
  <c r="H47" i="1"/>
  <c r="H145" i="1" s="1"/>
  <c r="AA48" i="1"/>
  <c r="AB48" i="1" s="1"/>
  <c r="H48" i="1"/>
  <c r="H146" i="1" s="1"/>
  <c r="AA49" i="1"/>
  <c r="AA50" i="1"/>
  <c r="AB50" i="1" s="1"/>
  <c r="O50" i="1" s="1"/>
  <c r="AA53" i="1"/>
  <c r="AB53" i="1" s="1"/>
  <c r="O53" i="1" s="1"/>
  <c r="H53" i="1"/>
  <c r="H151" i="1" s="1"/>
  <c r="AA69" i="1"/>
  <c r="H69" i="1"/>
  <c r="H167" i="1" s="1"/>
  <c r="A1" i="179"/>
  <c r="A2" i="179" s="1"/>
  <c r="AA95" i="1"/>
  <c r="AI95" i="1" s="1"/>
  <c r="AI193" i="1" s="1"/>
  <c r="F31" i="179"/>
  <c r="D31" i="179" s="1"/>
  <c r="F28" i="179"/>
  <c r="G28" i="179" s="1"/>
  <c r="H28" i="179" s="1"/>
  <c r="F32" i="179"/>
  <c r="G32" i="179" s="1"/>
  <c r="H32" i="179" s="1"/>
  <c r="F37" i="179"/>
  <c r="F30" i="179"/>
  <c r="G30" i="179" s="1"/>
  <c r="H30" i="179" s="1"/>
  <c r="F38" i="179"/>
  <c r="G38" i="179" s="1"/>
  <c r="H38" i="179" s="1"/>
  <c r="H95" i="1"/>
  <c r="H193" i="1" s="1"/>
  <c r="F13" i="179"/>
  <c r="M31" i="179"/>
  <c r="O31" i="179"/>
  <c r="AD31" i="179" s="1"/>
  <c r="M33" i="179"/>
  <c r="O33" i="179"/>
  <c r="A1" i="180"/>
  <c r="A2" i="180" s="1"/>
  <c r="AA96" i="1"/>
  <c r="F31" i="180"/>
  <c r="D31" i="180" s="1"/>
  <c r="F28" i="180"/>
  <c r="D28" i="180" s="1"/>
  <c r="F32" i="180"/>
  <c r="D32" i="180" s="1"/>
  <c r="F37" i="180"/>
  <c r="D37" i="180" s="1"/>
  <c r="F30" i="180"/>
  <c r="D30" i="180" s="1"/>
  <c r="F38" i="180"/>
  <c r="D38" i="180" s="1"/>
  <c r="H96" i="1"/>
  <c r="H194" i="1" s="1"/>
  <c r="F13" i="180"/>
  <c r="F21" i="180" s="1"/>
  <c r="F23" i="180" s="1"/>
  <c r="D23" i="180" s="1"/>
  <c r="M31" i="180"/>
  <c r="AC31" i="180" s="1"/>
  <c r="O31" i="180"/>
  <c r="AD31" i="180" s="1"/>
  <c r="M33" i="180"/>
  <c r="O33" i="180"/>
  <c r="A1" i="181"/>
  <c r="A2" i="181" s="1"/>
  <c r="AA97" i="1"/>
  <c r="F31" i="181"/>
  <c r="D31" i="181" s="1"/>
  <c r="F28" i="181"/>
  <c r="G28" i="181" s="1"/>
  <c r="H28" i="181" s="1"/>
  <c r="F32" i="181"/>
  <c r="D32" i="181" s="1"/>
  <c r="F37" i="181"/>
  <c r="G37" i="181" s="1"/>
  <c r="H37" i="181" s="1"/>
  <c r="F30" i="181"/>
  <c r="D30" i="181" s="1"/>
  <c r="F38" i="181"/>
  <c r="G38" i="181" s="1"/>
  <c r="H38" i="181" s="1"/>
  <c r="H97" i="1"/>
  <c r="H195" i="1" s="1"/>
  <c r="F13" i="181"/>
  <c r="M31" i="181"/>
  <c r="AC31" i="181" s="1"/>
  <c r="O31" i="181"/>
  <c r="AD31" i="181" s="1"/>
  <c r="M33" i="181"/>
  <c r="O33" i="181"/>
  <c r="AA23" i="1"/>
  <c r="AB23" i="1" s="1"/>
  <c r="O23" i="1" s="1"/>
  <c r="F31" i="69"/>
  <c r="D31" i="69" s="1"/>
  <c r="F28" i="69"/>
  <c r="I28" i="69" s="1"/>
  <c r="F32" i="69"/>
  <c r="F37" i="69"/>
  <c r="G37" i="69" s="1"/>
  <c r="H37" i="69" s="1"/>
  <c r="F30" i="69"/>
  <c r="D30" i="69" s="1"/>
  <c r="F38" i="69"/>
  <c r="D38" i="69" s="1"/>
  <c r="H23" i="1"/>
  <c r="H121" i="1" s="1"/>
  <c r="F13" i="69"/>
  <c r="D13" i="69" s="1"/>
  <c r="N31" i="69"/>
  <c r="P31" i="69"/>
  <c r="AE31" i="69" s="1"/>
  <c r="N33" i="69"/>
  <c r="P33" i="69"/>
  <c r="C22" i="1"/>
  <c r="B15" i="11" s="1"/>
  <c r="B121" i="1"/>
  <c r="B24" i="1"/>
  <c r="B122" i="1" s="1"/>
  <c r="B134" i="1"/>
  <c r="B135" i="1"/>
  <c r="B38" i="1"/>
  <c r="B136" i="1" s="1"/>
  <c r="B150" i="1"/>
  <c r="B151" i="1"/>
  <c r="B54" i="1"/>
  <c r="B55" i="1" s="1"/>
  <c r="B166" i="1"/>
  <c r="B167" i="1"/>
  <c r="B70" i="1"/>
  <c r="B192" i="1"/>
  <c r="B193" i="1"/>
  <c r="B194" i="1"/>
  <c r="B195" i="1"/>
  <c r="T195" i="1"/>
  <c r="Y97" i="1"/>
  <c r="K97" i="1" s="1"/>
  <c r="K195" i="1" s="1"/>
  <c r="G195" i="1"/>
  <c r="F195" i="1"/>
  <c r="M195" i="1"/>
  <c r="U195" i="1"/>
  <c r="AA32" i="181"/>
  <c r="AA33" i="181" s="1"/>
  <c r="AB32" i="181"/>
  <c r="AB33" i="181" s="1"/>
  <c r="Q33" i="181"/>
  <c r="AA36" i="181"/>
  <c r="AA37" i="181" s="1"/>
  <c r="AB36" i="181"/>
  <c r="AB37" i="181" s="1"/>
  <c r="AA40" i="181"/>
  <c r="AA41" i="181" s="1"/>
  <c r="AB40" i="181"/>
  <c r="AB41" i="181" s="1"/>
  <c r="T194" i="1"/>
  <c r="Y96" i="1"/>
  <c r="K96" i="1" s="1"/>
  <c r="K194" i="1" s="1"/>
  <c r="G194" i="1"/>
  <c r="F194" i="1"/>
  <c r="M194" i="1"/>
  <c r="U194" i="1"/>
  <c r="AA32" i="180"/>
  <c r="AA33" i="180" s="1"/>
  <c r="AB32" i="180"/>
  <c r="AB33" i="180" s="1"/>
  <c r="Q33" i="180"/>
  <c r="AA36" i="180"/>
  <c r="AA37" i="180" s="1"/>
  <c r="AB36" i="180"/>
  <c r="AB37" i="180" s="1"/>
  <c r="AA40" i="180"/>
  <c r="AB40" i="180"/>
  <c r="AB41" i="180" s="1"/>
  <c r="T193" i="1"/>
  <c r="Y95" i="1"/>
  <c r="K95" i="1" s="1"/>
  <c r="K193" i="1" s="1"/>
  <c r="G193" i="1"/>
  <c r="F193" i="1"/>
  <c r="M193" i="1"/>
  <c r="U193" i="1"/>
  <c r="AA32" i="179"/>
  <c r="AA33" i="179" s="1"/>
  <c r="AB32" i="179"/>
  <c r="AB33" i="179" s="1"/>
  <c r="Q33" i="179"/>
  <c r="Q34" i="179" s="1"/>
  <c r="AA36" i="179"/>
  <c r="AA37" i="179" s="1"/>
  <c r="AB36" i="179"/>
  <c r="AB37" i="179" s="1"/>
  <c r="AA40" i="179"/>
  <c r="AA41" i="179" s="1"/>
  <c r="AB40" i="179"/>
  <c r="AB41" i="179" s="1"/>
  <c r="C60" i="6"/>
  <c r="T167" i="1"/>
  <c r="Y69" i="1"/>
  <c r="K69" i="1" s="1"/>
  <c r="K167" i="1" s="1"/>
  <c r="G167" i="1"/>
  <c r="F167" i="1"/>
  <c r="M167" i="1"/>
  <c r="U167" i="1"/>
  <c r="C44" i="6"/>
  <c r="T151" i="1"/>
  <c r="Y53" i="1"/>
  <c r="K53" i="1" s="1"/>
  <c r="K151" i="1" s="1"/>
  <c r="G151" i="1"/>
  <c r="F151" i="1"/>
  <c r="M151" i="1"/>
  <c r="U151" i="1"/>
  <c r="T148" i="1"/>
  <c r="Y50" i="1"/>
  <c r="K50" i="1" s="1"/>
  <c r="K148" i="1" s="1"/>
  <c r="H148" i="1"/>
  <c r="G148" i="1"/>
  <c r="F148" i="1"/>
  <c r="M148" i="1"/>
  <c r="U148" i="1"/>
  <c r="C28" i="6"/>
  <c r="C29" i="6" s="1"/>
  <c r="C30" i="6" s="1"/>
  <c r="C31" i="6" s="1"/>
  <c r="C32" i="6" s="1"/>
  <c r="C33" i="6" s="1"/>
  <c r="C34" i="6" s="1"/>
  <c r="C35" i="6" s="1"/>
  <c r="C36" i="6" s="1"/>
  <c r="C37" i="6" s="1"/>
  <c r="C38" i="6" s="1"/>
  <c r="C39" i="6" s="1"/>
  <c r="C40" i="6" s="1"/>
  <c r="T147" i="1"/>
  <c r="Y49" i="1"/>
  <c r="K49" i="1" s="1"/>
  <c r="K147" i="1" s="1"/>
  <c r="H147" i="1"/>
  <c r="G147" i="1"/>
  <c r="F147" i="1"/>
  <c r="M147" i="1"/>
  <c r="U147" i="1"/>
  <c r="T146" i="1"/>
  <c r="Y48" i="1"/>
  <c r="K48" i="1" s="1"/>
  <c r="K146" i="1" s="1"/>
  <c r="G146" i="1"/>
  <c r="F146" i="1"/>
  <c r="M146" i="1"/>
  <c r="U146" i="1"/>
  <c r="T145" i="1"/>
  <c r="Y47" i="1"/>
  <c r="K47" i="1" s="1"/>
  <c r="K145" i="1" s="1"/>
  <c r="G145" i="1"/>
  <c r="F145" i="1"/>
  <c r="M145" i="1"/>
  <c r="U145" i="1"/>
  <c r="T144" i="1"/>
  <c r="Y46" i="1"/>
  <c r="K46" i="1" s="1"/>
  <c r="K144" i="1" s="1"/>
  <c r="G144" i="1"/>
  <c r="F144" i="1"/>
  <c r="M144" i="1"/>
  <c r="U144" i="1"/>
  <c r="T143" i="1"/>
  <c r="Y45" i="1"/>
  <c r="K45" i="1" s="1"/>
  <c r="K143" i="1" s="1"/>
  <c r="G143" i="1"/>
  <c r="F143" i="1"/>
  <c r="M143" i="1"/>
  <c r="U143" i="1"/>
  <c r="T142" i="1"/>
  <c r="Y44" i="1"/>
  <c r="K44" i="1" s="1"/>
  <c r="K142" i="1" s="1"/>
  <c r="G142" i="1"/>
  <c r="F142" i="1"/>
  <c r="M142" i="1"/>
  <c r="U142" i="1"/>
  <c r="T141" i="1"/>
  <c r="Y43" i="1"/>
  <c r="K43" i="1" s="1"/>
  <c r="K141" i="1" s="1"/>
  <c r="G141" i="1"/>
  <c r="F141" i="1"/>
  <c r="M141" i="1"/>
  <c r="U141" i="1"/>
  <c r="T140" i="1"/>
  <c r="Y42" i="1"/>
  <c r="K42" i="1" s="1"/>
  <c r="K140" i="1" s="1"/>
  <c r="G140" i="1"/>
  <c r="F140" i="1"/>
  <c r="M140" i="1"/>
  <c r="U140" i="1"/>
  <c r="T139" i="1"/>
  <c r="Y41" i="1"/>
  <c r="K41" i="1" s="1"/>
  <c r="K139" i="1" s="1"/>
  <c r="G139" i="1"/>
  <c r="F139" i="1"/>
  <c r="M139" i="1"/>
  <c r="U139" i="1"/>
  <c r="T138" i="1"/>
  <c r="Y40" i="1"/>
  <c r="K40" i="1" s="1"/>
  <c r="K138" i="1" s="1"/>
  <c r="G138" i="1"/>
  <c r="F138" i="1"/>
  <c r="M138" i="1"/>
  <c r="U138" i="1"/>
  <c r="T137" i="1"/>
  <c r="Y39" i="1"/>
  <c r="K39" i="1" s="1"/>
  <c r="K137" i="1" s="1"/>
  <c r="G137" i="1"/>
  <c r="F137" i="1"/>
  <c r="M137" i="1"/>
  <c r="U137" i="1"/>
  <c r="T136" i="1"/>
  <c r="Y38" i="1"/>
  <c r="K38" i="1" s="1"/>
  <c r="K136" i="1" s="1"/>
  <c r="G136" i="1"/>
  <c r="F136" i="1"/>
  <c r="M136" i="1"/>
  <c r="U136" i="1"/>
  <c r="T135" i="1"/>
  <c r="Y37" i="1"/>
  <c r="K37" i="1" s="1"/>
  <c r="K135" i="1" s="1"/>
  <c r="G135" i="1"/>
  <c r="F135" i="1"/>
  <c r="M135" i="1"/>
  <c r="U135" i="1"/>
  <c r="T122" i="1"/>
  <c r="Y24" i="1"/>
  <c r="K24" i="1" s="1"/>
  <c r="K122" i="1" s="1"/>
  <c r="G122" i="1"/>
  <c r="F122" i="1"/>
  <c r="M122" i="1"/>
  <c r="U122" i="1"/>
  <c r="C14" i="6"/>
  <c r="C15" i="6" s="1"/>
  <c r="C16" i="6" s="1"/>
  <c r="C17" i="6" s="1"/>
  <c r="C18" i="6" s="1"/>
  <c r="C19" i="6" s="1"/>
  <c r="C20" i="6" s="1"/>
  <c r="C21" i="6" s="1"/>
  <c r="C22" i="6" s="1"/>
  <c r="C23" i="6" s="1"/>
  <c r="C24" i="6" s="1"/>
  <c r="T123" i="1"/>
  <c r="Y25" i="1"/>
  <c r="K25" i="1" s="1"/>
  <c r="K123" i="1" s="1"/>
  <c r="G123" i="1"/>
  <c r="F123" i="1"/>
  <c r="M123" i="1"/>
  <c r="U123" i="1"/>
  <c r="T124" i="1"/>
  <c r="Y26" i="1"/>
  <c r="G124" i="1"/>
  <c r="F124" i="1"/>
  <c r="M124" i="1"/>
  <c r="U124" i="1"/>
  <c r="T125" i="1"/>
  <c r="Y27" i="1"/>
  <c r="K27" i="1" s="1"/>
  <c r="K125" i="1" s="1"/>
  <c r="G125" i="1"/>
  <c r="F125" i="1"/>
  <c r="M125" i="1"/>
  <c r="U125" i="1"/>
  <c r="T126" i="1"/>
  <c r="Y28" i="1"/>
  <c r="G126" i="1"/>
  <c r="F126" i="1"/>
  <c r="M126" i="1"/>
  <c r="U126" i="1"/>
  <c r="T127" i="1"/>
  <c r="Y29" i="1"/>
  <c r="K29" i="1" s="1"/>
  <c r="K127" i="1" s="1"/>
  <c r="G127" i="1"/>
  <c r="F127" i="1"/>
  <c r="M127" i="1"/>
  <c r="U127" i="1"/>
  <c r="T128" i="1"/>
  <c r="Y30" i="1"/>
  <c r="G128" i="1"/>
  <c r="F128" i="1"/>
  <c r="M128" i="1"/>
  <c r="U128" i="1"/>
  <c r="T129" i="1"/>
  <c r="Y31" i="1"/>
  <c r="K31" i="1" s="1"/>
  <c r="K129" i="1" s="1"/>
  <c r="G129" i="1"/>
  <c r="F129" i="1"/>
  <c r="M129" i="1"/>
  <c r="U129" i="1"/>
  <c r="T130" i="1"/>
  <c r="Y32" i="1"/>
  <c r="G130" i="1"/>
  <c r="F130" i="1"/>
  <c r="M130" i="1"/>
  <c r="U130" i="1"/>
  <c r="T131" i="1"/>
  <c r="Y33" i="1"/>
  <c r="K33" i="1" s="1"/>
  <c r="K131" i="1" s="1"/>
  <c r="H131" i="1"/>
  <c r="G131" i="1"/>
  <c r="F131" i="1"/>
  <c r="M131" i="1"/>
  <c r="U131" i="1"/>
  <c r="T132" i="1"/>
  <c r="Y34" i="1"/>
  <c r="K34" i="1" s="1"/>
  <c r="K132" i="1" s="1"/>
  <c r="H132" i="1"/>
  <c r="G132" i="1"/>
  <c r="F132" i="1"/>
  <c r="M132" i="1"/>
  <c r="U132" i="1"/>
  <c r="T121" i="1"/>
  <c r="Y23" i="1"/>
  <c r="G121" i="1"/>
  <c r="F121" i="1"/>
  <c r="F13" i="6" s="1"/>
  <c r="G13" i="6" s="1"/>
  <c r="M121" i="1"/>
  <c r="U121" i="1"/>
  <c r="AB32" i="69"/>
  <c r="AC32" i="69"/>
  <c r="AC33" i="69" s="1"/>
  <c r="AB36" i="69"/>
  <c r="AB37" i="69" s="1"/>
  <c r="AC36" i="69"/>
  <c r="AC37" i="69" s="1"/>
  <c r="AB40" i="69"/>
  <c r="AC40" i="69"/>
  <c r="AC41" i="69" s="1"/>
  <c r="A39" i="262"/>
  <c r="U15" i="3"/>
  <c r="E109" i="1"/>
  <c r="F34" i="184" s="1"/>
  <c r="D34" i="184" s="1"/>
  <c r="I131" i="39"/>
  <c r="J131" i="39" s="1"/>
  <c r="I129" i="39"/>
  <c r="J129" i="39" s="1"/>
  <c r="H130" i="39"/>
  <c r="H123" i="39"/>
  <c r="H124" i="39" s="1"/>
  <c r="I118" i="39"/>
  <c r="J118" i="39" s="1"/>
  <c r="I114" i="39"/>
  <c r="J114" i="39" s="1"/>
  <c r="H115" i="39"/>
  <c r="H116" i="39" s="1"/>
  <c r="I110" i="39"/>
  <c r="J110" i="39" s="1"/>
  <c r="I105" i="39"/>
  <c r="J105" i="39" s="1"/>
  <c r="H106" i="39"/>
  <c r="H107" i="39" s="1"/>
  <c r="H108" i="39" s="1"/>
  <c r="H109" i="39" s="1"/>
  <c r="H110" i="39" s="1"/>
  <c r="I101" i="39"/>
  <c r="J101" i="39" s="1"/>
  <c r="I95" i="39"/>
  <c r="J95" i="39" s="1"/>
  <c r="H96" i="39"/>
  <c r="H97" i="39" s="1"/>
  <c r="H98" i="39" s="1"/>
  <c r="H99" i="39" s="1"/>
  <c r="H100" i="39" s="1"/>
  <c r="H101" i="39" s="1"/>
  <c r="G94" i="39" s="1"/>
  <c r="I91" i="39"/>
  <c r="J91" i="39" s="1"/>
  <c r="I84" i="39"/>
  <c r="J84" i="39" s="1"/>
  <c r="H85" i="39"/>
  <c r="H86" i="39" s="1"/>
  <c r="H87" i="39" s="1"/>
  <c r="H88" i="39" s="1"/>
  <c r="H89" i="39" s="1"/>
  <c r="H90" i="39" s="1"/>
  <c r="C182" i="39"/>
  <c r="D182" i="39" s="1"/>
  <c r="D196" i="39"/>
  <c r="B183" i="39"/>
  <c r="C165" i="39"/>
  <c r="D165" i="39" s="1"/>
  <c r="D178" i="39"/>
  <c r="B166" i="39"/>
  <c r="C149" i="39"/>
  <c r="D149" i="39" s="1"/>
  <c r="D161" i="39"/>
  <c r="B150" i="39"/>
  <c r="B151" i="39" s="1"/>
  <c r="C134" i="39"/>
  <c r="D134" i="39" s="1"/>
  <c r="D145" i="39"/>
  <c r="B135" i="39"/>
  <c r="B136" i="39" s="1"/>
  <c r="B137" i="39" s="1"/>
  <c r="B138" i="39" s="1"/>
  <c r="B139" i="39" s="1"/>
  <c r="B140" i="39" s="1"/>
  <c r="B141" i="39" s="1"/>
  <c r="B142" i="39" s="1"/>
  <c r="B143" i="39" s="1"/>
  <c r="B144" i="39" s="1"/>
  <c r="B145" i="39" s="1"/>
  <c r="C120" i="39"/>
  <c r="D120" i="39" s="1"/>
  <c r="D130" i="39"/>
  <c r="B121" i="39"/>
  <c r="B122" i="39" s="1"/>
  <c r="B123" i="39" s="1"/>
  <c r="B124" i="39" s="1"/>
  <c r="B125" i="39" s="1"/>
  <c r="B126" i="39" s="1"/>
  <c r="B127" i="39" s="1"/>
  <c r="B128" i="39" s="1"/>
  <c r="B129" i="39" s="1"/>
  <c r="C107" i="39"/>
  <c r="D107" i="39" s="1"/>
  <c r="D116" i="39"/>
  <c r="B108" i="39"/>
  <c r="B109" i="39" s="1"/>
  <c r="B110" i="39" s="1"/>
  <c r="B111" i="39" s="1"/>
  <c r="B112" i="39" s="1"/>
  <c r="B113" i="39" s="1"/>
  <c r="B114" i="39" s="1"/>
  <c r="C95" i="39"/>
  <c r="D95" i="39" s="1"/>
  <c r="D103" i="39"/>
  <c r="B96" i="39"/>
  <c r="B97" i="39" s="1"/>
  <c r="B98" i="39" s="1"/>
  <c r="B99" i="39" s="1"/>
  <c r="B100" i="39" s="1"/>
  <c r="D91" i="39"/>
  <c r="B85" i="39"/>
  <c r="J41" i="39"/>
  <c r="J42" i="39"/>
  <c r="J43" i="39"/>
  <c r="J44" i="39"/>
  <c r="J45" i="39"/>
  <c r="J46" i="39"/>
  <c r="J47" i="39"/>
  <c r="J48" i="39"/>
  <c r="J49" i="39"/>
  <c r="J50" i="39"/>
  <c r="J51" i="39"/>
  <c r="J52" i="39"/>
  <c r="J53" i="39"/>
  <c r="J54" i="39"/>
  <c r="J55" i="39"/>
  <c r="J56" i="39"/>
  <c r="H60" i="280"/>
  <c r="J42" i="280"/>
  <c r="B6" i="280"/>
  <c r="B7" i="280"/>
  <c r="B8" i="280"/>
  <c r="D167" i="1"/>
  <c r="E167" i="1"/>
  <c r="U21" i="3"/>
  <c r="D151" i="1"/>
  <c r="E151" i="1"/>
  <c r="E148" i="1"/>
  <c r="E147" i="1"/>
  <c r="E146" i="1"/>
  <c r="E145" i="1"/>
  <c r="E144" i="1"/>
  <c r="E143" i="1"/>
  <c r="E142" i="1"/>
  <c r="E141" i="1"/>
  <c r="E140" i="1"/>
  <c r="E139" i="1"/>
  <c r="E138" i="1"/>
  <c r="E137" i="1"/>
  <c r="E136" i="1"/>
  <c r="E135" i="1"/>
  <c r="E132" i="1"/>
  <c r="E131" i="1"/>
  <c r="E130" i="1"/>
  <c r="E129" i="1"/>
  <c r="E128" i="1"/>
  <c r="E127" i="1"/>
  <c r="E126" i="1"/>
  <c r="E125" i="1"/>
  <c r="E124" i="1"/>
  <c r="E123" i="1"/>
  <c r="E122" i="1"/>
  <c r="D22" i="262"/>
  <c r="E121" i="1"/>
  <c r="B42" i="38"/>
  <c r="B45" i="38" s="1"/>
  <c r="B48" i="38" s="1"/>
  <c r="B51" i="38" s="1"/>
  <c r="B54" i="38" s="1"/>
  <c r="B57" i="38" s="1"/>
  <c r="B60" i="38" s="1"/>
  <c r="B63" i="38" s="1"/>
  <c r="B2" i="264"/>
  <c r="B3" i="264"/>
  <c r="B4" i="264"/>
  <c r="K21" i="10"/>
  <c r="L21" i="10"/>
  <c r="H16" i="264"/>
  <c r="I16" i="264"/>
  <c r="J16" i="264"/>
  <c r="K16" i="264"/>
  <c r="X16" i="264" s="1"/>
  <c r="C14" i="140"/>
  <c r="L14" i="140" s="1"/>
  <c r="C15" i="140"/>
  <c r="C16" i="140"/>
  <c r="C17" i="140"/>
  <c r="C18" i="140"/>
  <c r="L18" i="140" s="1"/>
  <c r="C19" i="140"/>
  <c r="C20" i="140"/>
  <c r="C21" i="140"/>
  <c r="C22" i="140"/>
  <c r="C23" i="140"/>
  <c r="C24" i="140"/>
  <c r="C25" i="140"/>
  <c r="C26" i="140"/>
  <c r="L26" i="140" s="1"/>
  <c r="C27" i="140"/>
  <c r="C28" i="140"/>
  <c r="C29" i="140"/>
  <c r="C30" i="140"/>
  <c r="C31" i="140"/>
  <c r="C32" i="140"/>
  <c r="C33" i="140"/>
  <c r="C34" i="140"/>
  <c r="L34" i="140" s="1"/>
  <c r="C35" i="140"/>
  <c r="C36" i="140"/>
  <c r="C37" i="140"/>
  <c r="C38" i="140"/>
  <c r="C39" i="140"/>
  <c r="C40" i="140"/>
  <c r="C41" i="140"/>
  <c r="C42" i="140"/>
  <c r="L42" i="140" s="1"/>
  <c r="C43" i="140"/>
  <c r="C44" i="140"/>
  <c r="C45" i="140"/>
  <c r="C46" i="140"/>
  <c r="C47" i="140"/>
  <c r="C48" i="140"/>
  <c r="C49" i="140"/>
  <c r="C50" i="140"/>
  <c r="L50" i="140" s="1"/>
  <c r="C51" i="140"/>
  <c r="C52" i="140"/>
  <c r="C53" i="140"/>
  <c r="C54" i="140"/>
  <c r="C55" i="140"/>
  <c r="C56" i="140"/>
  <c r="C57" i="140"/>
  <c r="C58" i="140"/>
  <c r="L58" i="140" s="1"/>
  <c r="C59" i="140"/>
  <c r="C60" i="140"/>
  <c r="C61" i="140"/>
  <c r="C62" i="140"/>
  <c r="C63" i="140"/>
  <c r="C64" i="140"/>
  <c r="C65" i="140"/>
  <c r="C66" i="140"/>
  <c r="L66" i="140" s="1"/>
  <c r="C67" i="140"/>
  <c r="C68" i="140"/>
  <c r="C69" i="140"/>
  <c r="C70" i="140"/>
  <c r="C71" i="140"/>
  <c r="C72" i="140"/>
  <c r="C73" i="140"/>
  <c r="C74" i="140"/>
  <c r="L74" i="140" s="1"/>
  <c r="C75" i="140"/>
  <c r="C76" i="140"/>
  <c r="C77" i="140"/>
  <c r="L78" i="140" s="1"/>
  <c r="F22" i="10"/>
  <c r="B16" i="9"/>
  <c r="H17" i="264"/>
  <c r="N17" i="264"/>
  <c r="AA17" i="264" s="1"/>
  <c r="B36" i="264"/>
  <c r="B37" i="264"/>
  <c r="B38" i="264"/>
  <c r="B39" i="264"/>
  <c r="B40" i="264"/>
  <c r="B41" i="264"/>
  <c r="B42" i="264"/>
  <c r="B43" i="264"/>
  <c r="B44" i="264"/>
  <c r="B45" i="264"/>
  <c r="B46" i="264"/>
  <c r="B47" i="264"/>
  <c r="B48" i="264"/>
  <c r="B8" i="262"/>
  <c r="B9" i="262"/>
  <c r="B10" i="262"/>
  <c r="AA24" i="262"/>
  <c r="AA25" i="262" s="1"/>
  <c r="AA26" i="262" s="1"/>
  <c r="AA27" i="262" s="1"/>
  <c r="AA28" i="262" s="1"/>
  <c r="AA29" i="262" s="1"/>
  <c r="AA30" i="262" s="1"/>
  <c r="AA31" i="262" s="1"/>
  <c r="AA32" i="262" s="1"/>
  <c r="AA33" i="262" s="1"/>
  <c r="AA34" i="262" s="1"/>
  <c r="AA35" i="262" s="1"/>
  <c r="AA36" i="262" s="1"/>
  <c r="AA37" i="262" s="1"/>
  <c r="O24" i="262"/>
  <c r="O25" i="262" s="1"/>
  <c r="O26" i="262" s="1"/>
  <c r="O27" i="262" s="1"/>
  <c r="O28" i="262" s="1"/>
  <c r="O29" i="262" s="1"/>
  <c r="O30" i="262" s="1"/>
  <c r="O31" i="262" s="1"/>
  <c r="O32" i="262" s="1"/>
  <c r="O33" i="262" s="1"/>
  <c r="O34" i="262" s="1"/>
  <c r="O35" i="262" s="1"/>
  <c r="O36" i="262" s="1"/>
  <c r="O37" i="262" s="1"/>
  <c r="S24" i="262"/>
  <c r="S25" i="262" s="1"/>
  <c r="S26" i="262" s="1"/>
  <c r="S27" i="262" s="1"/>
  <c r="S28" i="262" s="1"/>
  <c r="S29" i="262" s="1"/>
  <c r="S30" i="262" s="1"/>
  <c r="S31" i="262" s="1"/>
  <c r="S32" i="262" s="1"/>
  <c r="S33" i="262" s="1"/>
  <c r="S34" i="262" s="1"/>
  <c r="S35" i="262" s="1"/>
  <c r="S36" i="262" s="1"/>
  <c r="S37" i="262" s="1"/>
  <c r="W24" i="262"/>
  <c r="W25" i="262" s="1"/>
  <c r="W26" i="262" s="1"/>
  <c r="W27" i="262" s="1"/>
  <c r="W28" i="262" s="1"/>
  <c r="W29" i="262" s="1"/>
  <c r="W30" i="262" s="1"/>
  <c r="W31" i="262" s="1"/>
  <c r="W32" i="262" s="1"/>
  <c r="W33" i="262" s="1"/>
  <c r="W34" i="262" s="1"/>
  <c r="W35" i="262" s="1"/>
  <c r="W36" i="262" s="1"/>
  <c r="W37" i="262" s="1"/>
  <c r="E193" i="1"/>
  <c r="K23" i="261"/>
  <c r="K24" i="261" s="1"/>
  <c r="K25" i="261" s="1"/>
  <c r="K26" i="261" s="1"/>
  <c r="K27" i="261" s="1"/>
  <c r="K28" i="261" s="1"/>
  <c r="K29" i="261" s="1"/>
  <c r="K30" i="261" s="1"/>
  <c r="K31" i="261" s="1"/>
  <c r="K32" i="261" s="1"/>
  <c r="K33" i="261" s="1"/>
  <c r="K34" i="261" s="1"/>
  <c r="K35" i="261" s="1"/>
  <c r="K36" i="261" s="1"/>
  <c r="O23" i="261"/>
  <c r="O24" i="261" s="1"/>
  <c r="O25" i="261" s="1"/>
  <c r="O26" i="261" s="1"/>
  <c r="O27" i="261" s="1"/>
  <c r="O28" i="261" s="1"/>
  <c r="O29" i="261" s="1"/>
  <c r="O30" i="261" s="1"/>
  <c r="O31" i="261" s="1"/>
  <c r="O32" i="261" s="1"/>
  <c r="O33" i="261" s="1"/>
  <c r="O34" i="261" s="1"/>
  <c r="O35" i="261" s="1"/>
  <c r="O36" i="261" s="1"/>
  <c r="S23" i="261"/>
  <c r="S24" i="261" s="1"/>
  <c r="S25" i="261" s="1"/>
  <c r="S26" i="261" s="1"/>
  <c r="S27" i="261" s="1"/>
  <c r="S28" i="261" s="1"/>
  <c r="S29" i="261" s="1"/>
  <c r="S30" i="261" s="1"/>
  <c r="S31" i="261" s="1"/>
  <c r="S32" i="261" s="1"/>
  <c r="S33" i="261" s="1"/>
  <c r="S34" i="261" s="1"/>
  <c r="S35" i="261" s="1"/>
  <c r="S36" i="261" s="1"/>
  <c r="W23" i="261"/>
  <c r="W24" i="261" s="1"/>
  <c r="W25" i="261" s="1"/>
  <c r="W26" i="261" s="1"/>
  <c r="W27" i="261" s="1"/>
  <c r="W28" i="261" s="1"/>
  <c r="W29" i="261" s="1"/>
  <c r="W30" i="261" s="1"/>
  <c r="W31" i="261" s="1"/>
  <c r="W32" i="261" s="1"/>
  <c r="W33" i="261" s="1"/>
  <c r="W34" i="261" s="1"/>
  <c r="W35" i="261" s="1"/>
  <c r="W36" i="261" s="1"/>
  <c r="A38" i="261"/>
  <c r="A55" i="261" s="1"/>
  <c r="A72" i="261" s="1"/>
  <c r="A89" i="261" s="1"/>
  <c r="A106" i="261" s="1"/>
  <c r="E194" i="1"/>
  <c r="E195" i="1"/>
  <c r="A1" i="182"/>
  <c r="A3" i="182" s="1"/>
  <c r="F13" i="182"/>
  <c r="F21" i="182" s="1"/>
  <c r="F23" i="182" s="1"/>
  <c r="D23" i="182" s="1"/>
  <c r="F31" i="182"/>
  <c r="D31" i="182" s="1"/>
  <c r="F28" i="182"/>
  <c r="F32" i="182"/>
  <c r="D32" i="182" s="1"/>
  <c r="F37" i="182"/>
  <c r="F44" i="182" s="1"/>
  <c r="F30" i="182"/>
  <c r="G30" i="182" s="1"/>
  <c r="H30" i="182" s="1"/>
  <c r="F38" i="182"/>
  <c r="D38" i="182" s="1"/>
  <c r="A1" i="183"/>
  <c r="A2" i="183" s="1"/>
  <c r="F13" i="183"/>
  <c r="F31" i="183"/>
  <c r="D31" i="183" s="1"/>
  <c r="F28" i="183"/>
  <c r="D28" i="183" s="1"/>
  <c r="F32" i="183"/>
  <c r="D32" i="183" s="1"/>
  <c r="F37" i="183"/>
  <c r="F44" i="183" s="1"/>
  <c r="F30" i="183"/>
  <c r="G30" i="183" s="1"/>
  <c r="H30" i="183" s="1"/>
  <c r="F38" i="183"/>
  <c r="A1" i="184"/>
  <c r="A2" i="184" s="1"/>
  <c r="F13" i="184"/>
  <c r="F21" i="184" s="1"/>
  <c r="F31" i="184"/>
  <c r="D31" i="184" s="1"/>
  <c r="F28" i="184"/>
  <c r="G28" i="184" s="1"/>
  <c r="H28" i="184" s="1"/>
  <c r="F32" i="184"/>
  <c r="D32" i="184" s="1"/>
  <c r="F37" i="184"/>
  <c r="F30" i="184"/>
  <c r="G30" i="184" s="1"/>
  <c r="H30" i="184" s="1"/>
  <c r="F38" i="184"/>
  <c r="D38" i="184" s="1"/>
  <c r="A1" i="185"/>
  <c r="A3" i="185" s="1"/>
  <c r="F13" i="185"/>
  <c r="F21" i="185" s="1"/>
  <c r="F23" i="185" s="1"/>
  <c r="F31" i="185"/>
  <c r="D31" i="185" s="1"/>
  <c r="F28" i="185"/>
  <c r="F32" i="185"/>
  <c r="G32" i="185" s="1"/>
  <c r="H32" i="185" s="1"/>
  <c r="F37" i="185"/>
  <c r="G37" i="185" s="1"/>
  <c r="H37" i="185" s="1"/>
  <c r="F30" i="185"/>
  <c r="G30" i="185" s="1"/>
  <c r="H30" i="185" s="1"/>
  <c r="F38" i="185"/>
  <c r="A1" i="186"/>
  <c r="A3" i="186" s="1"/>
  <c r="F13" i="186"/>
  <c r="F21" i="186" s="1"/>
  <c r="D21" i="186" s="1"/>
  <c r="F31" i="186"/>
  <c r="D31" i="186" s="1"/>
  <c r="F28" i="186"/>
  <c r="G28" i="186" s="1"/>
  <c r="H28" i="186" s="1"/>
  <c r="F32" i="186"/>
  <c r="D32" i="186" s="1"/>
  <c r="F37" i="186"/>
  <c r="F30" i="186"/>
  <c r="F38" i="186"/>
  <c r="G38" i="186" s="1"/>
  <c r="H38" i="186" s="1"/>
  <c r="A1" i="187"/>
  <c r="A2" i="187" s="1"/>
  <c r="F13" i="187"/>
  <c r="F21" i="187" s="1"/>
  <c r="F23" i="187" s="1"/>
  <c r="D23" i="187" s="1"/>
  <c r="F31" i="187"/>
  <c r="D31" i="187" s="1"/>
  <c r="F28" i="187"/>
  <c r="D28" i="187" s="1"/>
  <c r="F32" i="187"/>
  <c r="F37" i="187"/>
  <c r="D37" i="187" s="1"/>
  <c r="F30" i="187"/>
  <c r="G30" i="187" s="1"/>
  <c r="H30" i="187" s="1"/>
  <c r="F38" i="187"/>
  <c r="D38" i="187" s="1"/>
  <c r="A1" i="188"/>
  <c r="A2" i="188" s="1"/>
  <c r="F13" i="188"/>
  <c r="F21" i="188" s="1"/>
  <c r="F31" i="188"/>
  <c r="D31" i="188" s="1"/>
  <c r="F28" i="188"/>
  <c r="G28" i="188" s="1"/>
  <c r="H28" i="188" s="1"/>
  <c r="F32" i="188"/>
  <c r="G32" i="188" s="1"/>
  <c r="H32" i="188" s="1"/>
  <c r="F37" i="188"/>
  <c r="G37" i="188" s="1"/>
  <c r="H37" i="188" s="1"/>
  <c r="F30" i="188"/>
  <c r="F38" i="188"/>
  <c r="G38" i="188" s="1"/>
  <c r="H38" i="188" s="1"/>
  <c r="A208" i="261"/>
  <c r="A225" i="261" s="1"/>
  <c r="W21" i="3"/>
  <c r="O69" i="39"/>
  <c r="P69" i="39"/>
  <c r="Q69" i="39"/>
  <c r="R69" i="39"/>
  <c r="S69" i="39"/>
  <c r="T69" i="39"/>
  <c r="U69" i="39"/>
  <c r="U44" i="39"/>
  <c r="U43" i="39" s="1"/>
  <c r="A133" i="39"/>
  <c r="X41" i="35"/>
  <c r="X35" i="35"/>
  <c r="AF24" i="1"/>
  <c r="AH24" i="1" s="1"/>
  <c r="AH122" i="1" s="1"/>
  <c r="AF25" i="1"/>
  <c r="AH25" i="1" s="1"/>
  <c r="AH123" i="1" s="1"/>
  <c r="AF26" i="1"/>
  <c r="AH26" i="1" s="1"/>
  <c r="AH124" i="1" s="1"/>
  <c r="AF27" i="1"/>
  <c r="AH27" i="1" s="1"/>
  <c r="AH125" i="1" s="1"/>
  <c r="AF28" i="1"/>
  <c r="AH28" i="1" s="1"/>
  <c r="AH126" i="1" s="1"/>
  <c r="AF29" i="1"/>
  <c r="AF30" i="1"/>
  <c r="AH30" i="1" s="1"/>
  <c r="AH128" i="1" s="1"/>
  <c r="AF31" i="1"/>
  <c r="AF32" i="1"/>
  <c r="AH32" i="1" s="1"/>
  <c r="AH130" i="1" s="1"/>
  <c r="AF33" i="1"/>
  <c r="AF34" i="1"/>
  <c r="AH34" i="1" s="1"/>
  <c r="AH132" i="1" s="1"/>
  <c r="AF37" i="1"/>
  <c r="AF38" i="1"/>
  <c r="AH38" i="1" s="1"/>
  <c r="AH136" i="1" s="1"/>
  <c r="AF39" i="1"/>
  <c r="AH39" i="1" s="1"/>
  <c r="AH137" i="1" s="1"/>
  <c r="AF40" i="1"/>
  <c r="AH40" i="1" s="1"/>
  <c r="AH138" i="1" s="1"/>
  <c r="AF41" i="1"/>
  <c r="AH41" i="1" s="1"/>
  <c r="AH139" i="1" s="1"/>
  <c r="AF42" i="1"/>
  <c r="AF43" i="1"/>
  <c r="AF141" i="1" s="1"/>
  <c r="AF44" i="1"/>
  <c r="AF142" i="1" s="1"/>
  <c r="AF45" i="1"/>
  <c r="AF143" i="1" s="1"/>
  <c r="AF46" i="1"/>
  <c r="AF47" i="1"/>
  <c r="AH47" i="1" s="1"/>
  <c r="AH145" i="1" s="1"/>
  <c r="AF48" i="1"/>
  <c r="AH48" i="1" s="1"/>
  <c r="AH146" i="1" s="1"/>
  <c r="AF49" i="1"/>
  <c r="AH49" i="1" s="1"/>
  <c r="AH147" i="1" s="1"/>
  <c r="AF50" i="1"/>
  <c r="AH50" i="1" s="1"/>
  <c r="AH148" i="1" s="1"/>
  <c r="AF53" i="1"/>
  <c r="AH53" i="1" s="1"/>
  <c r="AH151" i="1" s="1"/>
  <c r="AF54" i="1"/>
  <c r="AH54" i="1" s="1"/>
  <c r="AH152" i="1" s="1"/>
  <c r="AF55" i="1"/>
  <c r="AF153" i="1" s="1"/>
  <c r="AF56" i="1"/>
  <c r="AH56" i="1" s="1"/>
  <c r="AH154" i="1" s="1"/>
  <c r="AF57" i="1"/>
  <c r="AH57" i="1" s="1"/>
  <c r="AH155" i="1" s="1"/>
  <c r="AF58" i="1"/>
  <c r="AH58" i="1" s="1"/>
  <c r="AH156" i="1" s="1"/>
  <c r="AF59" i="1"/>
  <c r="AF157" i="1" s="1"/>
  <c r="AF60" i="1"/>
  <c r="AF61" i="1"/>
  <c r="AF159" i="1" s="1"/>
  <c r="AF62" i="1"/>
  <c r="AH62" i="1" s="1"/>
  <c r="AH160" i="1" s="1"/>
  <c r="AF63" i="1"/>
  <c r="AF161" i="1" s="1"/>
  <c r="AF64" i="1"/>
  <c r="AH64" i="1" s="1"/>
  <c r="AH162" i="1" s="1"/>
  <c r="AF65" i="1"/>
  <c r="AF163" i="1" s="1"/>
  <c r="AF66" i="1"/>
  <c r="AH66" i="1" s="1"/>
  <c r="AH164" i="1" s="1"/>
  <c r="AF69" i="1"/>
  <c r="AH69" i="1" s="1"/>
  <c r="AH167" i="1" s="1"/>
  <c r="AF70" i="1"/>
  <c r="AH70" i="1" s="1"/>
  <c r="AH168" i="1" s="1"/>
  <c r="AF71" i="1"/>
  <c r="AH71" i="1" s="1"/>
  <c r="AH169" i="1" s="1"/>
  <c r="AF72" i="1"/>
  <c r="AH72" i="1" s="1"/>
  <c r="AH170" i="1" s="1"/>
  <c r="AF73" i="1"/>
  <c r="AH73" i="1" s="1"/>
  <c r="AH171" i="1" s="1"/>
  <c r="AF74" i="1"/>
  <c r="AH74" i="1" s="1"/>
  <c r="AH172" i="1" s="1"/>
  <c r="AF75" i="1"/>
  <c r="AH75" i="1" s="1"/>
  <c r="AH173" i="1" s="1"/>
  <c r="AF76" i="1"/>
  <c r="AH76" i="1" s="1"/>
  <c r="AH174" i="1" s="1"/>
  <c r="AF77" i="1"/>
  <c r="AF78" i="1"/>
  <c r="AH78" i="1" s="1"/>
  <c r="AH176" i="1" s="1"/>
  <c r="AF79" i="1"/>
  <c r="AH79" i="1" s="1"/>
  <c r="AH177" i="1" s="1"/>
  <c r="AF80" i="1"/>
  <c r="AH80" i="1" s="1"/>
  <c r="AH178" i="1" s="1"/>
  <c r="AF81" i="1"/>
  <c r="AF179" i="1" s="1"/>
  <c r="AF82" i="1"/>
  <c r="AH82" i="1" s="1"/>
  <c r="AH180" i="1" s="1"/>
  <c r="AF83" i="1"/>
  <c r="AF84" i="1"/>
  <c r="AF85" i="1"/>
  <c r="AH85" i="1" s="1"/>
  <c r="AH183" i="1" s="1"/>
  <c r="AF86" i="1"/>
  <c r="AH86" i="1" s="1"/>
  <c r="AH184" i="1" s="1"/>
  <c r="AF87" i="1"/>
  <c r="AF88" i="1"/>
  <c r="AF186" i="1" s="1"/>
  <c r="AF89" i="1"/>
  <c r="AF90" i="1"/>
  <c r="AF188" i="1" s="1"/>
  <c r="AF91" i="1"/>
  <c r="AF92" i="1"/>
  <c r="AH92" i="1" s="1"/>
  <c r="AH190" i="1" s="1"/>
  <c r="AF95" i="1"/>
  <c r="AH95" i="1" s="1"/>
  <c r="AH193" i="1" s="1"/>
  <c r="AF96" i="1"/>
  <c r="AF97" i="1"/>
  <c r="AF23" i="1"/>
  <c r="AH23" i="1" s="1"/>
  <c r="AH121" i="1" s="1"/>
  <c r="P49" i="10"/>
  <c r="AA80" i="1"/>
  <c r="AB80" i="1" s="1"/>
  <c r="O80" i="1" s="1"/>
  <c r="AA79" i="1"/>
  <c r="AA78" i="1"/>
  <c r="AB78" i="1" s="1"/>
  <c r="O78" i="1" s="1"/>
  <c r="AA77" i="1"/>
  <c r="AB77" i="1" s="1"/>
  <c r="AI77" i="1" s="1"/>
  <c r="AI175" i="1" s="1"/>
  <c r="AA76" i="1"/>
  <c r="AB76" i="1" s="1"/>
  <c r="O76" i="1" s="1"/>
  <c r="AA75" i="1"/>
  <c r="AB75" i="1" s="1"/>
  <c r="O75" i="1" s="1"/>
  <c r="AA74" i="1"/>
  <c r="AA73" i="1"/>
  <c r="AB73" i="1" s="1"/>
  <c r="O73" i="1" s="1"/>
  <c r="AA72" i="1"/>
  <c r="AB72" i="1" s="1"/>
  <c r="AB170" i="1" s="1"/>
  <c r="AA71" i="1"/>
  <c r="AB71" i="1" s="1"/>
  <c r="AI71" i="1" s="1"/>
  <c r="AI169" i="1" s="1"/>
  <c r="AA70" i="1"/>
  <c r="AB70" i="1" s="1"/>
  <c r="K62" i="12"/>
  <c r="E162" i="1"/>
  <c r="E190" i="1"/>
  <c r="E161" i="1"/>
  <c r="E189" i="1"/>
  <c r="E160" i="1"/>
  <c r="E188" i="1"/>
  <c r="E159" i="1"/>
  <c r="E187" i="1"/>
  <c r="E158" i="1"/>
  <c r="E186" i="1"/>
  <c r="E157" i="1"/>
  <c r="E185" i="1"/>
  <c r="E156" i="1"/>
  <c r="E184" i="1"/>
  <c r="E155" i="1"/>
  <c r="E183" i="1"/>
  <c r="E154" i="1"/>
  <c r="E182" i="1"/>
  <c r="E153" i="1"/>
  <c r="E181" i="1"/>
  <c r="E152" i="1"/>
  <c r="E180" i="1"/>
  <c r="E179" i="1"/>
  <c r="E178" i="1"/>
  <c r="E177" i="1"/>
  <c r="E176" i="1"/>
  <c r="E175" i="1"/>
  <c r="E174" i="1"/>
  <c r="E173" i="1"/>
  <c r="E172" i="1"/>
  <c r="E171" i="1"/>
  <c r="E170" i="1"/>
  <c r="E169" i="1"/>
  <c r="E168" i="1"/>
  <c r="E164" i="1"/>
  <c r="E163" i="1"/>
  <c r="F168" i="1"/>
  <c r="F169" i="1"/>
  <c r="F170" i="1"/>
  <c r="F171" i="1"/>
  <c r="F172" i="1"/>
  <c r="F173" i="1"/>
  <c r="F174" i="1"/>
  <c r="F175" i="1"/>
  <c r="F176" i="1"/>
  <c r="F177" i="1"/>
  <c r="F178" i="1"/>
  <c r="F179" i="1"/>
  <c r="F152" i="1"/>
  <c r="F180" i="1"/>
  <c r="F153" i="1"/>
  <c r="F181" i="1"/>
  <c r="F154" i="1"/>
  <c r="F182" i="1"/>
  <c r="F155" i="1"/>
  <c r="F183" i="1"/>
  <c r="F156" i="1"/>
  <c r="F184" i="1"/>
  <c r="F157" i="1"/>
  <c r="F185" i="1"/>
  <c r="F158" i="1"/>
  <c r="F186" i="1"/>
  <c r="F159" i="1"/>
  <c r="F187" i="1"/>
  <c r="F160" i="1"/>
  <c r="F188" i="1"/>
  <c r="F161" i="1"/>
  <c r="F189" i="1"/>
  <c r="F162" i="1"/>
  <c r="F190" i="1"/>
  <c r="F163" i="1"/>
  <c r="F164" i="1"/>
  <c r="P44" i="39"/>
  <c r="P47" i="39" s="1"/>
  <c r="P63" i="39"/>
  <c r="Q44" i="39"/>
  <c r="Q47" i="39" s="1"/>
  <c r="R44" i="39"/>
  <c r="R47" i="39" s="1"/>
  <c r="S44" i="39"/>
  <c r="S47" i="39" s="1"/>
  <c r="T44" i="39"/>
  <c r="T47" i="39" s="1"/>
  <c r="O62" i="39"/>
  <c r="O61" i="39"/>
  <c r="O60" i="39"/>
  <c r="O59" i="39"/>
  <c r="O58" i="39"/>
  <c r="O57" i="39"/>
  <c r="O56" i="39"/>
  <c r="O55" i="39"/>
  <c r="O54" i="39"/>
  <c r="O53" i="39"/>
  <c r="O52" i="39"/>
  <c r="O51" i="39"/>
  <c r="O50" i="39"/>
  <c r="O49" i="39"/>
  <c r="O48" i="39"/>
  <c r="O47" i="39"/>
  <c r="M7" i="39"/>
  <c r="N41" i="39" s="1"/>
  <c r="M8" i="39"/>
  <c r="M3" i="39"/>
  <c r="M2" i="39"/>
  <c r="M1" i="39"/>
  <c r="H27" i="12"/>
  <c r="I31" i="12"/>
  <c r="I39" i="12"/>
  <c r="I54" i="12" s="1"/>
  <c r="I62" i="12" s="1"/>
  <c r="H54" i="12"/>
  <c r="H62" i="12" s="1"/>
  <c r="H55" i="12"/>
  <c r="H58" i="12"/>
  <c r="D15" i="12"/>
  <c r="E14" i="12"/>
  <c r="E24" i="12"/>
  <c r="S27" i="12"/>
  <c r="G54" i="12"/>
  <c r="G62" i="12" s="1"/>
  <c r="G55" i="12"/>
  <c r="H34" i="1107" s="1"/>
  <c r="G58" i="12"/>
  <c r="G27" i="12"/>
  <c r="L66" i="12"/>
  <c r="L76" i="12" s="1"/>
  <c r="P49" i="12"/>
  <c r="P55" i="12" s="1"/>
  <c r="Q34" i="12"/>
  <c r="Q49" i="12"/>
  <c r="R49" i="12"/>
  <c r="S49" i="12"/>
  <c r="S55" i="12" s="1"/>
  <c r="T34" i="12"/>
  <c r="T49" i="12"/>
  <c r="U49" i="12"/>
  <c r="V55" i="12"/>
  <c r="W55" i="12"/>
  <c r="F55" i="12"/>
  <c r="H16" i="1107" s="1"/>
  <c r="P27" i="12"/>
  <c r="L60" i="12"/>
  <c r="L74" i="12" s="1"/>
  <c r="L58" i="12"/>
  <c r="L80" i="12"/>
  <c r="K60" i="12"/>
  <c r="K58" i="12"/>
  <c r="J60" i="12"/>
  <c r="J58" i="12"/>
  <c r="J62" i="12"/>
  <c r="B13" i="66"/>
  <c r="N162" i="1"/>
  <c r="N190" i="1"/>
  <c r="L162" i="1"/>
  <c r="L190" i="1"/>
  <c r="R162" i="1"/>
  <c r="R190" i="1"/>
  <c r="AA92" i="1"/>
  <c r="AB92" i="1" s="1"/>
  <c r="AA64" i="1"/>
  <c r="N161" i="1"/>
  <c r="N189" i="1"/>
  <c r="L161" i="1"/>
  <c r="L189" i="1"/>
  <c r="R161" i="1"/>
  <c r="R189" i="1"/>
  <c r="AA91" i="1"/>
  <c r="AB91" i="1" s="1"/>
  <c r="AA63" i="1"/>
  <c r="N160" i="1"/>
  <c r="N188" i="1"/>
  <c r="L160" i="1"/>
  <c r="L188" i="1"/>
  <c r="R160" i="1"/>
  <c r="R188" i="1"/>
  <c r="G90" i="1"/>
  <c r="G188" i="1" s="1"/>
  <c r="AA62" i="1"/>
  <c r="N159" i="1"/>
  <c r="N187" i="1"/>
  <c r="L159" i="1"/>
  <c r="L187" i="1"/>
  <c r="R159" i="1"/>
  <c r="R187" i="1"/>
  <c r="G89" i="1"/>
  <c r="AA89" i="1" s="1"/>
  <c r="AB89" i="1" s="1"/>
  <c r="O89" i="1" s="1"/>
  <c r="AA61" i="1"/>
  <c r="AA159" i="1" s="1"/>
  <c r="N158" i="1"/>
  <c r="N186" i="1"/>
  <c r="L158" i="1"/>
  <c r="L186" i="1"/>
  <c r="R158" i="1"/>
  <c r="R186" i="1"/>
  <c r="AA88" i="1"/>
  <c r="AB88" i="1" s="1"/>
  <c r="AA60" i="1"/>
  <c r="AB60" i="1" s="1"/>
  <c r="AI60" i="1" s="1"/>
  <c r="AI158" i="1" s="1"/>
  <c r="N157" i="1"/>
  <c r="N185" i="1"/>
  <c r="L157" i="1"/>
  <c r="L185" i="1"/>
  <c r="R157" i="1"/>
  <c r="R185" i="1"/>
  <c r="G87" i="1"/>
  <c r="Y87" i="1" s="1"/>
  <c r="AA59" i="1"/>
  <c r="N156" i="1"/>
  <c r="N184" i="1"/>
  <c r="L156" i="1"/>
  <c r="L184" i="1"/>
  <c r="R156" i="1"/>
  <c r="R184" i="1"/>
  <c r="AA86" i="1"/>
  <c r="AB86" i="1" s="1"/>
  <c r="AA58" i="1"/>
  <c r="AA156" i="1" s="1"/>
  <c r="N155" i="1"/>
  <c r="N183" i="1"/>
  <c r="L155" i="1"/>
  <c r="L183" i="1"/>
  <c r="R155" i="1"/>
  <c r="R183" i="1"/>
  <c r="AA85" i="1"/>
  <c r="AA183" i="1" s="1"/>
  <c r="AA57" i="1"/>
  <c r="AB57" i="1" s="1"/>
  <c r="O57" i="1" s="1"/>
  <c r="N154" i="1"/>
  <c r="N182" i="1"/>
  <c r="L154" i="1"/>
  <c r="L182" i="1"/>
  <c r="R154" i="1"/>
  <c r="R182" i="1"/>
  <c r="AA84" i="1"/>
  <c r="AA182" i="1" s="1"/>
  <c r="AA56" i="1"/>
  <c r="N153" i="1"/>
  <c r="N181" i="1"/>
  <c r="L153" i="1"/>
  <c r="L181" i="1"/>
  <c r="R153" i="1"/>
  <c r="R181" i="1"/>
  <c r="AA83" i="1"/>
  <c r="AB83" i="1" s="1"/>
  <c r="AA55" i="1"/>
  <c r="AB55" i="1" s="1"/>
  <c r="O55" i="1" s="1"/>
  <c r="N152" i="1"/>
  <c r="N180" i="1"/>
  <c r="L152" i="1"/>
  <c r="L180" i="1"/>
  <c r="R152" i="1"/>
  <c r="R180" i="1"/>
  <c r="AA82" i="1"/>
  <c r="AA180" i="1" s="1"/>
  <c r="AA54" i="1"/>
  <c r="AB54" i="1" s="1"/>
  <c r="AB152" i="1" s="1"/>
  <c r="N151" i="1"/>
  <c r="N179" i="1"/>
  <c r="L151" i="1"/>
  <c r="L179" i="1"/>
  <c r="R151" i="1"/>
  <c r="R179" i="1"/>
  <c r="AA81" i="1"/>
  <c r="AB81" i="1" s="1"/>
  <c r="N178" i="1"/>
  <c r="R178" i="1"/>
  <c r="L178" i="1"/>
  <c r="N177" i="1"/>
  <c r="R177" i="1"/>
  <c r="L177" i="1"/>
  <c r="N176" i="1"/>
  <c r="R176" i="1"/>
  <c r="L176" i="1"/>
  <c r="N175" i="1"/>
  <c r="R175" i="1"/>
  <c r="L175" i="1"/>
  <c r="N174" i="1"/>
  <c r="R174" i="1"/>
  <c r="L174" i="1"/>
  <c r="N173" i="1"/>
  <c r="R173" i="1"/>
  <c r="L173" i="1"/>
  <c r="N172" i="1"/>
  <c r="R172" i="1"/>
  <c r="L172" i="1"/>
  <c r="N171" i="1"/>
  <c r="R171" i="1"/>
  <c r="L171" i="1"/>
  <c r="N170" i="1"/>
  <c r="R170" i="1"/>
  <c r="L170" i="1"/>
  <c r="N169" i="1"/>
  <c r="R169" i="1"/>
  <c r="L169" i="1"/>
  <c r="N168" i="1"/>
  <c r="R168" i="1"/>
  <c r="L168" i="1"/>
  <c r="N167" i="1"/>
  <c r="R167" i="1"/>
  <c r="L167" i="1"/>
  <c r="C58" i="6"/>
  <c r="N148" i="1"/>
  <c r="N164" i="1"/>
  <c r="AA66" i="1"/>
  <c r="AA164" i="1" s="1"/>
  <c r="R148" i="1"/>
  <c r="R164" i="1"/>
  <c r="L148" i="1"/>
  <c r="L164" i="1"/>
  <c r="N147" i="1"/>
  <c r="N163" i="1"/>
  <c r="AA65" i="1"/>
  <c r="AB65" i="1" s="1"/>
  <c r="R147" i="1"/>
  <c r="R163" i="1"/>
  <c r="L147" i="1"/>
  <c r="L163" i="1"/>
  <c r="N146" i="1"/>
  <c r="H64" i="1"/>
  <c r="H162" i="1" s="1"/>
  <c r="R146" i="1"/>
  <c r="L146" i="1"/>
  <c r="N145" i="1"/>
  <c r="H63" i="1"/>
  <c r="H161" i="1" s="1"/>
  <c r="R145" i="1"/>
  <c r="L145" i="1"/>
  <c r="N144" i="1"/>
  <c r="H62" i="1"/>
  <c r="H160" i="1" s="1"/>
  <c r="R144" i="1"/>
  <c r="L144" i="1"/>
  <c r="N143" i="1"/>
  <c r="H61" i="1"/>
  <c r="H159" i="1" s="1"/>
  <c r="R143" i="1"/>
  <c r="L143" i="1"/>
  <c r="N142" i="1"/>
  <c r="H60" i="1"/>
  <c r="H158" i="1" s="1"/>
  <c r="R142" i="1"/>
  <c r="L142" i="1"/>
  <c r="N141" i="1"/>
  <c r="H59" i="1"/>
  <c r="H157" i="1" s="1"/>
  <c r="R141" i="1"/>
  <c r="L141" i="1"/>
  <c r="N140" i="1"/>
  <c r="H58" i="1"/>
  <c r="H156" i="1" s="1"/>
  <c r="R140" i="1"/>
  <c r="L140" i="1"/>
  <c r="N139" i="1"/>
  <c r="H57" i="1"/>
  <c r="H155" i="1" s="1"/>
  <c r="R139" i="1"/>
  <c r="L139" i="1"/>
  <c r="N138" i="1"/>
  <c r="H56" i="1"/>
  <c r="H154" i="1" s="1"/>
  <c r="R138" i="1"/>
  <c r="L138" i="1"/>
  <c r="N137" i="1"/>
  <c r="H55" i="1"/>
  <c r="H153" i="1" s="1"/>
  <c r="R137" i="1"/>
  <c r="L137" i="1"/>
  <c r="N136" i="1"/>
  <c r="H54" i="1"/>
  <c r="H152" i="1" s="1"/>
  <c r="R136" i="1"/>
  <c r="L136" i="1"/>
  <c r="J195" i="1"/>
  <c r="J194" i="1"/>
  <c r="J193" i="1"/>
  <c r="H190" i="1"/>
  <c r="J190" i="1"/>
  <c r="H189" i="1"/>
  <c r="J189" i="1"/>
  <c r="H90" i="1"/>
  <c r="H188" i="1" s="1"/>
  <c r="J188" i="1"/>
  <c r="H89" i="1"/>
  <c r="H187" i="1" s="1"/>
  <c r="J187" i="1"/>
  <c r="H88" i="1"/>
  <c r="H186" i="1" s="1"/>
  <c r="J186" i="1"/>
  <c r="H87" i="1"/>
  <c r="H185" i="1" s="1"/>
  <c r="J185" i="1"/>
  <c r="H184" i="1"/>
  <c r="J184" i="1"/>
  <c r="H183" i="1"/>
  <c r="J183" i="1"/>
  <c r="H182" i="1"/>
  <c r="J182" i="1"/>
  <c r="I182" i="1" s="1"/>
  <c r="I84" i="1" s="1"/>
  <c r="H181" i="1"/>
  <c r="J181" i="1"/>
  <c r="H180" i="1"/>
  <c r="J180" i="1"/>
  <c r="H179" i="1"/>
  <c r="J179" i="1"/>
  <c r="H178" i="1"/>
  <c r="J178" i="1"/>
  <c r="H177" i="1"/>
  <c r="J177" i="1"/>
  <c r="H176" i="1"/>
  <c r="J176" i="1"/>
  <c r="H175" i="1"/>
  <c r="J175" i="1"/>
  <c r="H174" i="1"/>
  <c r="J174" i="1"/>
  <c r="H173" i="1"/>
  <c r="J173" i="1"/>
  <c r="H172" i="1"/>
  <c r="J172" i="1"/>
  <c r="H171" i="1"/>
  <c r="J171" i="1"/>
  <c r="H170" i="1"/>
  <c r="J170" i="1"/>
  <c r="H169" i="1"/>
  <c r="J169" i="1"/>
  <c r="H168" i="1"/>
  <c r="J168" i="1"/>
  <c r="J167" i="1"/>
  <c r="H164" i="1"/>
  <c r="J164" i="1"/>
  <c r="H163" i="1"/>
  <c r="J163" i="1"/>
  <c r="J162" i="1"/>
  <c r="J161" i="1"/>
  <c r="J160" i="1"/>
  <c r="J159" i="1"/>
  <c r="J158" i="1"/>
  <c r="J157" i="1"/>
  <c r="J156" i="1"/>
  <c r="J155" i="1"/>
  <c r="J154" i="1"/>
  <c r="J153" i="1"/>
  <c r="J152" i="1"/>
  <c r="J151" i="1"/>
  <c r="J148" i="1"/>
  <c r="J147" i="1"/>
  <c r="J146" i="1"/>
  <c r="J145" i="1"/>
  <c r="J144" i="1"/>
  <c r="J143" i="1"/>
  <c r="J142" i="1"/>
  <c r="J141" i="1"/>
  <c r="J140" i="1"/>
  <c r="J139" i="1"/>
  <c r="J138" i="1"/>
  <c r="J137" i="1"/>
  <c r="J136" i="1"/>
  <c r="J135" i="1"/>
  <c r="J132" i="1"/>
  <c r="J131" i="1"/>
  <c r="I131" i="1" s="1"/>
  <c r="I33" i="1" s="1"/>
  <c r="J130" i="1"/>
  <c r="J129" i="1"/>
  <c r="J128" i="1"/>
  <c r="J127" i="1"/>
  <c r="J126" i="1"/>
  <c r="J125" i="1"/>
  <c r="J124" i="1"/>
  <c r="J123" i="1"/>
  <c r="J122" i="1"/>
  <c r="AG66" i="1"/>
  <c r="AG164" i="1" s="1"/>
  <c r="AE66" i="1"/>
  <c r="AE164" i="1" s="1"/>
  <c r="AD66" i="1"/>
  <c r="AD164" i="1" s="1"/>
  <c r="AC66" i="1"/>
  <c r="AC164" i="1" s="1"/>
  <c r="Y66" i="1"/>
  <c r="K66" i="1" s="1"/>
  <c r="K164" i="1" s="1"/>
  <c r="U164" i="1"/>
  <c r="M164" i="1"/>
  <c r="G164" i="1"/>
  <c r="T164" i="1"/>
  <c r="S164" i="1"/>
  <c r="D164" i="1"/>
  <c r="AG65" i="1"/>
  <c r="AG163" i="1" s="1"/>
  <c r="AE65" i="1"/>
  <c r="AE163" i="1" s="1"/>
  <c r="AD65" i="1"/>
  <c r="AD163" i="1" s="1"/>
  <c r="AC65" i="1"/>
  <c r="AC163" i="1" s="1"/>
  <c r="Y65" i="1"/>
  <c r="Z65" i="1" s="1"/>
  <c r="Z163" i="1" s="1"/>
  <c r="U163" i="1"/>
  <c r="M163" i="1"/>
  <c r="G163" i="1"/>
  <c r="T163" i="1"/>
  <c r="S163" i="1"/>
  <c r="D163" i="1"/>
  <c r="AG64" i="1"/>
  <c r="AG162" i="1" s="1"/>
  <c r="AE64" i="1"/>
  <c r="AE162" i="1" s="1"/>
  <c r="AD64" i="1"/>
  <c r="AD162" i="1" s="1"/>
  <c r="AC64" i="1"/>
  <c r="AC162" i="1" s="1"/>
  <c r="Y64" i="1"/>
  <c r="U162" i="1"/>
  <c r="M162" i="1"/>
  <c r="G162" i="1"/>
  <c r="T162" i="1"/>
  <c r="S162" i="1"/>
  <c r="D162" i="1"/>
  <c r="AG63" i="1"/>
  <c r="AG161" i="1" s="1"/>
  <c r="AE63" i="1"/>
  <c r="AE161" i="1" s="1"/>
  <c r="AD63" i="1"/>
  <c r="AD161" i="1" s="1"/>
  <c r="AC63" i="1"/>
  <c r="AC161" i="1" s="1"/>
  <c r="Y63" i="1"/>
  <c r="U161" i="1"/>
  <c r="M161" i="1"/>
  <c r="G161" i="1"/>
  <c r="T161" i="1"/>
  <c r="S161" i="1"/>
  <c r="D161" i="1"/>
  <c r="AG62" i="1"/>
  <c r="AG160" i="1" s="1"/>
  <c r="AE62" i="1"/>
  <c r="AE160" i="1" s="1"/>
  <c r="AD62" i="1"/>
  <c r="AD160" i="1" s="1"/>
  <c r="AC62" i="1"/>
  <c r="AC160" i="1" s="1"/>
  <c r="Y62" i="1"/>
  <c r="K62" i="1" s="1"/>
  <c r="K160" i="1" s="1"/>
  <c r="U160" i="1"/>
  <c r="M160" i="1"/>
  <c r="G160" i="1"/>
  <c r="T160" i="1"/>
  <c r="S160" i="1"/>
  <c r="D160" i="1"/>
  <c r="AG61" i="1"/>
  <c r="AG159" i="1" s="1"/>
  <c r="AE61" i="1"/>
  <c r="AE159" i="1" s="1"/>
  <c r="AD61" i="1"/>
  <c r="AD159" i="1" s="1"/>
  <c r="AC61" i="1"/>
  <c r="AC159" i="1" s="1"/>
  <c r="Y61" i="1"/>
  <c r="U159" i="1"/>
  <c r="M159" i="1"/>
  <c r="G159" i="1"/>
  <c r="T159" i="1"/>
  <c r="S159" i="1"/>
  <c r="D159" i="1"/>
  <c r="AG60" i="1"/>
  <c r="AG158" i="1" s="1"/>
  <c r="AE60" i="1"/>
  <c r="AE158" i="1" s="1"/>
  <c r="AD60" i="1"/>
  <c r="AD158" i="1" s="1"/>
  <c r="AC60" i="1"/>
  <c r="AC158" i="1" s="1"/>
  <c r="Y60" i="1"/>
  <c r="U158" i="1"/>
  <c r="M158" i="1"/>
  <c r="G158" i="1"/>
  <c r="T158" i="1"/>
  <c r="S158" i="1"/>
  <c r="D158" i="1"/>
  <c r="AG59" i="1"/>
  <c r="AG157" i="1" s="1"/>
  <c r="AE59" i="1"/>
  <c r="AE157" i="1" s="1"/>
  <c r="AD59" i="1"/>
  <c r="AD157" i="1" s="1"/>
  <c r="AC59" i="1"/>
  <c r="AC157" i="1" s="1"/>
  <c r="Y59" i="1"/>
  <c r="K59" i="1" s="1"/>
  <c r="K157" i="1" s="1"/>
  <c r="U157" i="1"/>
  <c r="M157" i="1"/>
  <c r="G157" i="1"/>
  <c r="T157" i="1"/>
  <c r="S157" i="1"/>
  <c r="D157" i="1"/>
  <c r="AG58" i="1"/>
  <c r="AG156" i="1" s="1"/>
  <c r="AE58" i="1"/>
  <c r="AE156" i="1" s="1"/>
  <c r="AD58" i="1"/>
  <c r="AD156" i="1" s="1"/>
  <c r="AC58" i="1"/>
  <c r="AC156" i="1" s="1"/>
  <c r="Y58" i="1"/>
  <c r="Y156" i="1" s="1"/>
  <c r="U156" i="1"/>
  <c r="M156" i="1"/>
  <c r="G156" i="1"/>
  <c r="T156" i="1"/>
  <c r="S156" i="1"/>
  <c r="D156" i="1"/>
  <c r="AG57" i="1"/>
  <c r="AG155" i="1" s="1"/>
  <c r="AE57" i="1"/>
  <c r="AE155" i="1" s="1"/>
  <c r="AD57" i="1"/>
  <c r="AD155" i="1" s="1"/>
  <c r="AC57" i="1"/>
  <c r="AC155" i="1" s="1"/>
  <c r="Y57" i="1"/>
  <c r="Y155" i="1" s="1"/>
  <c r="U155" i="1"/>
  <c r="M155" i="1"/>
  <c r="G155" i="1"/>
  <c r="T155" i="1"/>
  <c r="S155" i="1"/>
  <c r="D155" i="1"/>
  <c r="AG56" i="1"/>
  <c r="AG154" i="1" s="1"/>
  <c r="AE56" i="1"/>
  <c r="AE154" i="1" s="1"/>
  <c r="AD56" i="1"/>
  <c r="AD154" i="1" s="1"/>
  <c r="AC56" i="1"/>
  <c r="AC154" i="1" s="1"/>
  <c r="Y56" i="1"/>
  <c r="U154" i="1"/>
  <c r="M154" i="1"/>
  <c r="G154" i="1"/>
  <c r="T154" i="1"/>
  <c r="S154" i="1"/>
  <c r="D154" i="1"/>
  <c r="AG55" i="1"/>
  <c r="AG153" i="1" s="1"/>
  <c r="AE55" i="1"/>
  <c r="AE153" i="1" s="1"/>
  <c r="AD55" i="1"/>
  <c r="AD153" i="1" s="1"/>
  <c r="AC55" i="1"/>
  <c r="AC153" i="1" s="1"/>
  <c r="Y55" i="1"/>
  <c r="K55" i="1" s="1"/>
  <c r="K153" i="1" s="1"/>
  <c r="U153" i="1"/>
  <c r="M153" i="1"/>
  <c r="G153" i="1"/>
  <c r="T153" i="1"/>
  <c r="S153" i="1"/>
  <c r="D153" i="1"/>
  <c r="AG54" i="1"/>
  <c r="AG152" i="1" s="1"/>
  <c r="AE54" i="1"/>
  <c r="AE152" i="1" s="1"/>
  <c r="AD54" i="1"/>
  <c r="AD152" i="1" s="1"/>
  <c r="AC54" i="1"/>
  <c r="AC152" i="1" s="1"/>
  <c r="Y54" i="1"/>
  <c r="K54" i="1" s="1"/>
  <c r="K152" i="1" s="1"/>
  <c r="U152" i="1"/>
  <c r="M152" i="1"/>
  <c r="G152" i="1"/>
  <c r="T152" i="1"/>
  <c r="S152" i="1"/>
  <c r="D152" i="1"/>
  <c r="AG50" i="1"/>
  <c r="AG148" i="1" s="1"/>
  <c r="AE50" i="1"/>
  <c r="AE148" i="1" s="1"/>
  <c r="AD50" i="1"/>
  <c r="AD148" i="1" s="1"/>
  <c r="AC50" i="1"/>
  <c r="AC148" i="1" s="1"/>
  <c r="Z50" i="1"/>
  <c r="Z148" i="1" s="1"/>
  <c r="S148" i="1"/>
  <c r="D148" i="1"/>
  <c r="AG49" i="1"/>
  <c r="AG147" i="1" s="1"/>
  <c r="AE49" i="1"/>
  <c r="AE147" i="1" s="1"/>
  <c r="AD49" i="1"/>
  <c r="AD147" i="1" s="1"/>
  <c r="AC49" i="1"/>
  <c r="AC147" i="1" s="1"/>
  <c r="Z49" i="1"/>
  <c r="Z147" i="1" s="1"/>
  <c r="S147" i="1"/>
  <c r="D147" i="1"/>
  <c r="AG48" i="1"/>
  <c r="AG146" i="1" s="1"/>
  <c r="AE48" i="1"/>
  <c r="AE146" i="1" s="1"/>
  <c r="AD48" i="1"/>
  <c r="AD146" i="1" s="1"/>
  <c r="AC48" i="1"/>
  <c r="AC146" i="1" s="1"/>
  <c r="Y146" i="1"/>
  <c r="S146" i="1"/>
  <c r="D146" i="1"/>
  <c r="AG47" i="1"/>
  <c r="AG145" i="1" s="1"/>
  <c r="AE47" i="1"/>
  <c r="AE145" i="1" s="1"/>
  <c r="AD47" i="1"/>
  <c r="AD145" i="1" s="1"/>
  <c r="AC47" i="1"/>
  <c r="AC145" i="1" s="1"/>
  <c r="Z47" i="1"/>
  <c r="Z145" i="1" s="1"/>
  <c r="S145" i="1"/>
  <c r="D145" i="1"/>
  <c r="AG46" i="1"/>
  <c r="AG144" i="1" s="1"/>
  <c r="AE46" i="1"/>
  <c r="AE144" i="1" s="1"/>
  <c r="AD46" i="1"/>
  <c r="AD144" i="1" s="1"/>
  <c r="AC46" i="1"/>
  <c r="AC144" i="1" s="1"/>
  <c r="S144" i="1"/>
  <c r="D144" i="1"/>
  <c r="AG45" i="1"/>
  <c r="AG143" i="1" s="1"/>
  <c r="AE45" i="1"/>
  <c r="AE143" i="1" s="1"/>
  <c r="AD45" i="1"/>
  <c r="AD143" i="1" s="1"/>
  <c r="AC45" i="1"/>
  <c r="AC143" i="1" s="1"/>
  <c r="Z45" i="1"/>
  <c r="Z143" i="1" s="1"/>
  <c r="S143" i="1"/>
  <c r="D143" i="1"/>
  <c r="AG44" i="1"/>
  <c r="AG142" i="1" s="1"/>
  <c r="AE44" i="1"/>
  <c r="AE142" i="1" s="1"/>
  <c r="AD44" i="1"/>
  <c r="AD142" i="1" s="1"/>
  <c r="AC44" i="1"/>
  <c r="AC142" i="1" s="1"/>
  <c r="S142" i="1"/>
  <c r="D142" i="1"/>
  <c r="AG43" i="1"/>
  <c r="AG141" i="1" s="1"/>
  <c r="AE43" i="1"/>
  <c r="AE141" i="1" s="1"/>
  <c r="AD43" i="1"/>
  <c r="AD141" i="1" s="1"/>
  <c r="AC43" i="1"/>
  <c r="AC141" i="1" s="1"/>
  <c r="Z43" i="1"/>
  <c r="Z141" i="1" s="1"/>
  <c r="S141" i="1"/>
  <c r="D141" i="1"/>
  <c r="AG42" i="1"/>
  <c r="AG140" i="1" s="1"/>
  <c r="AE42" i="1"/>
  <c r="AE140" i="1" s="1"/>
  <c r="AD42" i="1"/>
  <c r="AD140" i="1" s="1"/>
  <c r="AC42" i="1"/>
  <c r="AC140" i="1" s="1"/>
  <c r="Z42" i="1"/>
  <c r="Z140" i="1" s="1"/>
  <c r="S140" i="1"/>
  <c r="D140" i="1"/>
  <c r="D22" i="38"/>
  <c r="U177" i="1"/>
  <c r="T190" i="1"/>
  <c r="T177" i="1"/>
  <c r="Y79" i="1"/>
  <c r="G177" i="1"/>
  <c r="M190" i="1"/>
  <c r="M177" i="1"/>
  <c r="E189" i="38"/>
  <c r="U176" i="1"/>
  <c r="T189" i="1"/>
  <c r="T176" i="1"/>
  <c r="Y78" i="1"/>
  <c r="K78" i="1" s="1"/>
  <c r="K176" i="1" s="1"/>
  <c r="G176" i="1"/>
  <c r="M189" i="1"/>
  <c r="M176" i="1"/>
  <c r="E186" i="38"/>
  <c r="U188" i="1"/>
  <c r="U175" i="1"/>
  <c r="T188" i="1"/>
  <c r="T175" i="1"/>
  <c r="Y77" i="1"/>
  <c r="Y175" i="1" s="1"/>
  <c r="G175" i="1"/>
  <c r="M188" i="1"/>
  <c r="M175" i="1"/>
  <c r="E183" i="38"/>
  <c r="U187" i="1"/>
  <c r="U174" i="1"/>
  <c r="T187" i="1"/>
  <c r="T174" i="1"/>
  <c r="Y76" i="1"/>
  <c r="K76" i="1" s="1"/>
  <c r="K174" i="1" s="1"/>
  <c r="G174" i="1"/>
  <c r="M187" i="1"/>
  <c r="M174" i="1"/>
  <c r="E180" i="38"/>
  <c r="U186" i="1"/>
  <c r="U173" i="1"/>
  <c r="T186" i="1"/>
  <c r="T173" i="1"/>
  <c r="Y88" i="1"/>
  <c r="K88" i="1" s="1"/>
  <c r="K186" i="1" s="1"/>
  <c r="Y75" i="1"/>
  <c r="K75" i="1" s="1"/>
  <c r="K173" i="1" s="1"/>
  <c r="G186" i="1"/>
  <c r="G173" i="1"/>
  <c r="M186" i="1"/>
  <c r="M173" i="1"/>
  <c r="E177" i="38"/>
  <c r="U185" i="1"/>
  <c r="U172" i="1"/>
  <c r="T185" i="1"/>
  <c r="T172" i="1"/>
  <c r="Y74" i="1"/>
  <c r="K74" i="1" s="1"/>
  <c r="K172" i="1" s="1"/>
  <c r="G172" i="1"/>
  <c r="M185" i="1"/>
  <c r="M172" i="1"/>
  <c r="E174" i="38"/>
  <c r="U184" i="1"/>
  <c r="U171" i="1"/>
  <c r="T184" i="1"/>
  <c r="T171" i="1"/>
  <c r="Y86" i="1"/>
  <c r="K86" i="1" s="1"/>
  <c r="K184" i="1" s="1"/>
  <c r="Y73" i="1"/>
  <c r="K73" i="1" s="1"/>
  <c r="K171" i="1" s="1"/>
  <c r="G184" i="1"/>
  <c r="G171" i="1"/>
  <c r="M184" i="1"/>
  <c r="M171" i="1"/>
  <c r="E171" i="38"/>
  <c r="U183" i="1"/>
  <c r="U170" i="1"/>
  <c r="T183" i="1"/>
  <c r="T170" i="1"/>
  <c r="Y85" i="1"/>
  <c r="K85" i="1" s="1"/>
  <c r="K183" i="1" s="1"/>
  <c r="Y72" i="1"/>
  <c r="K72" i="1" s="1"/>
  <c r="K170" i="1" s="1"/>
  <c r="G183" i="1"/>
  <c r="G170" i="1"/>
  <c r="M183" i="1"/>
  <c r="M170" i="1"/>
  <c r="E168" i="38"/>
  <c r="U182" i="1"/>
  <c r="U169" i="1"/>
  <c r="T182" i="1"/>
  <c r="T169" i="1"/>
  <c r="Y84" i="1"/>
  <c r="Y182" i="1" s="1"/>
  <c r="Y71" i="1"/>
  <c r="K71" i="1" s="1"/>
  <c r="K169" i="1" s="1"/>
  <c r="G182" i="1"/>
  <c r="G169" i="1"/>
  <c r="M182" i="1"/>
  <c r="M169" i="1"/>
  <c r="E165" i="38"/>
  <c r="U181" i="1"/>
  <c r="U168" i="1"/>
  <c r="T181" i="1"/>
  <c r="T168" i="1"/>
  <c r="Y83" i="1"/>
  <c r="K83" i="1" s="1"/>
  <c r="K181" i="1" s="1"/>
  <c r="Y70" i="1"/>
  <c r="K70" i="1" s="1"/>
  <c r="K168" i="1" s="1"/>
  <c r="G181" i="1"/>
  <c r="G168" i="1"/>
  <c r="M181" i="1"/>
  <c r="M168" i="1"/>
  <c r="E162" i="38"/>
  <c r="U180" i="1"/>
  <c r="T180" i="1"/>
  <c r="Y82" i="1"/>
  <c r="K82" i="1" s="1"/>
  <c r="K180" i="1" s="1"/>
  <c r="G180" i="1"/>
  <c r="M180" i="1"/>
  <c r="E159" i="38"/>
  <c r="U179" i="1"/>
  <c r="T179" i="1"/>
  <c r="Y81" i="1"/>
  <c r="G179" i="1"/>
  <c r="M179" i="1"/>
  <c r="E156" i="38"/>
  <c r="U178" i="1"/>
  <c r="T178" i="1"/>
  <c r="Y80" i="1"/>
  <c r="K80" i="1" s="1"/>
  <c r="K178" i="1" s="1"/>
  <c r="G178" i="1"/>
  <c r="M178" i="1"/>
  <c r="E153" i="38"/>
  <c r="E150" i="38"/>
  <c r="E147" i="38"/>
  <c r="E144" i="38"/>
  <c r="E141" i="38"/>
  <c r="E138" i="38"/>
  <c r="E135" i="38"/>
  <c r="E132" i="38"/>
  <c r="E129" i="38"/>
  <c r="E126" i="38"/>
  <c r="E123" i="38"/>
  <c r="E120" i="38"/>
  <c r="E117" i="38"/>
  <c r="E114" i="38"/>
  <c r="D174" i="1"/>
  <c r="D135" i="1"/>
  <c r="D175" i="1"/>
  <c r="D136" i="1"/>
  <c r="D176" i="1"/>
  <c r="D168" i="1"/>
  <c r="D137" i="1"/>
  <c r="D177" i="1"/>
  <c r="D169" i="1"/>
  <c r="D138" i="1"/>
  <c r="D178" i="1"/>
  <c r="D170" i="1"/>
  <c r="D139" i="1"/>
  <c r="D179" i="1"/>
  <c r="D171" i="1"/>
  <c r="D180" i="1"/>
  <c r="D172" i="1"/>
  <c r="D181" i="1"/>
  <c r="D173" i="1"/>
  <c r="D182" i="1"/>
  <c r="D183" i="1"/>
  <c r="D184" i="1"/>
  <c r="D185" i="1"/>
  <c r="D186" i="1"/>
  <c r="D187" i="1"/>
  <c r="U16" i="3"/>
  <c r="D188" i="1"/>
  <c r="D189" i="1"/>
  <c r="D190" i="1"/>
  <c r="D43" i="35"/>
  <c r="D42" i="35"/>
  <c r="D41" i="35"/>
  <c r="D40" i="35"/>
  <c r="D39" i="35"/>
  <c r="D38" i="35"/>
  <c r="D37" i="35"/>
  <c r="D36" i="35"/>
  <c r="D35" i="35"/>
  <c r="D34" i="35"/>
  <c r="D29" i="35"/>
  <c r="J43" i="35"/>
  <c r="J42" i="35"/>
  <c r="J41" i="35"/>
  <c r="J40" i="35"/>
  <c r="J39" i="35"/>
  <c r="J38" i="35"/>
  <c r="J37" i="35"/>
  <c r="J36" i="35"/>
  <c r="J35" i="35"/>
  <c r="J34" i="35"/>
  <c r="J29" i="35"/>
  <c r="D128" i="1"/>
  <c r="D127" i="1"/>
  <c r="D126" i="1"/>
  <c r="D124" i="1"/>
  <c r="D131" i="1"/>
  <c r="D122" i="1"/>
  <c r="D132" i="1"/>
  <c r="D121" i="1"/>
  <c r="L195" i="1"/>
  <c r="L194" i="1"/>
  <c r="L193" i="1"/>
  <c r="L135" i="1"/>
  <c r="L132" i="1"/>
  <c r="L131" i="1"/>
  <c r="L130" i="1"/>
  <c r="L129" i="1"/>
  <c r="L128" i="1"/>
  <c r="L127" i="1"/>
  <c r="L126" i="1"/>
  <c r="L125" i="1"/>
  <c r="L124" i="1"/>
  <c r="L123" i="1"/>
  <c r="L122" i="1"/>
  <c r="L121" i="1"/>
  <c r="H13" i="6" s="1"/>
  <c r="AB97" i="1"/>
  <c r="AB195" i="1" s="1"/>
  <c r="R195" i="1"/>
  <c r="AB96" i="1"/>
  <c r="AB194" i="1" s="1"/>
  <c r="R194" i="1"/>
  <c r="AB95" i="1"/>
  <c r="AB193" i="1" s="1"/>
  <c r="R193" i="1"/>
  <c r="R135" i="1"/>
  <c r="R132" i="1"/>
  <c r="R130" i="1"/>
  <c r="R129" i="1"/>
  <c r="R128" i="1"/>
  <c r="R127" i="1"/>
  <c r="R126" i="1"/>
  <c r="R125" i="1"/>
  <c r="R124" i="1"/>
  <c r="R123" i="1"/>
  <c r="R122" i="1"/>
  <c r="R121" i="1"/>
  <c r="R131" i="1"/>
  <c r="D193" i="1"/>
  <c r="D123" i="1"/>
  <c r="D125" i="1"/>
  <c r="D129" i="1"/>
  <c r="D130" i="1"/>
  <c r="D194" i="1"/>
  <c r="D195" i="1"/>
  <c r="A9" i="179"/>
  <c r="C12" i="179"/>
  <c r="F12" i="179"/>
  <c r="G12" i="179" s="1"/>
  <c r="H12" i="179" s="1"/>
  <c r="A13" i="179"/>
  <c r="A14" i="179" s="1"/>
  <c r="A15" i="179" s="1"/>
  <c r="A16" i="179" s="1"/>
  <c r="A17" i="179" s="1"/>
  <c r="A18" i="179" s="1"/>
  <c r="A19" i="179" s="1"/>
  <c r="A20" i="179" s="1"/>
  <c r="A21" i="179" s="1"/>
  <c r="A22" i="179" s="1"/>
  <c r="A23" i="179" s="1"/>
  <c r="A24" i="179" s="1"/>
  <c r="A25" i="179" s="1"/>
  <c r="A26" i="179" s="1"/>
  <c r="A27" i="179" s="1"/>
  <c r="A28" i="179" s="1"/>
  <c r="A29" i="179" s="1"/>
  <c r="A30" i="179" s="1"/>
  <c r="A31" i="179" s="1"/>
  <c r="A32" i="179" s="1"/>
  <c r="A33" i="179" s="1"/>
  <c r="A34" i="179" s="1"/>
  <c r="A35" i="179" s="1"/>
  <c r="A36" i="179" s="1"/>
  <c r="A37" i="179" s="1"/>
  <c r="A38" i="179" s="1"/>
  <c r="A39" i="179" s="1"/>
  <c r="A42" i="179" s="1"/>
  <c r="A43" i="179" s="1"/>
  <c r="A44" i="179" s="1"/>
  <c r="A45" i="179" s="1"/>
  <c r="A46" i="179" s="1"/>
  <c r="A47" i="179" s="1"/>
  <c r="A48" i="179" s="1"/>
  <c r="A49" i="179" s="1"/>
  <c r="A50" i="179" s="1"/>
  <c r="A51" i="179" s="1"/>
  <c r="A52" i="179" s="1"/>
  <c r="A53" i="179" s="1"/>
  <c r="A54" i="179" s="1"/>
  <c r="A55" i="179" s="1"/>
  <c r="A56" i="179" s="1"/>
  <c r="A57" i="179" s="1"/>
  <c r="A58" i="179" s="1"/>
  <c r="B13" i="179"/>
  <c r="B14" i="179" s="1"/>
  <c r="B15" i="179" s="1"/>
  <c r="B16" i="179" s="1"/>
  <c r="B17" i="179" s="1"/>
  <c r="B18" i="179" s="1"/>
  <c r="B19" i="179" s="1"/>
  <c r="B20" i="179" s="1"/>
  <c r="B21" i="179" s="1"/>
  <c r="B22" i="179" s="1"/>
  <c r="B23" i="179" s="1"/>
  <c r="B24" i="179" s="1"/>
  <c r="B25" i="179" s="1"/>
  <c r="B26" i="179" s="1"/>
  <c r="B27" i="179" s="1"/>
  <c r="B28" i="179" s="1"/>
  <c r="B29" i="179" s="1"/>
  <c r="B30" i="179" s="1"/>
  <c r="B31" i="179" s="1"/>
  <c r="B32" i="179" s="1"/>
  <c r="B33" i="179" s="1"/>
  <c r="B34" i="179" s="1"/>
  <c r="B35" i="179" s="1"/>
  <c r="B36" i="179" s="1"/>
  <c r="B37" i="179" s="1"/>
  <c r="B38" i="179" s="1"/>
  <c r="B39" i="179" s="1"/>
  <c r="B42" i="179" s="1"/>
  <c r="B43" i="179" s="1"/>
  <c r="B44" i="179" s="1"/>
  <c r="B45" i="179" s="1"/>
  <c r="B46" i="179" s="1"/>
  <c r="B47" i="179" s="1"/>
  <c r="B48" i="179" s="1"/>
  <c r="B49" i="179" s="1"/>
  <c r="B50" i="179" s="1"/>
  <c r="B51" i="179" s="1"/>
  <c r="B52" i="179" s="1"/>
  <c r="B53" i="179" s="1"/>
  <c r="B54" i="179" s="1"/>
  <c r="B55" i="179" s="1"/>
  <c r="B56" i="179" s="1"/>
  <c r="B57" i="179" s="1"/>
  <c r="B58" i="179" s="1"/>
  <c r="G13" i="179"/>
  <c r="H13" i="179" s="1"/>
  <c r="H21" i="179" s="1"/>
  <c r="G22" i="179"/>
  <c r="G18" i="179" s="1"/>
  <c r="H22" i="179"/>
  <c r="H18" i="179" s="1"/>
  <c r="F20" i="179"/>
  <c r="D20" i="179" s="1"/>
  <c r="G20" i="179"/>
  <c r="H20" i="179"/>
  <c r="F22" i="179"/>
  <c r="D22" i="179" s="1"/>
  <c r="H26" i="179"/>
  <c r="M35" i="179"/>
  <c r="L31" i="179"/>
  <c r="N31" i="179"/>
  <c r="U8" i="3"/>
  <c r="P31" i="185" s="1"/>
  <c r="L33" i="179"/>
  <c r="N33" i="179"/>
  <c r="P33" i="179"/>
  <c r="L35" i="179"/>
  <c r="C36" i="179"/>
  <c r="A9" i="180"/>
  <c r="C12" i="180"/>
  <c r="F12" i="180"/>
  <c r="D12" i="180" s="1"/>
  <c r="A13" i="180"/>
  <c r="A14" i="180" s="1"/>
  <c r="A15" i="180" s="1"/>
  <c r="A16" i="180" s="1"/>
  <c r="A17" i="180" s="1"/>
  <c r="A18" i="180" s="1"/>
  <c r="A19" i="180" s="1"/>
  <c r="A20" i="180" s="1"/>
  <c r="A21" i="180" s="1"/>
  <c r="A22" i="180" s="1"/>
  <c r="A23" i="180" s="1"/>
  <c r="A24" i="180" s="1"/>
  <c r="A25" i="180" s="1"/>
  <c r="A26" i="180" s="1"/>
  <c r="A27" i="180" s="1"/>
  <c r="A28" i="180" s="1"/>
  <c r="A29" i="180" s="1"/>
  <c r="A30" i="180" s="1"/>
  <c r="A31" i="180" s="1"/>
  <c r="A32" i="180" s="1"/>
  <c r="A33" i="180" s="1"/>
  <c r="A34" i="180" s="1"/>
  <c r="A35" i="180" s="1"/>
  <c r="A36" i="180" s="1"/>
  <c r="A37" i="180" s="1"/>
  <c r="A38" i="180" s="1"/>
  <c r="A39" i="180" s="1"/>
  <c r="A42" i="180" s="1"/>
  <c r="A43" i="180" s="1"/>
  <c r="A44" i="180" s="1"/>
  <c r="A45" i="180" s="1"/>
  <c r="A46" i="180" s="1"/>
  <c r="A47" i="180" s="1"/>
  <c r="A48" i="180" s="1"/>
  <c r="A49" i="180" s="1"/>
  <c r="A50" i="180" s="1"/>
  <c r="A51" i="180" s="1"/>
  <c r="A52" i="180" s="1"/>
  <c r="A53" i="180" s="1"/>
  <c r="A54" i="180" s="1"/>
  <c r="A55" i="180" s="1"/>
  <c r="A56" i="180" s="1"/>
  <c r="A57" i="180" s="1"/>
  <c r="A58" i="180" s="1"/>
  <c r="B13" i="180"/>
  <c r="B14" i="180" s="1"/>
  <c r="B15" i="180" s="1"/>
  <c r="B16" i="180" s="1"/>
  <c r="B17" i="180" s="1"/>
  <c r="B18" i="180" s="1"/>
  <c r="B19" i="180" s="1"/>
  <c r="B20" i="180" s="1"/>
  <c r="B21" i="180" s="1"/>
  <c r="B22" i="180" s="1"/>
  <c r="B23" i="180" s="1"/>
  <c r="B24" i="180" s="1"/>
  <c r="B25" i="180" s="1"/>
  <c r="B26" i="180" s="1"/>
  <c r="B27" i="180" s="1"/>
  <c r="B28" i="180" s="1"/>
  <c r="B29" i="180" s="1"/>
  <c r="B30" i="180" s="1"/>
  <c r="B31" i="180" s="1"/>
  <c r="B32" i="180" s="1"/>
  <c r="B33" i="180" s="1"/>
  <c r="B34" i="180" s="1"/>
  <c r="B35" i="180" s="1"/>
  <c r="B36" i="180" s="1"/>
  <c r="B37" i="180" s="1"/>
  <c r="B38" i="180" s="1"/>
  <c r="B39" i="180" s="1"/>
  <c r="B42" i="180" s="1"/>
  <c r="B43" i="180" s="1"/>
  <c r="B44" i="180" s="1"/>
  <c r="B45" i="180" s="1"/>
  <c r="B46" i="180" s="1"/>
  <c r="B47" i="180" s="1"/>
  <c r="B48" i="180" s="1"/>
  <c r="B49" i="180" s="1"/>
  <c r="B50" i="180" s="1"/>
  <c r="B51" i="180" s="1"/>
  <c r="B52" i="180" s="1"/>
  <c r="B53" i="180" s="1"/>
  <c r="B54" i="180" s="1"/>
  <c r="B55" i="180" s="1"/>
  <c r="B56" i="180" s="1"/>
  <c r="B57" i="180" s="1"/>
  <c r="B58" i="180" s="1"/>
  <c r="G13" i="180"/>
  <c r="G22" i="180"/>
  <c r="G18" i="180" s="1"/>
  <c r="H22" i="180"/>
  <c r="H18" i="180" s="1"/>
  <c r="F20" i="180"/>
  <c r="D20" i="180" s="1"/>
  <c r="G20" i="180"/>
  <c r="H20" i="180"/>
  <c r="F22" i="180"/>
  <c r="D22" i="180" s="1"/>
  <c r="H26" i="180"/>
  <c r="M35" i="180"/>
  <c r="L31" i="180"/>
  <c r="N31" i="180"/>
  <c r="L33" i="180"/>
  <c r="N33" i="180"/>
  <c r="P33" i="180"/>
  <c r="Q34" i="180"/>
  <c r="L35" i="180"/>
  <c r="C36" i="180"/>
  <c r="A9" i="181"/>
  <c r="C12" i="181"/>
  <c r="F12" i="181"/>
  <c r="D12" i="181" s="1"/>
  <c r="A13" i="181"/>
  <c r="A14" i="181" s="1"/>
  <c r="A15" i="181" s="1"/>
  <c r="A16" i="181" s="1"/>
  <c r="A17" i="181" s="1"/>
  <c r="A18" i="181" s="1"/>
  <c r="A19" i="181" s="1"/>
  <c r="A20" i="181" s="1"/>
  <c r="A21" i="181" s="1"/>
  <c r="A22" i="181" s="1"/>
  <c r="A23" i="181" s="1"/>
  <c r="A24" i="181" s="1"/>
  <c r="A25" i="181" s="1"/>
  <c r="A26" i="181" s="1"/>
  <c r="A27" i="181" s="1"/>
  <c r="A28" i="181" s="1"/>
  <c r="A29" i="181" s="1"/>
  <c r="A30" i="181" s="1"/>
  <c r="A31" i="181" s="1"/>
  <c r="A32" i="181" s="1"/>
  <c r="A33" i="181" s="1"/>
  <c r="A34" i="181" s="1"/>
  <c r="A35" i="181" s="1"/>
  <c r="A36" i="181" s="1"/>
  <c r="A37" i="181" s="1"/>
  <c r="A38" i="181" s="1"/>
  <c r="A39" i="181" s="1"/>
  <c r="A42" i="181" s="1"/>
  <c r="A43" i="181" s="1"/>
  <c r="A44" i="181" s="1"/>
  <c r="A45" i="181" s="1"/>
  <c r="A46" i="181" s="1"/>
  <c r="A47" i="181" s="1"/>
  <c r="A48" i="181" s="1"/>
  <c r="A49" i="181" s="1"/>
  <c r="A50" i="181" s="1"/>
  <c r="A51" i="181" s="1"/>
  <c r="A52" i="181" s="1"/>
  <c r="A53" i="181" s="1"/>
  <c r="A54" i="181" s="1"/>
  <c r="A55" i="181" s="1"/>
  <c r="A56" i="181" s="1"/>
  <c r="A57" i="181" s="1"/>
  <c r="A58" i="181" s="1"/>
  <c r="B13" i="181"/>
  <c r="B14" i="181" s="1"/>
  <c r="B15" i="181" s="1"/>
  <c r="B16" i="181" s="1"/>
  <c r="B17" i="181" s="1"/>
  <c r="B18" i="181" s="1"/>
  <c r="B19" i="181" s="1"/>
  <c r="B20" i="181" s="1"/>
  <c r="B21" i="181" s="1"/>
  <c r="B22" i="181" s="1"/>
  <c r="B23" i="181" s="1"/>
  <c r="B24" i="181" s="1"/>
  <c r="B25" i="181" s="1"/>
  <c r="B26" i="181" s="1"/>
  <c r="B27" i="181" s="1"/>
  <c r="B28" i="181" s="1"/>
  <c r="B29" i="181" s="1"/>
  <c r="B30" i="181" s="1"/>
  <c r="B31" i="181" s="1"/>
  <c r="B32" i="181" s="1"/>
  <c r="B33" i="181" s="1"/>
  <c r="B34" i="181" s="1"/>
  <c r="B35" i="181" s="1"/>
  <c r="B36" i="181" s="1"/>
  <c r="B37" i="181" s="1"/>
  <c r="B38" i="181" s="1"/>
  <c r="B39" i="181" s="1"/>
  <c r="B42" i="181" s="1"/>
  <c r="B43" i="181" s="1"/>
  <c r="B44" i="181" s="1"/>
  <c r="B45" i="181" s="1"/>
  <c r="B46" i="181" s="1"/>
  <c r="B47" i="181" s="1"/>
  <c r="B48" i="181" s="1"/>
  <c r="B49" i="181" s="1"/>
  <c r="B50" i="181" s="1"/>
  <c r="B51" i="181" s="1"/>
  <c r="B52" i="181" s="1"/>
  <c r="B53" i="181" s="1"/>
  <c r="B54" i="181" s="1"/>
  <c r="B55" i="181" s="1"/>
  <c r="B56" i="181" s="1"/>
  <c r="B57" i="181" s="1"/>
  <c r="B58" i="181" s="1"/>
  <c r="G13" i="181"/>
  <c r="H13" i="181" s="1"/>
  <c r="H21" i="181" s="1"/>
  <c r="G22" i="181"/>
  <c r="G18" i="181" s="1"/>
  <c r="H22" i="181"/>
  <c r="H18" i="181" s="1"/>
  <c r="F20" i="181"/>
  <c r="D20" i="181" s="1"/>
  <c r="G20" i="181"/>
  <c r="H20" i="181"/>
  <c r="F22" i="181"/>
  <c r="D22" i="181" s="1"/>
  <c r="H26" i="181"/>
  <c r="M35" i="181"/>
  <c r="L31" i="181"/>
  <c r="N31" i="181"/>
  <c r="L33" i="181"/>
  <c r="N33" i="181"/>
  <c r="P33" i="181"/>
  <c r="Q34" i="181"/>
  <c r="L35" i="181"/>
  <c r="C36" i="181"/>
  <c r="A9" i="182"/>
  <c r="C12" i="182"/>
  <c r="F12" i="182"/>
  <c r="D12" i="182" s="1"/>
  <c r="A13" i="182"/>
  <c r="A14" i="182" s="1"/>
  <c r="A15" i="182" s="1"/>
  <c r="A16" i="182" s="1"/>
  <c r="A17" i="182" s="1"/>
  <c r="A18" i="182" s="1"/>
  <c r="A19" i="182" s="1"/>
  <c r="A20" i="182" s="1"/>
  <c r="A21" i="182" s="1"/>
  <c r="A22" i="182" s="1"/>
  <c r="A23" i="182" s="1"/>
  <c r="A24" i="182" s="1"/>
  <c r="A25" i="182" s="1"/>
  <c r="A26" i="182" s="1"/>
  <c r="A27" i="182" s="1"/>
  <c r="A28" i="182" s="1"/>
  <c r="A29" i="182" s="1"/>
  <c r="A30" i="182" s="1"/>
  <c r="A31" i="182" s="1"/>
  <c r="A32" i="182" s="1"/>
  <c r="A33" i="182" s="1"/>
  <c r="A34" i="182" s="1"/>
  <c r="A35" i="182" s="1"/>
  <c r="A36" i="182" s="1"/>
  <c r="A37" i="182" s="1"/>
  <c r="A38" i="182" s="1"/>
  <c r="A39" i="182" s="1"/>
  <c r="A42" i="182" s="1"/>
  <c r="A43" i="182" s="1"/>
  <c r="A44" i="182" s="1"/>
  <c r="A45" i="182" s="1"/>
  <c r="A46" i="182" s="1"/>
  <c r="A47" i="182" s="1"/>
  <c r="A48" i="182" s="1"/>
  <c r="A49" i="182" s="1"/>
  <c r="A50" i="182" s="1"/>
  <c r="A51" i="182" s="1"/>
  <c r="A52" i="182" s="1"/>
  <c r="A53" i="182" s="1"/>
  <c r="A54" i="182" s="1"/>
  <c r="A55" i="182" s="1"/>
  <c r="A56" i="182" s="1"/>
  <c r="A57" i="182" s="1"/>
  <c r="A58" i="182" s="1"/>
  <c r="B13" i="182"/>
  <c r="B14" i="182" s="1"/>
  <c r="B15" i="182" s="1"/>
  <c r="B16" i="182" s="1"/>
  <c r="B17" i="182" s="1"/>
  <c r="B18" i="182" s="1"/>
  <c r="B19" i="182" s="1"/>
  <c r="B20" i="182" s="1"/>
  <c r="B21" i="182" s="1"/>
  <c r="B22" i="182" s="1"/>
  <c r="B23" i="182" s="1"/>
  <c r="B24" i="182" s="1"/>
  <c r="B25" i="182" s="1"/>
  <c r="B26" i="182" s="1"/>
  <c r="B27" i="182" s="1"/>
  <c r="B28" i="182" s="1"/>
  <c r="B29" i="182" s="1"/>
  <c r="B30" i="182" s="1"/>
  <c r="B31" i="182" s="1"/>
  <c r="B32" i="182" s="1"/>
  <c r="B33" i="182" s="1"/>
  <c r="B34" i="182" s="1"/>
  <c r="B35" i="182" s="1"/>
  <c r="B36" i="182" s="1"/>
  <c r="B37" i="182" s="1"/>
  <c r="B38" i="182" s="1"/>
  <c r="B39" i="182" s="1"/>
  <c r="B42" i="182" s="1"/>
  <c r="B43" i="182" s="1"/>
  <c r="B44" i="182" s="1"/>
  <c r="B45" i="182" s="1"/>
  <c r="B46" i="182" s="1"/>
  <c r="B47" i="182" s="1"/>
  <c r="B48" i="182" s="1"/>
  <c r="B49" i="182" s="1"/>
  <c r="B50" i="182" s="1"/>
  <c r="B51" i="182" s="1"/>
  <c r="B52" i="182" s="1"/>
  <c r="B53" i="182" s="1"/>
  <c r="B54" i="182" s="1"/>
  <c r="B55" i="182" s="1"/>
  <c r="B56" i="182" s="1"/>
  <c r="B57" i="182" s="1"/>
  <c r="B58" i="182" s="1"/>
  <c r="G13" i="182"/>
  <c r="G22" i="182"/>
  <c r="G18" i="182" s="1"/>
  <c r="H22" i="182"/>
  <c r="H18" i="182" s="1"/>
  <c r="F20" i="182"/>
  <c r="D20" i="182" s="1"/>
  <c r="G20" i="182"/>
  <c r="H20" i="182"/>
  <c r="F22" i="182"/>
  <c r="D22" i="182" s="1"/>
  <c r="AA32" i="182"/>
  <c r="AA33" i="182" s="1"/>
  <c r="O31" i="182"/>
  <c r="AD31" i="182" s="1"/>
  <c r="M31" i="182"/>
  <c r="AC31" i="182" s="1"/>
  <c r="AB32" i="182"/>
  <c r="AB33" i="182" s="1"/>
  <c r="M33" i="182"/>
  <c r="Q33" i="182"/>
  <c r="Q34" i="182" s="1"/>
  <c r="H26" i="182"/>
  <c r="M35" i="182"/>
  <c r="L31" i="182"/>
  <c r="N31" i="182"/>
  <c r="L33" i="182"/>
  <c r="N33" i="182"/>
  <c r="O33" i="182"/>
  <c r="P33" i="182"/>
  <c r="L35" i="182"/>
  <c r="C36" i="182"/>
  <c r="AA36" i="182"/>
  <c r="AA37" i="182" s="1"/>
  <c r="AB36" i="182"/>
  <c r="AB37" i="182" s="1"/>
  <c r="AA40" i="182"/>
  <c r="AA41" i="182" s="1"/>
  <c r="AB40" i="182"/>
  <c r="AB41" i="182" s="1"/>
  <c r="A9" i="183"/>
  <c r="C12" i="183"/>
  <c r="F12" i="183"/>
  <c r="G12" i="183" s="1"/>
  <c r="H12" i="183" s="1"/>
  <c r="A13" i="183"/>
  <c r="A14" i="183" s="1"/>
  <c r="A15" i="183" s="1"/>
  <c r="A16" i="183" s="1"/>
  <c r="A17" i="183" s="1"/>
  <c r="A18" i="183" s="1"/>
  <c r="A19" i="183" s="1"/>
  <c r="A20" i="183" s="1"/>
  <c r="A21" i="183" s="1"/>
  <c r="A22" i="183" s="1"/>
  <c r="A23" i="183" s="1"/>
  <c r="A24" i="183" s="1"/>
  <c r="A25" i="183" s="1"/>
  <c r="A26" i="183" s="1"/>
  <c r="A27" i="183" s="1"/>
  <c r="A28" i="183" s="1"/>
  <c r="A29" i="183" s="1"/>
  <c r="A30" i="183" s="1"/>
  <c r="A31" i="183" s="1"/>
  <c r="A32" i="183" s="1"/>
  <c r="A33" i="183" s="1"/>
  <c r="A34" i="183" s="1"/>
  <c r="A35" i="183" s="1"/>
  <c r="A36" i="183" s="1"/>
  <c r="A37" i="183" s="1"/>
  <c r="A38" i="183" s="1"/>
  <c r="A39" i="183" s="1"/>
  <c r="A42" i="183" s="1"/>
  <c r="A43" i="183" s="1"/>
  <c r="A44" i="183" s="1"/>
  <c r="A45" i="183" s="1"/>
  <c r="A46" i="183" s="1"/>
  <c r="A47" i="183" s="1"/>
  <c r="A48" i="183" s="1"/>
  <c r="A49" i="183" s="1"/>
  <c r="A50" i="183" s="1"/>
  <c r="A51" i="183" s="1"/>
  <c r="A52" i="183" s="1"/>
  <c r="A53" i="183" s="1"/>
  <c r="A54" i="183" s="1"/>
  <c r="A55" i="183" s="1"/>
  <c r="A56" i="183" s="1"/>
  <c r="A57" i="183" s="1"/>
  <c r="A58" i="183" s="1"/>
  <c r="B13" i="183"/>
  <c r="B14" i="183" s="1"/>
  <c r="B15" i="183" s="1"/>
  <c r="B16" i="183" s="1"/>
  <c r="B17" i="183" s="1"/>
  <c r="B18" i="183" s="1"/>
  <c r="B19" i="183" s="1"/>
  <c r="B20" i="183" s="1"/>
  <c r="B21" i="183" s="1"/>
  <c r="B22" i="183" s="1"/>
  <c r="B23" i="183" s="1"/>
  <c r="B24" i="183" s="1"/>
  <c r="B25" i="183" s="1"/>
  <c r="B26" i="183" s="1"/>
  <c r="B27" i="183" s="1"/>
  <c r="B28" i="183" s="1"/>
  <c r="B29" i="183" s="1"/>
  <c r="B30" i="183" s="1"/>
  <c r="B31" i="183" s="1"/>
  <c r="B32" i="183" s="1"/>
  <c r="B33" i="183" s="1"/>
  <c r="B34" i="183" s="1"/>
  <c r="B35" i="183" s="1"/>
  <c r="B36" i="183" s="1"/>
  <c r="B37" i="183" s="1"/>
  <c r="B38" i="183" s="1"/>
  <c r="B39" i="183" s="1"/>
  <c r="B42" i="183" s="1"/>
  <c r="B43" i="183" s="1"/>
  <c r="B44" i="183" s="1"/>
  <c r="B45" i="183" s="1"/>
  <c r="B46" i="183" s="1"/>
  <c r="B47" i="183" s="1"/>
  <c r="B48" i="183" s="1"/>
  <c r="B49" i="183" s="1"/>
  <c r="B50" i="183" s="1"/>
  <c r="B51" i="183" s="1"/>
  <c r="B52" i="183" s="1"/>
  <c r="B53" i="183" s="1"/>
  <c r="B54" i="183" s="1"/>
  <c r="B55" i="183" s="1"/>
  <c r="B56" i="183" s="1"/>
  <c r="B57" i="183" s="1"/>
  <c r="B58" i="183" s="1"/>
  <c r="G13" i="183"/>
  <c r="G22" i="183"/>
  <c r="G18" i="183" s="1"/>
  <c r="H22" i="183"/>
  <c r="H18" i="183" s="1"/>
  <c r="F20" i="183"/>
  <c r="D20" i="183" s="1"/>
  <c r="G20" i="183"/>
  <c r="H20" i="183"/>
  <c r="F22" i="183"/>
  <c r="D22" i="183" s="1"/>
  <c r="AA32" i="183"/>
  <c r="AA33" i="183" s="1"/>
  <c r="O31" i="183"/>
  <c r="M31" i="183"/>
  <c r="AC31" i="183" s="1"/>
  <c r="AB32" i="183"/>
  <c r="AB33" i="183" s="1"/>
  <c r="M33" i="183"/>
  <c r="Q33" i="183"/>
  <c r="Q34" i="183" s="1"/>
  <c r="H26" i="183"/>
  <c r="M35" i="183"/>
  <c r="L31" i="183"/>
  <c r="N31" i="183"/>
  <c r="L33" i="183"/>
  <c r="N33" i="183"/>
  <c r="O33" i="183"/>
  <c r="P33" i="183"/>
  <c r="L35" i="183"/>
  <c r="C36" i="183"/>
  <c r="AA36" i="183"/>
  <c r="AA37" i="183" s="1"/>
  <c r="AB36" i="183"/>
  <c r="AB37" i="183" s="1"/>
  <c r="AA40" i="183"/>
  <c r="AA41" i="183" s="1"/>
  <c r="AB40" i="183"/>
  <c r="AB41" i="183" s="1"/>
  <c r="A9" i="184"/>
  <c r="C12" i="184"/>
  <c r="F12" i="184"/>
  <c r="A13" i="184"/>
  <c r="A14" i="184" s="1"/>
  <c r="A15" i="184" s="1"/>
  <c r="A16" i="184" s="1"/>
  <c r="A17" i="184" s="1"/>
  <c r="A18" i="184" s="1"/>
  <c r="A19" i="184" s="1"/>
  <c r="A20" i="184" s="1"/>
  <c r="A21" i="184" s="1"/>
  <c r="A22" i="184" s="1"/>
  <c r="A23" i="184" s="1"/>
  <c r="A24" i="184" s="1"/>
  <c r="A25" i="184" s="1"/>
  <c r="A26" i="184" s="1"/>
  <c r="A27" i="184" s="1"/>
  <c r="A28" i="184" s="1"/>
  <c r="A29" i="184" s="1"/>
  <c r="A30" i="184" s="1"/>
  <c r="A31" i="184" s="1"/>
  <c r="A32" i="184" s="1"/>
  <c r="A33" i="184" s="1"/>
  <c r="A34" i="184" s="1"/>
  <c r="A35" i="184" s="1"/>
  <c r="A36" i="184" s="1"/>
  <c r="A37" i="184" s="1"/>
  <c r="A38" i="184" s="1"/>
  <c r="A39" i="184" s="1"/>
  <c r="A42" i="184" s="1"/>
  <c r="A43" i="184" s="1"/>
  <c r="A44" i="184" s="1"/>
  <c r="A45" i="184" s="1"/>
  <c r="A46" i="184" s="1"/>
  <c r="A47" i="184" s="1"/>
  <c r="A48" i="184" s="1"/>
  <c r="A49" i="184" s="1"/>
  <c r="A50" i="184" s="1"/>
  <c r="A51" i="184" s="1"/>
  <c r="A52" i="184" s="1"/>
  <c r="A53" i="184" s="1"/>
  <c r="A54" i="184" s="1"/>
  <c r="A55" i="184" s="1"/>
  <c r="A56" i="184" s="1"/>
  <c r="A57" i="184" s="1"/>
  <c r="A58" i="184" s="1"/>
  <c r="B13" i="184"/>
  <c r="B14" i="184" s="1"/>
  <c r="B15" i="184" s="1"/>
  <c r="B16" i="184" s="1"/>
  <c r="B17" i="184" s="1"/>
  <c r="B18" i="184" s="1"/>
  <c r="B19" i="184" s="1"/>
  <c r="B20" i="184" s="1"/>
  <c r="B21" i="184" s="1"/>
  <c r="B22" i="184" s="1"/>
  <c r="B23" i="184" s="1"/>
  <c r="B24" i="184" s="1"/>
  <c r="B25" i="184" s="1"/>
  <c r="B26" i="184" s="1"/>
  <c r="B27" i="184" s="1"/>
  <c r="B28" i="184" s="1"/>
  <c r="B29" i="184" s="1"/>
  <c r="B30" i="184" s="1"/>
  <c r="B31" i="184" s="1"/>
  <c r="B32" i="184" s="1"/>
  <c r="B33" i="184" s="1"/>
  <c r="B34" i="184" s="1"/>
  <c r="B35" i="184" s="1"/>
  <c r="B36" i="184" s="1"/>
  <c r="B37" i="184" s="1"/>
  <c r="B38" i="184" s="1"/>
  <c r="B39" i="184" s="1"/>
  <c r="B42" i="184" s="1"/>
  <c r="B43" i="184" s="1"/>
  <c r="B44" i="184" s="1"/>
  <c r="B45" i="184" s="1"/>
  <c r="B46" i="184" s="1"/>
  <c r="B47" i="184" s="1"/>
  <c r="B48" i="184" s="1"/>
  <c r="B49" i="184" s="1"/>
  <c r="B50" i="184" s="1"/>
  <c r="B51" i="184" s="1"/>
  <c r="B52" i="184" s="1"/>
  <c r="B53" i="184" s="1"/>
  <c r="B54" i="184" s="1"/>
  <c r="B55" i="184" s="1"/>
  <c r="B56" i="184" s="1"/>
  <c r="B57" i="184" s="1"/>
  <c r="B58" i="184" s="1"/>
  <c r="G13" i="184"/>
  <c r="H13" i="184" s="1"/>
  <c r="H21" i="184" s="1"/>
  <c r="G22" i="184"/>
  <c r="G18" i="184" s="1"/>
  <c r="H22" i="184"/>
  <c r="H18" i="184" s="1"/>
  <c r="F20" i="184"/>
  <c r="D20" i="184" s="1"/>
  <c r="G20" i="184"/>
  <c r="H20" i="184"/>
  <c r="F22" i="184"/>
  <c r="D22" i="184" s="1"/>
  <c r="AA32" i="184"/>
  <c r="AA33" i="184" s="1"/>
  <c r="O31" i="184"/>
  <c r="AD31" i="184" s="1"/>
  <c r="M31" i="184"/>
  <c r="AB32" i="184"/>
  <c r="AB33" i="184" s="1"/>
  <c r="M33" i="184"/>
  <c r="Q33" i="184"/>
  <c r="Q34" i="184" s="1"/>
  <c r="H26" i="184"/>
  <c r="M35" i="184"/>
  <c r="L31" i="184"/>
  <c r="N31" i="184"/>
  <c r="L33" i="184"/>
  <c r="N33" i="184"/>
  <c r="O33" i="184"/>
  <c r="P33" i="184"/>
  <c r="L35" i="184"/>
  <c r="C36" i="184"/>
  <c r="AA36" i="184"/>
  <c r="AA37" i="184" s="1"/>
  <c r="AB36" i="184"/>
  <c r="AB37" i="184" s="1"/>
  <c r="AA40" i="184"/>
  <c r="AA41" i="184" s="1"/>
  <c r="AB40" i="184"/>
  <c r="AB41" i="184" s="1"/>
  <c r="A9" i="185"/>
  <c r="C12" i="185"/>
  <c r="F12" i="185"/>
  <c r="A13" i="185"/>
  <c r="A14" i="185" s="1"/>
  <c r="A15" i="185" s="1"/>
  <c r="A16" i="185" s="1"/>
  <c r="A17" i="185" s="1"/>
  <c r="A18" i="185" s="1"/>
  <c r="A19" i="185" s="1"/>
  <c r="A20" i="185" s="1"/>
  <c r="A21" i="185" s="1"/>
  <c r="A22" i="185" s="1"/>
  <c r="A23" i="185" s="1"/>
  <c r="A24" i="185" s="1"/>
  <c r="A25" i="185" s="1"/>
  <c r="A26" i="185" s="1"/>
  <c r="A27" i="185" s="1"/>
  <c r="A28" i="185" s="1"/>
  <c r="A29" i="185" s="1"/>
  <c r="A30" i="185" s="1"/>
  <c r="A31" i="185" s="1"/>
  <c r="A32" i="185" s="1"/>
  <c r="A33" i="185" s="1"/>
  <c r="A34" i="185" s="1"/>
  <c r="A35" i="185" s="1"/>
  <c r="A36" i="185" s="1"/>
  <c r="A37" i="185" s="1"/>
  <c r="A38" i="185" s="1"/>
  <c r="A39" i="185" s="1"/>
  <c r="A42" i="185" s="1"/>
  <c r="A43" i="185" s="1"/>
  <c r="A44" i="185" s="1"/>
  <c r="A45" i="185" s="1"/>
  <c r="A46" i="185" s="1"/>
  <c r="A47" i="185" s="1"/>
  <c r="A48" i="185" s="1"/>
  <c r="A49" i="185" s="1"/>
  <c r="A50" i="185" s="1"/>
  <c r="A51" i="185" s="1"/>
  <c r="A52" i="185" s="1"/>
  <c r="A53" i="185" s="1"/>
  <c r="A54" i="185" s="1"/>
  <c r="A55" i="185" s="1"/>
  <c r="A56" i="185" s="1"/>
  <c r="A57" i="185" s="1"/>
  <c r="A58" i="185" s="1"/>
  <c r="B13" i="185"/>
  <c r="B14" i="185" s="1"/>
  <c r="B15" i="185" s="1"/>
  <c r="B16" i="185" s="1"/>
  <c r="B17" i="185" s="1"/>
  <c r="B18" i="185" s="1"/>
  <c r="B19" i="185" s="1"/>
  <c r="B20" i="185" s="1"/>
  <c r="B21" i="185" s="1"/>
  <c r="B22" i="185" s="1"/>
  <c r="B23" i="185" s="1"/>
  <c r="B24" i="185" s="1"/>
  <c r="B25" i="185" s="1"/>
  <c r="B26" i="185" s="1"/>
  <c r="B27" i="185" s="1"/>
  <c r="B28" i="185" s="1"/>
  <c r="B29" i="185" s="1"/>
  <c r="B30" i="185" s="1"/>
  <c r="B31" i="185" s="1"/>
  <c r="B32" i="185" s="1"/>
  <c r="B33" i="185" s="1"/>
  <c r="B34" i="185" s="1"/>
  <c r="B35" i="185" s="1"/>
  <c r="B36" i="185" s="1"/>
  <c r="B37" i="185" s="1"/>
  <c r="B38" i="185" s="1"/>
  <c r="B39" i="185" s="1"/>
  <c r="B42" i="185" s="1"/>
  <c r="B43" i="185" s="1"/>
  <c r="B44" i="185" s="1"/>
  <c r="B45" i="185" s="1"/>
  <c r="B46" i="185" s="1"/>
  <c r="B47" i="185" s="1"/>
  <c r="B48" i="185" s="1"/>
  <c r="B49" i="185" s="1"/>
  <c r="B50" i="185" s="1"/>
  <c r="B51" i="185" s="1"/>
  <c r="B52" i="185" s="1"/>
  <c r="B53" i="185" s="1"/>
  <c r="B54" i="185" s="1"/>
  <c r="B55" i="185" s="1"/>
  <c r="B56" i="185" s="1"/>
  <c r="B57" i="185" s="1"/>
  <c r="B58" i="185" s="1"/>
  <c r="G13" i="185"/>
  <c r="G21" i="185" s="1"/>
  <c r="G22" i="185"/>
  <c r="G18" i="185" s="1"/>
  <c r="H22" i="185"/>
  <c r="H18" i="185" s="1"/>
  <c r="F20" i="185"/>
  <c r="D20" i="185" s="1"/>
  <c r="G20" i="185"/>
  <c r="H20" i="185"/>
  <c r="F22" i="185"/>
  <c r="D22" i="185" s="1"/>
  <c r="AA32" i="185"/>
  <c r="AA33" i="185" s="1"/>
  <c r="O31" i="185"/>
  <c r="AD31" i="185" s="1"/>
  <c r="M31" i="185"/>
  <c r="AB32" i="185"/>
  <c r="AB33" i="185" s="1"/>
  <c r="M33" i="185"/>
  <c r="Q33" i="185"/>
  <c r="Q34" i="185" s="1"/>
  <c r="H26" i="185"/>
  <c r="M35" i="185"/>
  <c r="L31" i="185"/>
  <c r="N31" i="185"/>
  <c r="L33" i="185"/>
  <c r="N33" i="185"/>
  <c r="O33" i="185"/>
  <c r="P33" i="185"/>
  <c r="L35" i="185"/>
  <c r="C36" i="185"/>
  <c r="AA36" i="185"/>
  <c r="AA37" i="185" s="1"/>
  <c r="AB36" i="185"/>
  <c r="AB37" i="185" s="1"/>
  <c r="AA40" i="185"/>
  <c r="AA41" i="185" s="1"/>
  <c r="AB40" i="185"/>
  <c r="AB41" i="185" s="1"/>
  <c r="A9" i="186"/>
  <c r="C12" i="186"/>
  <c r="F12" i="186"/>
  <c r="G12" i="186" s="1"/>
  <c r="H12" i="186" s="1"/>
  <c r="A13" i="186"/>
  <c r="B13" i="186"/>
  <c r="B14" i="186" s="1"/>
  <c r="B15" i="186" s="1"/>
  <c r="B16" i="186" s="1"/>
  <c r="B17" i="186" s="1"/>
  <c r="B18" i="186" s="1"/>
  <c r="B19" i="186" s="1"/>
  <c r="B20" i="186" s="1"/>
  <c r="B21" i="186" s="1"/>
  <c r="B22" i="186" s="1"/>
  <c r="B23" i="186" s="1"/>
  <c r="B24" i="186" s="1"/>
  <c r="B25" i="186" s="1"/>
  <c r="B26" i="186" s="1"/>
  <c r="B27" i="186" s="1"/>
  <c r="B28" i="186" s="1"/>
  <c r="B29" i="186" s="1"/>
  <c r="B30" i="186" s="1"/>
  <c r="B31" i="186" s="1"/>
  <c r="B32" i="186" s="1"/>
  <c r="B33" i="186" s="1"/>
  <c r="B34" i="186" s="1"/>
  <c r="B35" i="186" s="1"/>
  <c r="B36" i="186" s="1"/>
  <c r="B37" i="186" s="1"/>
  <c r="B38" i="186" s="1"/>
  <c r="B39" i="186" s="1"/>
  <c r="B42" i="186" s="1"/>
  <c r="B43" i="186" s="1"/>
  <c r="B44" i="186" s="1"/>
  <c r="B45" i="186" s="1"/>
  <c r="B46" i="186" s="1"/>
  <c r="B47" i="186" s="1"/>
  <c r="B48" i="186" s="1"/>
  <c r="B49" i="186" s="1"/>
  <c r="B50" i="186" s="1"/>
  <c r="B51" i="186" s="1"/>
  <c r="B52" i="186" s="1"/>
  <c r="B53" i="186" s="1"/>
  <c r="B54" i="186" s="1"/>
  <c r="B55" i="186" s="1"/>
  <c r="B56" i="186" s="1"/>
  <c r="B57" i="186" s="1"/>
  <c r="B58" i="186" s="1"/>
  <c r="G13" i="186"/>
  <c r="G21" i="186" s="1"/>
  <c r="A14" i="186"/>
  <c r="A15" i="186" s="1"/>
  <c r="A16" i="186" s="1"/>
  <c r="A17" i="186" s="1"/>
  <c r="A18" i="186" s="1"/>
  <c r="A19" i="186" s="1"/>
  <c r="A20" i="186" s="1"/>
  <c r="A21" i="186" s="1"/>
  <c r="A22" i="186" s="1"/>
  <c r="A23" i="186" s="1"/>
  <c r="A24" i="186" s="1"/>
  <c r="A25" i="186" s="1"/>
  <c r="A26" i="186" s="1"/>
  <c r="A27" i="186" s="1"/>
  <c r="A28" i="186" s="1"/>
  <c r="A29" i="186" s="1"/>
  <c r="A30" i="186" s="1"/>
  <c r="A31" i="186" s="1"/>
  <c r="A32" i="186" s="1"/>
  <c r="A33" i="186" s="1"/>
  <c r="A34" i="186" s="1"/>
  <c r="A35" i="186" s="1"/>
  <c r="A36" i="186" s="1"/>
  <c r="A37" i="186" s="1"/>
  <c r="A38" i="186" s="1"/>
  <c r="A39" i="186" s="1"/>
  <c r="A42" i="186" s="1"/>
  <c r="A43" i="186" s="1"/>
  <c r="A44" i="186" s="1"/>
  <c r="A45" i="186" s="1"/>
  <c r="A46" i="186" s="1"/>
  <c r="A47" i="186" s="1"/>
  <c r="A48" i="186" s="1"/>
  <c r="A49" i="186" s="1"/>
  <c r="A50" i="186" s="1"/>
  <c r="A51" i="186" s="1"/>
  <c r="A52" i="186" s="1"/>
  <c r="A53" i="186" s="1"/>
  <c r="A54" i="186" s="1"/>
  <c r="A55" i="186" s="1"/>
  <c r="A56" i="186" s="1"/>
  <c r="A57" i="186" s="1"/>
  <c r="A58" i="186" s="1"/>
  <c r="G22" i="186"/>
  <c r="G18" i="186" s="1"/>
  <c r="H22" i="186"/>
  <c r="H18" i="186" s="1"/>
  <c r="F20" i="186"/>
  <c r="D20" i="186" s="1"/>
  <c r="G20" i="186"/>
  <c r="H20" i="186"/>
  <c r="F22" i="186"/>
  <c r="D22" i="186" s="1"/>
  <c r="AA32" i="186"/>
  <c r="AA33" i="186" s="1"/>
  <c r="O31" i="186"/>
  <c r="AD31" i="186" s="1"/>
  <c r="M31" i="186"/>
  <c r="AC31" i="186" s="1"/>
  <c r="AB32" i="186"/>
  <c r="AB33" i="186" s="1"/>
  <c r="M33" i="186"/>
  <c r="Q33" i="186"/>
  <c r="Q34" i="186" s="1"/>
  <c r="H26" i="186"/>
  <c r="M35" i="186"/>
  <c r="L31" i="186"/>
  <c r="N31" i="186"/>
  <c r="L33" i="186"/>
  <c r="N33" i="186"/>
  <c r="O33" i="186"/>
  <c r="P33" i="186"/>
  <c r="L35" i="186"/>
  <c r="C36" i="186"/>
  <c r="AA36" i="186"/>
  <c r="AA37" i="186" s="1"/>
  <c r="AB36" i="186"/>
  <c r="AB37" i="186" s="1"/>
  <c r="AA40" i="186"/>
  <c r="AA41" i="186" s="1"/>
  <c r="AB40" i="186"/>
  <c r="AB41" i="186" s="1"/>
  <c r="A9" i="187"/>
  <c r="C12" i="187"/>
  <c r="F12" i="187"/>
  <c r="G12" i="187" s="1"/>
  <c r="H12" i="187" s="1"/>
  <c r="A13" i="187"/>
  <c r="A14" i="187" s="1"/>
  <c r="A15" i="187" s="1"/>
  <c r="A16" i="187" s="1"/>
  <c r="A17" i="187" s="1"/>
  <c r="A18" i="187" s="1"/>
  <c r="A19" i="187" s="1"/>
  <c r="A20" i="187" s="1"/>
  <c r="A21" i="187" s="1"/>
  <c r="A22" i="187" s="1"/>
  <c r="A23" i="187" s="1"/>
  <c r="A24" i="187" s="1"/>
  <c r="A25" i="187" s="1"/>
  <c r="A26" i="187" s="1"/>
  <c r="A27" i="187" s="1"/>
  <c r="A28" i="187" s="1"/>
  <c r="A29" i="187" s="1"/>
  <c r="A30" i="187" s="1"/>
  <c r="A31" i="187" s="1"/>
  <c r="A32" i="187" s="1"/>
  <c r="A33" i="187" s="1"/>
  <c r="A34" i="187" s="1"/>
  <c r="A35" i="187" s="1"/>
  <c r="A36" i="187" s="1"/>
  <c r="A37" i="187" s="1"/>
  <c r="A38" i="187" s="1"/>
  <c r="A39" i="187" s="1"/>
  <c r="A42" i="187" s="1"/>
  <c r="A43" i="187" s="1"/>
  <c r="A44" i="187" s="1"/>
  <c r="A45" i="187" s="1"/>
  <c r="A46" i="187" s="1"/>
  <c r="A47" i="187" s="1"/>
  <c r="A48" i="187" s="1"/>
  <c r="A49" i="187" s="1"/>
  <c r="A50" i="187" s="1"/>
  <c r="A51" i="187" s="1"/>
  <c r="A52" i="187" s="1"/>
  <c r="A53" i="187" s="1"/>
  <c r="A54" i="187" s="1"/>
  <c r="A55" i="187" s="1"/>
  <c r="A56" i="187" s="1"/>
  <c r="A57" i="187" s="1"/>
  <c r="A58" i="187" s="1"/>
  <c r="B13" i="187"/>
  <c r="B14" i="187" s="1"/>
  <c r="B15" i="187" s="1"/>
  <c r="B16" i="187" s="1"/>
  <c r="B17" i="187" s="1"/>
  <c r="B18" i="187" s="1"/>
  <c r="B19" i="187" s="1"/>
  <c r="B20" i="187" s="1"/>
  <c r="B21" i="187" s="1"/>
  <c r="B22" i="187" s="1"/>
  <c r="B23" i="187" s="1"/>
  <c r="B24" i="187" s="1"/>
  <c r="B25" i="187" s="1"/>
  <c r="B26" i="187" s="1"/>
  <c r="B27" i="187" s="1"/>
  <c r="B28" i="187" s="1"/>
  <c r="B29" i="187" s="1"/>
  <c r="B30" i="187" s="1"/>
  <c r="B31" i="187" s="1"/>
  <c r="B32" i="187" s="1"/>
  <c r="B33" i="187" s="1"/>
  <c r="B34" i="187" s="1"/>
  <c r="B35" i="187" s="1"/>
  <c r="B36" i="187" s="1"/>
  <c r="B37" i="187" s="1"/>
  <c r="B38" i="187" s="1"/>
  <c r="B39" i="187" s="1"/>
  <c r="B42" i="187" s="1"/>
  <c r="B43" i="187" s="1"/>
  <c r="B44" i="187" s="1"/>
  <c r="B45" i="187" s="1"/>
  <c r="B46" i="187" s="1"/>
  <c r="B47" i="187" s="1"/>
  <c r="B48" i="187" s="1"/>
  <c r="B49" i="187" s="1"/>
  <c r="B50" i="187" s="1"/>
  <c r="B51" i="187" s="1"/>
  <c r="B52" i="187" s="1"/>
  <c r="B53" i="187" s="1"/>
  <c r="B54" i="187" s="1"/>
  <c r="B55" i="187" s="1"/>
  <c r="B56" i="187" s="1"/>
  <c r="B57" i="187" s="1"/>
  <c r="B58" i="187" s="1"/>
  <c r="G13" i="187"/>
  <c r="G21" i="187" s="1"/>
  <c r="G22" i="187"/>
  <c r="H22" i="187"/>
  <c r="H18" i="187" s="1"/>
  <c r="F20" i="187"/>
  <c r="D20" i="187" s="1"/>
  <c r="G20" i="187"/>
  <c r="H20" i="187"/>
  <c r="F22" i="187"/>
  <c r="D22" i="187" s="1"/>
  <c r="AA32" i="187"/>
  <c r="AA33" i="187" s="1"/>
  <c r="O31" i="187"/>
  <c r="M31" i="187"/>
  <c r="AC31" i="187" s="1"/>
  <c r="AB32" i="187"/>
  <c r="AB33" i="187" s="1"/>
  <c r="M33" i="187"/>
  <c r="Q33" i="187"/>
  <c r="Q34" i="187" s="1"/>
  <c r="H26" i="187"/>
  <c r="M35" i="187"/>
  <c r="L31" i="187"/>
  <c r="N31" i="187"/>
  <c r="L33" i="187"/>
  <c r="N33" i="187"/>
  <c r="O33" i="187"/>
  <c r="P33" i="187"/>
  <c r="L35" i="187"/>
  <c r="C36" i="187"/>
  <c r="AA36" i="187"/>
  <c r="AA37" i="187" s="1"/>
  <c r="AB36" i="187"/>
  <c r="AB37" i="187" s="1"/>
  <c r="AA40" i="187"/>
  <c r="AA41" i="187" s="1"/>
  <c r="AB40" i="187"/>
  <c r="AB41" i="187" s="1"/>
  <c r="A9" i="188"/>
  <c r="C12" i="188"/>
  <c r="F12" i="188"/>
  <c r="A13" i="188"/>
  <c r="A14" i="188" s="1"/>
  <c r="A15" i="188" s="1"/>
  <c r="A16" i="188" s="1"/>
  <c r="A17" i="188" s="1"/>
  <c r="A18" i="188" s="1"/>
  <c r="A19" i="188" s="1"/>
  <c r="A20" i="188" s="1"/>
  <c r="A21" i="188" s="1"/>
  <c r="A22" i="188" s="1"/>
  <c r="A23" i="188" s="1"/>
  <c r="A24" i="188" s="1"/>
  <c r="A25" i="188" s="1"/>
  <c r="A26" i="188" s="1"/>
  <c r="A27" i="188" s="1"/>
  <c r="A28" i="188" s="1"/>
  <c r="A29" i="188" s="1"/>
  <c r="A30" i="188" s="1"/>
  <c r="A31" i="188" s="1"/>
  <c r="A32" i="188" s="1"/>
  <c r="A33" i="188" s="1"/>
  <c r="A34" i="188" s="1"/>
  <c r="A35" i="188" s="1"/>
  <c r="A36" i="188" s="1"/>
  <c r="A37" i="188" s="1"/>
  <c r="A38" i="188" s="1"/>
  <c r="A39" i="188" s="1"/>
  <c r="A42" i="188" s="1"/>
  <c r="A43" i="188" s="1"/>
  <c r="A44" i="188" s="1"/>
  <c r="A45" i="188" s="1"/>
  <c r="A46" i="188" s="1"/>
  <c r="A47" i="188" s="1"/>
  <c r="A48" i="188" s="1"/>
  <c r="A49" i="188" s="1"/>
  <c r="A50" i="188" s="1"/>
  <c r="A51" i="188" s="1"/>
  <c r="A52" i="188" s="1"/>
  <c r="A53" i="188" s="1"/>
  <c r="A54" i="188" s="1"/>
  <c r="A55" i="188" s="1"/>
  <c r="A56" i="188" s="1"/>
  <c r="A57" i="188" s="1"/>
  <c r="A58" i="188" s="1"/>
  <c r="B13" i="188"/>
  <c r="B14" i="188" s="1"/>
  <c r="B15" i="188" s="1"/>
  <c r="B16" i="188" s="1"/>
  <c r="B17" i="188" s="1"/>
  <c r="B18" i="188" s="1"/>
  <c r="B19" i="188" s="1"/>
  <c r="B20" i="188" s="1"/>
  <c r="B21" i="188" s="1"/>
  <c r="B22" i="188" s="1"/>
  <c r="B23" i="188" s="1"/>
  <c r="B24" i="188" s="1"/>
  <c r="B25" i="188" s="1"/>
  <c r="B26" i="188" s="1"/>
  <c r="B27" i="188" s="1"/>
  <c r="B28" i="188" s="1"/>
  <c r="B29" i="188" s="1"/>
  <c r="B30" i="188" s="1"/>
  <c r="B31" i="188" s="1"/>
  <c r="B32" i="188" s="1"/>
  <c r="B33" i="188" s="1"/>
  <c r="B34" i="188" s="1"/>
  <c r="B35" i="188" s="1"/>
  <c r="B36" i="188" s="1"/>
  <c r="B37" i="188" s="1"/>
  <c r="B38" i="188" s="1"/>
  <c r="B39" i="188" s="1"/>
  <c r="B42" i="188" s="1"/>
  <c r="B43" i="188" s="1"/>
  <c r="B44" i="188" s="1"/>
  <c r="B45" i="188" s="1"/>
  <c r="B46" i="188" s="1"/>
  <c r="B47" i="188" s="1"/>
  <c r="B48" i="188" s="1"/>
  <c r="B49" i="188" s="1"/>
  <c r="B50" i="188" s="1"/>
  <c r="B51" i="188" s="1"/>
  <c r="B52" i="188" s="1"/>
  <c r="B53" i="188" s="1"/>
  <c r="B54" i="188" s="1"/>
  <c r="B55" i="188" s="1"/>
  <c r="B56" i="188" s="1"/>
  <c r="B57" i="188" s="1"/>
  <c r="B58" i="188" s="1"/>
  <c r="G13" i="188"/>
  <c r="H13" i="188" s="1"/>
  <c r="H21" i="188" s="1"/>
  <c r="G22" i="188"/>
  <c r="G18" i="188" s="1"/>
  <c r="H22" i="188"/>
  <c r="H18" i="188" s="1"/>
  <c r="F20" i="188"/>
  <c r="D20" i="188" s="1"/>
  <c r="G20" i="188"/>
  <c r="H20" i="188"/>
  <c r="F22" i="188"/>
  <c r="D22" i="188" s="1"/>
  <c r="AA32" i="188"/>
  <c r="AA33" i="188" s="1"/>
  <c r="O31" i="188"/>
  <c r="AD31" i="188" s="1"/>
  <c r="M31" i="188"/>
  <c r="AB32" i="188"/>
  <c r="AB33" i="188" s="1"/>
  <c r="M33" i="188"/>
  <c r="Q33" i="188"/>
  <c r="Q34" i="188" s="1"/>
  <c r="H26" i="188"/>
  <c r="M35" i="188"/>
  <c r="L31" i="188"/>
  <c r="N31" i="188"/>
  <c r="L33" i="188"/>
  <c r="N33" i="188"/>
  <c r="O33" i="188"/>
  <c r="P33" i="188"/>
  <c r="L35" i="188"/>
  <c r="C36" i="188"/>
  <c r="AA36" i="188"/>
  <c r="AB36" i="188"/>
  <c r="AB37" i="188" s="1"/>
  <c r="AA40" i="188"/>
  <c r="AA41" i="188" s="1"/>
  <c r="AB40" i="188"/>
  <c r="AB41" i="188" s="1"/>
  <c r="C42" i="6"/>
  <c r="C26" i="6"/>
  <c r="N195" i="1"/>
  <c r="N194" i="1"/>
  <c r="N135" i="1"/>
  <c r="N132" i="1"/>
  <c r="N131" i="1"/>
  <c r="N130" i="1"/>
  <c r="N129" i="1"/>
  <c r="N128" i="1"/>
  <c r="N127" i="1"/>
  <c r="N126" i="1"/>
  <c r="AG97" i="1"/>
  <c r="AG195" i="1" s="1"/>
  <c r="AE97" i="1"/>
  <c r="AE195" i="1" s="1"/>
  <c r="AD97" i="1"/>
  <c r="AD195" i="1" s="1"/>
  <c r="AC97" i="1"/>
  <c r="AC195" i="1" s="1"/>
  <c r="S195" i="1"/>
  <c r="AG96" i="1"/>
  <c r="AG194" i="1" s="1"/>
  <c r="AE96" i="1"/>
  <c r="AE194" i="1" s="1"/>
  <c r="AD96" i="1"/>
  <c r="AD194" i="1" s="1"/>
  <c r="AC96" i="1"/>
  <c r="AC194" i="1" s="1"/>
  <c r="Y194" i="1"/>
  <c r="S194" i="1"/>
  <c r="AG92" i="1"/>
  <c r="AG190" i="1" s="1"/>
  <c r="AE92" i="1"/>
  <c r="AE190" i="1" s="1"/>
  <c r="AD92" i="1"/>
  <c r="AD190" i="1" s="1"/>
  <c r="AC92" i="1"/>
  <c r="AC190" i="1" s="1"/>
  <c r="U190" i="1"/>
  <c r="S190" i="1"/>
  <c r="AG91" i="1"/>
  <c r="AG189" i="1" s="1"/>
  <c r="AE91" i="1"/>
  <c r="AE189" i="1" s="1"/>
  <c r="AD91" i="1"/>
  <c r="AD189" i="1" s="1"/>
  <c r="AC91" i="1"/>
  <c r="AC189" i="1" s="1"/>
  <c r="U189" i="1"/>
  <c r="S189" i="1"/>
  <c r="AG90" i="1"/>
  <c r="AG188" i="1" s="1"/>
  <c r="AE90" i="1"/>
  <c r="AE188" i="1" s="1"/>
  <c r="AD90" i="1"/>
  <c r="AD188" i="1" s="1"/>
  <c r="AC90" i="1"/>
  <c r="AC188" i="1" s="1"/>
  <c r="S188" i="1"/>
  <c r="AG89" i="1"/>
  <c r="AG187" i="1" s="1"/>
  <c r="AE89" i="1"/>
  <c r="AE187" i="1" s="1"/>
  <c r="AD89" i="1"/>
  <c r="AD187" i="1" s="1"/>
  <c r="AC89" i="1"/>
  <c r="AC187" i="1" s="1"/>
  <c r="S187" i="1"/>
  <c r="AG88" i="1"/>
  <c r="AG186" i="1" s="1"/>
  <c r="AE88" i="1"/>
  <c r="AE186" i="1" s="1"/>
  <c r="AD88" i="1"/>
  <c r="AD186" i="1" s="1"/>
  <c r="AC88" i="1"/>
  <c r="AC186" i="1" s="1"/>
  <c r="Y186" i="1"/>
  <c r="S186" i="1"/>
  <c r="AG87" i="1"/>
  <c r="AG185" i="1" s="1"/>
  <c r="AE87" i="1"/>
  <c r="AE185" i="1" s="1"/>
  <c r="AD87" i="1"/>
  <c r="AD185" i="1" s="1"/>
  <c r="AC87" i="1"/>
  <c r="AC185" i="1" s="1"/>
  <c r="S185" i="1"/>
  <c r="AG86" i="1"/>
  <c r="AG184" i="1" s="1"/>
  <c r="AE86" i="1"/>
  <c r="AE184" i="1" s="1"/>
  <c r="AD86" i="1"/>
  <c r="AD184" i="1" s="1"/>
  <c r="AC86" i="1"/>
  <c r="AC184" i="1" s="1"/>
  <c r="S184" i="1"/>
  <c r="AG85" i="1"/>
  <c r="AG183" i="1" s="1"/>
  <c r="AE85" i="1"/>
  <c r="AE183" i="1" s="1"/>
  <c r="AD85" i="1"/>
  <c r="AD183" i="1" s="1"/>
  <c r="AC85" i="1"/>
  <c r="AC183" i="1" s="1"/>
  <c r="Z85" i="1"/>
  <c r="Z183" i="1" s="1"/>
  <c r="S183" i="1"/>
  <c r="AG84" i="1"/>
  <c r="AG182" i="1" s="1"/>
  <c r="AE84" i="1"/>
  <c r="AE182" i="1" s="1"/>
  <c r="AD84" i="1"/>
  <c r="AD182" i="1" s="1"/>
  <c r="AC84" i="1"/>
  <c r="AC182" i="1" s="1"/>
  <c r="S182" i="1"/>
  <c r="AG83" i="1"/>
  <c r="AG181" i="1" s="1"/>
  <c r="AE83" i="1"/>
  <c r="AE181" i="1" s="1"/>
  <c r="AD83" i="1"/>
  <c r="AD181" i="1" s="1"/>
  <c r="AC83" i="1"/>
  <c r="AC181" i="1" s="1"/>
  <c r="S181" i="1"/>
  <c r="AG82" i="1"/>
  <c r="AG180" i="1" s="1"/>
  <c r="AE82" i="1"/>
  <c r="AE180" i="1" s="1"/>
  <c r="AD82" i="1"/>
  <c r="AD180" i="1" s="1"/>
  <c r="AC82" i="1"/>
  <c r="AC180" i="1" s="1"/>
  <c r="S180" i="1"/>
  <c r="AG81" i="1"/>
  <c r="AG179" i="1" s="1"/>
  <c r="AE81" i="1"/>
  <c r="AE179" i="1" s="1"/>
  <c r="AD81" i="1"/>
  <c r="AD179" i="1" s="1"/>
  <c r="AC81" i="1"/>
  <c r="AC179" i="1" s="1"/>
  <c r="S179" i="1"/>
  <c r="AG80" i="1"/>
  <c r="AG178" i="1" s="1"/>
  <c r="AE80" i="1"/>
  <c r="AE178" i="1" s="1"/>
  <c r="AD80" i="1"/>
  <c r="AD178" i="1" s="1"/>
  <c r="AC80" i="1"/>
  <c r="AC178" i="1" s="1"/>
  <c r="Y178" i="1"/>
  <c r="S178" i="1"/>
  <c r="AG79" i="1"/>
  <c r="AG177" i="1" s="1"/>
  <c r="AE79" i="1"/>
  <c r="AE177" i="1" s="1"/>
  <c r="AD79" i="1"/>
  <c r="AD177" i="1" s="1"/>
  <c r="AC79" i="1"/>
  <c r="AC177" i="1" s="1"/>
  <c r="S177" i="1"/>
  <c r="AG78" i="1"/>
  <c r="AG176" i="1" s="1"/>
  <c r="AE78" i="1"/>
  <c r="AE176" i="1" s="1"/>
  <c r="AD78" i="1"/>
  <c r="AD176" i="1" s="1"/>
  <c r="AC78" i="1"/>
  <c r="AC176" i="1" s="1"/>
  <c r="S176" i="1"/>
  <c r="AG77" i="1"/>
  <c r="AG175" i="1" s="1"/>
  <c r="AE77" i="1"/>
  <c r="AE175" i="1" s="1"/>
  <c r="AD77" i="1"/>
  <c r="AD175" i="1" s="1"/>
  <c r="AC77" i="1"/>
  <c r="AC175" i="1" s="1"/>
  <c r="S175" i="1"/>
  <c r="AG76" i="1"/>
  <c r="AG174" i="1" s="1"/>
  <c r="AE76" i="1"/>
  <c r="AE174" i="1" s="1"/>
  <c r="AD76" i="1"/>
  <c r="AD174" i="1" s="1"/>
  <c r="AC76" i="1"/>
  <c r="AC174" i="1" s="1"/>
  <c r="Z76" i="1"/>
  <c r="Z174" i="1" s="1"/>
  <c r="S174" i="1"/>
  <c r="AG75" i="1"/>
  <c r="AG173" i="1" s="1"/>
  <c r="AE75" i="1"/>
  <c r="AE173" i="1" s="1"/>
  <c r="AD75" i="1"/>
  <c r="AD173" i="1" s="1"/>
  <c r="AC75" i="1"/>
  <c r="AC173" i="1" s="1"/>
  <c r="S173" i="1"/>
  <c r="AG74" i="1"/>
  <c r="AG172" i="1" s="1"/>
  <c r="AE74" i="1"/>
  <c r="AE172" i="1" s="1"/>
  <c r="AD74" i="1"/>
  <c r="AD172" i="1" s="1"/>
  <c r="AC74" i="1"/>
  <c r="AC172" i="1" s="1"/>
  <c r="Z74" i="1"/>
  <c r="Z172" i="1" s="1"/>
  <c r="S172" i="1"/>
  <c r="AG73" i="1"/>
  <c r="AG171" i="1" s="1"/>
  <c r="AE73" i="1"/>
  <c r="AE171" i="1" s="1"/>
  <c r="AD73" i="1"/>
  <c r="AD171" i="1" s="1"/>
  <c r="AC73" i="1"/>
  <c r="AC171" i="1" s="1"/>
  <c r="Y171" i="1"/>
  <c r="S171" i="1"/>
  <c r="AG72" i="1"/>
  <c r="AG170" i="1" s="1"/>
  <c r="AE72" i="1"/>
  <c r="AE170" i="1" s="1"/>
  <c r="AD72" i="1"/>
  <c r="AD170" i="1" s="1"/>
  <c r="AC72" i="1"/>
  <c r="AC170" i="1" s="1"/>
  <c r="S170" i="1"/>
  <c r="AG71" i="1"/>
  <c r="AG169" i="1" s="1"/>
  <c r="AE71" i="1"/>
  <c r="AE169" i="1" s="1"/>
  <c r="AD71" i="1"/>
  <c r="AD169" i="1" s="1"/>
  <c r="AC71" i="1"/>
  <c r="AC169" i="1" s="1"/>
  <c r="Z71" i="1"/>
  <c r="Z169" i="1" s="1"/>
  <c r="Y169" i="1"/>
  <c r="S169" i="1"/>
  <c r="AG70" i="1"/>
  <c r="AG168" i="1" s="1"/>
  <c r="AE70" i="1"/>
  <c r="AE168" i="1" s="1"/>
  <c r="AD70" i="1"/>
  <c r="AD168" i="1" s="1"/>
  <c r="AC70" i="1"/>
  <c r="AC168" i="1" s="1"/>
  <c r="Y168" i="1"/>
  <c r="S168" i="1"/>
  <c r="AG69" i="1"/>
  <c r="AG167" i="1" s="1"/>
  <c r="AE69" i="1"/>
  <c r="AE167" i="1" s="1"/>
  <c r="AD69" i="1"/>
  <c r="AD167" i="1" s="1"/>
  <c r="AC69" i="1"/>
  <c r="AC167" i="1" s="1"/>
  <c r="Z69" i="1"/>
  <c r="Z167" i="1" s="1"/>
  <c r="S167" i="1"/>
  <c r="AG53" i="1"/>
  <c r="AG151" i="1" s="1"/>
  <c r="AE53" i="1"/>
  <c r="AE151" i="1" s="1"/>
  <c r="AD53" i="1"/>
  <c r="AD151" i="1" s="1"/>
  <c r="AC53" i="1"/>
  <c r="AC151" i="1" s="1"/>
  <c r="Z53" i="1"/>
  <c r="Z151" i="1" s="1"/>
  <c r="Y151" i="1"/>
  <c r="S151" i="1"/>
  <c r="AG41" i="1"/>
  <c r="AG139" i="1" s="1"/>
  <c r="AE41" i="1"/>
  <c r="AE139" i="1" s="1"/>
  <c r="AD41" i="1"/>
  <c r="AD139" i="1" s="1"/>
  <c r="AC41" i="1"/>
  <c r="AC139" i="1" s="1"/>
  <c r="S139" i="1"/>
  <c r="AG40" i="1"/>
  <c r="AG138" i="1" s="1"/>
  <c r="AE40" i="1"/>
  <c r="AE138" i="1" s="1"/>
  <c r="AD40" i="1"/>
  <c r="AD138" i="1" s="1"/>
  <c r="AC40" i="1"/>
  <c r="AC138" i="1" s="1"/>
  <c r="Y138" i="1"/>
  <c r="S138" i="1"/>
  <c r="AG39" i="1"/>
  <c r="AG137" i="1" s="1"/>
  <c r="AE39" i="1"/>
  <c r="AE137" i="1" s="1"/>
  <c r="AD39" i="1"/>
  <c r="AD137" i="1" s="1"/>
  <c r="AC39" i="1"/>
  <c r="AC137" i="1" s="1"/>
  <c r="Z39" i="1"/>
  <c r="Z137" i="1" s="1"/>
  <c r="S137" i="1"/>
  <c r="AG38" i="1"/>
  <c r="AG136" i="1" s="1"/>
  <c r="AE38" i="1"/>
  <c r="AE136" i="1" s="1"/>
  <c r="AD38" i="1"/>
  <c r="AD136" i="1" s="1"/>
  <c r="AC38" i="1"/>
  <c r="AC136" i="1" s="1"/>
  <c r="Z38" i="1"/>
  <c r="Z136" i="1" s="1"/>
  <c r="S136" i="1"/>
  <c r="AG34" i="1"/>
  <c r="AG132" i="1" s="1"/>
  <c r="AE34" i="1"/>
  <c r="AE132" i="1" s="1"/>
  <c r="AD34" i="1"/>
  <c r="AD132" i="1" s="1"/>
  <c r="AC34" i="1"/>
  <c r="AC132" i="1" s="1"/>
  <c r="Z34" i="1"/>
  <c r="Z132" i="1" s="1"/>
  <c r="Y132" i="1"/>
  <c r="S132" i="1"/>
  <c r="AG33" i="1"/>
  <c r="AG131" i="1" s="1"/>
  <c r="AE33" i="1"/>
  <c r="AE131" i="1" s="1"/>
  <c r="AD33" i="1"/>
  <c r="AD131" i="1" s="1"/>
  <c r="AC33" i="1"/>
  <c r="AC131" i="1" s="1"/>
  <c r="Z33" i="1"/>
  <c r="Z131" i="1" s="1"/>
  <c r="S131" i="1"/>
  <c r="AG32" i="1"/>
  <c r="AG130" i="1" s="1"/>
  <c r="AE32" i="1"/>
  <c r="AE130" i="1" s="1"/>
  <c r="AD32" i="1"/>
  <c r="AD130" i="1" s="1"/>
  <c r="AC32" i="1"/>
  <c r="AC130" i="1" s="1"/>
  <c r="Z32" i="1"/>
  <c r="Z130" i="1" s="1"/>
  <c r="S130" i="1"/>
  <c r="AG31" i="1"/>
  <c r="AG129" i="1" s="1"/>
  <c r="AE31" i="1"/>
  <c r="AE129" i="1" s="1"/>
  <c r="AD31" i="1"/>
  <c r="AD129" i="1" s="1"/>
  <c r="AC31" i="1"/>
  <c r="AC129" i="1" s="1"/>
  <c r="Z31" i="1"/>
  <c r="Z129" i="1" s="1"/>
  <c r="Y129" i="1"/>
  <c r="S129" i="1"/>
  <c r="AG30" i="1"/>
  <c r="AG128" i="1" s="1"/>
  <c r="AE30" i="1"/>
  <c r="AE128" i="1" s="1"/>
  <c r="AD30" i="1"/>
  <c r="AD128" i="1" s="1"/>
  <c r="AC30" i="1"/>
  <c r="AC128" i="1" s="1"/>
  <c r="S128" i="1"/>
  <c r="AG29" i="1"/>
  <c r="AG127" i="1" s="1"/>
  <c r="AE29" i="1"/>
  <c r="AE127" i="1" s="1"/>
  <c r="AD29" i="1"/>
  <c r="AD127" i="1" s="1"/>
  <c r="AC29" i="1"/>
  <c r="AC127" i="1" s="1"/>
  <c r="S127" i="1"/>
  <c r="AG28" i="1"/>
  <c r="AG126" i="1" s="1"/>
  <c r="AE28" i="1"/>
  <c r="AE126" i="1" s="1"/>
  <c r="AD28" i="1"/>
  <c r="AD126" i="1" s="1"/>
  <c r="AC28" i="1"/>
  <c r="AC126" i="1" s="1"/>
  <c r="Z28" i="1"/>
  <c r="Z126" i="1" s="1"/>
  <c r="S126" i="1"/>
  <c r="AG27" i="1"/>
  <c r="AG125" i="1" s="1"/>
  <c r="AE27" i="1"/>
  <c r="AE125" i="1" s="1"/>
  <c r="AD27" i="1"/>
  <c r="AD125" i="1" s="1"/>
  <c r="AC27" i="1"/>
  <c r="AC125" i="1" s="1"/>
  <c r="Z27" i="1"/>
  <c r="Z125" i="1" s="1"/>
  <c r="Y125" i="1"/>
  <c r="S125" i="1"/>
  <c r="N125" i="1"/>
  <c r="AG26" i="1"/>
  <c r="AG124" i="1" s="1"/>
  <c r="AE26" i="1"/>
  <c r="AE124" i="1" s="1"/>
  <c r="AD26" i="1"/>
  <c r="AD124" i="1" s="1"/>
  <c r="AC26" i="1"/>
  <c r="AC124" i="1" s="1"/>
  <c r="Y124" i="1"/>
  <c r="S124" i="1"/>
  <c r="N124" i="1"/>
  <c r="AG25" i="1"/>
  <c r="AG123" i="1" s="1"/>
  <c r="AE25" i="1"/>
  <c r="AE123" i="1" s="1"/>
  <c r="AD25" i="1"/>
  <c r="AD123" i="1" s="1"/>
  <c r="AC25" i="1"/>
  <c r="AC123" i="1" s="1"/>
  <c r="S123" i="1"/>
  <c r="N123" i="1"/>
  <c r="AG24" i="1"/>
  <c r="AG122" i="1" s="1"/>
  <c r="AE24" i="1"/>
  <c r="AE122" i="1" s="1"/>
  <c r="AD24" i="1"/>
  <c r="AD122" i="1" s="1"/>
  <c r="AC24" i="1"/>
  <c r="AC122" i="1" s="1"/>
  <c r="Y122" i="1"/>
  <c r="S122" i="1"/>
  <c r="N122" i="1"/>
  <c r="C85" i="6"/>
  <c r="N193" i="1"/>
  <c r="N121" i="1"/>
  <c r="AC23" i="1"/>
  <c r="AC121" i="1" s="1"/>
  <c r="AD23" i="1"/>
  <c r="AD121" i="1" s="1"/>
  <c r="AE23" i="1"/>
  <c r="AE121" i="1" s="1"/>
  <c r="AG23" i="1"/>
  <c r="AG121" i="1" s="1"/>
  <c r="AC37" i="1"/>
  <c r="AC135" i="1" s="1"/>
  <c r="AD37" i="1"/>
  <c r="AD135" i="1" s="1"/>
  <c r="AE37" i="1"/>
  <c r="AE135" i="1" s="1"/>
  <c r="AG37" i="1"/>
  <c r="AG135" i="1" s="1"/>
  <c r="Z95" i="1"/>
  <c r="Z193" i="1" s="1"/>
  <c r="AC95" i="1"/>
  <c r="AC193" i="1" s="1"/>
  <c r="AD95" i="1"/>
  <c r="AD193" i="1" s="1"/>
  <c r="AE95" i="1"/>
  <c r="AE193" i="1" s="1"/>
  <c r="AG95" i="1"/>
  <c r="AG193" i="1" s="1"/>
  <c r="S121" i="1"/>
  <c r="S135" i="1"/>
  <c r="Y135" i="1"/>
  <c r="S193" i="1"/>
  <c r="C1" i="6"/>
  <c r="L1" i="6"/>
  <c r="C2" i="6"/>
  <c r="L2" i="6"/>
  <c r="C3" i="6"/>
  <c r="B6" i="9"/>
  <c r="B7" i="9"/>
  <c r="L13" i="9" s="1"/>
  <c r="B8" i="9"/>
  <c r="N17" i="9"/>
  <c r="J21" i="9"/>
  <c r="N21" i="9"/>
  <c r="J30" i="9"/>
  <c r="A1" i="11"/>
  <c r="A2" i="11"/>
  <c r="A3" i="11"/>
  <c r="K16" i="11"/>
  <c r="L16" i="11"/>
  <c r="M16" i="11" s="1"/>
  <c r="E17" i="11"/>
  <c r="L17" i="11"/>
  <c r="M17" i="11" s="1"/>
  <c r="D19" i="13"/>
  <c r="E19" i="13" s="1"/>
  <c r="L23" i="11"/>
  <c r="M23" i="11" s="1"/>
  <c r="C27" i="11"/>
  <c r="D27" i="11"/>
  <c r="E27" i="11" s="1"/>
  <c r="D28" i="11"/>
  <c r="E28" i="11" s="1"/>
  <c r="L27" i="11"/>
  <c r="M27" i="11"/>
  <c r="D32" i="11"/>
  <c r="E32" i="11" s="1"/>
  <c r="D34" i="11"/>
  <c r="E34" i="11" s="1"/>
  <c r="L33" i="11"/>
  <c r="M33" i="11" s="1"/>
  <c r="D37" i="11"/>
  <c r="E37" i="11" s="1"/>
  <c r="Q31" i="12"/>
  <c r="R31" i="12" s="1"/>
  <c r="T31" i="12"/>
  <c r="U31" i="12" s="1"/>
  <c r="V54" i="12"/>
  <c r="V62" i="12" s="1"/>
  <c r="L62" i="12"/>
  <c r="W31" i="12"/>
  <c r="V82" i="12"/>
  <c r="S48" i="12"/>
  <c r="S54" i="12" s="1"/>
  <c r="S62" i="12" s="1"/>
  <c r="S50" i="12"/>
  <c r="S58" i="12" s="1"/>
  <c r="T48" i="12"/>
  <c r="T50" i="12"/>
  <c r="W54" i="12"/>
  <c r="W62" i="12" s="1"/>
  <c r="W58" i="12"/>
  <c r="W60" i="12"/>
  <c r="F54" i="12"/>
  <c r="F58" i="12"/>
  <c r="P48" i="12"/>
  <c r="P54" i="12" s="1"/>
  <c r="P62" i="12" s="1"/>
  <c r="P50" i="12"/>
  <c r="P58" i="12" s="1"/>
  <c r="Q48" i="12"/>
  <c r="Q50" i="12"/>
  <c r="R48" i="12"/>
  <c r="R50" i="12"/>
  <c r="D57" i="11"/>
  <c r="E57" i="11" s="1"/>
  <c r="B1" i="12"/>
  <c r="B2" i="12"/>
  <c r="B3" i="12"/>
  <c r="F27" i="12"/>
  <c r="P46" i="12"/>
  <c r="Q46" i="12"/>
  <c r="R46" i="12"/>
  <c r="S46" i="12"/>
  <c r="T46" i="12"/>
  <c r="U46" i="12"/>
  <c r="U48" i="12"/>
  <c r="U50" i="12"/>
  <c r="B1" i="66"/>
  <c r="B2" i="66"/>
  <c r="B3" i="66"/>
  <c r="D12" i="66"/>
  <c r="B1" i="13"/>
  <c r="B2" i="13"/>
  <c r="B3" i="13"/>
  <c r="C38" i="13"/>
  <c r="D38" i="13"/>
  <c r="C39" i="13"/>
  <c r="C40" i="13"/>
  <c r="C41" i="13"/>
  <c r="E1" i="10"/>
  <c r="E2" i="10"/>
  <c r="E3" i="10"/>
  <c r="E4" i="10"/>
  <c r="E5" i="10"/>
  <c r="W11" i="10" s="1"/>
  <c r="A1" i="38"/>
  <c r="A2" i="38"/>
  <c r="A3" i="38"/>
  <c r="D15" i="38" s="1"/>
  <c r="E90" i="38"/>
  <c r="E93" i="38"/>
  <c r="E96" i="38"/>
  <c r="E99" i="38"/>
  <c r="E102" i="38"/>
  <c r="E105" i="38"/>
  <c r="E108" i="38"/>
  <c r="E111" i="38"/>
  <c r="E192" i="38"/>
  <c r="B1" i="35"/>
  <c r="B2" i="35"/>
  <c r="B3" i="35"/>
  <c r="B4" i="35"/>
  <c r="B5" i="35"/>
  <c r="H29" i="35"/>
  <c r="I29" i="35"/>
  <c r="K29" i="35"/>
  <c r="B30" i="35"/>
  <c r="B31" i="35" s="1"/>
  <c r="B32" i="35" s="1"/>
  <c r="H34" i="35"/>
  <c r="I34" i="35"/>
  <c r="K34" i="35"/>
  <c r="H35" i="35"/>
  <c r="I35" i="35"/>
  <c r="K35" i="35"/>
  <c r="H36" i="35"/>
  <c r="I36" i="35"/>
  <c r="K36" i="35"/>
  <c r="H37" i="35"/>
  <c r="I37" i="35"/>
  <c r="K37" i="35"/>
  <c r="H38" i="35"/>
  <c r="I38" i="35"/>
  <c r="K38" i="35"/>
  <c r="H39" i="35"/>
  <c r="I39" i="35"/>
  <c r="K39" i="35"/>
  <c r="H40" i="35"/>
  <c r="I40" i="35"/>
  <c r="K40" i="35"/>
  <c r="H41" i="35"/>
  <c r="I41" i="35"/>
  <c r="K41" i="35"/>
  <c r="H42" i="35"/>
  <c r="I42" i="35"/>
  <c r="K42" i="35"/>
  <c r="H43" i="35"/>
  <c r="I43" i="35"/>
  <c r="K43" i="35"/>
  <c r="B64" i="35"/>
  <c r="B65" i="35" s="1"/>
  <c r="B66" i="35" s="1"/>
  <c r="B67" i="35" s="1"/>
  <c r="B68" i="35" s="1"/>
  <c r="C64" i="35"/>
  <c r="D1" i="140"/>
  <c r="D2" i="140"/>
  <c r="D3" i="140"/>
  <c r="B1" i="8"/>
  <c r="B2" i="8"/>
  <c r="C10" i="8"/>
  <c r="D10" i="8"/>
  <c r="E10" i="8"/>
  <c r="F10" i="8"/>
  <c r="G10" i="8"/>
  <c r="H10" i="8"/>
  <c r="I10" i="8"/>
  <c r="L10" i="8"/>
  <c r="M10" i="8"/>
  <c r="N10" i="8"/>
  <c r="X10" i="8"/>
  <c r="Z10" i="8"/>
  <c r="C11" i="8"/>
  <c r="D11" i="8"/>
  <c r="E11" i="8"/>
  <c r="F11" i="8"/>
  <c r="G11" i="8"/>
  <c r="H11" i="8"/>
  <c r="K11" i="8" s="1"/>
  <c r="I11" i="8"/>
  <c r="L11" i="8"/>
  <c r="M11" i="8"/>
  <c r="N11" i="8"/>
  <c r="X11" i="8"/>
  <c r="Z11" i="8"/>
  <c r="C12" i="8"/>
  <c r="D12" i="8"/>
  <c r="E12" i="8"/>
  <c r="F12" i="8"/>
  <c r="G12" i="8"/>
  <c r="H12" i="8"/>
  <c r="K12" i="8" s="1"/>
  <c r="I12" i="8"/>
  <c r="L12" i="8"/>
  <c r="M12" i="8"/>
  <c r="N12" i="8"/>
  <c r="X12" i="8"/>
  <c r="Z12" i="8"/>
  <c r="C13" i="8"/>
  <c r="D13" i="8"/>
  <c r="E13" i="8"/>
  <c r="F13" i="8"/>
  <c r="G13" i="8"/>
  <c r="H13" i="8"/>
  <c r="K13" i="8" s="1"/>
  <c r="I13" i="8"/>
  <c r="L13" i="8"/>
  <c r="M13" i="8"/>
  <c r="N13" i="8"/>
  <c r="X13" i="8"/>
  <c r="Z13" i="8"/>
  <c r="C14" i="8"/>
  <c r="D14" i="8"/>
  <c r="E14" i="8"/>
  <c r="F14" i="8"/>
  <c r="G14" i="8"/>
  <c r="H14" i="8"/>
  <c r="I14" i="8"/>
  <c r="L14" i="8"/>
  <c r="M14" i="8"/>
  <c r="N14" i="8"/>
  <c r="X14" i="8"/>
  <c r="Z14" i="8"/>
  <c r="C15" i="8"/>
  <c r="D15" i="8"/>
  <c r="E15" i="8"/>
  <c r="F15" i="8"/>
  <c r="G15" i="8"/>
  <c r="H15" i="8"/>
  <c r="K15" i="8" s="1"/>
  <c r="I15" i="8"/>
  <c r="L15" i="8"/>
  <c r="M15" i="8"/>
  <c r="N15" i="8"/>
  <c r="X15" i="8"/>
  <c r="Z15" i="8"/>
  <c r="C16" i="8"/>
  <c r="D16" i="8"/>
  <c r="E16" i="8"/>
  <c r="F16" i="8"/>
  <c r="G16" i="8"/>
  <c r="H16" i="8"/>
  <c r="K16" i="8" s="1"/>
  <c r="I16" i="8"/>
  <c r="L16" i="8"/>
  <c r="M16" i="8"/>
  <c r="N16" i="8"/>
  <c r="X16" i="8"/>
  <c r="Z16" i="8"/>
  <c r="C17" i="8"/>
  <c r="D17" i="8"/>
  <c r="E17" i="8"/>
  <c r="F17" i="8"/>
  <c r="G17" i="8"/>
  <c r="H17" i="8"/>
  <c r="K17" i="8" s="1"/>
  <c r="I17" i="8"/>
  <c r="L17" i="8"/>
  <c r="M17" i="8"/>
  <c r="N17" i="8"/>
  <c r="X17" i="8"/>
  <c r="Z17" i="8"/>
  <c r="C18" i="8"/>
  <c r="D18" i="8"/>
  <c r="E18" i="8"/>
  <c r="F18" i="8"/>
  <c r="G18" i="8"/>
  <c r="H18" i="8"/>
  <c r="K18" i="8" s="1"/>
  <c r="I18" i="8"/>
  <c r="L18" i="8"/>
  <c r="M18" i="8"/>
  <c r="N18" i="8"/>
  <c r="X18" i="8"/>
  <c r="Z18" i="8"/>
  <c r="C19" i="8"/>
  <c r="D19" i="8"/>
  <c r="E19" i="8"/>
  <c r="F19" i="8"/>
  <c r="G19" i="8"/>
  <c r="H19" i="8"/>
  <c r="K19" i="8" s="1"/>
  <c r="I19" i="8"/>
  <c r="L19" i="8"/>
  <c r="M19" i="8"/>
  <c r="N19" i="8"/>
  <c r="X19" i="8"/>
  <c r="Z19" i="8"/>
  <c r="C20" i="8"/>
  <c r="D20" i="8"/>
  <c r="E20" i="8"/>
  <c r="F20" i="8"/>
  <c r="G20" i="8"/>
  <c r="H20" i="8"/>
  <c r="K20" i="8" s="1"/>
  <c r="I20" i="8"/>
  <c r="L20" i="8"/>
  <c r="M20" i="8"/>
  <c r="N20" i="8"/>
  <c r="X20" i="8"/>
  <c r="Z20" i="8"/>
  <c r="C21" i="8"/>
  <c r="D21" i="8"/>
  <c r="E21" i="8"/>
  <c r="F21" i="8"/>
  <c r="G21" i="8"/>
  <c r="H21" i="8"/>
  <c r="K21" i="8" s="1"/>
  <c r="I21" i="8"/>
  <c r="L21" i="8"/>
  <c r="M21" i="8"/>
  <c r="N21" i="8"/>
  <c r="X21" i="8"/>
  <c r="Z21" i="8"/>
  <c r="C22" i="8"/>
  <c r="D22" i="8"/>
  <c r="E22" i="8"/>
  <c r="F22" i="8"/>
  <c r="G22" i="8"/>
  <c r="H22" i="8"/>
  <c r="K22" i="8" s="1"/>
  <c r="I22" i="8"/>
  <c r="L22" i="8"/>
  <c r="M22" i="8"/>
  <c r="N22" i="8"/>
  <c r="X22" i="8"/>
  <c r="Z22" i="8"/>
  <c r="C23" i="8"/>
  <c r="D23" i="8"/>
  <c r="E23" i="8"/>
  <c r="F23" i="8"/>
  <c r="G23" i="8"/>
  <c r="H23" i="8"/>
  <c r="K23" i="8" s="1"/>
  <c r="I23" i="8"/>
  <c r="L23" i="8"/>
  <c r="M23" i="8"/>
  <c r="N23" i="8"/>
  <c r="X23" i="8"/>
  <c r="Z23" i="8"/>
  <c r="C24" i="8"/>
  <c r="D24" i="8"/>
  <c r="E24" i="8"/>
  <c r="F24" i="8"/>
  <c r="G24" i="8"/>
  <c r="H24" i="8"/>
  <c r="K24" i="8" s="1"/>
  <c r="I24" i="8"/>
  <c r="L24" i="8"/>
  <c r="M24" i="8"/>
  <c r="N24" i="8"/>
  <c r="X24" i="8"/>
  <c r="Z24" i="8"/>
  <c r="C25" i="8"/>
  <c r="D25" i="8"/>
  <c r="E25" i="8"/>
  <c r="F25" i="8"/>
  <c r="G25" i="8"/>
  <c r="H25" i="8"/>
  <c r="K25" i="8" s="1"/>
  <c r="I25" i="8"/>
  <c r="L25" i="8"/>
  <c r="M25" i="8"/>
  <c r="N25" i="8"/>
  <c r="X25" i="8"/>
  <c r="Z25" i="8"/>
  <c r="A9" i="69"/>
  <c r="C12" i="69"/>
  <c r="F12" i="69"/>
  <c r="G12" i="69" s="1"/>
  <c r="H12" i="69" s="1"/>
  <c r="A13" i="69"/>
  <c r="A14" i="69" s="1"/>
  <c r="A15" i="69" s="1"/>
  <c r="A16" i="69" s="1"/>
  <c r="A17" i="69" s="1"/>
  <c r="A18" i="69" s="1"/>
  <c r="A19" i="69" s="1"/>
  <c r="A20" i="69" s="1"/>
  <c r="A21" i="69" s="1"/>
  <c r="A22" i="69" s="1"/>
  <c r="A23" i="69" s="1"/>
  <c r="A24" i="69" s="1"/>
  <c r="A25" i="69" s="1"/>
  <c r="A26" i="69" s="1"/>
  <c r="A27" i="69" s="1"/>
  <c r="A28" i="69" s="1"/>
  <c r="A29" i="69" s="1"/>
  <c r="A30" i="69" s="1"/>
  <c r="A31" i="69" s="1"/>
  <c r="A32" i="69" s="1"/>
  <c r="A33" i="69" s="1"/>
  <c r="A34" i="69" s="1"/>
  <c r="A35" i="69" s="1"/>
  <c r="A36" i="69" s="1"/>
  <c r="A37" i="69" s="1"/>
  <c r="A38" i="69" s="1"/>
  <c r="A39" i="69" s="1"/>
  <c r="A42" i="69" s="1"/>
  <c r="A43" i="69" s="1"/>
  <c r="A44" i="69" s="1"/>
  <c r="A45" i="69" s="1"/>
  <c r="A46" i="69" s="1"/>
  <c r="A47" i="69" s="1"/>
  <c r="A48" i="69" s="1"/>
  <c r="A49" i="69" s="1"/>
  <c r="A50" i="69" s="1"/>
  <c r="A51" i="69" s="1"/>
  <c r="A52" i="69" s="1"/>
  <c r="A53" i="69" s="1"/>
  <c r="A54" i="69" s="1"/>
  <c r="A55" i="69" s="1"/>
  <c r="A56" i="69" s="1"/>
  <c r="A57" i="69" s="1"/>
  <c r="A58" i="69" s="1"/>
  <c r="B13" i="69"/>
  <c r="B14" i="69" s="1"/>
  <c r="B15" i="69" s="1"/>
  <c r="B16" i="69" s="1"/>
  <c r="B17" i="69" s="1"/>
  <c r="B18" i="69" s="1"/>
  <c r="B19" i="69" s="1"/>
  <c r="B20" i="69" s="1"/>
  <c r="B21" i="69" s="1"/>
  <c r="B22" i="69" s="1"/>
  <c r="B23" i="69" s="1"/>
  <c r="B24" i="69" s="1"/>
  <c r="B25" i="69" s="1"/>
  <c r="B26" i="69" s="1"/>
  <c r="B27" i="69" s="1"/>
  <c r="B28" i="69" s="1"/>
  <c r="B29" i="69" s="1"/>
  <c r="B30" i="69" s="1"/>
  <c r="B31" i="69" s="1"/>
  <c r="B32" i="69" s="1"/>
  <c r="B33" i="69" s="1"/>
  <c r="B34" i="69" s="1"/>
  <c r="B35" i="69" s="1"/>
  <c r="B36" i="69" s="1"/>
  <c r="B37" i="69" s="1"/>
  <c r="B38" i="69" s="1"/>
  <c r="B39" i="69" s="1"/>
  <c r="B42" i="69" s="1"/>
  <c r="B43" i="69" s="1"/>
  <c r="B44" i="69" s="1"/>
  <c r="B45" i="69" s="1"/>
  <c r="B46" i="69" s="1"/>
  <c r="B47" i="69" s="1"/>
  <c r="B48" i="69" s="1"/>
  <c r="B49" i="69" s="1"/>
  <c r="B50" i="69" s="1"/>
  <c r="B51" i="69" s="1"/>
  <c r="B52" i="69" s="1"/>
  <c r="B53" i="69" s="1"/>
  <c r="B54" i="69" s="1"/>
  <c r="B55" i="69" s="1"/>
  <c r="B56" i="69" s="1"/>
  <c r="B57" i="69" s="1"/>
  <c r="B58" i="69" s="1"/>
  <c r="G22" i="69"/>
  <c r="G18" i="69" s="1"/>
  <c r="H22" i="69"/>
  <c r="H18" i="69" s="1"/>
  <c r="F20" i="69"/>
  <c r="I20" i="69" s="1"/>
  <c r="G20" i="69"/>
  <c r="H20" i="69"/>
  <c r="F22" i="69"/>
  <c r="H26" i="69"/>
  <c r="N35" i="69"/>
  <c r="M31" i="69"/>
  <c r="O31" i="69"/>
  <c r="M33" i="69"/>
  <c r="O33" i="69"/>
  <c r="Q33" i="69"/>
  <c r="M35" i="69"/>
  <c r="C36" i="69"/>
  <c r="B5" i="3"/>
  <c r="C5" i="3" s="1"/>
  <c r="A6" i="3"/>
  <c r="G6" i="3"/>
  <c r="I6" i="3" s="1"/>
  <c r="E6" i="3" s="1"/>
  <c r="L6" i="3"/>
  <c r="N6" i="3" s="1"/>
  <c r="J6" i="3" s="1"/>
  <c r="G7" i="3"/>
  <c r="I7" i="3" s="1"/>
  <c r="E7" i="3" s="1"/>
  <c r="L7" i="3"/>
  <c r="N7" i="3" s="1"/>
  <c r="J7" i="3" s="1"/>
  <c r="G8" i="3"/>
  <c r="I8" i="3" s="1"/>
  <c r="E8" i="3" s="1"/>
  <c r="L8" i="3"/>
  <c r="N8" i="3" s="1"/>
  <c r="J8" i="3" s="1"/>
  <c r="G9" i="3"/>
  <c r="I9" i="3" s="1"/>
  <c r="E9" i="3" s="1"/>
  <c r="L9" i="3"/>
  <c r="N9" i="3" s="1"/>
  <c r="J9" i="3" s="1"/>
  <c r="U9" i="3"/>
  <c r="G10" i="3"/>
  <c r="I10" i="3" s="1"/>
  <c r="E10" i="3" s="1"/>
  <c r="L10" i="3"/>
  <c r="N10" i="3" s="1"/>
  <c r="J10" i="3" s="1"/>
  <c r="U10" i="3"/>
  <c r="G11" i="3"/>
  <c r="I11" i="3" s="1"/>
  <c r="E11" i="3" s="1"/>
  <c r="L11" i="3"/>
  <c r="N11" i="3" s="1"/>
  <c r="J11" i="3" s="1"/>
  <c r="U11" i="3"/>
  <c r="G12" i="3"/>
  <c r="I12" i="3" s="1"/>
  <c r="E12" i="3" s="1"/>
  <c r="L12" i="3"/>
  <c r="N12" i="3" s="1"/>
  <c r="J12" i="3" s="1"/>
  <c r="U12" i="3"/>
  <c r="G13" i="3"/>
  <c r="I13" i="3" s="1"/>
  <c r="E13" i="3" s="1"/>
  <c r="L13" i="3"/>
  <c r="N13" i="3" s="1"/>
  <c r="J13" i="3" s="1"/>
  <c r="U13" i="3"/>
  <c r="G14" i="3"/>
  <c r="I14" i="3" s="1"/>
  <c r="E14" i="3" s="1"/>
  <c r="L14" i="3"/>
  <c r="N14" i="3" s="1"/>
  <c r="J14" i="3" s="1"/>
  <c r="U14" i="3"/>
  <c r="G15" i="3"/>
  <c r="I15" i="3" s="1"/>
  <c r="E15" i="3" s="1"/>
  <c r="L15" i="3"/>
  <c r="N15" i="3" s="1"/>
  <c r="J15" i="3" s="1"/>
  <c r="G16" i="3"/>
  <c r="I16" i="3" s="1"/>
  <c r="E16" i="3" s="1"/>
  <c r="L16" i="3"/>
  <c r="N16" i="3" s="1"/>
  <c r="J16" i="3" s="1"/>
  <c r="G17" i="3"/>
  <c r="I17" i="3" s="1"/>
  <c r="E17" i="3" s="1"/>
  <c r="L17" i="3"/>
  <c r="N17" i="3" s="1"/>
  <c r="J17" i="3" s="1"/>
  <c r="U17" i="3"/>
  <c r="G18" i="3"/>
  <c r="I18" i="3" s="1"/>
  <c r="E18" i="3" s="1"/>
  <c r="L18" i="3"/>
  <c r="N18" i="3" s="1"/>
  <c r="J18" i="3" s="1"/>
  <c r="U18" i="3"/>
  <c r="G19" i="3"/>
  <c r="I19" i="3" s="1"/>
  <c r="E19" i="3" s="1"/>
  <c r="L19" i="3"/>
  <c r="N19" i="3" s="1"/>
  <c r="J19" i="3" s="1"/>
  <c r="U19" i="3"/>
  <c r="G20" i="3"/>
  <c r="I20" i="3" s="1"/>
  <c r="E20" i="3" s="1"/>
  <c r="L20" i="3"/>
  <c r="N20" i="3" s="1"/>
  <c r="J20" i="3" s="1"/>
  <c r="U20" i="3"/>
  <c r="U22" i="3"/>
  <c r="U23" i="3"/>
  <c r="U24" i="3"/>
  <c r="U25" i="3"/>
  <c r="U26" i="3"/>
  <c r="AA90" i="1"/>
  <c r="AB90" i="1" s="1"/>
  <c r="Y90" i="1"/>
  <c r="Z90" i="1" s="1"/>
  <c r="Z188" i="1" s="1"/>
  <c r="AA87" i="1"/>
  <c r="I60" i="12"/>
  <c r="I74" i="12" s="1"/>
  <c r="AA37" i="188"/>
  <c r="P31" i="181"/>
  <c r="J79" i="12"/>
  <c r="P61" i="39"/>
  <c r="P59" i="39"/>
  <c r="P57" i="39"/>
  <c r="P55" i="39"/>
  <c r="P53" i="39"/>
  <c r="P51" i="39"/>
  <c r="P49" i="39"/>
  <c r="H91" i="39"/>
  <c r="G83" i="39" s="1"/>
  <c r="B152" i="39"/>
  <c r="B153" i="39" s="1"/>
  <c r="B154" i="39" s="1"/>
  <c r="B155" i="39" s="1"/>
  <c r="B156" i="39" s="1"/>
  <c r="B157" i="39" s="1"/>
  <c r="B158" i="39" s="1"/>
  <c r="B167" i="39"/>
  <c r="B168" i="39" s="1"/>
  <c r="B169" i="39" s="1"/>
  <c r="B170" i="39" s="1"/>
  <c r="B171" i="39" s="1"/>
  <c r="AB41" i="69"/>
  <c r="AA41" i="180"/>
  <c r="H117" i="39"/>
  <c r="H118" i="39" s="1"/>
  <c r="AB33" i="69"/>
  <c r="C45" i="6"/>
  <c r="C46" i="6" s="1"/>
  <c r="C47" i="6" s="1"/>
  <c r="C48" i="6" s="1"/>
  <c r="C49" i="6" s="1"/>
  <c r="C61" i="6"/>
  <c r="C62" i="6" s="1"/>
  <c r="B132" i="39"/>
  <c r="B71" i="1"/>
  <c r="B72" i="1" s="1"/>
  <c r="B56" i="1"/>
  <c r="B39" i="1"/>
  <c r="B137" i="1" s="1"/>
  <c r="L72" i="12"/>
  <c r="P71" i="12"/>
  <c r="V71" i="12"/>
  <c r="L71" i="12"/>
  <c r="V83" i="12"/>
  <c r="AH59" i="1"/>
  <c r="AH157" i="1" s="1"/>
  <c r="F34" i="310"/>
  <c r="I34" i="310" s="1"/>
  <c r="AF125" i="1"/>
  <c r="AA175" i="1"/>
  <c r="AC37" i="293"/>
  <c r="AC37" i="294"/>
  <c r="AC37" i="289"/>
  <c r="D20" i="287"/>
  <c r="AB41" i="287"/>
  <c r="AC33" i="286"/>
  <c r="AB37" i="286"/>
  <c r="F13" i="312"/>
  <c r="F13" i="311"/>
  <c r="I13" i="311" s="1"/>
  <c r="F13" i="310"/>
  <c r="F13" i="306"/>
  <c r="D13" i="306" s="1"/>
  <c r="F13" i="304"/>
  <c r="F13" i="303"/>
  <c r="D13" i="303" s="1"/>
  <c r="F13" i="301"/>
  <c r="I13" i="301" s="1"/>
  <c r="F13" i="300"/>
  <c r="I13" i="300" s="1"/>
  <c r="F13" i="299"/>
  <c r="I13" i="299" s="1"/>
  <c r="F13" i="309"/>
  <c r="D13" i="309" s="1"/>
  <c r="F13" i="308"/>
  <c r="F13" i="307"/>
  <c r="D13" i="307" s="1"/>
  <c r="F13" i="305"/>
  <c r="I13" i="305" s="1"/>
  <c r="F13" i="302"/>
  <c r="I13" i="302" s="1"/>
  <c r="F13" i="298"/>
  <c r="F13" i="297"/>
  <c r="D13" i="297" s="1"/>
  <c r="F13" i="296"/>
  <c r="F21" i="296" s="1"/>
  <c r="F23" i="296" s="1"/>
  <c r="D23" i="296" s="1"/>
  <c r="F13" i="295"/>
  <c r="D13" i="295" s="1"/>
  <c r="F13" i="294"/>
  <c r="F13" i="293"/>
  <c r="D13" i="293" s="1"/>
  <c r="F13" i="292"/>
  <c r="F13" i="291"/>
  <c r="I13" i="291" s="1"/>
  <c r="F12" i="311"/>
  <c r="D12" i="311" s="1"/>
  <c r="F12" i="309"/>
  <c r="D12" i="309" s="1"/>
  <c r="F12" i="308"/>
  <c r="F12" i="307"/>
  <c r="D12" i="307" s="1"/>
  <c r="F12" i="299"/>
  <c r="G12" i="299" s="1"/>
  <c r="H12" i="299" s="1"/>
  <c r="F12" i="297"/>
  <c r="D12" i="297" s="1"/>
  <c r="F12" i="312"/>
  <c r="F12" i="310"/>
  <c r="G12" i="310" s="1"/>
  <c r="H12" i="310" s="1"/>
  <c r="F12" i="306"/>
  <c r="F12" i="305"/>
  <c r="F12" i="304"/>
  <c r="F12" i="303"/>
  <c r="G12" i="303" s="1"/>
  <c r="H12" i="303" s="1"/>
  <c r="F12" i="302"/>
  <c r="F12" i="301"/>
  <c r="F12" i="300"/>
  <c r="D12" i="300" s="1"/>
  <c r="F12" i="298"/>
  <c r="F12" i="294"/>
  <c r="I12" i="294" s="1"/>
  <c r="F12" i="293"/>
  <c r="F12" i="291"/>
  <c r="G12" i="291" s="1"/>
  <c r="H12" i="291" s="1"/>
  <c r="F12" i="296"/>
  <c r="F12" i="295"/>
  <c r="G12" i="295" s="1"/>
  <c r="H12" i="295" s="1"/>
  <c r="F12" i="292"/>
  <c r="F32" i="311"/>
  <c r="G32" i="311" s="1"/>
  <c r="H32" i="311" s="1"/>
  <c r="F32" i="310"/>
  <c r="F32" i="309"/>
  <c r="D32" i="309" s="1"/>
  <c r="F32" i="307"/>
  <c r="F32" i="306"/>
  <c r="I32" i="306" s="1"/>
  <c r="F32" i="303"/>
  <c r="F32" i="300"/>
  <c r="G32" i="300" s="1"/>
  <c r="H32" i="300" s="1"/>
  <c r="F32" i="298"/>
  <c r="F32" i="312"/>
  <c r="D32" i="312" s="1"/>
  <c r="F32" i="308"/>
  <c r="D32" i="308" s="1"/>
  <c r="F32" i="305"/>
  <c r="I32" i="305" s="1"/>
  <c r="F32" i="304"/>
  <c r="F32" i="302"/>
  <c r="G32" i="302" s="1"/>
  <c r="H32" i="302" s="1"/>
  <c r="F32" i="301"/>
  <c r="G32" i="301" s="1"/>
  <c r="H32" i="301" s="1"/>
  <c r="F32" i="299"/>
  <c r="F32" i="297"/>
  <c r="D32" i="297" s="1"/>
  <c r="F32" i="294"/>
  <c r="F32" i="292"/>
  <c r="F32" i="291"/>
  <c r="I32" i="291" s="1"/>
  <c r="F32" i="296"/>
  <c r="F32" i="295"/>
  <c r="G32" i="295" s="1"/>
  <c r="H32" i="295" s="1"/>
  <c r="F32" i="293"/>
  <c r="F32" i="290"/>
  <c r="I32" i="290" s="1"/>
  <c r="F37" i="306"/>
  <c r="F37" i="303"/>
  <c r="F44" i="303" s="1"/>
  <c r="F37" i="302"/>
  <c r="F37" i="300"/>
  <c r="F37" i="298"/>
  <c r="F37" i="297"/>
  <c r="F37" i="312"/>
  <c r="F44" i="312" s="1"/>
  <c r="F37" i="311"/>
  <c r="F37" i="310"/>
  <c r="F37" i="309"/>
  <c r="F44" i="309" s="1"/>
  <c r="F37" i="308"/>
  <c r="F44" i="308" s="1"/>
  <c r="F37" i="307"/>
  <c r="F44" i="307" s="1"/>
  <c r="F37" i="305"/>
  <c r="F37" i="304"/>
  <c r="F37" i="301"/>
  <c r="F37" i="299"/>
  <c r="F44" i="299" s="1"/>
  <c r="F37" i="296"/>
  <c r="F44" i="296" s="1"/>
  <c r="F37" i="294"/>
  <c r="F44" i="294" s="1"/>
  <c r="F37" i="292"/>
  <c r="F37" i="291"/>
  <c r="F37" i="290"/>
  <c r="F37" i="295"/>
  <c r="F37" i="293"/>
  <c r="F44" i="293" s="1"/>
  <c r="F31" i="312"/>
  <c r="D31" i="312" s="1"/>
  <c r="I31" i="311"/>
  <c r="I31" i="310"/>
  <c r="F31" i="309"/>
  <c r="D31" i="309" s="1"/>
  <c r="A9" i="309"/>
  <c r="I31" i="308"/>
  <c r="A9" i="308"/>
  <c r="I31" i="307"/>
  <c r="A9" i="307"/>
  <c r="I31" i="306"/>
  <c r="F31" i="305"/>
  <c r="D31" i="305" s="1"/>
  <c r="I31" i="304"/>
  <c r="F31" i="303"/>
  <c r="D31" i="303" s="1"/>
  <c r="I31" i="302"/>
  <c r="F31" i="301"/>
  <c r="D31" i="301" s="1"/>
  <c r="I31" i="300"/>
  <c r="F31" i="299"/>
  <c r="D31" i="299" s="1"/>
  <c r="A9" i="299"/>
  <c r="I31" i="298"/>
  <c r="F31" i="297"/>
  <c r="A9" i="297"/>
  <c r="I31" i="312"/>
  <c r="A9" i="312"/>
  <c r="F31" i="311"/>
  <c r="D31" i="311" s="1"/>
  <c r="A9" i="311"/>
  <c r="F31" i="310"/>
  <c r="D31" i="310" s="1"/>
  <c r="A9" i="310"/>
  <c r="I31" i="309"/>
  <c r="F31" i="308"/>
  <c r="D31" i="308" s="1"/>
  <c r="F31" i="307"/>
  <c r="F31" i="306"/>
  <c r="D31" i="306" s="1"/>
  <c r="A9" i="306"/>
  <c r="I31" i="305"/>
  <c r="A9" i="305"/>
  <c r="F31" i="304"/>
  <c r="D31" i="304" s="1"/>
  <c r="A9" i="304"/>
  <c r="I31" i="303"/>
  <c r="A9" i="303"/>
  <c r="F31" i="302"/>
  <c r="D31" i="302" s="1"/>
  <c r="A9" i="302"/>
  <c r="I31" i="301"/>
  <c r="A9" i="301"/>
  <c r="F31" i="300"/>
  <c r="D31" i="300" s="1"/>
  <c r="A9" i="300"/>
  <c r="I31" i="299"/>
  <c r="F31" i="298"/>
  <c r="D31" i="298" s="1"/>
  <c r="A9" i="298"/>
  <c r="I31" i="297"/>
  <c r="F31" i="296"/>
  <c r="D31" i="296" s="1"/>
  <c r="F31" i="295"/>
  <c r="D31" i="295" s="1"/>
  <c r="A9" i="295"/>
  <c r="I31" i="294"/>
  <c r="A9" i="294"/>
  <c r="I31" i="293"/>
  <c r="A9" i="293"/>
  <c r="F31" i="292"/>
  <c r="D31" i="292" s="1"/>
  <c r="F31" i="291"/>
  <c r="A9" i="291"/>
  <c r="F31" i="290"/>
  <c r="D31" i="290" s="1"/>
  <c r="I31" i="296"/>
  <c r="A9" i="296"/>
  <c r="I31" i="295"/>
  <c r="F31" i="294"/>
  <c r="D31" i="294" s="1"/>
  <c r="F31" i="293"/>
  <c r="D31" i="293" s="1"/>
  <c r="I31" i="292"/>
  <c r="A9" i="292"/>
  <c r="I31" i="291"/>
  <c r="I31" i="290"/>
  <c r="F28" i="312"/>
  <c r="F28" i="309"/>
  <c r="F28" i="305"/>
  <c r="G28" i="305" s="1"/>
  <c r="H28" i="305" s="1"/>
  <c r="F28" i="301"/>
  <c r="G28" i="301" s="1"/>
  <c r="H28" i="301" s="1"/>
  <c r="F28" i="300"/>
  <c r="I28" i="300" s="1"/>
  <c r="F28" i="311"/>
  <c r="F28" i="310"/>
  <c r="I28" i="310" s="1"/>
  <c r="F28" i="308"/>
  <c r="F28" i="307"/>
  <c r="I28" i="307" s="1"/>
  <c r="F28" i="306"/>
  <c r="I28" i="306" s="1"/>
  <c r="F28" i="304"/>
  <c r="F28" i="303"/>
  <c r="F28" i="302"/>
  <c r="F28" i="299"/>
  <c r="G28" i="299" s="1"/>
  <c r="H28" i="299" s="1"/>
  <c r="F28" i="298"/>
  <c r="F28" i="297"/>
  <c r="F28" i="296"/>
  <c r="F28" i="295"/>
  <c r="F28" i="292"/>
  <c r="F28" i="291"/>
  <c r="F28" i="294"/>
  <c r="D28" i="294" s="1"/>
  <c r="F28" i="293"/>
  <c r="G22" i="312"/>
  <c r="G18" i="312" s="1"/>
  <c r="H22" i="311"/>
  <c r="H18" i="311" s="1"/>
  <c r="H22" i="309"/>
  <c r="H22" i="308"/>
  <c r="H18" i="308" s="1"/>
  <c r="G22" i="307"/>
  <c r="G18" i="307" s="1"/>
  <c r="G22" i="305"/>
  <c r="G18" i="305" s="1"/>
  <c r="H22" i="303"/>
  <c r="H22" i="302"/>
  <c r="H18" i="302" s="1"/>
  <c r="G22" i="301"/>
  <c r="H22" i="300"/>
  <c r="H18" i="300" s="1"/>
  <c r="G22" i="299"/>
  <c r="G18" i="299" s="1"/>
  <c r="H22" i="298"/>
  <c r="H18" i="298" s="1"/>
  <c r="G22" i="297"/>
  <c r="H22" i="312"/>
  <c r="H18" i="312" s="1"/>
  <c r="G22" i="311"/>
  <c r="H22" i="310"/>
  <c r="H18" i="310" s="1"/>
  <c r="G22" i="310"/>
  <c r="G18" i="310" s="1"/>
  <c r="G22" i="309"/>
  <c r="G22" i="308"/>
  <c r="G18" i="308" s="1"/>
  <c r="H22" i="307"/>
  <c r="H18" i="307" s="1"/>
  <c r="H22" i="306"/>
  <c r="H18" i="306" s="1"/>
  <c r="G22" i="306"/>
  <c r="G18" i="306" s="1"/>
  <c r="H22" i="305"/>
  <c r="H18" i="305" s="1"/>
  <c r="H22" i="304"/>
  <c r="H18" i="304" s="1"/>
  <c r="G22" i="304"/>
  <c r="G18" i="304" s="1"/>
  <c r="G22" i="303"/>
  <c r="G18" i="303" s="1"/>
  <c r="G22" i="302"/>
  <c r="H22" i="301"/>
  <c r="H18" i="301" s="1"/>
  <c r="G22" i="300"/>
  <c r="G18" i="300" s="1"/>
  <c r="H22" i="299"/>
  <c r="H18" i="299" s="1"/>
  <c r="G22" i="298"/>
  <c r="G18" i="298" s="1"/>
  <c r="H22" i="297"/>
  <c r="H22" i="296"/>
  <c r="H18" i="296" s="1"/>
  <c r="G22" i="295"/>
  <c r="H22" i="294"/>
  <c r="H18" i="294" s="1"/>
  <c r="H22" i="293"/>
  <c r="H22" i="292"/>
  <c r="H18" i="292" s="1"/>
  <c r="H22" i="291"/>
  <c r="H22" i="288"/>
  <c r="H18" i="288" s="1"/>
  <c r="G22" i="296"/>
  <c r="H22" i="295"/>
  <c r="H18" i="295" s="1"/>
  <c r="G22" i="294"/>
  <c r="G22" i="293"/>
  <c r="G18" i="293" s="1"/>
  <c r="G22" i="292"/>
  <c r="G18" i="292" s="1"/>
  <c r="G22" i="291"/>
  <c r="G18" i="291" s="1"/>
  <c r="I31" i="69"/>
  <c r="A9" i="286"/>
  <c r="G13" i="286"/>
  <c r="G21" i="286" s="1"/>
  <c r="H22" i="286"/>
  <c r="H18" i="286" s="1"/>
  <c r="F28" i="286"/>
  <c r="G28" i="286" s="1"/>
  <c r="H28" i="286" s="1"/>
  <c r="F31" i="286"/>
  <c r="D31" i="286" s="1"/>
  <c r="C36" i="286"/>
  <c r="A9" i="287"/>
  <c r="F12" i="287"/>
  <c r="G22" i="287"/>
  <c r="G18" i="287" s="1"/>
  <c r="F28" i="287"/>
  <c r="F30" i="287"/>
  <c r="G30" i="287" s="1"/>
  <c r="H30" i="287" s="1"/>
  <c r="F31" i="287"/>
  <c r="D31" i="287" s="1"/>
  <c r="C36" i="287"/>
  <c r="A9" i="288"/>
  <c r="G13" i="288"/>
  <c r="G21" i="288" s="1"/>
  <c r="G22" i="288"/>
  <c r="G18" i="288" s="1"/>
  <c r="F31" i="288"/>
  <c r="F37" i="288"/>
  <c r="F38" i="288"/>
  <c r="C12" i="289"/>
  <c r="G13" i="289"/>
  <c r="H13" i="289" s="1"/>
  <c r="H21" i="289" s="1"/>
  <c r="F30" i="289"/>
  <c r="I31" i="289"/>
  <c r="F32" i="289"/>
  <c r="I32" i="289" s="1"/>
  <c r="C36" i="289"/>
  <c r="G22" i="290"/>
  <c r="H22" i="290"/>
  <c r="F30" i="312"/>
  <c r="D30" i="312" s="1"/>
  <c r="F30" i="310"/>
  <c r="F30" i="309"/>
  <c r="D30" i="309" s="1"/>
  <c r="F30" i="308"/>
  <c r="F30" i="307"/>
  <c r="I30" i="307" s="1"/>
  <c r="F30" i="305"/>
  <c r="G30" i="305" s="1"/>
  <c r="H30" i="305" s="1"/>
  <c r="F30" i="304"/>
  <c r="F30" i="301"/>
  <c r="F30" i="299"/>
  <c r="D30" i="299" s="1"/>
  <c r="F30" i="297"/>
  <c r="I30" i="297" s="1"/>
  <c r="F30" i="311"/>
  <c r="I30" i="311" s="1"/>
  <c r="F30" i="306"/>
  <c r="D30" i="306" s="1"/>
  <c r="F30" i="303"/>
  <c r="F30" i="302"/>
  <c r="G30" i="302" s="1"/>
  <c r="H30" i="302" s="1"/>
  <c r="F30" i="300"/>
  <c r="D30" i="300" s="1"/>
  <c r="F30" i="298"/>
  <c r="F30" i="295"/>
  <c r="F30" i="290"/>
  <c r="G30" i="290" s="1"/>
  <c r="H30" i="290" s="1"/>
  <c r="F30" i="296"/>
  <c r="D30" i="296" s="1"/>
  <c r="F30" i="294"/>
  <c r="F30" i="293"/>
  <c r="F30" i="292"/>
  <c r="D30" i="292" s="1"/>
  <c r="F30" i="291"/>
  <c r="G30" i="291" s="1"/>
  <c r="H30" i="291" s="1"/>
  <c r="F22" i="311"/>
  <c r="F22" i="310"/>
  <c r="D22" i="310" s="1"/>
  <c r="F22" i="309"/>
  <c r="I22" i="309" s="1"/>
  <c r="F22" i="306"/>
  <c r="D22" i="306" s="1"/>
  <c r="F22" i="305"/>
  <c r="F22" i="304"/>
  <c r="I22" i="304" s="1"/>
  <c r="F22" i="303"/>
  <c r="I22" i="303" s="1"/>
  <c r="F22" i="302"/>
  <c r="F22" i="300"/>
  <c r="D22" i="300" s="1"/>
  <c r="F22" i="298"/>
  <c r="F22" i="312"/>
  <c r="D22" i="312" s="1"/>
  <c r="F22" i="308"/>
  <c r="F22" i="307"/>
  <c r="D22" i="307" s="1"/>
  <c r="F22" i="301"/>
  <c r="I22" i="301" s="1"/>
  <c r="F22" i="299"/>
  <c r="F22" i="297"/>
  <c r="D22" i="297" s="1"/>
  <c r="F22" i="296"/>
  <c r="F22" i="293"/>
  <c r="I22" i="293" s="1"/>
  <c r="F22" i="292"/>
  <c r="D22" i="292" s="1"/>
  <c r="F22" i="295"/>
  <c r="I22" i="295" s="1"/>
  <c r="F22" i="294"/>
  <c r="I22" i="294" s="1"/>
  <c r="F22" i="291"/>
  <c r="F38" i="307"/>
  <c r="F38" i="304"/>
  <c r="F38" i="303"/>
  <c r="F38" i="301"/>
  <c r="F38" i="299"/>
  <c r="F38" i="297"/>
  <c r="F38" i="312"/>
  <c r="F38" i="311"/>
  <c r="F38" i="310"/>
  <c r="F38" i="309"/>
  <c r="F38" i="308"/>
  <c r="F38" i="306"/>
  <c r="F38" i="305"/>
  <c r="D38" i="305" s="1"/>
  <c r="F38" i="302"/>
  <c r="F38" i="300"/>
  <c r="F38" i="298"/>
  <c r="F38" i="295"/>
  <c r="F38" i="291"/>
  <c r="F38" i="290"/>
  <c r="F38" i="296"/>
  <c r="F38" i="294"/>
  <c r="F38" i="293"/>
  <c r="F38" i="292"/>
  <c r="C12" i="312"/>
  <c r="C36" i="311"/>
  <c r="C12" i="311"/>
  <c r="C36" i="310"/>
  <c r="C12" i="310"/>
  <c r="C36" i="309"/>
  <c r="C36" i="307"/>
  <c r="C12" i="306"/>
  <c r="C36" i="305"/>
  <c r="C12" i="305"/>
  <c r="C12" i="304"/>
  <c r="C12" i="303"/>
  <c r="C36" i="302"/>
  <c r="C12" i="302"/>
  <c r="C36" i="301"/>
  <c r="C12" i="301"/>
  <c r="C12" i="300"/>
  <c r="C36" i="299"/>
  <c r="C12" i="298"/>
  <c r="C36" i="297"/>
  <c r="C36" i="312"/>
  <c r="C12" i="309"/>
  <c r="C36" i="308"/>
  <c r="C12" i="308"/>
  <c r="C12" i="307"/>
  <c r="C36" i="306"/>
  <c r="C36" i="304"/>
  <c r="C36" i="303"/>
  <c r="C36" i="300"/>
  <c r="C12" i="299"/>
  <c r="C36" i="298"/>
  <c r="C12" i="297"/>
  <c r="C12" i="296"/>
  <c r="C36" i="293"/>
  <c r="C36" i="292"/>
  <c r="C12" i="292"/>
  <c r="C36" i="291"/>
  <c r="C36" i="296"/>
  <c r="C36" i="295"/>
  <c r="C12" i="295"/>
  <c r="C36" i="294"/>
  <c r="C12" i="294"/>
  <c r="C12" i="293"/>
  <c r="C12" i="291"/>
  <c r="C36" i="290"/>
  <c r="G13" i="311"/>
  <c r="G21" i="311" s="1"/>
  <c r="I21" i="311" s="1"/>
  <c r="G13" i="310"/>
  <c r="H13" i="310" s="1"/>
  <c r="H21" i="310" s="1"/>
  <c r="G13" i="309"/>
  <c r="G21" i="309" s="1"/>
  <c r="I21" i="309" s="1"/>
  <c r="G13" i="307"/>
  <c r="G13" i="305"/>
  <c r="G21" i="305" s="1"/>
  <c r="G13" i="304"/>
  <c r="G21" i="304" s="1"/>
  <c r="G13" i="301"/>
  <c r="H13" i="301" s="1"/>
  <c r="H21" i="301" s="1"/>
  <c r="G13" i="299"/>
  <c r="G13" i="297"/>
  <c r="H13" i="297" s="1"/>
  <c r="H21" i="297" s="1"/>
  <c r="G13" i="312"/>
  <c r="G13" i="308"/>
  <c r="H13" i="308" s="1"/>
  <c r="H21" i="308" s="1"/>
  <c r="G13" i="306"/>
  <c r="H13" i="306" s="1"/>
  <c r="H21" i="306" s="1"/>
  <c r="G13" i="303"/>
  <c r="H13" i="303" s="1"/>
  <c r="H21" i="303" s="1"/>
  <c r="G13" i="302"/>
  <c r="G21" i="302" s="1"/>
  <c r="I21" i="302" s="1"/>
  <c r="G13" i="300"/>
  <c r="G21" i="300" s="1"/>
  <c r="I21" i="300" s="1"/>
  <c r="G13" i="298"/>
  <c r="G13" i="296"/>
  <c r="G13" i="294"/>
  <c r="H13" i="294" s="1"/>
  <c r="H21" i="294" s="1"/>
  <c r="G13" i="291"/>
  <c r="H13" i="291" s="1"/>
  <c r="H21" i="291" s="1"/>
  <c r="G13" i="295"/>
  <c r="H13" i="295" s="1"/>
  <c r="H21" i="295" s="1"/>
  <c r="G13" i="293"/>
  <c r="G21" i="293" s="1"/>
  <c r="G13" i="292"/>
  <c r="G21" i="292" s="1"/>
  <c r="I21" i="292" s="1"/>
  <c r="G13" i="69"/>
  <c r="H13" i="69" s="1"/>
  <c r="H21" i="69" s="1"/>
  <c r="C12" i="286"/>
  <c r="F12" i="286"/>
  <c r="I12" i="286" s="1"/>
  <c r="F13" i="286"/>
  <c r="G22" i="286"/>
  <c r="G18" i="286" s="1"/>
  <c r="F30" i="286"/>
  <c r="I31" i="286"/>
  <c r="F32" i="286"/>
  <c r="G32" i="286" s="1"/>
  <c r="H32" i="286" s="1"/>
  <c r="F37" i="286"/>
  <c r="F38" i="286"/>
  <c r="C12" i="287"/>
  <c r="F13" i="287"/>
  <c r="F21" i="287" s="1"/>
  <c r="G13" i="287"/>
  <c r="G21" i="287" s="1"/>
  <c r="I21" i="287" s="1"/>
  <c r="F22" i="287"/>
  <c r="H22" i="287"/>
  <c r="H18" i="287" s="1"/>
  <c r="I31" i="287"/>
  <c r="F32" i="287"/>
  <c r="F37" i="287"/>
  <c r="F38" i="287"/>
  <c r="C12" i="288"/>
  <c r="F12" i="288"/>
  <c r="I12" i="288" s="1"/>
  <c r="F13" i="288"/>
  <c r="F22" i="288"/>
  <c r="F28" i="288"/>
  <c r="I28" i="288" s="1"/>
  <c r="F30" i="288"/>
  <c r="D30" i="288" s="1"/>
  <c r="I31" i="288"/>
  <c r="F32" i="288"/>
  <c r="G32" i="288" s="1"/>
  <c r="H32" i="288" s="1"/>
  <c r="C36" i="288"/>
  <c r="A9" i="289"/>
  <c r="F12" i="289"/>
  <c r="G12" i="289" s="1"/>
  <c r="H12" i="289" s="1"/>
  <c r="F13" i="289"/>
  <c r="D13" i="289" s="1"/>
  <c r="F22" i="289"/>
  <c r="I22" i="289" s="1"/>
  <c r="G22" i="289"/>
  <c r="G18" i="289" s="1"/>
  <c r="H22" i="289"/>
  <c r="H18" i="289" s="1"/>
  <c r="F28" i="289"/>
  <c r="D28" i="289" s="1"/>
  <c r="F31" i="289"/>
  <c r="D31" i="289" s="1"/>
  <c r="F37" i="289"/>
  <c r="A9" i="290"/>
  <c r="F12" i="290"/>
  <c r="I12" i="290" s="1"/>
  <c r="F13" i="290"/>
  <c r="F22" i="290"/>
  <c r="F28" i="290"/>
  <c r="D28" i="290" s="1"/>
  <c r="G32" i="186"/>
  <c r="H32" i="186" s="1"/>
  <c r="AE37" i="10"/>
  <c r="AE32" i="10"/>
  <c r="AE29" i="10"/>
  <c r="AE24" i="10"/>
  <c r="C67" i="11"/>
  <c r="P82" i="12"/>
  <c r="Z63" i="1"/>
  <c r="Z161" i="1" s="1"/>
  <c r="Y161" i="1"/>
  <c r="K63" i="1"/>
  <c r="K161" i="1" s="1"/>
  <c r="G187" i="1"/>
  <c r="K84" i="1"/>
  <c r="K182" i="1" s="1"/>
  <c r="Z84" i="1"/>
  <c r="Z182" i="1" s="1"/>
  <c r="K77" i="1"/>
  <c r="K175" i="1" s="1"/>
  <c r="Z77" i="1"/>
  <c r="Z175" i="1" s="1"/>
  <c r="L63" i="12"/>
  <c r="P31" i="179"/>
  <c r="P31" i="183"/>
  <c r="P31" i="187"/>
  <c r="P31" i="188"/>
  <c r="P31" i="186"/>
  <c r="P31" i="184"/>
  <c r="P31" i="182"/>
  <c r="P31" i="180"/>
  <c r="Z62" i="1"/>
  <c r="Z160" i="1" s="1"/>
  <c r="Y160" i="1"/>
  <c r="Z55" i="1"/>
  <c r="Z153" i="1" s="1"/>
  <c r="Y153" i="1"/>
  <c r="P62" i="39"/>
  <c r="P58" i="39"/>
  <c r="P54" i="39"/>
  <c r="P50" i="39"/>
  <c r="Q31" i="308"/>
  <c r="Q31" i="303"/>
  <c r="Q31" i="300"/>
  <c r="Q31" i="302"/>
  <c r="Q31" i="296"/>
  <c r="Q31" i="292"/>
  <c r="Q31" i="286"/>
  <c r="B168" i="1"/>
  <c r="B153" i="1"/>
  <c r="B152" i="1"/>
  <c r="D20" i="290"/>
  <c r="D20" i="301"/>
  <c r="P56" i="1"/>
  <c r="I311" i="1103"/>
  <c r="V56" i="1"/>
  <c r="N49" i="6"/>
  <c r="W56" i="1"/>
  <c r="F39" i="262"/>
  <c r="F22" i="262"/>
  <c r="N47" i="6"/>
  <c r="F311" i="1103"/>
  <c r="E311" i="1103"/>
  <c r="E22" i="262"/>
  <c r="G311" i="1103"/>
  <c r="H311" i="1103"/>
  <c r="V72" i="1"/>
  <c r="Q56" i="1"/>
  <c r="E39" i="262"/>
  <c r="AH63" i="1" l="1"/>
  <c r="AH161" i="1" s="1"/>
  <c r="AH81" i="1"/>
  <c r="AH179" i="1" s="1"/>
  <c r="AC37" i="10"/>
  <c r="Y35" i="35"/>
  <c r="M84" i="12"/>
  <c r="O84" i="12"/>
  <c r="N84" i="12"/>
  <c r="K58" i="1"/>
  <c r="K156" i="1" s="1"/>
  <c r="Y164" i="1"/>
  <c r="Y123" i="1"/>
  <c r="N79" i="12"/>
  <c r="M79" i="12"/>
  <c r="O79" i="12"/>
  <c r="Z66" i="1"/>
  <c r="Z164" i="1" s="1"/>
  <c r="Z25" i="1"/>
  <c r="Z123" i="1" s="1"/>
  <c r="I128" i="1"/>
  <c r="I30" i="1" s="1"/>
  <c r="N63" i="12"/>
  <c r="M63" i="12"/>
  <c r="O63" i="12"/>
  <c r="G21" i="10"/>
  <c r="E29" i="35" s="1"/>
  <c r="Z58" i="1"/>
  <c r="Z156" i="1" s="1"/>
  <c r="N72" i="12"/>
  <c r="O72" i="12"/>
  <c r="M72" i="12"/>
  <c r="H93" i="39"/>
  <c r="I7" i="9"/>
  <c r="K13" i="9"/>
  <c r="O71" i="12"/>
  <c r="M71" i="12"/>
  <c r="N71" i="12"/>
  <c r="K71" i="12"/>
  <c r="Y127" i="1"/>
  <c r="L70" i="140"/>
  <c r="L62" i="140"/>
  <c r="L54" i="140"/>
  <c r="L46" i="140"/>
  <c r="L38" i="140"/>
  <c r="L30" i="140"/>
  <c r="L22" i="140"/>
  <c r="J83" i="12"/>
  <c r="N83" i="12"/>
  <c r="O83" i="12"/>
  <c r="M83" i="12"/>
  <c r="D20" i="286"/>
  <c r="Z29" i="1"/>
  <c r="Z127" i="1" s="1"/>
  <c r="Y131" i="1"/>
  <c r="I132" i="1"/>
  <c r="I34" i="1" s="1"/>
  <c r="I184" i="1"/>
  <c r="I86" i="1" s="1"/>
  <c r="K79" i="12"/>
  <c r="Y79" i="12"/>
  <c r="X79" i="12"/>
  <c r="E17" i="10"/>
  <c r="U62" i="39"/>
  <c r="D13" i="185"/>
  <c r="K83" i="12"/>
  <c r="W71" i="12"/>
  <c r="V72" i="12"/>
  <c r="L79" i="12"/>
  <c r="Z24" i="1"/>
  <c r="Z122" i="1" s="1"/>
  <c r="Z40" i="1"/>
  <c r="Z138" i="1" s="1"/>
  <c r="Z73" i="1"/>
  <c r="Z171" i="1" s="1"/>
  <c r="Y176" i="1"/>
  <c r="Y181" i="1"/>
  <c r="Y144" i="1"/>
  <c r="Z48" i="1"/>
  <c r="Z146" i="1" s="1"/>
  <c r="Y63" i="12"/>
  <c r="X63" i="12"/>
  <c r="X75" i="12" s="1"/>
  <c r="R43" i="39"/>
  <c r="F14" i="6"/>
  <c r="G14" i="6" s="1"/>
  <c r="Y39" i="35"/>
  <c r="E17" i="1106"/>
  <c r="N17" i="1106" s="1"/>
  <c r="AE41" i="304"/>
  <c r="U54" i="39"/>
  <c r="H21" i="10"/>
  <c r="F34" i="35" s="1"/>
  <c r="Y195" i="1"/>
  <c r="E13" i="6"/>
  <c r="C13" i="66"/>
  <c r="Y142" i="1"/>
  <c r="Z46" i="1"/>
  <c r="Z144" i="1" s="1"/>
  <c r="B13" i="6"/>
  <c r="Y43" i="35"/>
  <c r="C22" i="262"/>
  <c r="D14" i="6"/>
  <c r="Y72" i="12"/>
  <c r="X72" i="12"/>
  <c r="W83" i="12"/>
  <c r="X83" i="12"/>
  <c r="Y83" i="12"/>
  <c r="G12" i="66"/>
  <c r="H12" i="66" s="1"/>
  <c r="H22" i="10"/>
  <c r="E17" i="1121" s="1"/>
  <c r="B22" i="262"/>
  <c r="D39" i="38" s="1"/>
  <c r="L13" i="6"/>
  <c r="Y136" i="1"/>
  <c r="Y167" i="1"/>
  <c r="Z97" i="1"/>
  <c r="Z195" i="1" s="1"/>
  <c r="Y140" i="1"/>
  <c r="Z44" i="1"/>
  <c r="Z142" i="1" s="1"/>
  <c r="Y84" i="12"/>
  <c r="X84" i="12"/>
  <c r="Y71" i="12"/>
  <c r="X71" i="12"/>
  <c r="Z61" i="1"/>
  <c r="Z159" i="1" s="1"/>
  <c r="Y159" i="1"/>
  <c r="T60" i="12"/>
  <c r="T74" i="12" s="1"/>
  <c r="U34" i="12"/>
  <c r="R34" i="12"/>
  <c r="R60" i="12" s="1"/>
  <c r="R74" i="12" s="1"/>
  <c r="Q59" i="12"/>
  <c r="Q73" i="12" s="1"/>
  <c r="F84" i="12"/>
  <c r="G84" i="12"/>
  <c r="K84" i="12"/>
  <c r="AF195" i="1"/>
  <c r="AH97" i="1"/>
  <c r="AH195" i="1" s="1"/>
  <c r="U49" i="39"/>
  <c r="U67" i="39" s="1"/>
  <c r="U48" i="39"/>
  <c r="U55" i="39"/>
  <c r="U47" i="39"/>
  <c r="U59" i="39"/>
  <c r="U61" i="39"/>
  <c r="U56" i="39"/>
  <c r="U53" i="39"/>
  <c r="U50" i="39"/>
  <c r="U58" i="39"/>
  <c r="U51" i="39"/>
  <c r="F23" i="188"/>
  <c r="D23" i="188" s="1"/>
  <c r="D21" i="188"/>
  <c r="F44" i="186"/>
  <c r="D37" i="186"/>
  <c r="F44" i="185"/>
  <c r="F27" i="185" s="1"/>
  <c r="D27" i="185" s="1"/>
  <c r="D37" i="185"/>
  <c r="D21" i="184"/>
  <c r="F23" i="184"/>
  <c r="K79" i="1"/>
  <c r="K177" i="1" s="1"/>
  <c r="Z79" i="1"/>
  <c r="Z177" i="1" s="1"/>
  <c r="Z56" i="1"/>
  <c r="Z154" i="1" s="1"/>
  <c r="K56" i="1"/>
  <c r="K154" i="1" s="1"/>
  <c r="Y154" i="1"/>
  <c r="K60" i="1"/>
  <c r="K158" i="1" s="1"/>
  <c r="Z60" i="1"/>
  <c r="Z158" i="1" s="1"/>
  <c r="Y158" i="1"/>
  <c r="Z64" i="1"/>
  <c r="Z162" i="1" s="1"/>
  <c r="K64" i="1"/>
  <c r="K162" i="1" s="1"/>
  <c r="Y162" i="1"/>
  <c r="B14" i="66"/>
  <c r="B15" i="66" s="1"/>
  <c r="B16" i="66" s="1"/>
  <c r="B17" i="66" s="1"/>
  <c r="B18" i="66" s="1"/>
  <c r="B19" i="66" s="1"/>
  <c r="B20" i="66" s="1"/>
  <c r="D13" i="66"/>
  <c r="U52" i="39"/>
  <c r="B170" i="1"/>
  <c r="K81" i="1"/>
  <c r="K179" i="1" s="1"/>
  <c r="Y179" i="1"/>
  <c r="Z81" i="1"/>
  <c r="Z179" i="1" s="1"/>
  <c r="B169" i="1"/>
  <c r="U57" i="39"/>
  <c r="U60" i="39"/>
  <c r="B86" i="39"/>
  <c r="B184" i="39"/>
  <c r="B185" i="39" s="1"/>
  <c r="B186" i="39" s="1"/>
  <c r="B187" i="39" s="1"/>
  <c r="B188" i="39" s="1"/>
  <c r="B189" i="39" s="1"/>
  <c r="B190" i="39" s="1"/>
  <c r="B191" i="39" s="1"/>
  <c r="B192" i="39" s="1"/>
  <c r="B193" i="39" s="1"/>
  <c r="B194" i="39" s="1"/>
  <c r="B195" i="39" s="1"/>
  <c r="B196" i="39" s="1"/>
  <c r="H131" i="39"/>
  <c r="G128" i="39" s="1"/>
  <c r="Q31" i="312"/>
  <c r="Q31" i="306"/>
  <c r="Q31" i="298"/>
  <c r="Q31" i="301"/>
  <c r="Q31" i="294"/>
  <c r="Q31" i="291"/>
  <c r="Q31" i="309"/>
  <c r="Q31" i="304"/>
  <c r="Q31" i="297"/>
  <c r="Q31" i="287"/>
  <c r="Q31" i="69"/>
  <c r="Q31" i="311"/>
  <c r="Q31" i="310"/>
  <c r="Q31" i="305"/>
  <c r="Q31" i="295"/>
  <c r="Q31" i="299"/>
  <c r="Q31" i="290"/>
  <c r="Q31" i="289"/>
  <c r="Q31" i="307"/>
  <c r="Q31" i="293"/>
  <c r="Q31" i="288"/>
  <c r="K23" i="1"/>
  <c r="E20" i="10" s="1"/>
  <c r="Z23" i="1"/>
  <c r="Z121" i="1" s="1"/>
  <c r="Y121" i="1"/>
  <c r="K32" i="1"/>
  <c r="K130" i="1" s="1"/>
  <c r="Y130" i="1"/>
  <c r="K30" i="1"/>
  <c r="K128" i="1" s="1"/>
  <c r="Y128" i="1"/>
  <c r="Z30" i="1"/>
  <c r="Z128" i="1" s="1"/>
  <c r="K28" i="1"/>
  <c r="K126" i="1" s="1"/>
  <c r="Y126" i="1"/>
  <c r="K26" i="1"/>
  <c r="K124" i="1" s="1"/>
  <c r="Z26" i="1"/>
  <c r="Z124" i="1" s="1"/>
  <c r="Z37" i="1"/>
  <c r="Z135" i="1" s="1"/>
  <c r="Y139" i="1"/>
  <c r="E14" i="6"/>
  <c r="Y36" i="35"/>
  <c r="I121" i="1"/>
  <c r="I23" i="1" s="1"/>
  <c r="K30" i="35"/>
  <c r="Y29" i="35"/>
  <c r="Y40" i="35"/>
  <c r="K17" i="264"/>
  <c r="X17" i="264" s="1"/>
  <c r="Y89" i="1"/>
  <c r="Y187" i="1" s="1"/>
  <c r="AE25" i="10"/>
  <c r="AE33" i="10"/>
  <c r="AE40" i="10"/>
  <c r="E33" i="1106"/>
  <c r="P83" i="12"/>
  <c r="F83" i="12"/>
  <c r="E18" i="11"/>
  <c r="V79" i="12"/>
  <c r="G185" i="1"/>
  <c r="D20" i="69"/>
  <c r="I30" i="35"/>
  <c r="Y193" i="1"/>
  <c r="L14" i="6"/>
  <c r="Z41" i="1"/>
  <c r="Z139" i="1" s="1"/>
  <c r="Z96" i="1"/>
  <c r="Z194" i="1" s="1"/>
  <c r="D32" i="185"/>
  <c r="G38" i="180"/>
  <c r="H38" i="180" s="1"/>
  <c r="I147" i="1"/>
  <c r="I49" i="1" s="1"/>
  <c r="BE22" i="10"/>
  <c r="AI22" i="10" s="1"/>
  <c r="AM22" i="10" s="1"/>
  <c r="R50" i="39"/>
  <c r="B14" i="6"/>
  <c r="X30" i="35"/>
  <c r="Y30" i="35"/>
  <c r="Y37" i="35"/>
  <c r="Y41" i="35"/>
  <c r="J17" i="264"/>
  <c r="D20" i="306"/>
  <c r="BC21" i="10"/>
  <c r="AG21" i="10" s="1"/>
  <c r="AK21" i="10" s="1"/>
  <c r="AE28" i="10"/>
  <c r="AE36" i="10"/>
  <c r="G38" i="289"/>
  <c r="H38" i="289" s="1"/>
  <c r="L83" i="12"/>
  <c r="H30" i="35"/>
  <c r="Y137" i="1"/>
  <c r="Y172" i="1"/>
  <c r="Y174" i="1"/>
  <c r="Y183" i="1"/>
  <c r="AH90" i="1"/>
  <c r="AH188" i="1" s="1"/>
  <c r="H14" i="6"/>
  <c r="J30" i="35"/>
  <c r="G190" i="1"/>
  <c r="Y141" i="1"/>
  <c r="Y143" i="1"/>
  <c r="Y145" i="1"/>
  <c r="Y147" i="1"/>
  <c r="Y148" i="1"/>
  <c r="G13" i="66"/>
  <c r="H13" i="66" s="1"/>
  <c r="I148" i="1"/>
  <c r="I50" i="1" s="1"/>
  <c r="I171" i="1"/>
  <c r="I73" i="1" s="1"/>
  <c r="BB22" i="10"/>
  <c r="AF22" i="10" s="1"/>
  <c r="AJ22" i="10" s="1"/>
  <c r="Y34" i="35"/>
  <c r="Y38" i="35"/>
  <c r="Y42" i="35"/>
  <c r="H35" i="264"/>
  <c r="M16" i="264"/>
  <c r="Z16" i="264" s="1"/>
  <c r="D20" i="307"/>
  <c r="C63" i="6"/>
  <c r="C64" i="6" s="1"/>
  <c r="Z89" i="1"/>
  <c r="Z187" i="1" s="1"/>
  <c r="G32" i="1106"/>
  <c r="F44" i="1124"/>
  <c r="F20" i="1124"/>
  <c r="W21" i="10"/>
  <c r="P72" i="12"/>
  <c r="D20" i="293"/>
  <c r="K89" i="1"/>
  <c r="K187" i="1" s="1"/>
  <c r="B40" i="1"/>
  <c r="B41" i="1" s="1"/>
  <c r="B139" i="1" s="1"/>
  <c r="Y188" i="1"/>
  <c r="Z70" i="1"/>
  <c r="Z168" i="1" s="1"/>
  <c r="T62" i="39"/>
  <c r="I45" i="1124"/>
  <c r="C21" i="1124"/>
  <c r="H45" i="1124"/>
  <c r="C45" i="1124"/>
  <c r="I21" i="1124"/>
  <c r="E21" i="1124"/>
  <c r="G45" i="1124"/>
  <c r="H21" i="1124"/>
  <c r="G21" i="1124"/>
  <c r="E20" i="1124"/>
  <c r="I127" i="1"/>
  <c r="I29" i="1" s="1"/>
  <c r="I168" i="1"/>
  <c r="I70" i="1" s="1"/>
  <c r="I172" i="1"/>
  <c r="I74" i="1" s="1"/>
  <c r="I180" i="1"/>
  <c r="I82" i="1" s="1"/>
  <c r="S54" i="39"/>
  <c r="L76" i="140"/>
  <c r="L72" i="140"/>
  <c r="L68" i="140"/>
  <c r="L64" i="140"/>
  <c r="L60" i="140"/>
  <c r="L56" i="140"/>
  <c r="L52" i="140"/>
  <c r="L48" i="140"/>
  <c r="L44" i="140"/>
  <c r="L40" i="140"/>
  <c r="L36" i="140"/>
  <c r="L32" i="140"/>
  <c r="L28" i="140"/>
  <c r="L24" i="140"/>
  <c r="L20" i="140"/>
  <c r="L16" i="140"/>
  <c r="K44" i="1124"/>
  <c r="J44" i="1124" s="1"/>
  <c r="D44" i="1124"/>
  <c r="B18" i="1124"/>
  <c r="K20" i="1124"/>
  <c r="J20" i="1124" s="1"/>
  <c r="B42" i="1124"/>
  <c r="D20" i="1124"/>
  <c r="B43" i="1124"/>
  <c r="AD39" i="312"/>
  <c r="AC39" i="181"/>
  <c r="AE41" i="294"/>
  <c r="F21" i="300"/>
  <c r="D21" i="300" s="1"/>
  <c r="AD39" i="306"/>
  <c r="L28" i="11"/>
  <c r="M28" i="11" s="1"/>
  <c r="D56" i="11"/>
  <c r="E56" i="11" s="1"/>
  <c r="L32" i="11"/>
  <c r="M32" i="11" s="1"/>
  <c r="T50" i="39"/>
  <c r="L22" i="10"/>
  <c r="G17" i="264" s="1"/>
  <c r="G18" i="1106"/>
  <c r="E19" i="1106"/>
  <c r="N19" i="1106" s="1"/>
  <c r="E18" i="1106"/>
  <c r="N18" i="1106" s="1"/>
  <c r="E20" i="1106"/>
  <c r="N20" i="1106" s="1"/>
  <c r="E21" i="1106"/>
  <c r="N21" i="1106" s="1"/>
  <c r="E22" i="1106"/>
  <c r="N22" i="1106" s="1"/>
  <c r="E23" i="1106"/>
  <c r="N23" i="1106" s="1"/>
  <c r="E24" i="1106"/>
  <c r="N24" i="1106" s="1"/>
  <c r="E25" i="1106"/>
  <c r="N25" i="1106" s="1"/>
  <c r="E26" i="1106"/>
  <c r="N26" i="1106" s="1"/>
  <c r="D32" i="1106"/>
  <c r="B30" i="1106"/>
  <c r="B15" i="1121"/>
  <c r="B14" i="1122"/>
  <c r="B14" i="1121"/>
  <c r="D30" i="1121"/>
  <c r="B29" i="1121"/>
  <c r="D16" i="1122"/>
  <c r="B28" i="1122"/>
  <c r="B28" i="1121"/>
  <c r="B15" i="1122"/>
  <c r="D30" i="1122"/>
  <c r="D16" i="1121"/>
  <c r="Y170" i="1"/>
  <c r="Z75" i="1"/>
  <c r="Z173" i="1" s="1"/>
  <c r="Y177" i="1"/>
  <c r="Z80" i="1"/>
  <c r="Z178" i="1" s="1"/>
  <c r="Y184" i="1"/>
  <c r="I176" i="1"/>
  <c r="I78" i="1" s="1"/>
  <c r="I178" i="1"/>
  <c r="I80" i="1" s="1"/>
  <c r="I157" i="1"/>
  <c r="I59" i="1" s="1"/>
  <c r="I161" i="1"/>
  <c r="I63" i="1" s="1"/>
  <c r="AE41" i="69"/>
  <c r="AD41" i="312"/>
  <c r="AF41" i="312" s="1"/>
  <c r="T58" i="39"/>
  <c r="S62" i="39"/>
  <c r="R62" i="39"/>
  <c r="Q62" i="39"/>
  <c r="I33" i="1106"/>
  <c r="F33" i="1106"/>
  <c r="C33" i="1106"/>
  <c r="J33" i="1106"/>
  <c r="H33" i="1106"/>
  <c r="G31" i="1122"/>
  <c r="C31" i="1122"/>
  <c r="D31" i="1122" s="1"/>
  <c r="I31" i="1122"/>
  <c r="G31" i="1121"/>
  <c r="I31" i="1121"/>
  <c r="C17" i="1121"/>
  <c r="D17" i="1121" s="1"/>
  <c r="H31" i="1122"/>
  <c r="H17" i="1121"/>
  <c r="H17" i="1122"/>
  <c r="I17" i="1122"/>
  <c r="G17" i="1121"/>
  <c r="I17" i="1121"/>
  <c r="H31" i="1121"/>
  <c r="C31" i="1121"/>
  <c r="D31" i="1121" s="1"/>
  <c r="C17" i="1122"/>
  <c r="D17" i="1122" s="1"/>
  <c r="G17" i="1122"/>
  <c r="J71" i="12"/>
  <c r="T54" i="39"/>
  <c r="S58" i="39"/>
  <c r="R58" i="39"/>
  <c r="AD41" i="289"/>
  <c r="AD41" i="294"/>
  <c r="AE41" i="296"/>
  <c r="D20" i="311"/>
  <c r="AE41" i="312"/>
  <c r="F16" i="1121"/>
  <c r="F16" i="1122"/>
  <c r="F30" i="1122"/>
  <c r="F30" i="1121"/>
  <c r="E16" i="1122"/>
  <c r="E30" i="1122"/>
  <c r="E30" i="1121"/>
  <c r="AD41" i="188"/>
  <c r="AC41" i="188"/>
  <c r="AE41" i="188" s="1"/>
  <c r="AF41" i="188" s="1"/>
  <c r="K57" i="1"/>
  <c r="K155" i="1" s="1"/>
  <c r="Z57" i="1"/>
  <c r="Z155" i="1" s="1"/>
  <c r="I174" i="1"/>
  <c r="I76" i="1" s="1"/>
  <c r="I183" i="1"/>
  <c r="I85" i="1" s="1"/>
  <c r="J72" i="12"/>
  <c r="J74" i="12"/>
  <c r="H17" i="1107"/>
  <c r="H18" i="1107" s="1"/>
  <c r="H19" i="1107" s="1"/>
  <c r="H20" i="1107" s="1"/>
  <c r="H21" i="1107" s="1"/>
  <c r="H22" i="1107" s="1"/>
  <c r="H23" i="1107" s="1"/>
  <c r="H24" i="1107" s="1"/>
  <c r="H25" i="1107" s="1"/>
  <c r="H26" i="1107" s="1"/>
  <c r="H27" i="1107" s="1"/>
  <c r="H28" i="1107" s="1"/>
  <c r="H29" i="1107" s="1"/>
  <c r="H30" i="1107" s="1"/>
  <c r="I16" i="1107"/>
  <c r="H35" i="1107"/>
  <c r="H36" i="1107" s="1"/>
  <c r="H37" i="1107" s="1"/>
  <c r="H38" i="1107" s="1"/>
  <c r="H39" i="1107" s="1"/>
  <c r="H40" i="1107" s="1"/>
  <c r="H41" i="1107" s="1"/>
  <c r="H42" i="1107" s="1"/>
  <c r="H43" i="1107" s="1"/>
  <c r="H44" i="1107" s="1"/>
  <c r="H45" i="1107" s="1"/>
  <c r="H46" i="1107" s="1"/>
  <c r="H47" i="1107" s="1"/>
  <c r="H48" i="1107" s="1"/>
  <c r="I34" i="1107"/>
  <c r="Q54" i="39"/>
  <c r="K57" i="12"/>
  <c r="K65" i="12" s="1"/>
  <c r="Q31" i="1118"/>
  <c r="Q31" i="1114"/>
  <c r="Q31" i="1117"/>
  <c r="Q31" i="1112"/>
  <c r="Q31" i="1111"/>
  <c r="Q31" i="1109"/>
  <c r="Q31" i="1113"/>
  <c r="Q31" i="1116"/>
  <c r="Q31" i="1110"/>
  <c r="Q31" i="1108"/>
  <c r="Q31" i="1119"/>
  <c r="Q31" i="1115"/>
  <c r="I144" i="1"/>
  <c r="I46" i="1" s="1"/>
  <c r="I142" i="1"/>
  <c r="I44" i="1" s="1"/>
  <c r="I125" i="1"/>
  <c r="I27" i="1" s="1"/>
  <c r="AC21" i="10"/>
  <c r="H72" i="12"/>
  <c r="H74" i="12"/>
  <c r="AE41" i="287"/>
  <c r="D20" i="288"/>
  <c r="AD41" i="288"/>
  <c r="AE33" i="292"/>
  <c r="AE41" i="292"/>
  <c r="AE41" i="299"/>
  <c r="AD41" i="303"/>
  <c r="AD41" i="309"/>
  <c r="AE41" i="311"/>
  <c r="AD41" i="187"/>
  <c r="AC41" i="186"/>
  <c r="I159" i="1"/>
  <c r="I61" i="1" s="1"/>
  <c r="L70" i="12"/>
  <c r="L77" i="12" s="1"/>
  <c r="L69" i="12"/>
  <c r="W57" i="12"/>
  <c r="W65" i="12" s="1"/>
  <c r="W56" i="12"/>
  <c r="W80" i="12" s="1"/>
  <c r="Q50" i="39"/>
  <c r="B14" i="1107"/>
  <c r="B32" i="1107"/>
  <c r="B15" i="1106"/>
  <c r="B16" i="1106"/>
  <c r="E19" i="10"/>
  <c r="AQ21" i="10"/>
  <c r="I195" i="1"/>
  <c r="I97" i="1" s="1"/>
  <c r="AC41" i="179"/>
  <c r="V69" i="12"/>
  <c r="V70" i="12"/>
  <c r="AE41" i="302"/>
  <c r="AD41" i="304"/>
  <c r="AF31" i="306"/>
  <c r="AD39" i="310"/>
  <c r="AC41" i="185"/>
  <c r="AC41" i="184"/>
  <c r="Y163" i="1"/>
  <c r="K82" i="12"/>
  <c r="K70" i="12"/>
  <c r="K69" i="12"/>
  <c r="V57" i="12"/>
  <c r="V65" i="12" s="1"/>
  <c r="V56" i="12"/>
  <c r="V80" i="12" s="1"/>
  <c r="H70" i="12"/>
  <c r="H69" i="12"/>
  <c r="J56" i="12"/>
  <c r="J57" i="12"/>
  <c r="J65" i="12" s="1"/>
  <c r="I167" i="1"/>
  <c r="I69" i="1" s="1"/>
  <c r="I143" i="1"/>
  <c r="I45" i="1" s="1"/>
  <c r="I141" i="1"/>
  <c r="I43" i="1" s="1"/>
  <c r="I137" i="1"/>
  <c r="I39" i="1" s="1"/>
  <c r="I124" i="1"/>
  <c r="I26" i="1" s="1"/>
  <c r="I122" i="1"/>
  <c r="I24" i="1" s="1"/>
  <c r="M17" i="264"/>
  <c r="Q17" i="264" s="1"/>
  <c r="AD41" i="287"/>
  <c r="AE41" i="288"/>
  <c r="AE41" i="293"/>
  <c r="AD41" i="295"/>
  <c r="AE41" i="300"/>
  <c r="AD41" i="301"/>
  <c r="AE41" i="305"/>
  <c r="P69" i="12"/>
  <c r="P70" i="12"/>
  <c r="W72" i="12"/>
  <c r="W74" i="12"/>
  <c r="W70" i="12"/>
  <c r="W69" i="12"/>
  <c r="S82" i="12"/>
  <c r="S70" i="12"/>
  <c r="S69" i="12"/>
  <c r="Z72" i="1"/>
  <c r="Z170" i="1" s="1"/>
  <c r="Y173" i="1"/>
  <c r="Z78" i="1"/>
  <c r="Z176" i="1" s="1"/>
  <c r="Z83" i="1"/>
  <c r="Z181" i="1" s="1"/>
  <c r="Z86" i="1"/>
  <c r="Z184" i="1" s="1"/>
  <c r="Z88" i="1"/>
  <c r="Z186" i="1" s="1"/>
  <c r="AD33" i="182"/>
  <c r="Y92" i="1"/>
  <c r="K92" i="1" s="1"/>
  <c r="K190" i="1" s="1"/>
  <c r="K65" i="1"/>
  <c r="K163" i="1" s="1"/>
  <c r="I170" i="1"/>
  <c r="I72" i="1" s="1"/>
  <c r="I179" i="1"/>
  <c r="I81" i="1" s="1"/>
  <c r="J82" i="12"/>
  <c r="J69" i="12"/>
  <c r="J70" i="12"/>
  <c r="K72" i="12"/>
  <c r="K74" i="12"/>
  <c r="S57" i="12"/>
  <c r="S65" i="12" s="1"/>
  <c r="S56" i="12"/>
  <c r="P56" i="12"/>
  <c r="P57" i="12"/>
  <c r="P65" i="12" s="1"/>
  <c r="H57" i="12"/>
  <c r="H65" i="12" s="1"/>
  <c r="H56" i="12"/>
  <c r="S50" i="39"/>
  <c r="R54" i="39"/>
  <c r="V54" i="39" s="1"/>
  <c r="Q58" i="39"/>
  <c r="L75" i="140"/>
  <c r="L71" i="140"/>
  <c r="L67" i="140"/>
  <c r="L63" i="140"/>
  <c r="L59" i="140"/>
  <c r="L55" i="140"/>
  <c r="L51" i="140"/>
  <c r="L47" i="140"/>
  <c r="L43" i="140"/>
  <c r="L39" i="140"/>
  <c r="L35" i="140"/>
  <c r="L31" i="140"/>
  <c r="L27" i="140"/>
  <c r="L23" i="140"/>
  <c r="L19" i="140"/>
  <c r="L15" i="140"/>
  <c r="G17" i="1107"/>
  <c r="C17" i="1107"/>
  <c r="D17" i="1107" s="1"/>
  <c r="C35" i="1107"/>
  <c r="G35" i="1107"/>
  <c r="H18" i="1106"/>
  <c r="I18" i="1106"/>
  <c r="J18" i="1106"/>
  <c r="H71" i="12"/>
  <c r="H73" i="12"/>
  <c r="S71" i="12"/>
  <c r="S73" i="12"/>
  <c r="AE41" i="289"/>
  <c r="AD41" i="296"/>
  <c r="AD41" i="302"/>
  <c r="I153" i="1"/>
  <c r="I55" i="1" s="1"/>
  <c r="AE33" i="308"/>
  <c r="D39" i="13"/>
  <c r="D20" i="13"/>
  <c r="D30" i="182"/>
  <c r="AA190" i="1"/>
  <c r="G38" i="69"/>
  <c r="H38" i="69" s="1"/>
  <c r="B32" i="38"/>
  <c r="G37" i="183"/>
  <c r="H37" i="183" s="1"/>
  <c r="D30" i="183"/>
  <c r="D38" i="181"/>
  <c r="F34" i="179"/>
  <c r="D34" i="179" s="1"/>
  <c r="F34" i="1119"/>
  <c r="F34" i="1118"/>
  <c r="F34" i="1117"/>
  <c r="F34" i="1116"/>
  <c r="F34" i="1115"/>
  <c r="F34" i="1114"/>
  <c r="F34" i="1113"/>
  <c r="F34" i="1112"/>
  <c r="F34" i="1111"/>
  <c r="F34" i="1110"/>
  <c r="F34" i="1108"/>
  <c r="F34" i="1109"/>
  <c r="AD39" i="291"/>
  <c r="D30" i="184"/>
  <c r="D21" i="182"/>
  <c r="H13" i="290"/>
  <c r="H21" i="290" s="1"/>
  <c r="H23" i="290" s="1"/>
  <c r="H24" i="290" s="1"/>
  <c r="N35" i="264"/>
  <c r="AA35" i="264" s="1"/>
  <c r="V35" i="264" s="1"/>
  <c r="D13" i="186"/>
  <c r="D16" i="1107"/>
  <c r="D34" i="1107"/>
  <c r="D35" i="1107"/>
  <c r="D18" i="1106"/>
  <c r="D17" i="1106"/>
  <c r="E43" i="35"/>
  <c r="E42" i="35"/>
  <c r="E41" i="35"/>
  <c r="E40" i="35"/>
  <c r="E39" i="35"/>
  <c r="E38" i="35"/>
  <c r="E37" i="35"/>
  <c r="E36" i="35"/>
  <c r="E35" i="35"/>
  <c r="E34" i="35"/>
  <c r="AE33" i="305"/>
  <c r="AD41" i="291"/>
  <c r="F34" i="293"/>
  <c r="G34" i="293" s="1"/>
  <c r="H34" i="293" s="1"/>
  <c r="D37" i="309"/>
  <c r="AF148" i="1"/>
  <c r="AA135" i="1"/>
  <c r="F34" i="1107"/>
  <c r="F16" i="1107"/>
  <c r="AD33" i="303"/>
  <c r="AF31" i="311"/>
  <c r="E16" i="1107"/>
  <c r="E34" i="1107"/>
  <c r="AF172" i="1"/>
  <c r="D32" i="188"/>
  <c r="AH45" i="1"/>
  <c r="AH143" i="1" s="1"/>
  <c r="AH55" i="1"/>
  <c r="AH153" i="1" s="1"/>
  <c r="AC33" i="181"/>
  <c r="G32" i="184"/>
  <c r="H32" i="184" s="1"/>
  <c r="G28" i="180"/>
  <c r="H28" i="180" s="1"/>
  <c r="I138" i="1"/>
  <c r="I40" i="1" s="1"/>
  <c r="I146" i="1"/>
  <c r="I48" i="1" s="1"/>
  <c r="AD33" i="180"/>
  <c r="G83" i="12"/>
  <c r="G71" i="12"/>
  <c r="I175" i="1"/>
  <c r="G69" i="12"/>
  <c r="G70" i="12"/>
  <c r="G57" i="12"/>
  <c r="G65" i="12" s="1"/>
  <c r="G56" i="12"/>
  <c r="F72" i="12"/>
  <c r="F56" i="12"/>
  <c r="F57" i="12"/>
  <c r="F65" i="12" s="1"/>
  <c r="F71" i="12"/>
  <c r="F73" i="12"/>
  <c r="F69" i="12"/>
  <c r="F70" i="12"/>
  <c r="H83" i="12"/>
  <c r="S63" i="12"/>
  <c r="S83" i="12"/>
  <c r="G316" i="1103"/>
  <c r="G319" i="1103"/>
  <c r="G314" i="1103"/>
  <c r="J311" i="1103"/>
  <c r="G326" i="1103"/>
  <c r="G315" i="1103"/>
  <c r="G324" i="1103"/>
  <c r="N311" i="1103"/>
  <c r="G322" i="1103"/>
  <c r="G321" i="1103"/>
  <c r="G313" i="1103"/>
  <c r="H312" i="1103"/>
  <c r="G320" i="1103"/>
  <c r="G323" i="1103"/>
  <c r="G318" i="1103"/>
  <c r="G317" i="1103"/>
  <c r="R311" i="1103"/>
  <c r="G325" i="1103"/>
  <c r="A345" i="1103"/>
  <c r="A123" i="261"/>
  <c r="A242" i="261"/>
  <c r="G16" i="264"/>
  <c r="AD39" i="293"/>
  <c r="AE33" i="295"/>
  <c r="AE39" i="296"/>
  <c r="AE33" i="297"/>
  <c r="AC39" i="187"/>
  <c r="AC33" i="185"/>
  <c r="AC39" i="184"/>
  <c r="AA193" i="1"/>
  <c r="AB61" i="1"/>
  <c r="O61" i="1" s="1"/>
  <c r="AA148" i="1"/>
  <c r="AB125" i="1"/>
  <c r="AA132" i="1"/>
  <c r="BB21" i="10"/>
  <c r="AF21" i="10" s="1"/>
  <c r="AJ21" i="10" s="1"/>
  <c r="X42" i="35"/>
  <c r="V24" i="10"/>
  <c r="X34" i="35"/>
  <c r="X39" i="35"/>
  <c r="AD39" i="10"/>
  <c r="AD40" i="10"/>
  <c r="X37" i="35"/>
  <c r="X38" i="35"/>
  <c r="X43" i="35"/>
  <c r="W22" i="10"/>
  <c r="W40" i="10"/>
  <c r="W39" i="10"/>
  <c r="W38" i="10"/>
  <c r="W37" i="10"/>
  <c r="W36" i="10"/>
  <c r="W35" i="10"/>
  <c r="W34" i="10"/>
  <c r="W33" i="10"/>
  <c r="W32" i="10"/>
  <c r="W31" i="10"/>
  <c r="W30" i="10"/>
  <c r="W29" i="10"/>
  <c r="W28" i="10"/>
  <c r="W27" i="10"/>
  <c r="W26" i="10"/>
  <c r="W25" i="10"/>
  <c r="W24" i="10"/>
  <c r="W23" i="10"/>
  <c r="G30" i="300"/>
  <c r="H30" i="300" s="1"/>
  <c r="AA153" i="1"/>
  <c r="AA158" i="1"/>
  <c r="K35" i="264"/>
  <c r="X35" i="264" s="1"/>
  <c r="S35" i="264" s="1"/>
  <c r="AD41" i="180"/>
  <c r="AD31" i="312"/>
  <c r="H13" i="186"/>
  <c r="H21" i="186" s="1"/>
  <c r="H23" i="186" s="1"/>
  <c r="H24" i="186" s="1"/>
  <c r="AB58" i="1"/>
  <c r="O58" i="1" s="1"/>
  <c r="AF164" i="1"/>
  <c r="F34" i="297"/>
  <c r="I34" i="297" s="1"/>
  <c r="B120" i="1"/>
  <c r="AA125" i="1"/>
  <c r="AF190" i="1"/>
  <c r="G32" i="182"/>
  <c r="H32" i="182" s="1"/>
  <c r="D28" i="181"/>
  <c r="AE33" i="286"/>
  <c r="AF31" i="287"/>
  <c r="AD33" i="288"/>
  <c r="AE39" i="290"/>
  <c r="AD39" i="292"/>
  <c r="I37" i="296"/>
  <c r="AC33" i="183"/>
  <c r="AD41" i="293"/>
  <c r="AF41" i="293" s="1"/>
  <c r="AD33" i="301"/>
  <c r="AA155" i="1"/>
  <c r="AD39" i="296"/>
  <c r="AB84" i="1"/>
  <c r="AI84" i="1" s="1"/>
  <c r="AI182" i="1" s="1"/>
  <c r="AD33" i="181"/>
  <c r="G28" i="69"/>
  <c r="H28" i="69" s="1"/>
  <c r="AA140" i="1"/>
  <c r="AB181" i="1"/>
  <c r="O83" i="1"/>
  <c r="AI86" i="1"/>
  <c r="AI184" i="1" s="1"/>
  <c r="O86" i="1"/>
  <c r="AI91" i="1"/>
  <c r="AI189" i="1" s="1"/>
  <c r="O91" i="1"/>
  <c r="AI92" i="1"/>
  <c r="AI190" i="1" s="1"/>
  <c r="O92" i="1"/>
  <c r="AI48" i="1"/>
  <c r="AI146" i="1" s="1"/>
  <c r="O48" i="1"/>
  <c r="AI42" i="1"/>
  <c r="AI140" i="1" s="1"/>
  <c r="O42" i="1"/>
  <c r="AI31" i="1"/>
  <c r="AI129" i="1" s="1"/>
  <c r="O31" i="1"/>
  <c r="AB127" i="1"/>
  <c r="O29" i="1"/>
  <c r="I38" i="305"/>
  <c r="AC25" i="10"/>
  <c r="AI27" i="1"/>
  <c r="AI125" i="1" s="1"/>
  <c r="AA181" i="1"/>
  <c r="AA184" i="1"/>
  <c r="AD41" i="292"/>
  <c r="AF151" i="1"/>
  <c r="AD33" i="292"/>
  <c r="F34" i="302"/>
  <c r="G34" i="302" s="1"/>
  <c r="H34" i="302" s="1"/>
  <c r="AH61" i="1"/>
  <c r="AH159" i="1" s="1"/>
  <c r="AI90" i="1"/>
  <c r="AI188" i="1" s="1"/>
  <c r="O90" i="1"/>
  <c r="AA131" i="1"/>
  <c r="AF137" i="1"/>
  <c r="AA151" i="1"/>
  <c r="AD33" i="185"/>
  <c r="AD39" i="184"/>
  <c r="D32" i="179"/>
  <c r="AB163" i="1"/>
  <c r="O65" i="1"/>
  <c r="AI72" i="1"/>
  <c r="AI170" i="1" s="1"/>
  <c r="O72" i="1"/>
  <c r="AC27" i="10"/>
  <c r="AS22" i="10"/>
  <c r="AS40" i="10"/>
  <c r="AS39" i="10"/>
  <c r="AS38" i="10"/>
  <c r="AS37" i="10"/>
  <c r="AS36" i="10"/>
  <c r="AS35" i="10"/>
  <c r="AS34" i="10"/>
  <c r="AS33" i="10"/>
  <c r="AS32" i="10"/>
  <c r="AS31" i="10"/>
  <c r="AS30" i="10"/>
  <c r="AS29" i="10"/>
  <c r="AS28" i="10"/>
  <c r="AS27" i="10"/>
  <c r="AS26" i="10"/>
  <c r="AS25" i="10"/>
  <c r="AS24" i="10"/>
  <c r="AS23" i="10"/>
  <c r="AE39" i="294"/>
  <c r="AD33" i="296"/>
  <c r="AD39" i="299"/>
  <c r="AD39" i="300"/>
  <c r="AE39" i="309"/>
  <c r="AD39" i="311"/>
  <c r="AI81" i="1"/>
  <c r="AI179" i="1" s="1"/>
  <c r="O81" i="1"/>
  <c r="AB186" i="1"/>
  <c r="O88" i="1"/>
  <c r="AI38" i="1"/>
  <c r="AI136" i="1" s="1"/>
  <c r="O38" i="1"/>
  <c r="AD33" i="186"/>
  <c r="AD33" i="287"/>
  <c r="AI88" i="1"/>
  <c r="AI186" i="1" s="1"/>
  <c r="AB123" i="1"/>
  <c r="AB189" i="1"/>
  <c r="F34" i="287"/>
  <c r="I34" i="287" s="1"/>
  <c r="AB129" i="1"/>
  <c r="F34" i="308"/>
  <c r="I34" i="308" s="1"/>
  <c r="V32" i="10"/>
  <c r="AA129" i="1"/>
  <c r="AA136" i="1"/>
  <c r="G32" i="181"/>
  <c r="H32" i="181" s="1"/>
  <c r="G30" i="180"/>
  <c r="H30" i="180" s="1"/>
  <c r="AB140" i="1"/>
  <c r="AB175" i="1"/>
  <c r="O77" i="1"/>
  <c r="M34" i="264"/>
  <c r="Z34" i="264" s="1"/>
  <c r="U34" i="264" s="1"/>
  <c r="AE39" i="69"/>
  <c r="AB145" i="1"/>
  <c r="O47" i="1"/>
  <c r="AB137" i="1"/>
  <c r="O39" i="1"/>
  <c r="AI32" i="1"/>
  <c r="AI130" i="1" s="1"/>
  <c r="O32" i="1"/>
  <c r="AI30" i="1"/>
  <c r="AI128" i="1" s="1"/>
  <c r="O30" i="1"/>
  <c r="AI28" i="1"/>
  <c r="AI126" i="1" s="1"/>
  <c r="O28" i="1"/>
  <c r="AI24" i="1"/>
  <c r="AI122" i="1" s="1"/>
  <c r="O24" i="1"/>
  <c r="AE39" i="292"/>
  <c r="AD33" i="295"/>
  <c r="AE39" i="295"/>
  <c r="AE33" i="310"/>
  <c r="AE39" i="306"/>
  <c r="AB169" i="1"/>
  <c r="O71" i="1"/>
  <c r="AI33" i="1"/>
  <c r="AI131" i="1" s="1"/>
  <c r="O33" i="1"/>
  <c r="AC33" i="186"/>
  <c r="AH43" i="1"/>
  <c r="AH141" i="1" s="1"/>
  <c r="AC39" i="183"/>
  <c r="AI25" i="1"/>
  <c r="AI123" i="1" s="1"/>
  <c r="AE33" i="287"/>
  <c r="AF177" i="1"/>
  <c r="AF123" i="1"/>
  <c r="AE39" i="287"/>
  <c r="AB66" i="1"/>
  <c r="AI66" i="1" s="1"/>
  <c r="AI164" i="1" s="1"/>
  <c r="AF155" i="1"/>
  <c r="AH65" i="1"/>
  <c r="AH163" i="1" s="1"/>
  <c r="AI29" i="1"/>
  <c r="AI127" i="1" s="1"/>
  <c r="V36" i="10"/>
  <c r="D28" i="69"/>
  <c r="AA123" i="1"/>
  <c r="AA127" i="1"/>
  <c r="AD39" i="187"/>
  <c r="AE31" i="186"/>
  <c r="AF31" i="186" s="1"/>
  <c r="AI54" i="1"/>
  <c r="AI152" i="1" s="1"/>
  <c r="O54" i="1"/>
  <c r="AB158" i="1"/>
  <c r="O60" i="1"/>
  <c r="AI70" i="1"/>
  <c r="AI168" i="1" s="1"/>
  <c r="O70" i="1"/>
  <c r="AE31" i="180"/>
  <c r="AF31" i="180" s="1"/>
  <c r="AI34" i="1"/>
  <c r="AI132" i="1" s="1"/>
  <c r="O34" i="1"/>
  <c r="AC32" i="10"/>
  <c r="AD33" i="291"/>
  <c r="AE39" i="291"/>
  <c r="D30" i="35"/>
  <c r="Q30" i="35" s="1"/>
  <c r="G22" i="10"/>
  <c r="E30" i="35" s="1"/>
  <c r="F23" i="10"/>
  <c r="AQ23" i="10" s="1"/>
  <c r="V38" i="10"/>
  <c r="G34" i="184"/>
  <c r="H34" i="184" s="1"/>
  <c r="F34" i="295"/>
  <c r="G34" i="295" s="1"/>
  <c r="H34" i="295" s="1"/>
  <c r="F34" i="291"/>
  <c r="I34" i="291" s="1"/>
  <c r="F34" i="298"/>
  <c r="D34" i="298" s="1"/>
  <c r="F34" i="304"/>
  <c r="I34" i="304" s="1"/>
  <c r="F34" i="292"/>
  <c r="I34" i="292" s="1"/>
  <c r="F34" i="181"/>
  <c r="G34" i="181" s="1"/>
  <c r="H34" i="181" s="1"/>
  <c r="F34" i="180"/>
  <c r="G34" i="180" s="1"/>
  <c r="H34" i="180" s="1"/>
  <c r="F34" i="289"/>
  <c r="I34" i="289" s="1"/>
  <c r="F34" i="296"/>
  <c r="D34" i="296" s="1"/>
  <c r="F34" i="288"/>
  <c r="I34" i="288" s="1"/>
  <c r="F34" i="300"/>
  <c r="D34" i="300" s="1"/>
  <c r="F34" i="305"/>
  <c r="I34" i="305" s="1"/>
  <c r="F34" i="311"/>
  <c r="D34" i="311" s="1"/>
  <c r="F34" i="188"/>
  <c r="G34" i="188" s="1"/>
  <c r="H34" i="188" s="1"/>
  <c r="F34" i="187"/>
  <c r="G34" i="187" s="1"/>
  <c r="H34" i="187" s="1"/>
  <c r="G38" i="182"/>
  <c r="H38" i="182" s="1"/>
  <c r="F34" i="286"/>
  <c r="D34" i="286" s="1"/>
  <c r="F34" i="301"/>
  <c r="G34" i="301" s="1"/>
  <c r="H34" i="301" s="1"/>
  <c r="F34" i="306"/>
  <c r="I34" i="306" s="1"/>
  <c r="F34" i="309"/>
  <c r="D34" i="309" s="1"/>
  <c r="F34" i="312"/>
  <c r="G34" i="312" s="1"/>
  <c r="H34" i="312" s="1"/>
  <c r="F34" i="69"/>
  <c r="D34" i="69" s="1"/>
  <c r="F34" i="182"/>
  <c r="J31" i="9"/>
  <c r="G35" i="264"/>
  <c r="B17" i="9"/>
  <c r="L23" i="10" s="1"/>
  <c r="K22" i="10"/>
  <c r="G33" i="1106" s="1"/>
  <c r="AD39" i="186"/>
  <c r="AD31" i="69"/>
  <c r="AF31" i="69" s="1"/>
  <c r="AD33" i="69"/>
  <c r="F44" i="180"/>
  <c r="D44" i="180" s="1"/>
  <c r="G37" i="180"/>
  <c r="H37" i="180" s="1"/>
  <c r="AT26" i="10"/>
  <c r="V26" i="10"/>
  <c r="AC26" i="10"/>
  <c r="AT24" i="10"/>
  <c r="AC24" i="10"/>
  <c r="AD31" i="286"/>
  <c r="AF31" i="286" s="1"/>
  <c r="AD33" i="286"/>
  <c r="AE33" i="288"/>
  <c r="AE39" i="288"/>
  <c r="AD41" i="306"/>
  <c r="AD33" i="306"/>
  <c r="AD33" i="302"/>
  <c r="AC41" i="187"/>
  <c r="AC33" i="10"/>
  <c r="G12" i="181"/>
  <c r="H12" i="181" s="1"/>
  <c r="AD39" i="188"/>
  <c r="AE39" i="310"/>
  <c r="AF39" i="310" s="1"/>
  <c r="G21" i="184"/>
  <c r="G23" i="184" s="1"/>
  <c r="G25" i="184" s="1"/>
  <c r="AE39" i="286"/>
  <c r="AE41" i="295"/>
  <c r="AE41" i="291"/>
  <c r="D21" i="180"/>
  <c r="AE33" i="298"/>
  <c r="AD39" i="287"/>
  <c r="V28" i="10"/>
  <c r="AD39" i="182"/>
  <c r="D38" i="179"/>
  <c r="D28" i="179"/>
  <c r="I135" i="1"/>
  <c r="I37" i="1" s="1"/>
  <c r="AB56" i="1"/>
  <c r="O56" i="1" s="1"/>
  <c r="AA154" i="1"/>
  <c r="AB155" i="1"/>
  <c r="AI57" i="1"/>
  <c r="AI155" i="1" s="1"/>
  <c r="AA160" i="1"/>
  <c r="AB62" i="1"/>
  <c r="BC22" i="10"/>
  <c r="AG22" i="10" s="1"/>
  <c r="AK22" i="10" s="1"/>
  <c r="D30" i="186"/>
  <c r="G30" i="186"/>
  <c r="H30" i="186" s="1"/>
  <c r="O16" i="264"/>
  <c r="AE31" i="181"/>
  <c r="AF31" i="181" s="1"/>
  <c r="AB45" i="1"/>
  <c r="AB143" i="1" s="1"/>
  <c r="AA143" i="1"/>
  <c r="V29" i="10"/>
  <c r="AC31" i="10"/>
  <c r="AD39" i="307"/>
  <c r="AD41" i="307"/>
  <c r="AT22" i="10"/>
  <c r="AC22" i="10"/>
  <c r="AT38" i="10"/>
  <c r="AC38" i="10"/>
  <c r="AT35" i="10"/>
  <c r="AC35" i="10"/>
  <c r="AT34" i="10"/>
  <c r="V34" i="10"/>
  <c r="AC34" i="10"/>
  <c r="AT30" i="10"/>
  <c r="AC30" i="10"/>
  <c r="AD33" i="312"/>
  <c r="AD33" i="293"/>
  <c r="AC29" i="10"/>
  <c r="AC33" i="182"/>
  <c r="AE33" i="291"/>
  <c r="R17" i="264"/>
  <c r="V30" i="10"/>
  <c r="V40" i="10"/>
  <c r="V22" i="10"/>
  <c r="C12" i="6"/>
  <c r="D13" i="180"/>
  <c r="BD21" i="10"/>
  <c r="AH21" i="10" s="1"/>
  <c r="AL21" i="10" s="1"/>
  <c r="AH87" i="1"/>
  <c r="AH185" i="1" s="1"/>
  <c r="AF185" i="1"/>
  <c r="AF181" i="1"/>
  <c r="AH83" i="1"/>
  <c r="AH181" i="1" s="1"/>
  <c r="AH33" i="1"/>
  <c r="AH131" i="1" s="1"/>
  <c r="AF131" i="1"/>
  <c r="F21" i="183"/>
  <c r="D13" i="183"/>
  <c r="L17" i="264"/>
  <c r="P17" i="264" s="1"/>
  <c r="AD39" i="69"/>
  <c r="F44" i="181"/>
  <c r="G44" i="181" s="1"/>
  <c r="H44" i="181" s="1"/>
  <c r="D37" i="181"/>
  <c r="AI97" i="1"/>
  <c r="AI195" i="1" s="1"/>
  <c r="AA195" i="1"/>
  <c r="AD39" i="179"/>
  <c r="AC36" i="10"/>
  <c r="AC23" i="10"/>
  <c r="AD39" i="286"/>
  <c r="AE39" i="311"/>
  <c r="AB178" i="1"/>
  <c r="AI80" i="1"/>
  <c r="AI178" i="1" s="1"/>
  <c r="AF194" i="1"/>
  <c r="AH96" i="1"/>
  <c r="AH194" i="1" s="1"/>
  <c r="AH46" i="1"/>
  <c r="AH144" i="1" s="1"/>
  <c r="AF144" i="1"/>
  <c r="AC28" i="10"/>
  <c r="AS21" i="10"/>
  <c r="X40" i="35"/>
  <c r="X36" i="35"/>
  <c r="X29" i="35"/>
  <c r="AV21" i="10"/>
  <c r="BE21" i="10"/>
  <c r="AI21" i="10" s="1"/>
  <c r="AM21" i="10" s="1"/>
  <c r="AU22" i="10"/>
  <c r="BD22" i="10"/>
  <c r="AH22" i="10" s="1"/>
  <c r="AL22" i="10" s="1"/>
  <c r="AE31" i="289"/>
  <c r="AF31" i="289" s="1"/>
  <c r="AE39" i="289"/>
  <c r="AD31" i="291"/>
  <c r="AF31" i="291" s="1"/>
  <c r="AE31" i="292"/>
  <c r="AF31" i="292" s="1"/>
  <c r="AE33" i="294"/>
  <c r="AD41" i="181"/>
  <c r="G23" i="186"/>
  <c r="G25" i="186" s="1"/>
  <c r="H23" i="184"/>
  <c r="H24" i="184" s="1"/>
  <c r="AC39" i="182"/>
  <c r="F25" i="180"/>
  <c r="D25" i="180" s="1"/>
  <c r="L77" i="140"/>
  <c r="L73" i="140"/>
  <c r="L69" i="140"/>
  <c r="L65" i="140"/>
  <c r="L61" i="140"/>
  <c r="L57" i="140"/>
  <c r="L53" i="140"/>
  <c r="L49" i="140"/>
  <c r="L45" i="140"/>
  <c r="L41" i="140"/>
  <c r="L37" i="140"/>
  <c r="L33" i="140"/>
  <c r="L29" i="140"/>
  <c r="L25" i="140"/>
  <c r="L21" i="140"/>
  <c r="L17" i="140"/>
  <c r="L13" i="140"/>
  <c r="S17" i="264"/>
  <c r="V17" i="264"/>
  <c r="H13" i="180"/>
  <c r="H21" i="180" s="1"/>
  <c r="H23" i="180" s="1"/>
  <c r="H24" i="180" s="1"/>
  <c r="G21" i="180"/>
  <c r="G23" i="180" s="1"/>
  <c r="G25" i="180" s="1"/>
  <c r="AD33" i="299"/>
  <c r="I22" i="69"/>
  <c r="D22" i="69"/>
  <c r="AC31" i="184"/>
  <c r="AE31" i="184" s="1"/>
  <c r="AF31" i="184" s="1"/>
  <c r="AC33" i="184"/>
  <c r="AB59" i="1"/>
  <c r="O59" i="1" s="1"/>
  <c r="AA157" i="1"/>
  <c r="AA161" i="1"/>
  <c r="AB63" i="1"/>
  <c r="AB64" i="1"/>
  <c r="O64" i="1" s="1"/>
  <c r="AA162" i="1"/>
  <c r="AB74" i="1"/>
  <c r="AB172" i="1" s="1"/>
  <c r="AA172" i="1"/>
  <c r="AH84" i="1"/>
  <c r="AH182" i="1" s="1"/>
  <c r="AF182" i="1"/>
  <c r="D38" i="185"/>
  <c r="G38" i="185"/>
  <c r="H38" i="185" s="1"/>
  <c r="G28" i="185"/>
  <c r="H28" i="185" s="1"/>
  <c r="D38" i="183"/>
  <c r="G38" i="183"/>
  <c r="H38" i="183" s="1"/>
  <c r="F16" i="313"/>
  <c r="F34" i="264"/>
  <c r="F16" i="264"/>
  <c r="AI23" i="1"/>
  <c r="AI121" i="1" s="1"/>
  <c r="AA121" i="1"/>
  <c r="AC33" i="180"/>
  <c r="AE33" i="180" s="1"/>
  <c r="AF33" i="180" s="1"/>
  <c r="AC39" i="180"/>
  <c r="AC41" i="180"/>
  <c r="AC31" i="179"/>
  <c r="AE31" i="179" s="1"/>
  <c r="AF31" i="179" s="1"/>
  <c r="AC39" i="179"/>
  <c r="AC33" i="179"/>
  <c r="AB69" i="1"/>
  <c r="AB167" i="1" s="1"/>
  <c r="AA167" i="1"/>
  <c r="AB141" i="1"/>
  <c r="AI43" i="1"/>
  <c r="AI141" i="1" s="1"/>
  <c r="AB41" i="1"/>
  <c r="O41" i="1" s="1"/>
  <c r="AA139" i="1"/>
  <c r="AI37" i="1"/>
  <c r="AI135" i="1" s="1"/>
  <c r="AB135" i="1"/>
  <c r="AD33" i="289"/>
  <c r="AD39" i="289"/>
  <c r="AE31" i="293"/>
  <c r="AF31" i="293" s="1"/>
  <c r="AE39" i="293"/>
  <c r="AF39" i="293" s="1"/>
  <c r="AD31" i="294"/>
  <c r="AF31" i="294" s="1"/>
  <c r="AD33" i="294"/>
  <c r="AD39" i="294"/>
  <c r="AE31" i="296"/>
  <c r="AF31" i="296" s="1"/>
  <c r="AE33" i="296"/>
  <c r="AD39" i="305"/>
  <c r="AD31" i="298"/>
  <c r="AF31" i="298" s="1"/>
  <c r="AD33" i="298"/>
  <c r="AD31" i="304"/>
  <c r="AF31" i="304" s="1"/>
  <c r="AD39" i="304"/>
  <c r="AE39" i="304"/>
  <c r="AE33" i="304"/>
  <c r="AD31" i="310"/>
  <c r="AF31" i="310" s="1"/>
  <c r="AD33" i="310"/>
  <c r="AE33" i="311"/>
  <c r="AE31" i="312"/>
  <c r="AF31" i="312" s="1"/>
  <c r="AE39" i="312"/>
  <c r="AF39" i="312" s="1"/>
  <c r="AC31" i="188"/>
  <c r="AE31" i="188" s="1"/>
  <c r="AF31" i="188" s="1"/>
  <c r="AC39" i="188"/>
  <c r="AD33" i="187"/>
  <c r="AD31" i="187"/>
  <c r="AE31" i="187" s="1"/>
  <c r="AF31" i="187" s="1"/>
  <c r="AD33" i="184"/>
  <c r="AD39" i="183"/>
  <c r="AD31" i="183"/>
  <c r="AE31" i="183" s="1"/>
  <c r="AF31" i="183" s="1"/>
  <c r="H13" i="183"/>
  <c r="H21" i="183" s="1"/>
  <c r="H23" i="183" s="1"/>
  <c r="G21" i="183"/>
  <c r="G23" i="183" s="1"/>
  <c r="G25" i="183" s="1"/>
  <c r="AD31" i="297"/>
  <c r="AF31" i="297" s="1"/>
  <c r="AD33" i="297"/>
  <c r="AF33" i="297" s="1"/>
  <c r="AE31" i="299"/>
  <c r="AF31" i="299" s="1"/>
  <c r="AE33" i="299"/>
  <c r="AD31" i="300"/>
  <c r="AF31" i="300" s="1"/>
  <c r="AD33" i="300"/>
  <c r="AE31" i="301"/>
  <c r="AF31" i="301" s="1"/>
  <c r="AE33" i="301"/>
  <c r="AD31" i="303"/>
  <c r="AF31" i="303" s="1"/>
  <c r="AD39" i="303"/>
  <c r="AE39" i="303"/>
  <c r="AE41" i="303"/>
  <c r="AF41" i="303" s="1"/>
  <c r="AE31" i="307"/>
  <c r="AF31" i="307" s="1"/>
  <c r="AE39" i="307"/>
  <c r="AD39" i="309"/>
  <c r="AD33" i="309"/>
  <c r="AD31" i="309"/>
  <c r="AF31" i="309" s="1"/>
  <c r="AE33" i="309"/>
  <c r="AE41" i="309"/>
  <c r="AF41" i="309" s="1"/>
  <c r="AD33" i="311"/>
  <c r="AF33" i="311" s="1"/>
  <c r="AD41" i="311"/>
  <c r="AF41" i="311" s="1"/>
  <c r="I22" i="310"/>
  <c r="AE33" i="307"/>
  <c r="G12" i="307"/>
  <c r="H12" i="307" s="1"/>
  <c r="AE33" i="300"/>
  <c r="AC39" i="185"/>
  <c r="AC31" i="185"/>
  <c r="AE31" i="185" s="1"/>
  <c r="AF31" i="185" s="1"/>
  <c r="AB173" i="1"/>
  <c r="AI75" i="1"/>
  <c r="AI173" i="1" s="1"/>
  <c r="AB79" i="1"/>
  <c r="O79" i="1" s="1"/>
  <c r="AA177" i="1"/>
  <c r="AH91" i="1"/>
  <c r="AH189" i="1" s="1"/>
  <c r="AF189" i="1"/>
  <c r="AH29" i="1"/>
  <c r="AH127" i="1" s="1"/>
  <c r="AF127" i="1"/>
  <c r="D30" i="188"/>
  <c r="G30" i="188"/>
  <c r="H30" i="188" s="1"/>
  <c r="I32" i="69"/>
  <c r="G32" i="69"/>
  <c r="H32" i="69" s="1"/>
  <c r="D32" i="69"/>
  <c r="F21" i="181"/>
  <c r="D13" i="181"/>
  <c r="F21" i="179"/>
  <c r="D13" i="179"/>
  <c r="F44" i="179"/>
  <c r="G44" i="179" s="1"/>
  <c r="H44" i="179" s="1"/>
  <c r="G37" i="179"/>
  <c r="H37" i="179" s="1"/>
  <c r="D37" i="179"/>
  <c r="I22" i="286"/>
  <c r="D22" i="286"/>
  <c r="AD31" i="288"/>
  <c r="AF31" i="288" s="1"/>
  <c r="AD39" i="288"/>
  <c r="AE31" i="290"/>
  <c r="AF31" i="290" s="1"/>
  <c r="AE33" i="290"/>
  <c r="AD39" i="290"/>
  <c r="AD33" i="290"/>
  <c r="AD41" i="290"/>
  <c r="AF41" i="290" s="1"/>
  <c r="AD31" i="295"/>
  <c r="AF31" i="295" s="1"/>
  <c r="AD39" i="295"/>
  <c r="AD33" i="304"/>
  <c r="AD39" i="302"/>
  <c r="AE39" i="308"/>
  <c r="AE31" i="182"/>
  <c r="AF31" i="182" s="1"/>
  <c r="AE33" i="293"/>
  <c r="AD33" i="179"/>
  <c r="AE33" i="69"/>
  <c r="AD41" i="69"/>
  <c r="AF41" i="69" s="1"/>
  <c r="AD33" i="188"/>
  <c r="I123" i="1"/>
  <c r="I25" i="1" s="1"/>
  <c r="I194" i="1"/>
  <c r="I96" i="1" s="1"/>
  <c r="AD39" i="180"/>
  <c r="AD33" i="307"/>
  <c r="AE41" i="286"/>
  <c r="AD41" i="179"/>
  <c r="AE41" i="179" s="1"/>
  <c r="AF41" i="179" s="1"/>
  <c r="I140" i="1"/>
  <c r="I42" i="1" s="1"/>
  <c r="AE33" i="303"/>
  <c r="AF33" i="303" s="1"/>
  <c r="G28" i="182"/>
  <c r="H28" i="182" s="1"/>
  <c r="F27" i="182"/>
  <c r="D38" i="186"/>
  <c r="D12" i="183"/>
  <c r="G28" i="187"/>
  <c r="H28" i="187" s="1"/>
  <c r="G28" i="183"/>
  <c r="H28" i="183" s="1"/>
  <c r="G21" i="182"/>
  <c r="G23" i="182" s="1"/>
  <c r="G25" i="182" s="1"/>
  <c r="H13" i="182"/>
  <c r="H21" i="182" s="1"/>
  <c r="H23" i="182" s="1"/>
  <c r="H24" i="182" s="1"/>
  <c r="D30" i="179"/>
  <c r="AB126" i="1"/>
  <c r="AB121" i="1"/>
  <c r="D13" i="6" s="1"/>
  <c r="H23" i="69"/>
  <c r="H25" i="69" s="1"/>
  <c r="F23" i="186"/>
  <c r="AI83" i="1"/>
  <c r="AI181" i="1" s="1"/>
  <c r="H13" i="185"/>
  <c r="H21" i="185" s="1"/>
  <c r="H23" i="185" s="1"/>
  <c r="H25" i="185" s="1"/>
  <c r="AF156" i="1"/>
  <c r="AI47" i="1"/>
  <c r="AI145" i="1" s="1"/>
  <c r="D37" i="69"/>
  <c r="AF121" i="1"/>
  <c r="AA122" i="1"/>
  <c r="AF184" i="1"/>
  <c r="D21" i="187"/>
  <c r="D13" i="187"/>
  <c r="F34" i="186"/>
  <c r="D28" i="185"/>
  <c r="D37" i="183"/>
  <c r="D37" i="182"/>
  <c r="G30" i="181"/>
  <c r="H30" i="181" s="1"/>
  <c r="AH44" i="1"/>
  <c r="AH142" i="1" s="1"/>
  <c r="AA146" i="1"/>
  <c r="AB146" i="1"/>
  <c r="AB171" i="1"/>
  <c r="AI73" i="1"/>
  <c r="AI171" i="1" s="1"/>
  <c r="AH89" i="1"/>
  <c r="AH187" i="1" s="1"/>
  <c r="AF187" i="1"/>
  <c r="AH77" i="1"/>
  <c r="AH175" i="1" s="1"/>
  <c r="AF175" i="1"/>
  <c r="AH37" i="1"/>
  <c r="AH135" i="1" s="1"/>
  <c r="AF135" i="1"/>
  <c r="AH31" i="1"/>
  <c r="AH129" i="1" s="1"/>
  <c r="AF129" i="1"/>
  <c r="G32" i="187"/>
  <c r="H32" i="187" s="1"/>
  <c r="D32" i="187"/>
  <c r="I30" i="69"/>
  <c r="G30" i="69"/>
  <c r="H30" i="69" s="1"/>
  <c r="AI96" i="1"/>
  <c r="AI194" i="1" s="1"/>
  <c r="AA194" i="1"/>
  <c r="D28" i="186"/>
  <c r="F27" i="186"/>
  <c r="I13" i="69"/>
  <c r="F21" i="69"/>
  <c r="AB49" i="1"/>
  <c r="O49" i="1" s="1"/>
  <c r="AA147" i="1"/>
  <c r="AB26" i="1"/>
  <c r="O26" i="1" s="1"/>
  <c r="AA124" i="1"/>
  <c r="F27" i="183"/>
  <c r="D27" i="183" s="1"/>
  <c r="AA126" i="1"/>
  <c r="AA128" i="1"/>
  <c r="AA130" i="1"/>
  <c r="AH88" i="1"/>
  <c r="AH186" i="1" s="1"/>
  <c r="G32" i="180"/>
  <c r="H32" i="180" s="1"/>
  <c r="AA145" i="1"/>
  <c r="AB168" i="1"/>
  <c r="AI39" i="1"/>
  <c r="AI137" i="1" s="1"/>
  <c r="AA137" i="1"/>
  <c r="G38" i="187"/>
  <c r="H38" i="187" s="1"/>
  <c r="AB128" i="1"/>
  <c r="AA141" i="1"/>
  <c r="AI76" i="1"/>
  <c r="AI174" i="1" s="1"/>
  <c r="AB174" i="1"/>
  <c r="AH60" i="1"/>
  <c r="AH158" i="1" s="1"/>
  <c r="AF158" i="1"/>
  <c r="AH42" i="1"/>
  <c r="AH140" i="1" s="1"/>
  <c r="AF140" i="1"/>
  <c r="F44" i="187"/>
  <c r="F27" i="187" s="1"/>
  <c r="G37" i="187"/>
  <c r="H37" i="187" s="1"/>
  <c r="F44" i="184"/>
  <c r="F27" i="184" s="1"/>
  <c r="D37" i="184"/>
  <c r="F34" i="183"/>
  <c r="F34" i="185"/>
  <c r="F34" i="307"/>
  <c r="I34" i="307" s="1"/>
  <c r="F34" i="303"/>
  <c r="D34" i="303" s="1"/>
  <c r="F34" i="299"/>
  <c r="D34" i="299" s="1"/>
  <c r="F34" i="294"/>
  <c r="D34" i="294" s="1"/>
  <c r="F34" i="290"/>
  <c r="I34" i="290" s="1"/>
  <c r="AB46" i="1"/>
  <c r="O46" i="1" s="1"/>
  <c r="AA144" i="1"/>
  <c r="AB44" i="1"/>
  <c r="O44" i="1" s="1"/>
  <c r="AA142" i="1"/>
  <c r="AB40" i="1"/>
  <c r="O40" i="1" s="1"/>
  <c r="AA138" i="1"/>
  <c r="I130" i="1"/>
  <c r="I32" i="1" s="1"/>
  <c r="I193" i="1"/>
  <c r="I95" i="1" s="1"/>
  <c r="V37" i="10"/>
  <c r="V23" i="10"/>
  <c r="AE21" i="10"/>
  <c r="AB40" i="10"/>
  <c r="AB39" i="10"/>
  <c r="AB37" i="10"/>
  <c r="AB33" i="10"/>
  <c r="AB29" i="10"/>
  <c r="AB25" i="10"/>
  <c r="AR22" i="10"/>
  <c r="AQ22" i="10"/>
  <c r="N16" i="264"/>
  <c r="L16" i="264"/>
  <c r="Y16" i="264" s="1"/>
  <c r="T16" i="264" s="1"/>
  <c r="V39" i="10"/>
  <c r="V33" i="10"/>
  <c r="V25" i="10"/>
  <c r="AD21" i="10"/>
  <c r="AC40" i="10"/>
  <c r="AE39" i="10"/>
  <c r="AC39" i="10"/>
  <c r="AE38" i="10"/>
  <c r="AE35" i="10"/>
  <c r="AE34" i="10"/>
  <c r="AE31" i="10"/>
  <c r="AE30" i="10"/>
  <c r="AE27" i="10"/>
  <c r="AE26" i="10"/>
  <c r="AE23" i="10"/>
  <c r="AE22" i="10"/>
  <c r="AB22" i="10"/>
  <c r="V84" i="12"/>
  <c r="P84" i="12"/>
  <c r="G79" i="12"/>
  <c r="S81" i="12"/>
  <c r="P81" i="12"/>
  <c r="L82" i="12"/>
  <c r="T59" i="12"/>
  <c r="T73" i="12" s="1"/>
  <c r="R59" i="12"/>
  <c r="U54" i="12"/>
  <c r="U62" i="12" s="1"/>
  <c r="R54" i="12"/>
  <c r="R79" i="12" s="1"/>
  <c r="Q54" i="12"/>
  <c r="Q62" i="12" s="1"/>
  <c r="W79" i="12"/>
  <c r="T54" i="12"/>
  <c r="T62" i="12" s="1"/>
  <c r="S79" i="12"/>
  <c r="L81" i="12"/>
  <c r="V64" i="12"/>
  <c r="U58" i="12"/>
  <c r="T84" i="12"/>
  <c r="T72" i="12"/>
  <c r="R72" i="12"/>
  <c r="R84" i="12"/>
  <c r="Q60" i="12"/>
  <c r="Q84" i="12" s="1"/>
  <c r="V81" i="12"/>
  <c r="R58" i="12"/>
  <c r="Q58" i="12"/>
  <c r="T58" i="12"/>
  <c r="L64" i="12"/>
  <c r="L75" i="12" s="1"/>
  <c r="S72" i="12"/>
  <c r="J80" i="12"/>
  <c r="J63" i="12"/>
  <c r="W63" i="12"/>
  <c r="J84" i="12"/>
  <c r="L84" i="12"/>
  <c r="W84" i="12"/>
  <c r="H84" i="12"/>
  <c r="S84" i="12"/>
  <c r="I79" i="12"/>
  <c r="S64" i="12"/>
  <c r="F82" i="12"/>
  <c r="I59" i="12"/>
  <c r="G82" i="12"/>
  <c r="L59" i="11"/>
  <c r="M59" i="11" s="1"/>
  <c r="L60" i="11"/>
  <c r="M60" i="11" s="1"/>
  <c r="K66" i="12"/>
  <c r="K76" i="12" s="1"/>
  <c r="K81" i="12"/>
  <c r="K64" i="12"/>
  <c r="L49" i="11"/>
  <c r="M49" i="11" s="1"/>
  <c r="U55" i="12"/>
  <c r="Q55" i="12"/>
  <c r="W64" i="12"/>
  <c r="L65" i="11"/>
  <c r="L50" i="11"/>
  <c r="M50" i="11" s="1"/>
  <c r="H82" i="12"/>
  <c r="I58" i="12"/>
  <c r="I55" i="12"/>
  <c r="G72" i="12"/>
  <c r="A3" i="309"/>
  <c r="A4" i="309" s="1"/>
  <c r="I37" i="287"/>
  <c r="F44" i="287"/>
  <c r="F45" i="286"/>
  <c r="F58" i="286"/>
  <c r="F45" i="293"/>
  <c r="F58" i="293"/>
  <c r="F58" i="296"/>
  <c r="F45" i="296"/>
  <c r="F58" i="291"/>
  <c r="F45" i="291"/>
  <c r="F58" i="298"/>
  <c r="F45" i="298"/>
  <c r="D38" i="302"/>
  <c r="F58" i="302"/>
  <c r="F45" i="302"/>
  <c r="F58" i="306"/>
  <c r="F45" i="306"/>
  <c r="F45" i="309"/>
  <c r="F58" i="309"/>
  <c r="D38" i="311"/>
  <c r="F45" i="311"/>
  <c r="F58" i="311"/>
  <c r="F58" i="297"/>
  <c r="F45" i="297"/>
  <c r="F58" i="301"/>
  <c r="F45" i="301"/>
  <c r="F58" i="304"/>
  <c r="F45" i="304"/>
  <c r="I37" i="288"/>
  <c r="F44" i="288"/>
  <c r="F27" i="288" s="1"/>
  <c r="G44" i="293"/>
  <c r="H44" i="293" s="1"/>
  <c r="D44" i="293"/>
  <c r="I44" i="293"/>
  <c r="D37" i="290"/>
  <c r="F44" i="290"/>
  <c r="I37" i="292"/>
  <c r="F44" i="292"/>
  <c r="F27" i="292" s="1"/>
  <c r="I44" i="296"/>
  <c r="G44" i="296"/>
  <c r="H44" i="296" s="1"/>
  <c r="D44" i="296"/>
  <c r="I37" i="301"/>
  <c r="F44" i="301"/>
  <c r="F27" i="301" s="1"/>
  <c r="D27" i="301" s="1"/>
  <c r="I37" i="305"/>
  <c r="F44" i="305"/>
  <c r="G44" i="308"/>
  <c r="H44" i="308" s="1"/>
  <c r="D44" i="308"/>
  <c r="I44" i="308"/>
  <c r="I37" i="310"/>
  <c r="F44" i="310"/>
  <c r="F27" i="310" s="1"/>
  <c r="G44" i="312"/>
  <c r="H44" i="312" s="1"/>
  <c r="D44" i="312"/>
  <c r="I44" i="312"/>
  <c r="I37" i="298"/>
  <c r="F44" i="298"/>
  <c r="F27" i="298" s="1"/>
  <c r="G37" i="302"/>
  <c r="H37" i="302" s="1"/>
  <c r="F44" i="302"/>
  <c r="I37" i="306"/>
  <c r="F44" i="306"/>
  <c r="F27" i="306" s="1"/>
  <c r="F58" i="187"/>
  <c r="F45" i="187"/>
  <c r="F58" i="185"/>
  <c r="F45" i="185"/>
  <c r="G44" i="185"/>
  <c r="H44" i="185" s="1"/>
  <c r="D44" i="185"/>
  <c r="F58" i="183"/>
  <c r="F45" i="183"/>
  <c r="G44" i="183"/>
  <c r="H44" i="183" s="1"/>
  <c r="D44" i="183"/>
  <c r="F58" i="181"/>
  <c r="F45" i="181"/>
  <c r="F58" i="180"/>
  <c r="F45" i="180"/>
  <c r="F58" i="179"/>
  <c r="F45" i="179"/>
  <c r="D37" i="289"/>
  <c r="F44" i="289"/>
  <c r="F27" i="289" s="1"/>
  <c r="F45" i="287"/>
  <c r="F58" i="287"/>
  <c r="G37" i="286"/>
  <c r="H37" i="286" s="1"/>
  <c r="F44" i="286"/>
  <c r="F27" i="286" s="1"/>
  <c r="F45" i="292"/>
  <c r="F58" i="292"/>
  <c r="F45" i="294"/>
  <c r="F58" i="294"/>
  <c r="F58" i="290"/>
  <c r="F45" i="290"/>
  <c r="F45" i="295"/>
  <c r="F58" i="295"/>
  <c r="F58" i="300"/>
  <c r="F45" i="300"/>
  <c r="F58" i="305"/>
  <c r="F45" i="305"/>
  <c r="F45" i="308"/>
  <c r="F58" i="308"/>
  <c r="F45" i="310"/>
  <c r="F58" i="310"/>
  <c r="F45" i="312"/>
  <c r="F58" i="312"/>
  <c r="D38" i="299"/>
  <c r="F58" i="299"/>
  <c r="F45" i="299"/>
  <c r="F58" i="303"/>
  <c r="F45" i="303"/>
  <c r="F58" i="307"/>
  <c r="F45" i="307"/>
  <c r="F45" i="288"/>
  <c r="F58" i="288"/>
  <c r="D37" i="295"/>
  <c r="F44" i="295"/>
  <c r="I37" i="291"/>
  <c r="F44" i="291"/>
  <c r="F27" i="291" s="1"/>
  <c r="G44" i="294"/>
  <c r="H44" i="294" s="1"/>
  <c r="D44" i="294"/>
  <c r="I44" i="294"/>
  <c r="I44" i="299"/>
  <c r="G44" i="299"/>
  <c r="H44" i="299" s="1"/>
  <c r="D44" i="299"/>
  <c r="G37" i="304"/>
  <c r="H37" i="304" s="1"/>
  <c r="F44" i="304"/>
  <c r="F27" i="304" s="1"/>
  <c r="I44" i="307"/>
  <c r="G44" i="307"/>
  <c r="H44" i="307" s="1"/>
  <c r="D44" i="307"/>
  <c r="G44" i="309"/>
  <c r="H44" i="309" s="1"/>
  <c r="D44" i="309"/>
  <c r="I44" i="309"/>
  <c r="G37" i="311"/>
  <c r="H37" i="311" s="1"/>
  <c r="F44" i="311"/>
  <c r="F27" i="311" s="1"/>
  <c r="D37" i="297"/>
  <c r="F44" i="297"/>
  <c r="F27" i="297" s="1"/>
  <c r="D37" i="300"/>
  <c r="F44" i="300"/>
  <c r="I44" i="303"/>
  <c r="G44" i="303"/>
  <c r="H44" i="303" s="1"/>
  <c r="D44" i="303"/>
  <c r="D38" i="188"/>
  <c r="F58" i="188"/>
  <c r="F45" i="188"/>
  <c r="D37" i="188"/>
  <c r="F44" i="188"/>
  <c r="F27" i="188" s="1"/>
  <c r="D27" i="188" s="1"/>
  <c r="F58" i="186"/>
  <c r="F45" i="186"/>
  <c r="D44" i="186"/>
  <c r="G44" i="186"/>
  <c r="H44" i="186" s="1"/>
  <c r="F58" i="184"/>
  <c r="F45" i="184"/>
  <c r="F58" i="182"/>
  <c r="F45" i="182"/>
  <c r="G44" i="182"/>
  <c r="H44" i="182" s="1"/>
  <c r="D44" i="182"/>
  <c r="I38" i="69"/>
  <c r="F45" i="69"/>
  <c r="F58" i="69"/>
  <c r="I37" i="69"/>
  <c r="F44" i="69"/>
  <c r="F58" i="289"/>
  <c r="F45" i="289"/>
  <c r="A2" i="311"/>
  <c r="A4" i="311" s="1"/>
  <c r="V58" i="39"/>
  <c r="I37" i="295"/>
  <c r="G21" i="301"/>
  <c r="I21" i="301" s="1"/>
  <c r="D38" i="303"/>
  <c r="I38" i="294"/>
  <c r="AF33" i="288"/>
  <c r="AF37" i="13"/>
  <c r="AG37" i="13"/>
  <c r="AH37" i="13"/>
  <c r="AD37" i="13"/>
  <c r="AI37" i="13"/>
  <c r="AE37" i="13"/>
  <c r="AC41" i="183"/>
  <c r="I152" i="1"/>
  <c r="I54" i="1" s="1"/>
  <c r="I154" i="1"/>
  <c r="I56" i="1" s="1"/>
  <c r="I158" i="1"/>
  <c r="I60" i="1" s="1"/>
  <c r="I162" i="1"/>
  <c r="I64" i="1" s="1"/>
  <c r="AE33" i="312"/>
  <c r="K90" i="1"/>
  <c r="K188" i="1" s="1"/>
  <c r="K43" i="13"/>
  <c r="Q43" i="13" s="1"/>
  <c r="J43" i="13"/>
  <c r="P43" i="13" s="1"/>
  <c r="AH19" i="13"/>
  <c r="AG19" i="13"/>
  <c r="E39" i="13"/>
  <c r="AI38" i="13" s="1"/>
  <c r="AF19" i="13"/>
  <c r="AE19" i="13"/>
  <c r="AI19" i="13"/>
  <c r="AD19" i="13"/>
  <c r="AD41" i="184"/>
  <c r="AE41" i="184" s="1"/>
  <c r="AF41" i="184" s="1"/>
  <c r="K61" i="1"/>
  <c r="K159" i="1" s="1"/>
  <c r="I163" i="1"/>
  <c r="I65" i="1" s="1"/>
  <c r="I169" i="1"/>
  <c r="I71" i="1" s="1"/>
  <c r="I173" i="1"/>
  <c r="I75" i="1" s="1"/>
  <c r="I177" i="1"/>
  <c r="I79" i="1" s="1"/>
  <c r="I181" i="1"/>
  <c r="I83" i="1" s="1"/>
  <c r="H125" i="39"/>
  <c r="H120" i="39" s="1"/>
  <c r="J123" i="39" s="1"/>
  <c r="D135" i="39"/>
  <c r="D136" i="39" s="1"/>
  <c r="C136" i="39" s="1"/>
  <c r="I136" i="1"/>
  <c r="I38" i="1" s="1"/>
  <c r="E23" i="10"/>
  <c r="E24" i="10" s="1"/>
  <c r="J19" i="264" s="1"/>
  <c r="C17" i="264"/>
  <c r="D17" i="264" s="1"/>
  <c r="C35" i="264"/>
  <c r="D35" i="264" s="1"/>
  <c r="H17" i="313"/>
  <c r="I17" i="313"/>
  <c r="C17" i="313"/>
  <c r="D17" i="313" s="1"/>
  <c r="G17" i="313"/>
  <c r="F15" i="1099"/>
  <c r="G15" i="1099" s="1"/>
  <c r="G17" i="1099" s="1"/>
  <c r="D20" i="297"/>
  <c r="D20" i="298"/>
  <c r="D20" i="300"/>
  <c r="D20" i="303"/>
  <c r="I185" i="1"/>
  <c r="I87" i="1" s="1"/>
  <c r="I186" i="1"/>
  <c r="I88" i="1" s="1"/>
  <c r="I187" i="1"/>
  <c r="I89" i="1" s="1"/>
  <c r="I188" i="1"/>
  <c r="I90" i="1" s="1"/>
  <c r="I189" i="1"/>
  <c r="I91" i="1" s="1"/>
  <c r="I190" i="1"/>
  <c r="I92" i="1" s="1"/>
  <c r="I156" i="1"/>
  <c r="I58" i="1" s="1"/>
  <c r="I160" i="1"/>
  <c r="I62" i="1" s="1"/>
  <c r="R55" i="12"/>
  <c r="S60" i="39"/>
  <c r="S56" i="39"/>
  <c r="S52" i="39"/>
  <c r="S48" i="39"/>
  <c r="Q60" i="39"/>
  <c r="Q56" i="39"/>
  <c r="Q52" i="39"/>
  <c r="Q48" i="39"/>
  <c r="B25" i="1"/>
  <c r="B22" i="1103"/>
  <c r="C22" i="1103"/>
  <c r="C39" i="1103"/>
  <c r="B39" i="1103"/>
  <c r="B14" i="264"/>
  <c r="B32" i="264"/>
  <c r="B14" i="313"/>
  <c r="V35" i="10"/>
  <c r="V31" i="10"/>
  <c r="V27" i="10"/>
  <c r="AD38" i="10"/>
  <c r="AD37" i="10"/>
  <c r="AD36" i="10"/>
  <c r="AB36" i="10"/>
  <c r="AD35" i="10"/>
  <c r="AB35" i="10"/>
  <c r="AD34" i="10"/>
  <c r="AD33" i="10"/>
  <c r="AD32" i="10"/>
  <c r="AB32" i="10"/>
  <c r="AD31" i="10"/>
  <c r="AB31" i="10"/>
  <c r="AD30" i="10"/>
  <c r="AD29" i="10"/>
  <c r="AD28" i="10"/>
  <c r="AB28" i="10"/>
  <c r="AD27" i="10"/>
  <c r="AB27" i="10"/>
  <c r="AD26" i="10"/>
  <c r="AD25" i="10"/>
  <c r="AD24" i="10"/>
  <c r="AB24" i="10"/>
  <c r="AD23" i="10"/>
  <c r="AB23" i="10"/>
  <c r="G12" i="288"/>
  <c r="H12" i="288" s="1"/>
  <c r="G21" i="297"/>
  <c r="I21" i="297" s="1"/>
  <c r="I38" i="308"/>
  <c r="G38" i="300"/>
  <c r="H38" i="300" s="1"/>
  <c r="H13" i="305"/>
  <c r="H21" i="305" s="1"/>
  <c r="H23" i="305" s="1"/>
  <c r="G21" i="308"/>
  <c r="I21" i="308" s="1"/>
  <c r="D21" i="185"/>
  <c r="I22" i="292"/>
  <c r="D22" i="294"/>
  <c r="D38" i="310"/>
  <c r="I38" i="295"/>
  <c r="H13" i="311"/>
  <c r="H21" i="311" s="1"/>
  <c r="H23" i="311" s="1"/>
  <c r="H24" i="311" s="1"/>
  <c r="G21" i="291"/>
  <c r="I21" i="291" s="1"/>
  <c r="B39" i="262"/>
  <c r="D42" i="38" s="1"/>
  <c r="A56" i="262"/>
  <c r="G23" i="300"/>
  <c r="G25" i="300" s="1"/>
  <c r="AF31" i="305"/>
  <c r="J25" i="8"/>
  <c r="O25" i="8" s="1"/>
  <c r="Y25" i="8" s="1"/>
  <c r="AA25" i="8" s="1"/>
  <c r="G23" i="185"/>
  <c r="G25" i="185" s="1"/>
  <c r="AA152" i="1"/>
  <c r="B36" i="262"/>
  <c r="B50" i="262"/>
  <c r="B35" i="262"/>
  <c r="B37" i="262"/>
  <c r="D30" i="290"/>
  <c r="I30" i="291"/>
  <c r="I30" i="300"/>
  <c r="AI65" i="1"/>
  <c r="AI163" i="1" s="1"/>
  <c r="AB190" i="1"/>
  <c r="AA179" i="1"/>
  <c r="AB85" i="1"/>
  <c r="AI85" i="1" s="1"/>
  <c r="AI183" i="1" s="1"/>
  <c r="AA163" i="1"/>
  <c r="AF126" i="1"/>
  <c r="AF128" i="1"/>
  <c r="AF132" i="1"/>
  <c r="AF136" i="1"/>
  <c r="AA168" i="1"/>
  <c r="AF168" i="1"/>
  <c r="AA176" i="1"/>
  <c r="AF176" i="1"/>
  <c r="I13" i="294"/>
  <c r="D13" i="294"/>
  <c r="F21" i="294"/>
  <c r="F23" i="294" s="1"/>
  <c r="F25" i="294" s="1"/>
  <c r="D25" i="294" s="1"/>
  <c r="D13" i="304"/>
  <c r="I13" i="304"/>
  <c r="K14" i="8"/>
  <c r="J14" i="8"/>
  <c r="K10" i="8"/>
  <c r="J10" i="8"/>
  <c r="I28" i="296"/>
  <c r="G28" i="296"/>
  <c r="H28" i="296" s="1"/>
  <c r="G32" i="294"/>
  <c r="H32" i="294" s="1"/>
  <c r="D32" i="294"/>
  <c r="AB87" i="1"/>
  <c r="AA185" i="1"/>
  <c r="I37" i="294"/>
  <c r="D37" i="294"/>
  <c r="AB188" i="1"/>
  <c r="H23" i="295"/>
  <c r="H25" i="295" s="1"/>
  <c r="H23" i="294"/>
  <c r="H24" i="294" s="1"/>
  <c r="H23" i="306"/>
  <c r="H24" i="306" s="1"/>
  <c r="H13" i="312"/>
  <c r="H21" i="312" s="1"/>
  <c r="H23" i="312" s="1"/>
  <c r="H24" i="312" s="1"/>
  <c r="G21" i="312"/>
  <c r="I21" i="312" s="1"/>
  <c r="I22" i="302"/>
  <c r="D22" i="302"/>
  <c r="I30" i="308"/>
  <c r="G30" i="308"/>
  <c r="H30" i="308" s="1"/>
  <c r="J22" i="8"/>
  <c r="O22" i="8" s="1"/>
  <c r="Y22" i="8" s="1"/>
  <c r="AA22" i="8" s="1"/>
  <c r="AB179" i="1"/>
  <c r="G21" i="179"/>
  <c r="G23" i="179" s="1"/>
  <c r="G25" i="179" s="1"/>
  <c r="AA189" i="1"/>
  <c r="AB82" i="1"/>
  <c r="AI82" i="1" s="1"/>
  <c r="AI180" i="1" s="1"/>
  <c r="AB184" i="1"/>
  <c r="G21" i="188"/>
  <c r="G23" i="188" s="1"/>
  <c r="G25" i="188" s="1"/>
  <c r="AA186" i="1"/>
  <c r="AF122" i="1"/>
  <c r="AF124" i="1"/>
  <c r="AF130" i="1"/>
  <c r="AF138" i="1"/>
  <c r="AA170" i="1"/>
  <c r="AF170" i="1"/>
  <c r="AA174" i="1"/>
  <c r="AF174" i="1"/>
  <c r="AA178" i="1"/>
  <c r="AF178" i="1"/>
  <c r="AF180" i="1"/>
  <c r="D28" i="188"/>
  <c r="D13" i="188"/>
  <c r="D30" i="187"/>
  <c r="G37" i="186"/>
  <c r="H37" i="186" s="1"/>
  <c r="D30" i="185"/>
  <c r="G38" i="184"/>
  <c r="H38" i="184" s="1"/>
  <c r="G37" i="184"/>
  <c r="H37" i="184" s="1"/>
  <c r="D28" i="184"/>
  <c r="D13" i="184"/>
  <c r="G32" i="183"/>
  <c r="H32" i="183" s="1"/>
  <c r="G37" i="182"/>
  <c r="H37" i="182" s="1"/>
  <c r="D28" i="182"/>
  <c r="D13" i="182"/>
  <c r="AE41" i="187"/>
  <c r="AF41" i="187" s="1"/>
  <c r="I32" i="294"/>
  <c r="D38" i="297"/>
  <c r="D30" i="291"/>
  <c r="F21" i="299"/>
  <c r="I23" i="299" s="1"/>
  <c r="I28" i="294"/>
  <c r="I22" i="297"/>
  <c r="D30" i="308"/>
  <c r="I22" i="306"/>
  <c r="D22" i="293"/>
  <c r="F25" i="296"/>
  <c r="D25" i="296" s="1"/>
  <c r="J16" i="8"/>
  <c r="O16" i="8" s="1"/>
  <c r="Y16" i="8" s="1"/>
  <c r="AA16" i="8" s="1"/>
  <c r="I21" i="305"/>
  <c r="G23" i="305"/>
  <c r="G25" i="305" s="1"/>
  <c r="E17" i="264"/>
  <c r="E17" i="313"/>
  <c r="E16" i="264"/>
  <c r="E16" i="313"/>
  <c r="I22" i="10"/>
  <c r="M22" i="10" s="1"/>
  <c r="I38" i="310"/>
  <c r="D38" i="308"/>
  <c r="I38" i="300"/>
  <c r="G38" i="295"/>
  <c r="H38" i="295" s="1"/>
  <c r="I38" i="290"/>
  <c r="D38" i="294"/>
  <c r="D12" i="286"/>
  <c r="F21" i="306"/>
  <c r="F23" i="306" s="1"/>
  <c r="D23" i="306" s="1"/>
  <c r="D12" i="288"/>
  <c r="D38" i="290"/>
  <c r="H13" i="309"/>
  <c r="H21" i="309" s="1"/>
  <c r="H23" i="309" s="1"/>
  <c r="G21" i="303"/>
  <c r="I21" i="303" s="1"/>
  <c r="H23" i="310"/>
  <c r="H25" i="310" s="1"/>
  <c r="F37" i="35"/>
  <c r="AA188" i="1"/>
  <c r="A2" i="186"/>
  <c r="A4" i="186" s="1"/>
  <c r="C39" i="262"/>
  <c r="B54" i="262"/>
  <c r="A2" i="294"/>
  <c r="A4" i="294" s="1"/>
  <c r="A2" i="69"/>
  <c r="A4" i="69" s="1"/>
  <c r="G53" i="69" s="1"/>
  <c r="D16" i="264"/>
  <c r="D34" i="264"/>
  <c r="D16" i="313"/>
  <c r="I126" i="1"/>
  <c r="I28" i="1" s="1"/>
  <c r="K121" i="1"/>
  <c r="B33" i="264"/>
  <c r="B15" i="313"/>
  <c r="B15" i="264"/>
  <c r="A3" i="181"/>
  <c r="A4" i="181" s="1"/>
  <c r="A3" i="184"/>
  <c r="A4" i="184" s="1"/>
  <c r="I35" i="264"/>
  <c r="I34" i="264"/>
  <c r="J35" i="264"/>
  <c r="A2" i="182"/>
  <c r="A4" i="182" s="1"/>
  <c r="J34" i="264"/>
  <c r="H34" i="264"/>
  <c r="A2" i="286"/>
  <c r="A4" i="286" s="1"/>
  <c r="G53" i="286" s="1"/>
  <c r="A2" i="296"/>
  <c r="A4" i="296" s="1"/>
  <c r="A2" i="291"/>
  <c r="A4" i="291" s="1"/>
  <c r="A2" i="292"/>
  <c r="A4" i="292" s="1"/>
  <c r="A3" i="183"/>
  <c r="A4" i="183" s="1"/>
  <c r="A3" i="187"/>
  <c r="A4" i="187" s="1"/>
  <c r="A2" i="185"/>
  <c r="A4" i="185" s="1"/>
  <c r="A2" i="297"/>
  <c r="A4" i="297" s="1"/>
  <c r="A2" i="290"/>
  <c r="A4" i="290" s="1"/>
  <c r="A2" i="289"/>
  <c r="A4" i="289" s="1"/>
  <c r="A3" i="288"/>
  <c r="A4" i="288" s="1"/>
  <c r="A2" i="293"/>
  <c r="A4" i="293" s="1"/>
  <c r="A3" i="179"/>
  <c r="A4" i="179" s="1"/>
  <c r="A2" i="301"/>
  <c r="A4" i="301" s="1"/>
  <c r="A3" i="180"/>
  <c r="A4" i="180" s="1"/>
  <c r="A2" i="287"/>
  <c r="A4" i="287" s="1"/>
  <c r="A2" i="295"/>
  <c r="A4" i="295" s="1"/>
  <c r="A3" i="188"/>
  <c r="A4" i="188" s="1"/>
  <c r="BO36" i="262"/>
  <c r="BW37" i="262"/>
  <c r="CA35" i="262"/>
  <c r="D28" i="288"/>
  <c r="G28" i="288"/>
  <c r="H28" i="288" s="1"/>
  <c r="I28" i="293"/>
  <c r="D28" i="293"/>
  <c r="AA187" i="1"/>
  <c r="F27" i="309"/>
  <c r="D27" i="309" s="1"/>
  <c r="I13" i="306"/>
  <c r="D13" i="300"/>
  <c r="I22" i="307"/>
  <c r="I22" i="288"/>
  <c r="D22" i="288"/>
  <c r="G37" i="287"/>
  <c r="H37" i="287" s="1"/>
  <c r="D37" i="287"/>
  <c r="I37" i="286"/>
  <c r="D37" i="286"/>
  <c r="G34" i="310"/>
  <c r="H34" i="310" s="1"/>
  <c r="F27" i="296"/>
  <c r="D27" i="296" s="1"/>
  <c r="G32" i="303"/>
  <c r="H32" i="303" s="1"/>
  <c r="D32" i="303"/>
  <c r="G12" i="298"/>
  <c r="H12" i="298" s="1"/>
  <c r="D12" i="298"/>
  <c r="D13" i="291"/>
  <c r="F21" i="291"/>
  <c r="F23" i="291" s="1"/>
  <c r="D23" i="291" s="1"/>
  <c r="F21" i="295"/>
  <c r="F23" i="295" s="1"/>
  <c r="I13" i="295"/>
  <c r="D13" i="302"/>
  <c r="F21" i="302"/>
  <c r="F23" i="302" s="1"/>
  <c r="D23" i="302" s="1"/>
  <c r="F21" i="309"/>
  <c r="I13" i="309"/>
  <c r="F21" i="303"/>
  <c r="I13" i="303"/>
  <c r="J96" i="39"/>
  <c r="I96" i="39" s="1"/>
  <c r="K96" i="39" s="1"/>
  <c r="H23" i="308"/>
  <c r="H24" i="308" s="1"/>
  <c r="J17" i="8"/>
  <c r="O17" i="8" s="1"/>
  <c r="Y17" i="8" s="1"/>
  <c r="AA17" i="8" s="1"/>
  <c r="J21" i="8"/>
  <c r="O21" i="8" s="1"/>
  <c r="Y21" i="8" s="1"/>
  <c r="AA21" i="8" s="1"/>
  <c r="J18" i="8"/>
  <c r="O18" i="8" s="1"/>
  <c r="Y18" i="8" s="1"/>
  <c r="AA18" i="8" s="1"/>
  <c r="J13" i="8"/>
  <c r="O13" i="8" s="1"/>
  <c r="Y13" i="8" s="1"/>
  <c r="AA13" i="8" s="1"/>
  <c r="J20" i="8"/>
  <c r="O20" i="8" s="1"/>
  <c r="Y20" i="8" s="1"/>
  <c r="AA20" i="8" s="1"/>
  <c r="J15" i="8"/>
  <c r="O15" i="8" s="1"/>
  <c r="Y15" i="8" s="1"/>
  <c r="AA15" i="8" s="1"/>
  <c r="AF193" i="1"/>
  <c r="AF139" i="1"/>
  <c r="AF167" i="1"/>
  <c r="AA169" i="1"/>
  <c r="AF169" i="1"/>
  <c r="AA171" i="1"/>
  <c r="AF171" i="1"/>
  <c r="AA173" i="1"/>
  <c r="AF173" i="1"/>
  <c r="AF183" i="1"/>
  <c r="A2" i="298"/>
  <c r="A4" i="298" s="1"/>
  <c r="B33" i="262"/>
  <c r="A2" i="307"/>
  <c r="A4" i="307" s="1"/>
  <c r="B67" i="262"/>
  <c r="B34" i="262"/>
  <c r="B53" i="262"/>
  <c r="B51" i="262"/>
  <c r="D28" i="291"/>
  <c r="I28" i="291"/>
  <c r="G28" i="295"/>
  <c r="H28" i="295" s="1"/>
  <c r="I28" i="295"/>
  <c r="G28" i="297"/>
  <c r="H28" i="297" s="1"/>
  <c r="I28" i="297"/>
  <c r="D28" i="299"/>
  <c r="I28" i="299"/>
  <c r="G28" i="303"/>
  <c r="H28" i="303" s="1"/>
  <c r="I28" i="303"/>
  <c r="D28" i="306"/>
  <c r="G28" i="306"/>
  <c r="H28" i="306" s="1"/>
  <c r="I28" i="308"/>
  <c r="G28" i="308"/>
  <c r="H28" i="308" s="1"/>
  <c r="I28" i="311"/>
  <c r="D28" i="311"/>
  <c r="I28" i="301"/>
  <c r="D28" i="301"/>
  <c r="G28" i="309"/>
  <c r="H28" i="309" s="1"/>
  <c r="I28" i="309"/>
  <c r="I37" i="293"/>
  <c r="D37" i="293"/>
  <c r="I37" i="290"/>
  <c r="G37" i="290"/>
  <c r="H37" i="290" s="1"/>
  <c r="I37" i="308"/>
  <c r="I37" i="312"/>
  <c r="D37" i="312"/>
  <c r="G37" i="298"/>
  <c r="H37" i="298" s="1"/>
  <c r="I37" i="302"/>
  <c r="D37" i="306"/>
  <c r="G32" i="293"/>
  <c r="H32" i="293" s="1"/>
  <c r="D32" i="293"/>
  <c r="D38" i="288"/>
  <c r="G21" i="295"/>
  <c r="I21" i="295" s="1"/>
  <c r="I22" i="312"/>
  <c r="I32" i="303"/>
  <c r="I32" i="293"/>
  <c r="G37" i="306"/>
  <c r="H37" i="306" s="1"/>
  <c r="D37" i="302"/>
  <c r="G37" i="310"/>
  <c r="H37" i="310" s="1"/>
  <c r="G37" i="292"/>
  <c r="H37" i="292" s="1"/>
  <c r="G37" i="293"/>
  <c r="H37" i="293" s="1"/>
  <c r="D28" i="308"/>
  <c r="G28" i="291"/>
  <c r="H28" i="291" s="1"/>
  <c r="D38" i="293"/>
  <c r="G37" i="312"/>
  <c r="H37" i="312" s="1"/>
  <c r="F30" i="35"/>
  <c r="E35" i="264"/>
  <c r="F36" i="35"/>
  <c r="F41" i="35"/>
  <c r="E34" i="264"/>
  <c r="F40" i="35"/>
  <c r="F43" i="35"/>
  <c r="AF41" i="289"/>
  <c r="AC33" i="188"/>
  <c r="AC33" i="187"/>
  <c r="AC39" i="186"/>
  <c r="AD39" i="185"/>
  <c r="AD33" i="183"/>
  <c r="AE33" i="183" s="1"/>
  <c r="AF33" i="183" s="1"/>
  <c r="G21" i="294"/>
  <c r="I21" i="294" s="1"/>
  <c r="I13" i="289"/>
  <c r="D22" i="303"/>
  <c r="G30" i="297"/>
  <c r="H30" i="297" s="1"/>
  <c r="D28" i="292"/>
  <c r="G28" i="292"/>
  <c r="H28" i="292" s="1"/>
  <c r="I32" i="295"/>
  <c r="D32" i="295"/>
  <c r="I32" i="302"/>
  <c r="D32" i="302"/>
  <c r="D32" i="311"/>
  <c r="I32" i="311"/>
  <c r="D12" i="295"/>
  <c r="I12" i="295"/>
  <c r="I12" i="291"/>
  <c r="D12" i="291"/>
  <c r="D12" i="294"/>
  <c r="G12" i="294"/>
  <c r="H12" i="294" s="1"/>
  <c r="D12" i="306"/>
  <c r="I12" i="306"/>
  <c r="I12" i="299"/>
  <c r="F35" i="35"/>
  <c r="I21" i="10"/>
  <c r="F39" i="35"/>
  <c r="F42" i="35"/>
  <c r="F29" i="35"/>
  <c r="F38" i="35"/>
  <c r="G28" i="289"/>
  <c r="H28" i="289" s="1"/>
  <c r="I28" i="289"/>
  <c r="I38" i="287"/>
  <c r="F21" i="286"/>
  <c r="D21" i="286" s="1"/>
  <c r="D13" i="286"/>
  <c r="H13" i="299"/>
  <c r="H21" i="299" s="1"/>
  <c r="H23" i="299" s="1"/>
  <c r="G21" i="299"/>
  <c r="I21" i="299" s="1"/>
  <c r="I38" i="291"/>
  <c r="D38" i="306"/>
  <c r="G38" i="311"/>
  <c r="H38" i="311" s="1"/>
  <c r="D38" i="304"/>
  <c r="I22" i="305"/>
  <c r="D22" i="305"/>
  <c r="D22" i="311"/>
  <c r="I22" i="311"/>
  <c r="I30" i="309"/>
  <c r="G30" i="309"/>
  <c r="H30" i="309" s="1"/>
  <c r="G18" i="290"/>
  <c r="G23" i="290"/>
  <c r="G25" i="290" s="1"/>
  <c r="I30" i="287"/>
  <c r="D30" i="287"/>
  <c r="B26" i="262"/>
  <c r="D12" i="69"/>
  <c r="I12" i="69"/>
  <c r="J24" i="8"/>
  <c r="O24" i="8" s="1"/>
  <c r="Y24" i="8" s="1"/>
  <c r="AA24" i="8" s="1"/>
  <c r="J23" i="8"/>
  <c r="O23" i="8" s="1"/>
  <c r="Y23" i="8" s="1"/>
  <c r="AA23" i="8" s="1"/>
  <c r="J19" i="8"/>
  <c r="O19" i="8" s="1"/>
  <c r="Y19" i="8" s="1"/>
  <c r="AA19" i="8" s="1"/>
  <c r="J12" i="8"/>
  <c r="O12" i="8" s="1"/>
  <c r="Y12" i="8" s="1"/>
  <c r="AA12" i="8" s="1"/>
  <c r="J11" i="8"/>
  <c r="O11" i="8" s="1"/>
  <c r="Y11" i="8" s="1"/>
  <c r="AA11" i="8" s="1"/>
  <c r="D12" i="188"/>
  <c r="G12" i="185"/>
  <c r="H12" i="185" s="1"/>
  <c r="D12" i="184"/>
  <c r="G12" i="182"/>
  <c r="H12" i="182" s="1"/>
  <c r="G12" i="286"/>
  <c r="H12" i="286" s="1"/>
  <c r="G23" i="293"/>
  <c r="I25" i="293" s="1"/>
  <c r="I38" i="292"/>
  <c r="I38" i="299"/>
  <c r="D12" i="292"/>
  <c r="I12" i="293"/>
  <c r="I12" i="298"/>
  <c r="I12" i="301"/>
  <c r="D12" i="305"/>
  <c r="I12" i="307"/>
  <c r="AE33" i="185"/>
  <c r="AF33" i="185" s="1"/>
  <c r="G12" i="184"/>
  <c r="H12" i="184" s="1"/>
  <c r="G12" i="188"/>
  <c r="H12" i="188" s="1"/>
  <c r="AF41" i="294"/>
  <c r="D12" i="185"/>
  <c r="H23" i="179"/>
  <c r="H24" i="179" s="1"/>
  <c r="AD41" i="183"/>
  <c r="H13" i="187"/>
  <c r="H21" i="187" s="1"/>
  <c r="H23" i="187" s="1"/>
  <c r="H24" i="187" s="1"/>
  <c r="G21" i="181"/>
  <c r="G23" i="181" s="1"/>
  <c r="G25" i="181" s="1"/>
  <c r="G23" i="187"/>
  <c r="G25" i="187" s="1"/>
  <c r="D12" i="187"/>
  <c r="D12" i="186"/>
  <c r="G12" i="180"/>
  <c r="H12" i="180" s="1"/>
  <c r="D12" i="179"/>
  <c r="AF146" i="1"/>
  <c r="AF154" i="1"/>
  <c r="AF162" i="1"/>
  <c r="I38" i="289"/>
  <c r="AD39" i="297"/>
  <c r="A2" i="308"/>
  <c r="A4" i="308" s="1"/>
  <c r="A2" i="303"/>
  <c r="A4" i="303" s="1"/>
  <c r="A2" i="300"/>
  <c r="A4" i="300" s="1"/>
  <c r="A2" i="310"/>
  <c r="A4" i="310" s="1"/>
  <c r="A2" i="312"/>
  <c r="A4" i="312" s="1"/>
  <c r="AB176" i="1"/>
  <c r="AI78" i="1"/>
  <c r="AI176" i="1" s="1"/>
  <c r="G18" i="187"/>
  <c r="H23" i="181"/>
  <c r="H24" i="181" s="1"/>
  <c r="A2" i="299"/>
  <c r="A4" i="299" s="1"/>
  <c r="F25" i="187"/>
  <c r="D25" i="187" s="1"/>
  <c r="H23" i="289"/>
  <c r="H24" i="289" s="1"/>
  <c r="G23" i="311"/>
  <c r="G12" i="290"/>
  <c r="H12" i="290" s="1"/>
  <c r="D12" i="290"/>
  <c r="F21" i="288"/>
  <c r="I23" i="288" s="1"/>
  <c r="D13" i="288"/>
  <c r="D32" i="287"/>
  <c r="G32" i="287"/>
  <c r="H32" i="287" s="1"/>
  <c r="G21" i="298"/>
  <c r="H13" i="298"/>
  <c r="H21" i="298" s="1"/>
  <c r="H23" i="298" s="1"/>
  <c r="G23" i="304"/>
  <c r="I21" i="304"/>
  <c r="I38" i="293"/>
  <c r="G38" i="293"/>
  <c r="H38" i="293" s="1"/>
  <c r="G38" i="291"/>
  <c r="H38" i="291" s="1"/>
  <c r="D38" i="309"/>
  <c r="G38" i="297"/>
  <c r="H38" i="297" s="1"/>
  <c r="I38" i="297"/>
  <c r="G38" i="301"/>
  <c r="H38" i="301" s="1"/>
  <c r="I38" i="301"/>
  <c r="D22" i="296"/>
  <c r="I22" i="296"/>
  <c r="I22" i="299"/>
  <c r="D22" i="299"/>
  <c r="I30" i="294"/>
  <c r="D30" i="294"/>
  <c r="D30" i="295"/>
  <c r="G30" i="295"/>
  <c r="H30" i="295" s="1"/>
  <c r="G30" i="311"/>
  <c r="H30" i="311" s="1"/>
  <c r="D30" i="311"/>
  <c r="I30" i="304"/>
  <c r="G30" i="304"/>
  <c r="H30" i="304" s="1"/>
  <c r="D37" i="288"/>
  <c r="G37" i="288"/>
  <c r="H37" i="288" s="1"/>
  <c r="D37" i="291"/>
  <c r="F27" i="299"/>
  <c r="D27" i="299" s="1"/>
  <c r="I37" i="299"/>
  <c r="D37" i="307"/>
  <c r="I37" i="309"/>
  <c r="G37" i="309"/>
  <c r="H37" i="309" s="1"/>
  <c r="G32" i="296"/>
  <c r="H32" i="296" s="1"/>
  <c r="I32" i="296"/>
  <c r="I32" i="292"/>
  <c r="G32" i="292"/>
  <c r="H32" i="292" s="1"/>
  <c r="D32" i="301"/>
  <c r="I32" i="301"/>
  <c r="G32" i="304"/>
  <c r="H32" i="304" s="1"/>
  <c r="I32" i="304"/>
  <c r="I32" i="308"/>
  <c r="G32" i="308"/>
  <c r="H32" i="308" s="1"/>
  <c r="D32" i="298"/>
  <c r="G32" i="298"/>
  <c r="H32" i="298" s="1"/>
  <c r="D32" i="307"/>
  <c r="G32" i="307"/>
  <c r="H32" i="307" s="1"/>
  <c r="I12" i="302"/>
  <c r="D12" i="302"/>
  <c r="G12" i="304"/>
  <c r="H12" i="304" s="1"/>
  <c r="D12" i="304"/>
  <c r="I13" i="310"/>
  <c r="F21" i="310"/>
  <c r="D21" i="310" s="1"/>
  <c r="F21" i="312"/>
  <c r="D21" i="312" s="1"/>
  <c r="I13" i="312"/>
  <c r="G34" i="298"/>
  <c r="H34" i="298" s="1"/>
  <c r="B70" i="262"/>
  <c r="I37" i="307"/>
  <c r="G37" i="299"/>
  <c r="H37" i="299" s="1"/>
  <c r="G37" i="294"/>
  <c r="H37" i="294" s="1"/>
  <c r="G37" i="295"/>
  <c r="H37" i="295" s="1"/>
  <c r="D38" i="301"/>
  <c r="I37" i="289"/>
  <c r="F27" i="294"/>
  <c r="D27" i="294" s="1"/>
  <c r="I32" i="307"/>
  <c r="I32" i="298"/>
  <c r="D30" i="304"/>
  <c r="D30" i="297"/>
  <c r="I30" i="302"/>
  <c r="I30" i="295"/>
  <c r="G30" i="294"/>
  <c r="H30" i="294" s="1"/>
  <c r="I38" i="304"/>
  <c r="G38" i="309"/>
  <c r="H38" i="309" s="1"/>
  <c r="D38" i="298"/>
  <c r="G21" i="310"/>
  <c r="G23" i="310" s="1"/>
  <c r="F21" i="289"/>
  <c r="G37" i="289"/>
  <c r="H37" i="289" s="1"/>
  <c r="G12" i="306"/>
  <c r="H12" i="306" s="1"/>
  <c r="I12" i="304"/>
  <c r="G37" i="291"/>
  <c r="H37" i="291" s="1"/>
  <c r="G21" i="289"/>
  <c r="I21" i="289" s="1"/>
  <c r="I32" i="287"/>
  <c r="G38" i="287"/>
  <c r="H38" i="287" s="1"/>
  <c r="D13" i="312"/>
  <c r="D13" i="310"/>
  <c r="G21" i="306"/>
  <c r="I21" i="306" s="1"/>
  <c r="D13" i="290"/>
  <c r="F21" i="290"/>
  <c r="F23" i="290" s="1"/>
  <c r="D23" i="290" s="1"/>
  <c r="G23" i="287"/>
  <c r="G25" i="287" s="1"/>
  <c r="H23" i="297"/>
  <c r="H25" i="297" s="1"/>
  <c r="G28" i="310"/>
  <c r="H28" i="310" s="1"/>
  <c r="D28" i="310"/>
  <c r="I32" i="312"/>
  <c r="G32" i="312"/>
  <c r="H32" i="312" s="1"/>
  <c r="D12" i="310"/>
  <c r="I12" i="310"/>
  <c r="G12" i="297"/>
  <c r="H12" i="297" s="1"/>
  <c r="I12" i="297"/>
  <c r="I12" i="309"/>
  <c r="G12" i="309"/>
  <c r="H12" i="309" s="1"/>
  <c r="F21" i="293"/>
  <c r="I23" i="293" s="1"/>
  <c r="I13" i="293"/>
  <c r="I13" i="297"/>
  <c r="F21" i="297"/>
  <c r="D21" i="297" s="1"/>
  <c r="F21" i="307"/>
  <c r="F23" i="307" s="1"/>
  <c r="D23" i="307" s="1"/>
  <c r="I13" i="307"/>
  <c r="D13" i="311"/>
  <c r="F21" i="311"/>
  <c r="I23" i="311" s="1"/>
  <c r="G23" i="286"/>
  <c r="I25" i="286" s="1"/>
  <c r="AI53" i="1"/>
  <c r="AI151" i="1" s="1"/>
  <c r="AB151" i="1"/>
  <c r="AI50" i="1"/>
  <c r="AI148" i="1" s="1"/>
  <c r="AB148" i="1"/>
  <c r="I129" i="1"/>
  <c r="I31" i="1" s="1"/>
  <c r="I139" i="1"/>
  <c r="I41" i="1" s="1"/>
  <c r="I145" i="1"/>
  <c r="I47" i="1" s="1"/>
  <c r="I151" i="1"/>
  <c r="I53" i="1" s="1"/>
  <c r="I155" i="1"/>
  <c r="I57" i="1" s="1"/>
  <c r="AE31" i="302"/>
  <c r="AF31" i="302" s="1"/>
  <c r="AE33" i="302"/>
  <c r="AE39" i="302"/>
  <c r="A3" i="304"/>
  <c r="A2" i="304"/>
  <c r="A2" i="305"/>
  <c r="A3" i="305"/>
  <c r="A3" i="306"/>
  <c r="A2" i="306"/>
  <c r="AD39" i="301"/>
  <c r="AD31" i="308"/>
  <c r="AF31" i="308" s="1"/>
  <c r="AD33" i="308"/>
  <c r="AF33" i="308" s="1"/>
  <c r="AD39" i="308"/>
  <c r="AE39" i="299"/>
  <c r="AD41" i="299"/>
  <c r="AF41" i="299" s="1"/>
  <c r="AE39" i="300"/>
  <c r="AD41" i="300"/>
  <c r="AF41" i="300" s="1"/>
  <c r="AD41" i="305"/>
  <c r="AF41" i="305" s="1"/>
  <c r="AE41" i="306"/>
  <c r="H112" i="39"/>
  <c r="J115" i="39" s="1"/>
  <c r="I115" i="39" s="1"/>
  <c r="K115" i="39" s="1"/>
  <c r="G113" i="39"/>
  <c r="M12" i="11"/>
  <c r="E16" i="11"/>
  <c r="D22" i="290"/>
  <c r="I22" i="290"/>
  <c r="I12" i="289"/>
  <c r="D12" i="289"/>
  <c r="D22" i="287"/>
  <c r="I22" i="287"/>
  <c r="D13" i="287"/>
  <c r="I13" i="287"/>
  <c r="G38" i="286"/>
  <c r="H38" i="286" s="1"/>
  <c r="I38" i="286"/>
  <c r="I32" i="286"/>
  <c r="D32" i="286"/>
  <c r="I30" i="286"/>
  <c r="D30" i="286"/>
  <c r="G21" i="296"/>
  <c r="I21" i="296" s="1"/>
  <c r="H13" i="296"/>
  <c r="H21" i="296" s="1"/>
  <c r="H23" i="296" s="1"/>
  <c r="H24" i="296" s="1"/>
  <c r="G38" i="312"/>
  <c r="H38" i="312" s="1"/>
  <c r="I38" i="312"/>
  <c r="G38" i="303"/>
  <c r="H38" i="303" s="1"/>
  <c r="I38" i="303"/>
  <c r="D38" i="307"/>
  <c r="G38" i="307"/>
  <c r="H38" i="307" s="1"/>
  <c r="D22" i="301"/>
  <c r="D22" i="308"/>
  <c r="I22" i="308"/>
  <c r="D22" i="298"/>
  <c r="I30" i="298"/>
  <c r="G30" i="298"/>
  <c r="H30" i="298" s="1"/>
  <c r="I30" i="303"/>
  <c r="G30" i="303"/>
  <c r="H30" i="303" s="1"/>
  <c r="G30" i="306"/>
  <c r="H30" i="306" s="1"/>
  <c r="I30" i="306"/>
  <c r="I30" i="299"/>
  <c r="G30" i="299"/>
  <c r="H30" i="299" s="1"/>
  <c r="D30" i="301"/>
  <c r="I30" i="301"/>
  <c r="I30" i="289"/>
  <c r="D30" i="289"/>
  <c r="G30" i="289"/>
  <c r="H30" i="289" s="1"/>
  <c r="G28" i="287"/>
  <c r="I28" i="287"/>
  <c r="I12" i="287"/>
  <c r="G12" i="287"/>
  <c r="H12" i="287" s="1"/>
  <c r="I28" i="286"/>
  <c r="D28" i="286"/>
  <c r="G23" i="292"/>
  <c r="G25" i="292" s="1"/>
  <c r="G18" i="294"/>
  <c r="G18" i="296"/>
  <c r="H23" i="291"/>
  <c r="G18" i="295"/>
  <c r="G23" i="309"/>
  <c r="G25" i="309" s="1"/>
  <c r="G18" i="309"/>
  <c r="G18" i="297"/>
  <c r="G18" i="301"/>
  <c r="H18" i="309"/>
  <c r="G28" i="298"/>
  <c r="H28" i="298" s="1"/>
  <c r="D28" i="298"/>
  <c r="G28" i="302"/>
  <c r="H28" i="302" s="1"/>
  <c r="D28" i="302"/>
  <c r="D28" i="304"/>
  <c r="G28" i="304"/>
  <c r="H28" i="304" s="1"/>
  <c r="G28" i="307"/>
  <c r="H28" i="307" s="1"/>
  <c r="D28" i="307"/>
  <c r="G28" i="300"/>
  <c r="H28" i="300" s="1"/>
  <c r="D28" i="300"/>
  <c r="D28" i="305"/>
  <c r="I28" i="305"/>
  <c r="G28" i="312"/>
  <c r="H28" i="312" s="1"/>
  <c r="I28" i="312"/>
  <c r="D31" i="291"/>
  <c r="D31" i="307"/>
  <c r="D31" i="297"/>
  <c r="I37" i="311"/>
  <c r="G37" i="297"/>
  <c r="H37" i="297" s="1"/>
  <c r="I37" i="297"/>
  <c r="I37" i="303"/>
  <c r="D37" i="303"/>
  <c r="I32" i="297"/>
  <c r="G32" i="297"/>
  <c r="H32" i="297" s="1"/>
  <c r="D32" i="310"/>
  <c r="I32" i="310"/>
  <c r="G12" i="292"/>
  <c r="H12" i="292" s="1"/>
  <c r="I12" i="292"/>
  <c r="G12" i="296"/>
  <c r="H12" i="296" s="1"/>
  <c r="D12" i="296"/>
  <c r="I12" i="300"/>
  <c r="G12" i="300"/>
  <c r="H12" i="300" s="1"/>
  <c r="AF41" i="296"/>
  <c r="L37" i="11"/>
  <c r="M37" i="11" s="1"/>
  <c r="L64" i="11"/>
  <c r="M64" i="11" s="1"/>
  <c r="L38" i="11"/>
  <c r="M38" i="11" s="1"/>
  <c r="I12" i="296"/>
  <c r="H18" i="297"/>
  <c r="I21" i="293"/>
  <c r="D30" i="303"/>
  <c r="D30" i="298"/>
  <c r="F27" i="312"/>
  <c r="D27" i="312" s="1"/>
  <c r="I28" i="304"/>
  <c r="I28" i="302"/>
  <c r="I28" i="298"/>
  <c r="I28" i="292"/>
  <c r="H18" i="293"/>
  <c r="G32" i="310"/>
  <c r="H32" i="310" s="1"/>
  <c r="D32" i="292"/>
  <c r="F27" i="293"/>
  <c r="D31" i="288"/>
  <c r="G12" i="302"/>
  <c r="H12" i="302" s="1"/>
  <c r="D37" i="311"/>
  <c r="D28" i="312"/>
  <c r="D28" i="296"/>
  <c r="G28" i="294"/>
  <c r="H28" i="294" s="1"/>
  <c r="I21" i="286"/>
  <c r="D12" i="287"/>
  <c r="D22" i="304"/>
  <c r="I22" i="298"/>
  <c r="I38" i="307"/>
  <c r="G38" i="299"/>
  <c r="H38" i="299" s="1"/>
  <c r="H13" i="300"/>
  <c r="H21" i="300" s="1"/>
  <c r="H23" i="300" s="1"/>
  <c r="H13" i="293"/>
  <c r="H21" i="293" s="1"/>
  <c r="H23" i="293" s="1"/>
  <c r="G30" i="286"/>
  <c r="H30" i="286" s="1"/>
  <c r="D22" i="289"/>
  <c r="D38" i="312"/>
  <c r="B23" i="262"/>
  <c r="F25" i="188"/>
  <c r="D25" i="188" s="1"/>
  <c r="I28" i="290"/>
  <c r="G28" i="290"/>
  <c r="H28" i="290" s="1"/>
  <c r="I32" i="288"/>
  <c r="D32" i="288"/>
  <c r="I30" i="288"/>
  <c r="G30" i="288"/>
  <c r="H30" i="288" s="1"/>
  <c r="D38" i="287"/>
  <c r="H13" i="307"/>
  <c r="H21" i="307" s="1"/>
  <c r="H23" i="307" s="1"/>
  <c r="G21" i="307"/>
  <c r="I21" i="307" s="1"/>
  <c r="D38" i="296"/>
  <c r="G38" i="296"/>
  <c r="H38" i="296" s="1"/>
  <c r="I38" i="296"/>
  <c r="D38" i="291"/>
  <c r="G38" i="298"/>
  <c r="H38" i="298" s="1"/>
  <c r="I38" i="298"/>
  <c r="I38" i="302"/>
  <c r="G38" i="302"/>
  <c r="H38" i="302" s="1"/>
  <c r="G38" i="306"/>
  <c r="H38" i="306" s="1"/>
  <c r="I38" i="306"/>
  <c r="I38" i="309"/>
  <c r="I38" i="311"/>
  <c r="I22" i="291"/>
  <c r="D22" i="291"/>
  <c r="D22" i="309"/>
  <c r="I30" i="292"/>
  <c r="G30" i="292"/>
  <c r="H30" i="292" s="1"/>
  <c r="I30" i="293"/>
  <c r="D30" i="293"/>
  <c r="I30" i="296"/>
  <c r="G30" i="296"/>
  <c r="H30" i="296" s="1"/>
  <c r="D30" i="305"/>
  <c r="I30" i="305"/>
  <c r="I30" i="310"/>
  <c r="D30" i="310"/>
  <c r="G30" i="312"/>
  <c r="H30" i="312" s="1"/>
  <c r="I30" i="312"/>
  <c r="D37" i="292"/>
  <c r="D37" i="296"/>
  <c r="G37" i="296"/>
  <c r="H37" i="296" s="1"/>
  <c r="G37" i="301"/>
  <c r="H37" i="301" s="1"/>
  <c r="D37" i="301"/>
  <c r="G37" i="305"/>
  <c r="H37" i="305" s="1"/>
  <c r="D37" i="305"/>
  <c r="G37" i="308"/>
  <c r="H37" i="308" s="1"/>
  <c r="D37" i="308"/>
  <c r="D37" i="310"/>
  <c r="I32" i="299"/>
  <c r="G32" i="299"/>
  <c r="H32" i="299" s="1"/>
  <c r="D32" i="299"/>
  <c r="D32" i="300"/>
  <c r="I32" i="300"/>
  <c r="D32" i="306"/>
  <c r="G32" i="306"/>
  <c r="H32" i="306" s="1"/>
  <c r="I32" i="309"/>
  <c r="G32" i="309"/>
  <c r="H32" i="309" s="1"/>
  <c r="I12" i="303"/>
  <c r="D12" i="303"/>
  <c r="G12" i="312"/>
  <c r="H12" i="312" s="1"/>
  <c r="D12" i="312"/>
  <c r="G12" i="308"/>
  <c r="H12" i="308" s="1"/>
  <c r="D12" i="308"/>
  <c r="G12" i="311"/>
  <c r="H12" i="311" s="1"/>
  <c r="I12" i="311"/>
  <c r="D13" i="292"/>
  <c r="I13" i="292"/>
  <c r="D13" i="296"/>
  <c r="I13" i="296"/>
  <c r="I13" i="298"/>
  <c r="F21" i="298"/>
  <c r="F21" i="305"/>
  <c r="F23" i="305" s="1"/>
  <c r="D13" i="305"/>
  <c r="D13" i="308"/>
  <c r="F21" i="308"/>
  <c r="I23" i="308" s="1"/>
  <c r="F21" i="301"/>
  <c r="D13" i="301"/>
  <c r="AI55" i="1"/>
  <c r="AI153" i="1" s="1"/>
  <c r="AB153" i="1"/>
  <c r="B57" i="1"/>
  <c r="B154" i="1"/>
  <c r="AF41" i="301"/>
  <c r="H23" i="301"/>
  <c r="H25" i="301" s="1"/>
  <c r="AF41" i="287"/>
  <c r="AE39" i="187"/>
  <c r="AF39" i="187" s="1"/>
  <c r="D34" i="310"/>
  <c r="AF41" i="304"/>
  <c r="F24" i="10"/>
  <c r="AC41" i="181"/>
  <c r="Q71" i="12"/>
  <c r="Q83" i="12"/>
  <c r="F62" i="12"/>
  <c r="F79" i="12"/>
  <c r="AD41" i="186"/>
  <c r="AE41" i="186" s="1"/>
  <c r="AF41" i="186" s="1"/>
  <c r="AD41" i="185"/>
  <c r="AE41" i="185" s="1"/>
  <c r="AF41" i="185" s="1"/>
  <c r="AF145" i="1"/>
  <c r="AF147" i="1"/>
  <c r="AF152" i="1"/>
  <c r="AF160" i="1"/>
  <c r="I164" i="1"/>
  <c r="I66" i="1" s="1"/>
  <c r="T55" i="12"/>
  <c r="H79" i="12"/>
  <c r="P43" i="39"/>
  <c r="T43" i="39"/>
  <c r="T60" i="39"/>
  <c r="T56" i="39"/>
  <c r="T52" i="39"/>
  <c r="T48" i="39"/>
  <c r="R60" i="39"/>
  <c r="R56" i="39"/>
  <c r="R52" i="39"/>
  <c r="R48" i="39"/>
  <c r="P48" i="39"/>
  <c r="W69" i="39"/>
  <c r="Q72" i="39" s="1"/>
  <c r="J59" i="39"/>
  <c r="AD39" i="181"/>
  <c r="AE39" i="181" s="1"/>
  <c r="AF39" i="181" s="1"/>
  <c r="AD33" i="305"/>
  <c r="AE33" i="306"/>
  <c r="AD41" i="308"/>
  <c r="AE41" i="308"/>
  <c r="K34" i="264"/>
  <c r="AE33" i="289"/>
  <c r="I20" i="292"/>
  <c r="D20" i="292"/>
  <c r="AD41" i="310"/>
  <c r="AE41" i="310"/>
  <c r="A2" i="302"/>
  <c r="A4" i="302" s="1"/>
  <c r="AE39" i="301"/>
  <c r="AD39" i="298"/>
  <c r="AE39" i="297"/>
  <c r="AE39" i="298"/>
  <c r="AE39" i="305"/>
  <c r="D20" i="308"/>
  <c r="D20" i="310"/>
  <c r="O49" i="6"/>
  <c r="Q37" i="35"/>
  <c r="Q43" i="35"/>
  <c r="Q29" i="35"/>
  <c r="Q41" i="35"/>
  <c r="Q36" i="35"/>
  <c r="Q39" i="35"/>
  <c r="Q40" i="35"/>
  <c r="Q38" i="35"/>
  <c r="Q42" i="35"/>
  <c r="Q34" i="35"/>
  <c r="Q35" i="35"/>
  <c r="V170" i="1"/>
  <c r="O47" i="6"/>
  <c r="X56" i="1"/>
  <c r="V154" i="1"/>
  <c r="W154" i="1"/>
  <c r="X154" i="1" s="1"/>
  <c r="C65" i="6"/>
  <c r="D30" i="11"/>
  <c r="L21" i="11"/>
  <c r="B66" i="38"/>
  <c r="B69" i="35"/>
  <c r="B70" i="35" s="1"/>
  <c r="B71" i="35" s="1"/>
  <c r="B72" i="35" s="1"/>
  <c r="B73" i="35" s="1"/>
  <c r="B74" i="35" s="1"/>
  <c r="B75" i="35" s="1"/>
  <c r="C50" i="6"/>
  <c r="B73" i="1"/>
  <c r="B130" i="39"/>
  <c r="B118" i="39" s="1"/>
  <c r="I23" i="296"/>
  <c r="D21" i="296"/>
  <c r="I23" i="287"/>
  <c r="F23" i="287"/>
  <c r="D23" i="184"/>
  <c r="F25" i="184"/>
  <c r="G23" i="288"/>
  <c r="I21" i="288"/>
  <c r="H23" i="303"/>
  <c r="B159" i="39"/>
  <c r="B115" i="39"/>
  <c r="B33" i="35"/>
  <c r="G104" i="39"/>
  <c r="H103" i="39"/>
  <c r="AI89" i="1"/>
  <c r="AI187" i="1" s="1"/>
  <c r="AB187" i="1"/>
  <c r="M13" i="11"/>
  <c r="C68" i="11"/>
  <c r="E24" i="11" s="1"/>
  <c r="B101" i="39"/>
  <c r="B172" i="39"/>
  <c r="F25" i="182"/>
  <c r="D25" i="182" s="1"/>
  <c r="F23" i="300"/>
  <c r="D21" i="287"/>
  <c r="F25" i="185"/>
  <c r="D23" i="185"/>
  <c r="G23" i="302"/>
  <c r="F27" i="303"/>
  <c r="D32" i="290"/>
  <c r="G32" i="290"/>
  <c r="H32" i="290" s="1"/>
  <c r="G37" i="303"/>
  <c r="H37" i="303" s="1"/>
  <c r="G37" i="307"/>
  <c r="H37" i="307" s="1"/>
  <c r="D37" i="304"/>
  <c r="D37" i="299"/>
  <c r="I38" i="288"/>
  <c r="G38" i="288"/>
  <c r="G38" i="304"/>
  <c r="G38" i="310"/>
  <c r="G38" i="308"/>
  <c r="D38" i="300"/>
  <c r="D38" i="295"/>
  <c r="G38" i="290"/>
  <c r="G38" i="294"/>
  <c r="D38" i="292"/>
  <c r="G38" i="292"/>
  <c r="H13" i="292"/>
  <c r="H21" i="292" s="1"/>
  <c r="H23" i="292" s="1"/>
  <c r="I30" i="290"/>
  <c r="F21" i="304"/>
  <c r="D13" i="299"/>
  <c r="I13" i="308"/>
  <c r="D13" i="298"/>
  <c r="F21" i="292"/>
  <c r="I12" i="308"/>
  <c r="D12" i="299"/>
  <c r="I12" i="312"/>
  <c r="H18" i="303"/>
  <c r="G18" i="311"/>
  <c r="G18" i="302"/>
  <c r="H18" i="291"/>
  <c r="I12" i="305"/>
  <c r="G12" i="305"/>
  <c r="D12" i="301"/>
  <c r="G12" i="301"/>
  <c r="D12" i="293"/>
  <c r="G12" i="293"/>
  <c r="D32" i="304"/>
  <c r="D32" i="296"/>
  <c r="D37" i="298"/>
  <c r="D28" i="309"/>
  <c r="G28" i="311"/>
  <c r="H28" i="311" s="1"/>
  <c r="D28" i="303"/>
  <c r="D28" i="297"/>
  <c r="D28" i="295"/>
  <c r="G28" i="293"/>
  <c r="H28" i="293" s="1"/>
  <c r="H13" i="288"/>
  <c r="H21" i="288" s="1"/>
  <c r="H23" i="288" s="1"/>
  <c r="D32" i="289"/>
  <c r="G32" i="289"/>
  <c r="H32" i="289" s="1"/>
  <c r="D30" i="307"/>
  <c r="G30" i="307"/>
  <c r="H30" i="307" s="1"/>
  <c r="D30" i="302"/>
  <c r="G30" i="293"/>
  <c r="H30" i="293" s="1"/>
  <c r="I22" i="300"/>
  <c r="H13" i="304"/>
  <c r="H21" i="304" s="1"/>
  <c r="H23" i="304" s="1"/>
  <c r="H13" i="302"/>
  <c r="H21" i="302" s="1"/>
  <c r="H23" i="302" s="1"/>
  <c r="G21" i="69"/>
  <c r="D32" i="305"/>
  <c r="G32" i="305"/>
  <c r="H32" i="305" s="1"/>
  <c r="D32" i="291"/>
  <c r="G32" i="291"/>
  <c r="H32" i="291" s="1"/>
  <c r="I37" i="300"/>
  <c r="G37" i="300"/>
  <c r="H37" i="300" s="1"/>
  <c r="I37" i="304"/>
  <c r="H13" i="286"/>
  <c r="H21" i="286" s="1"/>
  <c r="H23" i="286" s="1"/>
  <c r="D28" i="287"/>
  <c r="H18" i="290"/>
  <c r="G30" i="310"/>
  <c r="H30" i="310" s="1"/>
  <c r="G30" i="301"/>
  <c r="G38" i="305"/>
  <c r="I13" i="286"/>
  <c r="D38" i="286"/>
  <c r="H13" i="287"/>
  <c r="H21" i="287" s="1"/>
  <c r="H23" i="287" s="1"/>
  <c r="I13" i="288"/>
  <c r="I13" i="290"/>
  <c r="B27" i="262"/>
  <c r="D22" i="295"/>
  <c r="AD41" i="286"/>
  <c r="I72" i="12"/>
  <c r="I84" i="12"/>
  <c r="K87" i="1"/>
  <c r="K185" i="1" s="1"/>
  <c r="Z87" i="1"/>
  <c r="Z185" i="1" s="1"/>
  <c r="Y185" i="1"/>
  <c r="H82" i="39"/>
  <c r="B6" i="3"/>
  <c r="C6" i="3" s="1"/>
  <c r="A7" i="3"/>
  <c r="P79" i="12"/>
  <c r="W82" i="12"/>
  <c r="H23" i="188"/>
  <c r="AC41" i="182"/>
  <c r="AD41" i="182"/>
  <c r="B16" i="11"/>
  <c r="C12" i="66"/>
  <c r="Y180" i="1"/>
  <c r="Z82" i="1"/>
  <c r="Z180" i="1" s="1"/>
  <c r="Y190" i="1"/>
  <c r="Z92" i="1"/>
  <c r="Z190" i="1" s="1"/>
  <c r="Z59" i="1"/>
  <c r="Z157" i="1" s="1"/>
  <c r="Y157" i="1"/>
  <c r="Z54" i="1"/>
  <c r="Z152" i="1" s="1"/>
  <c r="Y152" i="1"/>
  <c r="G189" i="1"/>
  <c r="Y91" i="1"/>
  <c r="J81" i="12"/>
  <c r="J64" i="12"/>
  <c r="Q43" i="39"/>
  <c r="S43" i="39"/>
  <c r="T61" i="39"/>
  <c r="T59" i="39"/>
  <c r="T57" i="39"/>
  <c r="T55" i="39"/>
  <c r="T53" i="39"/>
  <c r="T51" i="39"/>
  <c r="T49" i="39"/>
  <c r="S61" i="39"/>
  <c r="S59" i="39"/>
  <c r="S57" i="39"/>
  <c r="S55" i="39"/>
  <c r="S53" i="39"/>
  <c r="S51" i="39"/>
  <c r="S49" i="39"/>
  <c r="R61" i="39"/>
  <c r="R59" i="39"/>
  <c r="R57" i="39"/>
  <c r="R55" i="39"/>
  <c r="R53" i="39"/>
  <c r="R51" i="39"/>
  <c r="R49" i="39"/>
  <c r="Q61" i="39"/>
  <c r="Q59" i="39"/>
  <c r="Q57" i="39"/>
  <c r="Q55" i="39"/>
  <c r="Q53" i="39"/>
  <c r="Q51" i="39"/>
  <c r="Q49" i="39"/>
  <c r="P60" i="39"/>
  <c r="P56" i="39"/>
  <c r="P52" i="39"/>
  <c r="U16" i="264"/>
  <c r="S16" i="264"/>
  <c r="G34" i="264"/>
  <c r="V21" i="10"/>
  <c r="AB21" i="10"/>
  <c r="AD41" i="297"/>
  <c r="AE41" i="297"/>
  <c r="D20" i="289"/>
  <c r="D20" i="291"/>
  <c r="I20" i="294"/>
  <c r="D20" i="294"/>
  <c r="AD41" i="298"/>
  <c r="AE41" i="298"/>
  <c r="D20" i="295"/>
  <c r="D20" i="296"/>
  <c r="D20" i="299"/>
  <c r="D20" i="302"/>
  <c r="D20" i="304"/>
  <c r="AE41" i="307"/>
  <c r="D20" i="312"/>
  <c r="I39" i="262"/>
  <c r="Q72" i="1"/>
  <c r="N62" i="6"/>
  <c r="N64" i="6"/>
  <c r="F328" i="1103"/>
  <c r="E328" i="1103"/>
  <c r="I39" i="1103"/>
  <c r="N63" i="6"/>
  <c r="N46" i="6"/>
  <c r="I328" i="1103"/>
  <c r="H328" i="1103"/>
  <c r="P47" i="6"/>
  <c r="W72" i="1"/>
  <c r="N48" i="6"/>
  <c r="P72" i="1"/>
  <c r="G328" i="1103"/>
  <c r="P49" i="6"/>
  <c r="E16" i="1121" l="1"/>
  <c r="E44" i="1124"/>
  <c r="Z17" i="264"/>
  <c r="U17" i="264" s="1"/>
  <c r="E35" i="1107"/>
  <c r="E17" i="1122"/>
  <c r="E32" i="1106"/>
  <c r="N32" i="1106" s="1"/>
  <c r="I23" i="300"/>
  <c r="E17" i="1107"/>
  <c r="I35" i="1107"/>
  <c r="E31" i="1121"/>
  <c r="E45" i="1124"/>
  <c r="E31" i="1122"/>
  <c r="D34" i="181"/>
  <c r="AB182" i="1"/>
  <c r="AF39" i="295"/>
  <c r="AF33" i="292"/>
  <c r="W75" i="12"/>
  <c r="S75" i="12"/>
  <c r="O85" i="12"/>
  <c r="J75" i="12"/>
  <c r="M35" i="264"/>
  <c r="Z35" i="264" s="1"/>
  <c r="U35" i="264" s="1"/>
  <c r="N33" i="1106"/>
  <c r="N75" i="12"/>
  <c r="N85" i="12"/>
  <c r="J35" i="1107"/>
  <c r="K35" i="1107" s="1"/>
  <c r="J16" i="1107"/>
  <c r="K16" i="1107" s="1"/>
  <c r="B42" i="1"/>
  <c r="AF33" i="289"/>
  <c r="AE39" i="188"/>
  <c r="AF39" i="188" s="1"/>
  <c r="H66" i="12"/>
  <c r="H76" i="12" s="1"/>
  <c r="B138" i="1"/>
  <c r="AE33" i="182"/>
  <c r="AF33" i="182" s="1"/>
  <c r="O75" i="12"/>
  <c r="J34" i="1107"/>
  <c r="K34" i="1107" s="1"/>
  <c r="Y75" i="12"/>
  <c r="M75" i="12"/>
  <c r="M85" i="12"/>
  <c r="H81" i="12"/>
  <c r="P66" i="12"/>
  <c r="P76" i="12" s="1"/>
  <c r="F64" i="12"/>
  <c r="AE33" i="186"/>
  <c r="AF33" i="186" s="1"/>
  <c r="P64" i="12"/>
  <c r="AF41" i="302"/>
  <c r="V50" i="39"/>
  <c r="B15" i="1107"/>
  <c r="B29" i="1122"/>
  <c r="B19" i="1124"/>
  <c r="H18" i="313"/>
  <c r="AE41" i="180"/>
  <c r="AF41" i="180" s="1"/>
  <c r="AF41" i="295"/>
  <c r="AR21" i="10"/>
  <c r="T83" i="12"/>
  <c r="I34" i="311"/>
  <c r="D34" i="291"/>
  <c r="O17" i="264"/>
  <c r="AF41" i="288"/>
  <c r="B33" i="1107"/>
  <c r="B31" i="1106"/>
  <c r="O48" i="6"/>
  <c r="Q16" i="264"/>
  <c r="AF39" i="306"/>
  <c r="I17" i="1107"/>
  <c r="V62" i="39"/>
  <c r="A181" i="39"/>
  <c r="U60" i="12"/>
  <c r="U59" i="12"/>
  <c r="H127" i="39"/>
  <c r="J130" i="39" s="1"/>
  <c r="I130" i="39" s="1"/>
  <c r="K130" i="39" s="1"/>
  <c r="V47" i="39"/>
  <c r="U65" i="39"/>
  <c r="V60" i="39"/>
  <c r="B180" i="39"/>
  <c r="B87" i="39"/>
  <c r="G34" i="297"/>
  <c r="H34" i="297" s="1"/>
  <c r="G34" i="306"/>
  <c r="H34" i="306" s="1"/>
  <c r="D34" i="297"/>
  <c r="D34" i="187"/>
  <c r="O62" i="6"/>
  <c r="O64" i="6"/>
  <c r="V56" i="39"/>
  <c r="I34" i="312"/>
  <c r="G40" i="35"/>
  <c r="M21" i="10"/>
  <c r="S21" i="1124"/>
  <c r="X21" i="1124"/>
  <c r="T21" i="1124"/>
  <c r="U21" i="1124"/>
  <c r="Z21" i="1124"/>
  <c r="V21" i="1124"/>
  <c r="W21" i="1124"/>
  <c r="Y21" i="1124"/>
  <c r="H23" i="1124"/>
  <c r="F45" i="1124"/>
  <c r="F21" i="1124"/>
  <c r="I23" i="1124"/>
  <c r="T71" i="12"/>
  <c r="AF33" i="302"/>
  <c r="B25" i="10"/>
  <c r="C34" i="1106"/>
  <c r="D34" i="1106" s="1"/>
  <c r="C22" i="1124"/>
  <c r="D45" i="1124"/>
  <c r="K45" i="1124"/>
  <c r="J45" i="1124" s="1"/>
  <c r="D21" i="1124"/>
  <c r="K21" i="1124"/>
  <c r="J21" i="1124" s="1"/>
  <c r="T45" i="1124"/>
  <c r="U45" i="1124"/>
  <c r="V45" i="1124"/>
  <c r="W45" i="1124"/>
  <c r="Y45" i="1124"/>
  <c r="Z45" i="1124"/>
  <c r="X45" i="1124"/>
  <c r="S45" i="1124"/>
  <c r="H22" i="1124"/>
  <c r="G22" i="1124"/>
  <c r="I22" i="1124"/>
  <c r="AF33" i="305"/>
  <c r="G34" i="179"/>
  <c r="H34" i="179" s="1"/>
  <c r="G34" i="292"/>
  <c r="H34" i="292" s="1"/>
  <c r="B37" i="10"/>
  <c r="G23" i="1124"/>
  <c r="C23" i="1124"/>
  <c r="AE39" i="186"/>
  <c r="AF39" i="186" s="1"/>
  <c r="AF33" i="291"/>
  <c r="AF33" i="300"/>
  <c r="AF41" i="291"/>
  <c r="AE41" i="181"/>
  <c r="AF41" i="181" s="1"/>
  <c r="I34" i="286"/>
  <c r="AF39" i="300"/>
  <c r="G34" i="311"/>
  <c r="H34" i="311" s="1"/>
  <c r="AF39" i="291"/>
  <c r="AF33" i="287"/>
  <c r="O84" i="1"/>
  <c r="H25" i="187"/>
  <c r="AE33" i="187"/>
  <c r="AF33" i="187" s="1"/>
  <c r="O63" i="6"/>
  <c r="U72" i="39"/>
  <c r="U73" i="39" s="1"/>
  <c r="U74" i="39" s="1"/>
  <c r="H18" i="264"/>
  <c r="H19" i="1122"/>
  <c r="G19" i="1121"/>
  <c r="I18" i="1122"/>
  <c r="I33" i="1122"/>
  <c r="H19" i="1121"/>
  <c r="I18" i="1121"/>
  <c r="J34" i="1106"/>
  <c r="I34" i="1106"/>
  <c r="I33" i="1121"/>
  <c r="C19" i="1121"/>
  <c r="D19" i="1121" s="1"/>
  <c r="G32" i="1121"/>
  <c r="I19" i="1121"/>
  <c r="G33" i="1122"/>
  <c r="H32" i="1121"/>
  <c r="I32" i="1122"/>
  <c r="C35" i="1106"/>
  <c r="H35" i="1106"/>
  <c r="H34" i="1106"/>
  <c r="F34" i="1106"/>
  <c r="G19" i="1106"/>
  <c r="I19" i="1122"/>
  <c r="H33" i="1121"/>
  <c r="C19" i="1122"/>
  <c r="D19" i="1122" s="1"/>
  <c r="G18" i="1122"/>
  <c r="C33" i="1122"/>
  <c r="D33" i="1122" s="1"/>
  <c r="I32" i="1121"/>
  <c r="C32" i="1121"/>
  <c r="D32" i="1121" s="1"/>
  <c r="C18" i="1122"/>
  <c r="D18" i="1122" s="1"/>
  <c r="H32" i="1122"/>
  <c r="G18" i="1121"/>
  <c r="J35" i="1106"/>
  <c r="F35" i="1106"/>
  <c r="D33" i="1106"/>
  <c r="P33" i="1106"/>
  <c r="I37" i="264"/>
  <c r="N19" i="264"/>
  <c r="R19" i="264" s="1"/>
  <c r="J18" i="264"/>
  <c r="I18" i="313"/>
  <c r="C33" i="1121"/>
  <c r="D33" i="1121" s="1"/>
  <c r="G33" i="1121"/>
  <c r="G19" i="1122"/>
  <c r="H18" i="1122"/>
  <c r="H33" i="1122"/>
  <c r="G32" i="1122"/>
  <c r="H18" i="1121"/>
  <c r="C18" i="1121"/>
  <c r="D18" i="1121" s="1"/>
  <c r="C32" i="1122"/>
  <c r="D32" i="1122" s="1"/>
  <c r="I35" i="1106"/>
  <c r="M32" i="1106"/>
  <c r="L32" i="1106"/>
  <c r="K32" i="1106"/>
  <c r="F17" i="1121"/>
  <c r="F17" i="1122"/>
  <c r="F31" i="1122"/>
  <c r="F31" i="1121"/>
  <c r="AF41" i="292"/>
  <c r="H24" i="295"/>
  <c r="G23" i="312"/>
  <c r="G25" i="312" s="1"/>
  <c r="O46" i="6"/>
  <c r="I36" i="264"/>
  <c r="R57" i="12"/>
  <c r="R65" i="12" s="1"/>
  <c r="R56" i="12"/>
  <c r="G18" i="313"/>
  <c r="Q56" i="12"/>
  <c r="Q57" i="12"/>
  <c r="Q65" i="12" s="1"/>
  <c r="T82" i="12"/>
  <c r="T69" i="12"/>
  <c r="T70" i="12"/>
  <c r="Q72" i="12"/>
  <c r="Q74" i="12"/>
  <c r="C36" i="264"/>
  <c r="D36" i="264" s="1"/>
  <c r="G36" i="1107"/>
  <c r="I36" i="1107" s="1"/>
  <c r="C36" i="1107"/>
  <c r="D36" i="1107" s="1"/>
  <c r="G19" i="1107"/>
  <c r="I19" i="1107" s="1"/>
  <c r="J68" i="12"/>
  <c r="J77" i="12" s="1"/>
  <c r="J67" i="12"/>
  <c r="J66" i="12"/>
  <c r="J76" i="12" s="1"/>
  <c r="T56" i="12"/>
  <c r="T57" i="12"/>
  <c r="T65" i="12" s="1"/>
  <c r="U56" i="12"/>
  <c r="U63" i="12" s="1"/>
  <c r="U57" i="12"/>
  <c r="U65" i="12" s="1"/>
  <c r="I83" i="12"/>
  <c r="I73" i="12"/>
  <c r="Q69" i="12"/>
  <c r="Q70" i="12"/>
  <c r="I20" i="1106"/>
  <c r="H19" i="1106"/>
  <c r="J19" i="1106"/>
  <c r="C37" i="1107"/>
  <c r="D37" i="1107" s="1"/>
  <c r="P68" i="12"/>
  <c r="P77" i="12" s="1"/>
  <c r="P67" i="12"/>
  <c r="S68" i="12"/>
  <c r="S77" i="12" s="1"/>
  <c r="S67" i="12"/>
  <c r="V68" i="12"/>
  <c r="V77" i="12" s="1"/>
  <c r="V67" i="12"/>
  <c r="H20" i="1106"/>
  <c r="I19" i="1106"/>
  <c r="P18" i="1106"/>
  <c r="C19" i="1107"/>
  <c r="D19" i="1107" s="1"/>
  <c r="C18" i="1107"/>
  <c r="D18" i="1107" s="1"/>
  <c r="G18" i="1107"/>
  <c r="I18" i="1107" s="1"/>
  <c r="S66" i="12"/>
  <c r="S76" i="12" s="1"/>
  <c r="V66" i="12"/>
  <c r="V76" i="12" s="1"/>
  <c r="W68" i="12"/>
  <c r="W77" i="12" s="1"/>
  <c r="W67" i="12"/>
  <c r="W66" i="12"/>
  <c r="W76" i="12" s="1"/>
  <c r="W81" i="12"/>
  <c r="W85" i="12" s="1"/>
  <c r="K80" i="12"/>
  <c r="K63" i="12"/>
  <c r="K75" i="12" s="1"/>
  <c r="I57" i="12"/>
  <c r="I65" i="12" s="1"/>
  <c r="I56" i="12"/>
  <c r="I63" i="12" s="1"/>
  <c r="R69" i="12"/>
  <c r="R70" i="12"/>
  <c r="U82" i="12"/>
  <c r="U69" i="12"/>
  <c r="U70" i="12"/>
  <c r="I69" i="12"/>
  <c r="I70" i="12"/>
  <c r="R83" i="12"/>
  <c r="R73" i="12"/>
  <c r="J20" i="1106"/>
  <c r="G37" i="1107"/>
  <c r="I37" i="1107" s="1"/>
  <c r="H68" i="12"/>
  <c r="H77" i="12" s="1"/>
  <c r="H67" i="12"/>
  <c r="H64" i="12"/>
  <c r="K68" i="12"/>
  <c r="K77" i="12" s="1"/>
  <c r="K67" i="12"/>
  <c r="D34" i="287"/>
  <c r="M17" i="1106"/>
  <c r="L17" i="1106"/>
  <c r="K17" i="1106"/>
  <c r="AF39" i="296"/>
  <c r="AF33" i="295"/>
  <c r="L18" i="1106"/>
  <c r="M18" i="1106"/>
  <c r="K18" i="1106"/>
  <c r="E20" i="13"/>
  <c r="D21" i="13"/>
  <c r="D40" i="13"/>
  <c r="F36" i="185"/>
  <c r="D36" i="185" s="1"/>
  <c r="I34" i="1114"/>
  <c r="I33" i="1114" s="1"/>
  <c r="D34" i="1114"/>
  <c r="G34" i="1114"/>
  <c r="F33" i="1114"/>
  <c r="D33" i="1114" s="1"/>
  <c r="D34" i="304"/>
  <c r="I34" i="302"/>
  <c r="D34" i="306"/>
  <c r="I23" i="290"/>
  <c r="I34" i="298"/>
  <c r="AF39" i="303"/>
  <c r="AE39" i="179"/>
  <c r="AF39" i="179" s="1"/>
  <c r="G34" i="1109"/>
  <c r="D34" i="1109"/>
  <c r="I34" i="1109"/>
  <c r="I33" i="1109" s="1"/>
  <c r="F33" i="1109"/>
  <c r="D33" i="1109" s="1"/>
  <c r="G34" i="1112"/>
  <c r="I34" i="1112"/>
  <c r="I33" i="1112" s="1"/>
  <c r="D34" i="1112"/>
  <c r="F33" i="1112"/>
  <c r="D33" i="1112" s="1"/>
  <c r="G34" i="1116"/>
  <c r="I34" i="1116"/>
  <c r="I33" i="1116" s="1"/>
  <c r="D34" i="1116"/>
  <c r="F33" i="1116"/>
  <c r="D33" i="1116" s="1"/>
  <c r="AE39" i="184"/>
  <c r="AF39" i="184" s="1"/>
  <c r="G34" i="1108"/>
  <c r="D34" i="1108"/>
  <c r="I34" i="1108"/>
  <c r="I33" i="1108" s="1"/>
  <c r="F33" i="1108"/>
  <c r="D33" i="1108" s="1"/>
  <c r="G34" i="1113"/>
  <c r="D34" i="1113"/>
  <c r="I34" i="1113"/>
  <c r="I33" i="1113" s="1"/>
  <c r="F33" i="1113"/>
  <c r="D33" i="1113" s="1"/>
  <c r="I34" i="1117"/>
  <c r="I33" i="1117" s="1"/>
  <c r="D34" i="1117"/>
  <c r="G34" i="1117"/>
  <c r="F33" i="1117"/>
  <c r="D33" i="1117" s="1"/>
  <c r="G34" i="305"/>
  <c r="H34" i="305" s="1"/>
  <c r="AF39" i="286"/>
  <c r="AF33" i="296"/>
  <c r="G34" i="1110"/>
  <c r="D34" i="1110"/>
  <c r="I34" i="1110"/>
  <c r="I33" i="1110" s="1"/>
  <c r="F33" i="1110"/>
  <c r="D33" i="1110" s="1"/>
  <c r="I34" i="1118"/>
  <c r="I33" i="1118" s="1"/>
  <c r="D34" i="1118"/>
  <c r="G34" i="1118"/>
  <c r="F33" i="1118"/>
  <c r="D33" i="1118" s="1"/>
  <c r="D34" i="293"/>
  <c r="I34" i="300"/>
  <c r="G44" i="180"/>
  <c r="H44" i="180" s="1"/>
  <c r="AF33" i="309"/>
  <c r="AB156" i="1"/>
  <c r="I34" i="293"/>
  <c r="G34" i="1111"/>
  <c r="I34" i="1111"/>
  <c r="I33" i="1111" s="1"/>
  <c r="D34" i="1111"/>
  <c r="F33" i="1111"/>
  <c r="D33" i="1111" s="1"/>
  <c r="I34" i="1115"/>
  <c r="I33" i="1115" s="1"/>
  <c r="D34" i="1115"/>
  <c r="G34" i="1115"/>
  <c r="F33" i="1115"/>
  <c r="D33" i="1115" s="1"/>
  <c r="I34" i="1119"/>
  <c r="I33" i="1119" s="1"/>
  <c r="D34" i="1119"/>
  <c r="G34" i="1119"/>
  <c r="F33" i="1119"/>
  <c r="D33" i="1119" s="1"/>
  <c r="F17" i="1107"/>
  <c r="F35" i="1107"/>
  <c r="AF39" i="299"/>
  <c r="AE33" i="181"/>
  <c r="AF33" i="181" s="1"/>
  <c r="AF39" i="292"/>
  <c r="AI61" i="1"/>
  <c r="AI159" i="1" s="1"/>
  <c r="D34" i="302"/>
  <c r="D34" i="305"/>
  <c r="H25" i="184"/>
  <c r="F29" i="183"/>
  <c r="D29" i="183" s="1"/>
  <c r="F27" i="180"/>
  <c r="D27" i="180" s="1"/>
  <c r="D34" i="180"/>
  <c r="I34" i="309"/>
  <c r="AE39" i="183"/>
  <c r="AF39" i="183" s="1"/>
  <c r="G34" i="289"/>
  <c r="H34" i="289" s="1"/>
  <c r="G23" i="291"/>
  <c r="AF39" i="308"/>
  <c r="G34" i="300"/>
  <c r="H34" i="300" s="1"/>
  <c r="AB159" i="1"/>
  <c r="I15" i="1099"/>
  <c r="I18" i="1099" s="1"/>
  <c r="I77" i="1"/>
  <c r="G67" i="12"/>
  <c r="G68" i="12"/>
  <c r="G77" i="12" s="1"/>
  <c r="F66" i="12"/>
  <c r="F76" i="12" s="1"/>
  <c r="F81" i="12"/>
  <c r="F68" i="12"/>
  <c r="F77" i="12" s="1"/>
  <c r="F67" i="12"/>
  <c r="S80" i="12"/>
  <c r="S85" i="12" s="1"/>
  <c r="U79" i="12"/>
  <c r="R62" i="12"/>
  <c r="Q79" i="12"/>
  <c r="T79" i="12"/>
  <c r="G341" i="1103"/>
  <c r="N328" i="1103"/>
  <c r="G339" i="1103"/>
  <c r="G338" i="1103"/>
  <c r="G330" i="1103"/>
  <c r="G335" i="1103"/>
  <c r="G333" i="1103"/>
  <c r="G336" i="1103"/>
  <c r="G331" i="1103"/>
  <c r="G332" i="1103"/>
  <c r="G337" i="1103"/>
  <c r="G334" i="1103"/>
  <c r="H329" i="1103"/>
  <c r="G343" i="1103"/>
  <c r="G342" i="1103"/>
  <c r="J328" i="1103"/>
  <c r="G340" i="1103"/>
  <c r="R328" i="1103"/>
  <c r="A259" i="261"/>
  <c r="A140" i="261"/>
  <c r="O311" i="1103"/>
  <c r="Q311" i="1103"/>
  <c r="K311" i="1103"/>
  <c r="M311" i="1103"/>
  <c r="A362" i="1103"/>
  <c r="P312" i="1103"/>
  <c r="Q312" i="1103" s="1"/>
  <c r="H313" i="1103"/>
  <c r="L312" i="1103"/>
  <c r="M312" i="1103" s="1"/>
  <c r="T312" i="1103"/>
  <c r="U312" i="1103" s="1"/>
  <c r="U311" i="1103"/>
  <c r="S311" i="1103"/>
  <c r="G38" i="35"/>
  <c r="I23" i="306"/>
  <c r="D44" i="179"/>
  <c r="AF39" i="311"/>
  <c r="AE33" i="179"/>
  <c r="AF33" i="179" s="1"/>
  <c r="AF39" i="69"/>
  <c r="AF33" i="286"/>
  <c r="F23" i="286"/>
  <c r="D23" i="286" s="1"/>
  <c r="AF39" i="297"/>
  <c r="D21" i="306"/>
  <c r="F39" i="183"/>
  <c r="AF33" i="293"/>
  <c r="AF33" i="290"/>
  <c r="AI41" i="1"/>
  <c r="AI139" i="1" s="1"/>
  <c r="AB139" i="1"/>
  <c r="B40" i="10"/>
  <c r="B33" i="10"/>
  <c r="B21" i="10"/>
  <c r="B30" i="10"/>
  <c r="B38" i="10"/>
  <c r="O35" i="264"/>
  <c r="G34" i="291"/>
  <c r="H34" i="291" s="1"/>
  <c r="AF33" i="301"/>
  <c r="AF39" i="294"/>
  <c r="AF39" i="287"/>
  <c r="D34" i="292"/>
  <c r="I34" i="69"/>
  <c r="G34" i="296"/>
  <c r="H34" i="296" s="1"/>
  <c r="I34" i="295"/>
  <c r="F39" i="186"/>
  <c r="D39" i="186" s="1"/>
  <c r="AF39" i="290"/>
  <c r="AF39" i="309"/>
  <c r="AF33" i="310"/>
  <c r="AF33" i="294"/>
  <c r="D34" i="188"/>
  <c r="AF39" i="307"/>
  <c r="AF39" i="288"/>
  <c r="G25" i="293"/>
  <c r="D34" i="288"/>
  <c r="I34" i="301"/>
  <c r="G34" i="69"/>
  <c r="H34" i="69" s="1"/>
  <c r="G34" i="308"/>
  <c r="H34" i="308" s="1"/>
  <c r="G34" i="288"/>
  <c r="H34" i="288" s="1"/>
  <c r="G34" i="286"/>
  <c r="H34" i="286" s="1"/>
  <c r="AF41" i="306"/>
  <c r="D34" i="308"/>
  <c r="D34" i="301"/>
  <c r="D34" i="295"/>
  <c r="D34" i="312"/>
  <c r="AF33" i="306"/>
  <c r="I34" i="296"/>
  <c r="G23" i="308"/>
  <c r="I25" i="308" s="1"/>
  <c r="AF33" i="312"/>
  <c r="AI58" i="1"/>
  <c r="AI156" i="1" s="1"/>
  <c r="H24" i="183"/>
  <c r="H25" i="183"/>
  <c r="AI45" i="1"/>
  <c r="AI143" i="1" s="1"/>
  <c r="O45" i="1"/>
  <c r="D34" i="289"/>
  <c r="G34" i="35"/>
  <c r="AB180" i="1"/>
  <c r="O82" i="1"/>
  <c r="G34" i="287"/>
  <c r="H34" i="287" s="1"/>
  <c r="F33" i="182"/>
  <c r="D33" i="182" s="1"/>
  <c r="D44" i="181"/>
  <c r="F39" i="187"/>
  <c r="D39" i="187" s="1"/>
  <c r="G34" i="309"/>
  <c r="H34" i="309" s="1"/>
  <c r="AI69" i="1"/>
  <c r="AI167" i="1" s="1"/>
  <c r="O69" i="1"/>
  <c r="AB164" i="1"/>
  <c r="O66" i="1"/>
  <c r="AE41" i="183"/>
  <c r="AF41" i="183" s="1"/>
  <c r="AF33" i="298"/>
  <c r="AI63" i="1"/>
  <c r="AI161" i="1" s="1"/>
  <c r="O63" i="1"/>
  <c r="AE33" i="184"/>
  <c r="AF33" i="184" s="1"/>
  <c r="AF33" i="299"/>
  <c r="G34" i="304"/>
  <c r="H34" i="304" s="1"/>
  <c r="AB185" i="1"/>
  <c r="O87" i="1"/>
  <c r="AB183" i="1"/>
  <c r="O85" i="1"/>
  <c r="H24" i="310"/>
  <c r="G23" i="307"/>
  <c r="I25" i="307" s="1"/>
  <c r="F23" i="308"/>
  <c r="D23" i="308" s="1"/>
  <c r="J97" i="39"/>
  <c r="I97" i="39" s="1"/>
  <c r="K97" i="39" s="1"/>
  <c r="I23" i="294"/>
  <c r="G23" i="297"/>
  <c r="F27" i="181"/>
  <c r="D27" i="181" s="1"/>
  <c r="AI74" i="1"/>
  <c r="AI172" i="1" s="1"/>
  <c r="O74" i="1"/>
  <c r="AB160" i="1"/>
  <c r="O62" i="1"/>
  <c r="AF33" i="69"/>
  <c r="C18" i="313"/>
  <c r="D18" i="313" s="1"/>
  <c r="G23" i="10"/>
  <c r="E31" i="35" s="1"/>
  <c r="AR23" i="10"/>
  <c r="C18" i="264"/>
  <c r="D18" i="264" s="1"/>
  <c r="H23" i="10"/>
  <c r="E34" i="1106" s="1"/>
  <c r="B29" i="10"/>
  <c r="B22" i="10"/>
  <c r="F33" i="185"/>
  <c r="D33" i="185" s="1"/>
  <c r="G34" i="182"/>
  <c r="H34" i="182" s="1"/>
  <c r="D34" i="182"/>
  <c r="F29" i="186"/>
  <c r="D29" i="186" s="1"/>
  <c r="K131" i="39"/>
  <c r="F36" i="187"/>
  <c r="F56" i="187" s="1"/>
  <c r="D56" i="187" s="1"/>
  <c r="F29" i="296"/>
  <c r="D29" i="296" s="1"/>
  <c r="D137" i="39"/>
  <c r="D138" i="39" s="1"/>
  <c r="F17" i="313"/>
  <c r="F35" i="264"/>
  <c r="F17" i="264"/>
  <c r="B18" i="9"/>
  <c r="K24" i="10" s="1"/>
  <c r="G35" i="1106" s="1"/>
  <c r="K23" i="10"/>
  <c r="G34" i="1106" s="1"/>
  <c r="J32" i="9"/>
  <c r="F39" i="289"/>
  <c r="D39" i="289" s="1"/>
  <c r="AE39" i="180"/>
  <c r="AF39" i="180" s="1"/>
  <c r="H24" i="69"/>
  <c r="H24" i="185"/>
  <c r="AF39" i="302"/>
  <c r="AF33" i="304"/>
  <c r="I25" i="287"/>
  <c r="H25" i="182"/>
  <c r="H25" i="294"/>
  <c r="D23" i="294"/>
  <c r="AI62" i="1"/>
  <c r="AI160" i="1" s="1"/>
  <c r="AE33" i="188"/>
  <c r="AF33" i="188" s="1"/>
  <c r="Y17" i="264"/>
  <c r="T17" i="264" s="1"/>
  <c r="L35" i="264"/>
  <c r="Y35" i="264" s="1"/>
  <c r="T35" i="264" s="1"/>
  <c r="D21" i="183"/>
  <c r="F23" i="183"/>
  <c r="AB154" i="1"/>
  <c r="AI56" i="1"/>
  <c r="AI154" i="1" s="1"/>
  <c r="AE39" i="182"/>
  <c r="AF39" i="182" s="1"/>
  <c r="AF41" i="307"/>
  <c r="I25" i="300"/>
  <c r="I21" i="310"/>
  <c r="D21" i="294"/>
  <c r="AB161" i="1"/>
  <c r="G23" i="295"/>
  <c r="G25" i="295" s="1"/>
  <c r="F36" i="183"/>
  <c r="D36" i="183" s="1"/>
  <c r="AI87" i="1"/>
  <c r="AI185" i="1" s="1"/>
  <c r="B26" i="10"/>
  <c r="B34" i="10"/>
  <c r="G44" i="184"/>
  <c r="H44" i="184" s="1"/>
  <c r="F39" i="312"/>
  <c r="D39" i="312" s="1"/>
  <c r="F33" i="187"/>
  <c r="D33" i="187" s="1"/>
  <c r="F27" i="179"/>
  <c r="D27" i="179" s="1"/>
  <c r="AF33" i="307"/>
  <c r="AF39" i="289"/>
  <c r="G34" i="294"/>
  <c r="H34" i="294" s="1"/>
  <c r="D27" i="187"/>
  <c r="AE39" i="185"/>
  <c r="AF39" i="185" s="1"/>
  <c r="D27" i="186"/>
  <c r="F23" i="179"/>
  <c r="D21" i="179"/>
  <c r="AB177" i="1"/>
  <c r="AI79" i="1"/>
  <c r="AI177" i="1" s="1"/>
  <c r="AF41" i="286"/>
  <c r="F36" i="186"/>
  <c r="D36" i="186" s="1"/>
  <c r="F29" i="187"/>
  <c r="D29" i="187" s="1"/>
  <c r="I25" i="305"/>
  <c r="F33" i="183"/>
  <c r="D33" i="183" s="1"/>
  <c r="I34" i="294"/>
  <c r="G18" i="1099"/>
  <c r="D44" i="187"/>
  <c r="F39" i="182"/>
  <c r="D39" i="182" s="1"/>
  <c r="D21" i="181"/>
  <c r="F23" i="181"/>
  <c r="AF39" i="304"/>
  <c r="D21" i="307"/>
  <c r="AF39" i="305"/>
  <c r="AF39" i="301"/>
  <c r="F29" i="185"/>
  <c r="D29" i="185" s="1"/>
  <c r="C135" i="39"/>
  <c r="E135" i="39" s="1"/>
  <c r="G23" i="303"/>
  <c r="I25" i="303" s="1"/>
  <c r="D27" i="182"/>
  <c r="G44" i="187"/>
  <c r="H44" i="187" s="1"/>
  <c r="F39" i="292"/>
  <c r="D39" i="292" s="1"/>
  <c r="AB162" i="1"/>
  <c r="AI64" i="1"/>
  <c r="AI162" i="1" s="1"/>
  <c r="AB157" i="1"/>
  <c r="AI59" i="1"/>
  <c r="AI157" i="1" s="1"/>
  <c r="F33" i="184"/>
  <c r="D33" i="184" s="1"/>
  <c r="F36" i="184"/>
  <c r="D36" i="184" s="1"/>
  <c r="F29" i="184"/>
  <c r="D29" i="184" s="1"/>
  <c r="D27" i="184"/>
  <c r="AI46" i="1"/>
  <c r="AI144" i="1" s="1"/>
  <c r="AB144" i="1"/>
  <c r="F29" i="299"/>
  <c r="D29" i="299" s="1"/>
  <c r="G23" i="301"/>
  <c r="H25" i="306"/>
  <c r="H25" i="186"/>
  <c r="F25" i="290"/>
  <c r="D25" i="290" s="1"/>
  <c r="F23" i="299"/>
  <c r="F25" i="299" s="1"/>
  <c r="D25" i="299" s="1"/>
  <c r="F29" i="182"/>
  <c r="D29" i="182" s="1"/>
  <c r="G34" i="290"/>
  <c r="H34" i="290" s="1"/>
  <c r="D44" i="184"/>
  <c r="I34" i="299"/>
  <c r="G34" i="299"/>
  <c r="H34" i="299" s="1"/>
  <c r="G34" i="183"/>
  <c r="H34" i="183" s="1"/>
  <c r="D34" i="183"/>
  <c r="AI40" i="1"/>
  <c r="AI138" i="1" s="1"/>
  <c r="AB138" i="1"/>
  <c r="I34" i="303"/>
  <c r="G34" i="303"/>
  <c r="H34" i="303" s="1"/>
  <c r="AI49" i="1"/>
  <c r="AI147" i="1" s="1"/>
  <c r="AB147" i="1"/>
  <c r="D21" i="295"/>
  <c r="F36" i="289"/>
  <c r="D36" i="289" s="1"/>
  <c r="D34" i="307"/>
  <c r="G34" i="307"/>
  <c r="H34" i="307" s="1"/>
  <c r="D21" i="69"/>
  <c r="I23" i="69"/>
  <c r="G34" i="186"/>
  <c r="H34" i="186" s="1"/>
  <c r="D34" i="186"/>
  <c r="D23" i="186"/>
  <c r="F25" i="186"/>
  <c r="D25" i="186" s="1"/>
  <c r="F33" i="186"/>
  <c r="D33" i="186" s="1"/>
  <c r="H25" i="290"/>
  <c r="F36" i="182"/>
  <c r="F56" i="182" s="1"/>
  <c r="D56" i="182" s="1"/>
  <c r="F23" i="310"/>
  <c r="D23" i="310" s="1"/>
  <c r="F23" i="288"/>
  <c r="F25" i="288" s="1"/>
  <c r="D25" i="288" s="1"/>
  <c r="D21" i="291"/>
  <c r="F39" i="311"/>
  <c r="D39" i="311" s="1"/>
  <c r="D21" i="299"/>
  <c r="I27" i="296"/>
  <c r="F23" i="69"/>
  <c r="F25" i="69" s="1"/>
  <c r="D25" i="69" s="1"/>
  <c r="D34" i="290"/>
  <c r="AI44" i="1"/>
  <c r="AI142" i="1" s="1"/>
  <c r="AB142" i="1"/>
  <c r="G34" i="185"/>
  <c r="H34" i="185" s="1"/>
  <c r="D34" i="185"/>
  <c r="AI26" i="1"/>
  <c r="AI124" i="1" s="1"/>
  <c r="AB124" i="1"/>
  <c r="AR24" i="10"/>
  <c r="AQ24" i="10"/>
  <c r="B24" i="10"/>
  <c r="B28" i="10"/>
  <c r="B32" i="10"/>
  <c r="B36" i="10"/>
  <c r="B39" i="10"/>
  <c r="N34" i="264"/>
  <c r="AA34" i="264" s="1"/>
  <c r="V34" i="264" s="1"/>
  <c r="AA16" i="264"/>
  <c r="V16" i="264" s="1"/>
  <c r="R16" i="264"/>
  <c r="L34" i="264"/>
  <c r="Y34" i="264" s="1"/>
  <c r="T34" i="264" s="1"/>
  <c r="P16" i="264"/>
  <c r="R71" i="12"/>
  <c r="V85" i="12"/>
  <c r="I71" i="12"/>
  <c r="F80" i="12"/>
  <c r="F63" i="12"/>
  <c r="F75" i="12" s="1"/>
  <c r="V63" i="12"/>
  <c r="V75" i="12" s="1"/>
  <c r="R82" i="12"/>
  <c r="Q82" i="12"/>
  <c r="M65" i="11"/>
  <c r="L66" i="11"/>
  <c r="M66" i="11" s="1"/>
  <c r="I82" i="12"/>
  <c r="U80" i="12"/>
  <c r="U81" i="12"/>
  <c r="U64" i="12"/>
  <c r="V48" i="39"/>
  <c r="V51" i="39"/>
  <c r="V55" i="39"/>
  <c r="V59" i="39"/>
  <c r="R65" i="39"/>
  <c r="S65" i="39"/>
  <c r="T65" i="39"/>
  <c r="F42" i="38"/>
  <c r="D58" i="289"/>
  <c r="G58" i="289"/>
  <c r="H58" i="289" s="1"/>
  <c r="I58" i="289"/>
  <c r="I45" i="69"/>
  <c r="G45" i="69"/>
  <c r="H45" i="69" s="1"/>
  <c r="H27" i="69" s="1"/>
  <c r="H36" i="69" s="1"/>
  <c r="H56" i="69" s="1"/>
  <c r="D45" i="69"/>
  <c r="G45" i="182"/>
  <c r="H45" i="182" s="1"/>
  <c r="H27" i="182" s="1"/>
  <c r="D45" i="182"/>
  <c r="G45" i="184"/>
  <c r="H45" i="184" s="1"/>
  <c r="H27" i="184" s="1"/>
  <c r="D45" i="184"/>
  <c r="G45" i="186"/>
  <c r="H45" i="186" s="1"/>
  <c r="H27" i="186" s="1"/>
  <c r="H36" i="186" s="1"/>
  <c r="D45" i="186"/>
  <c r="G44" i="188"/>
  <c r="H44" i="188" s="1"/>
  <c r="D44" i="188"/>
  <c r="G45" i="188"/>
  <c r="H45" i="188" s="1"/>
  <c r="H27" i="188" s="1"/>
  <c r="D45" i="188"/>
  <c r="G45" i="288"/>
  <c r="H45" i="288" s="1"/>
  <c r="I45" i="288"/>
  <c r="D45" i="288"/>
  <c r="G58" i="307"/>
  <c r="H58" i="307" s="1"/>
  <c r="I58" i="307"/>
  <c r="D58" i="307"/>
  <c r="I58" i="303"/>
  <c r="D58" i="303"/>
  <c r="G58" i="303"/>
  <c r="H58" i="303" s="1"/>
  <c r="I58" i="299"/>
  <c r="D58" i="299"/>
  <c r="G58" i="299"/>
  <c r="H58" i="299" s="1"/>
  <c r="I58" i="312"/>
  <c r="D58" i="312"/>
  <c r="G58" i="312"/>
  <c r="H58" i="312" s="1"/>
  <c r="I58" i="310"/>
  <c r="D58" i="310"/>
  <c r="G58" i="310"/>
  <c r="H58" i="310" s="1"/>
  <c r="I58" i="308"/>
  <c r="D58" i="308"/>
  <c r="G58" i="308"/>
  <c r="H58" i="308" s="1"/>
  <c r="I45" i="305"/>
  <c r="D45" i="305"/>
  <c r="G45" i="305"/>
  <c r="H45" i="305" s="1"/>
  <c r="H27" i="305" s="1"/>
  <c r="G45" i="300"/>
  <c r="H45" i="300" s="1"/>
  <c r="H27" i="300" s="1"/>
  <c r="D45" i="300"/>
  <c r="I45" i="300"/>
  <c r="I58" i="295"/>
  <c r="G58" i="295"/>
  <c r="H58" i="295" s="1"/>
  <c r="D58" i="295"/>
  <c r="I45" i="290"/>
  <c r="D45" i="290"/>
  <c r="G45" i="290"/>
  <c r="H45" i="290" s="1"/>
  <c r="H27" i="290" s="1"/>
  <c r="I58" i="294"/>
  <c r="G58" i="294"/>
  <c r="H58" i="294" s="1"/>
  <c r="D58" i="294"/>
  <c r="G58" i="292"/>
  <c r="H58" i="292" s="1"/>
  <c r="I58" i="292"/>
  <c r="D58" i="292"/>
  <c r="G44" i="286"/>
  <c r="H44" i="286" s="1"/>
  <c r="D44" i="286"/>
  <c r="I44" i="286"/>
  <c r="I27" i="286" s="1"/>
  <c r="I58" i="287"/>
  <c r="G58" i="287"/>
  <c r="H58" i="287" s="1"/>
  <c r="D58" i="287"/>
  <c r="I44" i="289"/>
  <c r="I27" i="289" s="1"/>
  <c r="G44" i="289"/>
  <c r="H44" i="289" s="1"/>
  <c r="D44" i="289"/>
  <c r="G45" i="179"/>
  <c r="H45" i="179" s="1"/>
  <c r="H27" i="179" s="1"/>
  <c r="D45" i="179"/>
  <c r="G45" i="180"/>
  <c r="H45" i="180" s="1"/>
  <c r="H27" i="180" s="1"/>
  <c r="D45" i="180"/>
  <c r="G45" i="181"/>
  <c r="H45" i="181" s="1"/>
  <c r="H27" i="181" s="1"/>
  <c r="D45" i="181"/>
  <c r="G45" i="183"/>
  <c r="H45" i="183" s="1"/>
  <c r="H27" i="183" s="1"/>
  <c r="D45" i="183"/>
  <c r="G45" i="185"/>
  <c r="H45" i="185" s="1"/>
  <c r="H27" i="185" s="1"/>
  <c r="H31" i="185" s="1"/>
  <c r="D45" i="185"/>
  <c r="G45" i="187"/>
  <c r="H45" i="187" s="1"/>
  <c r="H27" i="187" s="1"/>
  <c r="H33" i="187" s="1"/>
  <c r="D45" i="187"/>
  <c r="G44" i="306"/>
  <c r="H44" i="306" s="1"/>
  <c r="D44" i="306"/>
  <c r="I44" i="306"/>
  <c r="I27" i="306" s="1"/>
  <c r="I44" i="302"/>
  <c r="I27" i="302" s="1"/>
  <c r="G44" i="302"/>
  <c r="H44" i="302" s="1"/>
  <c r="D44" i="302"/>
  <c r="I44" i="298"/>
  <c r="I27" i="298" s="1"/>
  <c r="G44" i="298"/>
  <c r="H44" i="298" s="1"/>
  <c r="D44" i="298"/>
  <c r="I44" i="305"/>
  <c r="I27" i="305" s="1"/>
  <c r="G44" i="305"/>
  <c r="H44" i="305" s="1"/>
  <c r="D44" i="305"/>
  <c r="G44" i="301"/>
  <c r="H44" i="301" s="1"/>
  <c r="D44" i="301"/>
  <c r="I44" i="301"/>
  <c r="I27" i="301" s="1"/>
  <c r="I44" i="288"/>
  <c r="I27" i="288" s="1"/>
  <c r="G44" i="288"/>
  <c r="H44" i="288" s="1"/>
  <c r="D44" i="288"/>
  <c r="I45" i="304"/>
  <c r="D45" i="304"/>
  <c r="G45" i="304"/>
  <c r="H45" i="304" s="1"/>
  <c r="H27" i="304" s="1"/>
  <c r="I45" i="301"/>
  <c r="D45" i="301"/>
  <c r="G45" i="301"/>
  <c r="H45" i="301" s="1"/>
  <c r="I45" i="297"/>
  <c r="D45" i="297"/>
  <c r="G45" i="297"/>
  <c r="H45" i="297" s="1"/>
  <c r="H27" i="297" s="1"/>
  <c r="I58" i="311"/>
  <c r="D58" i="311"/>
  <c r="G58" i="311"/>
  <c r="H58" i="311" s="1"/>
  <c r="I45" i="309"/>
  <c r="D45" i="309"/>
  <c r="G45" i="309"/>
  <c r="H45" i="309" s="1"/>
  <c r="H27" i="309" s="1"/>
  <c r="I58" i="306"/>
  <c r="D58" i="306"/>
  <c r="G58" i="306"/>
  <c r="H58" i="306" s="1"/>
  <c r="I58" i="302"/>
  <c r="D58" i="302"/>
  <c r="G58" i="302"/>
  <c r="H58" i="302" s="1"/>
  <c r="I45" i="298"/>
  <c r="D45" i="298"/>
  <c r="G45" i="298"/>
  <c r="H45" i="298" s="1"/>
  <c r="H27" i="298" s="1"/>
  <c r="G45" i="291"/>
  <c r="H45" i="291" s="1"/>
  <c r="H27" i="291" s="1"/>
  <c r="I45" i="291"/>
  <c r="D45" i="291"/>
  <c r="I45" i="296"/>
  <c r="D45" i="296"/>
  <c r="G45" i="296"/>
  <c r="H45" i="296" s="1"/>
  <c r="H27" i="296" s="1"/>
  <c r="I58" i="293"/>
  <c r="G58" i="293"/>
  <c r="H58" i="293" s="1"/>
  <c r="D58" i="293"/>
  <c r="I58" i="286"/>
  <c r="D58" i="286"/>
  <c r="G58" i="286"/>
  <c r="H58" i="286" s="1"/>
  <c r="I44" i="287"/>
  <c r="I27" i="287" s="1"/>
  <c r="G44" i="287"/>
  <c r="H44" i="287" s="1"/>
  <c r="D44" i="287"/>
  <c r="I45" i="289"/>
  <c r="D45" i="289"/>
  <c r="G45" i="289"/>
  <c r="H45" i="289" s="1"/>
  <c r="H27" i="289" s="1"/>
  <c r="G44" i="69"/>
  <c r="H44" i="69" s="1"/>
  <c r="D44" i="69"/>
  <c r="I44" i="69"/>
  <c r="I27" i="69" s="1"/>
  <c r="I58" i="69"/>
  <c r="D58" i="69"/>
  <c r="G58" i="69"/>
  <c r="H58" i="69" s="1"/>
  <c r="G58" i="182"/>
  <c r="H58" i="182" s="1"/>
  <c r="H39" i="182" s="1"/>
  <c r="H57" i="182" s="1"/>
  <c r="D58" i="182"/>
  <c r="G58" i="184"/>
  <c r="H58" i="184" s="1"/>
  <c r="D58" i="184"/>
  <c r="G58" i="186"/>
  <c r="H58" i="186" s="1"/>
  <c r="H39" i="186" s="1"/>
  <c r="D58" i="186"/>
  <c r="G58" i="188"/>
  <c r="H58" i="188" s="1"/>
  <c r="D58" i="188"/>
  <c r="F39" i="184"/>
  <c r="I44" i="300"/>
  <c r="G44" i="300"/>
  <c r="H44" i="300" s="1"/>
  <c r="D44" i="300"/>
  <c r="I44" i="297"/>
  <c r="I27" i="297" s="1"/>
  <c r="G44" i="297"/>
  <c r="H44" i="297" s="1"/>
  <c r="D44" i="297"/>
  <c r="G44" i="311"/>
  <c r="H44" i="311" s="1"/>
  <c r="D44" i="311"/>
  <c r="I44" i="311"/>
  <c r="I27" i="311" s="1"/>
  <c r="I44" i="304"/>
  <c r="I27" i="304" s="1"/>
  <c r="G44" i="304"/>
  <c r="H44" i="304" s="1"/>
  <c r="D44" i="304"/>
  <c r="I44" i="291"/>
  <c r="I27" i="291" s="1"/>
  <c r="G44" i="291"/>
  <c r="H44" i="291" s="1"/>
  <c r="D44" i="291"/>
  <c r="I44" i="295"/>
  <c r="I27" i="295" s="1"/>
  <c r="G44" i="295"/>
  <c r="H44" i="295" s="1"/>
  <c r="D44" i="295"/>
  <c r="I58" i="288"/>
  <c r="D58" i="288"/>
  <c r="G58" i="288"/>
  <c r="H58" i="288" s="1"/>
  <c r="I45" i="307"/>
  <c r="D45" i="307"/>
  <c r="G45" i="307"/>
  <c r="H45" i="307" s="1"/>
  <c r="H27" i="307" s="1"/>
  <c r="H31" i="307" s="1"/>
  <c r="I45" i="303"/>
  <c r="D45" i="303"/>
  <c r="G45" i="303"/>
  <c r="H45" i="303" s="1"/>
  <c r="H27" i="303" s="1"/>
  <c r="I45" i="299"/>
  <c r="D45" i="299"/>
  <c r="G45" i="299"/>
  <c r="H45" i="299" s="1"/>
  <c r="H27" i="299" s="1"/>
  <c r="I45" i="312"/>
  <c r="D45" i="312"/>
  <c r="G45" i="312"/>
  <c r="H45" i="312" s="1"/>
  <c r="H27" i="312" s="1"/>
  <c r="I45" i="310"/>
  <c r="D45" i="310"/>
  <c r="G45" i="310"/>
  <c r="H45" i="310" s="1"/>
  <c r="H27" i="310" s="1"/>
  <c r="I45" i="308"/>
  <c r="D45" i="308"/>
  <c r="G45" i="308"/>
  <c r="H45" i="308" s="1"/>
  <c r="H27" i="308" s="1"/>
  <c r="I58" i="305"/>
  <c r="D58" i="305"/>
  <c r="G58" i="305"/>
  <c r="H58" i="305" s="1"/>
  <c r="I58" i="300"/>
  <c r="D58" i="300"/>
  <c r="G58" i="300"/>
  <c r="H58" i="300" s="1"/>
  <c r="I45" i="295"/>
  <c r="G45" i="295"/>
  <c r="H45" i="295" s="1"/>
  <c r="D45" i="295"/>
  <c r="I58" i="290"/>
  <c r="G58" i="290"/>
  <c r="H58" i="290" s="1"/>
  <c r="D58" i="290"/>
  <c r="I45" i="294"/>
  <c r="D45" i="294"/>
  <c r="G45" i="294"/>
  <c r="H45" i="294" s="1"/>
  <c r="H27" i="294" s="1"/>
  <c r="I45" i="292"/>
  <c r="D45" i="292"/>
  <c r="G45" i="292"/>
  <c r="H45" i="292" s="1"/>
  <c r="H27" i="292" s="1"/>
  <c r="I45" i="287"/>
  <c r="D45" i="287"/>
  <c r="G45" i="287"/>
  <c r="H45" i="287" s="1"/>
  <c r="G58" i="179"/>
  <c r="H58" i="179" s="1"/>
  <c r="D58" i="179"/>
  <c r="G58" i="180"/>
  <c r="H58" i="180" s="1"/>
  <c r="D58" i="180"/>
  <c r="G58" i="181"/>
  <c r="H58" i="181" s="1"/>
  <c r="D58" i="181"/>
  <c r="G58" i="183"/>
  <c r="H58" i="183" s="1"/>
  <c r="D58" i="183"/>
  <c r="G58" i="185"/>
  <c r="H58" i="185" s="1"/>
  <c r="D58" i="185"/>
  <c r="F39" i="185"/>
  <c r="D58" i="187"/>
  <c r="G58" i="187"/>
  <c r="H58" i="187" s="1"/>
  <c r="G44" i="310"/>
  <c r="H44" i="310" s="1"/>
  <c r="D44" i="310"/>
  <c r="I44" i="310"/>
  <c r="I27" i="310" s="1"/>
  <c r="G44" i="292"/>
  <c r="H44" i="292" s="1"/>
  <c r="D44" i="292"/>
  <c r="I44" i="292"/>
  <c r="I27" i="292" s="1"/>
  <c r="I44" i="290"/>
  <c r="I27" i="290" s="1"/>
  <c r="G44" i="290"/>
  <c r="H44" i="290" s="1"/>
  <c r="D44" i="290"/>
  <c r="I58" i="304"/>
  <c r="D58" i="304"/>
  <c r="G58" i="304"/>
  <c r="H58" i="304" s="1"/>
  <c r="I58" i="301"/>
  <c r="G58" i="301"/>
  <c r="H58" i="301" s="1"/>
  <c r="D58" i="301"/>
  <c r="I58" i="297"/>
  <c r="G58" i="297"/>
  <c r="H58" i="297" s="1"/>
  <c r="D58" i="297"/>
  <c r="I45" i="311"/>
  <c r="D45" i="311"/>
  <c r="G45" i="311"/>
  <c r="H45" i="311" s="1"/>
  <c r="H27" i="311" s="1"/>
  <c r="I58" i="309"/>
  <c r="D58" i="309"/>
  <c r="G58" i="309"/>
  <c r="H58" i="309" s="1"/>
  <c r="G45" i="306"/>
  <c r="H45" i="306" s="1"/>
  <c r="H27" i="306" s="1"/>
  <c r="H33" i="306" s="1"/>
  <c r="I45" i="306"/>
  <c r="D45" i="306"/>
  <c r="I45" i="302"/>
  <c r="D45" i="302"/>
  <c r="G45" i="302"/>
  <c r="H45" i="302" s="1"/>
  <c r="H27" i="302" s="1"/>
  <c r="I58" i="298"/>
  <c r="D58" i="298"/>
  <c r="G58" i="298"/>
  <c r="H58" i="298" s="1"/>
  <c r="I58" i="291"/>
  <c r="G58" i="291"/>
  <c r="H58" i="291" s="1"/>
  <c r="D58" i="291"/>
  <c r="G58" i="296"/>
  <c r="H58" i="296" s="1"/>
  <c r="I58" i="296"/>
  <c r="D58" i="296"/>
  <c r="I45" i="293"/>
  <c r="D45" i="293"/>
  <c r="G45" i="293"/>
  <c r="H45" i="293" s="1"/>
  <c r="H27" i="293" s="1"/>
  <c r="I45" i="286"/>
  <c r="D45" i="286"/>
  <c r="G45" i="286"/>
  <c r="H45" i="286" s="1"/>
  <c r="H27" i="286" s="1"/>
  <c r="A6" i="185"/>
  <c r="A6" i="188"/>
  <c r="I53" i="286"/>
  <c r="I53" i="69"/>
  <c r="E25" i="10"/>
  <c r="J38" i="264" s="1"/>
  <c r="M19" i="264"/>
  <c r="Q19" i="264" s="1"/>
  <c r="H19" i="264"/>
  <c r="H24" i="301"/>
  <c r="J37" i="264"/>
  <c r="K19" i="264"/>
  <c r="X19" i="264" s="1"/>
  <c r="S19" i="264" s="1"/>
  <c r="B23" i="10"/>
  <c r="B27" i="10"/>
  <c r="B31" i="10"/>
  <c r="B35" i="10"/>
  <c r="I19" i="313"/>
  <c r="G19" i="313"/>
  <c r="K18" i="264"/>
  <c r="O18" i="264" s="1"/>
  <c r="M18" i="264"/>
  <c r="Q18" i="264" s="1"/>
  <c r="Y31" i="35"/>
  <c r="BC23" i="10"/>
  <c r="AG23" i="10" s="1"/>
  <c r="AK23" i="10" s="1"/>
  <c r="BE23" i="10"/>
  <c r="AI23" i="10" s="1"/>
  <c r="AM23" i="10" s="1"/>
  <c r="I18" i="264"/>
  <c r="L18" i="264"/>
  <c r="P18" i="264" s="1"/>
  <c r="N18" i="264"/>
  <c r="H36" i="264"/>
  <c r="X31" i="35"/>
  <c r="BB23" i="10"/>
  <c r="AF23" i="10" s="1"/>
  <c r="AJ23" i="10" s="1"/>
  <c r="BD23" i="10"/>
  <c r="AH23" i="10" s="1"/>
  <c r="AL23" i="10" s="1"/>
  <c r="J31" i="35"/>
  <c r="I31" i="35"/>
  <c r="H31" i="35"/>
  <c r="K31" i="35"/>
  <c r="D31" i="35"/>
  <c r="Q31" i="35" s="1"/>
  <c r="G18" i="264"/>
  <c r="J36" i="264"/>
  <c r="G121" i="39"/>
  <c r="G64" i="12"/>
  <c r="G81" i="12"/>
  <c r="G66" i="12"/>
  <c r="G76" i="12" s="1"/>
  <c r="AD38" i="13"/>
  <c r="AF38" i="13"/>
  <c r="AH38" i="13"/>
  <c r="B123" i="1"/>
  <c r="B26" i="1"/>
  <c r="C19" i="313"/>
  <c r="D19" i="313" s="1"/>
  <c r="H19" i="313"/>
  <c r="C19" i="264"/>
  <c r="D19" i="264" s="1"/>
  <c r="C37" i="264"/>
  <c r="D37" i="264" s="1"/>
  <c r="T43" i="13"/>
  <c r="R43" i="13"/>
  <c r="S43" i="13"/>
  <c r="G80" i="12"/>
  <c r="G63" i="12"/>
  <c r="G75" i="12" s="1"/>
  <c r="AG38" i="13"/>
  <c r="AE38" i="13"/>
  <c r="G36" i="264"/>
  <c r="A73" i="262"/>
  <c r="F39" i="288"/>
  <c r="D39" i="288" s="1"/>
  <c r="D27" i="288"/>
  <c r="F29" i="312"/>
  <c r="D29" i="312" s="1"/>
  <c r="I27" i="307"/>
  <c r="O10" i="8"/>
  <c r="Y10" i="8" s="1"/>
  <c r="AA10" i="8" s="1"/>
  <c r="O14" i="8"/>
  <c r="Y14" i="8" s="1"/>
  <c r="AA14" i="8" s="1"/>
  <c r="B87" i="262"/>
  <c r="I27" i="309"/>
  <c r="H25" i="181"/>
  <c r="F27" i="307"/>
  <c r="F39" i="307" s="1"/>
  <c r="G23" i="296"/>
  <c r="I25" i="296" s="1"/>
  <c r="F36" i="298"/>
  <c r="D36" i="298" s="1"/>
  <c r="A6" i="294"/>
  <c r="R39" i="1103"/>
  <c r="N39" i="1103"/>
  <c r="A6" i="309"/>
  <c r="J39" i="1103"/>
  <c r="G43" i="35"/>
  <c r="G23" i="289"/>
  <c r="H25" i="312"/>
  <c r="I23" i="310"/>
  <c r="I25" i="290"/>
  <c r="J116" i="39"/>
  <c r="I116" i="39" s="1"/>
  <c r="K116" i="39" s="1"/>
  <c r="I23" i="305"/>
  <c r="F29" i="294"/>
  <c r="D29" i="294" s="1"/>
  <c r="F29" i="289"/>
  <c r="D29" i="289" s="1"/>
  <c r="H24" i="297"/>
  <c r="H25" i="311"/>
  <c r="G25" i="286"/>
  <c r="D21" i="288"/>
  <c r="F23" i="311"/>
  <c r="D23" i="311" s="1"/>
  <c r="H25" i="180"/>
  <c r="I27" i="312"/>
  <c r="G23" i="294"/>
  <c r="I25" i="294" s="1"/>
  <c r="D21" i="311"/>
  <c r="G29" i="35"/>
  <c r="I27" i="294"/>
  <c r="R35" i="264"/>
  <c r="Q35" i="264"/>
  <c r="H24" i="309"/>
  <c r="H25" i="309"/>
  <c r="F36" i="301"/>
  <c r="D36" i="301" s="1"/>
  <c r="F25" i="306"/>
  <c r="D25" i="306" s="1"/>
  <c r="G23" i="299"/>
  <c r="G25" i="299" s="1"/>
  <c r="F27" i="290"/>
  <c r="F33" i="290" s="1"/>
  <c r="D33" i="290" s="1"/>
  <c r="I27" i="299"/>
  <c r="D21" i="290"/>
  <c r="F25" i="302"/>
  <c r="D25" i="302" s="1"/>
  <c r="F33" i="296"/>
  <c r="D33" i="296" s="1"/>
  <c r="F36" i="296"/>
  <c r="F56" i="296" s="1"/>
  <c r="D56" i="296" s="1"/>
  <c r="D21" i="305"/>
  <c r="I23" i="291"/>
  <c r="A6" i="311"/>
  <c r="F25" i="291"/>
  <c r="D25" i="291" s="1"/>
  <c r="A6" i="295"/>
  <c r="F39" i="188"/>
  <c r="F57" i="188" s="1"/>
  <c r="D57" i="188" s="1"/>
  <c r="F29" i="309"/>
  <c r="D29" i="309" s="1"/>
  <c r="G30" i="35"/>
  <c r="H24" i="299"/>
  <c r="H25" i="299"/>
  <c r="D27" i="297"/>
  <c r="F29" i="297"/>
  <c r="D29" i="297" s="1"/>
  <c r="F33" i="297"/>
  <c r="D33" i="297" s="1"/>
  <c r="G36" i="35"/>
  <c r="G42" i="35"/>
  <c r="G37" i="35"/>
  <c r="F27" i="308"/>
  <c r="F29" i="308" s="1"/>
  <c r="D29" i="308" s="1"/>
  <c r="G23" i="306"/>
  <c r="I25" i="306" s="1"/>
  <c r="F25" i="307"/>
  <c r="D25" i="307" s="1"/>
  <c r="H25" i="289"/>
  <c r="I25" i="309"/>
  <c r="F39" i="294"/>
  <c r="F57" i="294" s="1"/>
  <c r="D57" i="294" s="1"/>
  <c r="F39" i="309"/>
  <c r="I23" i="295"/>
  <c r="F39" i="299"/>
  <c r="D21" i="308"/>
  <c r="F33" i="299"/>
  <c r="D33" i="299" s="1"/>
  <c r="I23" i="286"/>
  <c r="I23" i="307"/>
  <c r="F36" i="299"/>
  <c r="F36" i="294"/>
  <c r="F56" i="294" s="1"/>
  <c r="D56" i="294" s="1"/>
  <c r="F33" i="294"/>
  <c r="D33" i="294" s="1"/>
  <c r="D27" i="289"/>
  <c r="F33" i="289"/>
  <c r="D33" i="289" s="1"/>
  <c r="I23" i="312"/>
  <c r="I27" i="293"/>
  <c r="I17" i="1099"/>
  <c r="Q34" i="264"/>
  <c r="A6" i="187"/>
  <c r="A6" i="307"/>
  <c r="A6" i="296"/>
  <c r="A6" i="292"/>
  <c r="A6" i="288"/>
  <c r="A6" i="300"/>
  <c r="G29" i="286"/>
  <c r="A6" i="290"/>
  <c r="CA36" i="262"/>
  <c r="BO37" i="262"/>
  <c r="I23" i="303"/>
  <c r="F23" i="303"/>
  <c r="D21" i="303"/>
  <c r="D21" i="309"/>
  <c r="I23" i="309"/>
  <c r="F23" i="309"/>
  <c r="D21" i="302"/>
  <c r="I23" i="302"/>
  <c r="H25" i="308"/>
  <c r="I15" i="286"/>
  <c r="B52" i="262"/>
  <c r="F18" i="286"/>
  <c r="D18" i="286" s="1"/>
  <c r="A6" i="286"/>
  <c r="F15" i="286"/>
  <c r="B68" i="262"/>
  <c r="P80" i="12"/>
  <c r="P85" i="12" s="1"/>
  <c r="P63" i="12"/>
  <c r="P75" i="12" s="1"/>
  <c r="D27" i="291"/>
  <c r="F33" i="291"/>
  <c r="D33" i="291" s="1"/>
  <c r="F39" i="291"/>
  <c r="D39" i="291" s="1"/>
  <c r="F29" i="291"/>
  <c r="D29" i="291" s="1"/>
  <c r="F36" i="291"/>
  <c r="D36" i="291" s="1"/>
  <c r="F27" i="302"/>
  <c r="F33" i="302" s="1"/>
  <c r="D33" i="302" s="1"/>
  <c r="I27" i="308"/>
  <c r="A6" i="312"/>
  <c r="F29" i="188"/>
  <c r="D29" i="188" s="1"/>
  <c r="F39" i="296"/>
  <c r="F57" i="296" s="1"/>
  <c r="D57" i="296" s="1"/>
  <c r="G39" i="35"/>
  <c r="A6" i="297"/>
  <c r="F23" i="312"/>
  <c r="H25" i="179"/>
  <c r="F36" i="188"/>
  <c r="F56" i="188" s="1"/>
  <c r="D56" i="188" s="1"/>
  <c r="G35" i="35"/>
  <c r="G41" i="35"/>
  <c r="F33" i="188"/>
  <c r="D33" i="188" s="1"/>
  <c r="B43" i="262"/>
  <c r="A6" i="181"/>
  <c r="A6" i="310"/>
  <c r="A6" i="293"/>
  <c r="A6" i="301"/>
  <c r="A6" i="183"/>
  <c r="A6" i="308"/>
  <c r="A6" i="302"/>
  <c r="A6" i="179"/>
  <c r="A6" i="186"/>
  <c r="A6" i="303"/>
  <c r="A6" i="180"/>
  <c r="A6" i="184"/>
  <c r="A6" i="182"/>
  <c r="A6" i="299"/>
  <c r="I25" i="292"/>
  <c r="I25" i="311"/>
  <c r="G25" i="311"/>
  <c r="A4" i="305"/>
  <c r="AF41" i="298"/>
  <c r="AF41" i="297"/>
  <c r="AF39" i="298"/>
  <c r="AF41" i="310"/>
  <c r="D21" i="293"/>
  <c r="F23" i="293"/>
  <c r="I25" i="304"/>
  <c r="G25" i="304"/>
  <c r="I21" i="298"/>
  <c r="G23" i="298"/>
  <c r="A4" i="306"/>
  <c r="A4" i="304"/>
  <c r="F23" i="297"/>
  <c r="I23" i="297"/>
  <c r="F23" i="289"/>
  <c r="D21" i="289"/>
  <c r="I23" i="289"/>
  <c r="F33" i="309"/>
  <c r="D33" i="309" s="1"/>
  <c r="H24" i="298"/>
  <c r="H25" i="298"/>
  <c r="F36" i="309"/>
  <c r="A6" i="287"/>
  <c r="F17" i="287"/>
  <c r="H24" i="293"/>
  <c r="H25" i="293"/>
  <c r="I19" i="264"/>
  <c r="L19" i="264"/>
  <c r="P19" i="264" s="1"/>
  <c r="H37" i="264"/>
  <c r="Y32" i="35"/>
  <c r="X32" i="35"/>
  <c r="BB24" i="10"/>
  <c r="AF24" i="10" s="1"/>
  <c r="AJ24" i="10" s="1"/>
  <c r="BC24" i="10"/>
  <c r="AG24" i="10" s="1"/>
  <c r="AK24" i="10" s="1"/>
  <c r="BD24" i="10"/>
  <c r="AH24" i="10" s="1"/>
  <c r="AL24" i="10" s="1"/>
  <c r="BE24" i="10"/>
  <c r="AI24" i="10" s="1"/>
  <c r="AM24" i="10" s="1"/>
  <c r="J32" i="35"/>
  <c r="I32" i="35"/>
  <c r="H32" i="35"/>
  <c r="K32" i="35"/>
  <c r="D32" i="35"/>
  <c r="Q32" i="35" s="1"/>
  <c r="I64" i="12"/>
  <c r="H24" i="10"/>
  <c r="E35" i="1106" s="1"/>
  <c r="G24" i="10"/>
  <c r="F25" i="10"/>
  <c r="B58" i="1"/>
  <c r="B155" i="1"/>
  <c r="B44" i="262"/>
  <c r="D39" i="183"/>
  <c r="F23" i="301"/>
  <c r="I23" i="301"/>
  <c r="D21" i="301"/>
  <c r="D23" i="305"/>
  <c r="F25" i="305"/>
  <c r="D25" i="305" s="1"/>
  <c r="H25" i="300"/>
  <c r="H24" i="300"/>
  <c r="F27" i="305"/>
  <c r="F36" i="305" s="1"/>
  <c r="I27" i="303"/>
  <c r="F36" i="297"/>
  <c r="D27" i="298"/>
  <c r="F29" i="298"/>
  <c r="D29" i="298" s="1"/>
  <c r="F33" i="298"/>
  <c r="D33" i="298" s="1"/>
  <c r="H25" i="291"/>
  <c r="H24" i="291"/>
  <c r="H28" i="287"/>
  <c r="I25" i="291"/>
  <c r="G25" i="291"/>
  <c r="V53" i="39"/>
  <c r="V61" i="39"/>
  <c r="H25" i="296"/>
  <c r="A119" i="39"/>
  <c r="A6" i="298"/>
  <c r="X34" i="264"/>
  <c r="S34" i="264" s="1"/>
  <c r="O34" i="264"/>
  <c r="AF41" i="308"/>
  <c r="F27" i="69"/>
  <c r="P72" i="39"/>
  <c r="S72" i="39"/>
  <c r="R72" i="39"/>
  <c r="O72" i="39"/>
  <c r="O73" i="39" s="1"/>
  <c r="T72" i="39"/>
  <c r="X69" i="39"/>
  <c r="I80" i="12"/>
  <c r="I23" i="298"/>
  <c r="D21" i="298"/>
  <c r="F23" i="298"/>
  <c r="F39" i="298"/>
  <c r="F39" i="293"/>
  <c r="F29" i="293"/>
  <c r="D29" i="293" s="1"/>
  <c r="F33" i="293"/>
  <c r="D33" i="293" s="1"/>
  <c r="F36" i="293"/>
  <c r="D27" i="293"/>
  <c r="F36" i="312"/>
  <c r="F33" i="312"/>
  <c r="D33" i="312" s="1"/>
  <c r="L22" i="11"/>
  <c r="D31" i="11"/>
  <c r="F17" i="286"/>
  <c r="A8" i="286"/>
  <c r="F14" i="286"/>
  <c r="F48" i="286" s="1"/>
  <c r="D48" i="286" s="1"/>
  <c r="G15" i="286"/>
  <c r="W170" i="1"/>
  <c r="X170" i="1" s="1"/>
  <c r="X72" i="1"/>
  <c r="A6" i="69"/>
  <c r="A8" i="69"/>
  <c r="F17" i="69"/>
  <c r="G29" i="69"/>
  <c r="F18" i="69"/>
  <c r="F15" i="69"/>
  <c r="G15" i="69"/>
  <c r="I15" i="69"/>
  <c r="F14" i="69"/>
  <c r="F48" i="69" s="1"/>
  <c r="D48" i="69" s="1"/>
  <c r="A6" i="291"/>
  <c r="A6" i="289"/>
  <c r="H33" i="35"/>
  <c r="V49" i="39"/>
  <c r="V57" i="39"/>
  <c r="H80" i="12"/>
  <c r="H63" i="12"/>
  <c r="H75" i="12" s="1"/>
  <c r="Q67" i="39"/>
  <c r="Q73" i="39"/>
  <c r="Q65" i="39"/>
  <c r="AE41" i="182"/>
  <c r="AF41" i="182" s="1"/>
  <c r="B7" i="3"/>
  <c r="C7" i="3" s="1"/>
  <c r="A8" i="3"/>
  <c r="J124" i="39"/>
  <c r="I124" i="39" s="1"/>
  <c r="I123" i="39"/>
  <c r="H30" i="301"/>
  <c r="H24" i="286"/>
  <c r="H25" i="286"/>
  <c r="F27" i="300"/>
  <c r="I27" i="300"/>
  <c r="H24" i="302"/>
  <c r="H25" i="302"/>
  <c r="H24" i="307"/>
  <c r="H25" i="307"/>
  <c r="F36" i="288"/>
  <c r="F29" i="311"/>
  <c r="D29" i="311" s="1"/>
  <c r="F33" i="311"/>
  <c r="D33" i="311" s="1"/>
  <c r="D27" i="311"/>
  <c r="F36" i="311"/>
  <c r="H12" i="293"/>
  <c r="H12" i="301"/>
  <c r="H12" i="305"/>
  <c r="F33" i="306"/>
  <c r="D33" i="306" s="1"/>
  <c r="F36" i="306"/>
  <c r="F29" i="306"/>
  <c r="D29" i="306" s="1"/>
  <c r="D27" i="306"/>
  <c r="B40" i="262"/>
  <c r="H24" i="292"/>
  <c r="H25" i="292"/>
  <c r="H38" i="290"/>
  <c r="H38" i="310"/>
  <c r="F39" i="301"/>
  <c r="F39" i="304"/>
  <c r="F33" i="303"/>
  <c r="D33" i="303" s="1"/>
  <c r="D27" i="303"/>
  <c r="F29" i="303"/>
  <c r="D29" i="303" s="1"/>
  <c r="F39" i="303"/>
  <c r="F36" i="303"/>
  <c r="I25" i="302"/>
  <c r="G25" i="302"/>
  <c r="D25" i="185"/>
  <c r="I25" i="310"/>
  <c r="G25" i="310"/>
  <c r="D27" i="292"/>
  <c r="F33" i="292"/>
  <c r="D33" i="292" s="1"/>
  <c r="F29" i="292"/>
  <c r="D29" i="292" s="1"/>
  <c r="F36" i="292"/>
  <c r="F36" i="304"/>
  <c r="F33" i="304"/>
  <c r="D33" i="304" s="1"/>
  <c r="F29" i="304"/>
  <c r="D29" i="304" s="1"/>
  <c r="D27" i="304"/>
  <c r="B102" i="39"/>
  <c r="E22" i="11"/>
  <c r="E25" i="11"/>
  <c r="J106" i="39"/>
  <c r="I106" i="39" s="1"/>
  <c r="K106" i="39" s="1"/>
  <c r="B34" i="35"/>
  <c r="B116" i="39"/>
  <c r="B105" i="39" s="1"/>
  <c r="B160" i="39"/>
  <c r="B161" i="39" s="1"/>
  <c r="H25" i="303"/>
  <c r="H24" i="303"/>
  <c r="I25" i="288"/>
  <c r="G25" i="288"/>
  <c r="F29" i="288"/>
  <c r="D25" i="184"/>
  <c r="F39" i="306"/>
  <c r="B69" i="38"/>
  <c r="V52" i="39"/>
  <c r="P65" i="39"/>
  <c r="K91" i="1"/>
  <c r="K189" i="1" s="1"/>
  <c r="Y189" i="1"/>
  <c r="Z91" i="1"/>
  <c r="Z189" i="1" s="1"/>
  <c r="H25" i="188"/>
  <c r="H24" i="188"/>
  <c r="J85" i="39"/>
  <c r="I85" i="39" s="1"/>
  <c r="K85" i="39" s="1"/>
  <c r="B71" i="262"/>
  <c r="H25" i="287"/>
  <c r="H24" i="287"/>
  <c r="H38" i="305"/>
  <c r="I21" i="69"/>
  <c r="G23" i="69"/>
  <c r="H25" i="304"/>
  <c r="H24" i="304"/>
  <c r="F29" i="301"/>
  <c r="H24" i="288"/>
  <c r="H25" i="288"/>
  <c r="F23" i="292"/>
  <c r="D21" i="292"/>
  <c r="I23" i="292"/>
  <c r="F23" i="304"/>
  <c r="I23" i="304"/>
  <c r="D21" i="304"/>
  <c r="H38" i="292"/>
  <c r="H38" i="294"/>
  <c r="H38" i="308"/>
  <c r="F39" i="297"/>
  <c r="H38" i="304"/>
  <c r="H38" i="288"/>
  <c r="D27" i="286"/>
  <c r="F36" i="286"/>
  <c r="F33" i="286"/>
  <c r="D33" i="286" s="1"/>
  <c r="F39" i="286"/>
  <c r="F29" i="286"/>
  <c r="F27" i="295"/>
  <c r="F27" i="287"/>
  <c r="H24" i="305"/>
  <c r="H25" i="305"/>
  <c r="D27" i="310"/>
  <c r="F33" i="310"/>
  <c r="D33" i="310" s="1"/>
  <c r="F36" i="310"/>
  <c r="F39" i="310"/>
  <c r="F29" i="310"/>
  <c r="D29" i="310" s="1"/>
  <c r="D23" i="300"/>
  <c r="F25" i="300"/>
  <c r="D25" i="300" s="1"/>
  <c r="B173" i="39"/>
  <c r="B174" i="39" s="1"/>
  <c r="B175" i="39" s="1"/>
  <c r="B176" i="39" s="1"/>
  <c r="B177" i="39" s="1"/>
  <c r="B178" i="39" s="1"/>
  <c r="C69" i="1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C102" i="11" s="1"/>
  <c r="C103" i="11" s="1"/>
  <c r="C104" i="11" s="1"/>
  <c r="C105" i="11" s="1"/>
  <c r="C106" i="11" s="1"/>
  <c r="C107" i="11" s="1"/>
  <c r="C108" i="11" s="1"/>
  <c r="C109" i="11" s="1"/>
  <c r="C110" i="11" s="1"/>
  <c r="C111" i="11" s="1"/>
  <c r="C112" i="11" s="1"/>
  <c r="C113" i="11" s="1"/>
  <c r="C114" i="11" s="1"/>
  <c r="C115" i="11" s="1"/>
  <c r="C116" i="11" s="1"/>
  <c r="C117" i="11" s="1"/>
  <c r="C118" i="11" s="1"/>
  <c r="C119" i="11" s="1"/>
  <c r="C120" i="11" s="1"/>
  <c r="C121" i="11" s="1"/>
  <c r="C122" i="11" s="1"/>
  <c r="C123" i="11" s="1"/>
  <c r="C124" i="11" s="1"/>
  <c r="C125" i="11" s="1"/>
  <c r="C126" i="11" s="1"/>
  <c r="C127" i="11" s="1"/>
  <c r="C128" i="11" s="1"/>
  <c r="C129" i="11" s="1"/>
  <c r="C130" i="11" s="1"/>
  <c r="C131" i="11" s="1"/>
  <c r="C132" i="11" s="1"/>
  <c r="C133" i="11" s="1"/>
  <c r="C134" i="11" s="1"/>
  <c r="C135" i="11" s="1"/>
  <c r="C136" i="11" s="1"/>
  <c r="C137" i="11" s="1"/>
  <c r="C138" i="11" s="1"/>
  <c r="C139" i="11" s="1"/>
  <c r="C140" i="11" s="1"/>
  <c r="C141" i="11" s="1"/>
  <c r="C142" i="11" s="1"/>
  <c r="C143" i="11" s="1"/>
  <c r="C144" i="11" s="1"/>
  <c r="C145" i="11" s="1"/>
  <c r="C146" i="11" s="1"/>
  <c r="C147" i="11" s="1"/>
  <c r="C148" i="11" s="1"/>
  <c r="C149" i="11" s="1"/>
  <c r="C150" i="11" s="1"/>
  <c r="C151" i="11" s="1"/>
  <c r="C152" i="11" s="1"/>
  <c r="C153" i="11" s="1"/>
  <c r="C154" i="11" s="1"/>
  <c r="C155" i="11" s="1"/>
  <c r="C156" i="11" s="1"/>
  <c r="C157" i="11" s="1"/>
  <c r="C158" i="11" s="1"/>
  <c r="C159" i="11" s="1"/>
  <c r="C160" i="11" s="1"/>
  <c r="C161" i="11" s="1"/>
  <c r="C162" i="11" s="1"/>
  <c r="C163" i="11" s="1"/>
  <c r="C164" i="11" s="1"/>
  <c r="C165" i="11" s="1"/>
  <c r="E20" i="11"/>
  <c r="E21" i="11"/>
  <c r="B28" i="262"/>
  <c r="A106" i="39"/>
  <c r="A148" i="39"/>
  <c r="F33" i="288"/>
  <c r="D33" i="288" s="1"/>
  <c r="F25" i="287"/>
  <c r="D25" i="287" s="1"/>
  <c r="D23" i="287"/>
  <c r="D23" i="295"/>
  <c r="F25" i="295"/>
  <c r="D25" i="295" s="1"/>
  <c r="F33" i="301"/>
  <c r="D33" i="301" s="1"/>
  <c r="D121" i="39"/>
  <c r="C121" i="39" s="1"/>
  <c r="E121" i="39" s="1"/>
  <c r="B74" i="1"/>
  <c r="B171" i="1"/>
  <c r="C51" i="6"/>
  <c r="B29" i="262"/>
  <c r="C66" i="6"/>
  <c r="G39" i="262"/>
  <c r="G39" i="1103"/>
  <c r="P73" i="1"/>
  <c r="H345" i="1103"/>
  <c r="V57" i="1"/>
  <c r="I345" i="1103"/>
  <c r="I22" i="262"/>
  <c r="P62" i="6"/>
  <c r="Q73" i="1"/>
  <c r="G22" i="262"/>
  <c r="N14" i="6"/>
  <c r="W57" i="1"/>
  <c r="P46" i="6"/>
  <c r="F56" i="262"/>
  <c r="F13" i="1104"/>
  <c r="F345" i="1103"/>
  <c r="F14" i="1104"/>
  <c r="P48" i="6"/>
  <c r="E345" i="1103"/>
  <c r="G345" i="1103"/>
  <c r="F15" i="1104"/>
  <c r="E56" i="262"/>
  <c r="P57" i="1"/>
  <c r="G22" i="1103"/>
  <c r="N50" i="6"/>
  <c r="W73" i="1"/>
  <c r="Q57" i="1"/>
  <c r="N65" i="6"/>
  <c r="N13" i="6"/>
  <c r="I22" i="1103"/>
  <c r="V73" i="1"/>
  <c r="P64" i="6"/>
  <c r="P63" i="6"/>
  <c r="R18" i="264" l="1"/>
  <c r="P16" i="1107"/>
  <c r="Q16" i="1107"/>
  <c r="O16" i="1107"/>
  <c r="Q34" i="1107"/>
  <c r="P34" i="1107"/>
  <c r="O34" i="1107"/>
  <c r="J18" i="1107"/>
  <c r="K18" i="1107" s="1"/>
  <c r="J17" i="1107"/>
  <c r="K17" i="1107" s="1"/>
  <c r="Q35" i="1107"/>
  <c r="P35" i="1107"/>
  <c r="O35" i="1107"/>
  <c r="D51" i="11"/>
  <c r="L54" i="11"/>
  <c r="J37" i="1107"/>
  <c r="K37" i="1107" s="1"/>
  <c r="J19" i="1107"/>
  <c r="K19" i="1107" s="1"/>
  <c r="F14" i="287"/>
  <c r="F48" i="287" s="1"/>
  <c r="D48" i="287" s="1"/>
  <c r="N34" i="1106"/>
  <c r="J36" i="1107"/>
  <c r="K36" i="1107" s="1"/>
  <c r="N35" i="1106"/>
  <c r="B43" i="1"/>
  <c r="B140" i="1"/>
  <c r="I75" i="12"/>
  <c r="U66" i="12"/>
  <c r="U76" i="12" s="1"/>
  <c r="I81" i="12"/>
  <c r="B56" i="262"/>
  <c r="D45" i="38" s="1"/>
  <c r="U72" i="12"/>
  <c r="U74" i="12"/>
  <c r="U84" i="12"/>
  <c r="B88" i="39"/>
  <c r="D183" i="39"/>
  <c r="U71" i="12"/>
  <c r="U75" i="12" s="1"/>
  <c r="U83" i="12"/>
  <c r="U73" i="12"/>
  <c r="I20" i="1122"/>
  <c r="F22" i="1124"/>
  <c r="Z22" i="1124"/>
  <c r="S22" i="1124"/>
  <c r="X22" i="1124"/>
  <c r="W22" i="1124"/>
  <c r="U22" i="1124"/>
  <c r="Y22" i="1124"/>
  <c r="T22" i="1124"/>
  <c r="V22" i="1124"/>
  <c r="E22" i="1124"/>
  <c r="C36" i="1106"/>
  <c r="D36" i="1106" s="1"/>
  <c r="I20" i="1121"/>
  <c r="G34" i="1122"/>
  <c r="D23" i="1124"/>
  <c r="K23" i="1124"/>
  <c r="J23" i="1124" s="1"/>
  <c r="D22" i="1124"/>
  <c r="K22" i="1124"/>
  <c r="J22" i="1124" s="1"/>
  <c r="W23" i="1124"/>
  <c r="X23" i="1124"/>
  <c r="S23" i="1124"/>
  <c r="U23" i="1124"/>
  <c r="Y23" i="1124"/>
  <c r="V23" i="1124"/>
  <c r="Z23" i="1124"/>
  <c r="T23" i="1124"/>
  <c r="Y33" i="35"/>
  <c r="F36" i="1106"/>
  <c r="P34" i="1106"/>
  <c r="E23" i="1124"/>
  <c r="F23" i="1124"/>
  <c r="BE25" i="10"/>
  <c r="AI25" i="10" s="1"/>
  <c r="AM25" i="10" s="1"/>
  <c r="K20" i="264"/>
  <c r="G34" i="1121"/>
  <c r="G20" i="1121"/>
  <c r="H34" i="1121"/>
  <c r="F56" i="185"/>
  <c r="D56" i="185" s="1"/>
  <c r="I39" i="303"/>
  <c r="F25" i="286"/>
  <c r="D25" i="286" s="1"/>
  <c r="E18" i="313"/>
  <c r="H31" i="186"/>
  <c r="AA19" i="264"/>
  <c r="V19" i="264" s="1"/>
  <c r="N37" i="264"/>
  <c r="I29" i="294"/>
  <c r="I29" i="291"/>
  <c r="AT32" i="1106"/>
  <c r="BI32" i="1106" s="1"/>
  <c r="AD32" i="1106"/>
  <c r="AQ32" i="1106"/>
  <c r="BF32" i="1106" s="1"/>
  <c r="AS32" i="1106"/>
  <c r="BH32" i="1106" s="1"/>
  <c r="AC32" i="1106"/>
  <c r="W32" i="1106"/>
  <c r="AJ32" i="1106"/>
  <c r="AY32" i="1106" s="1"/>
  <c r="AE32" i="1106"/>
  <c r="AH32" i="1106"/>
  <c r="AW32" i="1106"/>
  <c r="BL32" i="1106" s="1"/>
  <c r="AI32" i="1106"/>
  <c r="AP32" i="1106"/>
  <c r="BE32" i="1106" s="1"/>
  <c r="Z32" i="1106"/>
  <c r="AM32" i="1106"/>
  <c r="BB32" i="1106" s="1"/>
  <c r="AO32" i="1106"/>
  <c r="BD32" i="1106" s="1"/>
  <c r="Y32" i="1106"/>
  <c r="AV32" i="1106"/>
  <c r="BK32" i="1106" s="1"/>
  <c r="AF32" i="1106"/>
  <c r="AX32" i="1106"/>
  <c r="BM32" i="1106" s="1"/>
  <c r="CB32" i="1106" s="1"/>
  <c r="CR32" i="1106" s="1"/>
  <c r="AU32" i="1106"/>
  <c r="BJ32" i="1106" s="1"/>
  <c r="AG32" i="1106"/>
  <c r="AN32" i="1106"/>
  <c r="BC32" i="1106" s="1"/>
  <c r="AL32" i="1106"/>
  <c r="BA32" i="1106" s="1"/>
  <c r="V32" i="1106"/>
  <c r="AA32" i="1106"/>
  <c r="AK32" i="1106"/>
  <c r="AZ32" i="1106" s="1"/>
  <c r="U32" i="1106"/>
  <c r="AR32" i="1106"/>
  <c r="BG32" i="1106" s="1"/>
  <c r="AB32" i="1106"/>
  <c r="X32" i="1106"/>
  <c r="I66" i="12"/>
  <c r="I76" i="12" s="1"/>
  <c r="H36" i="1106"/>
  <c r="C20" i="1121"/>
  <c r="D20" i="1121" s="1"/>
  <c r="H20" i="1121"/>
  <c r="C34" i="1122"/>
  <c r="D34" i="1122" s="1"/>
  <c r="D35" i="1106"/>
  <c r="P35" i="1106"/>
  <c r="I34" i="1122"/>
  <c r="G25" i="307"/>
  <c r="G25" i="308"/>
  <c r="I25" i="312"/>
  <c r="H20" i="1122"/>
  <c r="C20" i="1122"/>
  <c r="D20" i="1122" s="1"/>
  <c r="I36" i="1106"/>
  <c r="H34" i="1122"/>
  <c r="G20" i="1122"/>
  <c r="L34" i="1106"/>
  <c r="M34" i="1106"/>
  <c r="K34" i="1106"/>
  <c r="L33" i="1106"/>
  <c r="K33" i="1106"/>
  <c r="M33" i="1106"/>
  <c r="I15" i="287"/>
  <c r="I16" i="287" s="1"/>
  <c r="G20" i="1106"/>
  <c r="I34" i="1121"/>
  <c r="C34" i="1121"/>
  <c r="D34" i="1121" s="1"/>
  <c r="J36" i="1106"/>
  <c r="F33" i="1122"/>
  <c r="F33" i="1121"/>
  <c r="F19" i="1122"/>
  <c r="E19" i="1121"/>
  <c r="E33" i="1122"/>
  <c r="E33" i="1121"/>
  <c r="E19" i="1122"/>
  <c r="E18" i="1121"/>
  <c r="E32" i="1122"/>
  <c r="E32" i="1121"/>
  <c r="E18" i="1122"/>
  <c r="F32" i="1122"/>
  <c r="F18" i="1122"/>
  <c r="F32" i="1121"/>
  <c r="F19" i="313"/>
  <c r="F19" i="1121"/>
  <c r="I33" i="312"/>
  <c r="F18" i="313"/>
  <c r="F18" i="1121"/>
  <c r="B56" i="1103"/>
  <c r="C56" i="1103"/>
  <c r="G38" i="1107"/>
  <c r="I38" i="1107" s="1"/>
  <c r="H21" i="1106"/>
  <c r="D42" i="11"/>
  <c r="E42" i="11" s="1"/>
  <c r="G20" i="1107"/>
  <c r="I20" i="1107" s="1"/>
  <c r="I67" i="12"/>
  <c r="I68" i="12"/>
  <c r="I77" i="12" s="1"/>
  <c r="U68" i="12"/>
  <c r="U77" i="12" s="1"/>
  <c r="U67" i="12"/>
  <c r="J21" i="1106"/>
  <c r="Q68" i="12"/>
  <c r="Q77" i="12" s="1"/>
  <c r="Q67" i="12"/>
  <c r="K33" i="35"/>
  <c r="BD25" i="10"/>
  <c r="AH25" i="10" s="1"/>
  <c r="AL25" i="10" s="1"/>
  <c r="I38" i="264"/>
  <c r="M20" i="264"/>
  <c r="M38" i="264" s="1"/>
  <c r="H38" i="264"/>
  <c r="J20" i="264"/>
  <c r="Q20" i="264" s="1"/>
  <c r="D33" i="35"/>
  <c r="Q33" i="35" s="1"/>
  <c r="J33" i="35"/>
  <c r="BC25" i="10"/>
  <c r="AG25" i="10" s="1"/>
  <c r="AK25" i="10" s="1"/>
  <c r="I20" i="264"/>
  <c r="M22" i="11"/>
  <c r="F18" i="287"/>
  <c r="F24" i="287" s="1"/>
  <c r="F53" i="287" s="1"/>
  <c r="F15" i="287"/>
  <c r="A8" i="287"/>
  <c r="G53" i="287"/>
  <c r="L32" i="287" s="1"/>
  <c r="I21" i="1106"/>
  <c r="R68" i="12"/>
  <c r="R77" i="12" s="1"/>
  <c r="R67" i="12"/>
  <c r="N20" i="264"/>
  <c r="I33" i="35"/>
  <c r="X33" i="35"/>
  <c r="BB25" i="10"/>
  <c r="AF25" i="10" s="1"/>
  <c r="AJ25" i="10" s="1"/>
  <c r="L20" i="264"/>
  <c r="Y20" i="264" s="1"/>
  <c r="T20" i="264" s="1"/>
  <c r="E26" i="10"/>
  <c r="H21" i="1122" s="1"/>
  <c r="G25" i="296"/>
  <c r="G29" i="287"/>
  <c r="G27" i="287" s="1"/>
  <c r="G15" i="287"/>
  <c r="H15" i="287" s="1"/>
  <c r="C56" i="262"/>
  <c r="C20" i="1107"/>
  <c r="D20" i="1107" s="1"/>
  <c r="C38" i="1107"/>
  <c r="D38" i="1107" s="1"/>
  <c r="T67" i="12"/>
  <c r="T68" i="12"/>
  <c r="T77" i="12" s="1"/>
  <c r="P19" i="1106"/>
  <c r="D19" i="1106"/>
  <c r="P20" i="1106"/>
  <c r="D20" i="1106"/>
  <c r="E21" i="13"/>
  <c r="J24" i="13"/>
  <c r="I24" i="13"/>
  <c r="D41" i="13"/>
  <c r="K24" i="13"/>
  <c r="Q24" i="13" s="1"/>
  <c r="H24" i="13"/>
  <c r="F24" i="13"/>
  <c r="L24" i="13" s="1"/>
  <c r="G24" i="13"/>
  <c r="M24" i="13" s="1"/>
  <c r="AH20" i="13"/>
  <c r="AI20" i="13"/>
  <c r="AG20" i="13"/>
  <c r="E40" i="13"/>
  <c r="AF20" i="13"/>
  <c r="AD20" i="13"/>
  <c r="AE20" i="13"/>
  <c r="H34" i="1117"/>
  <c r="H33" i="1117" s="1"/>
  <c r="H34" i="1114"/>
  <c r="H33" i="1114" s="1"/>
  <c r="F36" i="180"/>
  <c r="F56" i="180" s="1"/>
  <c r="D56" i="180" s="1"/>
  <c r="F29" i="180"/>
  <c r="D29" i="180" s="1"/>
  <c r="H34" i="1111"/>
  <c r="H33" i="1111" s="1"/>
  <c r="H34" i="1118"/>
  <c r="H33" i="1118" s="1"/>
  <c r="C137" i="39"/>
  <c r="E137" i="39" s="1"/>
  <c r="H34" i="1113"/>
  <c r="H33" i="1113" s="1"/>
  <c r="H34" i="1108"/>
  <c r="H33" i="1108" s="1"/>
  <c r="F33" i="305"/>
  <c r="D33" i="305" s="1"/>
  <c r="F39" i="181"/>
  <c r="D39" i="181" s="1"/>
  <c r="F36" i="181"/>
  <c r="D36" i="181" s="1"/>
  <c r="P34" i="264"/>
  <c r="H56" i="186"/>
  <c r="F33" i="180"/>
  <c r="D33" i="180" s="1"/>
  <c r="I29" i="289"/>
  <c r="F39" i="180"/>
  <c r="F57" i="180" s="1"/>
  <c r="D57" i="180" s="1"/>
  <c r="H34" i="1119"/>
  <c r="H33" i="1119" s="1"/>
  <c r="H34" i="1115"/>
  <c r="H33" i="1115" s="1"/>
  <c r="H34" i="1110"/>
  <c r="H33" i="1110" s="1"/>
  <c r="H34" i="1116"/>
  <c r="H33" i="1116" s="1"/>
  <c r="H34" i="1112"/>
  <c r="H33" i="1112" s="1"/>
  <c r="H34" i="1109"/>
  <c r="H33" i="1109" s="1"/>
  <c r="AM18" i="1106"/>
  <c r="BB18" i="1106" s="1"/>
  <c r="AA18" i="1106"/>
  <c r="AO18" i="1106"/>
  <c r="BD18" i="1106" s="1"/>
  <c r="AP18" i="1106"/>
  <c r="BE18" i="1106" s="1"/>
  <c r="Z18" i="1106"/>
  <c r="AB18" i="1106"/>
  <c r="AN18" i="1106"/>
  <c r="BC18" i="1106" s="1"/>
  <c r="U18" i="1106"/>
  <c r="AQ18" i="1106"/>
  <c r="BF18" i="1106" s="1"/>
  <c r="AE18" i="1106"/>
  <c r="AS18" i="1106"/>
  <c r="BH18" i="1106" s="1"/>
  <c r="AT18" i="1106"/>
  <c r="BI18" i="1106" s="1"/>
  <c r="AD18" i="1106"/>
  <c r="X18" i="1106"/>
  <c r="AJ18" i="1106"/>
  <c r="AY18" i="1106" s="1"/>
  <c r="AF18" i="1106"/>
  <c r="AU18" i="1106"/>
  <c r="BJ18" i="1106" s="1"/>
  <c r="AW18" i="1106"/>
  <c r="BL18" i="1106" s="1"/>
  <c r="AH18" i="1106"/>
  <c r="Y18" i="1106"/>
  <c r="W18" i="1106"/>
  <c r="AL18" i="1106"/>
  <c r="BA18" i="1106" s="1"/>
  <c r="AR18" i="1106"/>
  <c r="BG18" i="1106" s="1"/>
  <c r="AG18" i="1106"/>
  <c r="AI18" i="1106"/>
  <c r="AV18" i="1106"/>
  <c r="BK18" i="1106" s="1"/>
  <c r="AX18" i="1106"/>
  <c r="BM18" i="1106" s="1"/>
  <c r="AK18" i="1106"/>
  <c r="AZ18" i="1106" s="1"/>
  <c r="AC18" i="1106"/>
  <c r="V18" i="1106"/>
  <c r="AK17" i="1106"/>
  <c r="AZ17" i="1106" s="1"/>
  <c r="AJ17" i="1106"/>
  <c r="AY17" i="1106" s="1"/>
  <c r="AO17" i="1106"/>
  <c r="BD17" i="1106" s="1"/>
  <c r="AS17" i="1106"/>
  <c r="BH17" i="1106" s="1"/>
  <c r="AG17" i="1106"/>
  <c r="AN17" i="1106"/>
  <c r="BC17" i="1106" s="1"/>
  <c r="AB17" i="1106"/>
  <c r="AH17" i="1106"/>
  <c r="AI17" i="1106"/>
  <c r="AE17" i="1106"/>
  <c r="AW17" i="1106"/>
  <c r="BL17" i="1106" s="1"/>
  <c r="AM17" i="1106"/>
  <c r="BB17" i="1106" s="1"/>
  <c r="AR17" i="1106"/>
  <c r="BG17" i="1106" s="1"/>
  <c r="AF17" i="1106"/>
  <c r="U17" i="1106"/>
  <c r="AD17" i="1106"/>
  <c r="AX17" i="1106"/>
  <c r="BM17" i="1106" s="1"/>
  <c r="CB17" i="1106" s="1"/>
  <c r="CR17" i="1106" s="1"/>
  <c r="Y17" i="1106"/>
  <c r="AV17" i="1106"/>
  <c r="BK17" i="1106" s="1"/>
  <c r="AT17" i="1106"/>
  <c r="BI17" i="1106" s="1"/>
  <c r="V17" i="1106"/>
  <c r="AQ17" i="1106"/>
  <c r="BF17" i="1106" s="1"/>
  <c r="AP17" i="1106"/>
  <c r="BE17" i="1106" s="1"/>
  <c r="AL17" i="1106"/>
  <c r="BA17" i="1106" s="1"/>
  <c r="AU17" i="1106"/>
  <c r="BJ17" i="1106" s="1"/>
  <c r="Z17" i="1106"/>
  <c r="W17" i="1106"/>
  <c r="AA17" i="1106"/>
  <c r="X17" i="1106"/>
  <c r="AC17" i="1106"/>
  <c r="I39" i="299"/>
  <c r="E37" i="1107"/>
  <c r="E19" i="1107"/>
  <c r="F33" i="181"/>
  <c r="D33" i="181" s="1"/>
  <c r="F19" i="1107"/>
  <c r="F37" i="1107"/>
  <c r="F25" i="308"/>
  <c r="D25" i="308" s="1"/>
  <c r="F29" i="181"/>
  <c r="D29" i="181" s="1"/>
  <c r="F18" i="1107"/>
  <c r="F36" i="1107"/>
  <c r="E18" i="1107"/>
  <c r="E36" i="1107"/>
  <c r="L43" i="11"/>
  <c r="M43" i="11" s="1"/>
  <c r="D46" i="11"/>
  <c r="E46" i="11" s="1"/>
  <c r="G350" i="1103"/>
  <c r="G360" i="1103"/>
  <c r="G359" i="1103"/>
  <c r="G353" i="1103"/>
  <c r="G356" i="1103"/>
  <c r="G358" i="1103"/>
  <c r="N345" i="1103"/>
  <c r="G352" i="1103"/>
  <c r="G351" i="1103"/>
  <c r="R345" i="1103"/>
  <c r="G355" i="1103"/>
  <c r="G354" i="1103"/>
  <c r="G357" i="1103"/>
  <c r="G348" i="1103"/>
  <c r="J345" i="1103"/>
  <c r="G349" i="1103"/>
  <c r="H346" i="1103"/>
  <c r="G347" i="1103"/>
  <c r="A276" i="261"/>
  <c r="K328" i="1103"/>
  <c r="M328" i="1103"/>
  <c r="H314" i="1103"/>
  <c r="T313" i="1103"/>
  <c r="U313" i="1103" s="1"/>
  <c r="P313" i="1103"/>
  <c r="Q313" i="1103" s="1"/>
  <c r="L313" i="1103"/>
  <c r="M313" i="1103" s="1"/>
  <c r="A379" i="1103"/>
  <c r="L329" i="1103"/>
  <c r="M329" i="1103" s="1"/>
  <c r="P329" i="1103"/>
  <c r="Q329" i="1103" s="1"/>
  <c r="H330" i="1103"/>
  <c r="T329" i="1103"/>
  <c r="U329" i="1103" s="1"/>
  <c r="S328" i="1103"/>
  <c r="U328" i="1103"/>
  <c r="O328" i="1103"/>
  <c r="Q328" i="1103"/>
  <c r="A157" i="261"/>
  <c r="I33" i="296"/>
  <c r="E19" i="313"/>
  <c r="F37" i="264"/>
  <c r="F33" i="179"/>
  <c r="D33" i="179" s="1"/>
  <c r="I23" i="10"/>
  <c r="M23" i="10" s="1"/>
  <c r="E18" i="264"/>
  <c r="H33" i="186"/>
  <c r="I39" i="308"/>
  <c r="I57" i="308" s="1"/>
  <c r="H39" i="183"/>
  <c r="H57" i="183" s="1"/>
  <c r="H33" i="308"/>
  <c r="F31" i="35"/>
  <c r="D23" i="288"/>
  <c r="G25" i="303"/>
  <c r="E36" i="264"/>
  <c r="I39" i="305"/>
  <c r="I57" i="305" s="1"/>
  <c r="I36" i="296"/>
  <c r="I56" i="296" s="1"/>
  <c r="J98" i="39"/>
  <c r="J99" i="39" s="1"/>
  <c r="H36" i="187"/>
  <c r="H56" i="187" s="1"/>
  <c r="O19" i="264"/>
  <c r="I29" i="309"/>
  <c r="H33" i="294"/>
  <c r="H33" i="304"/>
  <c r="H31" i="184"/>
  <c r="H39" i="185"/>
  <c r="H57" i="185" s="1"/>
  <c r="F57" i="187"/>
  <c r="D57" i="187" s="1"/>
  <c r="D27" i="290"/>
  <c r="M37" i="264"/>
  <c r="Z37" i="264" s="1"/>
  <c r="U37" i="264" s="1"/>
  <c r="F36" i="308"/>
  <c r="D23" i="299"/>
  <c r="P35" i="264"/>
  <c r="I36" i="307"/>
  <c r="I56" i="307" s="1"/>
  <c r="I36" i="301"/>
  <c r="H33" i="183"/>
  <c r="F29" i="179"/>
  <c r="D29" i="179" s="1"/>
  <c r="G25" i="297"/>
  <c r="I25" i="297"/>
  <c r="F19" i="264"/>
  <c r="H39" i="298"/>
  <c r="H57" i="298" s="1"/>
  <c r="F57" i="182"/>
  <c r="D57" i="182" s="1"/>
  <c r="F56" i="305"/>
  <c r="D56" i="305" s="1"/>
  <c r="I33" i="306"/>
  <c r="I29" i="296"/>
  <c r="D36" i="187"/>
  <c r="D39" i="294"/>
  <c r="I39" i="296"/>
  <c r="I57" i="296" s="1"/>
  <c r="F18" i="264"/>
  <c r="F36" i="264"/>
  <c r="B19" i="9"/>
  <c r="J33" i="9"/>
  <c r="L24" i="10"/>
  <c r="I39" i="306"/>
  <c r="I57" i="306" s="1"/>
  <c r="H36" i="183"/>
  <c r="H56" i="183" s="1"/>
  <c r="Z19" i="264"/>
  <c r="U19" i="264" s="1"/>
  <c r="I33" i="289"/>
  <c r="H31" i="187"/>
  <c r="H31" i="183"/>
  <c r="F36" i="179"/>
  <c r="D36" i="179" s="1"/>
  <c r="I25" i="295"/>
  <c r="H39" i="187"/>
  <c r="H57" i="187" s="1"/>
  <c r="I39" i="290"/>
  <c r="I57" i="290" s="1"/>
  <c r="I39" i="288"/>
  <c r="I57" i="288" s="1"/>
  <c r="D23" i="183"/>
  <c r="F25" i="183"/>
  <c r="I39" i="300"/>
  <c r="I57" i="300" s="1"/>
  <c r="F39" i="179"/>
  <c r="D39" i="179" s="1"/>
  <c r="I33" i="309"/>
  <c r="I39" i="301"/>
  <c r="I39" i="293"/>
  <c r="I57" i="293" s="1"/>
  <c r="H39" i="292"/>
  <c r="H57" i="292" s="1"/>
  <c r="I39" i="312"/>
  <c r="H31" i="286"/>
  <c r="H33" i="286"/>
  <c r="I36" i="304"/>
  <c r="I56" i="304" s="1"/>
  <c r="I39" i="304"/>
  <c r="I57" i="304" s="1"/>
  <c r="I33" i="304"/>
  <c r="I29" i="304"/>
  <c r="I25" i="299"/>
  <c r="I36" i="309"/>
  <c r="I56" i="309" s="1"/>
  <c r="H31" i="69"/>
  <c r="R34" i="264"/>
  <c r="F57" i="306"/>
  <c r="D57" i="306" s="1"/>
  <c r="I29" i="307"/>
  <c r="I36" i="289"/>
  <c r="F39" i="308"/>
  <c r="D39" i="308" s="1"/>
  <c r="F56" i="306"/>
  <c r="D56" i="306" s="1"/>
  <c r="I39" i="309"/>
  <c r="I57" i="309" s="1"/>
  <c r="K37" i="264"/>
  <c r="X37" i="264" s="1"/>
  <c r="S37" i="264" s="1"/>
  <c r="H57" i="186"/>
  <c r="F56" i="184"/>
  <c r="D56" i="184" s="1"/>
  <c r="E136" i="39"/>
  <c r="I39" i="307"/>
  <c r="I57" i="307" s="1"/>
  <c r="H39" i="184"/>
  <c r="H57" i="184" s="1"/>
  <c r="I33" i="307"/>
  <c r="H39" i="306"/>
  <c r="H57" i="306" s="1"/>
  <c r="F25" i="181"/>
  <c r="D25" i="181" s="1"/>
  <c r="D23" i="181"/>
  <c r="D23" i="179"/>
  <c r="F25" i="179"/>
  <c r="D25" i="179" s="1"/>
  <c r="F25" i="310"/>
  <c r="D25" i="310" s="1"/>
  <c r="D36" i="182"/>
  <c r="F56" i="288"/>
  <c r="D56" i="288" s="1"/>
  <c r="I39" i="310"/>
  <c r="I57" i="310" s="1"/>
  <c r="I57" i="303"/>
  <c r="I33" i="290"/>
  <c r="I29" i="290"/>
  <c r="H31" i="290"/>
  <c r="H33" i="290"/>
  <c r="H36" i="290"/>
  <c r="H56" i="290" s="1"/>
  <c r="H39" i="290"/>
  <c r="H57" i="290" s="1"/>
  <c r="H33" i="292"/>
  <c r="H31" i="292"/>
  <c r="H31" i="296"/>
  <c r="H33" i="296"/>
  <c r="H36" i="296"/>
  <c r="H56" i="296" s="1"/>
  <c r="H31" i="308"/>
  <c r="F57" i="186"/>
  <c r="D57" i="186" s="1"/>
  <c r="I29" i="303"/>
  <c r="F36" i="290"/>
  <c r="F56" i="290" s="1"/>
  <c r="D56" i="290" s="1"/>
  <c r="H33" i="307"/>
  <c r="G25" i="294"/>
  <c r="D23" i="69"/>
  <c r="F57" i="291"/>
  <c r="D57" i="291" s="1"/>
  <c r="I39" i="286"/>
  <c r="I57" i="286" s="1"/>
  <c r="H36" i="185"/>
  <c r="H56" i="185" s="1"/>
  <c r="F33" i="307"/>
  <c r="D33" i="307" s="1"/>
  <c r="H33" i="185"/>
  <c r="F56" i="186"/>
  <c r="D56" i="186" s="1"/>
  <c r="H31" i="306"/>
  <c r="I33" i="305"/>
  <c r="F56" i="291"/>
  <c r="D56" i="291" s="1"/>
  <c r="G25" i="301"/>
  <c r="I25" i="301"/>
  <c r="H39" i="286"/>
  <c r="H57" i="286" s="1"/>
  <c r="H36" i="306"/>
  <c r="H56" i="306" s="1"/>
  <c r="H36" i="307"/>
  <c r="H56" i="307" s="1"/>
  <c r="H36" i="286"/>
  <c r="H56" i="286" s="1"/>
  <c r="H27" i="287"/>
  <c r="H39" i="287" s="1"/>
  <c r="H57" i="287" s="1"/>
  <c r="H39" i="69"/>
  <c r="H57" i="69" s="1"/>
  <c r="H33" i="69"/>
  <c r="H20" i="264"/>
  <c r="AR25" i="10"/>
  <c r="AQ25" i="10"/>
  <c r="D45" i="11"/>
  <c r="E45" i="11" s="1"/>
  <c r="L42" i="11"/>
  <c r="M42" i="11" s="1"/>
  <c r="Q64" i="12"/>
  <c r="Q66" i="12"/>
  <c r="Q76" i="12" s="1"/>
  <c r="Q81" i="12"/>
  <c r="Q63" i="12"/>
  <c r="Q80" i="12"/>
  <c r="U85" i="12"/>
  <c r="V65" i="39"/>
  <c r="F57" i="307"/>
  <c r="D57" i="307" s="1"/>
  <c r="F57" i="288"/>
  <c r="D57" i="288" s="1"/>
  <c r="F57" i="184"/>
  <c r="D57" i="184" s="1"/>
  <c r="D39" i="184"/>
  <c r="H33" i="184"/>
  <c r="H36" i="184"/>
  <c r="H56" i="184" s="1"/>
  <c r="H36" i="182"/>
  <c r="H56" i="182" s="1"/>
  <c r="H33" i="182"/>
  <c r="H31" i="182"/>
  <c r="F57" i="286"/>
  <c r="D57" i="286" s="1"/>
  <c r="F56" i="286"/>
  <c r="D56" i="286" s="1"/>
  <c r="F57" i="185"/>
  <c r="D57" i="185" s="1"/>
  <c r="D39" i="185"/>
  <c r="F16" i="286"/>
  <c r="D16" i="286" s="1"/>
  <c r="F49" i="286"/>
  <c r="D36" i="299"/>
  <c r="F56" i="299"/>
  <c r="D56" i="299" s="1"/>
  <c r="D39" i="299"/>
  <c r="F57" i="299"/>
  <c r="D57" i="299" s="1"/>
  <c r="F46" i="286"/>
  <c r="I16" i="286"/>
  <c r="D39" i="309"/>
  <c r="F49" i="69"/>
  <c r="M21" i="11"/>
  <c r="D50" i="11"/>
  <c r="E50" i="11" s="1"/>
  <c r="L53" i="11"/>
  <c r="M53" i="11" s="1"/>
  <c r="E51" i="11"/>
  <c r="C38" i="264"/>
  <c r="D38" i="264" s="1"/>
  <c r="B15" i="6"/>
  <c r="F15" i="6"/>
  <c r="G15" i="6" s="1"/>
  <c r="B24" i="11"/>
  <c r="D14" i="66"/>
  <c r="G14" i="66"/>
  <c r="H14" i="66" s="1"/>
  <c r="E15" i="6"/>
  <c r="C14" i="66"/>
  <c r="D15" i="6"/>
  <c r="L15" i="6"/>
  <c r="H15" i="6"/>
  <c r="AA18" i="264"/>
  <c r="V18" i="264" s="1"/>
  <c r="N36" i="264"/>
  <c r="AA36" i="264" s="1"/>
  <c r="V36" i="264" s="1"/>
  <c r="X18" i="264"/>
  <c r="S18" i="264" s="1"/>
  <c r="K36" i="264"/>
  <c r="X36" i="264" s="1"/>
  <c r="S36" i="264" s="1"/>
  <c r="R64" i="12"/>
  <c r="R66" i="12"/>
  <c r="R76" i="12" s="1"/>
  <c r="R81" i="12"/>
  <c r="B124" i="1"/>
  <c r="B27" i="11" s="1"/>
  <c r="B27" i="1"/>
  <c r="Y18" i="264"/>
  <c r="T18" i="264" s="1"/>
  <c r="L36" i="264"/>
  <c r="Y36" i="264" s="1"/>
  <c r="T36" i="264" s="1"/>
  <c r="M36" i="264"/>
  <c r="Z36" i="264" s="1"/>
  <c r="U36" i="264" s="1"/>
  <c r="Z18" i="264"/>
  <c r="U18" i="264" s="1"/>
  <c r="C20" i="264"/>
  <c r="D20" i="264" s="1"/>
  <c r="R80" i="12"/>
  <c r="R63" i="12"/>
  <c r="R75" i="12" s="1"/>
  <c r="I33" i="288"/>
  <c r="I29" i="312"/>
  <c r="H33" i="309"/>
  <c r="H36" i="309"/>
  <c r="H56" i="309" s="1"/>
  <c r="H39" i="309"/>
  <c r="H57" i="309" s="1"/>
  <c r="H31" i="309"/>
  <c r="I36" i="308"/>
  <c r="I56" i="308" s="1"/>
  <c r="J117" i="39"/>
  <c r="I117" i="39" s="1"/>
  <c r="K118" i="39" s="1"/>
  <c r="F29" i="290"/>
  <c r="D29" i="290" s="1"/>
  <c r="F39" i="290"/>
  <c r="F57" i="290" s="1"/>
  <c r="D57" i="290" s="1"/>
  <c r="I25" i="289"/>
  <c r="G25" i="289"/>
  <c r="D27" i="308"/>
  <c r="I36" i="288"/>
  <c r="I56" i="288" s="1"/>
  <c r="H36" i="292"/>
  <c r="H56" i="292" s="1"/>
  <c r="H39" i="307"/>
  <c r="H57" i="307" s="1"/>
  <c r="H31" i="291"/>
  <c r="I39" i="291"/>
  <c r="I57" i="291" s="1"/>
  <c r="H39" i="296"/>
  <c r="H57" i="296" s="1"/>
  <c r="F25" i="311"/>
  <c r="A90" i="262"/>
  <c r="F39" i="38"/>
  <c r="I29" i="305"/>
  <c r="I29" i="302"/>
  <c r="I33" i="302"/>
  <c r="D27" i="307"/>
  <c r="F29" i="307"/>
  <c r="D29" i="307" s="1"/>
  <c r="F36" i="307"/>
  <c r="F56" i="307" s="1"/>
  <c r="D56" i="307" s="1"/>
  <c r="H31" i="299"/>
  <c r="I36" i="299"/>
  <c r="H31" i="304"/>
  <c r="R22" i="1103"/>
  <c r="N22" i="1103"/>
  <c r="G41" i="1103"/>
  <c r="G42" i="1103" s="1"/>
  <c r="G43" i="1103" s="1"/>
  <c r="G44" i="1103" s="1"/>
  <c r="G45" i="1103" s="1"/>
  <c r="G46" i="1103" s="1"/>
  <c r="G47" i="1103" s="1"/>
  <c r="G48" i="1103" s="1"/>
  <c r="G49" i="1103" s="1"/>
  <c r="G50" i="1103" s="1"/>
  <c r="G51" i="1103" s="1"/>
  <c r="G52" i="1103" s="1"/>
  <c r="G53" i="1103" s="1"/>
  <c r="G54" i="1103" s="1"/>
  <c r="AD22" i="1103"/>
  <c r="V22" i="1103"/>
  <c r="G24" i="1103"/>
  <c r="G25" i="1103" s="1"/>
  <c r="G26" i="1103" s="1"/>
  <c r="G27" i="1103" s="1"/>
  <c r="G28" i="1103" s="1"/>
  <c r="G29" i="1103" s="1"/>
  <c r="G30" i="1103" s="1"/>
  <c r="G31" i="1103" s="1"/>
  <c r="G32" i="1103" s="1"/>
  <c r="G33" i="1103" s="1"/>
  <c r="G34" i="1103" s="1"/>
  <c r="G35" i="1103" s="1"/>
  <c r="G36" i="1103" s="1"/>
  <c r="G37" i="1103" s="1"/>
  <c r="AH22" i="1103"/>
  <c r="Z22" i="1103"/>
  <c r="J22" i="1103"/>
  <c r="Z38" i="264"/>
  <c r="U38" i="264" s="1"/>
  <c r="Q38" i="264"/>
  <c r="I36" i="292"/>
  <c r="I56" i="292" s="1"/>
  <c r="I39" i="292"/>
  <c r="I57" i="292" s="1"/>
  <c r="I33" i="292"/>
  <c r="I29" i="292"/>
  <c r="H39" i="308"/>
  <c r="H57" i="308" s="1"/>
  <c r="H36" i="308"/>
  <c r="H56" i="308" s="1"/>
  <c r="I36" i="312"/>
  <c r="I56" i="312" s="1"/>
  <c r="H36" i="304"/>
  <c r="H56" i="304" s="1"/>
  <c r="H36" i="299"/>
  <c r="H56" i="299" s="1"/>
  <c r="I29" i="288"/>
  <c r="I36" i="290"/>
  <c r="I56" i="290" s="1"/>
  <c r="F29" i="305"/>
  <c r="D29" i="305" s="1"/>
  <c r="I36" i="291"/>
  <c r="I56" i="291" s="1"/>
  <c r="F33" i="308"/>
  <c r="D33" i="308" s="1"/>
  <c r="I36" i="306"/>
  <c r="I56" i="306" s="1"/>
  <c r="I36" i="302"/>
  <c r="I56" i="302" s="1"/>
  <c r="H39" i="291"/>
  <c r="H57" i="291" s="1"/>
  <c r="I39" i="302"/>
  <c r="I57" i="302" s="1"/>
  <c r="I39" i="289"/>
  <c r="I29" i="299"/>
  <c r="I33" i="294"/>
  <c r="I36" i="294"/>
  <c r="I56" i="294" s="1"/>
  <c r="I39" i="294"/>
  <c r="I57" i="294" s="1"/>
  <c r="G27" i="286"/>
  <c r="I33" i="303"/>
  <c r="I36" i="303"/>
  <c r="I56" i="303" s="1"/>
  <c r="D39" i="188"/>
  <c r="H33" i="299"/>
  <c r="I33" i="308"/>
  <c r="D36" i="294"/>
  <c r="I33" i="291"/>
  <c r="D36" i="296"/>
  <c r="G25" i="306"/>
  <c r="I33" i="299"/>
  <c r="H39" i="294"/>
  <c r="H57" i="294" s="1"/>
  <c r="H39" i="181"/>
  <c r="H57" i="181" s="1"/>
  <c r="H31" i="294"/>
  <c r="H36" i="294"/>
  <c r="H56" i="294" s="1"/>
  <c r="BZ22" i="262"/>
  <c r="BV22" i="262"/>
  <c r="BR22" i="262"/>
  <c r="BN22" i="262"/>
  <c r="BJ22" i="262"/>
  <c r="BF22" i="262"/>
  <c r="BB22" i="262"/>
  <c r="AX22" i="262"/>
  <c r="AT22" i="262"/>
  <c r="AP22" i="262"/>
  <c r="AL22" i="262"/>
  <c r="AH39" i="262"/>
  <c r="Z39" i="262"/>
  <c r="V39" i="262"/>
  <c r="N39" i="262"/>
  <c r="AD39" i="262"/>
  <c r="R39" i="262"/>
  <c r="J39" i="262"/>
  <c r="AH22" i="262"/>
  <c r="AD22" i="262"/>
  <c r="Z22" i="262"/>
  <c r="V22" i="262"/>
  <c r="R22" i="262"/>
  <c r="N22" i="262"/>
  <c r="J22" i="262"/>
  <c r="F24" i="286"/>
  <c r="F53" i="286" s="1"/>
  <c r="B84" i="262"/>
  <c r="D15" i="286"/>
  <c r="CA37" i="262"/>
  <c r="D23" i="309"/>
  <c r="F25" i="309"/>
  <c r="F57" i="309" s="1"/>
  <c r="D57" i="309" s="1"/>
  <c r="D23" i="303"/>
  <c r="F25" i="303"/>
  <c r="D25" i="303" s="1"/>
  <c r="B69" i="262"/>
  <c r="F35" i="286"/>
  <c r="F54" i="286" s="1"/>
  <c r="D54" i="286" s="1"/>
  <c r="B85" i="262"/>
  <c r="M54" i="11"/>
  <c r="I39" i="298"/>
  <c r="I36" i="298"/>
  <c r="I33" i="298"/>
  <c r="I29" i="298"/>
  <c r="H39" i="188"/>
  <c r="H57" i="188" s="1"/>
  <c r="I29" i="308"/>
  <c r="I29" i="306"/>
  <c r="D27" i="302"/>
  <c r="F29" i="302"/>
  <c r="D29" i="302" s="1"/>
  <c r="F36" i="302"/>
  <c r="F56" i="302" s="1"/>
  <c r="D56" i="302" s="1"/>
  <c r="F39" i="302"/>
  <c r="F57" i="302" s="1"/>
  <c r="D57" i="302" s="1"/>
  <c r="H33" i="302"/>
  <c r="H31" i="302"/>
  <c r="H36" i="302"/>
  <c r="H56" i="302" s="1"/>
  <c r="D36" i="312"/>
  <c r="H36" i="179"/>
  <c r="H56" i="179" s="1"/>
  <c r="H31" i="179"/>
  <c r="H33" i="179"/>
  <c r="D36" i="188"/>
  <c r="H33" i="289"/>
  <c r="H36" i="289"/>
  <c r="H56" i="289" s="1"/>
  <c r="H31" i="298"/>
  <c r="H36" i="298"/>
  <c r="H56" i="298" s="1"/>
  <c r="H33" i="298"/>
  <c r="D23" i="312"/>
  <c r="F25" i="312"/>
  <c r="F57" i="312" s="1"/>
  <c r="D57" i="312" s="1"/>
  <c r="H39" i="302"/>
  <c r="H57" i="302" s="1"/>
  <c r="H36" i="188"/>
  <c r="H56" i="188" s="1"/>
  <c r="H31" i="188"/>
  <c r="H33" i="188"/>
  <c r="H31" i="181"/>
  <c r="H33" i="181"/>
  <c r="H36" i="181"/>
  <c r="H56" i="181" s="1"/>
  <c r="H39" i="180"/>
  <c r="H57" i="180" s="1"/>
  <c r="H39" i="179"/>
  <c r="H57" i="179" s="1"/>
  <c r="H39" i="289"/>
  <c r="H57" i="289" s="1"/>
  <c r="H31" i="289"/>
  <c r="D36" i="309"/>
  <c r="B60" i="262"/>
  <c r="H36" i="180"/>
  <c r="H56" i="180" s="1"/>
  <c r="H33" i="180"/>
  <c r="H31" i="180"/>
  <c r="D39" i="296"/>
  <c r="D17" i="286"/>
  <c r="D39" i="307"/>
  <c r="D17" i="287"/>
  <c r="A6" i="304"/>
  <c r="A6" i="306"/>
  <c r="A6" i="305"/>
  <c r="I36" i="297"/>
  <c r="I33" i="297"/>
  <c r="I29" i="297"/>
  <c r="I39" i="297"/>
  <c r="D23" i="289"/>
  <c r="F25" i="289"/>
  <c r="D23" i="297"/>
  <c r="F25" i="297"/>
  <c r="D25" i="297" s="1"/>
  <c r="G25" i="298"/>
  <c r="I25" i="298"/>
  <c r="D23" i="293"/>
  <c r="F25" i="293"/>
  <c r="D25" i="293" s="1"/>
  <c r="W155" i="1"/>
  <c r="X155" i="1" s="1"/>
  <c r="V155" i="1"/>
  <c r="X57" i="1"/>
  <c r="H33" i="303"/>
  <c r="H36" i="303"/>
  <c r="H56" i="303" s="1"/>
  <c r="H31" i="303"/>
  <c r="H31" i="311"/>
  <c r="H39" i="311"/>
  <c r="H57" i="311" s="1"/>
  <c r="H33" i="311"/>
  <c r="H36" i="311"/>
  <c r="H56" i="311" s="1"/>
  <c r="H36" i="312"/>
  <c r="H56" i="312" s="1"/>
  <c r="H33" i="312"/>
  <c r="H31" i="312"/>
  <c r="H39" i="303"/>
  <c r="H57" i="303" s="1"/>
  <c r="I36" i="305"/>
  <c r="I56" i="305" s="1"/>
  <c r="L21" i="264"/>
  <c r="Y21" i="264" s="1"/>
  <c r="T21" i="264" s="1"/>
  <c r="I29" i="311"/>
  <c r="I36" i="311"/>
  <c r="I56" i="311" s="1"/>
  <c r="I33" i="311"/>
  <c r="D36" i="293"/>
  <c r="I33" i="286"/>
  <c r="I29" i="286"/>
  <c r="I36" i="286"/>
  <c r="I56" i="286" s="1"/>
  <c r="D39" i="298"/>
  <c r="I39" i="311"/>
  <c r="I57" i="311" s="1"/>
  <c r="D23" i="298"/>
  <c r="F25" i="298"/>
  <c r="F57" i="298" s="1"/>
  <c r="D57" i="298" s="1"/>
  <c r="T67" i="39"/>
  <c r="T73" i="39"/>
  <c r="T74" i="39" s="1"/>
  <c r="R67" i="39"/>
  <c r="R73" i="39"/>
  <c r="P67" i="39"/>
  <c r="P73" i="39"/>
  <c r="I33" i="69"/>
  <c r="I36" i="69"/>
  <c r="I29" i="69"/>
  <c r="I39" i="69"/>
  <c r="B104" i="262"/>
  <c r="H39" i="312"/>
  <c r="H57" i="312" s="1"/>
  <c r="B61" i="262"/>
  <c r="H25" i="10"/>
  <c r="E36" i="1106" s="1"/>
  <c r="F26" i="10"/>
  <c r="C39" i="1107" s="1"/>
  <c r="D39" i="1107" s="1"/>
  <c r="G25" i="10"/>
  <c r="T80" i="12"/>
  <c r="T63" i="12"/>
  <c r="E32" i="35"/>
  <c r="Y19" i="264"/>
  <c r="T19" i="264" s="1"/>
  <c r="L37" i="264"/>
  <c r="D39" i="293"/>
  <c r="H39" i="299"/>
  <c r="H57" i="299" s="1"/>
  <c r="S73" i="39"/>
  <c r="S67" i="39"/>
  <c r="D27" i="69"/>
  <c r="F39" i="69"/>
  <c r="F57" i="69" s="1"/>
  <c r="D57" i="69" s="1"/>
  <c r="F33" i="69"/>
  <c r="D33" i="69" s="1"/>
  <c r="F36" i="69"/>
  <c r="F56" i="69" s="1"/>
  <c r="D56" i="69" s="1"/>
  <c r="F29" i="69"/>
  <c r="F46" i="69" s="1"/>
  <c r="D36" i="297"/>
  <c r="F39" i="305"/>
  <c r="F57" i="305" s="1"/>
  <c r="D57" i="305" s="1"/>
  <c r="D27" i="305"/>
  <c r="I36" i="293"/>
  <c r="I56" i="293" s="1"/>
  <c r="I33" i="293"/>
  <c r="I29" i="293"/>
  <c r="H33" i="291"/>
  <c r="H36" i="291"/>
  <c r="H56" i="291" s="1"/>
  <c r="D23" i="301"/>
  <c r="F25" i="301"/>
  <c r="F57" i="301" s="1"/>
  <c r="D57" i="301" s="1"/>
  <c r="B156" i="1"/>
  <c r="B59" i="1"/>
  <c r="I24" i="10"/>
  <c r="M24" i="10" s="1"/>
  <c r="F32" i="35"/>
  <c r="E19" i="264"/>
  <c r="T81" i="12"/>
  <c r="T66" i="12"/>
  <c r="T76" i="12" s="1"/>
  <c r="T64" i="12"/>
  <c r="E37" i="264"/>
  <c r="G40" i="262"/>
  <c r="H43" i="38" s="1"/>
  <c r="O14" i="6"/>
  <c r="H15" i="286"/>
  <c r="G16" i="286"/>
  <c r="K15" i="286"/>
  <c r="G14" i="286"/>
  <c r="G48" i="286" s="1"/>
  <c r="I14" i="286"/>
  <c r="I48" i="286" s="1"/>
  <c r="D14" i="286"/>
  <c r="R32" i="286"/>
  <c r="G24" i="286"/>
  <c r="R31" i="286"/>
  <c r="I18" i="286"/>
  <c r="I24" i="286" s="1"/>
  <c r="L32" i="286"/>
  <c r="O50" i="6"/>
  <c r="V171" i="1"/>
  <c r="X73" i="1"/>
  <c r="W171" i="1"/>
  <c r="X171" i="1" s="1"/>
  <c r="O65" i="6"/>
  <c r="G23" i="262"/>
  <c r="O13" i="6"/>
  <c r="H31" i="310"/>
  <c r="H33" i="310"/>
  <c r="H36" i="310"/>
  <c r="H56" i="310" s="1"/>
  <c r="D108" i="39"/>
  <c r="C108" i="39" s="1"/>
  <c r="E108" i="39" s="1"/>
  <c r="C67" i="6"/>
  <c r="D122" i="39"/>
  <c r="B45" i="262"/>
  <c r="E31" i="11"/>
  <c r="A164" i="39"/>
  <c r="D39" i="310"/>
  <c r="H31" i="300"/>
  <c r="H33" i="300"/>
  <c r="H36" i="300"/>
  <c r="H56" i="300" s="1"/>
  <c r="H39" i="300"/>
  <c r="H57" i="300" s="1"/>
  <c r="F29" i="287"/>
  <c r="F46" i="287" s="1"/>
  <c r="D27" i="287"/>
  <c r="F36" i="287"/>
  <c r="F56" i="287" s="1"/>
  <c r="D56" i="287" s="1"/>
  <c r="F33" i="287"/>
  <c r="D33" i="287" s="1"/>
  <c r="F39" i="287"/>
  <c r="F57" i="287" s="1"/>
  <c r="D57" i="287" s="1"/>
  <c r="D29" i="286"/>
  <c r="D36" i="286"/>
  <c r="I36" i="295"/>
  <c r="I29" i="295"/>
  <c r="I33" i="295"/>
  <c r="I36" i="287"/>
  <c r="I56" i="287" s="1"/>
  <c r="I29" i="287"/>
  <c r="I33" i="287"/>
  <c r="F25" i="304"/>
  <c r="D25" i="304" s="1"/>
  <c r="D23" i="304"/>
  <c r="D23" i="292"/>
  <c r="F25" i="292"/>
  <c r="F57" i="292" s="1"/>
  <c r="D57" i="292" s="1"/>
  <c r="I25" i="69"/>
  <c r="G25" i="69"/>
  <c r="G24" i="69"/>
  <c r="J86" i="39"/>
  <c r="E30" i="11"/>
  <c r="B72" i="38"/>
  <c r="B35" i="35"/>
  <c r="D36" i="292"/>
  <c r="I39" i="287"/>
  <c r="I57" i="287" s="1"/>
  <c r="I39" i="295"/>
  <c r="H39" i="310"/>
  <c r="H57" i="310" s="1"/>
  <c r="D39" i="303"/>
  <c r="H39" i="304"/>
  <c r="H57" i="304" s="1"/>
  <c r="D39" i="301"/>
  <c r="D36" i="305"/>
  <c r="H27" i="295"/>
  <c r="B57" i="262"/>
  <c r="H36" i="293"/>
  <c r="H56" i="293" s="1"/>
  <c r="H31" i="293"/>
  <c r="H33" i="293"/>
  <c r="H39" i="293"/>
  <c r="H57" i="293" s="1"/>
  <c r="F29" i="300"/>
  <c r="D27" i="300"/>
  <c r="F36" i="300"/>
  <c r="F56" i="300" s="1"/>
  <c r="D56" i="300" s="1"/>
  <c r="F33" i="300"/>
  <c r="D33" i="300" s="1"/>
  <c r="F39" i="300"/>
  <c r="F57" i="300" s="1"/>
  <c r="D57" i="300" s="1"/>
  <c r="H27" i="301"/>
  <c r="H39" i="301" s="1"/>
  <c r="H57" i="301" s="1"/>
  <c r="K124" i="39"/>
  <c r="K125" i="39"/>
  <c r="O76" i="39"/>
  <c r="O75" i="39"/>
  <c r="O20" i="264"/>
  <c r="R20" i="264"/>
  <c r="P20" i="264"/>
  <c r="K38" i="264"/>
  <c r="X20" i="264"/>
  <c r="S20" i="264" s="1"/>
  <c r="E27" i="10"/>
  <c r="G40" i="1107" s="1"/>
  <c r="I40" i="1107" s="1"/>
  <c r="BB26" i="10"/>
  <c r="AF26" i="10" s="1"/>
  <c r="AJ26" i="10" s="1"/>
  <c r="BC26" i="10"/>
  <c r="AG26" i="10" s="1"/>
  <c r="AK26" i="10" s="1"/>
  <c r="BD26" i="10"/>
  <c r="AH26" i="10" s="1"/>
  <c r="AL26" i="10" s="1"/>
  <c r="BE26" i="10"/>
  <c r="AI26" i="10" s="1"/>
  <c r="AM26" i="10" s="1"/>
  <c r="H21" i="264"/>
  <c r="M21" i="264"/>
  <c r="J39" i="264"/>
  <c r="H39" i="264"/>
  <c r="I16" i="69"/>
  <c r="F16" i="69"/>
  <c r="D16" i="69" s="1"/>
  <c r="D15" i="69"/>
  <c r="G27" i="69"/>
  <c r="I33" i="301"/>
  <c r="B46" i="262"/>
  <c r="C138" i="39"/>
  <c r="D139" i="39"/>
  <c r="C52" i="6"/>
  <c r="B172" i="1"/>
  <c r="B75" i="1"/>
  <c r="H33" i="297"/>
  <c r="H31" i="297"/>
  <c r="H36" i="297"/>
  <c r="H56" i="297" s="1"/>
  <c r="D36" i="310"/>
  <c r="F33" i="295"/>
  <c r="D33" i="295" s="1"/>
  <c r="F36" i="295"/>
  <c r="F56" i="295" s="1"/>
  <c r="D56" i="295" s="1"/>
  <c r="F29" i="295"/>
  <c r="D27" i="295"/>
  <c r="F39" i="295"/>
  <c r="F57" i="295" s="1"/>
  <c r="D57" i="295" s="1"/>
  <c r="D39" i="286"/>
  <c r="D39" i="297"/>
  <c r="H39" i="297"/>
  <c r="H57" i="297" s="1"/>
  <c r="D29" i="301"/>
  <c r="B88" i="262"/>
  <c r="D39" i="306"/>
  <c r="D29" i="288"/>
  <c r="B147" i="39"/>
  <c r="J107" i="39"/>
  <c r="B103" i="39"/>
  <c r="A94" i="39" s="1"/>
  <c r="D36" i="304"/>
  <c r="D36" i="303"/>
  <c r="D39" i="304"/>
  <c r="H33" i="305"/>
  <c r="H31" i="305"/>
  <c r="H39" i="305"/>
  <c r="H57" i="305" s="1"/>
  <c r="H36" i="305"/>
  <c r="H56" i="305" s="1"/>
  <c r="D36" i="306"/>
  <c r="D36" i="311"/>
  <c r="D36" i="288"/>
  <c r="H27" i="288"/>
  <c r="I36" i="300"/>
  <c r="I56" i="300" s="1"/>
  <c r="I33" i="300"/>
  <c r="I29" i="300"/>
  <c r="I33" i="310"/>
  <c r="I29" i="310"/>
  <c r="I36" i="310"/>
  <c r="I56" i="310" s="1"/>
  <c r="K123" i="39"/>
  <c r="B8" i="3"/>
  <c r="C8" i="3" s="1"/>
  <c r="A9" i="3"/>
  <c r="AA37" i="264"/>
  <c r="V37" i="264" s="1"/>
  <c r="R37" i="264"/>
  <c r="AA20" i="264"/>
  <c r="V20" i="264" s="1"/>
  <c r="N38" i="264"/>
  <c r="L38" i="264"/>
  <c r="G14" i="69"/>
  <c r="G48" i="69" s="1"/>
  <c r="F35" i="69"/>
  <c r="D35" i="69" s="1"/>
  <c r="D14" i="69"/>
  <c r="I14" i="69"/>
  <c r="I48" i="69" s="1"/>
  <c r="H15" i="69"/>
  <c r="G16" i="69"/>
  <c r="K15" i="69"/>
  <c r="F24" i="69"/>
  <c r="D18" i="69"/>
  <c r="D17" i="69"/>
  <c r="R31" i="69"/>
  <c r="R32" i="69"/>
  <c r="L32" i="69"/>
  <c r="B163" i="39"/>
  <c r="I29" i="301"/>
  <c r="W58" i="1"/>
  <c r="G56" i="1103"/>
  <c r="G362" i="1103"/>
  <c r="F362" i="1103"/>
  <c r="Q74" i="1"/>
  <c r="I56" i="262"/>
  <c r="P74" i="1"/>
  <c r="G56" i="262"/>
  <c r="I56" i="1103"/>
  <c r="W74" i="1"/>
  <c r="V74" i="1"/>
  <c r="H362" i="1103"/>
  <c r="P58" i="1"/>
  <c r="I362" i="1103"/>
  <c r="V58" i="1"/>
  <c r="N51" i="6"/>
  <c r="N15" i="6"/>
  <c r="Q58" i="1"/>
  <c r="F73" i="262"/>
  <c r="N66" i="6"/>
  <c r="E73" i="262"/>
  <c r="E362" i="1103"/>
  <c r="P65" i="6"/>
  <c r="P50" i="6"/>
  <c r="I56" i="295" l="1"/>
  <c r="T75" i="12"/>
  <c r="Z20" i="264"/>
  <c r="U20" i="264" s="1"/>
  <c r="L39" i="264"/>
  <c r="Y39" i="264" s="1"/>
  <c r="T39" i="264" s="1"/>
  <c r="P36" i="1106"/>
  <c r="D14" i="287"/>
  <c r="F49" i="287"/>
  <c r="D49" i="287" s="1"/>
  <c r="I14" i="287"/>
  <c r="I48" i="287" s="1"/>
  <c r="F35" i="287"/>
  <c r="F47" i="287" s="1"/>
  <c r="D47" i="287" s="1"/>
  <c r="G14" i="287"/>
  <c r="G48" i="287" s="1"/>
  <c r="O19" i="1107"/>
  <c r="P19" i="1107"/>
  <c r="Q19" i="1107"/>
  <c r="O18" i="1107"/>
  <c r="P18" i="1107"/>
  <c r="Q18" i="1107"/>
  <c r="Q37" i="1107"/>
  <c r="P37" i="1107"/>
  <c r="O37" i="1107"/>
  <c r="Q17" i="1107"/>
  <c r="O17" i="1107"/>
  <c r="P17" i="1107"/>
  <c r="J38" i="1107"/>
  <c r="K38" i="1107" s="1"/>
  <c r="Q75" i="12"/>
  <c r="N36" i="1106"/>
  <c r="B44" i="1"/>
  <c r="B141" i="1"/>
  <c r="J20" i="1107"/>
  <c r="K20" i="1107" s="1"/>
  <c r="J40" i="1107"/>
  <c r="K40" i="1107" s="1"/>
  <c r="Q36" i="1107"/>
  <c r="P36" i="1107"/>
  <c r="O36" i="1107"/>
  <c r="L22" i="264"/>
  <c r="D184" i="39"/>
  <c r="C183" i="39"/>
  <c r="E183" i="39" s="1"/>
  <c r="O77" i="39"/>
  <c r="B89" i="39"/>
  <c r="B73" i="262"/>
  <c r="D48" i="38" s="1"/>
  <c r="C73" i="262"/>
  <c r="D39" i="180"/>
  <c r="I57" i="312"/>
  <c r="BW32" i="1106"/>
  <c r="CM32" i="1106" s="1"/>
  <c r="BY32" i="1106"/>
  <c r="CO32" i="1106" s="1"/>
  <c r="BS32" i="1106"/>
  <c r="CI32" i="1106" s="1"/>
  <c r="BT32" i="1106"/>
  <c r="CJ32" i="1106" s="1"/>
  <c r="BX32" i="1106"/>
  <c r="CN32" i="1106" s="1"/>
  <c r="BV32" i="1106"/>
  <c r="CL32" i="1106" s="1"/>
  <c r="BU32" i="1106"/>
  <c r="CK32" i="1106" s="1"/>
  <c r="BZ32" i="1106"/>
  <c r="CP32" i="1106" s="1"/>
  <c r="BR32" i="1106"/>
  <c r="CH32" i="1106" s="1"/>
  <c r="BQ32" i="1106"/>
  <c r="CG32" i="1106" s="1"/>
  <c r="BN32" i="1106"/>
  <c r="CD32" i="1106" s="1"/>
  <c r="BO32" i="1106"/>
  <c r="CE32" i="1106" s="1"/>
  <c r="CA32" i="1106"/>
  <c r="CQ32" i="1106" s="1"/>
  <c r="D18" i="287"/>
  <c r="G21" i="1106"/>
  <c r="C21" i="1121"/>
  <c r="D21" i="1121" s="1"/>
  <c r="C37" i="1106"/>
  <c r="K35" i="1106"/>
  <c r="M35" i="1106"/>
  <c r="L35" i="1106"/>
  <c r="G21" i="1121"/>
  <c r="I21" i="1122"/>
  <c r="H38" i="1106"/>
  <c r="AS34" i="1106"/>
  <c r="BH34" i="1106" s="1"/>
  <c r="AC34" i="1106"/>
  <c r="AR34" i="1106"/>
  <c r="BG34" i="1106" s="1"/>
  <c r="AB34" i="1106"/>
  <c r="AM34" i="1106"/>
  <c r="BB34" i="1106" s="1"/>
  <c r="W34" i="1106"/>
  <c r="AL34" i="1106"/>
  <c r="BA34" i="1106" s="1"/>
  <c r="AT34" i="1106"/>
  <c r="BI34" i="1106" s="1"/>
  <c r="AV34" i="1106"/>
  <c r="BK34" i="1106" s="1"/>
  <c r="AQ34" i="1106"/>
  <c r="BF34" i="1106" s="1"/>
  <c r="AH34" i="1106"/>
  <c r="AO34" i="1106"/>
  <c r="BD34" i="1106" s="1"/>
  <c r="Y34" i="1106"/>
  <c r="AN34" i="1106"/>
  <c r="BC34" i="1106" s="1"/>
  <c r="X34" i="1106"/>
  <c r="AI34" i="1106"/>
  <c r="AP34" i="1106"/>
  <c r="BE34" i="1106" s="1"/>
  <c r="V34" i="1106"/>
  <c r="AW34" i="1106"/>
  <c r="BL34" i="1106" s="1"/>
  <c r="CA34" i="1106" s="1"/>
  <c r="CQ34" i="1106" s="1"/>
  <c r="AF34" i="1106"/>
  <c r="AD34" i="1106"/>
  <c r="AK34" i="1106"/>
  <c r="AZ34" i="1106" s="1"/>
  <c r="U34" i="1106"/>
  <c r="AJ34" i="1106"/>
  <c r="AY34" i="1106" s="1"/>
  <c r="AU34" i="1106"/>
  <c r="BJ34" i="1106" s="1"/>
  <c r="AE34" i="1106"/>
  <c r="Z34" i="1106"/>
  <c r="AX34" i="1106"/>
  <c r="BM34" i="1106" s="1"/>
  <c r="AG34" i="1106"/>
  <c r="AA34" i="1106"/>
  <c r="J38" i="1106"/>
  <c r="C21" i="1122"/>
  <c r="D21" i="1122" s="1"/>
  <c r="F37" i="1106"/>
  <c r="O24" i="13"/>
  <c r="O7" i="1121"/>
  <c r="H37" i="1106"/>
  <c r="I22" i="1122"/>
  <c r="H22" i="1122"/>
  <c r="I38" i="1106"/>
  <c r="G22" i="1122"/>
  <c r="I22" i="1121"/>
  <c r="K21" i="264"/>
  <c r="H22" i="1121"/>
  <c r="F38" i="1106"/>
  <c r="N24" i="13"/>
  <c r="N7" i="1121"/>
  <c r="P24" i="13"/>
  <c r="P7" i="1121"/>
  <c r="G21" i="1107"/>
  <c r="I21" i="1107" s="1"/>
  <c r="J37" i="1106"/>
  <c r="AK33" i="1106"/>
  <c r="AZ33" i="1106" s="1"/>
  <c r="U33" i="1106"/>
  <c r="AR33" i="1106"/>
  <c r="BG33" i="1106" s="1"/>
  <c r="AB33" i="1106"/>
  <c r="V33" i="1106"/>
  <c r="AI33" i="1106"/>
  <c r="AX33" i="1106"/>
  <c r="BM33" i="1106" s="1"/>
  <c r="AF33" i="1106"/>
  <c r="W33" i="1106"/>
  <c r="AW33" i="1106"/>
  <c r="BL33" i="1106" s="1"/>
  <c r="AG33" i="1106"/>
  <c r="AT33" i="1106"/>
  <c r="BI33" i="1106" s="1"/>
  <c r="AN33" i="1106"/>
  <c r="BC33" i="1106" s="1"/>
  <c r="X33" i="1106"/>
  <c r="AU33" i="1106"/>
  <c r="BJ33" i="1106" s="1"/>
  <c r="AE33" i="1106"/>
  <c r="AL33" i="1106"/>
  <c r="BA33" i="1106" s="1"/>
  <c r="BP33" i="1106" s="1"/>
  <c r="CF33" i="1106" s="1"/>
  <c r="AO33" i="1106"/>
  <c r="BD33" i="1106" s="1"/>
  <c r="AV33" i="1106"/>
  <c r="BK33" i="1106" s="1"/>
  <c r="BZ33" i="1106" s="1"/>
  <c r="CP33" i="1106" s="1"/>
  <c r="AH33" i="1106"/>
  <c r="AS33" i="1106"/>
  <c r="BH33" i="1106" s="1"/>
  <c r="AC33" i="1106"/>
  <c r="AD33" i="1106"/>
  <c r="AJ33" i="1106"/>
  <c r="AY33" i="1106" s="1"/>
  <c r="AP33" i="1106"/>
  <c r="BE33" i="1106" s="1"/>
  <c r="AQ33" i="1106"/>
  <c r="BF33" i="1106" s="1"/>
  <c r="AA33" i="1106"/>
  <c r="Z33" i="1106"/>
  <c r="Y33" i="1106"/>
  <c r="AM33" i="1106"/>
  <c r="BB33" i="1106" s="1"/>
  <c r="BQ33" i="1106" s="1"/>
  <c r="CG33" i="1106" s="1"/>
  <c r="I21" i="1121"/>
  <c r="H21" i="1121"/>
  <c r="G21" i="1122"/>
  <c r="G22" i="1121"/>
  <c r="I37" i="1106"/>
  <c r="BP32" i="1106"/>
  <c r="CF32" i="1106" s="1"/>
  <c r="K36" i="1106"/>
  <c r="M36" i="1106"/>
  <c r="L36" i="1106"/>
  <c r="F16" i="287"/>
  <c r="D16" i="287" s="1"/>
  <c r="E20" i="1121"/>
  <c r="E34" i="1122"/>
  <c r="E20" i="1122"/>
  <c r="E34" i="1121"/>
  <c r="D15" i="287"/>
  <c r="R31" i="287"/>
  <c r="AG39" i="287" s="1"/>
  <c r="R32" i="287"/>
  <c r="G16" i="287"/>
  <c r="G24" i="287"/>
  <c r="K15" i="287"/>
  <c r="J56" i="1103"/>
  <c r="R56" i="1103"/>
  <c r="N56" i="1103"/>
  <c r="G58" i="1103"/>
  <c r="G59" i="1103" s="1"/>
  <c r="G60" i="1103" s="1"/>
  <c r="G61" i="1103" s="1"/>
  <c r="G62" i="1103" s="1"/>
  <c r="G63" i="1103" s="1"/>
  <c r="G64" i="1103" s="1"/>
  <c r="G65" i="1103" s="1"/>
  <c r="G66" i="1103" s="1"/>
  <c r="G67" i="1103" s="1"/>
  <c r="G68" i="1103" s="1"/>
  <c r="G69" i="1103" s="1"/>
  <c r="G70" i="1103" s="1"/>
  <c r="G71" i="1103" s="1"/>
  <c r="O15" i="6"/>
  <c r="R56" i="262"/>
  <c r="G57" i="262"/>
  <c r="H46" i="38" s="1"/>
  <c r="F45" i="38"/>
  <c r="V56" i="262"/>
  <c r="AH56" i="262"/>
  <c r="Z56" i="262"/>
  <c r="N56" i="262"/>
  <c r="AD56" i="262"/>
  <c r="J56" i="262"/>
  <c r="C21" i="1107"/>
  <c r="D21" i="1107" s="1"/>
  <c r="G53" i="288"/>
  <c r="C73" i="1103"/>
  <c r="B73" i="1103"/>
  <c r="I23" i="1106"/>
  <c r="M19" i="1106"/>
  <c r="L19" i="1106"/>
  <c r="K19" i="1106"/>
  <c r="G22" i="1107"/>
  <c r="I22" i="1107" s="1"/>
  <c r="H22" i="1106"/>
  <c r="J22" i="1106"/>
  <c r="H22" i="264"/>
  <c r="D36" i="180"/>
  <c r="BZ17" i="1106"/>
  <c r="CP17" i="1106" s="1"/>
  <c r="CB18" i="1106"/>
  <c r="CR18" i="1106" s="1"/>
  <c r="BV18" i="1106"/>
  <c r="CL18" i="1106" s="1"/>
  <c r="BW18" i="1106"/>
  <c r="CM18" i="1106" s="1"/>
  <c r="BS18" i="1106"/>
  <c r="CI18" i="1106" s="1"/>
  <c r="K20" i="1106"/>
  <c r="L20" i="1106"/>
  <c r="M20" i="1106"/>
  <c r="P21" i="1106"/>
  <c r="D21" i="1106"/>
  <c r="I39" i="264"/>
  <c r="J21" i="264"/>
  <c r="J23" i="1106"/>
  <c r="I22" i="1106"/>
  <c r="I53" i="287"/>
  <c r="I18" i="287" s="1"/>
  <c r="I24" i="287" s="1"/>
  <c r="I21" i="264"/>
  <c r="N21" i="264"/>
  <c r="H23" i="1106"/>
  <c r="G39" i="1107"/>
  <c r="I39" i="1107" s="1"/>
  <c r="BP18" i="1106"/>
  <c r="CF18" i="1106" s="1"/>
  <c r="BS17" i="1106"/>
  <c r="CI17" i="1106" s="1"/>
  <c r="AI39" i="13"/>
  <c r="AE39" i="13"/>
  <c r="AH39" i="13"/>
  <c r="AF39" i="13"/>
  <c r="AD39" i="13"/>
  <c r="AG39" i="13"/>
  <c r="H44" i="13"/>
  <c r="J44" i="13"/>
  <c r="I44" i="13"/>
  <c r="K44" i="13"/>
  <c r="Q44" i="13" s="1"/>
  <c r="S24" i="13"/>
  <c r="T24" i="13"/>
  <c r="R24" i="13"/>
  <c r="AD21" i="13"/>
  <c r="AF21" i="13"/>
  <c r="AH21" i="13"/>
  <c r="AE21" i="13"/>
  <c r="AG21" i="13"/>
  <c r="E41" i="13"/>
  <c r="AI21" i="13"/>
  <c r="E138" i="39"/>
  <c r="I98" i="39"/>
  <c r="K98" i="39" s="1"/>
  <c r="I57" i="299"/>
  <c r="G31" i="35"/>
  <c r="I56" i="297"/>
  <c r="CA17" i="1106"/>
  <c r="CQ17" i="1106" s="1"/>
  <c r="BR18" i="1106"/>
  <c r="CH18" i="1106" s="1"/>
  <c r="BY18" i="1106"/>
  <c r="CO18" i="1106" s="1"/>
  <c r="BT17" i="1106"/>
  <c r="CJ17" i="1106" s="1"/>
  <c r="BN18" i="1106"/>
  <c r="CD18" i="1106" s="1"/>
  <c r="BZ18" i="1106"/>
  <c r="CP18" i="1106" s="1"/>
  <c r="CA18" i="1106"/>
  <c r="CQ18" i="1106" s="1"/>
  <c r="BU17" i="1106"/>
  <c r="CK17" i="1106" s="1"/>
  <c r="BR17" i="1106"/>
  <c r="CH17" i="1106" s="1"/>
  <c r="BP17" i="1106"/>
  <c r="CF17" i="1106" s="1"/>
  <c r="BX17" i="1106"/>
  <c r="CN17" i="1106" s="1"/>
  <c r="BQ17" i="1106"/>
  <c r="CG17" i="1106" s="1"/>
  <c r="BW17" i="1106"/>
  <c r="CM17" i="1106" s="1"/>
  <c r="BX18" i="1106"/>
  <c r="CN18" i="1106" s="1"/>
  <c r="BT18" i="1106"/>
  <c r="CJ18" i="1106" s="1"/>
  <c r="BN17" i="1106"/>
  <c r="BQ18" i="1106"/>
  <c r="CG18" i="1106" s="1"/>
  <c r="BO18" i="1106"/>
  <c r="BY17" i="1106"/>
  <c r="CO17" i="1106" s="1"/>
  <c r="BV17" i="1106"/>
  <c r="CL17" i="1106" s="1"/>
  <c r="BO17" i="1106"/>
  <c r="CE17" i="1106" s="1"/>
  <c r="BU18" i="1106"/>
  <c r="CK18" i="1106" s="1"/>
  <c r="F56" i="310"/>
  <c r="D56" i="310" s="1"/>
  <c r="F56" i="308"/>
  <c r="D56" i="308" s="1"/>
  <c r="Q37" i="264"/>
  <c r="E20" i="1107"/>
  <c r="E38" i="1107"/>
  <c r="Q85" i="12"/>
  <c r="G375" i="1103"/>
  <c r="N362" i="1103"/>
  <c r="G373" i="1103"/>
  <c r="G372" i="1103"/>
  <c r="G366" i="1103"/>
  <c r="G369" i="1103"/>
  <c r="G367" i="1103"/>
  <c r="G370" i="1103"/>
  <c r="G365" i="1103"/>
  <c r="G364" i="1103"/>
  <c r="G371" i="1103"/>
  <c r="G368" i="1103"/>
  <c r="H363" i="1103"/>
  <c r="G377" i="1103"/>
  <c r="G376" i="1103"/>
  <c r="R362" i="1103"/>
  <c r="G374" i="1103"/>
  <c r="J362" i="1103"/>
  <c r="H347" i="1103"/>
  <c r="L346" i="1103"/>
  <c r="M346" i="1103" s="1"/>
  <c r="T346" i="1103"/>
  <c r="U346" i="1103" s="1"/>
  <c r="P346" i="1103"/>
  <c r="Q346" i="1103" s="1"/>
  <c r="H331" i="1103"/>
  <c r="P330" i="1103"/>
  <c r="Q330" i="1103" s="1"/>
  <c r="T330" i="1103"/>
  <c r="U330" i="1103" s="1"/>
  <c r="L330" i="1103"/>
  <c r="M330" i="1103" s="1"/>
  <c r="A293" i="261"/>
  <c r="K345" i="1103"/>
  <c r="M345" i="1103"/>
  <c r="Q345" i="1103"/>
  <c r="O345" i="1103"/>
  <c r="U345" i="1103"/>
  <c r="S345" i="1103"/>
  <c r="A174" i="261"/>
  <c r="A396" i="1103"/>
  <c r="P314" i="1103"/>
  <c r="Q314" i="1103" s="1"/>
  <c r="H315" i="1103"/>
  <c r="L314" i="1103"/>
  <c r="M314" i="1103" s="1"/>
  <c r="T314" i="1103"/>
  <c r="U314" i="1103" s="1"/>
  <c r="H36" i="287"/>
  <c r="H56" i="287" s="1"/>
  <c r="D36" i="308"/>
  <c r="I57" i="295"/>
  <c r="I57" i="297"/>
  <c r="I57" i="289"/>
  <c r="I57" i="301"/>
  <c r="H31" i="287"/>
  <c r="H33" i="287"/>
  <c r="F57" i="310"/>
  <c r="D57" i="310" s="1"/>
  <c r="F56" i="181"/>
  <c r="D56" i="181" s="1"/>
  <c r="G37" i="264"/>
  <c r="G19" i="264"/>
  <c r="B20" i="9"/>
  <c r="G22" i="1106" s="1"/>
  <c r="J34" i="9"/>
  <c r="L26" i="10"/>
  <c r="K25" i="10"/>
  <c r="G36" i="1106" s="1"/>
  <c r="L25" i="10"/>
  <c r="O37" i="264"/>
  <c r="I56" i="299"/>
  <c r="D39" i="290"/>
  <c r="F57" i="308"/>
  <c r="D57" i="308" s="1"/>
  <c r="F57" i="181"/>
  <c r="D57" i="181" s="1"/>
  <c r="D25" i="183"/>
  <c r="F56" i="183"/>
  <c r="D56" i="183" s="1"/>
  <c r="F57" i="183"/>
  <c r="D57" i="183" s="1"/>
  <c r="K117" i="39"/>
  <c r="D36" i="290"/>
  <c r="I56" i="301"/>
  <c r="I56" i="289"/>
  <c r="F57" i="179"/>
  <c r="D57" i="179" s="1"/>
  <c r="F56" i="179"/>
  <c r="D56" i="179" s="1"/>
  <c r="AR26" i="10"/>
  <c r="AQ26" i="10"/>
  <c r="R85" i="12"/>
  <c r="F19" i="286"/>
  <c r="D19" i="286" s="1"/>
  <c r="I57" i="69"/>
  <c r="I56" i="69"/>
  <c r="F57" i="289"/>
  <c r="D57" i="289" s="1"/>
  <c r="F56" i="289"/>
  <c r="D56" i="289" s="1"/>
  <c r="I56" i="298"/>
  <c r="D25" i="311"/>
  <c r="F57" i="311"/>
  <c r="D57" i="311" s="1"/>
  <c r="F56" i="298"/>
  <c r="D56" i="298" s="1"/>
  <c r="F56" i="293"/>
  <c r="D56" i="293" s="1"/>
  <c r="F56" i="311"/>
  <c r="D56" i="311" s="1"/>
  <c r="F57" i="304"/>
  <c r="D57" i="304" s="1"/>
  <c r="F56" i="309"/>
  <c r="D56" i="309" s="1"/>
  <c r="F56" i="303"/>
  <c r="D56" i="303" s="1"/>
  <c r="F56" i="292"/>
  <c r="D56" i="292" s="1"/>
  <c r="F57" i="297"/>
  <c r="D57" i="297" s="1"/>
  <c r="I57" i="298"/>
  <c r="F56" i="312"/>
  <c r="D56" i="312" s="1"/>
  <c r="F57" i="303"/>
  <c r="D57" i="303" s="1"/>
  <c r="F56" i="301"/>
  <c r="D56" i="301" s="1"/>
  <c r="F56" i="297"/>
  <c r="D56" i="297" s="1"/>
  <c r="F57" i="293"/>
  <c r="D57" i="293" s="1"/>
  <c r="F56" i="304"/>
  <c r="D56" i="304" s="1"/>
  <c r="D46" i="287"/>
  <c r="F51" i="287"/>
  <c r="D51" i="287" s="1"/>
  <c r="D53" i="287"/>
  <c r="D53" i="286"/>
  <c r="F51" i="286"/>
  <c r="D51" i="286" s="1"/>
  <c r="G39" i="286"/>
  <c r="I43" i="286"/>
  <c r="F43" i="286"/>
  <c r="D43" i="286" s="1"/>
  <c r="F47" i="286"/>
  <c r="D47" i="286" s="1"/>
  <c r="H16" i="287"/>
  <c r="G39" i="287"/>
  <c r="I43" i="287"/>
  <c r="F43" i="287"/>
  <c r="D43" i="287" s="1"/>
  <c r="I49" i="286"/>
  <c r="D46" i="286"/>
  <c r="F50" i="286"/>
  <c r="D49" i="286"/>
  <c r="G49" i="286"/>
  <c r="D46" i="69"/>
  <c r="I43" i="69"/>
  <c r="F43" i="69"/>
  <c r="D43" i="69" s="1"/>
  <c r="G49" i="69"/>
  <c r="F54" i="69"/>
  <c r="D54" i="69" s="1"/>
  <c r="I26" i="69"/>
  <c r="F53" i="69"/>
  <c r="F47" i="69"/>
  <c r="D47" i="69" s="1"/>
  <c r="D49" i="69"/>
  <c r="I49" i="69"/>
  <c r="B93" i="39"/>
  <c r="C39" i="264"/>
  <c r="D39" i="264" s="1"/>
  <c r="B125" i="1"/>
  <c r="B28" i="1"/>
  <c r="R36" i="264"/>
  <c r="Q36" i="264"/>
  <c r="L16" i="6"/>
  <c r="C15" i="66"/>
  <c r="H17" i="6"/>
  <c r="G15" i="66"/>
  <c r="H15" i="66" s="1"/>
  <c r="D15" i="66"/>
  <c r="C21" i="264"/>
  <c r="D21" i="264" s="1"/>
  <c r="G15" i="288"/>
  <c r="A8" i="288"/>
  <c r="F18" i="288"/>
  <c r="F15" i="288"/>
  <c r="F17" i="288"/>
  <c r="G29" i="289"/>
  <c r="A8" i="289"/>
  <c r="I15" i="289"/>
  <c r="G15" i="289"/>
  <c r="I15" i="288"/>
  <c r="F14" i="288"/>
  <c r="F48" i="288" s="1"/>
  <c r="D48" i="288" s="1"/>
  <c r="G29" i="288"/>
  <c r="F15" i="289"/>
  <c r="F14" i="289"/>
  <c r="F48" i="289" s="1"/>
  <c r="D48" i="289" s="1"/>
  <c r="F18" i="289"/>
  <c r="F17" i="289"/>
  <c r="P36" i="264"/>
  <c r="O36" i="264"/>
  <c r="F16" i="6"/>
  <c r="G16" i="6" s="1"/>
  <c r="F17" i="6"/>
  <c r="G17" i="6" s="1"/>
  <c r="B16" i="6"/>
  <c r="D16" i="6"/>
  <c r="H16" i="6"/>
  <c r="E16" i="6"/>
  <c r="A107" i="262"/>
  <c r="G36" i="286"/>
  <c r="D36" i="307"/>
  <c r="G31" i="287"/>
  <c r="G31" i="286"/>
  <c r="G33" i="286"/>
  <c r="G36" i="287"/>
  <c r="G33" i="287"/>
  <c r="I26" i="286"/>
  <c r="D24" i="286"/>
  <c r="D109" i="39"/>
  <c r="C109" i="39" s="1"/>
  <c r="E109" i="39" s="1"/>
  <c r="F26" i="286"/>
  <c r="F55" i="286" s="1"/>
  <c r="D55" i="286" s="1"/>
  <c r="D35" i="286"/>
  <c r="B101" i="262"/>
  <c r="F19" i="69"/>
  <c r="D19" i="69" s="1"/>
  <c r="D25" i="309"/>
  <c r="B86" i="262"/>
  <c r="B102" i="262"/>
  <c r="G35" i="286"/>
  <c r="D36" i="302"/>
  <c r="D39" i="302"/>
  <c r="D25" i="312"/>
  <c r="B77" i="262"/>
  <c r="F26" i="287"/>
  <c r="F55" i="287" s="1"/>
  <c r="D55" i="287" s="1"/>
  <c r="G24" i="262"/>
  <c r="D25" i="289"/>
  <c r="Q32" i="287"/>
  <c r="P32" i="287"/>
  <c r="N32" i="287"/>
  <c r="O32" i="287"/>
  <c r="M32" i="287"/>
  <c r="I26" i="287"/>
  <c r="D24" i="287"/>
  <c r="V156" i="1"/>
  <c r="X58" i="1"/>
  <c r="W156" i="1"/>
  <c r="X156" i="1" s="1"/>
  <c r="F26" i="69"/>
  <c r="B157" i="1"/>
  <c r="B60" i="1"/>
  <c r="D25" i="301"/>
  <c r="D39" i="305"/>
  <c r="B30" i="262"/>
  <c r="D36" i="69"/>
  <c r="D39" i="69"/>
  <c r="Y37" i="264"/>
  <c r="T37" i="264" s="1"/>
  <c r="P37" i="264"/>
  <c r="T85" i="12"/>
  <c r="I25" i="10"/>
  <c r="M25" i="10" s="1"/>
  <c r="E20" i="264"/>
  <c r="E38" i="264"/>
  <c r="F33" i="35"/>
  <c r="B78" i="262"/>
  <c r="B121" i="262"/>
  <c r="D25" i="298"/>
  <c r="G32" i="35"/>
  <c r="B33" i="38"/>
  <c r="D29" i="69"/>
  <c r="E33" i="35"/>
  <c r="G26" i="10"/>
  <c r="F27" i="10"/>
  <c r="C22" i="1122" s="1"/>
  <c r="D22" i="1122" s="1"/>
  <c r="H26" i="10"/>
  <c r="E37" i="1106" s="1"/>
  <c r="M32" i="286"/>
  <c r="P32" i="286"/>
  <c r="N32" i="286"/>
  <c r="Q32" i="286"/>
  <c r="O32" i="286"/>
  <c r="AG31" i="286"/>
  <c r="R33" i="286"/>
  <c r="R34" i="286" s="1"/>
  <c r="AG39" i="286"/>
  <c r="I35" i="286"/>
  <c r="I54" i="286" s="1"/>
  <c r="H14" i="286"/>
  <c r="H48" i="286" s="1"/>
  <c r="H16" i="286"/>
  <c r="X74" i="1"/>
  <c r="V172" i="1"/>
  <c r="W172" i="1"/>
  <c r="X172" i="1" s="1"/>
  <c r="O51" i="6"/>
  <c r="O66" i="6"/>
  <c r="AG39" i="69"/>
  <c r="R33" i="69"/>
  <c r="R34" i="69" s="1"/>
  <c r="AG31" i="69"/>
  <c r="I35" i="69"/>
  <c r="I54" i="69" s="1"/>
  <c r="D166" i="39"/>
  <c r="C166" i="39" s="1"/>
  <c r="E166" i="39" s="1"/>
  <c r="N32" i="69"/>
  <c r="M32" i="69"/>
  <c r="P32" i="69"/>
  <c r="O32" i="69"/>
  <c r="Q32" i="69"/>
  <c r="I18" i="69"/>
  <c r="I24" i="69" s="1"/>
  <c r="D24" i="69"/>
  <c r="H16" i="69"/>
  <c r="H14" i="69"/>
  <c r="H48" i="69" s="1"/>
  <c r="Y38" i="264"/>
  <c r="T38" i="264" s="1"/>
  <c r="P38" i="264"/>
  <c r="AA38" i="264"/>
  <c r="V38" i="264" s="1"/>
  <c r="R38" i="264"/>
  <c r="D96" i="39"/>
  <c r="C96" i="39" s="1"/>
  <c r="E96" i="39" s="1"/>
  <c r="D150" i="39"/>
  <c r="C150" i="39" s="1"/>
  <c r="E150" i="39" s="1"/>
  <c r="B105" i="262"/>
  <c r="D39" i="295"/>
  <c r="D36" i="295"/>
  <c r="B76" i="1"/>
  <c r="B173" i="1"/>
  <c r="C53" i="6"/>
  <c r="J100" i="39"/>
  <c r="I100" i="39" s="1"/>
  <c r="I99" i="39"/>
  <c r="K99" i="39" s="1"/>
  <c r="I86" i="39"/>
  <c r="K86" i="39" s="1"/>
  <c r="J87" i="39"/>
  <c r="D25" i="292"/>
  <c r="D36" i="287"/>
  <c r="D29" i="287"/>
  <c r="B62" i="262"/>
  <c r="C122" i="39"/>
  <c r="E122" i="39" s="1"/>
  <c r="D123" i="39"/>
  <c r="C68" i="6"/>
  <c r="B9" i="3"/>
  <c r="C9" i="3" s="1"/>
  <c r="A10" i="3"/>
  <c r="H33" i="288"/>
  <c r="H31" i="288"/>
  <c r="H36" i="288"/>
  <c r="H56" i="288" s="1"/>
  <c r="I107" i="39"/>
  <c r="K107" i="39" s="1"/>
  <c r="J108" i="39"/>
  <c r="D29" i="295"/>
  <c r="C139" i="39"/>
  <c r="E139" i="39" s="1"/>
  <c r="D140" i="39"/>
  <c r="B63" i="262"/>
  <c r="G35" i="69"/>
  <c r="G33" i="69"/>
  <c r="G31" i="69"/>
  <c r="G39" i="69"/>
  <c r="G36" i="69"/>
  <c r="P39" i="264"/>
  <c r="Y22" i="264"/>
  <c r="T22" i="264" s="1"/>
  <c r="L40" i="264"/>
  <c r="Y40" i="264" s="1"/>
  <c r="T40" i="264" s="1"/>
  <c r="M39" i="264"/>
  <c r="Z39" i="264" s="1"/>
  <c r="U39" i="264" s="1"/>
  <c r="Z21" i="264"/>
  <c r="U21" i="264" s="1"/>
  <c r="E28" i="10"/>
  <c r="I23" i="264" s="1"/>
  <c r="BB27" i="10"/>
  <c r="AF27" i="10" s="1"/>
  <c r="AJ27" i="10" s="1"/>
  <c r="BC27" i="10"/>
  <c r="AG27" i="10" s="1"/>
  <c r="AK27" i="10" s="1"/>
  <c r="BD27" i="10"/>
  <c r="AH27" i="10" s="1"/>
  <c r="AL27" i="10" s="1"/>
  <c r="BE27" i="10"/>
  <c r="AI27" i="10" s="1"/>
  <c r="AM27" i="10" s="1"/>
  <c r="K22" i="264"/>
  <c r="N22" i="264"/>
  <c r="M22" i="264"/>
  <c r="I40" i="264"/>
  <c r="I22" i="264"/>
  <c r="J22" i="264"/>
  <c r="J40" i="264"/>
  <c r="H40" i="264"/>
  <c r="X38" i="264"/>
  <c r="S38" i="264" s="1"/>
  <c r="O38" i="264"/>
  <c r="Q21" i="264"/>
  <c r="H31" i="301"/>
  <c r="H36" i="301"/>
  <c r="H56" i="301" s="1"/>
  <c r="H33" i="301"/>
  <c r="D39" i="300"/>
  <c r="D36" i="300"/>
  <c r="D29" i="300"/>
  <c r="B74" i="262"/>
  <c r="H31" i="295"/>
  <c r="H33" i="295"/>
  <c r="H36" i="295"/>
  <c r="H56" i="295" s="1"/>
  <c r="H39" i="295"/>
  <c r="H57" i="295" s="1"/>
  <c r="B36" i="35"/>
  <c r="H39" i="288"/>
  <c r="H57" i="288" s="1"/>
  <c r="B75" i="38"/>
  <c r="D39" i="287"/>
  <c r="F16" i="1104"/>
  <c r="W75" i="1"/>
  <c r="F90" i="262"/>
  <c r="N52" i="6"/>
  <c r="F17" i="1104"/>
  <c r="I73" i="262"/>
  <c r="W59" i="1"/>
  <c r="G73" i="1103"/>
  <c r="P66" i="6"/>
  <c r="N16" i="6"/>
  <c r="P75" i="1"/>
  <c r="N67" i="6"/>
  <c r="G90" i="262"/>
  <c r="I73" i="1103"/>
  <c r="P59" i="1"/>
  <c r="Q59" i="1"/>
  <c r="Q75" i="1"/>
  <c r="V75" i="1"/>
  <c r="G379" i="1103"/>
  <c r="E90" i="262"/>
  <c r="I379" i="1103"/>
  <c r="E379" i="1103"/>
  <c r="P51" i="6"/>
  <c r="V59" i="1"/>
  <c r="G90" i="1103"/>
  <c r="H379" i="1103"/>
  <c r="F379" i="1103"/>
  <c r="G73" i="262"/>
  <c r="D35" i="287" l="1"/>
  <c r="F50" i="287"/>
  <c r="F54" i="287"/>
  <c r="D54" i="287" s="1"/>
  <c r="I35" i="287"/>
  <c r="I54" i="287" s="1"/>
  <c r="H14" i="287"/>
  <c r="H48" i="287" s="1"/>
  <c r="G49" i="287"/>
  <c r="G35" i="287"/>
  <c r="G54" i="287" s="1"/>
  <c r="K54" i="287" s="1"/>
  <c r="I49" i="287"/>
  <c r="Q40" i="1107"/>
  <c r="P40" i="1107"/>
  <c r="O40" i="1107"/>
  <c r="H23" i="264"/>
  <c r="C16" i="66"/>
  <c r="D17" i="6"/>
  <c r="B30" i="11"/>
  <c r="O78" i="39"/>
  <c r="O79" i="39"/>
  <c r="B142" i="1"/>
  <c r="B45" i="1"/>
  <c r="P38" i="1107"/>
  <c r="O38" i="1107"/>
  <c r="Q38" i="1107"/>
  <c r="E17" i="6"/>
  <c r="J22" i="1107"/>
  <c r="K22" i="1107" s="1"/>
  <c r="C90" i="262"/>
  <c r="D16" i="66"/>
  <c r="K26" i="10"/>
  <c r="G37" i="1106" s="1"/>
  <c r="J39" i="1107"/>
  <c r="K39" i="1107" s="1"/>
  <c r="N37" i="1106"/>
  <c r="B90" i="262"/>
  <c r="D51" i="38" s="1"/>
  <c r="L17" i="6"/>
  <c r="J21" i="1107"/>
  <c r="K21" i="1107" s="1"/>
  <c r="O20" i="1107"/>
  <c r="P20" i="1107"/>
  <c r="Q20" i="1107"/>
  <c r="B17" i="6"/>
  <c r="G16" i="66"/>
  <c r="H16" i="66" s="1"/>
  <c r="BU34" i="1106"/>
  <c r="CK34" i="1106" s="1"/>
  <c r="I41" i="264"/>
  <c r="C184" i="39"/>
  <c r="E184" i="39" s="1"/>
  <c r="D185" i="39"/>
  <c r="B90" i="39"/>
  <c r="B91" i="39" s="1"/>
  <c r="A83" i="39" s="1"/>
  <c r="J39" i="1106"/>
  <c r="C38" i="1106"/>
  <c r="D38" i="1106" s="1"/>
  <c r="H41" i="264"/>
  <c r="BX33" i="1106"/>
  <c r="CN33" i="1106" s="1"/>
  <c r="BY34" i="1106"/>
  <c r="CO34" i="1106" s="1"/>
  <c r="BP34" i="1106"/>
  <c r="CF34" i="1106" s="1"/>
  <c r="BY33" i="1106"/>
  <c r="CO33" i="1106" s="1"/>
  <c r="BU33" i="1106"/>
  <c r="CK33" i="1106" s="1"/>
  <c r="BT33" i="1106"/>
  <c r="CJ33" i="1106" s="1"/>
  <c r="CB33" i="1106"/>
  <c r="CR33" i="1106" s="1"/>
  <c r="BO33" i="1106"/>
  <c r="CE33" i="1106" s="1"/>
  <c r="BQ34" i="1106"/>
  <c r="CG34" i="1106" s="1"/>
  <c r="BV33" i="1106"/>
  <c r="CL33" i="1106" s="1"/>
  <c r="BS33" i="1106"/>
  <c r="CI33" i="1106" s="1"/>
  <c r="CA33" i="1106"/>
  <c r="CQ33" i="1106" s="1"/>
  <c r="BO34" i="1106"/>
  <c r="CE34" i="1106" s="1"/>
  <c r="BN33" i="1106"/>
  <c r="CB34" i="1106"/>
  <c r="CR34" i="1106" s="1"/>
  <c r="BV34" i="1106"/>
  <c r="CL34" i="1106" s="1"/>
  <c r="BW33" i="1106"/>
  <c r="CM33" i="1106" s="1"/>
  <c r="BR33" i="1106"/>
  <c r="CH33" i="1106" s="1"/>
  <c r="BT34" i="1106"/>
  <c r="CJ34" i="1106" s="1"/>
  <c r="N44" i="13"/>
  <c r="N7" i="1122"/>
  <c r="Y20" i="1121"/>
  <c r="P20" i="1121" s="1"/>
  <c r="S20" i="1121" s="1"/>
  <c r="Y30" i="1121"/>
  <c r="P30" i="1121" s="1"/>
  <c r="S30" i="1121" s="1"/>
  <c r="Y16" i="1121"/>
  <c r="P16" i="1121" s="1"/>
  <c r="S16" i="1121" s="1"/>
  <c r="Y18" i="1121"/>
  <c r="P18" i="1121" s="1"/>
  <c r="S18" i="1121" s="1"/>
  <c r="Y17" i="1121"/>
  <c r="P17" i="1121" s="1"/>
  <c r="S17" i="1121" s="1"/>
  <c r="Y31" i="1121"/>
  <c r="P31" i="1121" s="1"/>
  <c r="S31" i="1121" s="1"/>
  <c r="Y19" i="1121"/>
  <c r="P19" i="1121" s="1"/>
  <c r="S19" i="1121" s="1"/>
  <c r="Y32" i="1121"/>
  <c r="P32" i="1121" s="1"/>
  <c r="S32" i="1121" s="1"/>
  <c r="Y21" i="1121"/>
  <c r="P21" i="1121" s="1"/>
  <c r="S21" i="1121" s="1"/>
  <c r="Y33" i="1121"/>
  <c r="P33" i="1121" s="1"/>
  <c r="S33" i="1121" s="1"/>
  <c r="Y22" i="1121"/>
  <c r="P22" i="1121" s="1"/>
  <c r="S22" i="1121" s="1"/>
  <c r="Y34" i="1121"/>
  <c r="P34" i="1121" s="1"/>
  <c r="S34" i="1121" s="1"/>
  <c r="Y23" i="1121"/>
  <c r="P23" i="1121" s="1"/>
  <c r="S23" i="1121" s="1"/>
  <c r="Y24" i="1121"/>
  <c r="P24" i="1121" s="1"/>
  <c r="S24" i="1121" s="1"/>
  <c r="Y25" i="1121"/>
  <c r="P25" i="1121" s="1"/>
  <c r="S25" i="1121" s="1"/>
  <c r="CC32" i="1106"/>
  <c r="CS32" i="1106" s="1"/>
  <c r="P38" i="1106"/>
  <c r="J22" i="1121"/>
  <c r="X18" i="1121"/>
  <c r="O18" i="1121" s="1"/>
  <c r="R18" i="1121" s="1"/>
  <c r="X30" i="1121"/>
  <c r="O30" i="1121" s="1"/>
  <c r="R30" i="1121" s="1"/>
  <c r="X16" i="1121"/>
  <c r="O16" i="1121" s="1"/>
  <c r="R16" i="1121" s="1"/>
  <c r="X31" i="1121"/>
  <c r="O31" i="1121" s="1"/>
  <c r="R31" i="1121" s="1"/>
  <c r="X17" i="1121"/>
  <c r="O17" i="1121" s="1"/>
  <c r="R17" i="1121" s="1"/>
  <c r="X32" i="1121"/>
  <c r="O32" i="1121" s="1"/>
  <c r="R32" i="1121" s="1"/>
  <c r="X20" i="1121"/>
  <c r="O20" i="1121" s="1"/>
  <c r="R20" i="1121" s="1"/>
  <c r="X19" i="1121"/>
  <c r="O19" i="1121" s="1"/>
  <c r="R19" i="1121" s="1"/>
  <c r="X33" i="1121"/>
  <c r="O33" i="1121" s="1"/>
  <c r="R33" i="1121" s="1"/>
  <c r="X21" i="1121"/>
  <c r="O21" i="1121" s="1"/>
  <c r="R21" i="1121" s="1"/>
  <c r="X22" i="1121"/>
  <c r="O22" i="1121" s="1"/>
  <c r="R22" i="1121" s="1"/>
  <c r="X34" i="1121"/>
  <c r="O34" i="1121" s="1"/>
  <c r="R34" i="1121" s="1"/>
  <c r="X23" i="1121"/>
  <c r="O23" i="1121" s="1"/>
  <c r="R23" i="1121" s="1"/>
  <c r="X24" i="1121"/>
  <c r="O24" i="1121" s="1"/>
  <c r="R24" i="1121" s="1"/>
  <c r="X25" i="1121"/>
  <c r="O25" i="1121" s="1"/>
  <c r="R25" i="1121" s="1"/>
  <c r="BZ34" i="1106"/>
  <c r="CP34" i="1106" s="1"/>
  <c r="BW34" i="1106"/>
  <c r="CM34" i="1106" s="1"/>
  <c r="AJ35" i="1106"/>
  <c r="AY35" i="1106" s="1"/>
  <c r="AU35" i="1106"/>
  <c r="BJ35" i="1106" s="1"/>
  <c r="AE35" i="1106"/>
  <c r="AT35" i="1106"/>
  <c r="BI35" i="1106" s="1"/>
  <c r="AD35" i="1106"/>
  <c r="Y35" i="1106"/>
  <c r="AG35" i="1106"/>
  <c r="AL35" i="1106"/>
  <c r="BA35" i="1106" s="1"/>
  <c r="AC35" i="1106"/>
  <c r="X35" i="1106"/>
  <c r="AX35" i="1106"/>
  <c r="BM35" i="1106" s="1"/>
  <c r="AO35" i="1106"/>
  <c r="BD35" i="1106" s="1"/>
  <c r="AV35" i="1106"/>
  <c r="BK35" i="1106" s="1"/>
  <c r="AF35" i="1106"/>
  <c r="AQ35" i="1106"/>
  <c r="BF35" i="1106" s="1"/>
  <c r="AA35" i="1106"/>
  <c r="AP35" i="1106"/>
  <c r="BE35" i="1106" s="1"/>
  <c r="Z35" i="1106"/>
  <c r="AK35" i="1106"/>
  <c r="AZ35" i="1106" s="1"/>
  <c r="AS35" i="1106"/>
  <c r="BH35" i="1106" s="1"/>
  <c r="U35" i="1106"/>
  <c r="AW35" i="1106"/>
  <c r="BL35" i="1106" s="1"/>
  <c r="AR35" i="1106"/>
  <c r="BG35" i="1106" s="1"/>
  <c r="AB35" i="1106"/>
  <c r="AM35" i="1106"/>
  <c r="BB35" i="1106" s="1"/>
  <c r="W35" i="1106"/>
  <c r="V35" i="1106"/>
  <c r="AN35" i="1106"/>
  <c r="BC35" i="1106" s="1"/>
  <c r="AI35" i="1106"/>
  <c r="AH35" i="1106"/>
  <c r="H39" i="1106"/>
  <c r="BN34" i="1106"/>
  <c r="BS34" i="1106"/>
  <c r="CI34" i="1106" s="1"/>
  <c r="BX34" i="1106"/>
  <c r="CN34" i="1106" s="1"/>
  <c r="D37" i="1106"/>
  <c r="P37" i="1106"/>
  <c r="I39" i="1106"/>
  <c r="I23" i="1122"/>
  <c r="J30" i="1121"/>
  <c r="J16" i="1121"/>
  <c r="J31" i="1121"/>
  <c r="J17" i="1121"/>
  <c r="J20" i="1121"/>
  <c r="J18" i="1121"/>
  <c r="J32" i="1121"/>
  <c r="J19" i="1121"/>
  <c r="J33" i="1121"/>
  <c r="O44" i="13"/>
  <c r="O7" i="1122"/>
  <c r="W18" i="1121"/>
  <c r="N18" i="1121" s="1"/>
  <c r="Q18" i="1121" s="1"/>
  <c r="W30" i="1121"/>
  <c r="N30" i="1121" s="1"/>
  <c r="Q30" i="1121" s="1"/>
  <c r="W17" i="1121"/>
  <c r="N17" i="1121" s="1"/>
  <c r="Q17" i="1121" s="1"/>
  <c r="W16" i="1121"/>
  <c r="N16" i="1121" s="1"/>
  <c r="Q16" i="1121" s="1"/>
  <c r="W31" i="1121"/>
  <c r="N31" i="1121" s="1"/>
  <c r="Q31" i="1121" s="1"/>
  <c r="W19" i="1121"/>
  <c r="N19" i="1121" s="1"/>
  <c r="Q19" i="1121" s="1"/>
  <c r="W20" i="1121"/>
  <c r="N20" i="1121" s="1"/>
  <c r="Q20" i="1121" s="1"/>
  <c r="W32" i="1121"/>
  <c r="N32" i="1121" s="1"/>
  <c r="Q32" i="1121" s="1"/>
  <c r="W33" i="1121"/>
  <c r="N33" i="1121" s="1"/>
  <c r="Q33" i="1121" s="1"/>
  <c r="W21" i="1121"/>
  <c r="N21" i="1121" s="1"/>
  <c r="Q21" i="1121" s="1"/>
  <c r="W34" i="1121"/>
  <c r="N34" i="1121" s="1"/>
  <c r="Q34" i="1121" s="1"/>
  <c r="W22" i="1121"/>
  <c r="N22" i="1121" s="1"/>
  <c r="Q22" i="1121" s="1"/>
  <c r="W23" i="1121"/>
  <c r="N23" i="1121" s="1"/>
  <c r="Q23" i="1121" s="1"/>
  <c r="W24" i="1121"/>
  <c r="N24" i="1121" s="1"/>
  <c r="Q24" i="1121" s="1"/>
  <c r="W25" i="1121"/>
  <c r="N25" i="1121" s="1"/>
  <c r="Q25" i="1121" s="1"/>
  <c r="I23" i="1121"/>
  <c r="J23" i="1121" s="1"/>
  <c r="H23" i="1122"/>
  <c r="G23" i="1122"/>
  <c r="P44" i="13"/>
  <c r="P7" i="1122"/>
  <c r="AQ36" i="1106"/>
  <c r="BF36" i="1106" s="1"/>
  <c r="AA36" i="1106"/>
  <c r="AL36" i="1106"/>
  <c r="BA36" i="1106" s="1"/>
  <c r="AV36" i="1106"/>
  <c r="BK36" i="1106" s="1"/>
  <c r="Z36" i="1106"/>
  <c r="AJ36" i="1106"/>
  <c r="AY36" i="1106" s="1"/>
  <c r="AC36" i="1106"/>
  <c r="AH36" i="1106"/>
  <c r="AU36" i="1106"/>
  <c r="BJ36" i="1106" s="1"/>
  <c r="V36" i="1106"/>
  <c r="AX36" i="1106"/>
  <c r="BM36" i="1106" s="1"/>
  <c r="AM36" i="1106"/>
  <c r="BB36" i="1106" s="1"/>
  <c r="W36" i="1106"/>
  <c r="AG36" i="1106"/>
  <c r="AP36" i="1106"/>
  <c r="BE36" i="1106" s="1"/>
  <c r="U36" i="1106"/>
  <c r="AD36" i="1106"/>
  <c r="AS36" i="1106"/>
  <c r="BH36" i="1106" s="1"/>
  <c r="AR36" i="1106"/>
  <c r="BG36" i="1106" s="1"/>
  <c r="AF36" i="1106"/>
  <c r="AN36" i="1106"/>
  <c r="BC36" i="1106" s="1"/>
  <c r="AI36" i="1106"/>
  <c r="AW36" i="1106"/>
  <c r="BL36" i="1106" s="1"/>
  <c r="AB36" i="1106"/>
  <c r="AK36" i="1106"/>
  <c r="AZ36" i="1106" s="1"/>
  <c r="AT36" i="1106"/>
  <c r="BI36" i="1106" s="1"/>
  <c r="Y36" i="1106"/>
  <c r="X36" i="1106"/>
  <c r="AE36" i="1106"/>
  <c r="AO36" i="1106"/>
  <c r="BD36" i="1106" s="1"/>
  <c r="J21" i="1121"/>
  <c r="J34" i="1121"/>
  <c r="K39" i="264"/>
  <c r="X21" i="264"/>
  <c r="S21" i="264" s="1"/>
  <c r="F39" i="1106"/>
  <c r="BR34" i="1106"/>
  <c r="CH34" i="1106" s="1"/>
  <c r="F19" i="287"/>
  <c r="D19" i="287" s="1"/>
  <c r="AG31" i="287"/>
  <c r="F21" i="1121"/>
  <c r="F21" i="1122"/>
  <c r="E21" i="1121"/>
  <c r="E21" i="1122"/>
  <c r="F20" i="1121"/>
  <c r="F34" i="1122"/>
  <c r="F34" i="1121"/>
  <c r="F20" i="1122"/>
  <c r="R33" i="287"/>
  <c r="AG33" i="287" s="1"/>
  <c r="G58" i="262"/>
  <c r="I46" i="38" s="1"/>
  <c r="J73" i="1103"/>
  <c r="N73" i="1103"/>
  <c r="R73" i="1103"/>
  <c r="P23" i="1106"/>
  <c r="D23" i="1106"/>
  <c r="J41" i="264"/>
  <c r="M23" i="264"/>
  <c r="Z23" i="264" s="1"/>
  <c r="U23" i="264" s="1"/>
  <c r="C22" i="1107"/>
  <c r="D22" i="1107" s="1"/>
  <c r="C90" i="1103"/>
  <c r="AQ20" i="1106"/>
  <c r="BF20" i="1106" s="1"/>
  <c r="AE20" i="1106"/>
  <c r="AX20" i="1106"/>
  <c r="BM20" i="1106" s="1"/>
  <c r="W20" i="1106"/>
  <c r="AG20" i="1106"/>
  <c r="AB20" i="1106"/>
  <c r="AT20" i="1106"/>
  <c r="BI20" i="1106" s="1"/>
  <c r="AK20" i="1106"/>
  <c r="AZ20" i="1106" s="1"/>
  <c r="AA20" i="1106"/>
  <c r="AS20" i="1106"/>
  <c r="BH20" i="1106" s="1"/>
  <c r="AH20" i="1106"/>
  <c r="AL20" i="1106"/>
  <c r="BA20" i="1106" s="1"/>
  <c r="BP20" i="1106" s="1"/>
  <c r="CF20" i="1106" s="1"/>
  <c r="AN20" i="1106"/>
  <c r="BC20" i="1106" s="1"/>
  <c r="Z20" i="1106"/>
  <c r="AF20" i="1106"/>
  <c r="AR20" i="1106"/>
  <c r="BG20" i="1106" s="1"/>
  <c r="AO20" i="1106"/>
  <c r="BD20" i="1106" s="1"/>
  <c r="AJ20" i="1106"/>
  <c r="AY20" i="1106" s="1"/>
  <c r="Y20" i="1106"/>
  <c r="V20" i="1106"/>
  <c r="AP20" i="1106"/>
  <c r="BE20" i="1106" s="1"/>
  <c r="U20" i="1106"/>
  <c r="AI20" i="1106"/>
  <c r="AU20" i="1106"/>
  <c r="BJ20" i="1106" s="1"/>
  <c r="AW20" i="1106"/>
  <c r="BL20" i="1106" s="1"/>
  <c r="AC20" i="1106"/>
  <c r="AV20" i="1106"/>
  <c r="BK20" i="1106" s="1"/>
  <c r="X20" i="1106"/>
  <c r="AM20" i="1106"/>
  <c r="BB20" i="1106" s="1"/>
  <c r="AD20" i="1106"/>
  <c r="J24" i="1106"/>
  <c r="G23" i="1107"/>
  <c r="I23" i="1107" s="1"/>
  <c r="I24" i="1106"/>
  <c r="Q56" i="1103"/>
  <c r="O56" i="1103"/>
  <c r="L23" i="264"/>
  <c r="L41" i="264" s="1"/>
  <c r="Y41" i="264" s="1"/>
  <c r="T41" i="264" s="1"/>
  <c r="K23" i="264"/>
  <c r="X23" i="264" s="1"/>
  <c r="S23" i="264" s="1"/>
  <c r="O21" i="264"/>
  <c r="R21" i="264"/>
  <c r="P21" i="264"/>
  <c r="L21" i="1106"/>
  <c r="K21" i="1106"/>
  <c r="M21" i="1106"/>
  <c r="AW19" i="1106"/>
  <c r="BL19" i="1106" s="1"/>
  <c r="AD19" i="1106"/>
  <c r="Y19" i="1106"/>
  <c r="U19" i="1106"/>
  <c r="AJ19" i="1106"/>
  <c r="AY19" i="1106" s="1"/>
  <c r="X19" i="1106"/>
  <c r="AO19" i="1106"/>
  <c r="BD19" i="1106" s="1"/>
  <c r="V19" i="1106"/>
  <c r="AM19" i="1106"/>
  <c r="BB19" i="1106" s="1"/>
  <c r="AX19" i="1106"/>
  <c r="BM19" i="1106" s="1"/>
  <c r="AQ19" i="1106"/>
  <c r="BF19" i="1106" s="1"/>
  <c r="W19" i="1106"/>
  <c r="AL19" i="1106"/>
  <c r="BA19" i="1106" s="1"/>
  <c r="AH19" i="1106"/>
  <c r="AT19" i="1106"/>
  <c r="BI19" i="1106" s="1"/>
  <c r="AS19" i="1106"/>
  <c r="BH19" i="1106" s="1"/>
  <c r="AR19" i="1106"/>
  <c r="BG19" i="1106" s="1"/>
  <c r="AP19" i="1106"/>
  <c r="BE19" i="1106" s="1"/>
  <c r="AV19" i="1106"/>
  <c r="BK19" i="1106" s="1"/>
  <c r="AA19" i="1106"/>
  <c r="AI19" i="1106"/>
  <c r="AU19" i="1106"/>
  <c r="BJ19" i="1106" s="1"/>
  <c r="AN19" i="1106"/>
  <c r="BC19" i="1106" s="1"/>
  <c r="AB19" i="1106"/>
  <c r="AK19" i="1106"/>
  <c r="AZ19" i="1106" s="1"/>
  <c r="AF19" i="1106"/>
  <c r="AC19" i="1106"/>
  <c r="AG19" i="1106"/>
  <c r="AE19" i="1106"/>
  <c r="Z19" i="1106"/>
  <c r="I53" i="288"/>
  <c r="I18" i="288" s="1"/>
  <c r="I24" i="288" s="1"/>
  <c r="U56" i="1103"/>
  <c r="S56" i="1103"/>
  <c r="N39" i="264"/>
  <c r="AA21" i="264"/>
  <c r="V21" i="264" s="1"/>
  <c r="G41" i="1107"/>
  <c r="I41" i="1107" s="1"/>
  <c r="H24" i="1106"/>
  <c r="P22" i="1106"/>
  <c r="D22" i="1106"/>
  <c r="B90" i="1103"/>
  <c r="G53" i="289"/>
  <c r="L32" i="289" s="1"/>
  <c r="K56" i="1103"/>
  <c r="M56" i="1103"/>
  <c r="AF40" i="13"/>
  <c r="AE40" i="13"/>
  <c r="AD40" i="13"/>
  <c r="AH40" i="13"/>
  <c r="AI40" i="13"/>
  <c r="AG40" i="13"/>
  <c r="J16" i="313"/>
  <c r="J18" i="313"/>
  <c r="J17" i="313"/>
  <c r="J19" i="313"/>
  <c r="CD17" i="1106"/>
  <c r="CC17" i="1106"/>
  <c r="CS17" i="1106" s="1"/>
  <c r="CE18" i="1106"/>
  <c r="CC18" i="1106"/>
  <c r="CS18" i="1106" s="1"/>
  <c r="E21" i="1107"/>
  <c r="E39" i="1107"/>
  <c r="F38" i="1107"/>
  <c r="F20" i="1107"/>
  <c r="F21" i="1107"/>
  <c r="F39" i="1107"/>
  <c r="G384" i="1103"/>
  <c r="G387" i="1103"/>
  <c r="G386" i="1103"/>
  <c r="G385" i="1103"/>
  <c r="G383" i="1103"/>
  <c r="G392" i="1103"/>
  <c r="N379" i="1103"/>
  <c r="G394" i="1103"/>
  <c r="G393" i="1103"/>
  <c r="G381" i="1103"/>
  <c r="G382" i="1103"/>
  <c r="G388" i="1103"/>
  <c r="G391" i="1103"/>
  <c r="G390" i="1103"/>
  <c r="G389" i="1103"/>
  <c r="R379" i="1103"/>
  <c r="H380" i="1103"/>
  <c r="J379" i="1103"/>
  <c r="P315" i="1103"/>
  <c r="Q315" i="1103" s="1"/>
  <c r="H316" i="1103"/>
  <c r="L315" i="1103"/>
  <c r="M315" i="1103" s="1"/>
  <c r="T315" i="1103"/>
  <c r="U315" i="1103" s="1"/>
  <c r="H364" i="1103"/>
  <c r="L363" i="1103"/>
  <c r="M363" i="1103" s="1"/>
  <c r="P363" i="1103"/>
  <c r="Q363" i="1103" s="1"/>
  <c r="T363" i="1103"/>
  <c r="U363" i="1103" s="1"/>
  <c r="K362" i="1103"/>
  <c r="M362" i="1103"/>
  <c r="Q362" i="1103"/>
  <c r="O362" i="1103"/>
  <c r="S362" i="1103"/>
  <c r="U362" i="1103"/>
  <c r="A413" i="1103"/>
  <c r="A310" i="261"/>
  <c r="P331" i="1103"/>
  <c r="Q331" i="1103" s="1"/>
  <c r="L331" i="1103"/>
  <c r="M331" i="1103" s="1"/>
  <c r="H332" i="1103"/>
  <c r="T331" i="1103"/>
  <c r="U331" i="1103" s="1"/>
  <c r="P347" i="1103"/>
  <c r="Q347" i="1103" s="1"/>
  <c r="T347" i="1103"/>
  <c r="U347" i="1103" s="1"/>
  <c r="H348" i="1103"/>
  <c r="L347" i="1103"/>
  <c r="M347" i="1103" s="1"/>
  <c r="D110" i="39"/>
  <c r="C110" i="39" s="1"/>
  <c r="E110" i="39" s="1"/>
  <c r="G75" i="1103"/>
  <c r="G76" i="1103" s="1"/>
  <c r="G77" i="1103" s="1"/>
  <c r="G78" i="1103" s="1"/>
  <c r="G79" i="1103" s="1"/>
  <c r="G80" i="1103" s="1"/>
  <c r="G81" i="1103" s="1"/>
  <c r="G82" i="1103" s="1"/>
  <c r="G83" i="1103" s="1"/>
  <c r="G84" i="1103" s="1"/>
  <c r="G85" i="1103" s="1"/>
  <c r="G86" i="1103" s="1"/>
  <c r="G87" i="1103" s="1"/>
  <c r="G88" i="1103" s="1"/>
  <c r="G38" i="264"/>
  <c r="G20" i="264"/>
  <c r="F21" i="264"/>
  <c r="F39" i="264"/>
  <c r="G39" i="264"/>
  <c r="G21" i="264"/>
  <c r="F38" i="264"/>
  <c r="F20" i="264"/>
  <c r="B21" i="9"/>
  <c r="G23" i="1106" s="1"/>
  <c r="J35" i="9"/>
  <c r="F52" i="287"/>
  <c r="D52" i="287" s="1"/>
  <c r="AR27" i="10"/>
  <c r="AQ27" i="10"/>
  <c r="F48" i="38"/>
  <c r="F52" i="286"/>
  <c r="D52" i="286" s="1"/>
  <c r="G56" i="286"/>
  <c r="K56" i="286" s="1"/>
  <c r="F49" i="289"/>
  <c r="F46" i="288"/>
  <c r="G57" i="287"/>
  <c r="K57" i="287" s="1"/>
  <c r="G57" i="286"/>
  <c r="K57" i="286" s="1"/>
  <c r="G54" i="286"/>
  <c r="K54" i="286" s="1"/>
  <c r="G56" i="287"/>
  <c r="K56" i="287" s="1"/>
  <c r="F46" i="289"/>
  <c r="I16" i="288"/>
  <c r="I16" i="289"/>
  <c r="F49" i="288"/>
  <c r="G50" i="286"/>
  <c r="K50" i="286" s="1"/>
  <c r="D50" i="286"/>
  <c r="H49" i="286"/>
  <c r="G50" i="287"/>
  <c r="D50" i="287"/>
  <c r="G56" i="69"/>
  <c r="K56" i="69" s="1"/>
  <c r="G54" i="69"/>
  <c r="K54" i="69" s="1"/>
  <c r="D26" i="69"/>
  <c r="F55" i="69"/>
  <c r="D55" i="69" s="1"/>
  <c r="H49" i="69"/>
  <c r="G57" i="69"/>
  <c r="K57" i="69" s="1"/>
  <c r="F51" i="69"/>
  <c r="D53" i="69"/>
  <c r="F50" i="69"/>
  <c r="Z73" i="262"/>
  <c r="AD73" i="262"/>
  <c r="N73" i="262"/>
  <c r="AH73" i="262"/>
  <c r="J73" i="262"/>
  <c r="V73" i="262"/>
  <c r="R73" i="262"/>
  <c r="G74" i="262"/>
  <c r="H49" i="38" s="1"/>
  <c r="O16" i="6"/>
  <c r="C22" i="264"/>
  <c r="D22" i="264" s="1"/>
  <c r="D18" i="289"/>
  <c r="F24" i="289"/>
  <c r="D15" i="289"/>
  <c r="F16" i="289"/>
  <c r="F35" i="288"/>
  <c r="F54" i="288" s="1"/>
  <c r="D54" i="288" s="1"/>
  <c r="D14" i="288"/>
  <c r="I14" i="288"/>
  <c r="I48" i="288" s="1"/>
  <c r="G14" i="288"/>
  <c r="G48" i="288" s="1"/>
  <c r="R31" i="288"/>
  <c r="G24" i="288"/>
  <c r="L32" i="288"/>
  <c r="R32" i="288"/>
  <c r="G27" i="289"/>
  <c r="D17" i="288"/>
  <c r="F24" i="288"/>
  <c r="I26" i="288" s="1"/>
  <c r="D18" i="288"/>
  <c r="B29" i="1"/>
  <c r="B126" i="1"/>
  <c r="D17" i="289"/>
  <c r="G14" i="289"/>
  <c r="G48" i="289" s="1"/>
  <c r="I14" i="289"/>
  <c r="I48" i="289" s="1"/>
  <c r="F35" i="289"/>
  <c r="F54" i="289" s="1"/>
  <c r="D54" i="289" s="1"/>
  <c r="D14" i="289"/>
  <c r="G27" i="288"/>
  <c r="H15" i="289"/>
  <c r="K15" i="289"/>
  <c r="G16" i="289"/>
  <c r="F16" i="288"/>
  <c r="D15" i="288"/>
  <c r="K15" i="288"/>
  <c r="G16" i="288"/>
  <c r="H15" i="288"/>
  <c r="A124" i="262"/>
  <c r="G25" i="262"/>
  <c r="D26" i="286"/>
  <c r="B118" i="262"/>
  <c r="B103" i="262"/>
  <c r="K24" i="262"/>
  <c r="B119" i="262"/>
  <c r="D26" i="287"/>
  <c r="B94" i="262"/>
  <c r="D151" i="39"/>
  <c r="C151" i="39" s="1"/>
  <c r="E151" i="39" s="1"/>
  <c r="AE36" i="287"/>
  <c r="AE35" i="287"/>
  <c r="AE32" i="287"/>
  <c r="AE37" i="287"/>
  <c r="AE40" i="287"/>
  <c r="AD35" i="287"/>
  <c r="AD40" i="287"/>
  <c r="AD36" i="287"/>
  <c r="AD37" i="287"/>
  <c r="AD32" i="287"/>
  <c r="X59" i="1"/>
  <c r="V157" i="1"/>
  <c r="W157" i="1"/>
  <c r="X157" i="1" s="1"/>
  <c r="H27" i="10"/>
  <c r="E38" i="1106" s="1"/>
  <c r="F28" i="10"/>
  <c r="C23" i="1122" s="1"/>
  <c r="D23" i="1122" s="1"/>
  <c r="G27" i="10"/>
  <c r="U33" i="38"/>
  <c r="T33" i="38"/>
  <c r="H33" i="38"/>
  <c r="K33" i="38"/>
  <c r="S33" i="38"/>
  <c r="V33" i="38"/>
  <c r="R33" i="38"/>
  <c r="Q33" i="38"/>
  <c r="O33" i="38"/>
  <c r="L33" i="38"/>
  <c r="N33" i="38"/>
  <c r="M33" i="38"/>
  <c r="B31" i="262"/>
  <c r="B138" i="262"/>
  <c r="B95" i="262"/>
  <c r="G33" i="35"/>
  <c r="B47" i="262"/>
  <c r="E39" i="264"/>
  <c r="E21" i="264"/>
  <c r="I26" i="10"/>
  <c r="M26" i="10" s="1"/>
  <c r="B32" i="262"/>
  <c r="B158" i="1"/>
  <c r="B61" i="1"/>
  <c r="H35" i="286"/>
  <c r="H54" i="286" s="1"/>
  <c r="AE32" i="286"/>
  <c r="AE35" i="286"/>
  <c r="AE36" i="286"/>
  <c r="AE37" i="286"/>
  <c r="AE40" i="286"/>
  <c r="AG33" i="286"/>
  <c r="AG41" i="286"/>
  <c r="AD32" i="286"/>
  <c r="AD35" i="286"/>
  <c r="W31" i="286"/>
  <c r="W34" i="286" s="1"/>
  <c r="W35" i="286" s="1"/>
  <c r="W36" i="286" s="1"/>
  <c r="K26" i="286" s="1"/>
  <c r="AD36" i="286"/>
  <c r="AD40" i="286"/>
  <c r="AD37" i="286"/>
  <c r="O67" i="6"/>
  <c r="O52" i="6"/>
  <c r="W173" i="1"/>
  <c r="X173" i="1" s="1"/>
  <c r="X75" i="1"/>
  <c r="V173" i="1"/>
  <c r="P40" i="264"/>
  <c r="M40" i="264"/>
  <c r="Z40" i="264" s="1"/>
  <c r="U40" i="264" s="1"/>
  <c r="Z22" i="264"/>
  <c r="U22" i="264" s="1"/>
  <c r="AA22" i="264"/>
  <c r="V22" i="264" s="1"/>
  <c r="N40" i="264"/>
  <c r="AA40" i="264" s="1"/>
  <c r="V40" i="264" s="1"/>
  <c r="E29" i="10"/>
  <c r="BB28" i="10"/>
  <c r="AF28" i="10" s="1"/>
  <c r="AJ28" i="10" s="1"/>
  <c r="BC28" i="10"/>
  <c r="AG28" i="10" s="1"/>
  <c r="AK28" i="10" s="1"/>
  <c r="BD28" i="10"/>
  <c r="AH28" i="10" s="1"/>
  <c r="AL28" i="10" s="1"/>
  <c r="BE28" i="10"/>
  <c r="AI28" i="10" s="1"/>
  <c r="AM28" i="10" s="1"/>
  <c r="N23" i="264"/>
  <c r="J23" i="264"/>
  <c r="Q39" i="264"/>
  <c r="I108" i="39"/>
  <c r="K108" i="39" s="1"/>
  <c r="J109" i="39"/>
  <c r="I109" i="39" s="1"/>
  <c r="A11" i="3"/>
  <c r="B10" i="3"/>
  <c r="C10" i="3" s="1"/>
  <c r="K100" i="39"/>
  <c r="K101" i="39"/>
  <c r="P31" i="35"/>
  <c r="P39" i="35"/>
  <c r="P40" i="35"/>
  <c r="P30" i="35"/>
  <c r="P42" i="35"/>
  <c r="P29" i="35"/>
  <c r="P38" i="35"/>
  <c r="P36" i="35"/>
  <c r="P34" i="35"/>
  <c r="P32" i="35"/>
  <c r="P35" i="35"/>
  <c r="P37" i="35"/>
  <c r="P43" i="35"/>
  <c r="P41" i="35"/>
  <c r="P33" i="35"/>
  <c r="B24" i="262"/>
  <c r="G41" i="262"/>
  <c r="I43" i="38" s="1"/>
  <c r="H35" i="69"/>
  <c r="H54" i="69" s="1"/>
  <c r="AG41" i="69"/>
  <c r="AG33" i="69"/>
  <c r="B78" i="38"/>
  <c r="B37" i="35"/>
  <c r="B91" i="262"/>
  <c r="B25" i="262"/>
  <c r="Q22" i="264"/>
  <c r="O22" i="264"/>
  <c r="R22" i="264"/>
  <c r="P22" i="264"/>
  <c r="X22" i="264"/>
  <c r="S22" i="264" s="1"/>
  <c r="K40" i="264"/>
  <c r="X40" i="264" s="1"/>
  <c r="S40" i="264" s="1"/>
  <c r="B80" i="262"/>
  <c r="C140" i="39"/>
  <c r="E140" i="39" s="1"/>
  <c r="D141" i="39"/>
  <c r="C69" i="6"/>
  <c r="C123" i="39"/>
  <c r="E123" i="39" s="1"/>
  <c r="D124" i="39"/>
  <c r="B79" i="262"/>
  <c r="I87" i="39"/>
  <c r="K87" i="39" s="1"/>
  <c r="J88" i="39"/>
  <c r="C54" i="6"/>
  <c r="B77" i="1"/>
  <c r="B174" i="1"/>
  <c r="B122" i="262"/>
  <c r="D97" i="39"/>
  <c r="AE35" i="69"/>
  <c r="AE40" i="69"/>
  <c r="AE37" i="69"/>
  <c r="AE36" i="69"/>
  <c r="AE32" i="69"/>
  <c r="AD40" i="69"/>
  <c r="AD32" i="69"/>
  <c r="AD36" i="69"/>
  <c r="AD37" i="69"/>
  <c r="AD35" i="69"/>
  <c r="D167" i="39"/>
  <c r="W31" i="69"/>
  <c r="W34" i="69" s="1"/>
  <c r="W35" i="69" s="1"/>
  <c r="W36" i="69" s="1"/>
  <c r="K26" i="69" s="1"/>
  <c r="P67" i="6"/>
  <c r="V76" i="1"/>
  <c r="N68" i="6"/>
  <c r="I90" i="1103"/>
  <c r="N17" i="6"/>
  <c r="I396" i="1103"/>
  <c r="I90" i="262"/>
  <c r="W60" i="1"/>
  <c r="W76" i="1"/>
  <c r="E107" i="262"/>
  <c r="E396" i="1103"/>
  <c r="P52" i="6"/>
  <c r="Q60" i="1"/>
  <c r="N53" i="6"/>
  <c r="P60" i="1"/>
  <c r="V24" i="1"/>
  <c r="F107" i="262"/>
  <c r="Q76" i="1"/>
  <c r="V60" i="1"/>
  <c r="F396" i="1103"/>
  <c r="H396" i="1103"/>
  <c r="P76" i="1"/>
  <c r="G396" i="1103"/>
  <c r="H35" i="287" l="1"/>
  <c r="H54" i="287" s="1"/>
  <c r="H49" i="287"/>
  <c r="Q39" i="1107"/>
  <c r="P39" i="1107"/>
  <c r="O39" i="1107"/>
  <c r="J41" i="1107"/>
  <c r="K41" i="1107" s="1"/>
  <c r="B46" i="1"/>
  <c r="B143" i="1"/>
  <c r="T44" i="13"/>
  <c r="N38" i="1106"/>
  <c r="P21" i="1107"/>
  <c r="Q21" i="1107"/>
  <c r="O21" i="1107"/>
  <c r="BS36" i="1106"/>
  <c r="CI36" i="1106" s="1"/>
  <c r="O22" i="1107"/>
  <c r="P22" i="1107"/>
  <c r="Q22" i="1107"/>
  <c r="J23" i="1107"/>
  <c r="K23" i="1107" s="1"/>
  <c r="BT35" i="1106"/>
  <c r="CJ35" i="1106" s="1"/>
  <c r="BZ35" i="1106"/>
  <c r="CP35" i="1106" s="1"/>
  <c r="R44" i="13"/>
  <c r="J21" i="1122" s="1"/>
  <c r="BQ35" i="1106"/>
  <c r="CG35" i="1106" s="1"/>
  <c r="C185" i="39"/>
  <c r="E185" i="39" s="1"/>
  <c r="D186" i="39"/>
  <c r="B82" i="39"/>
  <c r="S44" i="13"/>
  <c r="J17" i="1122" s="1"/>
  <c r="BU35" i="1106"/>
  <c r="CK35" i="1106" s="1"/>
  <c r="BX36" i="1106"/>
  <c r="CN36" i="1106" s="1"/>
  <c r="BW36" i="1106"/>
  <c r="CM36" i="1106" s="1"/>
  <c r="Y23" i="264"/>
  <c r="T23" i="264" s="1"/>
  <c r="BW35" i="1106"/>
  <c r="CM35" i="1106" s="1"/>
  <c r="CC33" i="1106"/>
  <c r="CS33" i="1106" s="1"/>
  <c r="CT33" i="1106" s="1"/>
  <c r="BR19" i="1106"/>
  <c r="CH19" i="1106" s="1"/>
  <c r="CB35" i="1106"/>
  <c r="CR35" i="1106" s="1"/>
  <c r="BV36" i="1106"/>
  <c r="CL36" i="1106" s="1"/>
  <c r="CB36" i="1106"/>
  <c r="CR36" i="1106" s="1"/>
  <c r="BP36" i="1106"/>
  <c r="CF36" i="1106" s="1"/>
  <c r="BX35" i="1106"/>
  <c r="CN35" i="1106" s="1"/>
  <c r="BO35" i="1106"/>
  <c r="CE35" i="1106" s="1"/>
  <c r="BZ36" i="1106"/>
  <c r="CP36" i="1106" s="1"/>
  <c r="CD33" i="1106"/>
  <c r="BT20" i="1106"/>
  <c r="CJ20" i="1106" s="1"/>
  <c r="BT36" i="1106"/>
  <c r="CJ36" i="1106" s="1"/>
  <c r="K24" i="264"/>
  <c r="L27" i="10"/>
  <c r="G40" i="264" s="1"/>
  <c r="BN36" i="1106"/>
  <c r="K23" i="1121"/>
  <c r="L23" i="1121"/>
  <c r="M23" i="1121"/>
  <c r="X16" i="1122"/>
  <c r="O16" i="1122" s="1"/>
  <c r="R16" i="1122" s="1"/>
  <c r="X32" i="1122"/>
  <c r="O32" i="1122" s="1"/>
  <c r="R32" i="1122" s="1"/>
  <c r="X17" i="1122"/>
  <c r="O17" i="1122" s="1"/>
  <c r="R17" i="1122" s="1"/>
  <c r="X31" i="1122"/>
  <c r="O31" i="1122" s="1"/>
  <c r="R31" i="1122" s="1"/>
  <c r="X30" i="1122"/>
  <c r="O30" i="1122" s="1"/>
  <c r="R30" i="1122" s="1"/>
  <c r="X33" i="1122"/>
  <c r="O33" i="1122" s="1"/>
  <c r="R33" i="1122" s="1"/>
  <c r="X18" i="1122"/>
  <c r="O18" i="1122" s="1"/>
  <c r="R18" i="1122" s="1"/>
  <c r="X34" i="1122"/>
  <c r="O34" i="1122" s="1"/>
  <c r="R34" i="1122" s="1"/>
  <c r="X19" i="1122"/>
  <c r="O19" i="1122" s="1"/>
  <c r="R19" i="1122" s="1"/>
  <c r="X20" i="1122"/>
  <c r="O20" i="1122" s="1"/>
  <c r="R20" i="1122" s="1"/>
  <c r="X21" i="1122"/>
  <c r="O21" i="1122" s="1"/>
  <c r="R21" i="1122" s="1"/>
  <c r="X22" i="1122"/>
  <c r="O22" i="1122" s="1"/>
  <c r="R22" i="1122" s="1"/>
  <c r="X23" i="1122"/>
  <c r="O23" i="1122" s="1"/>
  <c r="R23" i="1122" s="1"/>
  <c r="X24" i="1122"/>
  <c r="O24" i="1122" s="1"/>
  <c r="R24" i="1122" s="1"/>
  <c r="X25" i="1122"/>
  <c r="O25" i="1122" s="1"/>
  <c r="R25" i="1122" s="1"/>
  <c r="L32" i="1121"/>
  <c r="K32" i="1121"/>
  <c r="M32" i="1121"/>
  <c r="M31" i="1121"/>
  <c r="L31" i="1121"/>
  <c r="K31" i="1121"/>
  <c r="CC34" i="1106"/>
  <c r="CS34" i="1106" s="1"/>
  <c r="CD34" i="1106"/>
  <c r="BN35" i="1106"/>
  <c r="L38" i="1106"/>
  <c r="K38" i="1106"/>
  <c r="M38" i="1106"/>
  <c r="X39" i="264"/>
  <c r="S39" i="264" s="1"/>
  <c r="O39" i="264"/>
  <c r="K34" i="1121"/>
  <c r="L34" i="1121"/>
  <c r="M34" i="1121"/>
  <c r="BQ36" i="1106"/>
  <c r="CG36" i="1106" s="1"/>
  <c r="M41" i="264"/>
  <c r="Z41" i="264" s="1"/>
  <c r="U41" i="264" s="1"/>
  <c r="BO36" i="1106"/>
  <c r="CE36" i="1106" s="1"/>
  <c r="BR36" i="1106"/>
  <c r="CH36" i="1106" s="1"/>
  <c r="BY36" i="1106"/>
  <c r="CO36" i="1106" s="1"/>
  <c r="BU36" i="1106"/>
  <c r="CK36" i="1106" s="1"/>
  <c r="L18" i="1121"/>
  <c r="M18" i="1121"/>
  <c r="K18" i="1121"/>
  <c r="L16" i="1121"/>
  <c r="M16" i="1121"/>
  <c r="K16" i="1121"/>
  <c r="BR35" i="1106"/>
  <c r="CH35" i="1106" s="1"/>
  <c r="BS35" i="1106"/>
  <c r="CI35" i="1106" s="1"/>
  <c r="BP35" i="1106"/>
  <c r="CF35" i="1106" s="1"/>
  <c r="CU32" i="1106"/>
  <c r="CT32" i="1106"/>
  <c r="W16" i="1122"/>
  <c r="N16" i="1122" s="1"/>
  <c r="Q16" i="1122" s="1"/>
  <c r="W31" i="1122"/>
  <c r="N31" i="1122" s="1"/>
  <c r="Q31" i="1122" s="1"/>
  <c r="W30" i="1122"/>
  <c r="N30" i="1122" s="1"/>
  <c r="Q30" i="1122" s="1"/>
  <c r="W17" i="1122"/>
  <c r="N17" i="1122" s="1"/>
  <c r="Q17" i="1122" s="1"/>
  <c r="W32" i="1122"/>
  <c r="N32" i="1122" s="1"/>
  <c r="Q32" i="1122" s="1"/>
  <c r="W18" i="1122"/>
  <c r="N18" i="1122" s="1"/>
  <c r="Q18" i="1122" s="1"/>
  <c r="W33" i="1122"/>
  <c r="N33" i="1122" s="1"/>
  <c r="Q33" i="1122" s="1"/>
  <c r="W19" i="1122"/>
  <c r="N19" i="1122" s="1"/>
  <c r="Q19" i="1122" s="1"/>
  <c r="W34" i="1122"/>
  <c r="N34" i="1122" s="1"/>
  <c r="Q34" i="1122" s="1"/>
  <c r="W20" i="1122"/>
  <c r="N20" i="1122" s="1"/>
  <c r="Q20" i="1122" s="1"/>
  <c r="W21" i="1122"/>
  <c r="N21" i="1122" s="1"/>
  <c r="Q21" i="1122" s="1"/>
  <c r="W22" i="1122"/>
  <c r="N22" i="1122" s="1"/>
  <c r="Q22" i="1122" s="1"/>
  <c r="W23" i="1122"/>
  <c r="N23" i="1122" s="1"/>
  <c r="Q23" i="1122" s="1"/>
  <c r="W24" i="1122"/>
  <c r="N24" i="1122" s="1"/>
  <c r="Q24" i="1122" s="1"/>
  <c r="W25" i="1122"/>
  <c r="N25" i="1122" s="1"/>
  <c r="Q25" i="1122" s="1"/>
  <c r="M33" i="1121"/>
  <c r="K33" i="1121"/>
  <c r="L33" i="1121"/>
  <c r="L20" i="1121"/>
  <c r="M20" i="1121"/>
  <c r="K20" i="1121"/>
  <c r="BV35" i="1106"/>
  <c r="CL35" i="1106" s="1"/>
  <c r="L22" i="1121"/>
  <c r="M22" i="1121"/>
  <c r="K22" i="1121"/>
  <c r="F40" i="1106"/>
  <c r="J40" i="1106"/>
  <c r="J33" i="1122"/>
  <c r="J18" i="1122"/>
  <c r="J19" i="1122"/>
  <c r="K21" i="1121"/>
  <c r="L21" i="1121"/>
  <c r="M21" i="1121"/>
  <c r="CA36" i="1106"/>
  <c r="CQ36" i="1106" s="1"/>
  <c r="Y16" i="1122"/>
  <c r="P16" i="1122" s="1"/>
  <c r="S16" i="1122" s="1"/>
  <c r="Y32" i="1122"/>
  <c r="P32" i="1122" s="1"/>
  <c r="S32" i="1122" s="1"/>
  <c r="Y31" i="1122"/>
  <c r="P31" i="1122" s="1"/>
  <c r="S31" i="1122" s="1"/>
  <c r="Y17" i="1122"/>
  <c r="P17" i="1122" s="1"/>
  <c r="S17" i="1122" s="1"/>
  <c r="Y30" i="1122"/>
  <c r="P30" i="1122" s="1"/>
  <c r="S30" i="1122" s="1"/>
  <c r="Y18" i="1122"/>
  <c r="P18" i="1122" s="1"/>
  <c r="S18" i="1122" s="1"/>
  <c r="Y33" i="1122"/>
  <c r="P33" i="1122" s="1"/>
  <c r="S33" i="1122" s="1"/>
  <c r="Y34" i="1122"/>
  <c r="P34" i="1122" s="1"/>
  <c r="S34" i="1122" s="1"/>
  <c r="Y19" i="1122"/>
  <c r="P19" i="1122" s="1"/>
  <c r="S19" i="1122" s="1"/>
  <c r="Y20" i="1122"/>
  <c r="P20" i="1122" s="1"/>
  <c r="S20" i="1122" s="1"/>
  <c r="Y21" i="1122"/>
  <c r="P21" i="1122" s="1"/>
  <c r="S21" i="1122" s="1"/>
  <c r="Y22" i="1122"/>
  <c r="P22" i="1122" s="1"/>
  <c r="S22" i="1122" s="1"/>
  <c r="Y23" i="1122"/>
  <c r="P23" i="1122" s="1"/>
  <c r="S23" i="1122" s="1"/>
  <c r="Y24" i="1122"/>
  <c r="P24" i="1122" s="1"/>
  <c r="S24" i="1122" s="1"/>
  <c r="Y25" i="1122"/>
  <c r="P25" i="1122" s="1"/>
  <c r="S25" i="1122" s="1"/>
  <c r="M19" i="1121"/>
  <c r="L19" i="1121"/>
  <c r="K19" i="1121"/>
  <c r="M17" i="1121"/>
  <c r="L17" i="1121"/>
  <c r="K17" i="1121"/>
  <c r="M30" i="1121"/>
  <c r="K30" i="1121"/>
  <c r="L30" i="1121"/>
  <c r="M37" i="1106"/>
  <c r="K37" i="1106"/>
  <c r="L37" i="1106"/>
  <c r="CA35" i="1106"/>
  <c r="CQ35" i="1106" s="1"/>
  <c r="BY35" i="1106"/>
  <c r="CO35" i="1106" s="1"/>
  <c r="R34" i="287"/>
  <c r="W31" i="287"/>
  <c r="W34" i="287" s="1"/>
  <c r="W35" i="287" s="1"/>
  <c r="W36" i="287" s="1"/>
  <c r="K26" i="287" s="1"/>
  <c r="CA20" i="1106"/>
  <c r="CQ20" i="1106" s="1"/>
  <c r="BQ19" i="1106"/>
  <c r="CG19" i="1106" s="1"/>
  <c r="BY20" i="1106"/>
  <c r="CO20" i="1106" s="1"/>
  <c r="G59" i="262"/>
  <c r="J46" i="38" s="1"/>
  <c r="BO19" i="1106"/>
  <c r="CE19" i="1106" s="1"/>
  <c r="BP19" i="1106"/>
  <c r="CF19" i="1106" s="1"/>
  <c r="BN19" i="1106"/>
  <c r="CD19" i="1106" s="1"/>
  <c r="BQ20" i="1106"/>
  <c r="CG20" i="1106" s="1"/>
  <c r="E22" i="1121"/>
  <c r="E22" i="1122"/>
  <c r="BV19" i="1106"/>
  <c r="CL19" i="1106" s="1"/>
  <c r="K41" i="264"/>
  <c r="X41" i="264" s="1"/>
  <c r="S41" i="264" s="1"/>
  <c r="AG41" i="287"/>
  <c r="BZ20" i="1106"/>
  <c r="CP20" i="1106" s="1"/>
  <c r="BT19" i="1106"/>
  <c r="CJ19" i="1106" s="1"/>
  <c r="G24" i="289"/>
  <c r="N90" i="1103"/>
  <c r="J90" i="1103"/>
  <c r="R90" i="1103"/>
  <c r="G92" i="1103"/>
  <c r="G93" i="1103" s="1"/>
  <c r="G94" i="1103" s="1"/>
  <c r="G95" i="1103" s="1"/>
  <c r="G96" i="1103" s="1"/>
  <c r="G97" i="1103" s="1"/>
  <c r="G98" i="1103" s="1"/>
  <c r="G99" i="1103" s="1"/>
  <c r="G100" i="1103" s="1"/>
  <c r="G101" i="1103" s="1"/>
  <c r="G102" i="1103" s="1"/>
  <c r="G103" i="1103" s="1"/>
  <c r="G104" i="1103" s="1"/>
  <c r="G105" i="1103" s="1"/>
  <c r="V90" i="262"/>
  <c r="J90" i="262"/>
  <c r="N90" i="262"/>
  <c r="AD90" i="262"/>
  <c r="AH90" i="262"/>
  <c r="G91" i="262"/>
  <c r="H52" i="38" s="1"/>
  <c r="F51" i="38"/>
  <c r="R90" i="262"/>
  <c r="Z90" i="262"/>
  <c r="O17" i="6"/>
  <c r="C107" i="262"/>
  <c r="G53" i="290"/>
  <c r="G24" i="290" s="1"/>
  <c r="B107" i="1103"/>
  <c r="BY19" i="1106"/>
  <c r="CO19" i="1106" s="1"/>
  <c r="CB19" i="1106"/>
  <c r="CR19" i="1106" s="1"/>
  <c r="BN20" i="1106"/>
  <c r="BW20" i="1106"/>
  <c r="CM20" i="1106" s="1"/>
  <c r="I53" i="289"/>
  <c r="I18" i="289" s="1"/>
  <c r="I24" i="289" s="1"/>
  <c r="CA19" i="1106"/>
  <c r="CQ19" i="1106" s="1"/>
  <c r="BS20" i="1106"/>
  <c r="CI20" i="1106" s="1"/>
  <c r="BR20" i="1106"/>
  <c r="CH20" i="1106" s="1"/>
  <c r="BU20" i="1106"/>
  <c r="CK20" i="1106" s="1"/>
  <c r="C107" i="1103"/>
  <c r="U73" i="1103"/>
  <c r="S73" i="1103"/>
  <c r="R32" i="289"/>
  <c r="M22" i="1106"/>
  <c r="K22" i="1106"/>
  <c r="L22" i="1106"/>
  <c r="AA39" i="264"/>
  <c r="V39" i="264" s="1"/>
  <c r="R39" i="264"/>
  <c r="BW19" i="1106"/>
  <c r="CM19" i="1106" s="1"/>
  <c r="AO21" i="1106"/>
  <c r="BD21" i="1106" s="1"/>
  <c r="AJ21" i="1106"/>
  <c r="AY21" i="1106" s="1"/>
  <c r="AS21" i="1106"/>
  <c r="BH21" i="1106" s="1"/>
  <c r="Z21" i="1106"/>
  <c r="AF21" i="1106"/>
  <c r="AH21" i="1106"/>
  <c r="AL21" i="1106"/>
  <c r="BA21" i="1106" s="1"/>
  <c r="AQ21" i="1106"/>
  <c r="BF21" i="1106" s="1"/>
  <c r="AC21" i="1106"/>
  <c r="AA21" i="1106"/>
  <c r="AG21" i="1106"/>
  <c r="AI21" i="1106"/>
  <c r="AP21" i="1106"/>
  <c r="BE21" i="1106" s="1"/>
  <c r="AE21" i="1106"/>
  <c r="AD21" i="1106"/>
  <c r="AX21" i="1106"/>
  <c r="BM21" i="1106" s="1"/>
  <c r="CB21" i="1106" s="1"/>
  <c r="CR21" i="1106" s="1"/>
  <c r="AU21" i="1106"/>
  <c r="BJ21" i="1106" s="1"/>
  <c r="AT21" i="1106"/>
  <c r="BI21" i="1106" s="1"/>
  <c r="AN21" i="1106"/>
  <c r="BC21" i="1106" s="1"/>
  <c r="W21" i="1106"/>
  <c r="AW21" i="1106"/>
  <c r="BL21" i="1106" s="1"/>
  <c r="Y21" i="1106"/>
  <c r="V21" i="1106"/>
  <c r="X21" i="1106"/>
  <c r="U21" i="1106"/>
  <c r="AB21" i="1106"/>
  <c r="AM21" i="1106"/>
  <c r="BB21" i="1106" s="1"/>
  <c r="AR21" i="1106"/>
  <c r="BG21" i="1106" s="1"/>
  <c r="AV21" i="1106"/>
  <c r="BK21" i="1106" s="1"/>
  <c r="AK21" i="1106"/>
  <c r="AZ21" i="1106" s="1"/>
  <c r="BV20" i="1106"/>
  <c r="CL20" i="1106" s="1"/>
  <c r="BO20" i="1106"/>
  <c r="CE20" i="1106" s="1"/>
  <c r="Q73" i="1103"/>
  <c r="O73" i="1103"/>
  <c r="B107" i="262"/>
  <c r="R31" i="289"/>
  <c r="AG39" i="289" s="1"/>
  <c r="BZ19" i="1106"/>
  <c r="CP19" i="1106" s="1"/>
  <c r="BX19" i="1106"/>
  <c r="CN19" i="1106" s="1"/>
  <c r="BU19" i="1106"/>
  <c r="CK19" i="1106" s="1"/>
  <c r="BS19" i="1106"/>
  <c r="BX20" i="1106"/>
  <c r="CN20" i="1106" s="1"/>
  <c r="CB20" i="1106"/>
  <c r="CR20" i="1106" s="1"/>
  <c r="K23" i="1106"/>
  <c r="L23" i="1106"/>
  <c r="M23" i="1106"/>
  <c r="K73" i="1103"/>
  <c r="M73" i="1103"/>
  <c r="M17" i="313"/>
  <c r="L17" i="313"/>
  <c r="N17" i="313"/>
  <c r="N18" i="313"/>
  <c r="M18" i="313"/>
  <c r="L18" i="313"/>
  <c r="M16" i="313"/>
  <c r="N16" i="313"/>
  <c r="L16" i="313"/>
  <c r="K16" i="313"/>
  <c r="L19" i="313"/>
  <c r="N19" i="313"/>
  <c r="M19" i="313"/>
  <c r="P41" i="264"/>
  <c r="CT18" i="1106"/>
  <c r="CU18" i="1106"/>
  <c r="CU17" i="1106"/>
  <c r="CT17" i="1106"/>
  <c r="D152" i="39"/>
  <c r="C152" i="39" s="1"/>
  <c r="E152" i="39" s="1"/>
  <c r="E22" i="1107"/>
  <c r="E40" i="1107"/>
  <c r="G401" i="1103"/>
  <c r="G405" i="1103"/>
  <c r="N396" i="1103"/>
  <c r="G411" i="1103"/>
  <c r="G410" i="1103"/>
  <c r="G398" i="1103"/>
  <c r="G408" i="1103"/>
  <c r="R396" i="1103"/>
  <c r="G409" i="1103"/>
  <c r="G404" i="1103"/>
  <c r="G403" i="1103"/>
  <c r="G402" i="1103"/>
  <c r="G407" i="1103"/>
  <c r="H397" i="1103"/>
  <c r="G400" i="1103"/>
  <c r="G399" i="1103"/>
  <c r="J396" i="1103"/>
  <c r="G406" i="1103"/>
  <c r="L380" i="1103"/>
  <c r="M380" i="1103" s="1"/>
  <c r="T380" i="1103"/>
  <c r="U380" i="1103" s="1"/>
  <c r="H381" i="1103"/>
  <c r="P380" i="1103"/>
  <c r="Q380" i="1103" s="1"/>
  <c r="T348" i="1103"/>
  <c r="U348" i="1103" s="1"/>
  <c r="L348" i="1103"/>
  <c r="M348" i="1103" s="1"/>
  <c r="H349" i="1103"/>
  <c r="P348" i="1103"/>
  <c r="Q348" i="1103" s="1"/>
  <c r="H333" i="1103"/>
  <c r="T332" i="1103"/>
  <c r="U332" i="1103" s="1"/>
  <c r="P332" i="1103"/>
  <c r="Q332" i="1103" s="1"/>
  <c r="L332" i="1103"/>
  <c r="M332" i="1103" s="1"/>
  <c r="U379" i="1103"/>
  <c r="S379" i="1103"/>
  <c r="A327" i="261"/>
  <c r="A430" i="1103"/>
  <c r="L316" i="1103"/>
  <c r="M316" i="1103" s="1"/>
  <c r="P316" i="1103"/>
  <c r="Q316" i="1103" s="1"/>
  <c r="H317" i="1103"/>
  <c r="T316" i="1103"/>
  <c r="U316" i="1103" s="1"/>
  <c r="O379" i="1103"/>
  <c r="Q379" i="1103"/>
  <c r="T364" i="1103"/>
  <c r="U364" i="1103" s="1"/>
  <c r="H365" i="1103"/>
  <c r="L364" i="1103"/>
  <c r="M364" i="1103" s="1"/>
  <c r="P364" i="1103"/>
  <c r="Q364" i="1103" s="1"/>
  <c r="K379" i="1103"/>
  <c r="M379" i="1103"/>
  <c r="D111" i="39"/>
  <c r="C111" i="39" s="1"/>
  <c r="E111" i="39" s="1"/>
  <c r="AF36" i="69"/>
  <c r="AG36" i="69" s="1"/>
  <c r="G22" i="264"/>
  <c r="B22" i="9"/>
  <c r="L28" i="10" s="1"/>
  <c r="J36" i="9"/>
  <c r="K27" i="10"/>
  <c r="G38" i="1106" s="1"/>
  <c r="K28" i="10"/>
  <c r="G39" i="1106" s="1"/>
  <c r="AF40" i="287"/>
  <c r="AG40" i="287" s="1"/>
  <c r="AF35" i="287"/>
  <c r="AG35" i="287" s="1"/>
  <c r="AR28" i="10"/>
  <c r="AQ28" i="10"/>
  <c r="H16" i="289"/>
  <c r="I49" i="288"/>
  <c r="D46" i="289"/>
  <c r="F47" i="288"/>
  <c r="D47" i="288" s="1"/>
  <c r="G49" i="289"/>
  <c r="D49" i="289"/>
  <c r="H16" i="288"/>
  <c r="I43" i="288"/>
  <c r="F43" i="288"/>
  <c r="D43" i="288" s="1"/>
  <c r="F26" i="288"/>
  <c r="F55" i="288" s="1"/>
  <c r="D55" i="288" s="1"/>
  <c r="F53" i="288"/>
  <c r="F50" i="288" s="1"/>
  <c r="F43" i="289"/>
  <c r="D43" i="289" s="1"/>
  <c r="I43" i="289"/>
  <c r="F26" i="289"/>
  <c r="F55" i="289" s="1"/>
  <c r="D55" i="289" s="1"/>
  <c r="F53" i="289"/>
  <c r="H50" i="287"/>
  <c r="G46" i="287"/>
  <c r="H50" i="286"/>
  <c r="H46" i="286" s="1"/>
  <c r="G46" i="286"/>
  <c r="D49" i="288"/>
  <c r="I49" i="289"/>
  <c r="F47" i="289"/>
  <c r="D47" i="289" s="1"/>
  <c r="G49" i="288"/>
  <c r="D46" i="288"/>
  <c r="G50" i="69"/>
  <c r="D50" i="69"/>
  <c r="D51" i="69"/>
  <c r="F52" i="69"/>
  <c r="D52" i="69" s="1"/>
  <c r="G75" i="262"/>
  <c r="I49" i="38" s="1"/>
  <c r="P32" i="289"/>
  <c r="N32" i="289"/>
  <c r="Q32" i="289"/>
  <c r="M32" i="289"/>
  <c r="O32" i="289"/>
  <c r="I35" i="289"/>
  <c r="I54" i="289" s="1"/>
  <c r="B127" i="1"/>
  <c r="D18" i="66" s="1"/>
  <c r="B30" i="1"/>
  <c r="D24" i="288"/>
  <c r="I35" i="288"/>
  <c r="I54" i="288" s="1"/>
  <c r="D35" i="288"/>
  <c r="D16" i="289"/>
  <c r="F19" i="289"/>
  <c r="D19" i="289" s="1"/>
  <c r="F19" i="288"/>
  <c r="D19" i="288" s="1"/>
  <c r="D16" i="288"/>
  <c r="G33" i="288"/>
  <c r="G35" i="288"/>
  <c r="G31" i="288"/>
  <c r="G36" i="288"/>
  <c r="G39" i="288"/>
  <c r="D35" i="289"/>
  <c r="H14" i="289"/>
  <c r="H48" i="289" s="1"/>
  <c r="F19" i="6"/>
  <c r="G19" i="6" s="1"/>
  <c r="E18" i="6"/>
  <c r="G17" i="66"/>
  <c r="H17" i="66" s="1"/>
  <c r="D35" i="11" s="1"/>
  <c r="E35" i="11" s="1"/>
  <c r="B18" i="6"/>
  <c r="G15" i="290"/>
  <c r="F15" i="290"/>
  <c r="F14" i="290"/>
  <c r="F48" i="290" s="1"/>
  <c r="D48" i="290" s="1"/>
  <c r="A8" i="290"/>
  <c r="G29" i="290"/>
  <c r="B34" i="11"/>
  <c r="D18" i="6"/>
  <c r="F18" i="6"/>
  <c r="G18" i="6" s="1"/>
  <c r="L18" i="6"/>
  <c r="C17" i="66"/>
  <c r="H18" i="6"/>
  <c r="D17" i="66"/>
  <c r="F18" i="290"/>
  <c r="F17" i="290"/>
  <c r="I15" i="290"/>
  <c r="G33" i="289"/>
  <c r="G31" i="289"/>
  <c r="G35" i="289"/>
  <c r="G36" i="289"/>
  <c r="G39" i="289"/>
  <c r="N32" i="288"/>
  <c r="Q32" i="288"/>
  <c r="O32" i="288"/>
  <c r="P32" i="288"/>
  <c r="M32" i="288"/>
  <c r="AG31" i="288"/>
  <c r="R33" i="288"/>
  <c r="AG39" i="288"/>
  <c r="H14" i="288"/>
  <c r="H48" i="288" s="1"/>
  <c r="I26" i="289"/>
  <c r="D24" i="289"/>
  <c r="A141" i="262"/>
  <c r="G26" i="262"/>
  <c r="G42" i="262"/>
  <c r="J43" i="38" s="1"/>
  <c r="B135" i="262"/>
  <c r="AF37" i="69"/>
  <c r="AG37" i="69" s="1"/>
  <c r="B120" i="262"/>
  <c r="K25" i="262"/>
  <c r="AF40" i="69"/>
  <c r="AG40" i="69" s="1"/>
  <c r="AH41" i="69" s="1"/>
  <c r="AI41" i="69" s="1"/>
  <c r="B136" i="262"/>
  <c r="B111" i="262"/>
  <c r="AF32" i="69"/>
  <c r="AG32" i="69" s="1"/>
  <c r="AH33" i="69" s="1"/>
  <c r="AI33" i="69" s="1"/>
  <c r="AF40" i="286"/>
  <c r="AG40" i="286" s="1"/>
  <c r="AH41" i="286" s="1"/>
  <c r="AI41" i="286" s="1"/>
  <c r="AF32" i="286"/>
  <c r="AG32" i="286" s="1"/>
  <c r="AH33" i="286" s="1"/>
  <c r="AI33" i="286" s="1"/>
  <c r="AF32" i="287"/>
  <c r="AG32" i="287" s="1"/>
  <c r="AH33" i="287" s="1"/>
  <c r="AI33" i="287" s="1"/>
  <c r="AF36" i="287"/>
  <c r="AG36" i="287" s="1"/>
  <c r="AF37" i="287"/>
  <c r="AG37" i="287" s="1"/>
  <c r="W158" i="1"/>
  <c r="X158" i="1" s="1"/>
  <c r="V158" i="1"/>
  <c r="X60" i="1"/>
  <c r="B159" i="1"/>
  <c r="B62" i="1"/>
  <c r="B112" i="262"/>
  <c r="B155" i="262"/>
  <c r="B48" i="262"/>
  <c r="P33" i="38"/>
  <c r="I27" i="10"/>
  <c r="M27" i="10" s="1"/>
  <c r="E40" i="264"/>
  <c r="E22" i="264"/>
  <c r="AF35" i="69"/>
  <c r="AG35" i="69" s="1"/>
  <c r="AF37" i="286"/>
  <c r="AG37" i="286" s="1"/>
  <c r="AF35" i="286"/>
  <c r="AG35" i="286" s="1"/>
  <c r="B49" i="262"/>
  <c r="B64" i="262"/>
  <c r="F29" i="10"/>
  <c r="C40" i="1106" s="1"/>
  <c r="G28" i="10"/>
  <c r="H28" i="10"/>
  <c r="E39" i="1106" s="1"/>
  <c r="AF36" i="286"/>
  <c r="AG36" i="286" s="1"/>
  <c r="W174" i="1"/>
  <c r="X174" i="1" s="1"/>
  <c r="X76" i="1"/>
  <c r="V174" i="1"/>
  <c r="O53" i="6"/>
  <c r="V122" i="1"/>
  <c r="O68" i="6"/>
  <c r="C167" i="39"/>
  <c r="E167" i="39" s="1"/>
  <c r="D168" i="39"/>
  <c r="D26" i="38"/>
  <c r="I33" i="38"/>
  <c r="B139" i="262"/>
  <c r="I88" i="39"/>
  <c r="K88" i="39" s="1"/>
  <c r="J89" i="39"/>
  <c r="C124" i="39"/>
  <c r="E124" i="39" s="1"/>
  <c r="D125" i="39"/>
  <c r="C70" i="6"/>
  <c r="Q23" i="264"/>
  <c r="P23" i="264"/>
  <c r="O23" i="264"/>
  <c r="R23" i="264"/>
  <c r="AA23" i="264"/>
  <c r="V23" i="264" s="1"/>
  <c r="N41" i="264"/>
  <c r="R40" i="264"/>
  <c r="C97" i="39"/>
  <c r="E97" i="39" s="1"/>
  <c r="D98" i="39"/>
  <c r="B175" i="1"/>
  <c r="B78" i="1"/>
  <c r="C55" i="6"/>
  <c r="B96" i="262"/>
  <c r="C141" i="39"/>
  <c r="E141" i="39" s="1"/>
  <c r="D142" i="39"/>
  <c r="B97" i="262"/>
  <c r="B42" i="262"/>
  <c r="J33" i="38"/>
  <c r="B108" i="262"/>
  <c r="B38" i="35"/>
  <c r="B81" i="38"/>
  <c r="B41" i="262"/>
  <c r="K50" i="287"/>
  <c r="A12" i="3"/>
  <c r="B11" i="3"/>
  <c r="C11" i="3" s="1"/>
  <c r="K110" i="39"/>
  <c r="K109" i="39"/>
  <c r="K42" i="264"/>
  <c r="X42" i="264" s="1"/>
  <c r="S42" i="264" s="1"/>
  <c r="X24" i="264"/>
  <c r="S24" i="264" s="1"/>
  <c r="E30" i="10"/>
  <c r="N25" i="264" s="1"/>
  <c r="BB29" i="10"/>
  <c r="AF29" i="10" s="1"/>
  <c r="AJ29" i="10" s="1"/>
  <c r="BC29" i="10"/>
  <c r="AG29" i="10" s="1"/>
  <c r="AK29" i="10" s="1"/>
  <c r="BD29" i="10"/>
  <c r="AH29" i="10" s="1"/>
  <c r="AL29" i="10" s="1"/>
  <c r="BE29" i="10"/>
  <c r="AI29" i="10" s="1"/>
  <c r="AM29" i="10" s="1"/>
  <c r="I24" i="264"/>
  <c r="J24" i="264"/>
  <c r="I42" i="264"/>
  <c r="L24" i="264"/>
  <c r="J42" i="264"/>
  <c r="H42" i="264"/>
  <c r="M24" i="264"/>
  <c r="N24" i="264"/>
  <c r="H24" i="264"/>
  <c r="O40" i="264"/>
  <c r="Q40" i="264"/>
  <c r="G107" i="1103"/>
  <c r="W77" i="1"/>
  <c r="I107" i="1103"/>
  <c r="H413" i="1103"/>
  <c r="G107" i="262"/>
  <c r="G413" i="1103"/>
  <c r="E124" i="262"/>
  <c r="N69" i="6"/>
  <c r="N54" i="6"/>
  <c r="V61" i="1"/>
  <c r="Q61" i="1"/>
  <c r="N18" i="6"/>
  <c r="V77" i="1"/>
  <c r="P77" i="1"/>
  <c r="W61" i="1"/>
  <c r="E413" i="1103"/>
  <c r="P61" i="1"/>
  <c r="V23" i="1"/>
  <c r="V25" i="1"/>
  <c r="P68" i="6"/>
  <c r="Q77" i="1"/>
  <c r="I413" i="1103"/>
  <c r="P53" i="6"/>
  <c r="F124" i="262"/>
  <c r="I107" i="262"/>
  <c r="F413" i="1103"/>
  <c r="H46" i="287" l="1"/>
  <c r="O23" i="1107"/>
  <c r="P23" i="1107"/>
  <c r="Q23" i="1107"/>
  <c r="O41" i="1107"/>
  <c r="Q41" i="1107"/>
  <c r="P41" i="1107"/>
  <c r="B144" i="1"/>
  <c r="B47" i="1"/>
  <c r="L25" i="264"/>
  <c r="CU33" i="1106"/>
  <c r="J25" i="264"/>
  <c r="K25" i="264"/>
  <c r="B124" i="262"/>
  <c r="K19" i="313"/>
  <c r="Q19" i="313" s="1"/>
  <c r="J20" i="1122"/>
  <c r="M20" i="1122" s="1"/>
  <c r="J31" i="1122"/>
  <c r="L31" i="1122" s="1"/>
  <c r="J32" i="1122"/>
  <c r="K32" i="1122" s="1"/>
  <c r="J34" i="1122"/>
  <c r="L34" i="1122" s="1"/>
  <c r="K17" i="313"/>
  <c r="J30" i="1122"/>
  <c r="M30" i="1122" s="1"/>
  <c r="J16" i="1122"/>
  <c r="L16" i="1122" s="1"/>
  <c r="K18" i="313"/>
  <c r="P18" i="313" s="1"/>
  <c r="J23" i="1122"/>
  <c r="K23" i="1122" s="1"/>
  <c r="J22" i="1122"/>
  <c r="K22" i="1122" s="1"/>
  <c r="H19" i="6"/>
  <c r="D85" i="39"/>
  <c r="C85" i="39" s="1"/>
  <c r="E85" i="39" s="1"/>
  <c r="C186" i="39"/>
  <c r="E186" i="39" s="1"/>
  <c r="D187" i="39"/>
  <c r="C18" i="66"/>
  <c r="B124" i="1103"/>
  <c r="L19" i="6"/>
  <c r="G18" i="66"/>
  <c r="H18" i="66" s="1"/>
  <c r="D38" i="11" s="1"/>
  <c r="E38" i="11" s="1"/>
  <c r="F15" i="291"/>
  <c r="F16" i="291" s="1"/>
  <c r="D16" i="291" s="1"/>
  <c r="BY21" i="1106"/>
  <c r="CO21" i="1106" s="1"/>
  <c r="CA21" i="1106"/>
  <c r="CQ21" i="1106" s="1"/>
  <c r="G60" i="262"/>
  <c r="K46" i="38" s="1"/>
  <c r="O41" i="264"/>
  <c r="BX21" i="1106"/>
  <c r="CN21" i="1106" s="1"/>
  <c r="K18" i="1122"/>
  <c r="M18" i="1122"/>
  <c r="L18" i="1122"/>
  <c r="D40" i="1106"/>
  <c r="P40" i="1106"/>
  <c r="I25" i="264"/>
  <c r="Q41" i="264"/>
  <c r="C124" i="262"/>
  <c r="E19" i="6"/>
  <c r="F17" i="291"/>
  <c r="F46" i="291" s="1"/>
  <c r="F18" i="291"/>
  <c r="F24" i="291" s="1"/>
  <c r="F53" i="291" s="1"/>
  <c r="B19" i="6"/>
  <c r="A8" i="291"/>
  <c r="B37" i="11"/>
  <c r="L33" i="1122"/>
  <c r="K33" i="1122"/>
  <c r="M33" i="1122"/>
  <c r="H25" i="1122"/>
  <c r="CT34" i="1106"/>
  <c r="CU34" i="1106"/>
  <c r="D19" i="6"/>
  <c r="F14" i="291"/>
  <c r="F48" i="291" s="1"/>
  <c r="D48" i="291" s="1"/>
  <c r="I15" i="291"/>
  <c r="I16" i="291" s="1"/>
  <c r="G15" i="291"/>
  <c r="K15" i="291" s="1"/>
  <c r="G29" i="291"/>
  <c r="G27" i="291" s="1"/>
  <c r="AL37" i="1106"/>
  <c r="BA37" i="1106" s="1"/>
  <c r="V37" i="1106"/>
  <c r="AK37" i="1106"/>
  <c r="AZ37" i="1106" s="1"/>
  <c r="AR37" i="1106"/>
  <c r="BG37" i="1106" s="1"/>
  <c r="AB37" i="1106"/>
  <c r="AI37" i="1106"/>
  <c r="U37" i="1106"/>
  <c r="AF37" i="1106"/>
  <c r="AX37" i="1106"/>
  <c r="BM37" i="1106" s="1"/>
  <c r="AH37" i="1106"/>
  <c r="AW37" i="1106"/>
  <c r="BL37" i="1106" s="1"/>
  <c r="AG37" i="1106"/>
  <c r="AN37" i="1106"/>
  <c r="BC37" i="1106" s="1"/>
  <c r="X37" i="1106"/>
  <c r="W37" i="1106"/>
  <c r="AQ37" i="1106"/>
  <c r="BF37" i="1106" s="1"/>
  <c r="AE37" i="1106"/>
  <c r="AT37" i="1106"/>
  <c r="BI37" i="1106" s="1"/>
  <c r="AD37" i="1106"/>
  <c r="AS37" i="1106"/>
  <c r="BH37" i="1106" s="1"/>
  <c r="AC37" i="1106"/>
  <c r="AJ37" i="1106"/>
  <c r="AY37" i="1106" s="1"/>
  <c r="AM37" i="1106"/>
  <c r="BB37" i="1106" s="1"/>
  <c r="AU37" i="1106"/>
  <c r="BJ37" i="1106" s="1"/>
  <c r="BY37" i="1106" s="1"/>
  <c r="CO37" i="1106" s="1"/>
  <c r="AA37" i="1106"/>
  <c r="AP37" i="1106"/>
  <c r="BE37" i="1106" s="1"/>
  <c r="Z37" i="1106"/>
  <c r="AO37" i="1106"/>
  <c r="BD37" i="1106" s="1"/>
  <c r="AV37" i="1106"/>
  <c r="BK37" i="1106" s="1"/>
  <c r="Y37" i="1106"/>
  <c r="L30" i="1122"/>
  <c r="K30" i="1122"/>
  <c r="M16" i="1122"/>
  <c r="M34" i="1122"/>
  <c r="CC35" i="1106"/>
  <c r="CS35" i="1106" s="1"/>
  <c r="CD35" i="1106"/>
  <c r="CC36" i="1106"/>
  <c r="CS36" i="1106" s="1"/>
  <c r="CD36" i="1106"/>
  <c r="I43" i="264"/>
  <c r="M21" i="1122"/>
  <c r="L21" i="1122"/>
  <c r="K21" i="1122"/>
  <c r="M19" i="1122"/>
  <c r="K19" i="1122"/>
  <c r="L19" i="1122"/>
  <c r="L17" i="1122"/>
  <c r="K17" i="1122"/>
  <c r="M17" i="1122"/>
  <c r="AO38" i="1106"/>
  <c r="BD38" i="1106" s="1"/>
  <c r="Y38" i="1106"/>
  <c r="AN38" i="1106"/>
  <c r="BC38" i="1106" s="1"/>
  <c r="X38" i="1106"/>
  <c r="AI38" i="1106"/>
  <c r="AL38" i="1106"/>
  <c r="BA38" i="1106" s="1"/>
  <c r="AT38" i="1106"/>
  <c r="BI38" i="1106" s="1"/>
  <c r="AR38" i="1106"/>
  <c r="BG38" i="1106" s="1"/>
  <c r="AM38" i="1106"/>
  <c r="BB38" i="1106" s="1"/>
  <c r="W38" i="1106"/>
  <c r="Z38" i="1106"/>
  <c r="AK38" i="1106"/>
  <c r="AZ38" i="1106" s="1"/>
  <c r="U38" i="1106"/>
  <c r="AJ38" i="1106"/>
  <c r="AY38" i="1106" s="1"/>
  <c r="AU38" i="1106"/>
  <c r="BJ38" i="1106" s="1"/>
  <c r="AE38" i="1106"/>
  <c r="V38" i="1106"/>
  <c r="AD38" i="1106"/>
  <c r="AS38" i="1106"/>
  <c r="BH38" i="1106" s="1"/>
  <c r="AC38" i="1106"/>
  <c r="AB38" i="1106"/>
  <c r="AH38" i="1106"/>
  <c r="AW38" i="1106"/>
  <c r="BL38" i="1106" s="1"/>
  <c r="AG38" i="1106"/>
  <c r="AV38" i="1106"/>
  <c r="BK38" i="1106" s="1"/>
  <c r="AF38" i="1106"/>
  <c r="AQ38" i="1106"/>
  <c r="BF38" i="1106" s="1"/>
  <c r="AA38" i="1106"/>
  <c r="AX38" i="1106"/>
  <c r="BM38" i="1106" s="1"/>
  <c r="CB38" i="1106" s="1"/>
  <c r="CR38" i="1106" s="1"/>
  <c r="AP38" i="1106"/>
  <c r="BE38" i="1106" s="1"/>
  <c r="AH41" i="287"/>
  <c r="AI41" i="287" s="1"/>
  <c r="BT21" i="1106"/>
  <c r="CJ21" i="1106" s="1"/>
  <c r="E23" i="1121"/>
  <c r="E23" i="1122"/>
  <c r="F23" i="1121"/>
  <c r="F23" i="1122"/>
  <c r="BQ21" i="1106"/>
  <c r="CG21" i="1106" s="1"/>
  <c r="BP21" i="1106"/>
  <c r="CF21" i="1106" s="1"/>
  <c r="F22" i="1121"/>
  <c r="F22" i="1122"/>
  <c r="L32" i="290"/>
  <c r="P32" i="290" s="1"/>
  <c r="R31" i="290"/>
  <c r="AG31" i="290" s="1"/>
  <c r="R32" i="290"/>
  <c r="G92" i="262"/>
  <c r="I52" i="38" s="1"/>
  <c r="R33" i="289"/>
  <c r="AG41" i="289" s="1"/>
  <c r="BV21" i="1106"/>
  <c r="CL21" i="1106" s="1"/>
  <c r="BU21" i="1106"/>
  <c r="CK21" i="1106" s="1"/>
  <c r="BR21" i="1106"/>
  <c r="CH21" i="1106" s="1"/>
  <c r="N107" i="1103"/>
  <c r="J107" i="1103"/>
  <c r="R107" i="1103"/>
  <c r="O18" i="6"/>
  <c r="V107" i="262"/>
  <c r="N107" i="262"/>
  <c r="F54" i="38"/>
  <c r="AH107" i="262"/>
  <c r="Z107" i="262"/>
  <c r="R107" i="262"/>
  <c r="J107" i="262"/>
  <c r="AD107" i="262"/>
  <c r="BW21" i="1106"/>
  <c r="CM21" i="1106" s="1"/>
  <c r="I53" i="290"/>
  <c r="I18" i="290" s="1"/>
  <c r="I24" i="290" s="1"/>
  <c r="AG31" i="289"/>
  <c r="AJ23" i="1106"/>
  <c r="AY23" i="1106" s="1"/>
  <c r="AX23" i="1106"/>
  <c r="BM23" i="1106" s="1"/>
  <c r="V23" i="1106"/>
  <c r="AM23" i="1106"/>
  <c r="BB23" i="1106" s="1"/>
  <c r="AQ23" i="1106"/>
  <c r="BF23" i="1106" s="1"/>
  <c r="AR23" i="1106"/>
  <c r="BG23" i="1106" s="1"/>
  <c r="AV23" i="1106"/>
  <c r="BK23" i="1106" s="1"/>
  <c r="AL23" i="1106"/>
  <c r="BA23" i="1106" s="1"/>
  <c r="AW23" i="1106"/>
  <c r="BL23" i="1106" s="1"/>
  <c r="Y23" i="1106"/>
  <c r="AB23" i="1106"/>
  <c r="AF23" i="1106"/>
  <c r="AT23" i="1106"/>
  <c r="BI23" i="1106" s="1"/>
  <c r="AI23" i="1106"/>
  <c r="AS23" i="1106"/>
  <c r="BH23" i="1106" s="1"/>
  <c r="U23" i="1106"/>
  <c r="AN23" i="1106"/>
  <c r="BC23" i="1106" s="1"/>
  <c r="AH23" i="1106"/>
  <c r="AP23" i="1106"/>
  <c r="BE23" i="1106" s="1"/>
  <c r="W23" i="1106"/>
  <c r="AK23" i="1106"/>
  <c r="AZ23" i="1106" s="1"/>
  <c r="AO23" i="1106"/>
  <c r="BD23" i="1106" s="1"/>
  <c r="AU23" i="1106"/>
  <c r="BJ23" i="1106" s="1"/>
  <c r="AC23" i="1106"/>
  <c r="X23" i="1106"/>
  <c r="Z23" i="1106"/>
  <c r="AE23" i="1106"/>
  <c r="AD23" i="1106"/>
  <c r="AA23" i="1106"/>
  <c r="AG23" i="1106"/>
  <c r="BO21" i="1106"/>
  <c r="CE21" i="1106" s="1"/>
  <c r="BN21" i="1106"/>
  <c r="U90" i="1103"/>
  <c r="S90" i="1103"/>
  <c r="BZ21" i="1106"/>
  <c r="CP21" i="1106" s="1"/>
  <c r="BS21" i="1106"/>
  <c r="CI21" i="1106" s="1"/>
  <c r="CC20" i="1106"/>
  <c r="CS20" i="1106" s="1"/>
  <c r="CD20" i="1106"/>
  <c r="K90" i="1103"/>
  <c r="M90" i="1103"/>
  <c r="CI19" i="1106"/>
  <c r="CC19" i="1106"/>
  <c r="CS19" i="1106" s="1"/>
  <c r="AK22" i="1106"/>
  <c r="AZ22" i="1106" s="1"/>
  <c r="AJ22" i="1106"/>
  <c r="AY22" i="1106" s="1"/>
  <c r="AO22" i="1106"/>
  <c r="BD22" i="1106" s="1"/>
  <c r="AA22" i="1106"/>
  <c r="AT22" i="1106"/>
  <c r="BI22" i="1106" s="1"/>
  <c r="AD22" i="1106"/>
  <c r="AH22" i="1106"/>
  <c r="AX22" i="1106"/>
  <c r="BM22" i="1106" s="1"/>
  <c r="AL22" i="1106"/>
  <c r="BA22" i="1106" s="1"/>
  <c r="AV22" i="1106"/>
  <c r="BK22" i="1106" s="1"/>
  <c r="AP22" i="1106"/>
  <c r="BE22" i="1106" s="1"/>
  <c r="X22" i="1106"/>
  <c r="W22" i="1106"/>
  <c r="AF22" i="1106"/>
  <c r="AG22" i="1106"/>
  <c r="AN22" i="1106"/>
  <c r="BC22" i="1106" s="1"/>
  <c r="V22" i="1106"/>
  <c r="U22" i="1106"/>
  <c r="Z22" i="1106"/>
  <c r="AR22" i="1106"/>
  <c r="BG22" i="1106" s="1"/>
  <c r="AC22" i="1106"/>
  <c r="AB22" i="1106"/>
  <c r="AI22" i="1106"/>
  <c r="Y22" i="1106"/>
  <c r="AM22" i="1106"/>
  <c r="BB22" i="1106" s="1"/>
  <c r="AE22" i="1106"/>
  <c r="AQ22" i="1106"/>
  <c r="BF22" i="1106" s="1"/>
  <c r="AS22" i="1106"/>
  <c r="BH22" i="1106" s="1"/>
  <c r="AW22" i="1106"/>
  <c r="BL22" i="1106" s="1"/>
  <c r="AU22" i="1106"/>
  <c r="BJ22" i="1106" s="1"/>
  <c r="BY22" i="1106" s="1"/>
  <c r="CO22" i="1106" s="1"/>
  <c r="O90" i="1103"/>
  <c r="Q90" i="1103"/>
  <c r="P17" i="313"/>
  <c r="O17" i="313"/>
  <c r="Q17" i="313"/>
  <c r="Q18" i="313"/>
  <c r="O16" i="313"/>
  <c r="Q16" i="313"/>
  <c r="P16" i="313"/>
  <c r="P19" i="313"/>
  <c r="E41" i="1107"/>
  <c r="E23" i="1107"/>
  <c r="F22" i="1107"/>
  <c r="F40" i="1107"/>
  <c r="D153" i="39"/>
  <c r="D154" i="39" s="1"/>
  <c r="F23" i="1107"/>
  <c r="F41" i="1107"/>
  <c r="G426" i="1103"/>
  <c r="N413" i="1103"/>
  <c r="G424" i="1103"/>
  <c r="G423" i="1103"/>
  <c r="G417" i="1103"/>
  <c r="G418" i="1103"/>
  <c r="G421" i="1103"/>
  <c r="H414" i="1103"/>
  <c r="G428" i="1103"/>
  <c r="G427" i="1103"/>
  <c r="R413" i="1103"/>
  <c r="G425" i="1103"/>
  <c r="G415" i="1103"/>
  <c r="G420" i="1103"/>
  <c r="G416" i="1103"/>
  <c r="J413" i="1103"/>
  <c r="G422" i="1103"/>
  <c r="G419" i="1103"/>
  <c r="P397" i="1103"/>
  <c r="Q397" i="1103" s="1"/>
  <c r="L397" i="1103"/>
  <c r="M397" i="1103" s="1"/>
  <c r="T397" i="1103"/>
  <c r="U397" i="1103" s="1"/>
  <c r="H398" i="1103"/>
  <c r="S396" i="1103"/>
  <c r="U396" i="1103"/>
  <c r="A447" i="1103"/>
  <c r="A344" i="261"/>
  <c r="T349" i="1103"/>
  <c r="U349" i="1103" s="1"/>
  <c r="L349" i="1103"/>
  <c r="M349" i="1103" s="1"/>
  <c r="P349" i="1103"/>
  <c r="Q349" i="1103" s="1"/>
  <c r="H350" i="1103"/>
  <c r="L381" i="1103"/>
  <c r="M381" i="1103" s="1"/>
  <c r="T381" i="1103"/>
  <c r="U381" i="1103" s="1"/>
  <c r="P381" i="1103"/>
  <c r="Q381" i="1103" s="1"/>
  <c r="H382" i="1103"/>
  <c r="Q396" i="1103"/>
  <c r="O396" i="1103"/>
  <c r="T365" i="1103"/>
  <c r="U365" i="1103" s="1"/>
  <c r="L365" i="1103"/>
  <c r="M365" i="1103" s="1"/>
  <c r="P365" i="1103"/>
  <c r="Q365" i="1103" s="1"/>
  <c r="H366" i="1103"/>
  <c r="L317" i="1103"/>
  <c r="M317" i="1103" s="1"/>
  <c r="H318" i="1103"/>
  <c r="P317" i="1103"/>
  <c r="Q317" i="1103" s="1"/>
  <c r="T317" i="1103"/>
  <c r="U317" i="1103" s="1"/>
  <c r="L333" i="1103"/>
  <c r="M333" i="1103" s="1"/>
  <c r="P333" i="1103"/>
  <c r="Q333" i="1103" s="1"/>
  <c r="T333" i="1103"/>
  <c r="U333" i="1103" s="1"/>
  <c r="H334" i="1103"/>
  <c r="M396" i="1103"/>
  <c r="K396" i="1103"/>
  <c r="D112" i="39"/>
  <c r="G109" i="1103"/>
  <c r="G110" i="1103" s="1"/>
  <c r="G111" i="1103" s="1"/>
  <c r="G112" i="1103" s="1"/>
  <c r="G113" i="1103" s="1"/>
  <c r="G114" i="1103" s="1"/>
  <c r="G115" i="1103" s="1"/>
  <c r="G116" i="1103" s="1"/>
  <c r="G117" i="1103" s="1"/>
  <c r="G118" i="1103" s="1"/>
  <c r="G119" i="1103" s="1"/>
  <c r="G120" i="1103" s="1"/>
  <c r="G121" i="1103" s="1"/>
  <c r="G122" i="1103" s="1"/>
  <c r="F23" i="264"/>
  <c r="F41" i="264"/>
  <c r="F22" i="264"/>
  <c r="F40" i="264"/>
  <c r="G23" i="264"/>
  <c r="G41" i="264"/>
  <c r="B23" i="9"/>
  <c r="J37" i="9"/>
  <c r="G35" i="38"/>
  <c r="G38" i="38"/>
  <c r="AR29" i="10"/>
  <c r="AQ29" i="10"/>
  <c r="D26" i="288"/>
  <c r="D26" i="289"/>
  <c r="G57" i="289"/>
  <c r="K57" i="289" s="1"/>
  <c r="G54" i="289"/>
  <c r="K54" i="289" s="1"/>
  <c r="G57" i="288"/>
  <c r="K57" i="288" s="1"/>
  <c r="G50" i="288"/>
  <c r="D50" i="288"/>
  <c r="I46" i="286"/>
  <c r="I46" i="287"/>
  <c r="F51" i="289"/>
  <c r="D51" i="289" s="1"/>
  <c r="D53" i="289"/>
  <c r="F51" i="288"/>
  <c r="D53" i="288"/>
  <c r="G56" i="289"/>
  <c r="K56" i="289" s="1"/>
  <c r="F46" i="290"/>
  <c r="F49" i="290"/>
  <c r="G56" i="288"/>
  <c r="K56" i="288" s="1"/>
  <c r="G54" i="288"/>
  <c r="K54" i="288" s="1"/>
  <c r="H49" i="288"/>
  <c r="F50" i="289"/>
  <c r="H49" i="289"/>
  <c r="H50" i="69"/>
  <c r="H46" i="69" s="1"/>
  <c r="G46" i="69"/>
  <c r="G76" i="262"/>
  <c r="J49" i="38" s="1"/>
  <c r="G108" i="262"/>
  <c r="H55" i="38" s="1"/>
  <c r="H35" i="288"/>
  <c r="H54" i="288" s="1"/>
  <c r="AE32" i="288"/>
  <c r="AE36" i="288"/>
  <c r="AE37" i="288"/>
  <c r="AE35" i="288"/>
  <c r="AE40" i="288"/>
  <c r="D17" i="290"/>
  <c r="D15" i="290"/>
  <c r="F16" i="290"/>
  <c r="D16" i="290" s="1"/>
  <c r="AE32" i="289"/>
  <c r="AE35" i="289"/>
  <c r="AE37" i="289"/>
  <c r="AE40" i="289"/>
  <c r="AE36" i="289"/>
  <c r="R34" i="288"/>
  <c r="AG33" i="288"/>
  <c r="AG41" i="288"/>
  <c r="AD37" i="288"/>
  <c r="AD32" i="288"/>
  <c r="AD36" i="288"/>
  <c r="AD35" i="288"/>
  <c r="AD40" i="288"/>
  <c r="W31" i="288"/>
  <c r="W34" i="288" s="1"/>
  <c r="W35" i="288" s="1"/>
  <c r="W36" i="288" s="1"/>
  <c r="K26" i="288" s="1"/>
  <c r="I16" i="290"/>
  <c r="D18" i="290"/>
  <c r="F24" i="290"/>
  <c r="G27" i="290"/>
  <c r="I14" i="290"/>
  <c r="I48" i="290" s="1"/>
  <c r="F35" i="290"/>
  <c r="D35" i="290" s="1"/>
  <c r="D14" i="290"/>
  <c r="G14" i="290"/>
  <c r="G48" i="290" s="1"/>
  <c r="H15" i="290"/>
  <c r="K15" i="290"/>
  <c r="G16" i="290"/>
  <c r="H35" i="289"/>
  <c r="H54" i="289" s="1"/>
  <c r="B128" i="1"/>
  <c r="B31" i="1"/>
  <c r="AD35" i="289"/>
  <c r="AD40" i="289"/>
  <c r="AD37" i="289"/>
  <c r="AD36" i="289"/>
  <c r="AD32" i="289"/>
  <c r="A158" i="262"/>
  <c r="G43" i="262"/>
  <c r="K43" i="38" s="1"/>
  <c r="G27" i="262"/>
  <c r="B152" i="262"/>
  <c r="AH37" i="69"/>
  <c r="AI37" i="69" s="1"/>
  <c r="AI43" i="69" s="1"/>
  <c r="W32" i="69" s="1"/>
  <c r="W33" i="69" s="1"/>
  <c r="Y33" i="69" s="1"/>
  <c r="G26" i="69" s="1"/>
  <c r="B137" i="262"/>
  <c r="K26" i="262"/>
  <c r="AH37" i="286"/>
  <c r="AI37" i="286" s="1"/>
  <c r="AI43" i="286" s="1"/>
  <c r="W32" i="286" s="1"/>
  <c r="W33" i="286" s="1"/>
  <c r="Y33" i="286" s="1"/>
  <c r="G26" i="286" s="1"/>
  <c r="B153" i="262"/>
  <c r="B128" i="262"/>
  <c r="V123" i="1"/>
  <c r="AH37" i="287"/>
  <c r="AI37" i="287" s="1"/>
  <c r="H17" i="286"/>
  <c r="X61" i="1"/>
  <c r="V159" i="1"/>
  <c r="W159" i="1"/>
  <c r="X159" i="1" s="1"/>
  <c r="I28" i="10"/>
  <c r="M28" i="10" s="1"/>
  <c r="E41" i="264"/>
  <c r="E23" i="264"/>
  <c r="B81" i="262"/>
  <c r="B66" i="262"/>
  <c r="B65" i="262"/>
  <c r="B172" i="262"/>
  <c r="B63" i="1"/>
  <c r="B160" i="1"/>
  <c r="H29" i="10"/>
  <c r="E40" i="1106" s="1"/>
  <c r="N40" i="1106" s="1"/>
  <c r="G29" i="10"/>
  <c r="F30" i="10"/>
  <c r="B129" i="262"/>
  <c r="X77" i="1"/>
  <c r="V175" i="1"/>
  <c r="O69" i="6"/>
  <c r="O54" i="6"/>
  <c r="W175" i="1"/>
  <c r="X175" i="1" s="1"/>
  <c r="V121" i="1"/>
  <c r="E31" i="10"/>
  <c r="H44" i="264" s="1"/>
  <c r="BB30" i="10"/>
  <c r="AF30" i="10" s="1"/>
  <c r="AJ30" i="10" s="1"/>
  <c r="BC30" i="10"/>
  <c r="AG30" i="10" s="1"/>
  <c r="AK30" i="10" s="1"/>
  <c r="BD30" i="10"/>
  <c r="AH30" i="10" s="1"/>
  <c r="AL30" i="10" s="1"/>
  <c r="BE30" i="10"/>
  <c r="AI30" i="10" s="1"/>
  <c r="AM30" i="10" s="1"/>
  <c r="H25" i="264"/>
  <c r="J43" i="264"/>
  <c r="J26" i="264"/>
  <c r="M25" i="264"/>
  <c r="Q25" i="264" s="1"/>
  <c r="H43" i="264"/>
  <c r="B58" i="262"/>
  <c r="B39" i="35"/>
  <c r="B40" i="35" s="1"/>
  <c r="B41" i="35" s="1"/>
  <c r="B42" i="35" s="1"/>
  <c r="B43" i="35" s="1"/>
  <c r="B125" i="262"/>
  <c r="B114" i="262"/>
  <c r="C142" i="39"/>
  <c r="E142" i="39" s="1"/>
  <c r="D143" i="39"/>
  <c r="C56" i="6"/>
  <c r="G17" i="286"/>
  <c r="C168" i="39"/>
  <c r="E168" i="39" s="1"/>
  <c r="D169" i="39"/>
  <c r="P25" i="264"/>
  <c r="O25" i="264"/>
  <c r="R25" i="264"/>
  <c r="AA24" i="264"/>
  <c r="V24" i="264" s="1"/>
  <c r="N42" i="264"/>
  <c r="AA42" i="264" s="1"/>
  <c r="V42" i="264" s="1"/>
  <c r="M42" i="264"/>
  <c r="Z42" i="264" s="1"/>
  <c r="U42" i="264" s="1"/>
  <c r="Z24" i="264"/>
  <c r="U24" i="264" s="1"/>
  <c r="Y24" i="264"/>
  <c r="T24" i="264" s="1"/>
  <c r="L42" i="264"/>
  <c r="Y42" i="264" s="1"/>
  <c r="T42" i="264" s="1"/>
  <c r="O42" i="264"/>
  <c r="Q24" i="264"/>
  <c r="O24" i="264"/>
  <c r="R24" i="264"/>
  <c r="P24" i="264"/>
  <c r="K43" i="264"/>
  <c r="X43" i="264" s="1"/>
  <c r="S43" i="264" s="1"/>
  <c r="X25" i="264"/>
  <c r="S25" i="264" s="1"/>
  <c r="Y25" i="264"/>
  <c r="T25" i="264" s="1"/>
  <c r="L43" i="264"/>
  <c r="Y43" i="264" s="1"/>
  <c r="T43" i="264" s="1"/>
  <c r="AA25" i="264"/>
  <c r="V25" i="264" s="1"/>
  <c r="N43" i="264"/>
  <c r="AA43" i="264" s="1"/>
  <c r="V43" i="264" s="1"/>
  <c r="A13" i="3"/>
  <c r="B12" i="3"/>
  <c r="C12" i="3" s="1"/>
  <c r="C153" i="39"/>
  <c r="E153" i="39" s="1"/>
  <c r="B84" i="38"/>
  <c r="B59" i="262"/>
  <c r="B113" i="262"/>
  <c r="B79" i="1"/>
  <c r="B176" i="1"/>
  <c r="C98" i="39"/>
  <c r="E98" i="39" s="1"/>
  <c r="D99" i="39"/>
  <c r="AA41" i="264"/>
  <c r="V41" i="264" s="1"/>
  <c r="R41" i="264"/>
  <c r="C71" i="6"/>
  <c r="C125" i="39"/>
  <c r="E125" i="39" s="1"/>
  <c r="D126" i="39"/>
  <c r="I89" i="39"/>
  <c r="K89" i="39" s="1"/>
  <c r="J90" i="39"/>
  <c r="I90" i="39" s="1"/>
  <c r="B156" i="262"/>
  <c r="G124" i="1103"/>
  <c r="I430" i="1103"/>
  <c r="N70" i="6"/>
  <c r="E430" i="1103"/>
  <c r="P62" i="1"/>
  <c r="G124" i="262"/>
  <c r="P78" i="1"/>
  <c r="Q78" i="1"/>
  <c r="N55" i="6"/>
  <c r="V78" i="1"/>
  <c r="F430" i="1103"/>
  <c r="P54" i="6"/>
  <c r="H430" i="1103"/>
  <c r="W78" i="1"/>
  <c r="E141" i="262"/>
  <c r="G430" i="1103"/>
  <c r="F141" i="262"/>
  <c r="V62" i="1"/>
  <c r="W62" i="1"/>
  <c r="Q62" i="1"/>
  <c r="P69" i="6"/>
  <c r="L22" i="1122" l="1"/>
  <c r="K31" i="1122"/>
  <c r="M22" i="1122"/>
  <c r="M31" i="1122"/>
  <c r="L23" i="1122"/>
  <c r="K20" i="1122"/>
  <c r="B48" i="1"/>
  <c r="B145" i="1"/>
  <c r="L20" i="1122"/>
  <c r="M32" i="1122"/>
  <c r="M23" i="1122"/>
  <c r="D15" i="291"/>
  <c r="BP23" i="1106"/>
  <c r="CF23" i="1106" s="1"/>
  <c r="J44" i="264"/>
  <c r="O18" i="313"/>
  <c r="K34" i="1122"/>
  <c r="O19" i="313"/>
  <c r="K16" i="1122"/>
  <c r="BU37" i="1106"/>
  <c r="CK37" i="1106" s="1"/>
  <c r="BV37" i="1106"/>
  <c r="CL37" i="1106" s="1"/>
  <c r="L32" i="1122"/>
  <c r="CA37" i="1106"/>
  <c r="CQ37" i="1106" s="1"/>
  <c r="D188" i="39"/>
  <c r="C187" i="39"/>
  <c r="E187" i="39" s="1"/>
  <c r="D86" i="39"/>
  <c r="G61" i="262"/>
  <c r="L46" i="38" s="1"/>
  <c r="BN37" i="1106"/>
  <c r="CD37" i="1106" s="1"/>
  <c r="AI43" i="287"/>
  <c r="W32" i="287" s="1"/>
  <c r="W33" i="287" s="1"/>
  <c r="Y33" i="287" s="1"/>
  <c r="G26" i="287" s="1"/>
  <c r="BV23" i="1106"/>
  <c r="CL23" i="1106" s="1"/>
  <c r="BQ23" i="1106"/>
  <c r="CG23" i="1106" s="1"/>
  <c r="CB23" i="1106"/>
  <c r="CR23" i="1106" s="1"/>
  <c r="D17" i="291"/>
  <c r="BR23" i="1106"/>
  <c r="CH23" i="1106" s="1"/>
  <c r="CA23" i="1106"/>
  <c r="CQ23" i="1106" s="1"/>
  <c r="BU38" i="1106"/>
  <c r="CK38" i="1106" s="1"/>
  <c r="CB37" i="1106"/>
  <c r="CR37" i="1106" s="1"/>
  <c r="BP37" i="1106"/>
  <c r="CF37" i="1106" s="1"/>
  <c r="BZ37" i="1106"/>
  <c r="CP37" i="1106" s="1"/>
  <c r="BZ38" i="1106"/>
  <c r="CP38" i="1106" s="1"/>
  <c r="BQ38" i="1106"/>
  <c r="CG38" i="1106" s="1"/>
  <c r="BQ37" i="1106"/>
  <c r="CG37" i="1106" s="1"/>
  <c r="CA38" i="1106"/>
  <c r="CQ38" i="1106" s="1"/>
  <c r="BY38" i="1106"/>
  <c r="CO38" i="1106" s="1"/>
  <c r="BR37" i="1106"/>
  <c r="CH37" i="1106" s="1"/>
  <c r="BS37" i="1106"/>
  <c r="CI37" i="1106" s="1"/>
  <c r="BW37" i="1106"/>
  <c r="CM37" i="1106" s="1"/>
  <c r="BS23" i="1106"/>
  <c r="CI23" i="1106" s="1"/>
  <c r="BO37" i="1106"/>
  <c r="CE37" i="1106" s="1"/>
  <c r="G16" i="291"/>
  <c r="BT37" i="1106"/>
  <c r="CJ37" i="1106" s="1"/>
  <c r="BN23" i="1106"/>
  <c r="CD23" i="1106" s="1"/>
  <c r="Q42" i="264"/>
  <c r="BW38" i="1106"/>
  <c r="CM38" i="1106" s="1"/>
  <c r="BR38" i="1106"/>
  <c r="CH38" i="1106" s="1"/>
  <c r="D18" i="291"/>
  <c r="BX37" i="1106"/>
  <c r="CN37" i="1106" s="1"/>
  <c r="H15" i="291"/>
  <c r="H16" i="291" s="1"/>
  <c r="F35" i="291"/>
  <c r="D35" i="291" s="1"/>
  <c r="Q32" i="290"/>
  <c r="AG33" i="289"/>
  <c r="N32" i="290"/>
  <c r="AD35" i="290" s="1"/>
  <c r="D14" i="291"/>
  <c r="I14" i="291"/>
  <c r="I48" i="291" s="1"/>
  <c r="F49" i="291"/>
  <c r="F50" i="291" s="1"/>
  <c r="G14" i="291"/>
  <c r="G48" i="291" s="1"/>
  <c r="BT38" i="1106"/>
  <c r="CJ38" i="1106" s="1"/>
  <c r="BN38" i="1106"/>
  <c r="BP38" i="1106"/>
  <c r="CF38" i="1106" s="1"/>
  <c r="BS38" i="1106"/>
  <c r="CI38" i="1106" s="1"/>
  <c r="CU35" i="1106"/>
  <c r="CT35" i="1106"/>
  <c r="BY23" i="1106"/>
  <c r="CO23" i="1106" s="1"/>
  <c r="BW23" i="1106"/>
  <c r="CM23" i="1106" s="1"/>
  <c r="BZ23" i="1106"/>
  <c r="CP23" i="1106" s="1"/>
  <c r="BO38" i="1106"/>
  <c r="CE38" i="1106" s="1"/>
  <c r="BV38" i="1106"/>
  <c r="CL38" i="1106" s="1"/>
  <c r="BX38" i="1106"/>
  <c r="CN38" i="1106" s="1"/>
  <c r="CU36" i="1106"/>
  <c r="CT36" i="1106"/>
  <c r="K40" i="1106"/>
  <c r="M40" i="1106"/>
  <c r="L40" i="1106"/>
  <c r="AG39" i="290"/>
  <c r="R34" i="289"/>
  <c r="M32" i="290"/>
  <c r="W31" i="289"/>
  <c r="W34" i="289" s="1"/>
  <c r="W35" i="289" s="1"/>
  <c r="W36" i="289" s="1"/>
  <c r="K26" i="289" s="1"/>
  <c r="O32" i="290"/>
  <c r="BT23" i="1106"/>
  <c r="CJ23" i="1106" s="1"/>
  <c r="R33" i="290"/>
  <c r="AG33" i="290" s="1"/>
  <c r="E24" i="1121"/>
  <c r="E24" i="1122"/>
  <c r="BX23" i="1106"/>
  <c r="CN23" i="1106" s="1"/>
  <c r="BU23" i="1106"/>
  <c r="CK23" i="1106" s="1"/>
  <c r="BO23" i="1106"/>
  <c r="CE23" i="1106" s="1"/>
  <c r="G93" i="262"/>
  <c r="J52" i="38" s="1"/>
  <c r="BW22" i="1106"/>
  <c r="CM22" i="1106" s="1"/>
  <c r="BV22" i="1106"/>
  <c r="CL22" i="1106" s="1"/>
  <c r="BU22" i="1106"/>
  <c r="CK22" i="1106" s="1"/>
  <c r="BT22" i="1106"/>
  <c r="CJ22" i="1106" s="1"/>
  <c r="BS22" i="1106"/>
  <c r="CI22" i="1106" s="1"/>
  <c r="CU20" i="1106"/>
  <c r="CT20" i="1106"/>
  <c r="CD21" i="1106"/>
  <c r="CC21" i="1106"/>
  <c r="CS21" i="1106" s="1"/>
  <c r="B141" i="262"/>
  <c r="BZ22" i="1106"/>
  <c r="CP22" i="1106" s="1"/>
  <c r="BN22" i="1106"/>
  <c r="CU19" i="1106"/>
  <c r="CT19" i="1106"/>
  <c r="U107" i="1103"/>
  <c r="S107" i="1103"/>
  <c r="C141" i="262"/>
  <c r="CA22" i="1106"/>
  <c r="CQ22" i="1106" s="1"/>
  <c r="BQ22" i="1106"/>
  <c r="CG22" i="1106" s="1"/>
  <c r="BP22" i="1106"/>
  <c r="CF22" i="1106" s="1"/>
  <c r="BX22" i="1106"/>
  <c r="CN22" i="1106" s="1"/>
  <c r="BO22" i="1106"/>
  <c r="CE22" i="1106" s="1"/>
  <c r="K107" i="1103"/>
  <c r="M107" i="1103"/>
  <c r="BR22" i="1106"/>
  <c r="CH22" i="1106" s="1"/>
  <c r="CB22" i="1106"/>
  <c r="CR22" i="1106" s="1"/>
  <c r="Q107" i="1103"/>
  <c r="O107" i="1103"/>
  <c r="E24" i="1107"/>
  <c r="E42" i="1107"/>
  <c r="G435" i="1103"/>
  <c r="G438" i="1103"/>
  <c r="G433" i="1103"/>
  <c r="G432" i="1103"/>
  <c r="G443" i="1103"/>
  <c r="N430" i="1103"/>
  <c r="G441" i="1103"/>
  <c r="G440" i="1103"/>
  <c r="G434" i="1103"/>
  <c r="G439" i="1103"/>
  <c r="G442" i="1103"/>
  <c r="G437" i="1103"/>
  <c r="G436" i="1103"/>
  <c r="J430" i="1103"/>
  <c r="G444" i="1103"/>
  <c r="G445" i="1103"/>
  <c r="R430" i="1103"/>
  <c r="H431" i="1103"/>
  <c r="A464" i="1103"/>
  <c r="Q413" i="1103"/>
  <c r="O413" i="1103"/>
  <c r="H319" i="1103"/>
  <c r="T318" i="1103"/>
  <c r="U318" i="1103" s="1"/>
  <c r="L318" i="1103"/>
  <c r="M318" i="1103" s="1"/>
  <c r="P318" i="1103"/>
  <c r="Q318" i="1103" s="1"/>
  <c r="H383" i="1103"/>
  <c r="P382" i="1103"/>
  <c r="Q382" i="1103" s="1"/>
  <c r="L382" i="1103"/>
  <c r="M382" i="1103" s="1"/>
  <c r="T382" i="1103"/>
  <c r="U382" i="1103" s="1"/>
  <c r="H351" i="1103"/>
  <c r="T350" i="1103"/>
  <c r="U350" i="1103" s="1"/>
  <c r="L350" i="1103"/>
  <c r="M350" i="1103" s="1"/>
  <c r="P350" i="1103"/>
  <c r="Q350" i="1103" s="1"/>
  <c r="M413" i="1103"/>
  <c r="K413" i="1103"/>
  <c r="P334" i="1103"/>
  <c r="Q334" i="1103" s="1"/>
  <c r="H335" i="1103"/>
  <c r="L334" i="1103"/>
  <c r="M334" i="1103" s="1"/>
  <c r="T334" i="1103"/>
  <c r="U334" i="1103" s="1"/>
  <c r="L366" i="1103"/>
  <c r="M366" i="1103" s="1"/>
  <c r="P366" i="1103"/>
  <c r="Q366" i="1103" s="1"/>
  <c r="H367" i="1103"/>
  <c r="T366" i="1103"/>
  <c r="U366" i="1103" s="1"/>
  <c r="H399" i="1103"/>
  <c r="P398" i="1103"/>
  <c r="Q398" i="1103" s="1"/>
  <c r="T398" i="1103"/>
  <c r="U398" i="1103" s="1"/>
  <c r="L398" i="1103"/>
  <c r="M398" i="1103" s="1"/>
  <c r="T414" i="1103"/>
  <c r="U414" i="1103" s="1"/>
  <c r="H415" i="1103"/>
  <c r="L414" i="1103"/>
  <c r="M414" i="1103" s="1"/>
  <c r="P414" i="1103"/>
  <c r="Q414" i="1103" s="1"/>
  <c r="S413" i="1103"/>
  <c r="U413" i="1103"/>
  <c r="F52" i="289"/>
  <c r="D52" i="289" s="1"/>
  <c r="D113" i="39"/>
  <c r="C112" i="39"/>
  <c r="E112" i="39" s="1"/>
  <c r="P42" i="264"/>
  <c r="AF35" i="289"/>
  <c r="AG35" i="289" s="1"/>
  <c r="AF36" i="289"/>
  <c r="AG36" i="289" s="1"/>
  <c r="B24" i="9"/>
  <c r="K30" i="10" s="1"/>
  <c r="J38" i="9"/>
  <c r="L29" i="10"/>
  <c r="K29" i="10"/>
  <c r="L30" i="10"/>
  <c r="R42" i="264"/>
  <c r="F26" i="291"/>
  <c r="F55" i="291" s="1"/>
  <c r="D55" i="291" s="1"/>
  <c r="AR30" i="10"/>
  <c r="AQ30" i="10"/>
  <c r="AF40" i="288"/>
  <c r="AG40" i="288" s="1"/>
  <c r="AH41" i="288" s="1"/>
  <c r="AI41" i="288" s="1"/>
  <c r="AF37" i="288"/>
  <c r="AG37" i="288" s="1"/>
  <c r="AF32" i="289"/>
  <c r="AG32" i="289" s="1"/>
  <c r="AF37" i="289"/>
  <c r="AG37" i="289" s="1"/>
  <c r="AF35" i="288"/>
  <c r="AG35" i="288" s="1"/>
  <c r="G47" i="286"/>
  <c r="G51" i="286"/>
  <c r="G52" i="286" s="1"/>
  <c r="G55" i="286"/>
  <c r="H47" i="286"/>
  <c r="H51" i="286"/>
  <c r="H52" i="286" s="1"/>
  <c r="H55" i="286"/>
  <c r="F43" i="290"/>
  <c r="D43" i="290" s="1"/>
  <c r="I43" i="290"/>
  <c r="F51" i="291"/>
  <c r="D51" i="291" s="1"/>
  <c r="D53" i="291"/>
  <c r="G50" i="289"/>
  <c r="D50" i="289"/>
  <c r="F54" i="290"/>
  <c r="D54" i="290" s="1"/>
  <c r="D46" i="290"/>
  <c r="D51" i="288"/>
  <c r="F52" i="288"/>
  <c r="D52" i="288" s="1"/>
  <c r="I50" i="287"/>
  <c r="I50" i="286"/>
  <c r="D46" i="291"/>
  <c r="F26" i="290"/>
  <c r="F55" i="290" s="1"/>
  <c r="D55" i="290" s="1"/>
  <c r="F53" i="290"/>
  <c r="I43" i="291"/>
  <c r="F43" i="291"/>
  <c r="D43" i="291" s="1"/>
  <c r="D49" i="290"/>
  <c r="F47" i="290"/>
  <c r="D47" i="290" s="1"/>
  <c r="H50" i="288"/>
  <c r="H46" i="288" s="1"/>
  <c r="H17" i="288" s="1"/>
  <c r="G46" i="288"/>
  <c r="G49" i="290"/>
  <c r="I49" i="290"/>
  <c r="I46" i="69"/>
  <c r="AF32" i="288"/>
  <c r="AG32" i="288" s="1"/>
  <c r="AH33" i="288" s="1"/>
  <c r="AI33" i="288" s="1"/>
  <c r="K50" i="69"/>
  <c r="AF40" i="289"/>
  <c r="AG40" i="289" s="1"/>
  <c r="AH41" i="289" s="1"/>
  <c r="AI41" i="289" s="1"/>
  <c r="AF36" i="288"/>
  <c r="AG36" i="288" s="1"/>
  <c r="G77" i="262"/>
  <c r="K49" i="38" s="1"/>
  <c r="B129" i="1"/>
  <c r="H21" i="6" s="1"/>
  <c r="B32" i="1"/>
  <c r="H14" i="290"/>
  <c r="H48" i="290" s="1"/>
  <c r="D24" i="290"/>
  <c r="I26" i="291"/>
  <c r="D24" i="291"/>
  <c r="C19" i="66"/>
  <c r="F15" i="292"/>
  <c r="F20" i="6"/>
  <c r="G20" i="6" s="1"/>
  <c r="G19" i="66"/>
  <c r="H19" i="66" s="1"/>
  <c r="B20" i="6"/>
  <c r="I15" i="292"/>
  <c r="F17" i="292"/>
  <c r="A8" i="292"/>
  <c r="H20" i="6"/>
  <c r="F18" i="292"/>
  <c r="G29" i="292"/>
  <c r="D20" i="6"/>
  <c r="L20" i="6"/>
  <c r="E20" i="6"/>
  <c r="G15" i="292"/>
  <c r="F14" i="292"/>
  <c r="F48" i="292" s="1"/>
  <c r="D48" i="292" s="1"/>
  <c r="D19" i="66"/>
  <c r="H16" i="290"/>
  <c r="I35" i="290"/>
  <c r="I54" i="290" s="1"/>
  <c r="G39" i="290"/>
  <c r="G36" i="290"/>
  <c r="G31" i="290"/>
  <c r="G33" i="290"/>
  <c r="G35" i="290"/>
  <c r="I26" i="290"/>
  <c r="F19" i="291"/>
  <c r="D19" i="291" s="1"/>
  <c r="G15" i="293"/>
  <c r="K50" i="288"/>
  <c r="AE40" i="290"/>
  <c r="AE37" i="290"/>
  <c r="AE36" i="290"/>
  <c r="AE32" i="290"/>
  <c r="AE35" i="290"/>
  <c r="G33" i="291"/>
  <c r="G31" i="291"/>
  <c r="G36" i="291"/>
  <c r="G39" i="291"/>
  <c r="F19" i="290"/>
  <c r="D19" i="290" s="1"/>
  <c r="G109" i="262"/>
  <c r="I55" i="38" s="1"/>
  <c r="A175" i="262"/>
  <c r="G28" i="262"/>
  <c r="G44" i="262"/>
  <c r="L43" i="38" s="1"/>
  <c r="B169" i="262"/>
  <c r="B154" i="262"/>
  <c r="K27" i="262"/>
  <c r="B170" i="262"/>
  <c r="B145" i="262"/>
  <c r="H17" i="69"/>
  <c r="W160" i="1"/>
  <c r="X160" i="1" s="1"/>
  <c r="X62" i="1"/>
  <c r="V160" i="1"/>
  <c r="B146" i="262"/>
  <c r="H30" i="10"/>
  <c r="E41" i="1106" s="1"/>
  <c r="G30" i="10"/>
  <c r="F31" i="10"/>
  <c r="I29" i="10"/>
  <c r="M29" i="10" s="1"/>
  <c r="E42" i="264"/>
  <c r="E24" i="264"/>
  <c r="B64" i="1"/>
  <c r="B161" i="1"/>
  <c r="B83" i="262"/>
  <c r="B98" i="262"/>
  <c r="B189" i="262"/>
  <c r="B82" i="262"/>
  <c r="O70" i="6"/>
  <c r="W176" i="1"/>
  <c r="X176" i="1" s="1"/>
  <c r="O55" i="6"/>
  <c r="X78" i="1"/>
  <c r="V176" i="1"/>
  <c r="K91" i="39"/>
  <c r="K90" i="39"/>
  <c r="C126" i="39"/>
  <c r="E126" i="39" s="1"/>
  <c r="D127" i="39"/>
  <c r="C72" i="6"/>
  <c r="H19" i="286"/>
  <c r="B173" i="262"/>
  <c r="G17" i="69"/>
  <c r="B177" i="1"/>
  <c r="B80" i="1"/>
  <c r="B130" i="262"/>
  <c r="C154" i="39"/>
  <c r="E154" i="39" s="1"/>
  <c r="D155" i="39"/>
  <c r="H17" i="287"/>
  <c r="B13" i="3"/>
  <c r="C13" i="3" s="1"/>
  <c r="A14" i="3"/>
  <c r="I17" i="286"/>
  <c r="B131" i="262"/>
  <c r="Z25" i="264"/>
  <c r="U25" i="264" s="1"/>
  <c r="M43" i="264"/>
  <c r="Z43" i="264" s="1"/>
  <c r="U43" i="264" s="1"/>
  <c r="E32" i="10"/>
  <c r="L27" i="264" s="1"/>
  <c r="BB31" i="10"/>
  <c r="AF31" i="10" s="1"/>
  <c r="AJ31" i="10" s="1"/>
  <c r="BC31" i="10"/>
  <c r="AG31" i="10" s="1"/>
  <c r="AK31" i="10" s="1"/>
  <c r="BD31" i="10"/>
  <c r="AH31" i="10" s="1"/>
  <c r="AL31" i="10" s="1"/>
  <c r="BE31" i="10"/>
  <c r="AI31" i="10" s="1"/>
  <c r="AM31" i="10" s="1"/>
  <c r="J27" i="264"/>
  <c r="L26" i="264"/>
  <c r="P26" i="264" s="1"/>
  <c r="N26" i="264"/>
  <c r="I27" i="264"/>
  <c r="M26" i="264"/>
  <c r="I26" i="264"/>
  <c r="K26" i="264"/>
  <c r="O26" i="264" s="1"/>
  <c r="H26" i="264"/>
  <c r="C99" i="39"/>
  <c r="E99" i="39" s="1"/>
  <c r="D100" i="39"/>
  <c r="B76" i="262"/>
  <c r="B87" i="38"/>
  <c r="G17" i="287"/>
  <c r="C169" i="39"/>
  <c r="E169" i="39" s="1"/>
  <c r="D170" i="39"/>
  <c r="G19" i="286"/>
  <c r="C143" i="39"/>
  <c r="E143" i="39" s="1"/>
  <c r="D144" i="39"/>
  <c r="C144" i="39" s="1"/>
  <c r="B142" i="262"/>
  <c r="B75" i="262"/>
  <c r="P43" i="264"/>
  <c r="O43" i="264"/>
  <c r="R43" i="264"/>
  <c r="E447" i="1103"/>
  <c r="P63" i="1"/>
  <c r="W63" i="1"/>
  <c r="G141" i="262"/>
  <c r="G447" i="1103"/>
  <c r="P14" i="6"/>
  <c r="Q79" i="1"/>
  <c r="N71" i="6"/>
  <c r="H447" i="1103"/>
  <c r="F447" i="1103"/>
  <c r="Q63" i="1"/>
  <c r="H39" i="1103"/>
  <c r="V79" i="1"/>
  <c r="V63" i="1"/>
  <c r="P79" i="1"/>
  <c r="G141" i="1103"/>
  <c r="V26" i="1"/>
  <c r="P55" i="6"/>
  <c r="F158" i="262"/>
  <c r="E158" i="262"/>
  <c r="N56" i="6"/>
  <c r="I447" i="1103"/>
  <c r="W79" i="1"/>
  <c r="V27" i="1"/>
  <c r="H39" i="262"/>
  <c r="P70" i="6"/>
  <c r="K27" i="264" l="1"/>
  <c r="B49" i="1"/>
  <c r="B146" i="1"/>
  <c r="G62" i="262"/>
  <c r="M46" i="38" s="1"/>
  <c r="N27" i="264"/>
  <c r="C86" i="39"/>
  <c r="E86" i="39" s="1"/>
  <c r="D87" i="39"/>
  <c r="C188" i="39"/>
  <c r="E188" i="39" s="1"/>
  <c r="D189" i="39"/>
  <c r="B158" i="262"/>
  <c r="F47" i="291"/>
  <c r="D47" i="291" s="1"/>
  <c r="F54" i="291"/>
  <c r="D54" i="291" s="1"/>
  <c r="AD36" i="290"/>
  <c r="AF36" i="290" s="1"/>
  <c r="AG36" i="290" s="1"/>
  <c r="AH33" i="289"/>
  <c r="AI33" i="289" s="1"/>
  <c r="I35" i="291"/>
  <c r="I54" i="291" s="1"/>
  <c r="D49" i="291"/>
  <c r="CC37" i="1106"/>
  <c r="CS37" i="1106" s="1"/>
  <c r="CU37" i="1106" s="1"/>
  <c r="AD37" i="290"/>
  <c r="AD32" i="290"/>
  <c r="AF32" i="290" s="1"/>
  <c r="AG32" i="290" s="1"/>
  <c r="AH33" i="290" s="1"/>
  <c r="AI33" i="290" s="1"/>
  <c r="G35" i="291"/>
  <c r="G54" i="291" s="1"/>
  <c r="K54" i="291" s="1"/>
  <c r="AD40" i="290"/>
  <c r="AF40" i="290" s="1"/>
  <c r="AG40" i="290" s="1"/>
  <c r="G49" i="291"/>
  <c r="H14" i="291"/>
  <c r="H48" i="291" s="1"/>
  <c r="R34" i="290"/>
  <c r="AG41" i="290"/>
  <c r="I49" i="291"/>
  <c r="W31" i="290"/>
  <c r="W34" i="290" s="1"/>
  <c r="W35" i="290" s="1"/>
  <c r="W36" i="290" s="1"/>
  <c r="K26" i="290" s="1"/>
  <c r="C20" i="66"/>
  <c r="F14" i="293"/>
  <c r="F48" i="293" s="1"/>
  <c r="D48" i="293" s="1"/>
  <c r="D20" i="66"/>
  <c r="CC38" i="1106"/>
  <c r="CS38" i="1106" s="1"/>
  <c r="CD38" i="1106"/>
  <c r="AV40" i="1106"/>
  <c r="BK40" i="1106" s="1"/>
  <c r="AF40" i="1106"/>
  <c r="AQ40" i="1106"/>
  <c r="BF40" i="1106" s="1"/>
  <c r="AA40" i="1106"/>
  <c r="AP40" i="1106"/>
  <c r="BE40" i="1106" s="1"/>
  <c r="Z40" i="1106"/>
  <c r="AS40" i="1106"/>
  <c r="BH40" i="1106" s="1"/>
  <c r="AK40" i="1106"/>
  <c r="AZ40" i="1106" s="1"/>
  <c r="AW40" i="1106"/>
  <c r="BL40" i="1106" s="1"/>
  <c r="AE40" i="1106"/>
  <c r="AG40" i="1106"/>
  <c r="AR40" i="1106"/>
  <c r="BG40" i="1106" s="1"/>
  <c r="AB40" i="1106"/>
  <c r="AM40" i="1106"/>
  <c r="BB40" i="1106" s="1"/>
  <c r="W40" i="1106"/>
  <c r="AL40" i="1106"/>
  <c r="BA40" i="1106" s="1"/>
  <c r="V40" i="1106"/>
  <c r="AC40" i="1106"/>
  <c r="U40" i="1106"/>
  <c r="AX40" i="1106"/>
  <c r="BM40" i="1106" s="1"/>
  <c r="AO40" i="1106"/>
  <c r="BD40" i="1106" s="1"/>
  <c r="AU40" i="1106"/>
  <c r="BJ40" i="1106" s="1"/>
  <c r="AT40" i="1106"/>
  <c r="BI40" i="1106" s="1"/>
  <c r="Y40" i="1106"/>
  <c r="AN40" i="1106"/>
  <c r="BC40" i="1106" s="1"/>
  <c r="X40" i="1106"/>
  <c r="AI40" i="1106"/>
  <c r="AH40" i="1106"/>
  <c r="AJ40" i="1106"/>
  <c r="AY40" i="1106" s="1"/>
  <c r="AD40" i="1106"/>
  <c r="CC23" i="1106"/>
  <c r="CS23" i="1106" s="1"/>
  <c r="CT23" i="1106" s="1"/>
  <c r="G94" i="262"/>
  <c r="K52" i="38" s="1"/>
  <c r="F24" i="1121"/>
  <c r="F24" i="1122"/>
  <c r="E25" i="1121"/>
  <c r="E25" i="1122"/>
  <c r="F25" i="1121"/>
  <c r="F25" i="1122"/>
  <c r="CU21" i="1106"/>
  <c r="CT21" i="1106"/>
  <c r="C158" i="262"/>
  <c r="F15" i="293"/>
  <c r="I15" i="293"/>
  <c r="I16" i="293" s="1"/>
  <c r="B21" i="6"/>
  <c r="F21" i="6"/>
  <c r="G21" i="6" s="1"/>
  <c r="L21" i="6"/>
  <c r="A8" i="293"/>
  <c r="D21" i="6"/>
  <c r="E21" i="6"/>
  <c r="B20" i="11"/>
  <c r="CC22" i="1106"/>
  <c r="CS22" i="1106" s="1"/>
  <c r="CD22" i="1106"/>
  <c r="F17" i="293"/>
  <c r="D17" i="293" s="1"/>
  <c r="G20" i="66"/>
  <c r="H20" i="66" s="1"/>
  <c r="F18" i="293"/>
  <c r="D18" i="293" s="1"/>
  <c r="G29" i="293"/>
  <c r="G27" i="293" s="1"/>
  <c r="E25" i="1107"/>
  <c r="E43" i="1107"/>
  <c r="F25" i="1107"/>
  <c r="F43" i="1107"/>
  <c r="F42" i="1107"/>
  <c r="F24" i="1107"/>
  <c r="G460" i="1103"/>
  <c r="N447" i="1103"/>
  <c r="G462" i="1103"/>
  <c r="G461" i="1103"/>
  <c r="G449" i="1103"/>
  <c r="G452" i="1103"/>
  <c r="G455" i="1103"/>
  <c r="G454" i="1103"/>
  <c r="G453" i="1103"/>
  <c r="H448" i="1103"/>
  <c r="G451" i="1103"/>
  <c r="G450" i="1103"/>
  <c r="J447" i="1103"/>
  <c r="G459" i="1103"/>
  <c r="G457" i="1103"/>
  <c r="G456" i="1103"/>
  <c r="R447" i="1103"/>
  <c r="G458" i="1103"/>
  <c r="U430" i="1103"/>
  <c r="S430" i="1103"/>
  <c r="K430" i="1103"/>
  <c r="M430" i="1103"/>
  <c r="Q430" i="1103"/>
  <c r="O430" i="1103"/>
  <c r="H368" i="1103"/>
  <c r="T367" i="1103"/>
  <c r="U367" i="1103" s="1"/>
  <c r="L367" i="1103"/>
  <c r="M367" i="1103" s="1"/>
  <c r="P367" i="1103"/>
  <c r="Q367" i="1103" s="1"/>
  <c r="H352" i="1103"/>
  <c r="L351" i="1103"/>
  <c r="M351" i="1103" s="1"/>
  <c r="T351" i="1103"/>
  <c r="U351" i="1103" s="1"/>
  <c r="P351" i="1103"/>
  <c r="Q351" i="1103" s="1"/>
  <c r="L383" i="1103"/>
  <c r="M383" i="1103" s="1"/>
  <c r="P383" i="1103"/>
  <c r="Q383" i="1103" s="1"/>
  <c r="T383" i="1103"/>
  <c r="U383" i="1103" s="1"/>
  <c r="H384" i="1103"/>
  <c r="T319" i="1103"/>
  <c r="U319" i="1103" s="1"/>
  <c r="L319" i="1103"/>
  <c r="M319" i="1103" s="1"/>
  <c r="P319" i="1103"/>
  <c r="Q319" i="1103" s="1"/>
  <c r="H320" i="1103"/>
  <c r="T415" i="1103"/>
  <c r="U415" i="1103" s="1"/>
  <c r="L415" i="1103"/>
  <c r="M415" i="1103" s="1"/>
  <c r="H416" i="1103"/>
  <c r="P415" i="1103"/>
  <c r="Q415" i="1103" s="1"/>
  <c r="H336" i="1103"/>
  <c r="L335" i="1103"/>
  <c r="M335" i="1103" s="1"/>
  <c r="T335" i="1103"/>
  <c r="U335" i="1103" s="1"/>
  <c r="P335" i="1103"/>
  <c r="Q335" i="1103" s="1"/>
  <c r="A481" i="1103"/>
  <c r="T399" i="1103"/>
  <c r="U399" i="1103" s="1"/>
  <c r="L399" i="1103"/>
  <c r="M399" i="1103" s="1"/>
  <c r="P399" i="1103"/>
  <c r="Q399" i="1103" s="1"/>
  <c r="H400" i="1103"/>
  <c r="P431" i="1103"/>
  <c r="Q431" i="1103" s="1"/>
  <c r="L431" i="1103"/>
  <c r="M431" i="1103" s="1"/>
  <c r="H432" i="1103"/>
  <c r="T431" i="1103"/>
  <c r="U431" i="1103" s="1"/>
  <c r="C113" i="39"/>
  <c r="E113" i="39" s="1"/>
  <c r="D114" i="39"/>
  <c r="AH37" i="289"/>
  <c r="AI37" i="289" s="1"/>
  <c r="G25" i="264"/>
  <c r="G43" i="264"/>
  <c r="F42" i="264"/>
  <c r="F24" i="264"/>
  <c r="F25" i="264"/>
  <c r="F43" i="264"/>
  <c r="G24" i="264"/>
  <c r="G42" i="264"/>
  <c r="B25" i="9"/>
  <c r="J39" i="9"/>
  <c r="D26" i="291"/>
  <c r="AR31" i="10"/>
  <c r="AQ31" i="10"/>
  <c r="AH37" i="288"/>
  <c r="AI37" i="288" s="1"/>
  <c r="AI43" i="288" s="1"/>
  <c r="W32" i="288" s="1"/>
  <c r="W33" i="288" s="1"/>
  <c r="Y33" i="288" s="1"/>
  <c r="G26" i="288" s="1"/>
  <c r="D26" i="290"/>
  <c r="F52" i="291"/>
  <c r="D52" i="291" s="1"/>
  <c r="I47" i="286"/>
  <c r="I51" i="286"/>
  <c r="I52" i="286" s="1"/>
  <c r="I55" i="286"/>
  <c r="G56" i="291"/>
  <c r="K56" i="291" s="1"/>
  <c r="H51" i="288"/>
  <c r="H52" i="288" s="1"/>
  <c r="H47" i="288"/>
  <c r="H55" i="288"/>
  <c r="G56" i="290"/>
  <c r="K56" i="290" s="1"/>
  <c r="D53" i="290"/>
  <c r="F51" i="290"/>
  <c r="H49" i="290"/>
  <c r="G50" i="291"/>
  <c r="D50" i="291"/>
  <c r="G47" i="287"/>
  <c r="G51" i="287"/>
  <c r="G52" i="287" s="1"/>
  <c r="G55" i="287"/>
  <c r="H51" i="287"/>
  <c r="H52" i="287" s="1"/>
  <c r="H47" i="287"/>
  <c r="H55" i="287"/>
  <c r="G57" i="291"/>
  <c r="K57" i="291" s="1"/>
  <c r="G54" i="290"/>
  <c r="K54" i="290" s="1"/>
  <c r="G57" i="290"/>
  <c r="K57" i="290" s="1"/>
  <c r="F46" i="292"/>
  <c r="F49" i="292"/>
  <c r="I46" i="288"/>
  <c r="F50" i="290"/>
  <c r="G46" i="289"/>
  <c r="H50" i="289"/>
  <c r="H46" i="289" s="1"/>
  <c r="H17" i="289" s="1"/>
  <c r="H19" i="289" s="1"/>
  <c r="G47" i="69"/>
  <c r="G51" i="69"/>
  <c r="G52" i="69" s="1"/>
  <c r="G55" i="69"/>
  <c r="H51" i="69"/>
  <c r="H52" i="69" s="1"/>
  <c r="H47" i="69"/>
  <c r="H55" i="69"/>
  <c r="I50" i="69"/>
  <c r="H19" i="288"/>
  <c r="L19" i="288" s="1"/>
  <c r="G78" i="262"/>
  <c r="L49" i="38" s="1"/>
  <c r="V124" i="1"/>
  <c r="V125" i="1"/>
  <c r="G16" i="293"/>
  <c r="H15" i="293"/>
  <c r="K15" i="293"/>
  <c r="H15" i="292"/>
  <c r="K15" i="292"/>
  <c r="G16" i="292"/>
  <c r="G27" i="292"/>
  <c r="D17" i="292"/>
  <c r="AF37" i="290"/>
  <c r="AG37" i="290" s="1"/>
  <c r="G17" i="288"/>
  <c r="G110" i="262"/>
  <c r="J55" i="38" s="1"/>
  <c r="F35" i="292"/>
  <c r="D35" i="292" s="1"/>
  <c r="D14" i="292"/>
  <c r="G14" i="292"/>
  <c r="G48" i="292" s="1"/>
  <c r="I14" i="292"/>
  <c r="I48" i="292" s="1"/>
  <c r="D18" i="292"/>
  <c r="F24" i="292"/>
  <c r="I16" i="292"/>
  <c r="F16" i="292"/>
  <c r="D16" i="292" s="1"/>
  <c r="D15" i="292"/>
  <c r="K50" i="289"/>
  <c r="AF35" i="290"/>
  <c r="AG35" i="290" s="1"/>
  <c r="H35" i="290"/>
  <c r="H54" i="290" s="1"/>
  <c r="B130" i="1"/>
  <c r="C175" i="262" s="1"/>
  <c r="B33" i="1"/>
  <c r="A192" i="262"/>
  <c r="G45" i="262"/>
  <c r="M43" i="38" s="1"/>
  <c r="G29" i="262"/>
  <c r="H40" i="1103"/>
  <c r="Q43" i="264"/>
  <c r="B186" i="262"/>
  <c r="B171" i="262"/>
  <c r="K28" i="262"/>
  <c r="B187" i="262"/>
  <c r="B162" i="262"/>
  <c r="X63" i="1"/>
  <c r="V161" i="1"/>
  <c r="W161" i="1"/>
  <c r="X161" i="1" s="1"/>
  <c r="B99" i="262"/>
  <c r="B206" i="262"/>
  <c r="B115" i="262"/>
  <c r="G31" i="10"/>
  <c r="F32" i="10"/>
  <c r="H31" i="10"/>
  <c r="B100" i="262"/>
  <c r="B65" i="1"/>
  <c r="B162" i="1"/>
  <c r="I30" i="10"/>
  <c r="M30" i="10" s="1"/>
  <c r="E43" i="264"/>
  <c r="E25" i="264"/>
  <c r="B163" i="262"/>
  <c r="W177" i="1"/>
  <c r="X177" i="1" s="1"/>
  <c r="O71" i="6"/>
  <c r="O56" i="6"/>
  <c r="H40" i="262"/>
  <c r="H42" i="38" s="1"/>
  <c r="V177" i="1"/>
  <c r="X79" i="1"/>
  <c r="K55" i="286"/>
  <c r="G19" i="287"/>
  <c r="H19" i="69"/>
  <c r="AA26" i="264"/>
  <c r="V26" i="264" s="1"/>
  <c r="N44" i="264"/>
  <c r="P27" i="264"/>
  <c r="O27" i="264"/>
  <c r="R27" i="264"/>
  <c r="B148" i="262"/>
  <c r="K23" i="286"/>
  <c r="I19" i="286"/>
  <c r="K22" i="286" s="1"/>
  <c r="A15" i="3"/>
  <c r="B14" i="3"/>
  <c r="C14" i="3" s="1"/>
  <c r="C155" i="39"/>
  <c r="E155" i="39" s="1"/>
  <c r="D156" i="39"/>
  <c r="B147" i="262"/>
  <c r="G19" i="69"/>
  <c r="B190" i="262"/>
  <c r="L19" i="286"/>
  <c r="C127" i="39"/>
  <c r="E127" i="39" s="1"/>
  <c r="D128" i="39"/>
  <c r="B92" i="262"/>
  <c r="B159" i="262"/>
  <c r="E144" i="39"/>
  <c r="E145" i="39"/>
  <c r="K19" i="286"/>
  <c r="K51" i="286"/>
  <c r="C170" i="39"/>
  <c r="E170" i="39" s="1"/>
  <c r="D171" i="39"/>
  <c r="I17" i="287"/>
  <c r="B90" i="38"/>
  <c r="B93" i="262"/>
  <c r="C100" i="39"/>
  <c r="E100" i="39" s="1"/>
  <c r="D101" i="39"/>
  <c r="K44" i="264"/>
  <c r="X26" i="264"/>
  <c r="S26" i="264" s="1"/>
  <c r="M44" i="264"/>
  <c r="Z26" i="264"/>
  <c r="U26" i="264" s="1"/>
  <c r="AA27" i="264"/>
  <c r="V27" i="264" s="1"/>
  <c r="N45" i="264"/>
  <c r="AA45" i="264" s="1"/>
  <c r="V45" i="264" s="1"/>
  <c r="Y26" i="264"/>
  <c r="T26" i="264" s="1"/>
  <c r="L44" i="264"/>
  <c r="K45" i="264"/>
  <c r="X45" i="264" s="1"/>
  <c r="S45" i="264" s="1"/>
  <c r="X27" i="264"/>
  <c r="S27" i="264" s="1"/>
  <c r="Y27" i="264"/>
  <c r="T27" i="264" s="1"/>
  <c r="L45" i="264"/>
  <c r="Y45" i="264" s="1"/>
  <c r="T45" i="264" s="1"/>
  <c r="E33" i="10"/>
  <c r="H46" i="264" s="1"/>
  <c r="BB32" i="10"/>
  <c r="AF32" i="10" s="1"/>
  <c r="AJ32" i="10" s="1"/>
  <c r="BC32" i="10"/>
  <c r="AG32" i="10" s="1"/>
  <c r="AK32" i="10" s="1"/>
  <c r="BD32" i="10"/>
  <c r="AH32" i="10" s="1"/>
  <c r="AL32" i="10" s="1"/>
  <c r="BE32" i="10"/>
  <c r="AI32" i="10" s="1"/>
  <c r="AM32" i="10" s="1"/>
  <c r="J45" i="264"/>
  <c r="I28" i="264"/>
  <c r="M27" i="264"/>
  <c r="H27" i="264"/>
  <c r="H45" i="264"/>
  <c r="J46" i="264"/>
  <c r="R26" i="264"/>
  <c r="Q26" i="264"/>
  <c r="H19" i="287"/>
  <c r="B81" i="1"/>
  <c r="B178" i="1"/>
  <c r="I17" i="69"/>
  <c r="C73" i="6"/>
  <c r="N72" i="6"/>
  <c r="E175" i="262"/>
  <c r="P13" i="6"/>
  <c r="P80" i="1"/>
  <c r="H56" i="262"/>
  <c r="P56" i="6"/>
  <c r="W64" i="1"/>
  <c r="Q64" i="1"/>
  <c r="V64" i="1"/>
  <c r="E464" i="1103"/>
  <c r="W80" i="1"/>
  <c r="P64" i="1"/>
  <c r="V80" i="1"/>
  <c r="H22" i="262"/>
  <c r="G158" i="1103"/>
  <c r="P24" i="1"/>
  <c r="Q24" i="1"/>
  <c r="W24" i="1"/>
  <c r="G158" i="262"/>
  <c r="F464" i="1103"/>
  <c r="Q80" i="1"/>
  <c r="H22" i="1103"/>
  <c r="H56" i="1103"/>
  <c r="P15" i="6"/>
  <c r="F175" i="262"/>
  <c r="P71" i="6"/>
  <c r="B147" i="1" l="1"/>
  <c r="B50" i="1"/>
  <c r="B148" i="1" s="1"/>
  <c r="AI43" i="289"/>
  <c r="W32" i="289" s="1"/>
  <c r="W33" i="289" s="1"/>
  <c r="Y33" i="289" s="1"/>
  <c r="G26" i="289" s="1"/>
  <c r="BX40" i="1106"/>
  <c r="CN40" i="1106" s="1"/>
  <c r="L28" i="264"/>
  <c r="G63" i="262"/>
  <c r="N46" i="38" s="1"/>
  <c r="C87" i="39"/>
  <c r="E87" i="39" s="1"/>
  <c r="D88" i="39"/>
  <c r="D190" i="39"/>
  <c r="C189" i="39"/>
  <c r="E189" i="39" s="1"/>
  <c r="BY40" i="1106"/>
  <c r="CO40" i="1106" s="1"/>
  <c r="BU40" i="1106"/>
  <c r="CK40" i="1106" s="1"/>
  <c r="H35" i="291"/>
  <c r="H54" i="291" s="1"/>
  <c r="F35" i="293"/>
  <c r="F54" i="293" s="1"/>
  <c r="D54" i="293" s="1"/>
  <c r="H49" i="291"/>
  <c r="CU23" i="1106"/>
  <c r="BS40" i="1106"/>
  <c r="CI40" i="1106" s="1"/>
  <c r="CT37" i="1106"/>
  <c r="CB40" i="1106"/>
  <c r="CR40" i="1106" s="1"/>
  <c r="BV40" i="1106"/>
  <c r="CL40" i="1106" s="1"/>
  <c r="BP40" i="1106"/>
  <c r="CF40" i="1106" s="1"/>
  <c r="BO40" i="1106"/>
  <c r="CE40" i="1106" s="1"/>
  <c r="BW40" i="1106"/>
  <c r="CM40" i="1106" s="1"/>
  <c r="D14" i="293"/>
  <c r="I14" i="293"/>
  <c r="I48" i="293" s="1"/>
  <c r="AH41" i="290"/>
  <c r="AI41" i="290" s="1"/>
  <c r="G14" i="293"/>
  <c r="G48" i="293" s="1"/>
  <c r="F49" i="293"/>
  <c r="D49" i="293" s="1"/>
  <c r="BQ40" i="1106"/>
  <c r="CG40" i="1106" s="1"/>
  <c r="CU38" i="1106"/>
  <c r="CT38" i="1106"/>
  <c r="BN40" i="1106"/>
  <c r="BR40" i="1106"/>
  <c r="CH40" i="1106" s="1"/>
  <c r="CA40" i="1106"/>
  <c r="CQ40" i="1106" s="1"/>
  <c r="BT40" i="1106"/>
  <c r="CJ40" i="1106" s="1"/>
  <c r="BZ40" i="1106"/>
  <c r="CP40" i="1106" s="1"/>
  <c r="G95" i="262"/>
  <c r="L52" i="38" s="1"/>
  <c r="F24" i="293"/>
  <c r="F26" i="293" s="1"/>
  <c r="F55" i="293" s="1"/>
  <c r="D55" i="293" s="1"/>
  <c r="F46" i="293"/>
  <c r="D46" i="293" s="1"/>
  <c r="D15" i="293"/>
  <c r="F16" i="293"/>
  <c r="D16" i="293" s="1"/>
  <c r="B175" i="262"/>
  <c r="CU22" i="1106"/>
  <c r="CT22" i="1106"/>
  <c r="E44" i="1107"/>
  <c r="E26" i="1107"/>
  <c r="L448" i="1103"/>
  <c r="M448" i="1103" s="1"/>
  <c r="T448" i="1103"/>
  <c r="U448" i="1103" s="1"/>
  <c r="P448" i="1103"/>
  <c r="Q448" i="1103" s="1"/>
  <c r="H449" i="1103"/>
  <c r="T432" i="1103"/>
  <c r="U432" i="1103" s="1"/>
  <c r="H433" i="1103"/>
  <c r="L432" i="1103"/>
  <c r="M432" i="1103" s="1"/>
  <c r="P432" i="1103"/>
  <c r="Q432" i="1103" s="1"/>
  <c r="A498" i="1103"/>
  <c r="H337" i="1103"/>
  <c r="L336" i="1103"/>
  <c r="M336" i="1103" s="1"/>
  <c r="T336" i="1103"/>
  <c r="U336" i="1103" s="1"/>
  <c r="P336" i="1103"/>
  <c r="Q336" i="1103" s="1"/>
  <c r="L352" i="1103"/>
  <c r="M352" i="1103" s="1"/>
  <c r="P352" i="1103"/>
  <c r="Q352" i="1103" s="1"/>
  <c r="T352" i="1103"/>
  <c r="U352" i="1103" s="1"/>
  <c r="H353" i="1103"/>
  <c r="T368" i="1103"/>
  <c r="U368" i="1103" s="1"/>
  <c r="L368" i="1103"/>
  <c r="M368" i="1103" s="1"/>
  <c r="H369" i="1103"/>
  <c r="P368" i="1103"/>
  <c r="Q368" i="1103" s="1"/>
  <c r="U447" i="1103"/>
  <c r="S447" i="1103"/>
  <c r="K447" i="1103"/>
  <c r="M447" i="1103"/>
  <c r="H321" i="1103"/>
  <c r="T320" i="1103"/>
  <c r="U320" i="1103" s="1"/>
  <c r="P320" i="1103"/>
  <c r="Q320" i="1103" s="1"/>
  <c r="L320" i="1103"/>
  <c r="M320" i="1103" s="1"/>
  <c r="H385" i="1103"/>
  <c r="T384" i="1103"/>
  <c r="U384" i="1103" s="1"/>
  <c r="P384" i="1103"/>
  <c r="Q384" i="1103" s="1"/>
  <c r="L384" i="1103"/>
  <c r="M384" i="1103" s="1"/>
  <c r="L416" i="1103"/>
  <c r="M416" i="1103" s="1"/>
  <c r="P416" i="1103"/>
  <c r="Q416" i="1103" s="1"/>
  <c r="T416" i="1103"/>
  <c r="U416" i="1103" s="1"/>
  <c r="H417" i="1103"/>
  <c r="P400" i="1103"/>
  <c r="Q400" i="1103" s="1"/>
  <c r="H401" i="1103"/>
  <c r="T400" i="1103"/>
  <c r="U400" i="1103" s="1"/>
  <c r="L400" i="1103"/>
  <c r="M400" i="1103" s="1"/>
  <c r="O447" i="1103"/>
  <c r="Q447" i="1103"/>
  <c r="D115" i="39"/>
  <c r="C115" i="39" s="1"/>
  <c r="C114" i="39"/>
  <c r="E114" i="39" s="1"/>
  <c r="H57" i="1103"/>
  <c r="B26" i="9"/>
  <c r="J40" i="9"/>
  <c r="K31" i="10"/>
  <c r="AR32" i="10"/>
  <c r="AQ32" i="10"/>
  <c r="I26" i="292"/>
  <c r="F53" i="292"/>
  <c r="F50" i="292" s="1"/>
  <c r="F43" i="293"/>
  <c r="D43" i="293" s="1"/>
  <c r="I43" i="293"/>
  <c r="G50" i="290"/>
  <c r="D50" i="290"/>
  <c r="F54" i="292"/>
  <c r="D54" i="292" s="1"/>
  <c r="D46" i="292"/>
  <c r="G49" i="292"/>
  <c r="H50" i="291"/>
  <c r="D51" i="290"/>
  <c r="F52" i="290"/>
  <c r="D52" i="290" s="1"/>
  <c r="I49" i="292"/>
  <c r="I47" i="287"/>
  <c r="I55" i="287"/>
  <c r="I51" i="287"/>
  <c r="I52" i="287" s="1"/>
  <c r="H51" i="289"/>
  <c r="H52" i="289" s="1"/>
  <c r="H47" i="289"/>
  <c r="H55" i="289"/>
  <c r="G47" i="288"/>
  <c r="G51" i="288"/>
  <c r="G52" i="288" s="1"/>
  <c r="G55" i="288"/>
  <c r="F43" i="292"/>
  <c r="D43" i="292" s="1"/>
  <c r="I43" i="292"/>
  <c r="I46" i="289"/>
  <c r="G17" i="289"/>
  <c r="I50" i="288"/>
  <c r="D49" i="292"/>
  <c r="F47" i="292"/>
  <c r="D47" i="292" s="1"/>
  <c r="I47" i="69"/>
  <c r="I55" i="69"/>
  <c r="I51" i="69"/>
  <c r="I52" i="69" s="1"/>
  <c r="F26" i="292"/>
  <c r="G79" i="262"/>
  <c r="M49" i="38" s="1"/>
  <c r="B131" i="1"/>
  <c r="F14" i="295" s="1"/>
  <c r="F48" i="295" s="1"/>
  <c r="D48" i="295" s="1"/>
  <c r="B34" i="1"/>
  <c r="H14" i="292"/>
  <c r="H48" i="292" s="1"/>
  <c r="G111" i="262"/>
  <c r="K55" i="38" s="1"/>
  <c r="G19" i="288"/>
  <c r="G39" i="293"/>
  <c r="G36" i="293"/>
  <c r="G31" i="293"/>
  <c r="G33" i="293"/>
  <c r="F19" i="292"/>
  <c r="D19" i="292" s="1"/>
  <c r="F17" i="295"/>
  <c r="F15" i="294"/>
  <c r="B22" i="6"/>
  <c r="F18" i="294"/>
  <c r="F17" i="294"/>
  <c r="D22" i="6"/>
  <c r="H22" i="6"/>
  <c r="F23" i="6"/>
  <c r="G23" i="6" s="1"/>
  <c r="L22" i="6"/>
  <c r="E22" i="6"/>
  <c r="L23" i="6"/>
  <c r="I15" i="295"/>
  <c r="F14" i="294"/>
  <c r="F48" i="294" s="1"/>
  <c r="D48" i="294" s="1"/>
  <c r="D23" i="6"/>
  <c r="G15" i="295"/>
  <c r="I15" i="294"/>
  <c r="F22" i="6"/>
  <c r="G22" i="6" s="1"/>
  <c r="G15" i="294"/>
  <c r="A8" i="294"/>
  <c r="B23" i="6"/>
  <c r="G29" i="294"/>
  <c r="AH37" i="290"/>
  <c r="AI37" i="290" s="1"/>
  <c r="D24" i="292"/>
  <c r="I35" i="292"/>
  <c r="I54" i="292" s="1"/>
  <c r="I17" i="288"/>
  <c r="G33" i="292"/>
  <c r="G39" i="292"/>
  <c r="G35" i="292"/>
  <c r="G36" i="292"/>
  <c r="G31" i="292"/>
  <c r="H16" i="292"/>
  <c r="H16" i="293"/>
  <c r="C192" i="262"/>
  <c r="A209" i="262"/>
  <c r="B192" i="262"/>
  <c r="G30" i="262"/>
  <c r="G46" i="262"/>
  <c r="N43" i="38" s="1"/>
  <c r="P40" i="1103"/>
  <c r="T40" i="1103"/>
  <c r="H23" i="1103"/>
  <c r="H41" i="1103"/>
  <c r="L40" i="1103"/>
  <c r="AF40" i="262"/>
  <c r="X40" i="262"/>
  <c r="P40" i="262"/>
  <c r="AB40" i="262"/>
  <c r="L40" i="262"/>
  <c r="T40" i="262"/>
  <c r="AJ40" i="262"/>
  <c r="B203" i="262"/>
  <c r="B188" i="262"/>
  <c r="K29" i="262"/>
  <c r="B204" i="262"/>
  <c r="B179" i="262"/>
  <c r="W162" i="1"/>
  <c r="X162" i="1" s="1"/>
  <c r="X64" i="1"/>
  <c r="V162" i="1"/>
  <c r="B180" i="262"/>
  <c r="B163" i="1"/>
  <c r="B66" i="1"/>
  <c r="I31" i="10"/>
  <c r="M31" i="10" s="1"/>
  <c r="E44" i="264"/>
  <c r="E26" i="264"/>
  <c r="B223" i="262"/>
  <c r="B117" i="262"/>
  <c r="F33" i="10"/>
  <c r="G32" i="10"/>
  <c r="H32" i="10"/>
  <c r="B132" i="262"/>
  <c r="B116" i="262"/>
  <c r="O72" i="6"/>
  <c r="W122" i="1"/>
  <c r="X122" i="1" s="1"/>
  <c r="X24" i="1"/>
  <c r="V178" i="1"/>
  <c r="X80" i="1"/>
  <c r="W178" i="1"/>
  <c r="X178" i="1" s="1"/>
  <c r="H23" i="262"/>
  <c r="H57" i="262"/>
  <c r="H45" i="38" s="1"/>
  <c r="I19" i="69"/>
  <c r="K22" i="69" s="1"/>
  <c r="K23" i="69"/>
  <c r="B82" i="1"/>
  <c r="B179" i="1"/>
  <c r="L19" i="287"/>
  <c r="M45" i="264"/>
  <c r="Z45" i="264" s="1"/>
  <c r="U45" i="264" s="1"/>
  <c r="Z27" i="264"/>
  <c r="U27" i="264" s="1"/>
  <c r="O45" i="264"/>
  <c r="P45" i="264"/>
  <c r="R45" i="264"/>
  <c r="Y44" i="264"/>
  <c r="T44" i="264" s="1"/>
  <c r="P44" i="264"/>
  <c r="C101" i="39"/>
  <c r="E101" i="39" s="1"/>
  <c r="D102" i="39"/>
  <c r="C102" i="39" s="1"/>
  <c r="B110" i="262"/>
  <c r="K52" i="286"/>
  <c r="K51" i="69"/>
  <c r="B164" i="262"/>
  <c r="C156" i="39"/>
  <c r="E156" i="39" s="1"/>
  <c r="D157" i="39"/>
  <c r="B165" i="262"/>
  <c r="Q27" i="264"/>
  <c r="L19" i="69"/>
  <c r="K55" i="287"/>
  <c r="K51" i="287"/>
  <c r="H41" i="262"/>
  <c r="I42" i="38" s="1"/>
  <c r="C74" i="6"/>
  <c r="Y28" i="264"/>
  <c r="T28" i="264" s="1"/>
  <c r="L46" i="264"/>
  <c r="Y46" i="264" s="1"/>
  <c r="T46" i="264" s="1"/>
  <c r="E34" i="10"/>
  <c r="BB33" i="10"/>
  <c r="AF33" i="10" s="1"/>
  <c r="AJ33" i="10" s="1"/>
  <c r="BC33" i="10"/>
  <c r="AG33" i="10" s="1"/>
  <c r="AK33" i="10" s="1"/>
  <c r="BD33" i="10"/>
  <c r="AH33" i="10" s="1"/>
  <c r="AL33" i="10" s="1"/>
  <c r="BE33" i="10"/>
  <c r="AI33" i="10" s="1"/>
  <c r="AM33" i="10" s="1"/>
  <c r="N28" i="264"/>
  <c r="J28" i="264"/>
  <c r="H28" i="264"/>
  <c r="K29" i="264"/>
  <c r="I46" i="264"/>
  <c r="M28" i="264"/>
  <c r="Z44" i="264"/>
  <c r="U44" i="264" s="1"/>
  <c r="Q44" i="264"/>
  <c r="X44" i="264"/>
  <c r="S44" i="264" s="1"/>
  <c r="O44" i="264"/>
  <c r="B93" i="38"/>
  <c r="K23" i="287"/>
  <c r="I19" i="287"/>
  <c r="K22" i="287" s="1"/>
  <c r="C171" i="39"/>
  <c r="E171" i="39" s="1"/>
  <c r="D172" i="39"/>
  <c r="B176" i="262"/>
  <c r="B109" i="262"/>
  <c r="C128" i="39"/>
  <c r="E128" i="39" s="1"/>
  <c r="D129" i="39"/>
  <c r="C129" i="39" s="1"/>
  <c r="B207" i="262"/>
  <c r="K19" i="69"/>
  <c r="K55" i="69"/>
  <c r="A16" i="3"/>
  <c r="B15" i="3"/>
  <c r="C15" i="3" s="1"/>
  <c r="L19" i="289"/>
  <c r="AA44" i="264"/>
  <c r="V44" i="264" s="1"/>
  <c r="R44" i="264"/>
  <c r="K19" i="287"/>
  <c r="P81" i="1"/>
  <c r="P65" i="1"/>
  <c r="Q65" i="1"/>
  <c r="E481" i="1103"/>
  <c r="Q81" i="1"/>
  <c r="W81" i="1"/>
  <c r="G175" i="262"/>
  <c r="N73" i="6"/>
  <c r="H73" i="262"/>
  <c r="W25" i="1"/>
  <c r="G175" i="1103"/>
  <c r="V81" i="1"/>
  <c r="P72" i="6"/>
  <c r="W65" i="1"/>
  <c r="P25" i="1"/>
  <c r="Q23" i="1"/>
  <c r="V29" i="1"/>
  <c r="V28" i="1"/>
  <c r="F481" i="1103"/>
  <c r="W23" i="1"/>
  <c r="E192" i="262"/>
  <c r="P16" i="6"/>
  <c r="V65" i="1"/>
  <c r="Q25" i="1"/>
  <c r="F192" i="262"/>
  <c r="P23" i="1"/>
  <c r="H73" i="1103"/>
  <c r="H46" i="291" l="1"/>
  <c r="H17" i="291" s="1"/>
  <c r="H47" i="291" s="1"/>
  <c r="G64" i="262"/>
  <c r="O46" i="38" s="1"/>
  <c r="C190" i="39"/>
  <c r="E190" i="39" s="1"/>
  <c r="D191" i="39"/>
  <c r="C88" i="39"/>
  <c r="E88" i="39" s="1"/>
  <c r="D89" i="39"/>
  <c r="G29" i="295"/>
  <c r="G27" i="295" s="1"/>
  <c r="F15" i="295"/>
  <c r="D15" i="295" s="1"/>
  <c r="F18" i="295"/>
  <c r="D18" i="295" s="1"/>
  <c r="E23" i="6"/>
  <c r="H23" i="6"/>
  <c r="D35" i="293"/>
  <c r="F47" i="293"/>
  <c r="D47" i="293" s="1"/>
  <c r="I49" i="293"/>
  <c r="I35" i="293"/>
  <c r="I54" i="293" s="1"/>
  <c r="G96" i="262"/>
  <c r="M52" i="38" s="1"/>
  <c r="AI43" i="290"/>
  <c r="W32" i="290" s="1"/>
  <c r="W33" i="290" s="1"/>
  <c r="Y33" i="290" s="1"/>
  <c r="G26" i="290" s="1"/>
  <c r="G35" i="293"/>
  <c r="G54" i="293" s="1"/>
  <c r="K54" i="293" s="1"/>
  <c r="H14" i="293"/>
  <c r="H48" i="293" s="1"/>
  <c r="G49" i="293"/>
  <c r="CC40" i="1106"/>
  <c r="CS40" i="1106" s="1"/>
  <c r="CD40" i="1106"/>
  <c r="I26" i="293"/>
  <c r="F53" i="293"/>
  <c r="F50" i="293" s="1"/>
  <c r="G50" i="293" s="1"/>
  <c r="D24" i="293"/>
  <c r="F19" i="293"/>
  <c r="D19" i="293" s="1"/>
  <c r="E45" i="1107"/>
  <c r="E27" i="1107"/>
  <c r="F26" i="1107"/>
  <c r="F44" i="1107"/>
  <c r="H402" i="1103"/>
  <c r="T401" i="1103"/>
  <c r="U401" i="1103" s="1"/>
  <c r="P401" i="1103"/>
  <c r="Q401" i="1103" s="1"/>
  <c r="L401" i="1103"/>
  <c r="M401" i="1103" s="1"/>
  <c r="L449" i="1103"/>
  <c r="M449" i="1103" s="1"/>
  <c r="P449" i="1103"/>
  <c r="Q449" i="1103" s="1"/>
  <c r="T449" i="1103"/>
  <c r="U449" i="1103" s="1"/>
  <c r="H450" i="1103"/>
  <c r="P321" i="1103"/>
  <c r="Q321" i="1103" s="1"/>
  <c r="H322" i="1103"/>
  <c r="L321" i="1103"/>
  <c r="M321" i="1103" s="1"/>
  <c r="T321" i="1103"/>
  <c r="U321" i="1103" s="1"/>
  <c r="L369" i="1103"/>
  <c r="M369" i="1103" s="1"/>
  <c r="P369" i="1103"/>
  <c r="Q369" i="1103" s="1"/>
  <c r="T369" i="1103"/>
  <c r="U369" i="1103" s="1"/>
  <c r="H370" i="1103"/>
  <c r="A515" i="1103"/>
  <c r="T385" i="1103"/>
  <c r="U385" i="1103" s="1"/>
  <c r="L385" i="1103"/>
  <c r="M385" i="1103" s="1"/>
  <c r="H386" i="1103"/>
  <c r="P385" i="1103"/>
  <c r="Q385" i="1103" s="1"/>
  <c r="P337" i="1103"/>
  <c r="Q337" i="1103" s="1"/>
  <c r="H338" i="1103"/>
  <c r="T337" i="1103"/>
  <c r="U337" i="1103" s="1"/>
  <c r="L337" i="1103"/>
  <c r="M337" i="1103" s="1"/>
  <c r="T417" i="1103"/>
  <c r="U417" i="1103" s="1"/>
  <c r="P417" i="1103"/>
  <c r="Q417" i="1103" s="1"/>
  <c r="L417" i="1103"/>
  <c r="M417" i="1103" s="1"/>
  <c r="H418" i="1103"/>
  <c r="T353" i="1103"/>
  <c r="U353" i="1103" s="1"/>
  <c r="L353" i="1103"/>
  <c r="M353" i="1103" s="1"/>
  <c r="H354" i="1103"/>
  <c r="P353" i="1103"/>
  <c r="Q353" i="1103" s="1"/>
  <c r="L433" i="1103"/>
  <c r="M433" i="1103" s="1"/>
  <c r="T433" i="1103"/>
  <c r="U433" i="1103" s="1"/>
  <c r="H434" i="1103"/>
  <c r="P433" i="1103"/>
  <c r="Q433" i="1103" s="1"/>
  <c r="E116" i="39"/>
  <c r="E115" i="39"/>
  <c r="H74" i="1103"/>
  <c r="H58" i="1103"/>
  <c r="L57" i="1103"/>
  <c r="M57" i="1103" s="1"/>
  <c r="T57" i="1103"/>
  <c r="U57" i="1103" s="1"/>
  <c r="P57" i="1103"/>
  <c r="Q57" i="1103" s="1"/>
  <c r="F44" i="264"/>
  <c r="F26" i="264"/>
  <c r="B27" i="9"/>
  <c r="J41" i="9"/>
  <c r="Q45" i="264"/>
  <c r="D26" i="293"/>
  <c r="AR33" i="10"/>
  <c r="AQ33" i="10"/>
  <c r="G56" i="292"/>
  <c r="K56" i="292" s="1"/>
  <c r="G57" i="292"/>
  <c r="K57" i="292" s="1"/>
  <c r="I47" i="288"/>
  <c r="I51" i="288"/>
  <c r="I52" i="288" s="1"/>
  <c r="I55" i="288"/>
  <c r="F49" i="294"/>
  <c r="F46" i="295"/>
  <c r="G56" i="293"/>
  <c r="K56" i="293" s="1"/>
  <c r="H50" i="290"/>
  <c r="H46" i="290" s="1"/>
  <c r="G46" i="290"/>
  <c r="G17" i="290" s="1"/>
  <c r="K50" i="290"/>
  <c r="D53" i="292"/>
  <c r="F51" i="292"/>
  <c r="G54" i="292"/>
  <c r="K54" i="292" s="1"/>
  <c r="F46" i="294"/>
  <c r="G57" i="293"/>
  <c r="K57" i="293" s="1"/>
  <c r="D26" i="292"/>
  <c r="F55" i="292"/>
  <c r="D55" i="292" s="1"/>
  <c r="G47" i="289"/>
  <c r="G51" i="289"/>
  <c r="G55" i="289"/>
  <c r="G19" i="289"/>
  <c r="I50" i="289"/>
  <c r="I17" i="289"/>
  <c r="G50" i="292"/>
  <c r="D50" i="292"/>
  <c r="H49" i="292"/>
  <c r="G80" i="262"/>
  <c r="N49" i="38" s="1"/>
  <c r="V126" i="1"/>
  <c r="H74" i="262"/>
  <c r="H48" i="38" s="1"/>
  <c r="V127" i="1"/>
  <c r="I19" i="288"/>
  <c r="K22" i="288" s="1"/>
  <c r="K23" i="288"/>
  <c r="G27" i="294"/>
  <c r="G16" i="294"/>
  <c r="K15" i="294"/>
  <c r="H15" i="294"/>
  <c r="K15" i="295"/>
  <c r="H15" i="295"/>
  <c r="G16" i="295"/>
  <c r="I16" i="295"/>
  <c r="D17" i="294"/>
  <c r="I14" i="295"/>
  <c r="I48" i="295" s="1"/>
  <c r="F35" i="295"/>
  <c r="D35" i="295" s="1"/>
  <c r="D14" i="295"/>
  <c r="G14" i="295"/>
  <c r="G48" i="295" s="1"/>
  <c r="D17" i="295"/>
  <c r="K55" i="288"/>
  <c r="K51" i="288"/>
  <c r="K50" i="291"/>
  <c r="I16" i="294"/>
  <c r="I14" i="294"/>
  <c r="I48" i="294" s="1"/>
  <c r="F35" i="294"/>
  <c r="D35" i="294" s="1"/>
  <c r="G14" i="294"/>
  <c r="G48" i="294" s="1"/>
  <c r="D14" i="294"/>
  <c r="F24" i="294"/>
  <c r="F26" i="294" s="1"/>
  <c r="F55" i="294" s="1"/>
  <c r="D55" i="294" s="1"/>
  <c r="D18" i="294"/>
  <c r="F16" i="294"/>
  <c r="D16" i="294" s="1"/>
  <c r="D15" i="294"/>
  <c r="K19" i="288"/>
  <c r="G112" i="262"/>
  <c r="L55" i="38" s="1"/>
  <c r="H35" i="292"/>
  <c r="H54" i="292" s="1"/>
  <c r="H19" i="291"/>
  <c r="L19" i="291" s="1"/>
  <c r="B132" i="1"/>
  <c r="F14" i="302" s="1"/>
  <c r="F48" i="302" s="1"/>
  <c r="D48" i="302" s="1"/>
  <c r="A226" i="262"/>
  <c r="G31" i="262"/>
  <c r="G47" i="262"/>
  <c r="O43" i="38" s="1"/>
  <c r="CB23" i="262"/>
  <c r="P41" i="1103"/>
  <c r="T41" i="1103"/>
  <c r="P23" i="1103"/>
  <c r="T23" i="1103"/>
  <c r="H42" i="1103"/>
  <c r="L41" i="1103"/>
  <c r="H24" i="1103"/>
  <c r="AF23" i="1103"/>
  <c r="X23" i="1103"/>
  <c r="AJ23" i="1103"/>
  <c r="L23" i="1103"/>
  <c r="AB23" i="1103"/>
  <c r="BT23" i="262"/>
  <c r="BX23" i="262"/>
  <c r="BL23" i="262"/>
  <c r="BP23" i="262"/>
  <c r="BD23" i="262"/>
  <c r="BH23" i="262"/>
  <c r="AZ23" i="262"/>
  <c r="AV23" i="262"/>
  <c r="AJ23" i="262"/>
  <c r="AR23" i="262"/>
  <c r="AN23" i="262"/>
  <c r="AJ57" i="262"/>
  <c r="AB57" i="262"/>
  <c r="T57" i="262"/>
  <c r="L57" i="262"/>
  <c r="P57" i="262"/>
  <c r="X57" i="262"/>
  <c r="AF57" i="262"/>
  <c r="P41" i="262"/>
  <c r="AF41" i="262"/>
  <c r="X41" i="262"/>
  <c r="AJ41" i="262"/>
  <c r="T41" i="262"/>
  <c r="L41" i="262"/>
  <c r="AB41" i="262"/>
  <c r="AB23" i="262"/>
  <c r="AF23" i="262"/>
  <c r="T23" i="262"/>
  <c r="X23" i="262"/>
  <c r="L23" i="262"/>
  <c r="P23" i="262"/>
  <c r="B220" i="262"/>
  <c r="B205" i="262"/>
  <c r="K30" i="262"/>
  <c r="B221" i="262"/>
  <c r="B196" i="262"/>
  <c r="X65" i="1"/>
  <c r="V163" i="1"/>
  <c r="W163" i="1"/>
  <c r="X163" i="1" s="1"/>
  <c r="M29" i="264"/>
  <c r="M47" i="264" s="1"/>
  <c r="Z47" i="264" s="1"/>
  <c r="U47" i="264" s="1"/>
  <c r="I47" i="264"/>
  <c r="I29" i="264"/>
  <c r="B55" i="6"/>
  <c r="B133" i="262"/>
  <c r="E27" i="264"/>
  <c r="I32" i="10"/>
  <c r="M32" i="10" s="1"/>
  <c r="E45" i="264"/>
  <c r="G33" i="10"/>
  <c r="F34" i="10"/>
  <c r="H33" i="10"/>
  <c r="B134" i="262"/>
  <c r="B240" i="262"/>
  <c r="B164" i="1"/>
  <c r="B68" i="6" s="1"/>
  <c r="B197" i="262"/>
  <c r="B149" i="262"/>
  <c r="I15" i="312"/>
  <c r="O73" i="6"/>
  <c r="W121" i="1"/>
  <c r="X121" i="1" s="1"/>
  <c r="X23" i="1"/>
  <c r="W123" i="1"/>
  <c r="X123" i="1" s="1"/>
  <c r="X25" i="1"/>
  <c r="X81" i="1"/>
  <c r="V179" i="1"/>
  <c r="W179" i="1"/>
  <c r="X179" i="1" s="1"/>
  <c r="B16" i="3"/>
  <c r="C16" i="3" s="1"/>
  <c r="A17" i="3"/>
  <c r="E130" i="39"/>
  <c r="E129" i="39"/>
  <c r="B126" i="262"/>
  <c r="B193" i="262"/>
  <c r="C172" i="39"/>
  <c r="E172" i="39" s="1"/>
  <c r="D173" i="39"/>
  <c r="M46" i="264"/>
  <c r="Z28" i="264"/>
  <c r="U28" i="264" s="1"/>
  <c r="AA28" i="264"/>
  <c r="V28" i="264" s="1"/>
  <c r="N46" i="264"/>
  <c r="E35" i="10"/>
  <c r="BB34" i="10"/>
  <c r="AF34" i="10" s="1"/>
  <c r="AJ34" i="10" s="1"/>
  <c r="BC34" i="10"/>
  <c r="AG34" i="10" s="1"/>
  <c r="AK34" i="10" s="1"/>
  <c r="BD34" i="10"/>
  <c r="AH34" i="10" s="1"/>
  <c r="AL34" i="10" s="1"/>
  <c r="BE34" i="10"/>
  <c r="AI34" i="10" s="1"/>
  <c r="AM34" i="10" s="1"/>
  <c r="H42" i="262"/>
  <c r="J42" i="38" s="1"/>
  <c r="B182" i="262"/>
  <c r="B181" i="262"/>
  <c r="K52" i="69"/>
  <c r="B127" i="262"/>
  <c r="E103" i="39"/>
  <c r="E102" i="39"/>
  <c r="B180" i="1"/>
  <c r="B83" i="1"/>
  <c r="B224" i="262"/>
  <c r="B96" i="38"/>
  <c r="K47" i="264"/>
  <c r="X47" i="264" s="1"/>
  <c r="S47" i="264" s="1"/>
  <c r="X29" i="264"/>
  <c r="S29" i="264" s="1"/>
  <c r="Q28" i="264"/>
  <c r="R28" i="264"/>
  <c r="P28" i="264"/>
  <c r="P46" i="264"/>
  <c r="C75" i="6"/>
  <c r="K52" i="287"/>
  <c r="C157" i="39"/>
  <c r="E157" i="39" s="1"/>
  <c r="D158" i="39"/>
  <c r="H58" i="262"/>
  <c r="I45" i="38" s="1"/>
  <c r="H24" i="262"/>
  <c r="V82" i="1"/>
  <c r="H90" i="262"/>
  <c r="P66" i="1"/>
  <c r="G192" i="1103"/>
  <c r="P26" i="1"/>
  <c r="V66" i="1"/>
  <c r="P73" i="6"/>
  <c r="P17" i="6"/>
  <c r="Q82" i="1"/>
  <c r="W26" i="1"/>
  <c r="G192" i="262"/>
  <c r="Q26" i="1"/>
  <c r="F498" i="1103"/>
  <c r="E209" i="262"/>
  <c r="W66" i="1"/>
  <c r="W82" i="1"/>
  <c r="H90" i="1103"/>
  <c r="F209" i="262"/>
  <c r="N74" i="6"/>
  <c r="P82" i="1"/>
  <c r="Q66" i="1"/>
  <c r="E498" i="1103"/>
  <c r="F55" i="6" l="1"/>
  <c r="G55" i="6" s="1"/>
  <c r="E71" i="6"/>
  <c r="F68" i="6"/>
  <c r="G68" i="6" s="1"/>
  <c r="F69" i="6"/>
  <c r="G69" i="6" s="1"/>
  <c r="H51" i="291"/>
  <c r="H52" i="291" s="1"/>
  <c r="F24" i="295"/>
  <c r="I26" i="295" s="1"/>
  <c r="F49" i="295"/>
  <c r="D49" i="295" s="1"/>
  <c r="H55" i="291"/>
  <c r="F16" i="295"/>
  <c r="D16" i="295" s="1"/>
  <c r="G65" i="262"/>
  <c r="P46" i="38" s="1"/>
  <c r="E65" i="6"/>
  <c r="E67" i="6"/>
  <c r="F18" i="312"/>
  <c r="F24" i="312" s="1"/>
  <c r="F53" i="312" s="1"/>
  <c r="B72" i="6"/>
  <c r="F15" i="312"/>
  <c r="F16" i="312" s="1"/>
  <c r="D16" i="312" s="1"/>
  <c r="F65" i="6"/>
  <c r="G65" i="6" s="1"/>
  <c r="L66" i="6"/>
  <c r="H71" i="6"/>
  <c r="D60" i="6"/>
  <c r="D65" i="6"/>
  <c r="C89" i="39"/>
  <c r="E89" i="39" s="1"/>
  <c r="D90" i="39"/>
  <c r="C90" i="39" s="1"/>
  <c r="C191" i="39"/>
  <c r="E191" i="39" s="1"/>
  <c r="D192" i="39"/>
  <c r="B209" i="262"/>
  <c r="D72" i="6"/>
  <c r="D68" i="6"/>
  <c r="E63" i="6"/>
  <c r="L70" i="6"/>
  <c r="H66" i="6"/>
  <c r="G97" i="262"/>
  <c r="N52" i="38" s="1"/>
  <c r="D53" i="293"/>
  <c r="H35" i="293"/>
  <c r="H54" i="293" s="1"/>
  <c r="H49" i="293"/>
  <c r="D50" i="293"/>
  <c r="F51" i="293"/>
  <c r="D51" i="293" s="1"/>
  <c r="C209" i="262"/>
  <c r="F72" i="6"/>
  <c r="G72" i="6" s="1"/>
  <c r="F14" i="312"/>
  <c r="F48" i="312" s="1"/>
  <c r="D48" i="312" s="1"/>
  <c r="D61" i="6"/>
  <c r="B60" i="6"/>
  <c r="D64" i="6"/>
  <c r="CU40" i="1106"/>
  <c r="CT40" i="1106"/>
  <c r="B498" i="1103"/>
  <c r="C464" i="1103"/>
  <c r="C481" i="1103"/>
  <c r="C498" i="1103"/>
  <c r="B481" i="1103"/>
  <c r="B464" i="1103"/>
  <c r="E28" i="1107"/>
  <c r="E46" i="1107"/>
  <c r="H419" i="1103"/>
  <c r="P418" i="1103"/>
  <c r="Q418" i="1103" s="1"/>
  <c r="T418" i="1103"/>
  <c r="U418" i="1103" s="1"/>
  <c r="L418" i="1103"/>
  <c r="M418" i="1103" s="1"/>
  <c r="T338" i="1103"/>
  <c r="U338" i="1103" s="1"/>
  <c r="L338" i="1103"/>
  <c r="M338" i="1103" s="1"/>
  <c r="P338" i="1103"/>
  <c r="Q338" i="1103" s="1"/>
  <c r="H339" i="1103"/>
  <c r="A532" i="1103"/>
  <c r="B515" i="1103"/>
  <c r="C515" i="1103"/>
  <c r="P322" i="1103"/>
  <c r="Q322" i="1103" s="1"/>
  <c r="T322" i="1103"/>
  <c r="U322" i="1103" s="1"/>
  <c r="H323" i="1103"/>
  <c r="L322" i="1103"/>
  <c r="M322" i="1103" s="1"/>
  <c r="L402" i="1103"/>
  <c r="M402" i="1103" s="1"/>
  <c r="P402" i="1103"/>
  <c r="Q402" i="1103" s="1"/>
  <c r="H403" i="1103"/>
  <c r="T402" i="1103"/>
  <c r="U402" i="1103" s="1"/>
  <c r="T434" i="1103"/>
  <c r="U434" i="1103" s="1"/>
  <c r="P434" i="1103"/>
  <c r="Q434" i="1103" s="1"/>
  <c r="H435" i="1103"/>
  <c r="L434" i="1103"/>
  <c r="M434" i="1103" s="1"/>
  <c r="T354" i="1103"/>
  <c r="U354" i="1103" s="1"/>
  <c r="L354" i="1103"/>
  <c r="M354" i="1103" s="1"/>
  <c r="H355" i="1103"/>
  <c r="P354" i="1103"/>
  <c r="Q354" i="1103" s="1"/>
  <c r="L370" i="1103"/>
  <c r="M370" i="1103" s="1"/>
  <c r="P370" i="1103"/>
  <c r="Q370" i="1103" s="1"/>
  <c r="H371" i="1103"/>
  <c r="T370" i="1103"/>
  <c r="U370" i="1103" s="1"/>
  <c r="L450" i="1103"/>
  <c r="M450" i="1103" s="1"/>
  <c r="P450" i="1103"/>
  <c r="Q450" i="1103" s="1"/>
  <c r="H451" i="1103"/>
  <c r="T450" i="1103"/>
  <c r="U450" i="1103" s="1"/>
  <c r="L386" i="1103"/>
  <c r="M386" i="1103" s="1"/>
  <c r="H387" i="1103"/>
  <c r="P386" i="1103"/>
  <c r="Q386" i="1103" s="1"/>
  <c r="T386" i="1103"/>
  <c r="U386" i="1103" s="1"/>
  <c r="Z29" i="264"/>
  <c r="U29" i="264" s="1"/>
  <c r="H91" i="1103"/>
  <c r="H75" i="1103"/>
  <c r="T74" i="1103"/>
  <c r="U74" i="1103" s="1"/>
  <c r="L74" i="1103"/>
  <c r="M74" i="1103" s="1"/>
  <c r="P74" i="1103"/>
  <c r="Q74" i="1103" s="1"/>
  <c r="H59" i="1103"/>
  <c r="T58" i="1103"/>
  <c r="U58" i="1103" s="1"/>
  <c r="L58" i="1103"/>
  <c r="M58" i="1103" s="1"/>
  <c r="P58" i="1103"/>
  <c r="Q58" i="1103" s="1"/>
  <c r="B28" i="9"/>
  <c r="J42" i="9"/>
  <c r="AR34" i="10"/>
  <c r="AQ34" i="10"/>
  <c r="H91" i="262"/>
  <c r="H51" i="38" s="1"/>
  <c r="I43" i="295"/>
  <c r="F43" i="295"/>
  <c r="D43" i="295" s="1"/>
  <c r="H50" i="292"/>
  <c r="H46" i="292" s="1"/>
  <c r="H17" i="292" s="1"/>
  <c r="K19" i="289"/>
  <c r="G52" i="289"/>
  <c r="K51" i="289"/>
  <c r="F47" i="294"/>
  <c r="D47" i="294" s="1"/>
  <c r="I49" i="294"/>
  <c r="H17" i="290"/>
  <c r="D46" i="295"/>
  <c r="F54" i="294"/>
  <c r="D54" i="294" s="1"/>
  <c r="I49" i="295"/>
  <c r="G47" i="290"/>
  <c r="G51" i="290"/>
  <c r="G52" i="290" s="1"/>
  <c r="G55" i="290"/>
  <c r="I26" i="294"/>
  <c r="F53" i="294"/>
  <c r="F50" i="294" s="1"/>
  <c r="F43" i="294"/>
  <c r="D43" i="294" s="1"/>
  <c r="I43" i="294"/>
  <c r="I47" i="289"/>
  <c r="I51" i="289"/>
  <c r="I52" i="289" s="1"/>
  <c r="I55" i="289"/>
  <c r="K23" i="289"/>
  <c r="I19" i="289"/>
  <c r="K22" i="289" s="1"/>
  <c r="K55" i="289"/>
  <c r="H50" i="293"/>
  <c r="D46" i="294"/>
  <c r="F54" i="295"/>
  <c r="D54" i="295" s="1"/>
  <c r="D51" i="292"/>
  <c r="F52" i="292"/>
  <c r="D52" i="292" s="1"/>
  <c r="I46" i="290"/>
  <c r="I17" i="290" s="1"/>
  <c r="F47" i="295"/>
  <c r="D47" i="295" s="1"/>
  <c r="D49" i="294"/>
  <c r="G49" i="295"/>
  <c r="G49" i="294"/>
  <c r="AX21" i="10"/>
  <c r="AW32" i="10"/>
  <c r="AY32" i="10"/>
  <c r="AX32" i="10"/>
  <c r="AZ32" i="10"/>
  <c r="AW30" i="10"/>
  <c r="AY30" i="10"/>
  <c r="AX30" i="10"/>
  <c r="AZ30" i="10"/>
  <c r="AW28" i="10"/>
  <c r="AY28" i="10"/>
  <c r="AX28" i="10"/>
  <c r="AZ28" i="10"/>
  <c r="AW26" i="10"/>
  <c r="AY26" i="10"/>
  <c r="AX26" i="10"/>
  <c r="AZ26" i="10"/>
  <c r="AW24" i="10"/>
  <c r="AY24" i="10"/>
  <c r="AX24" i="10"/>
  <c r="AZ24" i="10"/>
  <c r="AW22" i="10"/>
  <c r="AY22" i="10"/>
  <c r="AX22" i="10"/>
  <c r="AZ22" i="10"/>
  <c r="AW33" i="10"/>
  <c r="AY33" i="10"/>
  <c r="AX33" i="10"/>
  <c r="AZ33" i="10"/>
  <c r="AW31" i="10"/>
  <c r="AY31" i="10"/>
  <c r="AX31" i="10"/>
  <c r="AZ31" i="10"/>
  <c r="AW29" i="10"/>
  <c r="AY29" i="10"/>
  <c r="AX29" i="10"/>
  <c r="AZ29" i="10"/>
  <c r="AW27" i="10"/>
  <c r="AY27" i="10"/>
  <c r="AX27" i="10"/>
  <c r="AZ27" i="10"/>
  <c r="AW25" i="10"/>
  <c r="AY25" i="10"/>
  <c r="AX25" i="10"/>
  <c r="AZ25" i="10"/>
  <c r="AW23" i="10"/>
  <c r="AY23" i="10"/>
  <c r="AX23" i="10"/>
  <c r="AZ23" i="10"/>
  <c r="AW21" i="10"/>
  <c r="AZ21" i="10"/>
  <c r="AY21" i="10"/>
  <c r="G81" i="262"/>
  <c r="O49" i="38" s="1"/>
  <c r="W124" i="1"/>
  <c r="X124" i="1" s="1"/>
  <c r="X26" i="1"/>
  <c r="I14" i="302"/>
  <c r="I48" i="302" s="1"/>
  <c r="G14" i="302"/>
  <c r="G48" i="302" s="1"/>
  <c r="F35" i="302"/>
  <c r="D35" i="302" s="1"/>
  <c r="D14" i="302"/>
  <c r="G19" i="290"/>
  <c r="G113" i="262"/>
  <c r="M55" i="38" s="1"/>
  <c r="D26" i="294"/>
  <c r="D24" i="294"/>
  <c r="H14" i="294"/>
  <c r="H48" i="294" s="1"/>
  <c r="I35" i="294"/>
  <c r="I54" i="294" s="1"/>
  <c r="F14" i="310"/>
  <c r="F48" i="310" s="1"/>
  <c r="D48" i="310" s="1"/>
  <c r="L47" i="6"/>
  <c r="E46" i="6"/>
  <c r="B43" i="6"/>
  <c r="F18" i="309"/>
  <c r="H54" i="6"/>
  <c r="E39" i="6"/>
  <c r="B54" i="6"/>
  <c r="F15" i="309"/>
  <c r="A8" i="309"/>
  <c r="G29" i="309"/>
  <c r="F17" i="309"/>
  <c r="L39" i="6"/>
  <c r="I35" i="295"/>
  <c r="I54" i="295" s="1"/>
  <c r="G36" i="295"/>
  <c r="G35" i="295"/>
  <c r="G31" i="295"/>
  <c r="G39" i="295"/>
  <c r="G33" i="295"/>
  <c r="G31" i="294"/>
  <c r="G39" i="294"/>
  <c r="G35" i="294"/>
  <c r="G36" i="294"/>
  <c r="G33" i="294"/>
  <c r="H34" i="6"/>
  <c r="L24" i="6"/>
  <c r="G29" i="300"/>
  <c r="B27" i="6"/>
  <c r="I15" i="304"/>
  <c r="F14" i="301"/>
  <c r="F48" i="301" s="1"/>
  <c r="D48" i="301" s="1"/>
  <c r="D27" i="6"/>
  <c r="E31" i="6"/>
  <c r="F18" i="303"/>
  <c r="F15" i="300"/>
  <c r="B28" i="6"/>
  <c r="F18" i="296"/>
  <c r="L28" i="6"/>
  <c r="H24" i="6"/>
  <c r="A8" i="299"/>
  <c r="I15" i="302"/>
  <c r="G29" i="304"/>
  <c r="D34" i="6"/>
  <c r="G29" i="306"/>
  <c r="F18" i="306"/>
  <c r="F15" i="307"/>
  <c r="B33" i="6"/>
  <c r="A8" i="304"/>
  <c r="F17" i="304"/>
  <c r="H37" i="6"/>
  <c r="B37" i="6"/>
  <c r="F17" i="307"/>
  <c r="F14" i="306"/>
  <c r="F48" i="306" s="1"/>
  <c r="D48" i="306" s="1"/>
  <c r="F15" i="298"/>
  <c r="F14" i="299"/>
  <c r="F48" i="299" s="1"/>
  <c r="D48" i="299" s="1"/>
  <c r="F18" i="300"/>
  <c r="F17" i="301"/>
  <c r="H29" i="6"/>
  <c r="E30" i="6"/>
  <c r="F32" i="6"/>
  <c r="G32" i="6" s="1"/>
  <c r="G29" i="305"/>
  <c r="F14" i="297"/>
  <c r="F48" i="297" s="1"/>
  <c r="D48" i="297" s="1"/>
  <c r="G15" i="299"/>
  <c r="G15" i="300"/>
  <c r="B30" i="6"/>
  <c r="B32" i="6"/>
  <c r="A8" i="300"/>
  <c r="B38" i="6"/>
  <c r="G15" i="308"/>
  <c r="F15" i="308"/>
  <c r="F38" i="6"/>
  <c r="G38" i="6" s="1"/>
  <c r="F14" i="303"/>
  <c r="F48" i="303" s="1"/>
  <c r="D48" i="303" s="1"/>
  <c r="G29" i="296"/>
  <c r="F15" i="299"/>
  <c r="F17" i="296"/>
  <c r="F18" i="297"/>
  <c r="L29" i="6"/>
  <c r="F17" i="302"/>
  <c r="G15" i="305"/>
  <c r="G15" i="296"/>
  <c r="F24" i="6"/>
  <c r="G24" i="6" s="1"/>
  <c r="L27" i="6"/>
  <c r="F15" i="297"/>
  <c r="F28" i="6"/>
  <c r="G28" i="6" s="1"/>
  <c r="G15" i="302"/>
  <c r="I15" i="305"/>
  <c r="F15" i="305"/>
  <c r="F36" i="6"/>
  <c r="G36" i="6" s="1"/>
  <c r="F15" i="306"/>
  <c r="G15" i="307"/>
  <c r="E36" i="6"/>
  <c r="E33" i="6"/>
  <c r="G15" i="304"/>
  <c r="H33" i="6"/>
  <c r="L35" i="6"/>
  <c r="L37" i="6"/>
  <c r="L36" i="6"/>
  <c r="F14" i="307"/>
  <c r="F48" i="307" s="1"/>
  <c r="D48" i="307" s="1"/>
  <c r="H31" i="6"/>
  <c r="B24" i="6"/>
  <c r="E24" i="6"/>
  <c r="G29" i="299"/>
  <c r="D24" i="6"/>
  <c r="L31" i="6"/>
  <c r="F14" i="296"/>
  <c r="F48" i="296" s="1"/>
  <c r="D48" i="296" s="1"/>
  <c r="F18" i="302"/>
  <c r="F29" i="6"/>
  <c r="G29" i="6" s="1"/>
  <c r="B29" i="6"/>
  <c r="G29" i="297"/>
  <c r="E28" i="6"/>
  <c r="G29" i="301"/>
  <c r="E29" i="6"/>
  <c r="D33" i="6"/>
  <c r="I15" i="308"/>
  <c r="L38" i="6"/>
  <c r="D38" i="6"/>
  <c r="F15" i="311"/>
  <c r="E40" i="6"/>
  <c r="D44" i="6"/>
  <c r="H55" i="6"/>
  <c r="D55" i="6"/>
  <c r="D54" i="6"/>
  <c r="L53" i="6"/>
  <c r="F53" i="6"/>
  <c r="G53" i="6" s="1"/>
  <c r="F54" i="6"/>
  <c r="G54" i="6" s="1"/>
  <c r="L54" i="6"/>
  <c r="L52" i="6"/>
  <c r="H27" i="6"/>
  <c r="L32" i="6"/>
  <c r="F17" i="299"/>
  <c r="A8" i="296"/>
  <c r="F31" i="6"/>
  <c r="G31" i="6" s="1"/>
  <c r="A8" i="303"/>
  <c r="H35" i="6"/>
  <c r="F17" i="298"/>
  <c r="I15" i="300"/>
  <c r="G29" i="302"/>
  <c r="I15" i="303"/>
  <c r="A8" i="298"/>
  <c r="I15" i="298"/>
  <c r="F27" i="6"/>
  <c r="G27" i="6" s="1"/>
  <c r="L34" i="6"/>
  <c r="A8" i="302"/>
  <c r="E35" i="6"/>
  <c r="I15" i="307"/>
  <c r="I15" i="306"/>
  <c r="A8" i="306"/>
  <c r="B36" i="6"/>
  <c r="F35" i="6"/>
  <c r="G35" i="6" s="1"/>
  <c r="G29" i="303"/>
  <c r="F15" i="304"/>
  <c r="F18" i="307"/>
  <c r="F37" i="6"/>
  <c r="G37" i="6" s="1"/>
  <c r="H36" i="6"/>
  <c r="F14" i="305"/>
  <c r="F48" i="305" s="1"/>
  <c r="D48" i="305" s="1"/>
  <c r="F17" i="300"/>
  <c r="D28" i="6"/>
  <c r="I15" i="297"/>
  <c r="B34" i="6"/>
  <c r="L30" i="6"/>
  <c r="G29" i="298"/>
  <c r="F14" i="304"/>
  <c r="F48" i="304" s="1"/>
  <c r="D48" i="304" s="1"/>
  <c r="F18" i="298"/>
  <c r="A8" i="297"/>
  <c r="D30" i="6"/>
  <c r="G15" i="301"/>
  <c r="I15" i="301"/>
  <c r="F30" i="6"/>
  <c r="G30" i="6" s="1"/>
  <c r="F33" i="6"/>
  <c r="G33" i="6" s="1"/>
  <c r="F14" i="308"/>
  <c r="F48" i="308" s="1"/>
  <c r="D48" i="308" s="1"/>
  <c r="A8" i="308"/>
  <c r="E38" i="6"/>
  <c r="D35" i="6"/>
  <c r="F17" i="297"/>
  <c r="F14" i="298"/>
  <c r="F48" i="298" s="1"/>
  <c r="D48" i="298" s="1"/>
  <c r="H30" i="6"/>
  <c r="F18" i="301"/>
  <c r="D29" i="6"/>
  <c r="H32" i="6"/>
  <c r="G15" i="303"/>
  <c r="I15" i="299"/>
  <c r="G15" i="298"/>
  <c r="F15" i="296"/>
  <c r="F18" i="304"/>
  <c r="H28" i="6"/>
  <c r="F18" i="299"/>
  <c r="A8" i="305"/>
  <c r="E32" i="6"/>
  <c r="F17" i="305"/>
  <c r="E37" i="6"/>
  <c r="D37" i="6"/>
  <c r="D36" i="6"/>
  <c r="G29" i="307"/>
  <c r="F18" i="305"/>
  <c r="B35" i="6"/>
  <c r="G15" i="306"/>
  <c r="A8" i="307"/>
  <c r="F17" i="306"/>
  <c r="F15" i="303"/>
  <c r="E27" i="6"/>
  <c r="I15" i="296"/>
  <c r="L33" i="6"/>
  <c r="D31" i="6"/>
  <c r="D32" i="6"/>
  <c r="G15" i="297"/>
  <c r="F17" i="303"/>
  <c r="B31" i="6"/>
  <c r="F15" i="301"/>
  <c r="F15" i="302"/>
  <c r="E34" i="6"/>
  <c r="A8" i="301"/>
  <c r="F14" i="300"/>
  <c r="F48" i="300" s="1"/>
  <c r="D48" i="300" s="1"/>
  <c r="F17" i="308"/>
  <c r="H38" i="6"/>
  <c r="F18" i="308"/>
  <c r="G29" i="308"/>
  <c r="B52" i="6"/>
  <c r="F43" i="6"/>
  <c r="G43" i="6" s="1"/>
  <c r="E47" i="6"/>
  <c r="L55" i="6"/>
  <c r="E55" i="6"/>
  <c r="E53" i="6"/>
  <c r="H53" i="6"/>
  <c r="E54" i="6"/>
  <c r="B53" i="6"/>
  <c r="F52" i="6"/>
  <c r="G52" i="6" s="1"/>
  <c r="D53" i="6"/>
  <c r="L40" i="6"/>
  <c r="D39" i="6"/>
  <c r="F17" i="310"/>
  <c r="F14" i="309"/>
  <c r="F48" i="309" s="1"/>
  <c r="D48" i="309" s="1"/>
  <c r="B49" i="6"/>
  <c r="T40" i="12"/>
  <c r="T41" i="12" s="1"/>
  <c r="G15" i="309"/>
  <c r="B39" i="6"/>
  <c r="H39" i="6"/>
  <c r="I15" i="309"/>
  <c r="F39" i="6"/>
  <c r="G39" i="6" s="1"/>
  <c r="K52" i="288"/>
  <c r="K50" i="292"/>
  <c r="H14" i="295"/>
  <c r="H48" i="295" s="1"/>
  <c r="F19" i="294"/>
  <c r="D19" i="294" s="1"/>
  <c r="H16" i="295"/>
  <c r="H16" i="294"/>
  <c r="AB74" i="262"/>
  <c r="L74" i="262"/>
  <c r="X74" i="262"/>
  <c r="H75" i="262"/>
  <c r="I48" i="38" s="1"/>
  <c r="AJ74" i="262"/>
  <c r="T74" i="262"/>
  <c r="P74" i="262"/>
  <c r="AF74" i="262"/>
  <c r="A243" i="262"/>
  <c r="CB24" i="262"/>
  <c r="G48" i="262"/>
  <c r="P43" i="38" s="1"/>
  <c r="G32" i="262"/>
  <c r="P24" i="1103"/>
  <c r="T24" i="1103"/>
  <c r="P42" i="1103"/>
  <c r="T42" i="1103"/>
  <c r="H25" i="1103"/>
  <c r="X24" i="1103"/>
  <c r="AF24" i="1103"/>
  <c r="AB24" i="1103"/>
  <c r="L24" i="1103"/>
  <c r="AJ24" i="1103"/>
  <c r="H43" i="1103"/>
  <c r="L42" i="1103"/>
  <c r="BT24" i="262"/>
  <c r="BX24" i="262"/>
  <c r="BL24" i="262"/>
  <c r="BP24" i="262"/>
  <c r="BD24" i="262"/>
  <c r="BH24" i="262"/>
  <c r="AZ24" i="262"/>
  <c r="AV24" i="262"/>
  <c r="AJ24" i="262"/>
  <c r="AR24" i="262"/>
  <c r="AN24" i="262"/>
  <c r="L58" i="262"/>
  <c r="AB58" i="262"/>
  <c r="T58" i="262"/>
  <c r="AJ58" i="262"/>
  <c r="AF58" i="262"/>
  <c r="X58" i="262"/>
  <c r="P58" i="262"/>
  <c r="X42" i="262"/>
  <c r="AF42" i="262"/>
  <c r="P42" i="262"/>
  <c r="AB42" i="262"/>
  <c r="T42" i="262"/>
  <c r="L42" i="262"/>
  <c r="AJ42" i="262"/>
  <c r="AB24" i="262"/>
  <c r="AF24" i="262"/>
  <c r="T24" i="262"/>
  <c r="X24" i="262"/>
  <c r="L24" i="262"/>
  <c r="P24" i="262"/>
  <c r="B237" i="262"/>
  <c r="B222" i="262"/>
  <c r="K31" i="262"/>
  <c r="B238" i="262"/>
  <c r="B213" i="262"/>
  <c r="I16" i="312"/>
  <c r="V164" i="1"/>
  <c r="X66" i="1"/>
  <c r="W164" i="1"/>
  <c r="X164" i="1" s="1"/>
  <c r="G29" i="312"/>
  <c r="G27" i="312" s="1"/>
  <c r="B214" i="262"/>
  <c r="B257" i="262"/>
  <c r="F35" i="10"/>
  <c r="H34" i="10"/>
  <c r="G34" i="10"/>
  <c r="B150" i="262"/>
  <c r="H56" i="6"/>
  <c r="B70" i="6"/>
  <c r="B56" i="6"/>
  <c r="B166" i="262"/>
  <c r="E56" i="6"/>
  <c r="D70" i="6"/>
  <c r="F56" i="6"/>
  <c r="G56" i="6" s="1"/>
  <c r="D67" i="6"/>
  <c r="D71" i="6"/>
  <c r="H68" i="6"/>
  <c r="F71" i="6"/>
  <c r="G71" i="6" s="1"/>
  <c r="H70" i="6"/>
  <c r="E70" i="6"/>
  <c r="L68" i="6"/>
  <c r="B71" i="6"/>
  <c r="B69" i="6"/>
  <c r="E68" i="6"/>
  <c r="E69" i="6"/>
  <c r="F70" i="6"/>
  <c r="G70" i="6" s="1"/>
  <c r="B67" i="6"/>
  <c r="H69" i="6"/>
  <c r="L69" i="6"/>
  <c r="D69" i="6"/>
  <c r="L71" i="6"/>
  <c r="B151" i="262"/>
  <c r="I33" i="10"/>
  <c r="M33" i="10" s="1"/>
  <c r="E28" i="264"/>
  <c r="E46" i="264"/>
  <c r="L56" i="6"/>
  <c r="D56" i="6"/>
  <c r="V180" i="1"/>
  <c r="X82" i="1"/>
  <c r="O74" i="6"/>
  <c r="W180" i="1"/>
  <c r="X180" i="1" s="1"/>
  <c r="H25" i="262"/>
  <c r="C158" i="39"/>
  <c r="E158" i="39" s="1"/>
  <c r="D159" i="39"/>
  <c r="B241" i="262"/>
  <c r="H72" i="6"/>
  <c r="E72" i="6"/>
  <c r="L72" i="6"/>
  <c r="H43" i="262"/>
  <c r="K42" i="38" s="1"/>
  <c r="AA46" i="264"/>
  <c r="V46" i="264" s="1"/>
  <c r="R46" i="264"/>
  <c r="C173" i="39"/>
  <c r="E173" i="39" s="1"/>
  <c r="D174" i="39"/>
  <c r="B210" i="262"/>
  <c r="B143" i="262"/>
  <c r="H59" i="262"/>
  <c r="J45" i="38" s="1"/>
  <c r="C76" i="6"/>
  <c r="B99" i="38"/>
  <c r="B181" i="1"/>
  <c r="B84" i="1"/>
  <c r="B144" i="262"/>
  <c r="B198" i="262"/>
  <c r="B199" i="262"/>
  <c r="E36" i="10"/>
  <c r="BB35" i="10"/>
  <c r="AF35" i="10" s="1"/>
  <c r="AJ35" i="10" s="1"/>
  <c r="BC35" i="10"/>
  <c r="AG35" i="10" s="1"/>
  <c r="AK35" i="10" s="1"/>
  <c r="BD35" i="10"/>
  <c r="AH35" i="10" s="1"/>
  <c r="AL35" i="10" s="1"/>
  <c r="BE35" i="10"/>
  <c r="AI35" i="10" s="1"/>
  <c r="AM35" i="10" s="1"/>
  <c r="Z46" i="264"/>
  <c r="U46" i="264" s="1"/>
  <c r="Q46" i="264"/>
  <c r="B17" i="3"/>
  <c r="C17" i="3" s="1"/>
  <c r="A18" i="3"/>
  <c r="P83" i="1"/>
  <c r="G498" i="1103"/>
  <c r="G515" i="1103"/>
  <c r="W27" i="1"/>
  <c r="E226" i="262"/>
  <c r="F226" i="262"/>
  <c r="G532" i="1103"/>
  <c r="H107" i="1103"/>
  <c r="Q27" i="1"/>
  <c r="F19" i="1104"/>
  <c r="G481" i="1103"/>
  <c r="W83" i="1"/>
  <c r="P18" i="6"/>
  <c r="E515" i="1103"/>
  <c r="V83" i="1"/>
  <c r="F515" i="1103"/>
  <c r="G464" i="1103"/>
  <c r="N75" i="6"/>
  <c r="F18" i="1104"/>
  <c r="V30" i="1"/>
  <c r="G209" i="1103"/>
  <c r="G209" i="262"/>
  <c r="P27" i="1"/>
  <c r="Q83" i="1"/>
  <c r="H107" i="262"/>
  <c r="P74" i="6"/>
  <c r="G98" i="262" l="1"/>
  <c r="O52" i="38" s="1"/>
  <c r="F52" i="293"/>
  <c r="D24" i="295"/>
  <c r="F53" i="295"/>
  <c r="F50" i="295" s="1"/>
  <c r="G50" i="295" s="1"/>
  <c r="F26" i="295"/>
  <c r="F55" i="295" s="1"/>
  <c r="D55" i="295" s="1"/>
  <c r="G66" i="262"/>
  <c r="Q46" i="38" s="1"/>
  <c r="H46" i="293"/>
  <c r="H17" i="293" s="1"/>
  <c r="H55" i="293" s="1"/>
  <c r="D18" i="312"/>
  <c r="D15" i="312"/>
  <c r="F19" i="295"/>
  <c r="D19" i="295" s="1"/>
  <c r="D193" i="39"/>
  <c r="C192" i="39"/>
  <c r="E192" i="39" s="1"/>
  <c r="E90" i="39"/>
  <c r="E91" i="39"/>
  <c r="G14" i="312"/>
  <c r="G48" i="312" s="1"/>
  <c r="D14" i="312"/>
  <c r="F35" i="312"/>
  <c r="F54" i="312" s="1"/>
  <c r="D54" i="312" s="1"/>
  <c r="I14" i="312"/>
  <c r="I48" i="312" s="1"/>
  <c r="F49" i="312"/>
  <c r="D49" i="312" s="1"/>
  <c r="E29" i="1107"/>
  <c r="E47" i="1107"/>
  <c r="T323" i="1103"/>
  <c r="U323" i="1103" s="1"/>
  <c r="L323" i="1103"/>
  <c r="M323" i="1103" s="1"/>
  <c r="P323" i="1103"/>
  <c r="Q323" i="1103" s="1"/>
  <c r="H324" i="1103"/>
  <c r="B532" i="1103"/>
  <c r="A549" i="1103"/>
  <c r="C532" i="1103"/>
  <c r="H420" i="1103"/>
  <c r="T419" i="1103"/>
  <c r="U419" i="1103" s="1"/>
  <c r="P419" i="1103"/>
  <c r="Q419" i="1103" s="1"/>
  <c r="L419" i="1103"/>
  <c r="M419" i="1103" s="1"/>
  <c r="H356" i="1103"/>
  <c r="T355" i="1103"/>
  <c r="U355" i="1103" s="1"/>
  <c r="P355" i="1103"/>
  <c r="Q355" i="1103" s="1"/>
  <c r="L355" i="1103"/>
  <c r="M355" i="1103" s="1"/>
  <c r="T435" i="1103"/>
  <c r="U435" i="1103" s="1"/>
  <c r="P435" i="1103"/>
  <c r="Q435" i="1103" s="1"/>
  <c r="H436" i="1103"/>
  <c r="L435" i="1103"/>
  <c r="M435" i="1103" s="1"/>
  <c r="L403" i="1103"/>
  <c r="M403" i="1103" s="1"/>
  <c r="H404" i="1103"/>
  <c r="P403" i="1103"/>
  <c r="Q403" i="1103" s="1"/>
  <c r="T403" i="1103"/>
  <c r="U403" i="1103" s="1"/>
  <c r="T339" i="1103"/>
  <c r="U339" i="1103" s="1"/>
  <c r="L339" i="1103"/>
  <c r="M339" i="1103" s="1"/>
  <c r="H340" i="1103"/>
  <c r="P339" i="1103"/>
  <c r="Q339" i="1103" s="1"/>
  <c r="L387" i="1103"/>
  <c r="M387" i="1103" s="1"/>
  <c r="H388" i="1103"/>
  <c r="P387" i="1103"/>
  <c r="Q387" i="1103" s="1"/>
  <c r="T387" i="1103"/>
  <c r="U387" i="1103" s="1"/>
  <c r="L451" i="1103"/>
  <c r="M451" i="1103" s="1"/>
  <c r="P451" i="1103"/>
  <c r="Q451" i="1103" s="1"/>
  <c r="H452" i="1103"/>
  <c r="T451" i="1103"/>
  <c r="U451" i="1103" s="1"/>
  <c r="T371" i="1103"/>
  <c r="U371" i="1103" s="1"/>
  <c r="L371" i="1103"/>
  <c r="M371" i="1103" s="1"/>
  <c r="H372" i="1103"/>
  <c r="P371" i="1103"/>
  <c r="Q371" i="1103" s="1"/>
  <c r="G27" i="309"/>
  <c r="G36" i="309" s="1"/>
  <c r="G27" i="308"/>
  <c r="I43" i="308" s="1"/>
  <c r="G27" i="307"/>
  <c r="I43" i="307" s="1"/>
  <c r="G27" i="306"/>
  <c r="I43" i="306" s="1"/>
  <c r="G27" i="305"/>
  <c r="I43" i="305" s="1"/>
  <c r="H108" i="1103"/>
  <c r="H92" i="1103"/>
  <c r="T91" i="1103"/>
  <c r="U91" i="1103" s="1"/>
  <c r="L91" i="1103"/>
  <c r="M91" i="1103" s="1"/>
  <c r="P91" i="1103"/>
  <c r="Q91" i="1103" s="1"/>
  <c r="H76" i="1103"/>
  <c r="L75" i="1103"/>
  <c r="M75" i="1103" s="1"/>
  <c r="T75" i="1103"/>
  <c r="U75" i="1103" s="1"/>
  <c r="P75" i="1103"/>
  <c r="Q75" i="1103" s="1"/>
  <c r="H60" i="1103"/>
  <c r="L59" i="1103"/>
  <c r="M59" i="1103" s="1"/>
  <c r="T59" i="1103"/>
  <c r="U59" i="1103" s="1"/>
  <c r="P59" i="1103"/>
  <c r="Q59" i="1103" s="1"/>
  <c r="AW34" i="10"/>
  <c r="B29" i="9"/>
  <c r="J43" i="9"/>
  <c r="AX34" i="10"/>
  <c r="AZ34" i="10"/>
  <c r="AY34" i="10"/>
  <c r="AR35" i="10"/>
  <c r="AQ35" i="10"/>
  <c r="W125" i="1"/>
  <c r="X125" i="1" s="1"/>
  <c r="X27" i="1"/>
  <c r="H47" i="292"/>
  <c r="H51" i="292"/>
  <c r="H52" i="292" s="1"/>
  <c r="H55" i="292"/>
  <c r="F46" i="308"/>
  <c r="F54" i="302"/>
  <c r="D54" i="302" s="1"/>
  <c r="F49" i="302"/>
  <c r="F49" i="303"/>
  <c r="F46" i="305"/>
  <c r="F49" i="296"/>
  <c r="F49" i="304"/>
  <c r="F46" i="298"/>
  <c r="F49" i="306"/>
  <c r="F49" i="305"/>
  <c r="G49" i="302"/>
  <c r="F49" i="297"/>
  <c r="F46" i="296"/>
  <c r="F46" i="301"/>
  <c r="F46" i="304"/>
  <c r="I49" i="302"/>
  <c r="F49" i="300"/>
  <c r="I47" i="290"/>
  <c r="I51" i="290"/>
  <c r="I52" i="290" s="1"/>
  <c r="I55" i="290"/>
  <c r="G56" i="294"/>
  <c r="K56" i="294" s="1"/>
  <c r="G57" i="294"/>
  <c r="K57" i="294" s="1"/>
  <c r="G56" i="295"/>
  <c r="K56" i="295" s="1"/>
  <c r="F46" i="309"/>
  <c r="H49" i="294"/>
  <c r="D53" i="294"/>
  <c r="F51" i="294"/>
  <c r="AF91" i="262"/>
  <c r="P91" i="262"/>
  <c r="AB91" i="262"/>
  <c r="AJ91" i="262"/>
  <c r="H92" i="262"/>
  <c r="I51" i="38" s="1"/>
  <c r="X91" i="262"/>
  <c r="L91" i="262"/>
  <c r="T91" i="262"/>
  <c r="I43" i="312"/>
  <c r="F43" i="312"/>
  <c r="D43" i="312" s="1"/>
  <c r="D53" i="312"/>
  <c r="F51" i="312"/>
  <c r="D51" i="312" s="1"/>
  <c r="F46" i="310"/>
  <c r="F49" i="301"/>
  <c r="F46" i="303"/>
  <c r="F46" i="306"/>
  <c r="F46" i="297"/>
  <c r="F46" i="300"/>
  <c r="F46" i="299"/>
  <c r="F47" i="302"/>
  <c r="D47" i="302" s="1"/>
  <c r="F46" i="302"/>
  <c r="F49" i="299"/>
  <c r="F49" i="308"/>
  <c r="F49" i="298"/>
  <c r="F46" i="307"/>
  <c r="F49" i="307"/>
  <c r="G54" i="294"/>
  <c r="K54" i="294" s="1"/>
  <c r="G57" i="295"/>
  <c r="K57" i="295" s="1"/>
  <c r="G54" i="295"/>
  <c r="K54" i="295" s="1"/>
  <c r="F49" i="309"/>
  <c r="I50" i="290"/>
  <c r="G50" i="294"/>
  <c r="D50" i="294"/>
  <c r="H49" i="295"/>
  <c r="H47" i="290"/>
  <c r="H51" i="290"/>
  <c r="H52" i="290" s="1"/>
  <c r="H55" i="290"/>
  <c r="H19" i="290"/>
  <c r="L19" i="290" s="1"/>
  <c r="K52" i="289"/>
  <c r="G82" i="262"/>
  <c r="P49" i="38" s="1"/>
  <c r="V128" i="1"/>
  <c r="H108" i="262"/>
  <c r="H54" i="38" s="1"/>
  <c r="H35" i="295"/>
  <c r="H54" i="295" s="1"/>
  <c r="H19" i="292"/>
  <c r="L19" i="292" s="1"/>
  <c r="I16" i="309"/>
  <c r="K15" i="309"/>
  <c r="G16" i="309"/>
  <c r="H15" i="309"/>
  <c r="D17" i="310"/>
  <c r="G14" i="300"/>
  <c r="G48" i="300" s="1"/>
  <c r="F35" i="300"/>
  <c r="D35" i="300" s="1"/>
  <c r="I14" i="300"/>
  <c r="I48" i="300" s="1"/>
  <c r="D14" i="300"/>
  <c r="F16" i="301"/>
  <c r="D16" i="301" s="1"/>
  <c r="D15" i="301"/>
  <c r="D17" i="303"/>
  <c r="D17" i="306"/>
  <c r="H15" i="306"/>
  <c r="G16" i="306"/>
  <c r="K15" i="306"/>
  <c r="F24" i="305"/>
  <c r="I26" i="305" s="1"/>
  <c r="D18" i="305"/>
  <c r="D17" i="305"/>
  <c r="D15" i="296"/>
  <c r="F16" i="296"/>
  <c r="D16" i="296" s="1"/>
  <c r="I16" i="299"/>
  <c r="D18" i="301"/>
  <c r="F24" i="301"/>
  <c r="D14" i="298"/>
  <c r="F35" i="298"/>
  <c r="D35" i="298" s="1"/>
  <c r="I14" i="298"/>
  <c r="I48" i="298" s="1"/>
  <c r="G14" i="298"/>
  <c r="G48" i="298" s="1"/>
  <c r="G16" i="301"/>
  <c r="K15" i="301"/>
  <c r="H15" i="301"/>
  <c r="I14" i="304"/>
  <c r="I48" i="304" s="1"/>
  <c r="D14" i="304"/>
  <c r="G14" i="304"/>
  <c r="G48" i="304" s="1"/>
  <c r="F35" i="304"/>
  <c r="D35" i="304" s="1"/>
  <c r="G27" i="298"/>
  <c r="G14" i="305"/>
  <c r="G48" i="305" s="1"/>
  <c r="F35" i="305"/>
  <c r="D35" i="305" s="1"/>
  <c r="I14" i="305"/>
  <c r="I48" i="305" s="1"/>
  <c r="D14" i="305"/>
  <c r="D15" i="304"/>
  <c r="F16" i="304"/>
  <c r="D16" i="304" s="1"/>
  <c r="I16" i="307"/>
  <c r="G27" i="302"/>
  <c r="D17" i="298"/>
  <c r="F16" i="311"/>
  <c r="D16" i="311" s="1"/>
  <c r="D15" i="311"/>
  <c r="I16" i="308"/>
  <c r="G27" i="301"/>
  <c r="G27" i="297"/>
  <c r="G14" i="296"/>
  <c r="G48" i="296" s="1"/>
  <c r="F35" i="296"/>
  <c r="D35" i="296" s="1"/>
  <c r="D14" i="296"/>
  <c r="I14" i="296"/>
  <c r="I48" i="296" s="1"/>
  <c r="H15" i="307"/>
  <c r="K15" i="307"/>
  <c r="G16" i="307"/>
  <c r="D15" i="305"/>
  <c r="F16" i="305"/>
  <c r="D16" i="305" s="1"/>
  <c r="I16" i="305"/>
  <c r="F16" i="297"/>
  <c r="D16" i="297" s="1"/>
  <c r="D15" i="297"/>
  <c r="K15" i="305"/>
  <c r="H15" i="305"/>
  <c r="G16" i="305"/>
  <c r="D17" i="296"/>
  <c r="G27" i="296"/>
  <c r="G16" i="308"/>
  <c r="K15" i="308"/>
  <c r="H15" i="308"/>
  <c r="G16" i="300"/>
  <c r="H15" i="300"/>
  <c r="K15" i="300"/>
  <c r="I14" i="297"/>
  <c r="I48" i="297" s="1"/>
  <c r="F35" i="297"/>
  <c r="D35" i="297" s="1"/>
  <c r="G14" i="297"/>
  <c r="G48" i="297" s="1"/>
  <c r="D14" i="297"/>
  <c r="F24" i="300"/>
  <c r="D18" i="300"/>
  <c r="F16" i="298"/>
  <c r="D16" i="298" s="1"/>
  <c r="D15" i="298"/>
  <c r="D17" i="307"/>
  <c r="D15" i="307"/>
  <c r="F16" i="307"/>
  <c r="D16" i="307" s="1"/>
  <c r="G27" i="304"/>
  <c r="F24" i="303"/>
  <c r="F53" i="303" s="1"/>
  <c r="D18" i="303"/>
  <c r="I16" i="304"/>
  <c r="G27" i="300"/>
  <c r="K23" i="290"/>
  <c r="I19" i="290"/>
  <c r="K22" i="290" s="1"/>
  <c r="D17" i="309"/>
  <c r="K19" i="290"/>
  <c r="I35" i="302"/>
  <c r="I54" i="302" s="1"/>
  <c r="P75" i="262"/>
  <c r="T75" i="262"/>
  <c r="AF75" i="262"/>
  <c r="L75" i="262"/>
  <c r="AB75" i="262"/>
  <c r="AJ75" i="262"/>
  <c r="X75" i="262"/>
  <c r="H76" i="262"/>
  <c r="J48" i="38" s="1"/>
  <c r="I14" i="309"/>
  <c r="I48" i="309" s="1"/>
  <c r="D14" i="309"/>
  <c r="G14" i="309"/>
  <c r="G48" i="309" s="1"/>
  <c r="F35" i="309"/>
  <c r="D35" i="309" s="1"/>
  <c r="D18" i="308"/>
  <c r="F24" i="308"/>
  <c r="D17" i="308"/>
  <c r="F16" i="302"/>
  <c r="D16" i="302" s="1"/>
  <c r="D15" i="302"/>
  <c r="H15" i="297"/>
  <c r="G16" i="297"/>
  <c r="K15" i="297"/>
  <c r="I16" i="296"/>
  <c r="F16" i="303"/>
  <c r="D16" i="303" s="1"/>
  <c r="D15" i="303"/>
  <c r="F24" i="299"/>
  <c r="F53" i="299" s="1"/>
  <c r="D18" i="299"/>
  <c r="F24" i="304"/>
  <c r="F53" i="304" s="1"/>
  <c r="D18" i="304"/>
  <c r="H15" i="298"/>
  <c r="K15" i="298"/>
  <c r="G16" i="298"/>
  <c r="H15" i="303"/>
  <c r="K15" i="303"/>
  <c r="G16" i="303"/>
  <c r="D17" i="297"/>
  <c r="I14" i="308"/>
  <c r="I48" i="308" s="1"/>
  <c r="G14" i="308"/>
  <c r="G49" i="308" s="1"/>
  <c r="D14" i="308"/>
  <c r="F35" i="308"/>
  <c r="D35" i="308" s="1"/>
  <c r="I16" i="301"/>
  <c r="D18" i="298"/>
  <c r="F24" i="298"/>
  <c r="I16" i="297"/>
  <c r="D17" i="300"/>
  <c r="D18" i="307"/>
  <c r="F24" i="307"/>
  <c r="G27" i="303"/>
  <c r="I16" i="306"/>
  <c r="I16" i="298"/>
  <c r="I16" i="303"/>
  <c r="I16" i="300"/>
  <c r="D17" i="299"/>
  <c r="F24" i="302"/>
  <c r="I26" i="302" s="1"/>
  <c r="D18" i="302"/>
  <c r="G27" i="299"/>
  <c r="G14" i="307"/>
  <c r="G48" i="307" s="1"/>
  <c r="D14" i="307"/>
  <c r="I14" i="307"/>
  <c r="I48" i="307" s="1"/>
  <c r="F35" i="307"/>
  <c r="D35" i="307" s="1"/>
  <c r="K15" i="304"/>
  <c r="H15" i="304"/>
  <c r="G16" i="304"/>
  <c r="D15" i="306"/>
  <c r="F16" i="306"/>
  <c r="D16" i="306" s="1"/>
  <c r="G16" i="302"/>
  <c r="K15" i="302"/>
  <c r="H15" i="302"/>
  <c r="K15" i="296"/>
  <c r="G16" i="296"/>
  <c r="H15" i="296"/>
  <c r="D17" i="302"/>
  <c r="D18" i="297"/>
  <c r="F24" i="297"/>
  <c r="D15" i="299"/>
  <c r="F16" i="299"/>
  <c r="D16" i="299" s="1"/>
  <c r="I14" i="303"/>
  <c r="I48" i="303" s="1"/>
  <c r="G14" i="303"/>
  <c r="G48" i="303" s="1"/>
  <c r="D14" i="303"/>
  <c r="F35" i="303"/>
  <c r="F54" i="303" s="1"/>
  <c r="D54" i="303" s="1"/>
  <c r="D15" i="308"/>
  <c r="F16" i="308"/>
  <c r="D16" i="308" s="1"/>
  <c r="G16" i="299"/>
  <c r="K15" i="299"/>
  <c r="H15" i="299"/>
  <c r="D17" i="301"/>
  <c r="G14" i="299"/>
  <c r="G48" i="299" s="1"/>
  <c r="I14" i="299"/>
  <c r="I48" i="299" s="1"/>
  <c r="D14" i="299"/>
  <c r="F35" i="299"/>
  <c r="D35" i="299" s="1"/>
  <c r="I14" i="306"/>
  <c r="I48" i="306" s="1"/>
  <c r="G14" i="306"/>
  <c r="G48" i="306" s="1"/>
  <c r="D14" i="306"/>
  <c r="F35" i="306"/>
  <c r="D35" i="306" s="1"/>
  <c r="D17" i="304"/>
  <c r="F24" i="306"/>
  <c r="I26" i="306" s="1"/>
  <c r="D18" i="306"/>
  <c r="I16" i="302"/>
  <c r="F24" i="296"/>
  <c r="D18" i="296"/>
  <c r="D15" i="300"/>
  <c r="F16" i="300"/>
  <c r="D16" i="300" s="1"/>
  <c r="D14" i="301"/>
  <c r="G14" i="301"/>
  <c r="G48" i="301" s="1"/>
  <c r="F35" i="301"/>
  <c r="D35" i="301" s="1"/>
  <c r="I14" i="301"/>
  <c r="I48" i="301" s="1"/>
  <c r="K50" i="293"/>
  <c r="F16" i="309"/>
  <c r="D16" i="309" s="1"/>
  <c r="D15" i="309"/>
  <c r="D18" i="309"/>
  <c r="F24" i="309"/>
  <c r="D14" i="310"/>
  <c r="I14" i="310"/>
  <c r="I48" i="310" s="1"/>
  <c r="G14" i="310"/>
  <c r="G48" i="310" s="1"/>
  <c r="F35" i="310"/>
  <c r="D35" i="310" s="1"/>
  <c r="H35" i="294"/>
  <c r="H54" i="294" s="1"/>
  <c r="G114" i="262"/>
  <c r="N55" i="38" s="1"/>
  <c r="K55" i="290"/>
  <c r="K51" i="290"/>
  <c r="H14" i="302"/>
  <c r="H48" i="302" s="1"/>
  <c r="G99" i="262"/>
  <c r="P52" i="38" s="1"/>
  <c r="A260" i="262"/>
  <c r="CB25" i="262"/>
  <c r="G49" i="262"/>
  <c r="Q43" i="38" s="1"/>
  <c r="G67" i="262"/>
  <c r="R46" i="38" s="1"/>
  <c r="G33" i="262"/>
  <c r="P43" i="1103"/>
  <c r="T43" i="1103"/>
  <c r="P25" i="1103"/>
  <c r="T25" i="1103"/>
  <c r="H44" i="1103"/>
  <c r="L43" i="1103"/>
  <c r="H26" i="1103"/>
  <c r="AF25" i="1103"/>
  <c r="X25" i="1103"/>
  <c r="AJ25" i="1103"/>
  <c r="L25" i="1103"/>
  <c r="AB25" i="1103"/>
  <c r="BT25" i="262"/>
  <c r="BX25" i="262"/>
  <c r="BL25" i="262"/>
  <c r="BP25" i="262"/>
  <c r="BD25" i="262"/>
  <c r="BH25" i="262"/>
  <c r="AZ25" i="262"/>
  <c r="AV25" i="262"/>
  <c r="AJ25" i="262"/>
  <c r="AR25" i="262"/>
  <c r="AN25" i="262"/>
  <c r="AJ59" i="262"/>
  <c r="T59" i="262"/>
  <c r="AB59" i="262"/>
  <c r="L59" i="262"/>
  <c r="P59" i="262"/>
  <c r="X59" i="262"/>
  <c r="AF59" i="262"/>
  <c r="P43" i="262"/>
  <c r="AF43" i="262"/>
  <c r="X43" i="262"/>
  <c r="AJ43" i="262"/>
  <c r="L43" i="262"/>
  <c r="T43" i="262"/>
  <c r="AB43" i="262"/>
  <c r="AB25" i="262"/>
  <c r="AF25" i="262"/>
  <c r="T25" i="262"/>
  <c r="X25" i="262"/>
  <c r="L25" i="262"/>
  <c r="P25" i="262"/>
  <c r="B254" i="262"/>
  <c r="B239" i="262"/>
  <c r="K32" i="262"/>
  <c r="B255" i="262"/>
  <c r="B230" i="262"/>
  <c r="B168" i="262"/>
  <c r="I34" i="10"/>
  <c r="M34" i="10" s="1"/>
  <c r="E47" i="264"/>
  <c r="E29" i="264"/>
  <c r="B274" i="262"/>
  <c r="B231" i="262"/>
  <c r="G31" i="312"/>
  <c r="G33" i="312"/>
  <c r="G39" i="312"/>
  <c r="G57" i="312" s="1"/>
  <c r="G36" i="312"/>
  <c r="G56" i="312" s="1"/>
  <c r="I26" i="312"/>
  <c r="D24" i="312"/>
  <c r="F26" i="312"/>
  <c r="D26" i="312" s="1"/>
  <c r="B183" i="262"/>
  <c r="B167" i="262"/>
  <c r="H35" i="10"/>
  <c r="G35" i="10"/>
  <c r="F36" i="10"/>
  <c r="W181" i="1"/>
  <c r="X181" i="1" s="1"/>
  <c r="X83" i="1"/>
  <c r="V181" i="1"/>
  <c r="O75" i="6"/>
  <c r="E37" i="10"/>
  <c r="BB36" i="10"/>
  <c r="AF36" i="10" s="1"/>
  <c r="AJ36" i="10" s="1"/>
  <c r="BC36" i="10"/>
  <c r="AG36" i="10" s="1"/>
  <c r="AK36" i="10" s="1"/>
  <c r="BD36" i="10"/>
  <c r="AH36" i="10" s="1"/>
  <c r="AL36" i="10" s="1"/>
  <c r="BE36" i="10"/>
  <c r="AI36" i="10" s="1"/>
  <c r="AM36" i="10" s="1"/>
  <c r="B215" i="262"/>
  <c r="B161" i="262"/>
  <c r="B182" i="1"/>
  <c r="B74" i="6" s="1"/>
  <c r="B85" i="1"/>
  <c r="B102" i="38"/>
  <c r="B227" i="262"/>
  <c r="H44" i="262"/>
  <c r="L42" i="38" s="1"/>
  <c r="B73" i="6"/>
  <c r="E73" i="6"/>
  <c r="H73" i="6"/>
  <c r="B258" i="262"/>
  <c r="B18" i="3"/>
  <c r="C18" i="3" s="1"/>
  <c r="A19" i="3"/>
  <c r="B216" i="262"/>
  <c r="F74" i="6"/>
  <c r="G74" i="6" s="1"/>
  <c r="D74" i="6"/>
  <c r="C77" i="6"/>
  <c r="H60" i="262"/>
  <c r="K45" i="38" s="1"/>
  <c r="B160" i="262"/>
  <c r="C174" i="39"/>
  <c r="E174" i="39" s="1"/>
  <c r="D175" i="39"/>
  <c r="F73" i="6"/>
  <c r="G73" i="6" s="1"/>
  <c r="D73" i="6"/>
  <c r="L73" i="6"/>
  <c r="C159" i="39"/>
  <c r="E159" i="39" s="1"/>
  <c r="D160" i="39"/>
  <c r="C160" i="39" s="1"/>
  <c r="H26" i="262"/>
  <c r="W28" i="1"/>
  <c r="P28" i="1"/>
  <c r="V31" i="1"/>
  <c r="W84" i="1"/>
  <c r="N76" i="6"/>
  <c r="P84" i="1"/>
  <c r="E243" i="262"/>
  <c r="V84" i="1"/>
  <c r="Q28" i="1"/>
  <c r="P75" i="6"/>
  <c r="F243" i="262"/>
  <c r="F532" i="1103"/>
  <c r="Q84" i="1"/>
  <c r="E532" i="1103"/>
  <c r="H19" i="293" l="1"/>
  <c r="L19" i="293" s="1"/>
  <c r="D50" i="295"/>
  <c r="F51" i="295"/>
  <c r="D51" i="295" s="1"/>
  <c r="D53" i="295"/>
  <c r="D26" i="295"/>
  <c r="V129" i="1"/>
  <c r="D52" i="293"/>
  <c r="H51" i="293"/>
  <c r="H52" i="293" s="1"/>
  <c r="H47" i="293"/>
  <c r="I35" i="312"/>
  <c r="I54" i="312" s="1"/>
  <c r="I49" i="312"/>
  <c r="C193" i="39"/>
  <c r="E193" i="39" s="1"/>
  <c r="D194" i="39"/>
  <c r="G35" i="312"/>
  <c r="H14" i="312"/>
  <c r="H48" i="312" s="1"/>
  <c r="D35" i="312"/>
  <c r="E74" i="6"/>
  <c r="L74" i="6"/>
  <c r="H74" i="6"/>
  <c r="E48" i="1107"/>
  <c r="E30" i="1107"/>
  <c r="G31" i="306"/>
  <c r="T388" i="1103"/>
  <c r="U388" i="1103" s="1"/>
  <c r="P388" i="1103"/>
  <c r="Q388" i="1103" s="1"/>
  <c r="L388" i="1103"/>
  <c r="M388" i="1103" s="1"/>
  <c r="H389" i="1103"/>
  <c r="T372" i="1103"/>
  <c r="U372" i="1103" s="1"/>
  <c r="P372" i="1103"/>
  <c r="Q372" i="1103" s="1"/>
  <c r="L372" i="1103"/>
  <c r="M372" i="1103" s="1"/>
  <c r="H373" i="1103"/>
  <c r="L452" i="1103"/>
  <c r="M452" i="1103" s="1"/>
  <c r="P452" i="1103"/>
  <c r="Q452" i="1103" s="1"/>
  <c r="T452" i="1103"/>
  <c r="U452" i="1103" s="1"/>
  <c r="H453" i="1103"/>
  <c r="P340" i="1103"/>
  <c r="Q340" i="1103" s="1"/>
  <c r="H341" i="1103"/>
  <c r="L340" i="1103"/>
  <c r="M340" i="1103" s="1"/>
  <c r="T340" i="1103"/>
  <c r="U340" i="1103" s="1"/>
  <c r="P436" i="1103"/>
  <c r="Q436" i="1103" s="1"/>
  <c r="H437" i="1103"/>
  <c r="T436" i="1103"/>
  <c r="U436" i="1103" s="1"/>
  <c r="L436" i="1103"/>
  <c r="M436" i="1103" s="1"/>
  <c r="T324" i="1103"/>
  <c r="U324" i="1103" s="1"/>
  <c r="L324" i="1103"/>
  <c r="M324" i="1103" s="1"/>
  <c r="P324" i="1103"/>
  <c r="Q324" i="1103" s="1"/>
  <c r="H325" i="1103"/>
  <c r="P404" i="1103"/>
  <c r="Q404" i="1103" s="1"/>
  <c r="H405" i="1103"/>
  <c r="T404" i="1103"/>
  <c r="U404" i="1103" s="1"/>
  <c r="L404" i="1103"/>
  <c r="M404" i="1103" s="1"/>
  <c r="L420" i="1103"/>
  <c r="M420" i="1103" s="1"/>
  <c r="P420" i="1103"/>
  <c r="Q420" i="1103" s="1"/>
  <c r="T420" i="1103"/>
  <c r="U420" i="1103" s="1"/>
  <c r="H421" i="1103"/>
  <c r="L356" i="1103"/>
  <c r="M356" i="1103" s="1"/>
  <c r="P356" i="1103"/>
  <c r="Q356" i="1103" s="1"/>
  <c r="T356" i="1103"/>
  <c r="U356" i="1103" s="1"/>
  <c r="H357" i="1103"/>
  <c r="B549" i="1103"/>
  <c r="A566" i="1103"/>
  <c r="C549" i="1103"/>
  <c r="I35" i="10"/>
  <c r="M35" i="10" s="1"/>
  <c r="G31" i="309"/>
  <c r="G39" i="308"/>
  <c r="G57" i="308" s="1"/>
  <c r="K57" i="308" s="1"/>
  <c r="G39" i="309"/>
  <c r="G57" i="309" s="1"/>
  <c r="K57" i="309" s="1"/>
  <c r="F43" i="309"/>
  <c r="D43" i="309" s="1"/>
  <c r="G33" i="309"/>
  <c r="G31" i="305"/>
  <c r="G33" i="308"/>
  <c r="I43" i="309"/>
  <c r="G33" i="307"/>
  <c r="F43" i="308"/>
  <c r="D43" i="308" s="1"/>
  <c r="G39" i="306"/>
  <c r="G57" i="306" s="1"/>
  <c r="K57" i="306" s="1"/>
  <c r="G36" i="308"/>
  <c r="G56" i="308" s="1"/>
  <c r="K56" i="308" s="1"/>
  <c r="F43" i="306"/>
  <c r="D43" i="306" s="1"/>
  <c r="F43" i="307"/>
  <c r="D43" i="307" s="1"/>
  <c r="G36" i="306"/>
  <c r="G56" i="306" s="1"/>
  <c r="K56" i="306" s="1"/>
  <c r="G31" i="308"/>
  <c r="G36" i="307"/>
  <c r="G56" i="307" s="1"/>
  <c r="K56" i="307" s="1"/>
  <c r="F43" i="305"/>
  <c r="D43" i="305" s="1"/>
  <c r="G33" i="306"/>
  <c r="G39" i="307"/>
  <c r="G57" i="307" s="1"/>
  <c r="K57" i="307" s="1"/>
  <c r="G33" i="305"/>
  <c r="G31" i="307"/>
  <c r="G39" i="305"/>
  <c r="G57" i="305" s="1"/>
  <c r="K57" i="305" s="1"/>
  <c r="G36" i="305"/>
  <c r="G56" i="305" s="1"/>
  <c r="K56" i="305" s="1"/>
  <c r="H109" i="1103"/>
  <c r="T108" i="1103"/>
  <c r="U108" i="1103" s="1"/>
  <c r="L108" i="1103"/>
  <c r="M108" i="1103" s="1"/>
  <c r="P108" i="1103"/>
  <c r="Q108" i="1103" s="1"/>
  <c r="H93" i="1103"/>
  <c r="L92" i="1103"/>
  <c r="M92" i="1103" s="1"/>
  <c r="T92" i="1103"/>
  <c r="U92" i="1103" s="1"/>
  <c r="P92" i="1103"/>
  <c r="Q92" i="1103" s="1"/>
  <c r="H77" i="1103"/>
  <c r="T76" i="1103"/>
  <c r="U76" i="1103" s="1"/>
  <c r="L76" i="1103"/>
  <c r="M76" i="1103" s="1"/>
  <c r="P76" i="1103"/>
  <c r="Q76" i="1103" s="1"/>
  <c r="H61" i="1103"/>
  <c r="L60" i="1103"/>
  <c r="M60" i="1103" s="1"/>
  <c r="T60" i="1103"/>
  <c r="U60" i="1103" s="1"/>
  <c r="P60" i="1103"/>
  <c r="Q60" i="1103" s="1"/>
  <c r="B30" i="9"/>
  <c r="J44" i="9"/>
  <c r="G35" i="305"/>
  <c r="G54" i="305" s="1"/>
  <c r="K54" i="305" s="1"/>
  <c r="F26" i="304"/>
  <c r="F55" i="304" s="1"/>
  <c r="D55" i="304" s="1"/>
  <c r="F26" i="303"/>
  <c r="F55" i="303" s="1"/>
  <c r="D55" i="303" s="1"/>
  <c r="AR36" i="10"/>
  <c r="AQ36" i="10"/>
  <c r="AW35" i="10"/>
  <c r="AX35" i="10"/>
  <c r="AY35" i="10"/>
  <c r="AZ35" i="10"/>
  <c r="F19" i="297"/>
  <c r="D19" i="297" s="1"/>
  <c r="I26" i="299"/>
  <c r="F19" i="304"/>
  <c r="D19" i="304" s="1"/>
  <c r="F19" i="301"/>
  <c r="D19" i="301" s="1"/>
  <c r="F19" i="302"/>
  <c r="D19" i="302" s="1"/>
  <c r="F19" i="296"/>
  <c r="D19" i="296" s="1"/>
  <c r="G35" i="309"/>
  <c r="G54" i="309" s="1"/>
  <c r="K54" i="309" s="1"/>
  <c r="F26" i="309"/>
  <c r="F55" i="309" s="1"/>
  <c r="D55" i="309" s="1"/>
  <c r="F53" i="309"/>
  <c r="F50" i="309" s="1"/>
  <c r="F26" i="306"/>
  <c r="F53" i="306"/>
  <c r="F50" i="306" s="1"/>
  <c r="H49" i="302"/>
  <c r="I43" i="299"/>
  <c r="F43" i="299"/>
  <c r="D43" i="299" s="1"/>
  <c r="F43" i="303"/>
  <c r="D43" i="303" s="1"/>
  <c r="I43" i="303"/>
  <c r="F26" i="298"/>
  <c r="F53" i="298"/>
  <c r="F50" i="298" s="1"/>
  <c r="F51" i="299"/>
  <c r="D51" i="299" s="1"/>
  <c r="D53" i="299"/>
  <c r="I26" i="308"/>
  <c r="F53" i="308"/>
  <c r="F50" i="308" s="1"/>
  <c r="I43" i="300"/>
  <c r="F43" i="300"/>
  <c r="D43" i="300" s="1"/>
  <c r="D53" i="303"/>
  <c r="F51" i="303"/>
  <c r="D51" i="303" s="1"/>
  <c r="I26" i="300"/>
  <c r="F53" i="300"/>
  <c r="F50" i="300" s="1"/>
  <c r="I43" i="301"/>
  <c r="F43" i="301"/>
  <c r="D43" i="301" s="1"/>
  <c r="I43" i="298"/>
  <c r="F43" i="298"/>
  <c r="D43" i="298" s="1"/>
  <c r="I26" i="301"/>
  <c r="F53" i="301"/>
  <c r="F50" i="301" s="1"/>
  <c r="H50" i="295"/>
  <c r="H46" i="295" s="1"/>
  <c r="H17" i="295" s="1"/>
  <c r="F54" i="309"/>
  <c r="D54" i="309" s="1"/>
  <c r="D49" i="307"/>
  <c r="F47" i="307"/>
  <c r="D47" i="307" s="1"/>
  <c r="F54" i="298"/>
  <c r="D54" i="298" s="1"/>
  <c r="D49" i="308"/>
  <c r="F54" i="308"/>
  <c r="D54" i="308" s="1"/>
  <c r="D49" i="299"/>
  <c r="D46" i="302"/>
  <c r="G49" i="296"/>
  <c r="I49" i="305"/>
  <c r="G49" i="307"/>
  <c r="F47" i="299"/>
  <c r="D47" i="299" s="1"/>
  <c r="I49" i="300"/>
  <c r="I49" i="303"/>
  <c r="I49" i="298"/>
  <c r="F47" i="300"/>
  <c r="D47" i="300" s="1"/>
  <c r="I49" i="297"/>
  <c r="F47" i="297"/>
  <c r="D47" i="297" s="1"/>
  <c r="G49" i="306"/>
  <c r="D46" i="306"/>
  <c r="F47" i="303"/>
  <c r="D47" i="303" s="1"/>
  <c r="D49" i="301"/>
  <c r="F47" i="310"/>
  <c r="D47" i="310" s="1"/>
  <c r="G49" i="309"/>
  <c r="D51" i="294"/>
  <c r="F52" i="294"/>
  <c r="D52" i="294" s="1"/>
  <c r="D46" i="309"/>
  <c r="F54" i="300"/>
  <c r="D54" i="300" s="1"/>
  <c r="F50" i="304"/>
  <c r="D46" i="304"/>
  <c r="F47" i="301"/>
  <c r="D47" i="301" s="1"/>
  <c r="G49" i="299"/>
  <c r="F47" i="296"/>
  <c r="D47" i="296" s="1"/>
  <c r="D49" i="297"/>
  <c r="F54" i="305"/>
  <c r="D54" i="305" s="1"/>
  <c r="D49" i="306"/>
  <c r="G49" i="304"/>
  <c r="D46" i="298"/>
  <c r="I49" i="307"/>
  <c r="D49" i="304"/>
  <c r="I49" i="299"/>
  <c r="D49" i="296"/>
  <c r="D46" i="305"/>
  <c r="D49" i="303"/>
  <c r="G49" i="297"/>
  <c r="D46" i="308"/>
  <c r="G56" i="309"/>
  <c r="K56" i="309" s="1"/>
  <c r="I26" i="296"/>
  <c r="F53" i="296"/>
  <c r="F50" i="296" s="1"/>
  <c r="I26" i="297"/>
  <c r="F53" i="297"/>
  <c r="F50" i="297" s="1"/>
  <c r="F26" i="302"/>
  <c r="F55" i="302" s="1"/>
  <c r="D55" i="302" s="1"/>
  <c r="F53" i="302"/>
  <c r="F26" i="307"/>
  <c r="F55" i="307" s="1"/>
  <c r="D55" i="307" s="1"/>
  <c r="F53" i="307"/>
  <c r="F50" i="307" s="1"/>
  <c r="G35" i="308"/>
  <c r="G48" i="308"/>
  <c r="D53" i="304"/>
  <c r="F51" i="304"/>
  <c r="D51" i="304" s="1"/>
  <c r="F43" i="304"/>
  <c r="D43" i="304" s="1"/>
  <c r="I43" i="304"/>
  <c r="I43" i="296"/>
  <c r="F43" i="296"/>
  <c r="D43" i="296" s="1"/>
  <c r="I43" i="297"/>
  <c r="F43" i="297"/>
  <c r="D43" i="297" s="1"/>
  <c r="F43" i="302"/>
  <c r="D43" i="302" s="1"/>
  <c r="I43" i="302"/>
  <c r="F26" i="305"/>
  <c r="F55" i="305" s="1"/>
  <c r="D55" i="305" s="1"/>
  <c r="F53" i="305"/>
  <c r="H50" i="294"/>
  <c r="H46" i="294" s="1"/>
  <c r="H17" i="294" s="1"/>
  <c r="D49" i="309"/>
  <c r="I49" i="304"/>
  <c r="F54" i="307"/>
  <c r="D54" i="307" s="1"/>
  <c r="D46" i="307"/>
  <c r="D49" i="298"/>
  <c r="G49" i="300"/>
  <c r="F54" i="299"/>
  <c r="D54" i="299" s="1"/>
  <c r="I49" i="308"/>
  <c r="F50" i="299"/>
  <c r="D46" i="299"/>
  <c r="I49" i="306"/>
  <c r="D46" i="300"/>
  <c r="G49" i="301"/>
  <c r="D46" i="297"/>
  <c r="G49" i="303"/>
  <c r="G49" i="298"/>
  <c r="F47" i="306"/>
  <c r="D47" i="306" s="1"/>
  <c r="F50" i="303"/>
  <c r="D46" i="303"/>
  <c r="F54" i="301"/>
  <c r="D54" i="301" s="1"/>
  <c r="D46" i="310"/>
  <c r="I49" i="309"/>
  <c r="AB92" i="262"/>
  <c r="P92" i="262"/>
  <c r="X92" i="262"/>
  <c r="AF92" i="262"/>
  <c r="T92" i="262"/>
  <c r="AJ92" i="262"/>
  <c r="L92" i="262"/>
  <c r="H93" i="262"/>
  <c r="J51" i="38" s="1"/>
  <c r="F47" i="309"/>
  <c r="D47" i="309" s="1"/>
  <c r="D49" i="300"/>
  <c r="F47" i="304"/>
  <c r="D47" i="304" s="1"/>
  <c r="D46" i="301"/>
  <c r="D46" i="296"/>
  <c r="G49" i="305"/>
  <c r="F54" i="297"/>
  <c r="D54" i="297" s="1"/>
  <c r="D49" i="305"/>
  <c r="F54" i="306"/>
  <c r="D54" i="306" s="1"/>
  <c r="F47" i="298"/>
  <c r="D47" i="298" s="1"/>
  <c r="F54" i="304"/>
  <c r="D54" i="304" s="1"/>
  <c r="I49" i="301"/>
  <c r="F54" i="296"/>
  <c r="D54" i="296" s="1"/>
  <c r="F47" i="305"/>
  <c r="D47" i="305" s="1"/>
  <c r="I49" i="296"/>
  <c r="D49" i="302"/>
  <c r="F47" i="308"/>
  <c r="D47" i="308" s="1"/>
  <c r="F26" i="300"/>
  <c r="F55" i="300" s="1"/>
  <c r="D55" i="300" s="1"/>
  <c r="I26" i="307"/>
  <c r="I26" i="298"/>
  <c r="F26" i="297"/>
  <c r="F55" i="297" s="1"/>
  <c r="D55" i="297" s="1"/>
  <c r="I26" i="309"/>
  <c r="F26" i="296"/>
  <c r="F55" i="296" s="1"/>
  <c r="D55" i="296" s="1"/>
  <c r="G83" i="262"/>
  <c r="Q49" i="38" s="1"/>
  <c r="W126" i="1"/>
  <c r="X126" i="1" s="1"/>
  <c r="X28" i="1"/>
  <c r="K52" i="290"/>
  <c r="G115" i="262"/>
  <c r="O55" i="38" s="1"/>
  <c r="I35" i="310"/>
  <c r="H14" i="306"/>
  <c r="H48" i="306" s="1"/>
  <c r="H14" i="299"/>
  <c r="H48" i="299" s="1"/>
  <c r="D35" i="303"/>
  <c r="H14" i="303"/>
  <c r="H48" i="303" s="1"/>
  <c r="I35" i="307"/>
  <c r="I54" i="307" s="1"/>
  <c r="H14" i="307"/>
  <c r="H48" i="307" s="1"/>
  <c r="G39" i="303"/>
  <c r="G33" i="303"/>
  <c r="G31" i="303"/>
  <c r="G36" i="303"/>
  <c r="G35" i="303"/>
  <c r="I35" i="308"/>
  <c r="I54" i="308" s="1"/>
  <c r="H16" i="298"/>
  <c r="D24" i="304"/>
  <c r="D24" i="299"/>
  <c r="F19" i="308"/>
  <c r="D19" i="308" s="1"/>
  <c r="D24" i="308"/>
  <c r="H14" i="309"/>
  <c r="H48" i="309" s="1"/>
  <c r="I35" i="309"/>
  <c r="I54" i="309" s="1"/>
  <c r="P76" i="262"/>
  <c r="T76" i="262"/>
  <c r="L76" i="262"/>
  <c r="AF76" i="262"/>
  <c r="AJ76" i="262"/>
  <c r="AB76" i="262"/>
  <c r="X76" i="262"/>
  <c r="H77" i="262"/>
  <c r="K48" i="38" s="1"/>
  <c r="G33" i="300"/>
  <c r="G31" i="300"/>
  <c r="G39" i="300"/>
  <c r="G36" i="300"/>
  <c r="G35" i="300"/>
  <c r="D24" i="303"/>
  <c r="H16" i="308"/>
  <c r="G36" i="296"/>
  <c r="G35" i="296"/>
  <c r="G31" i="296"/>
  <c r="G39" i="296"/>
  <c r="G33" i="296"/>
  <c r="I35" i="296"/>
  <c r="I54" i="296" s="1"/>
  <c r="G31" i="297"/>
  <c r="G39" i="297"/>
  <c r="G36" i="297"/>
  <c r="G35" i="297"/>
  <c r="G33" i="297"/>
  <c r="G31" i="301"/>
  <c r="G33" i="301"/>
  <c r="G39" i="301"/>
  <c r="G36" i="301"/>
  <c r="G35" i="301"/>
  <c r="F19" i="298"/>
  <c r="D19" i="298" s="1"/>
  <c r="G33" i="302"/>
  <c r="G31" i="302"/>
  <c r="G35" i="302"/>
  <c r="G39" i="302"/>
  <c r="G36" i="302"/>
  <c r="G39" i="298"/>
  <c r="G33" i="298"/>
  <c r="G31" i="298"/>
  <c r="G36" i="298"/>
  <c r="G35" i="298"/>
  <c r="G35" i="304"/>
  <c r="H14" i="304"/>
  <c r="H48" i="304" s="1"/>
  <c r="I35" i="304"/>
  <c r="I54" i="304" s="1"/>
  <c r="I35" i="298"/>
  <c r="I54" i="298" s="1"/>
  <c r="D24" i="301"/>
  <c r="F19" i="305"/>
  <c r="D19" i="305" s="1"/>
  <c r="F19" i="306"/>
  <c r="D19" i="306" s="1"/>
  <c r="F19" i="303"/>
  <c r="D19" i="303" s="1"/>
  <c r="I35" i="300"/>
  <c r="I54" i="300" s="1"/>
  <c r="H14" i="300"/>
  <c r="H48" i="300" s="1"/>
  <c r="H16" i="309"/>
  <c r="H35" i="302"/>
  <c r="H54" i="302" s="1"/>
  <c r="H14" i="310"/>
  <c r="H48" i="310" s="1"/>
  <c r="D24" i="309"/>
  <c r="I35" i="301"/>
  <c r="I54" i="301" s="1"/>
  <c r="H14" i="301"/>
  <c r="H48" i="301" s="1"/>
  <c r="D24" i="296"/>
  <c r="D24" i="306"/>
  <c r="I35" i="306"/>
  <c r="I54" i="306" s="1"/>
  <c r="I35" i="299"/>
  <c r="I54" i="299" s="1"/>
  <c r="H16" i="299"/>
  <c r="I35" i="303"/>
  <c r="I54" i="303" s="1"/>
  <c r="D24" i="297"/>
  <c r="H16" i="296"/>
  <c r="H16" i="302"/>
  <c r="H16" i="304"/>
  <c r="G36" i="299"/>
  <c r="G33" i="299"/>
  <c r="G31" i="299"/>
  <c r="G39" i="299"/>
  <c r="G35" i="299"/>
  <c r="D24" i="302"/>
  <c r="F19" i="299"/>
  <c r="D19" i="299" s="1"/>
  <c r="D24" i="307"/>
  <c r="F19" i="300"/>
  <c r="D19" i="300" s="1"/>
  <c r="D24" i="298"/>
  <c r="H14" i="308"/>
  <c r="H48" i="308" s="1"/>
  <c r="H16" i="303"/>
  <c r="I26" i="304"/>
  <c r="F26" i="299"/>
  <c r="F55" i="299" s="1"/>
  <c r="D55" i="299" s="1"/>
  <c r="H16" i="297"/>
  <c r="F26" i="308"/>
  <c r="F55" i="308" s="1"/>
  <c r="D55" i="308" s="1"/>
  <c r="F19" i="309"/>
  <c r="D19" i="309" s="1"/>
  <c r="I26" i="303"/>
  <c r="G39" i="304"/>
  <c r="G33" i="304"/>
  <c r="G31" i="304"/>
  <c r="G36" i="304"/>
  <c r="G35" i="306"/>
  <c r="F19" i="307"/>
  <c r="D19" i="307" s="1"/>
  <c r="D24" i="300"/>
  <c r="H14" i="297"/>
  <c r="H48" i="297" s="1"/>
  <c r="I35" i="297"/>
  <c r="I54" i="297" s="1"/>
  <c r="H16" i="300"/>
  <c r="H16" i="305"/>
  <c r="H16" i="307"/>
  <c r="H14" i="296"/>
  <c r="H48" i="296" s="1"/>
  <c r="I35" i="305"/>
  <c r="I54" i="305" s="1"/>
  <c r="H14" i="305"/>
  <c r="H48" i="305" s="1"/>
  <c r="H16" i="301"/>
  <c r="H14" i="298"/>
  <c r="H48" i="298" s="1"/>
  <c r="F26" i="301"/>
  <c r="F55" i="301" s="1"/>
  <c r="D55" i="301" s="1"/>
  <c r="G35" i="307"/>
  <c r="D24" i="305"/>
  <c r="H16" i="306"/>
  <c r="K50" i="295"/>
  <c r="K50" i="294"/>
  <c r="AJ108" i="262"/>
  <c r="T108" i="262"/>
  <c r="X108" i="262"/>
  <c r="AF108" i="262"/>
  <c r="H109" i="262"/>
  <c r="I54" i="38" s="1"/>
  <c r="AB108" i="262"/>
  <c r="L108" i="262"/>
  <c r="P108" i="262"/>
  <c r="G100" i="262"/>
  <c r="Q52" i="38" s="1"/>
  <c r="A277" i="262"/>
  <c r="CB26" i="262"/>
  <c r="G34" i="262"/>
  <c r="G68" i="262"/>
  <c r="S46" i="38" s="1"/>
  <c r="G50" i="262"/>
  <c r="R43" i="38" s="1"/>
  <c r="P44" i="1103"/>
  <c r="T44" i="1103"/>
  <c r="P26" i="1103"/>
  <c r="T26" i="1103"/>
  <c r="H27" i="1103"/>
  <c r="X26" i="1103"/>
  <c r="AF26" i="1103"/>
  <c r="AB26" i="1103"/>
  <c r="L26" i="1103"/>
  <c r="AJ26" i="1103"/>
  <c r="H45" i="1103"/>
  <c r="L44" i="1103"/>
  <c r="BT26" i="262"/>
  <c r="BX26" i="262"/>
  <c r="BL26" i="262"/>
  <c r="BP26" i="262"/>
  <c r="BD26" i="262"/>
  <c r="BH26" i="262"/>
  <c r="AZ26" i="262"/>
  <c r="AV26" i="262"/>
  <c r="AJ26" i="262"/>
  <c r="AR26" i="262"/>
  <c r="AN26" i="262"/>
  <c r="AJ60" i="262"/>
  <c r="L60" i="262"/>
  <c r="AB60" i="262"/>
  <c r="T60" i="262"/>
  <c r="AF60" i="262"/>
  <c r="X60" i="262"/>
  <c r="P60" i="262"/>
  <c r="X44" i="262"/>
  <c r="AF44" i="262"/>
  <c r="P44" i="262"/>
  <c r="AB44" i="262"/>
  <c r="L44" i="262"/>
  <c r="T44" i="262"/>
  <c r="AJ44" i="262"/>
  <c r="AB26" i="262"/>
  <c r="AF26" i="262"/>
  <c r="T26" i="262"/>
  <c r="X26" i="262"/>
  <c r="L26" i="262"/>
  <c r="P26" i="262"/>
  <c r="B271" i="262"/>
  <c r="B256" i="262"/>
  <c r="K33" i="262"/>
  <c r="B272" i="262"/>
  <c r="B247" i="262"/>
  <c r="K56" i="312"/>
  <c r="K57" i="312"/>
  <c r="F37" i="10"/>
  <c r="G36" i="10"/>
  <c r="H36" i="10"/>
  <c r="I36" i="10" s="1"/>
  <c r="M36" i="10" s="1"/>
  <c r="B248" i="262"/>
  <c r="B291" i="262"/>
  <c r="B184" i="262"/>
  <c r="B200" i="262"/>
  <c r="B185" i="262"/>
  <c r="O76" i="6"/>
  <c r="X84" i="1"/>
  <c r="V182" i="1"/>
  <c r="W182" i="1"/>
  <c r="X182" i="1" s="1"/>
  <c r="H27" i="262"/>
  <c r="C78" i="6"/>
  <c r="B233" i="262"/>
  <c r="H45" i="262"/>
  <c r="M42" i="38" s="1"/>
  <c r="B244" i="262"/>
  <c r="B105" i="38"/>
  <c r="E38" i="10"/>
  <c r="BB37" i="10"/>
  <c r="AF37" i="10" s="1"/>
  <c r="AJ37" i="10" s="1"/>
  <c r="BC37" i="10"/>
  <c r="AG37" i="10" s="1"/>
  <c r="AK37" i="10" s="1"/>
  <c r="BD37" i="10"/>
  <c r="AH37" i="10" s="1"/>
  <c r="AL37" i="10" s="1"/>
  <c r="BE37" i="10"/>
  <c r="AI37" i="10" s="1"/>
  <c r="AM37" i="10" s="1"/>
  <c r="E161" i="39"/>
  <c r="E160" i="39"/>
  <c r="C175" i="39"/>
  <c r="E175" i="39" s="1"/>
  <c r="D176" i="39"/>
  <c r="B177" i="262"/>
  <c r="H61" i="262"/>
  <c r="L45" i="38" s="1"/>
  <c r="B19" i="3"/>
  <c r="C19" i="3" s="1"/>
  <c r="A20" i="3"/>
  <c r="B275" i="262"/>
  <c r="B86" i="1"/>
  <c r="B183" i="1"/>
  <c r="B178" i="262"/>
  <c r="B232" i="262"/>
  <c r="F260" i="262"/>
  <c r="V32" i="1"/>
  <c r="Q85" i="1"/>
  <c r="E260" i="262"/>
  <c r="P85" i="1"/>
  <c r="V85" i="1"/>
  <c r="W85" i="1"/>
  <c r="N77" i="6"/>
  <c r="G549" i="1103"/>
  <c r="E549" i="1103"/>
  <c r="F549" i="1103"/>
  <c r="P76" i="6"/>
  <c r="F52" i="295" l="1"/>
  <c r="H35" i="312"/>
  <c r="C194" i="39"/>
  <c r="E194" i="39" s="1"/>
  <c r="D195" i="39"/>
  <c r="C195" i="39" s="1"/>
  <c r="H390" i="1103"/>
  <c r="T389" i="1103"/>
  <c r="U389" i="1103" s="1"/>
  <c r="P389" i="1103"/>
  <c r="Q389" i="1103" s="1"/>
  <c r="L389" i="1103"/>
  <c r="M389" i="1103" s="1"/>
  <c r="P357" i="1103"/>
  <c r="Q357" i="1103" s="1"/>
  <c r="H358" i="1103"/>
  <c r="T357" i="1103"/>
  <c r="U357" i="1103" s="1"/>
  <c r="L357" i="1103"/>
  <c r="M357" i="1103" s="1"/>
  <c r="T405" i="1103"/>
  <c r="U405" i="1103" s="1"/>
  <c r="L405" i="1103"/>
  <c r="M405" i="1103" s="1"/>
  <c r="P405" i="1103"/>
  <c r="Q405" i="1103" s="1"/>
  <c r="H406" i="1103"/>
  <c r="T325" i="1103"/>
  <c r="U325" i="1103" s="1"/>
  <c r="L325" i="1103"/>
  <c r="M325" i="1103" s="1"/>
  <c r="P325" i="1103"/>
  <c r="Q325" i="1103" s="1"/>
  <c r="H326" i="1103"/>
  <c r="L453" i="1103"/>
  <c r="M453" i="1103" s="1"/>
  <c r="T453" i="1103"/>
  <c r="U453" i="1103" s="1"/>
  <c r="H454" i="1103"/>
  <c r="P453" i="1103"/>
  <c r="Q453" i="1103" s="1"/>
  <c r="T373" i="1103"/>
  <c r="U373" i="1103" s="1"/>
  <c r="P373" i="1103"/>
  <c r="Q373" i="1103" s="1"/>
  <c r="L373" i="1103"/>
  <c r="M373" i="1103" s="1"/>
  <c r="H374" i="1103"/>
  <c r="B566" i="1103"/>
  <c r="A583" i="1103"/>
  <c r="C566" i="1103"/>
  <c r="T421" i="1103"/>
  <c r="U421" i="1103" s="1"/>
  <c r="L421" i="1103"/>
  <c r="M421" i="1103" s="1"/>
  <c r="P421" i="1103"/>
  <c r="Q421" i="1103" s="1"/>
  <c r="H422" i="1103"/>
  <c r="L437" i="1103"/>
  <c r="M437" i="1103" s="1"/>
  <c r="P437" i="1103"/>
  <c r="Q437" i="1103" s="1"/>
  <c r="H438" i="1103"/>
  <c r="T437" i="1103"/>
  <c r="U437" i="1103" s="1"/>
  <c r="T341" i="1103"/>
  <c r="U341" i="1103" s="1"/>
  <c r="L341" i="1103"/>
  <c r="M341" i="1103" s="1"/>
  <c r="P341" i="1103"/>
  <c r="Q341" i="1103" s="1"/>
  <c r="H342" i="1103"/>
  <c r="F52" i="303"/>
  <c r="D52" i="303" s="1"/>
  <c r="H110" i="1103"/>
  <c r="T109" i="1103"/>
  <c r="U109" i="1103" s="1"/>
  <c r="L109" i="1103"/>
  <c r="M109" i="1103" s="1"/>
  <c r="P109" i="1103"/>
  <c r="Q109" i="1103" s="1"/>
  <c r="H94" i="1103"/>
  <c r="T93" i="1103"/>
  <c r="U93" i="1103" s="1"/>
  <c r="L93" i="1103"/>
  <c r="M93" i="1103" s="1"/>
  <c r="P93" i="1103"/>
  <c r="Q93" i="1103" s="1"/>
  <c r="H78" i="1103"/>
  <c r="T77" i="1103"/>
  <c r="U77" i="1103" s="1"/>
  <c r="L77" i="1103"/>
  <c r="M77" i="1103" s="1"/>
  <c r="P77" i="1103"/>
  <c r="Q77" i="1103" s="1"/>
  <c r="H62" i="1103"/>
  <c r="L61" i="1103"/>
  <c r="M61" i="1103" s="1"/>
  <c r="T61" i="1103"/>
  <c r="U61" i="1103" s="1"/>
  <c r="P61" i="1103"/>
  <c r="Q61" i="1103" s="1"/>
  <c r="B31" i="9"/>
  <c r="J45" i="9"/>
  <c r="D26" i="304"/>
  <c r="D26" i="300"/>
  <c r="D26" i="303"/>
  <c r="AW36" i="10"/>
  <c r="AX36" i="10"/>
  <c r="AY36" i="10"/>
  <c r="AZ36" i="10"/>
  <c r="AR37" i="10"/>
  <c r="AQ37" i="10"/>
  <c r="D26" i="297"/>
  <c r="D26" i="305"/>
  <c r="D26" i="307"/>
  <c r="D26" i="302"/>
  <c r="D26" i="309"/>
  <c r="F52" i="299"/>
  <c r="D52" i="299" s="1"/>
  <c r="H51" i="295"/>
  <c r="H52" i="295" s="1"/>
  <c r="H47" i="295"/>
  <c r="H55" i="295"/>
  <c r="G54" i="306"/>
  <c r="K54" i="306" s="1"/>
  <c r="G57" i="304"/>
  <c r="K57" i="304" s="1"/>
  <c r="G57" i="299"/>
  <c r="K57" i="299" s="1"/>
  <c r="G54" i="304"/>
  <c r="K54" i="304" s="1"/>
  <c r="G56" i="298"/>
  <c r="K56" i="298" s="1"/>
  <c r="G56" i="302"/>
  <c r="K56" i="302" s="1"/>
  <c r="G54" i="302"/>
  <c r="K54" i="302" s="1"/>
  <c r="G54" i="301"/>
  <c r="K54" i="301" s="1"/>
  <c r="G57" i="301"/>
  <c r="K57" i="301" s="1"/>
  <c r="G54" i="297"/>
  <c r="K54" i="297" s="1"/>
  <c r="G57" i="297"/>
  <c r="K57" i="297" s="1"/>
  <c r="G57" i="296"/>
  <c r="K57" i="296" s="1"/>
  <c r="G54" i="296"/>
  <c r="K54" i="296" s="1"/>
  <c r="G56" i="300"/>
  <c r="K56" i="300" s="1"/>
  <c r="G56" i="303"/>
  <c r="K56" i="303" s="1"/>
  <c r="D26" i="296"/>
  <c r="G50" i="303"/>
  <c r="D50" i="303"/>
  <c r="G50" i="300"/>
  <c r="D50" i="300"/>
  <c r="G50" i="307"/>
  <c r="D50" i="307"/>
  <c r="H47" i="294"/>
  <c r="H51" i="294"/>
  <c r="H52" i="294" s="1"/>
  <c r="H55" i="294"/>
  <c r="H19" i="294"/>
  <c r="L19" i="294" s="1"/>
  <c r="D53" i="305"/>
  <c r="F51" i="305"/>
  <c r="H49" i="303"/>
  <c r="G54" i="308"/>
  <c r="K54" i="308" s="1"/>
  <c r="H49" i="296"/>
  <c r="F51" i="297"/>
  <c r="D53" i="297"/>
  <c r="G50" i="308"/>
  <c r="D50" i="308"/>
  <c r="F52" i="304"/>
  <c r="D52" i="304" s="1"/>
  <c r="G50" i="304"/>
  <c r="D50" i="304"/>
  <c r="G50" i="309"/>
  <c r="D50" i="309"/>
  <c r="H49" i="309"/>
  <c r="F51" i="301"/>
  <c r="D53" i="301"/>
  <c r="H49" i="297"/>
  <c r="D26" i="298"/>
  <c r="F55" i="298"/>
  <c r="D55" i="298" s="1"/>
  <c r="H49" i="299"/>
  <c r="D53" i="306"/>
  <c r="F51" i="306"/>
  <c r="G54" i="307"/>
  <c r="K54" i="307" s="1"/>
  <c r="G56" i="304"/>
  <c r="K56" i="304" s="1"/>
  <c r="G54" i="299"/>
  <c r="K54" i="299" s="1"/>
  <c r="G56" i="299"/>
  <c r="K56" i="299" s="1"/>
  <c r="G54" i="298"/>
  <c r="K54" i="298" s="1"/>
  <c r="G57" i="298"/>
  <c r="K57" i="298" s="1"/>
  <c r="G57" i="302"/>
  <c r="K57" i="302" s="1"/>
  <c r="G56" i="301"/>
  <c r="K56" i="301" s="1"/>
  <c r="G56" i="297"/>
  <c r="K56" i="297" s="1"/>
  <c r="G56" i="296"/>
  <c r="K56" i="296" s="1"/>
  <c r="G54" i="300"/>
  <c r="K54" i="300" s="1"/>
  <c r="G57" i="300"/>
  <c r="K57" i="300" s="1"/>
  <c r="G54" i="303"/>
  <c r="K54" i="303" s="1"/>
  <c r="G57" i="303"/>
  <c r="K57" i="303" s="1"/>
  <c r="G50" i="296"/>
  <c r="D50" i="296"/>
  <c r="G50" i="301"/>
  <c r="D50" i="301"/>
  <c r="X93" i="262"/>
  <c r="AJ93" i="262"/>
  <c r="T93" i="262"/>
  <c r="AF93" i="262"/>
  <c r="P93" i="262"/>
  <c r="AB93" i="262"/>
  <c r="L93" i="262"/>
  <c r="H94" i="262"/>
  <c r="K51" i="38" s="1"/>
  <c r="G50" i="297"/>
  <c r="D50" i="297"/>
  <c r="G50" i="299"/>
  <c r="D50" i="299"/>
  <c r="H49" i="301"/>
  <c r="H49" i="305"/>
  <c r="F51" i="307"/>
  <c r="D51" i="307" s="1"/>
  <c r="D53" i="307"/>
  <c r="D53" i="302"/>
  <c r="F51" i="302"/>
  <c r="F51" i="296"/>
  <c r="D51" i="296" s="1"/>
  <c r="D53" i="296"/>
  <c r="F50" i="305"/>
  <c r="G50" i="298"/>
  <c r="D50" i="298"/>
  <c r="G50" i="306"/>
  <c r="D50" i="306"/>
  <c r="F50" i="302"/>
  <c r="H49" i="306"/>
  <c r="H49" i="307"/>
  <c r="H49" i="308"/>
  <c r="H49" i="300"/>
  <c r="F51" i="300"/>
  <c r="D53" i="300"/>
  <c r="D53" i="308"/>
  <c r="F51" i="308"/>
  <c r="H49" i="298"/>
  <c r="F51" i="298"/>
  <c r="D53" i="298"/>
  <c r="H49" i="304"/>
  <c r="D26" i="306"/>
  <c r="F55" i="306"/>
  <c r="D55" i="306" s="1"/>
  <c r="D53" i="309"/>
  <c r="F51" i="309"/>
  <c r="G84" i="262"/>
  <c r="R49" i="38" s="1"/>
  <c r="V130" i="1"/>
  <c r="H35" i="305"/>
  <c r="H54" i="305" s="1"/>
  <c r="H35" i="296"/>
  <c r="H54" i="296" s="1"/>
  <c r="D26" i="299"/>
  <c r="H35" i="301"/>
  <c r="H54" i="301" s="1"/>
  <c r="H35" i="310"/>
  <c r="H35" i="300"/>
  <c r="H54" i="300" s="1"/>
  <c r="H35" i="309"/>
  <c r="H54" i="309" s="1"/>
  <c r="H35" i="307"/>
  <c r="H54" i="307" s="1"/>
  <c r="G116" i="262"/>
  <c r="P55" i="38" s="1"/>
  <c r="X109" i="262"/>
  <c r="L109" i="262"/>
  <c r="T109" i="262"/>
  <c r="P109" i="262"/>
  <c r="AF109" i="262"/>
  <c r="AB109" i="262"/>
  <c r="AJ109" i="262"/>
  <c r="H110" i="262"/>
  <c r="J54" i="38" s="1"/>
  <c r="H19" i="295"/>
  <c r="L19" i="295" s="1"/>
  <c r="D26" i="301"/>
  <c r="H35" i="298"/>
  <c r="H54" i="298" s="1"/>
  <c r="H35" i="297"/>
  <c r="H54" i="297" s="1"/>
  <c r="D26" i="308"/>
  <c r="H35" i="308"/>
  <c r="H54" i="308" s="1"/>
  <c r="H35" i="304"/>
  <c r="H54" i="304" s="1"/>
  <c r="AB77" i="262"/>
  <c r="T77" i="262"/>
  <c r="AF77" i="262"/>
  <c r="P77" i="262"/>
  <c r="L77" i="262"/>
  <c r="AJ77" i="262"/>
  <c r="X77" i="262"/>
  <c r="H78" i="262"/>
  <c r="L48" i="38" s="1"/>
  <c r="H35" i="303"/>
  <c r="H54" i="303" s="1"/>
  <c r="H35" i="299"/>
  <c r="H54" i="299" s="1"/>
  <c r="H35" i="306"/>
  <c r="H54" i="306" s="1"/>
  <c r="A294" i="262"/>
  <c r="G101" i="262"/>
  <c r="R52" i="38" s="1"/>
  <c r="CB27" i="262"/>
  <c r="G69" i="262"/>
  <c r="T46" i="38" s="1"/>
  <c r="G35" i="262"/>
  <c r="G51" i="262"/>
  <c r="S43" i="38" s="1"/>
  <c r="P45" i="1103"/>
  <c r="T45" i="1103"/>
  <c r="P27" i="1103"/>
  <c r="T27" i="1103"/>
  <c r="H28" i="1103"/>
  <c r="AF27" i="1103"/>
  <c r="X27" i="1103"/>
  <c r="AJ27" i="1103"/>
  <c r="L27" i="1103"/>
  <c r="AB27" i="1103"/>
  <c r="H46" i="1103"/>
  <c r="L45" i="1103"/>
  <c r="BT27" i="262"/>
  <c r="BX27" i="262"/>
  <c r="BL27" i="262"/>
  <c r="BP27" i="262"/>
  <c r="BD27" i="262"/>
  <c r="BH27" i="262"/>
  <c r="AZ27" i="262"/>
  <c r="AV27" i="262"/>
  <c r="AJ27" i="262"/>
  <c r="AR27" i="262"/>
  <c r="AN27" i="262"/>
  <c r="AJ61" i="262"/>
  <c r="T61" i="262"/>
  <c r="AB61" i="262"/>
  <c r="L61" i="262"/>
  <c r="X61" i="262"/>
  <c r="P61" i="262"/>
  <c r="AF61" i="262"/>
  <c r="P45" i="262"/>
  <c r="AF45" i="262"/>
  <c r="X45" i="262"/>
  <c r="AJ45" i="262"/>
  <c r="T45" i="262"/>
  <c r="L45" i="262"/>
  <c r="AB45" i="262"/>
  <c r="AB27" i="262"/>
  <c r="AF27" i="262"/>
  <c r="T27" i="262"/>
  <c r="X27" i="262"/>
  <c r="L27" i="262"/>
  <c r="P27" i="262"/>
  <c r="B288" i="262"/>
  <c r="B273" i="262"/>
  <c r="K34" i="262"/>
  <c r="B289" i="262"/>
  <c r="B264" i="262"/>
  <c r="B202" i="262"/>
  <c r="B217" i="262"/>
  <c r="B201" i="262"/>
  <c r="B308" i="262"/>
  <c r="B265" i="262"/>
  <c r="F38" i="10"/>
  <c r="G37" i="10"/>
  <c r="H37" i="10"/>
  <c r="I37" i="10" s="1"/>
  <c r="M37" i="10" s="1"/>
  <c r="W183" i="1"/>
  <c r="X183" i="1" s="1"/>
  <c r="X85" i="1"/>
  <c r="V183" i="1"/>
  <c r="O77" i="6"/>
  <c r="B249" i="262"/>
  <c r="B195" i="262"/>
  <c r="E75" i="6"/>
  <c r="D75" i="6"/>
  <c r="L75" i="6"/>
  <c r="H75" i="6"/>
  <c r="B75" i="6"/>
  <c r="F75" i="6"/>
  <c r="G75" i="6" s="1"/>
  <c r="B292" i="262"/>
  <c r="B194" i="262"/>
  <c r="E39" i="10"/>
  <c r="BB38" i="10"/>
  <c r="AF38" i="10" s="1"/>
  <c r="AJ38" i="10" s="1"/>
  <c r="BC38" i="10"/>
  <c r="AG38" i="10" s="1"/>
  <c r="AK38" i="10" s="1"/>
  <c r="BD38" i="10"/>
  <c r="AH38" i="10" s="1"/>
  <c r="AL38" i="10" s="1"/>
  <c r="BE38" i="10"/>
  <c r="AI38" i="10" s="1"/>
  <c r="AM38" i="10" s="1"/>
  <c r="B250" i="262"/>
  <c r="C79" i="6"/>
  <c r="H28" i="262"/>
  <c r="B87" i="1"/>
  <c r="B184" i="1"/>
  <c r="B20" i="3"/>
  <c r="C20" i="3" s="1"/>
  <c r="A21" i="3"/>
  <c r="H62" i="262"/>
  <c r="M45" i="38" s="1"/>
  <c r="C176" i="39"/>
  <c r="E176" i="39" s="1"/>
  <c r="D177" i="39"/>
  <c r="C177" i="39" s="1"/>
  <c r="B108" i="38"/>
  <c r="B261" i="262"/>
  <c r="H46" i="262"/>
  <c r="N42" i="38" s="1"/>
  <c r="F277" i="262"/>
  <c r="G566" i="1103"/>
  <c r="N78" i="6"/>
  <c r="V33" i="1"/>
  <c r="F566" i="1103"/>
  <c r="P77" i="6"/>
  <c r="E277" i="262"/>
  <c r="W86" i="1"/>
  <c r="E566" i="1103"/>
  <c r="P86" i="1"/>
  <c r="V39" i="1"/>
  <c r="Q86" i="1"/>
  <c r="V86" i="1"/>
  <c r="V131" i="1" l="1"/>
  <c r="D52" i="295"/>
  <c r="E195" i="39"/>
  <c r="E196" i="39"/>
  <c r="P390" i="1103"/>
  <c r="Q390" i="1103" s="1"/>
  <c r="H391" i="1103"/>
  <c r="L390" i="1103"/>
  <c r="M390" i="1103" s="1"/>
  <c r="T390" i="1103"/>
  <c r="U390" i="1103" s="1"/>
  <c r="H375" i="1103"/>
  <c r="L374" i="1103"/>
  <c r="M374" i="1103" s="1"/>
  <c r="T374" i="1103"/>
  <c r="U374" i="1103" s="1"/>
  <c r="P374" i="1103"/>
  <c r="Q374" i="1103" s="1"/>
  <c r="L326" i="1103"/>
  <c r="M326" i="1103" s="1"/>
  <c r="P326" i="1103"/>
  <c r="Q326" i="1103" s="1"/>
  <c r="T326" i="1103"/>
  <c r="U326" i="1103" s="1"/>
  <c r="T406" i="1103"/>
  <c r="U406" i="1103" s="1"/>
  <c r="P406" i="1103"/>
  <c r="Q406" i="1103" s="1"/>
  <c r="L406" i="1103"/>
  <c r="M406" i="1103" s="1"/>
  <c r="H407" i="1103"/>
  <c r="T342" i="1103"/>
  <c r="U342" i="1103" s="1"/>
  <c r="L342" i="1103"/>
  <c r="M342" i="1103" s="1"/>
  <c r="P342" i="1103"/>
  <c r="Q342" i="1103" s="1"/>
  <c r="H343" i="1103"/>
  <c r="T422" i="1103"/>
  <c r="U422" i="1103" s="1"/>
  <c r="L422" i="1103"/>
  <c r="M422" i="1103" s="1"/>
  <c r="P422" i="1103"/>
  <c r="Q422" i="1103" s="1"/>
  <c r="H423" i="1103"/>
  <c r="H455" i="1103"/>
  <c r="L454" i="1103"/>
  <c r="M454" i="1103" s="1"/>
  <c r="T454" i="1103"/>
  <c r="U454" i="1103" s="1"/>
  <c r="P454" i="1103"/>
  <c r="Q454" i="1103" s="1"/>
  <c r="H439" i="1103"/>
  <c r="T438" i="1103"/>
  <c r="U438" i="1103" s="1"/>
  <c r="P438" i="1103"/>
  <c r="Q438" i="1103" s="1"/>
  <c r="L438" i="1103"/>
  <c r="M438" i="1103" s="1"/>
  <c r="B583" i="1103"/>
  <c r="A600" i="1103"/>
  <c r="C583" i="1103"/>
  <c r="T358" i="1103"/>
  <c r="U358" i="1103" s="1"/>
  <c r="L358" i="1103"/>
  <c r="M358" i="1103" s="1"/>
  <c r="P358" i="1103"/>
  <c r="Q358" i="1103" s="1"/>
  <c r="H359" i="1103"/>
  <c r="H111" i="1103"/>
  <c r="T110" i="1103"/>
  <c r="U110" i="1103" s="1"/>
  <c r="L110" i="1103"/>
  <c r="M110" i="1103" s="1"/>
  <c r="P110" i="1103"/>
  <c r="Q110" i="1103" s="1"/>
  <c r="H95" i="1103"/>
  <c r="T94" i="1103"/>
  <c r="U94" i="1103" s="1"/>
  <c r="L94" i="1103"/>
  <c r="M94" i="1103" s="1"/>
  <c r="P94" i="1103"/>
  <c r="Q94" i="1103" s="1"/>
  <c r="H79" i="1103"/>
  <c r="T78" i="1103"/>
  <c r="U78" i="1103" s="1"/>
  <c r="L78" i="1103"/>
  <c r="M78" i="1103" s="1"/>
  <c r="P78" i="1103"/>
  <c r="Q78" i="1103" s="1"/>
  <c r="H63" i="1103"/>
  <c r="L62" i="1103"/>
  <c r="M62" i="1103" s="1"/>
  <c r="T62" i="1103"/>
  <c r="U62" i="1103" s="1"/>
  <c r="P62" i="1103"/>
  <c r="Q62" i="1103" s="1"/>
  <c r="B32" i="9"/>
  <c r="J46" i="9"/>
  <c r="AW37" i="10"/>
  <c r="AX37" i="10"/>
  <c r="AY37" i="10"/>
  <c r="AZ37" i="10"/>
  <c r="AR38" i="10"/>
  <c r="AQ38" i="10"/>
  <c r="F52" i="296"/>
  <c r="D51" i="309"/>
  <c r="F52" i="309"/>
  <c r="D52" i="309" s="1"/>
  <c r="D51" i="298"/>
  <c r="F52" i="298"/>
  <c r="D52" i="298" s="1"/>
  <c r="D51" i="308"/>
  <c r="F52" i="308"/>
  <c r="D52" i="308" s="1"/>
  <c r="F52" i="307"/>
  <c r="D52" i="307" s="1"/>
  <c r="G50" i="305"/>
  <c r="D50" i="305"/>
  <c r="D51" i="302"/>
  <c r="F52" i="302"/>
  <c r="D52" i="302" s="1"/>
  <c r="H50" i="297"/>
  <c r="H46" i="297" s="1"/>
  <c r="X94" i="262"/>
  <c r="T94" i="262"/>
  <c r="AJ94" i="262"/>
  <c r="H95" i="262"/>
  <c r="L51" i="38" s="1"/>
  <c r="P94" i="262"/>
  <c r="AF94" i="262"/>
  <c r="AB94" i="262"/>
  <c r="L94" i="262"/>
  <c r="H50" i="301"/>
  <c r="H46" i="301" s="1"/>
  <c r="H17" i="301" s="1"/>
  <c r="H50" i="296"/>
  <c r="H46" i="296" s="1"/>
  <c r="H17" i="296" s="1"/>
  <c r="H50" i="308"/>
  <c r="H46" i="308" s="1"/>
  <c r="D51" i="297"/>
  <c r="F52" i="297"/>
  <c r="D52" i="297" s="1"/>
  <c r="D51" i="300"/>
  <c r="F52" i="300"/>
  <c r="D52" i="300" s="1"/>
  <c r="G50" i="302"/>
  <c r="K50" i="302" s="1"/>
  <c r="D50" i="302"/>
  <c r="H50" i="306"/>
  <c r="H46" i="306" s="1"/>
  <c r="H17" i="306" s="1"/>
  <c r="H50" i="298"/>
  <c r="H46" i="298" s="1"/>
  <c r="H50" i="299"/>
  <c r="H46" i="299" s="1"/>
  <c r="H17" i="299" s="1"/>
  <c r="D51" i="306"/>
  <c r="F52" i="306"/>
  <c r="D52" i="306" s="1"/>
  <c r="D51" i="301"/>
  <c r="F52" i="301"/>
  <c r="D52" i="301" s="1"/>
  <c r="H50" i="309"/>
  <c r="H46" i="309" s="1"/>
  <c r="H17" i="309" s="1"/>
  <c r="H50" i="304"/>
  <c r="H46" i="304" s="1"/>
  <c r="H17" i="304" s="1"/>
  <c r="D51" i="305"/>
  <c r="F52" i="305"/>
  <c r="D52" i="305" s="1"/>
  <c r="H50" i="307"/>
  <c r="H46" i="307" s="1"/>
  <c r="H17" i="307" s="1"/>
  <c r="H50" i="300"/>
  <c r="H46" i="300" s="1"/>
  <c r="H17" i="300" s="1"/>
  <c r="H50" i="303"/>
  <c r="H46" i="303" s="1"/>
  <c r="H17" i="303" s="1"/>
  <c r="G85" i="262"/>
  <c r="S49" i="38" s="1"/>
  <c r="V137" i="1"/>
  <c r="K50" i="307"/>
  <c r="K50" i="304"/>
  <c r="K50" i="296"/>
  <c r="P78" i="262"/>
  <c r="T78" i="262"/>
  <c r="AB78" i="262"/>
  <c r="AF78" i="262"/>
  <c r="H79" i="262"/>
  <c r="M48" i="38" s="1"/>
  <c r="AJ78" i="262"/>
  <c r="L78" i="262"/>
  <c r="X78" i="262"/>
  <c r="K50" i="306"/>
  <c r="K50" i="301"/>
  <c r="T110" i="262"/>
  <c r="L110" i="262"/>
  <c r="AF110" i="262"/>
  <c r="P110" i="262"/>
  <c r="H111" i="262"/>
  <c r="K54" i="38" s="1"/>
  <c r="AJ110" i="262"/>
  <c r="AB110" i="262"/>
  <c r="X110" i="262"/>
  <c r="G117" i="262"/>
  <c r="Q55" i="38" s="1"/>
  <c r="K50" i="300"/>
  <c r="K50" i="309"/>
  <c r="G102" i="262"/>
  <c r="S52" i="38" s="1"/>
  <c r="A311" i="262"/>
  <c r="G52" i="262"/>
  <c r="T43" i="38" s="1"/>
  <c r="G36" i="262"/>
  <c r="G70" i="262"/>
  <c r="U46" i="38" s="1"/>
  <c r="CB28" i="262"/>
  <c r="P46" i="1103"/>
  <c r="T46" i="1103"/>
  <c r="P28" i="1103"/>
  <c r="T28" i="1103"/>
  <c r="H47" i="1103"/>
  <c r="L46" i="1103"/>
  <c r="H29" i="1103"/>
  <c r="X28" i="1103"/>
  <c r="AF28" i="1103"/>
  <c r="AB28" i="1103"/>
  <c r="L28" i="1103"/>
  <c r="AJ28" i="1103"/>
  <c r="BT28" i="262"/>
  <c r="BX28" i="262"/>
  <c r="BL28" i="262"/>
  <c r="BP28" i="262"/>
  <c r="BD28" i="262"/>
  <c r="BH28" i="262"/>
  <c r="AZ28" i="262"/>
  <c r="AV28" i="262"/>
  <c r="AJ28" i="262"/>
  <c r="AR28" i="262"/>
  <c r="AN28" i="262"/>
  <c r="AJ62" i="262"/>
  <c r="L62" i="262"/>
  <c r="AB62" i="262"/>
  <c r="T62" i="262"/>
  <c r="AF62" i="262"/>
  <c r="P62" i="262"/>
  <c r="X62" i="262"/>
  <c r="X46" i="262"/>
  <c r="AF46" i="262"/>
  <c r="P46" i="262"/>
  <c r="AB46" i="262"/>
  <c r="L46" i="262"/>
  <c r="T46" i="262"/>
  <c r="AJ46" i="262"/>
  <c r="AB28" i="262"/>
  <c r="AF28" i="262"/>
  <c r="T28" i="262"/>
  <c r="X28" i="262"/>
  <c r="L28" i="262"/>
  <c r="P28" i="262"/>
  <c r="B305" i="262"/>
  <c r="B290" i="262"/>
  <c r="K35" i="262"/>
  <c r="B306" i="262"/>
  <c r="B281" i="262"/>
  <c r="B282" i="262"/>
  <c r="B218" i="262"/>
  <c r="B234" i="262"/>
  <c r="B219" i="262"/>
  <c r="H38" i="10"/>
  <c r="I38" i="10" s="1"/>
  <c r="M38" i="10" s="1"/>
  <c r="F39" i="10"/>
  <c r="G38" i="10"/>
  <c r="B325" i="262"/>
  <c r="W184" i="1"/>
  <c r="X184" i="1" s="1"/>
  <c r="V184" i="1"/>
  <c r="X86" i="1"/>
  <c r="O78" i="6"/>
  <c r="H47" i="262"/>
  <c r="O42" i="38" s="1"/>
  <c r="B278" i="262"/>
  <c r="B111" i="38"/>
  <c r="E177" i="39"/>
  <c r="E178" i="39"/>
  <c r="H63" i="262"/>
  <c r="N45" i="38" s="1"/>
  <c r="B185" i="1"/>
  <c r="L77" i="6" s="1"/>
  <c r="B88" i="1"/>
  <c r="B267" i="262"/>
  <c r="B211" i="262"/>
  <c r="B309" i="262"/>
  <c r="D76" i="6"/>
  <c r="B76" i="6"/>
  <c r="B21" i="3"/>
  <c r="C21" i="3" s="1"/>
  <c r="A22" i="3"/>
  <c r="H29" i="262"/>
  <c r="C80" i="6"/>
  <c r="E40" i="10"/>
  <c r="BB39" i="10"/>
  <c r="AF39" i="10" s="1"/>
  <c r="AJ39" i="10" s="1"/>
  <c r="BC39" i="10"/>
  <c r="AG39" i="10" s="1"/>
  <c r="AK39" i="10" s="1"/>
  <c r="BD39" i="10"/>
  <c r="AH39" i="10" s="1"/>
  <c r="AL39" i="10" s="1"/>
  <c r="BE39" i="10"/>
  <c r="AI39" i="10" s="1"/>
  <c r="AM39" i="10" s="1"/>
  <c r="H76" i="6"/>
  <c r="F76" i="6"/>
  <c r="G76" i="6" s="1"/>
  <c r="E76" i="6"/>
  <c r="L76" i="6"/>
  <c r="B212" i="262"/>
  <c r="B266" i="262"/>
  <c r="N79" i="6"/>
  <c r="V44" i="1"/>
  <c r="V42" i="1"/>
  <c r="V37" i="1"/>
  <c r="V40" i="1"/>
  <c r="W87" i="1"/>
  <c r="V41" i="1"/>
  <c r="V34" i="1"/>
  <c r="F583" i="1103"/>
  <c r="V87" i="1"/>
  <c r="V38" i="1"/>
  <c r="V45" i="1"/>
  <c r="V47" i="1"/>
  <c r="V48" i="1"/>
  <c r="E294" i="262"/>
  <c r="Q87" i="1"/>
  <c r="P87" i="1"/>
  <c r="V43" i="1"/>
  <c r="V49" i="1"/>
  <c r="F294" i="262"/>
  <c r="G583" i="1103"/>
  <c r="V46" i="1"/>
  <c r="E583" i="1103"/>
  <c r="P78" i="6"/>
  <c r="I28" i="1124" l="1"/>
  <c r="E51" i="1124"/>
  <c r="C32" i="1124"/>
  <c r="F32" i="1124"/>
  <c r="I36" i="1124"/>
  <c r="G36" i="1124"/>
  <c r="F50" i="1124"/>
  <c r="G28" i="1124"/>
  <c r="E32" i="1124"/>
  <c r="F28" i="1124"/>
  <c r="G27" i="1124"/>
  <c r="G51" i="1124"/>
  <c r="C28" i="1124"/>
  <c r="C36" i="1124"/>
  <c r="H50" i="1124"/>
  <c r="C51" i="1124"/>
  <c r="H27" i="1124"/>
  <c r="E36" i="1124"/>
  <c r="E27" i="1124"/>
  <c r="I32" i="1124"/>
  <c r="H36" i="1124"/>
  <c r="F51" i="1124"/>
  <c r="H32" i="1124"/>
  <c r="F27" i="1124"/>
  <c r="C27" i="1124"/>
  <c r="H51" i="1124"/>
  <c r="C50" i="1124"/>
  <c r="H28" i="1124"/>
  <c r="I51" i="1124"/>
  <c r="F36" i="1124"/>
  <c r="I50" i="1124"/>
  <c r="E50" i="1124"/>
  <c r="G50" i="1124"/>
  <c r="G32" i="1124"/>
  <c r="E28" i="1124"/>
  <c r="I27" i="1124"/>
  <c r="F77" i="6"/>
  <c r="G77" i="6" s="1"/>
  <c r="G24" i="1121"/>
  <c r="C39" i="1106"/>
  <c r="N39" i="1106" s="1"/>
  <c r="H23" i="1121"/>
  <c r="G23" i="1121"/>
  <c r="H24" i="1121"/>
  <c r="I25" i="1121"/>
  <c r="J25" i="1121" s="1"/>
  <c r="C24" i="1121"/>
  <c r="D24" i="1121" s="1"/>
  <c r="G25" i="1121"/>
  <c r="C23" i="1121"/>
  <c r="D23" i="1121" s="1"/>
  <c r="H25" i="1121"/>
  <c r="I24" i="1121"/>
  <c r="J24" i="1121" s="1"/>
  <c r="C25" i="1121"/>
  <c r="D25" i="1121" s="1"/>
  <c r="F41" i="1106"/>
  <c r="C24" i="1122"/>
  <c r="D24" i="1122" s="1"/>
  <c r="H24" i="1122"/>
  <c r="H40" i="1106"/>
  <c r="H41" i="1106"/>
  <c r="G24" i="1122"/>
  <c r="I40" i="1106"/>
  <c r="C25" i="1122"/>
  <c r="D25" i="1122" s="1"/>
  <c r="I24" i="1122"/>
  <c r="J24" i="1122" s="1"/>
  <c r="G40" i="1106"/>
  <c r="I41" i="1106"/>
  <c r="I25" i="1122"/>
  <c r="J25" i="1122" s="1"/>
  <c r="C41" i="1106"/>
  <c r="N41" i="1106" s="1"/>
  <c r="J41" i="1106"/>
  <c r="G41" i="1106"/>
  <c r="G25" i="1122"/>
  <c r="G28" i="1107"/>
  <c r="I28" i="1107" s="1"/>
  <c r="C44" i="1107"/>
  <c r="D44" i="1107" s="1"/>
  <c r="G25" i="1107"/>
  <c r="I25" i="1107" s="1"/>
  <c r="G26" i="1107"/>
  <c r="I26" i="1107" s="1"/>
  <c r="G30" i="1107"/>
  <c r="I30" i="1107" s="1"/>
  <c r="I26" i="1106"/>
  <c r="J26" i="1106"/>
  <c r="G44" i="1107"/>
  <c r="I44" i="1107" s="1"/>
  <c r="G27" i="1107"/>
  <c r="I27" i="1107" s="1"/>
  <c r="J25" i="1106"/>
  <c r="C43" i="1107"/>
  <c r="D43" i="1107" s="1"/>
  <c r="H25" i="1106"/>
  <c r="C30" i="1107"/>
  <c r="D30" i="1107" s="1"/>
  <c r="C24" i="1107"/>
  <c r="D24" i="1107" s="1"/>
  <c r="C28" i="1107"/>
  <c r="D28" i="1107" s="1"/>
  <c r="C26" i="1107"/>
  <c r="D26" i="1107" s="1"/>
  <c r="C48" i="1107"/>
  <c r="D48" i="1107" s="1"/>
  <c r="G29" i="1107"/>
  <c r="I29" i="1107" s="1"/>
  <c r="C45" i="1107"/>
  <c r="D45" i="1107" s="1"/>
  <c r="C27" i="1107"/>
  <c r="D27" i="1107" s="1"/>
  <c r="I25" i="1106"/>
  <c r="C47" i="1107"/>
  <c r="D47" i="1107" s="1"/>
  <c r="C29" i="1107"/>
  <c r="D29" i="1107" s="1"/>
  <c r="G48" i="1107"/>
  <c r="I48" i="1107" s="1"/>
  <c r="G45" i="1107"/>
  <c r="I45" i="1107" s="1"/>
  <c r="G43" i="1107"/>
  <c r="I43" i="1107" s="1"/>
  <c r="C46" i="1107"/>
  <c r="D46" i="1107" s="1"/>
  <c r="G46" i="1107"/>
  <c r="I46" i="1107" s="1"/>
  <c r="G47" i="1107"/>
  <c r="I47" i="1107" s="1"/>
  <c r="G24" i="1107"/>
  <c r="I24" i="1107" s="1"/>
  <c r="C25" i="1107"/>
  <c r="D25" i="1107" s="1"/>
  <c r="C42" i="1107"/>
  <c r="D42" i="1107" s="1"/>
  <c r="G42" i="1107"/>
  <c r="I42" i="1107" s="1"/>
  <c r="H26" i="1106"/>
  <c r="L439" i="1103"/>
  <c r="M439" i="1103" s="1"/>
  <c r="P439" i="1103"/>
  <c r="Q439" i="1103" s="1"/>
  <c r="H440" i="1103"/>
  <c r="T439" i="1103"/>
  <c r="U439" i="1103" s="1"/>
  <c r="L407" i="1103"/>
  <c r="M407" i="1103" s="1"/>
  <c r="P407" i="1103"/>
  <c r="Q407" i="1103" s="1"/>
  <c r="H408" i="1103"/>
  <c r="T407" i="1103"/>
  <c r="U407" i="1103" s="1"/>
  <c r="T359" i="1103"/>
  <c r="U359" i="1103" s="1"/>
  <c r="L359" i="1103"/>
  <c r="M359" i="1103" s="1"/>
  <c r="P359" i="1103"/>
  <c r="Q359" i="1103" s="1"/>
  <c r="H360" i="1103"/>
  <c r="P455" i="1103"/>
  <c r="Q455" i="1103" s="1"/>
  <c r="H456" i="1103"/>
  <c r="T455" i="1103"/>
  <c r="U455" i="1103" s="1"/>
  <c r="L455" i="1103"/>
  <c r="M455" i="1103" s="1"/>
  <c r="T391" i="1103"/>
  <c r="U391" i="1103" s="1"/>
  <c r="L391" i="1103"/>
  <c r="M391" i="1103" s="1"/>
  <c r="H392" i="1103"/>
  <c r="P391" i="1103"/>
  <c r="Q391" i="1103" s="1"/>
  <c r="B600" i="1103"/>
  <c r="A617" i="1103"/>
  <c r="C600" i="1103"/>
  <c r="L423" i="1103"/>
  <c r="M423" i="1103" s="1"/>
  <c r="P423" i="1103"/>
  <c r="Q423" i="1103" s="1"/>
  <c r="H424" i="1103"/>
  <c r="T423" i="1103"/>
  <c r="U423" i="1103" s="1"/>
  <c r="P343" i="1103"/>
  <c r="Q343" i="1103" s="1"/>
  <c r="T343" i="1103"/>
  <c r="U343" i="1103" s="1"/>
  <c r="L343" i="1103"/>
  <c r="M343" i="1103" s="1"/>
  <c r="T375" i="1103"/>
  <c r="U375" i="1103" s="1"/>
  <c r="L375" i="1103"/>
  <c r="M375" i="1103" s="1"/>
  <c r="P375" i="1103"/>
  <c r="Q375" i="1103" s="1"/>
  <c r="H376" i="1103"/>
  <c r="H112" i="1103"/>
  <c r="T111" i="1103"/>
  <c r="U111" i="1103" s="1"/>
  <c r="L111" i="1103"/>
  <c r="M111" i="1103" s="1"/>
  <c r="P111" i="1103"/>
  <c r="Q111" i="1103" s="1"/>
  <c r="H96" i="1103"/>
  <c r="T95" i="1103"/>
  <c r="U95" i="1103" s="1"/>
  <c r="L95" i="1103"/>
  <c r="M95" i="1103" s="1"/>
  <c r="P95" i="1103"/>
  <c r="Q95" i="1103" s="1"/>
  <c r="H80" i="1103"/>
  <c r="T79" i="1103"/>
  <c r="U79" i="1103" s="1"/>
  <c r="L79" i="1103"/>
  <c r="M79" i="1103" s="1"/>
  <c r="P79" i="1103"/>
  <c r="Q79" i="1103" s="1"/>
  <c r="H64" i="1103"/>
  <c r="L63" i="1103"/>
  <c r="M63" i="1103" s="1"/>
  <c r="T63" i="1103"/>
  <c r="U63" i="1103" s="1"/>
  <c r="P63" i="1103"/>
  <c r="Q63" i="1103" s="1"/>
  <c r="J47" i="9"/>
  <c r="B33" i="9"/>
  <c r="AW38" i="10"/>
  <c r="AX38" i="10"/>
  <c r="AY38" i="10"/>
  <c r="AZ38" i="10"/>
  <c r="AR39" i="10"/>
  <c r="AQ39" i="10"/>
  <c r="V132" i="1"/>
  <c r="D52" i="296"/>
  <c r="H47" i="309"/>
  <c r="H51" i="309"/>
  <c r="H52" i="309" s="1"/>
  <c r="H55" i="309"/>
  <c r="H47" i="303"/>
  <c r="H51" i="303"/>
  <c r="H52" i="303" s="1"/>
  <c r="H55" i="303"/>
  <c r="H51" i="300"/>
  <c r="H52" i="300" s="1"/>
  <c r="H47" i="300"/>
  <c r="H55" i="300"/>
  <c r="H51" i="306"/>
  <c r="H52" i="306" s="1"/>
  <c r="H47" i="306"/>
  <c r="H55" i="306"/>
  <c r="H51" i="299"/>
  <c r="H52" i="299" s="1"/>
  <c r="H47" i="299"/>
  <c r="H55" i="299"/>
  <c r="H50" i="302"/>
  <c r="H46" i="302" s="1"/>
  <c r="H50" i="305"/>
  <c r="H46" i="305" s="1"/>
  <c r="H17" i="305" s="1"/>
  <c r="H51" i="296"/>
  <c r="H52" i="296" s="1"/>
  <c r="H47" i="296"/>
  <c r="H55" i="296"/>
  <c r="H51" i="301"/>
  <c r="H52" i="301" s="1"/>
  <c r="H47" i="301"/>
  <c r="H55" i="301"/>
  <c r="H51" i="307"/>
  <c r="H52" i="307" s="1"/>
  <c r="H47" i="307"/>
  <c r="H55" i="307"/>
  <c r="H47" i="304"/>
  <c r="H51" i="304"/>
  <c r="H52" i="304" s="1"/>
  <c r="H55" i="304"/>
  <c r="H19" i="304"/>
  <c r="L19" i="304" s="1"/>
  <c r="X95" i="262"/>
  <c r="AJ95" i="262"/>
  <c r="T95" i="262"/>
  <c r="P95" i="262"/>
  <c r="L95" i="262"/>
  <c r="AF95" i="262"/>
  <c r="AB95" i="262"/>
  <c r="H96" i="262"/>
  <c r="M51" i="38" s="1"/>
  <c r="V138" i="1"/>
  <c r="K50" i="303"/>
  <c r="K50" i="299"/>
  <c r="G86" i="262"/>
  <c r="T49" i="38" s="1"/>
  <c r="V135" i="1"/>
  <c r="V140" i="1"/>
  <c r="V145" i="1"/>
  <c r="V141" i="1"/>
  <c r="V144" i="1"/>
  <c r="V139" i="1"/>
  <c r="V143" i="1"/>
  <c r="V147" i="1"/>
  <c r="V136" i="1"/>
  <c r="V146" i="1"/>
  <c r="V142" i="1"/>
  <c r="C44" i="264"/>
  <c r="D44" i="264" s="1"/>
  <c r="C42" i="264"/>
  <c r="D42" i="264" s="1"/>
  <c r="C41" i="264"/>
  <c r="D41" i="264" s="1"/>
  <c r="C45" i="264"/>
  <c r="D45" i="264" s="1"/>
  <c r="C43" i="264"/>
  <c r="D43" i="264" s="1"/>
  <c r="C47" i="264"/>
  <c r="D47" i="264" s="1"/>
  <c r="C48" i="264"/>
  <c r="D48" i="264" s="1"/>
  <c r="C46" i="264"/>
  <c r="D46" i="264" s="1"/>
  <c r="C29" i="264"/>
  <c r="D29" i="264" s="1"/>
  <c r="C24" i="264"/>
  <c r="D24" i="264" s="1"/>
  <c r="C26" i="264"/>
  <c r="D26" i="264" s="1"/>
  <c r="C28" i="264"/>
  <c r="D28" i="264" s="1"/>
  <c r="C25" i="264"/>
  <c r="D25" i="264" s="1"/>
  <c r="C27" i="264"/>
  <c r="D27" i="264" s="1"/>
  <c r="C30" i="264"/>
  <c r="D30" i="264" s="1"/>
  <c r="H19" i="309"/>
  <c r="L19" i="309" s="1"/>
  <c r="H19" i="303"/>
  <c r="L19" i="303" s="1"/>
  <c r="H19" i="301"/>
  <c r="L19" i="301" s="1"/>
  <c r="H19" i="306"/>
  <c r="L19" i="306" s="1"/>
  <c r="K50" i="308"/>
  <c r="H17" i="308"/>
  <c r="H19" i="296"/>
  <c r="L19" i="296" s="1"/>
  <c r="K50" i="305"/>
  <c r="H19" i="300"/>
  <c r="L19" i="300" s="1"/>
  <c r="G118" i="262"/>
  <c r="R55" i="38" s="1"/>
  <c r="L111" i="262"/>
  <c r="T111" i="262"/>
  <c r="X111" i="262"/>
  <c r="H112" i="262"/>
  <c r="L54" i="38" s="1"/>
  <c r="AB111" i="262"/>
  <c r="AJ111" i="262"/>
  <c r="P111" i="262"/>
  <c r="AF111" i="262"/>
  <c r="K50" i="298"/>
  <c r="H17" i="298"/>
  <c r="P79" i="262"/>
  <c r="L79" i="262"/>
  <c r="AJ79" i="262"/>
  <c r="X79" i="262"/>
  <c r="H80" i="262"/>
  <c r="N48" i="38" s="1"/>
  <c r="AB79" i="262"/>
  <c r="T79" i="262"/>
  <c r="AF79" i="262"/>
  <c r="H19" i="307"/>
  <c r="L19" i="307" s="1"/>
  <c r="K50" i="297"/>
  <c r="H17" i="297"/>
  <c r="H19" i="299"/>
  <c r="L19" i="299" s="1"/>
  <c r="G103" i="262"/>
  <c r="T52" i="38" s="1"/>
  <c r="A328" i="262"/>
  <c r="G71" i="262"/>
  <c r="V46" i="38" s="1"/>
  <c r="G37" i="262"/>
  <c r="U40" i="38"/>
  <c r="CB29" i="262"/>
  <c r="G53" i="262"/>
  <c r="U43" i="38" s="1"/>
  <c r="P47" i="1103"/>
  <c r="T47" i="1103"/>
  <c r="P29" i="1103"/>
  <c r="T29" i="1103"/>
  <c r="H30" i="1103"/>
  <c r="AF29" i="1103"/>
  <c r="X29" i="1103"/>
  <c r="AJ29" i="1103"/>
  <c r="L29" i="1103"/>
  <c r="AB29" i="1103"/>
  <c r="H48" i="1103"/>
  <c r="L47" i="1103"/>
  <c r="BT29" i="262"/>
  <c r="BX29" i="262"/>
  <c r="BL29" i="262"/>
  <c r="BP29" i="262"/>
  <c r="BD29" i="262"/>
  <c r="BH29" i="262"/>
  <c r="AZ29" i="262"/>
  <c r="AV29" i="262"/>
  <c r="AJ29" i="262"/>
  <c r="AR29" i="262"/>
  <c r="AN29" i="262"/>
  <c r="AJ63" i="262"/>
  <c r="T63" i="262"/>
  <c r="AB63" i="262"/>
  <c r="L63" i="262"/>
  <c r="X63" i="262"/>
  <c r="P63" i="262"/>
  <c r="AF63" i="262"/>
  <c r="P47" i="262"/>
  <c r="AF47" i="262"/>
  <c r="X47" i="262"/>
  <c r="AJ47" i="262"/>
  <c r="T47" i="262"/>
  <c r="L47" i="262"/>
  <c r="AB47" i="262"/>
  <c r="AB29" i="262"/>
  <c r="AF29" i="262"/>
  <c r="T29" i="262"/>
  <c r="X29" i="262"/>
  <c r="L29" i="262"/>
  <c r="P29" i="262"/>
  <c r="B322" i="262"/>
  <c r="B307" i="262"/>
  <c r="K36" i="262"/>
  <c r="B323" i="262"/>
  <c r="B298" i="262"/>
  <c r="G39" i="10"/>
  <c r="H39" i="10"/>
  <c r="F40" i="10"/>
  <c r="C22" i="1121" s="1"/>
  <c r="D22" i="1121" s="1"/>
  <c r="B236" i="262"/>
  <c r="B299" i="262"/>
  <c r="B342" i="262"/>
  <c r="B251" i="262"/>
  <c r="B235" i="262"/>
  <c r="V185" i="1"/>
  <c r="X87" i="1"/>
  <c r="W185" i="1"/>
  <c r="X185" i="1" s="1"/>
  <c r="O79" i="6"/>
  <c r="BB40" i="10"/>
  <c r="AF40" i="10" s="1"/>
  <c r="AJ40" i="10" s="1"/>
  <c r="BC40" i="10"/>
  <c r="AG40" i="10" s="1"/>
  <c r="AK40" i="10" s="1"/>
  <c r="BD40" i="10"/>
  <c r="AH40" i="10" s="1"/>
  <c r="AL40" i="10" s="1"/>
  <c r="BE40" i="10"/>
  <c r="AI40" i="10" s="1"/>
  <c r="AM40" i="10" s="1"/>
  <c r="I45" i="264"/>
  <c r="I44" i="264"/>
  <c r="J47" i="264"/>
  <c r="L29" i="264"/>
  <c r="L30" i="264"/>
  <c r="I48" i="264"/>
  <c r="H29" i="264"/>
  <c r="H47" i="264"/>
  <c r="K28" i="264"/>
  <c r="I30" i="264"/>
  <c r="J29" i="264"/>
  <c r="N29" i="264"/>
  <c r="K30" i="264"/>
  <c r="N30" i="264"/>
  <c r="J48" i="264"/>
  <c r="E48" i="264"/>
  <c r="M30" i="264"/>
  <c r="H30" i="264"/>
  <c r="E30" i="264"/>
  <c r="H48" i="264"/>
  <c r="J30" i="264"/>
  <c r="B228" i="262"/>
  <c r="B89" i="1"/>
  <c r="B186" i="1"/>
  <c r="B283" i="262"/>
  <c r="B229" i="262"/>
  <c r="C81" i="6"/>
  <c r="H30" i="262"/>
  <c r="B22" i="3"/>
  <c r="C22" i="3" s="1"/>
  <c r="A23" i="3"/>
  <c r="B326" i="262"/>
  <c r="B284" i="262"/>
  <c r="D77" i="6"/>
  <c r="H77" i="6"/>
  <c r="E77" i="6"/>
  <c r="B77" i="6"/>
  <c r="H64" i="262"/>
  <c r="O45" i="38" s="1"/>
  <c r="B114" i="38"/>
  <c r="B295" i="262"/>
  <c r="H48" i="262"/>
  <c r="P42" i="38" s="1"/>
  <c r="V88" i="1"/>
  <c r="E311" i="262"/>
  <c r="W88" i="1"/>
  <c r="P88" i="1"/>
  <c r="H311" i="262"/>
  <c r="G600" i="1103"/>
  <c r="I311" i="262"/>
  <c r="P79" i="6"/>
  <c r="Q88" i="1"/>
  <c r="G311" i="262"/>
  <c r="F600" i="1103"/>
  <c r="N80" i="6"/>
  <c r="F311" i="262"/>
  <c r="E600" i="1103"/>
  <c r="J24" i="1107" l="1"/>
  <c r="K24" i="1107" s="1"/>
  <c r="J47" i="1107"/>
  <c r="K47" i="1107" s="1"/>
  <c r="J30" i="1107"/>
  <c r="K30" i="1107" s="1"/>
  <c r="J46" i="1107"/>
  <c r="K46" i="1107" s="1"/>
  <c r="J26" i="1107"/>
  <c r="K26" i="1107" s="1"/>
  <c r="J25" i="1107"/>
  <c r="K25" i="1107" s="1"/>
  <c r="J43" i="1107"/>
  <c r="K43" i="1107" s="1"/>
  <c r="J29" i="1107"/>
  <c r="K29" i="1107" s="1"/>
  <c r="J42" i="1107"/>
  <c r="K42" i="1107" s="1"/>
  <c r="J45" i="1107"/>
  <c r="K45" i="1107" s="1"/>
  <c r="J27" i="1107"/>
  <c r="K27" i="1107" s="1"/>
  <c r="J28" i="1107"/>
  <c r="K28" i="1107" s="1"/>
  <c r="J48" i="1107"/>
  <c r="K48" i="1107" s="1"/>
  <c r="J44" i="1107"/>
  <c r="K44" i="1107" s="1"/>
  <c r="Z27" i="1124"/>
  <c r="X27" i="1124"/>
  <c r="Y27" i="1124"/>
  <c r="V27" i="1124"/>
  <c r="T27" i="1124"/>
  <c r="U27" i="1124"/>
  <c r="W27" i="1124"/>
  <c r="S27" i="1124"/>
  <c r="T32" i="1124"/>
  <c r="V32" i="1124"/>
  <c r="W32" i="1124"/>
  <c r="S32" i="1124"/>
  <c r="X32" i="1124"/>
  <c r="U32" i="1124"/>
  <c r="Z32" i="1124"/>
  <c r="Y32" i="1124"/>
  <c r="D51" i="1124"/>
  <c r="K51" i="1124"/>
  <c r="J51" i="1124" s="1"/>
  <c r="T50" i="1124"/>
  <c r="S50" i="1124"/>
  <c r="Z50" i="1124"/>
  <c r="W50" i="1124"/>
  <c r="V50" i="1124"/>
  <c r="U50" i="1124"/>
  <c r="Y50" i="1124"/>
  <c r="X50" i="1124"/>
  <c r="B48" i="1124"/>
  <c r="B49" i="1124"/>
  <c r="K50" i="1124"/>
  <c r="J50" i="1124" s="1"/>
  <c r="D50" i="1124"/>
  <c r="B30" i="1124"/>
  <c r="K32" i="1124"/>
  <c r="J32" i="1124" s="1"/>
  <c r="B31" i="1124"/>
  <c r="D32" i="1124"/>
  <c r="K36" i="1124"/>
  <c r="J36" i="1124" s="1"/>
  <c r="B34" i="1124"/>
  <c r="D36" i="1124"/>
  <c r="B35" i="1124"/>
  <c r="U51" i="1124"/>
  <c r="X51" i="1124"/>
  <c r="W51" i="1124"/>
  <c r="Y51" i="1124"/>
  <c r="T51" i="1124"/>
  <c r="V51" i="1124"/>
  <c r="Z51" i="1124"/>
  <c r="S51" i="1124"/>
  <c r="K27" i="1124"/>
  <c r="J27" i="1124" s="1"/>
  <c r="B25" i="1124"/>
  <c r="B26" i="1124"/>
  <c r="D27" i="1124"/>
  <c r="D28" i="1124"/>
  <c r="K28" i="1124"/>
  <c r="J28" i="1124" s="1"/>
  <c r="Y36" i="1124"/>
  <c r="W36" i="1124"/>
  <c r="V36" i="1124"/>
  <c r="S36" i="1124"/>
  <c r="Z36" i="1124"/>
  <c r="T36" i="1124"/>
  <c r="X36" i="1124"/>
  <c r="U36" i="1124"/>
  <c r="T28" i="1124"/>
  <c r="W28" i="1124"/>
  <c r="U28" i="1124"/>
  <c r="Y28" i="1124"/>
  <c r="X28" i="1124"/>
  <c r="Z28" i="1124"/>
  <c r="S28" i="1124"/>
  <c r="V28" i="1124"/>
  <c r="K24" i="1121"/>
  <c r="L24" i="1121"/>
  <c r="M24" i="1121"/>
  <c r="K25" i="1121"/>
  <c r="M25" i="1121"/>
  <c r="L25" i="1121"/>
  <c r="P39" i="1106"/>
  <c r="D39" i="1106"/>
  <c r="P41" i="1106"/>
  <c r="D41" i="1106"/>
  <c r="L24" i="1122"/>
  <c r="K24" i="1122"/>
  <c r="M24" i="1122"/>
  <c r="M25" i="1122"/>
  <c r="K25" i="1122"/>
  <c r="L25" i="1122"/>
  <c r="C40" i="1107"/>
  <c r="D40" i="1107" s="1"/>
  <c r="C23" i="1107"/>
  <c r="D23" i="1107" s="1"/>
  <c r="C41" i="1107"/>
  <c r="D41" i="1107" s="1"/>
  <c r="P26" i="1106"/>
  <c r="D26" i="1106"/>
  <c r="P25" i="1106"/>
  <c r="D25" i="1106"/>
  <c r="P456" i="1103"/>
  <c r="Q456" i="1103" s="1"/>
  <c r="T456" i="1103"/>
  <c r="U456" i="1103" s="1"/>
  <c r="H457" i="1103"/>
  <c r="L456" i="1103"/>
  <c r="M456" i="1103" s="1"/>
  <c r="L408" i="1103"/>
  <c r="M408" i="1103" s="1"/>
  <c r="H409" i="1103"/>
  <c r="P408" i="1103"/>
  <c r="Q408" i="1103" s="1"/>
  <c r="T408" i="1103"/>
  <c r="U408" i="1103" s="1"/>
  <c r="P440" i="1103"/>
  <c r="Q440" i="1103" s="1"/>
  <c r="H441" i="1103"/>
  <c r="L440" i="1103"/>
  <c r="M440" i="1103" s="1"/>
  <c r="T440" i="1103"/>
  <c r="U440" i="1103" s="1"/>
  <c r="T376" i="1103"/>
  <c r="U376" i="1103" s="1"/>
  <c r="L376" i="1103"/>
  <c r="M376" i="1103" s="1"/>
  <c r="P376" i="1103"/>
  <c r="Q376" i="1103" s="1"/>
  <c r="H377" i="1103"/>
  <c r="L424" i="1103"/>
  <c r="M424" i="1103" s="1"/>
  <c r="P424" i="1103"/>
  <c r="Q424" i="1103" s="1"/>
  <c r="T424" i="1103"/>
  <c r="U424" i="1103" s="1"/>
  <c r="H425" i="1103"/>
  <c r="B617" i="1103"/>
  <c r="A634" i="1103"/>
  <c r="C617" i="1103"/>
  <c r="L360" i="1103"/>
  <c r="M360" i="1103" s="1"/>
  <c r="T360" i="1103"/>
  <c r="U360" i="1103" s="1"/>
  <c r="P360" i="1103"/>
  <c r="Q360" i="1103" s="1"/>
  <c r="T392" i="1103"/>
  <c r="U392" i="1103" s="1"/>
  <c r="L392" i="1103"/>
  <c r="M392" i="1103" s="1"/>
  <c r="P392" i="1103"/>
  <c r="Q392" i="1103" s="1"/>
  <c r="H393" i="1103"/>
  <c r="H113" i="1103"/>
  <c r="L112" i="1103"/>
  <c r="M112" i="1103" s="1"/>
  <c r="T112" i="1103"/>
  <c r="U112" i="1103" s="1"/>
  <c r="P112" i="1103"/>
  <c r="Q112" i="1103" s="1"/>
  <c r="H97" i="1103"/>
  <c r="T96" i="1103"/>
  <c r="U96" i="1103" s="1"/>
  <c r="L96" i="1103"/>
  <c r="M96" i="1103" s="1"/>
  <c r="P96" i="1103"/>
  <c r="Q96" i="1103" s="1"/>
  <c r="H81" i="1103"/>
  <c r="T80" i="1103"/>
  <c r="U80" i="1103" s="1"/>
  <c r="L80" i="1103"/>
  <c r="M80" i="1103" s="1"/>
  <c r="P80" i="1103"/>
  <c r="Q80" i="1103" s="1"/>
  <c r="H65" i="1103"/>
  <c r="L64" i="1103"/>
  <c r="M64" i="1103" s="1"/>
  <c r="T64" i="1103"/>
  <c r="U64" i="1103" s="1"/>
  <c r="P64" i="1103"/>
  <c r="Q64" i="1103" s="1"/>
  <c r="H13" i="1104"/>
  <c r="G13" i="1104"/>
  <c r="H84" i="1104"/>
  <c r="H49" i="1104"/>
  <c r="H37" i="1104"/>
  <c r="G15" i="1104"/>
  <c r="H73" i="1104"/>
  <c r="G34" i="1104"/>
  <c r="G44" i="1104"/>
  <c r="G41" i="1104"/>
  <c r="G57" i="1104"/>
  <c r="G55" i="1104"/>
  <c r="G24" i="1104"/>
  <c r="H39" i="1104"/>
  <c r="H53" i="1104"/>
  <c r="H54" i="1104"/>
  <c r="H50" i="1104"/>
  <c r="G42" i="1104"/>
  <c r="G76" i="1104"/>
  <c r="H82" i="1104"/>
  <c r="H64" i="1104"/>
  <c r="H44" i="1104"/>
  <c r="G23" i="1104"/>
  <c r="G16" i="1104"/>
  <c r="G21" i="1104"/>
  <c r="G19" i="1104"/>
  <c r="H68" i="1104"/>
  <c r="G46" i="1104"/>
  <c r="H30" i="1104"/>
  <c r="G61" i="1104"/>
  <c r="H58" i="1104"/>
  <c r="G26" i="1104"/>
  <c r="G27" i="1104"/>
  <c r="H16" i="1104"/>
  <c r="G79" i="1104"/>
  <c r="H76" i="1104"/>
  <c r="G17" i="1104"/>
  <c r="H38" i="1104"/>
  <c r="G53" i="1104"/>
  <c r="G74" i="1104"/>
  <c r="H15" i="1104"/>
  <c r="G28" i="1104"/>
  <c r="G40" i="1104"/>
  <c r="G54" i="1104"/>
  <c r="G58" i="1104"/>
  <c r="H48" i="1104"/>
  <c r="H59" i="1104"/>
  <c r="H80" i="1104"/>
  <c r="G48" i="1104"/>
  <c r="H65" i="1104"/>
  <c r="H45" i="1104"/>
  <c r="H19" i="1104"/>
  <c r="H60" i="1104"/>
  <c r="G33" i="1104"/>
  <c r="H22" i="1104"/>
  <c r="H18" i="1104"/>
  <c r="G20" i="1104"/>
  <c r="G56" i="1104"/>
  <c r="G29" i="1104"/>
  <c r="H36" i="1104"/>
  <c r="G14" i="1104"/>
  <c r="G67" i="1104"/>
  <c r="G35" i="1104"/>
  <c r="G75" i="1104"/>
  <c r="H71" i="1104"/>
  <c r="H41" i="1104"/>
  <c r="G70" i="1104"/>
  <c r="H21" i="1104"/>
  <c r="G84" i="1104"/>
  <c r="H33" i="1104"/>
  <c r="H62" i="1104"/>
  <c r="G78" i="1104"/>
  <c r="G59" i="1104"/>
  <c r="H57" i="1104"/>
  <c r="G82" i="1104"/>
  <c r="H27" i="1104"/>
  <c r="H17" i="1104"/>
  <c r="G32" i="1104"/>
  <c r="H75" i="1104"/>
  <c r="G72" i="1104"/>
  <c r="H47" i="1104"/>
  <c r="H81" i="1104"/>
  <c r="G80" i="1104"/>
  <c r="H56" i="1104"/>
  <c r="G69" i="1104"/>
  <c r="H31" i="1104"/>
  <c r="H83" i="1104"/>
  <c r="G52" i="1104"/>
  <c r="H35" i="1104"/>
  <c r="G31" i="1104"/>
  <c r="H24" i="1104"/>
  <c r="G83" i="1104"/>
  <c r="G68" i="1104"/>
  <c r="H78" i="1104"/>
  <c r="G66" i="1104"/>
  <c r="H42" i="1104"/>
  <c r="H26" i="1104"/>
  <c r="G49" i="1104"/>
  <c r="G50" i="1104"/>
  <c r="G45" i="1104"/>
  <c r="H55" i="1104"/>
  <c r="G22" i="1104"/>
  <c r="G38" i="1104"/>
  <c r="H32" i="1104"/>
  <c r="H74" i="1104"/>
  <c r="H25" i="1104"/>
  <c r="G51" i="1104"/>
  <c r="G43" i="1104"/>
  <c r="G65" i="1104"/>
  <c r="G63" i="1104"/>
  <c r="H29" i="1104"/>
  <c r="H72" i="1104"/>
  <c r="G77" i="1104"/>
  <c r="G60" i="1104"/>
  <c r="G30" i="1104"/>
  <c r="G62" i="1104"/>
  <c r="H51" i="1104"/>
  <c r="H77" i="1104"/>
  <c r="G73" i="1104"/>
  <c r="H43" i="1104"/>
  <c r="H23" i="1104"/>
  <c r="G25" i="1104"/>
  <c r="G37" i="1104"/>
  <c r="G47" i="1104"/>
  <c r="H67" i="1104"/>
  <c r="H61" i="1104"/>
  <c r="H20" i="1104"/>
  <c r="G71" i="1104"/>
  <c r="G36" i="1104"/>
  <c r="H34" i="1104"/>
  <c r="H79" i="1104"/>
  <c r="H28" i="1104"/>
  <c r="G39" i="1104"/>
  <c r="G81" i="1104"/>
  <c r="G64" i="1104"/>
  <c r="H40" i="1104"/>
  <c r="H66" i="1104"/>
  <c r="H52" i="1104"/>
  <c r="G18" i="1104"/>
  <c r="H14" i="1104"/>
  <c r="H63" i="1104"/>
  <c r="H70" i="1104"/>
  <c r="H69" i="1104"/>
  <c r="H46" i="1104"/>
  <c r="J48" i="9"/>
  <c r="B34" i="9"/>
  <c r="AR40" i="10"/>
  <c r="AQ40" i="10"/>
  <c r="AW39" i="10"/>
  <c r="AX39" i="10"/>
  <c r="AY39" i="10"/>
  <c r="AZ39" i="10"/>
  <c r="V40" i="38"/>
  <c r="H40" i="38"/>
  <c r="I40" i="38"/>
  <c r="J40" i="38"/>
  <c r="K40" i="38"/>
  <c r="L40" i="38"/>
  <c r="M40" i="38"/>
  <c r="N40" i="38"/>
  <c r="O40" i="38"/>
  <c r="P40" i="38"/>
  <c r="Q40" i="38"/>
  <c r="R40" i="38"/>
  <c r="S40" i="38"/>
  <c r="T40" i="38"/>
  <c r="H51" i="297"/>
  <c r="H52" i="297" s="1"/>
  <c r="H47" i="297"/>
  <c r="H55" i="297"/>
  <c r="H51" i="298"/>
  <c r="H52" i="298" s="1"/>
  <c r="H47" i="298"/>
  <c r="H55" i="298"/>
  <c r="H47" i="305"/>
  <c r="H51" i="305"/>
  <c r="H52" i="305" s="1"/>
  <c r="H55" i="305"/>
  <c r="P96" i="262"/>
  <c r="AF96" i="262"/>
  <c r="AB96" i="262"/>
  <c r="L96" i="262"/>
  <c r="X96" i="262"/>
  <c r="T96" i="262"/>
  <c r="AJ96" i="262"/>
  <c r="H97" i="262"/>
  <c r="N51" i="38" s="1"/>
  <c r="H17" i="302"/>
  <c r="H47" i="308"/>
  <c r="H51" i="308"/>
  <c r="H52" i="308" s="1"/>
  <c r="H55" i="308"/>
  <c r="G87" i="262"/>
  <c r="U49" i="38" s="1"/>
  <c r="C40" i="264"/>
  <c r="D40" i="264" s="1"/>
  <c r="C23" i="264"/>
  <c r="D23" i="264" s="1"/>
  <c r="H19" i="305"/>
  <c r="L19" i="305" s="1"/>
  <c r="H19" i="308"/>
  <c r="L19" i="308" s="1"/>
  <c r="H19" i="297"/>
  <c r="L19" i="297" s="1"/>
  <c r="AJ80" i="262"/>
  <c r="L80" i="262"/>
  <c r="X80" i="262"/>
  <c r="P80" i="262"/>
  <c r="T80" i="262"/>
  <c r="AB80" i="262"/>
  <c r="AF80" i="262"/>
  <c r="H81" i="262"/>
  <c r="O48" i="38" s="1"/>
  <c r="H19" i="298"/>
  <c r="L19" i="298" s="1"/>
  <c r="T112" i="262"/>
  <c r="L112" i="262"/>
  <c r="AF112" i="262"/>
  <c r="P112" i="262"/>
  <c r="AJ112" i="262"/>
  <c r="AB112" i="262"/>
  <c r="X112" i="262"/>
  <c r="H113" i="262"/>
  <c r="M54" i="38" s="1"/>
  <c r="G119" i="262"/>
  <c r="S55" i="38" s="1"/>
  <c r="Z311" i="262"/>
  <c r="J311" i="262"/>
  <c r="V311" i="262"/>
  <c r="G321" i="262"/>
  <c r="G313" i="262"/>
  <c r="G314" i="262"/>
  <c r="G320" i="262"/>
  <c r="G324" i="262"/>
  <c r="G316" i="262"/>
  <c r="G323" i="262"/>
  <c r="AH311" i="262"/>
  <c r="R311" i="262"/>
  <c r="AD311" i="262"/>
  <c r="N311" i="262"/>
  <c r="G326" i="262"/>
  <c r="V91" i="38" s="1"/>
  <c r="G325" i="262"/>
  <c r="U91" i="38" s="1"/>
  <c r="G319" i="262"/>
  <c r="G312" i="262"/>
  <c r="H312" i="262" s="1"/>
  <c r="G322" i="262"/>
  <c r="R91" i="38" s="1"/>
  <c r="G315" i="262"/>
  <c r="G318" i="262"/>
  <c r="N91" i="38" s="1"/>
  <c r="G317" i="262"/>
  <c r="F90" i="38"/>
  <c r="A345" i="262"/>
  <c r="G104" i="262"/>
  <c r="U52" i="38" s="1"/>
  <c r="CB30" i="262"/>
  <c r="G54" i="262"/>
  <c r="V43" i="38" s="1"/>
  <c r="P48" i="1103"/>
  <c r="T48" i="1103"/>
  <c r="P30" i="1103"/>
  <c r="T30" i="1103"/>
  <c r="H49" i="1103"/>
  <c r="L48" i="1103"/>
  <c r="H31" i="1103"/>
  <c r="X30" i="1103"/>
  <c r="AF30" i="1103"/>
  <c r="AB30" i="1103"/>
  <c r="L30" i="1103"/>
  <c r="AJ30" i="1103"/>
  <c r="BT30" i="262"/>
  <c r="BX30" i="262"/>
  <c r="BL30" i="262"/>
  <c r="BP30" i="262"/>
  <c r="BD30" i="262"/>
  <c r="BH30" i="262"/>
  <c r="AZ30" i="262"/>
  <c r="AV30" i="262"/>
  <c r="AJ30" i="262"/>
  <c r="AR30" i="262"/>
  <c r="AN30" i="262"/>
  <c r="AJ64" i="262"/>
  <c r="T64" i="262"/>
  <c r="L64" i="262"/>
  <c r="AB64" i="262"/>
  <c r="AF64" i="262"/>
  <c r="P64" i="262"/>
  <c r="X64" i="262"/>
  <c r="X48" i="262"/>
  <c r="AF48" i="262"/>
  <c r="P48" i="262"/>
  <c r="AB48" i="262"/>
  <c r="L48" i="262"/>
  <c r="T48" i="262"/>
  <c r="AJ48" i="262"/>
  <c r="AB30" i="262"/>
  <c r="AF30" i="262"/>
  <c r="T30" i="262"/>
  <c r="X30" i="262"/>
  <c r="L30" i="262"/>
  <c r="P30" i="262"/>
  <c r="B339" i="262"/>
  <c r="B324" i="262"/>
  <c r="K37" i="262"/>
  <c r="B340" i="262"/>
  <c r="B315" i="262"/>
  <c r="B268" i="262"/>
  <c r="B253" i="262"/>
  <c r="I39" i="10"/>
  <c r="M39" i="10" s="1"/>
  <c r="B252" i="262"/>
  <c r="B359" i="262"/>
  <c r="B316" i="262"/>
  <c r="H40" i="10"/>
  <c r="I40" i="10" s="1"/>
  <c r="M40" i="10" s="1"/>
  <c r="G40" i="10"/>
  <c r="H49" i="10" s="1"/>
  <c r="O80" i="6"/>
  <c r="W186" i="1"/>
  <c r="X186" i="1" s="1"/>
  <c r="X88" i="1"/>
  <c r="V186" i="1"/>
  <c r="H49" i="262"/>
  <c r="Q42" i="38" s="1"/>
  <c r="B312" i="262"/>
  <c r="B117" i="38"/>
  <c r="B301" i="262"/>
  <c r="B343" i="262"/>
  <c r="H31" i="262"/>
  <c r="C82" i="6"/>
  <c r="F78" i="6"/>
  <c r="G78" i="6" s="1"/>
  <c r="H78" i="6"/>
  <c r="D78" i="6"/>
  <c r="B78" i="6"/>
  <c r="L78" i="6"/>
  <c r="E78" i="6"/>
  <c r="B187" i="1"/>
  <c r="L79" i="6" s="1"/>
  <c r="B90" i="1"/>
  <c r="B245" i="262"/>
  <c r="AA29" i="264"/>
  <c r="V29" i="264" s="1"/>
  <c r="N47" i="264"/>
  <c r="AA47" i="264" s="1"/>
  <c r="V47" i="264" s="1"/>
  <c r="K46" i="264"/>
  <c r="X28" i="264"/>
  <c r="S28" i="264" s="1"/>
  <c r="O28" i="264"/>
  <c r="Y30" i="264"/>
  <c r="T30" i="264" s="1"/>
  <c r="L48" i="264"/>
  <c r="Y48" i="264" s="1"/>
  <c r="T48" i="264" s="1"/>
  <c r="Q47" i="264"/>
  <c r="O47" i="264"/>
  <c r="H65" i="262"/>
  <c r="P45" i="38" s="1"/>
  <c r="B23" i="3"/>
  <c r="C23" i="3" s="1"/>
  <c r="A24" i="3"/>
  <c r="B246" i="262"/>
  <c r="B300" i="262"/>
  <c r="Q30" i="264"/>
  <c r="O30" i="264"/>
  <c r="R30" i="264"/>
  <c r="P30" i="264"/>
  <c r="M48" i="264"/>
  <c r="Z48" i="264" s="1"/>
  <c r="U48" i="264" s="1"/>
  <c r="Z30" i="264"/>
  <c r="U30" i="264" s="1"/>
  <c r="AA30" i="264"/>
  <c r="V30" i="264" s="1"/>
  <c r="N48" i="264"/>
  <c r="AA48" i="264" s="1"/>
  <c r="V48" i="264" s="1"/>
  <c r="K48" i="264"/>
  <c r="X48" i="264" s="1"/>
  <c r="S48" i="264" s="1"/>
  <c r="X30" i="264"/>
  <c r="S30" i="264" s="1"/>
  <c r="Q29" i="264"/>
  <c r="P29" i="264"/>
  <c r="O29" i="264"/>
  <c r="R29" i="264"/>
  <c r="Y29" i="264"/>
  <c r="T29" i="264" s="1"/>
  <c r="L47" i="264"/>
  <c r="Y47" i="264" s="1"/>
  <c r="T47" i="264" s="1"/>
  <c r="W89" i="1"/>
  <c r="E328" i="262"/>
  <c r="E617" i="1103"/>
  <c r="H328" i="262"/>
  <c r="F617" i="1103"/>
  <c r="P80" i="6"/>
  <c r="Q89" i="1"/>
  <c r="N81" i="6"/>
  <c r="G617" i="1103"/>
  <c r="F328" i="262"/>
  <c r="I328" i="262"/>
  <c r="V89" i="1"/>
  <c r="P89" i="1"/>
  <c r="G328" i="262"/>
  <c r="O30" i="1107" l="1"/>
  <c r="P30" i="1107"/>
  <c r="Q30" i="1107"/>
  <c r="Q44" i="1107"/>
  <c r="P44" i="1107"/>
  <c r="O44" i="1107"/>
  <c r="O24" i="1107"/>
  <c r="P24" i="1107"/>
  <c r="Q24" i="1107"/>
  <c r="Q48" i="1107"/>
  <c r="P48" i="1107"/>
  <c r="O48" i="1107"/>
  <c r="Q43" i="1107"/>
  <c r="P43" i="1107"/>
  <c r="O43" i="1107"/>
  <c r="O25" i="1107"/>
  <c r="P25" i="1107"/>
  <c r="Q25" i="1107"/>
  <c r="O27" i="1107"/>
  <c r="P27" i="1107"/>
  <c r="Q27" i="1107"/>
  <c r="Q42" i="1107"/>
  <c r="P42" i="1107"/>
  <c r="O42" i="1107"/>
  <c r="Q47" i="1107"/>
  <c r="P47" i="1107"/>
  <c r="O47" i="1107"/>
  <c r="Q26" i="1107"/>
  <c r="O26" i="1107"/>
  <c r="P26" i="1107"/>
  <c r="Q45" i="1107"/>
  <c r="P45" i="1107"/>
  <c r="O45" i="1107"/>
  <c r="O28" i="1107"/>
  <c r="P28" i="1107"/>
  <c r="Q28" i="1107"/>
  <c r="P29" i="1107"/>
  <c r="Q29" i="1107"/>
  <c r="O29" i="1107"/>
  <c r="P46" i="1107"/>
  <c r="O46" i="1107"/>
  <c r="Q46" i="1107"/>
  <c r="K41" i="1106"/>
  <c r="M41" i="1106"/>
  <c r="L41" i="1106"/>
  <c r="L39" i="1106"/>
  <c r="K39" i="1106"/>
  <c r="M39" i="1106"/>
  <c r="L26" i="1106"/>
  <c r="K26" i="1106"/>
  <c r="M26" i="1106"/>
  <c r="K25" i="1106"/>
  <c r="M25" i="1106"/>
  <c r="L25" i="1106"/>
  <c r="P24" i="1106"/>
  <c r="D24" i="1106"/>
  <c r="B634" i="1103"/>
  <c r="A651" i="1103"/>
  <c r="C634" i="1103"/>
  <c r="P457" i="1103"/>
  <c r="Q457" i="1103" s="1"/>
  <c r="H458" i="1103"/>
  <c r="T457" i="1103"/>
  <c r="U457" i="1103" s="1"/>
  <c r="L457" i="1103"/>
  <c r="M457" i="1103" s="1"/>
  <c r="T393" i="1103"/>
  <c r="U393" i="1103" s="1"/>
  <c r="L393" i="1103"/>
  <c r="M393" i="1103" s="1"/>
  <c r="P393" i="1103"/>
  <c r="Q393" i="1103" s="1"/>
  <c r="H394" i="1103"/>
  <c r="H426" i="1103"/>
  <c r="T425" i="1103"/>
  <c r="U425" i="1103" s="1"/>
  <c r="P425" i="1103"/>
  <c r="Q425" i="1103" s="1"/>
  <c r="L425" i="1103"/>
  <c r="M425" i="1103" s="1"/>
  <c r="T377" i="1103"/>
  <c r="U377" i="1103" s="1"/>
  <c r="P377" i="1103"/>
  <c r="Q377" i="1103" s="1"/>
  <c r="L377" i="1103"/>
  <c r="M377" i="1103" s="1"/>
  <c r="T441" i="1103"/>
  <c r="U441" i="1103" s="1"/>
  <c r="P441" i="1103"/>
  <c r="Q441" i="1103" s="1"/>
  <c r="L441" i="1103"/>
  <c r="M441" i="1103" s="1"/>
  <c r="H442" i="1103"/>
  <c r="T409" i="1103"/>
  <c r="U409" i="1103" s="1"/>
  <c r="L409" i="1103"/>
  <c r="M409" i="1103" s="1"/>
  <c r="P409" i="1103"/>
  <c r="Q409" i="1103" s="1"/>
  <c r="H410" i="1103"/>
  <c r="H114" i="1103"/>
  <c r="T113" i="1103"/>
  <c r="U113" i="1103" s="1"/>
  <c r="L113" i="1103"/>
  <c r="M113" i="1103" s="1"/>
  <c r="P113" i="1103"/>
  <c r="Q113" i="1103" s="1"/>
  <c r="H98" i="1103"/>
  <c r="T97" i="1103"/>
  <c r="U97" i="1103" s="1"/>
  <c r="L97" i="1103"/>
  <c r="M97" i="1103" s="1"/>
  <c r="P97" i="1103"/>
  <c r="Q97" i="1103" s="1"/>
  <c r="H82" i="1103"/>
  <c r="T81" i="1103"/>
  <c r="U81" i="1103" s="1"/>
  <c r="L81" i="1103"/>
  <c r="M81" i="1103" s="1"/>
  <c r="P81" i="1103"/>
  <c r="Q81" i="1103" s="1"/>
  <c r="H66" i="1103"/>
  <c r="L65" i="1103"/>
  <c r="M65" i="1103" s="1"/>
  <c r="T65" i="1103"/>
  <c r="U65" i="1103" s="1"/>
  <c r="P65" i="1103"/>
  <c r="Q65" i="1103" s="1"/>
  <c r="B35" i="9"/>
  <c r="J49" i="9"/>
  <c r="P48" i="264"/>
  <c r="Q48" i="264"/>
  <c r="R47" i="264"/>
  <c r="AW40" i="10"/>
  <c r="AX40" i="10"/>
  <c r="AY40" i="10"/>
  <c r="AZ40" i="10"/>
  <c r="M91" i="38"/>
  <c r="K91" i="38"/>
  <c r="O91" i="38"/>
  <c r="H91" i="38"/>
  <c r="S91" i="38"/>
  <c r="T91" i="38"/>
  <c r="L91" i="38"/>
  <c r="P91" i="38"/>
  <c r="I91" i="38"/>
  <c r="J91" i="38"/>
  <c r="Q91" i="38"/>
  <c r="AF97" i="262"/>
  <c r="AJ97" i="262"/>
  <c r="T97" i="262"/>
  <c r="X97" i="262"/>
  <c r="P97" i="262"/>
  <c r="AB97" i="262"/>
  <c r="L97" i="262"/>
  <c r="H98" i="262"/>
  <c r="O51" i="38" s="1"/>
  <c r="H47" i="302"/>
  <c r="H51" i="302"/>
  <c r="H52" i="302" s="1"/>
  <c r="H55" i="302"/>
  <c r="H19" i="302"/>
  <c r="L19" i="302" s="1"/>
  <c r="G88" i="262"/>
  <c r="V49" i="38" s="1"/>
  <c r="G120" i="262"/>
  <c r="T55" i="38" s="1"/>
  <c r="AB113" i="262"/>
  <c r="AJ113" i="262"/>
  <c r="P113" i="262"/>
  <c r="AF113" i="262"/>
  <c r="H114" i="262"/>
  <c r="N54" i="38" s="1"/>
  <c r="L113" i="262"/>
  <c r="T113" i="262"/>
  <c r="X113" i="262"/>
  <c r="AB81" i="262"/>
  <c r="T81" i="262"/>
  <c r="AF81" i="262"/>
  <c r="P81" i="262"/>
  <c r="L81" i="262"/>
  <c r="AJ81" i="262"/>
  <c r="X81" i="262"/>
  <c r="H82" i="262"/>
  <c r="P48" i="38" s="1"/>
  <c r="V328" i="262"/>
  <c r="R328" i="262"/>
  <c r="Z328" i="262"/>
  <c r="G329" i="262"/>
  <c r="G335" i="262"/>
  <c r="G343" i="262"/>
  <c r="V94" i="38" s="1"/>
  <c r="G330" i="262"/>
  <c r="I94" i="38" s="1"/>
  <c r="G336" i="262"/>
  <c r="G334" i="262"/>
  <c r="M94" i="38" s="1"/>
  <c r="G333" i="262"/>
  <c r="AD328" i="262"/>
  <c r="N328" i="262"/>
  <c r="AH328" i="262"/>
  <c r="J328" i="262"/>
  <c r="G339" i="262"/>
  <c r="G340" i="262"/>
  <c r="S94" i="38" s="1"/>
  <c r="G341" i="262"/>
  <c r="T94" i="38" s="1"/>
  <c r="G338" i="262"/>
  <c r="G342" i="262"/>
  <c r="U94" i="38" s="1"/>
  <c r="G337" i="262"/>
  <c r="P94" i="38" s="1"/>
  <c r="G332" i="262"/>
  <c r="K94" i="38" s="1"/>
  <c r="G331" i="262"/>
  <c r="J94" i="38" s="1"/>
  <c r="F93" i="38"/>
  <c r="G105" i="262"/>
  <c r="V52" i="38" s="1"/>
  <c r="Q311" i="262"/>
  <c r="O311" i="262"/>
  <c r="S311" i="262"/>
  <c r="U311" i="262"/>
  <c r="M311" i="262"/>
  <c r="K311" i="262"/>
  <c r="A362" i="262"/>
  <c r="AG311" i="262"/>
  <c r="AE311" i="262"/>
  <c r="AI311" i="262"/>
  <c r="AK311" i="262"/>
  <c r="W311" i="262"/>
  <c r="Y311" i="262"/>
  <c r="AC311" i="262"/>
  <c r="AA311" i="262"/>
  <c r="CB31" i="262"/>
  <c r="P49" i="1103"/>
  <c r="T49" i="1103"/>
  <c r="P31" i="1103"/>
  <c r="T31" i="1103"/>
  <c r="H50" i="1103"/>
  <c r="L49" i="1103"/>
  <c r="H32" i="1103"/>
  <c r="AF31" i="1103"/>
  <c r="X31" i="1103"/>
  <c r="AJ31" i="1103"/>
  <c r="L31" i="1103"/>
  <c r="AB31" i="1103"/>
  <c r="AF312" i="262"/>
  <c r="X312" i="262"/>
  <c r="P312" i="262"/>
  <c r="L312" i="262"/>
  <c r="AB312" i="262"/>
  <c r="T312" i="262"/>
  <c r="AJ312" i="262"/>
  <c r="BT31" i="262"/>
  <c r="BX31" i="262"/>
  <c r="BL31" i="262"/>
  <c r="BP31" i="262"/>
  <c r="BD31" i="262"/>
  <c r="BH31" i="262"/>
  <c r="AZ31" i="262"/>
  <c r="AV31" i="262"/>
  <c r="AJ31" i="262"/>
  <c r="AR31" i="262"/>
  <c r="AN31" i="262"/>
  <c r="AJ65" i="262"/>
  <c r="AB65" i="262"/>
  <c r="L65" i="262"/>
  <c r="T65" i="262"/>
  <c r="X65" i="262"/>
  <c r="P65" i="262"/>
  <c r="AF65" i="262"/>
  <c r="P49" i="262"/>
  <c r="AF49" i="262"/>
  <c r="X49" i="262"/>
  <c r="AJ49" i="262"/>
  <c r="T49" i="262"/>
  <c r="L49" i="262"/>
  <c r="AB49" i="262"/>
  <c r="AB31" i="262"/>
  <c r="AF31" i="262"/>
  <c r="T31" i="262"/>
  <c r="X31" i="262"/>
  <c r="L31" i="262"/>
  <c r="M31" i="262" s="1"/>
  <c r="P31" i="262"/>
  <c r="B356" i="262"/>
  <c r="B341" i="262"/>
  <c r="B357" i="262"/>
  <c r="B332" i="262"/>
  <c r="D79" i="6"/>
  <c r="B333" i="262"/>
  <c r="B269" i="262"/>
  <c r="P51" i="10"/>
  <c r="P50" i="10"/>
  <c r="H51" i="10"/>
  <c r="B376" i="262"/>
  <c r="B270" i="262"/>
  <c r="B285" i="262"/>
  <c r="W187" i="1"/>
  <c r="X187" i="1" s="1"/>
  <c r="O81" i="6"/>
  <c r="X89" i="1"/>
  <c r="V187" i="1"/>
  <c r="O48" i="264"/>
  <c r="B317" i="262"/>
  <c r="H66" i="262"/>
  <c r="Q45" i="38" s="1"/>
  <c r="H79" i="6"/>
  <c r="B79" i="6"/>
  <c r="E79" i="6"/>
  <c r="H32" i="262"/>
  <c r="B360" i="262"/>
  <c r="B318" i="262"/>
  <c r="R48" i="264"/>
  <c r="B263" i="262"/>
  <c r="B24" i="3"/>
  <c r="C24" i="3" s="1"/>
  <c r="A25" i="3"/>
  <c r="P47" i="264"/>
  <c r="X46" i="264"/>
  <c r="S46" i="264" s="1"/>
  <c r="O46" i="264"/>
  <c r="B262" i="262"/>
  <c r="B188" i="1"/>
  <c r="B91" i="1"/>
  <c r="F79" i="6"/>
  <c r="G79" i="6" s="1"/>
  <c r="B120" i="38"/>
  <c r="B329" i="262"/>
  <c r="H50" i="262"/>
  <c r="R42" i="38" s="1"/>
  <c r="I345" i="262"/>
  <c r="G345" i="262"/>
  <c r="F345" i="262"/>
  <c r="Q90" i="1"/>
  <c r="G634" i="1103"/>
  <c r="V90" i="1"/>
  <c r="P90" i="1"/>
  <c r="W90" i="1"/>
  <c r="E345" i="262"/>
  <c r="H345" i="262"/>
  <c r="N82" i="6"/>
  <c r="E634" i="1103"/>
  <c r="F634" i="1103"/>
  <c r="P81" i="6"/>
  <c r="AS39" i="1106" l="1"/>
  <c r="BH39" i="1106" s="1"/>
  <c r="AC39" i="1106"/>
  <c r="AR39" i="1106"/>
  <c r="BG39" i="1106" s="1"/>
  <c r="AB39" i="1106"/>
  <c r="AM39" i="1106"/>
  <c r="BB39" i="1106" s="1"/>
  <c r="W39" i="1106"/>
  <c r="AD39" i="1106"/>
  <c r="AL39" i="1106"/>
  <c r="BA39" i="1106" s="1"/>
  <c r="U39" i="1106"/>
  <c r="AH39" i="1106"/>
  <c r="AV39" i="1106"/>
  <c r="BK39" i="1106" s="1"/>
  <c r="AQ39" i="1106"/>
  <c r="BF39" i="1106" s="1"/>
  <c r="BU39" i="1106" s="1"/>
  <c r="CK39" i="1106" s="1"/>
  <c r="AT39" i="1106"/>
  <c r="BI39" i="1106" s="1"/>
  <c r="AO39" i="1106"/>
  <c r="BD39" i="1106" s="1"/>
  <c r="Y39" i="1106"/>
  <c r="AN39" i="1106"/>
  <c r="BC39" i="1106" s="1"/>
  <c r="X39" i="1106"/>
  <c r="AI39" i="1106"/>
  <c r="AX39" i="1106"/>
  <c r="BM39" i="1106" s="1"/>
  <c r="AP39" i="1106"/>
  <c r="BE39" i="1106" s="1"/>
  <c r="AJ39" i="1106"/>
  <c r="AY39" i="1106" s="1"/>
  <c r="AE39" i="1106"/>
  <c r="Z39" i="1106"/>
  <c r="AW39" i="1106"/>
  <c r="BL39" i="1106" s="1"/>
  <c r="AF39" i="1106"/>
  <c r="V39" i="1106"/>
  <c r="AK39" i="1106"/>
  <c r="AZ39" i="1106" s="1"/>
  <c r="AU39" i="1106"/>
  <c r="BJ39" i="1106" s="1"/>
  <c r="AG39" i="1106"/>
  <c r="AA39" i="1106"/>
  <c r="AU41" i="1106"/>
  <c r="BJ41" i="1106" s="1"/>
  <c r="AE41" i="1106"/>
  <c r="AT41" i="1106"/>
  <c r="BI41" i="1106" s="1"/>
  <c r="AD41" i="1106"/>
  <c r="AS41" i="1106"/>
  <c r="BH41" i="1106" s="1"/>
  <c r="AC41" i="1106"/>
  <c r="AF41" i="1106"/>
  <c r="X41" i="1106"/>
  <c r="V41" i="1106"/>
  <c r="AB41" i="1106"/>
  <c r="AX41" i="1106"/>
  <c r="BM41" i="1106" s="1"/>
  <c r="AG41" i="1106"/>
  <c r="AQ41" i="1106"/>
  <c r="BF41" i="1106" s="1"/>
  <c r="AA41" i="1106"/>
  <c r="AP41" i="1106"/>
  <c r="BE41" i="1106" s="1"/>
  <c r="Z41" i="1106"/>
  <c r="AO41" i="1106"/>
  <c r="BD41" i="1106" s="1"/>
  <c r="Y41" i="1106"/>
  <c r="AR41" i="1106"/>
  <c r="BG41" i="1106" s="1"/>
  <c r="AJ41" i="1106"/>
  <c r="AY41" i="1106" s="1"/>
  <c r="AL41" i="1106"/>
  <c r="BA41" i="1106" s="1"/>
  <c r="U41" i="1106"/>
  <c r="AI41" i="1106"/>
  <c r="AW41" i="1106"/>
  <c r="BL41" i="1106" s="1"/>
  <c r="AV41" i="1106"/>
  <c r="BK41" i="1106" s="1"/>
  <c r="AM41" i="1106"/>
  <c r="BB41" i="1106" s="1"/>
  <c r="W41" i="1106"/>
  <c r="AK41" i="1106"/>
  <c r="AZ41" i="1106" s="1"/>
  <c r="AH41" i="1106"/>
  <c r="AN41" i="1106"/>
  <c r="BC41" i="1106" s="1"/>
  <c r="L24" i="1106"/>
  <c r="M24" i="1106"/>
  <c r="K24" i="1106"/>
  <c r="AT26" i="1106"/>
  <c r="BI26" i="1106" s="1"/>
  <c r="Z26" i="1106"/>
  <c r="AX26" i="1106"/>
  <c r="BM26" i="1106" s="1"/>
  <c r="AD26" i="1106"/>
  <c r="AM26" i="1106"/>
  <c r="BB26" i="1106" s="1"/>
  <c r="AR26" i="1106"/>
  <c r="BG26" i="1106" s="1"/>
  <c r="W26" i="1106"/>
  <c r="AA26" i="1106"/>
  <c r="AC26" i="1106"/>
  <c r="AE26" i="1106"/>
  <c r="AL26" i="1106"/>
  <c r="BA26" i="1106" s="1"/>
  <c r="AP26" i="1106"/>
  <c r="BE26" i="1106" s="1"/>
  <c r="AH26" i="1106"/>
  <c r="U26" i="1106"/>
  <c r="AQ26" i="1106"/>
  <c r="BF26" i="1106" s="1"/>
  <c r="AV26" i="1106"/>
  <c r="BK26" i="1106" s="1"/>
  <c r="AU26" i="1106"/>
  <c r="BJ26" i="1106" s="1"/>
  <c r="X26" i="1106"/>
  <c r="AI26" i="1106"/>
  <c r="AG26" i="1106"/>
  <c r="AK26" i="1106"/>
  <c r="AZ26" i="1106" s="1"/>
  <c r="AF26" i="1106"/>
  <c r="AS26" i="1106"/>
  <c r="BH26" i="1106" s="1"/>
  <c r="Y26" i="1106"/>
  <c r="AW26" i="1106"/>
  <c r="BL26" i="1106" s="1"/>
  <c r="AN26" i="1106"/>
  <c r="BC26" i="1106" s="1"/>
  <c r="AJ26" i="1106"/>
  <c r="AY26" i="1106" s="1"/>
  <c r="V26" i="1106"/>
  <c r="AB26" i="1106"/>
  <c r="AO26" i="1106"/>
  <c r="BD26" i="1106" s="1"/>
  <c r="BS26" i="1106" s="1"/>
  <c r="CI26" i="1106" s="1"/>
  <c r="AV25" i="1106"/>
  <c r="BK25" i="1106" s="1"/>
  <c r="X25" i="1106"/>
  <c r="AP25" i="1106"/>
  <c r="BE25" i="1106" s="1"/>
  <c r="AB25" i="1106"/>
  <c r="AF25" i="1106"/>
  <c r="AM25" i="1106"/>
  <c r="BB25" i="1106" s="1"/>
  <c r="AL25" i="1106"/>
  <c r="BA25" i="1106" s="1"/>
  <c r="AG25" i="1106"/>
  <c r="AI25" i="1106"/>
  <c r="AX25" i="1106"/>
  <c r="BM25" i="1106" s="1"/>
  <c r="AW25" i="1106"/>
  <c r="BL25" i="1106" s="1"/>
  <c r="AN25" i="1106"/>
  <c r="BC25" i="1106" s="1"/>
  <c r="Z25" i="1106"/>
  <c r="AC25" i="1106"/>
  <c r="AO25" i="1106"/>
  <c r="BD25" i="1106" s="1"/>
  <c r="U25" i="1106"/>
  <c r="AS25" i="1106"/>
  <c r="BH25" i="1106" s="1"/>
  <c r="AT25" i="1106"/>
  <c r="BI25" i="1106" s="1"/>
  <c r="Y25" i="1106"/>
  <c r="AJ25" i="1106"/>
  <c r="AY25" i="1106" s="1"/>
  <c r="AE25" i="1106"/>
  <c r="W25" i="1106"/>
  <c r="AQ25" i="1106"/>
  <c r="BF25" i="1106" s="1"/>
  <c r="AD25" i="1106"/>
  <c r="AU25" i="1106"/>
  <c r="BJ25" i="1106" s="1"/>
  <c r="BY25" i="1106" s="1"/>
  <c r="CO25" i="1106" s="1"/>
  <c r="AH25" i="1106"/>
  <c r="V25" i="1106"/>
  <c r="AA25" i="1106"/>
  <c r="AR25" i="1106"/>
  <c r="BG25" i="1106" s="1"/>
  <c r="AK25" i="1106"/>
  <c r="AZ25" i="1106" s="1"/>
  <c r="T410" i="1103"/>
  <c r="U410" i="1103" s="1"/>
  <c r="L410" i="1103"/>
  <c r="M410" i="1103" s="1"/>
  <c r="P410" i="1103"/>
  <c r="Q410" i="1103" s="1"/>
  <c r="H411" i="1103"/>
  <c r="T442" i="1103"/>
  <c r="U442" i="1103" s="1"/>
  <c r="P442" i="1103"/>
  <c r="Q442" i="1103" s="1"/>
  <c r="L442" i="1103"/>
  <c r="M442" i="1103" s="1"/>
  <c r="H443" i="1103"/>
  <c r="T426" i="1103"/>
  <c r="U426" i="1103" s="1"/>
  <c r="L426" i="1103"/>
  <c r="M426" i="1103" s="1"/>
  <c r="P426" i="1103"/>
  <c r="Q426" i="1103" s="1"/>
  <c r="H427" i="1103"/>
  <c r="B651" i="1103"/>
  <c r="A668" i="1103"/>
  <c r="C651" i="1103"/>
  <c r="L394" i="1103"/>
  <c r="M394" i="1103" s="1"/>
  <c r="P394" i="1103"/>
  <c r="Q394" i="1103" s="1"/>
  <c r="T394" i="1103"/>
  <c r="U394" i="1103" s="1"/>
  <c r="L458" i="1103"/>
  <c r="M458" i="1103" s="1"/>
  <c r="P458" i="1103"/>
  <c r="Q458" i="1103" s="1"/>
  <c r="T458" i="1103"/>
  <c r="U458" i="1103" s="1"/>
  <c r="H459" i="1103"/>
  <c r="H115" i="1103"/>
  <c r="T114" i="1103"/>
  <c r="U114" i="1103" s="1"/>
  <c r="L114" i="1103"/>
  <c r="M114" i="1103" s="1"/>
  <c r="P114" i="1103"/>
  <c r="Q114" i="1103" s="1"/>
  <c r="H99" i="1103"/>
  <c r="T98" i="1103"/>
  <c r="U98" i="1103" s="1"/>
  <c r="L98" i="1103"/>
  <c r="M98" i="1103" s="1"/>
  <c r="P98" i="1103"/>
  <c r="Q98" i="1103" s="1"/>
  <c r="H83" i="1103"/>
  <c r="T82" i="1103"/>
  <c r="U82" i="1103" s="1"/>
  <c r="L82" i="1103"/>
  <c r="M82" i="1103" s="1"/>
  <c r="P82" i="1103"/>
  <c r="Q82" i="1103" s="1"/>
  <c r="H67" i="1103"/>
  <c r="L66" i="1103"/>
  <c r="M66" i="1103" s="1"/>
  <c r="T66" i="1103"/>
  <c r="U66" i="1103" s="1"/>
  <c r="P66" i="1103"/>
  <c r="Q66" i="1103" s="1"/>
  <c r="B36" i="9"/>
  <c r="J50" i="9"/>
  <c r="O94" i="38"/>
  <c r="L94" i="38"/>
  <c r="N94" i="38"/>
  <c r="Q94" i="38"/>
  <c r="R94" i="38"/>
  <c r="H94" i="38"/>
  <c r="X98" i="262"/>
  <c r="AF98" i="262"/>
  <c r="AB98" i="262"/>
  <c r="L98" i="262"/>
  <c r="H99" i="262"/>
  <c r="P51" i="38" s="1"/>
  <c r="P98" i="262"/>
  <c r="T98" i="262"/>
  <c r="AJ98" i="262"/>
  <c r="P82" i="262"/>
  <c r="T82" i="262"/>
  <c r="AB82" i="262"/>
  <c r="AF82" i="262"/>
  <c r="H83" i="262"/>
  <c r="Q48" i="38" s="1"/>
  <c r="AJ82" i="262"/>
  <c r="L82" i="262"/>
  <c r="X82" i="262"/>
  <c r="T114" i="262"/>
  <c r="AB114" i="262"/>
  <c r="X114" i="262"/>
  <c r="AJ114" i="262"/>
  <c r="L114" i="262"/>
  <c r="AF114" i="262"/>
  <c r="P114" i="262"/>
  <c r="H115" i="262"/>
  <c r="O54" i="38" s="1"/>
  <c r="G121" i="262"/>
  <c r="U55" i="38" s="1"/>
  <c r="H329" i="262"/>
  <c r="AF329" i="262" s="1"/>
  <c r="G356" i="262"/>
  <c r="G358" i="262"/>
  <c r="G354" i="262"/>
  <c r="G349" i="262"/>
  <c r="G348" i="262"/>
  <c r="G347" i="262"/>
  <c r="G355" i="262"/>
  <c r="G352" i="262"/>
  <c r="V345" i="262"/>
  <c r="AH345" i="262"/>
  <c r="R345" i="262"/>
  <c r="G350" i="262"/>
  <c r="G351" i="262"/>
  <c r="G346" i="262"/>
  <c r="H346" i="262" s="1"/>
  <c r="G359" i="262"/>
  <c r="G357" i="262"/>
  <c r="S97" i="38" s="1"/>
  <c r="G360" i="262"/>
  <c r="V97" i="38" s="1"/>
  <c r="G353" i="262"/>
  <c r="O97" i="38" s="1"/>
  <c r="AD345" i="262"/>
  <c r="N345" i="262"/>
  <c r="Z345" i="262"/>
  <c r="J345" i="262"/>
  <c r="F96" i="38"/>
  <c r="A379" i="262"/>
  <c r="K328" i="262"/>
  <c r="M328" i="262"/>
  <c r="Q328" i="262"/>
  <c r="O328" i="262"/>
  <c r="S328" i="262"/>
  <c r="U328" i="262"/>
  <c r="AI328" i="262"/>
  <c r="AK328" i="262"/>
  <c r="AG328" i="262"/>
  <c r="AE328" i="262"/>
  <c r="AA328" i="262"/>
  <c r="AC328" i="262"/>
  <c r="Y328" i="262"/>
  <c r="W328" i="262"/>
  <c r="CB32" i="262"/>
  <c r="P32" i="1103"/>
  <c r="T32" i="1103"/>
  <c r="P50" i="1103"/>
  <c r="T50" i="1103"/>
  <c r="H33" i="1103"/>
  <c r="X32" i="1103"/>
  <c r="AF32" i="1103"/>
  <c r="AB32" i="1103"/>
  <c r="L32" i="1103"/>
  <c r="AJ32" i="1103"/>
  <c r="H51" i="1103"/>
  <c r="L50" i="1103"/>
  <c r="BT32" i="262"/>
  <c r="BX32" i="262"/>
  <c r="BL32" i="262"/>
  <c r="BP32" i="262"/>
  <c r="BD32" i="262"/>
  <c r="BH32" i="262"/>
  <c r="AZ32" i="262"/>
  <c r="AV32" i="262"/>
  <c r="AJ32" i="262"/>
  <c r="AR32" i="262"/>
  <c r="AN32" i="262"/>
  <c r="AJ66" i="262"/>
  <c r="T66" i="262"/>
  <c r="L66" i="262"/>
  <c r="AB66" i="262"/>
  <c r="AF66" i="262"/>
  <c r="P66" i="262"/>
  <c r="X66" i="262"/>
  <c r="X50" i="262"/>
  <c r="AF50" i="262"/>
  <c r="P50" i="262"/>
  <c r="AB50" i="262"/>
  <c r="L50" i="262"/>
  <c r="T50" i="262"/>
  <c r="AJ50" i="262"/>
  <c r="AB32" i="262"/>
  <c r="AF32" i="262"/>
  <c r="T32" i="262"/>
  <c r="X32" i="262"/>
  <c r="L32" i="262"/>
  <c r="P32" i="262"/>
  <c r="B373" i="262"/>
  <c r="B358" i="262"/>
  <c r="B374" i="262"/>
  <c r="B349" i="262"/>
  <c r="B286" i="262"/>
  <c r="B302" i="262"/>
  <c r="B287" i="262"/>
  <c r="B393" i="262"/>
  <c r="B350" i="262"/>
  <c r="O82" i="6"/>
  <c r="W188" i="1"/>
  <c r="X188" i="1" s="1"/>
  <c r="X90" i="1"/>
  <c r="V188" i="1"/>
  <c r="A26" i="3"/>
  <c r="B25" i="3"/>
  <c r="C25" i="3" s="1"/>
  <c r="B280" i="262"/>
  <c r="H33" i="262"/>
  <c r="F80" i="6"/>
  <c r="G80" i="6" s="1"/>
  <c r="E80" i="6"/>
  <c r="B80" i="6"/>
  <c r="B346" i="262"/>
  <c r="B123" i="38"/>
  <c r="B279" i="262"/>
  <c r="H51" i="262"/>
  <c r="S42" i="38" s="1"/>
  <c r="B92" i="1"/>
  <c r="B189" i="1"/>
  <c r="F81" i="6" s="1"/>
  <c r="G81" i="6" s="1"/>
  <c r="B335" i="262"/>
  <c r="B377" i="262"/>
  <c r="H80" i="6"/>
  <c r="D80" i="6"/>
  <c r="L80" i="6"/>
  <c r="H67" i="262"/>
  <c r="R45" i="38" s="1"/>
  <c r="B334" i="262"/>
  <c r="I362" i="262"/>
  <c r="G362" i="262"/>
  <c r="W91" i="1"/>
  <c r="Q91" i="1"/>
  <c r="F362" i="262"/>
  <c r="P82" i="6"/>
  <c r="H362" i="262"/>
  <c r="P91" i="1"/>
  <c r="G651" i="1103"/>
  <c r="E651" i="1103"/>
  <c r="E362" i="262"/>
  <c r="V91" i="1"/>
  <c r="F651" i="1103"/>
  <c r="BR41" i="1106" l="1"/>
  <c r="CH41" i="1106" s="1"/>
  <c r="BU41" i="1106"/>
  <c r="CK41" i="1106" s="1"/>
  <c r="BV41" i="1106"/>
  <c r="CL41" i="1106" s="1"/>
  <c r="BX41" i="1106"/>
  <c r="CN41" i="1106" s="1"/>
  <c r="BS41" i="1106"/>
  <c r="CI41" i="1106" s="1"/>
  <c r="BT25" i="1106"/>
  <c r="CJ25" i="1106" s="1"/>
  <c r="BO26" i="1106"/>
  <c r="CE26" i="1106" s="1"/>
  <c r="BN26" i="1106"/>
  <c r="BQ41" i="1106"/>
  <c r="CG41" i="1106" s="1"/>
  <c r="BP39" i="1106"/>
  <c r="CF39" i="1106" s="1"/>
  <c r="BX39" i="1106"/>
  <c r="CN39" i="1106" s="1"/>
  <c r="BO25" i="1106"/>
  <c r="CE25" i="1106" s="1"/>
  <c r="BT26" i="1106"/>
  <c r="CJ26" i="1106" s="1"/>
  <c r="BT39" i="1106"/>
  <c r="CJ39" i="1106" s="1"/>
  <c r="BW26" i="1106"/>
  <c r="CM26" i="1106" s="1"/>
  <c r="CB26" i="1106"/>
  <c r="CR26" i="1106" s="1"/>
  <c r="CA26" i="1106"/>
  <c r="CQ26" i="1106" s="1"/>
  <c r="CA25" i="1106"/>
  <c r="CQ25" i="1106" s="1"/>
  <c r="BX25" i="1106"/>
  <c r="CN25" i="1106" s="1"/>
  <c r="CB25" i="1106"/>
  <c r="CR25" i="1106" s="1"/>
  <c r="BR39" i="1106"/>
  <c r="CH39" i="1106" s="1"/>
  <c r="BS39" i="1106"/>
  <c r="CI39" i="1106" s="1"/>
  <c r="BS25" i="1106"/>
  <c r="CI25" i="1106" s="1"/>
  <c r="BT41" i="1106"/>
  <c r="CJ41" i="1106" s="1"/>
  <c r="BN39" i="1106"/>
  <c r="CD39" i="1106" s="1"/>
  <c r="BQ25" i="1106"/>
  <c r="CG25" i="1106" s="1"/>
  <c r="BY39" i="1106"/>
  <c r="CO39" i="1106" s="1"/>
  <c r="BP26" i="1106"/>
  <c r="CF26" i="1106" s="1"/>
  <c r="BN25" i="1106"/>
  <c r="CD25" i="1106" s="1"/>
  <c r="BO41" i="1106"/>
  <c r="CE41" i="1106" s="1"/>
  <c r="BW39" i="1106"/>
  <c r="CM39" i="1106" s="1"/>
  <c r="CA39" i="1106"/>
  <c r="CQ39" i="1106" s="1"/>
  <c r="BZ41" i="1106"/>
  <c r="CP41" i="1106" s="1"/>
  <c r="BY41" i="1106"/>
  <c r="CO41" i="1106" s="1"/>
  <c r="BV26" i="1106"/>
  <c r="CL26" i="1106" s="1"/>
  <c r="CA41" i="1106"/>
  <c r="CQ41" i="1106" s="1"/>
  <c r="BQ39" i="1106"/>
  <c r="CG39" i="1106" s="1"/>
  <c r="BU26" i="1106"/>
  <c r="CK26" i="1106" s="1"/>
  <c r="BP41" i="1106"/>
  <c r="CF41" i="1106" s="1"/>
  <c r="BW41" i="1106"/>
  <c r="CM41" i="1106" s="1"/>
  <c r="BO39" i="1106"/>
  <c r="CE39" i="1106" s="1"/>
  <c r="CB39" i="1106"/>
  <c r="CR39" i="1106" s="1"/>
  <c r="BZ39" i="1106"/>
  <c r="CP39" i="1106" s="1"/>
  <c r="BV39" i="1106"/>
  <c r="CL39" i="1106" s="1"/>
  <c r="BR25" i="1106"/>
  <c r="CH25" i="1106" s="1"/>
  <c r="BR26" i="1106"/>
  <c r="CH26" i="1106" s="1"/>
  <c r="BN41" i="1106"/>
  <c r="CD41" i="1106" s="1"/>
  <c r="CB41" i="1106"/>
  <c r="CR41" i="1106" s="1"/>
  <c r="BP25" i="1106"/>
  <c r="CF25" i="1106" s="1"/>
  <c r="BZ26" i="1106"/>
  <c r="CP26" i="1106" s="1"/>
  <c r="BY26" i="1106"/>
  <c r="CO26" i="1106" s="1"/>
  <c r="BQ26" i="1106"/>
  <c r="CG26" i="1106" s="1"/>
  <c r="BU25" i="1106"/>
  <c r="CK25" i="1106" s="1"/>
  <c r="BX26" i="1106"/>
  <c r="CN26" i="1106" s="1"/>
  <c r="BW25" i="1106"/>
  <c r="CM25" i="1106" s="1"/>
  <c r="BZ25" i="1106"/>
  <c r="CP25" i="1106" s="1"/>
  <c r="BV25" i="1106"/>
  <c r="CL25" i="1106" s="1"/>
  <c r="AM24" i="1106"/>
  <c r="BB24" i="1106" s="1"/>
  <c r="AN24" i="1106"/>
  <c r="BC24" i="1106" s="1"/>
  <c r="AQ24" i="1106"/>
  <c r="BF24" i="1106" s="1"/>
  <c r="X24" i="1106"/>
  <c r="AS24" i="1106"/>
  <c r="BH24" i="1106" s="1"/>
  <c r="AH24" i="1106"/>
  <c r="AU24" i="1106"/>
  <c r="BJ24" i="1106" s="1"/>
  <c r="AJ24" i="1106"/>
  <c r="AY24" i="1106" s="1"/>
  <c r="AK24" i="1106"/>
  <c r="AZ24" i="1106" s="1"/>
  <c r="AF24" i="1106"/>
  <c r="AO24" i="1106"/>
  <c r="BD24" i="1106" s="1"/>
  <c r="AR24" i="1106"/>
  <c r="BG24" i="1106" s="1"/>
  <c r="AD24" i="1106"/>
  <c r="AE24" i="1106"/>
  <c r="AC24" i="1106"/>
  <c r="AI24" i="1106"/>
  <c r="AL24" i="1106"/>
  <c r="BA24" i="1106" s="1"/>
  <c r="U24" i="1106"/>
  <c r="AP24" i="1106"/>
  <c r="BE24" i="1106" s="1"/>
  <c r="W24" i="1106"/>
  <c r="Y24" i="1106"/>
  <c r="AT24" i="1106"/>
  <c r="BI24" i="1106" s="1"/>
  <c r="BX24" i="1106" s="1"/>
  <c r="CN24" i="1106" s="1"/>
  <c r="AX24" i="1106"/>
  <c r="BM24" i="1106" s="1"/>
  <c r="V24" i="1106"/>
  <c r="AV24" i="1106"/>
  <c r="BK24" i="1106" s="1"/>
  <c r="Z24" i="1106"/>
  <c r="AA24" i="1106"/>
  <c r="AW24" i="1106"/>
  <c r="BL24" i="1106" s="1"/>
  <c r="AB24" i="1106"/>
  <c r="AG24" i="1106"/>
  <c r="CD26" i="1106"/>
  <c r="B668" i="1103"/>
  <c r="A685" i="1103"/>
  <c r="C668" i="1103"/>
  <c r="T443" i="1103"/>
  <c r="U443" i="1103" s="1"/>
  <c r="L443" i="1103"/>
  <c r="M443" i="1103" s="1"/>
  <c r="P443" i="1103"/>
  <c r="Q443" i="1103" s="1"/>
  <c r="H444" i="1103"/>
  <c r="P411" i="1103"/>
  <c r="Q411" i="1103" s="1"/>
  <c r="T411" i="1103"/>
  <c r="U411" i="1103" s="1"/>
  <c r="L411" i="1103"/>
  <c r="M411" i="1103" s="1"/>
  <c r="T459" i="1103"/>
  <c r="U459" i="1103" s="1"/>
  <c r="L459" i="1103"/>
  <c r="M459" i="1103" s="1"/>
  <c r="H460" i="1103"/>
  <c r="P459" i="1103"/>
  <c r="Q459" i="1103" s="1"/>
  <c r="T427" i="1103"/>
  <c r="U427" i="1103" s="1"/>
  <c r="L427" i="1103"/>
  <c r="M427" i="1103" s="1"/>
  <c r="P427" i="1103"/>
  <c r="Q427" i="1103" s="1"/>
  <c r="H428" i="1103"/>
  <c r="H116" i="1103"/>
  <c r="L115" i="1103"/>
  <c r="M115" i="1103" s="1"/>
  <c r="T115" i="1103"/>
  <c r="U115" i="1103" s="1"/>
  <c r="P115" i="1103"/>
  <c r="Q115" i="1103" s="1"/>
  <c r="H100" i="1103"/>
  <c r="T99" i="1103"/>
  <c r="U99" i="1103" s="1"/>
  <c r="L99" i="1103"/>
  <c r="M99" i="1103" s="1"/>
  <c r="P99" i="1103"/>
  <c r="Q99" i="1103" s="1"/>
  <c r="H84" i="1103"/>
  <c r="T83" i="1103"/>
  <c r="U83" i="1103" s="1"/>
  <c r="L83" i="1103"/>
  <c r="M83" i="1103" s="1"/>
  <c r="P83" i="1103"/>
  <c r="Q83" i="1103" s="1"/>
  <c r="H68" i="1103"/>
  <c r="L67" i="1103"/>
  <c r="M67" i="1103" s="1"/>
  <c r="T67" i="1103"/>
  <c r="U67" i="1103" s="1"/>
  <c r="P67" i="1103"/>
  <c r="Q67" i="1103" s="1"/>
  <c r="B37" i="9"/>
  <c r="J51" i="9"/>
  <c r="L329" i="262"/>
  <c r="T329" i="262"/>
  <c r="P329" i="262"/>
  <c r="AJ329" i="262"/>
  <c r="AB329" i="262"/>
  <c r="X329" i="262"/>
  <c r="H97" i="38"/>
  <c r="L97" i="38"/>
  <c r="N97" i="38"/>
  <c r="I97" i="38"/>
  <c r="K97" i="38"/>
  <c r="T97" i="38"/>
  <c r="U97" i="38"/>
  <c r="M97" i="38"/>
  <c r="Q97" i="38"/>
  <c r="J97" i="38"/>
  <c r="P97" i="38"/>
  <c r="R97" i="38"/>
  <c r="AF99" i="262"/>
  <c r="X99" i="262"/>
  <c r="AB99" i="262"/>
  <c r="L99" i="262"/>
  <c r="P99" i="262"/>
  <c r="AJ99" i="262"/>
  <c r="T99" i="262"/>
  <c r="H100" i="262"/>
  <c r="Q51" i="38" s="1"/>
  <c r="G122" i="262"/>
  <c r="V55" i="38" s="1"/>
  <c r="L115" i="262"/>
  <c r="AJ115" i="262"/>
  <c r="X115" i="262"/>
  <c r="AB115" i="262"/>
  <c r="T115" i="262"/>
  <c r="P115" i="262"/>
  <c r="AF115" i="262"/>
  <c r="H116" i="262"/>
  <c r="P54" i="38" s="1"/>
  <c r="P83" i="262"/>
  <c r="L83" i="262"/>
  <c r="AJ83" i="262"/>
  <c r="X83" i="262"/>
  <c r="H84" i="262"/>
  <c r="R48" i="38" s="1"/>
  <c r="AB83" i="262"/>
  <c r="T83" i="262"/>
  <c r="AF83" i="262"/>
  <c r="V362" i="262"/>
  <c r="AH362" i="262"/>
  <c r="R362" i="262"/>
  <c r="G365" i="262"/>
  <c r="G363" i="262"/>
  <c r="G368" i="262"/>
  <c r="G372" i="262"/>
  <c r="G371" i="262"/>
  <c r="G373" i="262"/>
  <c r="G374" i="262"/>
  <c r="Z362" i="262"/>
  <c r="AD362" i="262"/>
  <c r="N362" i="262"/>
  <c r="J362" i="262"/>
  <c r="G375" i="262"/>
  <c r="T100" i="38" s="1"/>
  <c r="G367" i="262"/>
  <c r="G370" i="262"/>
  <c r="G377" i="262"/>
  <c r="V100" i="38" s="1"/>
  <c r="G364" i="262"/>
  <c r="I100" i="38" s="1"/>
  <c r="G369" i="262"/>
  <c r="N100" i="38" s="1"/>
  <c r="G366" i="262"/>
  <c r="K100" i="38" s="1"/>
  <c r="G376" i="262"/>
  <c r="U100" i="38" s="1"/>
  <c r="F99" i="38"/>
  <c r="A396" i="262"/>
  <c r="K345" i="262"/>
  <c r="M345" i="262"/>
  <c r="Q345" i="262"/>
  <c r="O345" i="262"/>
  <c r="AI345" i="262"/>
  <c r="AK345" i="262"/>
  <c r="AA345" i="262"/>
  <c r="AC345" i="262"/>
  <c r="AG345" i="262"/>
  <c r="AE345" i="262"/>
  <c r="S345" i="262"/>
  <c r="U345" i="262"/>
  <c r="Y345" i="262"/>
  <c r="W345" i="262"/>
  <c r="CB33" i="262"/>
  <c r="P51" i="1103"/>
  <c r="T51" i="1103"/>
  <c r="P33" i="1103"/>
  <c r="T33" i="1103"/>
  <c r="H52" i="1103"/>
  <c r="L51" i="1103"/>
  <c r="H34" i="1103"/>
  <c r="AF33" i="1103"/>
  <c r="X33" i="1103"/>
  <c r="AJ33" i="1103"/>
  <c r="L33" i="1103"/>
  <c r="AB33" i="1103"/>
  <c r="AF346" i="262"/>
  <c r="X346" i="262"/>
  <c r="P346" i="262"/>
  <c r="T346" i="262"/>
  <c r="AJ346" i="262"/>
  <c r="L346" i="262"/>
  <c r="AB346" i="262"/>
  <c r="BT33" i="262"/>
  <c r="BX33" i="262"/>
  <c r="BL33" i="262"/>
  <c r="BP33" i="262"/>
  <c r="BD33" i="262"/>
  <c r="BH33" i="262"/>
  <c r="AZ33" i="262"/>
  <c r="AV33" i="262"/>
  <c r="AJ33" i="262"/>
  <c r="AR33" i="262"/>
  <c r="AN33" i="262"/>
  <c r="AJ67" i="262"/>
  <c r="AB67" i="262"/>
  <c r="L67" i="262"/>
  <c r="T67" i="262"/>
  <c r="P67" i="262"/>
  <c r="AF67" i="262"/>
  <c r="X67" i="262"/>
  <c r="P51" i="262"/>
  <c r="X51" i="262"/>
  <c r="AF51" i="262"/>
  <c r="AJ51" i="262"/>
  <c r="T51" i="262"/>
  <c r="L51" i="262"/>
  <c r="AB51" i="262"/>
  <c r="AB33" i="262"/>
  <c r="AF33" i="262"/>
  <c r="T33" i="262"/>
  <c r="X33" i="262"/>
  <c r="L33" i="262"/>
  <c r="P33" i="262"/>
  <c r="B390" i="262"/>
  <c r="B375" i="262"/>
  <c r="B391" i="262"/>
  <c r="B366" i="262"/>
  <c r="B410" i="262"/>
  <c r="B319" i="262"/>
  <c r="B367" i="262"/>
  <c r="B304" i="262"/>
  <c r="B303" i="262"/>
  <c r="W189" i="1"/>
  <c r="X189" i="1" s="1"/>
  <c r="V189" i="1"/>
  <c r="X91" i="1"/>
  <c r="B352" i="262"/>
  <c r="B190" i="1"/>
  <c r="B363" i="262"/>
  <c r="B81" i="6"/>
  <c r="B26" i="3"/>
  <c r="C26" i="3" s="1"/>
  <c r="A27" i="3"/>
  <c r="B351" i="262"/>
  <c r="H68" i="262"/>
  <c r="S45" i="38" s="1"/>
  <c r="B394" i="262"/>
  <c r="D81" i="6"/>
  <c r="L81" i="6"/>
  <c r="E81" i="6"/>
  <c r="H52" i="262"/>
  <c r="T42" i="38" s="1"/>
  <c r="B296" i="262"/>
  <c r="B126" i="38"/>
  <c r="H81" i="6"/>
  <c r="H34" i="262"/>
  <c r="B297" i="262"/>
  <c r="W92" i="1"/>
  <c r="V92" i="1"/>
  <c r="F668" i="1103"/>
  <c r="I379" i="262"/>
  <c r="G668" i="1103"/>
  <c r="P92" i="1"/>
  <c r="Q92" i="1"/>
  <c r="E379" i="262"/>
  <c r="H379" i="262"/>
  <c r="E668" i="1103"/>
  <c r="F379" i="262"/>
  <c r="G379" i="262"/>
  <c r="M42" i="12" l="1"/>
  <c r="N42" i="12"/>
  <c r="M40" i="12"/>
  <c r="M41" i="12" s="1"/>
  <c r="M32" i="12"/>
  <c r="N40" i="12"/>
  <c r="N41" i="12" s="1"/>
  <c r="S32" i="12"/>
  <c r="O42" i="12"/>
  <c r="N32" i="12"/>
  <c r="O40" i="12"/>
  <c r="O41" i="12" s="1"/>
  <c r="C379" i="262"/>
  <c r="X32" i="12"/>
  <c r="X42" i="12"/>
  <c r="X40" i="12"/>
  <c r="H82" i="6"/>
  <c r="F82" i="6"/>
  <c r="G82" i="6" s="1"/>
  <c r="CC41" i="1106"/>
  <c r="CS41" i="1106" s="1"/>
  <c r="CT41" i="1106" s="1"/>
  <c r="CC39" i="1106"/>
  <c r="CS39" i="1106" s="1"/>
  <c r="CT39" i="1106" s="1"/>
  <c r="CC26" i="1106"/>
  <c r="CS26" i="1106" s="1"/>
  <c r="CU26" i="1106" s="1"/>
  <c r="D82" i="6"/>
  <c r="B82" i="6"/>
  <c r="B396" i="262"/>
  <c r="CC25" i="1106"/>
  <c r="CS25" i="1106" s="1"/>
  <c r="CU25" i="1106" s="1"/>
  <c r="BZ24" i="1106"/>
  <c r="CP24" i="1106" s="1"/>
  <c r="BP24" i="1106"/>
  <c r="CF24" i="1106" s="1"/>
  <c r="BO24" i="1106"/>
  <c r="CE24" i="1106" s="1"/>
  <c r="BQ24" i="1106"/>
  <c r="CG24" i="1106" s="1"/>
  <c r="CA24" i="1106"/>
  <c r="CQ24" i="1106" s="1"/>
  <c r="CB24" i="1106"/>
  <c r="CR24" i="1106" s="1"/>
  <c r="BY24" i="1106"/>
  <c r="CO24" i="1106" s="1"/>
  <c r="BW24" i="1106"/>
  <c r="CM24" i="1106" s="1"/>
  <c r="BV24" i="1106"/>
  <c r="CL24" i="1106" s="1"/>
  <c r="BN24" i="1106"/>
  <c r="CD24" i="1106" s="1"/>
  <c r="BT24" i="1106"/>
  <c r="CJ24" i="1106" s="1"/>
  <c r="BS24" i="1106"/>
  <c r="CI24" i="1106" s="1"/>
  <c r="BU24" i="1106"/>
  <c r="CK24" i="1106" s="1"/>
  <c r="BR24" i="1106"/>
  <c r="CH24" i="1106" s="1"/>
  <c r="I15" i="1109"/>
  <c r="I15" i="1113"/>
  <c r="I15" i="1110"/>
  <c r="G53" i="186"/>
  <c r="I15" i="1112"/>
  <c r="I15" i="1108"/>
  <c r="F18" i="1118"/>
  <c r="B311" i="1103"/>
  <c r="I15" i="1115"/>
  <c r="G53" i="1113"/>
  <c r="I15" i="1111"/>
  <c r="F17" i="1114"/>
  <c r="G53" i="1108"/>
  <c r="G29" i="1112"/>
  <c r="I15" i="1114"/>
  <c r="F15" i="1110"/>
  <c r="G15" i="1113"/>
  <c r="G32" i="12"/>
  <c r="F18" i="1116"/>
  <c r="G29" i="1114"/>
  <c r="B175" i="1103"/>
  <c r="A8" i="1118"/>
  <c r="F17" i="1113"/>
  <c r="G53" i="1115"/>
  <c r="F14" i="1109"/>
  <c r="F17" i="1110"/>
  <c r="B260" i="1103"/>
  <c r="A8" i="1110"/>
  <c r="F15" i="1116"/>
  <c r="G53" i="1109"/>
  <c r="G53" i="308"/>
  <c r="F18" i="1111"/>
  <c r="K32" i="12"/>
  <c r="G53" i="311"/>
  <c r="I53" i="311" s="1"/>
  <c r="L32" i="12"/>
  <c r="G53" i="1116"/>
  <c r="G29" i="1117"/>
  <c r="A8" i="1116"/>
  <c r="G53" i="187"/>
  <c r="F14" i="1111"/>
  <c r="G29" i="1109"/>
  <c r="G53" i="298"/>
  <c r="G29" i="1118"/>
  <c r="F14" i="1114"/>
  <c r="F15" i="1111"/>
  <c r="G29" i="1119"/>
  <c r="G53" i="303"/>
  <c r="F18" i="1109"/>
  <c r="A8" i="1117"/>
  <c r="G29" i="1115"/>
  <c r="F15" i="1108"/>
  <c r="B277" i="1103"/>
  <c r="B209" i="1103"/>
  <c r="B158" i="1103"/>
  <c r="G53" i="179"/>
  <c r="F15" i="1117"/>
  <c r="A8" i="1112"/>
  <c r="F15" i="1115"/>
  <c r="B226" i="1103"/>
  <c r="G29" i="1116"/>
  <c r="G53" i="1119"/>
  <c r="A8" i="1115"/>
  <c r="G53" i="1112"/>
  <c r="F14" i="1117"/>
  <c r="B141" i="1103"/>
  <c r="G53" i="299"/>
  <c r="G53" i="181"/>
  <c r="G29" i="1113"/>
  <c r="G15" i="1114"/>
  <c r="G53" i="302"/>
  <c r="G53" i="300"/>
  <c r="F15" i="1114"/>
  <c r="G53" i="182"/>
  <c r="G15" i="1111"/>
  <c r="F14" i="1116"/>
  <c r="A8" i="1114"/>
  <c r="F17" i="1112"/>
  <c r="A8" i="1109"/>
  <c r="F17" i="1117"/>
  <c r="C158" i="1103"/>
  <c r="A8" i="1119"/>
  <c r="J32" i="12"/>
  <c r="C141" i="1103"/>
  <c r="A8" i="1113"/>
  <c r="F17" i="1118"/>
  <c r="G53" i="309"/>
  <c r="F15" i="1118"/>
  <c r="C311" i="1103"/>
  <c r="F15" i="1109"/>
  <c r="F17" i="1116"/>
  <c r="G53" i="291"/>
  <c r="F14" i="1118"/>
  <c r="F14" i="1108"/>
  <c r="B243" i="1103"/>
  <c r="G53" i="1111"/>
  <c r="F18" i="1113"/>
  <c r="F18" i="1115"/>
  <c r="G53" i="180"/>
  <c r="G53" i="312"/>
  <c r="I53" i="312" s="1"/>
  <c r="G53" i="294"/>
  <c r="F15" i="1119"/>
  <c r="F17" i="1108"/>
  <c r="C243" i="1103"/>
  <c r="F14" i="1113"/>
  <c r="G53" i="301"/>
  <c r="F15" i="1112"/>
  <c r="F17" i="1115"/>
  <c r="G15" i="1112"/>
  <c r="C226" i="1103"/>
  <c r="C192" i="1103"/>
  <c r="G53" i="1117"/>
  <c r="G29" i="1110"/>
  <c r="F14" i="1115"/>
  <c r="G15" i="1109"/>
  <c r="A8" i="1111"/>
  <c r="C124" i="1103"/>
  <c r="A8" i="1108"/>
  <c r="F17" i="1119"/>
  <c r="G15" i="1115"/>
  <c r="G15" i="1119"/>
  <c r="G53" i="184"/>
  <c r="F18" i="1108"/>
  <c r="G53" i="296"/>
  <c r="G53" i="292"/>
  <c r="F18" i="1114"/>
  <c r="F14" i="1119"/>
  <c r="F18" i="1119"/>
  <c r="F18" i="1112"/>
  <c r="G15" i="1110"/>
  <c r="G53" i="307"/>
  <c r="C175" i="1103"/>
  <c r="B294" i="1103"/>
  <c r="G29" i="1108"/>
  <c r="G53" i="183"/>
  <c r="G53" i="295"/>
  <c r="G29" i="1111"/>
  <c r="C294" i="1103"/>
  <c r="F15" i="1113"/>
  <c r="C209" i="1103"/>
  <c r="F17" i="1111"/>
  <c r="G53" i="1114"/>
  <c r="F14" i="1110"/>
  <c r="F17" i="1109"/>
  <c r="G15" i="1108"/>
  <c r="G53" i="297"/>
  <c r="F18" i="1110"/>
  <c r="F14" i="1112"/>
  <c r="C260" i="1103"/>
  <c r="G53" i="310"/>
  <c r="I53" i="310" s="1"/>
  <c r="C277" i="1103"/>
  <c r="G53" i="1110"/>
  <c r="G53" i="1118"/>
  <c r="G53" i="293"/>
  <c r="B192" i="1103"/>
  <c r="B106" i="261"/>
  <c r="G15" i="1116"/>
  <c r="I15" i="1117"/>
  <c r="G15" i="1117"/>
  <c r="G53" i="306"/>
  <c r="C106" i="261"/>
  <c r="B225" i="261"/>
  <c r="C328" i="1103"/>
  <c r="B123" i="261"/>
  <c r="G53" i="304"/>
  <c r="B345" i="1103"/>
  <c r="I15" i="1118"/>
  <c r="G15" i="1118"/>
  <c r="G53" i="188"/>
  <c r="G53" i="185"/>
  <c r="G53" i="305"/>
  <c r="C123" i="261"/>
  <c r="B242" i="261"/>
  <c r="C242" i="261"/>
  <c r="I15" i="1119"/>
  <c r="I15" i="1116"/>
  <c r="F18" i="1117"/>
  <c r="C225" i="261"/>
  <c r="B328" i="1103"/>
  <c r="C345" i="1103"/>
  <c r="G40" i="12"/>
  <c r="G41" i="12" s="1"/>
  <c r="C140" i="261"/>
  <c r="B259" i="261"/>
  <c r="C259" i="261"/>
  <c r="C362" i="1103"/>
  <c r="B362" i="1103"/>
  <c r="B140" i="261"/>
  <c r="B157" i="261"/>
  <c r="B293" i="261"/>
  <c r="C276" i="261"/>
  <c r="C157" i="261"/>
  <c r="B379" i="1103"/>
  <c r="B276" i="261"/>
  <c r="C379" i="1103"/>
  <c r="C293" i="261"/>
  <c r="B174" i="261"/>
  <c r="C174" i="261"/>
  <c r="C396" i="1103"/>
  <c r="B396" i="1103"/>
  <c r="C327" i="261"/>
  <c r="C413" i="1103"/>
  <c r="C310" i="261"/>
  <c r="B310" i="261"/>
  <c r="B413" i="1103"/>
  <c r="C430" i="1103"/>
  <c r="B327" i="261"/>
  <c r="B430" i="1103"/>
  <c r="C344" i="261"/>
  <c r="B344" i="261"/>
  <c r="B447" i="1103"/>
  <c r="C447" i="1103"/>
  <c r="L82" i="6"/>
  <c r="E82" i="6"/>
  <c r="L428" i="1103"/>
  <c r="M428" i="1103" s="1"/>
  <c r="T428" i="1103"/>
  <c r="U428" i="1103" s="1"/>
  <c r="P428" i="1103"/>
  <c r="Q428" i="1103" s="1"/>
  <c r="T460" i="1103"/>
  <c r="U460" i="1103" s="1"/>
  <c r="L460" i="1103"/>
  <c r="M460" i="1103" s="1"/>
  <c r="P460" i="1103"/>
  <c r="Q460" i="1103" s="1"/>
  <c r="H461" i="1103"/>
  <c r="T444" i="1103"/>
  <c r="U444" i="1103" s="1"/>
  <c r="L444" i="1103"/>
  <c r="M444" i="1103" s="1"/>
  <c r="P444" i="1103"/>
  <c r="Q444" i="1103" s="1"/>
  <c r="H445" i="1103"/>
  <c r="B685" i="1103"/>
  <c r="A702" i="1103"/>
  <c r="C685" i="1103"/>
  <c r="H117" i="1103"/>
  <c r="T116" i="1103"/>
  <c r="U116" i="1103" s="1"/>
  <c r="L116" i="1103"/>
  <c r="M116" i="1103" s="1"/>
  <c r="P116" i="1103"/>
  <c r="Q116" i="1103" s="1"/>
  <c r="H101" i="1103"/>
  <c r="T100" i="1103"/>
  <c r="U100" i="1103" s="1"/>
  <c r="L100" i="1103"/>
  <c r="M100" i="1103" s="1"/>
  <c r="P100" i="1103"/>
  <c r="Q100" i="1103" s="1"/>
  <c r="H85" i="1103"/>
  <c r="T84" i="1103"/>
  <c r="U84" i="1103" s="1"/>
  <c r="L84" i="1103"/>
  <c r="M84" i="1103" s="1"/>
  <c r="P84" i="1103"/>
  <c r="Q84" i="1103" s="1"/>
  <c r="H69" i="1103"/>
  <c r="L68" i="1103"/>
  <c r="M68" i="1103" s="1"/>
  <c r="T68" i="1103"/>
  <c r="U68" i="1103" s="1"/>
  <c r="P68" i="1103"/>
  <c r="Q68" i="1103" s="1"/>
  <c r="B38" i="9"/>
  <c r="J52" i="9"/>
  <c r="O100" i="38"/>
  <c r="L100" i="38"/>
  <c r="S100" i="38"/>
  <c r="P100" i="38"/>
  <c r="M100" i="38"/>
  <c r="J100" i="38"/>
  <c r="R100" i="38"/>
  <c r="Q100" i="38"/>
  <c r="H100" i="38"/>
  <c r="P100" i="262"/>
  <c r="T100" i="262"/>
  <c r="AJ100" i="262"/>
  <c r="H101" i="262"/>
  <c r="R51" i="38" s="1"/>
  <c r="X100" i="262"/>
  <c r="AF100" i="262"/>
  <c r="AB100" i="262"/>
  <c r="L100" i="262"/>
  <c r="B50" i="11"/>
  <c r="J53" i="11"/>
  <c r="B45" i="11"/>
  <c r="P84" i="262"/>
  <c r="T84" i="262"/>
  <c r="AB84" i="262"/>
  <c r="AF84" i="262"/>
  <c r="H85" i="262"/>
  <c r="S48" i="38" s="1"/>
  <c r="AJ84" i="262"/>
  <c r="L84" i="262"/>
  <c r="X84" i="262"/>
  <c r="AJ116" i="262"/>
  <c r="L116" i="262"/>
  <c r="AF116" i="262"/>
  <c r="P116" i="262"/>
  <c r="T116" i="262"/>
  <c r="AB116" i="262"/>
  <c r="X116" i="262"/>
  <c r="H117" i="262"/>
  <c r="Q54" i="38" s="1"/>
  <c r="H363" i="262"/>
  <c r="X363" i="262" s="1"/>
  <c r="V379" i="262"/>
  <c r="AH379" i="262"/>
  <c r="Z379" i="262"/>
  <c r="G394" i="262"/>
  <c r="V103" i="38" s="1"/>
  <c r="G383" i="262"/>
  <c r="G388" i="262"/>
  <c r="G384" i="262"/>
  <c r="G390" i="262"/>
  <c r="G387" i="262"/>
  <c r="G393" i="262"/>
  <c r="U103" i="38" s="1"/>
  <c r="AD379" i="262"/>
  <c r="R379" i="262"/>
  <c r="N379" i="262"/>
  <c r="J379" i="262"/>
  <c r="G381" i="262"/>
  <c r="G380" i="262"/>
  <c r="H103" i="38" s="1"/>
  <c r="G389" i="262"/>
  <c r="G382" i="262"/>
  <c r="G391" i="262"/>
  <c r="S103" i="38" s="1"/>
  <c r="G386" i="262"/>
  <c r="N103" i="38" s="1"/>
  <c r="G385" i="262"/>
  <c r="G392" i="262"/>
  <c r="T103" i="38" s="1"/>
  <c r="F102" i="38"/>
  <c r="K362" i="262"/>
  <c r="M362" i="262"/>
  <c r="AG362" i="262"/>
  <c r="AE362" i="262"/>
  <c r="AI362" i="262"/>
  <c r="AK362" i="262"/>
  <c r="A413" i="262"/>
  <c r="Q362" i="262"/>
  <c r="O362" i="262"/>
  <c r="AA362" i="262"/>
  <c r="AC362" i="262"/>
  <c r="S362" i="262"/>
  <c r="U362" i="262"/>
  <c r="Y362" i="262"/>
  <c r="W362" i="262"/>
  <c r="CB34" i="262"/>
  <c r="P52" i="1103"/>
  <c r="T52" i="1103"/>
  <c r="P34" i="1103"/>
  <c r="T34" i="1103"/>
  <c r="H53" i="1103"/>
  <c r="L52" i="1103"/>
  <c r="H35" i="1103"/>
  <c r="X34" i="1103"/>
  <c r="AF34" i="1103"/>
  <c r="AB34" i="1103"/>
  <c r="L34" i="1103"/>
  <c r="AJ34" i="1103"/>
  <c r="BT34" i="262"/>
  <c r="BX34" i="262"/>
  <c r="BL34" i="262"/>
  <c r="BP34" i="262"/>
  <c r="BD34" i="262"/>
  <c r="BH34" i="262"/>
  <c r="AZ34" i="262"/>
  <c r="AV34" i="262"/>
  <c r="AJ34" i="262"/>
  <c r="AR34" i="262"/>
  <c r="AN34" i="262"/>
  <c r="AJ68" i="262"/>
  <c r="L68" i="262"/>
  <c r="AB68" i="262"/>
  <c r="T68" i="262"/>
  <c r="X68" i="262"/>
  <c r="AF68" i="262"/>
  <c r="P68" i="262"/>
  <c r="AF52" i="262"/>
  <c r="X52" i="262"/>
  <c r="P52" i="262"/>
  <c r="AB52" i="262"/>
  <c r="L52" i="262"/>
  <c r="T52" i="262"/>
  <c r="AJ52" i="262"/>
  <c r="AB34" i="262"/>
  <c r="AF34" i="262"/>
  <c r="T34" i="262"/>
  <c r="X34" i="262"/>
  <c r="L34" i="262"/>
  <c r="P34" i="262"/>
  <c r="B407" i="262"/>
  <c r="B392" i="262"/>
  <c r="B408" i="262"/>
  <c r="B383" i="262"/>
  <c r="B321" i="262"/>
  <c r="B384" i="262"/>
  <c r="B336" i="262"/>
  <c r="B427" i="262"/>
  <c r="A8" i="295"/>
  <c r="B320" i="262"/>
  <c r="V190" i="1"/>
  <c r="X92" i="1"/>
  <c r="W190" i="1"/>
  <c r="X190" i="1" s="1"/>
  <c r="B314" i="262"/>
  <c r="H35" i="262"/>
  <c r="B129" i="38"/>
  <c r="B313" i="262"/>
  <c r="H313" i="262"/>
  <c r="H53" i="262"/>
  <c r="U42" i="38" s="1"/>
  <c r="B411" i="262"/>
  <c r="H69" i="262"/>
  <c r="T45" i="38" s="1"/>
  <c r="B27" i="3"/>
  <c r="C27" i="3" s="1"/>
  <c r="A28" i="3"/>
  <c r="C362" i="262"/>
  <c r="B368" i="262"/>
  <c r="B380" i="262"/>
  <c r="F34" i="6"/>
  <c r="G34" i="6" s="1"/>
  <c r="F66" i="6"/>
  <c r="G66" i="6" s="1"/>
  <c r="D51" i="6"/>
  <c r="B66" i="6"/>
  <c r="H51" i="6"/>
  <c r="H52" i="6"/>
  <c r="H67" i="6"/>
  <c r="L51" i="6"/>
  <c r="L63" i="6"/>
  <c r="L87" i="6"/>
  <c r="F15" i="180"/>
  <c r="A8" i="181"/>
  <c r="F18" i="187"/>
  <c r="E86" i="6"/>
  <c r="L60" i="6"/>
  <c r="G29" i="184"/>
  <c r="E64" i="6"/>
  <c r="K40" i="12"/>
  <c r="K41" i="12" s="1"/>
  <c r="B59" i="6"/>
  <c r="F15" i="181"/>
  <c r="J64" i="11"/>
  <c r="E62" i="6"/>
  <c r="A8" i="180"/>
  <c r="A8" i="312"/>
  <c r="F18" i="182"/>
  <c r="F50" i="6"/>
  <c r="G50" i="6" s="1"/>
  <c r="H65" i="6"/>
  <c r="F17" i="311"/>
  <c r="I42" i="12"/>
  <c r="I78" i="12" s="1"/>
  <c r="I85" i="12" s="1"/>
  <c r="J42" i="12"/>
  <c r="J78" i="12" s="1"/>
  <c r="J85" i="12" s="1"/>
  <c r="H62" i="6"/>
  <c r="I15" i="310"/>
  <c r="L62" i="6"/>
  <c r="G15" i="186"/>
  <c r="F15" i="186"/>
  <c r="J21" i="11"/>
  <c r="H60" i="6"/>
  <c r="G15" i="182"/>
  <c r="G29" i="187"/>
  <c r="D62" i="6"/>
  <c r="F15" i="310"/>
  <c r="A8" i="187"/>
  <c r="F49" i="6"/>
  <c r="G49" i="6" s="1"/>
  <c r="F40" i="12"/>
  <c r="F41" i="12" s="1"/>
  <c r="G29" i="181"/>
  <c r="V32" i="12"/>
  <c r="F18" i="311"/>
  <c r="R40" i="12"/>
  <c r="R41" i="12" s="1"/>
  <c r="P42" i="12"/>
  <c r="H42" i="12"/>
  <c r="H78" i="12" s="1"/>
  <c r="H85" i="12" s="1"/>
  <c r="G15" i="181"/>
  <c r="H50" i="6"/>
  <c r="D49" i="6"/>
  <c r="H48" i="6"/>
  <c r="B89" i="261"/>
  <c r="F17" i="312"/>
  <c r="G15" i="187"/>
  <c r="F17" i="186"/>
  <c r="P40" i="12"/>
  <c r="P41" i="12" s="1"/>
  <c r="B61" i="6"/>
  <c r="D40" i="6"/>
  <c r="E66" i="6"/>
  <c r="B51" i="6"/>
  <c r="H64" i="6"/>
  <c r="H46" i="6"/>
  <c r="D46" i="6"/>
  <c r="H87" i="6"/>
  <c r="F17" i="183"/>
  <c r="F17" i="181"/>
  <c r="F14" i="186"/>
  <c r="F48" i="186" s="1"/>
  <c r="D48" i="186" s="1"/>
  <c r="S40" i="12"/>
  <c r="S41" i="12" s="1"/>
  <c r="H40" i="12"/>
  <c r="H41" i="12" s="1"/>
  <c r="E50" i="6"/>
  <c r="U42" i="12"/>
  <c r="B208" i="261"/>
  <c r="I15" i="311"/>
  <c r="E44" i="6"/>
  <c r="F17" i="185"/>
  <c r="Q40" i="12"/>
  <c r="Q41" i="12" s="1"/>
  <c r="A8" i="179"/>
  <c r="D59" i="6"/>
  <c r="F67" i="6"/>
  <c r="G67" i="6" s="1"/>
  <c r="E52" i="6"/>
  <c r="F62" i="6"/>
  <c r="G62" i="6" s="1"/>
  <c r="G29" i="311"/>
  <c r="J37" i="11"/>
  <c r="F17" i="182"/>
  <c r="B46" i="6"/>
  <c r="E59" i="6"/>
  <c r="L48" i="6"/>
  <c r="E49" i="6"/>
  <c r="E60" i="6"/>
  <c r="F15" i="185"/>
  <c r="K42" i="12"/>
  <c r="K78" i="12" s="1"/>
  <c r="K85" i="12" s="1"/>
  <c r="R42" i="12"/>
  <c r="B191" i="261"/>
  <c r="A8" i="186"/>
  <c r="F17" i="179"/>
  <c r="D63" i="6"/>
  <c r="E61" i="6"/>
  <c r="B44" i="6"/>
  <c r="H44" i="6"/>
  <c r="L43" i="6"/>
  <c r="C55" i="261"/>
  <c r="G15" i="310"/>
  <c r="F48" i="6"/>
  <c r="G48" i="6" s="1"/>
  <c r="F15" i="179"/>
  <c r="B64" i="6"/>
  <c r="F32" i="12"/>
  <c r="G15" i="180"/>
  <c r="F15" i="182"/>
  <c r="H47" i="6"/>
  <c r="E48" i="6"/>
  <c r="L44" i="6"/>
  <c r="D52" i="6"/>
  <c r="G29" i="180"/>
  <c r="C89" i="261"/>
  <c r="E87" i="6"/>
  <c r="F18" i="186"/>
  <c r="F15" i="188"/>
  <c r="L45" i="6"/>
  <c r="F46" i="6"/>
  <c r="G46" i="6" s="1"/>
  <c r="L65" i="6"/>
  <c r="G29" i="310"/>
  <c r="F86" i="6"/>
  <c r="L59" i="6"/>
  <c r="F59" i="6"/>
  <c r="G59" i="6" s="1"/>
  <c r="A8" i="311"/>
  <c r="E43" i="6"/>
  <c r="Q42" i="12"/>
  <c r="L42" i="12"/>
  <c r="L78" i="12" s="1"/>
  <c r="L85" i="12" s="1"/>
  <c r="D43" i="11" s="1"/>
  <c r="E43" i="11" s="1"/>
  <c r="G29" i="183"/>
  <c r="D66" i="6"/>
  <c r="F63" i="6"/>
  <c r="G63" i="6" s="1"/>
  <c r="F60" i="6"/>
  <c r="G60" i="6" s="1"/>
  <c r="G15" i="311"/>
  <c r="F14" i="187"/>
  <c r="F48" i="187" s="1"/>
  <c r="D48" i="187" s="1"/>
  <c r="F14" i="311"/>
  <c r="J27" i="11"/>
  <c r="E45" i="6"/>
  <c r="F14" i="181"/>
  <c r="F48" i="181" s="1"/>
  <c r="D48" i="181" s="1"/>
  <c r="F42" i="12"/>
  <c r="F78" i="12" s="1"/>
  <c r="F85" i="12" s="1"/>
  <c r="H40" i="6"/>
  <c r="F64" i="6"/>
  <c r="G64" i="6" s="1"/>
  <c r="F18" i="185"/>
  <c r="D88" i="6"/>
  <c r="L49" i="6"/>
  <c r="H43" i="6"/>
  <c r="A8" i="310"/>
  <c r="G15" i="184"/>
  <c r="B48" i="6"/>
  <c r="D50" i="6"/>
  <c r="J32" i="11"/>
  <c r="F87" i="6"/>
  <c r="G15" i="183"/>
  <c r="F17" i="188"/>
  <c r="L40" i="12"/>
  <c r="L41" i="12" s="1"/>
  <c r="B56" i="11"/>
  <c r="C72" i="261"/>
  <c r="C191" i="261"/>
  <c r="F15" i="183"/>
  <c r="F17" i="187"/>
  <c r="B21" i="261"/>
  <c r="L67" i="6"/>
  <c r="B65" i="6"/>
  <c r="G42" i="12"/>
  <c r="G78" i="12" s="1"/>
  <c r="G85" i="12" s="1"/>
  <c r="J49" i="11"/>
  <c r="G29" i="182"/>
  <c r="I40" i="12"/>
  <c r="I41" i="12" s="1"/>
  <c r="G29" i="188"/>
  <c r="F45" i="6"/>
  <c r="G45" i="6" s="1"/>
  <c r="H45" i="6"/>
  <c r="F14" i="182"/>
  <c r="F48" i="182" s="1"/>
  <c r="D48" i="182" s="1"/>
  <c r="F44" i="6"/>
  <c r="G44" i="6" s="1"/>
  <c r="H88" i="6"/>
  <c r="L61" i="6"/>
  <c r="B62" i="6"/>
  <c r="F15" i="187"/>
  <c r="E51" i="6"/>
  <c r="L64" i="6"/>
  <c r="F18" i="188"/>
  <c r="L46" i="6"/>
  <c r="A8" i="182"/>
  <c r="J42" i="11"/>
  <c r="G29" i="185"/>
  <c r="L50" i="6"/>
  <c r="F18" i="310"/>
  <c r="F14" i="188"/>
  <c r="F48" i="188" s="1"/>
  <c r="D48" i="188" s="1"/>
  <c r="A8" i="188"/>
  <c r="D43" i="6"/>
  <c r="J40" i="12"/>
  <c r="J41" i="12" s="1"/>
  <c r="G15" i="188"/>
  <c r="D45" i="6"/>
  <c r="A8" i="184"/>
  <c r="G29" i="186"/>
  <c r="H49" i="6"/>
  <c r="B45" i="6"/>
  <c r="P32" i="12"/>
  <c r="H61" i="6"/>
  <c r="F40" i="6"/>
  <c r="G40" i="6" s="1"/>
  <c r="E88" i="6"/>
  <c r="B42" i="11"/>
  <c r="U40" i="12"/>
  <c r="U41" i="12" s="1"/>
  <c r="D48" i="6"/>
  <c r="F18" i="184"/>
  <c r="B63" i="6"/>
  <c r="T42" i="12"/>
  <c r="F61" i="6"/>
  <c r="G61" i="6" s="1"/>
  <c r="B50" i="6"/>
  <c r="F51" i="6"/>
  <c r="G51" i="6" s="1"/>
  <c r="S42" i="12"/>
  <c r="F47" i="6"/>
  <c r="G47" i="6" s="1"/>
  <c r="G15" i="185"/>
  <c r="H63" i="6"/>
  <c r="D47" i="6"/>
  <c r="G15" i="179"/>
  <c r="D87" i="6"/>
  <c r="B40" i="6"/>
  <c r="H59" i="6"/>
  <c r="B47" i="6"/>
  <c r="F15" i="184"/>
  <c r="L88" i="6"/>
  <c r="J16" i="11"/>
  <c r="G15" i="312"/>
  <c r="F18" i="179"/>
  <c r="B38" i="261"/>
  <c r="B72" i="261"/>
  <c r="C38" i="261"/>
  <c r="F14" i="184"/>
  <c r="F48" i="184" s="1"/>
  <c r="D48" i="184" s="1"/>
  <c r="F14" i="180"/>
  <c r="F48" i="180" s="1"/>
  <c r="D48" i="180" s="1"/>
  <c r="J12" i="11"/>
  <c r="C208" i="261"/>
  <c r="F18" i="180"/>
  <c r="H86" i="6"/>
  <c r="B55" i="261"/>
  <c r="F14" i="179"/>
  <c r="F48" i="179" s="1"/>
  <c r="D48" i="179" s="1"/>
  <c r="F88" i="6"/>
  <c r="F14" i="185"/>
  <c r="F48" i="185" s="1"/>
  <c r="D48" i="185" s="1"/>
  <c r="G29" i="179"/>
  <c r="F18" i="181"/>
  <c r="F17" i="180"/>
  <c r="J59" i="11"/>
  <c r="F18" i="183"/>
  <c r="F17" i="184"/>
  <c r="A8" i="185"/>
  <c r="D86" i="6"/>
  <c r="C21" i="261"/>
  <c r="A8" i="183"/>
  <c r="L86" i="6"/>
  <c r="F14" i="183"/>
  <c r="F48" i="183" s="1"/>
  <c r="D48" i="183" s="1"/>
  <c r="B243" i="262"/>
  <c r="C226" i="262"/>
  <c r="B226" i="262"/>
  <c r="C243" i="262"/>
  <c r="B260" i="262"/>
  <c r="C277" i="262"/>
  <c r="C260" i="262"/>
  <c r="B277" i="262"/>
  <c r="B311" i="262"/>
  <c r="C294" i="262"/>
  <c r="B328" i="262"/>
  <c r="C328" i="262"/>
  <c r="B362" i="262"/>
  <c r="B345" i="262"/>
  <c r="B379" i="262"/>
  <c r="C345" i="262"/>
  <c r="C311" i="262"/>
  <c r="B294" i="262"/>
  <c r="C396" i="262"/>
  <c r="B369" i="262"/>
  <c r="G243" i="262"/>
  <c r="N33" i="6"/>
  <c r="F685" i="1103"/>
  <c r="I294" i="262"/>
  <c r="I141" i="1103"/>
  <c r="G208" i="261"/>
  <c r="F225" i="261"/>
  <c r="G225" i="261"/>
  <c r="F259" i="261"/>
  <c r="F140" i="261"/>
  <c r="I566" i="1103"/>
  <c r="N34" i="6"/>
  <c r="I123" i="261"/>
  <c r="N88" i="6"/>
  <c r="N31" i="6"/>
  <c r="N20" i="6"/>
  <c r="F72" i="261"/>
  <c r="I191" i="261"/>
  <c r="I515" i="1103"/>
  <c r="I175" i="1103"/>
  <c r="I276" i="261"/>
  <c r="N37" i="6"/>
  <c r="G226" i="1103"/>
  <c r="I617" i="1103"/>
  <c r="F327" i="261"/>
  <c r="E396" i="262"/>
  <c r="G89" i="261"/>
  <c r="I464" i="1103"/>
  <c r="F191" i="261"/>
  <c r="I294" i="1103"/>
  <c r="I481" i="1103"/>
  <c r="G140" i="261"/>
  <c r="N30" i="6"/>
  <c r="I208" i="261"/>
  <c r="G38" i="261"/>
  <c r="F276" i="261"/>
  <c r="I55" i="261"/>
  <c r="N39" i="6"/>
  <c r="I158" i="262"/>
  <c r="N40" i="6"/>
  <c r="I192" i="262"/>
  <c r="I344" i="261"/>
  <c r="I175" i="262"/>
  <c r="N23" i="6"/>
  <c r="F157" i="261"/>
  <c r="F174" i="261"/>
  <c r="N43" i="6"/>
  <c r="N44" i="6"/>
  <c r="G277" i="262"/>
  <c r="E685" i="1103"/>
  <c r="G226" i="262"/>
  <c r="F31" i="1104"/>
  <c r="I124" i="262"/>
  <c r="I396" i="262"/>
  <c r="I498" i="1103"/>
  <c r="I293" i="261"/>
  <c r="F24" i="1104"/>
  <c r="I242" i="261"/>
  <c r="N38" i="6"/>
  <c r="I209" i="262"/>
  <c r="N29" i="6"/>
  <c r="I259" i="261"/>
  <c r="G294" i="1103"/>
  <c r="F344" i="261"/>
  <c r="I106" i="261"/>
  <c r="I89" i="261"/>
  <c r="F23" i="1104"/>
  <c r="G106" i="261"/>
  <c r="G260" i="1103"/>
  <c r="I243" i="262"/>
  <c r="G243" i="1103"/>
  <c r="F55" i="261"/>
  <c r="F36" i="1104"/>
  <c r="G21" i="261"/>
  <c r="F293" i="261"/>
  <c r="I72" i="261"/>
  <c r="F32" i="1104"/>
  <c r="F21" i="1104"/>
  <c r="N27" i="6"/>
  <c r="F27" i="1104"/>
  <c r="I243" i="1103"/>
  <c r="N32" i="6"/>
  <c r="N22" i="6"/>
  <c r="F28" i="1104"/>
  <c r="F20" i="1104"/>
  <c r="I174" i="261"/>
  <c r="I277" i="262"/>
  <c r="F208" i="261"/>
  <c r="F396" i="262"/>
  <c r="I260" i="1103"/>
  <c r="H396" i="262"/>
  <c r="N45" i="6"/>
  <c r="N87" i="6"/>
  <c r="F29" i="1104"/>
  <c r="I38" i="261"/>
  <c r="N21" i="6"/>
  <c r="G123" i="261"/>
  <c r="I157" i="261"/>
  <c r="F123" i="261"/>
  <c r="I327" i="261"/>
  <c r="G55" i="261"/>
  <c r="G310" i="261"/>
  <c r="I140" i="261"/>
  <c r="I209" i="1103"/>
  <c r="N35" i="6"/>
  <c r="N59" i="6"/>
  <c r="F30" i="1104"/>
  <c r="G344" i="261"/>
  <c r="G72" i="261"/>
  <c r="F35" i="1104"/>
  <c r="I668" i="1103"/>
  <c r="N19" i="6"/>
  <c r="I226" i="1103"/>
  <c r="N61" i="6"/>
  <c r="I124" i="1103"/>
  <c r="G294" i="262"/>
  <c r="I651" i="1103"/>
  <c r="F38" i="261"/>
  <c r="I141" i="262"/>
  <c r="F310" i="261"/>
  <c r="I158" i="1103"/>
  <c r="I225" i="261"/>
  <c r="G157" i="261"/>
  <c r="I260" i="262"/>
  <c r="F242" i="261"/>
  <c r="I583" i="1103"/>
  <c r="I549" i="1103"/>
  <c r="G259" i="261"/>
  <c r="I192" i="1103"/>
  <c r="I600" i="1103"/>
  <c r="I21" i="261"/>
  <c r="F34" i="1104"/>
  <c r="F21" i="261"/>
  <c r="G277" i="1103"/>
  <c r="I532" i="1103"/>
  <c r="N86" i="6"/>
  <c r="G276" i="261"/>
  <c r="I226" i="262"/>
  <c r="I685" i="1103"/>
  <c r="F89" i="261"/>
  <c r="N60" i="6"/>
  <c r="G260" i="262"/>
  <c r="I634" i="1103"/>
  <c r="N24" i="6"/>
  <c r="F22" i="1104"/>
  <c r="F33" i="1104"/>
  <c r="G293" i="261"/>
  <c r="G327" i="261"/>
  <c r="G685" i="1103"/>
  <c r="N28" i="6"/>
  <c r="G396" i="262"/>
  <c r="F106" i="261"/>
  <c r="G174" i="261"/>
  <c r="N36" i="6"/>
  <c r="I277" i="1103"/>
  <c r="I310" i="261"/>
  <c r="G242" i="261"/>
  <c r="B190" i="261" l="1"/>
  <c r="B20" i="261"/>
  <c r="CT25" i="1106"/>
  <c r="Y40" i="12"/>
  <c r="Y41" i="12" s="1"/>
  <c r="X41" i="12"/>
  <c r="X78" i="12"/>
  <c r="X85" i="12" s="1"/>
  <c r="Y42" i="12"/>
  <c r="Y78" i="12" s="1"/>
  <c r="Y85" i="12" s="1"/>
  <c r="CU41" i="1106"/>
  <c r="CT26" i="1106"/>
  <c r="CU39" i="1106"/>
  <c r="CC24" i="1106"/>
  <c r="CS24" i="1106" s="1"/>
  <c r="CU24" i="1106" s="1"/>
  <c r="G187" i="261"/>
  <c r="G185" i="261"/>
  <c r="G182" i="261"/>
  <c r="G181" i="261"/>
  <c r="G176" i="261"/>
  <c r="G184" i="261"/>
  <c r="G180" i="261"/>
  <c r="G188" i="261"/>
  <c r="G175" i="261"/>
  <c r="G183" i="261"/>
  <c r="G179" i="261"/>
  <c r="G178" i="261"/>
  <c r="G189" i="261"/>
  <c r="G186" i="261"/>
  <c r="G177" i="261"/>
  <c r="G351" i="261"/>
  <c r="G349" i="261"/>
  <c r="G354" i="261"/>
  <c r="G358" i="261"/>
  <c r="G350" i="261"/>
  <c r="G352" i="261"/>
  <c r="G346" i="261"/>
  <c r="G356" i="261"/>
  <c r="G348" i="261"/>
  <c r="G355" i="261"/>
  <c r="G357" i="261"/>
  <c r="G353" i="261"/>
  <c r="G359" i="261"/>
  <c r="G347" i="261"/>
  <c r="O34" i="6"/>
  <c r="N583" i="1103"/>
  <c r="G585" i="1103"/>
  <c r="G586" i="1103" s="1"/>
  <c r="G587" i="1103" s="1"/>
  <c r="G588" i="1103" s="1"/>
  <c r="G589" i="1103" s="1"/>
  <c r="G590" i="1103" s="1"/>
  <c r="G591" i="1103" s="1"/>
  <c r="G592" i="1103" s="1"/>
  <c r="G593" i="1103" s="1"/>
  <c r="G594" i="1103" s="1"/>
  <c r="G595" i="1103" s="1"/>
  <c r="G596" i="1103" s="1"/>
  <c r="G597" i="1103" s="1"/>
  <c r="G598" i="1103" s="1"/>
  <c r="J583" i="1103"/>
  <c r="R583" i="1103"/>
  <c r="O60" i="6"/>
  <c r="J141" i="1103"/>
  <c r="R141" i="1103"/>
  <c r="N141" i="1103"/>
  <c r="G143" i="1103"/>
  <c r="G144" i="1103" s="1"/>
  <c r="G145" i="1103" s="1"/>
  <c r="G146" i="1103" s="1"/>
  <c r="G147" i="1103" s="1"/>
  <c r="G148" i="1103" s="1"/>
  <c r="G149" i="1103" s="1"/>
  <c r="G150" i="1103" s="1"/>
  <c r="G151" i="1103" s="1"/>
  <c r="G152" i="1103" s="1"/>
  <c r="G153" i="1103" s="1"/>
  <c r="G154" i="1103" s="1"/>
  <c r="G155" i="1103" s="1"/>
  <c r="G156" i="1103" s="1"/>
  <c r="O20" i="6"/>
  <c r="AD141" i="262"/>
  <c r="N141" i="262"/>
  <c r="G142" i="262"/>
  <c r="H61" i="38" s="1"/>
  <c r="Z141" i="262"/>
  <c r="J141" i="262"/>
  <c r="V141" i="262"/>
  <c r="F60" i="38"/>
  <c r="AH141" i="262"/>
  <c r="R141" i="262"/>
  <c r="N175" i="1103"/>
  <c r="J175" i="1103"/>
  <c r="R175" i="1103"/>
  <c r="G177" i="1103"/>
  <c r="G178" i="1103" s="1"/>
  <c r="G179" i="1103" s="1"/>
  <c r="G180" i="1103" s="1"/>
  <c r="G181" i="1103" s="1"/>
  <c r="G182" i="1103" s="1"/>
  <c r="G183" i="1103" s="1"/>
  <c r="G184" i="1103" s="1"/>
  <c r="G185" i="1103" s="1"/>
  <c r="G186" i="1103" s="1"/>
  <c r="G187" i="1103" s="1"/>
  <c r="G188" i="1103" s="1"/>
  <c r="G189" i="1103" s="1"/>
  <c r="G190" i="1103" s="1"/>
  <c r="O44" i="6"/>
  <c r="G143" i="261"/>
  <c r="G154" i="261"/>
  <c r="G150" i="261"/>
  <c r="G146" i="261"/>
  <c r="G142" i="261"/>
  <c r="G152" i="261"/>
  <c r="G148" i="261"/>
  <c r="G144" i="261"/>
  <c r="G153" i="261"/>
  <c r="G149" i="261"/>
  <c r="G151" i="261"/>
  <c r="G141" i="261"/>
  <c r="G155" i="261"/>
  <c r="G147" i="261"/>
  <c r="G145" i="261"/>
  <c r="G314" i="261"/>
  <c r="G317" i="261"/>
  <c r="G315" i="261"/>
  <c r="G313" i="261"/>
  <c r="G325" i="261"/>
  <c r="G324" i="261"/>
  <c r="G320" i="261"/>
  <c r="G312" i="261"/>
  <c r="G322" i="261"/>
  <c r="G318" i="261"/>
  <c r="G316" i="261"/>
  <c r="G323" i="261"/>
  <c r="G319" i="261"/>
  <c r="G321" i="261"/>
  <c r="O36" i="6"/>
  <c r="N617" i="1103"/>
  <c r="J617" i="1103"/>
  <c r="R617" i="1103"/>
  <c r="G619" i="1103"/>
  <c r="G620" i="1103" s="1"/>
  <c r="G621" i="1103" s="1"/>
  <c r="G622" i="1103" s="1"/>
  <c r="G623" i="1103" s="1"/>
  <c r="G624" i="1103" s="1"/>
  <c r="G625" i="1103" s="1"/>
  <c r="G626" i="1103" s="1"/>
  <c r="G627" i="1103" s="1"/>
  <c r="G628" i="1103" s="1"/>
  <c r="G629" i="1103" s="1"/>
  <c r="G630" i="1103" s="1"/>
  <c r="G631" i="1103" s="1"/>
  <c r="G632" i="1103" s="1"/>
  <c r="G273" i="1103"/>
  <c r="G267" i="1103"/>
  <c r="J260" i="1103"/>
  <c r="G271" i="1103"/>
  <c r="G272" i="1103"/>
  <c r="N260" i="1103"/>
  <c r="G265" i="1103"/>
  <c r="G264" i="1103"/>
  <c r="G269" i="1103"/>
  <c r="G268" i="1103"/>
  <c r="R260" i="1103"/>
  <c r="G275" i="1103"/>
  <c r="G263" i="1103"/>
  <c r="G266" i="1103"/>
  <c r="G274" i="1103"/>
  <c r="G270" i="1103"/>
  <c r="G262" i="1103"/>
  <c r="V260" i="262"/>
  <c r="G269" i="262"/>
  <c r="P82" i="38" s="1"/>
  <c r="G273" i="262"/>
  <c r="T82" i="38" s="1"/>
  <c r="J260" i="262"/>
  <c r="G271" i="262"/>
  <c r="R82" i="38" s="1"/>
  <c r="G266" i="262"/>
  <c r="M82" i="38" s="1"/>
  <c r="G262" i="262"/>
  <c r="I82" i="38" s="1"/>
  <c r="G267" i="262"/>
  <c r="N82" i="38" s="1"/>
  <c r="G272" i="262"/>
  <c r="S82" i="38" s="1"/>
  <c r="N260" i="262"/>
  <c r="F81" i="38"/>
  <c r="AH260" i="262"/>
  <c r="G263" i="262"/>
  <c r="J82" i="38" s="1"/>
  <c r="G261" i="262"/>
  <c r="H82" i="38" s="1"/>
  <c r="G274" i="262"/>
  <c r="U82" i="38" s="1"/>
  <c r="G264" i="262"/>
  <c r="K82" i="38" s="1"/>
  <c r="G270" i="262"/>
  <c r="Q82" i="38" s="1"/>
  <c r="G268" i="262"/>
  <c r="O82" i="38" s="1"/>
  <c r="G275" i="262"/>
  <c r="V82" i="38" s="1"/>
  <c r="Z260" i="262"/>
  <c r="R260" i="262"/>
  <c r="AD260" i="262"/>
  <c r="G265" i="262"/>
  <c r="L82" i="38" s="1"/>
  <c r="R192" i="1103"/>
  <c r="J192" i="1103"/>
  <c r="N192" i="1103"/>
  <c r="G194" i="1103"/>
  <c r="G195" i="1103" s="1"/>
  <c r="G196" i="1103" s="1"/>
  <c r="G197" i="1103" s="1"/>
  <c r="G198" i="1103" s="1"/>
  <c r="G199" i="1103" s="1"/>
  <c r="G200" i="1103" s="1"/>
  <c r="G201" i="1103" s="1"/>
  <c r="G202" i="1103" s="1"/>
  <c r="G203" i="1103" s="1"/>
  <c r="G204" i="1103" s="1"/>
  <c r="G205" i="1103" s="1"/>
  <c r="G206" i="1103" s="1"/>
  <c r="G207" i="1103" s="1"/>
  <c r="J209" i="1103"/>
  <c r="R209" i="1103"/>
  <c r="N209" i="1103"/>
  <c r="G211" i="1103"/>
  <c r="G212" i="1103" s="1"/>
  <c r="G213" i="1103" s="1"/>
  <c r="G214" i="1103" s="1"/>
  <c r="G215" i="1103" s="1"/>
  <c r="G216" i="1103" s="1"/>
  <c r="G217" i="1103" s="1"/>
  <c r="G218" i="1103" s="1"/>
  <c r="G219" i="1103" s="1"/>
  <c r="G220" i="1103" s="1"/>
  <c r="G221" i="1103" s="1"/>
  <c r="G222" i="1103" s="1"/>
  <c r="G223" i="1103" s="1"/>
  <c r="G224" i="1103" s="1"/>
  <c r="O45" i="6"/>
  <c r="G282" i="1103"/>
  <c r="G290" i="1103"/>
  <c r="G287" i="1103"/>
  <c r="J277" i="1103"/>
  <c r="G285" i="1103"/>
  <c r="N277" i="1103"/>
  <c r="G286" i="1103"/>
  <c r="R277" i="1103"/>
  <c r="G289" i="1103"/>
  <c r="G284" i="1103"/>
  <c r="G292" i="1103"/>
  <c r="G281" i="1103"/>
  <c r="G283" i="1103"/>
  <c r="G291" i="1103"/>
  <c r="G288" i="1103"/>
  <c r="G280" i="1103"/>
  <c r="G279" i="1103"/>
  <c r="F84" i="38"/>
  <c r="AD277" i="262"/>
  <c r="G291" i="262"/>
  <c r="U85" i="38" s="1"/>
  <c r="G285" i="262"/>
  <c r="O85" i="38" s="1"/>
  <c r="V277" i="262"/>
  <c r="G284" i="262"/>
  <c r="N85" i="38" s="1"/>
  <c r="G279" i="262"/>
  <c r="I85" i="38" s="1"/>
  <c r="N277" i="262"/>
  <c r="G287" i="262"/>
  <c r="Q85" i="38" s="1"/>
  <c r="G286" i="262"/>
  <c r="P85" i="38" s="1"/>
  <c r="AH277" i="262"/>
  <c r="G280" i="262"/>
  <c r="J85" i="38" s="1"/>
  <c r="G288" i="262"/>
  <c r="R85" i="38" s="1"/>
  <c r="Z277" i="262"/>
  <c r="G290" i="262"/>
  <c r="T85" i="38" s="1"/>
  <c r="G281" i="262"/>
  <c r="K85" i="38" s="1"/>
  <c r="R277" i="262"/>
  <c r="G282" i="262"/>
  <c r="L85" i="38" s="1"/>
  <c r="G289" i="262"/>
  <c r="S85" i="38" s="1"/>
  <c r="J277" i="262"/>
  <c r="G283" i="262"/>
  <c r="M85" i="38" s="1"/>
  <c r="G292" i="262"/>
  <c r="V85" i="38" s="1"/>
  <c r="G278" i="262"/>
  <c r="H85" i="38" s="1"/>
  <c r="R124" i="1103"/>
  <c r="N124" i="1103"/>
  <c r="J124" i="1103"/>
  <c r="G126" i="1103"/>
  <c r="G127" i="1103" s="1"/>
  <c r="G128" i="1103" s="1"/>
  <c r="G129" i="1103" s="1"/>
  <c r="G130" i="1103" s="1"/>
  <c r="G131" i="1103" s="1"/>
  <c r="G132" i="1103" s="1"/>
  <c r="G133" i="1103" s="1"/>
  <c r="G134" i="1103" s="1"/>
  <c r="G135" i="1103" s="1"/>
  <c r="G136" i="1103" s="1"/>
  <c r="G137" i="1103" s="1"/>
  <c r="G138" i="1103" s="1"/>
  <c r="G139" i="1103" s="1"/>
  <c r="AD124" i="262"/>
  <c r="V124" i="262"/>
  <c r="F57" i="38"/>
  <c r="J124" i="262"/>
  <c r="R124" i="262"/>
  <c r="G125" i="262"/>
  <c r="H58" i="38" s="1"/>
  <c r="N124" i="262"/>
  <c r="Z124" i="262"/>
  <c r="AH124" i="262"/>
  <c r="O19" i="6"/>
  <c r="N515" i="1103"/>
  <c r="G517" i="1103"/>
  <c r="G518" i="1103" s="1"/>
  <c r="G519" i="1103" s="1"/>
  <c r="G520" i="1103" s="1"/>
  <c r="G521" i="1103" s="1"/>
  <c r="G522" i="1103" s="1"/>
  <c r="G523" i="1103" s="1"/>
  <c r="G524" i="1103" s="1"/>
  <c r="G525" i="1103" s="1"/>
  <c r="G526" i="1103" s="1"/>
  <c r="G527" i="1103" s="1"/>
  <c r="G528" i="1103" s="1"/>
  <c r="G529" i="1103" s="1"/>
  <c r="G530" i="1103" s="1"/>
  <c r="J515" i="1103"/>
  <c r="R515" i="1103"/>
  <c r="O30" i="6"/>
  <c r="G227" i="261"/>
  <c r="G228" i="261" s="1"/>
  <c r="G229" i="261" s="1"/>
  <c r="G230" i="261" s="1"/>
  <c r="G231" i="261" s="1"/>
  <c r="G232" i="261" s="1"/>
  <c r="G233" i="261" s="1"/>
  <c r="G234" i="261" s="1"/>
  <c r="G235" i="261" s="1"/>
  <c r="G236" i="261" s="1"/>
  <c r="G237" i="261" s="1"/>
  <c r="G238" i="261" s="1"/>
  <c r="G239" i="261" s="1"/>
  <c r="G240" i="261" s="1"/>
  <c r="G307" i="1103"/>
  <c r="J294" i="1103"/>
  <c r="G297" i="1103"/>
  <c r="G309" i="1103"/>
  <c r="G300" i="1103"/>
  <c r="N294" i="1103"/>
  <c r="G301" i="1103"/>
  <c r="G296" i="1103"/>
  <c r="G308" i="1103"/>
  <c r="G298" i="1103"/>
  <c r="G305" i="1103"/>
  <c r="G299" i="1103"/>
  <c r="G306" i="1103"/>
  <c r="R294" i="1103"/>
  <c r="G304" i="1103"/>
  <c r="G302" i="1103"/>
  <c r="G303" i="1103"/>
  <c r="F87" i="38"/>
  <c r="Z294" i="262"/>
  <c r="G305" i="262"/>
  <c r="R88" i="38" s="1"/>
  <c r="AH294" i="262"/>
  <c r="G298" i="262"/>
  <c r="K88" i="38" s="1"/>
  <c r="G304" i="262"/>
  <c r="Q88" i="38" s="1"/>
  <c r="AD294" i="262"/>
  <c r="G302" i="262"/>
  <c r="O88" i="38" s="1"/>
  <c r="G299" i="262"/>
  <c r="L88" i="38" s="1"/>
  <c r="G296" i="262"/>
  <c r="I88" i="38" s="1"/>
  <c r="G309" i="262"/>
  <c r="V88" i="38" s="1"/>
  <c r="G303" i="262"/>
  <c r="P88" i="38" s="1"/>
  <c r="N294" i="262"/>
  <c r="G295" i="262"/>
  <c r="H88" i="38" s="1"/>
  <c r="V294" i="262"/>
  <c r="G308" i="262"/>
  <c r="U88" i="38" s="1"/>
  <c r="G300" i="262"/>
  <c r="M88" i="38" s="1"/>
  <c r="G307" i="262"/>
  <c r="T88" i="38" s="1"/>
  <c r="J294" i="262"/>
  <c r="G301" i="262"/>
  <c r="N88" i="38" s="1"/>
  <c r="R294" i="262"/>
  <c r="G297" i="262"/>
  <c r="J88" i="38" s="1"/>
  <c r="G306" i="262"/>
  <c r="S88" i="38" s="1"/>
  <c r="O33" i="6"/>
  <c r="N566" i="1103"/>
  <c r="J566" i="1103"/>
  <c r="R566" i="1103"/>
  <c r="G568" i="1103"/>
  <c r="G569" i="1103" s="1"/>
  <c r="G570" i="1103" s="1"/>
  <c r="G571" i="1103" s="1"/>
  <c r="G572" i="1103" s="1"/>
  <c r="G573" i="1103" s="1"/>
  <c r="G574" i="1103" s="1"/>
  <c r="G575" i="1103" s="1"/>
  <c r="G576" i="1103" s="1"/>
  <c r="G577" i="1103" s="1"/>
  <c r="G578" i="1103" s="1"/>
  <c r="G579" i="1103" s="1"/>
  <c r="G580" i="1103" s="1"/>
  <c r="G581" i="1103" s="1"/>
  <c r="G170" i="261"/>
  <c r="G166" i="261"/>
  <c r="G164" i="261"/>
  <c r="G162" i="261"/>
  <c r="G160" i="261"/>
  <c r="G158" i="261"/>
  <c r="G171" i="261"/>
  <c r="G167" i="261"/>
  <c r="G163" i="261"/>
  <c r="G159" i="261"/>
  <c r="G172" i="261"/>
  <c r="G168" i="261"/>
  <c r="G169" i="261"/>
  <c r="G165" i="261"/>
  <c r="G161" i="261"/>
  <c r="G339" i="261"/>
  <c r="G337" i="261"/>
  <c r="G333" i="261"/>
  <c r="G332" i="261"/>
  <c r="G336" i="261"/>
  <c r="G335" i="261"/>
  <c r="G331" i="261"/>
  <c r="G330" i="261"/>
  <c r="G342" i="261"/>
  <c r="G334" i="261"/>
  <c r="G341" i="261"/>
  <c r="G340" i="261"/>
  <c r="G338" i="261"/>
  <c r="G329" i="261"/>
  <c r="O38" i="6"/>
  <c r="R651" i="1103"/>
  <c r="J651" i="1103"/>
  <c r="N651" i="1103"/>
  <c r="G653" i="1103"/>
  <c r="G654" i="1103" s="1"/>
  <c r="G655" i="1103" s="1"/>
  <c r="G656" i="1103" s="1"/>
  <c r="G657" i="1103" s="1"/>
  <c r="G658" i="1103" s="1"/>
  <c r="G659" i="1103" s="1"/>
  <c r="G660" i="1103" s="1"/>
  <c r="G661" i="1103" s="1"/>
  <c r="G662" i="1103" s="1"/>
  <c r="G663" i="1103" s="1"/>
  <c r="G664" i="1103" s="1"/>
  <c r="G665" i="1103" s="1"/>
  <c r="G666" i="1103" s="1"/>
  <c r="O35" i="6"/>
  <c r="G602" i="1103"/>
  <c r="G603" i="1103" s="1"/>
  <c r="G604" i="1103" s="1"/>
  <c r="G605" i="1103" s="1"/>
  <c r="G606" i="1103" s="1"/>
  <c r="G607" i="1103" s="1"/>
  <c r="G608" i="1103" s="1"/>
  <c r="G609" i="1103" s="1"/>
  <c r="G610" i="1103" s="1"/>
  <c r="G611" i="1103" s="1"/>
  <c r="G612" i="1103" s="1"/>
  <c r="G613" i="1103" s="1"/>
  <c r="G614" i="1103" s="1"/>
  <c r="G615" i="1103" s="1"/>
  <c r="N600" i="1103"/>
  <c r="J600" i="1103"/>
  <c r="R600" i="1103"/>
  <c r="G261" i="261"/>
  <c r="G271" i="261"/>
  <c r="G267" i="261"/>
  <c r="G265" i="261"/>
  <c r="G272" i="261"/>
  <c r="G268" i="261"/>
  <c r="G270" i="261"/>
  <c r="G263" i="261"/>
  <c r="G266" i="261"/>
  <c r="G264" i="261"/>
  <c r="G262" i="261"/>
  <c r="G274" i="261"/>
  <c r="G273" i="261"/>
  <c r="G269" i="261"/>
  <c r="J634" i="1103"/>
  <c r="N634" i="1103"/>
  <c r="R634" i="1103"/>
  <c r="G636" i="1103"/>
  <c r="G637" i="1103" s="1"/>
  <c r="G638" i="1103" s="1"/>
  <c r="G639" i="1103" s="1"/>
  <c r="G640" i="1103" s="1"/>
  <c r="G641" i="1103" s="1"/>
  <c r="G642" i="1103" s="1"/>
  <c r="G643" i="1103" s="1"/>
  <c r="G644" i="1103" s="1"/>
  <c r="G645" i="1103" s="1"/>
  <c r="G646" i="1103" s="1"/>
  <c r="G647" i="1103" s="1"/>
  <c r="G648" i="1103" s="1"/>
  <c r="G649" i="1103" s="1"/>
  <c r="N668" i="1103"/>
  <c r="O668" i="1103" s="1"/>
  <c r="J668" i="1103"/>
  <c r="M668" i="1103" s="1"/>
  <c r="R668" i="1103"/>
  <c r="U668" i="1103" s="1"/>
  <c r="G670" i="1103"/>
  <c r="G671" i="1103" s="1"/>
  <c r="G672" i="1103" s="1"/>
  <c r="G673" i="1103" s="1"/>
  <c r="G674" i="1103" s="1"/>
  <c r="G675" i="1103" s="1"/>
  <c r="G676" i="1103" s="1"/>
  <c r="G677" i="1103" s="1"/>
  <c r="G678" i="1103" s="1"/>
  <c r="G679" i="1103" s="1"/>
  <c r="G680" i="1103" s="1"/>
  <c r="G681" i="1103" s="1"/>
  <c r="G682" i="1103" s="1"/>
  <c r="G683" i="1103" s="1"/>
  <c r="O32" i="6"/>
  <c r="N549" i="1103"/>
  <c r="R549" i="1103"/>
  <c r="J549" i="1103"/>
  <c r="G551" i="1103"/>
  <c r="G552" i="1103" s="1"/>
  <c r="G553" i="1103" s="1"/>
  <c r="G554" i="1103" s="1"/>
  <c r="G555" i="1103" s="1"/>
  <c r="G556" i="1103" s="1"/>
  <c r="G557" i="1103" s="1"/>
  <c r="G558" i="1103" s="1"/>
  <c r="G559" i="1103" s="1"/>
  <c r="G560" i="1103" s="1"/>
  <c r="G561" i="1103" s="1"/>
  <c r="G562" i="1103" s="1"/>
  <c r="G563" i="1103" s="1"/>
  <c r="G564" i="1103" s="1"/>
  <c r="N498" i="1103"/>
  <c r="J498" i="1103"/>
  <c r="R498" i="1103"/>
  <c r="G500" i="1103"/>
  <c r="G501" i="1103" s="1"/>
  <c r="G502" i="1103" s="1"/>
  <c r="G503" i="1103" s="1"/>
  <c r="G504" i="1103" s="1"/>
  <c r="G505" i="1103" s="1"/>
  <c r="G506" i="1103" s="1"/>
  <c r="G507" i="1103" s="1"/>
  <c r="G508" i="1103" s="1"/>
  <c r="G509" i="1103" s="1"/>
  <c r="G510" i="1103" s="1"/>
  <c r="G511" i="1103" s="1"/>
  <c r="G512" i="1103" s="1"/>
  <c r="G513" i="1103" s="1"/>
  <c r="O29" i="6"/>
  <c r="N481" i="1103"/>
  <c r="R481" i="1103"/>
  <c r="J481" i="1103"/>
  <c r="G483" i="1103"/>
  <c r="G484" i="1103" s="1"/>
  <c r="G485" i="1103" s="1"/>
  <c r="G486" i="1103" s="1"/>
  <c r="G487" i="1103" s="1"/>
  <c r="G488" i="1103" s="1"/>
  <c r="G489" i="1103" s="1"/>
  <c r="G490" i="1103" s="1"/>
  <c r="G491" i="1103" s="1"/>
  <c r="G492" i="1103" s="1"/>
  <c r="G493" i="1103" s="1"/>
  <c r="G494" i="1103" s="1"/>
  <c r="G495" i="1103" s="1"/>
  <c r="G496" i="1103" s="1"/>
  <c r="G248" i="1103"/>
  <c r="G256" i="1103"/>
  <c r="G247" i="1103"/>
  <c r="G251" i="1103"/>
  <c r="R243" i="1103"/>
  <c r="G258" i="1103"/>
  <c r="N243" i="1103"/>
  <c r="G252" i="1103"/>
  <c r="J243" i="1103"/>
  <c r="G257" i="1103"/>
  <c r="G250" i="1103"/>
  <c r="G255" i="1103"/>
  <c r="G254" i="1103"/>
  <c r="G245" i="1103"/>
  <c r="G249" i="1103"/>
  <c r="G246" i="1103"/>
  <c r="G253" i="1103"/>
  <c r="J243" i="262"/>
  <c r="G251" i="262"/>
  <c r="O79" i="38" s="1"/>
  <c r="G252" i="262"/>
  <c r="P79" i="38" s="1"/>
  <c r="G245" i="262"/>
  <c r="I79" i="38" s="1"/>
  <c r="G257" i="262"/>
  <c r="U79" i="38" s="1"/>
  <c r="AD243" i="262"/>
  <c r="G256" i="262"/>
  <c r="T79" i="38" s="1"/>
  <c r="G248" i="262"/>
  <c r="L79" i="38" s="1"/>
  <c r="V243" i="262"/>
  <c r="G246" i="262"/>
  <c r="J79" i="38" s="1"/>
  <c r="G249" i="262"/>
  <c r="M79" i="38" s="1"/>
  <c r="F78" i="38"/>
  <c r="N243" i="262"/>
  <c r="G250" i="262"/>
  <c r="N79" i="38" s="1"/>
  <c r="G247" i="262"/>
  <c r="K79" i="38" s="1"/>
  <c r="AH243" i="262"/>
  <c r="G253" i="262"/>
  <c r="Q79" i="38" s="1"/>
  <c r="G255" i="262"/>
  <c r="S79" i="38" s="1"/>
  <c r="G254" i="262"/>
  <c r="R79" i="38" s="1"/>
  <c r="G258" i="262"/>
  <c r="V79" i="38" s="1"/>
  <c r="G244" i="262"/>
  <c r="H79" i="38" s="1"/>
  <c r="Z243" i="262"/>
  <c r="R243" i="262"/>
  <c r="G129" i="261"/>
  <c r="G127" i="261"/>
  <c r="G124" i="261"/>
  <c r="G126" i="261"/>
  <c r="G125" i="261"/>
  <c r="G136" i="261"/>
  <c r="G138" i="261"/>
  <c r="G137" i="261"/>
  <c r="G135" i="261"/>
  <c r="G132" i="261"/>
  <c r="G130" i="261"/>
  <c r="G133" i="261"/>
  <c r="G131" i="261"/>
  <c r="G134" i="261"/>
  <c r="G128" i="261"/>
  <c r="G301" i="261"/>
  <c r="G297" i="261"/>
  <c r="G302" i="261"/>
  <c r="G300" i="261"/>
  <c r="G304" i="261"/>
  <c r="G308" i="261"/>
  <c r="G298" i="261"/>
  <c r="G296" i="261"/>
  <c r="G307" i="261"/>
  <c r="G295" i="261"/>
  <c r="G303" i="261"/>
  <c r="G299" i="261"/>
  <c r="G305" i="261"/>
  <c r="G306" i="261"/>
  <c r="N158" i="1103"/>
  <c r="R158" i="1103"/>
  <c r="J158" i="1103"/>
  <c r="G160" i="1103"/>
  <c r="G161" i="1103" s="1"/>
  <c r="G162" i="1103" s="1"/>
  <c r="G163" i="1103" s="1"/>
  <c r="G164" i="1103" s="1"/>
  <c r="G165" i="1103" s="1"/>
  <c r="G166" i="1103" s="1"/>
  <c r="G167" i="1103" s="1"/>
  <c r="G168" i="1103" s="1"/>
  <c r="G169" i="1103" s="1"/>
  <c r="G170" i="1103" s="1"/>
  <c r="G171" i="1103" s="1"/>
  <c r="G172" i="1103" s="1"/>
  <c r="G173" i="1103" s="1"/>
  <c r="O21" i="6"/>
  <c r="G159" i="262"/>
  <c r="H64" i="38" s="1"/>
  <c r="J158" i="262"/>
  <c r="V158" i="262"/>
  <c r="AD158" i="262"/>
  <c r="F63" i="38"/>
  <c r="AH158" i="262"/>
  <c r="N158" i="262"/>
  <c r="R158" i="262"/>
  <c r="Z158" i="262"/>
  <c r="R464" i="1103"/>
  <c r="J464" i="1103"/>
  <c r="N464" i="1103"/>
  <c r="G466" i="1103"/>
  <c r="G467" i="1103" s="1"/>
  <c r="G468" i="1103" s="1"/>
  <c r="G469" i="1103" s="1"/>
  <c r="G470" i="1103" s="1"/>
  <c r="G471" i="1103" s="1"/>
  <c r="G472" i="1103" s="1"/>
  <c r="G473" i="1103" s="1"/>
  <c r="G474" i="1103" s="1"/>
  <c r="G475" i="1103" s="1"/>
  <c r="G476" i="1103" s="1"/>
  <c r="G477" i="1103" s="1"/>
  <c r="G478" i="1103" s="1"/>
  <c r="G479" i="1103" s="1"/>
  <c r="G118" i="261"/>
  <c r="G115" i="261"/>
  <c r="G111" i="261"/>
  <c r="G116" i="261"/>
  <c r="G117" i="261"/>
  <c r="G114" i="261"/>
  <c r="G109" i="261"/>
  <c r="G121" i="261"/>
  <c r="G113" i="261"/>
  <c r="G110" i="261"/>
  <c r="G108" i="261"/>
  <c r="G120" i="261"/>
  <c r="G112" i="261"/>
  <c r="G107" i="261"/>
  <c r="G119" i="261"/>
  <c r="G285" i="261"/>
  <c r="G279" i="261"/>
  <c r="G291" i="261"/>
  <c r="G281" i="261"/>
  <c r="G287" i="261"/>
  <c r="G278" i="261"/>
  <c r="G290" i="261"/>
  <c r="G286" i="261"/>
  <c r="G282" i="261"/>
  <c r="G289" i="261"/>
  <c r="G288" i="261"/>
  <c r="G284" i="261"/>
  <c r="G280" i="261"/>
  <c r="G283" i="261"/>
  <c r="O31" i="6"/>
  <c r="R532" i="1103"/>
  <c r="J532" i="1103"/>
  <c r="N532" i="1103"/>
  <c r="G534" i="1103"/>
  <c r="G535" i="1103" s="1"/>
  <c r="G536" i="1103" s="1"/>
  <c r="G537" i="1103" s="1"/>
  <c r="G538" i="1103" s="1"/>
  <c r="G539" i="1103" s="1"/>
  <c r="G540" i="1103" s="1"/>
  <c r="G541" i="1103" s="1"/>
  <c r="G542" i="1103" s="1"/>
  <c r="G543" i="1103" s="1"/>
  <c r="G544" i="1103" s="1"/>
  <c r="G545" i="1103" s="1"/>
  <c r="G546" i="1103" s="1"/>
  <c r="G547" i="1103" s="1"/>
  <c r="G244" i="261"/>
  <c r="G245" i="261"/>
  <c r="G247" i="261"/>
  <c r="G255" i="261"/>
  <c r="G256" i="261"/>
  <c r="G257" i="261"/>
  <c r="G254" i="261"/>
  <c r="G246" i="261"/>
  <c r="G252" i="261"/>
  <c r="G253" i="261"/>
  <c r="G250" i="261"/>
  <c r="G251" i="261"/>
  <c r="G248" i="261"/>
  <c r="G249" i="261"/>
  <c r="O61" i="6"/>
  <c r="G241" i="1103"/>
  <c r="G234" i="1103"/>
  <c r="G230" i="1103"/>
  <c r="R226" i="1103"/>
  <c r="G240" i="1103"/>
  <c r="G233" i="1103"/>
  <c r="G229" i="1103"/>
  <c r="G236" i="1103"/>
  <c r="G239" i="1103"/>
  <c r="G228" i="1103"/>
  <c r="G232" i="1103"/>
  <c r="J226" i="1103"/>
  <c r="G238" i="1103"/>
  <c r="N226" i="1103"/>
  <c r="G231" i="1103"/>
  <c r="G237" i="1103"/>
  <c r="G235" i="1103"/>
  <c r="Z226" i="262"/>
  <c r="G234" i="262"/>
  <c r="O76" i="38" s="1"/>
  <c r="G236" i="262"/>
  <c r="Q76" i="38" s="1"/>
  <c r="G238" i="262"/>
  <c r="S76" i="38" s="1"/>
  <c r="J226" i="262"/>
  <c r="G237" i="262"/>
  <c r="R76" i="38" s="1"/>
  <c r="V226" i="262"/>
  <c r="G233" i="262"/>
  <c r="N76" i="38" s="1"/>
  <c r="G231" i="262"/>
  <c r="L76" i="38" s="1"/>
  <c r="AD226" i="262"/>
  <c r="G240" i="262"/>
  <c r="U76" i="38" s="1"/>
  <c r="G227" i="262"/>
  <c r="H76" i="38" s="1"/>
  <c r="AH226" i="262"/>
  <c r="G241" i="262"/>
  <c r="V76" i="38" s="1"/>
  <c r="G229" i="262"/>
  <c r="J76" i="38" s="1"/>
  <c r="F75" i="38"/>
  <c r="N226" i="262"/>
  <c r="G239" i="262"/>
  <c r="T76" i="38" s="1"/>
  <c r="G228" i="262"/>
  <c r="I76" i="38" s="1"/>
  <c r="R226" i="262"/>
  <c r="G232" i="262"/>
  <c r="M76" i="38" s="1"/>
  <c r="G230" i="262"/>
  <c r="K76" i="38" s="1"/>
  <c r="G235" i="262"/>
  <c r="P76" i="38" s="1"/>
  <c r="F24" i="1117"/>
  <c r="I26" i="1117" s="1"/>
  <c r="D18" i="1117"/>
  <c r="G52" i="188"/>
  <c r="G51" i="188"/>
  <c r="I53" i="304"/>
  <c r="G24" i="304"/>
  <c r="R32" i="304"/>
  <c r="R31" i="304"/>
  <c r="L32" i="304"/>
  <c r="G46" i="304"/>
  <c r="G16" i="1116"/>
  <c r="H15" i="1116"/>
  <c r="K15" i="1116"/>
  <c r="R32" i="1118"/>
  <c r="R31" i="1118"/>
  <c r="L32" i="1118"/>
  <c r="I53" i="1118"/>
  <c r="G24" i="1118"/>
  <c r="H15" i="1108"/>
  <c r="K15" i="1108"/>
  <c r="G16" i="1108"/>
  <c r="D17" i="1111"/>
  <c r="F46" i="1111"/>
  <c r="G27" i="1111"/>
  <c r="D18" i="1112"/>
  <c r="F24" i="1112"/>
  <c r="F26" i="1112" s="1"/>
  <c r="D26" i="1112" s="1"/>
  <c r="I53" i="292"/>
  <c r="G24" i="292"/>
  <c r="R32" i="292"/>
  <c r="R31" i="292"/>
  <c r="L32" i="292"/>
  <c r="G46" i="292"/>
  <c r="K15" i="1119"/>
  <c r="H15" i="1119"/>
  <c r="G16" i="1119"/>
  <c r="G27" i="1110"/>
  <c r="K15" i="1112"/>
  <c r="G16" i="1112"/>
  <c r="H15" i="1112"/>
  <c r="D14" i="1113"/>
  <c r="G14" i="1113"/>
  <c r="I14" i="1113"/>
  <c r="F48" i="1113"/>
  <c r="D48" i="1113" s="1"/>
  <c r="F35" i="1113"/>
  <c r="D35" i="1113" s="1"/>
  <c r="I53" i="294"/>
  <c r="G46" i="294"/>
  <c r="I46" i="294" s="1"/>
  <c r="F24" i="1113"/>
  <c r="F26" i="1113" s="1"/>
  <c r="D26" i="1113" s="1"/>
  <c r="D18" i="1113"/>
  <c r="G14" i="1118"/>
  <c r="F48" i="1118"/>
  <c r="D48" i="1118" s="1"/>
  <c r="D14" i="1118"/>
  <c r="I14" i="1118"/>
  <c r="I49" i="1118" s="1"/>
  <c r="F35" i="1118"/>
  <c r="D15" i="1114"/>
  <c r="F16" i="1114"/>
  <c r="D16" i="1114" s="1"/>
  <c r="F49" i="1114"/>
  <c r="D49" i="1114" s="1"/>
  <c r="G27" i="1113"/>
  <c r="D14" i="1117"/>
  <c r="I14" i="1117"/>
  <c r="I49" i="1117" s="1"/>
  <c r="F48" i="1117"/>
  <c r="D48" i="1117" s="1"/>
  <c r="G14" i="1117"/>
  <c r="G49" i="1117" s="1"/>
  <c r="F35" i="1117"/>
  <c r="D35" i="1117" s="1"/>
  <c r="G27" i="1116"/>
  <c r="F16" i="1117"/>
  <c r="D16" i="1117" s="1"/>
  <c r="F49" i="1117"/>
  <c r="D15" i="1117"/>
  <c r="F24" i="1109"/>
  <c r="D18" i="1109"/>
  <c r="F35" i="1114"/>
  <c r="D35" i="1114" s="1"/>
  <c r="G14" i="1114"/>
  <c r="F48" i="1114"/>
  <c r="D48" i="1114" s="1"/>
  <c r="D14" i="1114"/>
  <c r="I14" i="1114"/>
  <c r="I49" i="1114" s="1"/>
  <c r="D14" i="1111"/>
  <c r="I14" i="1111"/>
  <c r="I49" i="1111" s="1"/>
  <c r="G14" i="1111"/>
  <c r="F48" i="1111"/>
  <c r="D48" i="1111" s="1"/>
  <c r="F35" i="1111"/>
  <c r="D35" i="1111" s="1"/>
  <c r="G24" i="1116"/>
  <c r="R31" i="1116"/>
  <c r="L32" i="1116"/>
  <c r="I53" i="1116"/>
  <c r="R32" i="1116"/>
  <c r="F24" i="1111"/>
  <c r="F26" i="1111" s="1"/>
  <c r="D18" i="1111"/>
  <c r="G24" i="1115"/>
  <c r="R31" i="1115"/>
  <c r="G51" i="1115"/>
  <c r="K55" i="1115"/>
  <c r="L32" i="1115"/>
  <c r="G52" i="1115"/>
  <c r="I53" i="1115"/>
  <c r="R32" i="1115"/>
  <c r="G27" i="1114"/>
  <c r="F16" i="1110"/>
  <c r="D16" i="1110" s="1"/>
  <c r="F49" i="1110"/>
  <c r="D15" i="1110"/>
  <c r="D17" i="1114"/>
  <c r="F46" i="1114"/>
  <c r="G51" i="186"/>
  <c r="G52" i="186"/>
  <c r="I16" i="1116"/>
  <c r="K15" i="1118"/>
  <c r="G16" i="1118"/>
  <c r="H15" i="1118"/>
  <c r="I53" i="306"/>
  <c r="L32" i="306"/>
  <c r="R32" i="306"/>
  <c r="R31" i="306"/>
  <c r="G24" i="306"/>
  <c r="G46" i="306"/>
  <c r="I53" i="1110"/>
  <c r="R32" i="1110"/>
  <c r="K55" i="1110"/>
  <c r="G51" i="1110"/>
  <c r="G52" i="1110"/>
  <c r="R31" i="1110"/>
  <c r="L32" i="1110"/>
  <c r="G24" i="1110"/>
  <c r="G14" i="1112"/>
  <c r="F48" i="1112"/>
  <c r="D48" i="1112" s="1"/>
  <c r="D14" i="1112"/>
  <c r="I14" i="1112"/>
  <c r="F35" i="1112"/>
  <c r="D35" i="1112" s="1"/>
  <c r="D17" i="1109"/>
  <c r="F46" i="1109"/>
  <c r="D46" i="1109" s="1"/>
  <c r="I53" i="295"/>
  <c r="G46" i="295"/>
  <c r="I46" i="295" s="1"/>
  <c r="D18" i="1119"/>
  <c r="F24" i="1119"/>
  <c r="I26" i="1119" s="1"/>
  <c r="I53" i="296"/>
  <c r="G46" i="296"/>
  <c r="I46" i="296" s="1"/>
  <c r="K15" i="1115"/>
  <c r="G16" i="1115"/>
  <c r="H15" i="1115"/>
  <c r="G24" i="1117"/>
  <c r="R31" i="1117"/>
  <c r="L32" i="1117"/>
  <c r="R32" i="1117"/>
  <c r="I53" i="1117"/>
  <c r="D17" i="1115"/>
  <c r="F46" i="1115"/>
  <c r="I53" i="1111"/>
  <c r="G51" i="1111"/>
  <c r="G52" i="1111"/>
  <c r="K55" i="1111"/>
  <c r="L32" i="1111"/>
  <c r="R32" i="1111"/>
  <c r="R31" i="1111"/>
  <c r="G24" i="1111"/>
  <c r="I53" i="291"/>
  <c r="R32" i="291"/>
  <c r="G24" i="291"/>
  <c r="R31" i="291"/>
  <c r="L32" i="291"/>
  <c r="G46" i="291"/>
  <c r="D15" i="1118"/>
  <c r="F16" i="1118"/>
  <c r="D16" i="1118" s="1"/>
  <c r="F49" i="1118"/>
  <c r="D17" i="1117"/>
  <c r="F46" i="1117"/>
  <c r="F35" i="1116"/>
  <c r="D35" i="1116" s="1"/>
  <c r="G14" i="1116"/>
  <c r="G49" i="1116" s="1"/>
  <c r="F48" i="1116"/>
  <c r="D48" i="1116" s="1"/>
  <c r="I14" i="1116"/>
  <c r="I49" i="1116" s="1"/>
  <c r="D14" i="1116"/>
  <c r="I53" i="300"/>
  <c r="R31" i="300"/>
  <c r="L32" i="300"/>
  <c r="G24" i="300"/>
  <c r="R32" i="300"/>
  <c r="G46" i="300"/>
  <c r="G51" i="181"/>
  <c r="G52" i="181"/>
  <c r="G24" i="1112"/>
  <c r="R31" i="1112"/>
  <c r="L32" i="1112"/>
  <c r="I53" i="1112"/>
  <c r="K55" i="1112"/>
  <c r="R32" i="1112"/>
  <c r="G51" i="1112"/>
  <c r="G52" i="1112"/>
  <c r="G52" i="179"/>
  <c r="G51" i="179"/>
  <c r="D15" i="1108"/>
  <c r="F49" i="1108"/>
  <c r="D49" i="1108" s="1"/>
  <c r="F16" i="1108"/>
  <c r="D16" i="1108" s="1"/>
  <c r="I53" i="303"/>
  <c r="R32" i="303"/>
  <c r="R31" i="303"/>
  <c r="L32" i="303"/>
  <c r="G24" i="303"/>
  <c r="G46" i="303"/>
  <c r="G27" i="1118"/>
  <c r="G52" i="187"/>
  <c r="G51" i="187"/>
  <c r="I53" i="308"/>
  <c r="L32" i="308"/>
  <c r="G24" i="308"/>
  <c r="R31" i="308"/>
  <c r="R32" i="308"/>
  <c r="G46" i="308"/>
  <c r="D17" i="1113"/>
  <c r="F46" i="1113"/>
  <c r="D18" i="1116"/>
  <c r="F24" i="1116"/>
  <c r="I26" i="1116" s="1"/>
  <c r="I16" i="1114"/>
  <c r="I16" i="1111"/>
  <c r="D18" i="1118"/>
  <c r="F24" i="1118"/>
  <c r="I16" i="1110"/>
  <c r="I16" i="1119"/>
  <c r="I53" i="305"/>
  <c r="G24" i="305"/>
  <c r="L32" i="305"/>
  <c r="R32" i="305"/>
  <c r="R31" i="305"/>
  <c r="G46" i="305"/>
  <c r="I16" i="1118"/>
  <c r="H15" i="1117"/>
  <c r="K15" i="1117"/>
  <c r="G16" i="1117"/>
  <c r="D18" i="1110"/>
  <c r="F24" i="1110"/>
  <c r="I26" i="1110" s="1"/>
  <c r="G14" i="1110"/>
  <c r="G49" i="1110" s="1"/>
  <c r="D14" i="1110"/>
  <c r="F48" i="1110"/>
  <c r="D48" i="1110" s="1"/>
  <c r="I14" i="1110"/>
  <c r="F35" i="1110"/>
  <c r="D35" i="1110" s="1"/>
  <c r="F16" i="1113"/>
  <c r="D16" i="1113" s="1"/>
  <c r="D15" i="1113"/>
  <c r="F49" i="1113"/>
  <c r="G52" i="183"/>
  <c r="G51" i="183"/>
  <c r="I53" i="307"/>
  <c r="G46" i="307"/>
  <c r="I46" i="307" s="1"/>
  <c r="F35" i="1119"/>
  <c r="D35" i="1119" s="1"/>
  <c r="D14" i="1119"/>
  <c r="G14" i="1119"/>
  <c r="F48" i="1119"/>
  <c r="D48" i="1119" s="1"/>
  <c r="I14" i="1119"/>
  <c r="I49" i="1119" s="1"/>
  <c r="D18" i="1108"/>
  <c r="F24" i="1108"/>
  <c r="F26" i="1108" s="1"/>
  <c r="D26" i="1108" s="1"/>
  <c r="D17" i="1119"/>
  <c r="F46" i="1119"/>
  <c r="D46" i="1119" s="1"/>
  <c r="G16" i="1109"/>
  <c r="H15" i="1109"/>
  <c r="K15" i="1109"/>
  <c r="D15" i="1112"/>
  <c r="F49" i="1112"/>
  <c r="D49" i="1112" s="1"/>
  <c r="F16" i="1112"/>
  <c r="D16" i="1112" s="1"/>
  <c r="F46" i="1108"/>
  <c r="D17" i="1108"/>
  <c r="G52" i="180"/>
  <c r="G51" i="180"/>
  <c r="F46" i="1116"/>
  <c r="D17" i="1116"/>
  <c r="I53" i="309"/>
  <c r="G46" i="309"/>
  <c r="I46" i="309" s="1"/>
  <c r="H15" i="1111"/>
  <c r="G16" i="1111"/>
  <c r="K15" i="1111"/>
  <c r="I53" i="302"/>
  <c r="L32" i="302"/>
  <c r="R31" i="302"/>
  <c r="R32" i="302"/>
  <c r="G24" i="302"/>
  <c r="G46" i="302"/>
  <c r="I53" i="299"/>
  <c r="R32" i="299"/>
  <c r="L32" i="299"/>
  <c r="R31" i="299"/>
  <c r="G24" i="299"/>
  <c r="G46" i="299"/>
  <c r="F16" i="1115"/>
  <c r="D16" i="1115" s="1"/>
  <c r="D15" i="1115"/>
  <c r="F49" i="1115"/>
  <c r="G27" i="1115"/>
  <c r="G27" i="1119"/>
  <c r="I53" i="298"/>
  <c r="G46" i="298"/>
  <c r="I46" i="298" s="1"/>
  <c r="K55" i="1109"/>
  <c r="R31" i="1109"/>
  <c r="I53" i="1109"/>
  <c r="R32" i="1109"/>
  <c r="G51" i="1109"/>
  <c r="G52" i="1109"/>
  <c r="L32" i="1109"/>
  <c r="G24" i="1109"/>
  <c r="D17" i="1110"/>
  <c r="F46" i="1110"/>
  <c r="G27" i="1112"/>
  <c r="G24" i="1113"/>
  <c r="R31" i="1113"/>
  <c r="G52" i="1113"/>
  <c r="K55" i="1113"/>
  <c r="R32" i="1113"/>
  <c r="G51" i="1113"/>
  <c r="L32" i="1113"/>
  <c r="I53" i="1113"/>
  <c r="I16" i="1108"/>
  <c r="I16" i="1113"/>
  <c r="G52" i="185"/>
  <c r="G51" i="185"/>
  <c r="I16" i="1117"/>
  <c r="I53" i="293"/>
  <c r="R32" i="293"/>
  <c r="L32" i="293"/>
  <c r="R31" i="293"/>
  <c r="G24" i="293"/>
  <c r="G46" i="293"/>
  <c r="I53" i="297"/>
  <c r="G46" i="297"/>
  <c r="I46" i="297" s="1"/>
  <c r="R31" i="1114"/>
  <c r="L32" i="1114"/>
  <c r="K55" i="1114"/>
  <c r="G52" i="1114"/>
  <c r="G51" i="1114"/>
  <c r="R32" i="1114"/>
  <c r="I53" i="1114"/>
  <c r="G24" i="1114"/>
  <c r="G27" i="1108"/>
  <c r="K15" i="1110"/>
  <c r="H15" i="1110"/>
  <c r="G16" i="1110"/>
  <c r="F24" i="1114"/>
  <c r="F26" i="1114" s="1"/>
  <c r="D26" i="1114" s="1"/>
  <c r="D18" i="1114"/>
  <c r="G52" i="184"/>
  <c r="G51" i="184"/>
  <c r="I14" i="1115"/>
  <c r="I49" i="1115" s="1"/>
  <c r="G14" i="1115"/>
  <c r="F48" i="1115"/>
  <c r="D48" i="1115" s="1"/>
  <c r="D14" i="1115"/>
  <c r="F35" i="1115"/>
  <c r="D35" i="1115" s="1"/>
  <c r="I53" i="301"/>
  <c r="L32" i="301"/>
  <c r="R31" i="301"/>
  <c r="G24" i="301"/>
  <c r="R32" i="301"/>
  <c r="G46" i="301"/>
  <c r="D15" i="1119"/>
  <c r="F49" i="1119"/>
  <c r="F16" i="1119"/>
  <c r="D16" i="1119" s="1"/>
  <c r="F24" i="1115"/>
  <c r="F26" i="1115" s="1"/>
  <c r="D26" i="1115" s="1"/>
  <c r="D18" i="1115"/>
  <c r="I14" i="1108"/>
  <c r="I49" i="1108" s="1"/>
  <c r="D14" i="1108"/>
  <c r="G14" i="1108"/>
  <c r="F48" i="1108"/>
  <c r="D48" i="1108" s="1"/>
  <c r="F35" i="1108"/>
  <c r="D35" i="1108" s="1"/>
  <c r="D15" i="1109"/>
  <c r="F49" i="1109"/>
  <c r="F16" i="1109"/>
  <c r="D16" i="1109" s="1"/>
  <c r="D17" i="1118"/>
  <c r="F46" i="1118"/>
  <c r="F46" i="1112"/>
  <c r="D17" i="1112"/>
  <c r="G52" i="182"/>
  <c r="G51" i="182"/>
  <c r="H15" i="1114"/>
  <c r="K15" i="1114"/>
  <c r="G16" i="1114"/>
  <c r="G24" i="1119"/>
  <c r="I53" i="1119"/>
  <c r="L32" i="1119"/>
  <c r="R31" i="1119"/>
  <c r="R32" i="1119"/>
  <c r="D15" i="1111"/>
  <c r="F16" i="1111"/>
  <c r="D16" i="1111" s="1"/>
  <c r="F49" i="1111"/>
  <c r="D49" i="1111" s="1"/>
  <c r="G27" i="1109"/>
  <c r="G27" i="1117"/>
  <c r="F16" i="1116"/>
  <c r="D16" i="1116" s="1"/>
  <c r="F49" i="1116"/>
  <c r="D15" i="1116"/>
  <c r="I14" i="1109"/>
  <c r="D14" i="1109"/>
  <c r="F48" i="1109"/>
  <c r="D48" i="1109" s="1"/>
  <c r="G14" i="1109"/>
  <c r="F35" i="1109"/>
  <c r="D35" i="1109" s="1"/>
  <c r="H15" i="1113"/>
  <c r="K15" i="1113"/>
  <c r="G16" i="1113"/>
  <c r="G24" i="1108"/>
  <c r="G51" i="1108"/>
  <c r="L32" i="1108"/>
  <c r="I53" i="1108"/>
  <c r="K55" i="1108"/>
  <c r="R31" i="1108"/>
  <c r="R32" i="1108"/>
  <c r="G52" i="1108"/>
  <c r="I16" i="1115"/>
  <c r="I16" i="1112"/>
  <c r="I16" i="1109"/>
  <c r="N685" i="1103"/>
  <c r="R685" i="1103"/>
  <c r="J685" i="1103"/>
  <c r="B702" i="1103"/>
  <c r="A719" i="1103"/>
  <c r="C702" i="1103"/>
  <c r="T445" i="1103"/>
  <c r="U445" i="1103" s="1"/>
  <c r="P445" i="1103"/>
  <c r="Q445" i="1103" s="1"/>
  <c r="L445" i="1103"/>
  <c r="M445" i="1103" s="1"/>
  <c r="T461" i="1103"/>
  <c r="U461" i="1103" s="1"/>
  <c r="L461" i="1103"/>
  <c r="M461" i="1103" s="1"/>
  <c r="P461" i="1103"/>
  <c r="Q461" i="1103" s="1"/>
  <c r="H462" i="1103"/>
  <c r="G687" i="1103"/>
  <c r="G688" i="1103" s="1"/>
  <c r="G689" i="1103" s="1"/>
  <c r="G690" i="1103" s="1"/>
  <c r="G691" i="1103" s="1"/>
  <c r="G692" i="1103" s="1"/>
  <c r="G693" i="1103" s="1"/>
  <c r="G694" i="1103" s="1"/>
  <c r="G695" i="1103" s="1"/>
  <c r="G696" i="1103" s="1"/>
  <c r="G697" i="1103" s="1"/>
  <c r="G698" i="1103" s="1"/>
  <c r="G699" i="1103" s="1"/>
  <c r="G700" i="1103" s="1"/>
  <c r="H118" i="1103"/>
  <c r="T117" i="1103"/>
  <c r="U117" i="1103" s="1"/>
  <c r="L117" i="1103"/>
  <c r="M117" i="1103" s="1"/>
  <c r="P117" i="1103"/>
  <c r="Q117" i="1103" s="1"/>
  <c r="H102" i="1103"/>
  <c r="T101" i="1103"/>
  <c r="U101" i="1103" s="1"/>
  <c r="L101" i="1103"/>
  <c r="M101" i="1103" s="1"/>
  <c r="P101" i="1103"/>
  <c r="Q101" i="1103" s="1"/>
  <c r="H86" i="1103"/>
  <c r="T85" i="1103"/>
  <c r="U85" i="1103" s="1"/>
  <c r="L85" i="1103"/>
  <c r="M85" i="1103" s="1"/>
  <c r="P85" i="1103"/>
  <c r="Q85" i="1103" s="1"/>
  <c r="H70" i="1103"/>
  <c r="L69" i="1103"/>
  <c r="M69" i="1103" s="1"/>
  <c r="T69" i="1103"/>
  <c r="U69" i="1103" s="1"/>
  <c r="P69" i="1103"/>
  <c r="Q69" i="1103" s="1"/>
  <c r="J53" i="9"/>
  <c r="B39" i="9"/>
  <c r="F72" i="38"/>
  <c r="F69" i="38"/>
  <c r="F66" i="38"/>
  <c r="L363" i="262"/>
  <c r="T363" i="262"/>
  <c r="M103" i="38"/>
  <c r="J103" i="38"/>
  <c r="P103" i="38"/>
  <c r="Q103" i="38"/>
  <c r="I103" i="38"/>
  <c r="L103" i="38"/>
  <c r="O103" i="38"/>
  <c r="K103" i="38"/>
  <c r="R103" i="38"/>
  <c r="H380" i="262"/>
  <c r="X380" i="262" s="1"/>
  <c r="AJ363" i="262"/>
  <c r="AB363" i="262"/>
  <c r="P363" i="262"/>
  <c r="AF363" i="262"/>
  <c r="F46" i="180"/>
  <c r="F49" i="183"/>
  <c r="F46" i="182"/>
  <c r="F46" i="181"/>
  <c r="F49" i="181"/>
  <c r="F46" i="184"/>
  <c r="F49" i="184"/>
  <c r="F49" i="187"/>
  <c r="F46" i="187"/>
  <c r="F46" i="188"/>
  <c r="F49" i="188"/>
  <c r="F49" i="182"/>
  <c r="F49" i="185"/>
  <c r="F46" i="185"/>
  <c r="F46" i="183"/>
  <c r="F46" i="186"/>
  <c r="F49" i="186"/>
  <c r="F49" i="180"/>
  <c r="F49" i="179"/>
  <c r="F46" i="179"/>
  <c r="G49" i="310"/>
  <c r="I54" i="310"/>
  <c r="I49" i="310"/>
  <c r="F46" i="311"/>
  <c r="G54" i="312"/>
  <c r="K54" i="312" s="1"/>
  <c r="G49" i="312"/>
  <c r="F48" i="311"/>
  <c r="D48" i="311" s="1"/>
  <c r="F49" i="311"/>
  <c r="F47" i="312"/>
  <c r="D47" i="312" s="1"/>
  <c r="F46" i="312"/>
  <c r="F55" i="312"/>
  <c r="D55" i="312" s="1"/>
  <c r="F54" i="310"/>
  <c r="D54" i="310" s="1"/>
  <c r="F49" i="310"/>
  <c r="AF101" i="262"/>
  <c r="X101" i="262"/>
  <c r="AB101" i="262"/>
  <c r="L101" i="262"/>
  <c r="P101" i="262"/>
  <c r="AJ101" i="262"/>
  <c r="T101" i="262"/>
  <c r="H102" i="262"/>
  <c r="S51" i="38" s="1"/>
  <c r="O23" i="6"/>
  <c r="V192" i="262"/>
  <c r="R192" i="262"/>
  <c r="N192" i="262"/>
  <c r="J192" i="262"/>
  <c r="AH192" i="262"/>
  <c r="AD192" i="262"/>
  <c r="Z192" i="262"/>
  <c r="G193" i="262"/>
  <c r="H70" i="38" s="1"/>
  <c r="O24" i="6"/>
  <c r="AD209" i="262"/>
  <c r="Z209" i="262"/>
  <c r="G210" i="262"/>
  <c r="H73" i="38" s="1"/>
  <c r="AH209" i="262"/>
  <c r="N209" i="262"/>
  <c r="J209" i="262"/>
  <c r="V209" i="262"/>
  <c r="R209" i="262"/>
  <c r="O37" i="6"/>
  <c r="O22" i="6"/>
  <c r="V175" i="262"/>
  <c r="R175" i="262"/>
  <c r="N175" i="262"/>
  <c r="J175" i="262"/>
  <c r="AH175" i="262"/>
  <c r="AD175" i="262"/>
  <c r="Z175" i="262"/>
  <c r="G176" i="262"/>
  <c r="H67" i="38" s="1"/>
  <c r="O27" i="6"/>
  <c r="O39" i="6"/>
  <c r="O28" i="6"/>
  <c r="AB117" i="262"/>
  <c r="T117" i="262"/>
  <c r="P117" i="262"/>
  <c r="AF117" i="262"/>
  <c r="L117" i="262"/>
  <c r="AJ117" i="262"/>
  <c r="X117" i="262"/>
  <c r="H118" i="262"/>
  <c r="R54" i="38" s="1"/>
  <c r="P85" i="262"/>
  <c r="T85" i="262"/>
  <c r="L85" i="262"/>
  <c r="X85" i="262"/>
  <c r="AB85" i="262"/>
  <c r="AJ85" i="262"/>
  <c r="AF85" i="262"/>
  <c r="H86" i="262"/>
  <c r="T48" i="38" s="1"/>
  <c r="G24" i="295"/>
  <c r="L32" i="295"/>
  <c r="R32" i="295"/>
  <c r="R31" i="295"/>
  <c r="G24" i="296"/>
  <c r="L32" i="296"/>
  <c r="R32" i="296"/>
  <c r="R31" i="296"/>
  <c r="L32" i="307"/>
  <c r="G24" i="307"/>
  <c r="R31" i="307"/>
  <c r="R32" i="307"/>
  <c r="R31" i="294"/>
  <c r="L32" i="294"/>
  <c r="R32" i="294"/>
  <c r="G24" i="294"/>
  <c r="R31" i="297"/>
  <c r="G24" i="297"/>
  <c r="R32" i="297"/>
  <c r="L32" i="297"/>
  <c r="L32" i="309"/>
  <c r="R32" i="309"/>
  <c r="G24" i="309"/>
  <c r="R31" i="309"/>
  <c r="L32" i="298"/>
  <c r="R32" i="298"/>
  <c r="G24" i="298"/>
  <c r="R31" i="298"/>
  <c r="AD396" i="262"/>
  <c r="N396" i="262"/>
  <c r="Z396" i="262"/>
  <c r="J396" i="262"/>
  <c r="V396" i="262"/>
  <c r="AH396" i="262"/>
  <c r="R396" i="262"/>
  <c r="G405" i="262"/>
  <c r="G407" i="262"/>
  <c r="G411" i="262"/>
  <c r="V106" i="38" s="1"/>
  <c r="G403" i="262"/>
  <c r="G401" i="262"/>
  <c r="G410" i="262"/>
  <c r="U106" i="38" s="1"/>
  <c r="G399" i="262"/>
  <c r="G404" i="262"/>
  <c r="O106" i="38" s="1"/>
  <c r="G402" i="262"/>
  <c r="G409" i="262"/>
  <c r="T106" i="38" s="1"/>
  <c r="G397" i="262"/>
  <c r="H397" i="262" s="1"/>
  <c r="G406" i="262"/>
  <c r="Q106" i="38" s="1"/>
  <c r="G400" i="262"/>
  <c r="K106" i="38" s="1"/>
  <c r="G408" i="262"/>
  <c r="S106" i="38" s="1"/>
  <c r="G398" i="262"/>
  <c r="I106" i="38" s="1"/>
  <c r="F105" i="38"/>
  <c r="A430" i="262"/>
  <c r="B413" i="262"/>
  <c r="C413" i="262"/>
  <c r="M379" i="262"/>
  <c r="K379" i="262"/>
  <c r="U379" i="262"/>
  <c r="S379" i="262"/>
  <c r="AK379" i="262"/>
  <c r="AI379" i="262"/>
  <c r="O379" i="262"/>
  <c r="Q379" i="262"/>
  <c r="AE379" i="262"/>
  <c r="AG379" i="262"/>
  <c r="AC379" i="262"/>
  <c r="AA379" i="262"/>
  <c r="W379" i="262"/>
  <c r="Y379" i="262"/>
  <c r="CB35" i="262"/>
  <c r="P35" i="1103"/>
  <c r="T35" i="1103"/>
  <c r="P53" i="1103"/>
  <c r="T53" i="1103"/>
  <c r="H36" i="1103"/>
  <c r="AF35" i="1103"/>
  <c r="X35" i="1103"/>
  <c r="AB35" i="1103"/>
  <c r="AJ35" i="1103"/>
  <c r="L35" i="1103"/>
  <c r="H54" i="1103"/>
  <c r="L53" i="1103"/>
  <c r="P313" i="262"/>
  <c r="X313" i="262"/>
  <c r="L313" i="262"/>
  <c r="T313" i="262"/>
  <c r="AB313" i="262"/>
  <c r="AJ313" i="262"/>
  <c r="AF313" i="262"/>
  <c r="BT35" i="262"/>
  <c r="BX35" i="262"/>
  <c r="BL35" i="262"/>
  <c r="BP35" i="262"/>
  <c r="BD35" i="262"/>
  <c r="BH35" i="262"/>
  <c r="AZ35" i="262"/>
  <c r="AV35" i="262"/>
  <c r="AJ35" i="262"/>
  <c r="AN35" i="262"/>
  <c r="AR35" i="262"/>
  <c r="AJ69" i="262"/>
  <c r="T69" i="262"/>
  <c r="AB69" i="262"/>
  <c r="L69" i="262"/>
  <c r="X69" i="262"/>
  <c r="P69" i="262"/>
  <c r="AF69" i="262"/>
  <c r="P53" i="262"/>
  <c r="X53" i="262"/>
  <c r="AF53" i="262"/>
  <c r="AJ53" i="262"/>
  <c r="T53" i="262"/>
  <c r="L53" i="262"/>
  <c r="AB53" i="262"/>
  <c r="AB35" i="262"/>
  <c r="AF35" i="262"/>
  <c r="T35" i="262"/>
  <c r="X35" i="262"/>
  <c r="L35" i="262"/>
  <c r="P35" i="262"/>
  <c r="B424" i="262"/>
  <c r="L44" i="11"/>
  <c r="D47" i="11"/>
  <c r="D52" i="11"/>
  <c r="L55" i="11"/>
  <c r="B409" i="262"/>
  <c r="B425" i="262"/>
  <c r="B400" i="262"/>
  <c r="B337" i="262"/>
  <c r="B903" i="262"/>
  <c r="B444" i="262"/>
  <c r="B353" i="262"/>
  <c r="B338" i="262"/>
  <c r="B401" i="262"/>
  <c r="O87" i="6"/>
  <c r="G39" i="261"/>
  <c r="G40" i="261" s="1"/>
  <c r="G41" i="261" s="1"/>
  <c r="G42" i="261" s="1"/>
  <c r="G43" i="261" s="1"/>
  <c r="G44" i="261" s="1"/>
  <c r="G45" i="261" s="1"/>
  <c r="G46" i="261" s="1"/>
  <c r="G47" i="261" s="1"/>
  <c r="G48" i="261" s="1"/>
  <c r="G49" i="261" s="1"/>
  <c r="G50" i="261" s="1"/>
  <c r="G51" i="261" s="1"/>
  <c r="G52" i="261" s="1"/>
  <c r="G53" i="261" s="1"/>
  <c r="G210" i="261"/>
  <c r="G211" i="261" s="1"/>
  <c r="G212" i="261" s="1"/>
  <c r="G213" i="261" s="1"/>
  <c r="G214" i="261" s="1"/>
  <c r="G215" i="261" s="1"/>
  <c r="G216" i="261" s="1"/>
  <c r="G217" i="261" s="1"/>
  <c r="G218" i="261" s="1"/>
  <c r="G219" i="261" s="1"/>
  <c r="G220" i="261" s="1"/>
  <c r="G221" i="261" s="1"/>
  <c r="G222" i="261" s="1"/>
  <c r="G223" i="261" s="1"/>
  <c r="G103" i="261"/>
  <c r="G97" i="261"/>
  <c r="G93" i="261"/>
  <c r="G100" i="261"/>
  <c r="G99" i="261"/>
  <c r="G98" i="261"/>
  <c r="G96" i="261"/>
  <c r="G92" i="261"/>
  <c r="G104" i="261"/>
  <c r="G94" i="261"/>
  <c r="G101" i="261"/>
  <c r="G91" i="261"/>
  <c r="G90" i="261"/>
  <c r="G102" i="261"/>
  <c r="G95" i="261"/>
  <c r="O43" i="6"/>
  <c r="O88" i="6"/>
  <c r="G56" i="261"/>
  <c r="G57" i="261" s="1"/>
  <c r="G58" i="261" s="1"/>
  <c r="G59" i="261" s="1"/>
  <c r="G60" i="261" s="1"/>
  <c r="G61" i="261" s="1"/>
  <c r="G62" i="261" s="1"/>
  <c r="G63" i="261" s="1"/>
  <c r="G64" i="261" s="1"/>
  <c r="G65" i="261" s="1"/>
  <c r="G66" i="261" s="1"/>
  <c r="G67" i="261" s="1"/>
  <c r="G68" i="261" s="1"/>
  <c r="G69" i="261" s="1"/>
  <c r="G70" i="261" s="1"/>
  <c r="G193" i="261"/>
  <c r="G194" i="261" s="1"/>
  <c r="G195" i="261" s="1"/>
  <c r="G196" i="261" s="1"/>
  <c r="G197" i="261" s="1"/>
  <c r="G198" i="261" s="1"/>
  <c r="G199" i="261" s="1"/>
  <c r="G200" i="261" s="1"/>
  <c r="G201" i="261" s="1"/>
  <c r="G202" i="261" s="1"/>
  <c r="G203" i="261" s="1"/>
  <c r="G204" i="261" s="1"/>
  <c r="G205" i="261" s="1"/>
  <c r="G206" i="261" s="1"/>
  <c r="G22" i="261"/>
  <c r="G23" i="261" s="1"/>
  <c r="G24" i="261" s="1"/>
  <c r="G25" i="261" s="1"/>
  <c r="G26" i="261" s="1"/>
  <c r="G27" i="261" s="1"/>
  <c r="G28" i="261" s="1"/>
  <c r="G29" i="261" s="1"/>
  <c r="G30" i="261" s="1"/>
  <c r="G31" i="261" s="1"/>
  <c r="G32" i="261" s="1"/>
  <c r="G33" i="261" s="1"/>
  <c r="G34" i="261" s="1"/>
  <c r="G35" i="261" s="1"/>
  <c r="G36" i="261" s="1"/>
  <c r="O86" i="6"/>
  <c r="O59" i="6"/>
  <c r="O40" i="6"/>
  <c r="G82" i="261"/>
  <c r="G75" i="261"/>
  <c r="G79" i="261"/>
  <c r="G83" i="261"/>
  <c r="G85" i="261"/>
  <c r="G84" i="261"/>
  <c r="G80" i="261"/>
  <c r="G81" i="261"/>
  <c r="G86" i="261"/>
  <c r="G78" i="261"/>
  <c r="G77" i="261"/>
  <c r="G73" i="261"/>
  <c r="G76" i="261"/>
  <c r="G87" i="261"/>
  <c r="G74" i="261"/>
  <c r="B386" i="262"/>
  <c r="D14" i="183"/>
  <c r="F35" i="183"/>
  <c r="D35" i="183" s="1"/>
  <c r="G14" i="183"/>
  <c r="G48" i="183" s="1"/>
  <c r="D18" i="183"/>
  <c r="F24" i="183"/>
  <c r="F53" i="183" s="1"/>
  <c r="D17" i="180"/>
  <c r="F24" i="181"/>
  <c r="F53" i="181" s="1"/>
  <c r="D18" i="181"/>
  <c r="G14" i="179"/>
  <c r="G48" i="179" s="1"/>
  <c r="F35" i="179"/>
  <c r="D35" i="179" s="1"/>
  <c r="D14" i="179"/>
  <c r="D18" i="180"/>
  <c r="F24" i="180"/>
  <c r="F53" i="180" s="1"/>
  <c r="G14" i="184"/>
  <c r="G48" i="184" s="1"/>
  <c r="F35" i="184"/>
  <c r="D35" i="184" s="1"/>
  <c r="D14" i="184"/>
  <c r="H15" i="312"/>
  <c r="K15" i="312"/>
  <c r="G16" i="312"/>
  <c r="F16" i="184"/>
  <c r="D16" i="184" s="1"/>
  <c r="D15" i="184"/>
  <c r="H15" i="185"/>
  <c r="J15" i="185"/>
  <c r="G16" i="185"/>
  <c r="H15" i="188"/>
  <c r="G16" i="188"/>
  <c r="J15" i="188"/>
  <c r="G27" i="185"/>
  <c r="F43" i="185" s="1"/>
  <c r="D43" i="185" s="1"/>
  <c r="F24" i="188"/>
  <c r="F53" i="188" s="1"/>
  <c r="D18" i="188"/>
  <c r="G27" i="188"/>
  <c r="F43" i="188" s="1"/>
  <c r="D43" i="188" s="1"/>
  <c r="D15" i="183"/>
  <c r="F16" i="183"/>
  <c r="D16" i="183" s="1"/>
  <c r="G16" i="183"/>
  <c r="J15" i="183"/>
  <c r="H15" i="183"/>
  <c r="D18" i="185"/>
  <c r="F24" i="185"/>
  <c r="F53" i="185" s="1"/>
  <c r="G14" i="311"/>
  <c r="G48" i="311" s="1"/>
  <c r="I14" i="311"/>
  <c r="I48" i="311" s="1"/>
  <c r="D14" i="311"/>
  <c r="F35" i="311"/>
  <c r="F54" i="311" s="1"/>
  <c r="D54" i="311" s="1"/>
  <c r="D15" i="188"/>
  <c r="F16" i="188"/>
  <c r="D16" i="188" s="1"/>
  <c r="D18" i="186"/>
  <c r="F24" i="186"/>
  <c r="F53" i="186" s="1"/>
  <c r="D15" i="182"/>
  <c r="F16" i="182"/>
  <c r="D16" i="182" s="1"/>
  <c r="J15" i="180"/>
  <c r="H15" i="180"/>
  <c r="G16" i="180"/>
  <c r="K32" i="186"/>
  <c r="J55" i="186"/>
  <c r="G24" i="186"/>
  <c r="F16" i="179"/>
  <c r="D16" i="179" s="1"/>
  <c r="D15" i="179"/>
  <c r="H15" i="310"/>
  <c r="K15" i="310"/>
  <c r="G16" i="310"/>
  <c r="D15" i="185"/>
  <c r="F16" i="185"/>
  <c r="D16" i="185" s="1"/>
  <c r="K32" i="180"/>
  <c r="G24" i="180"/>
  <c r="D17" i="182"/>
  <c r="G27" i="311"/>
  <c r="D14" i="186"/>
  <c r="F35" i="186"/>
  <c r="D35" i="186" s="1"/>
  <c r="G14" i="186"/>
  <c r="G48" i="186" s="1"/>
  <c r="D17" i="183"/>
  <c r="H15" i="187"/>
  <c r="G16" i="187"/>
  <c r="J15" i="187"/>
  <c r="H15" i="181"/>
  <c r="J15" i="181"/>
  <c r="G16" i="181"/>
  <c r="F24" i="311"/>
  <c r="F53" i="311" s="1"/>
  <c r="D18" i="311"/>
  <c r="G27" i="181"/>
  <c r="F43" i="181" s="1"/>
  <c r="D43" i="181" s="1"/>
  <c r="F16" i="310"/>
  <c r="D15" i="310"/>
  <c r="D15" i="186"/>
  <c r="F16" i="186"/>
  <c r="D16" i="186" s="1"/>
  <c r="G24" i="183"/>
  <c r="J55" i="183"/>
  <c r="K32" i="183"/>
  <c r="I16" i="310"/>
  <c r="L32" i="311"/>
  <c r="R31" i="311"/>
  <c r="G24" i="311"/>
  <c r="R32" i="311"/>
  <c r="F19" i="311"/>
  <c r="D19" i="311" s="1"/>
  <c r="D17" i="311"/>
  <c r="D15" i="181"/>
  <c r="F16" i="181"/>
  <c r="D16" i="181" s="1"/>
  <c r="K32" i="187"/>
  <c r="J55" i="187"/>
  <c r="G24" i="187"/>
  <c r="B397" i="262"/>
  <c r="B385" i="262"/>
  <c r="B28" i="3"/>
  <c r="C28" i="3" s="1"/>
  <c r="A29" i="3"/>
  <c r="H70" i="262"/>
  <c r="U45" i="38" s="1"/>
  <c r="B428" i="262"/>
  <c r="B330" i="262"/>
  <c r="H330" i="262"/>
  <c r="B132" i="38"/>
  <c r="H36" i="262"/>
  <c r="D17" i="184"/>
  <c r="K32" i="185"/>
  <c r="G24" i="185"/>
  <c r="J55" i="185"/>
  <c r="G27" i="179"/>
  <c r="F43" i="179" s="1"/>
  <c r="D43" i="179" s="1"/>
  <c r="G14" i="185"/>
  <c r="G48" i="185" s="1"/>
  <c r="D14" i="185"/>
  <c r="F35" i="185"/>
  <c r="D35" i="185" s="1"/>
  <c r="G24" i="181"/>
  <c r="K32" i="181"/>
  <c r="K32" i="179"/>
  <c r="G24" i="179"/>
  <c r="D14" i="180"/>
  <c r="F35" i="180"/>
  <c r="D35" i="180" s="1"/>
  <c r="G14" i="180"/>
  <c r="G48" i="180" s="1"/>
  <c r="F24" i="179"/>
  <c r="F53" i="179" s="1"/>
  <c r="D18" i="179"/>
  <c r="G16" i="179"/>
  <c r="H15" i="179"/>
  <c r="J15" i="179"/>
  <c r="F24" i="184"/>
  <c r="F53" i="184" s="1"/>
  <c r="D18" i="184"/>
  <c r="G27" i="186"/>
  <c r="F43" i="186" s="1"/>
  <c r="D43" i="186" s="1"/>
  <c r="G14" i="188"/>
  <c r="G48" i="188" s="1"/>
  <c r="D14" i="188"/>
  <c r="F35" i="188"/>
  <c r="D35" i="188" s="1"/>
  <c r="D18" i="310"/>
  <c r="F24" i="310"/>
  <c r="F53" i="310" s="1"/>
  <c r="F16" i="187"/>
  <c r="D16" i="187" s="1"/>
  <c r="D15" i="187"/>
  <c r="G14" i="182"/>
  <c r="G48" i="182" s="1"/>
  <c r="F35" i="182"/>
  <c r="D35" i="182" s="1"/>
  <c r="D14" i="182"/>
  <c r="G27" i="182"/>
  <c r="F43" i="182" s="1"/>
  <c r="D43" i="182" s="1"/>
  <c r="L32" i="312"/>
  <c r="R31" i="312"/>
  <c r="R32" i="312"/>
  <c r="G24" i="312"/>
  <c r="D17" i="187"/>
  <c r="D17" i="188"/>
  <c r="G16" i="184"/>
  <c r="H15" i="184"/>
  <c r="J15" i="184"/>
  <c r="F35" i="181"/>
  <c r="D35" i="181" s="1"/>
  <c r="G14" i="181"/>
  <c r="G48" i="181" s="1"/>
  <c r="D14" i="181"/>
  <c r="F35" i="187"/>
  <c r="D35" i="187" s="1"/>
  <c r="D14" i="187"/>
  <c r="G14" i="187"/>
  <c r="G48" i="187" s="1"/>
  <c r="K15" i="311"/>
  <c r="G16" i="311"/>
  <c r="H15" i="311"/>
  <c r="G27" i="183"/>
  <c r="F43" i="183" s="1"/>
  <c r="D43" i="183" s="1"/>
  <c r="G27" i="310"/>
  <c r="G27" i="180"/>
  <c r="F43" i="180" s="1"/>
  <c r="D43" i="180" s="1"/>
  <c r="R31" i="310"/>
  <c r="L32" i="310"/>
  <c r="R32" i="310"/>
  <c r="G24" i="310"/>
  <c r="D17" i="179"/>
  <c r="D17" i="185"/>
  <c r="I16" i="311"/>
  <c r="J55" i="184"/>
  <c r="K32" i="184"/>
  <c r="G24" i="184"/>
  <c r="D17" i="181"/>
  <c r="K32" i="188"/>
  <c r="G24" i="188"/>
  <c r="J55" i="188"/>
  <c r="D17" i="186"/>
  <c r="D17" i="312"/>
  <c r="F19" i="312"/>
  <c r="D19" i="312" s="1"/>
  <c r="G27" i="187"/>
  <c r="F43" i="187" s="1"/>
  <c r="D43" i="187" s="1"/>
  <c r="H15" i="182"/>
  <c r="J15" i="182"/>
  <c r="G16" i="182"/>
  <c r="K32" i="182"/>
  <c r="J55" i="182"/>
  <c r="G24" i="182"/>
  <c r="G16" i="186"/>
  <c r="J15" i="186"/>
  <c r="H15" i="186"/>
  <c r="D18" i="182"/>
  <c r="F24" i="182"/>
  <c r="F53" i="182" s="1"/>
  <c r="G27" i="184"/>
  <c r="F43" i="184" s="1"/>
  <c r="D43" i="184" s="1"/>
  <c r="D18" i="187"/>
  <c r="F24" i="187"/>
  <c r="F53" i="187" s="1"/>
  <c r="D15" i="180"/>
  <c r="F16" i="180"/>
  <c r="D16" i="180" s="1"/>
  <c r="H54" i="262"/>
  <c r="V42" i="38" s="1"/>
  <c r="H314" i="262"/>
  <c r="B331" i="262"/>
  <c r="E327" i="261"/>
  <c r="E174" i="261"/>
  <c r="I702" i="1103"/>
  <c r="E413" i="262"/>
  <c r="E140" i="261"/>
  <c r="E242" i="261"/>
  <c r="G413" i="262"/>
  <c r="E310" i="261"/>
  <c r="E225" i="261"/>
  <c r="E293" i="261"/>
  <c r="F413" i="262"/>
  <c r="F702" i="1103"/>
  <c r="E123" i="261"/>
  <c r="E344" i="261"/>
  <c r="W97" i="1"/>
  <c r="G702" i="1103"/>
  <c r="W96" i="1"/>
  <c r="H413" i="262"/>
  <c r="I413" i="262"/>
  <c r="E259" i="261"/>
  <c r="E157" i="261"/>
  <c r="E106" i="261"/>
  <c r="W95" i="1"/>
  <c r="E276" i="261"/>
  <c r="E702" i="1103"/>
  <c r="F19" i="1118" l="1"/>
  <c r="D19" i="1118" s="1"/>
  <c r="CT24" i="1106"/>
  <c r="G126" i="262"/>
  <c r="I58" i="38" s="1"/>
  <c r="S668" i="1103"/>
  <c r="Q668" i="1103"/>
  <c r="F47" i="1112"/>
  <c r="D47" i="1112" s="1"/>
  <c r="F19" i="1110"/>
  <c r="D19" i="1110" s="1"/>
  <c r="F19" i="1117"/>
  <c r="D19" i="1117" s="1"/>
  <c r="F54" i="1112"/>
  <c r="D54" i="1112" s="1"/>
  <c r="F54" i="1113"/>
  <c r="D54" i="1113" s="1"/>
  <c r="F54" i="1116"/>
  <c r="D54" i="1116" s="1"/>
  <c r="F19" i="1112"/>
  <c r="D19" i="1112" s="1"/>
  <c r="F54" i="1119"/>
  <c r="D54" i="1119" s="1"/>
  <c r="F47" i="1119"/>
  <c r="D47" i="1119" s="1"/>
  <c r="F19" i="1114"/>
  <c r="D19" i="1114" s="1"/>
  <c r="I50" i="296"/>
  <c r="F47" i="1114"/>
  <c r="D47" i="1114" s="1"/>
  <c r="I50" i="298"/>
  <c r="I50" i="307"/>
  <c r="D26" i="1111"/>
  <c r="F55" i="1111"/>
  <c r="D55" i="1111" s="1"/>
  <c r="F47" i="1110"/>
  <c r="D47" i="1110" s="1"/>
  <c r="F19" i="1108"/>
  <c r="D19" i="1108" s="1"/>
  <c r="F54" i="1108"/>
  <c r="D54" i="1108" s="1"/>
  <c r="F54" i="1114"/>
  <c r="D54" i="1114" s="1"/>
  <c r="I50" i="294"/>
  <c r="G143" i="262"/>
  <c r="F54" i="1115"/>
  <c r="D54" i="1115" s="1"/>
  <c r="AG31" i="1108"/>
  <c r="AH33" i="1108" s="1"/>
  <c r="AI33" i="1108" s="1"/>
  <c r="AI43" i="1108" s="1"/>
  <c r="W32" i="1108" s="1"/>
  <c r="R33" i="1108"/>
  <c r="R34" i="1108"/>
  <c r="AG39" i="1108"/>
  <c r="AH41" i="1108" s="1"/>
  <c r="F19" i="1119"/>
  <c r="D19" i="1119" s="1"/>
  <c r="P32" i="291"/>
  <c r="M32" i="291"/>
  <c r="Q32" i="291"/>
  <c r="O32" i="291"/>
  <c r="N32" i="291"/>
  <c r="I52" i="1111"/>
  <c r="I51" i="1111"/>
  <c r="I18" i="1111"/>
  <c r="I24" i="1111" s="1"/>
  <c r="I18" i="1117"/>
  <c r="I24" i="1117" s="1"/>
  <c r="M32" i="306"/>
  <c r="P32" i="306"/>
  <c r="Q32" i="306"/>
  <c r="O32" i="306"/>
  <c r="N32" i="306"/>
  <c r="O32" i="1115"/>
  <c r="P32" i="1115"/>
  <c r="M32" i="1115"/>
  <c r="N32" i="1115"/>
  <c r="Q32" i="1115"/>
  <c r="I18" i="1116"/>
  <c r="I24" i="1116" s="1"/>
  <c r="H14" i="1114"/>
  <c r="G48" i="1114"/>
  <c r="G48" i="1118"/>
  <c r="H14" i="1118"/>
  <c r="H49" i="1118" s="1"/>
  <c r="H16" i="1112"/>
  <c r="H16" i="1116"/>
  <c r="K464" i="1103"/>
  <c r="M464" i="1103"/>
  <c r="U158" i="1103"/>
  <c r="S158" i="1103"/>
  <c r="AG243" i="262"/>
  <c r="AE243" i="262"/>
  <c r="O634" i="1103"/>
  <c r="Q634" i="1103"/>
  <c r="AK294" i="262"/>
  <c r="AI294" i="262"/>
  <c r="S294" i="1103"/>
  <c r="U294" i="1103"/>
  <c r="Q294" i="1103"/>
  <c r="O294" i="1103"/>
  <c r="K294" i="1103"/>
  <c r="M294" i="1103"/>
  <c r="S515" i="1103"/>
  <c r="U515" i="1103"/>
  <c r="AK277" i="262"/>
  <c r="AI277" i="262"/>
  <c r="S209" i="1103"/>
  <c r="U209" i="1103"/>
  <c r="M192" i="1103"/>
  <c r="K192" i="1103"/>
  <c r="S260" i="262"/>
  <c r="U260" i="262"/>
  <c r="W260" i="262"/>
  <c r="Y260" i="262"/>
  <c r="M260" i="1103"/>
  <c r="K260" i="1103"/>
  <c r="S617" i="1103"/>
  <c r="U617" i="1103"/>
  <c r="K175" i="1103"/>
  <c r="M175" i="1103"/>
  <c r="K141" i="1103"/>
  <c r="M141" i="1103"/>
  <c r="AG39" i="1114"/>
  <c r="AH41" i="1114" s="1"/>
  <c r="AG31" i="1114"/>
  <c r="AH33" i="1114" s="1"/>
  <c r="AI33" i="1114" s="1"/>
  <c r="AI43" i="1114" s="1"/>
  <c r="W32" i="1114" s="1"/>
  <c r="R34" i="1114"/>
  <c r="R34" i="1113"/>
  <c r="AG31" i="1113"/>
  <c r="AH33" i="1113" s="1"/>
  <c r="AI33" i="1113" s="1"/>
  <c r="AI43" i="1113" s="1"/>
  <c r="W32" i="1113" s="1"/>
  <c r="R33" i="1113"/>
  <c r="AG39" i="1113"/>
  <c r="AH41" i="1113" s="1"/>
  <c r="D49" i="1115"/>
  <c r="P32" i="299"/>
  <c r="Q32" i="299"/>
  <c r="O32" i="299"/>
  <c r="N32" i="299"/>
  <c r="M32" i="299"/>
  <c r="AG31" i="303"/>
  <c r="R33" i="303"/>
  <c r="AG39" i="303"/>
  <c r="I46" i="306"/>
  <c r="G17" i="306"/>
  <c r="I26" i="1109"/>
  <c r="F53" i="1109"/>
  <c r="D24" i="1109"/>
  <c r="F54" i="1118"/>
  <c r="D54" i="1118" s="1"/>
  <c r="D35" i="1118"/>
  <c r="K668" i="1103"/>
  <c r="H16" i="1113"/>
  <c r="G31" i="1117"/>
  <c r="G35" i="1117"/>
  <c r="G54" i="1117" s="1"/>
  <c r="K54" i="1117" s="1"/>
  <c r="G36" i="1117"/>
  <c r="G56" i="1117" s="1"/>
  <c r="K56" i="1117" s="1"/>
  <c r="I43" i="1117"/>
  <c r="F43" i="1117"/>
  <c r="D43" i="1117" s="1"/>
  <c r="G39" i="1117"/>
  <c r="G57" i="1117" s="1"/>
  <c r="K57" i="1117" s="1"/>
  <c r="G33" i="1117"/>
  <c r="F54" i="1111"/>
  <c r="D54" i="1111" s="1"/>
  <c r="R33" i="1119"/>
  <c r="AG31" i="1119"/>
  <c r="AG39" i="1119"/>
  <c r="H16" i="1114"/>
  <c r="F47" i="1118"/>
  <c r="D47" i="1118" s="1"/>
  <c r="F54" i="1109"/>
  <c r="D54" i="1109" s="1"/>
  <c r="I48" i="1108"/>
  <c r="I35" i="1108"/>
  <c r="I54" i="1108" s="1"/>
  <c r="F53" i="1115"/>
  <c r="F50" i="1115" s="1"/>
  <c r="D24" i="1115"/>
  <c r="D49" i="1119"/>
  <c r="G17" i="301"/>
  <c r="I46" i="301"/>
  <c r="N32" i="301"/>
  <c r="M32" i="301"/>
  <c r="O32" i="301"/>
  <c r="P32" i="301"/>
  <c r="Q32" i="301"/>
  <c r="F53" i="1114"/>
  <c r="D24" i="1114"/>
  <c r="H16" i="1110"/>
  <c r="I50" i="297"/>
  <c r="I46" i="293"/>
  <c r="G17" i="293"/>
  <c r="M32" i="1109"/>
  <c r="O32" i="1109"/>
  <c r="P32" i="1109"/>
  <c r="Q32" i="1109"/>
  <c r="N32" i="1109"/>
  <c r="I51" i="1109"/>
  <c r="I52" i="1109"/>
  <c r="I18" i="1109"/>
  <c r="I24" i="1109" s="1"/>
  <c r="G31" i="1115"/>
  <c r="G36" i="1115"/>
  <c r="G56" i="1115" s="1"/>
  <c r="K56" i="1115" s="1"/>
  <c r="G35" i="1115"/>
  <c r="G54" i="1115" s="1"/>
  <c r="K54" i="1115" s="1"/>
  <c r="F43" i="1115"/>
  <c r="D43" i="1115" s="1"/>
  <c r="I43" i="1115"/>
  <c r="G39" i="1115"/>
  <c r="G57" i="1115" s="1"/>
  <c r="K57" i="1115" s="1"/>
  <c r="G33" i="1115"/>
  <c r="I46" i="299"/>
  <c r="G17" i="299"/>
  <c r="G17" i="302"/>
  <c r="I46" i="302"/>
  <c r="P32" i="302"/>
  <c r="Q32" i="302"/>
  <c r="N32" i="302"/>
  <c r="M32" i="302"/>
  <c r="O32" i="302"/>
  <c r="F19" i="1116"/>
  <c r="D19" i="1116" s="1"/>
  <c r="I26" i="1108"/>
  <c r="F53" i="1108"/>
  <c r="D24" i="1108"/>
  <c r="G48" i="1119"/>
  <c r="H14" i="1119"/>
  <c r="H49" i="1119" s="1"/>
  <c r="F55" i="1113"/>
  <c r="D55" i="1113" s="1"/>
  <c r="H14" i="1110"/>
  <c r="G48" i="1110"/>
  <c r="H16" i="1117"/>
  <c r="G17" i="305"/>
  <c r="I46" i="305"/>
  <c r="F26" i="1116"/>
  <c r="F53" i="1116"/>
  <c r="F50" i="1116" s="1"/>
  <c r="D24" i="1116"/>
  <c r="D46" i="1113"/>
  <c r="I46" i="308"/>
  <c r="G17" i="308"/>
  <c r="O32" i="308"/>
  <c r="M32" i="308"/>
  <c r="P32" i="308"/>
  <c r="N32" i="308"/>
  <c r="Q32" i="308"/>
  <c r="I46" i="303"/>
  <c r="G17" i="303"/>
  <c r="N32" i="300"/>
  <c r="M32" i="300"/>
  <c r="Q32" i="300"/>
  <c r="P32" i="300"/>
  <c r="O32" i="300"/>
  <c r="I48" i="1116"/>
  <c r="I35" i="1116"/>
  <c r="I54" i="1116" s="1"/>
  <c r="D49" i="1118"/>
  <c r="R33" i="291"/>
  <c r="AG31" i="291"/>
  <c r="AG39" i="291"/>
  <c r="F47" i="1115"/>
  <c r="D47" i="1115" s="1"/>
  <c r="F26" i="1119"/>
  <c r="F53" i="1119"/>
  <c r="D24" i="1119"/>
  <c r="F47" i="1109"/>
  <c r="D47" i="1109" s="1"/>
  <c r="H14" i="1112"/>
  <c r="G48" i="1112"/>
  <c r="I52" i="1110"/>
  <c r="I51" i="1110"/>
  <c r="I18" i="1110"/>
  <c r="I24" i="1110" s="1"/>
  <c r="I18" i="306"/>
  <c r="I24" i="306" s="1"/>
  <c r="D49" i="1110"/>
  <c r="N32" i="1116"/>
  <c r="O32" i="1116"/>
  <c r="P32" i="1116"/>
  <c r="M32" i="1116"/>
  <c r="Q32" i="1116"/>
  <c r="I48" i="1114"/>
  <c r="I35" i="1114"/>
  <c r="I54" i="1114" s="1"/>
  <c r="H14" i="1117"/>
  <c r="G48" i="1117"/>
  <c r="I48" i="1118"/>
  <c r="I35" i="1118"/>
  <c r="I54" i="1118" s="1"/>
  <c r="G49" i="1113"/>
  <c r="G48" i="1113"/>
  <c r="H14" i="1113"/>
  <c r="H49" i="1113" s="1"/>
  <c r="G49" i="1112"/>
  <c r="G36" i="1110"/>
  <c r="G56" i="1110" s="1"/>
  <c r="K56" i="1110" s="1"/>
  <c r="G35" i="1110"/>
  <c r="G54" i="1110" s="1"/>
  <c r="K54" i="1110" s="1"/>
  <c r="G31" i="1110"/>
  <c r="F43" i="1110"/>
  <c r="D43" i="1110" s="1"/>
  <c r="I43" i="1110"/>
  <c r="G39" i="1110"/>
  <c r="G57" i="1110" s="1"/>
  <c r="K57" i="1110" s="1"/>
  <c r="G33" i="1110"/>
  <c r="H16" i="1119"/>
  <c r="I26" i="1112"/>
  <c r="F53" i="1112"/>
  <c r="F50" i="1112" s="1"/>
  <c r="D24" i="1112"/>
  <c r="F19" i="1111"/>
  <c r="D19" i="1111" s="1"/>
  <c r="I18" i="1118"/>
  <c r="I24" i="1118" s="1"/>
  <c r="G17" i="304"/>
  <c r="I46" i="304"/>
  <c r="AE226" i="262"/>
  <c r="AG226" i="262"/>
  <c r="M226" i="1103"/>
  <c r="K226" i="1103"/>
  <c r="U226" i="1103"/>
  <c r="S226" i="1103"/>
  <c r="O532" i="1103"/>
  <c r="Q532" i="1103"/>
  <c r="S464" i="1103"/>
  <c r="U464" i="1103"/>
  <c r="O158" i="1103"/>
  <c r="Q158" i="1103"/>
  <c r="Q243" i="262"/>
  <c r="O243" i="262"/>
  <c r="Y243" i="262"/>
  <c r="W243" i="262"/>
  <c r="M243" i="262"/>
  <c r="K243" i="262"/>
  <c r="Q243" i="1103"/>
  <c r="O243" i="1103"/>
  <c r="M481" i="1103"/>
  <c r="K481" i="1103"/>
  <c r="M634" i="1103"/>
  <c r="K634" i="1103"/>
  <c r="K600" i="1103"/>
  <c r="M600" i="1103"/>
  <c r="U651" i="1103"/>
  <c r="S651" i="1103"/>
  <c r="S566" i="1103"/>
  <c r="U566" i="1103"/>
  <c r="K294" i="262"/>
  <c r="M294" i="262"/>
  <c r="Y294" i="262"/>
  <c r="W294" i="262"/>
  <c r="AE294" i="262"/>
  <c r="AG294" i="262"/>
  <c r="M515" i="1103"/>
  <c r="K515" i="1103"/>
  <c r="M124" i="1103"/>
  <c r="K124" i="1103"/>
  <c r="AA277" i="262"/>
  <c r="AC277" i="262"/>
  <c r="AG277" i="262"/>
  <c r="AE277" i="262"/>
  <c r="U277" i="1103"/>
  <c r="S277" i="1103"/>
  <c r="K277" i="1103"/>
  <c r="M277" i="1103"/>
  <c r="M209" i="1103"/>
  <c r="K209" i="1103"/>
  <c r="S192" i="1103"/>
  <c r="U192" i="1103"/>
  <c r="AC260" i="262"/>
  <c r="AA260" i="262"/>
  <c r="AK260" i="262"/>
  <c r="AI260" i="262"/>
  <c r="K260" i="262"/>
  <c r="M260" i="262"/>
  <c r="Q260" i="1103"/>
  <c r="O260" i="1103"/>
  <c r="K617" i="1103"/>
  <c r="M617" i="1103"/>
  <c r="Q175" i="1103"/>
  <c r="O175" i="1103"/>
  <c r="Q583" i="1103"/>
  <c r="O583" i="1103"/>
  <c r="AG39" i="301"/>
  <c r="R33" i="301"/>
  <c r="AG31" i="301"/>
  <c r="AG39" i="302"/>
  <c r="R33" i="302"/>
  <c r="AG31" i="302"/>
  <c r="D46" i="1116"/>
  <c r="F19" i="1113"/>
  <c r="D19" i="1113" s="1"/>
  <c r="AG31" i="1112"/>
  <c r="AH33" i="1112" s="1"/>
  <c r="AI33" i="1112" s="1"/>
  <c r="AI43" i="1112" s="1"/>
  <c r="W32" i="1112" s="1"/>
  <c r="AG39" i="1112"/>
  <c r="AH41" i="1112" s="1"/>
  <c r="R33" i="1112"/>
  <c r="R34" i="1112"/>
  <c r="I18" i="291"/>
  <c r="I24" i="291" s="1"/>
  <c r="R33" i="1110"/>
  <c r="R34" i="1110"/>
  <c r="AG39" i="1110"/>
  <c r="AH41" i="1110" s="1"/>
  <c r="AG31" i="1110"/>
  <c r="AH33" i="1110" s="1"/>
  <c r="AI33" i="1110" s="1"/>
  <c r="AI43" i="1110" s="1"/>
  <c r="W32" i="1110" s="1"/>
  <c r="G31" i="1114"/>
  <c r="G36" i="1114"/>
  <c r="G56" i="1114" s="1"/>
  <c r="K56" i="1114" s="1"/>
  <c r="G35" i="1114"/>
  <c r="G54" i="1114" s="1"/>
  <c r="K54" i="1114" s="1"/>
  <c r="I43" i="1114"/>
  <c r="F43" i="1114"/>
  <c r="D43" i="1114" s="1"/>
  <c r="G39" i="1114"/>
  <c r="G57" i="1114" s="1"/>
  <c r="K57" i="1114" s="1"/>
  <c r="G33" i="1114"/>
  <c r="R33" i="292"/>
  <c r="R34" i="292" s="1"/>
  <c r="AG39" i="292"/>
  <c r="AG31" i="292"/>
  <c r="G35" i="1111"/>
  <c r="G54" i="1111" s="1"/>
  <c r="K54" i="1111" s="1"/>
  <c r="G36" i="1111"/>
  <c r="G56" i="1111" s="1"/>
  <c r="K56" i="1111" s="1"/>
  <c r="G31" i="1111"/>
  <c r="F43" i="1111"/>
  <c r="D43" i="1111" s="1"/>
  <c r="I43" i="1111"/>
  <c r="G39" i="1111"/>
  <c r="G57" i="1111" s="1"/>
  <c r="K57" i="1111" s="1"/>
  <c r="G33" i="1111"/>
  <c r="H16" i="1108"/>
  <c r="W226" i="262"/>
  <c r="Y226" i="262"/>
  <c r="AC243" i="262"/>
  <c r="AA243" i="262"/>
  <c r="Q498" i="1103"/>
  <c r="O498" i="1103"/>
  <c r="U600" i="1103"/>
  <c r="S600" i="1103"/>
  <c r="I52" i="1108"/>
  <c r="I51" i="1108"/>
  <c r="I18" i="1108"/>
  <c r="I24" i="1108" s="1"/>
  <c r="I48" i="1109"/>
  <c r="I35" i="1109"/>
  <c r="I54" i="1109" s="1"/>
  <c r="D49" i="1116"/>
  <c r="P32" i="1119"/>
  <c r="N32" i="1119"/>
  <c r="M32" i="1119"/>
  <c r="Q32" i="1119"/>
  <c r="O32" i="1119"/>
  <c r="G49" i="1114"/>
  <c r="D46" i="1118"/>
  <c r="I18" i="301"/>
  <c r="I24" i="301" s="1"/>
  <c r="G48" i="1115"/>
  <c r="H14" i="1115"/>
  <c r="H49" i="1115" s="1"/>
  <c r="I18" i="1114"/>
  <c r="I24" i="1114" s="1"/>
  <c r="I52" i="1114"/>
  <c r="I51" i="1114"/>
  <c r="I18" i="293"/>
  <c r="I24" i="293" s="1"/>
  <c r="I52" i="1113"/>
  <c r="I51" i="1113"/>
  <c r="I18" i="1113"/>
  <c r="I24" i="1113" s="1"/>
  <c r="D46" i="1110"/>
  <c r="AG31" i="1109"/>
  <c r="AH33" i="1109" s="1"/>
  <c r="AI33" i="1109" s="1"/>
  <c r="AI43" i="1109" s="1"/>
  <c r="W32" i="1109" s="1"/>
  <c r="R33" i="1109"/>
  <c r="AG39" i="1109"/>
  <c r="AH41" i="1109" s="1"/>
  <c r="R34" i="1109"/>
  <c r="I18" i="299"/>
  <c r="I24" i="299" s="1"/>
  <c r="I18" i="302"/>
  <c r="I24" i="302" s="1"/>
  <c r="H16" i="1111"/>
  <c r="F47" i="1116"/>
  <c r="D47" i="1116" s="1"/>
  <c r="D46" i="1108"/>
  <c r="H16" i="1109"/>
  <c r="D49" i="1113"/>
  <c r="I49" i="1110"/>
  <c r="I48" i="1110"/>
  <c r="I35" i="1110"/>
  <c r="I54" i="1110" s="1"/>
  <c r="AG39" i="305"/>
  <c r="AG31" i="305"/>
  <c r="R33" i="305"/>
  <c r="I18" i="305"/>
  <c r="I24" i="305" s="1"/>
  <c r="I18" i="308"/>
  <c r="I24" i="308" s="1"/>
  <c r="G31" i="1118"/>
  <c r="G35" i="1118"/>
  <c r="G54" i="1118" s="1"/>
  <c r="K54" i="1118" s="1"/>
  <c r="G36" i="1118"/>
  <c r="G56" i="1118" s="1"/>
  <c r="K56" i="1118" s="1"/>
  <c r="F43" i="1118"/>
  <c r="D43" i="1118" s="1"/>
  <c r="I43" i="1118"/>
  <c r="G39" i="1118"/>
  <c r="G57" i="1118" s="1"/>
  <c r="K57" i="1118" s="1"/>
  <c r="G33" i="1118"/>
  <c r="I18" i="303"/>
  <c r="I24" i="303" s="1"/>
  <c r="I52" i="1112"/>
  <c r="I51" i="1112"/>
  <c r="I18" i="1112"/>
  <c r="I24" i="1112" s="1"/>
  <c r="I46" i="300"/>
  <c r="G17" i="300"/>
  <c r="R33" i="300"/>
  <c r="AG39" i="300"/>
  <c r="AG31" i="300"/>
  <c r="D46" i="1117"/>
  <c r="AG31" i="1111"/>
  <c r="AH33" i="1111" s="1"/>
  <c r="AI33" i="1111" s="1"/>
  <c r="AI43" i="1111" s="1"/>
  <c r="W32" i="1111" s="1"/>
  <c r="AG39" i="1111"/>
  <c r="AH41" i="1111" s="1"/>
  <c r="R33" i="1111"/>
  <c r="R34" i="1111"/>
  <c r="D46" i="1115"/>
  <c r="N32" i="1117"/>
  <c r="O32" i="1117"/>
  <c r="Q32" i="1117"/>
  <c r="P32" i="1117"/>
  <c r="M32" i="1117"/>
  <c r="G49" i="1115"/>
  <c r="F19" i="1109"/>
  <c r="D19" i="1109" s="1"/>
  <c r="I49" i="1112"/>
  <c r="I48" i="1112"/>
  <c r="I35" i="1112"/>
  <c r="I54" i="1112" s="1"/>
  <c r="R33" i="306"/>
  <c r="AG31" i="306"/>
  <c r="AG39" i="306"/>
  <c r="I18" i="1115"/>
  <c r="I24" i="1115" s="1"/>
  <c r="I51" i="1115"/>
  <c r="I52" i="1115"/>
  <c r="AG39" i="1116"/>
  <c r="AG31" i="1116"/>
  <c r="R33" i="1116"/>
  <c r="G49" i="1111"/>
  <c r="H14" i="1111"/>
  <c r="G48" i="1111"/>
  <c r="F26" i="1109"/>
  <c r="F54" i="1117"/>
  <c r="D54" i="1117" s="1"/>
  <c r="G31" i="1113"/>
  <c r="G36" i="1113"/>
  <c r="G56" i="1113" s="1"/>
  <c r="K56" i="1113" s="1"/>
  <c r="G35" i="1113"/>
  <c r="G54" i="1113" s="1"/>
  <c r="K54" i="1113" s="1"/>
  <c r="I43" i="1113"/>
  <c r="F43" i="1113"/>
  <c r="D43" i="1113" s="1"/>
  <c r="G39" i="1113"/>
  <c r="G57" i="1113" s="1"/>
  <c r="K57" i="1113" s="1"/>
  <c r="G33" i="1113"/>
  <c r="I46" i="292"/>
  <c r="G17" i="292"/>
  <c r="F47" i="1111"/>
  <c r="D47" i="1111" s="1"/>
  <c r="P32" i="1118"/>
  <c r="M32" i="1118"/>
  <c r="O32" i="1118"/>
  <c r="Q32" i="1118"/>
  <c r="N32" i="1118"/>
  <c r="N32" i="304"/>
  <c r="O32" i="304"/>
  <c r="Q32" i="304"/>
  <c r="P32" i="304"/>
  <c r="M32" i="304"/>
  <c r="I18" i="304"/>
  <c r="I24" i="304" s="1"/>
  <c r="O226" i="262"/>
  <c r="Q226" i="262"/>
  <c r="AK226" i="262"/>
  <c r="AI226" i="262"/>
  <c r="M226" i="262"/>
  <c r="K226" i="262"/>
  <c r="AA226" i="262"/>
  <c r="AC226" i="262"/>
  <c r="K532" i="1103"/>
  <c r="M532" i="1103"/>
  <c r="AI243" i="262"/>
  <c r="AK243" i="262"/>
  <c r="U481" i="1103"/>
  <c r="S481" i="1103"/>
  <c r="S498" i="1103"/>
  <c r="U498" i="1103"/>
  <c r="M549" i="1103"/>
  <c r="K549" i="1103"/>
  <c r="Q600" i="1103"/>
  <c r="O600" i="1103"/>
  <c r="K566" i="1103"/>
  <c r="M566" i="1103"/>
  <c r="AA294" i="262"/>
  <c r="AC294" i="262"/>
  <c r="O124" i="1103"/>
  <c r="Q124" i="1103"/>
  <c r="S277" i="262"/>
  <c r="U277" i="262"/>
  <c r="Y277" i="262"/>
  <c r="W277" i="262"/>
  <c r="Q617" i="1103"/>
  <c r="O617" i="1103"/>
  <c r="Q141" i="1103"/>
  <c r="O141" i="1103"/>
  <c r="S583" i="1103"/>
  <c r="U583" i="1103"/>
  <c r="G36" i="1108"/>
  <c r="G56" i="1108" s="1"/>
  <c r="K56" i="1108" s="1"/>
  <c r="G31" i="1108"/>
  <c r="G35" i="1108"/>
  <c r="G54" i="1108" s="1"/>
  <c r="K54" i="1108" s="1"/>
  <c r="F43" i="1108"/>
  <c r="D43" i="1108" s="1"/>
  <c r="I43" i="1108"/>
  <c r="G39" i="1108"/>
  <c r="G57" i="1108" s="1"/>
  <c r="K57" i="1108" s="1"/>
  <c r="G33" i="1108"/>
  <c r="P32" i="293"/>
  <c r="O32" i="293"/>
  <c r="Q32" i="293"/>
  <c r="M32" i="293"/>
  <c r="N32" i="293"/>
  <c r="O32" i="305"/>
  <c r="Q32" i="305"/>
  <c r="M32" i="305"/>
  <c r="N32" i="305"/>
  <c r="P32" i="305"/>
  <c r="F26" i="1118"/>
  <c r="D24" i="1118"/>
  <c r="F53" i="1118"/>
  <c r="F50" i="1118" s="1"/>
  <c r="Q32" i="1111"/>
  <c r="N32" i="1111"/>
  <c r="M32" i="1111"/>
  <c r="P32" i="1111"/>
  <c r="O32" i="1111"/>
  <c r="H16" i="1118"/>
  <c r="D46" i="1114"/>
  <c r="D49" i="1117"/>
  <c r="I49" i="1113"/>
  <c r="I48" i="1113"/>
  <c r="I35" i="1113"/>
  <c r="I54" i="1113" s="1"/>
  <c r="Q549" i="1103"/>
  <c r="O549" i="1103"/>
  <c r="K651" i="1103"/>
  <c r="M651" i="1103"/>
  <c r="I49" i="1109"/>
  <c r="M32" i="1108"/>
  <c r="O32" i="1108"/>
  <c r="P32" i="1108"/>
  <c r="Q32" i="1108"/>
  <c r="N32" i="1108"/>
  <c r="G49" i="1109"/>
  <c r="G48" i="1109"/>
  <c r="H14" i="1109"/>
  <c r="G31" i="1109"/>
  <c r="G36" i="1109"/>
  <c r="G56" i="1109" s="1"/>
  <c r="K56" i="1109" s="1"/>
  <c r="G35" i="1109"/>
  <c r="G54" i="1109" s="1"/>
  <c r="K54" i="1109" s="1"/>
  <c r="F43" i="1109"/>
  <c r="D43" i="1109" s="1"/>
  <c r="I43" i="1109"/>
  <c r="G39" i="1109"/>
  <c r="G57" i="1109" s="1"/>
  <c r="K57" i="1109" s="1"/>
  <c r="G33" i="1109"/>
  <c r="I18" i="1119"/>
  <c r="I24" i="1119" s="1"/>
  <c r="D46" i="1112"/>
  <c r="D49" i="1109"/>
  <c r="G49" i="1108"/>
  <c r="H14" i="1108"/>
  <c r="G48" i="1108"/>
  <c r="I26" i="1115"/>
  <c r="I48" i="1115"/>
  <c r="I35" i="1115"/>
  <c r="I54" i="1115" s="1"/>
  <c r="I26" i="1114"/>
  <c r="R33" i="1114"/>
  <c r="M32" i="1114"/>
  <c r="P32" i="1114"/>
  <c r="N32" i="1114"/>
  <c r="Q32" i="1114"/>
  <c r="O32" i="1114"/>
  <c r="AG31" i="293"/>
  <c r="R33" i="293"/>
  <c r="AG39" i="293"/>
  <c r="Q32" i="1113"/>
  <c r="O32" i="1113"/>
  <c r="M32" i="1113"/>
  <c r="N32" i="1113"/>
  <c r="P32" i="1113"/>
  <c r="G31" i="1112"/>
  <c r="G35" i="1112"/>
  <c r="G54" i="1112" s="1"/>
  <c r="K54" i="1112" s="1"/>
  <c r="G36" i="1112"/>
  <c r="G56" i="1112" s="1"/>
  <c r="K56" i="1112" s="1"/>
  <c r="I43" i="1112"/>
  <c r="F43" i="1112"/>
  <c r="D43" i="1112" s="1"/>
  <c r="G39" i="1112"/>
  <c r="G57" i="1112" s="1"/>
  <c r="K57" i="1112" s="1"/>
  <c r="G33" i="1112"/>
  <c r="G31" i="1119"/>
  <c r="G36" i="1119"/>
  <c r="G56" i="1119" s="1"/>
  <c r="K56" i="1119" s="1"/>
  <c r="G35" i="1119"/>
  <c r="G54" i="1119" s="1"/>
  <c r="K54" i="1119" s="1"/>
  <c r="F43" i="1119"/>
  <c r="D43" i="1119" s="1"/>
  <c r="I43" i="1119"/>
  <c r="G39" i="1119"/>
  <c r="G57" i="1119" s="1"/>
  <c r="K57" i="1119" s="1"/>
  <c r="G33" i="1119"/>
  <c r="F55" i="1115"/>
  <c r="D55" i="1115" s="1"/>
  <c r="R33" i="299"/>
  <c r="AG39" i="299"/>
  <c r="AG31" i="299"/>
  <c r="I50" i="309"/>
  <c r="F47" i="1108"/>
  <c r="D47" i="1108" s="1"/>
  <c r="F55" i="1112"/>
  <c r="D55" i="1112" s="1"/>
  <c r="I48" i="1119"/>
  <c r="I35" i="1119"/>
  <c r="I54" i="1119" s="1"/>
  <c r="F26" i="1110"/>
  <c r="D24" i="1110"/>
  <c r="F53" i="1110"/>
  <c r="I26" i="1118"/>
  <c r="F47" i="1113"/>
  <c r="D47" i="1113" s="1"/>
  <c r="R33" i="308"/>
  <c r="AG39" i="308"/>
  <c r="AG31" i="308"/>
  <c r="M32" i="303"/>
  <c r="Q32" i="303"/>
  <c r="P32" i="303"/>
  <c r="O32" i="303"/>
  <c r="N32" i="303"/>
  <c r="F55" i="1108"/>
  <c r="D55" i="1108" s="1"/>
  <c r="M32" i="1112"/>
  <c r="P32" i="1112"/>
  <c r="O32" i="1112"/>
  <c r="N32" i="1112"/>
  <c r="Q32" i="1112"/>
  <c r="I18" i="300"/>
  <c r="I24" i="300" s="1"/>
  <c r="G48" i="1116"/>
  <c r="H14" i="1116"/>
  <c r="H49" i="1116" s="1"/>
  <c r="F47" i="1117"/>
  <c r="D47" i="1117" s="1"/>
  <c r="I46" i="291"/>
  <c r="G17" i="291"/>
  <c r="F19" i="1115"/>
  <c r="D19" i="1115" s="1"/>
  <c r="AG39" i="1117"/>
  <c r="AG31" i="1117"/>
  <c r="R33" i="1117"/>
  <c r="H16" i="1115"/>
  <c r="I50" i="295"/>
  <c r="P32" i="1110"/>
  <c r="M32" i="1110"/>
  <c r="O32" i="1110"/>
  <c r="Q32" i="1110"/>
  <c r="N32" i="1110"/>
  <c r="G49" i="1118"/>
  <c r="F54" i="1110"/>
  <c r="D54" i="1110" s="1"/>
  <c r="R34" i="1115"/>
  <c r="R33" i="1115"/>
  <c r="AG31" i="1115"/>
  <c r="AH33" i="1115" s="1"/>
  <c r="AI33" i="1115" s="1"/>
  <c r="AI43" i="1115" s="1"/>
  <c r="W32" i="1115" s="1"/>
  <c r="AG39" i="1115"/>
  <c r="AH41" i="1115" s="1"/>
  <c r="I26" i="1111"/>
  <c r="F53" i="1111"/>
  <c r="D24" i="1111"/>
  <c r="I48" i="1111"/>
  <c r="I35" i="1111"/>
  <c r="I54" i="1111" s="1"/>
  <c r="G35" i="1116"/>
  <c r="G54" i="1116" s="1"/>
  <c r="K54" i="1116" s="1"/>
  <c r="G36" i="1116"/>
  <c r="G56" i="1116" s="1"/>
  <c r="K56" i="1116" s="1"/>
  <c r="G31" i="1116"/>
  <c r="F43" i="1116"/>
  <c r="D43" i="1116" s="1"/>
  <c r="I43" i="1116"/>
  <c r="G39" i="1116"/>
  <c r="G57" i="1116" s="1"/>
  <c r="K57" i="1116" s="1"/>
  <c r="G33" i="1116"/>
  <c r="I48" i="1117"/>
  <c r="I35" i="1117"/>
  <c r="I54" i="1117" s="1"/>
  <c r="F55" i="1114"/>
  <c r="D55" i="1114" s="1"/>
  <c r="I26" i="1113"/>
  <c r="F53" i="1113"/>
  <c r="F50" i="1113" s="1"/>
  <c r="D24" i="1113"/>
  <c r="G49" i="1119"/>
  <c r="O32" i="292"/>
  <c r="M32" i="292"/>
  <c r="Q32" i="292"/>
  <c r="N32" i="292"/>
  <c r="P32" i="292"/>
  <c r="I18" i="292"/>
  <c r="I24" i="292" s="1"/>
  <c r="D46" i="1111"/>
  <c r="AG39" i="1118"/>
  <c r="R33" i="1118"/>
  <c r="AG31" i="1118"/>
  <c r="AG31" i="304"/>
  <c r="R33" i="304"/>
  <c r="AG39" i="304"/>
  <c r="F26" i="1117"/>
  <c r="F53" i="1117"/>
  <c r="F50" i="1117" s="1"/>
  <c r="D24" i="1117"/>
  <c r="U226" i="262"/>
  <c r="S226" i="262"/>
  <c r="Q226" i="1103"/>
  <c r="O226" i="1103"/>
  <c r="S532" i="1103"/>
  <c r="U532" i="1103"/>
  <c r="Q464" i="1103"/>
  <c r="O464" i="1103"/>
  <c r="G160" i="262"/>
  <c r="K158" i="1103"/>
  <c r="M158" i="1103"/>
  <c r="U243" i="262"/>
  <c r="S243" i="262"/>
  <c r="K243" i="1103"/>
  <c r="M243" i="1103"/>
  <c r="U243" i="1103"/>
  <c r="S243" i="1103"/>
  <c r="Q481" i="1103"/>
  <c r="O481" i="1103"/>
  <c r="K498" i="1103"/>
  <c r="M498" i="1103"/>
  <c r="S549" i="1103"/>
  <c r="U549" i="1103"/>
  <c r="S634" i="1103"/>
  <c r="U634" i="1103"/>
  <c r="Q651" i="1103"/>
  <c r="O651" i="1103"/>
  <c r="Q566" i="1103"/>
  <c r="O566" i="1103"/>
  <c r="U294" i="262"/>
  <c r="S294" i="262"/>
  <c r="O294" i="262"/>
  <c r="Q294" i="262"/>
  <c r="Q515" i="1103"/>
  <c r="O515" i="1103"/>
  <c r="S124" i="1103"/>
  <c r="U124" i="1103"/>
  <c r="M277" i="262"/>
  <c r="K277" i="262"/>
  <c r="O277" i="262"/>
  <c r="Q277" i="262"/>
  <c r="O277" i="1103"/>
  <c r="Q277" i="1103"/>
  <c r="Q209" i="1103"/>
  <c r="O209" i="1103"/>
  <c r="O192" i="1103"/>
  <c r="Q192" i="1103"/>
  <c r="AE260" i="262"/>
  <c r="AG260" i="262"/>
  <c r="O260" i="262"/>
  <c r="Q260" i="262"/>
  <c r="S260" i="1103"/>
  <c r="U260" i="1103"/>
  <c r="U175" i="1103"/>
  <c r="S175" i="1103"/>
  <c r="U141" i="1103"/>
  <c r="S141" i="1103"/>
  <c r="M583" i="1103"/>
  <c r="K583" i="1103"/>
  <c r="G707" i="1103"/>
  <c r="G710" i="1103"/>
  <c r="G705" i="1103"/>
  <c r="G706" i="1103"/>
  <c r="G715" i="1103"/>
  <c r="N702" i="1103"/>
  <c r="G713" i="1103"/>
  <c r="G712" i="1103"/>
  <c r="R702" i="1103"/>
  <c r="G711" i="1103"/>
  <c r="G714" i="1103"/>
  <c r="G709" i="1103"/>
  <c r="G708" i="1103"/>
  <c r="J702" i="1103"/>
  <c r="G716" i="1103"/>
  <c r="G717" i="1103"/>
  <c r="G704" i="1103"/>
  <c r="K685" i="1103"/>
  <c r="M685" i="1103"/>
  <c r="L462" i="1103"/>
  <c r="M462" i="1103" s="1"/>
  <c r="P462" i="1103"/>
  <c r="Q462" i="1103" s="1"/>
  <c r="T462" i="1103"/>
  <c r="U462" i="1103" s="1"/>
  <c r="U685" i="1103"/>
  <c r="S685" i="1103"/>
  <c r="B719" i="1103"/>
  <c r="A736" i="1103"/>
  <c r="C719" i="1103"/>
  <c r="Q685" i="1103"/>
  <c r="O685" i="1103"/>
  <c r="H119" i="1103"/>
  <c r="L118" i="1103"/>
  <c r="M118" i="1103" s="1"/>
  <c r="T118" i="1103"/>
  <c r="U118" i="1103" s="1"/>
  <c r="P118" i="1103"/>
  <c r="Q118" i="1103" s="1"/>
  <c r="H103" i="1103"/>
  <c r="T102" i="1103"/>
  <c r="U102" i="1103" s="1"/>
  <c r="L102" i="1103"/>
  <c r="M102" i="1103" s="1"/>
  <c r="P102" i="1103"/>
  <c r="Q102" i="1103" s="1"/>
  <c r="H87" i="1103"/>
  <c r="T86" i="1103"/>
  <c r="U86" i="1103" s="1"/>
  <c r="L86" i="1103"/>
  <c r="M86" i="1103" s="1"/>
  <c r="P86" i="1103"/>
  <c r="Q86" i="1103" s="1"/>
  <c r="H71" i="1103"/>
  <c r="L70" i="1103"/>
  <c r="M70" i="1103" s="1"/>
  <c r="T70" i="1103"/>
  <c r="U70" i="1103" s="1"/>
  <c r="P70" i="1103"/>
  <c r="Q70" i="1103" s="1"/>
  <c r="J54" i="9"/>
  <c r="B40" i="9"/>
  <c r="G211" i="262"/>
  <c r="I73" i="38" s="1"/>
  <c r="F26" i="188"/>
  <c r="D26" i="188" s="1"/>
  <c r="AB380" i="262"/>
  <c r="P380" i="262"/>
  <c r="AJ380" i="262"/>
  <c r="AF380" i="262"/>
  <c r="H106" i="38"/>
  <c r="L380" i="262"/>
  <c r="T380" i="262"/>
  <c r="M106" i="38"/>
  <c r="J106" i="38"/>
  <c r="L106" i="38"/>
  <c r="N106" i="38"/>
  <c r="R106" i="38"/>
  <c r="P106" i="38"/>
  <c r="F51" i="184"/>
  <c r="D51" i="184" s="1"/>
  <c r="D53" i="184"/>
  <c r="F51" i="186"/>
  <c r="D51" i="186" s="1"/>
  <c r="D53" i="186"/>
  <c r="F51" i="185"/>
  <c r="D51" i="185" s="1"/>
  <c r="D53" i="185"/>
  <c r="F51" i="188"/>
  <c r="D51" i="188" s="1"/>
  <c r="D53" i="188"/>
  <c r="D53" i="180"/>
  <c r="F51" i="180"/>
  <c r="D51" i="180" s="1"/>
  <c r="F51" i="181"/>
  <c r="D51" i="181" s="1"/>
  <c r="D53" i="181"/>
  <c r="D53" i="183"/>
  <c r="F51" i="183"/>
  <c r="D51" i="183" s="1"/>
  <c r="D49" i="180"/>
  <c r="F54" i="186"/>
  <c r="D54" i="186" s="1"/>
  <c r="F50" i="186"/>
  <c r="D46" i="186"/>
  <c r="F50" i="183"/>
  <c r="D46" i="183"/>
  <c r="F50" i="185"/>
  <c r="D46" i="185"/>
  <c r="F54" i="185"/>
  <c r="D54" i="185" s="1"/>
  <c r="D49" i="185"/>
  <c r="D49" i="182"/>
  <c r="F50" i="188"/>
  <c r="D46" i="188"/>
  <c r="D46" i="187"/>
  <c r="F50" i="187"/>
  <c r="D49" i="187"/>
  <c r="F54" i="184"/>
  <c r="D54" i="184" s="1"/>
  <c r="D49" i="184"/>
  <c r="F47" i="184"/>
  <c r="D47" i="184" s="1"/>
  <c r="G49" i="186"/>
  <c r="G49" i="181"/>
  <c r="F50" i="181"/>
  <c r="D46" i="181"/>
  <c r="F50" i="182"/>
  <c r="D46" i="182"/>
  <c r="G49" i="184"/>
  <c r="D49" i="183"/>
  <c r="F50" i="180"/>
  <c r="D46" i="180"/>
  <c r="D53" i="187"/>
  <c r="F51" i="187"/>
  <c r="D51" i="187" s="1"/>
  <c r="D53" i="182"/>
  <c r="F51" i="182"/>
  <c r="D51" i="182" s="1"/>
  <c r="F54" i="180"/>
  <c r="D54" i="180" s="1"/>
  <c r="D49" i="186"/>
  <c r="F47" i="186"/>
  <c r="D47" i="186" s="1"/>
  <c r="F47" i="183"/>
  <c r="D47" i="183" s="1"/>
  <c r="F47" i="185"/>
  <c r="D47" i="185" s="1"/>
  <c r="G49" i="180"/>
  <c r="F54" i="182"/>
  <c r="D54" i="182" s="1"/>
  <c r="F54" i="188"/>
  <c r="D54" i="188" s="1"/>
  <c r="D49" i="188"/>
  <c r="F47" i="188"/>
  <c r="D47" i="188" s="1"/>
  <c r="F47" i="187"/>
  <c r="D47" i="187" s="1"/>
  <c r="F54" i="187"/>
  <c r="D54" i="187" s="1"/>
  <c r="G49" i="185"/>
  <c r="F50" i="184"/>
  <c r="D46" i="184"/>
  <c r="F54" i="181"/>
  <c r="D54" i="181" s="1"/>
  <c r="D49" i="181"/>
  <c r="G49" i="182"/>
  <c r="G49" i="187"/>
  <c r="F47" i="181"/>
  <c r="D47" i="181" s="1"/>
  <c r="F47" i="182"/>
  <c r="D47" i="182" s="1"/>
  <c r="G49" i="183"/>
  <c r="F54" i="183"/>
  <c r="D54" i="183" s="1"/>
  <c r="G49" i="188"/>
  <c r="F47" i="180"/>
  <c r="D47" i="180" s="1"/>
  <c r="F50" i="179"/>
  <c r="D46" i="179"/>
  <c r="F54" i="179"/>
  <c r="D54" i="179" s="1"/>
  <c r="D49" i="179"/>
  <c r="F51" i="179"/>
  <c r="D51" i="179" s="1"/>
  <c r="D53" i="179"/>
  <c r="F47" i="179"/>
  <c r="D47" i="179" s="1"/>
  <c r="G49" i="179"/>
  <c r="F43" i="310"/>
  <c r="D43" i="310" s="1"/>
  <c r="I43" i="310"/>
  <c r="D53" i="310"/>
  <c r="F51" i="310"/>
  <c r="D51" i="310" s="1"/>
  <c r="F50" i="310"/>
  <c r="D53" i="311"/>
  <c r="F51" i="311"/>
  <c r="D51" i="311" s="1"/>
  <c r="H54" i="312"/>
  <c r="H49" i="312"/>
  <c r="D49" i="310"/>
  <c r="F50" i="312"/>
  <c r="D46" i="312"/>
  <c r="F52" i="312"/>
  <c r="D52" i="312" s="1"/>
  <c r="G49" i="311"/>
  <c r="D49" i="311"/>
  <c r="F50" i="311"/>
  <c r="D46" i="311"/>
  <c r="F43" i="311"/>
  <c r="D43" i="311" s="1"/>
  <c r="I43" i="311"/>
  <c r="H54" i="310"/>
  <c r="H49" i="310"/>
  <c r="P102" i="262"/>
  <c r="AB102" i="262"/>
  <c r="T102" i="262"/>
  <c r="H103" i="262"/>
  <c r="T51" i="38" s="1"/>
  <c r="X102" i="262"/>
  <c r="AF102" i="262"/>
  <c r="AJ102" i="262"/>
  <c r="L102" i="262"/>
  <c r="I49" i="311"/>
  <c r="F47" i="311"/>
  <c r="D47" i="311" s="1"/>
  <c r="G17" i="298"/>
  <c r="O32" i="298"/>
  <c r="P32" i="298"/>
  <c r="Q32" i="298"/>
  <c r="M32" i="298"/>
  <c r="N32" i="298"/>
  <c r="G17" i="309"/>
  <c r="N32" i="309"/>
  <c r="M32" i="309"/>
  <c r="O32" i="309"/>
  <c r="P32" i="309"/>
  <c r="Q32" i="309"/>
  <c r="G17" i="297"/>
  <c r="AG39" i="297"/>
  <c r="R33" i="297"/>
  <c r="AG31" i="297"/>
  <c r="G17" i="294"/>
  <c r="R33" i="294"/>
  <c r="R34" i="294" s="1"/>
  <c r="AG39" i="294"/>
  <c r="AG31" i="294"/>
  <c r="G17" i="307"/>
  <c r="R33" i="307"/>
  <c r="AG39" i="307"/>
  <c r="AG31" i="307"/>
  <c r="P32" i="307"/>
  <c r="Q32" i="307"/>
  <c r="N32" i="307"/>
  <c r="M32" i="307"/>
  <c r="O32" i="307"/>
  <c r="G17" i="296"/>
  <c r="AG31" i="295"/>
  <c r="AG39" i="295"/>
  <c r="R33" i="295"/>
  <c r="R34" i="295" s="1"/>
  <c r="N32" i="295"/>
  <c r="Q32" i="295"/>
  <c r="P32" i="295"/>
  <c r="M32" i="295"/>
  <c r="O32" i="295"/>
  <c r="I18" i="295"/>
  <c r="I24" i="295" s="1"/>
  <c r="L86" i="262"/>
  <c r="T86" i="262"/>
  <c r="X86" i="262"/>
  <c r="H87" i="262"/>
  <c r="U48" i="38" s="1"/>
  <c r="P86" i="262"/>
  <c r="AJ86" i="262"/>
  <c r="AB86" i="262"/>
  <c r="AF86" i="262"/>
  <c r="AJ118" i="262"/>
  <c r="L118" i="262"/>
  <c r="AF118" i="262"/>
  <c r="P118" i="262"/>
  <c r="T118" i="262"/>
  <c r="AB118" i="262"/>
  <c r="X118" i="262"/>
  <c r="H119" i="262"/>
  <c r="S54" i="38" s="1"/>
  <c r="G177" i="262"/>
  <c r="I67" i="38" s="1"/>
  <c r="R33" i="298"/>
  <c r="AG31" i="298"/>
  <c r="AG39" i="298"/>
  <c r="I18" i="298"/>
  <c r="I24" i="298" s="1"/>
  <c r="R33" i="309"/>
  <c r="AG31" i="309"/>
  <c r="AG39" i="309"/>
  <c r="I18" i="309"/>
  <c r="I24" i="309" s="1"/>
  <c r="Q32" i="297"/>
  <c r="M32" i="297"/>
  <c r="P32" i="297"/>
  <c r="O32" i="297"/>
  <c r="N32" i="297"/>
  <c r="I18" i="297"/>
  <c r="I24" i="297" s="1"/>
  <c r="O32" i="294"/>
  <c r="N32" i="294"/>
  <c r="Q32" i="294"/>
  <c r="M32" i="294"/>
  <c r="P32" i="294"/>
  <c r="I18" i="294"/>
  <c r="I24" i="294" s="1"/>
  <c r="I18" i="307"/>
  <c r="I24" i="307" s="1"/>
  <c r="AG31" i="296"/>
  <c r="R33" i="296"/>
  <c r="AG39" i="296"/>
  <c r="N32" i="296"/>
  <c r="Q32" i="296"/>
  <c r="P32" i="296"/>
  <c r="M32" i="296"/>
  <c r="O32" i="296"/>
  <c r="I18" i="296"/>
  <c r="I24" i="296" s="1"/>
  <c r="G17" i="295"/>
  <c r="G194" i="262"/>
  <c r="I70" i="38" s="1"/>
  <c r="AD413" i="262"/>
  <c r="N413" i="262"/>
  <c r="Z413" i="262"/>
  <c r="J413" i="262"/>
  <c r="G423" i="262"/>
  <c r="G419" i="262"/>
  <c r="G425" i="262"/>
  <c r="G422" i="262"/>
  <c r="G426" i="262"/>
  <c r="G415" i="262"/>
  <c r="G416" i="262"/>
  <c r="G428" i="262"/>
  <c r="V109" i="38" s="1"/>
  <c r="V413" i="262"/>
  <c r="AH413" i="262"/>
  <c r="R413" i="262"/>
  <c r="G417" i="262"/>
  <c r="K109" i="38" s="1"/>
  <c r="G420" i="262"/>
  <c r="G424" i="262"/>
  <c r="R109" i="38" s="1"/>
  <c r="G421" i="262"/>
  <c r="O109" i="38" s="1"/>
  <c r="G427" i="262"/>
  <c r="U109" i="38" s="1"/>
  <c r="G414" i="262"/>
  <c r="H414" i="262" s="1"/>
  <c r="G418" i="262"/>
  <c r="L109" i="38" s="1"/>
  <c r="F108" i="38"/>
  <c r="A447" i="262"/>
  <c r="C430" i="262"/>
  <c r="B430" i="262"/>
  <c r="AI396" i="262"/>
  <c r="AK396" i="262"/>
  <c r="K396" i="262"/>
  <c r="M396" i="262"/>
  <c r="Q396" i="262"/>
  <c r="O396" i="262"/>
  <c r="S396" i="262"/>
  <c r="U396" i="262"/>
  <c r="Y396" i="262"/>
  <c r="W396" i="262"/>
  <c r="AA396" i="262"/>
  <c r="AC396" i="262"/>
  <c r="AG396" i="262"/>
  <c r="AE396" i="262"/>
  <c r="CB36" i="262"/>
  <c r="P36" i="1103"/>
  <c r="T36" i="1103"/>
  <c r="P54" i="1103"/>
  <c r="T54" i="1103"/>
  <c r="L54" i="1103"/>
  <c r="H37" i="1103"/>
  <c r="X36" i="1103"/>
  <c r="AF36" i="1103"/>
  <c r="AB36" i="1103"/>
  <c r="L36" i="1103"/>
  <c r="AJ36" i="1103"/>
  <c r="F26" i="184"/>
  <c r="F19" i="185"/>
  <c r="D19" i="185" s="1"/>
  <c r="F19" i="179"/>
  <c r="D19" i="179" s="1"/>
  <c r="F19" i="184"/>
  <c r="D19" i="184" s="1"/>
  <c r="P330" i="262"/>
  <c r="X330" i="262"/>
  <c r="AF330" i="262"/>
  <c r="AB330" i="262"/>
  <c r="T330" i="262"/>
  <c r="AJ330" i="262"/>
  <c r="L330" i="262"/>
  <c r="AJ397" i="262"/>
  <c r="AB397" i="262"/>
  <c r="T397" i="262"/>
  <c r="L397" i="262"/>
  <c r="P397" i="262"/>
  <c r="AF397" i="262"/>
  <c r="X397" i="262"/>
  <c r="X314" i="262"/>
  <c r="P314" i="262"/>
  <c r="AF314" i="262"/>
  <c r="AJ314" i="262"/>
  <c r="AB314" i="262"/>
  <c r="T314" i="262"/>
  <c r="L314" i="262"/>
  <c r="BT36" i="262"/>
  <c r="BX36" i="262"/>
  <c r="BL36" i="262"/>
  <c r="BP36" i="262"/>
  <c r="BD36" i="262"/>
  <c r="BH36" i="262"/>
  <c r="AZ36" i="262"/>
  <c r="AV36" i="262"/>
  <c r="AJ36" i="262"/>
  <c r="AR36" i="262"/>
  <c r="AN36" i="262"/>
  <c r="AJ70" i="262"/>
  <c r="L70" i="262"/>
  <c r="AB70" i="262"/>
  <c r="T70" i="262"/>
  <c r="X70" i="262"/>
  <c r="AF70" i="262"/>
  <c r="P70" i="262"/>
  <c r="X54" i="262"/>
  <c r="AF54" i="262"/>
  <c r="P54" i="262"/>
  <c r="AJ54" i="262"/>
  <c r="L54" i="262"/>
  <c r="AB54" i="262"/>
  <c r="T54" i="262"/>
  <c r="AB36" i="262"/>
  <c r="AF36" i="262"/>
  <c r="T36" i="262"/>
  <c r="X36" i="262"/>
  <c r="L36" i="262"/>
  <c r="P36" i="262"/>
  <c r="B900" i="262"/>
  <c r="B441" i="262"/>
  <c r="F19" i="186"/>
  <c r="D19" i="186" s="1"/>
  <c r="F19" i="181"/>
  <c r="D19" i="181" s="1"/>
  <c r="F19" i="188"/>
  <c r="D19" i="188" s="1"/>
  <c r="M55" i="11"/>
  <c r="L56" i="11"/>
  <c r="M56" i="11" s="1"/>
  <c r="D48" i="11"/>
  <c r="E48" i="11" s="1"/>
  <c r="E47" i="11"/>
  <c r="E52" i="11"/>
  <c r="D53" i="11"/>
  <c r="E53" i="11" s="1"/>
  <c r="L45" i="11"/>
  <c r="M45" i="11" s="1"/>
  <c r="M44" i="11"/>
  <c r="B426" i="262"/>
  <c r="B901" i="262"/>
  <c r="B442" i="262"/>
  <c r="F26" i="181"/>
  <c r="B417" i="262"/>
  <c r="F19" i="187"/>
  <c r="D19" i="187" s="1"/>
  <c r="F26" i="187"/>
  <c r="F55" i="187" s="1"/>
  <c r="D55" i="187" s="1"/>
  <c r="F26" i="310"/>
  <c r="F55" i="310" s="1"/>
  <c r="D55" i="310" s="1"/>
  <c r="F26" i="179"/>
  <c r="F55" i="179" s="1"/>
  <c r="D55" i="179" s="1"/>
  <c r="F26" i="311"/>
  <c r="F55" i="311" s="1"/>
  <c r="D55" i="311" s="1"/>
  <c r="F26" i="186"/>
  <c r="F55" i="186" s="1"/>
  <c r="D55" i="186" s="1"/>
  <c r="F26" i="185"/>
  <c r="F55" i="185" s="1"/>
  <c r="D55" i="185" s="1"/>
  <c r="F26" i="183"/>
  <c r="F55" i="183" s="1"/>
  <c r="D55" i="183" s="1"/>
  <c r="B418" i="262"/>
  <c r="B355" i="262"/>
  <c r="B370" i="262"/>
  <c r="B461" i="262"/>
  <c r="B354" i="262"/>
  <c r="W193" i="1"/>
  <c r="X193" i="1" s="1"/>
  <c r="W195" i="1"/>
  <c r="X195" i="1" s="1"/>
  <c r="W194" i="1"/>
  <c r="X194" i="1" s="1"/>
  <c r="B348" i="262"/>
  <c r="H16" i="186"/>
  <c r="N32" i="182"/>
  <c r="L32" i="182"/>
  <c r="O32" i="182"/>
  <c r="M32" i="182"/>
  <c r="P32" i="182"/>
  <c r="H16" i="182"/>
  <c r="G39" i="187"/>
  <c r="G57" i="187" s="1"/>
  <c r="G31" i="187"/>
  <c r="G36" i="187"/>
  <c r="G56" i="187" s="1"/>
  <c r="G35" i="187"/>
  <c r="G54" i="187" s="1"/>
  <c r="G33" i="187"/>
  <c r="I18" i="310"/>
  <c r="I24" i="310" s="1"/>
  <c r="P32" i="310"/>
  <c r="M32" i="310"/>
  <c r="N32" i="310"/>
  <c r="Q32" i="310"/>
  <c r="O32" i="310"/>
  <c r="G33" i="310"/>
  <c r="G35" i="310"/>
  <c r="G54" i="310" s="1"/>
  <c r="G31" i="310"/>
  <c r="G36" i="310"/>
  <c r="G56" i="310" s="1"/>
  <c r="G39" i="310"/>
  <c r="G57" i="310" s="1"/>
  <c r="H14" i="187"/>
  <c r="H48" i="187" s="1"/>
  <c r="H14" i="181"/>
  <c r="H48" i="181" s="1"/>
  <c r="AG31" i="312"/>
  <c r="AG39" i="312"/>
  <c r="R33" i="312"/>
  <c r="R34" i="312" s="1"/>
  <c r="G36" i="182"/>
  <c r="G56" i="182" s="1"/>
  <c r="G35" i="182"/>
  <c r="G54" i="182" s="1"/>
  <c r="G33" i="182"/>
  <c r="G31" i="182"/>
  <c r="G39" i="182"/>
  <c r="G57" i="182" s="1"/>
  <c r="H16" i="179"/>
  <c r="D24" i="179"/>
  <c r="H14" i="185"/>
  <c r="H48" i="185" s="1"/>
  <c r="G36" i="179"/>
  <c r="G56" i="179" s="1"/>
  <c r="G35" i="179"/>
  <c r="G54" i="179" s="1"/>
  <c r="G33" i="179"/>
  <c r="G31" i="179"/>
  <c r="G39" i="179"/>
  <c r="G57" i="179" s="1"/>
  <c r="H331" i="262"/>
  <c r="B347" i="262"/>
  <c r="H347" i="262"/>
  <c r="B445" i="262"/>
  <c r="B904" i="262"/>
  <c r="H71" i="262"/>
  <c r="V45" i="38" s="1"/>
  <c r="B29" i="3"/>
  <c r="C29" i="3" s="1"/>
  <c r="A30" i="3"/>
  <c r="B402" i="262"/>
  <c r="B414" i="262"/>
  <c r="N32" i="187"/>
  <c r="M32" i="187"/>
  <c r="P32" i="187"/>
  <c r="O32" i="187"/>
  <c r="L32" i="187"/>
  <c r="I18" i="311"/>
  <c r="I24" i="311" s="1"/>
  <c r="O32" i="311"/>
  <c r="M32" i="311"/>
  <c r="P32" i="311"/>
  <c r="N32" i="311"/>
  <c r="Q32" i="311"/>
  <c r="P32" i="183"/>
  <c r="N32" i="183"/>
  <c r="M32" i="183"/>
  <c r="L32" i="183"/>
  <c r="O32" i="183"/>
  <c r="I26" i="311"/>
  <c r="F19" i="183"/>
  <c r="D19" i="183" s="1"/>
  <c r="H14" i="186"/>
  <c r="H48" i="186" s="1"/>
  <c r="G31" i="311"/>
  <c r="G33" i="311"/>
  <c r="G36" i="311"/>
  <c r="G56" i="311" s="1"/>
  <c r="G35" i="311"/>
  <c r="G54" i="311" s="1"/>
  <c r="G39" i="311"/>
  <c r="G57" i="311" s="1"/>
  <c r="F19" i="182"/>
  <c r="D19" i="182" s="1"/>
  <c r="N32" i="186"/>
  <c r="M32" i="186"/>
  <c r="O32" i="186"/>
  <c r="L32" i="186"/>
  <c r="P32" i="186"/>
  <c r="H16" i="180"/>
  <c r="D35" i="311"/>
  <c r="I35" i="311"/>
  <c r="I54" i="311" s="1"/>
  <c r="D24" i="185"/>
  <c r="H16" i="183"/>
  <c r="G31" i="185"/>
  <c r="G39" i="185"/>
  <c r="G57" i="185" s="1"/>
  <c r="G35" i="185"/>
  <c r="G54" i="185" s="1"/>
  <c r="G36" i="185"/>
  <c r="G56" i="185" s="1"/>
  <c r="G33" i="185"/>
  <c r="H14" i="184"/>
  <c r="H48" i="184" s="1"/>
  <c r="D24" i="181"/>
  <c r="H14" i="183"/>
  <c r="H48" i="183" s="1"/>
  <c r="H315" i="262"/>
  <c r="D24" i="187"/>
  <c r="G33" i="184"/>
  <c r="G39" i="184"/>
  <c r="G57" i="184" s="1"/>
  <c r="G35" i="184"/>
  <c r="G54" i="184" s="1"/>
  <c r="G36" i="184"/>
  <c r="G56" i="184" s="1"/>
  <c r="G31" i="184"/>
  <c r="D24" i="182"/>
  <c r="F26" i="182"/>
  <c r="F55" i="182" s="1"/>
  <c r="D55" i="182" s="1"/>
  <c r="P32" i="188"/>
  <c r="O32" i="188"/>
  <c r="L32" i="188"/>
  <c r="M32" i="188"/>
  <c r="N32" i="188"/>
  <c r="P32" i="184"/>
  <c r="N32" i="184"/>
  <c r="L32" i="184"/>
  <c r="O32" i="184"/>
  <c r="M32" i="184"/>
  <c r="AG39" i="310"/>
  <c r="R33" i="310"/>
  <c r="AG31" i="310"/>
  <c r="G33" i="180"/>
  <c r="G35" i="180"/>
  <c r="G54" i="180" s="1"/>
  <c r="G39" i="180"/>
  <c r="G57" i="180" s="1"/>
  <c r="G31" i="180"/>
  <c r="G36" i="180"/>
  <c r="G56" i="180" s="1"/>
  <c r="G35" i="183"/>
  <c r="G54" i="183" s="1"/>
  <c r="G33" i="183"/>
  <c r="G36" i="183"/>
  <c r="G56" i="183" s="1"/>
  <c r="G39" i="183"/>
  <c r="G57" i="183" s="1"/>
  <c r="G31" i="183"/>
  <c r="H16" i="311"/>
  <c r="H16" i="184"/>
  <c r="I18" i="312"/>
  <c r="I24" i="312" s="1"/>
  <c r="Q32" i="312"/>
  <c r="P32" i="312"/>
  <c r="O32" i="312"/>
  <c r="N32" i="312"/>
  <c r="M32" i="312"/>
  <c r="H14" i="182"/>
  <c r="H48" i="182" s="1"/>
  <c r="D24" i="310"/>
  <c r="I26" i="310"/>
  <c r="H14" i="188"/>
  <c r="H48" i="188" s="1"/>
  <c r="G31" i="186"/>
  <c r="G35" i="186"/>
  <c r="G54" i="186" s="1"/>
  <c r="G36" i="186"/>
  <c r="G56" i="186" s="1"/>
  <c r="G33" i="186"/>
  <c r="G39" i="186"/>
  <c r="G57" i="186" s="1"/>
  <c r="D24" i="184"/>
  <c r="H14" i="180"/>
  <c r="H48" i="180" s="1"/>
  <c r="O32" i="179"/>
  <c r="N32" i="179"/>
  <c r="L32" i="179"/>
  <c r="M32" i="179"/>
  <c r="P32" i="179"/>
  <c r="P32" i="181"/>
  <c r="M32" i="181"/>
  <c r="O32" i="181"/>
  <c r="N32" i="181"/>
  <c r="L32" i="181"/>
  <c r="N32" i="185"/>
  <c r="O32" i="185"/>
  <c r="L32" i="185"/>
  <c r="P32" i="185"/>
  <c r="M32" i="185"/>
  <c r="H37" i="262"/>
  <c r="B135" i="38"/>
  <c r="R33" i="311"/>
  <c r="R34" i="311" s="1"/>
  <c r="AG39" i="311"/>
  <c r="AG31" i="311"/>
  <c r="D16" i="310"/>
  <c r="F19" i="310"/>
  <c r="D19" i="310" s="1"/>
  <c r="G33" i="181"/>
  <c r="G39" i="181"/>
  <c r="G57" i="181" s="1"/>
  <c r="G36" i="181"/>
  <c r="G56" i="181" s="1"/>
  <c r="G35" i="181"/>
  <c r="G54" i="181" s="1"/>
  <c r="G31" i="181"/>
  <c r="D24" i="311"/>
  <c r="H16" i="181"/>
  <c r="H16" i="187"/>
  <c r="O32" i="180"/>
  <c r="M32" i="180"/>
  <c r="P32" i="180"/>
  <c r="N32" i="180"/>
  <c r="L32" i="180"/>
  <c r="H16" i="310"/>
  <c r="D24" i="186"/>
  <c r="H14" i="311"/>
  <c r="H48" i="311" s="1"/>
  <c r="G35" i="188"/>
  <c r="G54" i="188" s="1"/>
  <c r="G39" i="188"/>
  <c r="G57" i="188" s="1"/>
  <c r="G36" i="188"/>
  <c r="G56" i="188" s="1"/>
  <c r="G31" i="188"/>
  <c r="G33" i="188"/>
  <c r="D24" i="188"/>
  <c r="H16" i="188"/>
  <c r="H16" i="185"/>
  <c r="H16" i="312"/>
  <c r="D24" i="180"/>
  <c r="F26" i="180"/>
  <c r="F55" i="180" s="1"/>
  <c r="D55" i="180" s="1"/>
  <c r="H14" i="179"/>
  <c r="H48" i="179" s="1"/>
  <c r="F19" i="180"/>
  <c r="D19" i="180" s="1"/>
  <c r="D24" i="183"/>
  <c r="B403" i="262"/>
  <c r="E430" i="262"/>
  <c r="G430" i="262"/>
  <c r="G719" i="1103"/>
  <c r="E55" i="261"/>
  <c r="H430" i="262"/>
  <c r="E208" i="261"/>
  <c r="E719" i="1103"/>
  <c r="E38" i="261"/>
  <c r="F430" i="262"/>
  <c r="I719" i="1103"/>
  <c r="I430" i="262"/>
  <c r="F719" i="1103"/>
  <c r="E21" i="261"/>
  <c r="E191" i="261"/>
  <c r="E89" i="261"/>
  <c r="E72" i="261"/>
  <c r="V69" i="1"/>
  <c r="W31" i="291" l="1"/>
  <c r="W34" i="291" s="1"/>
  <c r="W35" i="291" s="1"/>
  <c r="W36" i="291" s="1"/>
  <c r="K26" i="291" s="1"/>
  <c r="W31" i="308"/>
  <c r="W34" i="308" s="1"/>
  <c r="W35" i="308" s="1"/>
  <c r="W36" i="308" s="1"/>
  <c r="K26" i="308" s="1"/>
  <c r="W31" i="302"/>
  <c r="W34" i="302" s="1"/>
  <c r="W35" i="302" s="1"/>
  <c r="W36" i="302" s="1"/>
  <c r="K26" i="302" s="1"/>
  <c r="G127" i="262"/>
  <c r="J58" i="38" s="1"/>
  <c r="W31" i="1108"/>
  <c r="W34" i="1108" s="1"/>
  <c r="W35" i="1108" s="1"/>
  <c r="W36" i="1108" s="1"/>
  <c r="K26" i="1108" s="1"/>
  <c r="W31" i="299"/>
  <c r="W34" i="299" s="1"/>
  <c r="W35" i="299" s="1"/>
  <c r="W36" i="299" s="1"/>
  <c r="K26" i="299" s="1"/>
  <c r="W31" i="1116"/>
  <c r="W34" i="1116" s="1"/>
  <c r="W35" i="1116" s="1"/>
  <c r="W36" i="1116" s="1"/>
  <c r="K26" i="1116" s="1"/>
  <c r="W31" i="301"/>
  <c r="W34" i="301" s="1"/>
  <c r="W35" i="301" s="1"/>
  <c r="W36" i="301" s="1"/>
  <c r="K26" i="301" s="1"/>
  <c r="W31" i="300"/>
  <c r="W34" i="300" s="1"/>
  <c r="W35" i="300" s="1"/>
  <c r="W36" i="300" s="1"/>
  <c r="K26" i="300" s="1"/>
  <c r="W31" i="1109"/>
  <c r="W34" i="1109" s="1"/>
  <c r="W35" i="1109" s="1"/>
  <c r="W36" i="1109" s="1"/>
  <c r="K26" i="1109" s="1"/>
  <c r="W31" i="1112"/>
  <c r="W34" i="1112" s="1"/>
  <c r="W35" i="1112" s="1"/>
  <c r="W36" i="1112" s="1"/>
  <c r="K26" i="1112" s="1"/>
  <c r="W31" i="293"/>
  <c r="W34" i="293" s="1"/>
  <c r="W35" i="293" s="1"/>
  <c r="W36" i="293" s="1"/>
  <c r="K26" i="293" s="1"/>
  <c r="W31" i="292"/>
  <c r="W34" i="292" s="1"/>
  <c r="W35" i="292" s="1"/>
  <c r="W36" i="292" s="1"/>
  <c r="K26" i="292" s="1"/>
  <c r="W31" i="1111"/>
  <c r="W34" i="1111" s="1"/>
  <c r="W35" i="1111" s="1"/>
  <c r="W36" i="1111" s="1"/>
  <c r="K26" i="1111" s="1"/>
  <c r="AI41" i="1113"/>
  <c r="W31" i="1110"/>
  <c r="W34" i="1110" s="1"/>
  <c r="W35" i="1110" s="1"/>
  <c r="W36" i="1110" s="1"/>
  <c r="K26" i="1110" s="1"/>
  <c r="W31" i="1117"/>
  <c r="W34" i="1117" s="1"/>
  <c r="W35" i="1117" s="1"/>
  <c r="W36" i="1117" s="1"/>
  <c r="K26" i="1117" s="1"/>
  <c r="W31" i="1114"/>
  <c r="W34" i="1114" s="1"/>
  <c r="W35" i="1114" s="1"/>
  <c r="W36" i="1114" s="1"/>
  <c r="K26" i="1114" s="1"/>
  <c r="R34" i="301"/>
  <c r="R34" i="1116"/>
  <c r="I61" i="38"/>
  <c r="G144" i="262"/>
  <c r="AI41" i="1111"/>
  <c r="AI41" i="1109"/>
  <c r="D50" i="1117"/>
  <c r="G50" i="1117"/>
  <c r="K50" i="1117" s="1"/>
  <c r="G50" i="1113"/>
  <c r="D50" i="1113"/>
  <c r="D26" i="1117"/>
  <c r="F55" i="1117"/>
  <c r="D55" i="1117" s="1"/>
  <c r="AG41" i="304"/>
  <c r="AG33" i="304"/>
  <c r="R34" i="1118"/>
  <c r="AG41" i="1118"/>
  <c r="AG33" i="1118"/>
  <c r="D53" i="1111"/>
  <c r="F51" i="1111"/>
  <c r="AE32" i="1112"/>
  <c r="AE40" i="1112"/>
  <c r="AE36" i="1112"/>
  <c r="AE37" i="1112"/>
  <c r="AE35" i="1112"/>
  <c r="AD32" i="303"/>
  <c r="AD37" i="303"/>
  <c r="AD40" i="303"/>
  <c r="AD36" i="303"/>
  <c r="AD35" i="303"/>
  <c r="F51" i="1110"/>
  <c r="F52" i="1110" s="1"/>
  <c r="D53" i="1110"/>
  <c r="AD32" i="1113"/>
  <c r="AD40" i="1113"/>
  <c r="AD35" i="1113"/>
  <c r="AD37" i="1113"/>
  <c r="AD36" i="1113"/>
  <c r="AE35" i="305"/>
  <c r="AE32" i="305"/>
  <c r="AE40" i="305"/>
  <c r="AE37" i="305"/>
  <c r="AE36" i="305"/>
  <c r="G47" i="300"/>
  <c r="G19" i="300"/>
  <c r="G51" i="300"/>
  <c r="R34" i="305"/>
  <c r="AG41" i="305"/>
  <c r="AG33" i="305"/>
  <c r="W33" i="1109"/>
  <c r="Y33" i="1109" s="1"/>
  <c r="G26" i="1109" s="1"/>
  <c r="H48" i="1115"/>
  <c r="H35" i="1115"/>
  <c r="H54" i="1115" s="1"/>
  <c r="G50" i="1118"/>
  <c r="K50" i="1118" s="1"/>
  <c r="D50" i="1118"/>
  <c r="I17" i="304"/>
  <c r="I50" i="304"/>
  <c r="AD40" i="1116"/>
  <c r="AD35" i="1116"/>
  <c r="AD32" i="1116"/>
  <c r="AD36" i="1116"/>
  <c r="AD37" i="1116"/>
  <c r="I50" i="303"/>
  <c r="I17" i="303"/>
  <c r="D26" i="1116"/>
  <c r="F55" i="1116"/>
  <c r="D55" i="1116" s="1"/>
  <c r="H49" i="1110"/>
  <c r="H48" i="1110"/>
  <c r="H35" i="1110"/>
  <c r="H54" i="1110" s="1"/>
  <c r="G47" i="299"/>
  <c r="G19" i="299"/>
  <c r="G51" i="299"/>
  <c r="AD40" i="1109"/>
  <c r="AD37" i="1109"/>
  <c r="AD35" i="1109"/>
  <c r="AD32" i="1109"/>
  <c r="AD36" i="1109"/>
  <c r="F51" i="1114"/>
  <c r="D53" i="1114"/>
  <c r="W31" i="303"/>
  <c r="W34" i="303" s="1"/>
  <c r="W35" i="303" s="1"/>
  <c r="W36" i="303" s="1"/>
  <c r="K26" i="303" s="1"/>
  <c r="AE40" i="299"/>
  <c r="AE37" i="299"/>
  <c r="AE35" i="299"/>
  <c r="AE36" i="299"/>
  <c r="AE32" i="299"/>
  <c r="H49" i="1114"/>
  <c r="H48" i="1114"/>
  <c r="H35" i="1114"/>
  <c r="H54" i="1114" s="1"/>
  <c r="AD37" i="1115"/>
  <c r="AD40" i="1115"/>
  <c r="AD35" i="1115"/>
  <c r="AD36" i="1115"/>
  <c r="AD32" i="1115"/>
  <c r="AD32" i="306"/>
  <c r="AD36" i="306"/>
  <c r="AD40" i="306"/>
  <c r="AD35" i="306"/>
  <c r="AD37" i="306"/>
  <c r="I64" i="38"/>
  <c r="G161" i="262"/>
  <c r="R34" i="304"/>
  <c r="D53" i="1113"/>
  <c r="F51" i="1113"/>
  <c r="F52" i="1113" s="1"/>
  <c r="AG33" i="1115"/>
  <c r="AG41" i="1115"/>
  <c r="AG41" i="1117"/>
  <c r="AG33" i="1117"/>
  <c r="H48" i="1116"/>
  <c r="H35" i="1116"/>
  <c r="H54" i="1116" s="1"/>
  <c r="AG41" i="308"/>
  <c r="AG33" i="308"/>
  <c r="AG41" i="299"/>
  <c r="AG33" i="299"/>
  <c r="AG33" i="1114"/>
  <c r="AG41" i="1114"/>
  <c r="AE32" i="1108"/>
  <c r="AE40" i="1108"/>
  <c r="AE36" i="1108"/>
  <c r="AE35" i="1108"/>
  <c r="AE37" i="1108"/>
  <c r="AE36" i="1111"/>
  <c r="AE32" i="1111"/>
  <c r="AE40" i="1111"/>
  <c r="AE35" i="1111"/>
  <c r="AE37" i="1111"/>
  <c r="D53" i="1118"/>
  <c r="F51" i="1118"/>
  <c r="D51" i="1118" s="1"/>
  <c r="AD37" i="305"/>
  <c r="AD35" i="305"/>
  <c r="AD32" i="305"/>
  <c r="AD40" i="305"/>
  <c r="AD36" i="305"/>
  <c r="AD40" i="293"/>
  <c r="AD36" i="293"/>
  <c r="AD37" i="293"/>
  <c r="AD32" i="293"/>
  <c r="AD35" i="293"/>
  <c r="AE36" i="293"/>
  <c r="AE32" i="293"/>
  <c r="AE35" i="293"/>
  <c r="AE37" i="293"/>
  <c r="AE40" i="293"/>
  <c r="AD35" i="304"/>
  <c r="AD40" i="304"/>
  <c r="AD36" i="304"/>
  <c r="AD32" i="304"/>
  <c r="AD37" i="304"/>
  <c r="D26" i="1109"/>
  <c r="F55" i="1109"/>
  <c r="D55" i="1109" s="1"/>
  <c r="AD35" i="1117"/>
  <c r="AD36" i="1117"/>
  <c r="AD37" i="1117"/>
  <c r="AD40" i="1117"/>
  <c r="AD32" i="1117"/>
  <c r="I50" i="300"/>
  <c r="I17" i="300"/>
  <c r="AG41" i="292"/>
  <c r="AG33" i="292"/>
  <c r="AG41" i="1110"/>
  <c r="AG33" i="1110"/>
  <c r="G19" i="304"/>
  <c r="G47" i="304"/>
  <c r="G51" i="304"/>
  <c r="H48" i="1117"/>
  <c r="H35" i="1117"/>
  <c r="H54" i="1117" s="1"/>
  <c r="AG33" i="291"/>
  <c r="AG41" i="291"/>
  <c r="I17" i="305"/>
  <c r="I50" i="305"/>
  <c r="H49" i="1117"/>
  <c r="F51" i="1108"/>
  <c r="D53" i="1108"/>
  <c r="AE35" i="302"/>
  <c r="AE40" i="302"/>
  <c r="AE32" i="302"/>
  <c r="AE36" i="302"/>
  <c r="AE37" i="302"/>
  <c r="I50" i="299"/>
  <c r="I17" i="299"/>
  <c r="G47" i="293"/>
  <c r="G19" i="293"/>
  <c r="G51" i="293"/>
  <c r="AD37" i="301"/>
  <c r="AD36" i="301"/>
  <c r="AD35" i="301"/>
  <c r="AD40" i="301"/>
  <c r="AD32" i="301"/>
  <c r="G47" i="306"/>
  <c r="G19" i="306"/>
  <c r="G51" i="306"/>
  <c r="AD35" i="299"/>
  <c r="AD40" i="299"/>
  <c r="AD32" i="299"/>
  <c r="AD36" i="299"/>
  <c r="AD37" i="299"/>
  <c r="AG33" i="1113"/>
  <c r="AG41" i="1113"/>
  <c r="H48" i="1118"/>
  <c r="H35" i="1118"/>
  <c r="H54" i="1118" s="1"/>
  <c r="AG41" i="1108"/>
  <c r="AG33" i="1108"/>
  <c r="W31" i="304"/>
  <c r="W34" i="304" s="1"/>
  <c r="W35" i="304" s="1"/>
  <c r="W36" i="304" s="1"/>
  <c r="K26" i="304" s="1"/>
  <c r="W31" i="1118"/>
  <c r="W34" i="1118" s="1"/>
  <c r="W35" i="1118" s="1"/>
  <c r="W36" i="1118" s="1"/>
  <c r="K26" i="1118" s="1"/>
  <c r="F50" i="1111"/>
  <c r="AE32" i="292"/>
  <c r="AE40" i="292"/>
  <c r="AE35" i="292"/>
  <c r="AE36" i="292"/>
  <c r="AE37" i="292"/>
  <c r="W31" i="1115"/>
  <c r="W34" i="1115" s="1"/>
  <c r="W35" i="1115" s="1"/>
  <c r="W36" i="1115" s="1"/>
  <c r="K26" i="1115" s="1"/>
  <c r="AD40" i="1110"/>
  <c r="AD37" i="1110"/>
  <c r="AD35" i="1110"/>
  <c r="AD32" i="1110"/>
  <c r="AD36" i="1110"/>
  <c r="AE40" i="1110"/>
  <c r="AE37" i="1110"/>
  <c r="AE36" i="1110"/>
  <c r="AE32" i="1110"/>
  <c r="AE35" i="1110"/>
  <c r="G19" i="291"/>
  <c r="G47" i="291"/>
  <c r="G51" i="291"/>
  <c r="AD32" i="1112"/>
  <c r="AD37" i="1112"/>
  <c r="AD35" i="1112"/>
  <c r="AD40" i="1112"/>
  <c r="AD36" i="1112"/>
  <c r="AE35" i="303"/>
  <c r="AE37" i="303"/>
  <c r="AE40" i="303"/>
  <c r="AE36" i="303"/>
  <c r="AE32" i="303"/>
  <c r="R34" i="308"/>
  <c r="D26" i="1110"/>
  <c r="F55" i="1110"/>
  <c r="D55" i="1110" s="1"/>
  <c r="R34" i="299"/>
  <c r="R34" i="293"/>
  <c r="AG33" i="293"/>
  <c r="AG41" i="293"/>
  <c r="AD32" i="1114"/>
  <c r="AD37" i="1114"/>
  <c r="AD35" i="1114"/>
  <c r="AD40" i="1114"/>
  <c r="AD36" i="1114"/>
  <c r="F50" i="1114"/>
  <c r="AE32" i="304"/>
  <c r="AE37" i="304"/>
  <c r="AE36" i="304"/>
  <c r="AE40" i="304"/>
  <c r="AE35" i="304"/>
  <c r="G19" i="292"/>
  <c r="G47" i="292"/>
  <c r="G51" i="292"/>
  <c r="W31" i="306"/>
  <c r="W34" i="306" s="1"/>
  <c r="W35" i="306" s="1"/>
  <c r="W36" i="306" s="1"/>
  <c r="K26" i="306" s="1"/>
  <c r="AG33" i="306"/>
  <c r="AG41" i="306"/>
  <c r="AE37" i="1117"/>
  <c r="AE36" i="1117"/>
  <c r="AE40" i="1117"/>
  <c r="AE32" i="1117"/>
  <c r="AE35" i="1117"/>
  <c r="D50" i="1115"/>
  <c r="G50" i="1115"/>
  <c r="K50" i="1115" s="1"/>
  <c r="F50" i="1110"/>
  <c r="AD36" i="1119"/>
  <c r="AD35" i="1119"/>
  <c r="AD32" i="1119"/>
  <c r="AD40" i="1119"/>
  <c r="AD37" i="1119"/>
  <c r="AG41" i="1112"/>
  <c r="AG33" i="1112"/>
  <c r="G50" i="1116"/>
  <c r="K50" i="1116" s="1"/>
  <c r="D50" i="1116"/>
  <c r="R34" i="302"/>
  <c r="AG41" i="302"/>
  <c r="AG33" i="302"/>
  <c r="F51" i="1112"/>
  <c r="D53" i="1112"/>
  <c r="AE37" i="1116"/>
  <c r="AE32" i="1116"/>
  <c r="AE36" i="1116"/>
  <c r="AE40" i="1116"/>
  <c r="AE35" i="1116"/>
  <c r="F50" i="1119"/>
  <c r="F51" i="1119"/>
  <c r="D53" i="1119"/>
  <c r="R34" i="291"/>
  <c r="AD36" i="300"/>
  <c r="AD37" i="300"/>
  <c r="AD32" i="300"/>
  <c r="AD40" i="300"/>
  <c r="AD35" i="300"/>
  <c r="AD37" i="308"/>
  <c r="AD36" i="308"/>
  <c r="AD35" i="308"/>
  <c r="AD32" i="308"/>
  <c r="AD40" i="308"/>
  <c r="G47" i="308"/>
  <c r="G19" i="308"/>
  <c r="G51" i="308"/>
  <c r="G47" i="305"/>
  <c r="G19" i="305"/>
  <c r="G51" i="305"/>
  <c r="H48" i="1119"/>
  <c r="H35" i="1119"/>
  <c r="H54" i="1119" s="1"/>
  <c r="I17" i="302"/>
  <c r="I50" i="302"/>
  <c r="AE40" i="1109"/>
  <c r="AE35" i="1109"/>
  <c r="AE37" i="1109"/>
  <c r="AE36" i="1109"/>
  <c r="AE32" i="1109"/>
  <c r="I50" i="293"/>
  <c r="I17" i="293"/>
  <c r="AE36" i="301"/>
  <c r="AE37" i="301"/>
  <c r="AE35" i="301"/>
  <c r="AE40" i="301"/>
  <c r="AE32" i="301"/>
  <c r="I17" i="301"/>
  <c r="I50" i="301"/>
  <c r="W31" i="1119"/>
  <c r="W34" i="1119" s="1"/>
  <c r="W35" i="1119" s="1"/>
  <c r="W36" i="1119" s="1"/>
  <c r="K26" i="1119" s="1"/>
  <c r="AG41" i="1119"/>
  <c r="AG33" i="1119"/>
  <c r="I50" i="306"/>
  <c r="I17" i="306"/>
  <c r="AG33" i="303"/>
  <c r="AG41" i="303"/>
  <c r="AE37" i="1115"/>
  <c r="AE32" i="1115"/>
  <c r="AE35" i="1115"/>
  <c r="AE36" i="1115"/>
  <c r="AE40" i="1115"/>
  <c r="AD40" i="291"/>
  <c r="AD32" i="291"/>
  <c r="AD36" i="291"/>
  <c r="AD37" i="291"/>
  <c r="AD35" i="291"/>
  <c r="AE40" i="291"/>
  <c r="AE32" i="291"/>
  <c r="AE37" i="291"/>
  <c r="AE35" i="291"/>
  <c r="AE36" i="291"/>
  <c r="F51" i="1117"/>
  <c r="D53" i="1117"/>
  <c r="AD32" i="292"/>
  <c r="AD36" i="292"/>
  <c r="AD40" i="292"/>
  <c r="AD37" i="292"/>
  <c r="AD35" i="292"/>
  <c r="AI41" i="1115"/>
  <c r="R34" i="1117"/>
  <c r="I50" i="291"/>
  <c r="I17" i="291"/>
  <c r="AE32" i="1113"/>
  <c r="AE35" i="1113"/>
  <c r="AE37" i="1113"/>
  <c r="AE36" i="1113"/>
  <c r="AE40" i="1113"/>
  <c r="AE35" i="1114"/>
  <c r="AE36" i="1114"/>
  <c r="AE37" i="1114"/>
  <c r="AE32" i="1114"/>
  <c r="AE40" i="1114"/>
  <c r="H49" i="1108"/>
  <c r="H48" i="1108"/>
  <c r="H35" i="1108"/>
  <c r="H54" i="1108" s="1"/>
  <c r="G50" i="1112"/>
  <c r="D50" i="1112"/>
  <c r="H49" i="1109"/>
  <c r="H48" i="1109"/>
  <c r="H35" i="1109"/>
  <c r="H54" i="1109" s="1"/>
  <c r="AD35" i="1108"/>
  <c r="AD32" i="1108"/>
  <c r="AD36" i="1108"/>
  <c r="AD37" i="1108"/>
  <c r="AD40" i="1108"/>
  <c r="AD36" i="1111"/>
  <c r="AD32" i="1111"/>
  <c r="AD35" i="1111"/>
  <c r="AD37" i="1111"/>
  <c r="AD40" i="1111"/>
  <c r="D26" i="1118"/>
  <c r="F55" i="1118"/>
  <c r="D55" i="1118" s="1"/>
  <c r="AD36" i="1118"/>
  <c r="AD32" i="1118"/>
  <c r="AD40" i="1118"/>
  <c r="AD37" i="1118"/>
  <c r="AD35" i="1118"/>
  <c r="AE36" i="1118"/>
  <c r="AE35" i="1118"/>
  <c r="AE37" i="1118"/>
  <c r="AE40" i="1118"/>
  <c r="AE32" i="1118"/>
  <c r="I50" i="292"/>
  <c r="I17" i="292"/>
  <c r="H49" i="1111"/>
  <c r="H48" i="1111"/>
  <c r="H35" i="1111"/>
  <c r="H54" i="1111" s="1"/>
  <c r="AG41" i="1116"/>
  <c r="AG33" i="1116"/>
  <c r="R34" i="306"/>
  <c r="AG33" i="1111"/>
  <c r="AG41" i="1111"/>
  <c r="R34" i="300"/>
  <c r="AG41" i="300"/>
  <c r="AG33" i="300"/>
  <c r="W31" i="305"/>
  <c r="W34" i="305" s="1"/>
  <c r="W35" i="305" s="1"/>
  <c r="W36" i="305" s="1"/>
  <c r="K26" i="305" s="1"/>
  <c r="F50" i="1108"/>
  <c r="AG33" i="1109"/>
  <c r="AG41" i="1109"/>
  <c r="AE35" i="1119"/>
  <c r="AE36" i="1119"/>
  <c r="AE40" i="1119"/>
  <c r="AE32" i="1119"/>
  <c r="AE37" i="1119"/>
  <c r="AI41" i="1110"/>
  <c r="AI41" i="1112"/>
  <c r="AG33" i="301"/>
  <c r="AG41" i="301"/>
  <c r="H48" i="1113"/>
  <c r="H35" i="1113"/>
  <c r="H54" i="1113" s="1"/>
  <c r="H48" i="1112"/>
  <c r="H35" i="1112"/>
  <c r="H54" i="1112" s="1"/>
  <c r="D26" i="1119"/>
  <c r="F55" i="1119"/>
  <c r="D55" i="1119" s="1"/>
  <c r="AE37" i="300"/>
  <c r="AE36" i="300"/>
  <c r="AE40" i="300"/>
  <c r="AE35" i="300"/>
  <c r="AE32" i="300"/>
  <c r="G47" i="303"/>
  <c r="G19" i="303"/>
  <c r="G51" i="303"/>
  <c r="AE37" i="308"/>
  <c r="AE32" i="308"/>
  <c r="AE40" i="308"/>
  <c r="AE36" i="308"/>
  <c r="AE35" i="308"/>
  <c r="I50" i="308"/>
  <c r="I17" i="308"/>
  <c r="D53" i="1116"/>
  <c r="F51" i="1116"/>
  <c r="AD37" i="302"/>
  <c r="AD36" i="302"/>
  <c r="AD40" i="302"/>
  <c r="AD35" i="302"/>
  <c r="AD32" i="302"/>
  <c r="G19" i="302"/>
  <c r="G47" i="302"/>
  <c r="G51" i="302"/>
  <c r="G47" i="301"/>
  <c r="G19" i="301"/>
  <c r="G51" i="301"/>
  <c r="D53" i="1115"/>
  <c r="F51" i="1115"/>
  <c r="R34" i="1119"/>
  <c r="F50" i="1109"/>
  <c r="F51" i="1109"/>
  <c r="D53" i="1109"/>
  <c r="R34" i="303"/>
  <c r="W31" i="1113"/>
  <c r="W34" i="1113" s="1"/>
  <c r="W35" i="1113" s="1"/>
  <c r="W36" i="1113" s="1"/>
  <c r="K26" i="1113" s="1"/>
  <c r="AI41" i="1114"/>
  <c r="H49" i="1112"/>
  <c r="AE40" i="306"/>
  <c r="AE36" i="306"/>
  <c r="AE32" i="306"/>
  <c r="AE37" i="306"/>
  <c r="AE35" i="306"/>
  <c r="AI41" i="1108"/>
  <c r="G732" i="1103"/>
  <c r="N719" i="1103"/>
  <c r="G727" i="1103"/>
  <c r="G725" i="1103"/>
  <c r="G722" i="1103"/>
  <c r="G724" i="1103"/>
  <c r="J719" i="1103"/>
  <c r="R719" i="1103"/>
  <c r="G730" i="1103"/>
  <c r="G731" i="1103"/>
  <c r="G729" i="1103"/>
  <c r="G726" i="1103"/>
  <c r="G734" i="1103"/>
  <c r="G721" i="1103"/>
  <c r="G733" i="1103"/>
  <c r="G723" i="1103"/>
  <c r="G728" i="1103"/>
  <c r="B736" i="1103"/>
  <c r="C736" i="1103"/>
  <c r="K702" i="1103"/>
  <c r="M702" i="1103"/>
  <c r="Q702" i="1103"/>
  <c r="O702" i="1103"/>
  <c r="S702" i="1103"/>
  <c r="U702" i="1103"/>
  <c r="H120" i="1103"/>
  <c r="T119" i="1103"/>
  <c r="U119" i="1103" s="1"/>
  <c r="L119" i="1103"/>
  <c r="M119" i="1103" s="1"/>
  <c r="P119" i="1103"/>
  <c r="Q119" i="1103" s="1"/>
  <c r="H104" i="1103"/>
  <c r="T103" i="1103"/>
  <c r="U103" i="1103" s="1"/>
  <c r="L103" i="1103"/>
  <c r="M103" i="1103" s="1"/>
  <c r="P103" i="1103"/>
  <c r="Q103" i="1103" s="1"/>
  <c r="H88" i="1103"/>
  <c r="T87" i="1103"/>
  <c r="U87" i="1103" s="1"/>
  <c r="L87" i="1103"/>
  <c r="M87" i="1103" s="1"/>
  <c r="P87" i="1103"/>
  <c r="Q87" i="1103" s="1"/>
  <c r="L71" i="1103"/>
  <c r="M71" i="1103" s="1"/>
  <c r="T71" i="1103"/>
  <c r="U71" i="1103" s="1"/>
  <c r="P71" i="1103"/>
  <c r="Q71" i="1103" s="1"/>
  <c r="B41" i="9"/>
  <c r="J55" i="9"/>
  <c r="F52" i="185"/>
  <c r="D52" i="185" s="1"/>
  <c r="F55" i="188"/>
  <c r="D55" i="188" s="1"/>
  <c r="F52" i="180"/>
  <c r="D52" i="180" s="1"/>
  <c r="F52" i="183"/>
  <c r="D52" i="183" s="1"/>
  <c r="G212" i="262"/>
  <c r="J73" i="38" s="1"/>
  <c r="W31" i="296"/>
  <c r="W34" i="296" s="1"/>
  <c r="W35" i="296" s="1"/>
  <c r="W36" i="296" s="1"/>
  <c r="K26" i="296" s="1"/>
  <c r="W31" i="297"/>
  <c r="W34" i="297" s="1"/>
  <c r="W35" i="297" s="1"/>
  <c r="W36" i="297" s="1"/>
  <c r="K26" i="297" s="1"/>
  <c r="F52" i="310"/>
  <c r="D52" i="310" s="1"/>
  <c r="F52" i="184"/>
  <c r="D52" i="184" s="1"/>
  <c r="W31" i="294"/>
  <c r="W34" i="294" s="1"/>
  <c r="W35" i="294" s="1"/>
  <c r="W36" i="294" s="1"/>
  <c r="K26" i="294" s="1"/>
  <c r="F52" i="181"/>
  <c r="D52" i="181" s="1"/>
  <c r="H109" i="38"/>
  <c r="N109" i="38"/>
  <c r="H39" i="38"/>
  <c r="I39" i="38"/>
  <c r="J39" i="38"/>
  <c r="K39" i="38"/>
  <c r="L39" i="38"/>
  <c r="M39" i="38"/>
  <c r="N39" i="38"/>
  <c r="O39" i="38"/>
  <c r="P39" i="38"/>
  <c r="Q39" i="38"/>
  <c r="R39" i="38"/>
  <c r="S39" i="38"/>
  <c r="T39" i="38"/>
  <c r="J109" i="38"/>
  <c r="T109" i="38"/>
  <c r="S109" i="38"/>
  <c r="Q109" i="38"/>
  <c r="U39" i="38"/>
  <c r="I109" i="38"/>
  <c r="P109" i="38"/>
  <c r="M109" i="38"/>
  <c r="F52" i="188"/>
  <c r="D52" i="188" s="1"/>
  <c r="F52" i="186"/>
  <c r="D52" i="186" s="1"/>
  <c r="F52" i="311"/>
  <c r="D52" i="311" s="1"/>
  <c r="F52" i="187"/>
  <c r="D52" i="187" s="1"/>
  <c r="D26" i="181"/>
  <c r="F55" i="181"/>
  <c r="D55" i="181" s="1"/>
  <c r="D26" i="184"/>
  <c r="F55" i="184"/>
  <c r="D55" i="184" s="1"/>
  <c r="H49" i="181"/>
  <c r="H49" i="182"/>
  <c r="G50" i="182"/>
  <c r="J50" i="182" s="1"/>
  <c r="D50" i="182"/>
  <c r="G50" i="181"/>
  <c r="J50" i="181" s="1"/>
  <c r="D50" i="181"/>
  <c r="G50" i="188"/>
  <c r="D50" i="188"/>
  <c r="F52" i="182"/>
  <c r="D52" i="182" s="1"/>
  <c r="G50" i="185"/>
  <c r="J50" i="185" s="1"/>
  <c r="D50" i="185"/>
  <c r="G50" i="183"/>
  <c r="D50" i="183"/>
  <c r="D50" i="186"/>
  <c r="G50" i="186"/>
  <c r="H49" i="188"/>
  <c r="H49" i="180"/>
  <c r="G50" i="184"/>
  <c r="J50" i="184" s="1"/>
  <c r="D50" i="184"/>
  <c r="H49" i="185"/>
  <c r="H49" i="184"/>
  <c r="H49" i="186"/>
  <c r="G50" i="180"/>
  <c r="D50" i="180"/>
  <c r="G50" i="187"/>
  <c r="J50" i="187" s="1"/>
  <c r="D50" i="187"/>
  <c r="H49" i="183"/>
  <c r="H49" i="187"/>
  <c r="W31" i="309"/>
  <c r="W34" i="309" s="1"/>
  <c r="W35" i="309" s="1"/>
  <c r="W36" i="309" s="1"/>
  <c r="K26" i="309" s="1"/>
  <c r="W31" i="298"/>
  <c r="W34" i="298" s="1"/>
  <c r="W35" i="298" s="1"/>
  <c r="W36" i="298" s="1"/>
  <c r="K26" i="298" s="1"/>
  <c r="G50" i="179"/>
  <c r="D50" i="179"/>
  <c r="F52" i="179"/>
  <c r="D52" i="179" s="1"/>
  <c r="H49" i="179"/>
  <c r="G47" i="296"/>
  <c r="G51" i="296"/>
  <c r="G52" i="296" s="1"/>
  <c r="P103" i="262"/>
  <c r="T103" i="262"/>
  <c r="AB103" i="262"/>
  <c r="AF103" i="262"/>
  <c r="X103" i="262"/>
  <c r="AJ103" i="262"/>
  <c r="L103" i="262"/>
  <c r="H104" i="262"/>
  <c r="U51" i="38" s="1"/>
  <c r="G50" i="311"/>
  <c r="D50" i="311"/>
  <c r="G50" i="312"/>
  <c r="K50" i="312" s="1"/>
  <c r="D50" i="312"/>
  <c r="G50" i="310"/>
  <c r="D50" i="310"/>
  <c r="G47" i="295"/>
  <c r="G51" i="295"/>
  <c r="G52" i="295" s="1"/>
  <c r="G47" i="307"/>
  <c r="G51" i="307"/>
  <c r="G52" i="307" s="1"/>
  <c r="G47" i="294"/>
  <c r="G51" i="294"/>
  <c r="G52" i="294" s="1"/>
  <c r="G47" i="297"/>
  <c r="G51" i="297"/>
  <c r="G52" i="297" s="1"/>
  <c r="G47" i="309"/>
  <c r="G51" i="309"/>
  <c r="G52" i="309" s="1"/>
  <c r="G47" i="298"/>
  <c r="G51" i="298"/>
  <c r="G52" i="298" s="1"/>
  <c r="H49" i="311"/>
  <c r="I17" i="295"/>
  <c r="R34" i="296"/>
  <c r="AG41" i="296"/>
  <c r="AG33" i="296"/>
  <c r="AE36" i="294"/>
  <c r="AE37" i="294"/>
  <c r="AE32" i="294"/>
  <c r="AE35" i="294"/>
  <c r="AE40" i="294"/>
  <c r="G178" i="262"/>
  <c r="J67" i="38" s="1"/>
  <c r="AB119" i="262"/>
  <c r="T119" i="262"/>
  <c r="P119" i="262"/>
  <c r="AF119" i="262"/>
  <c r="L119" i="262"/>
  <c r="AJ119" i="262"/>
  <c r="X119" i="262"/>
  <c r="H120" i="262"/>
  <c r="T54" i="38" s="1"/>
  <c r="AE32" i="295"/>
  <c r="AE37" i="295"/>
  <c r="AE35" i="295"/>
  <c r="AE40" i="295"/>
  <c r="AE36" i="295"/>
  <c r="AD36" i="295"/>
  <c r="AD32" i="295"/>
  <c r="AD35" i="295"/>
  <c r="AD37" i="295"/>
  <c r="AD40" i="295"/>
  <c r="G19" i="296"/>
  <c r="AD35" i="307"/>
  <c r="AD36" i="307"/>
  <c r="AD40" i="307"/>
  <c r="AD32" i="307"/>
  <c r="AD37" i="307"/>
  <c r="AE32" i="307"/>
  <c r="AE36" i="307"/>
  <c r="AE40" i="307"/>
  <c r="AE35" i="307"/>
  <c r="AE37" i="307"/>
  <c r="R34" i="307"/>
  <c r="AG41" i="307"/>
  <c r="AG33" i="307"/>
  <c r="I17" i="307"/>
  <c r="G19" i="294"/>
  <c r="R34" i="297"/>
  <c r="AG33" i="297"/>
  <c r="AG41" i="297"/>
  <c r="G19" i="297"/>
  <c r="AD40" i="309"/>
  <c r="AD36" i="309"/>
  <c r="AD35" i="309"/>
  <c r="AD37" i="309"/>
  <c r="AD32" i="309"/>
  <c r="I17" i="309"/>
  <c r="AE36" i="298"/>
  <c r="AE32" i="298"/>
  <c r="AE37" i="298"/>
  <c r="AE40" i="298"/>
  <c r="AE35" i="298"/>
  <c r="G19" i="298"/>
  <c r="G195" i="262"/>
  <c r="J70" i="38" s="1"/>
  <c r="G19" i="295"/>
  <c r="AE37" i="296"/>
  <c r="AE36" i="296"/>
  <c r="AE35" i="296"/>
  <c r="AE32" i="296"/>
  <c r="AE40" i="296"/>
  <c r="AD32" i="296"/>
  <c r="AD40" i="296"/>
  <c r="AD35" i="296"/>
  <c r="AD36" i="296"/>
  <c r="AD37" i="296"/>
  <c r="AD40" i="294"/>
  <c r="AD36" i="294"/>
  <c r="AD32" i="294"/>
  <c r="AD37" i="294"/>
  <c r="AD35" i="294"/>
  <c r="AD40" i="297"/>
  <c r="AD35" i="297"/>
  <c r="AD36" i="297"/>
  <c r="AD37" i="297"/>
  <c r="AD32" i="297"/>
  <c r="AE35" i="297"/>
  <c r="AE32" i="297"/>
  <c r="AE37" i="297"/>
  <c r="AE40" i="297"/>
  <c r="AE36" i="297"/>
  <c r="R34" i="309"/>
  <c r="AG33" i="309"/>
  <c r="AG41" i="309"/>
  <c r="R34" i="298"/>
  <c r="AG33" i="298"/>
  <c r="AG41" i="298"/>
  <c r="T87" i="262"/>
  <c r="L87" i="262"/>
  <c r="AF87" i="262"/>
  <c r="P87" i="262"/>
  <c r="AJ87" i="262"/>
  <c r="AB87" i="262"/>
  <c r="X87" i="262"/>
  <c r="H88" i="262"/>
  <c r="V48" i="38" s="1"/>
  <c r="W31" i="295"/>
  <c r="W34" i="295" s="1"/>
  <c r="W35" i="295" s="1"/>
  <c r="W36" i="295" s="1"/>
  <c r="K26" i="295" s="1"/>
  <c r="AG33" i="295"/>
  <c r="AG41" i="295"/>
  <c r="I17" i="296"/>
  <c r="W31" i="307"/>
  <c r="W34" i="307" s="1"/>
  <c r="W35" i="307" s="1"/>
  <c r="W36" i="307" s="1"/>
  <c r="K26" i="307" s="1"/>
  <c r="G19" i="307"/>
  <c r="AG33" i="294"/>
  <c r="AG41" i="294"/>
  <c r="I17" i="294"/>
  <c r="I17" i="297"/>
  <c r="AE35" i="309"/>
  <c r="AE32" i="309"/>
  <c r="AE36" i="309"/>
  <c r="AE40" i="309"/>
  <c r="AE37" i="309"/>
  <c r="G19" i="309"/>
  <c r="AD32" i="298"/>
  <c r="AD35" i="298"/>
  <c r="AD37" i="298"/>
  <c r="AD40" i="298"/>
  <c r="AD36" i="298"/>
  <c r="I17" i="298"/>
  <c r="G443" i="262"/>
  <c r="G439" i="262"/>
  <c r="G432" i="262"/>
  <c r="G434" i="262"/>
  <c r="G445" i="262"/>
  <c r="V112" i="38" s="1"/>
  <c r="G433" i="262"/>
  <c r="G442" i="262"/>
  <c r="S112" i="38" s="1"/>
  <c r="AD430" i="262"/>
  <c r="N430" i="262"/>
  <c r="Z430" i="262"/>
  <c r="J430" i="262"/>
  <c r="G440" i="262"/>
  <c r="G444" i="262"/>
  <c r="U112" i="38" s="1"/>
  <c r="G438" i="262"/>
  <c r="G436" i="262"/>
  <c r="M112" i="38" s="1"/>
  <c r="G435" i="262"/>
  <c r="G431" i="262"/>
  <c r="H112" i="38" s="1"/>
  <c r="G437" i="262"/>
  <c r="V430" i="262"/>
  <c r="AH430" i="262"/>
  <c r="R430" i="262"/>
  <c r="G441" i="262"/>
  <c r="F111" i="38"/>
  <c r="AI413" i="262"/>
  <c r="AK413" i="262"/>
  <c r="K413" i="262"/>
  <c r="M413" i="262"/>
  <c r="Q413" i="262"/>
  <c r="O413" i="262"/>
  <c r="B447" i="262"/>
  <c r="C447" i="262"/>
  <c r="A464" i="262"/>
  <c r="S413" i="262"/>
  <c r="U413" i="262"/>
  <c r="Y413" i="262"/>
  <c r="W413" i="262"/>
  <c r="AA413" i="262"/>
  <c r="AC413" i="262"/>
  <c r="AG413" i="262"/>
  <c r="AE413" i="262"/>
  <c r="CB37" i="262"/>
  <c r="V39" i="38"/>
  <c r="P37" i="1103"/>
  <c r="T37" i="1103"/>
  <c r="X37" i="1103"/>
  <c r="AF37" i="1103"/>
  <c r="L37" i="1103"/>
  <c r="AB37" i="1103"/>
  <c r="AJ37" i="1103"/>
  <c r="D26" i="186"/>
  <c r="D26" i="187"/>
  <c r="W31" i="311"/>
  <c r="W34" i="311" s="1"/>
  <c r="W35" i="311" s="1"/>
  <c r="W36" i="311" s="1"/>
  <c r="K26" i="311" s="1"/>
  <c r="P347" i="262"/>
  <c r="X347" i="262"/>
  <c r="AF347" i="262"/>
  <c r="AB347" i="262"/>
  <c r="L347" i="262"/>
  <c r="AJ347" i="262"/>
  <c r="T347" i="262"/>
  <c r="AF414" i="262"/>
  <c r="X414" i="262"/>
  <c r="P414" i="262"/>
  <c r="T414" i="262"/>
  <c r="AJ414" i="262"/>
  <c r="L414" i="262"/>
  <c r="AB414" i="262"/>
  <c r="AF331" i="262"/>
  <c r="X331" i="262"/>
  <c r="P331" i="262"/>
  <c r="L331" i="262"/>
  <c r="AJ331" i="262"/>
  <c r="T331" i="262"/>
  <c r="AB331" i="262"/>
  <c r="AF315" i="262"/>
  <c r="P315" i="262"/>
  <c r="X315" i="262"/>
  <c r="L315" i="262"/>
  <c r="T315" i="262"/>
  <c r="AB315" i="262"/>
  <c r="AJ315" i="262"/>
  <c r="BT37" i="262"/>
  <c r="BX37" i="262"/>
  <c r="BL37" i="262"/>
  <c r="BP37" i="262"/>
  <c r="BD37" i="262"/>
  <c r="BH37" i="262"/>
  <c r="AZ37" i="262"/>
  <c r="AV37" i="262"/>
  <c r="AJ37" i="262"/>
  <c r="AR37" i="262"/>
  <c r="AN37" i="262"/>
  <c r="AJ71" i="262"/>
  <c r="AB71" i="262"/>
  <c r="T71" i="262"/>
  <c r="L71" i="262"/>
  <c r="P71" i="262"/>
  <c r="X71" i="262"/>
  <c r="AF71" i="262"/>
  <c r="AB37" i="262"/>
  <c r="AF37" i="262"/>
  <c r="T37" i="262"/>
  <c r="X37" i="262"/>
  <c r="L37" i="262"/>
  <c r="P37" i="262"/>
  <c r="B458" i="262"/>
  <c r="D26" i="183"/>
  <c r="D26" i="311"/>
  <c r="D26" i="310"/>
  <c r="D26" i="185"/>
  <c r="B443" i="262"/>
  <c r="B902" i="262"/>
  <c r="B459" i="262"/>
  <c r="B893" i="262"/>
  <c r="B434" i="262"/>
  <c r="J54" i="186"/>
  <c r="J54" i="180"/>
  <c r="J54" i="185"/>
  <c r="K54" i="311"/>
  <c r="K54" i="310"/>
  <c r="J54" i="187"/>
  <c r="D26" i="179"/>
  <c r="J54" i="188"/>
  <c r="J54" i="181"/>
  <c r="J54" i="183"/>
  <c r="J54" i="184"/>
  <c r="J54" i="179"/>
  <c r="J54" i="182"/>
  <c r="J56" i="188"/>
  <c r="J57" i="188"/>
  <c r="J56" i="181"/>
  <c r="J57" i="181"/>
  <c r="J57" i="186"/>
  <c r="J56" i="186"/>
  <c r="J57" i="183"/>
  <c r="J56" i="183"/>
  <c r="J56" i="180"/>
  <c r="J57" i="180"/>
  <c r="J56" i="184"/>
  <c r="J57" i="184"/>
  <c r="J56" i="185"/>
  <c r="J57" i="185"/>
  <c r="K57" i="311"/>
  <c r="K56" i="311"/>
  <c r="J57" i="179"/>
  <c r="J56" i="179"/>
  <c r="J57" i="182"/>
  <c r="J56" i="182"/>
  <c r="K57" i="310"/>
  <c r="K56" i="310"/>
  <c r="J56" i="187"/>
  <c r="J57" i="187"/>
  <c r="B371" i="262"/>
  <c r="B478" i="262"/>
  <c r="B387" i="262"/>
  <c r="B372" i="262"/>
  <c r="B894" i="262"/>
  <c r="B435" i="262"/>
  <c r="V167" i="1"/>
  <c r="V31" i="185"/>
  <c r="V34" i="185" s="1"/>
  <c r="V35" i="185" s="1"/>
  <c r="V36" i="185" s="1"/>
  <c r="J26" i="185" s="1"/>
  <c r="AC36" i="185"/>
  <c r="AC32" i="185"/>
  <c r="AC40" i="185"/>
  <c r="AC35" i="185"/>
  <c r="AC37" i="185"/>
  <c r="AD40" i="181"/>
  <c r="AD35" i="181"/>
  <c r="AD37" i="181"/>
  <c r="AD36" i="181"/>
  <c r="AD32" i="181"/>
  <c r="AC40" i="179"/>
  <c r="AC37" i="179"/>
  <c r="AC32" i="179"/>
  <c r="AC35" i="179"/>
  <c r="AC36" i="179"/>
  <c r="V31" i="179"/>
  <c r="V34" i="179" s="1"/>
  <c r="V35" i="179" s="1"/>
  <c r="V36" i="179" s="1"/>
  <c r="J26" i="179" s="1"/>
  <c r="H35" i="180"/>
  <c r="H54" i="180" s="1"/>
  <c r="H35" i="188"/>
  <c r="H54" i="188" s="1"/>
  <c r="H35" i="182"/>
  <c r="H54" i="182" s="1"/>
  <c r="AG33" i="310"/>
  <c r="AG41" i="310"/>
  <c r="AC32" i="184"/>
  <c r="AC35" i="184"/>
  <c r="AC36" i="184"/>
  <c r="AC37" i="184"/>
  <c r="V31" i="184"/>
  <c r="V34" i="184" s="1"/>
  <c r="V35" i="184" s="1"/>
  <c r="V36" i="184" s="1"/>
  <c r="J26" i="184" s="1"/>
  <c r="AC40" i="184"/>
  <c r="AC35" i="188"/>
  <c r="AC36" i="188"/>
  <c r="V31" i="188"/>
  <c r="V34" i="188" s="1"/>
  <c r="V35" i="188" s="1"/>
  <c r="V36" i="188" s="1"/>
  <c r="J26" i="188" s="1"/>
  <c r="AC40" i="188"/>
  <c r="AC37" i="188"/>
  <c r="AC32" i="188"/>
  <c r="AD36" i="188"/>
  <c r="AD32" i="188"/>
  <c r="AD40" i="188"/>
  <c r="AD35" i="188"/>
  <c r="AD37" i="188"/>
  <c r="H316" i="262"/>
  <c r="H35" i="183"/>
  <c r="H54" i="183" s="1"/>
  <c r="AC40" i="186"/>
  <c r="AC36" i="186"/>
  <c r="AC32" i="186"/>
  <c r="AC35" i="186"/>
  <c r="AC37" i="186"/>
  <c r="V31" i="186"/>
  <c r="V34" i="186" s="1"/>
  <c r="V35" i="186" s="1"/>
  <c r="V36" i="186" s="1"/>
  <c r="J26" i="186" s="1"/>
  <c r="H35" i="186"/>
  <c r="H54" i="186" s="1"/>
  <c r="AE40" i="311"/>
  <c r="AE35" i="311"/>
  <c r="AE37" i="311"/>
  <c r="AE36" i="311"/>
  <c r="AE32" i="311"/>
  <c r="B462" i="262"/>
  <c r="H348" i="262"/>
  <c r="H35" i="185"/>
  <c r="H54" i="185" s="1"/>
  <c r="H35" i="181"/>
  <c r="H54" i="181" s="1"/>
  <c r="H35" i="187"/>
  <c r="H54" i="187" s="1"/>
  <c r="AD32" i="310"/>
  <c r="AD36" i="310"/>
  <c r="AD35" i="310"/>
  <c r="AD40" i="310"/>
  <c r="AD37" i="310"/>
  <c r="AE32" i="310"/>
  <c r="AE40" i="310"/>
  <c r="AE36" i="310"/>
  <c r="AE35" i="310"/>
  <c r="AE37" i="310"/>
  <c r="V31" i="182"/>
  <c r="V34" i="182" s="1"/>
  <c r="V35" i="182" s="1"/>
  <c r="V36" i="182" s="1"/>
  <c r="J26" i="182" s="1"/>
  <c r="AC32" i="182"/>
  <c r="AC37" i="182"/>
  <c r="AC36" i="182"/>
  <c r="AC40" i="182"/>
  <c r="AC35" i="182"/>
  <c r="B365" i="262"/>
  <c r="B420" i="262"/>
  <c r="H35" i="179"/>
  <c r="H54" i="179" s="1"/>
  <c r="H35" i="311"/>
  <c r="H54" i="311" s="1"/>
  <c r="AD35" i="180"/>
  <c r="AD36" i="180"/>
  <c r="AD40" i="180"/>
  <c r="AD37" i="180"/>
  <c r="AD32" i="180"/>
  <c r="D26" i="180"/>
  <c r="AC32" i="180"/>
  <c r="V31" i="180"/>
  <c r="V34" i="180" s="1"/>
  <c r="V35" i="180" s="1"/>
  <c r="V36" i="180" s="1"/>
  <c r="J26" i="180" s="1"/>
  <c r="AC36" i="180"/>
  <c r="AC40" i="180"/>
  <c r="AC35" i="180"/>
  <c r="AC37" i="180"/>
  <c r="AG41" i="311"/>
  <c r="AG33" i="311"/>
  <c r="B138" i="38"/>
  <c r="AD40" i="185"/>
  <c r="AD37" i="185"/>
  <c r="AD32" i="185"/>
  <c r="AD36" i="185"/>
  <c r="AD35" i="185"/>
  <c r="AC37" i="181"/>
  <c r="AC32" i="181"/>
  <c r="AC36" i="181"/>
  <c r="AC35" i="181"/>
  <c r="V31" i="181"/>
  <c r="V34" i="181" s="1"/>
  <c r="V35" i="181" s="1"/>
  <c r="V36" i="181" s="1"/>
  <c r="J26" i="181" s="1"/>
  <c r="AC40" i="181"/>
  <c r="AD40" i="179"/>
  <c r="AD35" i="179"/>
  <c r="AD37" i="179"/>
  <c r="AD36" i="179"/>
  <c r="AD32" i="179"/>
  <c r="AD36" i="312"/>
  <c r="AD32" i="312"/>
  <c r="AD35" i="312"/>
  <c r="AD37" i="312"/>
  <c r="AD40" i="312"/>
  <c r="AE36" i="312"/>
  <c r="AE35" i="312"/>
  <c r="AE40" i="312"/>
  <c r="AE32" i="312"/>
  <c r="AE37" i="312"/>
  <c r="W31" i="310"/>
  <c r="W34" i="310" s="1"/>
  <c r="W35" i="310" s="1"/>
  <c r="W36" i="310" s="1"/>
  <c r="K26" i="310" s="1"/>
  <c r="R34" i="310"/>
  <c r="AD36" i="184"/>
  <c r="AD40" i="184"/>
  <c r="AD37" i="184"/>
  <c r="AD32" i="184"/>
  <c r="AD35" i="184"/>
  <c r="D26" i="182"/>
  <c r="H35" i="184"/>
  <c r="H54" i="184" s="1"/>
  <c r="AD40" i="186"/>
  <c r="AD36" i="186"/>
  <c r="AD37" i="186"/>
  <c r="AD35" i="186"/>
  <c r="AD32" i="186"/>
  <c r="AD37" i="183"/>
  <c r="AD40" i="183"/>
  <c r="AD35" i="183"/>
  <c r="AD36" i="183"/>
  <c r="AD32" i="183"/>
  <c r="AC36" i="183"/>
  <c r="V31" i="183"/>
  <c r="V34" i="183" s="1"/>
  <c r="V35" i="183" s="1"/>
  <c r="V36" i="183" s="1"/>
  <c r="J26" i="183" s="1"/>
  <c r="AC32" i="183"/>
  <c r="AC37" i="183"/>
  <c r="AE37" i="183" s="1"/>
  <c r="AF37" i="183" s="1"/>
  <c r="AC40" i="183"/>
  <c r="AC35" i="183"/>
  <c r="AD37" i="311"/>
  <c r="AD32" i="311"/>
  <c r="AD35" i="311"/>
  <c r="AD40" i="311"/>
  <c r="AD36" i="311"/>
  <c r="AD32" i="187"/>
  <c r="AD37" i="187"/>
  <c r="AD40" i="187"/>
  <c r="AD36" i="187"/>
  <c r="AD35" i="187"/>
  <c r="AC40" i="187"/>
  <c r="AC35" i="187"/>
  <c r="V31" i="187"/>
  <c r="V34" i="187" s="1"/>
  <c r="V35" i="187" s="1"/>
  <c r="V36" i="187" s="1"/>
  <c r="J26" i="187" s="1"/>
  <c r="AC36" i="187"/>
  <c r="AC37" i="187"/>
  <c r="AC32" i="187"/>
  <c r="B890" i="262"/>
  <c r="B431" i="262"/>
  <c r="B419" i="262"/>
  <c r="B30" i="3"/>
  <c r="C30" i="3" s="1"/>
  <c r="A31" i="3"/>
  <c r="B364" i="262"/>
  <c r="H364" i="262"/>
  <c r="H332" i="262"/>
  <c r="W31" i="312"/>
  <c r="W34" i="312" s="1"/>
  <c r="W35" i="312" s="1"/>
  <c r="W36" i="312" s="1"/>
  <c r="K26" i="312" s="1"/>
  <c r="AG41" i="312"/>
  <c r="AG33" i="312"/>
  <c r="AD40" i="182"/>
  <c r="AD35" i="182"/>
  <c r="AD37" i="182"/>
  <c r="AD32" i="182"/>
  <c r="AD36" i="182"/>
  <c r="H566" i="1103"/>
  <c r="F447" i="262"/>
  <c r="H532" i="1103"/>
  <c r="H447" i="262"/>
  <c r="H634" i="1103"/>
  <c r="H209" i="1103"/>
  <c r="E447" i="262"/>
  <c r="H583" i="1103"/>
  <c r="I447" i="262"/>
  <c r="H124" i="1103"/>
  <c r="H192" i="1103"/>
  <c r="H515" i="1103"/>
  <c r="V96" i="1"/>
  <c r="H209" i="262"/>
  <c r="H549" i="1103"/>
  <c r="H124" i="262"/>
  <c r="H481" i="1103"/>
  <c r="H175" i="262"/>
  <c r="I736" i="1103"/>
  <c r="H158" i="1103"/>
  <c r="H600" i="1103"/>
  <c r="H175" i="1103"/>
  <c r="H192" i="262"/>
  <c r="G736" i="1103"/>
  <c r="F736" i="1103"/>
  <c r="H158" i="262"/>
  <c r="H464" i="1103"/>
  <c r="H668" i="1103"/>
  <c r="H651" i="1103"/>
  <c r="H141" i="262"/>
  <c r="H498" i="1103"/>
  <c r="H141" i="1103"/>
  <c r="H617" i="1103"/>
  <c r="E736" i="1103"/>
  <c r="G447" i="262"/>
  <c r="G128" i="262" l="1"/>
  <c r="W33" i="1108"/>
  <c r="Y33" i="1108" s="1"/>
  <c r="G26" i="1108" s="1"/>
  <c r="AF36" i="1112"/>
  <c r="AG36" i="1112" s="1"/>
  <c r="W33" i="1112"/>
  <c r="Y33" i="1112" s="1"/>
  <c r="G26" i="1112" s="1"/>
  <c r="AF35" i="1111"/>
  <c r="AG35" i="1111" s="1"/>
  <c r="AH37" i="1111" s="1"/>
  <c r="AI37" i="1111" s="1"/>
  <c r="AF37" i="1108"/>
  <c r="AG37" i="1108" s="1"/>
  <c r="W33" i="1110"/>
  <c r="Y33" i="1110" s="1"/>
  <c r="G26" i="1110" s="1"/>
  <c r="AF37" i="1111"/>
  <c r="AG37" i="1111" s="1"/>
  <c r="AF40" i="1108"/>
  <c r="AG40" i="1108" s="1"/>
  <c r="AF32" i="305"/>
  <c r="AG32" i="305" s="1"/>
  <c r="AH33" i="305" s="1"/>
  <c r="AI33" i="305" s="1"/>
  <c r="AF36" i="299"/>
  <c r="AG36" i="299" s="1"/>
  <c r="AF32" i="302"/>
  <c r="AG32" i="302" s="1"/>
  <c r="AH33" i="302" s="1"/>
  <c r="AI33" i="302" s="1"/>
  <c r="AF32" i="1108"/>
  <c r="AG32" i="1108" s="1"/>
  <c r="AF35" i="292"/>
  <c r="AG35" i="292" s="1"/>
  <c r="AF40" i="302"/>
  <c r="AG40" i="302" s="1"/>
  <c r="AH41" i="302" s="1"/>
  <c r="AI41" i="302" s="1"/>
  <c r="AF35" i="1108"/>
  <c r="AG35" i="1108" s="1"/>
  <c r="AH37" i="1108" s="1"/>
  <c r="AI37" i="1108" s="1"/>
  <c r="AF40" i="292"/>
  <c r="AG40" i="292" s="1"/>
  <c r="AH41" i="292" s="1"/>
  <c r="AI41" i="292" s="1"/>
  <c r="AF36" i="302"/>
  <c r="AG36" i="302" s="1"/>
  <c r="AF40" i="305"/>
  <c r="AG40" i="305" s="1"/>
  <c r="AH41" i="305" s="1"/>
  <c r="AI41" i="305" s="1"/>
  <c r="AF36" i="1111"/>
  <c r="AG36" i="1111" s="1"/>
  <c r="AF37" i="1112"/>
  <c r="AG37" i="1112" s="1"/>
  <c r="AF32" i="299"/>
  <c r="AG32" i="299" s="1"/>
  <c r="AH33" i="299" s="1"/>
  <c r="AI33" i="299" s="1"/>
  <c r="AF32" i="1112"/>
  <c r="AG32" i="1112" s="1"/>
  <c r="AF32" i="1111"/>
  <c r="AG32" i="1111" s="1"/>
  <c r="AF36" i="1108"/>
  <c r="AG36" i="1108" s="1"/>
  <c r="AF36" i="292"/>
  <c r="AG36" i="292" s="1"/>
  <c r="W33" i="1114"/>
  <c r="Y33" i="1114" s="1"/>
  <c r="G26" i="1114" s="1"/>
  <c r="AF37" i="299"/>
  <c r="AG37" i="299" s="1"/>
  <c r="AF35" i="1112"/>
  <c r="AG35" i="1112" s="1"/>
  <c r="AH37" i="1112" s="1"/>
  <c r="AI37" i="1112" s="1"/>
  <c r="AF37" i="305"/>
  <c r="AG37" i="305" s="1"/>
  <c r="W33" i="1111"/>
  <c r="Y33" i="1111" s="1"/>
  <c r="G26" i="1111" s="1"/>
  <c r="AF40" i="1112"/>
  <c r="AG40" i="1112" s="1"/>
  <c r="AF35" i="299"/>
  <c r="AG35" i="299" s="1"/>
  <c r="AF35" i="305"/>
  <c r="AG35" i="305" s="1"/>
  <c r="AF36" i="305"/>
  <c r="AG36" i="305" s="1"/>
  <c r="AF37" i="302"/>
  <c r="AG37" i="302" s="1"/>
  <c r="AF32" i="1114"/>
  <c r="AG32" i="1114" s="1"/>
  <c r="AF40" i="299"/>
  <c r="AG40" i="299" s="1"/>
  <c r="AH41" i="299" s="1"/>
  <c r="AI41" i="299" s="1"/>
  <c r="AF35" i="302"/>
  <c r="AG35" i="302" s="1"/>
  <c r="AF40" i="1111"/>
  <c r="AG40" i="1111" s="1"/>
  <c r="AF32" i="292"/>
  <c r="AG32" i="292" s="1"/>
  <c r="AH33" i="292" s="1"/>
  <c r="AI33" i="292" s="1"/>
  <c r="AF37" i="292"/>
  <c r="AG37" i="292" s="1"/>
  <c r="F52" i="1118"/>
  <c r="D52" i="1118" s="1"/>
  <c r="AF32" i="293"/>
  <c r="AG32" i="293" s="1"/>
  <c r="AH33" i="293" s="1"/>
  <c r="AI33" i="293" s="1"/>
  <c r="AF40" i="1118"/>
  <c r="AG40" i="1118" s="1"/>
  <c r="AH41" i="1118" s="1"/>
  <c r="AI41" i="1118" s="1"/>
  <c r="AF37" i="1110"/>
  <c r="AG37" i="1110" s="1"/>
  <c r="AF32" i="291"/>
  <c r="AG32" i="291" s="1"/>
  <c r="AH33" i="291" s="1"/>
  <c r="AI33" i="291" s="1"/>
  <c r="AF35" i="293"/>
  <c r="AG35" i="293" s="1"/>
  <c r="AF40" i="293"/>
  <c r="AG40" i="293" s="1"/>
  <c r="AH41" i="293" s="1"/>
  <c r="AI41" i="293" s="1"/>
  <c r="J61" i="38"/>
  <c r="G145" i="262"/>
  <c r="H159" i="1103"/>
  <c r="H159" i="262"/>
  <c r="H499" i="1103"/>
  <c r="H516" i="1103"/>
  <c r="H567" i="1103"/>
  <c r="H142" i="1103"/>
  <c r="H142" i="262"/>
  <c r="H533" i="1103"/>
  <c r="H550" i="1103"/>
  <c r="H601" i="1103"/>
  <c r="H652" i="1103"/>
  <c r="H125" i="1103"/>
  <c r="H125" i="262"/>
  <c r="H618" i="1103"/>
  <c r="H584" i="1103"/>
  <c r="D51" i="1115"/>
  <c r="K51" i="1115"/>
  <c r="F52" i="1115"/>
  <c r="I19" i="308"/>
  <c r="K22" i="308" s="1"/>
  <c r="I55" i="308"/>
  <c r="K23" i="308"/>
  <c r="I47" i="308"/>
  <c r="I51" i="308"/>
  <c r="I52" i="308" s="1"/>
  <c r="G50" i="1108"/>
  <c r="K50" i="1108" s="1"/>
  <c r="D50" i="1108"/>
  <c r="AF32" i="1118"/>
  <c r="AG32" i="1118" s="1"/>
  <c r="AH33" i="1118" s="1"/>
  <c r="AI33" i="1118" s="1"/>
  <c r="I55" i="291"/>
  <c r="I19" i="291"/>
  <c r="K22" i="291" s="1"/>
  <c r="I47" i="291"/>
  <c r="K23" i="291"/>
  <c r="I51" i="291"/>
  <c r="I52" i="291" s="1"/>
  <c r="D51" i="1117"/>
  <c r="F52" i="1117"/>
  <c r="AF37" i="291"/>
  <c r="AG37" i="291" s="1"/>
  <c r="AF35" i="308"/>
  <c r="AG35" i="308" s="1"/>
  <c r="AF40" i="300"/>
  <c r="AG40" i="300" s="1"/>
  <c r="AH41" i="300" s="1"/>
  <c r="AI41" i="300" s="1"/>
  <c r="D50" i="1119"/>
  <c r="G50" i="1119"/>
  <c r="F52" i="1112"/>
  <c r="D51" i="1112"/>
  <c r="K51" i="1112"/>
  <c r="AF32" i="1119"/>
  <c r="AG32" i="1119" s="1"/>
  <c r="AH33" i="1119" s="1"/>
  <c r="AI33" i="1119" s="1"/>
  <c r="G52" i="292"/>
  <c r="K51" i="292"/>
  <c r="AF40" i="1114"/>
  <c r="AG40" i="1114" s="1"/>
  <c r="AF32" i="1110"/>
  <c r="AG32" i="1110" s="1"/>
  <c r="AF35" i="301"/>
  <c r="AG35" i="301" s="1"/>
  <c r="K19" i="293"/>
  <c r="AF36" i="1117"/>
  <c r="AG36" i="1117" s="1"/>
  <c r="AF37" i="304"/>
  <c r="AG37" i="304" s="1"/>
  <c r="AF35" i="304"/>
  <c r="AG35" i="304" s="1"/>
  <c r="AF37" i="293"/>
  <c r="AG37" i="293" s="1"/>
  <c r="AF37" i="306"/>
  <c r="AG37" i="306" s="1"/>
  <c r="AF32" i="306"/>
  <c r="AG32" i="306" s="1"/>
  <c r="AH33" i="306" s="1"/>
  <c r="AI33" i="306" s="1"/>
  <c r="AF40" i="1115"/>
  <c r="AG40" i="1115" s="1"/>
  <c r="AF35" i="1109"/>
  <c r="AG35" i="1109" s="1"/>
  <c r="AH37" i="1109" s="1"/>
  <c r="AI37" i="1109" s="1"/>
  <c r="K19" i="299"/>
  <c r="I47" i="303"/>
  <c r="K23" i="303"/>
  <c r="I19" i="303"/>
  <c r="K22" i="303" s="1"/>
  <c r="I55" i="303"/>
  <c r="I51" i="303"/>
  <c r="I52" i="303" s="1"/>
  <c r="AF32" i="1116"/>
  <c r="AG32" i="1116" s="1"/>
  <c r="AH33" i="1116" s="1"/>
  <c r="AI33" i="1116" s="1"/>
  <c r="I55" i="304"/>
  <c r="K23" i="304"/>
  <c r="I19" i="304"/>
  <c r="K22" i="304" s="1"/>
  <c r="I47" i="304"/>
  <c r="I51" i="304"/>
  <c r="I52" i="304" s="1"/>
  <c r="K19" i="300"/>
  <c r="AF37" i="1113"/>
  <c r="AG37" i="1113" s="1"/>
  <c r="AF40" i="303"/>
  <c r="AG40" i="303" s="1"/>
  <c r="AH41" i="303" s="1"/>
  <c r="AI41" i="303" s="1"/>
  <c r="W33" i="1115"/>
  <c r="Y33" i="1115" s="1"/>
  <c r="G26" i="1115" s="1"/>
  <c r="H50" i="1113"/>
  <c r="H46" i="1113" s="1"/>
  <c r="H17" i="1113" s="1"/>
  <c r="G46" i="1113"/>
  <c r="D51" i="1109"/>
  <c r="K51" i="1109"/>
  <c r="F52" i="1109"/>
  <c r="G52" i="302"/>
  <c r="K51" i="302"/>
  <c r="K19" i="303"/>
  <c r="D52" i="1113"/>
  <c r="K52" i="1113"/>
  <c r="AF35" i="1118"/>
  <c r="AG35" i="1118" s="1"/>
  <c r="AF36" i="1118"/>
  <c r="AG36" i="1118" s="1"/>
  <c r="AF36" i="291"/>
  <c r="AG36" i="291" s="1"/>
  <c r="I55" i="306"/>
  <c r="I19" i="306"/>
  <c r="K22" i="306" s="1"/>
  <c r="I47" i="306"/>
  <c r="K23" i="306"/>
  <c r="I51" i="306"/>
  <c r="I52" i="306" s="1"/>
  <c r="AF36" i="308"/>
  <c r="AG36" i="308" s="1"/>
  <c r="AF32" i="300"/>
  <c r="AG32" i="300" s="1"/>
  <c r="AH33" i="300" s="1"/>
  <c r="AI33" i="300" s="1"/>
  <c r="AF35" i="1119"/>
  <c r="AG35" i="1119" s="1"/>
  <c r="AF35" i="1114"/>
  <c r="AG35" i="1114" s="1"/>
  <c r="AH37" i="1114" s="1"/>
  <c r="AI37" i="1114" s="1"/>
  <c r="G52" i="291"/>
  <c r="K51" i="291"/>
  <c r="AF35" i="1110"/>
  <c r="AG35" i="1110" s="1"/>
  <c r="AH37" i="1110" s="1"/>
  <c r="AI37" i="1110" s="1"/>
  <c r="G52" i="306"/>
  <c r="K51" i="306"/>
  <c r="AF36" i="301"/>
  <c r="AG36" i="301" s="1"/>
  <c r="D52" i="1110"/>
  <c r="K52" i="1110"/>
  <c r="G52" i="304"/>
  <c r="K51" i="304"/>
  <c r="AF32" i="1117"/>
  <c r="AG32" i="1117" s="1"/>
  <c r="AH33" i="1117" s="1"/>
  <c r="AI33" i="1117" s="1"/>
  <c r="AF35" i="1117"/>
  <c r="AG35" i="1117" s="1"/>
  <c r="AF32" i="304"/>
  <c r="AG32" i="304" s="1"/>
  <c r="AH33" i="304" s="1"/>
  <c r="AI33" i="304" s="1"/>
  <c r="AF36" i="293"/>
  <c r="AG36" i="293" s="1"/>
  <c r="AF35" i="306"/>
  <c r="AG35" i="306" s="1"/>
  <c r="AF32" i="1115"/>
  <c r="AG32" i="1115" s="1"/>
  <c r="AF37" i="1115"/>
  <c r="AG37" i="1115" s="1"/>
  <c r="F52" i="1114"/>
  <c r="D51" i="1114"/>
  <c r="K51" i="1114"/>
  <c r="AF37" i="1109"/>
  <c r="AG37" i="1109" s="1"/>
  <c r="AF35" i="1116"/>
  <c r="AG35" i="1116" s="1"/>
  <c r="AF35" i="1113"/>
  <c r="AG35" i="1113" s="1"/>
  <c r="AH37" i="1113" s="1"/>
  <c r="AI37" i="1113" s="1"/>
  <c r="D51" i="1110"/>
  <c r="K51" i="1110"/>
  <c r="AF37" i="303"/>
  <c r="AG37" i="303" s="1"/>
  <c r="F52" i="1111"/>
  <c r="D51" i="1111"/>
  <c r="K51" i="1111"/>
  <c r="D50" i="1109"/>
  <c r="G50" i="1109"/>
  <c r="G52" i="301"/>
  <c r="K51" i="301"/>
  <c r="D51" i="1116"/>
  <c r="F52" i="1116"/>
  <c r="K58" i="38"/>
  <c r="G129" i="262"/>
  <c r="I55" i="292"/>
  <c r="I47" i="292"/>
  <c r="K23" i="292"/>
  <c r="I19" i="292"/>
  <c r="K22" i="292" s="1"/>
  <c r="I51" i="292"/>
  <c r="I52" i="292" s="1"/>
  <c r="AF37" i="1118"/>
  <c r="AG37" i="1118" s="1"/>
  <c r="K50" i="1112"/>
  <c r="G46" i="1112"/>
  <c r="H50" i="1112"/>
  <c r="H46" i="1112" s="1"/>
  <c r="H17" i="1112" s="1"/>
  <c r="W33" i="1113"/>
  <c r="Y33" i="1113" s="1"/>
  <c r="G26" i="1113" s="1"/>
  <c r="I47" i="293"/>
  <c r="I19" i="293"/>
  <c r="K22" i="293" s="1"/>
  <c r="I55" i="293"/>
  <c r="K23" i="293"/>
  <c r="I51" i="293"/>
  <c r="I52" i="293" s="1"/>
  <c r="I47" i="302"/>
  <c r="K23" i="302"/>
  <c r="I55" i="302"/>
  <c r="I19" i="302"/>
  <c r="K22" i="302" s="1"/>
  <c r="I51" i="302"/>
  <c r="I52" i="302" s="1"/>
  <c r="G52" i="305"/>
  <c r="K51" i="305"/>
  <c r="G52" i="308"/>
  <c r="K51" i="308"/>
  <c r="AF40" i="308"/>
  <c r="AG40" i="308" s="1"/>
  <c r="AH41" i="308" s="1"/>
  <c r="AI41" i="308" s="1"/>
  <c r="AF37" i="308"/>
  <c r="AG37" i="308" s="1"/>
  <c r="AF37" i="300"/>
  <c r="AG37" i="300" s="1"/>
  <c r="G46" i="1116"/>
  <c r="H50" i="1116"/>
  <c r="H46" i="1116" s="1"/>
  <c r="H17" i="1116" s="1"/>
  <c r="AF37" i="1119"/>
  <c r="AG37" i="1119" s="1"/>
  <c r="AF36" i="1119"/>
  <c r="AG36" i="1119" s="1"/>
  <c r="H50" i="1115"/>
  <c r="H46" i="1115" s="1"/>
  <c r="H17" i="1115" s="1"/>
  <c r="G46" i="1115"/>
  <c r="K19" i="292"/>
  <c r="G50" i="1114"/>
  <c r="D50" i="1114"/>
  <c r="AF37" i="1114"/>
  <c r="AG37" i="1114" s="1"/>
  <c r="D50" i="1111"/>
  <c r="G50" i="1111"/>
  <c r="AF32" i="301"/>
  <c r="AG32" i="301" s="1"/>
  <c r="AH33" i="301" s="1"/>
  <c r="AI33" i="301" s="1"/>
  <c r="AF37" i="301"/>
  <c r="AG37" i="301" s="1"/>
  <c r="I55" i="305"/>
  <c r="I19" i="305"/>
  <c r="K22" i="305" s="1"/>
  <c r="I47" i="305"/>
  <c r="K23" i="305"/>
  <c r="I51" i="305"/>
  <c r="I52" i="305" s="1"/>
  <c r="I55" i="300"/>
  <c r="K23" i="300"/>
  <c r="I19" i="300"/>
  <c r="K22" i="300" s="1"/>
  <c r="I47" i="300"/>
  <c r="I51" i="300"/>
  <c r="I52" i="300" s="1"/>
  <c r="AF40" i="1117"/>
  <c r="AG40" i="1117" s="1"/>
  <c r="AH41" i="1117" s="1"/>
  <c r="AI41" i="1117" s="1"/>
  <c r="AF36" i="304"/>
  <c r="AG36" i="304" s="1"/>
  <c r="D51" i="1113"/>
  <c r="K51" i="1113"/>
  <c r="J64" i="38"/>
  <c r="G162" i="262"/>
  <c r="AF40" i="306"/>
  <c r="AG40" i="306" s="1"/>
  <c r="AH41" i="306" s="1"/>
  <c r="AI41" i="306" s="1"/>
  <c r="AF36" i="1115"/>
  <c r="AG36" i="1115" s="1"/>
  <c r="AF36" i="1109"/>
  <c r="AG36" i="1109" s="1"/>
  <c r="AF40" i="1109"/>
  <c r="AG40" i="1109" s="1"/>
  <c r="AF37" i="1116"/>
  <c r="AG37" i="1116" s="1"/>
  <c r="AF40" i="1116"/>
  <c r="AG40" i="1116" s="1"/>
  <c r="AH41" i="1116" s="1"/>
  <c r="AI41" i="1116" s="1"/>
  <c r="G52" i="300"/>
  <c r="K51" i="300"/>
  <c r="AF40" i="1113"/>
  <c r="AG40" i="1113" s="1"/>
  <c r="AF35" i="303"/>
  <c r="AG35" i="303" s="1"/>
  <c r="AF32" i="303"/>
  <c r="AG32" i="303" s="1"/>
  <c r="AH33" i="303" s="1"/>
  <c r="AI33" i="303" s="1"/>
  <c r="G46" i="1117"/>
  <c r="H50" i="1117"/>
  <c r="H46" i="1117" s="1"/>
  <c r="H17" i="1117" s="1"/>
  <c r="K19" i="301"/>
  <c r="K19" i="302"/>
  <c r="G52" i="303"/>
  <c r="K51" i="303"/>
  <c r="AF35" i="291"/>
  <c r="AG35" i="291" s="1"/>
  <c r="AF40" i="291"/>
  <c r="AG40" i="291" s="1"/>
  <c r="AH41" i="291" s="1"/>
  <c r="AI41" i="291" s="1"/>
  <c r="I47" i="301"/>
  <c r="I19" i="301"/>
  <c r="K22" i="301" s="1"/>
  <c r="I55" i="301"/>
  <c r="K23" i="301"/>
  <c r="I51" i="301"/>
  <c r="I52" i="301" s="1"/>
  <c r="K19" i="305"/>
  <c r="K19" i="308"/>
  <c r="AF32" i="308"/>
  <c r="AG32" i="308" s="1"/>
  <c r="AH33" i="308" s="1"/>
  <c r="AI33" i="308" s="1"/>
  <c r="AF35" i="300"/>
  <c r="AG35" i="300" s="1"/>
  <c r="AF36" i="300"/>
  <c r="AG36" i="300" s="1"/>
  <c r="D51" i="1119"/>
  <c r="F52" i="1119"/>
  <c r="AF40" i="1119"/>
  <c r="AG40" i="1119" s="1"/>
  <c r="AH41" i="1119" s="1"/>
  <c r="AI41" i="1119" s="1"/>
  <c r="G50" i="1110"/>
  <c r="D50" i="1110"/>
  <c r="AF36" i="1114"/>
  <c r="AG36" i="1114" s="1"/>
  <c r="K19" i="291"/>
  <c r="AF36" i="1110"/>
  <c r="AG36" i="1110" s="1"/>
  <c r="AF40" i="1110"/>
  <c r="AG40" i="1110" s="1"/>
  <c r="K19" i="306"/>
  <c r="AF40" i="301"/>
  <c r="AG40" i="301" s="1"/>
  <c r="AH41" i="301" s="1"/>
  <c r="AI41" i="301" s="1"/>
  <c r="G52" i="293"/>
  <c r="K51" i="293"/>
  <c r="I47" i="299"/>
  <c r="I19" i="299"/>
  <c r="K22" i="299" s="1"/>
  <c r="I55" i="299"/>
  <c r="K23" i="299"/>
  <c r="I51" i="299"/>
  <c r="I52" i="299" s="1"/>
  <c r="F52" i="1108"/>
  <c r="D51" i="1108"/>
  <c r="K51" i="1108"/>
  <c r="K19" i="304"/>
  <c r="AF37" i="1117"/>
  <c r="AG37" i="1117" s="1"/>
  <c r="AF40" i="304"/>
  <c r="AG40" i="304" s="1"/>
  <c r="AH41" i="304" s="1"/>
  <c r="AI41" i="304" s="1"/>
  <c r="AF36" i="306"/>
  <c r="AG36" i="306" s="1"/>
  <c r="AF35" i="1115"/>
  <c r="AG35" i="1115" s="1"/>
  <c r="AH37" i="1115" s="1"/>
  <c r="AI37" i="1115" s="1"/>
  <c r="AF32" i="1109"/>
  <c r="AG32" i="1109" s="1"/>
  <c r="G52" i="299"/>
  <c r="K51" i="299"/>
  <c r="AF36" i="1116"/>
  <c r="AG36" i="1116" s="1"/>
  <c r="H50" i="1118"/>
  <c r="H46" i="1118" s="1"/>
  <c r="H17" i="1118" s="1"/>
  <c r="G46" i="1118"/>
  <c r="AF36" i="1113"/>
  <c r="AG36" i="1113" s="1"/>
  <c r="AF32" i="1113"/>
  <c r="AG32" i="1113" s="1"/>
  <c r="AF36" i="303"/>
  <c r="AG36" i="303" s="1"/>
  <c r="K50" i="1113"/>
  <c r="G741" i="1103"/>
  <c r="G744" i="1103"/>
  <c r="G739" i="1103"/>
  <c r="G740" i="1103"/>
  <c r="G749" i="1103"/>
  <c r="N736" i="1103"/>
  <c r="G747" i="1103"/>
  <c r="G746" i="1103"/>
  <c r="G738" i="1103"/>
  <c r="G745" i="1103"/>
  <c r="G748" i="1103"/>
  <c r="G743" i="1103"/>
  <c r="G742" i="1103"/>
  <c r="R736" i="1103"/>
  <c r="G750" i="1103"/>
  <c r="J736" i="1103"/>
  <c r="G751" i="1103"/>
  <c r="M719" i="1103"/>
  <c r="K719" i="1103"/>
  <c r="O719" i="1103"/>
  <c r="Q719" i="1103"/>
  <c r="S719" i="1103"/>
  <c r="U719" i="1103"/>
  <c r="AE35" i="183"/>
  <c r="AF35" i="183" s="1"/>
  <c r="AG37" i="183" s="1"/>
  <c r="AH37" i="183" s="1"/>
  <c r="H669" i="1103"/>
  <c r="H635" i="1103"/>
  <c r="H482" i="1103"/>
  <c r="H465" i="1103"/>
  <c r="H210" i="1103"/>
  <c r="H193" i="1103"/>
  <c r="H176" i="1103"/>
  <c r="H121" i="1103"/>
  <c r="T120" i="1103"/>
  <c r="U120" i="1103" s="1"/>
  <c r="L120" i="1103"/>
  <c r="M120" i="1103" s="1"/>
  <c r="P120" i="1103"/>
  <c r="Q120" i="1103" s="1"/>
  <c r="H105" i="1103"/>
  <c r="T104" i="1103"/>
  <c r="U104" i="1103" s="1"/>
  <c r="L104" i="1103"/>
  <c r="M104" i="1103" s="1"/>
  <c r="P104" i="1103"/>
  <c r="Q104" i="1103" s="1"/>
  <c r="T88" i="1103"/>
  <c r="U88" i="1103" s="1"/>
  <c r="L88" i="1103"/>
  <c r="M88" i="1103" s="1"/>
  <c r="P88" i="1103"/>
  <c r="Q88" i="1103" s="1"/>
  <c r="J56" i="9"/>
  <c r="B42" i="9"/>
  <c r="AF40" i="296"/>
  <c r="AG40" i="296" s="1"/>
  <c r="AH41" i="296" s="1"/>
  <c r="AI41" i="296" s="1"/>
  <c r="AF32" i="295"/>
  <c r="AG32" i="295" s="1"/>
  <c r="AH33" i="295" s="1"/>
  <c r="AI33" i="295" s="1"/>
  <c r="G213" i="262"/>
  <c r="AF32" i="298"/>
  <c r="AG32" i="298" s="1"/>
  <c r="AH33" i="298" s="1"/>
  <c r="AI33" i="298" s="1"/>
  <c r="AF37" i="294"/>
  <c r="AG37" i="294" s="1"/>
  <c r="AF32" i="296"/>
  <c r="AG32" i="296" s="1"/>
  <c r="AH33" i="296" s="1"/>
  <c r="AI33" i="296" s="1"/>
  <c r="AF40" i="295"/>
  <c r="AG40" i="295" s="1"/>
  <c r="AH41" i="295" s="1"/>
  <c r="AI41" i="295" s="1"/>
  <c r="AE40" i="183"/>
  <c r="AF40" i="183" s="1"/>
  <c r="AG41" i="183" s="1"/>
  <c r="AH41" i="183" s="1"/>
  <c r="AE32" i="187"/>
  <c r="AF32" i="187" s="1"/>
  <c r="AG33" i="187" s="1"/>
  <c r="AH33" i="187" s="1"/>
  <c r="AH43" i="187" s="1"/>
  <c r="V32" i="187" s="1"/>
  <c r="V33" i="187" s="1"/>
  <c r="X33" i="187" s="1"/>
  <c r="G26" i="187" s="1"/>
  <c r="AE36" i="183"/>
  <c r="AF36" i="183" s="1"/>
  <c r="H431" i="262"/>
  <c r="AB431" i="262" s="1"/>
  <c r="AF36" i="298"/>
  <c r="AG36" i="298" s="1"/>
  <c r="AF37" i="298"/>
  <c r="AG37" i="298" s="1"/>
  <c r="AF36" i="294"/>
  <c r="AG36" i="294" s="1"/>
  <c r="AF40" i="298"/>
  <c r="AG40" i="298" s="1"/>
  <c r="AH41" i="298" s="1"/>
  <c r="AI41" i="298" s="1"/>
  <c r="AF35" i="294"/>
  <c r="AG35" i="294" s="1"/>
  <c r="R112" i="38"/>
  <c r="N112" i="38"/>
  <c r="L112" i="38"/>
  <c r="O112" i="38"/>
  <c r="Q112" i="38"/>
  <c r="J112" i="38"/>
  <c r="K112" i="38"/>
  <c r="P112" i="38"/>
  <c r="I112" i="38"/>
  <c r="T112" i="38"/>
  <c r="H50" i="184"/>
  <c r="H46" i="184" s="1"/>
  <c r="G46" i="184"/>
  <c r="H50" i="183"/>
  <c r="H46" i="183" s="1"/>
  <c r="G46" i="183"/>
  <c r="H50" i="185"/>
  <c r="H46" i="185" s="1"/>
  <c r="G46" i="185"/>
  <c r="H50" i="187"/>
  <c r="H46" i="187" s="1"/>
  <c r="G46" i="187"/>
  <c r="H50" i="180"/>
  <c r="H46" i="180" s="1"/>
  <c r="G46" i="180"/>
  <c r="H50" i="186"/>
  <c r="H46" i="186" s="1"/>
  <c r="G46" i="186"/>
  <c r="H50" i="188"/>
  <c r="H46" i="188" s="1"/>
  <c r="G46" i="188"/>
  <c r="H50" i="181"/>
  <c r="H46" i="181" s="1"/>
  <c r="G46" i="181"/>
  <c r="H50" i="182"/>
  <c r="H46" i="182" s="1"/>
  <c r="G46" i="182"/>
  <c r="AF37" i="296"/>
  <c r="AG37" i="296" s="1"/>
  <c r="AF35" i="296"/>
  <c r="AG35" i="296" s="1"/>
  <c r="H50" i="179"/>
  <c r="H46" i="179" s="1"/>
  <c r="G46" i="179"/>
  <c r="I47" i="294"/>
  <c r="I51" i="294"/>
  <c r="I52" i="294" s="1"/>
  <c r="I55" i="294"/>
  <c r="I47" i="309"/>
  <c r="I51" i="309"/>
  <c r="I52" i="309" s="1"/>
  <c r="I55" i="309"/>
  <c r="X104" i="262"/>
  <c r="AF104" i="262"/>
  <c r="AB104" i="262"/>
  <c r="L104" i="262"/>
  <c r="H105" i="262"/>
  <c r="V51" i="38" s="1"/>
  <c r="P104" i="262"/>
  <c r="T104" i="262"/>
  <c r="AJ104" i="262"/>
  <c r="I47" i="298"/>
  <c r="I51" i="298"/>
  <c r="I52" i="298" s="1"/>
  <c r="I55" i="298"/>
  <c r="I47" i="297"/>
  <c r="I51" i="297"/>
  <c r="I52" i="297" s="1"/>
  <c r="I55" i="297"/>
  <c r="I47" i="296"/>
  <c r="I51" i="296"/>
  <c r="I52" i="296" s="1"/>
  <c r="I55" i="296"/>
  <c r="I47" i="307"/>
  <c r="I51" i="307"/>
  <c r="I52" i="307" s="1"/>
  <c r="I55" i="307"/>
  <c r="AF37" i="295"/>
  <c r="AG37" i="295" s="1"/>
  <c r="I47" i="295"/>
  <c r="I51" i="295"/>
  <c r="I52" i="295" s="1"/>
  <c r="I55" i="295"/>
  <c r="H50" i="310"/>
  <c r="H46" i="310" s="1"/>
  <c r="G46" i="310"/>
  <c r="H50" i="312"/>
  <c r="H46" i="312" s="1"/>
  <c r="G46" i="312"/>
  <c r="H50" i="311"/>
  <c r="H46" i="311" s="1"/>
  <c r="G46" i="311"/>
  <c r="AE37" i="187"/>
  <c r="AF37" i="187" s="1"/>
  <c r="AF35" i="298"/>
  <c r="AG35" i="298" s="1"/>
  <c r="AF32" i="294"/>
  <c r="AG32" i="294" s="1"/>
  <c r="AH33" i="294" s="1"/>
  <c r="AI33" i="294" s="1"/>
  <c r="AF40" i="294"/>
  <c r="AG40" i="294" s="1"/>
  <c r="AH41" i="294" s="1"/>
  <c r="AI41" i="294" s="1"/>
  <c r="AF36" i="307"/>
  <c r="AG36" i="307" s="1"/>
  <c r="AF36" i="296"/>
  <c r="AG36" i="296" s="1"/>
  <c r="AF35" i="295"/>
  <c r="AG35" i="295" s="1"/>
  <c r="AF36" i="295"/>
  <c r="AG36" i="295" s="1"/>
  <c r="H176" i="262"/>
  <c r="H66" i="38" s="1"/>
  <c r="H193" i="262"/>
  <c r="H69" i="38" s="1"/>
  <c r="H210" i="262"/>
  <c r="H72" i="38" s="1"/>
  <c r="K23" i="298"/>
  <c r="I19" i="298"/>
  <c r="K22" i="298" s="1"/>
  <c r="K19" i="309"/>
  <c r="I19" i="297"/>
  <c r="K22" i="297" s="1"/>
  <c r="K23" i="297"/>
  <c r="I19" i="294"/>
  <c r="K22" i="294" s="1"/>
  <c r="K23" i="294"/>
  <c r="K51" i="307"/>
  <c r="P88" i="262"/>
  <c r="AB88" i="262"/>
  <c r="T88" i="262"/>
  <c r="AF88" i="262"/>
  <c r="AJ88" i="262"/>
  <c r="L88" i="262"/>
  <c r="X88" i="262"/>
  <c r="AF32" i="297"/>
  <c r="AG32" i="297" s="1"/>
  <c r="AH33" i="297" s="1"/>
  <c r="AI33" i="297" s="1"/>
  <c r="AF36" i="297"/>
  <c r="AG36" i="297" s="1"/>
  <c r="AF40" i="297"/>
  <c r="AG40" i="297" s="1"/>
  <c r="AH41" i="297" s="1"/>
  <c r="AI41" i="297" s="1"/>
  <c r="K51" i="295"/>
  <c r="G196" i="262"/>
  <c r="K70" i="38" s="1"/>
  <c r="K51" i="298"/>
  <c r="AF37" i="309"/>
  <c r="AG37" i="309" s="1"/>
  <c r="AF36" i="309"/>
  <c r="AG36" i="309" s="1"/>
  <c r="K51" i="297"/>
  <c r="K19" i="294"/>
  <c r="AF32" i="307"/>
  <c r="AG32" i="307" s="1"/>
  <c r="AH33" i="307" s="1"/>
  <c r="AI33" i="307" s="1"/>
  <c r="K51" i="296"/>
  <c r="L120" i="262"/>
  <c r="T120" i="262"/>
  <c r="X120" i="262"/>
  <c r="AJ120" i="262"/>
  <c r="AB120" i="262"/>
  <c r="AF120" i="262"/>
  <c r="P120" i="262"/>
  <c r="H121" i="262"/>
  <c r="U54" i="38" s="1"/>
  <c r="K51" i="309"/>
  <c r="K19" i="307"/>
  <c r="K23" i="296"/>
  <c r="I19" i="296"/>
  <c r="K22" i="296" s="1"/>
  <c r="AF37" i="297"/>
  <c r="AG37" i="297" s="1"/>
  <c r="AF35" i="297"/>
  <c r="AG35" i="297" s="1"/>
  <c r="K19" i="295"/>
  <c r="K19" i="298"/>
  <c r="I19" i="309"/>
  <c r="K22" i="309" s="1"/>
  <c r="K23" i="309"/>
  <c r="AF32" i="309"/>
  <c r="AG32" i="309" s="1"/>
  <c r="AH33" i="309" s="1"/>
  <c r="AI33" i="309" s="1"/>
  <c r="AF35" i="309"/>
  <c r="AG35" i="309" s="1"/>
  <c r="AF40" i="309"/>
  <c r="AG40" i="309" s="1"/>
  <c r="AH41" i="309" s="1"/>
  <c r="AI41" i="309" s="1"/>
  <c r="K19" i="297"/>
  <c r="K51" i="294"/>
  <c r="K23" i="307"/>
  <c r="I19" i="307"/>
  <c r="K22" i="307" s="1"/>
  <c r="AF37" i="307"/>
  <c r="AG37" i="307" s="1"/>
  <c r="AF40" i="307"/>
  <c r="AG40" i="307" s="1"/>
  <c r="AH41" i="307" s="1"/>
  <c r="AI41" i="307" s="1"/>
  <c r="AF35" i="307"/>
  <c r="AG35" i="307" s="1"/>
  <c r="K19" i="296"/>
  <c r="G179" i="262"/>
  <c r="K67" i="38" s="1"/>
  <c r="K23" i="295"/>
  <c r="I19" i="295"/>
  <c r="K22" i="295" s="1"/>
  <c r="Z447" i="262"/>
  <c r="J447" i="262"/>
  <c r="V447" i="262"/>
  <c r="G459" i="262"/>
  <c r="G460" i="262"/>
  <c r="G452" i="262"/>
  <c r="G453" i="262"/>
  <c r="G450" i="262"/>
  <c r="G451" i="262"/>
  <c r="G461" i="262"/>
  <c r="G448" i="262"/>
  <c r="H448" i="262" s="1"/>
  <c r="AH447" i="262"/>
  <c r="R447" i="262"/>
  <c r="AD447" i="262"/>
  <c r="N447" i="262"/>
  <c r="G458" i="262"/>
  <c r="G457" i="262"/>
  <c r="G454" i="262"/>
  <c r="G455" i="262"/>
  <c r="G456" i="262"/>
  <c r="G449" i="262"/>
  <c r="G462" i="262"/>
  <c r="V115" i="38" s="1"/>
  <c r="F114" i="38"/>
  <c r="C464" i="262"/>
  <c r="B464" i="262"/>
  <c r="A481" i="262"/>
  <c r="AK430" i="262"/>
  <c r="AI430" i="262"/>
  <c r="AA430" i="262"/>
  <c r="AC430" i="262"/>
  <c r="AE430" i="262"/>
  <c r="AG430" i="262"/>
  <c r="U430" i="262"/>
  <c r="S430" i="262"/>
  <c r="Y430" i="262"/>
  <c r="W430" i="262"/>
  <c r="K430" i="262"/>
  <c r="M430" i="262"/>
  <c r="O430" i="262"/>
  <c r="Q430" i="262"/>
  <c r="AE37" i="180"/>
  <c r="AF37" i="180" s="1"/>
  <c r="AE35" i="180"/>
  <c r="AF35" i="180" s="1"/>
  <c r="AE32" i="180"/>
  <c r="AF32" i="180" s="1"/>
  <c r="AG33" i="180" s="1"/>
  <c r="AH33" i="180" s="1"/>
  <c r="AF36" i="311"/>
  <c r="AG36" i="311" s="1"/>
  <c r="AF35" i="311"/>
  <c r="AG35" i="311" s="1"/>
  <c r="AE35" i="181"/>
  <c r="AF35" i="181" s="1"/>
  <c r="P364" i="262"/>
  <c r="X364" i="262"/>
  <c r="AF364" i="262"/>
  <c r="AJ364" i="262"/>
  <c r="T364" i="262"/>
  <c r="AB364" i="262"/>
  <c r="L364" i="262"/>
  <c r="P332" i="262"/>
  <c r="X332" i="262"/>
  <c r="AF332" i="262"/>
  <c r="AB332" i="262"/>
  <c r="T332" i="262"/>
  <c r="AJ332" i="262"/>
  <c r="L332" i="262"/>
  <c r="AF348" i="262"/>
  <c r="X348" i="262"/>
  <c r="P348" i="262"/>
  <c r="T348" i="262"/>
  <c r="AJ348" i="262"/>
  <c r="L348" i="262"/>
  <c r="AB348" i="262"/>
  <c r="X316" i="262"/>
  <c r="P316" i="262"/>
  <c r="AF316" i="262"/>
  <c r="AJ316" i="262"/>
  <c r="AB316" i="262"/>
  <c r="T316" i="262"/>
  <c r="L316" i="262"/>
  <c r="AE35" i="187"/>
  <c r="AF35" i="187" s="1"/>
  <c r="AG37" i="187" s="1"/>
  <c r="AH37" i="187" s="1"/>
  <c r="AE36" i="181"/>
  <c r="AF36" i="181" s="1"/>
  <c r="B475" i="262"/>
  <c r="AF37" i="311"/>
  <c r="AG37" i="311" s="1"/>
  <c r="AE40" i="181"/>
  <c r="AF40" i="181" s="1"/>
  <c r="AG41" i="181" s="1"/>
  <c r="AH41" i="181" s="1"/>
  <c r="AE32" i="181"/>
  <c r="AF32" i="181" s="1"/>
  <c r="AG33" i="181" s="1"/>
  <c r="AH33" i="181" s="1"/>
  <c r="AF40" i="311"/>
  <c r="AG40" i="311" s="1"/>
  <c r="AH41" i="311" s="1"/>
  <c r="AI41" i="311" s="1"/>
  <c r="AF32" i="311"/>
  <c r="AG32" i="311" s="1"/>
  <c r="AH33" i="311" s="1"/>
  <c r="AI33" i="311" s="1"/>
  <c r="AE37" i="181"/>
  <c r="AF37" i="181" s="1"/>
  <c r="B460" i="262"/>
  <c r="B476" i="262"/>
  <c r="AE36" i="187"/>
  <c r="AF36" i="187" s="1"/>
  <c r="B451" i="262"/>
  <c r="AE40" i="180"/>
  <c r="AF40" i="180" s="1"/>
  <c r="AG41" i="180" s="1"/>
  <c r="AH41" i="180" s="1"/>
  <c r="B404" i="262"/>
  <c r="B452" i="262"/>
  <c r="B389" i="262"/>
  <c r="B495" i="262"/>
  <c r="B388" i="262"/>
  <c r="AF40" i="312"/>
  <c r="AG40" i="312" s="1"/>
  <c r="AH41" i="312" s="1"/>
  <c r="AI41" i="312" s="1"/>
  <c r="AF36" i="312"/>
  <c r="AG36" i="312" s="1"/>
  <c r="AF37" i="310"/>
  <c r="AG37" i="310" s="1"/>
  <c r="AF32" i="310"/>
  <c r="AG32" i="310" s="1"/>
  <c r="AH33" i="310" s="1"/>
  <c r="AI33" i="310" s="1"/>
  <c r="AE35" i="188"/>
  <c r="AF35" i="188" s="1"/>
  <c r="AG37" i="188" s="1"/>
  <c r="AH37" i="188" s="1"/>
  <c r="X96" i="1"/>
  <c r="V194" i="1"/>
  <c r="J50" i="188"/>
  <c r="H365" i="262"/>
  <c r="B31" i="3"/>
  <c r="C31" i="3" s="1"/>
  <c r="A32" i="3"/>
  <c r="B448" i="262"/>
  <c r="J51" i="181"/>
  <c r="J52" i="180"/>
  <c r="J51" i="187"/>
  <c r="AF37" i="312"/>
  <c r="AG37" i="312" s="1"/>
  <c r="AF32" i="312"/>
  <c r="AG32" i="312" s="1"/>
  <c r="AH33" i="312" s="1"/>
  <c r="AI33" i="312" s="1"/>
  <c r="AE36" i="180"/>
  <c r="AF36" i="180" s="1"/>
  <c r="J51" i="186"/>
  <c r="J51" i="188"/>
  <c r="J51" i="180"/>
  <c r="J51" i="183"/>
  <c r="B437" i="262"/>
  <c r="B896" i="262"/>
  <c r="AE40" i="182"/>
  <c r="AF40" i="182" s="1"/>
  <c r="AG41" i="182" s="1"/>
  <c r="AH41" i="182" s="1"/>
  <c r="AE37" i="182"/>
  <c r="AF37" i="182" s="1"/>
  <c r="AF40" i="310"/>
  <c r="AG40" i="310" s="1"/>
  <c r="AH41" i="310" s="1"/>
  <c r="AI41" i="310" s="1"/>
  <c r="AF36" i="310"/>
  <c r="AG36" i="310" s="1"/>
  <c r="H349" i="262"/>
  <c r="B479" i="262"/>
  <c r="AE35" i="186"/>
  <c r="AF35" i="186" s="1"/>
  <c r="AG37" i="186" s="1"/>
  <c r="AH37" i="186" s="1"/>
  <c r="AE36" i="186"/>
  <c r="AF36" i="186" s="1"/>
  <c r="H317" i="262"/>
  <c r="AE32" i="188"/>
  <c r="AF32" i="188" s="1"/>
  <c r="AG33" i="188" s="1"/>
  <c r="AH33" i="188" s="1"/>
  <c r="AH43" i="188" s="1"/>
  <c r="V32" i="188" s="1"/>
  <c r="V33" i="188" s="1"/>
  <c r="X33" i="188" s="1"/>
  <c r="G26" i="188" s="1"/>
  <c r="AE40" i="188"/>
  <c r="AF40" i="188" s="1"/>
  <c r="AG41" i="188" s="1"/>
  <c r="AH41" i="188" s="1"/>
  <c r="AE36" i="188"/>
  <c r="AF36" i="188" s="1"/>
  <c r="AE36" i="184"/>
  <c r="AF36" i="184" s="1"/>
  <c r="AE32" i="184"/>
  <c r="AF32" i="184" s="1"/>
  <c r="AG33" i="184" s="1"/>
  <c r="AH33" i="184" s="1"/>
  <c r="AH43" i="184" s="1"/>
  <c r="V32" i="184" s="1"/>
  <c r="V33" i="184" s="1"/>
  <c r="X33" i="184" s="1"/>
  <c r="G26" i="184" s="1"/>
  <c r="AE35" i="179"/>
  <c r="AF35" i="179" s="1"/>
  <c r="AE37" i="179"/>
  <c r="AF37" i="179" s="1"/>
  <c r="AE35" i="185"/>
  <c r="AF35" i="185" s="1"/>
  <c r="AG37" i="185" s="1"/>
  <c r="AH37" i="185" s="1"/>
  <c r="AE32" i="185"/>
  <c r="AF32" i="185" s="1"/>
  <c r="AG33" i="185" s="1"/>
  <c r="AH33" i="185" s="1"/>
  <c r="AH43" i="185" s="1"/>
  <c r="V32" i="185" s="1"/>
  <c r="V33" i="185" s="1"/>
  <c r="X33" i="185" s="1"/>
  <c r="G26" i="185" s="1"/>
  <c r="K50" i="311"/>
  <c r="H333" i="262"/>
  <c r="B381" i="262"/>
  <c r="H381" i="262"/>
  <c r="B436" i="262"/>
  <c r="B895" i="262"/>
  <c r="AE40" i="187"/>
  <c r="AF40" i="187" s="1"/>
  <c r="AG41" i="187" s="1"/>
  <c r="AH41" i="187" s="1"/>
  <c r="AE32" i="183"/>
  <c r="AF32" i="183" s="1"/>
  <c r="AG33" i="183" s="1"/>
  <c r="AH33" i="183" s="1"/>
  <c r="AH43" i="183" s="1"/>
  <c r="V32" i="183" s="1"/>
  <c r="V33" i="183" s="1"/>
  <c r="X33" i="183" s="1"/>
  <c r="G26" i="183" s="1"/>
  <c r="J50" i="183"/>
  <c r="J52" i="188"/>
  <c r="J51" i="182"/>
  <c r="J50" i="186"/>
  <c r="AF35" i="312"/>
  <c r="AG35" i="312" s="1"/>
  <c r="B141" i="38"/>
  <c r="B382" i="262"/>
  <c r="AE35" i="182"/>
  <c r="AF35" i="182" s="1"/>
  <c r="AG37" i="182" s="1"/>
  <c r="AH37" i="182" s="1"/>
  <c r="AE36" i="182"/>
  <c r="AF36" i="182" s="1"/>
  <c r="AE32" i="182"/>
  <c r="AF32" i="182" s="1"/>
  <c r="AG33" i="182" s="1"/>
  <c r="AH33" i="182" s="1"/>
  <c r="AH43" i="182" s="1"/>
  <c r="V32" i="182" s="1"/>
  <c r="V33" i="182" s="1"/>
  <c r="X33" i="182" s="1"/>
  <c r="G26" i="182" s="1"/>
  <c r="J50" i="179"/>
  <c r="AF35" i="310"/>
  <c r="AG35" i="310" s="1"/>
  <c r="J51" i="179"/>
  <c r="AE37" i="186"/>
  <c r="AF37" i="186" s="1"/>
  <c r="AE32" i="186"/>
  <c r="AF32" i="186" s="1"/>
  <c r="AG33" i="186" s="1"/>
  <c r="AH33" i="186" s="1"/>
  <c r="AH43" i="186" s="1"/>
  <c r="V32" i="186" s="1"/>
  <c r="V33" i="186" s="1"/>
  <c r="X33" i="186" s="1"/>
  <c r="G26" i="186" s="1"/>
  <c r="AE40" i="186"/>
  <c r="AF40" i="186" s="1"/>
  <c r="AG41" i="186" s="1"/>
  <c r="AH41" i="186" s="1"/>
  <c r="J51" i="185"/>
  <c r="AE37" i="188"/>
  <c r="AF37" i="188" s="1"/>
  <c r="AE40" i="184"/>
  <c r="AF40" i="184" s="1"/>
  <c r="AG41" i="184" s="1"/>
  <c r="AH41" i="184" s="1"/>
  <c r="AE37" i="184"/>
  <c r="AF37" i="184" s="1"/>
  <c r="AE35" i="184"/>
  <c r="AF35" i="184" s="1"/>
  <c r="AG37" i="184" s="1"/>
  <c r="AH37" i="184" s="1"/>
  <c r="J51" i="184"/>
  <c r="AE36" i="179"/>
  <c r="AF36" i="179" s="1"/>
  <c r="AE32" i="179"/>
  <c r="AF32" i="179" s="1"/>
  <c r="AG33" i="179" s="1"/>
  <c r="AH33" i="179" s="1"/>
  <c r="AE40" i="179"/>
  <c r="AF40" i="179" s="1"/>
  <c r="AG41" i="179" s="1"/>
  <c r="AH41" i="179" s="1"/>
  <c r="AE37" i="185"/>
  <c r="AF37" i="185" s="1"/>
  <c r="AE40" i="185"/>
  <c r="AF40" i="185" s="1"/>
  <c r="AG41" i="185" s="1"/>
  <c r="AH41" i="185" s="1"/>
  <c r="AE36" i="185"/>
  <c r="AF36" i="185" s="1"/>
  <c r="J50" i="180"/>
  <c r="F464" i="262"/>
  <c r="Q32" i="1"/>
  <c r="Q43" i="1"/>
  <c r="P42" i="1"/>
  <c r="W45" i="1"/>
  <c r="Q45" i="1"/>
  <c r="V54" i="1"/>
  <c r="W49" i="1"/>
  <c r="I464" i="262"/>
  <c r="P41" i="1"/>
  <c r="Q41" i="1"/>
  <c r="V55" i="1"/>
  <c r="W41" i="1"/>
  <c r="Q38" i="1"/>
  <c r="P45" i="1"/>
  <c r="W43" i="1"/>
  <c r="W29" i="1"/>
  <c r="P48" i="1"/>
  <c r="P47" i="1"/>
  <c r="W32" i="1"/>
  <c r="W31" i="1"/>
  <c r="P32" i="1"/>
  <c r="H464" i="262"/>
  <c r="V70" i="1"/>
  <c r="G464" i="262"/>
  <c r="W38" i="1"/>
  <c r="W30" i="1"/>
  <c r="P38" i="1"/>
  <c r="P49" i="1"/>
  <c r="V97" i="1"/>
  <c r="Q30" i="1"/>
  <c r="W47" i="1"/>
  <c r="Q48" i="1"/>
  <c r="W42" i="1"/>
  <c r="W39" i="1"/>
  <c r="Q29" i="1"/>
  <c r="Q44" i="1"/>
  <c r="P31" i="1"/>
  <c r="V71" i="1"/>
  <c r="Q34" i="1"/>
  <c r="Q46" i="1"/>
  <c r="Q31" i="1"/>
  <c r="P29" i="1"/>
  <c r="Q37" i="1"/>
  <c r="W34" i="1"/>
  <c r="P40" i="1"/>
  <c r="E464" i="262"/>
  <c r="W40" i="1"/>
  <c r="Q39" i="1"/>
  <c r="Q40" i="1"/>
  <c r="P39" i="1"/>
  <c r="W46" i="1"/>
  <c r="P43" i="1"/>
  <c r="P37" i="1"/>
  <c r="Q47" i="1"/>
  <c r="W37" i="1"/>
  <c r="Q42" i="1"/>
  <c r="P46" i="1"/>
  <c r="P44" i="1"/>
  <c r="V50" i="1"/>
  <c r="Q49" i="1"/>
  <c r="W48" i="1"/>
  <c r="P30" i="1"/>
  <c r="P33" i="1"/>
  <c r="V95" i="1"/>
  <c r="Q33" i="1"/>
  <c r="P34" i="1"/>
  <c r="V53" i="1"/>
  <c r="W33" i="1"/>
  <c r="W44" i="1"/>
  <c r="AH37" i="299" l="1"/>
  <c r="AI37" i="299" s="1"/>
  <c r="AI43" i="299" s="1"/>
  <c r="W32" i="299" s="1"/>
  <c r="W33" i="299" s="1"/>
  <c r="Y33" i="299" s="1"/>
  <c r="G26" i="299" s="1"/>
  <c r="G55" i="299" s="1"/>
  <c r="K55" i="299" s="1"/>
  <c r="AH37" i="302"/>
  <c r="AI37" i="302" s="1"/>
  <c r="AI43" i="302" s="1"/>
  <c r="W32" i="302" s="1"/>
  <c r="W33" i="302" s="1"/>
  <c r="Y33" i="302" s="1"/>
  <c r="G26" i="302" s="1"/>
  <c r="G55" i="302" s="1"/>
  <c r="AH37" i="292"/>
  <c r="AI37" i="292" s="1"/>
  <c r="AI43" i="292" s="1"/>
  <c r="W32" i="292" s="1"/>
  <c r="W33" i="292" s="1"/>
  <c r="Y33" i="292" s="1"/>
  <c r="G26" i="292" s="1"/>
  <c r="G55" i="292" s="1"/>
  <c r="AH37" i="305"/>
  <c r="AI37" i="305" s="1"/>
  <c r="AI43" i="305" s="1"/>
  <c r="W32" i="305" s="1"/>
  <c r="W33" i="305" s="1"/>
  <c r="Y33" i="305" s="1"/>
  <c r="G26" i="305" s="1"/>
  <c r="G55" i="305" s="1"/>
  <c r="K55" i="305" s="1"/>
  <c r="V168" i="1"/>
  <c r="AH37" i="293"/>
  <c r="AI37" i="293" s="1"/>
  <c r="AI43" i="293" s="1"/>
  <c r="W32" i="293" s="1"/>
  <c r="W33" i="293" s="1"/>
  <c r="Y33" i="293" s="1"/>
  <c r="G26" i="293" s="1"/>
  <c r="G55" i="293" s="1"/>
  <c r="AH37" i="300"/>
  <c r="AI37" i="300" s="1"/>
  <c r="AI43" i="300" s="1"/>
  <c r="W32" i="300" s="1"/>
  <c r="W33" i="300" s="1"/>
  <c r="Y33" i="300" s="1"/>
  <c r="G26" i="300" s="1"/>
  <c r="G55" i="300" s="1"/>
  <c r="K55" i="300" s="1"/>
  <c r="AH37" i="291"/>
  <c r="AI37" i="291" s="1"/>
  <c r="AI43" i="291" s="1"/>
  <c r="W32" i="291" s="1"/>
  <c r="W33" i="291" s="1"/>
  <c r="Y33" i="291" s="1"/>
  <c r="G26" i="291" s="1"/>
  <c r="G55" i="291" s="1"/>
  <c r="G146" i="262"/>
  <c r="K61" i="38"/>
  <c r="V169" i="1"/>
  <c r="X40" i="1"/>
  <c r="W138" i="1"/>
  <c r="X138" i="1" s="1"/>
  <c r="W146" i="1"/>
  <c r="X146" i="1" s="1"/>
  <c r="X48" i="1"/>
  <c r="W139" i="1"/>
  <c r="X139" i="1" s="1"/>
  <c r="X41" i="1"/>
  <c r="W137" i="1"/>
  <c r="X137" i="1" s="1"/>
  <c r="X39" i="1"/>
  <c r="V152" i="1"/>
  <c r="W142" i="1"/>
  <c r="X142" i="1" s="1"/>
  <c r="X44" i="1"/>
  <c r="X29" i="1"/>
  <c r="W127" i="1"/>
  <c r="X127" i="1" s="1"/>
  <c r="W129" i="1"/>
  <c r="X129" i="1" s="1"/>
  <c r="X31" i="1"/>
  <c r="W143" i="1"/>
  <c r="X143" i="1" s="1"/>
  <c r="X45" i="1"/>
  <c r="W144" i="1"/>
  <c r="X144" i="1" s="1"/>
  <c r="X46" i="1"/>
  <c r="V153" i="1"/>
  <c r="W141" i="1"/>
  <c r="X141" i="1" s="1"/>
  <c r="X43" i="1"/>
  <c r="X42" i="1"/>
  <c r="W140" i="1"/>
  <c r="X140" i="1" s="1"/>
  <c r="X30" i="1"/>
  <c r="W128" i="1"/>
  <c r="X128" i="1" s="1"/>
  <c r="D52" i="1119"/>
  <c r="K52" i="300"/>
  <c r="K50" i="1111"/>
  <c r="G46" i="1111"/>
  <c r="H50" i="1111"/>
  <c r="H46" i="1111" s="1"/>
  <c r="H17" i="1111" s="1"/>
  <c r="K50" i="1114"/>
  <c r="G46" i="1114"/>
  <c r="H50" i="1114"/>
  <c r="H46" i="1114" s="1"/>
  <c r="H17" i="1114" s="1"/>
  <c r="K52" i="308"/>
  <c r="K52" i="301"/>
  <c r="AH37" i="1116"/>
  <c r="AI37" i="1116" s="1"/>
  <c r="AI43" i="1116" s="1"/>
  <c r="W32" i="1116" s="1"/>
  <c r="W33" i="1116" s="1"/>
  <c r="Y33" i="1116" s="1"/>
  <c r="G26" i="1116" s="1"/>
  <c r="D52" i="1114"/>
  <c r="K52" i="1114"/>
  <c r="K55" i="292"/>
  <c r="D52" i="1109"/>
  <c r="K52" i="1109"/>
  <c r="H19" i="1113"/>
  <c r="L19" i="1113" s="1"/>
  <c r="H47" i="1113"/>
  <c r="H51" i="1113"/>
  <c r="H52" i="1113" s="1"/>
  <c r="H55" i="1113"/>
  <c r="K50" i="1119"/>
  <c r="H50" i="1119"/>
  <c r="H46" i="1119" s="1"/>
  <c r="H17" i="1119" s="1"/>
  <c r="G46" i="1119"/>
  <c r="AH37" i="308"/>
  <c r="AI37" i="308" s="1"/>
  <c r="AI43" i="308" s="1"/>
  <c r="W32" i="308" s="1"/>
  <c r="W33" i="308" s="1"/>
  <c r="Y33" i="308" s="1"/>
  <c r="G26" i="308" s="1"/>
  <c r="G55" i="308" s="1"/>
  <c r="H50" i="1108"/>
  <c r="H46" i="1108" s="1"/>
  <c r="H17" i="1108" s="1"/>
  <c r="G46" i="1108"/>
  <c r="P618" i="1103"/>
  <c r="Q618" i="1103" s="1"/>
  <c r="H619" i="1103"/>
  <c r="T618" i="1103"/>
  <c r="U618" i="1103" s="1"/>
  <c r="L618" i="1103"/>
  <c r="M618" i="1103" s="1"/>
  <c r="T601" i="1103"/>
  <c r="U601" i="1103" s="1"/>
  <c r="L601" i="1103"/>
  <c r="M601" i="1103" s="1"/>
  <c r="P601" i="1103"/>
  <c r="Q601" i="1103" s="1"/>
  <c r="H602" i="1103"/>
  <c r="T142" i="1103"/>
  <c r="U142" i="1103" s="1"/>
  <c r="L142" i="1103"/>
  <c r="M142" i="1103" s="1"/>
  <c r="P142" i="1103"/>
  <c r="Q142" i="1103" s="1"/>
  <c r="H143" i="1103"/>
  <c r="H63" i="38"/>
  <c r="AF159" i="262"/>
  <c r="X159" i="262"/>
  <c r="AJ159" i="262"/>
  <c r="L159" i="262"/>
  <c r="AB159" i="262"/>
  <c r="H160" i="262"/>
  <c r="P159" i="262"/>
  <c r="T159" i="262"/>
  <c r="I46" i="1118"/>
  <c r="G17" i="1118"/>
  <c r="K52" i="299"/>
  <c r="AH37" i="303"/>
  <c r="AI37" i="303" s="1"/>
  <c r="AI43" i="303" s="1"/>
  <c r="W32" i="303" s="1"/>
  <c r="W33" i="303" s="1"/>
  <c r="Y33" i="303" s="1"/>
  <c r="G26" i="303" s="1"/>
  <c r="G55" i="303" s="1"/>
  <c r="D52" i="1116"/>
  <c r="K50" i="1109"/>
  <c r="G46" i="1109"/>
  <c r="H50" i="1109"/>
  <c r="H46" i="1109" s="1"/>
  <c r="H17" i="1109" s="1"/>
  <c r="D52" i="1111"/>
  <c r="K52" i="1111"/>
  <c r="K52" i="304"/>
  <c r="K52" i="291"/>
  <c r="H57" i="38"/>
  <c r="AJ125" i="262"/>
  <c r="AB125" i="262"/>
  <c r="AF125" i="262"/>
  <c r="H126" i="262"/>
  <c r="P125" i="262"/>
  <c r="X125" i="262"/>
  <c r="T125" i="262"/>
  <c r="L125" i="262"/>
  <c r="H551" i="1103"/>
  <c r="T550" i="1103"/>
  <c r="U550" i="1103" s="1"/>
  <c r="L550" i="1103"/>
  <c r="M550" i="1103" s="1"/>
  <c r="P550" i="1103"/>
  <c r="Q550" i="1103" s="1"/>
  <c r="P567" i="1103"/>
  <c r="Q567" i="1103" s="1"/>
  <c r="H568" i="1103"/>
  <c r="T567" i="1103"/>
  <c r="U567" i="1103" s="1"/>
  <c r="L567" i="1103"/>
  <c r="M567" i="1103" s="1"/>
  <c r="T159" i="1103"/>
  <c r="U159" i="1103" s="1"/>
  <c r="L159" i="1103"/>
  <c r="M159" i="1103" s="1"/>
  <c r="P159" i="1103"/>
  <c r="Q159" i="1103" s="1"/>
  <c r="H160" i="1103"/>
  <c r="H55" i="1118"/>
  <c r="H51" i="1118"/>
  <c r="H52" i="1118" s="1"/>
  <c r="H47" i="1118"/>
  <c r="H19" i="1118"/>
  <c r="L19" i="1118" s="1"/>
  <c r="K52" i="293"/>
  <c r="K50" i="1110"/>
  <c r="H50" i="1110"/>
  <c r="H46" i="1110" s="1"/>
  <c r="H17" i="1110" s="1"/>
  <c r="G46" i="1110"/>
  <c r="H47" i="1117"/>
  <c r="H51" i="1117"/>
  <c r="H52" i="1117" s="1"/>
  <c r="H55" i="1117"/>
  <c r="H19" i="1117"/>
  <c r="L19" i="1117" s="1"/>
  <c r="I46" i="1115"/>
  <c r="G17" i="1115"/>
  <c r="H19" i="1116"/>
  <c r="L19" i="1116" s="1"/>
  <c r="H51" i="1116"/>
  <c r="H52" i="1116" s="1"/>
  <c r="H47" i="1116"/>
  <c r="H55" i="1116"/>
  <c r="K52" i="305"/>
  <c r="H47" i="1112"/>
  <c r="H51" i="1112"/>
  <c r="H52" i="1112" s="1"/>
  <c r="H55" i="1112"/>
  <c r="H19" i="1112"/>
  <c r="L19" i="1112" s="1"/>
  <c r="AH37" i="1117"/>
  <c r="AI37" i="1117" s="1"/>
  <c r="AI43" i="1117" s="1"/>
  <c r="W32" i="1117" s="1"/>
  <c r="W33" i="1117" s="1"/>
  <c r="Y33" i="1117" s="1"/>
  <c r="G26" i="1117" s="1"/>
  <c r="K52" i="306"/>
  <c r="AH37" i="1118"/>
  <c r="AI37" i="1118" s="1"/>
  <c r="AI43" i="1118" s="1"/>
  <c r="W32" i="1118" s="1"/>
  <c r="W33" i="1118" s="1"/>
  <c r="Y33" i="1118" s="1"/>
  <c r="G26" i="1118" s="1"/>
  <c r="AH37" i="304"/>
  <c r="AI37" i="304" s="1"/>
  <c r="AI43" i="304" s="1"/>
  <c r="W32" i="304" s="1"/>
  <c r="W33" i="304" s="1"/>
  <c r="Y33" i="304" s="1"/>
  <c r="G26" i="304" s="1"/>
  <c r="G55" i="304" s="1"/>
  <c r="AH37" i="301"/>
  <c r="AI37" i="301" s="1"/>
  <c r="AI43" i="301" s="1"/>
  <c r="W32" i="301" s="1"/>
  <c r="W33" i="301" s="1"/>
  <c r="Y33" i="301" s="1"/>
  <c r="G26" i="301" s="1"/>
  <c r="G55" i="301" s="1"/>
  <c r="D52" i="1117"/>
  <c r="D52" i="1115"/>
  <c r="K52" i="1115"/>
  <c r="L125" i="1103"/>
  <c r="M125" i="1103" s="1"/>
  <c r="P125" i="1103"/>
  <c r="Q125" i="1103" s="1"/>
  <c r="H126" i="1103"/>
  <c r="T125" i="1103"/>
  <c r="U125" i="1103" s="1"/>
  <c r="P533" i="1103"/>
  <c r="Q533" i="1103" s="1"/>
  <c r="H534" i="1103"/>
  <c r="T533" i="1103"/>
  <c r="U533" i="1103" s="1"/>
  <c r="L533" i="1103"/>
  <c r="M533" i="1103" s="1"/>
  <c r="H517" i="1103"/>
  <c r="T516" i="1103"/>
  <c r="U516" i="1103" s="1"/>
  <c r="L516" i="1103"/>
  <c r="M516" i="1103" s="1"/>
  <c r="P516" i="1103"/>
  <c r="Q516" i="1103" s="1"/>
  <c r="D52" i="1108"/>
  <c r="K52" i="1108"/>
  <c r="K52" i="303"/>
  <c r="I46" i="1117"/>
  <c r="G17" i="1117"/>
  <c r="K64" i="38"/>
  <c r="G163" i="262"/>
  <c r="H51" i="1115"/>
  <c r="H52" i="1115" s="1"/>
  <c r="H47" i="1115"/>
  <c r="H55" i="1115"/>
  <c r="H19" i="1115"/>
  <c r="L19" i="1115" s="1"/>
  <c r="I46" i="1116"/>
  <c r="G17" i="1116"/>
  <c r="I46" i="1112"/>
  <c r="G17" i="1112"/>
  <c r="L58" i="38"/>
  <c r="G130" i="262"/>
  <c r="AH37" i="306"/>
  <c r="AI37" i="306" s="1"/>
  <c r="AI43" i="306" s="1"/>
  <c r="W32" i="306" s="1"/>
  <c r="W33" i="306" s="1"/>
  <c r="Y33" i="306" s="1"/>
  <c r="G26" i="306" s="1"/>
  <c r="G55" i="306" s="1"/>
  <c r="AH37" i="1119"/>
  <c r="AI37" i="1119" s="1"/>
  <c r="AI43" i="1119" s="1"/>
  <c r="W32" i="1119" s="1"/>
  <c r="W33" i="1119" s="1"/>
  <c r="Y33" i="1119" s="1"/>
  <c r="G26" i="1119" s="1"/>
  <c r="K52" i="302"/>
  <c r="I46" i="1113"/>
  <c r="G17" i="1113"/>
  <c r="K52" i="292"/>
  <c r="D52" i="1112"/>
  <c r="K52" i="1112"/>
  <c r="T584" i="1103"/>
  <c r="U584" i="1103" s="1"/>
  <c r="L584" i="1103"/>
  <c r="M584" i="1103" s="1"/>
  <c r="P584" i="1103"/>
  <c r="Q584" i="1103" s="1"/>
  <c r="H585" i="1103"/>
  <c r="L652" i="1103"/>
  <c r="M652" i="1103" s="1"/>
  <c r="P652" i="1103"/>
  <c r="Q652" i="1103" s="1"/>
  <c r="H653" i="1103"/>
  <c r="T652" i="1103"/>
  <c r="U652" i="1103" s="1"/>
  <c r="H60" i="38"/>
  <c r="AB142" i="262"/>
  <c r="T142" i="262"/>
  <c r="X142" i="262"/>
  <c r="AF142" i="262"/>
  <c r="AJ142" i="262"/>
  <c r="H143" i="262"/>
  <c r="L142" i="262"/>
  <c r="P142" i="262"/>
  <c r="P499" i="1103"/>
  <c r="Q499" i="1103" s="1"/>
  <c r="H500" i="1103"/>
  <c r="T499" i="1103"/>
  <c r="U499" i="1103" s="1"/>
  <c r="L499" i="1103"/>
  <c r="M499" i="1103" s="1"/>
  <c r="S736" i="1103"/>
  <c r="U736" i="1103"/>
  <c r="Q736" i="1103"/>
  <c r="O736" i="1103"/>
  <c r="M736" i="1103"/>
  <c r="K736" i="1103"/>
  <c r="H670" i="1103"/>
  <c r="L669" i="1103"/>
  <c r="M669" i="1103" s="1"/>
  <c r="T669" i="1103"/>
  <c r="U669" i="1103" s="1"/>
  <c r="P669" i="1103"/>
  <c r="Q669" i="1103" s="1"/>
  <c r="H636" i="1103"/>
  <c r="T635" i="1103"/>
  <c r="U635" i="1103" s="1"/>
  <c r="L635" i="1103"/>
  <c r="M635" i="1103" s="1"/>
  <c r="P635" i="1103"/>
  <c r="Q635" i="1103" s="1"/>
  <c r="L482" i="1103"/>
  <c r="M482" i="1103" s="1"/>
  <c r="T482" i="1103"/>
  <c r="U482" i="1103" s="1"/>
  <c r="H483" i="1103"/>
  <c r="P482" i="1103"/>
  <c r="Q482" i="1103" s="1"/>
  <c r="H466" i="1103"/>
  <c r="T465" i="1103"/>
  <c r="U465" i="1103" s="1"/>
  <c r="L465" i="1103"/>
  <c r="M465" i="1103" s="1"/>
  <c r="P465" i="1103"/>
  <c r="Q465" i="1103" s="1"/>
  <c r="H211" i="1103"/>
  <c r="T210" i="1103"/>
  <c r="U210" i="1103" s="1"/>
  <c r="L210" i="1103"/>
  <c r="M210" i="1103" s="1"/>
  <c r="P210" i="1103"/>
  <c r="Q210" i="1103" s="1"/>
  <c r="H194" i="1103"/>
  <c r="T193" i="1103"/>
  <c r="U193" i="1103" s="1"/>
  <c r="L193" i="1103"/>
  <c r="M193" i="1103" s="1"/>
  <c r="P193" i="1103"/>
  <c r="Q193" i="1103" s="1"/>
  <c r="H177" i="1103"/>
  <c r="T176" i="1103"/>
  <c r="U176" i="1103" s="1"/>
  <c r="L176" i="1103"/>
  <c r="M176" i="1103" s="1"/>
  <c r="P176" i="1103"/>
  <c r="Q176" i="1103" s="1"/>
  <c r="H122" i="1103"/>
  <c r="T121" i="1103"/>
  <c r="U121" i="1103" s="1"/>
  <c r="L121" i="1103"/>
  <c r="M121" i="1103" s="1"/>
  <c r="P121" i="1103"/>
  <c r="Q121" i="1103" s="1"/>
  <c r="T105" i="1103"/>
  <c r="U105" i="1103" s="1"/>
  <c r="L105" i="1103"/>
  <c r="M105" i="1103" s="1"/>
  <c r="P105" i="1103"/>
  <c r="Q105" i="1103" s="1"/>
  <c r="J57" i="9"/>
  <c r="B43" i="9"/>
  <c r="K73" i="38"/>
  <c r="G214" i="262"/>
  <c r="AJ431" i="262"/>
  <c r="X431" i="262"/>
  <c r="AF431" i="262"/>
  <c r="T431" i="262"/>
  <c r="P431" i="262"/>
  <c r="L431" i="262"/>
  <c r="AH37" i="294"/>
  <c r="AI37" i="294" s="1"/>
  <c r="AI43" i="294" s="1"/>
  <c r="W32" i="294" s="1"/>
  <c r="W33" i="294" s="1"/>
  <c r="Y33" i="294" s="1"/>
  <c r="G26" i="294" s="1"/>
  <c r="AH37" i="298"/>
  <c r="AI37" i="298" s="1"/>
  <c r="AI43" i="298" s="1"/>
  <c r="W32" i="298" s="1"/>
  <c r="W33" i="298" s="1"/>
  <c r="Y33" i="298" s="1"/>
  <c r="G26" i="298" s="1"/>
  <c r="G55" i="298" s="1"/>
  <c r="K55" i="298" s="1"/>
  <c r="AH37" i="296"/>
  <c r="AI37" i="296" s="1"/>
  <c r="AI43" i="296" s="1"/>
  <c r="W32" i="296" s="1"/>
  <c r="W33" i="296" s="1"/>
  <c r="Y33" i="296" s="1"/>
  <c r="G26" i="296" s="1"/>
  <c r="G55" i="296" s="1"/>
  <c r="K55" i="296" s="1"/>
  <c r="AH37" i="307"/>
  <c r="AI37" i="307" s="1"/>
  <c r="AI43" i="307" s="1"/>
  <c r="W32" i="307" s="1"/>
  <c r="W33" i="307" s="1"/>
  <c r="Y33" i="307" s="1"/>
  <c r="G26" i="307" s="1"/>
  <c r="G55" i="307" s="1"/>
  <c r="AH37" i="309"/>
  <c r="AI37" i="309" s="1"/>
  <c r="AI43" i="309" s="1"/>
  <c r="W32" i="309" s="1"/>
  <c r="W33" i="309" s="1"/>
  <c r="Y33" i="309" s="1"/>
  <c r="G26" i="309" s="1"/>
  <c r="I115" i="38"/>
  <c r="O115" i="38"/>
  <c r="Q115" i="38"/>
  <c r="H115" i="38"/>
  <c r="K115" i="38"/>
  <c r="M115" i="38"/>
  <c r="T115" i="38"/>
  <c r="P115" i="38"/>
  <c r="N115" i="38"/>
  <c r="R115" i="38"/>
  <c r="U115" i="38"/>
  <c r="J115" i="38"/>
  <c r="L115" i="38"/>
  <c r="S115" i="38"/>
  <c r="I46" i="311"/>
  <c r="I46" i="312"/>
  <c r="I46" i="310"/>
  <c r="X105" i="262"/>
  <c r="AJ105" i="262"/>
  <c r="AB105" i="262"/>
  <c r="AF105" i="262"/>
  <c r="P105" i="262"/>
  <c r="T105" i="262"/>
  <c r="L105" i="262"/>
  <c r="AH37" i="297"/>
  <c r="AI37" i="297" s="1"/>
  <c r="AI43" i="297" s="1"/>
  <c r="W32" i="297" s="1"/>
  <c r="W33" i="297" s="1"/>
  <c r="Y33" i="297" s="1"/>
  <c r="G26" i="297" s="1"/>
  <c r="AH37" i="295"/>
  <c r="AI37" i="295" s="1"/>
  <c r="AI43" i="295" s="1"/>
  <c r="W32" i="295" s="1"/>
  <c r="W33" i="295" s="1"/>
  <c r="Y33" i="295" s="1"/>
  <c r="G26" i="295" s="1"/>
  <c r="W130" i="1"/>
  <c r="X130" i="1" s="1"/>
  <c r="X32" i="1"/>
  <c r="W147" i="1"/>
  <c r="X147" i="1" s="1"/>
  <c r="X49" i="1"/>
  <c r="W132" i="1"/>
  <c r="X132" i="1" s="1"/>
  <c r="X34" i="1"/>
  <c r="W135" i="1"/>
  <c r="X135" i="1" s="1"/>
  <c r="X37" i="1"/>
  <c r="W136" i="1"/>
  <c r="X136" i="1" s="1"/>
  <c r="X38" i="1"/>
  <c r="W131" i="1"/>
  <c r="X131" i="1" s="1"/>
  <c r="X33" i="1"/>
  <c r="W145" i="1"/>
  <c r="X145" i="1" s="1"/>
  <c r="X47" i="1"/>
  <c r="K52" i="294"/>
  <c r="X210" i="262"/>
  <c r="L210" i="262"/>
  <c r="T210" i="262"/>
  <c r="AF210" i="262"/>
  <c r="P210" i="262"/>
  <c r="AB210" i="262"/>
  <c r="AJ210" i="262"/>
  <c r="H211" i="262"/>
  <c r="I72" i="38" s="1"/>
  <c r="AF193" i="262"/>
  <c r="P193" i="262"/>
  <c r="AJ193" i="262"/>
  <c r="AB193" i="262"/>
  <c r="X193" i="262"/>
  <c r="T193" i="262"/>
  <c r="L193" i="262"/>
  <c r="H194" i="262"/>
  <c r="I69" i="38" s="1"/>
  <c r="G180" i="262"/>
  <c r="L67" i="38" s="1"/>
  <c r="K52" i="309"/>
  <c r="AB121" i="262"/>
  <c r="AJ121" i="262"/>
  <c r="X121" i="262"/>
  <c r="H122" i="262"/>
  <c r="V54" i="38" s="1"/>
  <c r="T121" i="262"/>
  <c r="L121" i="262"/>
  <c r="P121" i="262"/>
  <c r="AF121" i="262"/>
  <c r="K52" i="296"/>
  <c r="K52" i="297"/>
  <c r="K52" i="298"/>
  <c r="G197" i="262"/>
  <c r="L70" i="38" s="1"/>
  <c r="K52" i="295"/>
  <c r="K52" i="307"/>
  <c r="AF176" i="262"/>
  <c r="P176" i="262"/>
  <c r="AB176" i="262"/>
  <c r="AJ176" i="262"/>
  <c r="X176" i="262"/>
  <c r="L176" i="262"/>
  <c r="T176" i="262"/>
  <c r="H177" i="262"/>
  <c r="I66" i="38" s="1"/>
  <c r="Z464" i="262"/>
  <c r="J464" i="262"/>
  <c r="V464" i="262"/>
  <c r="G465" i="262"/>
  <c r="AH464" i="262"/>
  <c r="R464" i="262"/>
  <c r="AD464" i="262"/>
  <c r="N464" i="262"/>
  <c r="F117" i="38"/>
  <c r="AE447" i="262"/>
  <c r="AG447" i="262"/>
  <c r="AK447" i="262"/>
  <c r="AI447" i="262"/>
  <c r="K447" i="262"/>
  <c r="M447" i="262"/>
  <c r="C481" i="262"/>
  <c r="B481" i="262"/>
  <c r="A498" i="262"/>
  <c r="O447" i="262"/>
  <c r="Q447" i="262"/>
  <c r="U447" i="262"/>
  <c r="S447" i="262"/>
  <c r="Y447" i="262"/>
  <c r="W447" i="262"/>
  <c r="AA447" i="262"/>
  <c r="AC447" i="262"/>
  <c r="AG37" i="180"/>
  <c r="AH37" i="180" s="1"/>
  <c r="AH43" i="180" s="1"/>
  <c r="V32" i="180" s="1"/>
  <c r="V33" i="180" s="1"/>
  <c r="X33" i="180" s="1"/>
  <c r="G26" i="180" s="1"/>
  <c r="AH37" i="311"/>
  <c r="AI37" i="311" s="1"/>
  <c r="AI43" i="311" s="1"/>
  <c r="W32" i="311" s="1"/>
  <c r="W33" i="311" s="1"/>
  <c r="Y33" i="311" s="1"/>
  <c r="G26" i="311" s="1"/>
  <c r="G17" i="180"/>
  <c r="AH37" i="310"/>
  <c r="AI37" i="310" s="1"/>
  <c r="AI43" i="310" s="1"/>
  <c r="W32" i="310" s="1"/>
  <c r="W33" i="310" s="1"/>
  <c r="Y33" i="310" s="1"/>
  <c r="G26" i="310" s="1"/>
  <c r="AG37" i="181"/>
  <c r="AH37" i="181" s="1"/>
  <c r="AH43" i="181" s="1"/>
  <c r="V32" i="181" s="1"/>
  <c r="V33" i="181" s="1"/>
  <c r="X33" i="181" s="1"/>
  <c r="G26" i="181" s="1"/>
  <c r="AF333" i="262"/>
  <c r="X333" i="262"/>
  <c r="P333" i="262"/>
  <c r="L333" i="262"/>
  <c r="AJ333" i="262"/>
  <c r="T333" i="262"/>
  <c r="AB333" i="262"/>
  <c r="AF365" i="262"/>
  <c r="X365" i="262"/>
  <c r="P365" i="262"/>
  <c r="L365" i="262"/>
  <c r="AB365" i="262"/>
  <c r="T365" i="262"/>
  <c r="AJ365" i="262"/>
  <c r="P381" i="262"/>
  <c r="X381" i="262"/>
  <c r="AF381" i="262"/>
  <c r="AB381" i="262"/>
  <c r="L381" i="262"/>
  <c r="AJ381" i="262"/>
  <c r="T381" i="262"/>
  <c r="P349" i="262"/>
  <c r="X349" i="262"/>
  <c r="AF349" i="262"/>
  <c r="AB349" i="262"/>
  <c r="L349" i="262"/>
  <c r="AJ349" i="262"/>
  <c r="T349" i="262"/>
  <c r="AF448" i="262"/>
  <c r="X448" i="262"/>
  <c r="P448" i="262"/>
  <c r="L448" i="262"/>
  <c r="AB448" i="262"/>
  <c r="T448" i="262"/>
  <c r="AJ448" i="262"/>
  <c r="AF317" i="262"/>
  <c r="P317" i="262"/>
  <c r="X317" i="262"/>
  <c r="L317" i="262"/>
  <c r="T317" i="262"/>
  <c r="AB317" i="262"/>
  <c r="AJ317" i="262"/>
  <c r="B492" i="262"/>
  <c r="G17" i="181"/>
  <c r="G17" i="187"/>
  <c r="G17" i="184"/>
  <c r="G17" i="185"/>
  <c r="AH37" i="312"/>
  <c r="AI37" i="312" s="1"/>
  <c r="AI43" i="312" s="1"/>
  <c r="W32" i="312" s="1"/>
  <c r="W33" i="312" s="1"/>
  <c r="Y33" i="312" s="1"/>
  <c r="G26" i="312" s="1"/>
  <c r="G17" i="182"/>
  <c r="B477" i="262"/>
  <c r="B493" i="262"/>
  <c r="B468" i="262"/>
  <c r="H17" i="188"/>
  <c r="H17" i="179"/>
  <c r="H17" i="186"/>
  <c r="H17" i="312"/>
  <c r="V151" i="1"/>
  <c r="B406" i="262"/>
  <c r="B405" i="262"/>
  <c r="B512" i="262"/>
  <c r="B469" i="262"/>
  <c r="B421" i="262"/>
  <c r="V193" i="1"/>
  <c r="X95" i="1"/>
  <c r="V148" i="1"/>
  <c r="V195" i="1"/>
  <c r="X97" i="1"/>
  <c r="J52" i="183"/>
  <c r="J52" i="182"/>
  <c r="J52" i="184"/>
  <c r="J52" i="185"/>
  <c r="J52" i="179"/>
  <c r="B399" i="262"/>
  <c r="B144" i="38"/>
  <c r="B453" i="262"/>
  <c r="H382" i="262"/>
  <c r="B398" i="262"/>
  <c r="H398" i="262"/>
  <c r="J52" i="186"/>
  <c r="G17" i="311"/>
  <c r="H318" i="262"/>
  <c r="B496" i="262"/>
  <c r="B465" i="262"/>
  <c r="H366" i="262"/>
  <c r="J52" i="187"/>
  <c r="G17" i="179"/>
  <c r="G17" i="186"/>
  <c r="G17" i="183"/>
  <c r="H334" i="262"/>
  <c r="G17" i="312"/>
  <c r="AG37" i="179"/>
  <c r="AH37" i="179" s="1"/>
  <c r="AH43" i="179" s="1"/>
  <c r="V32" i="179" s="1"/>
  <c r="V33" i="179" s="1"/>
  <c r="X33" i="179" s="1"/>
  <c r="G26" i="179" s="1"/>
  <c r="H350" i="262"/>
  <c r="B454" i="262"/>
  <c r="K50" i="310"/>
  <c r="J52" i="181"/>
  <c r="B32" i="3"/>
  <c r="C32" i="3" s="1"/>
  <c r="A33" i="3"/>
  <c r="G17" i="188"/>
  <c r="P34" i="6"/>
  <c r="P21" i="6"/>
  <c r="G481" i="262"/>
  <c r="P37" i="6"/>
  <c r="P35" i="6"/>
  <c r="I481" i="262"/>
  <c r="P20" i="6"/>
  <c r="H481" i="262"/>
  <c r="P33" i="6"/>
  <c r="P19" i="6"/>
  <c r="P31" i="6"/>
  <c r="F481" i="262"/>
  <c r="P29" i="6"/>
  <c r="P32" i="6"/>
  <c r="P30" i="6"/>
  <c r="P24" i="6"/>
  <c r="P28" i="6"/>
  <c r="E481" i="262"/>
  <c r="P38" i="6"/>
  <c r="P36" i="6"/>
  <c r="K55" i="302" l="1"/>
  <c r="L61" i="38"/>
  <c r="G147" i="262"/>
  <c r="G47" i="1116"/>
  <c r="G51" i="1116"/>
  <c r="G55" i="1116"/>
  <c r="G19" i="1116"/>
  <c r="K19" i="1116" s="1"/>
  <c r="K55" i="304"/>
  <c r="I50" i="1115"/>
  <c r="I17" i="1115"/>
  <c r="P551" i="1103"/>
  <c r="Q551" i="1103" s="1"/>
  <c r="H552" i="1103"/>
  <c r="T551" i="1103"/>
  <c r="U551" i="1103" s="1"/>
  <c r="L551" i="1103"/>
  <c r="M551" i="1103" s="1"/>
  <c r="I46" i="1109"/>
  <c r="G17" i="1109"/>
  <c r="K55" i="303"/>
  <c r="G47" i="1118"/>
  <c r="G51" i="1118"/>
  <c r="G55" i="1118"/>
  <c r="G19" i="1118"/>
  <c r="K19" i="1118" s="1"/>
  <c r="I63" i="38"/>
  <c r="H161" i="262"/>
  <c r="AF160" i="262"/>
  <c r="T160" i="262"/>
  <c r="L160" i="262"/>
  <c r="AJ160" i="262"/>
  <c r="AB160" i="262"/>
  <c r="P160" i="262"/>
  <c r="X160" i="262"/>
  <c r="H47" i="1108"/>
  <c r="H51" i="1108"/>
  <c r="H52" i="1108" s="1"/>
  <c r="H55" i="1108"/>
  <c r="H19" i="1108"/>
  <c r="L19" i="1108" s="1"/>
  <c r="H51" i="1111"/>
  <c r="H52" i="1111" s="1"/>
  <c r="H47" i="1111"/>
  <c r="H55" i="1111"/>
  <c r="H19" i="1111"/>
  <c r="L19" i="1111" s="1"/>
  <c r="G47" i="1112"/>
  <c r="G55" i="1112"/>
  <c r="G19" i="1112"/>
  <c r="I17" i="1116"/>
  <c r="I50" i="1116"/>
  <c r="P126" i="1103"/>
  <c r="Q126" i="1103" s="1"/>
  <c r="H127" i="1103"/>
  <c r="L126" i="1103"/>
  <c r="M126" i="1103" s="1"/>
  <c r="T126" i="1103"/>
  <c r="U126" i="1103" s="1"/>
  <c r="I46" i="1110"/>
  <c r="G17" i="1110"/>
  <c r="H161" i="1103"/>
  <c r="T160" i="1103"/>
  <c r="U160" i="1103" s="1"/>
  <c r="L160" i="1103"/>
  <c r="M160" i="1103" s="1"/>
  <c r="P160" i="1103"/>
  <c r="Q160" i="1103" s="1"/>
  <c r="I57" i="38"/>
  <c r="AJ126" i="262"/>
  <c r="AF126" i="262"/>
  <c r="T126" i="262"/>
  <c r="AB126" i="262"/>
  <c r="X126" i="262"/>
  <c r="P126" i="262"/>
  <c r="H127" i="262"/>
  <c r="L126" i="262"/>
  <c r="K55" i="291"/>
  <c r="I17" i="1118"/>
  <c r="I50" i="1118"/>
  <c r="L619" i="1103"/>
  <c r="M619" i="1103" s="1"/>
  <c r="P619" i="1103"/>
  <c r="Q619" i="1103" s="1"/>
  <c r="H620" i="1103"/>
  <c r="T619" i="1103"/>
  <c r="U619" i="1103" s="1"/>
  <c r="K55" i="308"/>
  <c r="H51" i="1114"/>
  <c r="H52" i="1114" s="1"/>
  <c r="H47" i="1114"/>
  <c r="H55" i="1114"/>
  <c r="H19" i="1114"/>
  <c r="L19" i="1114" s="1"/>
  <c r="I46" i="1111"/>
  <c r="G17" i="1111"/>
  <c r="P585" i="1103"/>
  <c r="Q585" i="1103" s="1"/>
  <c r="H586" i="1103"/>
  <c r="T585" i="1103"/>
  <c r="U585" i="1103" s="1"/>
  <c r="L585" i="1103"/>
  <c r="M585" i="1103" s="1"/>
  <c r="G47" i="1113"/>
  <c r="G55" i="1113"/>
  <c r="G19" i="1113"/>
  <c r="K55" i="306"/>
  <c r="I50" i="1112"/>
  <c r="I17" i="1112"/>
  <c r="G47" i="1117"/>
  <c r="G51" i="1117"/>
  <c r="G55" i="1117"/>
  <c r="G19" i="1117"/>
  <c r="K19" i="1117" s="1"/>
  <c r="H535" i="1103"/>
  <c r="T534" i="1103"/>
  <c r="U534" i="1103" s="1"/>
  <c r="L534" i="1103"/>
  <c r="M534" i="1103" s="1"/>
  <c r="P534" i="1103"/>
  <c r="Q534" i="1103" s="1"/>
  <c r="H47" i="1110"/>
  <c r="H51" i="1110"/>
  <c r="H52" i="1110" s="1"/>
  <c r="H55" i="1110"/>
  <c r="H19" i="1110"/>
  <c r="L19" i="1110" s="1"/>
  <c r="I46" i="1119"/>
  <c r="G17" i="1119"/>
  <c r="I46" i="1114"/>
  <c r="G17" i="1114"/>
  <c r="L500" i="1103"/>
  <c r="M500" i="1103" s="1"/>
  <c r="P500" i="1103"/>
  <c r="Q500" i="1103" s="1"/>
  <c r="H501" i="1103"/>
  <c r="T500" i="1103"/>
  <c r="U500" i="1103" s="1"/>
  <c r="I60" i="38"/>
  <c r="T143" i="262"/>
  <c r="AJ143" i="262"/>
  <c r="P143" i="262"/>
  <c r="H144" i="262"/>
  <c r="X143" i="262"/>
  <c r="AF143" i="262"/>
  <c r="L143" i="262"/>
  <c r="AB143" i="262"/>
  <c r="P653" i="1103"/>
  <c r="Q653" i="1103" s="1"/>
  <c r="H654" i="1103"/>
  <c r="T653" i="1103"/>
  <c r="U653" i="1103" s="1"/>
  <c r="L653" i="1103"/>
  <c r="M653" i="1103" s="1"/>
  <c r="I50" i="1113"/>
  <c r="I17" i="1113"/>
  <c r="M58" i="38"/>
  <c r="G131" i="262"/>
  <c r="L64" i="38"/>
  <c r="G164" i="262"/>
  <c r="I17" i="1117"/>
  <c r="I50" i="1117"/>
  <c r="P517" i="1103"/>
  <c r="Q517" i="1103" s="1"/>
  <c r="H518" i="1103"/>
  <c r="T517" i="1103"/>
  <c r="U517" i="1103" s="1"/>
  <c r="L517" i="1103"/>
  <c r="M517" i="1103" s="1"/>
  <c r="K55" i="301"/>
  <c r="G47" i="1115"/>
  <c r="G55" i="1115"/>
  <c r="G19" i="1115"/>
  <c r="T568" i="1103"/>
  <c r="U568" i="1103" s="1"/>
  <c r="P568" i="1103"/>
  <c r="Q568" i="1103" s="1"/>
  <c r="H569" i="1103"/>
  <c r="L568" i="1103"/>
  <c r="M568" i="1103" s="1"/>
  <c r="H51" i="1109"/>
  <c r="H52" i="1109" s="1"/>
  <c r="H47" i="1109"/>
  <c r="H55" i="1109"/>
  <c r="H19" i="1109"/>
  <c r="L19" i="1109" s="1"/>
  <c r="K55" i="293"/>
  <c r="H144" i="1103"/>
  <c r="L143" i="1103"/>
  <c r="M143" i="1103" s="1"/>
  <c r="T143" i="1103"/>
  <c r="U143" i="1103" s="1"/>
  <c r="P143" i="1103"/>
  <c r="Q143" i="1103" s="1"/>
  <c r="P602" i="1103"/>
  <c r="Q602" i="1103" s="1"/>
  <c r="H603" i="1103"/>
  <c r="T602" i="1103"/>
  <c r="U602" i="1103" s="1"/>
  <c r="L602" i="1103"/>
  <c r="M602" i="1103" s="1"/>
  <c r="I46" i="1108"/>
  <c r="G17" i="1108"/>
  <c r="H55" i="1119"/>
  <c r="H47" i="1119"/>
  <c r="H51" i="1119"/>
  <c r="H52" i="1119" s="1"/>
  <c r="H19" i="1119"/>
  <c r="L19" i="1119" s="1"/>
  <c r="H671" i="1103"/>
  <c r="T670" i="1103"/>
  <c r="U670" i="1103" s="1"/>
  <c r="L670" i="1103"/>
  <c r="M670" i="1103" s="1"/>
  <c r="P670" i="1103"/>
  <c r="Q670" i="1103" s="1"/>
  <c r="H637" i="1103"/>
  <c r="T636" i="1103"/>
  <c r="U636" i="1103" s="1"/>
  <c r="L636" i="1103"/>
  <c r="M636" i="1103" s="1"/>
  <c r="P636" i="1103"/>
  <c r="Q636" i="1103" s="1"/>
  <c r="L483" i="1103"/>
  <c r="M483" i="1103" s="1"/>
  <c r="H484" i="1103"/>
  <c r="T483" i="1103"/>
  <c r="U483" i="1103" s="1"/>
  <c r="P483" i="1103"/>
  <c r="Q483" i="1103" s="1"/>
  <c r="H467" i="1103"/>
  <c r="T466" i="1103"/>
  <c r="U466" i="1103" s="1"/>
  <c r="L466" i="1103"/>
  <c r="M466" i="1103" s="1"/>
  <c r="P466" i="1103"/>
  <c r="Q466" i="1103" s="1"/>
  <c r="H212" i="1103"/>
  <c r="L211" i="1103"/>
  <c r="M211" i="1103" s="1"/>
  <c r="T211" i="1103"/>
  <c r="U211" i="1103" s="1"/>
  <c r="P211" i="1103"/>
  <c r="Q211" i="1103" s="1"/>
  <c r="H195" i="1103"/>
  <c r="T194" i="1103"/>
  <c r="U194" i="1103" s="1"/>
  <c r="L194" i="1103"/>
  <c r="M194" i="1103" s="1"/>
  <c r="P194" i="1103"/>
  <c r="Q194" i="1103" s="1"/>
  <c r="H178" i="1103"/>
  <c r="T177" i="1103"/>
  <c r="U177" i="1103" s="1"/>
  <c r="L177" i="1103"/>
  <c r="M177" i="1103" s="1"/>
  <c r="P177" i="1103"/>
  <c r="Q177" i="1103" s="1"/>
  <c r="L122" i="1103"/>
  <c r="M122" i="1103" s="1"/>
  <c r="T122" i="1103"/>
  <c r="U122" i="1103" s="1"/>
  <c r="P122" i="1103"/>
  <c r="Q122" i="1103" s="1"/>
  <c r="J58" i="9"/>
  <c r="B44" i="9"/>
  <c r="L73" i="38"/>
  <c r="G215" i="262"/>
  <c r="G47" i="188"/>
  <c r="G55" i="188"/>
  <c r="G47" i="183"/>
  <c r="G55" i="183"/>
  <c r="G47" i="182"/>
  <c r="G55" i="182"/>
  <c r="G47" i="185"/>
  <c r="G55" i="185"/>
  <c r="G47" i="187"/>
  <c r="G55" i="187"/>
  <c r="G47" i="186"/>
  <c r="G55" i="186"/>
  <c r="H51" i="186"/>
  <c r="H52" i="186" s="1"/>
  <c r="H47" i="186"/>
  <c r="H55" i="186"/>
  <c r="H51" i="188"/>
  <c r="H52" i="188" s="1"/>
  <c r="H47" i="188"/>
  <c r="H55" i="188"/>
  <c r="G47" i="184"/>
  <c r="G55" i="184"/>
  <c r="G47" i="181"/>
  <c r="G55" i="181"/>
  <c r="J55" i="181" s="1"/>
  <c r="G47" i="180"/>
  <c r="G55" i="180"/>
  <c r="J55" i="180" s="1"/>
  <c r="G47" i="179"/>
  <c r="G55" i="179"/>
  <c r="H51" i="179"/>
  <c r="H52" i="179" s="1"/>
  <c r="H47" i="179"/>
  <c r="H55" i="179"/>
  <c r="G47" i="312"/>
  <c r="G51" i="312"/>
  <c r="G52" i="312" s="1"/>
  <c r="G55" i="312"/>
  <c r="H47" i="312"/>
  <c r="H51" i="312"/>
  <c r="H52" i="312" s="1"/>
  <c r="H55" i="312"/>
  <c r="G55" i="294"/>
  <c r="K55" i="294" s="1"/>
  <c r="G55" i="295"/>
  <c r="K55" i="295" s="1"/>
  <c r="G47" i="311"/>
  <c r="G51" i="311"/>
  <c r="G52" i="311" s="1"/>
  <c r="G55" i="311"/>
  <c r="G55" i="309"/>
  <c r="K55" i="309" s="1"/>
  <c r="G55" i="297"/>
  <c r="K55" i="297" s="1"/>
  <c r="I50" i="310"/>
  <c r="I50" i="312"/>
  <c r="I50" i="311"/>
  <c r="P177" i="262"/>
  <c r="AF177" i="262"/>
  <c r="L177" i="262"/>
  <c r="T177" i="262"/>
  <c r="H178" i="262"/>
  <c r="J66" i="38" s="1"/>
  <c r="X177" i="262"/>
  <c r="AB177" i="262"/>
  <c r="AJ177" i="262"/>
  <c r="K55" i="307"/>
  <c r="P211" i="262"/>
  <c r="AF211" i="262"/>
  <c r="L211" i="262"/>
  <c r="T211" i="262"/>
  <c r="H212" i="262"/>
  <c r="J72" i="38" s="1"/>
  <c r="X211" i="262"/>
  <c r="AB211" i="262"/>
  <c r="AJ211" i="262"/>
  <c r="G198" i="262"/>
  <c r="M70" i="38" s="1"/>
  <c r="AJ122" i="262"/>
  <c r="L122" i="262"/>
  <c r="X122" i="262"/>
  <c r="P122" i="262"/>
  <c r="AB122" i="262"/>
  <c r="T122" i="262"/>
  <c r="AF122" i="262"/>
  <c r="G181" i="262"/>
  <c r="M67" i="38" s="1"/>
  <c r="X194" i="262"/>
  <c r="AJ194" i="262"/>
  <c r="AB194" i="262"/>
  <c r="H195" i="262"/>
  <c r="J69" i="38" s="1"/>
  <c r="P194" i="262"/>
  <c r="AF194" i="262"/>
  <c r="T194" i="262"/>
  <c r="L194" i="262"/>
  <c r="H465" i="262"/>
  <c r="X465" i="262" s="1"/>
  <c r="G466" i="262"/>
  <c r="AH481" i="262"/>
  <c r="R481" i="262"/>
  <c r="AD481" i="262"/>
  <c r="N481" i="262"/>
  <c r="G482" i="262"/>
  <c r="H482" i="262" s="1"/>
  <c r="Z481" i="262"/>
  <c r="J481" i="262"/>
  <c r="V481" i="262"/>
  <c r="F120" i="38"/>
  <c r="A515" i="262"/>
  <c r="C498" i="262"/>
  <c r="B498" i="262"/>
  <c r="G19" i="184"/>
  <c r="G19" i="180"/>
  <c r="J19" i="180" s="1"/>
  <c r="G19" i="185"/>
  <c r="AF350" i="262"/>
  <c r="X350" i="262"/>
  <c r="P350" i="262"/>
  <c r="T350" i="262"/>
  <c r="AJ350" i="262"/>
  <c r="L350" i="262"/>
  <c r="AB350" i="262"/>
  <c r="L398" i="262"/>
  <c r="T398" i="262"/>
  <c r="AB398" i="262"/>
  <c r="AJ398" i="262"/>
  <c r="P398" i="262"/>
  <c r="X398" i="262"/>
  <c r="AF398" i="262"/>
  <c r="P334" i="262"/>
  <c r="X334" i="262"/>
  <c r="AF334" i="262"/>
  <c r="AB334" i="262"/>
  <c r="T334" i="262"/>
  <c r="AJ334" i="262"/>
  <c r="L334" i="262"/>
  <c r="P366" i="262"/>
  <c r="X366" i="262"/>
  <c r="AF366" i="262"/>
  <c r="AJ366" i="262"/>
  <c r="T366" i="262"/>
  <c r="AB366" i="262"/>
  <c r="L366" i="262"/>
  <c r="AF382" i="262"/>
  <c r="X382" i="262"/>
  <c r="P382" i="262"/>
  <c r="T382" i="262"/>
  <c r="AJ382" i="262"/>
  <c r="L382" i="262"/>
  <c r="AB382" i="262"/>
  <c r="X318" i="262"/>
  <c r="P318" i="262"/>
  <c r="AF318" i="262"/>
  <c r="AJ318" i="262"/>
  <c r="AB318" i="262"/>
  <c r="T318" i="262"/>
  <c r="L318" i="262"/>
  <c r="B509" i="262"/>
  <c r="G19" i="181"/>
  <c r="G19" i="182"/>
  <c r="G19" i="187"/>
  <c r="B494" i="262"/>
  <c r="B510" i="262"/>
  <c r="B485" i="262"/>
  <c r="H17" i="311"/>
  <c r="H17" i="181"/>
  <c r="H17" i="185"/>
  <c r="H17" i="182"/>
  <c r="H17" i="187"/>
  <c r="H17" i="180"/>
  <c r="H17" i="184"/>
  <c r="B486" i="262"/>
  <c r="B529" i="262"/>
  <c r="B423" i="262"/>
  <c r="B897" i="262"/>
  <c r="B438" i="262"/>
  <c r="B422" i="262"/>
  <c r="B33" i="3"/>
  <c r="C33" i="3" s="1"/>
  <c r="A34" i="3"/>
  <c r="H19" i="188"/>
  <c r="K19" i="188" s="1"/>
  <c r="I17" i="312"/>
  <c r="H17" i="183"/>
  <c r="H19" i="186"/>
  <c r="K19" i="186" s="1"/>
  <c r="G19" i="179"/>
  <c r="G17" i="310"/>
  <c r="B513" i="262"/>
  <c r="I17" i="311"/>
  <c r="H399" i="262"/>
  <c r="B147" i="38"/>
  <c r="G19" i="188"/>
  <c r="B471" i="262"/>
  <c r="H351" i="262"/>
  <c r="G19" i="312"/>
  <c r="K19" i="312" s="1"/>
  <c r="H335" i="262"/>
  <c r="G19" i="183"/>
  <c r="G19" i="186"/>
  <c r="H19" i="179"/>
  <c r="K19" i="179" s="1"/>
  <c r="H367" i="262"/>
  <c r="B482" i="262"/>
  <c r="H17" i="310"/>
  <c r="H319" i="262"/>
  <c r="G19" i="311"/>
  <c r="K19" i="311" s="1"/>
  <c r="H19" i="312"/>
  <c r="L19" i="312" s="1"/>
  <c r="B415" i="262"/>
  <c r="H415" i="262"/>
  <c r="H383" i="262"/>
  <c r="B470" i="262"/>
  <c r="B416" i="262"/>
  <c r="P44" i="6"/>
  <c r="P87" i="6"/>
  <c r="P39" i="6"/>
  <c r="H242" i="261"/>
  <c r="H38" i="261"/>
  <c r="H225" i="261"/>
  <c r="P43" i="6"/>
  <c r="H208" i="261"/>
  <c r="H293" i="261"/>
  <c r="H736" i="1103"/>
  <c r="H276" i="261"/>
  <c r="H294" i="1103"/>
  <c r="P45" i="6"/>
  <c r="H89" i="261"/>
  <c r="H106" i="261"/>
  <c r="F498" i="262"/>
  <c r="P23" i="6"/>
  <c r="H344" i="261"/>
  <c r="H259" i="261"/>
  <c r="H174" i="261"/>
  <c r="P59" i="6"/>
  <c r="P88" i="6"/>
  <c r="H498" i="262"/>
  <c r="H72" i="261"/>
  <c r="I498" i="262"/>
  <c r="H157" i="261"/>
  <c r="H310" i="261"/>
  <c r="H21" i="261"/>
  <c r="H294" i="262"/>
  <c r="H123" i="261"/>
  <c r="P86" i="6"/>
  <c r="H327" i="261"/>
  <c r="H55" i="261"/>
  <c r="H140" i="261"/>
  <c r="G498" i="262"/>
  <c r="E498" i="262"/>
  <c r="H191" i="261"/>
  <c r="P60" i="6"/>
  <c r="P22" i="6"/>
  <c r="H702" i="1103"/>
  <c r="P27" i="6"/>
  <c r="M61" i="38" l="1"/>
  <c r="G148" i="262"/>
  <c r="H295" i="1103"/>
  <c r="H295" i="262"/>
  <c r="H737" i="1103"/>
  <c r="H703" i="1103"/>
  <c r="K55" i="1117"/>
  <c r="J57" i="38"/>
  <c r="P127" i="262"/>
  <c r="X127" i="262"/>
  <c r="T127" i="262"/>
  <c r="L127" i="262"/>
  <c r="AJ127" i="262"/>
  <c r="AB127" i="262"/>
  <c r="AF127" i="262"/>
  <c r="H128" i="262"/>
  <c r="G47" i="1110"/>
  <c r="G55" i="1110"/>
  <c r="G19" i="1110"/>
  <c r="L127" i="1103"/>
  <c r="M127" i="1103" s="1"/>
  <c r="P127" i="1103"/>
  <c r="Q127" i="1103" s="1"/>
  <c r="H128" i="1103"/>
  <c r="T127" i="1103"/>
  <c r="U127" i="1103" s="1"/>
  <c r="K19" i="1112"/>
  <c r="K19" i="1115"/>
  <c r="N58" i="38"/>
  <c r="G132" i="262"/>
  <c r="J60" i="38"/>
  <c r="T144" i="262"/>
  <c r="AB144" i="262"/>
  <c r="AJ144" i="262"/>
  <c r="P144" i="262"/>
  <c r="X144" i="262"/>
  <c r="L144" i="262"/>
  <c r="H145" i="262"/>
  <c r="AF144" i="262"/>
  <c r="G47" i="1119"/>
  <c r="G51" i="1119"/>
  <c r="G55" i="1119"/>
  <c r="G19" i="1119"/>
  <c r="K19" i="1119" s="1"/>
  <c r="K51" i="1117"/>
  <c r="G52" i="1117"/>
  <c r="G47" i="1111"/>
  <c r="G55" i="1111"/>
  <c r="G19" i="1111"/>
  <c r="H621" i="1103"/>
  <c r="T620" i="1103"/>
  <c r="U620" i="1103" s="1"/>
  <c r="L620" i="1103"/>
  <c r="M620" i="1103" s="1"/>
  <c r="P620" i="1103"/>
  <c r="Q620" i="1103" s="1"/>
  <c r="I19" i="1118"/>
  <c r="K22" i="1118" s="1"/>
  <c r="K23" i="1118"/>
  <c r="I47" i="1118"/>
  <c r="I55" i="1118"/>
  <c r="I51" i="1118"/>
  <c r="I52" i="1118" s="1"/>
  <c r="I50" i="1110"/>
  <c r="I17" i="1110"/>
  <c r="K55" i="1118"/>
  <c r="G47" i="1109"/>
  <c r="G55" i="1109"/>
  <c r="G19" i="1109"/>
  <c r="L552" i="1103"/>
  <c r="M552" i="1103" s="1"/>
  <c r="P552" i="1103"/>
  <c r="Q552" i="1103" s="1"/>
  <c r="H553" i="1103"/>
  <c r="T552" i="1103"/>
  <c r="U552" i="1103" s="1"/>
  <c r="K55" i="1116"/>
  <c r="G47" i="1108"/>
  <c r="G55" i="1108"/>
  <c r="G19" i="1108"/>
  <c r="L603" i="1103"/>
  <c r="M603" i="1103" s="1"/>
  <c r="P603" i="1103"/>
  <c r="Q603" i="1103" s="1"/>
  <c r="H604" i="1103"/>
  <c r="T603" i="1103"/>
  <c r="U603" i="1103" s="1"/>
  <c r="H570" i="1103"/>
  <c r="T569" i="1103"/>
  <c r="U569" i="1103" s="1"/>
  <c r="L569" i="1103"/>
  <c r="M569" i="1103" s="1"/>
  <c r="P569" i="1103"/>
  <c r="Q569" i="1103" s="1"/>
  <c r="I47" i="1117"/>
  <c r="K23" i="1117"/>
  <c r="I19" i="1117"/>
  <c r="K22" i="1117" s="1"/>
  <c r="I55" i="1117"/>
  <c r="I51" i="1117"/>
  <c r="I52" i="1117" s="1"/>
  <c r="G47" i="1114"/>
  <c r="G55" i="1114"/>
  <c r="G19" i="1114"/>
  <c r="I17" i="1119"/>
  <c r="I50" i="1119"/>
  <c r="P535" i="1103"/>
  <c r="Q535" i="1103" s="1"/>
  <c r="H536" i="1103"/>
  <c r="T535" i="1103"/>
  <c r="U535" i="1103" s="1"/>
  <c r="L535" i="1103"/>
  <c r="M535" i="1103" s="1"/>
  <c r="K19" i="1113"/>
  <c r="I50" i="1111"/>
  <c r="I17" i="1111"/>
  <c r="J63" i="38"/>
  <c r="AJ161" i="262"/>
  <c r="AB161" i="262"/>
  <c r="L161" i="262"/>
  <c r="P161" i="262"/>
  <c r="AF161" i="262"/>
  <c r="X161" i="262"/>
  <c r="T161" i="262"/>
  <c r="H162" i="262"/>
  <c r="K51" i="1118"/>
  <c r="G52" i="1118"/>
  <c r="I50" i="1109"/>
  <c r="I17" i="1109"/>
  <c r="K51" i="1116"/>
  <c r="G52" i="1116"/>
  <c r="I50" i="1108"/>
  <c r="I17" i="1108"/>
  <c r="L144" i="1103"/>
  <c r="M144" i="1103" s="1"/>
  <c r="P144" i="1103"/>
  <c r="Q144" i="1103" s="1"/>
  <c r="H145" i="1103"/>
  <c r="T144" i="1103"/>
  <c r="U144" i="1103" s="1"/>
  <c r="L518" i="1103"/>
  <c r="M518" i="1103" s="1"/>
  <c r="P518" i="1103"/>
  <c r="Q518" i="1103" s="1"/>
  <c r="H519" i="1103"/>
  <c r="T518" i="1103"/>
  <c r="U518" i="1103" s="1"/>
  <c r="M64" i="38"/>
  <c r="G165" i="262"/>
  <c r="I47" i="1113"/>
  <c r="K23" i="1113"/>
  <c r="I19" i="1113"/>
  <c r="K22" i="1113" s="1"/>
  <c r="I55" i="1113"/>
  <c r="H655" i="1103"/>
  <c r="T654" i="1103"/>
  <c r="U654" i="1103" s="1"/>
  <c r="L654" i="1103"/>
  <c r="M654" i="1103" s="1"/>
  <c r="P654" i="1103"/>
  <c r="Q654" i="1103" s="1"/>
  <c r="H502" i="1103"/>
  <c r="T501" i="1103"/>
  <c r="U501" i="1103" s="1"/>
  <c r="L501" i="1103"/>
  <c r="M501" i="1103" s="1"/>
  <c r="P501" i="1103"/>
  <c r="Q501" i="1103" s="1"/>
  <c r="I50" i="1114"/>
  <c r="I17" i="1114"/>
  <c r="K23" i="1112"/>
  <c r="I19" i="1112"/>
  <c r="K22" i="1112" s="1"/>
  <c r="I47" i="1112"/>
  <c r="I55" i="1112"/>
  <c r="L586" i="1103"/>
  <c r="M586" i="1103" s="1"/>
  <c r="P586" i="1103"/>
  <c r="Q586" i="1103" s="1"/>
  <c r="H587" i="1103"/>
  <c r="T586" i="1103"/>
  <c r="U586" i="1103" s="1"/>
  <c r="L161" i="1103"/>
  <c r="M161" i="1103" s="1"/>
  <c r="P161" i="1103"/>
  <c r="Q161" i="1103" s="1"/>
  <c r="H162" i="1103"/>
  <c r="T161" i="1103"/>
  <c r="U161" i="1103" s="1"/>
  <c r="I19" i="1116"/>
  <c r="K22" i="1116" s="1"/>
  <c r="K23" i="1116"/>
  <c r="I47" i="1116"/>
  <c r="I55" i="1116"/>
  <c r="I51" i="1116"/>
  <c r="I52" i="1116" s="1"/>
  <c r="I47" i="1115"/>
  <c r="K23" i="1115"/>
  <c r="I19" i="1115"/>
  <c r="K22" i="1115" s="1"/>
  <c r="I55" i="1115"/>
  <c r="H672" i="1103"/>
  <c r="T671" i="1103"/>
  <c r="U671" i="1103" s="1"/>
  <c r="L671" i="1103"/>
  <c r="M671" i="1103" s="1"/>
  <c r="P671" i="1103"/>
  <c r="Q671" i="1103" s="1"/>
  <c r="H638" i="1103"/>
  <c r="T637" i="1103"/>
  <c r="U637" i="1103" s="1"/>
  <c r="L637" i="1103"/>
  <c r="M637" i="1103" s="1"/>
  <c r="P637" i="1103"/>
  <c r="Q637" i="1103" s="1"/>
  <c r="H485" i="1103"/>
  <c r="L484" i="1103"/>
  <c r="M484" i="1103" s="1"/>
  <c r="T484" i="1103"/>
  <c r="U484" i="1103" s="1"/>
  <c r="P484" i="1103"/>
  <c r="Q484" i="1103" s="1"/>
  <c r="H468" i="1103"/>
  <c r="T467" i="1103"/>
  <c r="U467" i="1103" s="1"/>
  <c r="L467" i="1103"/>
  <c r="M467" i="1103" s="1"/>
  <c r="P467" i="1103"/>
  <c r="Q467" i="1103" s="1"/>
  <c r="H213" i="1103"/>
  <c r="T212" i="1103"/>
  <c r="U212" i="1103" s="1"/>
  <c r="L212" i="1103"/>
  <c r="M212" i="1103" s="1"/>
  <c r="P212" i="1103"/>
  <c r="Q212" i="1103" s="1"/>
  <c r="H196" i="1103"/>
  <c r="T195" i="1103"/>
  <c r="U195" i="1103" s="1"/>
  <c r="L195" i="1103"/>
  <c r="M195" i="1103" s="1"/>
  <c r="P195" i="1103"/>
  <c r="Q195" i="1103" s="1"/>
  <c r="H179" i="1103"/>
  <c r="T178" i="1103"/>
  <c r="U178" i="1103" s="1"/>
  <c r="L178" i="1103"/>
  <c r="M178" i="1103" s="1"/>
  <c r="P178" i="1103"/>
  <c r="Q178" i="1103" s="1"/>
  <c r="H345" i="261"/>
  <c r="H328" i="261"/>
  <c r="H311" i="261"/>
  <c r="H294" i="261"/>
  <c r="H277" i="261"/>
  <c r="H260" i="261"/>
  <c r="H243" i="261"/>
  <c r="J19" i="182"/>
  <c r="H226" i="261"/>
  <c r="J19" i="181"/>
  <c r="H175" i="261"/>
  <c r="H158" i="261"/>
  <c r="J19" i="187"/>
  <c r="H141" i="261"/>
  <c r="H124" i="261"/>
  <c r="J19" i="185"/>
  <c r="H107" i="261"/>
  <c r="J19" i="184"/>
  <c r="G483" i="262"/>
  <c r="G484" i="262" s="1"/>
  <c r="B45" i="9"/>
  <c r="J59" i="9"/>
  <c r="M73" i="38"/>
  <c r="G216" i="262"/>
  <c r="AB465" i="262"/>
  <c r="AJ465" i="262"/>
  <c r="H47" i="183"/>
  <c r="H51" i="183"/>
  <c r="H52" i="183" s="1"/>
  <c r="H55" i="183"/>
  <c r="H47" i="180"/>
  <c r="H51" i="180"/>
  <c r="H52" i="180" s="1"/>
  <c r="H55" i="180"/>
  <c r="H47" i="182"/>
  <c r="H51" i="182"/>
  <c r="H52" i="182" s="1"/>
  <c r="H55" i="182"/>
  <c r="H51" i="181"/>
  <c r="H52" i="181" s="1"/>
  <c r="H47" i="181"/>
  <c r="H55" i="181"/>
  <c r="H51" i="184"/>
  <c r="H52" i="184" s="1"/>
  <c r="H47" i="184"/>
  <c r="H55" i="184"/>
  <c r="H47" i="187"/>
  <c r="H51" i="187"/>
  <c r="H52" i="187" s="1"/>
  <c r="H55" i="187"/>
  <c r="H51" i="185"/>
  <c r="H52" i="185" s="1"/>
  <c r="H47" i="185"/>
  <c r="H55" i="185"/>
  <c r="I47" i="311"/>
  <c r="I51" i="311"/>
  <c r="I52" i="311" s="1"/>
  <c r="I55" i="311"/>
  <c r="G47" i="310"/>
  <c r="G51" i="310"/>
  <c r="G52" i="310" s="1"/>
  <c r="G55" i="310"/>
  <c r="H47" i="310"/>
  <c r="H51" i="310"/>
  <c r="H52" i="310" s="1"/>
  <c r="H55" i="310"/>
  <c r="I47" i="312"/>
  <c r="I51" i="312"/>
  <c r="I52" i="312" s="1"/>
  <c r="I55" i="312"/>
  <c r="H47" i="311"/>
  <c r="H51" i="311"/>
  <c r="H52" i="311" s="1"/>
  <c r="H55" i="311"/>
  <c r="L465" i="262"/>
  <c r="T465" i="262"/>
  <c r="G182" i="262"/>
  <c r="N67" i="38" s="1"/>
  <c r="G199" i="262"/>
  <c r="N70" i="38" s="1"/>
  <c r="X212" i="262"/>
  <c r="T212" i="262"/>
  <c r="L212" i="262"/>
  <c r="AF212" i="262"/>
  <c r="P212" i="262"/>
  <c r="AJ212" i="262"/>
  <c r="AB212" i="262"/>
  <c r="H213" i="262"/>
  <c r="K72" i="38" s="1"/>
  <c r="X178" i="262"/>
  <c r="AF178" i="262"/>
  <c r="AJ178" i="262"/>
  <c r="AB178" i="262"/>
  <c r="H179" i="262"/>
  <c r="K66" i="38" s="1"/>
  <c r="P178" i="262"/>
  <c r="T178" i="262"/>
  <c r="L178" i="262"/>
  <c r="X195" i="262"/>
  <c r="L195" i="262"/>
  <c r="T195" i="262"/>
  <c r="H196" i="262"/>
  <c r="K69" i="38" s="1"/>
  <c r="AF195" i="262"/>
  <c r="P195" i="262"/>
  <c r="AB195" i="262"/>
  <c r="AJ195" i="262"/>
  <c r="P465" i="262"/>
  <c r="AF465" i="262"/>
  <c r="G467" i="262"/>
  <c r="Z498" i="262"/>
  <c r="J498" i="262"/>
  <c r="V498" i="262"/>
  <c r="AH498" i="262"/>
  <c r="R498" i="262"/>
  <c r="AD498" i="262"/>
  <c r="N498" i="262"/>
  <c r="G499" i="262"/>
  <c r="H499" i="262" s="1"/>
  <c r="F123" i="38"/>
  <c r="B515" i="262"/>
  <c r="C515" i="262"/>
  <c r="A532" i="262"/>
  <c r="H209" i="261"/>
  <c r="H39" i="261"/>
  <c r="AF482" i="262"/>
  <c r="X482" i="262"/>
  <c r="P482" i="262"/>
  <c r="L482" i="262"/>
  <c r="AB482" i="262"/>
  <c r="T482" i="262"/>
  <c r="AJ482" i="262"/>
  <c r="P415" i="262"/>
  <c r="X415" i="262"/>
  <c r="AF415" i="262"/>
  <c r="AJ415" i="262"/>
  <c r="T415" i="262"/>
  <c r="AB415" i="262"/>
  <c r="L415" i="262"/>
  <c r="AF367" i="262"/>
  <c r="X367" i="262"/>
  <c r="P367" i="262"/>
  <c r="L367" i="262"/>
  <c r="AB367" i="262"/>
  <c r="T367" i="262"/>
  <c r="AJ367" i="262"/>
  <c r="P383" i="262"/>
  <c r="X383" i="262"/>
  <c r="AF383" i="262"/>
  <c r="AB383" i="262"/>
  <c r="L383" i="262"/>
  <c r="AJ383" i="262"/>
  <c r="T383" i="262"/>
  <c r="AF335" i="262"/>
  <c r="X335" i="262"/>
  <c r="P335" i="262"/>
  <c r="L335" i="262"/>
  <c r="AJ335" i="262"/>
  <c r="T335" i="262"/>
  <c r="AB335" i="262"/>
  <c r="P351" i="262"/>
  <c r="X351" i="262"/>
  <c r="AF351" i="262"/>
  <c r="AB351" i="262"/>
  <c r="L351" i="262"/>
  <c r="AJ351" i="262"/>
  <c r="T351" i="262"/>
  <c r="AJ399" i="262"/>
  <c r="AB399" i="262"/>
  <c r="T399" i="262"/>
  <c r="L399" i="262"/>
  <c r="AF399" i="262"/>
  <c r="X399" i="262"/>
  <c r="P399" i="262"/>
  <c r="X319" i="262"/>
  <c r="AF319" i="262"/>
  <c r="P319" i="262"/>
  <c r="L319" i="262"/>
  <c r="T319" i="262"/>
  <c r="AB319" i="262"/>
  <c r="AJ319" i="262"/>
  <c r="B526" i="262"/>
  <c r="H56" i="261"/>
  <c r="H73" i="261"/>
  <c r="B511" i="262"/>
  <c r="B527" i="262"/>
  <c r="B502" i="262"/>
  <c r="H19" i="187"/>
  <c r="K19" i="187" s="1"/>
  <c r="H19" i="182"/>
  <c r="K19" i="182" s="1"/>
  <c r="H19" i="181"/>
  <c r="K19" i="181" s="1"/>
  <c r="H19" i="184"/>
  <c r="K19" i="184" s="1"/>
  <c r="H19" i="180"/>
  <c r="K19" i="180" s="1"/>
  <c r="H19" i="185"/>
  <c r="K19" i="185" s="1"/>
  <c r="H19" i="311"/>
  <c r="L19" i="311" s="1"/>
  <c r="B455" i="262"/>
  <c r="B440" i="262"/>
  <c r="B899" i="262"/>
  <c r="B439" i="262"/>
  <c r="B898" i="262"/>
  <c r="B546" i="262"/>
  <c r="B503" i="262"/>
  <c r="H90" i="261"/>
  <c r="H192" i="261"/>
  <c r="H22" i="261"/>
  <c r="B433" i="262"/>
  <c r="B892" i="262"/>
  <c r="B487" i="262"/>
  <c r="H416" i="262"/>
  <c r="B891" i="262"/>
  <c r="B432" i="262"/>
  <c r="H432" i="262"/>
  <c r="K55" i="311"/>
  <c r="H368" i="262"/>
  <c r="J19" i="186"/>
  <c r="H336" i="262"/>
  <c r="K55" i="312"/>
  <c r="H352" i="262"/>
  <c r="B488" i="262"/>
  <c r="J19" i="188"/>
  <c r="H400" i="262"/>
  <c r="B530" i="262"/>
  <c r="G19" i="310"/>
  <c r="J55" i="179"/>
  <c r="H384" i="262"/>
  <c r="K51" i="311"/>
  <c r="H320" i="262"/>
  <c r="H19" i="310"/>
  <c r="L19" i="310" s="1"/>
  <c r="B499" i="262"/>
  <c r="J19" i="183"/>
  <c r="K51" i="312"/>
  <c r="B150" i="38"/>
  <c r="I19" i="311"/>
  <c r="K22" i="311" s="1"/>
  <c r="K23" i="311"/>
  <c r="I17" i="310"/>
  <c r="J19" i="179"/>
  <c r="H19" i="183"/>
  <c r="K19" i="183" s="1"/>
  <c r="I19" i="312"/>
  <c r="K22" i="312" s="1"/>
  <c r="K23" i="312"/>
  <c r="B34" i="3"/>
  <c r="C34" i="3" s="1"/>
  <c r="A35" i="3"/>
  <c r="B35" i="3" s="1"/>
  <c r="C35" i="3" s="1"/>
  <c r="H685" i="1103"/>
  <c r="P55" i="1"/>
  <c r="P53" i="1"/>
  <c r="H260" i="1103"/>
  <c r="H226" i="262"/>
  <c r="W53" i="1"/>
  <c r="H515" i="262"/>
  <c r="W54" i="1"/>
  <c r="W69" i="1"/>
  <c r="G515" i="262"/>
  <c r="Q54" i="1"/>
  <c r="I515" i="262"/>
  <c r="Q53" i="1"/>
  <c r="P69" i="1"/>
  <c r="W70" i="1"/>
  <c r="P40" i="6"/>
  <c r="Q70" i="1"/>
  <c r="Q55" i="1"/>
  <c r="H260" i="262"/>
  <c r="W55" i="1"/>
  <c r="H277" i="1103"/>
  <c r="H243" i="262"/>
  <c r="H243" i="1103"/>
  <c r="H719" i="1103"/>
  <c r="H277" i="262"/>
  <c r="Q69" i="1"/>
  <c r="E515" i="262"/>
  <c r="F515" i="262"/>
  <c r="P70" i="1"/>
  <c r="P61" i="6"/>
  <c r="H226" i="1103"/>
  <c r="P54" i="1"/>
  <c r="G149" i="262" l="1"/>
  <c r="N61" i="38"/>
  <c r="W152" i="1"/>
  <c r="X152" i="1" s="1"/>
  <c r="X54" i="1"/>
  <c r="W168" i="1"/>
  <c r="X168" i="1" s="1"/>
  <c r="X70" i="1"/>
  <c r="H720" i="1103"/>
  <c r="H227" i="1103"/>
  <c r="H227" i="262"/>
  <c r="W153" i="1"/>
  <c r="X153" i="1" s="1"/>
  <c r="X55" i="1"/>
  <c r="H278" i="1103"/>
  <c r="H278" i="262"/>
  <c r="H244" i="1103"/>
  <c r="H244" i="262"/>
  <c r="H261" i="1103"/>
  <c r="H261" i="262"/>
  <c r="N64" i="38"/>
  <c r="G166" i="262"/>
  <c r="K52" i="1116"/>
  <c r="K52" i="1118"/>
  <c r="L536" i="1103"/>
  <c r="M536" i="1103" s="1"/>
  <c r="P536" i="1103"/>
  <c r="Q536" i="1103" s="1"/>
  <c r="H537" i="1103"/>
  <c r="T536" i="1103"/>
  <c r="U536" i="1103" s="1"/>
  <c r="K19" i="1114"/>
  <c r="K19" i="1108"/>
  <c r="H622" i="1103"/>
  <c r="T621" i="1103"/>
  <c r="U621" i="1103" s="1"/>
  <c r="L621" i="1103"/>
  <c r="M621" i="1103" s="1"/>
  <c r="P621" i="1103"/>
  <c r="Q621" i="1103" s="1"/>
  <c r="K52" i="1117"/>
  <c r="K51" i="1119"/>
  <c r="G52" i="1119"/>
  <c r="T128" i="1103"/>
  <c r="U128" i="1103" s="1"/>
  <c r="L128" i="1103"/>
  <c r="M128" i="1103" s="1"/>
  <c r="P128" i="1103"/>
  <c r="Q128" i="1103" s="1"/>
  <c r="H129" i="1103"/>
  <c r="P703" i="1103"/>
  <c r="Q703" i="1103" s="1"/>
  <c r="T703" i="1103"/>
  <c r="U703" i="1103" s="1"/>
  <c r="L703" i="1103"/>
  <c r="M703" i="1103" s="1"/>
  <c r="H704" i="1103"/>
  <c r="H605" i="1103"/>
  <c r="T604" i="1103"/>
  <c r="U604" i="1103" s="1"/>
  <c r="L604" i="1103"/>
  <c r="M604" i="1103" s="1"/>
  <c r="P604" i="1103"/>
  <c r="Q604" i="1103" s="1"/>
  <c r="K19" i="1111"/>
  <c r="H738" i="1103"/>
  <c r="L737" i="1103"/>
  <c r="M737" i="1103" s="1"/>
  <c r="P737" i="1103"/>
  <c r="Q737" i="1103" s="1"/>
  <c r="T737" i="1103"/>
  <c r="U737" i="1103" s="1"/>
  <c r="K23" i="1114"/>
  <c r="I47" i="1114"/>
  <c r="I19" i="1114"/>
  <c r="K22" i="1114" s="1"/>
  <c r="I55" i="1114"/>
  <c r="K23" i="1108"/>
  <c r="I19" i="1108"/>
  <c r="K22" i="1108" s="1"/>
  <c r="I47" i="1108"/>
  <c r="I55" i="1108"/>
  <c r="K23" i="1109"/>
  <c r="I19" i="1109"/>
  <c r="K22" i="1109" s="1"/>
  <c r="I47" i="1109"/>
  <c r="I55" i="1109"/>
  <c r="K63" i="38"/>
  <c r="X162" i="262"/>
  <c r="H163" i="262"/>
  <c r="P162" i="262"/>
  <c r="AF162" i="262"/>
  <c r="AJ162" i="262"/>
  <c r="AB162" i="262"/>
  <c r="T162" i="262"/>
  <c r="L162" i="262"/>
  <c r="K19" i="1109"/>
  <c r="K23" i="1110"/>
  <c r="I19" i="1110"/>
  <c r="K22" i="1110" s="1"/>
  <c r="I47" i="1110"/>
  <c r="I55" i="1110"/>
  <c r="K57" i="38"/>
  <c r="AF128" i="262"/>
  <c r="H129" i="262"/>
  <c r="AJ128" i="262"/>
  <c r="AB128" i="262"/>
  <c r="T128" i="262"/>
  <c r="L128" i="262"/>
  <c r="P128" i="262"/>
  <c r="X128" i="262"/>
  <c r="P295" i="262"/>
  <c r="L295" i="262"/>
  <c r="AJ295" i="262"/>
  <c r="X295" i="262"/>
  <c r="H87" i="38"/>
  <c r="T295" i="262"/>
  <c r="AB295" i="262"/>
  <c r="AF295" i="262"/>
  <c r="H296" i="262"/>
  <c r="P162" i="1103"/>
  <c r="Q162" i="1103" s="1"/>
  <c r="H163" i="1103"/>
  <c r="T162" i="1103"/>
  <c r="U162" i="1103" s="1"/>
  <c r="L162" i="1103"/>
  <c r="M162" i="1103" s="1"/>
  <c r="H588" i="1103"/>
  <c r="T587" i="1103"/>
  <c r="U587" i="1103" s="1"/>
  <c r="L587" i="1103"/>
  <c r="M587" i="1103" s="1"/>
  <c r="P587" i="1103"/>
  <c r="Q587" i="1103" s="1"/>
  <c r="H503" i="1103"/>
  <c r="T502" i="1103"/>
  <c r="U502" i="1103" s="1"/>
  <c r="L502" i="1103"/>
  <c r="M502" i="1103" s="1"/>
  <c r="P502" i="1103"/>
  <c r="Q502" i="1103" s="1"/>
  <c r="H656" i="1103"/>
  <c r="T655" i="1103"/>
  <c r="U655" i="1103" s="1"/>
  <c r="L655" i="1103"/>
  <c r="M655" i="1103" s="1"/>
  <c r="P655" i="1103"/>
  <c r="Q655" i="1103" s="1"/>
  <c r="H520" i="1103"/>
  <c r="T519" i="1103"/>
  <c r="U519" i="1103" s="1"/>
  <c r="L519" i="1103"/>
  <c r="M519" i="1103" s="1"/>
  <c r="P519" i="1103"/>
  <c r="Q519" i="1103" s="1"/>
  <c r="P145" i="1103"/>
  <c r="Q145" i="1103" s="1"/>
  <c r="H146" i="1103"/>
  <c r="T145" i="1103"/>
  <c r="U145" i="1103" s="1"/>
  <c r="L145" i="1103"/>
  <c r="M145" i="1103" s="1"/>
  <c r="K23" i="1111"/>
  <c r="I19" i="1111"/>
  <c r="K22" i="1111" s="1"/>
  <c r="I47" i="1111"/>
  <c r="I55" i="1111"/>
  <c r="I19" i="1119"/>
  <c r="K22" i="1119" s="1"/>
  <c r="I47" i="1119"/>
  <c r="K23" i="1119"/>
  <c r="I55" i="1119"/>
  <c r="I51" i="1119"/>
  <c r="I52" i="1119" s="1"/>
  <c r="H571" i="1103"/>
  <c r="L570" i="1103"/>
  <c r="M570" i="1103" s="1"/>
  <c r="T570" i="1103"/>
  <c r="U570" i="1103" s="1"/>
  <c r="P570" i="1103"/>
  <c r="Q570" i="1103" s="1"/>
  <c r="H554" i="1103"/>
  <c r="T553" i="1103"/>
  <c r="U553" i="1103" s="1"/>
  <c r="L553" i="1103"/>
  <c r="M553" i="1103" s="1"/>
  <c r="P553" i="1103"/>
  <c r="Q553" i="1103" s="1"/>
  <c r="K55" i="1119"/>
  <c r="K60" i="38"/>
  <c r="L145" i="262"/>
  <c r="X145" i="262"/>
  <c r="P145" i="262"/>
  <c r="AB145" i="262"/>
  <c r="T145" i="262"/>
  <c r="AJ145" i="262"/>
  <c r="H146" i="262"/>
  <c r="AF145" i="262"/>
  <c r="O58" i="38"/>
  <c r="G133" i="262"/>
  <c r="K19" i="1110"/>
  <c r="T295" i="1103"/>
  <c r="U295" i="1103" s="1"/>
  <c r="P295" i="1103"/>
  <c r="Q295" i="1103" s="1"/>
  <c r="H296" i="1103"/>
  <c r="L295" i="1103"/>
  <c r="M295" i="1103" s="1"/>
  <c r="H686" i="1103"/>
  <c r="H673" i="1103"/>
  <c r="T672" i="1103"/>
  <c r="U672" i="1103" s="1"/>
  <c r="L672" i="1103"/>
  <c r="M672" i="1103" s="1"/>
  <c r="P672" i="1103"/>
  <c r="Q672" i="1103" s="1"/>
  <c r="H639" i="1103"/>
  <c r="T638" i="1103"/>
  <c r="U638" i="1103" s="1"/>
  <c r="L638" i="1103"/>
  <c r="M638" i="1103" s="1"/>
  <c r="P638" i="1103"/>
  <c r="Q638" i="1103" s="1"/>
  <c r="H486" i="1103"/>
  <c r="L485" i="1103"/>
  <c r="M485" i="1103" s="1"/>
  <c r="T485" i="1103"/>
  <c r="U485" i="1103" s="1"/>
  <c r="P485" i="1103"/>
  <c r="Q485" i="1103" s="1"/>
  <c r="H469" i="1103"/>
  <c r="T468" i="1103"/>
  <c r="U468" i="1103" s="1"/>
  <c r="L468" i="1103"/>
  <c r="M468" i="1103" s="1"/>
  <c r="P468" i="1103"/>
  <c r="Q468" i="1103" s="1"/>
  <c r="H214" i="1103"/>
  <c r="T213" i="1103"/>
  <c r="U213" i="1103" s="1"/>
  <c r="L213" i="1103"/>
  <c r="M213" i="1103" s="1"/>
  <c r="P213" i="1103"/>
  <c r="Q213" i="1103" s="1"/>
  <c r="H197" i="1103"/>
  <c r="T196" i="1103"/>
  <c r="U196" i="1103" s="1"/>
  <c r="L196" i="1103"/>
  <c r="M196" i="1103" s="1"/>
  <c r="P196" i="1103"/>
  <c r="Q196" i="1103" s="1"/>
  <c r="H180" i="1103"/>
  <c r="T179" i="1103"/>
  <c r="U179" i="1103" s="1"/>
  <c r="L179" i="1103"/>
  <c r="M179" i="1103" s="1"/>
  <c r="P179" i="1103"/>
  <c r="Q179" i="1103" s="1"/>
  <c r="X345" i="261"/>
  <c r="Y345" i="261" s="1"/>
  <c r="P345" i="261"/>
  <c r="Q345" i="261" s="1"/>
  <c r="H346" i="261"/>
  <c r="T345" i="261"/>
  <c r="U345" i="261" s="1"/>
  <c r="L345" i="261"/>
  <c r="M345" i="261" s="1"/>
  <c r="X328" i="261"/>
  <c r="Y328" i="261" s="1"/>
  <c r="P328" i="261"/>
  <c r="Q328" i="261" s="1"/>
  <c r="H329" i="261"/>
  <c r="T328" i="261"/>
  <c r="U328" i="261" s="1"/>
  <c r="L328" i="261"/>
  <c r="M328" i="261" s="1"/>
  <c r="X311" i="261"/>
  <c r="Y311" i="261" s="1"/>
  <c r="P311" i="261"/>
  <c r="Q311" i="261" s="1"/>
  <c r="H312" i="261"/>
  <c r="T311" i="261"/>
  <c r="U311" i="261" s="1"/>
  <c r="L311" i="261"/>
  <c r="M311" i="261" s="1"/>
  <c r="X294" i="261"/>
  <c r="Y294" i="261" s="1"/>
  <c r="P294" i="261"/>
  <c r="Q294" i="261" s="1"/>
  <c r="H295" i="261"/>
  <c r="L294" i="261"/>
  <c r="M294" i="261" s="1"/>
  <c r="T294" i="261"/>
  <c r="U294" i="261" s="1"/>
  <c r="X277" i="261"/>
  <c r="Y277" i="261" s="1"/>
  <c r="P277" i="261"/>
  <c r="Q277" i="261" s="1"/>
  <c r="H278" i="261"/>
  <c r="T277" i="261"/>
  <c r="U277" i="261" s="1"/>
  <c r="L277" i="261"/>
  <c r="M277" i="261" s="1"/>
  <c r="X260" i="261"/>
  <c r="Y260" i="261" s="1"/>
  <c r="P260" i="261"/>
  <c r="Q260" i="261" s="1"/>
  <c r="H261" i="261"/>
  <c r="T260" i="261"/>
  <c r="U260" i="261" s="1"/>
  <c r="L260" i="261"/>
  <c r="M260" i="261" s="1"/>
  <c r="L243" i="261"/>
  <c r="M243" i="261" s="1"/>
  <c r="X243" i="261"/>
  <c r="Y243" i="261" s="1"/>
  <c r="H244" i="261"/>
  <c r="P243" i="261"/>
  <c r="Q243" i="261" s="1"/>
  <c r="T243" i="261"/>
  <c r="U243" i="261" s="1"/>
  <c r="H227" i="261"/>
  <c r="L226" i="261"/>
  <c r="M226" i="261" s="1"/>
  <c r="X226" i="261"/>
  <c r="Y226" i="261" s="1"/>
  <c r="T226" i="261"/>
  <c r="U226" i="261" s="1"/>
  <c r="P226" i="261"/>
  <c r="Q226" i="261" s="1"/>
  <c r="X175" i="261"/>
  <c r="Y175" i="261" s="1"/>
  <c r="H176" i="261"/>
  <c r="P175" i="261"/>
  <c r="Q175" i="261" s="1"/>
  <c r="L175" i="261"/>
  <c r="M175" i="261" s="1"/>
  <c r="T175" i="261"/>
  <c r="U175" i="261" s="1"/>
  <c r="H159" i="261"/>
  <c r="X158" i="261"/>
  <c r="Y158" i="261" s="1"/>
  <c r="P158" i="261"/>
  <c r="Q158" i="261" s="1"/>
  <c r="T158" i="261"/>
  <c r="U158" i="261" s="1"/>
  <c r="L158" i="261"/>
  <c r="M158" i="261" s="1"/>
  <c r="X141" i="261"/>
  <c r="Y141" i="261" s="1"/>
  <c r="P141" i="261"/>
  <c r="Q141" i="261" s="1"/>
  <c r="H142" i="261"/>
  <c r="L141" i="261"/>
  <c r="M141" i="261" s="1"/>
  <c r="T141" i="261"/>
  <c r="U141" i="261" s="1"/>
  <c r="X124" i="261"/>
  <c r="Y124" i="261" s="1"/>
  <c r="P124" i="261"/>
  <c r="Q124" i="261" s="1"/>
  <c r="H125" i="261"/>
  <c r="T124" i="261"/>
  <c r="U124" i="261" s="1"/>
  <c r="L124" i="261"/>
  <c r="M124" i="261" s="1"/>
  <c r="H108" i="261"/>
  <c r="P107" i="261"/>
  <c r="Q107" i="261" s="1"/>
  <c r="X107" i="261"/>
  <c r="Y107" i="261" s="1"/>
  <c r="L107" i="261"/>
  <c r="M107" i="261" s="1"/>
  <c r="T107" i="261"/>
  <c r="U107" i="261" s="1"/>
  <c r="J60" i="9"/>
  <c r="B46" i="9"/>
  <c r="N73" i="38"/>
  <c r="G217" i="262"/>
  <c r="I47" i="310"/>
  <c r="I51" i="310"/>
  <c r="I52" i="310" s="1"/>
  <c r="I55" i="310"/>
  <c r="X196" i="262"/>
  <c r="AJ196" i="262"/>
  <c r="AB196" i="262"/>
  <c r="H197" i="262"/>
  <c r="L69" i="38" s="1"/>
  <c r="P196" i="262"/>
  <c r="AF196" i="262"/>
  <c r="T196" i="262"/>
  <c r="L196" i="262"/>
  <c r="P179" i="262"/>
  <c r="AB179" i="262"/>
  <c r="AJ179" i="262"/>
  <c r="H180" i="262"/>
  <c r="L66" i="38" s="1"/>
  <c r="AF179" i="262"/>
  <c r="X179" i="262"/>
  <c r="L179" i="262"/>
  <c r="T179" i="262"/>
  <c r="P213" i="262"/>
  <c r="AF213" i="262"/>
  <c r="L213" i="262"/>
  <c r="T213" i="262"/>
  <c r="H214" i="262"/>
  <c r="L72" i="38" s="1"/>
  <c r="X213" i="262"/>
  <c r="AB213" i="262"/>
  <c r="AJ213" i="262"/>
  <c r="G200" i="262"/>
  <c r="O70" i="38" s="1"/>
  <c r="G183" i="262"/>
  <c r="O67" i="38" s="1"/>
  <c r="G468" i="262"/>
  <c r="G500" i="262"/>
  <c r="G485" i="262"/>
  <c r="Z515" i="262"/>
  <c r="J515" i="262"/>
  <c r="V515" i="262"/>
  <c r="AH515" i="262"/>
  <c r="R515" i="262"/>
  <c r="AD515" i="262"/>
  <c r="N515" i="262"/>
  <c r="G516" i="262"/>
  <c r="H516" i="262" s="1"/>
  <c r="F126" i="38"/>
  <c r="C532" i="262"/>
  <c r="A549" i="262"/>
  <c r="B532" i="262"/>
  <c r="T209" i="261"/>
  <c r="L209" i="261"/>
  <c r="P209" i="261"/>
  <c r="X209" i="261"/>
  <c r="T192" i="261"/>
  <c r="L192" i="261"/>
  <c r="P192" i="261"/>
  <c r="X192" i="261"/>
  <c r="T90" i="261"/>
  <c r="L90" i="261"/>
  <c r="X90" i="261"/>
  <c r="P90" i="261"/>
  <c r="T73" i="261"/>
  <c r="L73" i="261"/>
  <c r="P73" i="261"/>
  <c r="X73" i="261"/>
  <c r="T56" i="261"/>
  <c r="L56" i="261"/>
  <c r="X56" i="261"/>
  <c r="P56" i="261"/>
  <c r="P39" i="261"/>
  <c r="T39" i="261"/>
  <c r="L39" i="261"/>
  <c r="X39" i="261"/>
  <c r="T22" i="261"/>
  <c r="X22" i="261"/>
  <c r="L22" i="261"/>
  <c r="P22" i="261"/>
  <c r="H40" i="261"/>
  <c r="H210" i="261"/>
  <c r="H74" i="261"/>
  <c r="H57" i="261"/>
  <c r="AF499" i="262"/>
  <c r="X499" i="262"/>
  <c r="P499" i="262"/>
  <c r="T499" i="262"/>
  <c r="AJ499" i="262"/>
  <c r="L499" i="262"/>
  <c r="AB499" i="262"/>
  <c r="AF384" i="262"/>
  <c r="X384" i="262"/>
  <c r="P384" i="262"/>
  <c r="T384" i="262"/>
  <c r="AJ384" i="262"/>
  <c r="L384" i="262"/>
  <c r="AB384" i="262"/>
  <c r="L400" i="262"/>
  <c r="T400" i="262"/>
  <c r="AB400" i="262"/>
  <c r="AJ400" i="262"/>
  <c r="P400" i="262"/>
  <c r="X400" i="262"/>
  <c r="AF400" i="262"/>
  <c r="AF352" i="262"/>
  <c r="X352" i="262"/>
  <c r="P352" i="262"/>
  <c r="T352" i="262"/>
  <c r="AJ352" i="262"/>
  <c r="L352" i="262"/>
  <c r="AB352" i="262"/>
  <c r="P336" i="262"/>
  <c r="X336" i="262"/>
  <c r="AF336" i="262"/>
  <c r="AB336" i="262"/>
  <c r="T336" i="262"/>
  <c r="AJ336" i="262"/>
  <c r="L336" i="262"/>
  <c r="L432" i="262"/>
  <c r="T432" i="262"/>
  <c r="AB432" i="262"/>
  <c r="AJ432" i="262"/>
  <c r="P432" i="262"/>
  <c r="X432" i="262"/>
  <c r="AF432" i="262"/>
  <c r="AF416" i="262"/>
  <c r="X416" i="262"/>
  <c r="P416" i="262"/>
  <c r="L416" i="262"/>
  <c r="AB416" i="262"/>
  <c r="T416" i="262"/>
  <c r="AJ416" i="262"/>
  <c r="P368" i="262"/>
  <c r="X368" i="262"/>
  <c r="AF368" i="262"/>
  <c r="AJ368" i="262"/>
  <c r="T368" i="262"/>
  <c r="AB368" i="262"/>
  <c r="L368" i="262"/>
  <c r="X320" i="262"/>
  <c r="AJ320" i="262"/>
  <c r="AB320" i="262"/>
  <c r="T320" i="262"/>
  <c r="L320" i="262"/>
  <c r="P320" i="262"/>
  <c r="AF320" i="262"/>
  <c r="B543" i="262"/>
  <c r="B528" i="262"/>
  <c r="B544" i="262"/>
  <c r="B519" i="262"/>
  <c r="B520" i="262"/>
  <c r="B563" i="262"/>
  <c r="B457" i="262"/>
  <c r="B456" i="262"/>
  <c r="B472" i="262"/>
  <c r="W167" i="1"/>
  <c r="X167" i="1" s="1"/>
  <c r="X69" i="1"/>
  <c r="W151" i="1"/>
  <c r="X151" i="1" s="1"/>
  <c r="X53" i="1"/>
  <c r="I19" i="310"/>
  <c r="K22" i="310" s="1"/>
  <c r="K23" i="310"/>
  <c r="B153" i="38"/>
  <c r="K52" i="312"/>
  <c r="B516" i="262"/>
  <c r="H321" i="262"/>
  <c r="H385" i="262"/>
  <c r="K19" i="310"/>
  <c r="K55" i="310"/>
  <c r="H401" i="262"/>
  <c r="B505" i="262"/>
  <c r="H353" i="262"/>
  <c r="H369" i="262"/>
  <c r="H417" i="262"/>
  <c r="B504" i="262"/>
  <c r="B450" i="262"/>
  <c r="H193" i="261"/>
  <c r="H91" i="261"/>
  <c r="K52" i="311"/>
  <c r="K51" i="310"/>
  <c r="B547" i="262"/>
  <c r="H337" i="262"/>
  <c r="H433" i="262"/>
  <c r="B449" i="262"/>
  <c r="H449" i="262"/>
  <c r="H23" i="261"/>
  <c r="Q50" i="1"/>
  <c r="W71" i="1"/>
  <c r="F532" i="262"/>
  <c r="P50" i="1"/>
  <c r="W50" i="1"/>
  <c r="Q71" i="1"/>
  <c r="H532" i="262"/>
  <c r="P71" i="1"/>
  <c r="E532" i="262"/>
  <c r="G532" i="262"/>
  <c r="I532" i="262"/>
  <c r="O61" i="38" l="1"/>
  <c r="G150" i="262"/>
  <c r="W169" i="1"/>
  <c r="X169" i="1" s="1"/>
  <c r="X71" i="1"/>
  <c r="H297" i="1103"/>
  <c r="T296" i="1103"/>
  <c r="U296" i="1103" s="1"/>
  <c r="P296" i="1103"/>
  <c r="Q296" i="1103" s="1"/>
  <c r="L296" i="1103"/>
  <c r="M296" i="1103" s="1"/>
  <c r="P58" i="38"/>
  <c r="G134" i="262"/>
  <c r="H521" i="1103"/>
  <c r="T520" i="1103"/>
  <c r="U520" i="1103" s="1"/>
  <c r="L520" i="1103"/>
  <c r="M520" i="1103" s="1"/>
  <c r="P520" i="1103"/>
  <c r="Q520" i="1103" s="1"/>
  <c r="L656" i="1103"/>
  <c r="M656" i="1103" s="1"/>
  <c r="P656" i="1103"/>
  <c r="Q656" i="1103" s="1"/>
  <c r="H657" i="1103"/>
  <c r="T656" i="1103"/>
  <c r="U656" i="1103" s="1"/>
  <c r="P503" i="1103"/>
  <c r="Q503" i="1103" s="1"/>
  <c r="H504" i="1103"/>
  <c r="T503" i="1103"/>
  <c r="U503" i="1103" s="1"/>
  <c r="L503" i="1103"/>
  <c r="M503" i="1103" s="1"/>
  <c r="H589" i="1103"/>
  <c r="T588" i="1103"/>
  <c r="U588" i="1103" s="1"/>
  <c r="L588" i="1103"/>
  <c r="M588" i="1103" s="1"/>
  <c r="P588" i="1103"/>
  <c r="Q588" i="1103" s="1"/>
  <c r="L57" i="38"/>
  <c r="X129" i="262"/>
  <c r="AF129" i="262"/>
  <c r="L129" i="262"/>
  <c r="P129" i="262"/>
  <c r="AB129" i="262"/>
  <c r="T129" i="262"/>
  <c r="H130" i="262"/>
  <c r="AJ129" i="262"/>
  <c r="H739" i="1103"/>
  <c r="L738" i="1103"/>
  <c r="M738" i="1103" s="1"/>
  <c r="P738" i="1103"/>
  <c r="Q738" i="1103" s="1"/>
  <c r="T738" i="1103"/>
  <c r="U738" i="1103" s="1"/>
  <c r="P622" i="1103"/>
  <c r="Q622" i="1103" s="1"/>
  <c r="H623" i="1103"/>
  <c r="T622" i="1103"/>
  <c r="U622" i="1103" s="1"/>
  <c r="L622" i="1103"/>
  <c r="M622" i="1103" s="1"/>
  <c r="L244" i="1103"/>
  <c r="M244" i="1103" s="1"/>
  <c r="H245" i="1103"/>
  <c r="P244" i="1103"/>
  <c r="Q244" i="1103" s="1"/>
  <c r="T244" i="1103"/>
  <c r="U244" i="1103" s="1"/>
  <c r="I87" i="38"/>
  <c r="AF296" i="262"/>
  <c r="L296" i="262"/>
  <c r="P296" i="262"/>
  <c r="T296" i="262"/>
  <c r="X296" i="262"/>
  <c r="AB296" i="262"/>
  <c r="AJ296" i="262"/>
  <c r="H297" i="262"/>
  <c r="H606" i="1103"/>
  <c r="T605" i="1103"/>
  <c r="U605" i="1103" s="1"/>
  <c r="L605" i="1103"/>
  <c r="M605" i="1103" s="1"/>
  <c r="P605" i="1103"/>
  <c r="Q605" i="1103" s="1"/>
  <c r="H81" i="38"/>
  <c r="T261" i="262"/>
  <c r="AJ261" i="262"/>
  <c r="X261" i="262"/>
  <c r="L261" i="262"/>
  <c r="AF261" i="262"/>
  <c r="AB261" i="262"/>
  <c r="P261" i="262"/>
  <c r="H262" i="262"/>
  <c r="L278" i="262"/>
  <c r="AB278" i="262"/>
  <c r="AJ278" i="262"/>
  <c r="X278" i="262"/>
  <c r="H84" i="38"/>
  <c r="P278" i="262"/>
  <c r="AF278" i="262"/>
  <c r="T278" i="262"/>
  <c r="H279" i="262"/>
  <c r="L227" i="262"/>
  <c r="AF227" i="262"/>
  <c r="AJ227" i="262"/>
  <c r="X227" i="262"/>
  <c r="H75" i="38"/>
  <c r="AB227" i="262"/>
  <c r="T227" i="262"/>
  <c r="P227" i="262"/>
  <c r="H228" i="262"/>
  <c r="L63" i="38"/>
  <c r="T163" i="262"/>
  <c r="L163" i="262"/>
  <c r="H164" i="262"/>
  <c r="X163" i="262"/>
  <c r="AJ163" i="262"/>
  <c r="P163" i="262"/>
  <c r="AF163" i="262"/>
  <c r="AB163" i="262"/>
  <c r="T704" i="1103"/>
  <c r="U704" i="1103" s="1"/>
  <c r="H705" i="1103"/>
  <c r="L704" i="1103"/>
  <c r="M704" i="1103" s="1"/>
  <c r="P704" i="1103"/>
  <c r="Q704" i="1103" s="1"/>
  <c r="H130" i="1103"/>
  <c r="T129" i="1103"/>
  <c r="U129" i="1103" s="1"/>
  <c r="L129" i="1103"/>
  <c r="M129" i="1103" s="1"/>
  <c r="P129" i="1103"/>
  <c r="Q129" i="1103" s="1"/>
  <c r="K52" i="1119"/>
  <c r="H538" i="1103"/>
  <c r="T537" i="1103"/>
  <c r="U537" i="1103" s="1"/>
  <c r="L537" i="1103"/>
  <c r="M537" i="1103" s="1"/>
  <c r="P537" i="1103"/>
  <c r="Q537" i="1103" s="1"/>
  <c r="T261" i="1103"/>
  <c r="U261" i="1103" s="1"/>
  <c r="P261" i="1103"/>
  <c r="Q261" i="1103" s="1"/>
  <c r="H262" i="1103"/>
  <c r="L261" i="1103"/>
  <c r="M261" i="1103" s="1"/>
  <c r="T278" i="1103"/>
  <c r="U278" i="1103" s="1"/>
  <c r="L278" i="1103"/>
  <c r="M278" i="1103" s="1"/>
  <c r="H279" i="1103"/>
  <c r="P278" i="1103"/>
  <c r="Q278" i="1103" s="1"/>
  <c r="T227" i="1103"/>
  <c r="U227" i="1103" s="1"/>
  <c r="H228" i="1103"/>
  <c r="L227" i="1103"/>
  <c r="M227" i="1103" s="1"/>
  <c r="P227" i="1103"/>
  <c r="Q227" i="1103" s="1"/>
  <c r="L60" i="38"/>
  <c r="H147" i="262"/>
  <c r="AF146" i="262"/>
  <c r="AJ146" i="262"/>
  <c r="T146" i="262"/>
  <c r="AB146" i="262"/>
  <c r="L146" i="262"/>
  <c r="P146" i="262"/>
  <c r="X146" i="262"/>
  <c r="H555" i="1103"/>
  <c r="T554" i="1103"/>
  <c r="U554" i="1103" s="1"/>
  <c r="L554" i="1103"/>
  <c r="M554" i="1103" s="1"/>
  <c r="P554" i="1103"/>
  <c r="Q554" i="1103" s="1"/>
  <c r="P571" i="1103"/>
  <c r="Q571" i="1103" s="1"/>
  <c r="H572" i="1103"/>
  <c r="L571" i="1103"/>
  <c r="M571" i="1103" s="1"/>
  <c r="T571" i="1103"/>
  <c r="U571" i="1103" s="1"/>
  <c r="P146" i="1103"/>
  <c r="Q146" i="1103" s="1"/>
  <c r="H147" i="1103"/>
  <c r="T146" i="1103"/>
  <c r="U146" i="1103" s="1"/>
  <c r="L146" i="1103"/>
  <c r="M146" i="1103" s="1"/>
  <c r="P163" i="1103"/>
  <c r="Q163" i="1103" s="1"/>
  <c r="H164" i="1103"/>
  <c r="T163" i="1103"/>
  <c r="U163" i="1103" s="1"/>
  <c r="L163" i="1103"/>
  <c r="M163" i="1103" s="1"/>
  <c r="O64" i="38"/>
  <c r="G167" i="262"/>
  <c r="H78" i="38"/>
  <c r="T244" i="262"/>
  <c r="P244" i="262"/>
  <c r="AF244" i="262"/>
  <c r="AJ244" i="262"/>
  <c r="L244" i="262"/>
  <c r="X244" i="262"/>
  <c r="AB244" i="262"/>
  <c r="H245" i="262"/>
  <c r="P720" i="1103"/>
  <c r="Q720" i="1103" s="1"/>
  <c r="T720" i="1103"/>
  <c r="U720" i="1103" s="1"/>
  <c r="H721" i="1103"/>
  <c r="L720" i="1103"/>
  <c r="M720" i="1103" s="1"/>
  <c r="H687" i="1103"/>
  <c r="T686" i="1103"/>
  <c r="U686" i="1103" s="1"/>
  <c r="L686" i="1103"/>
  <c r="M686" i="1103" s="1"/>
  <c r="P686" i="1103"/>
  <c r="Q686" i="1103" s="1"/>
  <c r="H674" i="1103"/>
  <c r="T673" i="1103"/>
  <c r="U673" i="1103" s="1"/>
  <c r="L673" i="1103"/>
  <c r="M673" i="1103" s="1"/>
  <c r="P673" i="1103"/>
  <c r="Q673" i="1103" s="1"/>
  <c r="H640" i="1103"/>
  <c r="T639" i="1103"/>
  <c r="U639" i="1103" s="1"/>
  <c r="L639" i="1103"/>
  <c r="M639" i="1103" s="1"/>
  <c r="P639" i="1103"/>
  <c r="Q639" i="1103" s="1"/>
  <c r="H487" i="1103"/>
  <c r="T486" i="1103"/>
  <c r="U486" i="1103" s="1"/>
  <c r="L486" i="1103"/>
  <c r="M486" i="1103" s="1"/>
  <c r="P486" i="1103"/>
  <c r="Q486" i="1103" s="1"/>
  <c r="H470" i="1103"/>
  <c r="T469" i="1103"/>
  <c r="U469" i="1103" s="1"/>
  <c r="L469" i="1103"/>
  <c r="M469" i="1103" s="1"/>
  <c r="P469" i="1103"/>
  <c r="Q469" i="1103" s="1"/>
  <c r="H215" i="1103"/>
  <c r="T214" i="1103"/>
  <c r="U214" i="1103" s="1"/>
  <c r="L214" i="1103"/>
  <c r="M214" i="1103" s="1"/>
  <c r="P214" i="1103"/>
  <c r="Q214" i="1103" s="1"/>
  <c r="H198" i="1103"/>
  <c r="T197" i="1103"/>
  <c r="U197" i="1103" s="1"/>
  <c r="L197" i="1103"/>
  <c r="M197" i="1103" s="1"/>
  <c r="P197" i="1103"/>
  <c r="Q197" i="1103" s="1"/>
  <c r="H181" i="1103"/>
  <c r="T180" i="1103"/>
  <c r="U180" i="1103" s="1"/>
  <c r="L180" i="1103"/>
  <c r="M180" i="1103" s="1"/>
  <c r="P180" i="1103"/>
  <c r="Q180" i="1103" s="1"/>
  <c r="H347" i="261"/>
  <c r="P346" i="261"/>
  <c r="Q346" i="261" s="1"/>
  <c r="X346" i="261"/>
  <c r="Y346" i="261" s="1"/>
  <c r="T346" i="261"/>
  <c r="U346" i="261" s="1"/>
  <c r="L346" i="261"/>
  <c r="M346" i="261" s="1"/>
  <c r="H330" i="261"/>
  <c r="X329" i="261"/>
  <c r="Y329" i="261" s="1"/>
  <c r="P329" i="261"/>
  <c r="Q329" i="261" s="1"/>
  <c r="T329" i="261"/>
  <c r="U329" i="261" s="1"/>
  <c r="L329" i="261"/>
  <c r="M329" i="261" s="1"/>
  <c r="H313" i="261"/>
  <c r="P312" i="261"/>
  <c r="Q312" i="261" s="1"/>
  <c r="X312" i="261"/>
  <c r="Y312" i="261" s="1"/>
  <c r="L312" i="261"/>
  <c r="M312" i="261" s="1"/>
  <c r="T312" i="261"/>
  <c r="U312" i="261" s="1"/>
  <c r="H296" i="261"/>
  <c r="X295" i="261"/>
  <c r="Y295" i="261" s="1"/>
  <c r="P295" i="261"/>
  <c r="Q295" i="261" s="1"/>
  <c r="T295" i="261"/>
  <c r="U295" i="261" s="1"/>
  <c r="L295" i="261"/>
  <c r="M295" i="261" s="1"/>
  <c r="H279" i="261"/>
  <c r="X278" i="261"/>
  <c r="Y278" i="261" s="1"/>
  <c r="P278" i="261"/>
  <c r="Q278" i="261" s="1"/>
  <c r="T278" i="261"/>
  <c r="U278" i="261" s="1"/>
  <c r="L278" i="261"/>
  <c r="M278" i="261" s="1"/>
  <c r="H262" i="261"/>
  <c r="P261" i="261"/>
  <c r="Q261" i="261" s="1"/>
  <c r="X261" i="261"/>
  <c r="Y261" i="261" s="1"/>
  <c r="T261" i="261"/>
  <c r="U261" i="261" s="1"/>
  <c r="L261" i="261"/>
  <c r="M261" i="261" s="1"/>
  <c r="H245" i="261"/>
  <c r="T244" i="261"/>
  <c r="U244" i="261" s="1"/>
  <c r="L244" i="261"/>
  <c r="M244" i="261" s="1"/>
  <c r="P244" i="261"/>
  <c r="Q244" i="261" s="1"/>
  <c r="X244" i="261"/>
  <c r="Y244" i="261" s="1"/>
  <c r="H228" i="261"/>
  <c r="T227" i="261"/>
  <c r="U227" i="261" s="1"/>
  <c r="L227" i="261"/>
  <c r="M227" i="261" s="1"/>
  <c r="X227" i="261"/>
  <c r="Y227" i="261" s="1"/>
  <c r="P227" i="261"/>
  <c r="Q227" i="261" s="1"/>
  <c r="H177" i="261"/>
  <c r="X176" i="261"/>
  <c r="Y176" i="261" s="1"/>
  <c r="P176" i="261"/>
  <c r="Q176" i="261" s="1"/>
  <c r="T176" i="261"/>
  <c r="U176" i="261" s="1"/>
  <c r="L176" i="261"/>
  <c r="M176" i="261" s="1"/>
  <c r="H160" i="261"/>
  <c r="P159" i="261"/>
  <c r="Q159" i="261" s="1"/>
  <c r="X159" i="261"/>
  <c r="Y159" i="261" s="1"/>
  <c r="T159" i="261"/>
  <c r="U159" i="261" s="1"/>
  <c r="L159" i="261"/>
  <c r="M159" i="261" s="1"/>
  <c r="H143" i="261"/>
  <c r="P142" i="261"/>
  <c r="Q142" i="261" s="1"/>
  <c r="X142" i="261"/>
  <c r="Y142" i="261" s="1"/>
  <c r="L142" i="261"/>
  <c r="M142" i="261" s="1"/>
  <c r="T142" i="261"/>
  <c r="U142" i="261" s="1"/>
  <c r="H126" i="261"/>
  <c r="X125" i="261"/>
  <c r="Y125" i="261" s="1"/>
  <c r="P125" i="261"/>
  <c r="Q125" i="261" s="1"/>
  <c r="L125" i="261"/>
  <c r="M125" i="261" s="1"/>
  <c r="T125" i="261"/>
  <c r="U125" i="261" s="1"/>
  <c r="H109" i="261"/>
  <c r="L108" i="261"/>
  <c r="M108" i="261" s="1"/>
  <c r="P108" i="261"/>
  <c r="Q108" i="261" s="1"/>
  <c r="X108" i="261"/>
  <c r="Y108" i="261" s="1"/>
  <c r="T108" i="261"/>
  <c r="U108" i="261" s="1"/>
  <c r="B47" i="9"/>
  <c r="J61" i="9"/>
  <c r="O73" i="38"/>
  <c r="G218" i="262"/>
  <c r="X214" i="262"/>
  <c r="T214" i="262"/>
  <c r="L214" i="262"/>
  <c r="AF214" i="262"/>
  <c r="P214" i="262"/>
  <c r="AJ214" i="262"/>
  <c r="AB214" i="262"/>
  <c r="H215" i="262"/>
  <c r="M72" i="38" s="1"/>
  <c r="X180" i="262"/>
  <c r="AF180" i="262"/>
  <c r="AJ180" i="262"/>
  <c r="AB180" i="262"/>
  <c r="H181" i="262"/>
  <c r="M66" i="38" s="1"/>
  <c r="P180" i="262"/>
  <c r="T180" i="262"/>
  <c r="L180" i="262"/>
  <c r="G184" i="262"/>
  <c r="P67" i="38" s="1"/>
  <c r="G201" i="262"/>
  <c r="P70" i="38" s="1"/>
  <c r="AF197" i="262"/>
  <c r="P197" i="262"/>
  <c r="AB197" i="262"/>
  <c r="AJ197" i="262"/>
  <c r="H198" i="262"/>
  <c r="M69" i="38" s="1"/>
  <c r="X197" i="262"/>
  <c r="L197" i="262"/>
  <c r="T197" i="262"/>
  <c r="G469" i="262"/>
  <c r="G517" i="262"/>
  <c r="G501" i="262"/>
  <c r="G486" i="262"/>
  <c r="Z532" i="262"/>
  <c r="J532" i="262"/>
  <c r="V532" i="262"/>
  <c r="G533" i="262"/>
  <c r="AH532" i="262"/>
  <c r="R532" i="262"/>
  <c r="AD532" i="262"/>
  <c r="N532" i="262"/>
  <c r="F129" i="38"/>
  <c r="B549" i="262"/>
  <c r="A566" i="262"/>
  <c r="C549" i="262"/>
  <c r="P210" i="261"/>
  <c r="L210" i="261"/>
  <c r="T210" i="261"/>
  <c r="X210" i="261"/>
  <c r="P193" i="261"/>
  <c r="L193" i="261"/>
  <c r="T193" i="261"/>
  <c r="X193" i="261"/>
  <c r="L91" i="261"/>
  <c r="T91" i="261"/>
  <c r="P91" i="261"/>
  <c r="X91" i="261"/>
  <c r="P74" i="261"/>
  <c r="L74" i="261"/>
  <c r="T74" i="261"/>
  <c r="X74" i="261"/>
  <c r="L57" i="261"/>
  <c r="T57" i="261"/>
  <c r="P57" i="261"/>
  <c r="X57" i="261"/>
  <c r="P40" i="261"/>
  <c r="L40" i="261"/>
  <c r="T40" i="261"/>
  <c r="X40" i="261"/>
  <c r="T23" i="261"/>
  <c r="X23" i="261"/>
  <c r="L23" i="261"/>
  <c r="P23" i="261"/>
  <c r="H211" i="261"/>
  <c r="H75" i="261"/>
  <c r="H41" i="261"/>
  <c r="H58" i="261"/>
  <c r="AF516" i="262"/>
  <c r="X516" i="262"/>
  <c r="P516" i="262"/>
  <c r="L516" i="262"/>
  <c r="AB516" i="262"/>
  <c r="T516" i="262"/>
  <c r="AJ516" i="262"/>
  <c r="AB433" i="262"/>
  <c r="AJ433" i="262"/>
  <c r="T433" i="262"/>
  <c r="L433" i="262"/>
  <c r="AF433" i="262"/>
  <c r="X433" i="262"/>
  <c r="P433" i="262"/>
  <c r="AF337" i="262"/>
  <c r="X337" i="262"/>
  <c r="P337" i="262"/>
  <c r="L337" i="262"/>
  <c r="AJ337" i="262"/>
  <c r="T337" i="262"/>
  <c r="AB337" i="262"/>
  <c r="P353" i="262"/>
  <c r="X353" i="262"/>
  <c r="AF353" i="262"/>
  <c r="AB353" i="262"/>
  <c r="L353" i="262"/>
  <c r="AJ353" i="262"/>
  <c r="T353" i="262"/>
  <c r="P449" i="262"/>
  <c r="X449" i="262"/>
  <c r="AF449" i="262"/>
  <c r="L449" i="262"/>
  <c r="T449" i="262"/>
  <c r="AB449" i="262"/>
  <c r="AJ449" i="262"/>
  <c r="P417" i="262"/>
  <c r="X417" i="262"/>
  <c r="AF417" i="262"/>
  <c r="AJ417" i="262"/>
  <c r="T417" i="262"/>
  <c r="AB417" i="262"/>
  <c r="L417" i="262"/>
  <c r="AF369" i="262"/>
  <c r="X369" i="262"/>
  <c r="P369" i="262"/>
  <c r="L369" i="262"/>
  <c r="AB369" i="262"/>
  <c r="T369" i="262"/>
  <c r="AJ369" i="262"/>
  <c r="AJ401" i="262"/>
  <c r="AB401" i="262"/>
  <c r="T401" i="262"/>
  <c r="L401" i="262"/>
  <c r="AF401" i="262"/>
  <c r="X401" i="262"/>
  <c r="P401" i="262"/>
  <c r="P385" i="262"/>
  <c r="X385" i="262"/>
  <c r="AF385" i="262"/>
  <c r="AB385" i="262"/>
  <c r="L385" i="262"/>
  <c r="AJ385" i="262"/>
  <c r="T385" i="262"/>
  <c r="T321" i="262"/>
  <c r="AB321" i="262"/>
  <c r="AJ321" i="262"/>
  <c r="AF321" i="262"/>
  <c r="P321" i="262"/>
  <c r="L321" i="262"/>
  <c r="X321" i="262"/>
  <c r="B560" i="262"/>
  <c r="B545" i="262"/>
  <c r="B561" i="262"/>
  <c r="B536" i="262"/>
  <c r="B474" i="262"/>
  <c r="B580" i="262"/>
  <c r="B489" i="262"/>
  <c r="B473" i="262"/>
  <c r="B537" i="262"/>
  <c r="W148" i="1"/>
  <c r="X148" i="1" s="1"/>
  <c r="X50" i="1"/>
  <c r="H450" i="262"/>
  <c r="B466" i="262"/>
  <c r="H466" i="262"/>
  <c r="H338" i="262"/>
  <c r="K52" i="310"/>
  <c r="H92" i="261"/>
  <c r="H194" i="261"/>
  <c r="B521" i="262"/>
  <c r="H370" i="262"/>
  <c r="H354" i="262"/>
  <c r="B522" i="262"/>
  <c r="H402" i="262"/>
  <c r="H322" i="262"/>
  <c r="B533" i="262"/>
  <c r="B156" i="38"/>
  <c r="H24" i="261"/>
  <c r="H434" i="262"/>
  <c r="B564" i="262"/>
  <c r="B467" i="262"/>
  <c r="H418" i="262"/>
  <c r="H386" i="262"/>
  <c r="E549" i="262"/>
  <c r="G549" i="262"/>
  <c r="I549" i="262"/>
  <c r="F549" i="262"/>
  <c r="H549" i="262"/>
  <c r="G151" i="262" l="1"/>
  <c r="P61" i="38"/>
  <c r="T721" i="1103"/>
  <c r="U721" i="1103" s="1"/>
  <c r="P721" i="1103"/>
  <c r="Q721" i="1103" s="1"/>
  <c r="L721" i="1103"/>
  <c r="M721" i="1103" s="1"/>
  <c r="H722" i="1103"/>
  <c r="P64" i="38"/>
  <c r="G168" i="262"/>
  <c r="L164" i="1103"/>
  <c r="M164" i="1103" s="1"/>
  <c r="P164" i="1103"/>
  <c r="Q164" i="1103" s="1"/>
  <c r="H165" i="1103"/>
  <c r="T164" i="1103"/>
  <c r="U164" i="1103" s="1"/>
  <c r="L147" i="1103"/>
  <c r="M147" i="1103" s="1"/>
  <c r="P147" i="1103"/>
  <c r="Q147" i="1103" s="1"/>
  <c r="H148" i="1103"/>
  <c r="T147" i="1103"/>
  <c r="U147" i="1103" s="1"/>
  <c r="P572" i="1103"/>
  <c r="Q572" i="1103" s="1"/>
  <c r="H573" i="1103"/>
  <c r="T572" i="1103"/>
  <c r="U572" i="1103" s="1"/>
  <c r="L572" i="1103"/>
  <c r="M572" i="1103" s="1"/>
  <c r="P279" i="1103"/>
  <c r="Q279" i="1103" s="1"/>
  <c r="L279" i="1103"/>
  <c r="M279" i="1103" s="1"/>
  <c r="T279" i="1103"/>
  <c r="U279" i="1103" s="1"/>
  <c r="H280" i="1103"/>
  <c r="H263" i="1103"/>
  <c r="P262" i="1103"/>
  <c r="Q262" i="1103" s="1"/>
  <c r="L262" i="1103"/>
  <c r="M262" i="1103" s="1"/>
  <c r="T262" i="1103"/>
  <c r="U262" i="1103" s="1"/>
  <c r="M57" i="38"/>
  <c r="AF130" i="262"/>
  <c r="P130" i="262"/>
  <c r="X130" i="262"/>
  <c r="T130" i="262"/>
  <c r="L130" i="262"/>
  <c r="H131" i="262"/>
  <c r="AJ130" i="262"/>
  <c r="AB130" i="262"/>
  <c r="Q58" i="38"/>
  <c r="G135" i="262"/>
  <c r="P555" i="1103"/>
  <c r="Q555" i="1103" s="1"/>
  <c r="H556" i="1103"/>
  <c r="T555" i="1103"/>
  <c r="U555" i="1103" s="1"/>
  <c r="L555" i="1103"/>
  <c r="M555" i="1103" s="1"/>
  <c r="M60" i="38"/>
  <c r="L147" i="262"/>
  <c r="AB147" i="262"/>
  <c r="P147" i="262"/>
  <c r="AF147" i="262"/>
  <c r="H148" i="262"/>
  <c r="X147" i="262"/>
  <c r="AJ147" i="262"/>
  <c r="T147" i="262"/>
  <c r="H229" i="1103"/>
  <c r="L228" i="1103"/>
  <c r="M228" i="1103" s="1"/>
  <c r="T228" i="1103"/>
  <c r="U228" i="1103" s="1"/>
  <c r="P228" i="1103"/>
  <c r="Q228" i="1103" s="1"/>
  <c r="M63" i="38"/>
  <c r="AB164" i="262"/>
  <c r="L164" i="262"/>
  <c r="T164" i="262"/>
  <c r="AJ164" i="262"/>
  <c r="X164" i="262"/>
  <c r="H165" i="262"/>
  <c r="AF164" i="262"/>
  <c r="P164" i="262"/>
  <c r="I75" i="38"/>
  <c r="AF228" i="262"/>
  <c r="T228" i="262"/>
  <c r="H229" i="262"/>
  <c r="AB228" i="262"/>
  <c r="P228" i="262"/>
  <c r="L228" i="262"/>
  <c r="X228" i="262"/>
  <c r="AJ228" i="262"/>
  <c r="P606" i="1103"/>
  <c r="Q606" i="1103" s="1"/>
  <c r="H607" i="1103"/>
  <c r="T606" i="1103"/>
  <c r="U606" i="1103" s="1"/>
  <c r="L606" i="1103"/>
  <c r="M606" i="1103" s="1"/>
  <c r="P245" i="1103"/>
  <c r="Q245" i="1103" s="1"/>
  <c r="H246" i="1103"/>
  <c r="L245" i="1103"/>
  <c r="M245" i="1103" s="1"/>
  <c r="T245" i="1103"/>
  <c r="U245" i="1103" s="1"/>
  <c r="P623" i="1103"/>
  <c r="Q623" i="1103" s="1"/>
  <c r="H624" i="1103"/>
  <c r="T623" i="1103"/>
  <c r="U623" i="1103" s="1"/>
  <c r="L623" i="1103"/>
  <c r="M623" i="1103" s="1"/>
  <c r="L657" i="1103"/>
  <c r="M657" i="1103" s="1"/>
  <c r="P657" i="1103"/>
  <c r="Q657" i="1103" s="1"/>
  <c r="H658" i="1103"/>
  <c r="T657" i="1103"/>
  <c r="U657" i="1103" s="1"/>
  <c r="L297" i="1103"/>
  <c r="M297" i="1103" s="1"/>
  <c r="P297" i="1103"/>
  <c r="Q297" i="1103" s="1"/>
  <c r="T297" i="1103"/>
  <c r="U297" i="1103" s="1"/>
  <c r="H298" i="1103"/>
  <c r="H539" i="1103"/>
  <c r="T538" i="1103"/>
  <c r="U538" i="1103" s="1"/>
  <c r="L538" i="1103"/>
  <c r="M538" i="1103" s="1"/>
  <c r="P538" i="1103"/>
  <c r="Q538" i="1103" s="1"/>
  <c r="P705" i="1103"/>
  <c r="Q705" i="1103" s="1"/>
  <c r="H706" i="1103"/>
  <c r="L705" i="1103"/>
  <c r="M705" i="1103" s="1"/>
  <c r="T705" i="1103"/>
  <c r="U705" i="1103" s="1"/>
  <c r="I84" i="38"/>
  <c r="P279" i="262"/>
  <c r="T279" i="262"/>
  <c r="AF279" i="262"/>
  <c r="AJ279" i="262"/>
  <c r="H280" i="262"/>
  <c r="X279" i="262"/>
  <c r="AB279" i="262"/>
  <c r="L279" i="262"/>
  <c r="J87" i="38"/>
  <c r="L297" i="262"/>
  <c r="AB297" i="262"/>
  <c r="T297" i="262"/>
  <c r="AJ297" i="262"/>
  <c r="AF297" i="262"/>
  <c r="H298" i="262"/>
  <c r="X297" i="262"/>
  <c r="P297" i="262"/>
  <c r="P739" i="1103"/>
  <c r="Q739" i="1103" s="1"/>
  <c r="L739" i="1103"/>
  <c r="M739" i="1103" s="1"/>
  <c r="H740" i="1103"/>
  <c r="T739" i="1103"/>
  <c r="U739" i="1103" s="1"/>
  <c r="P504" i="1103"/>
  <c r="Q504" i="1103" s="1"/>
  <c r="H505" i="1103"/>
  <c r="T504" i="1103"/>
  <c r="U504" i="1103" s="1"/>
  <c r="L504" i="1103"/>
  <c r="M504" i="1103" s="1"/>
  <c r="I78" i="38"/>
  <c r="P245" i="262"/>
  <c r="T245" i="262"/>
  <c r="AB245" i="262"/>
  <c r="AJ245" i="262"/>
  <c r="H246" i="262"/>
  <c r="L245" i="262"/>
  <c r="X245" i="262"/>
  <c r="AF245" i="262"/>
  <c r="L130" i="1103"/>
  <c r="M130" i="1103" s="1"/>
  <c r="P130" i="1103"/>
  <c r="Q130" i="1103" s="1"/>
  <c r="H131" i="1103"/>
  <c r="T130" i="1103"/>
  <c r="U130" i="1103" s="1"/>
  <c r="I81" i="38"/>
  <c r="L262" i="262"/>
  <c r="P262" i="262"/>
  <c r="T262" i="262"/>
  <c r="AF262" i="262"/>
  <c r="AJ262" i="262"/>
  <c r="X262" i="262"/>
  <c r="AB262" i="262"/>
  <c r="H263" i="262"/>
  <c r="P589" i="1103"/>
  <c r="Q589" i="1103" s="1"/>
  <c r="H590" i="1103"/>
  <c r="T589" i="1103"/>
  <c r="U589" i="1103" s="1"/>
  <c r="L589" i="1103"/>
  <c r="M589" i="1103" s="1"/>
  <c r="P521" i="1103"/>
  <c r="Q521" i="1103" s="1"/>
  <c r="H522" i="1103"/>
  <c r="T521" i="1103"/>
  <c r="U521" i="1103" s="1"/>
  <c r="L521" i="1103"/>
  <c r="M521" i="1103" s="1"/>
  <c r="H688" i="1103"/>
  <c r="T687" i="1103"/>
  <c r="U687" i="1103" s="1"/>
  <c r="L687" i="1103"/>
  <c r="M687" i="1103" s="1"/>
  <c r="P687" i="1103"/>
  <c r="Q687" i="1103" s="1"/>
  <c r="H675" i="1103"/>
  <c r="T674" i="1103"/>
  <c r="U674" i="1103" s="1"/>
  <c r="L674" i="1103"/>
  <c r="M674" i="1103" s="1"/>
  <c r="P674" i="1103"/>
  <c r="Q674" i="1103" s="1"/>
  <c r="H641" i="1103"/>
  <c r="T640" i="1103"/>
  <c r="U640" i="1103" s="1"/>
  <c r="L640" i="1103"/>
  <c r="M640" i="1103" s="1"/>
  <c r="P640" i="1103"/>
  <c r="Q640" i="1103" s="1"/>
  <c r="H488" i="1103"/>
  <c r="L487" i="1103"/>
  <c r="M487" i="1103" s="1"/>
  <c r="T487" i="1103"/>
  <c r="U487" i="1103" s="1"/>
  <c r="P487" i="1103"/>
  <c r="Q487" i="1103" s="1"/>
  <c r="H471" i="1103"/>
  <c r="T470" i="1103"/>
  <c r="U470" i="1103" s="1"/>
  <c r="L470" i="1103"/>
  <c r="M470" i="1103" s="1"/>
  <c r="P470" i="1103"/>
  <c r="Q470" i="1103" s="1"/>
  <c r="H216" i="1103"/>
  <c r="T215" i="1103"/>
  <c r="U215" i="1103" s="1"/>
  <c r="L215" i="1103"/>
  <c r="M215" i="1103" s="1"/>
  <c r="P215" i="1103"/>
  <c r="Q215" i="1103" s="1"/>
  <c r="H199" i="1103"/>
  <c r="T198" i="1103"/>
  <c r="U198" i="1103" s="1"/>
  <c r="L198" i="1103"/>
  <c r="M198" i="1103" s="1"/>
  <c r="P198" i="1103"/>
  <c r="Q198" i="1103" s="1"/>
  <c r="H182" i="1103"/>
  <c r="T181" i="1103"/>
  <c r="U181" i="1103" s="1"/>
  <c r="L181" i="1103"/>
  <c r="M181" i="1103" s="1"/>
  <c r="P181" i="1103"/>
  <c r="Q181" i="1103" s="1"/>
  <c r="H348" i="261"/>
  <c r="P347" i="261"/>
  <c r="Q347" i="261" s="1"/>
  <c r="X347" i="261"/>
  <c r="Y347" i="261" s="1"/>
  <c r="T347" i="261"/>
  <c r="U347" i="261" s="1"/>
  <c r="L347" i="261"/>
  <c r="M347" i="261" s="1"/>
  <c r="H331" i="261"/>
  <c r="X330" i="261"/>
  <c r="Y330" i="261" s="1"/>
  <c r="P330" i="261"/>
  <c r="Q330" i="261" s="1"/>
  <c r="L330" i="261"/>
  <c r="M330" i="261" s="1"/>
  <c r="T330" i="261"/>
  <c r="U330" i="261" s="1"/>
  <c r="H314" i="261"/>
  <c r="X313" i="261"/>
  <c r="Y313" i="261" s="1"/>
  <c r="P313" i="261"/>
  <c r="Q313" i="261" s="1"/>
  <c r="T313" i="261"/>
  <c r="U313" i="261" s="1"/>
  <c r="L313" i="261"/>
  <c r="M313" i="261" s="1"/>
  <c r="H297" i="261"/>
  <c r="X296" i="261"/>
  <c r="Y296" i="261" s="1"/>
  <c r="P296" i="261"/>
  <c r="Q296" i="261" s="1"/>
  <c r="L296" i="261"/>
  <c r="M296" i="261" s="1"/>
  <c r="T296" i="261"/>
  <c r="U296" i="261" s="1"/>
  <c r="H280" i="261"/>
  <c r="X279" i="261"/>
  <c r="Y279" i="261" s="1"/>
  <c r="P279" i="261"/>
  <c r="Q279" i="261" s="1"/>
  <c r="L279" i="261"/>
  <c r="M279" i="261" s="1"/>
  <c r="T279" i="261"/>
  <c r="U279" i="261" s="1"/>
  <c r="H263" i="261"/>
  <c r="P262" i="261"/>
  <c r="Q262" i="261" s="1"/>
  <c r="X262" i="261"/>
  <c r="Y262" i="261" s="1"/>
  <c r="T262" i="261"/>
  <c r="U262" i="261" s="1"/>
  <c r="L262" i="261"/>
  <c r="M262" i="261" s="1"/>
  <c r="H246" i="261"/>
  <c r="L245" i="261"/>
  <c r="M245" i="261" s="1"/>
  <c r="T245" i="261"/>
  <c r="U245" i="261" s="1"/>
  <c r="P245" i="261"/>
  <c r="Q245" i="261" s="1"/>
  <c r="X245" i="261"/>
  <c r="Y245" i="261" s="1"/>
  <c r="H229" i="261"/>
  <c r="T228" i="261"/>
  <c r="U228" i="261" s="1"/>
  <c r="X228" i="261"/>
  <c r="Y228" i="261" s="1"/>
  <c r="L228" i="261"/>
  <c r="M228" i="261" s="1"/>
  <c r="P228" i="261"/>
  <c r="Q228" i="261" s="1"/>
  <c r="H178" i="261"/>
  <c r="P177" i="261"/>
  <c r="Q177" i="261" s="1"/>
  <c r="T177" i="261"/>
  <c r="U177" i="261" s="1"/>
  <c r="X177" i="261"/>
  <c r="Y177" i="261" s="1"/>
  <c r="L177" i="261"/>
  <c r="M177" i="261" s="1"/>
  <c r="H161" i="261"/>
  <c r="X160" i="261"/>
  <c r="Y160" i="261" s="1"/>
  <c r="P160" i="261"/>
  <c r="Q160" i="261" s="1"/>
  <c r="T160" i="261"/>
  <c r="U160" i="261" s="1"/>
  <c r="L160" i="261"/>
  <c r="M160" i="261" s="1"/>
  <c r="H144" i="261"/>
  <c r="X143" i="261"/>
  <c r="Y143" i="261" s="1"/>
  <c r="P143" i="261"/>
  <c r="Q143" i="261" s="1"/>
  <c r="T143" i="261"/>
  <c r="U143" i="261" s="1"/>
  <c r="L143" i="261"/>
  <c r="M143" i="261" s="1"/>
  <c r="H127" i="261"/>
  <c r="X126" i="261"/>
  <c r="Y126" i="261" s="1"/>
  <c r="P126" i="261"/>
  <c r="Q126" i="261" s="1"/>
  <c r="L126" i="261"/>
  <c r="M126" i="261" s="1"/>
  <c r="T126" i="261"/>
  <c r="U126" i="261" s="1"/>
  <c r="H110" i="261"/>
  <c r="L109" i="261"/>
  <c r="M109" i="261" s="1"/>
  <c r="X109" i="261"/>
  <c r="Y109" i="261" s="1"/>
  <c r="T109" i="261"/>
  <c r="U109" i="261" s="1"/>
  <c r="P109" i="261"/>
  <c r="Q109" i="261" s="1"/>
  <c r="B48" i="9"/>
  <c r="J62" i="9"/>
  <c r="P73" i="38"/>
  <c r="G219" i="262"/>
  <c r="P198" i="262"/>
  <c r="AF198" i="262"/>
  <c r="T198" i="262"/>
  <c r="L198" i="262"/>
  <c r="X198" i="262"/>
  <c r="AJ198" i="262"/>
  <c r="AB198" i="262"/>
  <c r="H199" i="262"/>
  <c r="N69" i="38" s="1"/>
  <c r="G202" i="262"/>
  <c r="Q70" i="38" s="1"/>
  <c r="G185" i="262"/>
  <c r="Q67" i="38" s="1"/>
  <c r="P181" i="262"/>
  <c r="AB181" i="262"/>
  <c r="AJ181" i="262"/>
  <c r="AF181" i="262"/>
  <c r="X181" i="262"/>
  <c r="L181" i="262"/>
  <c r="T181" i="262"/>
  <c r="H182" i="262"/>
  <c r="N66" i="38" s="1"/>
  <c r="X215" i="262"/>
  <c r="AB215" i="262"/>
  <c r="AJ215" i="262"/>
  <c r="H216" i="262"/>
  <c r="N72" i="38" s="1"/>
  <c r="P215" i="262"/>
  <c r="AF215" i="262"/>
  <c r="L215" i="262"/>
  <c r="T215" i="262"/>
  <c r="H533" i="262"/>
  <c r="AF533" i="262" s="1"/>
  <c r="G518" i="262"/>
  <c r="G470" i="262"/>
  <c r="G502" i="262"/>
  <c r="G487" i="262"/>
  <c r="AD549" i="262"/>
  <c r="N549" i="262"/>
  <c r="Z549" i="262"/>
  <c r="J549" i="262"/>
  <c r="G550" i="262"/>
  <c r="H550" i="262" s="1"/>
  <c r="V549" i="262"/>
  <c r="R549" i="262"/>
  <c r="AH549" i="262"/>
  <c r="F132" i="38"/>
  <c r="A583" i="262"/>
  <c r="C566" i="262"/>
  <c r="B566" i="262"/>
  <c r="G534" i="262"/>
  <c r="T211" i="261"/>
  <c r="L211" i="261"/>
  <c r="P211" i="261"/>
  <c r="X211" i="261"/>
  <c r="T194" i="261"/>
  <c r="L194" i="261"/>
  <c r="P194" i="261"/>
  <c r="X194" i="261"/>
  <c r="T92" i="261"/>
  <c r="L92" i="261"/>
  <c r="P92" i="261"/>
  <c r="X92" i="261"/>
  <c r="T75" i="261"/>
  <c r="L75" i="261"/>
  <c r="P75" i="261"/>
  <c r="X75" i="261"/>
  <c r="T58" i="261"/>
  <c r="L58" i="261"/>
  <c r="P58" i="261"/>
  <c r="X58" i="261"/>
  <c r="L41" i="261"/>
  <c r="T41" i="261"/>
  <c r="P41" i="261"/>
  <c r="X41" i="261"/>
  <c r="T24" i="261"/>
  <c r="X24" i="261"/>
  <c r="L24" i="261"/>
  <c r="P24" i="261"/>
  <c r="H42" i="261"/>
  <c r="H212" i="261"/>
  <c r="H213" i="261" s="1"/>
  <c r="H76" i="261"/>
  <c r="H77" i="261" s="1"/>
  <c r="H59" i="261"/>
  <c r="H60" i="261" s="1"/>
  <c r="AF418" i="262"/>
  <c r="X418" i="262"/>
  <c r="P418" i="262"/>
  <c r="L418" i="262"/>
  <c r="AB418" i="262"/>
  <c r="T418" i="262"/>
  <c r="AJ418" i="262"/>
  <c r="P370" i="262"/>
  <c r="X370" i="262"/>
  <c r="AF370" i="262"/>
  <c r="AJ370" i="262"/>
  <c r="T370" i="262"/>
  <c r="AB370" i="262"/>
  <c r="L370" i="262"/>
  <c r="L466" i="262"/>
  <c r="T466" i="262"/>
  <c r="AB466" i="262"/>
  <c r="AJ466" i="262"/>
  <c r="X466" i="262"/>
  <c r="P466" i="262"/>
  <c r="AF466" i="262"/>
  <c r="AF386" i="262"/>
  <c r="X386" i="262"/>
  <c r="P386" i="262"/>
  <c r="T386" i="262"/>
  <c r="AJ386" i="262"/>
  <c r="L386" i="262"/>
  <c r="AB386" i="262"/>
  <c r="AJ434" i="262"/>
  <c r="AB434" i="262"/>
  <c r="L434" i="262"/>
  <c r="T434" i="262"/>
  <c r="P434" i="262"/>
  <c r="X434" i="262"/>
  <c r="AF434" i="262"/>
  <c r="L402" i="262"/>
  <c r="T402" i="262"/>
  <c r="AB402" i="262"/>
  <c r="AJ402" i="262"/>
  <c r="P402" i="262"/>
  <c r="X402" i="262"/>
  <c r="AF402" i="262"/>
  <c r="AF354" i="262"/>
  <c r="X354" i="262"/>
  <c r="P354" i="262"/>
  <c r="T354" i="262"/>
  <c r="AJ354" i="262"/>
  <c r="L354" i="262"/>
  <c r="AB354" i="262"/>
  <c r="P338" i="262"/>
  <c r="X338" i="262"/>
  <c r="AF338" i="262"/>
  <c r="AB338" i="262"/>
  <c r="T338" i="262"/>
  <c r="AJ338" i="262"/>
  <c r="L338" i="262"/>
  <c r="AF450" i="262"/>
  <c r="X450" i="262"/>
  <c r="P450" i="262"/>
  <c r="AJ450" i="262"/>
  <c r="AB450" i="262"/>
  <c r="T450" i="262"/>
  <c r="L450" i="262"/>
  <c r="AJ322" i="262"/>
  <c r="AB322" i="262"/>
  <c r="T322" i="262"/>
  <c r="L322" i="262"/>
  <c r="X322" i="262"/>
  <c r="P322" i="262"/>
  <c r="AF322" i="262"/>
  <c r="B577" i="262"/>
  <c r="B562" i="262"/>
  <c r="B578" i="262"/>
  <c r="B553" i="262"/>
  <c r="B554" i="262"/>
  <c r="B491" i="262"/>
  <c r="B490" i="262"/>
  <c r="B506" i="262"/>
  <c r="B597" i="262"/>
  <c r="H387" i="262"/>
  <c r="B484" i="262"/>
  <c r="B581" i="262"/>
  <c r="H435" i="262"/>
  <c r="H25" i="261"/>
  <c r="B550" i="262"/>
  <c r="H403" i="262"/>
  <c r="B539" i="262"/>
  <c r="H355" i="262"/>
  <c r="B538" i="262"/>
  <c r="H195" i="261"/>
  <c r="H339" i="262"/>
  <c r="H467" i="262"/>
  <c r="H419" i="262"/>
  <c r="B159" i="38"/>
  <c r="H323" i="262"/>
  <c r="H371" i="262"/>
  <c r="H93" i="261"/>
  <c r="B483" i="262"/>
  <c r="H483" i="262"/>
  <c r="H451" i="262"/>
  <c r="E566" i="262"/>
  <c r="F566" i="262"/>
  <c r="H566" i="262"/>
  <c r="I566" i="262"/>
  <c r="G566" i="262"/>
  <c r="L62" i="9" l="1"/>
  <c r="Q61" i="38"/>
  <c r="G152" i="262"/>
  <c r="P522" i="1103"/>
  <c r="Q522" i="1103" s="1"/>
  <c r="H523" i="1103"/>
  <c r="T522" i="1103"/>
  <c r="U522" i="1103" s="1"/>
  <c r="L522" i="1103"/>
  <c r="M522" i="1103" s="1"/>
  <c r="P590" i="1103"/>
  <c r="Q590" i="1103" s="1"/>
  <c r="H591" i="1103"/>
  <c r="T590" i="1103"/>
  <c r="U590" i="1103" s="1"/>
  <c r="L590" i="1103"/>
  <c r="M590" i="1103" s="1"/>
  <c r="P131" i="1103"/>
  <c r="Q131" i="1103" s="1"/>
  <c r="H132" i="1103"/>
  <c r="T131" i="1103"/>
  <c r="U131" i="1103" s="1"/>
  <c r="L131" i="1103"/>
  <c r="M131" i="1103" s="1"/>
  <c r="J84" i="38"/>
  <c r="P280" i="262"/>
  <c r="L280" i="262"/>
  <c r="H281" i="262"/>
  <c r="AJ280" i="262"/>
  <c r="AF280" i="262"/>
  <c r="AB280" i="262"/>
  <c r="X280" i="262"/>
  <c r="T280" i="262"/>
  <c r="L706" i="1103"/>
  <c r="M706" i="1103" s="1"/>
  <c r="P706" i="1103"/>
  <c r="Q706" i="1103" s="1"/>
  <c r="H707" i="1103"/>
  <c r="T706" i="1103"/>
  <c r="U706" i="1103" s="1"/>
  <c r="L624" i="1103"/>
  <c r="M624" i="1103" s="1"/>
  <c r="P624" i="1103"/>
  <c r="Q624" i="1103" s="1"/>
  <c r="H625" i="1103"/>
  <c r="T624" i="1103"/>
  <c r="U624" i="1103" s="1"/>
  <c r="P246" i="1103"/>
  <c r="Q246" i="1103" s="1"/>
  <c r="T246" i="1103"/>
  <c r="U246" i="1103" s="1"/>
  <c r="H247" i="1103"/>
  <c r="L246" i="1103"/>
  <c r="M246" i="1103" s="1"/>
  <c r="P607" i="1103"/>
  <c r="Q607" i="1103" s="1"/>
  <c r="H608" i="1103"/>
  <c r="T607" i="1103"/>
  <c r="U607" i="1103" s="1"/>
  <c r="L607" i="1103"/>
  <c r="M607" i="1103" s="1"/>
  <c r="T573" i="1103"/>
  <c r="U573" i="1103" s="1"/>
  <c r="P573" i="1103"/>
  <c r="Q573" i="1103" s="1"/>
  <c r="H574" i="1103"/>
  <c r="L573" i="1103"/>
  <c r="M573" i="1103" s="1"/>
  <c r="H723" i="1103"/>
  <c r="T722" i="1103"/>
  <c r="U722" i="1103" s="1"/>
  <c r="L722" i="1103"/>
  <c r="M722" i="1103" s="1"/>
  <c r="P722" i="1103"/>
  <c r="Q722" i="1103" s="1"/>
  <c r="P740" i="1103"/>
  <c r="Q740" i="1103" s="1"/>
  <c r="H741" i="1103"/>
  <c r="L740" i="1103"/>
  <c r="M740" i="1103" s="1"/>
  <c r="T740" i="1103"/>
  <c r="U740" i="1103" s="1"/>
  <c r="P539" i="1103"/>
  <c r="Q539" i="1103" s="1"/>
  <c r="H540" i="1103"/>
  <c r="T539" i="1103"/>
  <c r="U539" i="1103" s="1"/>
  <c r="L539" i="1103"/>
  <c r="M539" i="1103" s="1"/>
  <c r="N63" i="38"/>
  <c r="H166" i="262"/>
  <c r="AB165" i="262"/>
  <c r="AJ165" i="262"/>
  <c r="P165" i="262"/>
  <c r="X165" i="262"/>
  <c r="T165" i="262"/>
  <c r="AF165" i="262"/>
  <c r="L165" i="262"/>
  <c r="R58" i="38"/>
  <c r="G136" i="262"/>
  <c r="N57" i="38"/>
  <c r="P131" i="262"/>
  <c r="T131" i="262"/>
  <c r="L131" i="262"/>
  <c r="AF131" i="262"/>
  <c r="H132" i="262"/>
  <c r="AJ131" i="262"/>
  <c r="AB131" i="262"/>
  <c r="X131" i="262"/>
  <c r="L263" i="1103"/>
  <c r="M263" i="1103" s="1"/>
  <c r="T263" i="1103"/>
  <c r="U263" i="1103" s="1"/>
  <c r="P263" i="1103"/>
  <c r="Q263" i="1103" s="1"/>
  <c r="H264" i="1103"/>
  <c r="J81" i="38"/>
  <c r="AB263" i="262"/>
  <c r="T263" i="262"/>
  <c r="P263" i="262"/>
  <c r="AJ263" i="262"/>
  <c r="AF263" i="262"/>
  <c r="L263" i="262"/>
  <c r="X263" i="262"/>
  <c r="H264" i="262"/>
  <c r="J78" i="38"/>
  <c r="X246" i="262"/>
  <c r="H247" i="262"/>
  <c r="T246" i="262"/>
  <c r="P246" i="262"/>
  <c r="AJ246" i="262"/>
  <c r="AF246" i="262"/>
  <c r="L246" i="262"/>
  <c r="AB246" i="262"/>
  <c r="L505" i="1103"/>
  <c r="M505" i="1103" s="1"/>
  <c r="P505" i="1103"/>
  <c r="Q505" i="1103" s="1"/>
  <c r="H506" i="1103"/>
  <c r="T505" i="1103"/>
  <c r="U505" i="1103" s="1"/>
  <c r="K87" i="38"/>
  <c r="AB298" i="262"/>
  <c r="AF298" i="262"/>
  <c r="P298" i="262"/>
  <c r="AJ298" i="262"/>
  <c r="L298" i="262"/>
  <c r="T298" i="262"/>
  <c r="X298" i="262"/>
  <c r="H299" i="262"/>
  <c r="L298" i="1103"/>
  <c r="M298" i="1103" s="1"/>
  <c r="T298" i="1103"/>
  <c r="U298" i="1103" s="1"/>
  <c r="P298" i="1103"/>
  <c r="Q298" i="1103" s="1"/>
  <c r="H299" i="1103"/>
  <c r="T280" i="1103"/>
  <c r="U280" i="1103" s="1"/>
  <c r="L280" i="1103"/>
  <c r="M280" i="1103" s="1"/>
  <c r="H281" i="1103"/>
  <c r="P280" i="1103"/>
  <c r="Q280" i="1103" s="1"/>
  <c r="Q64" i="38"/>
  <c r="G169" i="262"/>
  <c r="H659" i="1103"/>
  <c r="T658" i="1103"/>
  <c r="U658" i="1103" s="1"/>
  <c r="L658" i="1103"/>
  <c r="M658" i="1103" s="1"/>
  <c r="P658" i="1103"/>
  <c r="Q658" i="1103" s="1"/>
  <c r="J75" i="38"/>
  <c r="L229" i="262"/>
  <c r="P229" i="262"/>
  <c r="AB229" i="262"/>
  <c r="H230" i="262"/>
  <c r="T229" i="262"/>
  <c r="AJ229" i="262"/>
  <c r="X229" i="262"/>
  <c r="AF229" i="262"/>
  <c r="P229" i="1103"/>
  <c r="Q229" i="1103" s="1"/>
  <c r="T229" i="1103"/>
  <c r="U229" i="1103" s="1"/>
  <c r="L229" i="1103"/>
  <c r="M229" i="1103" s="1"/>
  <c r="H230" i="1103"/>
  <c r="N60" i="38"/>
  <c r="AF148" i="262"/>
  <c r="P148" i="262"/>
  <c r="T148" i="262"/>
  <c r="L148" i="262"/>
  <c r="H149" i="262"/>
  <c r="AJ148" i="262"/>
  <c r="AB148" i="262"/>
  <c r="X148" i="262"/>
  <c r="P556" i="1103"/>
  <c r="Q556" i="1103" s="1"/>
  <c r="H557" i="1103"/>
  <c r="T556" i="1103"/>
  <c r="U556" i="1103" s="1"/>
  <c r="L556" i="1103"/>
  <c r="M556" i="1103" s="1"/>
  <c r="H149" i="1103"/>
  <c r="T148" i="1103"/>
  <c r="U148" i="1103" s="1"/>
  <c r="L148" i="1103"/>
  <c r="M148" i="1103" s="1"/>
  <c r="P148" i="1103"/>
  <c r="Q148" i="1103" s="1"/>
  <c r="H166" i="1103"/>
  <c r="T165" i="1103"/>
  <c r="U165" i="1103" s="1"/>
  <c r="L165" i="1103"/>
  <c r="M165" i="1103" s="1"/>
  <c r="P165" i="1103"/>
  <c r="Q165" i="1103" s="1"/>
  <c r="H689" i="1103"/>
  <c r="T688" i="1103"/>
  <c r="U688" i="1103" s="1"/>
  <c r="L688" i="1103"/>
  <c r="M688" i="1103" s="1"/>
  <c r="P688" i="1103"/>
  <c r="Q688" i="1103" s="1"/>
  <c r="H676" i="1103"/>
  <c r="T675" i="1103"/>
  <c r="U675" i="1103" s="1"/>
  <c r="L675" i="1103"/>
  <c r="M675" i="1103" s="1"/>
  <c r="P675" i="1103"/>
  <c r="Q675" i="1103" s="1"/>
  <c r="H642" i="1103"/>
  <c r="T641" i="1103"/>
  <c r="U641" i="1103" s="1"/>
  <c r="L641" i="1103"/>
  <c r="M641" i="1103" s="1"/>
  <c r="P641" i="1103"/>
  <c r="Q641" i="1103" s="1"/>
  <c r="H489" i="1103"/>
  <c r="L488" i="1103"/>
  <c r="M488" i="1103" s="1"/>
  <c r="T488" i="1103"/>
  <c r="U488" i="1103" s="1"/>
  <c r="P488" i="1103"/>
  <c r="Q488" i="1103" s="1"/>
  <c r="H472" i="1103"/>
  <c r="T471" i="1103"/>
  <c r="U471" i="1103" s="1"/>
  <c r="L471" i="1103"/>
  <c r="M471" i="1103" s="1"/>
  <c r="P471" i="1103"/>
  <c r="Q471" i="1103" s="1"/>
  <c r="H217" i="1103"/>
  <c r="T216" i="1103"/>
  <c r="U216" i="1103" s="1"/>
  <c r="L216" i="1103"/>
  <c r="M216" i="1103" s="1"/>
  <c r="P216" i="1103"/>
  <c r="Q216" i="1103" s="1"/>
  <c r="H200" i="1103"/>
  <c r="T199" i="1103"/>
  <c r="U199" i="1103" s="1"/>
  <c r="L199" i="1103"/>
  <c r="M199" i="1103" s="1"/>
  <c r="P199" i="1103"/>
  <c r="Q199" i="1103" s="1"/>
  <c r="H183" i="1103"/>
  <c r="T182" i="1103"/>
  <c r="U182" i="1103" s="1"/>
  <c r="L182" i="1103"/>
  <c r="M182" i="1103" s="1"/>
  <c r="P182" i="1103"/>
  <c r="Q182" i="1103" s="1"/>
  <c r="H349" i="261"/>
  <c r="P348" i="261"/>
  <c r="Q348" i="261" s="1"/>
  <c r="X348" i="261"/>
  <c r="Y348" i="261" s="1"/>
  <c r="L348" i="261"/>
  <c r="M348" i="261" s="1"/>
  <c r="T348" i="261"/>
  <c r="U348" i="261" s="1"/>
  <c r="H332" i="261"/>
  <c r="X331" i="261"/>
  <c r="Y331" i="261" s="1"/>
  <c r="P331" i="261"/>
  <c r="Q331" i="261" s="1"/>
  <c r="L331" i="261"/>
  <c r="M331" i="261" s="1"/>
  <c r="T331" i="261"/>
  <c r="U331" i="261" s="1"/>
  <c r="H315" i="261"/>
  <c r="P314" i="261"/>
  <c r="Q314" i="261" s="1"/>
  <c r="X314" i="261"/>
  <c r="Y314" i="261" s="1"/>
  <c r="T314" i="261"/>
  <c r="U314" i="261" s="1"/>
  <c r="L314" i="261"/>
  <c r="M314" i="261" s="1"/>
  <c r="H298" i="261"/>
  <c r="X297" i="261"/>
  <c r="Y297" i="261" s="1"/>
  <c r="P297" i="261"/>
  <c r="Q297" i="261" s="1"/>
  <c r="L297" i="261"/>
  <c r="M297" i="261" s="1"/>
  <c r="T297" i="261"/>
  <c r="U297" i="261" s="1"/>
  <c r="H281" i="261"/>
  <c r="X280" i="261"/>
  <c r="Y280" i="261" s="1"/>
  <c r="P280" i="261"/>
  <c r="Q280" i="261" s="1"/>
  <c r="T280" i="261"/>
  <c r="U280" i="261" s="1"/>
  <c r="L280" i="261"/>
  <c r="M280" i="261" s="1"/>
  <c r="H264" i="261"/>
  <c r="P263" i="261"/>
  <c r="Q263" i="261" s="1"/>
  <c r="X263" i="261"/>
  <c r="Y263" i="261" s="1"/>
  <c r="L263" i="261"/>
  <c r="M263" i="261" s="1"/>
  <c r="T263" i="261"/>
  <c r="U263" i="261" s="1"/>
  <c r="H247" i="261"/>
  <c r="P246" i="261"/>
  <c r="Q246" i="261" s="1"/>
  <c r="L246" i="261"/>
  <c r="M246" i="261" s="1"/>
  <c r="T246" i="261"/>
  <c r="U246" i="261" s="1"/>
  <c r="X246" i="261"/>
  <c r="Y246" i="261" s="1"/>
  <c r="H230" i="261"/>
  <c r="X229" i="261"/>
  <c r="Y229" i="261" s="1"/>
  <c r="L229" i="261"/>
  <c r="M229" i="261" s="1"/>
  <c r="T229" i="261"/>
  <c r="U229" i="261" s="1"/>
  <c r="P229" i="261"/>
  <c r="Q229" i="261" s="1"/>
  <c r="H179" i="261"/>
  <c r="P178" i="261"/>
  <c r="Q178" i="261" s="1"/>
  <c r="T178" i="261"/>
  <c r="U178" i="261" s="1"/>
  <c r="X178" i="261"/>
  <c r="Y178" i="261" s="1"/>
  <c r="L178" i="261"/>
  <c r="M178" i="261" s="1"/>
  <c r="H162" i="261"/>
  <c r="P161" i="261"/>
  <c r="Q161" i="261" s="1"/>
  <c r="X161" i="261"/>
  <c r="Y161" i="261" s="1"/>
  <c r="L161" i="261"/>
  <c r="M161" i="261" s="1"/>
  <c r="T161" i="261"/>
  <c r="U161" i="261" s="1"/>
  <c r="H145" i="261"/>
  <c r="X144" i="261"/>
  <c r="Y144" i="261" s="1"/>
  <c r="P144" i="261"/>
  <c r="Q144" i="261" s="1"/>
  <c r="T144" i="261"/>
  <c r="U144" i="261" s="1"/>
  <c r="L144" i="261"/>
  <c r="M144" i="261" s="1"/>
  <c r="H128" i="261"/>
  <c r="P127" i="261"/>
  <c r="Q127" i="261" s="1"/>
  <c r="X127" i="261"/>
  <c r="Y127" i="261" s="1"/>
  <c r="L127" i="261"/>
  <c r="M127" i="261" s="1"/>
  <c r="T127" i="261"/>
  <c r="U127" i="261" s="1"/>
  <c r="H111" i="261"/>
  <c r="L110" i="261"/>
  <c r="M110" i="261" s="1"/>
  <c r="X110" i="261"/>
  <c r="Y110" i="261" s="1"/>
  <c r="T110" i="261"/>
  <c r="U110" i="261" s="1"/>
  <c r="P110" i="261"/>
  <c r="Q110" i="261" s="1"/>
  <c r="L30" i="9"/>
  <c r="L45" i="9"/>
  <c r="L38" i="9"/>
  <c r="L42" i="9"/>
  <c r="L39" i="9"/>
  <c r="L32" i="9"/>
  <c r="L44" i="9"/>
  <c r="J63" i="9"/>
  <c r="L37" i="9"/>
  <c r="L47" i="9"/>
  <c r="L35" i="9"/>
  <c r="L34" i="9"/>
  <c r="B49" i="9"/>
  <c r="L33" i="9"/>
  <c r="L36" i="9"/>
  <c r="L41" i="9"/>
  <c r="L46" i="9"/>
  <c r="L43" i="9"/>
  <c r="L31" i="9"/>
  <c r="L40" i="9"/>
  <c r="L48" i="9"/>
  <c r="L49" i="9"/>
  <c r="L50" i="9"/>
  <c r="L51" i="9"/>
  <c r="L52" i="9"/>
  <c r="L53" i="9"/>
  <c r="L54" i="9"/>
  <c r="L55" i="9"/>
  <c r="L56" i="9"/>
  <c r="L57" i="9"/>
  <c r="L58" i="9"/>
  <c r="L59" i="9"/>
  <c r="L60" i="9"/>
  <c r="L61" i="9"/>
  <c r="X533" i="262"/>
  <c r="G551" i="262"/>
  <c r="G552" i="262" s="1"/>
  <c r="Q73" i="38"/>
  <c r="G220" i="262"/>
  <c r="L533" i="262"/>
  <c r="T533" i="262"/>
  <c r="AB533" i="262"/>
  <c r="AJ533" i="262"/>
  <c r="P533" i="262"/>
  <c r="P182" i="262"/>
  <c r="T182" i="262"/>
  <c r="L182" i="262"/>
  <c r="X182" i="262"/>
  <c r="AF182" i="262"/>
  <c r="AJ182" i="262"/>
  <c r="AB182" i="262"/>
  <c r="H183" i="262"/>
  <c r="O66" i="38" s="1"/>
  <c r="AF216" i="262"/>
  <c r="P216" i="262"/>
  <c r="AJ216" i="262"/>
  <c r="AB216" i="262"/>
  <c r="X216" i="262"/>
  <c r="T216" i="262"/>
  <c r="L216" i="262"/>
  <c r="H217" i="262"/>
  <c r="O72" i="38" s="1"/>
  <c r="G186" i="262"/>
  <c r="R67" i="38" s="1"/>
  <c r="G203" i="262"/>
  <c r="R70" i="38" s="1"/>
  <c r="AF199" i="262"/>
  <c r="P199" i="262"/>
  <c r="AB199" i="262"/>
  <c r="AJ199" i="262"/>
  <c r="X199" i="262"/>
  <c r="L199" i="262"/>
  <c r="T199" i="262"/>
  <c r="H200" i="262"/>
  <c r="O69" i="38" s="1"/>
  <c r="G519" i="262"/>
  <c r="G471" i="262"/>
  <c r="G503" i="262"/>
  <c r="G488" i="262"/>
  <c r="Z566" i="262"/>
  <c r="J566" i="262"/>
  <c r="V566" i="262"/>
  <c r="AH566" i="262"/>
  <c r="R566" i="262"/>
  <c r="AD566" i="262"/>
  <c r="N566" i="262"/>
  <c r="G567" i="262"/>
  <c r="H567" i="262" s="1"/>
  <c r="F135" i="38"/>
  <c r="G535" i="262"/>
  <c r="C583" i="262"/>
  <c r="A600" i="262"/>
  <c r="B583" i="262"/>
  <c r="T213" i="261"/>
  <c r="L213" i="261"/>
  <c r="P213" i="261"/>
  <c r="X213" i="261"/>
  <c r="L212" i="261"/>
  <c r="T212" i="261"/>
  <c r="X212" i="261"/>
  <c r="P212" i="261"/>
  <c r="L195" i="261"/>
  <c r="T195" i="261"/>
  <c r="X195" i="261"/>
  <c r="P195" i="261"/>
  <c r="L93" i="261"/>
  <c r="T93" i="261"/>
  <c r="P93" i="261"/>
  <c r="X93" i="261"/>
  <c r="T77" i="261"/>
  <c r="L77" i="261"/>
  <c r="P77" i="261"/>
  <c r="X77" i="261"/>
  <c r="L76" i="261"/>
  <c r="T76" i="261"/>
  <c r="X76" i="261"/>
  <c r="P76" i="261"/>
  <c r="T60" i="261"/>
  <c r="L60" i="261"/>
  <c r="P60" i="261"/>
  <c r="X60" i="261"/>
  <c r="L59" i="261"/>
  <c r="T59" i="261"/>
  <c r="P59" i="261"/>
  <c r="X59" i="261"/>
  <c r="L42" i="261"/>
  <c r="T42" i="261"/>
  <c r="P42" i="261"/>
  <c r="X42" i="261"/>
  <c r="T25" i="261"/>
  <c r="X25" i="261"/>
  <c r="L25" i="261"/>
  <c r="P25" i="261"/>
  <c r="H43" i="261"/>
  <c r="H44" i="261" s="1"/>
  <c r="P483" i="262"/>
  <c r="X483" i="262"/>
  <c r="AF483" i="262"/>
  <c r="L483" i="262"/>
  <c r="T483" i="262"/>
  <c r="AB483" i="262"/>
  <c r="AJ483" i="262"/>
  <c r="AF550" i="262"/>
  <c r="X550" i="262"/>
  <c r="P550" i="262"/>
  <c r="L550" i="262"/>
  <c r="AB550" i="262"/>
  <c r="T550" i="262"/>
  <c r="AJ550" i="262"/>
  <c r="P419" i="262"/>
  <c r="X419" i="262"/>
  <c r="AF419" i="262"/>
  <c r="AJ419" i="262"/>
  <c r="T419" i="262"/>
  <c r="AB419" i="262"/>
  <c r="L419" i="262"/>
  <c r="AF339" i="262"/>
  <c r="X339" i="262"/>
  <c r="P339" i="262"/>
  <c r="L339" i="262"/>
  <c r="AJ339" i="262"/>
  <c r="T339" i="262"/>
  <c r="AB339" i="262"/>
  <c r="AJ403" i="262"/>
  <c r="AB403" i="262"/>
  <c r="T403" i="262"/>
  <c r="L403" i="262"/>
  <c r="AF403" i="262"/>
  <c r="X403" i="262"/>
  <c r="P403" i="262"/>
  <c r="T435" i="262"/>
  <c r="L435" i="262"/>
  <c r="AB435" i="262"/>
  <c r="AJ435" i="262"/>
  <c r="AF435" i="262"/>
  <c r="X435" i="262"/>
  <c r="P435" i="262"/>
  <c r="P387" i="262"/>
  <c r="X387" i="262"/>
  <c r="AF387" i="262"/>
  <c r="AB387" i="262"/>
  <c r="L387" i="262"/>
  <c r="AJ387" i="262"/>
  <c r="T387" i="262"/>
  <c r="P451" i="262"/>
  <c r="X451" i="262"/>
  <c r="AF451" i="262"/>
  <c r="L451" i="262"/>
  <c r="T451" i="262"/>
  <c r="AB451" i="262"/>
  <c r="AJ451" i="262"/>
  <c r="AF371" i="262"/>
  <c r="X371" i="262"/>
  <c r="P371" i="262"/>
  <c r="L371" i="262"/>
  <c r="AB371" i="262"/>
  <c r="T371" i="262"/>
  <c r="AJ371" i="262"/>
  <c r="X467" i="262"/>
  <c r="AJ467" i="262"/>
  <c r="AB467" i="262"/>
  <c r="T467" i="262"/>
  <c r="L467" i="262"/>
  <c r="AF467" i="262"/>
  <c r="P467" i="262"/>
  <c r="P355" i="262"/>
  <c r="X355" i="262"/>
  <c r="AF355" i="262"/>
  <c r="AB355" i="262"/>
  <c r="L355" i="262"/>
  <c r="AJ355" i="262"/>
  <c r="T355" i="262"/>
  <c r="L323" i="262"/>
  <c r="T323" i="262"/>
  <c r="AB323" i="262"/>
  <c r="AJ323" i="262"/>
  <c r="AF323" i="262"/>
  <c r="P323" i="262"/>
  <c r="X323" i="262"/>
  <c r="B594" i="262"/>
  <c r="B579" i="262"/>
  <c r="B595" i="262"/>
  <c r="B570" i="262"/>
  <c r="B523" i="262"/>
  <c r="B571" i="262"/>
  <c r="B614" i="262"/>
  <c r="B507" i="262"/>
  <c r="B508" i="262"/>
  <c r="H452" i="262"/>
  <c r="H372" i="262"/>
  <c r="H324" i="262"/>
  <c r="H420" i="262"/>
  <c r="H340" i="262"/>
  <c r="B555" i="262"/>
  <c r="H356" i="262"/>
  <c r="B556" i="262"/>
  <c r="B567" i="262"/>
  <c r="H26" i="261"/>
  <c r="H436" i="262"/>
  <c r="B501" i="262"/>
  <c r="H484" i="262"/>
  <c r="B500" i="262"/>
  <c r="H500" i="262"/>
  <c r="H61" i="261"/>
  <c r="H78" i="261"/>
  <c r="H94" i="261"/>
  <c r="B162" i="38"/>
  <c r="H468" i="262"/>
  <c r="H196" i="261"/>
  <c r="H404" i="262"/>
  <c r="B598" i="262"/>
  <c r="H214" i="261"/>
  <c r="H388" i="262"/>
  <c r="G583" i="262"/>
  <c r="H583" i="262"/>
  <c r="E583" i="262"/>
  <c r="F583" i="262"/>
  <c r="I583" i="262"/>
  <c r="R61" i="38" l="1"/>
  <c r="G153" i="262"/>
  <c r="L557" i="1103"/>
  <c r="M557" i="1103" s="1"/>
  <c r="P557" i="1103"/>
  <c r="Q557" i="1103" s="1"/>
  <c r="H558" i="1103"/>
  <c r="T557" i="1103"/>
  <c r="U557" i="1103" s="1"/>
  <c r="R64" i="38"/>
  <c r="G170" i="262"/>
  <c r="P506" i="1103"/>
  <c r="Q506" i="1103" s="1"/>
  <c r="H507" i="1103"/>
  <c r="T506" i="1103"/>
  <c r="U506" i="1103" s="1"/>
  <c r="L506" i="1103"/>
  <c r="M506" i="1103" s="1"/>
  <c r="K81" i="38"/>
  <c r="AJ264" i="262"/>
  <c r="H265" i="262"/>
  <c r="L264" i="262"/>
  <c r="P264" i="262"/>
  <c r="T264" i="262"/>
  <c r="X264" i="262"/>
  <c r="AB264" i="262"/>
  <c r="AF264" i="262"/>
  <c r="O57" i="38"/>
  <c r="H133" i="262"/>
  <c r="P132" i="262"/>
  <c r="X132" i="262"/>
  <c r="T132" i="262"/>
  <c r="L132" i="262"/>
  <c r="AJ132" i="262"/>
  <c r="AB132" i="262"/>
  <c r="AF132" i="262"/>
  <c r="T723" i="1103"/>
  <c r="U723" i="1103" s="1"/>
  <c r="L723" i="1103"/>
  <c r="M723" i="1103" s="1"/>
  <c r="H724" i="1103"/>
  <c r="P723" i="1103"/>
  <c r="Q723" i="1103" s="1"/>
  <c r="H248" i="1103"/>
  <c r="T247" i="1103"/>
  <c r="U247" i="1103" s="1"/>
  <c r="P247" i="1103"/>
  <c r="Q247" i="1103" s="1"/>
  <c r="L247" i="1103"/>
  <c r="M247" i="1103" s="1"/>
  <c r="P625" i="1103"/>
  <c r="Q625" i="1103" s="1"/>
  <c r="H626" i="1103"/>
  <c r="T625" i="1103"/>
  <c r="U625" i="1103" s="1"/>
  <c r="L625" i="1103"/>
  <c r="M625" i="1103" s="1"/>
  <c r="H708" i="1103"/>
  <c r="T707" i="1103"/>
  <c r="U707" i="1103" s="1"/>
  <c r="P707" i="1103"/>
  <c r="Q707" i="1103" s="1"/>
  <c r="L707" i="1103"/>
  <c r="M707" i="1103" s="1"/>
  <c r="K84" i="38"/>
  <c r="AB281" i="262"/>
  <c r="AF281" i="262"/>
  <c r="H282" i="262"/>
  <c r="L281" i="262"/>
  <c r="AJ281" i="262"/>
  <c r="T281" i="262"/>
  <c r="P281" i="262"/>
  <c r="X281" i="262"/>
  <c r="H167" i="1103"/>
  <c r="T166" i="1103"/>
  <c r="U166" i="1103" s="1"/>
  <c r="L166" i="1103"/>
  <c r="M166" i="1103" s="1"/>
  <c r="P166" i="1103"/>
  <c r="Q166" i="1103" s="1"/>
  <c r="H150" i="1103"/>
  <c r="T149" i="1103"/>
  <c r="U149" i="1103" s="1"/>
  <c r="L149" i="1103"/>
  <c r="M149" i="1103" s="1"/>
  <c r="P149" i="1103"/>
  <c r="Q149" i="1103" s="1"/>
  <c r="O60" i="38"/>
  <c r="AJ149" i="262"/>
  <c r="H150" i="262"/>
  <c r="AF149" i="262"/>
  <c r="AB149" i="262"/>
  <c r="T149" i="262"/>
  <c r="L149" i="262"/>
  <c r="X149" i="262"/>
  <c r="P149" i="262"/>
  <c r="K78" i="38"/>
  <c r="AJ247" i="262"/>
  <c r="H248" i="262"/>
  <c r="T247" i="262"/>
  <c r="X247" i="262"/>
  <c r="L247" i="262"/>
  <c r="P247" i="262"/>
  <c r="AB247" i="262"/>
  <c r="AF247" i="262"/>
  <c r="L264" i="1103"/>
  <c r="M264" i="1103" s="1"/>
  <c r="P264" i="1103"/>
  <c r="Q264" i="1103" s="1"/>
  <c r="T264" i="1103"/>
  <c r="U264" i="1103" s="1"/>
  <c r="H265" i="1103"/>
  <c r="L608" i="1103"/>
  <c r="M608" i="1103" s="1"/>
  <c r="P608" i="1103"/>
  <c r="Q608" i="1103" s="1"/>
  <c r="H609" i="1103"/>
  <c r="T608" i="1103"/>
  <c r="U608" i="1103" s="1"/>
  <c r="T299" i="1103"/>
  <c r="U299" i="1103" s="1"/>
  <c r="P299" i="1103"/>
  <c r="Q299" i="1103" s="1"/>
  <c r="H300" i="1103"/>
  <c r="L299" i="1103"/>
  <c r="M299" i="1103" s="1"/>
  <c r="L87" i="38"/>
  <c r="T299" i="262"/>
  <c r="P299" i="262"/>
  <c r="X299" i="262"/>
  <c r="L299" i="262"/>
  <c r="H300" i="262"/>
  <c r="AF299" i="262"/>
  <c r="AB299" i="262"/>
  <c r="AJ299" i="262"/>
  <c r="S58" i="38"/>
  <c r="G137" i="262"/>
  <c r="P574" i="1103"/>
  <c r="Q574" i="1103" s="1"/>
  <c r="H575" i="1103"/>
  <c r="L574" i="1103"/>
  <c r="M574" i="1103" s="1"/>
  <c r="T574" i="1103"/>
  <c r="U574" i="1103" s="1"/>
  <c r="P132" i="1103"/>
  <c r="Q132" i="1103" s="1"/>
  <c r="H133" i="1103"/>
  <c r="T132" i="1103"/>
  <c r="U132" i="1103" s="1"/>
  <c r="L132" i="1103"/>
  <c r="M132" i="1103" s="1"/>
  <c r="L591" i="1103"/>
  <c r="M591" i="1103" s="1"/>
  <c r="P591" i="1103"/>
  <c r="Q591" i="1103" s="1"/>
  <c r="H592" i="1103"/>
  <c r="T591" i="1103"/>
  <c r="U591" i="1103" s="1"/>
  <c r="L523" i="1103"/>
  <c r="M523" i="1103" s="1"/>
  <c r="P523" i="1103"/>
  <c r="Q523" i="1103" s="1"/>
  <c r="H524" i="1103"/>
  <c r="T523" i="1103"/>
  <c r="U523" i="1103" s="1"/>
  <c r="L63" i="9"/>
  <c r="H231" i="1103"/>
  <c r="P230" i="1103"/>
  <c r="Q230" i="1103" s="1"/>
  <c r="T230" i="1103"/>
  <c r="U230" i="1103" s="1"/>
  <c r="L230" i="1103"/>
  <c r="M230" i="1103" s="1"/>
  <c r="K75" i="38"/>
  <c r="AF230" i="262"/>
  <c r="AB230" i="262"/>
  <c r="X230" i="262"/>
  <c r="AJ230" i="262"/>
  <c r="H231" i="262"/>
  <c r="P230" i="262"/>
  <c r="L230" i="262"/>
  <c r="T230" i="262"/>
  <c r="H660" i="1103"/>
  <c r="T659" i="1103"/>
  <c r="U659" i="1103" s="1"/>
  <c r="L659" i="1103"/>
  <c r="M659" i="1103" s="1"/>
  <c r="P659" i="1103"/>
  <c r="Q659" i="1103" s="1"/>
  <c r="T281" i="1103"/>
  <c r="U281" i="1103" s="1"/>
  <c r="L281" i="1103"/>
  <c r="M281" i="1103" s="1"/>
  <c r="H282" i="1103"/>
  <c r="P281" i="1103"/>
  <c r="Q281" i="1103" s="1"/>
  <c r="O63" i="38"/>
  <c r="AB166" i="262"/>
  <c r="P166" i="262"/>
  <c r="AJ166" i="262"/>
  <c r="T166" i="262"/>
  <c r="L166" i="262"/>
  <c r="H167" i="262"/>
  <c r="AF166" i="262"/>
  <c r="X166" i="262"/>
  <c r="P540" i="1103"/>
  <c r="Q540" i="1103" s="1"/>
  <c r="H541" i="1103"/>
  <c r="T540" i="1103"/>
  <c r="U540" i="1103" s="1"/>
  <c r="L540" i="1103"/>
  <c r="M540" i="1103" s="1"/>
  <c r="P741" i="1103"/>
  <c r="Q741" i="1103" s="1"/>
  <c r="T741" i="1103"/>
  <c r="U741" i="1103" s="1"/>
  <c r="H742" i="1103"/>
  <c r="L741" i="1103"/>
  <c r="M741" i="1103" s="1"/>
  <c r="H690" i="1103"/>
  <c r="T689" i="1103"/>
  <c r="U689" i="1103" s="1"/>
  <c r="L689" i="1103"/>
  <c r="M689" i="1103" s="1"/>
  <c r="P689" i="1103"/>
  <c r="Q689" i="1103" s="1"/>
  <c r="H677" i="1103"/>
  <c r="T676" i="1103"/>
  <c r="U676" i="1103" s="1"/>
  <c r="L676" i="1103"/>
  <c r="M676" i="1103" s="1"/>
  <c r="P676" i="1103"/>
  <c r="Q676" i="1103" s="1"/>
  <c r="H643" i="1103"/>
  <c r="T642" i="1103"/>
  <c r="U642" i="1103" s="1"/>
  <c r="L642" i="1103"/>
  <c r="M642" i="1103" s="1"/>
  <c r="P642" i="1103"/>
  <c r="Q642" i="1103" s="1"/>
  <c r="H490" i="1103"/>
  <c r="T489" i="1103"/>
  <c r="U489" i="1103" s="1"/>
  <c r="L489" i="1103"/>
  <c r="M489" i="1103" s="1"/>
  <c r="P489" i="1103"/>
  <c r="Q489" i="1103" s="1"/>
  <c r="H473" i="1103"/>
  <c r="T472" i="1103"/>
  <c r="U472" i="1103" s="1"/>
  <c r="L472" i="1103"/>
  <c r="M472" i="1103" s="1"/>
  <c r="P472" i="1103"/>
  <c r="Q472" i="1103" s="1"/>
  <c r="H218" i="1103"/>
  <c r="T217" i="1103"/>
  <c r="U217" i="1103" s="1"/>
  <c r="L217" i="1103"/>
  <c r="M217" i="1103" s="1"/>
  <c r="P217" i="1103"/>
  <c r="Q217" i="1103" s="1"/>
  <c r="H201" i="1103"/>
  <c r="T200" i="1103"/>
  <c r="U200" i="1103" s="1"/>
  <c r="L200" i="1103"/>
  <c r="M200" i="1103" s="1"/>
  <c r="P200" i="1103"/>
  <c r="Q200" i="1103" s="1"/>
  <c r="H184" i="1103"/>
  <c r="T183" i="1103"/>
  <c r="U183" i="1103" s="1"/>
  <c r="L183" i="1103"/>
  <c r="M183" i="1103" s="1"/>
  <c r="P183" i="1103"/>
  <c r="Q183" i="1103" s="1"/>
  <c r="H350" i="261"/>
  <c r="P349" i="261"/>
  <c r="Q349" i="261" s="1"/>
  <c r="X349" i="261"/>
  <c r="Y349" i="261" s="1"/>
  <c r="L349" i="261"/>
  <c r="M349" i="261" s="1"/>
  <c r="T349" i="261"/>
  <c r="U349" i="261" s="1"/>
  <c r="H333" i="261"/>
  <c r="X332" i="261"/>
  <c r="Y332" i="261" s="1"/>
  <c r="P332" i="261"/>
  <c r="Q332" i="261" s="1"/>
  <c r="L332" i="261"/>
  <c r="M332" i="261" s="1"/>
  <c r="T332" i="261"/>
  <c r="U332" i="261" s="1"/>
  <c r="H316" i="261"/>
  <c r="X315" i="261"/>
  <c r="Y315" i="261" s="1"/>
  <c r="P315" i="261"/>
  <c r="Q315" i="261" s="1"/>
  <c r="L315" i="261"/>
  <c r="M315" i="261" s="1"/>
  <c r="T315" i="261"/>
  <c r="U315" i="261" s="1"/>
  <c r="H299" i="261"/>
  <c r="P298" i="261"/>
  <c r="Q298" i="261" s="1"/>
  <c r="X298" i="261"/>
  <c r="Y298" i="261" s="1"/>
  <c r="L298" i="261"/>
  <c r="M298" i="261" s="1"/>
  <c r="T298" i="261"/>
  <c r="U298" i="261" s="1"/>
  <c r="H282" i="261"/>
  <c r="X281" i="261"/>
  <c r="Y281" i="261" s="1"/>
  <c r="P281" i="261"/>
  <c r="Q281" i="261" s="1"/>
  <c r="L281" i="261"/>
  <c r="M281" i="261" s="1"/>
  <c r="T281" i="261"/>
  <c r="U281" i="261" s="1"/>
  <c r="H265" i="261"/>
  <c r="X264" i="261"/>
  <c r="Y264" i="261" s="1"/>
  <c r="P264" i="261"/>
  <c r="Q264" i="261" s="1"/>
  <c r="L264" i="261"/>
  <c r="M264" i="261" s="1"/>
  <c r="T264" i="261"/>
  <c r="U264" i="261" s="1"/>
  <c r="H248" i="261"/>
  <c r="L247" i="261"/>
  <c r="M247" i="261" s="1"/>
  <c r="P247" i="261"/>
  <c r="Q247" i="261" s="1"/>
  <c r="T247" i="261"/>
  <c r="U247" i="261" s="1"/>
  <c r="X247" i="261"/>
  <c r="Y247" i="261" s="1"/>
  <c r="H231" i="261"/>
  <c r="L230" i="261"/>
  <c r="M230" i="261" s="1"/>
  <c r="T230" i="261"/>
  <c r="U230" i="261" s="1"/>
  <c r="X230" i="261"/>
  <c r="Y230" i="261" s="1"/>
  <c r="P230" i="261"/>
  <c r="Q230" i="261" s="1"/>
  <c r="H180" i="261"/>
  <c r="P179" i="261"/>
  <c r="Q179" i="261" s="1"/>
  <c r="T179" i="261"/>
  <c r="U179" i="261" s="1"/>
  <c r="X179" i="261"/>
  <c r="Y179" i="261" s="1"/>
  <c r="L179" i="261"/>
  <c r="M179" i="261" s="1"/>
  <c r="H163" i="261"/>
  <c r="P162" i="261"/>
  <c r="Q162" i="261" s="1"/>
  <c r="X162" i="261"/>
  <c r="Y162" i="261" s="1"/>
  <c r="L162" i="261"/>
  <c r="M162" i="261" s="1"/>
  <c r="T162" i="261"/>
  <c r="U162" i="261" s="1"/>
  <c r="H146" i="261"/>
  <c r="X145" i="261"/>
  <c r="Y145" i="261" s="1"/>
  <c r="P145" i="261"/>
  <c r="Q145" i="261" s="1"/>
  <c r="L145" i="261"/>
  <c r="M145" i="261" s="1"/>
  <c r="T145" i="261"/>
  <c r="U145" i="261" s="1"/>
  <c r="H129" i="261"/>
  <c r="X128" i="261"/>
  <c r="Y128" i="261" s="1"/>
  <c r="P128" i="261"/>
  <c r="Q128" i="261" s="1"/>
  <c r="T128" i="261"/>
  <c r="U128" i="261" s="1"/>
  <c r="L128" i="261"/>
  <c r="M128" i="261" s="1"/>
  <c r="H112" i="261"/>
  <c r="X111" i="261"/>
  <c r="Y111" i="261" s="1"/>
  <c r="L111" i="261"/>
  <c r="M111" i="261" s="1"/>
  <c r="T111" i="261"/>
  <c r="U111" i="261" s="1"/>
  <c r="P111" i="261"/>
  <c r="Q111" i="261" s="1"/>
  <c r="B50" i="9"/>
  <c r="J64" i="9"/>
  <c r="R73" i="38"/>
  <c r="G221" i="262"/>
  <c r="P200" i="262"/>
  <c r="AF200" i="262"/>
  <c r="T200" i="262"/>
  <c r="L200" i="262"/>
  <c r="X200" i="262"/>
  <c r="AJ200" i="262"/>
  <c r="AB200" i="262"/>
  <c r="H201" i="262"/>
  <c r="P69" i="38" s="1"/>
  <c r="X217" i="262"/>
  <c r="AB217" i="262"/>
  <c r="AJ217" i="262"/>
  <c r="H218" i="262"/>
  <c r="P72" i="38" s="1"/>
  <c r="P217" i="262"/>
  <c r="AF217" i="262"/>
  <c r="L217" i="262"/>
  <c r="T217" i="262"/>
  <c r="G204" i="262"/>
  <c r="S70" i="38" s="1"/>
  <c r="G187" i="262"/>
  <c r="S67" i="38" s="1"/>
  <c r="P183" i="262"/>
  <c r="AB183" i="262"/>
  <c r="AJ183" i="262"/>
  <c r="H184" i="262"/>
  <c r="P66" i="38" s="1"/>
  <c r="AF183" i="262"/>
  <c r="X183" i="262"/>
  <c r="L183" i="262"/>
  <c r="T183" i="262"/>
  <c r="G568" i="262"/>
  <c r="G520" i="262"/>
  <c r="G472" i="262"/>
  <c r="G504" i="262"/>
  <c r="G489" i="262"/>
  <c r="AH583" i="262"/>
  <c r="R583" i="262"/>
  <c r="AD583" i="262"/>
  <c r="N583" i="262"/>
  <c r="G584" i="262"/>
  <c r="H584" i="262" s="1"/>
  <c r="Z583" i="262"/>
  <c r="J583" i="262"/>
  <c r="V583" i="262"/>
  <c r="F138" i="38"/>
  <c r="G536" i="262"/>
  <c r="G553" i="262"/>
  <c r="C600" i="262"/>
  <c r="A617" i="262"/>
  <c r="B600" i="262"/>
  <c r="L214" i="261"/>
  <c r="T214" i="261"/>
  <c r="X214" i="261"/>
  <c r="P214" i="261"/>
  <c r="P196" i="261"/>
  <c r="X196" i="261"/>
  <c r="T196" i="261"/>
  <c r="L196" i="261"/>
  <c r="P94" i="261"/>
  <c r="T94" i="261"/>
  <c r="L94" i="261"/>
  <c r="X94" i="261"/>
  <c r="X78" i="261"/>
  <c r="P78" i="261"/>
  <c r="L78" i="261"/>
  <c r="T78" i="261"/>
  <c r="L61" i="261"/>
  <c r="T61" i="261"/>
  <c r="P61" i="261"/>
  <c r="X61" i="261"/>
  <c r="L44" i="261"/>
  <c r="T44" i="261"/>
  <c r="P44" i="261"/>
  <c r="X44" i="261"/>
  <c r="L43" i="261"/>
  <c r="T43" i="261"/>
  <c r="P43" i="261"/>
  <c r="X43" i="261"/>
  <c r="T26" i="261"/>
  <c r="X26" i="261"/>
  <c r="L26" i="261"/>
  <c r="P26" i="261"/>
  <c r="P500" i="262"/>
  <c r="X500" i="262"/>
  <c r="AF500" i="262"/>
  <c r="L500" i="262"/>
  <c r="T500" i="262"/>
  <c r="AB500" i="262"/>
  <c r="AJ500" i="262"/>
  <c r="AF567" i="262"/>
  <c r="X567" i="262"/>
  <c r="P567" i="262"/>
  <c r="T567" i="262"/>
  <c r="AJ567" i="262"/>
  <c r="L567" i="262"/>
  <c r="AB567" i="262"/>
  <c r="AF484" i="262"/>
  <c r="X484" i="262"/>
  <c r="P484" i="262"/>
  <c r="AJ484" i="262"/>
  <c r="AB484" i="262"/>
  <c r="T484" i="262"/>
  <c r="L484" i="262"/>
  <c r="T468" i="262"/>
  <c r="AB468" i="262"/>
  <c r="AJ468" i="262"/>
  <c r="P468" i="262"/>
  <c r="AF468" i="262"/>
  <c r="L468" i="262"/>
  <c r="X468" i="262"/>
  <c r="AJ436" i="262"/>
  <c r="AB436" i="262"/>
  <c r="L436" i="262"/>
  <c r="T436" i="262"/>
  <c r="P436" i="262"/>
  <c r="X436" i="262"/>
  <c r="AF436" i="262"/>
  <c r="AF356" i="262"/>
  <c r="X356" i="262"/>
  <c r="P356" i="262"/>
  <c r="T356" i="262"/>
  <c r="AJ356" i="262"/>
  <c r="L356" i="262"/>
  <c r="AB356" i="262"/>
  <c r="AF420" i="262"/>
  <c r="X420" i="262"/>
  <c r="P420" i="262"/>
  <c r="L420" i="262"/>
  <c r="AB420" i="262"/>
  <c r="T420" i="262"/>
  <c r="AJ420" i="262"/>
  <c r="P372" i="262"/>
  <c r="X372" i="262"/>
  <c r="AF372" i="262"/>
  <c r="AJ372" i="262"/>
  <c r="T372" i="262"/>
  <c r="AB372" i="262"/>
  <c r="L372" i="262"/>
  <c r="AF388" i="262"/>
  <c r="X388" i="262"/>
  <c r="P388" i="262"/>
  <c r="T388" i="262"/>
  <c r="AJ388" i="262"/>
  <c r="L388" i="262"/>
  <c r="AB388" i="262"/>
  <c r="L404" i="262"/>
  <c r="T404" i="262"/>
  <c r="AB404" i="262"/>
  <c r="AJ404" i="262"/>
  <c r="P404" i="262"/>
  <c r="X404" i="262"/>
  <c r="AF404" i="262"/>
  <c r="P340" i="262"/>
  <c r="X340" i="262"/>
  <c r="AF340" i="262"/>
  <c r="AB340" i="262"/>
  <c r="T340" i="262"/>
  <c r="AJ340" i="262"/>
  <c r="L340" i="262"/>
  <c r="AF452" i="262"/>
  <c r="X452" i="262"/>
  <c r="P452" i="262"/>
  <c r="AJ452" i="262"/>
  <c r="AB452" i="262"/>
  <c r="T452" i="262"/>
  <c r="L452" i="262"/>
  <c r="X324" i="262"/>
  <c r="P324" i="262"/>
  <c r="AF324" i="262"/>
  <c r="AJ324" i="262"/>
  <c r="AB324" i="262"/>
  <c r="T324" i="262"/>
  <c r="L324" i="262"/>
  <c r="B611" i="262"/>
  <c r="B596" i="262"/>
  <c r="B612" i="262"/>
  <c r="B587" i="262"/>
  <c r="B525" i="262"/>
  <c r="B524" i="262"/>
  <c r="B631" i="262"/>
  <c r="B588" i="262"/>
  <c r="B540" i="262"/>
  <c r="H389" i="262"/>
  <c r="H215" i="261"/>
  <c r="B615" i="262"/>
  <c r="H197" i="261"/>
  <c r="H45" i="261"/>
  <c r="B165" i="38"/>
  <c r="H79" i="261"/>
  <c r="H62" i="261"/>
  <c r="B517" i="262"/>
  <c r="H517" i="262"/>
  <c r="H485" i="262"/>
  <c r="B518" i="262"/>
  <c r="H27" i="261"/>
  <c r="B584" i="262"/>
  <c r="B573" i="262"/>
  <c r="H357" i="262"/>
  <c r="B572" i="262"/>
  <c r="H341" i="262"/>
  <c r="H421" i="262"/>
  <c r="H325" i="262"/>
  <c r="H453" i="262"/>
  <c r="H405" i="262"/>
  <c r="H469" i="262"/>
  <c r="H95" i="261"/>
  <c r="H501" i="262"/>
  <c r="H437" i="262"/>
  <c r="H373" i="262"/>
  <c r="H600" i="262"/>
  <c r="I600" i="262"/>
  <c r="F600" i="262"/>
  <c r="E600" i="262"/>
  <c r="G600" i="262"/>
  <c r="G154" i="262" l="1"/>
  <c r="S61" i="38"/>
  <c r="T58" i="38"/>
  <c r="G138" i="262"/>
  <c r="H301" i="1103"/>
  <c r="P300" i="1103"/>
  <c r="Q300" i="1103" s="1"/>
  <c r="L300" i="1103"/>
  <c r="M300" i="1103" s="1"/>
  <c r="T300" i="1103"/>
  <c r="U300" i="1103" s="1"/>
  <c r="P609" i="1103"/>
  <c r="Q609" i="1103" s="1"/>
  <c r="H610" i="1103"/>
  <c r="T609" i="1103"/>
  <c r="U609" i="1103" s="1"/>
  <c r="L609" i="1103"/>
  <c r="M609" i="1103" s="1"/>
  <c r="P60" i="38"/>
  <c r="AF150" i="262"/>
  <c r="H151" i="262"/>
  <c r="L150" i="262"/>
  <c r="AB150" i="262"/>
  <c r="AJ150" i="262"/>
  <c r="X150" i="262"/>
  <c r="T150" i="262"/>
  <c r="P150" i="262"/>
  <c r="L84" i="38"/>
  <c r="L282" i="262"/>
  <c r="H283" i="262"/>
  <c r="AF282" i="262"/>
  <c r="X282" i="262"/>
  <c r="AJ282" i="262"/>
  <c r="AB282" i="262"/>
  <c r="T282" i="262"/>
  <c r="P282" i="262"/>
  <c r="L507" i="1103"/>
  <c r="M507" i="1103" s="1"/>
  <c r="P507" i="1103"/>
  <c r="Q507" i="1103" s="1"/>
  <c r="H508" i="1103"/>
  <c r="T507" i="1103"/>
  <c r="U507" i="1103" s="1"/>
  <c r="P660" i="1103"/>
  <c r="Q660" i="1103" s="1"/>
  <c r="H661" i="1103"/>
  <c r="T660" i="1103"/>
  <c r="U660" i="1103" s="1"/>
  <c r="L660" i="1103"/>
  <c r="M660" i="1103" s="1"/>
  <c r="L75" i="38"/>
  <c r="AF231" i="262"/>
  <c r="X231" i="262"/>
  <c r="L231" i="262"/>
  <c r="T231" i="262"/>
  <c r="P231" i="262"/>
  <c r="AB231" i="262"/>
  <c r="AJ231" i="262"/>
  <c r="H232" i="262"/>
  <c r="P524" i="1103"/>
  <c r="Q524" i="1103" s="1"/>
  <c r="H525" i="1103"/>
  <c r="T524" i="1103"/>
  <c r="U524" i="1103" s="1"/>
  <c r="L524" i="1103"/>
  <c r="M524" i="1103" s="1"/>
  <c r="P592" i="1103"/>
  <c r="Q592" i="1103" s="1"/>
  <c r="H593" i="1103"/>
  <c r="T592" i="1103"/>
  <c r="U592" i="1103" s="1"/>
  <c r="L592" i="1103"/>
  <c r="M592" i="1103" s="1"/>
  <c r="M87" i="38"/>
  <c r="AJ300" i="262"/>
  <c r="AB300" i="262"/>
  <c r="L300" i="262"/>
  <c r="P300" i="262"/>
  <c r="T300" i="262"/>
  <c r="X300" i="262"/>
  <c r="AF300" i="262"/>
  <c r="H301" i="262"/>
  <c r="L265" i="1103"/>
  <c r="M265" i="1103" s="1"/>
  <c r="H266" i="1103"/>
  <c r="P265" i="1103"/>
  <c r="Q265" i="1103" s="1"/>
  <c r="T265" i="1103"/>
  <c r="U265" i="1103" s="1"/>
  <c r="T724" i="1103"/>
  <c r="U724" i="1103" s="1"/>
  <c r="P724" i="1103"/>
  <c r="Q724" i="1103" s="1"/>
  <c r="L724" i="1103"/>
  <c r="M724" i="1103" s="1"/>
  <c r="H725" i="1103"/>
  <c r="P558" i="1103"/>
  <c r="Q558" i="1103" s="1"/>
  <c r="H559" i="1103"/>
  <c r="T558" i="1103"/>
  <c r="U558" i="1103" s="1"/>
  <c r="L558" i="1103"/>
  <c r="M558" i="1103" s="1"/>
  <c r="P742" i="1103"/>
  <c r="Q742" i="1103" s="1"/>
  <c r="L742" i="1103"/>
  <c r="M742" i="1103" s="1"/>
  <c r="H743" i="1103"/>
  <c r="T742" i="1103"/>
  <c r="U742" i="1103" s="1"/>
  <c r="P231" i="1103"/>
  <c r="Q231" i="1103" s="1"/>
  <c r="H232" i="1103"/>
  <c r="T231" i="1103"/>
  <c r="U231" i="1103" s="1"/>
  <c r="L231" i="1103"/>
  <c r="M231" i="1103" s="1"/>
  <c r="L133" i="1103"/>
  <c r="M133" i="1103" s="1"/>
  <c r="P133" i="1103"/>
  <c r="Q133" i="1103" s="1"/>
  <c r="H134" i="1103"/>
  <c r="T133" i="1103"/>
  <c r="U133" i="1103" s="1"/>
  <c r="L575" i="1103"/>
  <c r="M575" i="1103" s="1"/>
  <c r="P575" i="1103"/>
  <c r="Q575" i="1103" s="1"/>
  <c r="H576" i="1103"/>
  <c r="T575" i="1103"/>
  <c r="U575" i="1103" s="1"/>
  <c r="P150" i="1103"/>
  <c r="Q150" i="1103" s="1"/>
  <c r="H151" i="1103"/>
  <c r="T150" i="1103"/>
  <c r="U150" i="1103" s="1"/>
  <c r="L150" i="1103"/>
  <c r="M150" i="1103" s="1"/>
  <c r="P167" i="1103"/>
  <c r="Q167" i="1103" s="1"/>
  <c r="H168" i="1103"/>
  <c r="T167" i="1103"/>
  <c r="U167" i="1103" s="1"/>
  <c r="L167" i="1103"/>
  <c r="M167" i="1103" s="1"/>
  <c r="L626" i="1103"/>
  <c r="M626" i="1103" s="1"/>
  <c r="P626" i="1103"/>
  <c r="Q626" i="1103" s="1"/>
  <c r="H627" i="1103"/>
  <c r="T626" i="1103"/>
  <c r="U626" i="1103" s="1"/>
  <c r="S64" i="38"/>
  <c r="G171" i="262"/>
  <c r="L541" i="1103"/>
  <c r="M541" i="1103" s="1"/>
  <c r="P541" i="1103"/>
  <c r="Q541" i="1103" s="1"/>
  <c r="H542" i="1103"/>
  <c r="T541" i="1103"/>
  <c r="U541" i="1103" s="1"/>
  <c r="P63" i="38"/>
  <c r="AJ167" i="262"/>
  <c r="X167" i="262"/>
  <c r="L167" i="262"/>
  <c r="T167" i="262"/>
  <c r="H168" i="262"/>
  <c r="AB167" i="262"/>
  <c r="AF167" i="262"/>
  <c r="P167" i="262"/>
  <c r="H283" i="1103"/>
  <c r="L282" i="1103"/>
  <c r="M282" i="1103" s="1"/>
  <c r="T282" i="1103"/>
  <c r="U282" i="1103" s="1"/>
  <c r="P282" i="1103"/>
  <c r="Q282" i="1103" s="1"/>
  <c r="L78" i="38"/>
  <c r="AF248" i="262"/>
  <c r="AB248" i="262"/>
  <c r="X248" i="262"/>
  <c r="H249" i="262"/>
  <c r="T248" i="262"/>
  <c r="P248" i="262"/>
  <c r="L248" i="262"/>
  <c r="AJ248" i="262"/>
  <c r="P708" i="1103"/>
  <c r="Q708" i="1103" s="1"/>
  <c r="T708" i="1103"/>
  <c r="U708" i="1103" s="1"/>
  <c r="H709" i="1103"/>
  <c r="L708" i="1103"/>
  <c r="M708" i="1103" s="1"/>
  <c r="P248" i="1103"/>
  <c r="Q248" i="1103" s="1"/>
  <c r="H249" i="1103"/>
  <c r="L248" i="1103"/>
  <c r="M248" i="1103" s="1"/>
  <c r="T248" i="1103"/>
  <c r="U248" i="1103" s="1"/>
  <c r="P57" i="38"/>
  <c r="L133" i="262"/>
  <c r="T133" i="262"/>
  <c r="AB133" i="262"/>
  <c r="AJ133" i="262"/>
  <c r="AF133" i="262"/>
  <c r="H134" i="262"/>
  <c r="X133" i="262"/>
  <c r="P133" i="262"/>
  <c r="L81" i="38"/>
  <c r="AJ265" i="262"/>
  <c r="AF265" i="262"/>
  <c r="H266" i="262"/>
  <c r="P265" i="262"/>
  <c r="AB265" i="262"/>
  <c r="X265" i="262"/>
  <c r="T265" i="262"/>
  <c r="L265" i="262"/>
  <c r="H691" i="1103"/>
  <c r="T690" i="1103"/>
  <c r="U690" i="1103" s="1"/>
  <c r="L690" i="1103"/>
  <c r="M690" i="1103" s="1"/>
  <c r="P690" i="1103"/>
  <c r="Q690" i="1103" s="1"/>
  <c r="H678" i="1103"/>
  <c r="T677" i="1103"/>
  <c r="U677" i="1103" s="1"/>
  <c r="L677" i="1103"/>
  <c r="M677" i="1103" s="1"/>
  <c r="P677" i="1103"/>
  <c r="Q677" i="1103" s="1"/>
  <c r="H644" i="1103"/>
  <c r="T643" i="1103"/>
  <c r="U643" i="1103" s="1"/>
  <c r="L643" i="1103"/>
  <c r="M643" i="1103" s="1"/>
  <c r="P643" i="1103"/>
  <c r="Q643" i="1103" s="1"/>
  <c r="H491" i="1103"/>
  <c r="T490" i="1103"/>
  <c r="U490" i="1103" s="1"/>
  <c r="L490" i="1103"/>
  <c r="M490" i="1103" s="1"/>
  <c r="P490" i="1103"/>
  <c r="Q490" i="1103" s="1"/>
  <c r="H474" i="1103"/>
  <c r="T473" i="1103"/>
  <c r="U473" i="1103" s="1"/>
  <c r="L473" i="1103"/>
  <c r="M473" i="1103" s="1"/>
  <c r="P473" i="1103"/>
  <c r="Q473" i="1103" s="1"/>
  <c r="H219" i="1103"/>
  <c r="T218" i="1103"/>
  <c r="U218" i="1103" s="1"/>
  <c r="L218" i="1103"/>
  <c r="M218" i="1103" s="1"/>
  <c r="P218" i="1103"/>
  <c r="Q218" i="1103" s="1"/>
  <c r="H202" i="1103"/>
  <c r="T201" i="1103"/>
  <c r="U201" i="1103" s="1"/>
  <c r="L201" i="1103"/>
  <c r="M201" i="1103" s="1"/>
  <c r="P201" i="1103"/>
  <c r="Q201" i="1103" s="1"/>
  <c r="H185" i="1103"/>
  <c r="T184" i="1103"/>
  <c r="U184" i="1103" s="1"/>
  <c r="L184" i="1103"/>
  <c r="M184" i="1103" s="1"/>
  <c r="P184" i="1103"/>
  <c r="Q184" i="1103" s="1"/>
  <c r="H351" i="261"/>
  <c r="X350" i="261"/>
  <c r="Y350" i="261" s="1"/>
  <c r="P350" i="261"/>
  <c r="Q350" i="261" s="1"/>
  <c r="T350" i="261"/>
  <c r="U350" i="261" s="1"/>
  <c r="L350" i="261"/>
  <c r="M350" i="261" s="1"/>
  <c r="H334" i="261"/>
  <c r="X333" i="261"/>
  <c r="Y333" i="261" s="1"/>
  <c r="P333" i="261"/>
  <c r="Q333" i="261" s="1"/>
  <c r="L333" i="261"/>
  <c r="M333" i="261" s="1"/>
  <c r="T333" i="261"/>
  <c r="U333" i="261" s="1"/>
  <c r="H317" i="261"/>
  <c r="P316" i="261"/>
  <c r="Q316" i="261" s="1"/>
  <c r="X316" i="261"/>
  <c r="Y316" i="261" s="1"/>
  <c r="L316" i="261"/>
  <c r="M316" i="261" s="1"/>
  <c r="T316" i="261"/>
  <c r="U316" i="261" s="1"/>
  <c r="H300" i="261"/>
  <c r="X299" i="261"/>
  <c r="Y299" i="261" s="1"/>
  <c r="P299" i="261"/>
  <c r="Q299" i="261" s="1"/>
  <c r="T299" i="261"/>
  <c r="U299" i="261" s="1"/>
  <c r="L299" i="261"/>
  <c r="M299" i="261" s="1"/>
  <c r="H283" i="261"/>
  <c r="X282" i="261"/>
  <c r="Y282" i="261" s="1"/>
  <c r="P282" i="261"/>
  <c r="Q282" i="261" s="1"/>
  <c r="T282" i="261"/>
  <c r="U282" i="261" s="1"/>
  <c r="L282" i="261"/>
  <c r="M282" i="261" s="1"/>
  <c r="H266" i="261"/>
  <c r="X265" i="261"/>
  <c r="Y265" i="261" s="1"/>
  <c r="P265" i="261"/>
  <c r="Q265" i="261" s="1"/>
  <c r="L265" i="261"/>
  <c r="M265" i="261" s="1"/>
  <c r="T265" i="261"/>
  <c r="U265" i="261" s="1"/>
  <c r="H249" i="261"/>
  <c r="L248" i="261"/>
  <c r="M248" i="261" s="1"/>
  <c r="P248" i="261"/>
  <c r="Q248" i="261" s="1"/>
  <c r="T248" i="261"/>
  <c r="U248" i="261" s="1"/>
  <c r="X248" i="261"/>
  <c r="Y248" i="261" s="1"/>
  <c r="H232" i="261"/>
  <c r="L231" i="261"/>
  <c r="M231" i="261" s="1"/>
  <c r="T231" i="261"/>
  <c r="U231" i="261" s="1"/>
  <c r="X231" i="261"/>
  <c r="Y231" i="261" s="1"/>
  <c r="P231" i="261"/>
  <c r="Q231" i="261" s="1"/>
  <c r="H181" i="261"/>
  <c r="P180" i="261"/>
  <c r="Q180" i="261" s="1"/>
  <c r="T180" i="261"/>
  <c r="U180" i="261" s="1"/>
  <c r="X180" i="261"/>
  <c r="Y180" i="261" s="1"/>
  <c r="L180" i="261"/>
  <c r="M180" i="261" s="1"/>
  <c r="H164" i="261"/>
  <c r="X163" i="261"/>
  <c r="Y163" i="261" s="1"/>
  <c r="P163" i="261"/>
  <c r="Q163" i="261" s="1"/>
  <c r="L163" i="261"/>
  <c r="M163" i="261" s="1"/>
  <c r="T163" i="261"/>
  <c r="U163" i="261" s="1"/>
  <c r="H147" i="261"/>
  <c r="P146" i="261"/>
  <c r="Q146" i="261" s="1"/>
  <c r="X146" i="261"/>
  <c r="Y146" i="261" s="1"/>
  <c r="L146" i="261"/>
  <c r="M146" i="261" s="1"/>
  <c r="T146" i="261"/>
  <c r="U146" i="261" s="1"/>
  <c r="H130" i="261"/>
  <c r="X129" i="261"/>
  <c r="Y129" i="261" s="1"/>
  <c r="P129" i="261"/>
  <c r="Q129" i="261" s="1"/>
  <c r="L129" i="261"/>
  <c r="M129" i="261" s="1"/>
  <c r="T129" i="261"/>
  <c r="U129" i="261" s="1"/>
  <c r="H113" i="261"/>
  <c r="L112" i="261"/>
  <c r="M112" i="261" s="1"/>
  <c r="X112" i="261"/>
  <c r="Y112" i="261" s="1"/>
  <c r="T112" i="261"/>
  <c r="U112" i="261" s="1"/>
  <c r="P112" i="261"/>
  <c r="Q112" i="261" s="1"/>
  <c r="B51" i="9"/>
  <c r="J65" i="9"/>
  <c r="S73" i="38"/>
  <c r="G222" i="262"/>
  <c r="G585" i="262"/>
  <c r="G586" i="262" s="1"/>
  <c r="P184" i="262"/>
  <c r="T184" i="262"/>
  <c r="L184" i="262"/>
  <c r="H185" i="262"/>
  <c r="Q66" i="38" s="1"/>
  <c r="X184" i="262"/>
  <c r="AF184" i="262"/>
  <c r="AJ184" i="262"/>
  <c r="AB184" i="262"/>
  <c r="G188" i="262"/>
  <c r="T67" i="38" s="1"/>
  <c r="G205" i="262"/>
  <c r="T70" i="38" s="1"/>
  <c r="AF218" i="262"/>
  <c r="P218" i="262"/>
  <c r="AJ218" i="262"/>
  <c r="AB218" i="262"/>
  <c r="X218" i="262"/>
  <c r="T218" i="262"/>
  <c r="L218" i="262"/>
  <c r="H219" i="262"/>
  <c r="Q72" i="38" s="1"/>
  <c r="AF201" i="262"/>
  <c r="P201" i="262"/>
  <c r="AB201" i="262"/>
  <c r="AJ201" i="262"/>
  <c r="H202" i="262"/>
  <c r="Q69" i="38" s="1"/>
  <c r="X201" i="262"/>
  <c r="L201" i="262"/>
  <c r="T201" i="262"/>
  <c r="G569" i="262"/>
  <c r="G521" i="262"/>
  <c r="G473" i="262"/>
  <c r="G505" i="262"/>
  <c r="G490" i="262"/>
  <c r="Z600" i="262"/>
  <c r="J600" i="262"/>
  <c r="V600" i="262"/>
  <c r="AH600" i="262"/>
  <c r="AD600" i="262"/>
  <c r="R600" i="262"/>
  <c r="N600" i="262"/>
  <c r="G601" i="262"/>
  <c r="H601" i="262" s="1"/>
  <c r="F141" i="38"/>
  <c r="B617" i="262"/>
  <c r="A634" i="262"/>
  <c r="C617" i="262"/>
  <c r="G554" i="262"/>
  <c r="G537" i="262"/>
  <c r="T215" i="261"/>
  <c r="L215" i="261"/>
  <c r="P215" i="261"/>
  <c r="X215" i="261"/>
  <c r="X197" i="261"/>
  <c r="P197" i="261"/>
  <c r="L197" i="261"/>
  <c r="T197" i="261"/>
  <c r="L95" i="261"/>
  <c r="T95" i="261"/>
  <c r="P95" i="261"/>
  <c r="X95" i="261"/>
  <c r="P79" i="261"/>
  <c r="X79" i="261"/>
  <c r="T79" i="261"/>
  <c r="L79" i="261"/>
  <c r="T62" i="261"/>
  <c r="L62" i="261"/>
  <c r="P62" i="261"/>
  <c r="X62" i="261"/>
  <c r="L45" i="261"/>
  <c r="T45" i="261"/>
  <c r="P45" i="261"/>
  <c r="X45" i="261"/>
  <c r="T27" i="261"/>
  <c r="X27" i="261"/>
  <c r="L27" i="261"/>
  <c r="P27" i="261"/>
  <c r="AF501" i="262"/>
  <c r="X501" i="262"/>
  <c r="P501" i="262"/>
  <c r="AJ501" i="262"/>
  <c r="AB501" i="262"/>
  <c r="T501" i="262"/>
  <c r="L501" i="262"/>
  <c r="P517" i="262"/>
  <c r="X517" i="262"/>
  <c r="AF517" i="262"/>
  <c r="L517" i="262"/>
  <c r="T517" i="262"/>
  <c r="AB517" i="262"/>
  <c r="AJ517" i="262"/>
  <c r="AF584" i="262"/>
  <c r="X584" i="262"/>
  <c r="P584" i="262"/>
  <c r="L584" i="262"/>
  <c r="AB584" i="262"/>
  <c r="T584" i="262"/>
  <c r="AJ584" i="262"/>
  <c r="P485" i="262"/>
  <c r="X485" i="262"/>
  <c r="AF485" i="262"/>
  <c r="L485" i="262"/>
  <c r="T485" i="262"/>
  <c r="AB485" i="262"/>
  <c r="AJ485" i="262"/>
  <c r="AF373" i="262"/>
  <c r="X373" i="262"/>
  <c r="P373" i="262"/>
  <c r="L373" i="262"/>
  <c r="AB373" i="262"/>
  <c r="T373" i="262"/>
  <c r="AJ373" i="262"/>
  <c r="AB405" i="262"/>
  <c r="T405" i="262"/>
  <c r="AF405" i="262"/>
  <c r="X405" i="262"/>
  <c r="P405" i="262"/>
  <c r="AJ405" i="262"/>
  <c r="L405" i="262"/>
  <c r="P453" i="262"/>
  <c r="X453" i="262"/>
  <c r="AF453" i="262"/>
  <c r="L453" i="262"/>
  <c r="T453" i="262"/>
  <c r="AB453" i="262"/>
  <c r="AJ453" i="262"/>
  <c r="AF341" i="262"/>
  <c r="X341" i="262"/>
  <c r="P341" i="262"/>
  <c r="L341" i="262"/>
  <c r="AJ341" i="262"/>
  <c r="T341" i="262"/>
  <c r="AB341" i="262"/>
  <c r="T437" i="262"/>
  <c r="L437" i="262"/>
  <c r="AB437" i="262"/>
  <c r="AJ437" i="262"/>
  <c r="AF437" i="262"/>
  <c r="X437" i="262"/>
  <c r="P437" i="262"/>
  <c r="AJ469" i="262"/>
  <c r="AB469" i="262"/>
  <c r="T469" i="262"/>
  <c r="L469" i="262"/>
  <c r="X469" i="262"/>
  <c r="AF469" i="262"/>
  <c r="P469" i="262"/>
  <c r="P421" i="262"/>
  <c r="X421" i="262"/>
  <c r="AF421" i="262"/>
  <c r="AJ421" i="262"/>
  <c r="T421" i="262"/>
  <c r="AB421" i="262"/>
  <c r="L421" i="262"/>
  <c r="P357" i="262"/>
  <c r="X357" i="262"/>
  <c r="AF357" i="262"/>
  <c r="AB357" i="262"/>
  <c r="L357" i="262"/>
  <c r="AJ357" i="262"/>
  <c r="T357" i="262"/>
  <c r="P389" i="262"/>
  <c r="X389" i="262"/>
  <c r="AF389" i="262"/>
  <c r="AB389" i="262"/>
  <c r="L389" i="262"/>
  <c r="AJ389" i="262"/>
  <c r="T389" i="262"/>
  <c r="L325" i="262"/>
  <c r="T325" i="262"/>
  <c r="AB325" i="262"/>
  <c r="AJ325" i="262"/>
  <c r="AF325" i="262"/>
  <c r="P325" i="262"/>
  <c r="X325" i="262"/>
  <c r="B628" i="262"/>
  <c r="B613" i="262"/>
  <c r="B629" i="262"/>
  <c r="B604" i="262"/>
  <c r="B542" i="262"/>
  <c r="B557" i="262"/>
  <c r="B605" i="262"/>
  <c r="B648" i="262"/>
  <c r="B541" i="262"/>
  <c r="H502" i="262"/>
  <c r="H470" i="262"/>
  <c r="H406" i="262"/>
  <c r="H454" i="262"/>
  <c r="H326" i="262"/>
  <c r="H422" i="262"/>
  <c r="B590" i="262"/>
  <c r="B535" i="262"/>
  <c r="H486" i="262"/>
  <c r="B534" i="262"/>
  <c r="H534" i="262"/>
  <c r="H63" i="261"/>
  <c r="B168" i="38"/>
  <c r="H46" i="261"/>
  <c r="H198" i="261"/>
  <c r="H390" i="262"/>
  <c r="H374" i="262"/>
  <c r="H438" i="262"/>
  <c r="H96" i="261"/>
  <c r="H342" i="262"/>
  <c r="B589" i="262"/>
  <c r="H358" i="262"/>
  <c r="B601" i="262"/>
  <c r="H28" i="261"/>
  <c r="H518" i="262"/>
  <c r="H80" i="261"/>
  <c r="B632" i="262"/>
  <c r="H216" i="261"/>
  <c r="E617" i="262"/>
  <c r="G617" i="262"/>
  <c r="I617" i="262"/>
  <c r="F617" i="262"/>
  <c r="H617" i="262"/>
  <c r="T61" i="38" l="1"/>
  <c r="G155" i="262"/>
  <c r="M78" i="38"/>
  <c r="T249" i="262"/>
  <c r="X249" i="262"/>
  <c r="H250" i="262"/>
  <c r="AJ249" i="262"/>
  <c r="L249" i="262"/>
  <c r="AB249" i="262"/>
  <c r="AF249" i="262"/>
  <c r="P249" i="262"/>
  <c r="T64" i="38"/>
  <c r="G172" i="262"/>
  <c r="L168" i="1103"/>
  <c r="M168" i="1103" s="1"/>
  <c r="P168" i="1103"/>
  <c r="Q168" i="1103" s="1"/>
  <c r="H169" i="1103"/>
  <c r="T168" i="1103"/>
  <c r="U168" i="1103" s="1"/>
  <c r="L151" i="1103"/>
  <c r="M151" i="1103" s="1"/>
  <c r="P151" i="1103"/>
  <c r="Q151" i="1103" s="1"/>
  <c r="H152" i="1103"/>
  <c r="T151" i="1103"/>
  <c r="U151" i="1103" s="1"/>
  <c r="T232" i="1103"/>
  <c r="U232" i="1103" s="1"/>
  <c r="L232" i="1103"/>
  <c r="M232" i="1103" s="1"/>
  <c r="H233" i="1103"/>
  <c r="P232" i="1103"/>
  <c r="Q232" i="1103" s="1"/>
  <c r="L559" i="1103"/>
  <c r="M559" i="1103" s="1"/>
  <c r="P559" i="1103"/>
  <c r="Q559" i="1103" s="1"/>
  <c r="H560" i="1103"/>
  <c r="T559" i="1103"/>
  <c r="U559" i="1103" s="1"/>
  <c r="P266" i="1103"/>
  <c r="Q266" i="1103" s="1"/>
  <c r="T266" i="1103"/>
  <c r="U266" i="1103" s="1"/>
  <c r="H267" i="1103"/>
  <c r="L266" i="1103"/>
  <c r="M266" i="1103" s="1"/>
  <c r="L610" i="1103"/>
  <c r="M610" i="1103" s="1"/>
  <c r="P610" i="1103"/>
  <c r="Q610" i="1103" s="1"/>
  <c r="H611" i="1103"/>
  <c r="T610" i="1103"/>
  <c r="U610" i="1103" s="1"/>
  <c r="Q57" i="38"/>
  <c r="H135" i="262"/>
  <c r="L134" i="262"/>
  <c r="AJ134" i="262"/>
  <c r="P134" i="262"/>
  <c r="AF134" i="262"/>
  <c r="AB134" i="262"/>
  <c r="X134" i="262"/>
  <c r="T134" i="262"/>
  <c r="L709" i="1103"/>
  <c r="M709" i="1103" s="1"/>
  <c r="H710" i="1103"/>
  <c r="P709" i="1103"/>
  <c r="Q709" i="1103" s="1"/>
  <c r="T709" i="1103"/>
  <c r="U709" i="1103" s="1"/>
  <c r="P542" i="1103"/>
  <c r="Q542" i="1103" s="1"/>
  <c r="H543" i="1103"/>
  <c r="T542" i="1103"/>
  <c r="U542" i="1103" s="1"/>
  <c r="L542" i="1103"/>
  <c r="M542" i="1103" s="1"/>
  <c r="L593" i="1103"/>
  <c r="M593" i="1103" s="1"/>
  <c r="P593" i="1103"/>
  <c r="Q593" i="1103" s="1"/>
  <c r="H594" i="1103"/>
  <c r="T593" i="1103"/>
  <c r="U593" i="1103" s="1"/>
  <c r="L525" i="1103"/>
  <c r="M525" i="1103" s="1"/>
  <c r="P525" i="1103"/>
  <c r="Q525" i="1103" s="1"/>
  <c r="H526" i="1103"/>
  <c r="T525" i="1103"/>
  <c r="U525" i="1103" s="1"/>
  <c r="P508" i="1103"/>
  <c r="Q508" i="1103" s="1"/>
  <c r="H509" i="1103"/>
  <c r="T508" i="1103"/>
  <c r="U508" i="1103" s="1"/>
  <c r="L508" i="1103"/>
  <c r="M508" i="1103" s="1"/>
  <c r="P301" i="1103"/>
  <c r="Q301" i="1103" s="1"/>
  <c r="T301" i="1103"/>
  <c r="U301" i="1103" s="1"/>
  <c r="L301" i="1103"/>
  <c r="M301" i="1103" s="1"/>
  <c r="H302" i="1103"/>
  <c r="P249" i="1103"/>
  <c r="Q249" i="1103" s="1"/>
  <c r="T249" i="1103"/>
  <c r="U249" i="1103" s="1"/>
  <c r="H250" i="1103"/>
  <c r="L249" i="1103"/>
  <c r="M249" i="1103" s="1"/>
  <c r="L283" i="1103"/>
  <c r="M283" i="1103" s="1"/>
  <c r="T283" i="1103"/>
  <c r="U283" i="1103" s="1"/>
  <c r="P283" i="1103"/>
  <c r="Q283" i="1103" s="1"/>
  <c r="H284" i="1103"/>
  <c r="Q63" i="38"/>
  <c r="X168" i="262"/>
  <c r="H169" i="262"/>
  <c r="P168" i="262"/>
  <c r="AF168" i="262"/>
  <c r="L168" i="262"/>
  <c r="AB168" i="262"/>
  <c r="AJ168" i="262"/>
  <c r="T168" i="262"/>
  <c r="P725" i="1103"/>
  <c r="Q725" i="1103" s="1"/>
  <c r="T725" i="1103"/>
  <c r="U725" i="1103" s="1"/>
  <c r="H726" i="1103"/>
  <c r="L725" i="1103"/>
  <c r="M725" i="1103" s="1"/>
  <c r="N87" i="38"/>
  <c r="T301" i="262"/>
  <c r="P301" i="262"/>
  <c r="L301" i="262"/>
  <c r="H302" i="262"/>
  <c r="AJ301" i="262"/>
  <c r="AF301" i="262"/>
  <c r="AB301" i="262"/>
  <c r="X301" i="262"/>
  <c r="H662" i="1103"/>
  <c r="T661" i="1103"/>
  <c r="U661" i="1103" s="1"/>
  <c r="L661" i="1103"/>
  <c r="M661" i="1103" s="1"/>
  <c r="P661" i="1103"/>
  <c r="Q661" i="1103" s="1"/>
  <c r="M84" i="38"/>
  <c r="L283" i="262"/>
  <c r="P283" i="262"/>
  <c r="AJ283" i="262"/>
  <c r="T283" i="262"/>
  <c r="X283" i="262"/>
  <c r="H284" i="262"/>
  <c r="AF283" i="262"/>
  <c r="AB283" i="262"/>
  <c r="U58" i="38"/>
  <c r="G139" i="262"/>
  <c r="V58" i="38" s="1"/>
  <c r="M81" i="38"/>
  <c r="AJ266" i="262"/>
  <c r="L266" i="262"/>
  <c r="T266" i="262"/>
  <c r="P266" i="262"/>
  <c r="X266" i="262"/>
  <c r="AB266" i="262"/>
  <c r="AF266" i="262"/>
  <c r="H267" i="262"/>
  <c r="P627" i="1103"/>
  <c r="Q627" i="1103" s="1"/>
  <c r="H628" i="1103"/>
  <c r="T627" i="1103"/>
  <c r="U627" i="1103" s="1"/>
  <c r="L627" i="1103"/>
  <c r="M627" i="1103" s="1"/>
  <c r="P576" i="1103"/>
  <c r="Q576" i="1103" s="1"/>
  <c r="H577" i="1103"/>
  <c r="L576" i="1103"/>
  <c r="M576" i="1103" s="1"/>
  <c r="T576" i="1103"/>
  <c r="U576" i="1103" s="1"/>
  <c r="H135" i="1103"/>
  <c r="T134" i="1103"/>
  <c r="U134" i="1103" s="1"/>
  <c r="L134" i="1103"/>
  <c r="M134" i="1103" s="1"/>
  <c r="P134" i="1103"/>
  <c r="Q134" i="1103" s="1"/>
  <c r="L743" i="1103"/>
  <c r="M743" i="1103" s="1"/>
  <c r="H744" i="1103"/>
  <c r="T743" i="1103"/>
  <c r="U743" i="1103" s="1"/>
  <c r="P743" i="1103"/>
  <c r="Q743" i="1103" s="1"/>
  <c r="M75" i="38"/>
  <c r="AB232" i="262"/>
  <c r="P232" i="262"/>
  <c r="L232" i="262"/>
  <c r="X232" i="262"/>
  <c r="AJ232" i="262"/>
  <c r="AF232" i="262"/>
  <c r="T232" i="262"/>
  <c r="H233" i="262"/>
  <c r="Q60" i="38"/>
  <c r="X151" i="262"/>
  <c r="H152" i="262"/>
  <c r="P151" i="262"/>
  <c r="AJ151" i="262"/>
  <c r="T151" i="262"/>
  <c r="AB151" i="262"/>
  <c r="L151" i="262"/>
  <c r="AF151" i="262"/>
  <c r="H692" i="1103"/>
  <c r="T691" i="1103"/>
  <c r="U691" i="1103" s="1"/>
  <c r="L691" i="1103"/>
  <c r="M691" i="1103" s="1"/>
  <c r="P691" i="1103"/>
  <c r="Q691" i="1103" s="1"/>
  <c r="H679" i="1103"/>
  <c r="T678" i="1103"/>
  <c r="U678" i="1103" s="1"/>
  <c r="L678" i="1103"/>
  <c r="M678" i="1103" s="1"/>
  <c r="P678" i="1103"/>
  <c r="Q678" i="1103" s="1"/>
  <c r="H645" i="1103"/>
  <c r="T644" i="1103"/>
  <c r="U644" i="1103" s="1"/>
  <c r="L644" i="1103"/>
  <c r="M644" i="1103" s="1"/>
  <c r="P644" i="1103"/>
  <c r="Q644" i="1103" s="1"/>
  <c r="H492" i="1103"/>
  <c r="T491" i="1103"/>
  <c r="U491" i="1103" s="1"/>
  <c r="L491" i="1103"/>
  <c r="M491" i="1103" s="1"/>
  <c r="P491" i="1103"/>
  <c r="Q491" i="1103" s="1"/>
  <c r="H475" i="1103"/>
  <c r="T474" i="1103"/>
  <c r="U474" i="1103" s="1"/>
  <c r="L474" i="1103"/>
  <c r="M474" i="1103" s="1"/>
  <c r="P474" i="1103"/>
  <c r="Q474" i="1103" s="1"/>
  <c r="H220" i="1103"/>
  <c r="T219" i="1103"/>
  <c r="U219" i="1103" s="1"/>
  <c r="L219" i="1103"/>
  <c r="M219" i="1103" s="1"/>
  <c r="P219" i="1103"/>
  <c r="Q219" i="1103" s="1"/>
  <c r="H203" i="1103"/>
  <c r="T202" i="1103"/>
  <c r="U202" i="1103" s="1"/>
  <c r="L202" i="1103"/>
  <c r="M202" i="1103" s="1"/>
  <c r="P202" i="1103"/>
  <c r="Q202" i="1103" s="1"/>
  <c r="H186" i="1103"/>
  <c r="T185" i="1103"/>
  <c r="U185" i="1103" s="1"/>
  <c r="L185" i="1103"/>
  <c r="M185" i="1103" s="1"/>
  <c r="P185" i="1103"/>
  <c r="Q185" i="1103" s="1"/>
  <c r="H352" i="261"/>
  <c r="P351" i="261"/>
  <c r="Q351" i="261" s="1"/>
  <c r="X351" i="261"/>
  <c r="Y351" i="261" s="1"/>
  <c r="T351" i="261"/>
  <c r="U351" i="261" s="1"/>
  <c r="L351" i="261"/>
  <c r="M351" i="261" s="1"/>
  <c r="H335" i="261"/>
  <c r="P334" i="261"/>
  <c r="Q334" i="261" s="1"/>
  <c r="X334" i="261"/>
  <c r="Y334" i="261" s="1"/>
  <c r="T334" i="261"/>
  <c r="U334" i="261" s="1"/>
  <c r="L334" i="261"/>
  <c r="M334" i="261" s="1"/>
  <c r="H318" i="261"/>
  <c r="X317" i="261"/>
  <c r="Y317" i="261" s="1"/>
  <c r="P317" i="261"/>
  <c r="Q317" i="261" s="1"/>
  <c r="T317" i="261"/>
  <c r="U317" i="261" s="1"/>
  <c r="L317" i="261"/>
  <c r="M317" i="261" s="1"/>
  <c r="H301" i="261"/>
  <c r="P300" i="261"/>
  <c r="Q300" i="261" s="1"/>
  <c r="X300" i="261"/>
  <c r="Y300" i="261" s="1"/>
  <c r="T300" i="261"/>
  <c r="U300" i="261" s="1"/>
  <c r="L300" i="261"/>
  <c r="M300" i="261" s="1"/>
  <c r="H284" i="261"/>
  <c r="P283" i="261"/>
  <c r="Q283" i="261" s="1"/>
  <c r="X283" i="261"/>
  <c r="Y283" i="261" s="1"/>
  <c r="L283" i="261"/>
  <c r="M283" i="261" s="1"/>
  <c r="T283" i="261"/>
  <c r="U283" i="261" s="1"/>
  <c r="H267" i="261"/>
  <c r="X266" i="261"/>
  <c r="Y266" i="261" s="1"/>
  <c r="P266" i="261"/>
  <c r="Q266" i="261" s="1"/>
  <c r="L266" i="261"/>
  <c r="M266" i="261" s="1"/>
  <c r="T266" i="261"/>
  <c r="U266" i="261" s="1"/>
  <c r="H250" i="261"/>
  <c r="L249" i="261"/>
  <c r="M249" i="261" s="1"/>
  <c r="P249" i="261"/>
  <c r="Q249" i="261" s="1"/>
  <c r="T249" i="261"/>
  <c r="U249" i="261" s="1"/>
  <c r="X249" i="261"/>
  <c r="Y249" i="261" s="1"/>
  <c r="H233" i="261"/>
  <c r="L232" i="261"/>
  <c r="M232" i="261" s="1"/>
  <c r="X232" i="261"/>
  <c r="Y232" i="261" s="1"/>
  <c r="T232" i="261"/>
  <c r="U232" i="261" s="1"/>
  <c r="P232" i="261"/>
  <c r="Q232" i="261" s="1"/>
  <c r="H182" i="261"/>
  <c r="P181" i="261"/>
  <c r="Q181" i="261" s="1"/>
  <c r="T181" i="261"/>
  <c r="U181" i="261" s="1"/>
  <c r="X181" i="261"/>
  <c r="Y181" i="261" s="1"/>
  <c r="L181" i="261"/>
  <c r="M181" i="261" s="1"/>
  <c r="H165" i="261"/>
  <c r="X164" i="261"/>
  <c r="Y164" i="261" s="1"/>
  <c r="P164" i="261"/>
  <c r="Q164" i="261" s="1"/>
  <c r="L164" i="261"/>
  <c r="M164" i="261" s="1"/>
  <c r="T164" i="261"/>
  <c r="U164" i="261" s="1"/>
  <c r="H148" i="261"/>
  <c r="X147" i="261"/>
  <c r="Y147" i="261" s="1"/>
  <c r="P147" i="261"/>
  <c r="Q147" i="261" s="1"/>
  <c r="L147" i="261"/>
  <c r="M147" i="261" s="1"/>
  <c r="T147" i="261"/>
  <c r="U147" i="261" s="1"/>
  <c r="H131" i="261"/>
  <c r="X130" i="261"/>
  <c r="Y130" i="261" s="1"/>
  <c r="P130" i="261"/>
  <c r="Q130" i="261" s="1"/>
  <c r="T130" i="261"/>
  <c r="U130" i="261" s="1"/>
  <c r="L130" i="261"/>
  <c r="M130" i="261" s="1"/>
  <c r="H114" i="261"/>
  <c r="X113" i="261"/>
  <c r="Y113" i="261" s="1"/>
  <c r="L113" i="261"/>
  <c r="M113" i="261" s="1"/>
  <c r="T113" i="261"/>
  <c r="U113" i="261" s="1"/>
  <c r="P113" i="261"/>
  <c r="Q113" i="261" s="1"/>
  <c r="J66" i="9"/>
  <c r="B52" i="9"/>
  <c r="T73" i="38"/>
  <c r="G223" i="262"/>
  <c r="V90" i="38"/>
  <c r="H90" i="38"/>
  <c r="I90" i="38"/>
  <c r="J90" i="38"/>
  <c r="K90" i="38"/>
  <c r="L90" i="38"/>
  <c r="M90" i="38"/>
  <c r="N90" i="38"/>
  <c r="O90" i="38"/>
  <c r="P90" i="38"/>
  <c r="Q90" i="38"/>
  <c r="R90" i="38"/>
  <c r="S90" i="38"/>
  <c r="T90" i="38"/>
  <c r="U90" i="38"/>
  <c r="X202" i="262"/>
  <c r="AJ202" i="262"/>
  <c r="AB202" i="262"/>
  <c r="H203" i="262"/>
  <c r="R69" i="38" s="1"/>
  <c r="P202" i="262"/>
  <c r="AF202" i="262"/>
  <c r="T202" i="262"/>
  <c r="L202" i="262"/>
  <c r="P219" i="262"/>
  <c r="AF219" i="262"/>
  <c r="L219" i="262"/>
  <c r="T219" i="262"/>
  <c r="X219" i="262"/>
  <c r="AB219" i="262"/>
  <c r="AJ219" i="262"/>
  <c r="H220" i="262"/>
  <c r="R72" i="38" s="1"/>
  <c r="G206" i="262"/>
  <c r="U70" i="38" s="1"/>
  <c r="G189" i="262"/>
  <c r="U67" i="38" s="1"/>
  <c r="AF185" i="262"/>
  <c r="X185" i="262"/>
  <c r="L185" i="262"/>
  <c r="T185" i="262"/>
  <c r="P185" i="262"/>
  <c r="AB185" i="262"/>
  <c r="AJ185" i="262"/>
  <c r="H186" i="262"/>
  <c r="R66" i="38" s="1"/>
  <c r="G570" i="262"/>
  <c r="G522" i="262"/>
  <c r="G587" i="262"/>
  <c r="G588" i="262" s="1"/>
  <c r="G474" i="262"/>
  <c r="G602" i="262"/>
  <c r="G506" i="262"/>
  <c r="G491" i="262"/>
  <c r="AH617" i="262"/>
  <c r="R617" i="262"/>
  <c r="AD617" i="262"/>
  <c r="N617" i="262"/>
  <c r="Z617" i="262"/>
  <c r="J617" i="262"/>
  <c r="V617" i="262"/>
  <c r="G618" i="262"/>
  <c r="H618" i="262" s="1"/>
  <c r="F144" i="38"/>
  <c r="G538" i="262"/>
  <c r="G555" i="262"/>
  <c r="C634" i="262"/>
  <c r="A651" i="262"/>
  <c r="B634" i="262"/>
  <c r="L216" i="261"/>
  <c r="T216" i="261"/>
  <c r="X216" i="261"/>
  <c r="P216" i="261"/>
  <c r="P198" i="261"/>
  <c r="X198" i="261"/>
  <c r="T198" i="261"/>
  <c r="L198" i="261"/>
  <c r="T96" i="261"/>
  <c r="L96" i="261"/>
  <c r="P96" i="261"/>
  <c r="X96" i="261"/>
  <c r="X80" i="261"/>
  <c r="P80" i="261"/>
  <c r="L80" i="261"/>
  <c r="T80" i="261"/>
  <c r="L63" i="261"/>
  <c r="T63" i="261"/>
  <c r="P63" i="261"/>
  <c r="X63" i="261"/>
  <c r="L46" i="261"/>
  <c r="T46" i="261"/>
  <c r="P46" i="261"/>
  <c r="X46" i="261"/>
  <c r="T28" i="261"/>
  <c r="X28" i="261"/>
  <c r="L28" i="261"/>
  <c r="P28" i="261"/>
  <c r="AF518" i="262"/>
  <c r="X518" i="262"/>
  <c r="P518" i="262"/>
  <c r="AJ518" i="262"/>
  <c r="AB518" i="262"/>
  <c r="T518" i="262"/>
  <c r="L518" i="262"/>
  <c r="AF601" i="262"/>
  <c r="X601" i="262"/>
  <c r="P601" i="262"/>
  <c r="L601" i="262"/>
  <c r="T601" i="262"/>
  <c r="AJ601" i="262"/>
  <c r="AB601" i="262"/>
  <c r="AF486" i="262"/>
  <c r="X486" i="262"/>
  <c r="P486" i="262"/>
  <c r="AJ486" i="262"/>
  <c r="AB486" i="262"/>
  <c r="T486" i="262"/>
  <c r="L486" i="262"/>
  <c r="P534" i="262"/>
  <c r="X534" i="262"/>
  <c r="AF534" i="262"/>
  <c r="AB534" i="262"/>
  <c r="L534" i="262"/>
  <c r="AJ534" i="262"/>
  <c r="T534" i="262"/>
  <c r="P502" i="262"/>
  <c r="X502" i="262"/>
  <c r="AF502" i="262"/>
  <c r="L502" i="262"/>
  <c r="T502" i="262"/>
  <c r="AB502" i="262"/>
  <c r="AJ502" i="262"/>
  <c r="P342" i="262"/>
  <c r="X342" i="262"/>
  <c r="AF342" i="262"/>
  <c r="AB342" i="262"/>
  <c r="T342" i="262"/>
  <c r="AJ342" i="262"/>
  <c r="L342" i="262"/>
  <c r="AJ438" i="262"/>
  <c r="AB438" i="262"/>
  <c r="L438" i="262"/>
  <c r="T438" i="262"/>
  <c r="P438" i="262"/>
  <c r="X438" i="262"/>
  <c r="AF438" i="262"/>
  <c r="AF390" i="262"/>
  <c r="X390" i="262"/>
  <c r="P390" i="262"/>
  <c r="T390" i="262"/>
  <c r="AJ390" i="262"/>
  <c r="L390" i="262"/>
  <c r="AB390" i="262"/>
  <c r="AF422" i="262"/>
  <c r="X422" i="262"/>
  <c r="P422" i="262"/>
  <c r="L422" i="262"/>
  <c r="AB422" i="262"/>
  <c r="T422" i="262"/>
  <c r="AJ422" i="262"/>
  <c r="AF454" i="262"/>
  <c r="X454" i="262"/>
  <c r="P454" i="262"/>
  <c r="AJ454" i="262"/>
  <c r="AB454" i="262"/>
  <c r="T454" i="262"/>
  <c r="L454" i="262"/>
  <c r="L470" i="262"/>
  <c r="T470" i="262"/>
  <c r="AB470" i="262"/>
  <c r="AJ470" i="262"/>
  <c r="P470" i="262"/>
  <c r="AF470" i="262"/>
  <c r="X470" i="262"/>
  <c r="AF358" i="262"/>
  <c r="X358" i="262"/>
  <c r="P358" i="262"/>
  <c r="T358" i="262"/>
  <c r="AJ358" i="262"/>
  <c r="L358" i="262"/>
  <c r="AB358" i="262"/>
  <c r="P374" i="262"/>
  <c r="X374" i="262"/>
  <c r="AF374" i="262"/>
  <c r="AJ374" i="262"/>
  <c r="T374" i="262"/>
  <c r="AB374" i="262"/>
  <c r="L374" i="262"/>
  <c r="T406" i="262"/>
  <c r="AB406" i="262"/>
  <c r="L406" i="262"/>
  <c r="AJ406" i="262"/>
  <c r="P406" i="262"/>
  <c r="X406" i="262"/>
  <c r="AF406" i="262"/>
  <c r="AB326" i="262"/>
  <c r="L326" i="262"/>
  <c r="AJ326" i="262"/>
  <c r="T326" i="262"/>
  <c r="X326" i="262"/>
  <c r="P326" i="262"/>
  <c r="AF326" i="262"/>
  <c r="B645" i="262"/>
  <c r="B630" i="262"/>
  <c r="B646" i="262"/>
  <c r="B621" i="262"/>
  <c r="B558" i="262"/>
  <c r="B665" i="262"/>
  <c r="B559" i="262"/>
  <c r="B622" i="262"/>
  <c r="B574" i="262"/>
  <c r="H217" i="261"/>
  <c r="B649" i="262"/>
  <c r="H519" i="262"/>
  <c r="H359" i="262"/>
  <c r="H343" i="262"/>
  <c r="H97" i="261"/>
  <c r="H439" i="262"/>
  <c r="H375" i="262"/>
  <c r="H391" i="262"/>
  <c r="H199" i="261"/>
  <c r="H47" i="261"/>
  <c r="H487" i="262"/>
  <c r="B607" i="262"/>
  <c r="H407" i="262"/>
  <c r="H471" i="262"/>
  <c r="H503" i="262"/>
  <c r="H81" i="261"/>
  <c r="H29" i="261"/>
  <c r="B618" i="262"/>
  <c r="B606" i="262"/>
  <c r="B171" i="38"/>
  <c r="H64" i="261"/>
  <c r="H535" i="262"/>
  <c r="B551" i="262"/>
  <c r="H551" i="262"/>
  <c r="B552" i="262"/>
  <c r="H423" i="262"/>
  <c r="H455" i="262"/>
  <c r="F634" i="262"/>
  <c r="H634" i="262"/>
  <c r="I634" i="262"/>
  <c r="G634" i="262"/>
  <c r="E634" i="262"/>
  <c r="L65" i="9" l="1"/>
  <c r="G24" i="1106"/>
  <c r="G26" i="1106"/>
  <c r="G25" i="1106"/>
  <c r="G156" i="262"/>
  <c r="V61" i="38" s="1"/>
  <c r="U61" i="38"/>
  <c r="L66" i="9"/>
  <c r="P744" i="1103"/>
  <c r="Q744" i="1103" s="1"/>
  <c r="T744" i="1103"/>
  <c r="U744" i="1103" s="1"/>
  <c r="H745" i="1103"/>
  <c r="L744" i="1103"/>
  <c r="M744" i="1103" s="1"/>
  <c r="H578" i="1103"/>
  <c r="L577" i="1103"/>
  <c r="M577" i="1103" s="1"/>
  <c r="T577" i="1103"/>
  <c r="U577" i="1103" s="1"/>
  <c r="P577" i="1103"/>
  <c r="Q577" i="1103" s="1"/>
  <c r="H629" i="1103"/>
  <c r="T628" i="1103"/>
  <c r="U628" i="1103" s="1"/>
  <c r="L628" i="1103"/>
  <c r="M628" i="1103" s="1"/>
  <c r="P628" i="1103"/>
  <c r="Q628" i="1103" s="1"/>
  <c r="T726" i="1103"/>
  <c r="U726" i="1103" s="1"/>
  <c r="L726" i="1103"/>
  <c r="M726" i="1103" s="1"/>
  <c r="P726" i="1103"/>
  <c r="Q726" i="1103" s="1"/>
  <c r="H727" i="1103"/>
  <c r="H285" i="1103"/>
  <c r="P284" i="1103"/>
  <c r="Q284" i="1103" s="1"/>
  <c r="T284" i="1103"/>
  <c r="U284" i="1103" s="1"/>
  <c r="L284" i="1103"/>
  <c r="M284" i="1103" s="1"/>
  <c r="T302" i="1103"/>
  <c r="U302" i="1103" s="1"/>
  <c r="P302" i="1103"/>
  <c r="Q302" i="1103" s="1"/>
  <c r="L302" i="1103"/>
  <c r="M302" i="1103" s="1"/>
  <c r="H303" i="1103"/>
  <c r="N78" i="38"/>
  <c r="T250" i="262"/>
  <c r="P250" i="262"/>
  <c r="L250" i="262"/>
  <c r="AJ250" i="262"/>
  <c r="AF250" i="262"/>
  <c r="H251" i="262"/>
  <c r="AB250" i="262"/>
  <c r="X250" i="262"/>
  <c r="N75" i="38"/>
  <c r="P233" i="262"/>
  <c r="AB233" i="262"/>
  <c r="T233" i="262"/>
  <c r="AJ233" i="262"/>
  <c r="H234" i="262"/>
  <c r="AF233" i="262"/>
  <c r="L233" i="262"/>
  <c r="X233" i="262"/>
  <c r="H136" i="1103"/>
  <c r="T135" i="1103"/>
  <c r="U135" i="1103" s="1"/>
  <c r="L135" i="1103"/>
  <c r="M135" i="1103" s="1"/>
  <c r="P135" i="1103"/>
  <c r="Q135" i="1103" s="1"/>
  <c r="P662" i="1103"/>
  <c r="Q662" i="1103" s="1"/>
  <c r="H663" i="1103"/>
  <c r="T662" i="1103"/>
  <c r="U662" i="1103" s="1"/>
  <c r="L662" i="1103"/>
  <c r="M662" i="1103" s="1"/>
  <c r="R63" i="38"/>
  <c r="P169" i="262"/>
  <c r="AF169" i="262"/>
  <c r="T169" i="262"/>
  <c r="L169" i="262"/>
  <c r="AB169" i="262"/>
  <c r="H170" i="262"/>
  <c r="X169" i="262"/>
  <c r="AJ169" i="262"/>
  <c r="T250" i="1103"/>
  <c r="U250" i="1103" s="1"/>
  <c r="L250" i="1103"/>
  <c r="M250" i="1103" s="1"/>
  <c r="P250" i="1103"/>
  <c r="Q250" i="1103" s="1"/>
  <c r="H251" i="1103"/>
  <c r="P526" i="1103"/>
  <c r="Q526" i="1103" s="1"/>
  <c r="H527" i="1103"/>
  <c r="T526" i="1103"/>
  <c r="U526" i="1103" s="1"/>
  <c r="L526" i="1103"/>
  <c r="M526" i="1103" s="1"/>
  <c r="P594" i="1103"/>
  <c r="Q594" i="1103" s="1"/>
  <c r="H595" i="1103"/>
  <c r="T594" i="1103"/>
  <c r="U594" i="1103" s="1"/>
  <c r="L594" i="1103"/>
  <c r="M594" i="1103" s="1"/>
  <c r="U64" i="38"/>
  <c r="G173" i="262"/>
  <c r="V64" i="38" s="1"/>
  <c r="R60" i="38"/>
  <c r="L152" i="262"/>
  <c r="H153" i="262"/>
  <c r="T152" i="262"/>
  <c r="AJ152" i="262"/>
  <c r="X152" i="262"/>
  <c r="P152" i="262"/>
  <c r="AF152" i="262"/>
  <c r="AB152" i="262"/>
  <c r="N81" i="38"/>
  <c r="T267" i="262"/>
  <c r="X267" i="262"/>
  <c r="AF267" i="262"/>
  <c r="L267" i="262"/>
  <c r="P267" i="262"/>
  <c r="AJ267" i="262"/>
  <c r="H268" i="262"/>
  <c r="AB267" i="262"/>
  <c r="O87" i="38"/>
  <c r="L302" i="262"/>
  <c r="P302" i="262"/>
  <c r="AF302" i="262"/>
  <c r="T302" i="262"/>
  <c r="X302" i="262"/>
  <c r="AB302" i="262"/>
  <c r="AJ302" i="262"/>
  <c r="H303" i="262"/>
  <c r="H510" i="1103"/>
  <c r="T509" i="1103"/>
  <c r="U509" i="1103" s="1"/>
  <c r="L509" i="1103"/>
  <c r="M509" i="1103" s="1"/>
  <c r="P509" i="1103"/>
  <c r="Q509" i="1103" s="1"/>
  <c r="L543" i="1103"/>
  <c r="M543" i="1103" s="1"/>
  <c r="P543" i="1103"/>
  <c r="Q543" i="1103" s="1"/>
  <c r="H544" i="1103"/>
  <c r="T543" i="1103"/>
  <c r="U543" i="1103" s="1"/>
  <c r="H711" i="1103"/>
  <c r="T710" i="1103"/>
  <c r="U710" i="1103" s="1"/>
  <c r="L710" i="1103"/>
  <c r="M710" i="1103" s="1"/>
  <c r="P710" i="1103"/>
  <c r="Q710" i="1103" s="1"/>
  <c r="P611" i="1103"/>
  <c r="Q611" i="1103" s="1"/>
  <c r="H612" i="1103"/>
  <c r="T611" i="1103"/>
  <c r="U611" i="1103" s="1"/>
  <c r="L611" i="1103"/>
  <c r="M611" i="1103" s="1"/>
  <c r="H268" i="1103"/>
  <c r="P267" i="1103"/>
  <c r="Q267" i="1103" s="1"/>
  <c r="T267" i="1103"/>
  <c r="U267" i="1103" s="1"/>
  <c r="L267" i="1103"/>
  <c r="M267" i="1103" s="1"/>
  <c r="P560" i="1103"/>
  <c r="Q560" i="1103" s="1"/>
  <c r="H561" i="1103"/>
  <c r="T560" i="1103"/>
  <c r="U560" i="1103" s="1"/>
  <c r="L560" i="1103"/>
  <c r="M560" i="1103" s="1"/>
  <c r="L233" i="1103"/>
  <c r="M233" i="1103" s="1"/>
  <c r="H234" i="1103"/>
  <c r="P233" i="1103"/>
  <c r="Q233" i="1103" s="1"/>
  <c r="T233" i="1103"/>
  <c r="U233" i="1103" s="1"/>
  <c r="L152" i="1103"/>
  <c r="M152" i="1103" s="1"/>
  <c r="P152" i="1103"/>
  <c r="Q152" i="1103" s="1"/>
  <c r="H153" i="1103"/>
  <c r="T152" i="1103"/>
  <c r="U152" i="1103" s="1"/>
  <c r="L169" i="1103"/>
  <c r="M169" i="1103" s="1"/>
  <c r="P169" i="1103"/>
  <c r="Q169" i="1103" s="1"/>
  <c r="H170" i="1103"/>
  <c r="T169" i="1103"/>
  <c r="U169" i="1103" s="1"/>
  <c r="N84" i="38"/>
  <c r="T284" i="262"/>
  <c r="P284" i="262"/>
  <c r="L284" i="262"/>
  <c r="X284" i="262"/>
  <c r="AJ284" i="262"/>
  <c r="AF284" i="262"/>
  <c r="AB284" i="262"/>
  <c r="H285" i="262"/>
  <c r="R57" i="38"/>
  <c r="X135" i="262"/>
  <c r="AF135" i="262"/>
  <c r="AB135" i="262"/>
  <c r="L135" i="262"/>
  <c r="P135" i="262"/>
  <c r="T135" i="262"/>
  <c r="H136" i="262"/>
  <c r="AJ135" i="262"/>
  <c r="H693" i="1103"/>
  <c r="T692" i="1103"/>
  <c r="U692" i="1103" s="1"/>
  <c r="L692" i="1103"/>
  <c r="M692" i="1103" s="1"/>
  <c r="P692" i="1103"/>
  <c r="Q692" i="1103" s="1"/>
  <c r="H680" i="1103"/>
  <c r="T679" i="1103"/>
  <c r="U679" i="1103" s="1"/>
  <c r="L679" i="1103"/>
  <c r="M679" i="1103" s="1"/>
  <c r="P679" i="1103"/>
  <c r="Q679" i="1103" s="1"/>
  <c r="H646" i="1103"/>
  <c r="T645" i="1103"/>
  <c r="U645" i="1103" s="1"/>
  <c r="L645" i="1103"/>
  <c r="M645" i="1103" s="1"/>
  <c r="P645" i="1103"/>
  <c r="Q645" i="1103" s="1"/>
  <c r="H493" i="1103"/>
  <c r="T492" i="1103"/>
  <c r="U492" i="1103" s="1"/>
  <c r="L492" i="1103"/>
  <c r="M492" i="1103" s="1"/>
  <c r="P492" i="1103"/>
  <c r="Q492" i="1103" s="1"/>
  <c r="H476" i="1103"/>
  <c r="T475" i="1103"/>
  <c r="U475" i="1103" s="1"/>
  <c r="L475" i="1103"/>
  <c r="M475" i="1103" s="1"/>
  <c r="P475" i="1103"/>
  <c r="Q475" i="1103" s="1"/>
  <c r="H221" i="1103"/>
  <c r="T220" i="1103"/>
  <c r="U220" i="1103" s="1"/>
  <c r="L220" i="1103"/>
  <c r="M220" i="1103" s="1"/>
  <c r="P220" i="1103"/>
  <c r="Q220" i="1103" s="1"/>
  <c r="H204" i="1103"/>
  <c r="T203" i="1103"/>
  <c r="U203" i="1103" s="1"/>
  <c r="L203" i="1103"/>
  <c r="M203" i="1103" s="1"/>
  <c r="P203" i="1103"/>
  <c r="Q203" i="1103" s="1"/>
  <c r="H187" i="1103"/>
  <c r="T186" i="1103"/>
  <c r="U186" i="1103" s="1"/>
  <c r="L186" i="1103"/>
  <c r="M186" i="1103" s="1"/>
  <c r="P186" i="1103"/>
  <c r="Q186" i="1103" s="1"/>
  <c r="H353" i="261"/>
  <c r="P352" i="261"/>
  <c r="Q352" i="261" s="1"/>
  <c r="X352" i="261"/>
  <c r="Y352" i="261" s="1"/>
  <c r="T352" i="261"/>
  <c r="U352" i="261" s="1"/>
  <c r="L352" i="261"/>
  <c r="M352" i="261" s="1"/>
  <c r="H336" i="261"/>
  <c r="P335" i="261"/>
  <c r="Q335" i="261" s="1"/>
  <c r="X335" i="261"/>
  <c r="Y335" i="261" s="1"/>
  <c r="L335" i="261"/>
  <c r="M335" i="261" s="1"/>
  <c r="T335" i="261"/>
  <c r="U335" i="261" s="1"/>
  <c r="H319" i="261"/>
  <c r="X318" i="261"/>
  <c r="Y318" i="261" s="1"/>
  <c r="P318" i="261"/>
  <c r="Q318" i="261" s="1"/>
  <c r="T318" i="261"/>
  <c r="U318" i="261" s="1"/>
  <c r="L318" i="261"/>
  <c r="M318" i="261" s="1"/>
  <c r="H302" i="261"/>
  <c r="X301" i="261"/>
  <c r="Y301" i="261" s="1"/>
  <c r="P301" i="261"/>
  <c r="Q301" i="261" s="1"/>
  <c r="T301" i="261"/>
  <c r="U301" i="261" s="1"/>
  <c r="L301" i="261"/>
  <c r="M301" i="261" s="1"/>
  <c r="H285" i="261"/>
  <c r="X284" i="261"/>
  <c r="Y284" i="261" s="1"/>
  <c r="P284" i="261"/>
  <c r="Q284" i="261" s="1"/>
  <c r="L284" i="261"/>
  <c r="M284" i="261" s="1"/>
  <c r="T284" i="261"/>
  <c r="U284" i="261" s="1"/>
  <c r="H268" i="261"/>
  <c r="X267" i="261"/>
  <c r="Y267" i="261" s="1"/>
  <c r="P267" i="261"/>
  <c r="Q267" i="261" s="1"/>
  <c r="L267" i="261"/>
  <c r="M267" i="261" s="1"/>
  <c r="T267" i="261"/>
  <c r="U267" i="261" s="1"/>
  <c r="H251" i="261"/>
  <c r="L250" i="261"/>
  <c r="M250" i="261" s="1"/>
  <c r="P250" i="261"/>
  <c r="Q250" i="261" s="1"/>
  <c r="T250" i="261"/>
  <c r="U250" i="261" s="1"/>
  <c r="X250" i="261"/>
  <c r="Y250" i="261" s="1"/>
  <c r="H234" i="261"/>
  <c r="L233" i="261"/>
  <c r="M233" i="261" s="1"/>
  <c r="X233" i="261"/>
  <c r="Y233" i="261" s="1"/>
  <c r="T233" i="261"/>
  <c r="U233" i="261" s="1"/>
  <c r="P233" i="261"/>
  <c r="Q233" i="261" s="1"/>
  <c r="H183" i="261"/>
  <c r="P182" i="261"/>
  <c r="Q182" i="261" s="1"/>
  <c r="T182" i="261"/>
  <c r="U182" i="261" s="1"/>
  <c r="X182" i="261"/>
  <c r="Y182" i="261" s="1"/>
  <c r="L182" i="261"/>
  <c r="M182" i="261" s="1"/>
  <c r="H166" i="261"/>
  <c r="P165" i="261"/>
  <c r="Q165" i="261" s="1"/>
  <c r="X165" i="261"/>
  <c r="Y165" i="261" s="1"/>
  <c r="T165" i="261"/>
  <c r="U165" i="261" s="1"/>
  <c r="L165" i="261"/>
  <c r="M165" i="261" s="1"/>
  <c r="H149" i="261"/>
  <c r="P148" i="261"/>
  <c r="Q148" i="261" s="1"/>
  <c r="X148" i="261"/>
  <c r="Y148" i="261" s="1"/>
  <c r="T148" i="261"/>
  <c r="U148" i="261" s="1"/>
  <c r="L148" i="261"/>
  <c r="M148" i="261" s="1"/>
  <c r="H132" i="261"/>
  <c r="P131" i="261"/>
  <c r="Q131" i="261" s="1"/>
  <c r="X131" i="261"/>
  <c r="Y131" i="261" s="1"/>
  <c r="L131" i="261"/>
  <c r="M131" i="261" s="1"/>
  <c r="T131" i="261"/>
  <c r="U131" i="261" s="1"/>
  <c r="H115" i="261"/>
  <c r="L114" i="261"/>
  <c r="M114" i="261" s="1"/>
  <c r="X114" i="261"/>
  <c r="Y114" i="261" s="1"/>
  <c r="T114" i="261"/>
  <c r="U114" i="261" s="1"/>
  <c r="P114" i="261"/>
  <c r="Q114" i="261" s="1"/>
  <c r="L33" i="10"/>
  <c r="K34" i="10"/>
  <c r="L32" i="10"/>
  <c r="L35" i="10"/>
  <c r="K36" i="10"/>
  <c r="L36" i="10"/>
  <c r="L31" i="10"/>
  <c r="K37" i="10"/>
  <c r="K32" i="10"/>
  <c r="L34" i="10"/>
  <c r="L37" i="10"/>
  <c r="K38" i="10"/>
  <c r="L39" i="10"/>
  <c r="L38" i="10"/>
  <c r="K33" i="10"/>
  <c r="K35" i="10"/>
  <c r="K39" i="10"/>
  <c r="K40" i="10"/>
  <c r="L40" i="10"/>
  <c r="J67" i="9"/>
  <c r="L67" i="9" s="1"/>
  <c r="L64" i="9"/>
  <c r="U73" i="38"/>
  <c r="G224" i="262"/>
  <c r="V73" i="38" s="1"/>
  <c r="V93" i="38"/>
  <c r="H93" i="38"/>
  <c r="I93" i="38"/>
  <c r="J93" i="38"/>
  <c r="K93" i="38"/>
  <c r="L93" i="38"/>
  <c r="M93" i="38"/>
  <c r="N93" i="38"/>
  <c r="O93" i="38"/>
  <c r="P93" i="38"/>
  <c r="Q93" i="38"/>
  <c r="R93" i="38"/>
  <c r="S93" i="38"/>
  <c r="T93" i="38"/>
  <c r="U93" i="38"/>
  <c r="G190" i="262"/>
  <c r="V67" i="38" s="1"/>
  <c r="X220" i="262"/>
  <c r="T220" i="262"/>
  <c r="L220" i="262"/>
  <c r="H221" i="262"/>
  <c r="S72" i="38" s="1"/>
  <c r="AF220" i="262"/>
  <c r="P220" i="262"/>
  <c r="AJ220" i="262"/>
  <c r="AB220" i="262"/>
  <c r="P186" i="262"/>
  <c r="T186" i="262"/>
  <c r="L186" i="262"/>
  <c r="H187" i="262"/>
  <c r="S66" i="38" s="1"/>
  <c r="X186" i="262"/>
  <c r="AF186" i="262"/>
  <c r="AJ186" i="262"/>
  <c r="AB186" i="262"/>
  <c r="G207" i="262"/>
  <c r="V70" i="38" s="1"/>
  <c r="AF203" i="262"/>
  <c r="P203" i="262"/>
  <c r="AB203" i="262"/>
  <c r="AJ203" i="262"/>
  <c r="H204" i="262"/>
  <c r="S69" i="38" s="1"/>
  <c r="X203" i="262"/>
  <c r="L203" i="262"/>
  <c r="T203" i="262"/>
  <c r="G571" i="262"/>
  <c r="G523" i="262"/>
  <c r="G603" i="262"/>
  <c r="G475" i="262"/>
  <c r="G619" i="262"/>
  <c r="G507" i="262"/>
  <c r="G492" i="262"/>
  <c r="AH634" i="262"/>
  <c r="R634" i="262"/>
  <c r="AD634" i="262"/>
  <c r="N634" i="262"/>
  <c r="Z634" i="262"/>
  <c r="J634" i="262"/>
  <c r="V634" i="262"/>
  <c r="G635" i="262"/>
  <c r="H635" i="262" s="1"/>
  <c r="F147" i="38"/>
  <c r="C651" i="262"/>
  <c r="A668" i="262"/>
  <c r="B651" i="262"/>
  <c r="G589" i="262"/>
  <c r="G556" i="262"/>
  <c r="G539" i="262"/>
  <c r="T217" i="261"/>
  <c r="L217" i="261"/>
  <c r="P217" i="261"/>
  <c r="X217" i="261"/>
  <c r="L199" i="261"/>
  <c r="T199" i="261"/>
  <c r="X199" i="261"/>
  <c r="P199" i="261"/>
  <c r="L97" i="261"/>
  <c r="T97" i="261"/>
  <c r="P97" i="261"/>
  <c r="X97" i="261"/>
  <c r="P81" i="261"/>
  <c r="X81" i="261"/>
  <c r="T81" i="261"/>
  <c r="L81" i="261"/>
  <c r="P64" i="261"/>
  <c r="T64" i="261"/>
  <c r="L64" i="261"/>
  <c r="X64" i="261"/>
  <c r="L47" i="261"/>
  <c r="T47" i="261"/>
  <c r="P47" i="261"/>
  <c r="X47" i="261"/>
  <c r="T29" i="261"/>
  <c r="X29" i="261"/>
  <c r="L29" i="261"/>
  <c r="P29" i="261"/>
  <c r="P551" i="262"/>
  <c r="X551" i="262"/>
  <c r="AF551" i="262"/>
  <c r="AJ551" i="262"/>
  <c r="T551" i="262"/>
  <c r="AB551" i="262"/>
  <c r="L551" i="262"/>
  <c r="AF503" i="262"/>
  <c r="X503" i="262"/>
  <c r="P503" i="262"/>
  <c r="AJ503" i="262"/>
  <c r="AB503" i="262"/>
  <c r="T503" i="262"/>
  <c r="L503" i="262"/>
  <c r="P519" i="262"/>
  <c r="X519" i="262"/>
  <c r="AF519" i="262"/>
  <c r="L519" i="262"/>
  <c r="T519" i="262"/>
  <c r="AB519" i="262"/>
  <c r="AJ519" i="262"/>
  <c r="AF535" i="262"/>
  <c r="X535" i="262"/>
  <c r="P535" i="262"/>
  <c r="T535" i="262"/>
  <c r="AJ535" i="262"/>
  <c r="L535" i="262"/>
  <c r="AB535" i="262"/>
  <c r="AF618" i="262"/>
  <c r="X618" i="262"/>
  <c r="P618" i="262"/>
  <c r="L618" i="262"/>
  <c r="AB618" i="262"/>
  <c r="T618" i="262"/>
  <c r="AJ618" i="262"/>
  <c r="P487" i="262"/>
  <c r="X487" i="262"/>
  <c r="AF487" i="262"/>
  <c r="L487" i="262"/>
  <c r="T487" i="262"/>
  <c r="AB487" i="262"/>
  <c r="AJ487" i="262"/>
  <c r="P423" i="262"/>
  <c r="X423" i="262"/>
  <c r="AF423" i="262"/>
  <c r="AJ423" i="262"/>
  <c r="T423" i="262"/>
  <c r="AB423" i="262"/>
  <c r="L423" i="262"/>
  <c r="AJ471" i="262"/>
  <c r="AB471" i="262"/>
  <c r="T471" i="262"/>
  <c r="L471" i="262"/>
  <c r="X471" i="262"/>
  <c r="AF471" i="262"/>
  <c r="P471" i="262"/>
  <c r="P391" i="262"/>
  <c r="X391" i="262"/>
  <c r="AF391" i="262"/>
  <c r="AB391" i="262"/>
  <c r="L391" i="262"/>
  <c r="AJ391" i="262"/>
  <c r="T391" i="262"/>
  <c r="AF439" i="262"/>
  <c r="X439" i="262"/>
  <c r="P439" i="262"/>
  <c r="T439" i="262"/>
  <c r="L439" i="262"/>
  <c r="AB439" i="262"/>
  <c r="AJ439" i="262"/>
  <c r="AF343" i="262"/>
  <c r="P343" i="262"/>
  <c r="X343" i="262"/>
  <c r="AJ343" i="262"/>
  <c r="AB343" i="262"/>
  <c r="L343" i="262"/>
  <c r="T343" i="262"/>
  <c r="P455" i="262"/>
  <c r="X455" i="262"/>
  <c r="AF455" i="262"/>
  <c r="L455" i="262"/>
  <c r="T455" i="262"/>
  <c r="AB455" i="262"/>
  <c r="AJ455" i="262"/>
  <c r="AJ407" i="262"/>
  <c r="L407" i="262"/>
  <c r="AB407" i="262"/>
  <c r="T407" i="262"/>
  <c r="AF407" i="262"/>
  <c r="X407" i="262"/>
  <c r="P407" i="262"/>
  <c r="AF375" i="262"/>
  <c r="X375" i="262"/>
  <c r="P375" i="262"/>
  <c r="L375" i="262"/>
  <c r="AB375" i="262"/>
  <c r="T375" i="262"/>
  <c r="AJ375" i="262"/>
  <c r="P359" i="262"/>
  <c r="X359" i="262"/>
  <c r="AF359" i="262"/>
  <c r="AB359" i="262"/>
  <c r="L359" i="262"/>
  <c r="AJ359" i="262"/>
  <c r="T359" i="262"/>
  <c r="B662" i="262"/>
  <c r="B647" i="262"/>
  <c r="B663" i="262"/>
  <c r="B638" i="262"/>
  <c r="B639" i="262"/>
  <c r="B576" i="262"/>
  <c r="B682" i="262"/>
  <c r="B591" i="262"/>
  <c r="B575" i="262"/>
  <c r="B569" i="262"/>
  <c r="H552" i="262"/>
  <c r="B174" i="38"/>
  <c r="B623" i="262"/>
  <c r="B635" i="262"/>
  <c r="H504" i="262"/>
  <c r="H472" i="262"/>
  <c r="B624" i="262"/>
  <c r="H488" i="262"/>
  <c r="H48" i="261"/>
  <c r="H200" i="261"/>
  <c r="H376" i="262"/>
  <c r="H440" i="262"/>
  <c r="H520" i="262"/>
  <c r="H218" i="261"/>
  <c r="H456" i="262"/>
  <c r="H424" i="262"/>
  <c r="B568" i="262"/>
  <c r="H568" i="262"/>
  <c r="H536" i="262"/>
  <c r="H65" i="261"/>
  <c r="H30" i="261"/>
  <c r="H82" i="261"/>
  <c r="H408" i="262"/>
  <c r="H392" i="262"/>
  <c r="H98" i="261"/>
  <c r="H360" i="262"/>
  <c r="B666" i="262"/>
  <c r="H651" i="262"/>
  <c r="G651" i="262"/>
  <c r="F651" i="262"/>
  <c r="I651" i="262"/>
  <c r="E651" i="262"/>
  <c r="P170" i="1103" l="1"/>
  <c r="Q170" i="1103" s="1"/>
  <c r="H171" i="1103"/>
  <c r="T170" i="1103"/>
  <c r="U170" i="1103" s="1"/>
  <c r="L170" i="1103"/>
  <c r="M170" i="1103" s="1"/>
  <c r="P153" i="1103"/>
  <c r="Q153" i="1103" s="1"/>
  <c r="H154" i="1103"/>
  <c r="T153" i="1103"/>
  <c r="U153" i="1103" s="1"/>
  <c r="L153" i="1103"/>
  <c r="M153" i="1103" s="1"/>
  <c r="P544" i="1103"/>
  <c r="Q544" i="1103" s="1"/>
  <c r="H545" i="1103"/>
  <c r="T544" i="1103"/>
  <c r="U544" i="1103" s="1"/>
  <c r="L544" i="1103"/>
  <c r="M544" i="1103" s="1"/>
  <c r="P251" i="1103"/>
  <c r="Q251" i="1103" s="1"/>
  <c r="H252" i="1103"/>
  <c r="T251" i="1103"/>
  <c r="U251" i="1103" s="1"/>
  <c r="L251" i="1103"/>
  <c r="M251" i="1103" s="1"/>
  <c r="P136" i="1103"/>
  <c r="Q136" i="1103" s="1"/>
  <c r="H137" i="1103"/>
  <c r="T136" i="1103"/>
  <c r="U136" i="1103" s="1"/>
  <c r="L136" i="1103"/>
  <c r="M136" i="1103" s="1"/>
  <c r="O75" i="38"/>
  <c r="X234" i="262"/>
  <c r="AJ234" i="262"/>
  <c r="AF234" i="262"/>
  <c r="H235" i="262"/>
  <c r="T234" i="262"/>
  <c r="AB234" i="262"/>
  <c r="P234" i="262"/>
  <c r="L234" i="262"/>
  <c r="O78" i="38"/>
  <c r="AJ251" i="262"/>
  <c r="L251" i="262"/>
  <c r="P251" i="262"/>
  <c r="X251" i="262"/>
  <c r="AB251" i="262"/>
  <c r="T251" i="262"/>
  <c r="H252" i="262"/>
  <c r="AF251" i="262"/>
  <c r="H746" i="1103"/>
  <c r="T745" i="1103"/>
  <c r="U745" i="1103" s="1"/>
  <c r="L745" i="1103"/>
  <c r="M745" i="1103" s="1"/>
  <c r="P745" i="1103"/>
  <c r="Q745" i="1103" s="1"/>
  <c r="L234" i="1103"/>
  <c r="M234" i="1103" s="1"/>
  <c r="T234" i="1103"/>
  <c r="U234" i="1103" s="1"/>
  <c r="P234" i="1103"/>
  <c r="Q234" i="1103" s="1"/>
  <c r="H235" i="1103"/>
  <c r="H562" i="1103"/>
  <c r="T561" i="1103"/>
  <c r="U561" i="1103" s="1"/>
  <c r="L561" i="1103"/>
  <c r="M561" i="1103" s="1"/>
  <c r="P561" i="1103"/>
  <c r="Q561" i="1103" s="1"/>
  <c r="H613" i="1103"/>
  <c r="T612" i="1103"/>
  <c r="U612" i="1103" s="1"/>
  <c r="L612" i="1103"/>
  <c r="M612" i="1103" s="1"/>
  <c r="P612" i="1103"/>
  <c r="Q612" i="1103" s="1"/>
  <c r="O81" i="38"/>
  <c r="AB268" i="262"/>
  <c r="AF268" i="262"/>
  <c r="T268" i="262"/>
  <c r="AJ268" i="262"/>
  <c r="L268" i="262"/>
  <c r="P268" i="262"/>
  <c r="H269" i="262"/>
  <c r="X268" i="262"/>
  <c r="S57" i="38"/>
  <c r="L136" i="262"/>
  <c r="T136" i="262"/>
  <c r="AF136" i="262"/>
  <c r="H137" i="262"/>
  <c r="P136" i="262"/>
  <c r="AB136" i="262"/>
  <c r="X136" i="262"/>
  <c r="AJ136" i="262"/>
  <c r="O84" i="38"/>
  <c r="T285" i="262"/>
  <c r="X285" i="262"/>
  <c r="AF285" i="262"/>
  <c r="AJ285" i="262"/>
  <c r="L285" i="262"/>
  <c r="P285" i="262"/>
  <c r="H286" i="262"/>
  <c r="AB285" i="262"/>
  <c r="H269" i="1103"/>
  <c r="P268" i="1103"/>
  <c r="Q268" i="1103" s="1"/>
  <c r="T268" i="1103"/>
  <c r="U268" i="1103" s="1"/>
  <c r="L268" i="1103"/>
  <c r="M268" i="1103" s="1"/>
  <c r="H712" i="1103"/>
  <c r="L711" i="1103"/>
  <c r="M711" i="1103" s="1"/>
  <c r="T711" i="1103"/>
  <c r="U711" i="1103" s="1"/>
  <c r="P711" i="1103"/>
  <c r="Q711" i="1103" s="1"/>
  <c r="P510" i="1103"/>
  <c r="Q510" i="1103" s="1"/>
  <c r="H511" i="1103"/>
  <c r="T510" i="1103"/>
  <c r="U510" i="1103" s="1"/>
  <c r="L510" i="1103"/>
  <c r="M510" i="1103" s="1"/>
  <c r="H596" i="1103"/>
  <c r="T595" i="1103"/>
  <c r="U595" i="1103" s="1"/>
  <c r="L595" i="1103"/>
  <c r="M595" i="1103" s="1"/>
  <c r="P595" i="1103"/>
  <c r="Q595" i="1103" s="1"/>
  <c r="H528" i="1103"/>
  <c r="T527" i="1103"/>
  <c r="U527" i="1103" s="1"/>
  <c r="L527" i="1103"/>
  <c r="M527" i="1103" s="1"/>
  <c r="P527" i="1103"/>
  <c r="Q527" i="1103" s="1"/>
  <c r="S63" i="38"/>
  <c r="H171" i="262"/>
  <c r="AJ170" i="262"/>
  <c r="P170" i="262"/>
  <c r="AF170" i="262"/>
  <c r="X170" i="262"/>
  <c r="AB170" i="262"/>
  <c r="L170" i="262"/>
  <c r="T170" i="262"/>
  <c r="T285" i="1103"/>
  <c r="U285" i="1103" s="1"/>
  <c r="L285" i="1103"/>
  <c r="M285" i="1103" s="1"/>
  <c r="P285" i="1103"/>
  <c r="Q285" i="1103" s="1"/>
  <c r="H286" i="1103"/>
  <c r="P629" i="1103"/>
  <c r="Q629" i="1103" s="1"/>
  <c r="H630" i="1103"/>
  <c r="T629" i="1103"/>
  <c r="U629" i="1103" s="1"/>
  <c r="L629" i="1103"/>
  <c r="M629" i="1103" s="1"/>
  <c r="P578" i="1103"/>
  <c r="Q578" i="1103" s="1"/>
  <c r="H579" i="1103"/>
  <c r="T578" i="1103"/>
  <c r="U578" i="1103" s="1"/>
  <c r="L578" i="1103"/>
  <c r="M578" i="1103" s="1"/>
  <c r="P87" i="38"/>
  <c r="AB303" i="262"/>
  <c r="X303" i="262"/>
  <c r="H304" i="262"/>
  <c r="T303" i="262"/>
  <c r="P303" i="262"/>
  <c r="AF303" i="262"/>
  <c r="L303" i="262"/>
  <c r="AJ303" i="262"/>
  <c r="S60" i="38"/>
  <c r="AJ153" i="262"/>
  <c r="H154" i="262"/>
  <c r="L153" i="262"/>
  <c r="AF153" i="262"/>
  <c r="T153" i="262"/>
  <c r="AB153" i="262"/>
  <c r="P153" i="262"/>
  <c r="X153" i="262"/>
  <c r="L663" i="1103"/>
  <c r="M663" i="1103" s="1"/>
  <c r="P663" i="1103"/>
  <c r="Q663" i="1103" s="1"/>
  <c r="H664" i="1103"/>
  <c r="T663" i="1103"/>
  <c r="U663" i="1103" s="1"/>
  <c r="T303" i="1103"/>
  <c r="U303" i="1103" s="1"/>
  <c r="H304" i="1103"/>
  <c r="P303" i="1103"/>
  <c r="Q303" i="1103" s="1"/>
  <c r="L303" i="1103"/>
  <c r="M303" i="1103" s="1"/>
  <c r="L727" i="1103"/>
  <c r="M727" i="1103" s="1"/>
  <c r="H728" i="1103"/>
  <c r="P727" i="1103"/>
  <c r="Q727" i="1103" s="1"/>
  <c r="T727" i="1103"/>
  <c r="U727" i="1103" s="1"/>
  <c r="F28" i="1107"/>
  <c r="F46" i="1107"/>
  <c r="F27" i="1107"/>
  <c r="F45" i="1107"/>
  <c r="F30" i="1107"/>
  <c r="F48" i="1107"/>
  <c r="F47" i="1107"/>
  <c r="F29" i="1107"/>
  <c r="H694" i="1103"/>
  <c r="T693" i="1103"/>
  <c r="U693" i="1103" s="1"/>
  <c r="L693" i="1103"/>
  <c r="M693" i="1103" s="1"/>
  <c r="P693" i="1103"/>
  <c r="Q693" i="1103" s="1"/>
  <c r="H681" i="1103"/>
  <c r="T680" i="1103"/>
  <c r="U680" i="1103" s="1"/>
  <c r="L680" i="1103"/>
  <c r="M680" i="1103" s="1"/>
  <c r="P680" i="1103"/>
  <c r="Q680" i="1103" s="1"/>
  <c r="H647" i="1103"/>
  <c r="T646" i="1103"/>
  <c r="U646" i="1103" s="1"/>
  <c r="L646" i="1103"/>
  <c r="M646" i="1103" s="1"/>
  <c r="P646" i="1103"/>
  <c r="Q646" i="1103" s="1"/>
  <c r="H494" i="1103"/>
  <c r="L493" i="1103"/>
  <c r="M493" i="1103" s="1"/>
  <c r="T493" i="1103"/>
  <c r="U493" i="1103" s="1"/>
  <c r="P493" i="1103"/>
  <c r="Q493" i="1103" s="1"/>
  <c r="H477" i="1103"/>
  <c r="T476" i="1103"/>
  <c r="U476" i="1103" s="1"/>
  <c r="L476" i="1103"/>
  <c r="M476" i="1103" s="1"/>
  <c r="P476" i="1103"/>
  <c r="Q476" i="1103" s="1"/>
  <c r="H222" i="1103"/>
  <c r="T221" i="1103"/>
  <c r="U221" i="1103" s="1"/>
  <c r="L221" i="1103"/>
  <c r="M221" i="1103" s="1"/>
  <c r="P221" i="1103"/>
  <c r="Q221" i="1103" s="1"/>
  <c r="H205" i="1103"/>
  <c r="T204" i="1103"/>
  <c r="U204" i="1103" s="1"/>
  <c r="L204" i="1103"/>
  <c r="M204" i="1103" s="1"/>
  <c r="P204" i="1103"/>
  <c r="Q204" i="1103" s="1"/>
  <c r="H188" i="1103"/>
  <c r="T187" i="1103"/>
  <c r="U187" i="1103" s="1"/>
  <c r="L187" i="1103"/>
  <c r="M187" i="1103" s="1"/>
  <c r="P187" i="1103"/>
  <c r="Q187" i="1103" s="1"/>
  <c r="H354" i="261"/>
  <c r="P353" i="261"/>
  <c r="Q353" i="261" s="1"/>
  <c r="X353" i="261"/>
  <c r="Y353" i="261" s="1"/>
  <c r="L353" i="261"/>
  <c r="M353" i="261" s="1"/>
  <c r="T353" i="261"/>
  <c r="U353" i="261" s="1"/>
  <c r="H337" i="261"/>
  <c r="P336" i="261"/>
  <c r="Q336" i="261" s="1"/>
  <c r="X336" i="261"/>
  <c r="Y336" i="261" s="1"/>
  <c r="L336" i="261"/>
  <c r="M336" i="261" s="1"/>
  <c r="T336" i="261"/>
  <c r="U336" i="261" s="1"/>
  <c r="H320" i="261"/>
  <c r="P319" i="261"/>
  <c r="Q319" i="261" s="1"/>
  <c r="X319" i="261"/>
  <c r="Y319" i="261" s="1"/>
  <c r="L319" i="261"/>
  <c r="M319" i="261" s="1"/>
  <c r="T319" i="261"/>
  <c r="U319" i="261" s="1"/>
  <c r="H303" i="261"/>
  <c r="P302" i="261"/>
  <c r="Q302" i="261" s="1"/>
  <c r="X302" i="261"/>
  <c r="Y302" i="261" s="1"/>
  <c r="L302" i="261"/>
  <c r="M302" i="261" s="1"/>
  <c r="T302" i="261"/>
  <c r="U302" i="261" s="1"/>
  <c r="H286" i="261"/>
  <c r="X285" i="261"/>
  <c r="Y285" i="261" s="1"/>
  <c r="P285" i="261"/>
  <c r="Q285" i="261" s="1"/>
  <c r="L285" i="261"/>
  <c r="M285" i="261" s="1"/>
  <c r="T285" i="261"/>
  <c r="U285" i="261" s="1"/>
  <c r="H269" i="261"/>
  <c r="X268" i="261"/>
  <c r="Y268" i="261" s="1"/>
  <c r="P268" i="261"/>
  <c r="Q268" i="261" s="1"/>
  <c r="L268" i="261"/>
  <c r="M268" i="261" s="1"/>
  <c r="T268" i="261"/>
  <c r="U268" i="261" s="1"/>
  <c r="H252" i="261"/>
  <c r="L251" i="261"/>
  <c r="M251" i="261" s="1"/>
  <c r="P251" i="261"/>
  <c r="Q251" i="261" s="1"/>
  <c r="T251" i="261"/>
  <c r="U251" i="261" s="1"/>
  <c r="X251" i="261"/>
  <c r="Y251" i="261" s="1"/>
  <c r="H235" i="261"/>
  <c r="L234" i="261"/>
  <c r="M234" i="261" s="1"/>
  <c r="T234" i="261"/>
  <c r="U234" i="261" s="1"/>
  <c r="X234" i="261"/>
  <c r="Y234" i="261" s="1"/>
  <c r="P234" i="261"/>
  <c r="Q234" i="261" s="1"/>
  <c r="H184" i="261"/>
  <c r="P183" i="261"/>
  <c r="Q183" i="261" s="1"/>
  <c r="T183" i="261"/>
  <c r="U183" i="261" s="1"/>
  <c r="X183" i="261"/>
  <c r="Y183" i="261" s="1"/>
  <c r="L183" i="261"/>
  <c r="M183" i="261" s="1"/>
  <c r="H167" i="261"/>
  <c r="P166" i="261"/>
  <c r="Q166" i="261" s="1"/>
  <c r="X166" i="261"/>
  <c r="Y166" i="261" s="1"/>
  <c r="T166" i="261"/>
  <c r="U166" i="261" s="1"/>
  <c r="L166" i="261"/>
  <c r="M166" i="261" s="1"/>
  <c r="H150" i="261"/>
  <c r="P149" i="261"/>
  <c r="Q149" i="261" s="1"/>
  <c r="X149" i="261"/>
  <c r="Y149" i="261" s="1"/>
  <c r="L149" i="261"/>
  <c r="M149" i="261" s="1"/>
  <c r="T149" i="261"/>
  <c r="U149" i="261" s="1"/>
  <c r="H133" i="261"/>
  <c r="X132" i="261"/>
  <c r="Y132" i="261" s="1"/>
  <c r="P132" i="261"/>
  <c r="Q132" i="261" s="1"/>
  <c r="L132" i="261"/>
  <c r="M132" i="261" s="1"/>
  <c r="T132" i="261"/>
  <c r="U132" i="261" s="1"/>
  <c r="H116" i="261"/>
  <c r="X115" i="261"/>
  <c r="Y115" i="261" s="1"/>
  <c r="L115" i="261"/>
  <c r="M115" i="261" s="1"/>
  <c r="T115" i="261"/>
  <c r="U115" i="261" s="1"/>
  <c r="P115" i="261"/>
  <c r="Q115" i="261" s="1"/>
  <c r="F46" i="264"/>
  <c r="F28" i="264"/>
  <c r="G26" i="264"/>
  <c r="G44" i="264"/>
  <c r="G45" i="264"/>
  <c r="G27" i="264"/>
  <c r="G29" i="264"/>
  <c r="G47" i="264"/>
  <c r="F29" i="264"/>
  <c r="F47" i="264"/>
  <c r="F48" i="264"/>
  <c r="F30" i="264"/>
  <c r="G30" i="264"/>
  <c r="G48" i="264"/>
  <c r="F45" i="264"/>
  <c r="F27" i="264"/>
  <c r="G46" i="264"/>
  <c r="G28" i="264"/>
  <c r="V96" i="38"/>
  <c r="H96" i="38"/>
  <c r="I96" i="38"/>
  <c r="J96" i="38"/>
  <c r="K96" i="38"/>
  <c r="L96" i="38"/>
  <c r="M96" i="38"/>
  <c r="N96" i="38"/>
  <c r="O96" i="38"/>
  <c r="P96" i="38"/>
  <c r="Q96" i="38"/>
  <c r="R96" i="38"/>
  <c r="S96" i="38"/>
  <c r="T96" i="38"/>
  <c r="U96" i="38"/>
  <c r="X204" i="262"/>
  <c r="AJ204" i="262"/>
  <c r="AB204" i="262"/>
  <c r="P204" i="262"/>
  <c r="AF204" i="262"/>
  <c r="T204" i="262"/>
  <c r="L204" i="262"/>
  <c r="H205" i="262"/>
  <c r="T69" i="38" s="1"/>
  <c r="AF187" i="262"/>
  <c r="X187" i="262"/>
  <c r="L187" i="262"/>
  <c r="T187" i="262"/>
  <c r="P187" i="262"/>
  <c r="AB187" i="262"/>
  <c r="AJ187" i="262"/>
  <c r="H188" i="262"/>
  <c r="T66" i="38" s="1"/>
  <c r="X221" i="262"/>
  <c r="AB221" i="262"/>
  <c r="AJ221" i="262"/>
  <c r="H222" i="262"/>
  <c r="T72" i="38" s="1"/>
  <c r="P221" i="262"/>
  <c r="AF221" i="262"/>
  <c r="L221" i="262"/>
  <c r="T221" i="262"/>
  <c r="G620" i="262"/>
  <c r="G572" i="262"/>
  <c r="G524" i="262"/>
  <c r="G604" i="262"/>
  <c r="G476" i="262"/>
  <c r="G636" i="262"/>
  <c r="G508" i="262"/>
  <c r="G493" i="262"/>
  <c r="Z651" i="262"/>
  <c r="J651" i="262"/>
  <c r="V651" i="262"/>
  <c r="G652" i="262"/>
  <c r="H652" i="262" s="1"/>
  <c r="AH651" i="262"/>
  <c r="R651" i="262"/>
  <c r="AD651" i="262"/>
  <c r="N651" i="262"/>
  <c r="F150" i="38"/>
  <c r="G540" i="262"/>
  <c r="G557" i="262"/>
  <c r="G590" i="262"/>
  <c r="B668" i="262"/>
  <c r="C668" i="262"/>
  <c r="A685" i="262"/>
  <c r="L218" i="261"/>
  <c r="T218" i="261"/>
  <c r="X218" i="261"/>
  <c r="P218" i="261"/>
  <c r="T200" i="261"/>
  <c r="L200" i="261"/>
  <c r="P200" i="261"/>
  <c r="X200" i="261"/>
  <c r="T98" i="261"/>
  <c r="L98" i="261"/>
  <c r="P98" i="261"/>
  <c r="X98" i="261"/>
  <c r="L82" i="261"/>
  <c r="T82" i="261"/>
  <c r="X82" i="261"/>
  <c r="P82" i="261"/>
  <c r="P65" i="261"/>
  <c r="L65" i="261"/>
  <c r="T65" i="261"/>
  <c r="X65" i="261"/>
  <c r="L48" i="261"/>
  <c r="T48" i="261"/>
  <c r="P48" i="261"/>
  <c r="X48" i="261"/>
  <c r="T30" i="261"/>
  <c r="X30" i="261"/>
  <c r="L30" i="261"/>
  <c r="P30" i="261"/>
  <c r="AJ635" i="262"/>
  <c r="AB635" i="262"/>
  <c r="T635" i="262"/>
  <c r="L635" i="262"/>
  <c r="P635" i="262"/>
  <c r="AF635" i="262"/>
  <c r="X635" i="262"/>
  <c r="P536" i="262"/>
  <c r="X536" i="262"/>
  <c r="AF536" i="262"/>
  <c r="AB536" i="262"/>
  <c r="L536" i="262"/>
  <c r="AJ536" i="262"/>
  <c r="T536" i="262"/>
  <c r="L568" i="262"/>
  <c r="T568" i="262"/>
  <c r="AB568" i="262"/>
  <c r="AJ568" i="262"/>
  <c r="P568" i="262"/>
  <c r="X568" i="262"/>
  <c r="AF568" i="262"/>
  <c r="AF520" i="262"/>
  <c r="X520" i="262"/>
  <c r="P520" i="262"/>
  <c r="AJ520" i="262"/>
  <c r="AB520" i="262"/>
  <c r="T520" i="262"/>
  <c r="L520" i="262"/>
  <c r="AF488" i="262"/>
  <c r="X488" i="262"/>
  <c r="P488" i="262"/>
  <c r="AJ488" i="262"/>
  <c r="AB488" i="262"/>
  <c r="T488" i="262"/>
  <c r="L488" i="262"/>
  <c r="P504" i="262"/>
  <c r="X504" i="262"/>
  <c r="AF504" i="262"/>
  <c r="L504" i="262"/>
  <c r="T504" i="262"/>
  <c r="AB504" i="262"/>
  <c r="AJ504" i="262"/>
  <c r="AF552" i="262"/>
  <c r="X552" i="262"/>
  <c r="P552" i="262"/>
  <c r="L552" i="262"/>
  <c r="AB552" i="262"/>
  <c r="T552" i="262"/>
  <c r="AJ552" i="262"/>
  <c r="AF392" i="262"/>
  <c r="X392" i="262"/>
  <c r="P392" i="262"/>
  <c r="T392" i="262"/>
  <c r="AJ392" i="262"/>
  <c r="L392" i="262"/>
  <c r="AB392" i="262"/>
  <c r="AF424" i="262"/>
  <c r="X424" i="262"/>
  <c r="P424" i="262"/>
  <c r="L424" i="262"/>
  <c r="AB424" i="262"/>
  <c r="T424" i="262"/>
  <c r="AJ424" i="262"/>
  <c r="AJ456" i="262"/>
  <c r="AB456" i="262"/>
  <c r="T456" i="262"/>
  <c r="L456" i="262"/>
  <c r="AF456" i="262"/>
  <c r="X456" i="262"/>
  <c r="P456" i="262"/>
  <c r="AJ440" i="262"/>
  <c r="AB440" i="262"/>
  <c r="L440" i="262"/>
  <c r="T440" i="262"/>
  <c r="P440" i="262"/>
  <c r="X440" i="262"/>
  <c r="AF440" i="262"/>
  <c r="L472" i="262"/>
  <c r="T472" i="262"/>
  <c r="AB472" i="262"/>
  <c r="AJ472" i="262"/>
  <c r="P472" i="262"/>
  <c r="AF472" i="262"/>
  <c r="X472" i="262"/>
  <c r="AF360" i="262"/>
  <c r="P360" i="262"/>
  <c r="X360" i="262"/>
  <c r="T360" i="262"/>
  <c r="AB360" i="262"/>
  <c r="AJ360" i="262"/>
  <c r="L360" i="262"/>
  <c r="T408" i="262"/>
  <c r="AB408" i="262"/>
  <c r="L408" i="262"/>
  <c r="AJ408" i="262"/>
  <c r="P408" i="262"/>
  <c r="X408" i="262"/>
  <c r="AF408" i="262"/>
  <c r="P376" i="262"/>
  <c r="X376" i="262"/>
  <c r="AF376" i="262"/>
  <c r="AJ376" i="262"/>
  <c r="T376" i="262"/>
  <c r="AB376" i="262"/>
  <c r="L376" i="262"/>
  <c r="B679" i="262"/>
  <c r="B664" i="262"/>
  <c r="B680" i="262"/>
  <c r="B655" i="262"/>
  <c r="B592" i="262"/>
  <c r="B593" i="262"/>
  <c r="B656" i="262"/>
  <c r="B608" i="262"/>
  <c r="B699" i="262"/>
  <c r="H99" i="261"/>
  <c r="H393" i="262"/>
  <c r="H83" i="261"/>
  <c r="H66" i="261"/>
  <c r="H569" i="262"/>
  <c r="H219" i="261"/>
  <c r="H521" i="262"/>
  <c r="H201" i="261"/>
  <c r="H489" i="262"/>
  <c r="H473" i="262"/>
  <c r="H505" i="262"/>
  <c r="B652" i="262"/>
  <c r="B177" i="38"/>
  <c r="B586" i="262"/>
  <c r="B683" i="262"/>
  <c r="H409" i="262"/>
  <c r="H31" i="261"/>
  <c r="H537" i="262"/>
  <c r="B585" i="262"/>
  <c r="H585" i="262"/>
  <c r="H425" i="262"/>
  <c r="H457" i="262"/>
  <c r="H441" i="262"/>
  <c r="H377" i="262"/>
  <c r="U99" i="38" s="1"/>
  <c r="H49" i="261"/>
  <c r="B641" i="262"/>
  <c r="B640" i="262"/>
  <c r="H553" i="262"/>
  <c r="G668" i="262"/>
  <c r="F668" i="262"/>
  <c r="H668" i="262"/>
  <c r="E668" i="262"/>
  <c r="I668" i="262"/>
  <c r="P579" i="1103" l="1"/>
  <c r="Q579" i="1103" s="1"/>
  <c r="H580" i="1103"/>
  <c r="L579" i="1103"/>
  <c r="M579" i="1103" s="1"/>
  <c r="T579" i="1103"/>
  <c r="U579" i="1103" s="1"/>
  <c r="P630" i="1103"/>
  <c r="Q630" i="1103" s="1"/>
  <c r="H631" i="1103"/>
  <c r="T630" i="1103"/>
  <c r="U630" i="1103" s="1"/>
  <c r="L630" i="1103"/>
  <c r="M630" i="1103" s="1"/>
  <c r="P84" i="38"/>
  <c r="L286" i="262"/>
  <c r="AB286" i="262"/>
  <c r="AJ286" i="262"/>
  <c r="AF286" i="262"/>
  <c r="X286" i="262"/>
  <c r="T286" i="262"/>
  <c r="P286" i="262"/>
  <c r="H287" i="262"/>
  <c r="T57" i="38"/>
  <c r="AB137" i="262"/>
  <c r="T137" i="262"/>
  <c r="AF137" i="262"/>
  <c r="H138" i="262"/>
  <c r="P137" i="262"/>
  <c r="X137" i="262"/>
  <c r="L137" i="262"/>
  <c r="AJ137" i="262"/>
  <c r="T664" i="1103"/>
  <c r="U664" i="1103" s="1"/>
  <c r="L664" i="1103"/>
  <c r="M664" i="1103" s="1"/>
  <c r="P664" i="1103"/>
  <c r="Q664" i="1103" s="1"/>
  <c r="H665" i="1103"/>
  <c r="T63" i="38"/>
  <c r="AB171" i="262"/>
  <c r="L171" i="262"/>
  <c r="AF171" i="262"/>
  <c r="H172" i="262"/>
  <c r="T171" i="262"/>
  <c r="P171" i="262"/>
  <c r="X171" i="262"/>
  <c r="AJ171" i="262"/>
  <c r="H512" i="1103"/>
  <c r="T511" i="1103"/>
  <c r="U511" i="1103" s="1"/>
  <c r="L511" i="1103"/>
  <c r="M511" i="1103" s="1"/>
  <c r="P511" i="1103"/>
  <c r="Q511" i="1103" s="1"/>
  <c r="P613" i="1103"/>
  <c r="Q613" i="1103" s="1"/>
  <c r="H614" i="1103"/>
  <c r="T613" i="1103"/>
  <c r="U613" i="1103" s="1"/>
  <c r="L613" i="1103"/>
  <c r="M613" i="1103" s="1"/>
  <c r="P562" i="1103"/>
  <c r="Q562" i="1103" s="1"/>
  <c r="H563" i="1103"/>
  <c r="T562" i="1103"/>
  <c r="U562" i="1103" s="1"/>
  <c r="L562" i="1103"/>
  <c r="M562" i="1103" s="1"/>
  <c r="L746" i="1103"/>
  <c r="M746" i="1103" s="1"/>
  <c r="H747" i="1103"/>
  <c r="P746" i="1103"/>
  <c r="Q746" i="1103" s="1"/>
  <c r="T746" i="1103"/>
  <c r="U746" i="1103" s="1"/>
  <c r="H729" i="1103"/>
  <c r="T728" i="1103"/>
  <c r="U728" i="1103" s="1"/>
  <c r="L728" i="1103"/>
  <c r="M728" i="1103" s="1"/>
  <c r="P728" i="1103"/>
  <c r="Q728" i="1103" s="1"/>
  <c r="T304" i="1103"/>
  <c r="U304" i="1103" s="1"/>
  <c r="H305" i="1103"/>
  <c r="P304" i="1103"/>
  <c r="Q304" i="1103" s="1"/>
  <c r="L304" i="1103"/>
  <c r="M304" i="1103" s="1"/>
  <c r="T60" i="38"/>
  <c r="T154" i="262"/>
  <c r="AJ154" i="262"/>
  <c r="X154" i="262"/>
  <c r="P154" i="262"/>
  <c r="L154" i="262"/>
  <c r="AB154" i="262"/>
  <c r="AF154" i="262"/>
  <c r="H155" i="262"/>
  <c r="Q87" i="38"/>
  <c r="L304" i="262"/>
  <c r="P304" i="262"/>
  <c r="H305" i="262"/>
  <c r="T304" i="262"/>
  <c r="X304" i="262"/>
  <c r="AJ304" i="262"/>
  <c r="AB304" i="262"/>
  <c r="AF304" i="262"/>
  <c r="T286" i="1103"/>
  <c r="U286" i="1103" s="1"/>
  <c r="H287" i="1103"/>
  <c r="L286" i="1103"/>
  <c r="M286" i="1103" s="1"/>
  <c r="P286" i="1103"/>
  <c r="Q286" i="1103" s="1"/>
  <c r="P528" i="1103"/>
  <c r="Q528" i="1103" s="1"/>
  <c r="H529" i="1103"/>
  <c r="T528" i="1103"/>
  <c r="U528" i="1103" s="1"/>
  <c r="L528" i="1103"/>
  <c r="M528" i="1103" s="1"/>
  <c r="P596" i="1103"/>
  <c r="Q596" i="1103" s="1"/>
  <c r="H597" i="1103"/>
  <c r="T596" i="1103"/>
  <c r="U596" i="1103" s="1"/>
  <c r="L596" i="1103"/>
  <c r="M596" i="1103" s="1"/>
  <c r="H713" i="1103"/>
  <c r="T712" i="1103"/>
  <c r="U712" i="1103" s="1"/>
  <c r="L712" i="1103"/>
  <c r="M712" i="1103" s="1"/>
  <c r="P712" i="1103"/>
  <c r="Q712" i="1103" s="1"/>
  <c r="P269" i="1103"/>
  <c r="Q269" i="1103" s="1"/>
  <c r="L269" i="1103"/>
  <c r="M269" i="1103" s="1"/>
  <c r="H270" i="1103"/>
  <c r="T269" i="1103"/>
  <c r="U269" i="1103" s="1"/>
  <c r="P81" i="38"/>
  <c r="AJ269" i="262"/>
  <c r="AF269" i="262"/>
  <c r="H270" i="262"/>
  <c r="AB269" i="262"/>
  <c r="T269" i="262"/>
  <c r="P269" i="262"/>
  <c r="L269" i="262"/>
  <c r="X269" i="262"/>
  <c r="L235" i="1103"/>
  <c r="M235" i="1103" s="1"/>
  <c r="P235" i="1103"/>
  <c r="Q235" i="1103" s="1"/>
  <c r="H236" i="1103"/>
  <c r="T235" i="1103"/>
  <c r="U235" i="1103" s="1"/>
  <c r="L137" i="1103"/>
  <c r="M137" i="1103" s="1"/>
  <c r="P137" i="1103"/>
  <c r="Q137" i="1103" s="1"/>
  <c r="H138" i="1103"/>
  <c r="T137" i="1103"/>
  <c r="U137" i="1103" s="1"/>
  <c r="T252" i="1103"/>
  <c r="U252" i="1103" s="1"/>
  <c r="P252" i="1103"/>
  <c r="Q252" i="1103" s="1"/>
  <c r="L252" i="1103"/>
  <c r="M252" i="1103" s="1"/>
  <c r="H253" i="1103"/>
  <c r="H546" i="1103"/>
  <c r="T545" i="1103"/>
  <c r="U545" i="1103" s="1"/>
  <c r="L545" i="1103"/>
  <c r="M545" i="1103" s="1"/>
  <c r="P545" i="1103"/>
  <c r="Q545" i="1103" s="1"/>
  <c r="L154" i="1103"/>
  <c r="M154" i="1103" s="1"/>
  <c r="P154" i="1103"/>
  <c r="Q154" i="1103" s="1"/>
  <c r="T154" i="1103"/>
  <c r="U154" i="1103" s="1"/>
  <c r="H155" i="1103"/>
  <c r="L171" i="1103"/>
  <c r="M171" i="1103" s="1"/>
  <c r="P171" i="1103"/>
  <c r="Q171" i="1103" s="1"/>
  <c r="T171" i="1103"/>
  <c r="U171" i="1103" s="1"/>
  <c r="H172" i="1103"/>
  <c r="P78" i="38"/>
  <c r="AB252" i="262"/>
  <c r="X252" i="262"/>
  <c r="AF252" i="262"/>
  <c r="T252" i="262"/>
  <c r="P252" i="262"/>
  <c r="L252" i="262"/>
  <c r="H253" i="262"/>
  <c r="AJ252" i="262"/>
  <c r="P75" i="38"/>
  <c r="X235" i="262"/>
  <c r="L235" i="262"/>
  <c r="P235" i="262"/>
  <c r="AB235" i="262"/>
  <c r="T235" i="262"/>
  <c r="AF235" i="262"/>
  <c r="AJ235" i="262"/>
  <c r="H236" i="262"/>
  <c r="H695" i="1103"/>
  <c r="T694" i="1103"/>
  <c r="U694" i="1103" s="1"/>
  <c r="L694" i="1103"/>
  <c r="M694" i="1103" s="1"/>
  <c r="P694" i="1103"/>
  <c r="Q694" i="1103" s="1"/>
  <c r="H682" i="1103"/>
  <c r="T681" i="1103"/>
  <c r="U681" i="1103" s="1"/>
  <c r="L681" i="1103"/>
  <c r="M681" i="1103" s="1"/>
  <c r="P681" i="1103"/>
  <c r="Q681" i="1103" s="1"/>
  <c r="H648" i="1103"/>
  <c r="T647" i="1103"/>
  <c r="U647" i="1103" s="1"/>
  <c r="L647" i="1103"/>
  <c r="M647" i="1103" s="1"/>
  <c r="P647" i="1103"/>
  <c r="Q647" i="1103" s="1"/>
  <c r="H495" i="1103"/>
  <c r="T494" i="1103"/>
  <c r="U494" i="1103" s="1"/>
  <c r="L494" i="1103"/>
  <c r="M494" i="1103" s="1"/>
  <c r="P494" i="1103"/>
  <c r="Q494" i="1103" s="1"/>
  <c r="H478" i="1103"/>
  <c r="T477" i="1103"/>
  <c r="U477" i="1103" s="1"/>
  <c r="L477" i="1103"/>
  <c r="M477" i="1103" s="1"/>
  <c r="P477" i="1103"/>
  <c r="Q477" i="1103" s="1"/>
  <c r="H223" i="1103"/>
  <c r="T222" i="1103"/>
  <c r="U222" i="1103" s="1"/>
  <c r="L222" i="1103"/>
  <c r="M222" i="1103" s="1"/>
  <c r="P222" i="1103"/>
  <c r="Q222" i="1103" s="1"/>
  <c r="H206" i="1103"/>
  <c r="T205" i="1103"/>
  <c r="U205" i="1103" s="1"/>
  <c r="L205" i="1103"/>
  <c r="M205" i="1103" s="1"/>
  <c r="P205" i="1103"/>
  <c r="Q205" i="1103" s="1"/>
  <c r="H189" i="1103"/>
  <c r="T188" i="1103"/>
  <c r="U188" i="1103" s="1"/>
  <c r="L188" i="1103"/>
  <c r="M188" i="1103" s="1"/>
  <c r="P188" i="1103"/>
  <c r="Q188" i="1103" s="1"/>
  <c r="H355" i="261"/>
  <c r="X354" i="261"/>
  <c r="Y354" i="261" s="1"/>
  <c r="P354" i="261"/>
  <c r="Q354" i="261" s="1"/>
  <c r="L354" i="261"/>
  <c r="M354" i="261" s="1"/>
  <c r="T354" i="261"/>
  <c r="U354" i="261" s="1"/>
  <c r="H338" i="261"/>
  <c r="X337" i="261"/>
  <c r="Y337" i="261" s="1"/>
  <c r="P337" i="261"/>
  <c r="Q337" i="261" s="1"/>
  <c r="T337" i="261"/>
  <c r="U337" i="261" s="1"/>
  <c r="L337" i="261"/>
  <c r="M337" i="261" s="1"/>
  <c r="H321" i="261"/>
  <c r="X320" i="261"/>
  <c r="Y320" i="261" s="1"/>
  <c r="P320" i="261"/>
  <c r="Q320" i="261" s="1"/>
  <c r="T320" i="261"/>
  <c r="U320" i="261" s="1"/>
  <c r="L320" i="261"/>
  <c r="M320" i="261" s="1"/>
  <c r="H304" i="261"/>
  <c r="X303" i="261"/>
  <c r="Y303" i="261" s="1"/>
  <c r="P303" i="261"/>
  <c r="Q303" i="261" s="1"/>
  <c r="T303" i="261"/>
  <c r="U303" i="261" s="1"/>
  <c r="L303" i="261"/>
  <c r="M303" i="261" s="1"/>
  <c r="H287" i="261"/>
  <c r="X286" i="261"/>
  <c r="Y286" i="261" s="1"/>
  <c r="P286" i="261"/>
  <c r="Q286" i="261" s="1"/>
  <c r="T286" i="261"/>
  <c r="U286" i="261" s="1"/>
  <c r="L286" i="261"/>
  <c r="M286" i="261" s="1"/>
  <c r="H270" i="261"/>
  <c r="P269" i="261"/>
  <c r="Q269" i="261" s="1"/>
  <c r="X269" i="261"/>
  <c r="Y269" i="261" s="1"/>
  <c r="T269" i="261"/>
  <c r="U269" i="261" s="1"/>
  <c r="L269" i="261"/>
  <c r="M269" i="261" s="1"/>
  <c r="H253" i="261"/>
  <c r="L252" i="261"/>
  <c r="M252" i="261" s="1"/>
  <c r="P252" i="261"/>
  <c r="Q252" i="261" s="1"/>
  <c r="T252" i="261"/>
  <c r="U252" i="261" s="1"/>
  <c r="X252" i="261"/>
  <c r="Y252" i="261" s="1"/>
  <c r="H236" i="261"/>
  <c r="L235" i="261"/>
  <c r="M235" i="261" s="1"/>
  <c r="T235" i="261"/>
  <c r="U235" i="261" s="1"/>
  <c r="X235" i="261"/>
  <c r="Y235" i="261" s="1"/>
  <c r="P235" i="261"/>
  <c r="Q235" i="261" s="1"/>
  <c r="H185" i="261"/>
  <c r="P184" i="261"/>
  <c r="Q184" i="261" s="1"/>
  <c r="T184" i="261"/>
  <c r="U184" i="261" s="1"/>
  <c r="X184" i="261"/>
  <c r="Y184" i="261" s="1"/>
  <c r="L184" i="261"/>
  <c r="M184" i="261" s="1"/>
  <c r="H168" i="261"/>
  <c r="X167" i="261"/>
  <c r="Y167" i="261" s="1"/>
  <c r="P167" i="261"/>
  <c r="Q167" i="261" s="1"/>
  <c r="L167" i="261"/>
  <c r="M167" i="261" s="1"/>
  <c r="T167" i="261"/>
  <c r="U167" i="261" s="1"/>
  <c r="H151" i="261"/>
  <c r="P150" i="261"/>
  <c r="Q150" i="261" s="1"/>
  <c r="X150" i="261"/>
  <c r="Y150" i="261" s="1"/>
  <c r="L150" i="261"/>
  <c r="M150" i="261" s="1"/>
  <c r="T150" i="261"/>
  <c r="U150" i="261" s="1"/>
  <c r="H134" i="261"/>
  <c r="X133" i="261"/>
  <c r="Y133" i="261" s="1"/>
  <c r="P133" i="261"/>
  <c r="Q133" i="261" s="1"/>
  <c r="L133" i="261"/>
  <c r="M133" i="261" s="1"/>
  <c r="T133" i="261"/>
  <c r="U133" i="261" s="1"/>
  <c r="H117" i="261"/>
  <c r="X116" i="261"/>
  <c r="Y116" i="261" s="1"/>
  <c r="L116" i="261"/>
  <c r="M116" i="261" s="1"/>
  <c r="T116" i="261"/>
  <c r="U116" i="261" s="1"/>
  <c r="P116" i="261"/>
  <c r="Q116" i="261" s="1"/>
  <c r="V99" i="38"/>
  <c r="H99" i="38"/>
  <c r="I99" i="38"/>
  <c r="J99" i="38"/>
  <c r="K99" i="38"/>
  <c r="L99" i="38"/>
  <c r="M99" i="38"/>
  <c r="N99" i="38"/>
  <c r="O99" i="38"/>
  <c r="P99" i="38"/>
  <c r="Q99" i="38"/>
  <c r="R99" i="38"/>
  <c r="S99" i="38"/>
  <c r="T99" i="38"/>
  <c r="X188" i="262"/>
  <c r="AF188" i="262"/>
  <c r="AJ188" i="262"/>
  <c r="AB188" i="262"/>
  <c r="P188" i="262"/>
  <c r="T188" i="262"/>
  <c r="L188" i="262"/>
  <c r="H189" i="262"/>
  <c r="U66" i="38" s="1"/>
  <c r="AF222" i="262"/>
  <c r="P222" i="262"/>
  <c r="AJ222" i="262"/>
  <c r="AB222" i="262"/>
  <c r="X222" i="262"/>
  <c r="T222" i="262"/>
  <c r="L222" i="262"/>
  <c r="H223" i="262"/>
  <c r="U72" i="38" s="1"/>
  <c r="AF205" i="262"/>
  <c r="P205" i="262"/>
  <c r="AB205" i="262"/>
  <c r="AJ205" i="262"/>
  <c r="X205" i="262"/>
  <c r="L205" i="262"/>
  <c r="T205" i="262"/>
  <c r="H206" i="262"/>
  <c r="U69" i="38" s="1"/>
  <c r="G637" i="262"/>
  <c r="G621" i="262"/>
  <c r="G573" i="262"/>
  <c r="G525" i="262"/>
  <c r="G605" i="262"/>
  <c r="G477" i="262"/>
  <c r="G509" i="262"/>
  <c r="G653" i="262"/>
  <c r="G494" i="262"/>
  <c r="AH668" i="262"/>
  <c r="R668" i="262"/>
  <c r="AD668" i="262"/>
  <c r="N668" i="262"/>
  <c r="Z668" i="262"/>
  <c r="J668" i="262"/>
  <c r="V668" i="262"/>
  <c r="G669" i="262"/>
  <c r="H669" i="262" s="1"/>
  <c r="F153" i="38"/>
  <c r="G591" i="262"/>
  <c r="G558" i="262"/>
  <c r="G541" i="262"/>
  <c r="C685" i="262"/>
  <c r="A702" i="262"/>
  <c r="B685" i="262"/>
  <c r="T219" i="261"/>
  <c r="L219" i="261"/>
  <c r="P219" i="261"/>
  <c r="X219" i="261"/>
  <c r="L201" i="261"/>
  <c r="T201" i="261"/>
  <c r="X201" i="261"/>
  <c r="P201" i="261"/>
  <c r="L99" i="261"/>
  <c r="T99" i="261"/>
  <c r="P99" i="261"/>
  <c r="X99" i="261"/>
  <c r="T83" i="261"/>
  <c r="L83" i="261"/>
  <c r="P83" i="261"/>
  <c r="X83" i="261"/>
  <c r="P66" i="261"/>
  <c r="T66" i="261"/>
  <c r="L66" i="261"/>
  <c r="X66" i="261"/>
  <c r="L49" i="261"/>
  <c r="T49" i="261"/>
  <c r="P49" i="261"/>
  <c r="X49" i="261"/>
  <c r="T31" i="261"/>
  <c r="X31" i="261"/>
  <c r="L31" i="261"/>
  <c r="P31" i="261"/>
  <c r="AJ652" i="262"/>
  <c r="AB652" i="262"/>
  <c r="T652" i="262"/>
  <c r="L652" i="262"/>
  <c r="X652" i="262"/>
  <c r="P652" i="262"/>
  <c r="AF652" i="262"/>
  <c r="AF537" i="262"/>
  <c r="X537" i="262"/>
  <c r="P537" i="262"/>
  <c r="T537" i="262"/>
  <c r="AJ537" i="262"/>
  <c r="L537" i="262"/>
  <c r="AB537" i="262"/>
  <c r="AF505" i="262"/>
  <c r="X505" i="262"/>
  <c r="P505" i="262"/>
  <c r="AJ505" i="262"/>
  <c r="AB505" i="262"/>
  <c r="T505" i="262"/>
  <c r="L505" i="262"/>
  <c r="P521" i="262"/>
  <c r="X521" i="262"/>
  <c r="AF521" i="262"/>
  <c r="L521" i="262"/>
  <c r="T521" i="262"/>
  <c r="AB521" i="262"/>
  <c r="AJ521" i="262"/>
  <c r="AF569" i="262"/>
  <c r="X569" i="262"/>
  <c r="P569" i="262"/>
  <c r="AJ569" i="262"/>
  <c r="AB569" i="262"/>
  <c r="T569" i="262"/>
  <c r="L569" i="262"/>
  <c r="P553" i="262"/>
  <c r="X553" i="262"/>
  <c r="AF553" i="262"/>
  <c r="AJ553" i="262"/>
  <c r="T553" i="262"/>
  <c r="AB553" i="262"/>
  <c r="L553" i="262"/>
  <c r="L585" i="262"/>
  <c r="T585" i="262"/>
  <c r="AB585" i="262"/>
  <c r="AJ585" i="262"/>
  <c r="P585" i="262"/>
  <c r="X585" i="262"/>
  <c r="AF585" i="262"/>
  <c r="P489" i="262"/>
  <c r="X489" i="262"/>
  <c r="AF489" i="262"/>
  <c r="L489" i="262"/>
  <c r="T489" i="262"/>
  <c r="AB489" i="262"/>
  <c r="AJ489" i="262"/>
  <c r="X377" i="262"/>
  <c r="AF377" i="262"/>
  <c r="P377" i="262"/>
  <c r="L377" i="262"/>
  <c r="T377" i="262"/>
  <c r="AB377" i="262"/>
  <c r="AJ377" i="262"/>
  <c r="P457" i="262"/>
  <c r="X457" i="262"/>
  <c r="AF457" i="262"/>
  <c r="L457" i="262"/>
  <c r="T457" i="262"/>
  <c r="AB457" i="262"/>
  <c r="AJ457" i="262"/>
  <c r="P425" i="262"/>
  <c r="X425" i="262"/>
  <c r="AF425" i="262"/>
  <c r="AJ425" i="262"/>
  <c r="T425" i="262"/>
  <c r="AB425" i="262"/>
  <c r="L425" i="262"/>
  <c r="AJ409" i="262"/>
  <c r="L409" i="262"/>
  <c r="AB409" i="262"/>
  <c r="T409" i="262"/>
  <c r="AF409" i="262"/>
  <c r="X409" i="262"/>
  <c r="P409" i="262"/>
  <c r="P393" i="262"/>
  <c r="X393" i="262"/>
  <c r="AF393" i="262"/>
  <c r="AB393" i="262"/>
  <c r="L393" i="262"/>
  <c r="AJ393" i="262"/>
  <c r="T393" i="262"/>
  <c r="T441" i="262"/>
  <c r="L441" i="262"/>
  <c r="AB441" i="262"/>
  <c r="AJ441" i="262"/>
  <c r="AF441" i="262"/>
  <c r="X441" i="262"/>
  <c r="P441" i="262"/>
  <c r="X473" i="262"/>
  <c r="AF473" i="262"/>
  <c r="P473" i="262"/>
  <c r="AJ473" i="262"/>
  <c r="AB473" i="262"/>
  <c r="T473" i="262"/>
  <c r="L473" i="262"/>
  <c r="B696" i="262"/>
  <c r="B681" i="262"/>
  <c r="B697" i="262"/>
  <c r="B672" i="262"/>
  <c r="B673" i="262"/>
  <c r="B716" i="262"/>
  <c r="B625" i="262"/>
  <c r="B610" i="262"/>
  <c r="B609" i="262"/>
  <c r="H554" i="262"/>
  <c r="H50" i="261"/>
  <c r="H458" i="262"/>
  <c r="H586" i="262"/>
  <c r="H410" i="262"/>
  <c r="H490" i="262"/>
  <c r="H202" i="261"/>
  <c r="H220" i="261"/>
  <c r="H570" i="262"/>
  <c r="H67" i="261"/>
  <c r="H84" i="261"/>
  <c r="H394" i="262"/>
  <c r="B657" i="262"/>
  <c r="B658" i="262"/>
  <c r="H442" i="262"/>
  <c r="H426" i="262"/>
  <c r="B602" i="262"/>
  <c r="H602" i="262"/>
  <c r="H538" i="262"/>
  <c r="H32" i="261"/>
  <c r="B700" i="262"/>
  <c r="B603" i="262"/>
  <c r="B180" i="38"/>
  <c r="B669" i="262"/>
  <c r="H506" i="262"/>
  <c r="H474" i="262"/>
  <c r="H522" i="262"/>
  <c r="H100" i="261"/>
  <c r="I685" i="262"/>
  <c r="G685" i="262"/>
  <c r="H685" i="262"/>
  <c r="E685" i="262"/>
  <c r="F685" i="262"/>
  <c r="Q75" i="38" l="1"/>
  <c r="X236" i="262"/>
  <c r="AJ236" i="262"/>
  <c r="L236" i="262"/>
  <c r="AF236" i="262"/>
  <c r="T236" i="262"/>
  <c r="H237" i="262"/>
  <c r="P236" i="262"/>
  <c r="AB236" i="262"/>
  <c r="T270" i="1103"/>
  <c r="U270" i="1103" s="1"/>
  <c r="P270" i="1103"/>
  <c r="Q270" i="1103" s="1"/>
  <c r="H271" i="1103"/>
  <c r="L270" i="1103"/>
  <c r="M270" i="1103" s="1"/>
  <c r="R87" i="38"/>
  <c r="L305" i="262"/>
  <c r="AJ305" i="262"/>
  <c r="AF305" i="262"/>
  <c r="T305" i="262"/>
  <c r="AB305" i="262"/>
  <c r="X305" i="262"/>
  <c r="H306" i="262"/>
  <c r="P305" i="262"/>
  <c r="U60" i="38"/>
  <c r="T155" i="262"/>
  <c r="AB155" i="262"/>
  <c r="L155" i="262"/>
  <c r="P155" i="262"/>
  <c r="AF155" i="262"/>
  <c r="X155" i="262"/>
  <c r="AJ155" i="262"/>
  <c r="H156" i="262"/>
  <c r="P729" i="1103"/>
  <c r="Q729" i="1103" s="1"/>
  <c r="T729" i="1103"/>
  <c r="U729" i="1103" s="1"/>
  <c r="H730" i="1103"/>
  <c r="L729" i="1103"/>
  <c r="M729" i="1103" s="1"/>
  <c r="P512" i="1103"/>
  <c r="Q512" i="1103" s="1"/>
  <c r="H513" i="1103"/>
  <c r="T512" i="1103"/>
  <c r="U512" i="1103" s="1"/>
  <c r="L512" i="1103"/>
  <c r="M512" i="1103" s="1"/>
  <c r="P546" i="1103"/>
  <c r="Q546" i="1103" s="1"/>
  <c r="H547" i="1103"/>
  <c r="T546" i="1103"/>
  <c r="U546" i="1103" s="1"/>
  <c r="L546" i="1103"/>
  <c r="M546" i="1103" s="1"/>
  <c r="P597" i="1103"/>
  <c r="Q597" i="1103" s="1"/>
  <c r="H598" i="1103"/>
  <c r="T597" i="1103"/>
  <c r="U597" i="1103" s="1"/>
  <c r="L597" i="1103"/>
  <c r="M597" i="1103" s="1"/>
  <c r="H530" i="1103"/>
  <c r="T529" i="1103"/>
  <c r="U529" i="1103" s="1"/>
  <c r="L529" i="1103"/>
  <c r="M529" i="1103" s="1"/>
  <c r="P529" i="1103"/>
  <c r="Q529" i="1103" s="1"/>
  <c r="H288" i="1103"/>
  <c r="T287" i="1103"/>
  <c r="U287" i="1103" s="1"/>
  <c r="L287" i="1103"/>
  <c r="M287" i="1103" s="1"/>
  <c r="P287" i="1103"/>
  <c r="Q287" i="1103" s="1"/>
  <c r="U63" i="38"/>
  <c r="P172" i="262"/>
  <c r="X172" i="262"/>
  <c r="AF172" i="262"/>
  <c r="AB172" i="262"/>
  <c r="L172" i="262"/>
  <c r="T172" i="262"/>
  <c r="AJ172" i="262"/>
  <c r="H173" i="262"/>
  <c r="Q78" i="38"/>
  <c r="AJ253" i="262"/>
  <c r="L253" i="262"/>
  <c r="H254" i="262"/>
  <c r="X253" i="262"/>
  <c r="T253" i="262"/>
  <c r="AF253" i="262"/>
  <c r="P253" i="262"/>
  <c r="AB253" i="262"/>
  <c r="P172" i="1103"/>
  <c r="Q172" i="1103" s="1"/>
  <c r="H173" i="1103"/>
  <c r="T172" i="1103"/>
  <c r="U172" i="1103" s="1"/>
  <c r="L172" i="1103"/>
  <c r="M172" i="1103" s="1"/>
  <c r="P155" i="1103"/>
  <c r="Q155" i="1103" s="1"/>
  <c r="H156" i="1103"/>
  <c r="T155" i="1103"/>
  <c r="U155" i="1103" s="1"/>
  <c r="L155" i="1103"/>
  <c r="M155" i="1103" s="1"/>
  <c r="H254" i="1103"/>
  <c r="L253" i="1103"/>
  <c r="M253" i="1103" s="1"/>
  <c r="P253" i="1103"/>
  <c r="Q253" i="1103" s="1"/>
  <c r="T253" i="1103"/>
  <c r="U253" i="1103" s="1"/>
  <c r="H714" i="1103"/>
  <c r="T713" i="1103"/>
  <c r="U713" i="1103" s="1"/>
  <c r="P713" i="1103"/>
  <c r="Q713" i="1103" s="1"/>
  <c r="L713" i="1103"/>
  <c r="M713" i="1103" s="1"/>
  <c r="L665" i="1103"/>
  <c r="M665" i="1103" s="1"/>
  <c r="P665" i="1103"/>
  <c r="Q665" i="1103" s="1"/>
  <c r="H666" i="1103"/>
  <c r="T665" i="1103"/>
  <c r="U665" i="1103" s="1"/>
  <c r="U57" i="38"/>
  <c r="H139" i="262"/>
  <c r="T138" i="262"/>
  <c r="AJ138" i="262"/>
  <c r="X138" i="262"/>
  <c r="AB138" i="262"/>
  <c r="L138" i="262"/>
  <c r="P138" i="262"/>
  <c r="AF138" i="262"/>
  <c r="P631" i="1103"/>
  <c r="Q631" i="1103" s="1"/>
  <c r="H632" i="1103"/>
  <c r="T631" i="1103"/>
  <c r="U631" i="1103" s="1"/>
  <c r="L631" i="1103"/>
  <c r="M631" i="1103" s="1"/>
  <c r="T580" i="1103"/>
  <c r="U580" i="1103" s="1"/>
  <c r="L580" i="1103"/>
  <c r="M580" i="1103" s="1"/>
  <c r="P580" i="1103"/>
  <c r="Q580" i="1103" s="1"/>
  <c r="H581" i="1103"/>
  <c r="L138" i="1103"/>
  <c r="M138" i="1103" s="1"/>
  <c r="P138" i="1103"/>
  <c r="Q138" i="1103" s="1"/>
  <c r="H139" i="1103"/>
  <c r="T138" i="1103"/>
  <c r="U138" i="1103" s="1"/>
  <c r="T236" i="1103"/>
  <c r="U236" i="1103" s="1"/>
  <c r="L236" i="1103"/>
  <c r="M236" i="1103" s="1"/>
  <c r="P236" i="1103"/>
  <c r="Q236" i="1103" s="1"/>
  <c r="H237" i="1103"/>
  <c r="Q81" i="38"/>
  <c r="T270" i="262"/>
  <c r="X270" i="262"/>
  <c r="H271" i="262"/>
  <c r="AB270" i="262"/>
  <c r="AF270" i="262"/>
  <c r="AJ270" i="262"/>
  <c r="L270" i="262"/>
  <c r="P270" i="262"/>
  <c r="P305" i="1103"/>
  <c r="Q305" i="1103" s="1"/>
  <c r="T305" i="1103"/>
  <c r="U305" i="1103" s="1"/>
  <c r="H306" i="1103"/>
  <c r="L305" i="1103"/>
  <c r="M305" i="1103" s="1"/>
  <c r="T747" i="1103"/>
  <c r="U747" i="1103" s="1"/>
  <c r="L747" i="1103"/>
  <c r="M747" i="1103" s="1"/>
  <c r="P747" i="1103"/>
  <c r="Q747" i="1103" s="1"/>
  <c r="H748" i="1103"/>
  <c r="P563" i="1103"/>
  <c r="Q563" i="1103" s="1"/>
  <c r="H564" i="1103"/>
  <c r="T563" i="1103"/>
  <c r="U563" i="1103" s="1"/>
  <c r="L563" i="1103"/>
  <c r="M563" i="1103" s="1"/>
  <c r="P614" i="1103"/>
  <c r="Q614" i="1103" s="1"/>
  <c r="H615" i="1103"/>
  <c r="T614" i="1103"/>
  <c r="U614" i="1103" s="1"/>
  <c r="L614" i="1103"/>
  <c r="M614" i="1103" s="1"/>
  <c r="Q84" i="38"/>
  <c r="AB287" i="262"/>
  <c r="AF287" i="262"/>
  <c r="H288" i="262"/>
  <c r="AJ287" i="262"/>
  <c r="X287" i="262"/>
  <c r="L287" i="262"/>
  <c r="P287" i="262"/>
  <c r="T287" i="262"/>
  <c r="H696" i="1103"/>
  <c r="T695" i="1103"/>
  <c r="U695" i="1103" s="1"/>
  <c r="L695" i="1103"/>
  <c r="M695" i="1103" s="1"/>
  <c r="P695" i="1103"/>
  <c r="Q695" i="1103" s="1"/>
  <c r="H683" i="1103"/>
  <c r="T682" i="1103"/>
  <c r="U682" i="1103" s="1"/>
  <c r="L682" i="1103"/>
  <c r="M682" i="1103" s="1"/>
  <c r="P682" i="1103"/>
  <c r="Q682" i="1103" s="1"/>
  <c r="H649" i="1103"/>
  <c r="T648" i="1103"/>
  <c r="U648" i="1103" s="1"/>
  <c r="L648" i="1103"/>
  <c r="M648" i="1103" s="1"/>
  <c r="P648" i="1103"/>
  <c r="Q648" i="1103" s="1"/>
  <c r="H496" i="1103"/>
  <c r="T495" i="1103"/>
  <c r="U495" i="1103" s="1"/>
  <c r="L495" i="1103"/>
  <c r="M495" i="1103" s="1"/>
  <c r="P495" i="1103"/>
  <c r="Q495" i="1103" s="1"/>
  <c r="H479" i="1103"/>
  <c r="T478" i="1103"/>
  <c r="U478" i="1103" s="1"/>
  <c r="L478" i="1103"/>
  <c r="M478" i="1103" s="1"/>
  <c r="P478" i="1103"/>
  <c r="Q478" i="1103" s="1"/>
  <c r="H224" i="1103"/>
  <c r="T223" i="1103"/>
  <c r="U223" i="1103" s="1"/>
  <c r="L223" i="1103"/>
  <c r="M223" i="1103" s="1"/>
  <c r="P223" i="1103"/>
  <c r="Q223" i="1103" s="1"/>
  <c r="H207" i="1103"/>
  <c r="T206" i="1103"/>
  <c r="U206" i="1103" s="1"/>
  <c r="L206" i="1103"/>
  <c r="M206" i="1103" s="1"/>
  <c r="P206" i="1103"/>
  <c r="Q206" i="1103" s="1"/>
  <c r="H190" i="1103"/>
  <c r="T189" i="1103"/>
  <c r="U189" i="1103" s="1"/>
  <c r="L189" i="1103"/>
  <c r="M189" i="1103" s="1"/>
  <c r="P189" i="1103"/>
  <c r="Q189" i="1103" s="1"/>
  <c r="H356" i="261"/>
  <c r="X355" i="261"/>
  <c r="Y355" i="261" s="1"/>
  <c r="P355" i="261"/>
  <c r="Q355" i="261" s="1"/>
  <c r="T355" i="261"/>
  <c r="U355" i="261" s="1"/>
  <c r="L355" i="261"/>
  <c r="M355" i="261" s="1"/>
  <c r="H339" i="261"/>
  <c r="P338" i="261"/>
  <c r="Q338" i="261" s="1"/>
  <c r="X338" i="261"/>
  <c r="Y338" i="261" s="1"/>
  <c r="L338" i="261"/>
  <c r="M338" i="261" s="1"/>
  <c r="T338" i="261"/>
  <c r="U338" i="261" s="1"/>
  <c r="H322" i="261"/>
  <c r="P321" i="261"/>
  <c r="Q321" i="261" s="1"/>
  <c r="X321" i="261"/>
  <c r="Y321" i="261" s="1"/>
  <c r="T321" i="261"/>
  <c r="U321" i="261" s="1"/>
  <c r="L321" i="261"/>
  <c r="M321" i="261" s="1"/>
  <c r="H305" i="261"/>
  <c r="P304" i="261"/>
  <c r="Q304" i="261" s="1"/>
  <c r="X304" i="261"/>
  <c r="Y304" i="261" s="1"/>
  <c r="T304" i="261"/>
  <c r="U304" i="261" s="1"/>
  <c r="L304" i="261"/>
  <c r="M304" i="261" s="1"/>
  <c r="H288" i="261"/>
  <c r="P287" i="261"/>
  <c r="Q287" i="261" s="1"/>
  <c r="X287" i="261"/>
  <c r="Y287" i="261" s="1"/>
  <c r="T287" i="261"/>
  <c r="U287" i="261" s="1"/>
  <c r="L287" i="261"/>
  <c r="M287" i="261" s="1"/>
  <c r="H271" i="261"/>
  <c r="X270" i="261"/>
  <c r="Y270" i="261" s="1"/>
  <c r="P270" i="261"/>
  <c r="Q270" i="261" s="1"/>
  <c r="T270" i="261"/>
  <c r="U270" i="261" s="1"/>
  <c r="L270" i="261"/>
  <c r="M270" i="261" s="1"/>
  <c r="H254" i="261"/>
  <c r="L253" i="261"/>
  <c r="M253" i="261" s="1"/>
  <c r="P253" i="261"/>
  <c r="Q253" i="261" s="1"/>
  <c r="T253" i="261"/>
  <c r="U253" i="261" s="1"/>
  <c r="X253" i="261"/>
  <c r="Y253" i="261" s="1"/>
  <c r="H237" i="261"/>
  <c r="L236" i="261"/>
  <c r="M236" i="261" s="1"/>
  <c r="X236" i="261"/>
  <c r="Y236" i="261" s="1"/>
  <c r="T236" i="261"/>
  <c r="U236" i="261" s="1"/>
  <c r="P236" i="261"/>
  <c r="Q236" i="261" s="1"/>
  <c r="H186" i="261"/>
  <c r="P185" i="261"/>
  <c r="Q185" i="261" s="1"/>
  <c r="T185" i="261"/>
  <c r="U185" i="261" s="1"/>
  <c r="X185" i="261"/>
  <c r="Y185" i="261" s="1"/>
  <c r="L185" i="261"/>
  <c r="M185" i="261" s="1"/>
  <c r="H169" i="261"/>
  <c r="X168" i="261"/>
  <c r="Y168" i="261" s="1"/>
  <c r="P168" i="261"/>
  <c r="Q168" i="261" s="1"/>
  <c r="T168" i="261"/>
  <c r="U168" i="261" s="1"/>
  <c r="L168" i="261"/>
  <c r="M168" i="261" s="1"/>
  <c r="H152" i="261"/>
  <c r="X151" i="261"/>
  <c r="Y151" i="261" s="1"/>
  <c r="P151" i="261"/>
  <c r="Q151" i="261" s="1"/>
  <c r="L151" i="261"/>
  <c r="M151" i="261" s="1"/>
  <c r="T151" i="261"/>
  <c r="U151" i="261" s="1"/>
  <c r="H135" i="261"/>
  <c r="X134" i="261"/>
  <c r="Y134" i="261" s="1"/>
  <c r="P134" i="261"/>
  <c r="Q134" i="261" s="1"/>
  <c r="T134" i="261"/>
  <c r="U134" i="261" s="1"/>
  <c r="L134" i="261"/>
  <c r="M134" i="261" s="1"/>
  <c r="H118" i="261"/>
  <c r="X117" i="261"/>
  <c r="Y117" i="261" s="1"/>
  <c r="L117" i="261"/>
  <c r="M117" i="261" s="1"/>
  <c r="T117" i="261"/>
  <c r="U117" i="261" s="1"/>
  <c r="P117" i="261"/>
  <c r="Q117" i="261" s="1"/>
  <c r="V102" i="38"/>
  <c r="H102" i="38"/>
  <c r="I102" i="38"/>
  <c r="J102" i="38"/>
  <c r="K102" i="38"/>
  <c r="L102" i="38"/>
  <c r="M102" i="38"/>
  <c r="N102" i="38"/>
  <c r="O102" i="38"/>
  <c r="P102" i="38"/>
  <c r="Q102" i="38"/>
  <c r="R102" i="38"/>
  <c r="S102" i="38"/>
  <c r="T102" i="38"/>
  <c r="U102" i="38"/>
  <c r="G638" i="262"/>
  <c r="P223" i="262"/>
  <c r="AF223" i="262"/>
  <c r="L223" i="262"/>
  <c r="T223" i="262"/>
  <c r="H224" i="262"/>
  <c r="V72" i="38" s="1"/>
  <c r="X223" i="262"/>
  <c r="AB223" i="262"/>
  <c r="AJ223" i="262"/>
  <c r="X206" i="262"/>
  <c r="AJ206" i="262"/>
  <c r="AB206" i="262"/>
  <c r="H207" i="262"/>
  <c r="V69" i="38" s="1"/>
  <c r="P206" i="262"/>
  <c r="AF206" i="262"/>
  <c r="T206" i="262"/>
  <c r="L206" i="262"/>
  <c r="AF189" i="262"/>
  <c r="X189" i="262"/>
  <c r="L189" i="262"/>
  <c r="T189" i="262"/>
  <c r="H190" i="262"/>
  <c r="V66" i="38" s="1"/>
  <c r="P189" i="262"/>
  <c r="AB189" i="262"/>
  <c r="AJ189" i="262"/>
  <c r="G622" i="262"/>
  <c r="G574" i="262"/>
  <c r="G526" i="262"/>
  <c r="G606" i="262"/>
  <c r="G670" i="262"/>
  <c r="G478" i="262"/>
  <c r="G510" i="262"/>
  <c r="G639" i="262"/>
  <c r="G495" i="262"/>
  <c r="G654" i="262"/>
  <c r="AD685" i="262"/>
  <c r="AH685" i="262"/>
  <c r="J685" i="262"/>
  <c r="N685" i="262"/>
  <c r="G686" i="262"/>
  <c r="G687" i="262" s="1"/>
  <c r="V685" i="262"/>
  <c r="R685" i="262"/>
  <c r="Z685" i="262"/>
  <c r="F156" i="38"/>
  <c r="B702" i="262"/>
  <c r="C702" i="262"/>
  <c r="A719" i="262"/>
  <c r="G542" i="262"/>
  <c r="G559" i="262"/>
  <c r="G592" i="262"/>
  <c r="L220" i="261"/>
  <c r="T220" i="261"/>
  <c r="X220" i="261"/>
  <c r="P220" i="261"/>
  <c r="T202" i="261"/>
  <c r="L202" i="261"/>
  <c r="P202" i="261"/>
  <c r="X202" i="261"/>
  <c r="T100" i="261"/>
  <c r="L100" i="261"/>
  <c r="P100" i="261"/>
  <c r="X100" i="261"/>
  <c r="L84" i="261"/>
  <c r="T84" i="261"/>
  <c r="X84" i="261"/>
  <c r="P84" i="261"/>
  <c r="L67" i="261"/>
  <c r="T67" i="261"/>
  <c r="P67" i="261"/>
  <c r="X67" i="261"/>
  <c r="L50" i="261"/>
  <c r="T50" i="261"/>
  <c r="P50" i="261"/>
  <c r="X50" i="261"/>
  <c r="T32" i="261"/>
  <c r="X32" i="261"/>
  <c r="L32" i="261"/>
  <c r="P32" i="261"/>
  <c r="AJ669" i="262"/>
  <c r="AB669" i="262"/>
  <c r="T669" i="262"/>
  <c r="L669" i="262"/>
  <c r="P669" i="262"/>
  <c r="AF669" i="262"/>
  <c r="X669" i="262"/>
  <c r="AF522" i="262"/>
  <c r="X522" i="262"/>
  <c r="P522" i="262"/>
  <c r="AJ522" i="262"/>
  <c r="AB522" i="262"/>
  <c r="T522" i="262"/>
  <c r="L522" i="262"/>
  <c r="P538" i="262"/>
  <c r="X538" i="262"/>
  <c r="AF538" i="262"/>
  <c r="AB538" i="262"/>
  <c r="L538" i="262"/>
  <c r="AJ538" i="262"/>
  <c r="T538" i="262"/>
  <c r="P570" i="262"/>
  <c r="X570" i="262"/>
  <c r="AF570" i="262"/>
  <c r="L570" i="262"/>
  <c r="T570" i="262"/>
  <c r="AB570" i="262"/>
  <c r="AJ570" i="262"/>
  <c r="AF554" i="262"/>
  <c r="X554" i="262"/>
  <c r="P554" i="262"/>
  <c r="L554" i="262"/>
  <c r="AB554" i="262"/>
  <c r="T554" i="262"/>
  <c r="AJ554" i="262"/>
  <c r="P506" i="262"/>
  <c r="X506" i="262"/>
  <c r="AF506" i="262"/>
  <c r="L506" i="262"/>
  <c r="T506" i="262"/>
  <c r="AB506" i="262"/>
  <c r="AJ506" i="262"/>
  <c r="AB602" i="262"/>
  <c r="AJ602" i="262"/>
  <c r="P602" i="262"/>
  <c r="X602" i="262"/>
  <c r="AF602" i="262"/>
  <c r="T602" i="262"/>
  <c r="L602" i="262"/>
  <c r="AF490" i="262"/>
  <c r="X490" i="262"/>
  <c r="P490" i="262"/>
  <c r="AJ490" i="262"/>
  <c r="AB490" i="262"/>
  <c r="T490" i="262"/>
  <c r="L490" i="262"/>
  <c r="AF586" i="262"/>
  <c r="X586" i="262"/>
  <c r="P586" i="262"/>
  <c r="AJ586" i="262"/>
  <c r="AB586" i="262"/>
  <c r="T586" i="262"/>
  <c r="L586" i="262"/>
  <c r="AJ442" i="262"/>
  <c r="AB442" i="262"/>
  <c r="L442" i="262"/>
  <c r="T442" i="262"/>
  <c r="P442" i="262"/>
  <c r="X442" i="262"/>
  <c r="AF442" i="262"/>
  <c r="AF394" i="262"/>
  <c r="P394" i="262"/>
  <c r="X394" i="262"/>
  <c r="T394" i="262"/>
  <c r="L394" i="262"/>
  <c r="AJ394" i="262"/>
  <c r="AB394" i="262"/>
  <c r="T410" i="262"/>
  <c r="AB410" i="262"/>
  <c r="L410" i="262"/>
  <c r="AJ410" i="262"/>
  <c r="P410" i="262"/>
  <c r="X410" i="262"/>
  <c r="AF410" i="262"/>
  <c r="P458" i="262"/>
  <c r="AF458" i="262"/>
  <c r="X458" i="262"/>
  <c r="AJ458" i="262"/>
  <c r="AB458" i="262"/>
  <c r="T458" i="262"/>
  <c r="L458" i="262"/>
  <c r="L474" i="262"/>
  <c r="T474" i="262"/>
  <c r="AB474" i="262"/>
  <c r="AJ474" i="262"/>
  <c r="P474" i="262"/>
  <c r="AF474" i="262"/>
  <c r="X474" i="262"/>
  <c r="AF426" i="262"/>
  <c r="X426" i="262"/>
  <c r="P426" i="262"/>
  <c r="L426" i="262"/>
  <c r="AB426" i="262"/>
  <c r="T426" i="262"/>
  <c r="AJ426" i="262"/>
  <c r="B713" i="262"/>
  <c r="B698" i="262"/>
  <c r="B714" i="262"/>
  <c r="B689" i="262"/>
  <c r="B626" i="262"/>
  <c r="B627" i="262"/>
  <c r="B733" i="262"/>
  <c r="B690" i="262"/>
  <c r="B642" i="262"/>
  <c r="H523" i="262"/>
  <c r="H475" i="262"/>
  <c r="B686" i="262"/>
  <c r="B183" i="38"/>
  <c r="B620" i="262"/>
  <c r="B717" i="262"/>
  <c r="H33" i="261"/>
  <c r="H603" i="262"/>
  <c r="H443" i="262"/>
  <c r="H85" i="261"/>
  <c r="H571" i="262"/>
  <c r="H203" i="261"/>
  <c r="H411" i="262"/>
  <c r="U105" i="38" s="1"/>
  <c r="H459" i="262"/>
  <c r="H101" i="261"/>
  <c r="H507" i="262"/>
  <c r="H539" i="262"/>
  <c r="B619" i="262"/>
  <c r="H619" i="262"/>
  <c r="H427" i="262"/>
  <c r="B675" i="262"/>
  <c r="B674" i="262"/>
  <c r="H68" i="261"/>
  <c r="H221" i="261"/>
  <c r="H491" i="262"/>
  <c r="H587" i="262"/>
  <c r="H51" i="261"/>
  <c r="H555" i="262"/>
  <c r="E702" i="262"/>
  <c r="F702" i="262"/>
  <c r="I702" i="262"/>
  <c r="H702" i="262"/>
  <c r="G702" i="262"/>
  <c r="P632" i="1103" l="1"/>
  <c r="Q632" i="1103" s="1"/>
  <c r="T632" i="1103"/>
  <c r="U632" i="1103" s="1"/>
  <c r="L632" i="1103"/>
  <c r="M632" i="1103" s="1"/>
  <c r="L666" i="1103"/>
  <c r="M666" i="1103" s="1"/>
  <c r="P666" i="1103"/>
  <c r="Q666" i="1103" s="1"/>
  <c r="T666" i="1103"/>
  <c r="U666" i="1103" s="1"/>
  <c r="R78" i="38"/>
  <c r="L254" i="262"/>
  <c r="X254" i="262"/>
  <c r="AJ254" i="262"/>
  <c r="AF254" i="262"/>
  <c r="H255" i="262"/>
  <c r="AB254" i="262"/>
  <c r="T254" i="262"/>
  <c r="P254" i="262"/>
  <c r="V63" i="38"/>
  <c r="X173" i="262"/>
  <c r="AJ173" i="262"/>
  <c r="L173" i="262"/>
  <c r="T173" i="262"/>
  <c r="AB173" i="262"/>
  <c r="AF173" i="262"/>
  <c r="P173" i="262"/>
  <c r="T288" i="1103"/>
  <c r="U288" i="1103" s="1"/>
  <c r="H289" i="1103"/>
  <c r="L288" i="1103"/>
  <c r="M288" i="1103" s="1"/>
  <c r="P288" i="1103"/>
  <c r="Q288" i="1103" s="1"/>
  <c r="P530" i="1103"/>
  <c r="Q530" i="1103" s="1"/>
  <c r="T530" i="1103"/>
  <c r="U530" i="1103" s="1"/>
  <c r="L530" i="1103"/>
  <c r="M530" i="1103" s="1"/>
  <c r="L271" i="1103"/>
  <c r="M271" i="1103" s="1"/>
  <c r="T271" i="1103"/>
  <c r="U271" i="1103" s="1"/>
  <c r="P271" i="1103"/>
  <c r="Q271" i="1103" s="1"/>
  <c r="H272" i="1103"/>
  <c r="R84" i="38"/>
  <c r="AB288" i="262"/>
  <c r="AF288" i="262"/>
  <c r="T288" i="262"/>
  <c r="P288" i="262"/>
  <c r="H289" i="262"/>
  <c r="X288" i="262"/>
  <c r="L288" i="262"/>
  <c r="AJ288" i="262"/>
  <c r="T748" i="1103"/>
  <c r="U748" i="1103" s="1"/>
  <c r="L748" i="1103"/>
  <c r="M748" i="1103" s="1"/>
  <c r="P748" i="1103"/>
  <c r="Q748" i="1103" s="1"/>
  <c r="H749" i="1103"/>
  <c r="V57" i="38"/>
  <c r="T139" i="262"/>
  <c r="AJ139" i="262"/>
  <c r="AF139" i="262"/>
  <c r="P139" i="262"/>
  <c r="AB139" i="262"/>
  <c r="L139" i="262"/>
  <c r="X139" i="262"/>
  <c r="L156" i="1103"/>
  <c r="M156" i="1103" s="1"/>
  <c r="P156" i="1103"/>
  <c r="Q156" i="1103" s="1"/>
  <c r="T156" i="1103"/>
  <c r="U156" i="1103" s="1"/>
  <c r="T173" i="1103"/>
  <c r="U173" i="1103" s="1"/>
  <c r="L173" i="1103"/>
  <c r="M173" i="1103" s="1"/>
  <c r="P173" i="1103"/>
  <c r="Q173" i="1103" s="1"/>
  <c r="V60" i="38"/>
  <c r="T156" i="262"/>
  <c r="AB156" i="262"/>
  <c r="AJ156" i="262"/>
  <c r="X156" i="262"/>
  <c r="P156" i="262"/>
  <c r="AF156" i="262"/>
  <c r="L156" i="262"/>
  <c r="R75" i="38"/>
  <c r="T237" i="262"/>
  <c r="H238" i="262"/>
  <c r="X237" i="262"/>
  <c r="L237" i="262"/>
  <c r="P237" i="262"/>
  <c r="AB237" i="262"/>
  <c r="AF237" i="262"/>
  <c r="AJ237" i="262"/>
  <c r="H307" i="1103"/>
  <c r="P306" i="1103"/>
  <c r="Q306" i="1103" s="1"/>
  <c r="L306" i="1103"/>
  <c r="M306" i="1103" s="1"/>
  <c r="T306" i="1103"/>
  <c r="U306" i="1103" s="1"/>
  <c r="R81" i="38"/>
  <c r="L271" i="262"/>
  <c r="AJ271" i="262"/>
  <c r="AF271" i="262"/>
  <c r="AB271" i="262"/>
  <c r="P271" i="262"/>
  <c r="H272" i="262"/>
  <c r="T271" i="262"/>
  <c r="X271" i="262"/>
  <c r="P237" i="1103"/>
  <c r="Q237" i="1103" s="1"/>
  <c r="T237" i="1103"/>
  <c r="U237" i="1103" s="1"/>
  <c r="H238" i="1103"/>
  <c r="L237" i="1103"/>
  <c r="M237" i="1103" s="1"/>
  <c r="T581" i="1103"/>
  <c r="U581" i="1103" s="1"/>
  <c r="L581" i="1103"/>
  <c r="M581" i="1103" s="1"/>
  <c r="P581" i="1103"/>
  <c r="Q581" i="1103" s="1"/>
  <c r="H715" i="1103"/>
  <c r="T714" i="1103"/>
  <c r="U714" i="1103" s="1"/>
  <c r="P714" i="1103"/>
  <c r="Q714" i="1103" s="1"/>
  <c r="L714" i="1103"/>
  <c r="M714" i="1103" s="1"/>
  <c r="H255" i="1103"/>
  <c r="L254" i="1103"/>
  <c r="M254" i="1103" s="1"/>
  <c r="P254" i="1103"/>
  <c r="Q254" i="1103" s="1"/>
  <c r="T254" i="1103"/>
  <c r="U254" i="1103" s="1"/>
  <c r="H731" i="1103"/>
  <c r="T730" i="1103"/>
  <c r="U730" i="1103" s="1"/>
  <c r="P730" i="1103"/>
  <c r="Q730" i="1103" s="1"/>
  <c r="L730" i="1103"/>
  <c r="M730" i="1103" s="1"/>
  <c r="T615" i="1103"/>
  <c r="U615" i="1103" s="1"/>
  <c r="L615" i="1103"/>
  <c r="M615" i="1103" s="1"/>
  <c r="P615" i="1103"/>
  <c r="Q615" i="1103" s="1"/>
  <c r="L564" i="1103"/>
  <c r="M564" i="1103" s="1"/>
  <c r="P564" i="1103"/>
  <c r="Q564" i="1103" s="1"/>
  <c r="T564" i="1103"/>
  <c r="U564" i="1103" s="1"/>
  <c r="T139" i="1103"/>
  <c r="U139" i="1103" s="1"/>
  <c r="L139" i="1103"/>
  <c r="M139" i="1103" s="1"/>
  <c r="P139" i="1103"/>
  <c r="Q139" i="1103" s="1"/>
  <c r="T598" i="1103"/>
  <c r="U598" i="1103" s="1"/>
  <c r="L598" i="1103"/>
  <c r="M598" i="1103" s="1"/>
  <c r="P598" i="1103"/>
  <c r="Q598" i="1103" s="1"/>
  <c r="T547" i="1103"/>
  <c r="U547" i="1103" s="1"/>
  <c r="L547" i="1103"/>
  <c r="M547" i="1103" s="1"/>
  <c r="P547" i="1103"/>
  <c r="Q547" i="1103" s="1"/>
  <c r="T513" i="1103"/>
  <c r="U513" i="1103" s="1"/>
  <c r="L513" i="1103"/>
  <c r="M513" i="1103" s="1"/>
  <c r="P513" i="1103"/>
  <c r="Q513" i="1103" s="1"/>
  <c r="S87" i="38"/>
  <c r="AJ306" i="262"/>
  <c r="L306" i="262"/>
  <c r="P306" i="262"/>
  <c r="T306" i="262"/>
  <c r="X306" i="262"/>
  <c r="AF306" i="262"/>
  <c r="AB306" i="262"/>
  <c r="H307" i="262"/>
  <c r="H697" i="1103"/>
  <c r="T696" i="1103"/>
  <c r="U696" i="1103" s="1"/>
  <c r="L696" i="1103"/>
  <c r="M696" i="1103" s="1"/>
  <c r="P696" i="1103"/>
  <c r="Q696" i="1103" s="1"/>
  <c r="T683" i="1103"/>
  <c r="U683" i="1103" s="1"/>
  <c r="L683" i="1103"/>
  <c r="M683" i="1103" s="1"/>
  <c r="P683" i="1103"/>
  <c r="Q683" i="1103" s="1"/>
  <c r="T649" i="1103"/>
  <c r="U649" i="1103" s="1"/>
  <c r="L649" i="1103"/>
  <c r="M649" i="1103" s="1"/>
  <c r="P649" i="1103"/>
  <c r="Q649" i="1103" s="1"/>
  <c r="L496" i="1103"/>
  <c r="M496" i="1103" s="1"/>
  <c r="T496" i="1103"/>
  <c r="U496" i="1103" s="1"/>
  <c r="P496" i="1103"/>
  <c r="Q496" i="1103" s="1"/>
  <c r="T479" i="1103"/>
  <c r="U479" i="1103" s="1"/>
  <c r="L479" i="1103"/>
  <c r="M479" i="1103" s="1"/>
  <c r="P479" i="1103"/>
  <c r="Q479" i="1103" s="1"/>
  <c r="T224" i="1103"/>
  <c r="U224" i="1103" s="1"/>
  <c r="L224" i="1103"/>
  <c r="M224" i="1103" s="1"/>
  <c r="P224" i="1103"/>
  <c r="Q224" i="1103" s="1"/>
  <c r="T207" i="1103"/>
  <c r="U207" i="1103" s="1"/>
  <c r="L207" i="1103"/>
  <c r="M207" i="1103" s="1"/>
  <c r="P207" i="1103"/>
  <c r="Q207" i="1103" s="1"/>
  <c r="T190" i="1103"/>
  <c r="U190" i="1103" s="1"/>
  <c r="L190" i="1103"/>
  <c r="M190" i="1103" s="1"/>
  <c r="P190" i="1103"/>
  <c r="Q190" i="1103" s="1"/>
  <c r="H357" i="261"/>
  <c r="P356" i="261"/>
  <c r="Q356" i="261" s="1"/>
  <c r="X356" i="261"/>
  <c r="Y356" i="261" s="1"/>
  <c r="T356" i="261"/>
  <c r="U356" i="261" s="1"/>
  <c r="L356" i="261"/>
  <c r="M356" i="261" s="1"/>
  <c r="H340" i="261"/>
  <c r="P339" i="261"/>
  <c r="Q339" i="261" s="1"/>
  <c r="X339" i="261"/>
  <c r="Y339" i="261" s="1"/>
  <c r="L339" i="261"/>
  <c r="M339" i="261" s="1"/>
  <c r="T339" i="261"/>
  <c r="U339" i="261" s="1"/>
  <c r="H323" i="261"/>
  <c r="P322" i="261"/>
  <c r="Q322" i="261" s="1"/>
  <c r="X322" i="261"/>
  <c r="Y322" i="261" s="1"/>
  <c r="L322" i="261"/>
  <c r="M322" i="261" s="1"/>
  <c r="T322" i="261"/>
  <c r="U322" i="261" s="1"/>
  <c r="H306" i="261"/>
  <c r="P305" i="261"/>
  <c r="Q305" i="261" s="1"/>
  <c r="X305" i="261"/>
  <c r="Y305" i="261" s="1"/>
  <c r="L305" i="261"/>
  <c r="M305" i="261" s="1"/>
  <c r="T305" i="261"/>
  <c r="U305" i="261" s="1"/>
  <c r="H289" i="261"/>
  <c r="P288" i="261"/>
  <c r="Q288" i="261" s="1"/>
  <c r="X288" i="261"/>
  <c r="Y288" i="261" s="1"/>
  <c r="L288" i="261"/>
  <c r="M288" i="261" s="1"/>
  <c r="T288" i="261"/>
  <c r="U288" i="261" s="1"/>
  <c r="H272" i="261"/>
  <c r="P271" i="261"/>
  <c r="Q271" i="261" s="1"/>
  <c r="X271" i="261"/>
  <c r="Y271" i="261" s="1"/>
  <c r="T271" i="261"/>
  <c r="U271" i="261" s="1"/>
  <c r="L271" i="261"/>
  <c r="M271" i="261" s="1"/>
  <c r="H255" i="261"/>
  <c r="L254" i="261"/>
  <c r="M254" i="261" s="1"/>
  <c r="P254" i="261"/>
  <c r="Q254" i="261" s="1"/>
  <c r="T254" i="261"/>
  <c r="U254" i="261" s="1"/>
  <c r="X254" i="261"/>
  <c r="Y254" i="261" s="1"/>
  <c r="H238" i="261"/>
  <c r="L237" i="261"/>
  <c r="M237" i="261" s="1"/>
  <c r="X237" i="261"/>
  <c r="Y237" i="261" s="1"/>
  <c r="T237" i="261"/>
  <c r="U237" i="261" s="1"/>
  <c r="P237" i="261"/>
  <c r="Q237" i="261" s="1"/>
  <c r="H187" i="261"/>
  <c r="P186" i="261"/>
  <c r="Q186" i="261" s="1"/>
  <c r="T186" i="261"/>
  <c r="U186" i="261" s="1"/>
  <c r="X186" i="261"/>
  <c r="Y186" i="261" s="1"/>
  <c r="L186" i="261"/>
  <c r="M186" i="261" s="1"/>
  <c r="H170" i="261"/>
  <c r="X169" i="261"/>
  <c r="Y169" i="261" s="1"/>
  <c r="P169" i="261"/>
  <c r="Q169" i="261" s="1"/>
  <c r="L169" i="261"/>
  <c r="M169" i="261" s="1"/>
  <c r="T169" i="261"/>
  <c r="U169" i="261" s="1"/>
  <c r="H153" i="261"/>
  <c r="P152" i="261"/>
  <c r="Q152" i="261" s="1"/>
  <c r="X152" i="261"/>
  <c r="Y152" i="261" s="1"/>
  <c r="L152" i="261"/>
  <c r="M152" i="261" s="1"/>
  <c r="T152" i="261"/>
  <c r="U152" i="261" s="1"/>
  <c r="H136" i="261"/>
  <c r="P135" i="261"/>
  <c r="Q135" i="261" s="1"/>
  <c r="X135" i="261"/>
  <c r="Y135" i="261" s="1"/>
  <c r="L135" i="261"/>
  <c r="M135" i="261" s="1"/>
  <c r="T135" i="261"/>
  <c r="U135" i="261" s="1"/>
  <c r="H119" i="261"/>
  <c r="L118" i="261"/>
  <c r="M118" i="261" s="1"/>
  <c r="X118" i="261"/>
  <c r="Y118" i="261" s="1"/>
  <c r="P118" i="261"/>
  <c r="Q118" i="261" s="1"/>
  <c r="T118" i="261"/>
  <c r="U118" i="261" s="1"/>
  <c r="V105" i="38"/>
  <c r="H105" i="38"/>
  <c r="I105" i="38"/>
  <c r="J105" i="38"/>
  <c r="K105" i="38"/>
  <c r="L105" i="38"/>
  <c r="M105" i="38"/>
  <c r="N105" i="38"/>
  <c r="O105" i="38"/>
  <c r="P105" i="38"/>
  <c r="Q105" i="38"/>
  <c r="R105" i="38"/>
  <c r="S105" i="38"/>
  <c r="T105" i="38"/>
  <c r="P190" i="262"/>
  <c r="AF190" i="262"/>
  <c r="AJ190" i="262"/>
  <c r="T190" i="262"/>
  <c r="X190" i="262"/>
  <c r="AB190" i="262"/>
  <c r="L190" i="262"/>
  <c r="P207" i="262"/>
  <c r="AF207" i="262"/>
  <c r="AB207" i="262"/>
  <c r="L207" i="262"/>
  <c r="X207" i="262"/>
  <c r="T207" i="262"/>
  <c r="AJ207" i="262"/>
  <c r="P224" i="262"/>
  <c r="L224" i="262"/>
  <c r="AB224" i="262"/>
  <c r="AF224" i="262"/>
  <c r="X224" i="262"/>
  <c r="T224" i="262"/>
  <c r="AJ224" i="262"/>
  <c r="G623" i="262"/>
  <c r="G575" i="262"/>
  <c r="H686" i="262"/>
  <c r="L686" i="262" s="1"/>
  <c r="G527" i="262"/>
  <c r="G607" i="262"/>
  <c r="G671" i="262"/>
  <c r="G479" i="262"/>
  <c r="U118" i="38"/>
  <c r="G511" i="262"/>
  <c r="G496" i="262"/>
  <c r="U121" i="38"/>
  <c r="G655" i="262"/>
  <c r="G640" i="262"/>
  <c r="AD702" i="262"/>
  <c r="N702" i="262"/>
  <c r="Z702" i="262"/>
  <c r="J702" i="262"/>
  <c r="G711" i="262"/>
  <c r="G706" i="262"/>
  <c r="G714" i="262"/>
  <c r="G712" i="262"/>
  <c r="G703" i="262"/>
  <c r="G713" i="262"/>
  <c r="G717" i="262"/>
  <c r="V160" i="38" s="1"/>
  <c r="G715" i="262"/>
  <c r="T160" i="38" s="1"/>
  <c r="V702" i="262"/>
  <c r="AH702" i="262"/>
  <c r="R702" i="262"/>
  <c r="G716" i="262"/>
  <c r="U160" i="38" s="1"/>
  <c r="G710" i="262"/>
  <c r="G707" i="262"/>
  <c r="L160" i="38" s="1"/>
  <c r="G705" i="262"/>
  <c r="G709" i="262"/>
  <c r="G708" i="262"/>
  <c r="G704" i="262"/>
  <c r="I160" i="38" s="1"/>
  <c r="F159" i="38"/>
  <c r="G593" i="262"/>
  <c r="G560" i="262"/>
  <c r="G543" i="262"/>
  <c r="B719" i="262"/>
  <c r="A736" i="262"/>
  <c r="C719" i="262"/>
  <c r="G688" i="262"/>
  <c r="T221" i="261"/>
  <c r="L221" i="261"/>
  <c r="P221" i="261"/>
  <c r="X221" i="261"/>
  <c r="L203" i="261"/>
  <c r="T203" i="261"/>
  <c r="X203" i="261"/>
  <c r="P203" i="261"/>
  <c r="L101" i="261"/>
  <c r="T101" i="261"/>
  <c r="P101" i="261"/>
  <c r="X101" i="261"/>
  <c r="T85" i="261"/>
  <c r="L85" i="261"/>
  <c r="P85" i="261"/>
  <c r="X85" i="261"/>
  <c r="T68" i="261"/>
  <c r="L68" i="261"/>
  <c r="P68" i="261"/>
  <c r="X68" i="261"/>
  <c r="L51" i="261"/>
  <c r="T51" i="261"/>
  <c r="P51" i="261"/>
  <c r="X51" i="261"/>
  <c r="T33" i="261"/>
  <c r="X33" i="261"/>
  <c r="L33" i="261"/>
  <c r="P33" i="261"/>
  <c r="P555" i="262"/>
  <c r="X555" i="262"/>
  <c r="AF555" i="262"/>
  <c r="AJ555" i="262"/>
  <c r="T555" i="262"/>
  <c r="AB555" i="262"/>
  <c r="L555" i="262"/>
  <c r="P619" i="262"/>
  <c r="X619" i="262"/>
  <c r="L619" i="262"/>
  <c r="T619" i="262"/>
  <c r="AB619" i="262"/>
  <c r="AJ619" i="262"/>
  <c r="AF619" i="262"/>
  <c r="AF507" i="262"/>
  <c r="X507" i="262"/>
  <c r="P507" i="262"/>
  <c r="AJ507" i="262"/>
  <c r="AB507" i="262"/>
  <c r="T507" i="262"/>
  <c r="L507" i="262"/>
  <c r="AF571" i="262"/>
  <c r="X571" i="262"/>
  <c r="P571" i="262"/>
  <c r="AJ571" i="262"/>
  <c r="AB571" i="262"/>
  <c r="T571" i="262"/>
  <c r="L571" i="262"/>
  <c r="P587" i="262"/>
  <c r="X587" i="262"/>
  <c r="AF587" i="262"/>
  <c r="L587" i="262"/>
  <c r="T587" i="262"/>
  <c r="AB587" i="262"/>
  <c r="AJ587" i="262"/>
  <c r="P491" i="262"/>
  <c r="X491" i="262"/>
  <c r="AF491" i="262"/>
  <c r="L491" i="262"/>
  <c r="T491" i="262"/>
  <c r="AB491" i="262"/>
  <c r="AJ491" i="262"/>
  <c r="AF539" i="262"/>
  <c r="X539" i="262"/>
  <c r="P539" i="262"/>
  <c r="T539" i="262"/>
  <c r="AJ539" i="262"/>
  <c r="L539" i="262"/>
  <c r="AB539" i="262"/>
  <c r="AF603" i="262"/>
  <c r="X603" i="262"/>
  <c r="P603" i="262"/>
  <c r="AJ603" i="262"/>
  <c r="AB603" i="262"/>
  <c r="L603" i="262"/>
  <c r="T603" i="262"/>
  <c r="P523" i="262"/>
  <c r="X523" i="262"/>
  <c r="AF523" i="262"/>
  <c r="L523" i="262"/>
  <c r="T523" i="262"/>
  <c r="AB523" i="262"/>
  <c r="AJ523" i="262"/>
  <c r="L411" i="262"/>
  <c r="AB411" i="262"/>
  <c r="X411" i="262"/>
  <c r="AJ411" i="262"/>
  <c r="T411" i="262"/>
  <c r="AF411" i="262"/>
  <c r="P411" i="262"/>
  <c r="AJ475" i="262"/>
  <c r="AB475" i="262"/>
  <c r="T475" i="262"/>
  <c r="L475" i="262"/>
  <c r="X475" i="262"/>
  <c r="AF475" i="262"/>
  <c r="P475" i="262"/>
  <c r="P427" i="262"/>
  <c r="X427" i="262"/>
  <c r="AF427" i="262"/>
  <c r="AJ427" i="262"/>
  <c r="T427" i="262"/>
  <c r="AB427" i="262"/>
  <c r="L427" i="262"/>
  <c r="P459" i="262"/>
  <c r="L459" i="262"/>
  <c r="T459" i="262"/>
  <c r="AB459" i="262"/>
  <c r="AJ459" i="262"/>
  <c r="X459" i="262"/>
  <c r="AF459" i="262"/>
  <c r="T443" i="262"/>
  <c r="L443" i="262"/>
  <c r="AB443" i="262"/>
  <c r="AJ443" i="262"/>
  <c r="AF443" i="262"/>
  <c r="X443" i="262"/>
  <c r="P443" i="262"/>
  <c r="B730" i="262"/>
  <c r="B715" i="262"/>
  <c r="B731" i="262"/>
  <c r="B706" i="262"/>
  <c r="B659" i="262"/>
  <c r="B707" i="262"/>
  <c r="B750" i="262"/>
  <c r="B644" i="262"/>
  <c r="B643" i="262"/>
  <c r="H556" i="262"/>
  <c r="H52" i="261"/>
  <c r="H588" i="262"/>
  <c r="H492" i="262"/>
  <c r="B692" i="262"/>
  <c r="H428" i="262"/>
  <c r="B636" i="262"/>
  <c r="H636" i="262"/>
  <c r="H460" i="262"/>
  <c r="H444" i="262"/>
  <c r="H34" i="261"/>
  <c r="B734" i="262"/>
  <c r="H476" i="262"/>
  <c r="H524" i="262"/>
  <c r="H222" i="261"/>
  <c r="H69" i="261"/>
  <c r="B691" i="262"/>
  <c r="H620" i="262"/>
  <c r="H540" i="262"/>
  <c r="H508" i="262"/>
  <c r="H102" i="261"/>
  <c r="H204" i="261"/>
  <c r="H572" i="262"/>
  <c r="H86" i="261"/>
  <c r="H604" i="262"/>
  <c r="B637" i="262"/>
  <c r="B186" i="38"/>
  <c r="B703" i="262"/>
  <c r="H719" i="262"/>
  <c r="E719" i="262"/>
  <c r="I719" i="262"/>
  <c r="F719" i="262"/>
  <c r="G719" i="262"/>
  <c r="S75" i="38" l="1"/>
  <c r="AF238" i="262"/>
  <c r="T238" i="262"/>
  <c r="P238" i="262"/>
  <c r="AB238" i="262"/>
  <c r="L238" i="262"/>
  <c r="X238" i="262"/>
  <c r="AJ238" i="262"/>
  <c r="H239" i="262"/>
  <c r="S84" i="38"/>
  <c r="L289" i="262"/>
  <c r="P289" i="262"/>
  <c r="H290" i="262"/>
  <c r="T289" i="262"/>
  <c r="AF289" i="262"/>
  <c r="AB289" i="262"/>
  <c r="X289" i="262"/>
  <c r="AJ289" i="262"/>
  <c r="S78" i="38"/>
  <c r="L255" i="262"/>
  <c r="P255" i="262"/>
  <c r="H256" i="262"/>
  <c r="T255" i="262"/>
  <c r="X255" i="262"/>
  <c r="AJ255" i="262"/>
  <c r="AB255" i="262"/>
  <c r="AF255" i="262"/>
  <c r="L731" i="1103"/>
  <c r="M731" i="1103" s="1"/>
  <c r="P731" i="1103"/>
  <c r="Q731" i="1103" s="1"/>
  <c r="H732" i="1103"/>
  <c r="T731" i="1103"/>
  <c r="U731" i="1103" s="1"/>
  <c r="T255" i="1103"/>
  <c r="U255" i="1103" s="1"/>
  <c r="L255" i="1103"/>
  <c r="M255" i="1103" s="1"/>
  <c r="P255" i="1103"/>
  <c r="Q255" i="1103" s="1"/>
  <c r="H256" i="1103"/>
  <c r="P715" i="1103"/>
  <c r="Q715" i="1103" s="1"/>
  <c r="H716" i="1103"/>
  <c r="T715" i="1103"/>
  <c r="U715" i="1103" s="1"/>
  <c r="L715" i="1103"/>
  <c r="M715" i="1103" s="1"/>
  <c r="P307" i="1103"/>
  <c r="Q307" i="1103" s="1"/>
  <c r="H308" i="1103"/>
  <c r="L307" i="1103"/>
  <c r="M307" i="1103" s="1"/>
  <c r="T307" i="1103"/>
  <c r="U307" i="1103" s="1"/>
  <c r="T749" i="1103"/>
  <c r="U749" i="1103" s="1"/>
  <c r="L749" i="1103"/>
  <c r="M749" i="1103" s="1"/>
  <c r="P749" i="1103"/>
  <c r="Q749" i="1103" s="1"/>
  <c r="H750" i="1103"/>
  <c r="P238" i="1103"/>
  <c r="Q238" i="1103" s="1"/>
  <c r="L238" i="1103"/>
  <c r="M238" i="1103" s="1"/>
  <c r="H239" i="1103"/>
  <c r="T238" i="1103"/>
  <c r="U238" i="1103" s="1"/>
  <c r="L272" i="1103"/>
  <c r="M272" i="1103" s="1"/>
  <c r="T272" i="1103"/>
  <c r="U272" i="1103" s="1"/>
  <c r="P272" i="1103"/>
  <c r="Q272" i="1103" s="1"/>
  <c r="H273" i="1103"/>
  <c r="T87" i="38"/>
  <c r="AJ307" i="262"/>
  <c r="AF307" i="262"/>
  <c r="AB307" i="262"/>
  <c r="H308" i="262"/>
  <c r="X307" i="262"/>
  <c r="T307" i="262"/>
  <c r="P307" i="262"/>
  <c r="L307" i="262"/>
  <c r="S81" i="38"/>
  <c r="AJ272" i="262"/>
  <c r="L272" i="262"/>
  <c r="X272" i="262"/>
  <c r="H273" i="262"/>
  <c r="AF272" i="262"/>
  <c r="T272" i="262"/>
  <c r="P272" i="262"/>
  <c r="AB272" i="262"/>
  <c r="L289" i="1103"/>
  <c r="M289" i="1103" s="1"/>
  <c r="T289" i="1103"/>
  <c r="U289" i="1103" s="1"/>
  <c r="P289" i="1103"/>
  <c r="Q289" i="1103" s="1"/>
  <c r="H290" i="1103"/>
  <c r="H698" i="1103"/>
  <c r="T697" i="1103"/>
  <c r="U697" i="1103" s="1"/>
  <c r="L697" i="1103"/>
  <c r="M697" i="1103" s="1"/>
  <c r="P697" i="1103"/>
  <c r="Q697" i="1103" s="1"/>
  <c r="H358" i="261"/>
  <c r="P357" i="261"/>
  <c r="Q357" i="261" s="1"/>
  <c r="X357" i="261"/>
  <c r="Y357" i="261" s="1"/>
  <c r="L357" i="261"/>
  <c r="M357" i="261" s="1"/>
  <c r="T357" i="261"/>
  <c r="U357" i="261" s="1"/>
  <c r="H341" i="261"/>
  <c r="X340" i="261"/>
  <c r="Y340" i="261" s="1"/>
  <c r="P340" i="261"/>
  <c r="Q340" i="261" s="1"/>
  <c r="L340" i="261"/>
  <c r="M340" i="261" s="1"/>
  <c r="T340" i="261"/>
  <c r="U340" i="261" s="1"/>
  <c r="H324" i="261"/>
  <c r="X323" i="261"/>
  <c r="Y323" i="261" s="1"/>
  <c r="P323" i="261"/>
  <c r="Q323" i="261" s="1"/>
  <c r="L323" i="261"/>
  <c r="M323" i="261" s="1"/>
  <c r="T323" i="261"/>
  <c r="U323" i="261" s="1"/>
  <c r="H307" i="261"/>
  <c r="X306" i="261"/>
  <c r="Y306" i="261" s="1"/>
  <c r="P306" i="261"/>
  <c r="Q306" i="261" s="1"/>
  <c r="L306" i="261"/>
  <c r="M306" i="261" s="1"/>
  <c r="T306" i="261"/>
  <c r="U306" i="261" s="1"/>
  <c r="H290" i="261"/>
  <c r="X289" i="261"/>
  <c r="Y289" i="261" s="1"/>
  <c r="P289" i="261"/>
  <c r="Q289" i="261" s="1"/>
  <c r="L289" i="261"/>
  <c r="M289" i="261" s="1"/>
  <c r="T289" i="261"/>
  <c r="U289" i="261" s="1"/>
  <c r="H273" i="261"/>
  <c r="X272" i="261"/>
  <c r="Y272" i="261" s="1"/>
  <c r="P272" i="261"/>
  <c r="Q272" i="261" s="1"/>
  <c r="L272" i="261"/>
  <c r="M272" i="261" s="1"/>
  <c r="T272" i="261"/>
  <c r="U272" i="261" s="1"/>
  <c r="H256" i="261"/>
  <c r="L255" i="261"/>
  <c r="M255" i="261" s="1"/>
  <c r="P255" i="261"/>
  <c r="Q255" i="261" s="1"/>
  <c r="T255" i="261"/>
  <c r="U255" i="261" s="1"/>
  <c r="X255" i="261"/>
  <c r="Y255" i="261" s="1"/>
  <c r="H239" i="261"/>
  <c r="L238" i="261"/>
  <c r="M238" i="261" s="1"/>
  <c r="T238" i="261"/>
  <c r="U238" i="261" s="1"/>
  <c r="X238" i="261"/>
  <c r="Y238" i="261" s="1"/>
  <c r="P238" i="261"/>
  <c r="Q238" i="261" s="1"/>
  <c r="H188" i="261"/>
  <c r="P187" i="261"/>
  <c r="Q187" i="261" s="1"/>
  <c r="T187" i="261"/>
  <c r="U187" i="261" s="1"/>
  <c r="X187" i="261"/>
  <c r="Y187" i="261" s="1"/>
  <c r="L187" i="261"/>
  <c r="M187" i="261" s="1"/>
  <c r="H171" i="261"/>
  <c r="X170" i="261"/>
  <c r="Y170" i="261" s="1"/>
  <c r="P170" i="261"/>
  <c r="Q170" i="261" s="1"/>
  <c r="T170" i="261"/>
  <c r="U170" i="261" s="1"/>
  <c r="L170" i="261"/>
  <c r="M170" i="261" s="1"/>
  <c r="H154" i="261"/>
  <c r="P153" i="261"/>
  <c r="Q153" i="261" s="1"/>
  <c r="X153" i="261"/>
  <c r="Y153" i="261" s="1"/>
  <c r="T153" i="261"/>
  <c r="U153" i="261" s="1"/>
  <c r="L153" i="261"/>
  <c r="M153" i="261" s="1"/>
  <c r="H137" i="261"/>
  <c r="X136" i="261"/>
  <c r="Y136" i="261" s="1"/>
  <c r="P136" i="261"/>
  <c r="Q136" i="261" s="1"/>
  <c r="L136" i="261"/>
  <c r="M136" i="261" s="1"/>
  <c r="T136" i="261"/>
  <c r="U136" i="261" s="1"/>
  <c r="H120" i="261"/>
  <c r="X119" i="261"/>
  <c r="Y119" i="261" s="1"/>
  <c r="L119" i="261"/>
  <c r="M119" i="261" s="1"/>
  <c r="P119" i="261"/>
  <c r="Q119" i="261" s="1"/>
  <c r="T119" i="261"/>
  <c r="U119" i="261" s="1"/>
  <c r="N160" i="38"/>
  <c r="M160" i="38"/>
  <c r="J160" i="38"/>
  <c r="O160" i="38"/>
  <c r="R160" i="38"/>
  <c r="H160" i="38"/>
  <c r="S160" i="38"/>
  <c r="P160" i="38"/>
  <c r="V121" i="38"/>
  <c r="H121" i="38"/>
  <c r="I121" i="38"/>
  <c r="J121" i="38"/>
  <c r="K121" i="38"/>
  <c r="L121" i="38"/>
  <c r="M121" i="38"/>
  <c r="N121" i="38"/>
  <c r="O121" i="38"/>
  <c r="P121" i="38"/>
  <c r="Q121" i="38"/>
  <c r="R121" i="38"/>
  <c r="S121" i="38"/>
  <c r="T121" i="38"/>
  <c r="V118" i="38"/>
  <c r="H118" i="38"/>
  <c r="I118" i="38"/>
  <c r="J118" i="38"/>
  <c r="K118" i="38"/>
  <c r="L118" i="38"/>
  <c r="M118" i="38"/>
  <c r="N118" i="38"/>
  <c r="O118" i="38"/>
  <c r="P118" i="38"/>
  <c r="Q118" i="38"/>
  <c r="R118" i="38"/>
  <c r="S118" i="38"/>
  <c r="T118" i="38"/>
  <c r="V108" i="38"/>
  <c r="H108" i="38"/>
  <c r="I108" i="38"/>
  <c r="J108" i="38"/>
  <c r="K108" i="38"/>
  <c r="L108" i="38"/>
  <c r="M108" i="38"/>
  <c r="N108" i="38"/>
  <c r="O108" i="38"/>
  <c r="P108" i="38"/>
  <c r="Q108" i="38"/>
  <c r="R108" i="38"/>
  <c r="S108" i="38"/>
  <c r="T108" i="38"/>
  <c r="Q160" i="38"/>
  <c r="K160" i="38"/>
  <c r="U108" i="38"/>
  <c r="T686" i="262"/>
  <c r="X686" i="262"/>
  <c r="G624" i="262"/>
  <c r="G576" i="262"/>
  <c r="AJ686" i="262"/>
  <c r="AB686" i="262"/>
  <c r="P686" i="262"/>
  <c r="AF686" i="262"/>
  <c r="G528" i="262"/>
  <c r="G608" i="262"/>
  <c r="H703" i="262"/>
  <c r="P703" i="262" s="1"/>
  <c r="G672" i="262"/>
  <c r="G512" i="262"/>
  <c r="G641" i="262"/>
  <c r="G656" i="262"/>
  <c r="V719" i="262"/>
  <c r="AH719" i="262"/>
  <c r="R719" i="262"/>
  <c r="G724" i="262"/>
  <c r="G722" i="262"/>
  <c r="G727" i="262"/>
  <c r="G720" i="262"/>
  <c r="G732" i="262"/>
  <c r="G729" i="262"/>
  <c r="G721" i="262"/>
  <c r="G723" i="262"/>
  <c r="AD719" i="262"/>
  <c r="N719" i="262"/>
  <c r="Z719" i="262"/>
  <c r="J719" i="262"/>
  <c r="G731" i="262"/>
  <c r="G733" i="262"/>
  <c r="G728" i="262"/>
  <c r="G734" i="262"/>
  <c r="V163" i="38" s="1"/>
  <c r="G730" i="262"/>
  <c r="G726" i="262"/>
  <c r="N163" i="38" s="1"/>
  <c r="G725" i="262"/>
  <c r="F162" i="38"/>
  <c r="B736" i="262"/>
  <c r="C736" i="262"/>
  <c r="A753" i="262"/>
  <c r="AK702" i="262"/>
  <c r="AI702" i="262"/>
  <c r="M702" i="262"/>
  <c r="K702" i="262"/>
  <c r="O702" i="262"/>
  <c r="Q702" i="262"/>
  <c r="G689" i="262"/>
  <c r="G544" i="262"/>
  <c r="G561" i="262"/>
  <c r="G594" i="262"/>
  <c r="U702" i="262"/>
  <c r="S702" i="262"/>
  <c r="W702" i="262"/>
  <c r="Y702" i="262"/>
  <c r="AC702" i="262"/>
  <c r="AA702" i="262"/>
  <c r="AE702" i="262"/>
  <c r="AG702" i="262"/>
  <c r="L222" i="261"/>
  <c r="T222" i="261"/>
  <c r="X222" i="261"/>
  <c r="P222" i="261"/>
  <c r="T204" i="261"/>
  <c r="L204" i="261"/>
  <c r="P204" i="261"/>
  <c r="X204" i="261"/>
  <c r="T102" i="261"/>
  <c r="L102" i="261"/>
  <c r="P102" i="261"/>
  <c r="X102" i="261"/>
  <c r="L86" i="261"/>
  <c r="T86" i="261"/>
  <c r="X86" i="261"/>
  <c r="P86" i="261"/>
  <c r="L69" i="261"/>
  <c r="T69" i="261"/>
  <c r="P69" i="261"/>
  <c r="X69" i="261"/>
  <c r="L52" i="261"/>
  <c r="T52" i="261"/>
  <c r="P52" i="261"/>
  <c r="X52" i="261"/>
  <c r="T34" i="261"/>
  <c r="X34" i="261"/>
  <c r="L34" i="261"/>
  <c r="P34" i="261"/>
  <c r="L636" i="262"/>
  <c r="T636" i="262"/>
  <c r="AB636" i="262"/>
  <c r="AJ636" i="262"/>
  <c r="AF636" i="262"/>
  <c r="P636" i="262"/>
  <c r="X636" i="262"/>
  <c r="P572" i="262"/>
  <c r="X572" i="262"/>
  <c r="AF572" i="262"/>
  <c r="L572" i="262"/>
  <c r="T572" i="262"/>
  <c r="AB572" i="262"/>
  <c r="AJ572" i="262"/>
  <c r="P508" i="262"/>
  <c r="X508" i="262"/>
  <c r="AF508" i="262"/>
  <c r="L508" i="262"/>
  <c r="T508" i="262"/>
  <c r="AB508" i="262"/>
  <c r="AJ508" i="262"/>
  <c r="X620" i="262"/>
  <c r="P620" i="262"/>
  <c r="AF620" i="262"/>
  <c r="AJ620" i="262"/>
  <c r="AB620" i="262"/>
  <c r="T620" i="262"/>
  <c r="L620" i="262"/>
  <c r="AF524" i="262"/>
  <c r="X524" i="262"/>
  <c r="P524" i="262"/>
  <c r="AJ524" i="262"/>
  <c r="AB524" i="262"/>
  <c r="T524" i="262"/>
  <c r="L524" i="262"/>
  <c r="AF492" i="262"/>
  <c r="X492" i="262"/>
  <c r="P492" i="262"/>
  <c r="AJ492" i="262"/>
  <c r="AB492" i="262"/>
  <c r="T492" i="262"/>
  <c r="L492" i="262"/>
  <c r="AF588" i="262"/>
  <c r="X588" i="262"/>
  <c r="P588" i="262"/>
  <c r="AJ588" i="262"/>
  <c r="AB588" i="262"/>
  <c r="T588" i="262"/>
  <c r="L588" i="262"/>
  <c r="AF556" i="262"/>
  <c r="X556" i="262"/>
  <c r="P556" i="262"/>
  <c r="L556" i="262"/>
  <c r="AB556" i="262"/>
  <c r="T556" i="262"/>
  <c r="AJ556" i="262"/>
  <c r="P604" i="262"/>
  <c r="X604" i="262"/>
  <c r="AF604" i="262"/>
  <c r="AB604" i="262"/>
  <c r="AJ604" i="262"/>
  <c r="T604" i="262"/>
  <c r="L604" i="262"/>
  <c r="P540" i="262"/>
  <c r="X540" i="262"/>
  <c r="AF540" i="262"/>
  <c r="AB540" i="262"/>
  <c r="L540" i="262"/>
  <c r="AJ540" i="262"/>
  <c r="T540" i="262"/>
  <c r="AJ444" i="262"/>
  <c r="AB444" i="262"/>
  <c r="L444" i="262"/>
  <c r="T444" i="262"/>
  <c r="P444" i="262"/>
  <c r="X444" i="262"/>
  <c r="AF444" i="262"/>
  <c r="AF460" i="262"/>
  <c r="X460" i="262"/>
  <c r="P460" i="262"/>
  <c r="AJ460" i="262"/>
  <c r="AB460" i="262"/>
  <c r="T460" i="262"/>
  <c r="L460" i="262"/>
  <c r="L476" i="262"/>
  <c r="T476" i="262"/>
  <c r="AB476" i="262"/>
  <c r="AJ476" i="262"/>
  <c r="P476" i="262"/>
  <c r="AF476" i="262"/>
  <c r="X476" i="262"/>
  <c r="X428" i="262"/>
  <c r="AF428" i="262"/>
  <c r="P428" i="262"/>
  <c r="T428" i="262"/>
  <c r="L428" i="262"/>
  <c r="AJ428" i="262"/>
  <c r="AB428" i="262"/>
  <c r="B747" i="262"/>
  <c r="B732" i="262"/>
  <c r="B748" i="262"/>
  <c r="B723" i="262"/>
  <c r="B660" i="262"/>
  <c r="B661" i="262"/>
  <c r="B767" i="262"/>
  <c r="B676" i="262"/>
  <c r="B724" i="262"/>
  <c r="B720" i="262"/>
  <c r="H87" i="261"/>
  <c r="H621" i="262"/>
  <c r="H223" i="261"/>
  <c r="H525" i="262"/>
  <c r="H637" i="262"/>
  <c r="B653" i="262"/>
  <c r="H653" i="262"/>
  <c r="H589" i="262"/>
  <c r="B189" i="38"/>
  <c r="B654" i="262"/>
  <c r="H573" i="262"/>
  <c r="H605" i="262"/>
  <c r="H205" i="261"/>
  <c r="H103" i="261"/>
  <c r="H509" i="262"/>
  <c r="H541" i="262"/>
  <c r="B708" i="262"/>
  <c r="H70" i="261"/>
  <c r="H477" i="262"/>
  <c r="B751" i="262"/>
  <c r="H35" i="261"/>
  <c r="H445" i="262"/>
  <c r="U111" i="38" s="1"/>
  <c r="H461" i="262"/>
  <c r="B709" i="262"/>
  <c r="H493" i="262"/>
  <c r="H53" i="261"/>
  <c r="H557" i="262"/>
  <c r="E736" i="262"/>
  <c r="H736" i="262"/>
  <c r="G736" i="262"/>
  <c r="I736" i="262"/>
  <c r="F736" i="262"/>
  <c r="U87" i="38" l="1"/>
  <c r="AF308" i="262"/>
  <c r="AJ308" i="262"/>
  <c r="AB308" i="262"/>
  <c r="X308" i="262"/>
  <c r="H309" i="262"/>
  <c r="P308" i="262"/>
  <c r="L308" i="262"/>
  <c r="T308" i="262"/>
  <c r="L273" i="1103"/>
  <c r="M273" i="1103" s="1"/>
  <c r="P273" i="1103"/>
  <c r="Q273" i="1103" s="1"/>
  <c r="H274" i="1103"/>
  <c r="T273" i="1103"/>
  <c r="U273" i="1103" s="1"/>
  <c r="T750" i="1103"/>
  <c r="U750" i="1103" s="1"/>
  <c r="L750" i="1103"/>
  <c r="M750" i="1103" s="1"/>
  <c r="P750" i="1103"/>
  <c r="Q750" i="1103" s="1"/>
  <c r="H751" i="1103"/>
  <c r="L256" i="1103"/>
  <c r="M256" i="1103" s="1"/>
  <c r="P256" i="1103"/>
  <c r="Q256" i="1103" s="1"/>
  <c r="H257" i="1103"/>
  <c r="T256" i="1103"/>
  <c r="U256" i="1103" s="1"/>
  <c r="H240" i="1103"/>
  <c r="T239" i="1103"/>
  <c r="U239" i="1103" s="1"/>
  <c r="L239" i="1103"/>
  <c r="M239" i="1103" s="1"/>
  <c r="P239" i="1103"/>
  <c r="Q239" i="1103" s="1"/>
  <c r="T732" i="1103"/>
  <c r="U732" i="1103" s="1"/>
  <c r="L732" i="1103"/>
  <c r="M732" i="1103" s="1"/>
  <c r="P732" i="1103"/>
  <c r="Q732" i="1103" s="1"/>
  <c r="H733" i="1103"/>
  <c r="T78" i="38"/>
  <c r="T256" i="262"/>
  <c r="P256" i="262"/>
  <c r="L256" i="262"/>
  <c r="AB256" i="262"/>
  <c r="AJ256" i="262"/>
  <c r="AF256" i="262"/>
  <c r="H257" i="262"/>
  <c r="X256" i="262"/>
  <c r="T290" i="1103"/>
  <c r="U290" i="1103" s="1"/>
  <c r="L290" i="1103"/>
  <c r="M290" i="1103" s="1"/>
  <c r="P290" i="1103"/>
  <c r="Q290" i="1103" s="1"/>
  <c r="H291" i="1103"/>
  <c r="T81" i="38"/>
  <c r="AB273" i="262"/>
  <c r="P273" i="262"/>
  <c r="H274" i="262"/>
  <c r="T273" i="262"/>
  <c r="X273" i="262"/>
  <c r="AJ273" i="262"/>
  <c r="L273" i="262"/>
  <c r="AF273" i="262"/>
  <c r="T308" i="1103"/>
  <c r="U308" i="1103" s="1"/>
  <c r="P308" i="1103"/>
  <c r="Q308" i="1103" s="1"/>
  <c r="L308" i="1103"/>
  <c r="M308" i="1103" s="1"/>
  <c r="H309" i="1103"/>
  <c r="T716" i="1103"/>
  <c r="U716" i="1103" s="1"/>
  <c r="L716" i="1103"/>
  <c r="M716" i="1103" s="1"/>
  <c r="P716" i="1103"/>
  <c r="Q716" i="1103" s="1"/>
  <c r="H717" i="1103"/>
  <c r="T84" i="38"/>
  <c r="AJ290" i="262"/>
  <c r="X290" i="262"/>
  <c r="H291" i="262"/>
  <c r="AB290" i="262"/>
  <c r="AF290" i="262"/>
  <c r="P290" i="262"/>
  <c r="T290" i="262"/>
  <c r="L290" i="262"/>
  <c r="T75" i="38"/>
  <c r="T239" i="262"/>
  <c r="AF239" i="262"/>
  <c r="AJ239" i="262"/>
  <c r="H240" i="262"/>
  <c r="AB239" i="262"/>
  <c r="X239" i="262"/>
  <c r="L239" i="262"/>
  <c r="P239" i="262"/>
  <c r="AJ703" i="262"/>
  <c r="H699" i="1103"/>
  <c r="T698" i="1103"/>
  <c r="U698" i="1103" s="1"/>
  <c r="L698" i="1103"/>
  <c r="M698" i="1103" s="1"/>
  <c r="P698" i="1103"/>
  <c r="Q698" i="1103" s="1"/>
  <c r="H359" i="261"/>
  <c r="X358" i="261"/>
  <c r="Y358" i="261" s="1"/>
  <c r="P358" i="261"/>
  <c r="Q358" i="261" s="1"/>
  <c r="L358" i="261"/>
  <c r="M358" i="261" s="1"/>
  <c r="T358" i="261"/>
  <c r="U358" i="261" s="1"/>
  <c r="H342" i="261"/>
  <c r="P341" i="261"/>
  <c r="Q341" i="261" s="1"/>
  <c r="X341" i="261"/>
  <c r="Y341" i="261" s="1"/>
  <c r="T341" i="261"/>
  <c r="U341" i="261" s="1"/>
  <c r="L341" i="261"/>
  <c r="M341" i="261" s="1"/>
  <c r="H325" i="261"/>
  <c r="X324" i="261"/>
  <c r="Y324" i="261" s="1"/>
  <c r="P324" i="261"/>
  <c r="Q324" i="261" s="1"/>
  <c r="T324" i="261"/>
  <c r="U324" i="261" s="1"/>
  <c r="L324" i="261"/>
  <c r="M324" i="261" s="1"/>
  <c r="H308" i="261"/>
  <c r="X307" i="261"/>
  <c r="Y307" i="261" s="1"/>
  <c r="P307" i="261"/>
  <c r="Q307" i="261" s="1"/>
  <c r="T307" i="261"/>
  <c r="U307" i="261" s="1"/>
  <c r="L307" i="261"/>
  <c r="M307" i="261" s="1"/>
  <c r="H291" i="261"/>
  <c r="X290" i="261"/>
  <c r="Y290" i="261" s="1"/>
  <c r="P290" i="261"/>
  <c r="Q290" i="261" s="1"/>
  <c r="T290" i="261"/>
  <c r="U290" i="261" s="1"/>
  <c r="L290" i="261"/>
  <c r="M290" i="261" s="1"/>
  <c r="H274" i="261"/>
  <c r="X273" i="261"/>
  <c r="Y273" i="261" s="1"/>
  <c r="P273" i="261"/>
  <c r="Q273" i="261" s="1"/>
  <c r="L273" i="261"/>
  <c r="M273" i="261" s="1"/>
  <c r="T273" i="261"/>
  <c r="U273" i="261" s="1"/>
  <c r="H257" i="261"/>
  <c r="L256" i="261"/>
  <c r="M256" i="261" s="1"/>
  <c r="P256" i="261"/>
  <c r="Q256" i="261" s="1"/>
  <c r="T256" i="261"/>
  <c r="U256" i="261" s="1"/>
  <c r="X256" i="261"/>
  <c r="Y256" i="261" s="1"/>
  <c r="H240" i="261"/>
  <c r="L239" i="261"/>
  <c r="M239" i="261" s="1"/>
  <c r="X239" i="261"/>
  <c r="Y239" i="261" s="1"/>
  <c r="T239" i="261"/>
  <c r="U239" i="261" s="1"/>
  <c r="P239" i="261"/>
  <c r="Q239" i="261" s="1"/>
  <c r="H189" i="261"/>
  <c r="P188" i="261"/>
  <c r="Q188" i="261" s="1"/>
  <c r="T188" i="261"/>
  <c r="U188" i="261" s="1"/>
  <c r="X188" i="261"/>
  <c r="Y188" i="261" s="1"/>
  <c r="L188" i="261"/>
  <c r="M188" i="261" s="1"/>
  <c r="H172" i="261"/>
  <c r="X171" i="261"/>
  <c r="Y171" i="261" s="1"/>
  <c r="P171" i="261"/>
  <c r="Q171" i="261" s="1"/>
  <c r="L171" i="261"/>
  <c r="M171" i="261" s="1"/>
  <c r="T171" i="261"/>
  <c r="U171" i="261" s="1"/>
  <c r="H155" i="261"/>
  <c r="X154" i="261"/>
  <c r="Y154" i="261" s="1"/>
  <c r="P154" i="261"/>
  <c r="Q154" i="261" s="1"/>
  <c r="T154" i="261"/>
  <c r="U154" i="261" s="1"/>
  <c r="L154" i="261"/>
  <c r="M154" i="261" s="1"/>
  <c r="H138" i="261"/>
  <c r="X137" i="261"/>
  <c r="Y137" i="261" s="1"/>
  <c r="P137" i="261"/>
  <c r="Q137" i="261" s="1"/>
  <c r="T137" i="261"/>
  <c r="U137" i="261" s="1"/>
  <c r="L137" i="261"/>
  <c r="M137" i="261" s="1"/>
  <c r="H121" i="261"/>
  <c r="X120" i="261"/>
  <c r="Y120" i="261" s="1"/>
  <c r="L120" i="261"/>
  <c r="M120" i="261" s="1"/>
  <c r="T120" i="261"/>
  <c r="U120" i="261" s="1"/>
  <c r="P120" i="261"/>
  <c r="Q120" i="261" s="1"/>
  <c r="M163" i="38"/>
  <c r="R163" i="38"/>
  <c r="U163" i="38"/>
  <c r="K163" i="38"/>
  <c r="Q163" i="38"/>
  <c r="H163" i="38"/>
  <c r="J163" i="38"/>
  <c r="V111" i="38"/>
  <c r="H111" i="38"/>
  <c r="I111" i="38"/>
  <c r="J111" i="38"/>
  <c r="K111" i="38"/>
  <c r="L111" i="38"/>
  <c r="M111" i="38"/>
  <c r="N111" i="38"/>
  <c r="O111" i="38"/>
  <c r="P111" i="38"/>
  <c r="Q111" i="38"/>
  <c r="R111" i="38"/>
  <c r="S111" i="38"/>
  <c r="T111" i="38"/>
  <c r="P163" i="38"/>
  <c r="S163" i="38"/>
  <c r="I163" i="38"/>
  <c r="T163" i="38"/>
  <c r="O163" i="38"/>
  <c r="L163" i="38"/>
  <c r="X703" i="262"/>
  <c r="T703" i="262"/>
  <c r="G625" i="262"/>
  <c r="H720" i="262"/>
  <c r="T720" i="262" s="1"/>
  <c r="G577" i="262"/>
  <c r="AF703" i="262"/>
  <c r="L703" i="262"/>
  <c r="AB703" i="262"/>
  <c r="G529" i="262"/>
  <c r="G609" i="262"/>
  <c r="G673" i="262"/>
  <c r="U124" i="38"/>
  <c r="G513" i="262"/>
  <c r="G657" i="262"/>
  <c r="G642" i="262"/>
  <c r="V736" i="262"/>
  <c r="AH736" i="262"/>
  <c r="R736" i="262"/>
  <c r="G738" i="262"/>
  <c r="G739" i="262"/>
  <c r="G750" i="262"/>
  <c r="G748" i="262"/>
  <c r="G744" i="262"/>
  <c r="G741" i="262"/>
  <c r="G743" i="262"/>
  <c r="G746" i="262"/>
  <c r="G745" i="262"/>
  <c r="G751" i="262"/>
  <c r="V166" i="38" s="1"/>
  <c r="G749" i="262"/>
  <c r="G740" i="262"/>
  <c r="K166" i="38" s="1"/>
  <c r="G747" i="262"/>
  <c r="G742" i="262"/>
  <c r="M166" i="38" s="1"/>
  <c r="G737" i="262"/>
  <c r="AD736" i="262"/>
  <c r="N736" i="262"/>
  <c r="Z736" i="262"/>
  <c r="J736" i="262"/>
  <c r="F165" i="38"/>
  <c r="G562" i="262"/>
  <c r="G545" i="262"/>
  <c r="AC719" i="262"/>
  <c r="AA719" i="262"/>
  <c r="AE719" i="262"/>
  <c r="AG719" i="262"/>
  <c r="AK719" i="262"/>
  <c r="AI719" i="262"/>
  <c r="G595" i="262"/>
  <c r="G690" i="262"/>
  <c r="A770" i="262"/>
  <c r="B753" i="262"/>
  <c r="C753" i="262"/>
  <c r="M719" i="262"/>
  <c r="K719" i="262"/>
  <c r="O719" i="262"/>
  <c r="Q719" i="262"/>
  <c r="U719" i="262"/>
  <c r="S719" i="262"/>
  <c r="W719" i="262"/>
  <c r="Y719" i="262"/>
  <c r="T223" i="261"/>
  <c r="P223" i="261"/>
  <c r="L223" i="261"/>
  <c r="X223" i="261"/>
  <c r="L205" i="261"/>
  <c r="T205" i="261"/>
  <c r="X205" i="261"/>
  <c r="P205" i="261"/>
  <c r="P103" i="261"/>
  <c r="L103" i="261"/>
  <c r="T103" i="261"/>
  <c r="X103" i="261"/>
  <c r="T87" i="261"/>
  <c r="P87" i="261"/>
  <c r="L87" i="261"/>
  <c r="X87" i="261"/>
  <c r="T70" i="261"/>
  <c r="P70" i="261"/>
  <c r="L70" i="261"/>
  <c r="X70" i="261"/>
  <c r="L53" i="261"/>
  <c r="T53" i="261"/>
  <c r="P53" i="261"/>
  <c r="X53" i="261"/>
  <c r="T35" i="261"/>
  <c r="X35" i="261"/>
  <c r="L35" i="261"/>
  <c r="P35" i="261"/>
  <c r="L653" i="262"/>
  <c r="T653" i="262"/>
  <c r="AB653" i="262"/>
  <c r="AJ653" i="262"/>
  <c r="X653" i="262"/>
  <c r="AF653" i="262"/>
  <c r="P653" i="262"/>
  <c r="AJ637" i="262"/>
  <c r="AB637" i="262"/>
  <c r="T637" i="262"/>
  <c r="L637" i="262"/>
  <c r="X637" i="262"/>
  <c r="P637" i="262"/>
  <c r="AF637" i="262"/>
  <c r="AF541" i="262"/>
  <c r="X541" i="262"/>
  <c r="P541" i="262"/>
  <c r="T541" i="262"/>
  <c r="AJ541" i="262"/>
  <c r="L541" i="262"/>
  <c r="AB541" i="262"/>
  <c r="P493" i="262"/>
  <c r="X493" i="262"/>
  <c r="AF493" i="262"/>
  <c r="L493" i="262"/>
  <c r="T493" i="262"/>
  <c r="AB493" i="262"/>
  <c r="AJ493" i="262"/>
  <c r="P557" i="262"/>
  <c r="X557" i="262"/>
  <c r="AF557" i="262"/>
  <c r="AJ557" i="262"/>
  <c r="T557" i="262"/>
  <c r="AB557" i="262"/>
  <c r="L557" i="262"/>
  <c r="AF509" i="262"/>
  <c r="X509" i="262"/>
  <c r="P509" i="262"/>
  <c r="AJ509" i="262"/>
  <c r="AB509" i="262"/>
  <c r="T509" i="262"/>
  <c r="L509" i="262"/>
  <c r="AF605" i="262"/>
  <c r="X605" i="262"/>
  <c r="P605" i="262"/>
  <c r="AJ605" i="262"/>
  <c r="AB605" i="262"/>
  <c r="L605" i="262"/>
  <c r="T605" i="262"/>
  <c r="AF573" i="262"/>
  <c r="X573" i="262"/>
  <c r="P573" i="262"/>
  <c r="AJ573" i="262"/>
  <c r="AB573" i="262"/>
  <c r="T573" i="262"/>
  <c r="L573" i="262"/>
  <c r="P589" i="262"/>
  <c r="X589" i="262"/>
  <c r="AF589" i="262"/>
  <c r="L589" i="262"/>
  <c r="T589" i="262"/>
  <c r="AB589" i="262"/>
  <c r="AJ589" i="262"/>
  <c r="P525" i="262"/>
  <c r="X525" i="262"/>
  <c r="AF525" i="262"/>
  <c r="L525" i="262"/>
  <c r="T525" i="262"/>
  <c r="AB525" i="262"/>
  <c r="AJ525" i="262"/>
  <c r="AF621" i="262"/>
  <c r="P621" i="262"/>
  <c r="X621" i="262"/>
  <c r="L621" i="262"/>
  <c r="T621" i="262"/>
  <c r="AB621" i="262"/>
  <c r="AJ621" i="262"/>
  <c r="P461" i="262"/>
  <c r="X461" i="262"/>
  <c r="AF461" i="262"/>
  <c r="L461" i="262"/>
  <c r="T461" i="262"/>
  <c r="AB461" i="262"/>
  <c r="AJ461" i="262"/>
  <c r="T445" i="262"/>
  <c r="AB445" i="262"/>
  <c r="AJ445" i="262"/>
  <c r="AF445" i="262"/>
  <c r="P445" i="262"/>
  <c r="X445" i="262"/>
  <c r="L445" i="262"/>
  <c r="X477" i="262"/>
  <c r="AF477" i="262"/>
  <c r="P477" i="262"/>
  <c r="AJ477" i="262"/>
  <c r="AB477" i="262"/>
  <c r="T477" i="262"/>
  <c r="L477" i="262"/>
  <c r="B764" i="262"/>
  <c r="B749" i="262"/>
  <c r="B765" i="262"/>
  <c r="B740" i="262"/>
  <c r="B741" i="262"/>
  <c r="B693" i="262"/>
  <c r="B678" i="262"/>
  <c r="B784" i="262"/>
  <c r="B677" i="262"/>
  <c r="H558" i="262"/>
  <c r="H494" i="262"/>
  <c r="H462" i="262"/>
  <c r="U114" i="38" s="1"/>
  <c r="H478" i="262"/>
  <c r="H542" i="262"/>
  <c r="H510" i="262"/>
  <c r="H104" i="261"/>
  <c r="H206" i="261"/>
  <c r="H606" i="262"/>
  <c r="H574" i="262"/>
  <c r="B671" i="262"/>
  <c r="H590" i="262"/>
  <c r="B670" i="262"/>
  <c r="H670" i="262"/>
  <c r="H638" i="262"/>
  <c r="H526" i="262"/>
  <c r="H622" i="262"/>
  <c r="B737" i="262"/>
  <c r="B726" i="262"/>
  <c r="H36" i="261"/>
  <c r="B768" i="262"/>
  <c r="B725" i="262"/>
  <c r="B192" i="38"/>
  <c r="H654" i="262"/>
  <c r="H753" i="262"/>
  <c r="I753" i="262"/>
  <c r="E753" i="262"/>
  <c r="F753" i="262"/>
  <c r="G753" i="262"/>
  <c r="H258" i="1103" l="1"/>
  <c r="T257" i="1103"/>
  <c r="U257" i="1103" s="1"/>
  <c r="L257" i="1103"/>
  <c r="M257" i="1103" s="1"/>
  <c r="P257" i="1103"/>
  <c r="Q257" i="1103" s="1"/>
  <c r="T274" i="1103"/>
  <c r="U274" i="1103" s="1"/>
  <c r="P274" i="1103"/>
  <c r="Q274" i="1103" s="1"/>
  <c r="L274" i="1103"/>
  <c r="M274" i="1103" s="1"/>
  <c r="H275" i="1103"/>
  <c r="U84" i="38"/>
  <c r="T291" i="262"/>
  <c r="AF291" i="262"/>
  <c r="AB291" i="262"/>
  <c r="X291" i="262"/>
  <c r="AJ291" i="262"/>
  <c r="H292" i="262"/>
  <c r="L291" i="262"/>
  <c r="P291" i="262"/>
  <c r="P717" i="1103"/>
  <c r="Q717" i="1103" s="1"/>
  <c r="T717" i="1103"/>
  <c r="U717" i="1103" s="1"/>
  <c r="L717" i="1103"/>
  <c r="M717" i="1103" s="1"/>
  <c r="T309" i="1103"/>
  <c r="U309" i="1103" s="1"/>
  <c r="P309" i="1103"/>
  <c r="Q309" i="1103" s="1"/>
  <c r="L309" i="1103"/>
  <c r="M309" i="1103" s="1"/>
  <c r="U81" i="38"/>
  <c r="AB274" i="262"/>
  <c r="AF274" i="262"/>
  <c r="AJ274" i="262"/>
  <c r="L274" i="262"/>
  <c r="P274" i="262"/>
  <c r="X274" i="262"/>
  <c r="H275" i="262"/>
  <c r="T274" i="262"/>
  <c r="T291" i="1103"/>
  <c r="U291" i="1103" s="1"/>
  <c r="L291" i="1103"/>
  <c r="M291" i="1103" s="1"/>
  <c r="P291" i="1103"/>
  <c r="Q291" i="1103" s="1"/>
  <c r="H292" i="1103"/>
  <c r="T240" i="1103"/>
  <c r="U240" i="1103" s="1"/>
  <c r="L240" i="1103"/>
  <c r="M240" i="1103" s="1"/>
  <c r="P240" i="1103"/>
  <c r="Q240" i="1103" s="1"/>
  <c r="H241" i="1103"/>
  <c r="V87" i="38"/>
  <c r="X309" i="262"/>
  <c r="AJ309" i="262"/>
  <c r="P309" i="262"/>
  <c r="L309" i="262"/>
  <c r="T309" i="262"/>
  <c r="AB309" i="262"/>
  <c r="AF309" i="262"/>
  <c r="U75" i="38"/>
  <c r="P240" i="262"/>
  <c r="L240" i="262"/>
  <c r="X240" i="262"/>
  <c r="AJ240" i="262"/>
  <c r="AB240" i="262"/>
  <c r="AF240" i="262"/>
  <c r="T240" i="262"/>
  <c r="H241" i="262"/>
  <c r="U78" i="38"/>
  <c r="AB257" i="262"/>
  <c r="AF257" i="262"/>
  <c r="AJ257" i="262"/>
  <c r="H258" i="262"/>
  <c r="T257" i="262"/>
  <c r="L257" i="262"/>
  <c r="P257" i="262"/>
  <c r="X257" i="262"/>
  <c r="L733" i="1103"/>
  <c r="M733" i="1103" s="1"/>
  <c r="P733" i="1103"/>
  <c r="Q733" i="1103" s="1"/>
  <c r="H734" i="1103"/>
  <c r="T733" i="1103"/>
  <c r="U733" i="1103" s="1"/>
  <c r="T751" i="1103"/>
  <c r="U751" i="1103" s="1"/>
  <c r="P751" i="1103"/>
  <c r="Q751" i="1103" s="1"/>
  <c r="L751" i="1103"/>
  <c r="M751" i="1103" s="1"/>
  <c r="H700" i="1103"/>
  <c r="T699" i="1103"/>
  <c r="U699" i="1103" s="1"/>
  <c r="L699" i="1103"/>
  <c r="M699" i="1103" s="1"/>
  <c r="P699" i="1103"/>
  <c r="Q699" i="1103" s="1"/>
  <c r="X359" i="261"/>
  <c r="Y359" i="261" s="1"/>
  <c r="P359" i="261"/>
  <c r="Q359" i="261" s="1"/>
  <c r="T359" i="261"/>
  <c r="U359" i="261" s="1"/>
  <c r="L359" i="261"/>
  <c r="M359" i="261" s="1"/>
  <c r="X342" i="261"/>
  <c r="Y342" i="261" s="1"/>
  <c r="P342" i="261"/>
  <c r="Q342" i="261" s="1"/>
  <c r="L342" i="261"/>
  <c r="M342" i="261" s="1"/>
  <c r="T342" i="261"/>
  <c r="U342" i="261" s="1"/>
  <c r="X325" i="261"/>
  <c r="Y325" i="261" s="1"/>
  <c r="P325" i="261"/>
  <c r="Q325" i="261" s="1"/>
  <c r="L325" i="261"/>
  <c r="M325" i="261" s="1"/>
  <c r="T325" i="261"/>
  <c r="U325" i="261" s="1"/>
  <c r="P308" i="261"/>
  <c r="Q308" i="261" s="1"/>
  <c r="X308" i="261"/>
  <c r="Y308" i="261" s="1"/>
  <c r="T308" i="261"/>
  <c r="U308" i="261" s="1"/>
  <c r="L308" i="261"/>
  <c r="M308" i="261" s="1"/>
  <c r="X291" i="261"/>
  <c r="Y291" i="261" s="1"/>
  <c r="P291" i="261"/>
  <c r="Q291" i="261" s="1"/>
  <c r="L291" i="261"/>
  <c r="M291" i="261" s="1"/>
  <c r="T291" i="261"/>
  <c r="U291" i="261" s="1"/>
  <c r="X274" i="261"/>
  <c r="Y274" i="261" s="1"/>
  <c r="P274" i="261"/>
  <c r="Q274" i="261" s="1"/>
  <c r="T274" i="261"/>
  <c r="U274" i="261" s="1"/>
  <c r="L274" i="261"/>
  <c r="M274" i="261" s="1"/>
  <c r="L257" i="261"/>
  <c r="M257" i="261" s="1"/>
  <c r="P257" i="261"/>
  <c r="Q257" i="261" s="1"/>
  <c r="T257" i="261"/>
  <c r="U257" i="261" s="1"/>
  <c r="X257" i="261"/>
  <c r="Y257" i="261" s="1"/>
  <c r="L240" i="261"/>
  <c r="M240" i="261" s="1"/>
  <c r="T240" i="261"/>
  <c r="U240" i="261" s="1"/>
  <c r="X240" i="261"/>
  <c r="Y240" i="261" s="1"/>
  <c r="P240" i="261"/>
  <c r="Q240" i="261" s="1"/>
  <c r="P189" i="261"/>
  <c r="Q189" i="261" s="1"/>
  <c r="T189" i="261"/>
  <c r="U189" i="261" s="1"/>
  <c r="X189" i="261"/>
  <c r="Y189" i="261" s="1"/>
  <c r="L189" i="261"/>
  <c r="M189" i="261" s="1"/>
  <c r="P172" i="261"/>
  <c r="Q172" i="261" s="1"/>
  <c r="X172" i="261"/>
  <c r="Y172" i="261" s="1"/>
  <c r="L172" i="261"/>
  <c r="M172" i="261" s="1"/>
  <c r="T172" i="261"/>
  <c r="U172" i="261" s="1"/>
  <c r="P155" i="261"/>
  <c r="Q155" i="261" s="1"/>
  <c r="X155" i="261"/>
  <c r="Y155" i="261" s="1"/>
  <c r="T155" i="261"/>
  <c r="U155" i="261" s="1"/>
  <c r="L155" i="261"/>
  <c r="M155" i="261" s="1"/>
  <c r="X138" i="261"/>
  <c r="Y138" i="261" s="1"/>
  <c r="P138" i="261"/>
  <c r="Q138" i="261" s="1"/>
  <c r="L138" i="261"/>
  <c r="M138" i="261" s="1"/>
  <c r="T138" i="261"/>
  <c r="U138" i="261" s="1"/>
  <c r="L121" i="261"/>
  <c r="M121" i="261" s="1"/>
  <c r="X121" i="261"/>
  <c r="Y121" i="261" s="1"/>
  <c r="T121" i="261"/>
  <c r="U121" i="261" s="1"/>
  <c r="P121" i="261"/>
  <c r="Q121" i="261" s="1"/>
  <c r="AJ720" i="262"/>
  <c r="X720" i="262"/>
  <c r="AF720" i="262"/>
  <c r="Q166" i="38"/>
  <c r="L166" i="38"/>
  <c r="S166" i="38"/>
  <c r="J166" i="38"/>
  <c r="V114" i="38"/>
  <c r="H114" i="38"/>
  <c r="I114" i="38"/>
  <c r="J114" i="38"/>
  <c r="K114" i="38"/>
  <c r="L114" i="38"/>
  <c r="M114" i="38"/>
  <c r="N114" i="38"/>
  <c r="O114" i="38"/>
  <c r="P114" i="38"/>
  <c r="Q114" i="38"/>
  <c r="R114" i="38"/>
  <c r="S114" i="38"/>
  <c r="T114" i="38"/>
  <c r="H166" i="38"/>
  <c r="R166" i="38"/>
  <c r="T166" i="38"/>
  <c r="P166" i="38"/>
  <c r="N166" i="38"/>
  <c r="O166" i="38"/>
  <c r="U166" i="38"/>
  <c r="I166" i="38"/>
  <c r="V124" i="38"/>
  <c r="H124" i="38"/>
  <c r="I124" i="38"/>
  <c r="J124" i="38"/>
  <c r="K124" i="38"/>
  <c r="L124" i="38"/>
  <c r="M124" i="38"/>
  <c r="N124" i="38"/>
  <c r="O124" i="38"/>
  <c r="P124" i="38"/>
  <c r="Q124" i="38"/>
  <c r="R124" i="38"/>
  <c r="S124" i="38"/>
  <c r="T124" i="38"/>
  <c r="P720" i="262"/>
  <c r="L720" i="262"/>
  <c r="AB720" i="262"/>
  <c r="G626" i="262"/>
  <c r="G578" i="262"/>
  <c r="H737" i="262"/>
  <c r="AJ737" i="262" s="1"/>
  <c r="G530" i="262"/>
  <c r="U127" i="38" s="1"/>
  <c r="G610" i="262"/>
  <c r="G674" i="262"/>
  <c r="G643" i="262"/>
  <c r="G658" i="262"/>
  <c r="V753" i="262"/>
  <c r="AD753" i="262"/>
  <c r="R753" i="262"/>
  <c r="G762" i="262"/>
  <c r="G758" i="262"/>
  <c r="G765" i="262"/>
  <c r="G754" i="262"/>
  <c r="H754" i="262" s="1"/>
  <c r="G756" i="262"/>
  <c r="G759" i="262"/>
  <c r="G768" i="262"/>
  <c r="V169" i="38" s="1"/>
  <c r="AH753" i="262"/>
  <c r="N753" i="262"/>
  <c r="Z753" i="262"/>
  <c r="J753" i="262"/>
  <c r="G763" i="262"/>
  <c r="G761" i="262"/>
  <c r="G757" i="262"/>
  <c r="G767" i="262"/>
  <c r="U169" i="38" s="1"/>
  <c r="G766" i="262"/>
  <c r="T169" i="38" s="1"/>
  <c r="G764" i="262"/>
  <c r="R169" i="38" s="1"/>
  <c r="G760" i="262"/>
  <c r="N169" i="38" s="1"/>
  <c r="G755" i="262"/>
  <c r="I169" i="38" s="1"/>
  <c r="F168" i="38"/>
  <c r="G596" i="262"/>
  <c r="G546" i="262"/>
  <c r="G563" i="262"/>
  <c r="K736" i="262"/>
  <c r="M736" i="262"/>
  <c r="O736" i="262"/>
  <c r="Q736" i="262"/>
  <c r="AK736" i="262"/>
  <c r="AI736" i="262"/>
  <c r="C770" i="262"/>
  <c r="A787" i="262"/>
  <c r="B770" i="262"/>
  <c r="G691" i="262"/>
  <c r="AA736" i="262"/>
  <c r="AC736" i="262"/>
  <c r="AE736" i="262"/>
  <c r="AG736" i="262"/>
  <c r="U736" i="262"/>
  <c r="S736" i="262"/>
  <c r="Y736" i="262"/>
  <c r="W736" i="262"/>
  <c r="T206" i="261"/>
  <c r="P206" i="261"/>
  <c r="L206" i="261"/>
  <c r="X206" i="261"/>
  <c r="P104" i="261"/>
  <c r="L104" i="261"/>
  <c r="T104" i="261"/>
  <c r="X104" i="261"/>
  <c r="T36" i="261"/>
  <c r="X36" i="261"/>
  <c r="L36" i="261"/>
  <c r="P36" i="261"/>
  <c r="L638" i="262"/>
  <c r="T638" i="262"/>
  <c r="AB638" i="262"/>
  <c r="AJ638" i="262"/>
  <c r="AF638" i="262"/>
  <c r="P638" i="262"/>
  <c r="X638" i="262"/>
  <c r="AJ654" i="262"/>
  <c r="AB654" i="262"/>
  <c r="T654" i="262"/>
  <c r="L654" i="262"/>
  <c r="P654" i="262"/>
  <c r="AF654" i="262"/>
  <c r="X654" i="262"/>
  <c r="L670" i="262"/>
  <c r="T670" i="262"/>
  <c r="AB670" i="262"/>
  <c r="AJ670" i="262"/>
  <c r="AF670" i="262"/>
  <c r="P670" i="262"/>
  <c r="X670" i="262"/>
  <c r="X622" i="262"/>
  <c r="P622" i="262"/>
  <c r="AF622" i="262"/>
  <c r="AJ622" i="262"/>
  <c r="AB622" i="262"/>
  <c r="T622" i="262"/>
  <c r="L622" i="262"/>
  <c r="AF526" i="262"/>
  <c r="X526" i="262"/>
  <c r="P526" i="262"/>
  <c r="AJ526" i="262"/>
  <c r="AB526" i="262"/>
  <c r="T526" i="262"/>
  <c r="L526" i="262"/>
  <c r="AF590" i="262"/>
  <c r="X590" i="262"/>
  <c r="P590" i="262"/>
  <c r="AJ590" i="262"/>
  <c r="AB590" i="262"/>
  <c r="T590" i="262"/>
  <c r="L590" i="262"/>
  <c r="P574" i="262"/>
  <c r="X574" i="262"/>
  <c r="AF574" i="262"/>
  <c r="L574" i="262"/>
  <c r="T574" i="262"/>
  <c r="AB574" i="262"/>
  <c r="AJ574" i="262"/>
  <c r="P510" i="262"/>
  <c r="X510" i="262"/>
  <c r="AF510" i="262"/>
  <c r="L510" i="262"/>
  <c r="T510" i="262"/>
  <c r="AB510" i="262"/>
  <c r="AJ510" i="262"/>
  <c r="AF558" i="262"/>
  <c r="X558" i="262"/>
  <c r="P558" i="262"/>
  <c r="L558" i="262"/>
  <c r="AB558" i="262"/>
  <c r="T558" i="262"/>
  <c r="AJ558" i="262"/>
  <c r="P606" i="262"/>
  <c r="X606" i="262"/>
  <c r="AF606" i="262"/>
  <c r="AB606" i="262"/>
  <c r="AJ606" i="262"/>
  <c r="T606" i="262"/>
  <c r="L606" i="262"/>
  <c r="P542" i="262"/>
  <c r="X542" i="262"/>
  <c r="AF542" i="262"/>
  <c r="AB542" i="262"/>
  <c r="L542" i="262"/>
  <c r="AJ542" i="262"/>
  <c r="T542" i="262"/>
  <c r="AF494" i="262"/>
  <c r="X494" i="262"/>
  <c r="P494" i="262"/>
  <c r="AJ494" i="262"/>
  <c r="AB494" i="262"/>
  <c r="T494" i="262"/>
  <c r="L494" i="262"/>
  <c r="L478" i="262"/>
  <c r="T478" i="262"/>
  <c r="AB478" i="262"/>
  <c r="AJ478" i="262"/>
  <c r="P478" i="262"/>
  <c r="AF478" i="262"/>
  <c r="X478" i="262"/>
  <c r="AF462" i="262"/>
  <c r="P462" i="262"/>
  <c r="AJ462" i="262"/>
  <c r="T462" i="262"/>
  <c r="AB462" i="262"/>
  <c r="L462" i="262"/>
  <c r="X462" i="262"/>
  <c r="B781" i="262"/>
  <c r="B766" i="262"/>
  <c r="B782" i="262"/>
  <c r="B757" i="262"/>
  <c r="B694" i="262"/>
  <c r="B695" i="262"/>
  <c r="B710" i="262"/>
  <c r="B801" i="262"/>
  <c r="B758" i="262"/>
  <c r="H655" i="262"/>
  <c r="B754" i="262"/>
  <c r="H623" i="262"/>
  <c r="H671" i="262"/>
  <c r="B688" i="262"/>
  <c r="H575" i="262"/>
  <c r="H511" i="262"/>
  <c r="H543" i="262"/>
  <c r="H479" i="262"/>
  <c r="H495" i="262"/>
  <c r="B742" i="262"/>
  <c r="B785" i="262"/>
  <c r="B743" i="262"/>
  <c r="H527" i="262"/>
  <c r="H639" i="262"/>
  <c r="B687" i="262"/>
  <c r="H687" i="262"/>
  <c r="H591" i="262"/>
  <c r="H607" i="262"/>
  <c r="H559" i="262"/>
  <c r="H770" i="262"/>
  <c r="G770" i="262"/>
  <c r="F770" i="262"/>
  <c r="E770" i="262"/>
  <c r="I770" i="262"/>
  <c r="L241" i="1103" l="1"/>
  <c r="M241" i="1103" s="1"/>
  <c r="P241" i="1103"/>
  <c r="Q241" i="1103" s="1"/>
  <c r="T241" i="1103"/>
  <c r="U241" i="1103" s="1"/>
  <c r="L292" i="1103"/>
  <c r="M292" i="1103" s="1"/>
  <c r="T292" i="1103"/>
  <c r="U292" i="1103" s="1"/>
  <c r="P292" i="1103"/>
  <c r="Q292" i="1103" s="1"/>
  <c r="L275" i="1103"/>
  <c r="M275" i="1103" s="1"/>
  <c r="P275" i="1103"/>
  <c r="Q275" i="1103" s="1"/>
  <c r="T275" i="1103"/>
  <c r="U275" i="1103" s="1"/>
  <c r="V81" i="38"/>
  <c r="AB275" i="262"/>
  <c r="AJ275" i="262"/>
  <c r="L275" i="262"/>
  <c r="T275" i="262"/>
  <c r="P275" i="262"/>
  <c r="AF275" i="262"/>
  <c r="X275" i="262"/>
  <c r="V84" i="38"/>
  <c r="AB292" i="262"/>
  <c r="L292" i="262"/>
  <c r="T292" i="262"/>
  <c r="P292" i="262"/>
  <c r="AJ292" i="262"/>
  <c r="X292" i="262"/>
  <c r="AF292" i="262"/>
  <c r="V78" i="38"/>
  <c r="AJ258" i="262"/>
  <c r="AF258" i="262"/>
  <c r="T258" i="262"/>
  <c r="X258" i="262"/>
  <c r="AB258" i="262"/>
  <c r="P258" i="262"/>
  <c r="L258" i="262"/>
  <c r="T734" i="1103"/>
  <c r="U734" i="1103" s="1"/>
  <c r="L734" i="1103"/>
  <c r="M734" i="1103" s="1"/>
  <c r="P734" i="1103"/>
  <c r="Q734" i="1103" s="1"/>
  <c r="V75" i="38"/>
  <c r="P241" i="262"/>
  <c r="AJ241" i="262"/>
  <c r="AB241" i="262"/>
  <c r="X241" i="262"/>
  <c r="AF241" i="262"/>
  <c r="T241" i="262"/>
  <c r="L241" i="262"/>
  <c r="L258" i="1103"/>
  <c r="M258" i="1103" s="1"/>
  <c r="P258" i="1103"/>
  <c r="Q258" i="1103" s="1"/>
  <c r="T258" i="1103"/>
  <c r="U258" i="1103" s="1"/>
  <c r="T700" i="1103"/>
  <c r="U700" i="1103" s="1"/>
  <c r="L700" i="1103"/>
  <c r="M700" i="1103" s="1"/>
  <c r="P700" i="1103"/>
  <c r="Q700" i="1103" s="1"/>
  <c r="X737" i="262"/>
  <c r="T737" i="262"/>
  <c r="P737" i="262"/>
  <c r="K169" i="38"/>
  <c r="Q169" i="38"/>
  <c r="M169" i="38"/>
  <c r="O169" i="38"/>
  <c r="H169" i="38"/>
  <c r="V117" i="38"/>
  <c r="H117" i="38"/>
  <c r="I117" i="38"/>
  <c r="J117" i="38"/>
  <c r="K117" i="38"/>
  <c r="L117" i="38"/>
  <c r="M117" i="38"/>
  <c r="N117" i="38"/>
  <c r="O117" i="38"/>
  <c r="P117" i="38"/>
  <c r="Q117" i="38"/>
  <c r="R117" i="38"/>
  <c r="S117" i="38"/>
  <c r="T117" i="38"/>
  <c r="J169" i="38"/>
  <c r="S169" i="38"/>
  <c r="P169" i="38"/>
  <c r="L169" i="38"/>
  <c r="V127" i="38"/>
  <c r="H127" i="38"/>
  <c r="I127" i="38"/>
  <c r="J127" i="38"/>
  <c r="K127" i="38"/>
  <c r="L127" i="38"/>
  <c r="M127" i="38"/>
  <c r="N127" i="38"/>
  <c r="O127" i="38"/>
  <c r="P127" i="38"/>
  <c r="Q127" i="38"/>
  <c r="R127" i="38"/>
  <c r="S127" i="38"/>
  <c r="T127" i="38"/>
  <c r="U117" i="38"/>
  <c r="G627" i="262"/>
  <c r="G579" i="262"/>
  <c r="AF737" i="262"/>
  <c r="L737" i="262"/>
  <c r="AB737" i="262"/>
  <c r="G611" i="262"/>
  <c r="G675" i="262"/>
  <c r="G659" i="262"/>
  <c r="G644" i="262"/>
  <c r="V770" i="262"/>
  <c r="AH770" i="262"/>
  <c r="R770" i="262"/>
  <c r="G780" i="262"/>
  <c r="G782" i="262"/>
  <c r="G784" i="262"/>
  <c r="G776" i="262"/>
  <c r="G779" i="262"/>
  <c r="G778" i="262"/>
  <c r="G775" i="262"/>
  <c r="G771" i="262"/>
  <c r="H771" i="262" s="1"/>
  <c r="G774" i="262"/>
  <c r="G781" i="262"/>
  <c r="G772" i="262"/>
  <c r="G777" i="262"/>
  <c r="N172" i="38" s="1"/>
  <c r="G773" i="262"/>
  <c r="AD770" i="262"/>
  <c r="N770" i="262"/>
  <c r="Z770" i="262"/>
  <c r="J770" i="262"/>
  <c r="G783" i="262"/>
  <c r="T172" i="38" s="1"/>
  <c r="G785" i="262"/>
  <c r="V172" i="38" s="1"/>
  <c r="F171" i="38"/>
  <c r="B787" i="262"/>
  <c r="C787" i="262"/>
  <c r="A804" i="262"/>
  <c r="G564" i="262"/>
  <c r="G547" i="262"/>
  <c r="G597" i="262"/>
  <c r="M753" i="262"/>
  <c r="K753" i="262"/>
  <c r="O753" i="262"/>
  <c r="Q753" i="262"/>
  <c r="AG753" i="262"/>
  <c r="AE753" i="262"/>
  <c r="G692" i="262"/>
  <c r="AA753" i="262"/>
  <c r="AC753" i="262"/>
  <c r="AI753" i="262"/>
  <c r="AK753" i="262"/>
  <c r="U753" i="262"/>
  <c r="S753" i="262"/>
  <c r="W753" i="262"/>
  <c r="Y753" i="262"/>
  <c r="P687" i="262"/>
  <c r="X687" i="262"/>
  <c r="AF687" i="262"/>
  <c r="AB687" i="262"/>
  <c r="L687" i="262"/>
  <c r="AJ687" i="262"/>
  <c r="T687" i="262"/>
  <c r="AJ639" i="262"/>
  <c r="AB639" i="262"/>
  <c r="T639" i="262"/>
  <c r="L639" i="262"/>
  <c r="X639" i="262"/>
  <c r="P639" i="262"/>
  <c r="AF639" i="262"/>
  <c r="AJ671" i="262"/>
  <c r="AB671" i="262"/>
  <c r="T671" i="262"/>
  <c r="L671" i="262"/>
  <c r="X671" i="262"/>
  <c r="P671" i="262"/>
  <c r="AF671" i="262"/>
  <c r="AJ754" i="262"/>
  <c r="AB754" i="262"/>
  <c r="T754" i="262"/>
  <c r="L754" i="262"/>
  <c r="X754" i="262"/>
  <c r="P754" i="262"/>
  <c r="AF754" i="262"/>
  <c r="L655" i="262"/>
  <c r="T655" i="262"/>
  <c r="AB655" i="262"/>
  <c r="AJ655" i="262"/>
  <c r="X655" i="262"/>
  <c r="AF655" i="262"/>
  <c r="P655" i="262"/>
  <c r="P559" i="262"/>
  <c r="X559" i="262"/>
  <c r="AF559" i="262"/>
  <c r="AJ559" i="262"/>
  <c r="T559" i="262"/>
  <c r="AB559" i="262"/>
  <c r="L559" i="262"/>
  <c r="AF607" i="262"/>
  <c r="X607" i="262"/>
  <c r="P607" i="262"/>
  <c r="AJ607" i="262"/>
  <c r="AB607" i="262"/>
  <c r="L607" i="262"/>
  <c r="T607" i="262"/>
  <c r="P591" i="262"/>
  <c r="X591" i="262"/>
  <c r="AF591" i="262"/>
  <c r="L591" i="262"/>
  <c r="T591" i="262"/>
  <c r="AB591" i="262"/>
  <c r="AJ591" i="262"/>
  <c r="P495" i="262"/>
  <c r="X495" i="262"/>
  <c r="AF495" i="262"/>
  <c r="L495" i="262"/>
  <c r="T495" i="262"/>
  <c r="AB495" i="262"/>
  <c r="AJ495" i="262"/>
  <c r="AF543" i="262"/>
  <c r="X543" i="262"/>
  <c r="P543" i="262"/>
  <c r="T543" i="262"/>
  <c r="AJ543" i="262"/>
  <c r="L543" i="262"/>
  <c r="AB543" i="262"/>
  <c r="AF575" i="262"/>
  <c r="X575" i="262"/>
  <c r="P575" i="262"/>
  <c r="AJ575" i="262"/>
  <c r="AB575" i="262"/>
  <c r="T575" i="262"/>
  <c r="L575" i="262"/>
  <c r="P527" i="262"/>
  <c r="X527" i="262"/>
  <c r="AF527" i="262"/>
  <c r="L527" i="262"/>
  <c r="T527" i="262"/>
  <c r="AB527" i="262"/>
  <c r="AJ527" i="262"/>
  <c r="AF511" i="262"/>
  <c r="X511" i="262"/>
  <c r="P511" i="262"/>
  <c r="AJ511" i="262"/>
  <c r="AB511" i="262"/>
  <c r="T511" i="262"/>
  <c r="L511" i="262"/>
  <c r="L623" i="262"/>
  <c r="T623" i="262"/>
  <c r="AB623" i="262"/>
  <c r="AJ623" i="262"/>
  <c r="AF623" i="262"/>
  <c r="P623" i="262"/>
  <c r="X623" i="262"/>
  <c r="AJ479" i="262"/>
  <c r="T479" i="262"/>
  <c r="X479" i="262"/>
  <c r="P479" i="262"/>
  <c r="AF479" i="262"/>
  <c r="AB479" i="262"/>
  <c r="L479" i="262"/>
  <c r="B798" i="262"/>
  <c r="B783" i="262"/>
  <c r="B799" i="262"/>
  <c r="B774" i="262"/>
  <c r="B818" i="262"/>
  <c r="B727" i="262"/>
  <c r="B712" i="262"/>
  <c r="B711" i="262"/>
  <c r="B775" i="262"/>
  <c r="H608" i="262"/>
  <c r="B704" i="262"/>
  <c r="H704" i="262"/>
  <c r="H640" i="262"/>
  <c r="H528" i="262"/>
  <c r="B802" i="262"/>
  <c r="B759" i="262"/>
  <c r="H512" i="262"/>
  <c r="H672" i="262"/>
  <c r="H560" i="262"/>
  <c r="H592" i="262"/>
  <c r="H688" i="262"/>
  <c r="B760" i="262"/>
  <c r="H496" i="262"/>
  <c r="H544" i="262"/>
  <c r="H576" i="262"/>
  <c r="B705" i="262"/>
  <c r="H624" i="262"/>
  <c r="B771" i="262"/>
  <c r="H656" i="262"/>
  <c r="I787" i="262"/>
  <c r="E787" i="262"/>
  <c r="H787" i="262"/>
  <c r="F787" i="262"/>
  <c r="G787" i="262"/>
  <c r="R172" i="38" l="1"/>
  <c r="H172" i="38"/>
  <c r="V120" i="38"/>
  <c r="H120" i="38"/>
  <c r="I120" i="38"/>
  <c r="J120" i="38"/>
  <c r="K120" i="38"/>
  <c r="L120" i="38"/>
  <c r="M120" i="38"/>
  <c r="N120" i="38"/>
  <c r="O120" i="38"/>
  <c r="P120" i="38"/>
  <c r="Q120" i="38"/>
  <c r="R120" i="38"/>
  <c r="S120" i="38"/>
  <c r="T120" i="38"/>
  <c r="V130" i="38"/>
  <c r="H130" i="38"/>
  <c r="I130" i="38"/>
  <c r="J130" i="38"/>
  <c r="K130" i="38"/>
  <c r="L130" i="38"/>
  <c r="M130" i="38"/>
  <c r="N130" i="38"/>
  <c r="O130" i="38"/>
  <c r="P130" i="38"/>
  <c r="Q130" i="38"/>
  <c r="R130" i="38"/>
  <c r="S130" i="38"/>
  <c r="T130" i="38"/>
  <c r="V133" i="38"/>
  <c r="I133" i="38"/>
  <c r="H133" i="38"/>
  <c r="J133" i="38"/>
  <c r="K133" i="38"/>
  <c r="L133" i="38"/>
  <c r="M133" i="38"/>
  <c r="N133" i="38"/>
  <c r="O133" i="38"/>
  <c r="P133" i="38"/>
  <c r="Q133" i="38"/>
  <c r="R133" i="38"/>
  <c r="S133" i="38"/>
  <c r="T133" i="38"/>
  <c r="O172" i="38"/>
  <c r="M172" i="38"/>
  <c r="S172" i="38"/>
  <c r="U120" i="38"/>
  <c r="U130" i="38"/>
  <c r="U133" i="38"/>
  <c r="J172" i="38"/>
  <c r="I172" i="38"/>
  <c r="K172" i="38"/>
  <c r="L172" i="38"/>
  <c r="P172" i="38"/>
  <c r="U172" i="38"/>
  <c r="Q172" i="38"/>
  <c r="G628" i="262"/>
  <c r="G580" i="262"/>
  <c r="G612" i="262"/>
  <c r="G676" i="262"/>
  <c r="G645" i="262"/>
  <c r="G660" i="262"/>
  <c r="V787" i="262"/>
  <c r="AH787" i="262"/>
  <c r="R787" i="262"/>
  <c r="G795" i="262"/>
  <c r="G792" i="262"/>
  <c r="G794" i="262"/>
  <c r="G800" i="262"/>
  <c r="G799" i="262"/>
  <c r="G791" i="262"/>
  <c r="G789" i="262"/>
  <c r="AD787" i="262"/>
  <c r="N787" i="262"/>
  <c r="Z787" i="262"/>
  <c r="J787" i="262"/>
  <c r="G796" i="262"/>
  <c r="G797" i="262"/>
  <c r="G802" i="262"/>
  <c r="V175" i="38" s="1"/>
  <c r="G793" i="262"/>
  <c r="G788" i="262"/>
  <c r="H175" i="38" s="1"/>
  <c r="G801" i="262"/>
  <c r="U175" i="38" s="1"/>
  <c r="G790" i="262"/>
  <c r="G798" i="262"/>
  <c r="R175" i="38" s="1"/>
  <c r="F174" i="38"/>
  <c r="G598" i="262"/>
  <c r="U139" i="38"/>
  <c r="K770" i="262"/>
  <c r="M770" i="262"/>
  <c r="Q770" i="262"/>
  <c r="O770" i="262"/>
  <c r="AI770" i="262"/>
  <c r="AK770" i="262"/>
  <c r="G693" i="262"/>
  <c r="B804" i="262"/>
  <c r="C804" i="262"/>
  <c r="A821" i="262"/>
  <c r="AA770" i="262"/>
  <c r="AC770" i="262"/>
  <c r="AG770" i="262"/>
  <c r="AE770" i="262"/>
  <c r="S770" i="262"/>
  <c r="U770" i="262"/>
  <c r="Y770" i="262"/>
  <c r="W770" i="262"/>
  <c r="AJ771" i="262"/>
  <c r="AB771" i="262"/>
  <c r="T771" i="262"/>
  <c r="L771" i="262"/>
  <c r="P771" i="262"/>
  <c r="AF771" i="262"/>
  <c r="X771" i="262"/>
  <c r="AJ656" i="262"/>
  <c r="AB656" i="262"/>
  <c r="T656" i="262"/>
  <c r="L656" i="262"/>
  <c r="P656" i="262"/>
  <c r="AF656" i="262"/>
  <c r="X656" i="262"/>
  <c r="AF688" i="262"/>
  <c r="X688" i="262"/>
  <c r="P688" i="262"/>
  <c r="T688" i="262"/>
  <c r="AJ688" i="262"/>
  <c r="L688" i="262"/>
  <c r="AB688" i="262"/>
  <c r="L640" i="262"/>
  <c r="T640" i="262"/>
  <c r="AB640" i="262"/>
  <c r="AJ640" i="262"/>
  <c r="AF640" i="262"/>
  <c r="P640" i="262"/>
  <c r="X640" i="262"/>
  <c r="L672" i="262"/>
  <c r="T672" i="262"/>
  <c r="AB672" i="262"/>
  <c r="AJ672" i="262"/>
  <c r="AF672" i="262"/>
  <c r="P672" i="262"/>
  <c r="X672" i="262"/>
  <c r="P704" i="262"/>
  <c r="X704" i="262"/>
  <c r="AF704" i="262"/>
  <c r="L704" i="262"/>
  <c r="T704" i="262"/>
  <c r="AB704" i="262"/>
  <c r="AJ704" i="262"/>
  <c r="P576" i="262"/>
  <c r="X576" i="262"/>
  <c r="AF576" i="262"/>
  <c r="L576" i="262"/>
  <c r="T576" i="262"/>
  <c r="AB576" i="262"/>
  <c r="AJ576" i="262"/>
  <c r="P544" i="262"/>
  <c r="X544" i="262"/>
  <c r="AF544" i="262"/>
  <c r="AB544" i="262"/>
  <c r="L544" i="262"/>
  <c r="AJ544" i="262"/>
  <c r="T544" i="262"/>
  <c r="AF592" i="262"/>
  <c r="X592" i="262"/>
  <c r="P592" i="262"/>
  <c r="AJ592" i="262"/>
  <c r="AB592" i="262"/>
  <c r="T592" i="262"/>
  <c r="L592" i="262"/>
  <c r="AF560" i="262"/>
  <c r="X560" i="262"/>
  <c r="P560" i="262"/>
  <c r="L560" i="262"/>
  <c r="AB560" i="262"/>
  <c r="T560" i="262"/>
  <c r="AJ560" i="262"/>
  <c r="AF528" i="262"/>
  <c r="X528" i="262"/>
  <c r="P528" i="262"/>
  <c r="AJ528" i="262"/>
  <c r="AB528" i="262"/>
  <c r="T528" i="262"/>
  <c r="L528" i="262"/>
  <c r="AJ624" i="262"/>
  <c r="AB624" i="262"/>
  <c r="T624" i="262"/>
  <c r="L624" i="262"/>
  <c r="X624" i="262"/>
  <c r="P624" i="262"/>
  <c r="AF624" i="262"/>
  <c r="AF496" i="262"/>
  <c r="P496" i="262"/>
  <c r="AJ496" i="262"/>
  <c r="T496" i="262"/>
  <c r="X496" i="262"/>
  <c r="AB496" i="262"/>
  <c r="L496" i="262"/>
  <c r="P512" i="262"/>
  <c r="X512" i="262"/>
  <c r="AF512" i="262"/>
  <c r="L512" i="262"/>
  <c r="T512" i="262"/>
  <c r="AB512" i="262"/>
  <c r="AJ512" i="262"/>
  <c r="P608" i="262"/>
  <c r="X608" i="262"/>
  <c r="AF608" i="262"/>
  <c r="AB608" i="262"/>
  <c r="AJ608" i="262"/>
  <c r="T608" i="262"/>
  <c r="L608" i="262"/>
  <c r="B815" i="262"/>
  <c r="B800" i="262"/>
  <c r="B816" i="262"/>
  <c r="B791" i="262"/>
  <c r="B729" i="262"/>
  <c r="B744" i="262"/>
  <c r="B792" i="262"/>
  <c r="B728" i="262"/>
  <c r="B835" i="262"/>
  <c r="B788" i="262"/>
  <c r="H625" i="262"/>
  <c r="B722" i="262"/>
  <c r="H577" i="262"/>
  <c r="H561" i="262"/>
  <c r="B819" i="262"/>
  <c r="H529" i="262"/>
  <c r="H641" i="262"/>
  <c r="H705" i="262"/>
  <c r="B721" i="262"/>
  <c r="H721" i="262"/>
  <c r="H657" i="262"/>
  <c r="H545" i="262"/>
  <c r="B777" i="262"/>
  <c r="H689" i="262"/>
  <c r="H593" i="262"/>
  <c r="H673" i="262"/>
  <c r="H513" i="262"/>
  <c r="U123" i="38" s="1"/>
  <c r="B776" i="262"/>
  <c r="H609" i="262"/>
  <c r="G804" i="262"/>
  <c r="E804" i="262"/>
  <c r="I804" i="262"/>
  <c r="H804" i="262"/>
  <c r="F804" i="262"/>
  <c r="H788" i="262" l="1"/>
  <c r="AF788" i="262" s="1"/>
  <c r="M175" i="38"/>
  <c r="Q175" i="38"/>
  <c r="J175" i="38"/>
  <c r="P175" i="38"/>
  <c r="K175" i="38"/>
  <c r="T175" i="38"/>
  <c r="L175" i="38"/>
  <c r="V123" i="38"/>
  <c r="H123" i="38"/>
  <c r="I123" i="38"/>
  <c r="J123" i="38"/>
  <c r="K123" i="38"/>
  <c r="L123" i="38"/>
  <c r="M123" i="38"/>
  <c r="N123" i="38"/>
  <c r="O123" i="38"/>
  <c r="P123" i="38"/>
  <c r="Q123" i="38"/>
  <c r="R123" i="38"/>
  <c r="S123" i="38"/>
  <c r="T123" i="38"/>
  <c r="V139" i="38"/>
  <c r="I139" i="38"/>
  <c r="H139" i="38"/>
  <c r="J139" i="38"/>
  <c r="K139" i="38"/>
  <c r="L139" i="38"/>
  <c r="M139" i="38"/>
  <c r="N139" i="38"/>
  <c r="O139" i="38"/>
  <c r="P139" i="38"/>
  <c r="Q139" i="38"/>
  <c r="R139" i="38"/>
  <c r="S139" i="38"/>
  <c r="T139" i="38"/>
  <c r="I175" i="38"/>
  <c r="S175" i="38"/>
  <c r="N175" i="38"/>
  <c r="O175" i="38"/>
  <c r="G629" i="262"/>
  <c r="U136" i="38"/>
  <c r="G581" i="262"/>
  <c r="G613" i="262"/>
  <c r="G677" i="262"/>
  <c r="G661" i="262"/>
  <c r="G646" i="262"/>
  <c r="V804" i="262"/>
  <c r="AH804" i="262"/>
  <c r="R804" i="262"/>
  <c r="G807" i="262"/>
  <c r="G818" i="262"/>
  <c r="U178" i="38" s="1"/>
  <c r="G819" i="262"/>
  <c r="V178" i="38" s="1"/>
  <c r="G816" i="262"/>
  <c r="S178" i="38" s="1"/>
  <c r="G806" i="262"/>
  <c r="G810" i="262"/>
  <c r="G808" i="262"/>
  <c r="K178" i="38" s="1"/>
  <c r="G812" i="262"/>
  <c r="G815" i="262"/>
  <c r="G814" i="262"/>
  <c r="G809" i="262"/>
  <c r="L178" i="38" s="1"/>
  <c r="G811" i="262"/>
  <c r="N178" i="38" s="1"/>
  <c r="G805" i="262"/>
  <c r="H178" i="38" s="1"/>
  <c r="G817" i="262"/>
  <c r="T178" i="38" s="1"/>
  <c r="G813" i="262"/>
  <c r="AD804" i="262"/>
  <c r="N804" i="262"/>
  <c r="Z804" i="262"/>
  <c r="J804" i="262"/>
  <c r="F177" i="38"/>
  <c r="K787" i="262"/>
  <c r="M787" i="262"/>
  <c r="Q787" i="262"/>
  <c r="O787" i="262"/>
  <c r="AI787" i="262"/>
  <c r="AK787" i="262"/>
  <c r="B821" i="262"/>
  <c r="C821" i="262"/>
  <c r="A838" i="262"/>
  <c r="G694" i="262"/>
  <c r="AA787" i="262"/>
  <c r="AC787" i="262"/>
  <c r="AG787" i="262"/>
  <c r="AE787" i="262"/>
  <c r="S787" i="262"/>
  <c r="U787" i="262"/>
  <c r="Y787" i="262"/>
  <c r="W787" i="262"/>
  <c r="T788" i="262"/>
  <c r="AJ673" i="262"/>
  <c r="AB673" i="262"/>
  <c r="T673" i="262"/>
  <c r="L673" i="262"/>
  <c r="X673" i="262"/>
  <c r="P673" i="262"/>
  <c r="AF673" i="262"/>
  <c r="P689" i="262"/>
  <c r="X689" i="262"/>
  <c r="AF689" i="262"/>
  <c r="AB689" i="262"/>
  <c r="L689" i="262"/>
  <c r="AJ689" i="262"/>
  <c r="T689" i="262"/>
  <c r="L657" i="262"/>
  <c r="T657" i="262"/>
  <c r="AB657" i="262"/>
  <c r="AJ657" i="262"/>
  <c r="X657" i="262"/>
  <c r="AF657" i="262"/>
  <c r="P657" i="262"/>
  <c r="P721" i="262"/>
  <c r="X721" i="262"/>
  <c r="AF721" i="262"/>
  <c r="L721" i="262"/>
  <c r="T721" i="262"/>
  <c r="AB721" i="262"/>
  <c r="AJ721" i="262"/>
  <c r="AJ641" i="262"/>
  <c r="AB641" i="262"/>
  <c r="T641" i="262"/>
  <c r="L641" i="262"/>
  <c r="X641" i="262"/>
  <c r="P641" i="262"/>
  <c r="AF641" i="262"/>
  <c r="AJ705" i="262"/>
  <c r="AB705" i="262"/>
  <c r="T705" i="262"/>
  <c r="L705" i="262"/>
  <c r="AF705" i="262"/>
  <c r="X705" i="262"/>
  <c r="P705" i="262"/>
  <c r="P561" i="262"/>
  <c r="X561" i="262"/>
  <c r="AF561" i="262"/>
  <c r="AJ561" i="262"/>
  <c r="T561" i="262"/>
  <c r="AB561" i="262"/>
  <c r="L561" i="262"/>
  <c r="T625" i="262"/>
  <c r="AJ625" i="262"/>
  <c r="L625" i="262"/>
  <c r="AB625" i="262"/>
  <c r="AF625" i="262"/>
  <c r="P625" i="262"/>
  <c r="X625" i="262"/>
  <c r="AF609" i="262"/>
  <c r="X609" i="262"/>
  <c r="P609" i="262"/>
  <c r="AJ609" i="262"/>
  <c r="AB609" i="262"/>
  <c r="L609" i="262"/>
  <c r="T609" i="262"/>
  <c r="X513" i="262"/>
  <c r="AB513" i="262"/>
  <c r="L513" i="262"/>
  <c r="AF513" i="262"/>
  <c r="P513" i="262"/>
  <c r="AJ513" i="262"/>
  <c r="T513" i="262"/>
  <c r="P593" i="262"/>
  <c r="X593" i="262"/>
  <c r="AF593" i="262"/>
  <c r="L593" i="262"/>
  <c r="T593" i="262"/>
  <c r="AB593" i="262"/>
  <c r="AJ593" i="262"/>
  <c r="AF545" i="262"/>
  <c r="X545" i="262"/>
  <c r="P545" i="262"/>
  <c r="T545" i="262"/>
  <c r="AJ545" i="262"/>
  <c r="L545" i="262"/>
  <c r="AB545" i="262"/>
  <c r="P529" i="262"/>
  <c r="X529" i="262"/>
  <c r="AF529" i="262"/>
  <c r="L529" i="262"/>
  <c r="T529" i="262"/>
  <c r="AB529" i="262"/>
  <c r="AJ529" i="262"/>
  <c r="AF577" i="262"/>
  <c r="X577" i="262"/>
  <c r="P577" i="262"/>
  <c r="AJ577" i="262"/>
  <c r="AB577" i="262"/>
  <c r="T577" i="262"/>
  <c r="L577" i="262"/>
  <c r="B832" i="262"/>
  <c r="B817" i="262"/>
  <c r="B833" i="262"/>
  <c r="B808" i="262"/>
  <c r="B745" i="262"/>
  <c r="B746" i="262"/>
  <c r="B852" i="262"/>
  <c r="B809" i="262"/>
  <c r="B761" i="262"/>
  <c r="H610" i="262"/>
  <c r="H594" i="262"/>
  <c r="B794" i="262"/>
  <c r="H546" i="262"/>
  <c r="H706" i="262"/>
  <c r="B836" i="262"/>
  <c r="H578" i="262"/>
  <c r="B739" i="262"/>
  <c r="H626" i="262"/>
  <c r="B793" i="262"/>
  <c r="H674" i="262"/>
  <c r="H690" i="262"/>
  <c r="H658" i="262"/>
  <c r="H722" i="262"/>
  <c r="B738" i="262"/>
  <c r="H738" i="262"/>
  <c r="H642" i="262"/>
  <c r="H530" i="262"/>
  <c r="H562" i="262"/>
  <c r="B805" i="262"/>
  <c r="E821" i="262"/>
  <c r="H821" i="262"/>
  <c r="F821" i="262"/>
  <c r="G821" i="262"/>
  <c r="I821" i="262"/>
  <c r="L788" i="262" l="1"/>
  <c r="X788" i="262"/>
  <c r="AJ788" i="262"/>
  <c r="AB788" i="262"/>
  <c r="P788" i="262"/>
  <c r="P178" i="38"/>
  <c r="I178" i="38"/>
  <c r="M178" i="38"/>
  <c r="O178" i="38"/>
  <c r="Q178" i="38"/>
  <c r="R178" i="38"/>
  <c r="J178" i="38"/>
  <c r="V136" i="38"/>
  <c r="H136" i="38"/>
  <c r="I136" i="38"/>
  <c r="J136" i="38"/>
  <c r="K136" i="38"/>
  <c r="L136" i="38"/>
  <c r="M136" i="38"/>
  <c r="N136" i="38"/>
  <c r="O136" i="38"/>
  <c r="P136" i="38"/>
  <c r="Q136" i="38"/>
  <c r="R136" i="38"/>
  <c r="S136" i="38"/>
  <c r="T136" i="38"/>
  <c r="V126" i="38"/>
  <c r="H126" i="38"/>
  <c r="I126" i="38"/>
  <c r="J126" i="38"/>
  <c r="K126" i="38"/>
  <c r="L126" i="38"/>
  <c r="M126" i="38"/>
  <c r="N126" i="38"/>
  <c r="O126" i="38"/>
  <c r="P126" i="38"/>
  <c r="Q126" i="38"/>
  <c r="R126" i="38"/>
  <c r="S126" i="38"/>
  <c r="T126" i="38"/>
  <c r="U126" i="38"/>
  <c r="G630" i="262"/>
  <c r="H805" i="262"/>
  <c r="AJ805" i="262" s="1"/>
  <c r="G614" i="262"/>
  <c r="G678" i="262"/>
  <c r="G647" i="262"/>
  <c r="G662" i="262"/>
  <c r="Z821" i="262"/>
  <c r="J821" i="262"/>
  <c r="N821" i="262"/>
  <c r="G823" i="262"/>
  <c r="G822" i="262"/>
  <c r="H822" i="262" s="1"/>
  <c r="G831" i="262"/>
  <c r="G832" i="262"/>
  <c r="G826" i="262"/>
  <c r="G828" i="262"/>
  <c r="G830" i="262"/>
  <c r="AH821" i="262"/>
  <c r="R821" i="262"/>
  <c r="AD821" i="262"/>
  <c r="V821" i="262"/>
  <c r="G834" i="262"/>
  <c r="G836" i="262"/>
  <c r="V181" i="38" s="1"/>
  <c r="G835" i="262"/>
  <c r="U181" i="38" s="1"/>
  <c r="G829" i="262"/>
  <c r="O181" i="38" s="1"/>
  <c r="G833" i="262"/>
  <c r="S181" i="38" s="1"/>
  <c r="G827" i="262"/>
  <c r="M181" i="38" s="1"/>
  <c r="G825" i="262"/>
  <c r="G824" i="262"/>
  <c r="J181" i="38" s="1"/>
  <c r="F180" i="38"/>
  <c r="C838" i="262"/>
  <c r="A855" i="262"/>
  <c r="B838" i="262"/>
  <c r="K804" i="262"/>
  <c r="M804" i="262"/>
  <c r="Q804" i="262"/>
  <c r="O804" i="262"/>
  <c r="AI804" i="262"/>
  <c r="AK804" i="262"/>
  <c r="G695" i="262"/>
  <c r="AA804" i="262"/>
  <c r="AC804" i="262"/>
  <c r="AG804" i="262"/>
  <c r="AE804" i="262"/>
  <c r="S804" i="262"/>
  <c r="U804" i="262"/>
  <c r="Y804" i="262"/>
  <c r="W804" i="262"/>
  <c r="L674" i="262"/>
  <c r="T674" i="262"/>
  <c r="AB674" i="262"/>
  <c r="AJ674" i="262"/>
  <c r="AF674" i="262"/>
  <c r="P674" i="262"/>
  <c r="X674" i="262"/>
  <c r="L642" i="262"/>
  <c r="T642" i="262"/>
  <c r="AB642" i="262"/>
  <c r="AJ642" i="262"/>
  <c r="AF642" i="262"/>
  <c r="P642" i="262"/>
  <c r="X642" i="262"/>
  <c r="AJ722" i="262"/>
  <c r="AB722" i="262"/>
  <c r="T722" i="262"/>
  <c r="L722" i="262"/>
  <c r="AF722" i="262"/>
  <c r="X722" i="262"/>
  <c r="P722" i="262"/>
  <c r="AJ658" i="262"/>
  <c r="AB658" i="262"/>
  <c r="T658" i="262"/>
  <c r="L658" i="262"/>
  <c r="P658" i="262"/>
  <c r="AF658" i="262"/>
  <c r="X658" i="262"/>
  <c r="P738" i="262"/>
  <c r="X738" i="262"/>
  <c r="AF738" i="262"/>
  <c r="L738" i="262"/>
  <c r="T738" i="262"/>
  <c r="AB738" i="262"/>
  <c r="AJ738" i="262"/>
  <c r="AF690" i="262"/>
  <c r="X690" i="262"/>
  <c r="P690" i="262"/>
  <c r="T690" i="262"/>
  <c r="AJ690" i="262"/>
  <c r="L690" i="262"/>
  <c r="AB690" i="262"/>
  <c r="L706" i="262"/>
  <c r="T706" i="262"/>
  <c r="AB706" i="262"/>
  <c r="AJ706" i="262"/>
  <c r="P706" i="262"/>
  <c r="X706" i="262"/>
  <c r="AF706" i="262"/>
  <c r="AF562" i="262"/>
  <c r="X562" i="262"/>
  <c r="P562" i="262"/>
  <c r="L562" i="262"/>
  <c r="AB562" i="262"/>
  <c r="T562" i="262"/>
  <c r="AJ562" i="262"/>
  <c r="AF530" i="262"/>
  <c r="P530" i="262"/>
  <c r="AJ530" i="262"/>
  <c r="T530" i="262"/>
  <c r="X530" i="262"/>
  <c r="AB530" i="262"/>
  <c r="L530" i="262"/>
  <c r="AJ626" i="262"/>
  <c r="T626" i="262"/>
  <c r="X626" i="262"/>
  <c r="P626" i="262"/>
  <c r="AF626" i="262"/>
  <c r="AB626" i="262"/>
  <c r="L626" i="262"/>
  <c r="P578" i="262"/>
  <c r="X578" i="262"/>
  <c r="AF578" i="262"/>
  <c r="L578" i="262"/>
  <c r="T578" i="262"/>
  <c r="AB578" i="262"/>
  <c r="AJ578" i="262"/>
  <c r="AF594" i="262"/>
  <c r="X594" i="262"/>
  <c r="P594" i="262"/>
  <c r="AJ594" i="262"/>
  <c r="AB594" i="262"/>
  <c r="T594" i="262"/>
  <c r="L594" i="262"/>
  <c r="P610" i="262"/>
  <c r="X610" i="262"/>
  <c r="AF610" i="262"/>
  <c r="AB610" i="262"/>
  <c r="AJ610" i="262"/>
  <c r="T610" i="262"/>
  <c r="L610" i="262"/>
  <c r="P546" i="262"/>
  <c r="X546" i="262"/>
  <c r="AF546" i="262"/>
  <c r="AB546" i="262"/>
  <c r="L546" i="262"/>
  <c r="AJ546" i="262"/>
  <c r="T546" i="262"/>
  <c r="B849" i="262"/>
  <c r="B834" i="262"/>
  <c r="B850" i="262"/>
  <c r="B825" i="262"/>
  <c r="B826" i="262"/>
  <c r="B869" i="262"/>
  <c r="B886" i="262"/>
  <c r="B763" i="262"/>
  <c r="B762" i="262"/>
  <c r="B778" i="262"/>
  <c r="H563" i="262"/>
  <c r="H739" i="262"/>
  <c r="B810" i="262"/>
  <c r="H627" i="262"/>
  <c r="H579" i="262"/>
  <c r="B853" i="262"/>
  <c r="H547" i="262"/>
  <c r="B811" i="262"/>
  <c r="B822" i="262"/>
  <c r="H643" i="262"/>
  <c r="B755" i="262"/>
  <c r="H755" i="262"/>
  <c r="H723" i="262"/>
  <c r="H659" i="262"/>
  <c r="H691" i="262"/>
  <c r="H675" i="262"/>
  <c r="B756" i="262"/>
  <c r="H707" i="262"/>
  <c r="H595" i="262"/>
  <c r="H611" i="262"/>
  <c r="E838" i="262"/>
  <c r="H838" i="262"/>
  <c r="I838" i="262"/>
  <c r="F838" i="262"/>
  <c r="G838" i="262"/>
  <c r="P805" i="262" l="1"/>
  <c r="K181" i="38"/>
  <c r="V129" i="38"/>
  <c r="H129" i="38"/>
  <c r="I129" i="38"/>
  <c r="J129" i="38"/>
  <c r="K129" i="38"/>
  <c r="L129" i="38"/>
  <c r="M129" i="38"/>
  <c r="N129" i="38"/>
  <c r="O129" i="38"/>
  <c r="P129" i="38"/>
  <c r="Q129" i="38"/>
  <c r="R129" i="38"/>
  <c r="S129" i="38"/>
  <c r="T129" i="38"/>
  <c r="P181" i="38"/>
  <c r="L181" i="38"/>
  <c r="Q181" i="38"/>
  <c r="I181" i="38"/>
  <c r="U129" i="38"/>
  <c r="T181" i="38"/>
  <c r="N181" i="38"/>
  <c r="R181" i="38"/>
  <c r="H181" i="38"/>
  <c r="X805" i="262"/>
  <c r="T805" i="262"/>
  <c r="G631" i="262"/>
  <c r="AF805" i="262"/>
  <c r="L805" i="262"/>
  <c r="AB805" i="262"/>
  <c r="G615" i="262"/>
  <c r="U142" i="38"/>
  <c r="G679" i="262"/>
  <c r="G663" i="262"/>
  <c r="G648" i="262"/>
  <c r="AH838" i="262"/>
  <c r="R838" i="262"/>
  <c r="AD838" i="262"/>
  <c r="N838" i="262"/>
  <c r="G839" i="262"/>
  <c r="H839" i="262" s="1"/>
  <c r="G847" i="262"/>
  <c r="G851" i="262"/>
  <c r="G840" i="262"/>
  <c r="G841" i="262"/>
  <c r="G843" i="262"/>
  <c r="G850" i="262"/>
  <c r="G844" i="262"/>
  <c r="Z838" i="262"/>
  <c r="J838" i="262"/>
  <c r="V838" i="262"/>
  <c r="G849" i="262"/>
  <c r="G842" i="262"/>
  <c r="G853" i="262"/>
  <c r="V184" i="38" s="1"/>
  <c r="G848" i="262"/>
  <c r="G845" i="262"/>
  <c r="N184" i="38" s="1"/>
  <c r="G852" i="262"/>
  <c r="G846" i="262"/>
  <c r="O184" i="38" s="1"/>
  <c r="F183" i="38"/>
  <c r="C855" i="262"/>
  <c r="A872" i="262"/>
  <c r="B855" i="262"/>
  <c r="Y821" i="262"/>
  <c r="W821" i="262"/>
  <c r="S821" i="262"/>
  <c r="U821" i="262"/>
  <c r="K821" i="262"/>
  <c r="M821" i="262"/>
  <c r="G696" i="262"/>
  <c r="AG821" i="262"/>
  <c r="AE821" i="262"/>
  <c r="AI821" i="262"/>
  <c r="AK821" i="262"/>
  <c r="Q821" i="262"/>
  <c r="O821" i="262"/>
  <c r="AA821" i="262"/>
  <c r="AC821" i="262"/>
  <c r="AJ822" i="262"/>
  <c r="AB822" i="262"/>
  <c r="T822" i="262"/>
  <c r="L822" i="262"/>
  <c r="P822" i="262"/>
  <c r="AF822" i="262"/>
  <c r="X822" i="262"/>
  <c r="AJ707" i="262"/>
  <c r="AB707" i="262"/>
  <c r="T707" i="262"/>
  <c r="L707" i="262"/>
  <c r="AF707" i="262"/>
  <c r="X707" i="262"/>
  <c r="P707" i="262"/>
  <c r="L659" i="262"/>
  <c r="T659" i="262"/>
  <c r="AB659" i="262"/>
  <c r="AJ659" i="262"/>
  <c r="X659" i="262"/>
  <c r="AF659" i="262"/>
  <c r="P659" i="262"/>
  <c r="P755" i="262"/>
  <c r="X755" i="262"/>
  <c r="AF755" i="262"/>
  <c r="L755" i="262"/>
  <c r="T755" i="262"/>
  <c r="AB755" i="262"/>
  <c r="AJ755" i="262"/>
  <c r="AJ675" i="262"/>
  <c r="AB675" i="262"/>
  <c r="T675" i="262"/>
  <c r="L675" i="262"/>
  <c r="X675" i="262"/>
  <c r="P675" i="262"/>
  <c r="AF675" i="262"/>
  <c r="L723" i="262"/>
  <c r="T723" i="262"/>
  <c r="AB723" i="262"/>
  <c r="AJ723" i="262"/>
  <c r="P723" i="262"/>
  <c r="X723" i="262"/>
  <c r="AF723" i="262"/>
  <c r="AJ643" i="262"/>
  <c r="AB643" i="262"/>
  <c r="T643" i="262"/>
  <c r="L643" i="262"/>
  <c r="X643" i="262"/>
  <c r="P643" i="262"/>
  <c r="AF643" i="262"/>
  <c r="AF739" i="262"/>
  <c r="X739" i="262"/>
  <c r="P739" i="262"/>
  <c r="AJ739" i="262"/>
  <c r="AB739" i="262"/>
  <c r="T739" i="262"/>
  <c r="L739" i="262"/>
  <c r="P691" i="262"/>
  <c r="X691" i="262"/>
  <c r="AF691" i="262"/>
  <c r="AB691" i="262"/>
  <c r="L691" i="262"/>
  <c r="AJ691" i="262"/>
  <c r="T691" i="262"/>
  <c r="AF547" i="262"/>
  <c r="P547" i="262"/>
  <c r="X547" i="262"/>
  <c r="T547" i="262"/>
  <c r="L547" i="262"/>
  <c r="AJ547" i="262"/>
  <c r="AB547" i="262"/>
  <c r="AF627" i="262"/>
  <c r="P627" i="262"/>
  <c r="X627" i="262"/>
  <c r="L627" i="262"/>
  <c r="AB627" i="262"/>
  <c r="T627" i="262"/>
  <c r="AJ627" i="262"/>
  <c r="AF611" i="262"/>
  <c r="X611" i="262"/>
  <c r="P611" i="262"/>
  <c r="AJ611" i="262"/>
  <c r="AB611" i="262"/>
  <c r="L611" i="262"/>
  <c r="T611" i="262"/>
  <c r="P595" i="262"/>
  <c r="X595" i="262"/>
  <c r="AF595" i="262"/>
  <c r="L595" i="262"/>
  <c r="T595" i="262"/>
  <c r="AB595" i="262"/>
  <c r="AJ595" i="262"/>
  <c r="AF579" i="262"/>
  <c r="X579" i="262"/>
  <c r="P579" i="262"/>
  <c r="AJ579" i="262"/>
  <c r="AB579" i="262"/>
  <c r="T579" i="262"/>
  <c r="L579" i="262"/>
  <c r="P563" i="262"/>
  <c r="X563" i="262"/>
  <c r="AF563" i="262"/>
  <c r="AJ563" i="262"/>
  <c r="T563" i="262"/>
  <c r="AB563" i="262"/>
  <c r="L563" i="262"/>
  <c r="B866" i="262"/>
  <c r="B883" i="262"/>
  <c r="B851" i="262"/>
  <c r="B884" i="262"/>
  <c r="B867" i="262"/>
  <c r="B842" i="262"/>
  <c r="B795" i="262"/>
  <c r="B779" i="262"/>
  <c r="B780" i="262"/>
  <c r="B843" i="262"/>
  <c r="H612" i="262"/>
  <c r="H596" i="262"/>
  <c r="H708" i="262"/>
  <c r="B773" i="262"/>
  <c r="H692" i="262"/>
  <c r="H660" i="262"/>
  <c r="H756" i="262"/>
  <c r="H580" i="262"/>
  <c r="H628" i="262"/>
  <c r="H740" i="262"/>
  <c r="H564" i="262"/>
  <c r="U132" i="38" s="1"/>
  <c r="H676" i="262"/>
  <c r="H724" i="262"/>
  <c r="B772" i="262"/>
  <c r="H772" i="262"/>
  <c r="H644" i="262"/>
  <c r="B839" i="262"/>
  <c r="B828" i="262"/>
  <c r="B887" i="262"/>
  <c r="B870" i="262"/>
  <c r="B827" i="262"/>
  <c r="E855" i="262"/>
  <c r="I855" i="262"/>
  <c r="G855" i="262"/>
  <c r="H855" i="262"/>
  <c r="F855" i="262"/>
  <c r="U184" i="38" l="1"/>
  <c r="Q184" i="38"/>
  <c r="K184" i="38"/>
  <c r="S184" i="38"/>
  <c r="J184" i="38"/>
  <c r="T184" i="38"/>
  <c r="H184" i="38"/>
  <c r="V142" i="38"/>
  <c r="H142" i="38"/>
  <c r="I142" i="38"/>
  <c r="J142" i="38"/>
  <c r="K142" i="38"/>
  <c r="L142" i="38"/>
  <c r="M142" i="38"/>
  <c r="N142" i="38"/>
  <c r="O142" i="38"/>
  <c r="P142" i="38"/>
  <c r="Q142" i="38"/>
  <c r="R142" i="38"/>
  <c r="S142" i="38"/>
  <c r="T142" i="38"/>
  <c r="V132" i="38"/>
  <c r="H132" i="38"/>
  <c r="I132" i="38"/>
  <c r="J132" i="38"/>
  <c r="K132" i="38"/>
  <c r="L132" i="38"/>
  <c r="M132" i="38"/>
  <c r="N132" i="38"/>
  <c r="O132" i="38"/>
  <c r="P132" i="38"/>
  <c r="Q132" i="38"/>
  <c r="R132" i="38"/>
  <c r="S132" i="38"/>
  <c r="T132" i="38"/>
  <c r="R184" i="38"/>
  <c r="M184" i="38"/>
  <c r="L184" i="38"/>
  <c r="I184" i="38"/>
  <c r="P184" i="38"/>
  <c r="U145" i="38"/>
  <c r="G632" i="262"/>
  <c r="G680" i="262"/>
  <c r="G649" i="262"/>
  <c r="U148" i="38"/>
  <c r="G664" i="262"/>
  <c r="Z855" i="262"/>
  <c r="J855" i="262"/>
  <c r="V855" i="262"/>
  <c r="G860" i="262"/>
  <c r="G865" i="262"/>
  <c r="G866" i="262"/>
  <c r="G858" i="262"/>
  <c r="G862" i="262"/>
  <c r="G857" i="262"/>
  <c r="G867" i="262"/>
  <c r="G859" i="262"/>
  <c r="AH855" i="262"/>
  <c r="R855" i="262"/>
  <c r="AD855" i="262"/>
  <c r="N855" i="262"/>
  <c r="G864" i="262"/>
  <c r="G863" i="262"/>
  <c r="G861" i="262"/>
  <c r="G869" i="262"/>
  <c r="G868" i="262"/>
  <c r="G856" i="262"/>
  <c r="H856" i="262" s="1"/>
  <c r="G870" i="262"/>
  <c r="V187" i="38" s="1"/>
  <c r="F186" i="38"/>
  <c r="B872" i="262"/>
  <c r="A889" i="262"/>
  <c r="C872" i="262"/>
  <c r="M838" i="262"/>
  <c r="K838" i="262"/>
  <c r="O838" i="262"/>
  <c r="Q838" i="262"/>
  <c r="U838" i="262"/>
  <c r="S838" i="262"/>
  <c r="G697" i="262"/>
  <c r="W838" i="262"/>
  <c r="Y838" i="262"/>
  <c r="AC838" i="262"/>
  <c r="AA838" i="262"/>
  <c r="AE838" i="262"/>
  <c r="AG838" i="262"/>
  <c r="AK838" i="262"/>
  <c r="AI838" i="262"/>
  <c r="AJ839" i="262"/>
  <c r="AB839" i="262"/>
  <c r="T839" i="262"/>
  <c r="L839" i="262"/>
  <c r="X839" i="262"/>
  <c r="P839" i="262"/>
  <c r="AF839" i="262"/>
  <c r="L772" i="262"/>
  <c r="T772" i="262"/>
  <c r="AB772" i="262"/>
  <c r="AJ772" i="262"/>
  <c r="P772" i="262"/>
  <c r="X772" i="262"/>
  <c r="AF772" i="262"/>
  <c r="L644" i="262"/>
  <c r="T644" i="262"/>
  <c r="AB644" i="262"/>
  <c r="AJ644" i="262"/>
  <c r="AF644" i="262"/>
  <c r="P644" i="262"/>
  <c r="X644" i="262"/>
  <c r="AJ724" i="262"/>
  <c r="AB724" i="262"/>
  <c r="T724" i="262"/>
  <c r="L724" i="262"/>
  <c r="AF724" i="262"/>
  <c r="X724" i="262"/>
  <c r="P724" i="262"/>
  <c r="L676" i="262"/>
  <c r="T676" i="262"/>
  <c r="AB676" i="262"/>
  <c r="AJ676" i="262"/>
  <c r="AF676" i="262"/>
  <c r="P676" i="262"/>
  <c r="X676" i="262"/>
  <c r="L740" i="262"/>
  <c r="T740" i="262"/>
  <c r="AB740" i="262"/>
  <c r="AJ740" i="262"/>
  <c r="P740" i="262"/>
  <c r="X740" i="262"/>
  <c r="AF740" i="262"/>
  <c r="AJ660" i="262"/>
  <c r="AB660" i="262"/>
  <c r="T660" i="262"/>
  <c r="L660" i="262"/>
  <c r="P660" i="262"/>
  <c r="AF660" i="262"/>
  <c r="X660" i="262"/>
  <c r="AJ756" i="262"/>
  <c r="AB756" i="262"/>
  <c r="T756" i="262"/>
  <c r="L756" i="262"/>
  <c r="AF756" i="262"/>
  <c r="X756" i="262"/>
  <c r="P756" i="262"/>
  <c r="AF692" i="262"/>
  <c r="X692" i="262"/>
  <c r="P692" i="262"/>
  <c r="T692" i="262"/>
  <c r="AJ692" i="262"/>
  <c r="L692" i="262"/>
  <c r="AB692" i="262"/>
  <c r="L708" i="262"/>
  <c r="T708" i="262"/>
  <c r="AB708" i="262"/>
  <c r="AJ708" i="262"/>
  <c r="P708" i="262"/>
  <c r="X708" i="262"/>
  <c r="AF708" i="262"/>
  <c r="P580" i="262"/>
  <c r="X580" i="262"/>
  <c r="AF580" i="262"/>
  <c r="L580" i="262"/>
  <c r="T580" i="262"/>
  <c r="AB580" i="262"/>
  <c r="AJ580" i="262"/>
  <c r="AF596" i="262"/>
  <c r="X596" i="262"/>
  <c r="P596" i="262"/>
  <c r="AJ596" i="262"/>
  <c r="AB596" i="262"/>
  <c r="T596" i="262"/>
  <c r="L596" i="262"/>
  <c r="P612" i="262"/>
  <c r="X612" i="262"/>
  <c r="AF612" i="262"/>
  <c r="AB612" i="262"/>
  <c r="AJ612" i="262"/>
  <c r="T612" i="262"/>
  <c r="L612" i="262"/>
  <c r="AF564" i="262"/>
  <c r="P564" i="262"/>
  <c r="X564" i="262"/>
  <c r="L564" i="262"/>
  <c r="AJ564" i="262"/>
  <c r="AB564" i="262"/>
  <c r="T564" i="262"/>
  <c r="X628" i="262"/>
  <c r="P628" i="262"/>
  <c r="AF628" i="262"/>
  <c r="AJ628" i="262"/>
  <c r="T628" i="262"/>
  <c r="AB628" i="262"/>
  <c r="L628" i="262"/>
  <c r="B885" i="262"/>
  <c r="B868" i="262"/>
  <c r="B859" i="262"/>
  <c r="B876" i="262"/>
  <c r="B877" i="262"/>
  <c r="B860" i="262"/>
  <c r="B797" i="262"/>
  <c r="B796" i="262"/>
  <c r="B812" i="262"/>
  <c r="H677" i="262"/>
  <c r="H741" i="262"/>
  <c r="H581" i="262"/>
  <c r="H661" i="262"/>
  <c r="B790" i="262"/>
  <c r="H597" i="262"/>
  <c r="H613" i="262"/>
  <c r="B844" i="262"/>
  <c r="B845" i="262"/>
  <c r="B856" i="262"/>
  <c r="H645" i="262"/>
  <c r="H773" i="262"/>
  <c r="B789" i="262"/>
  <c r="H789" i="262"/>
  <c r="H725" i="262"/>
  <c r="H629" i="262"/>
  <c r="H757" i="262"/>
  <c r="H693" i="262"/>
  <c r="H709" i="262"/>
  <c r="E872" i="262"/>
  <c r="G872" i="262"/>
  <c r="H872" i="262"/>
  <c r="I872" i="262"/>
  <c r="F872" i="262"/>
  <c r="D84" i="38" l="1"/>
  <c r="D81" i="38"/>
  <c r="D183" i="38"/>
  <c r="D153" i="38"/>
  <c r="D114" i="38"/>
  <c r="D108" i="38"/>
  <c r="D69" i="38"/>
  <c r="D111" i="38"/>
  <c r="D120" i="38"/>
  <c r="D78" i="38"/>
  <c r="D147" i="38"/>
  <c r="D132" i="38"/>
  <c r="D87" i="38"/>
  <c r="D135" i="38"/>
  <c r="D96" i="38"/>
  <c r="D162" i="38"/>
  <c r="D165" i="38"/>
  <c r="D150" i="38"/>
  <c r="D66" i="38"/>
  <c r="D177" i="38"/>
  <c r="D186" i="38"/>
  <c r="D99" i="38"/>
  <c r="D189" i="38"/>
  <c r="D174" i="38"/>
  <c r="D144" i="38"/>
  <c r="D57" i="38"/>
  <c r="D123" i="38"/>
  <c r="D117" i="38"/>
  <c r="D102" i="38"/>
  <c r="D63" i="38"/>
  <c r="D129" i="38"/>
  <c r="D138" i="38"/>
  <c r="D75" i="38"/>
  <c r="D141" i="38"/>
  <c r="D126" i="38"/>
  <c r="D105" i="38"/>
  <c r="D171" i="38"/>
  <c r="D156" i="38"/>
  <c r="D60" i="38"/>
  <c r="D159" i="38"/>
  <c r="D168" i="38"/>
  <c r="D72" i="38"/>
  <c r="D90" i="38"/>
  <c r="D180" i="38"/>
  <c r="D93" i="38"/>
  <c r="T187" i="38"/>
  <c r="M187" i="38"/>
  <c r="P187" i="38"/>
  <c r="S187" i="38"/>
  <c r="N187" i="38"/>
  <c r="R187" i="38"/>
  <c r="L187" i="38"/>
  <c r="V145" i="38"/>
  <c r="H145" i="38"/>
  <c r="I145" i="38"/>
  <c r="J145" i="38"/>
  <c r="K145" i="38"/>
  <c r="L145" i="38"/>
  <c r="M145" i="38"/>
  <c r="N145" i="38"/>
  <c r="O145" i="38"/>
  <c r="P145" i="38"/>
  <c r="Q145" i="38"/>
  <c r="R145" i="38"/>
  <c r="S145" i="38"/>
  <c r="T145" i="38"/>
  <c r="V135" i="38"/>
  <c r="H135" i="38"/>
  <c r="I135" i="38"/>
  <c r="J135" i="38"/>
  <c r="K135" i="38"/>
  <c r="L135" i="38"/>
  <c r="M135" i="38"/>
  <c r="N135" i="38"/>
  <c r="O135" i="38"/>
  <c r="P135" i="38"/>
  <c r="Q135" i="38"/>
  <c r="R135" i="38"/>
  <c r="S135" i="38"/>
  <c r="T135" i="38"/>
  <c r="H187" i="38"/>
  <c r="U187" i="38"/>
  <c r="O187" i="38"/>
  <c r="K187" i="38"/>
  <c r="I187" i="38"/>
  <c r="J187" i="38"/>
  <c r="Q187" i="38"/>
  <c r="V148" i="38"/>
  <c r="H148" i="38"/>
  <c r="I148" i="38"/>
  <c r="K148" i="38"/>
  <c r="J148" i="38"/>
  <c r="L148" i="38"/>
  <c r="M148" i="38"/>
  <c r="N148" i="38"/>
  <c r="O148" i="38"/>
  <c r="P148" i="38"/>
  <c r="Q148" i="38"/>
  <c r="R148" i="38"/>
  <c r="S148" i="38"/>
  <c r="T148" i="38"/>
  <c r="U135" i="38"/>
  <c r="G681" i="262"/>
  <c r="G665" i="262"/>
  <c r="Z872" i="262"/>
  <c r="J872" i="262"/>
  <c r="V872" i="262"/>
  <c r="G877" i="262"/>
  <c r="G879" i="262"/>
  <c r="G887" i="262"/>
  <c r="V190" i="38" s="1"/>
  <c r="G885" i="262"/>
  <c r="G884" i="262"/>
  <c r="S190" i="38" s="1"/>
  <c r="G881" i="262"/>
  <c r="G886" i="262"/>
  <c r="U190" i="38" s="1"/>
  <c r="G878" i="262"/>
  <c r="G875" i="262"/>
  <c r="G882" i="262"/>
  <c r="G874" i="262"/>
  <c r="I190" i="38" s="1"/>
  <c r="AH872" i="262"/>
  <c r="R872" i="262"/>
  <c r="AD872" i="262"/>
  <c r="N872" i="262"/>
  <c r="G883" i="262"/>
  <c r="R190" i="38" s="1"/>
  <c r="G880" i="262"/>
  <c r="O190" i="38" s="1"/>
  <c r="G873" i="262"/>
  <c r="G876" i="262"/>
  <c r="K190" i="38" s="1"/>
  <c r="F189" i="38"/>
  <c r="B889" i="262"/>
  <c r="D192" i="38" s="1"/>
  <c r="C889" i="262"/>
  <c r="AE855" i="262"/>
  <c r="AG855" i="262"/>
  <c r="AK855" i="262"/>
  <c r="AI855" i="262"/>
  <c r="K855" i="262"/>
  <c r="M855" i="262"/>
  <c r="G698" i="262"/>
  <c r="O855" i="262"/>
  <c r="Q855" i="262"/>
  <c r="U855" i="262"/>
  <c r="S855" i="262"/>
  <c r="Y855" i="262"/>
  <c r="W855" i="262"/>
  <c r="AA855" i="262"/>
  <c r="AC855" i="262"/>
  <c r="P789" i="262"/>
  <c r="X789" i="262"/>
  <c r="AF789" i="262"/>
  <c r="AB789" i="262"/>
  <c r="L789" i="262"/>
  <c r="AJ789" i="262"/>
  <c r="T789" i="262"/>
  <c r="AJ856" i="262"/>
  <c r="AB856" i="262"/>
  <c r="T856" i="262"/>
  <c r="L856" i="262"/>
  <c r="P856" i="262"/>
  <c r="AF856" i="262"/>
  <c r="X856" i="262"/>
  <c r="P693" i="262"/>
  <c r="X693" i="262"/>
  <c r="AF693" i="262"/>
  <c r="AB693" i="262"/>
  <c r="L693" i="262"/>
  <c r="AJ693" i="262"/>
  <c r="T693" i="262"/>
  <c r="L725" i="262"/>
  <c r="T725" i="262"/>
  <c r="AB725" i="262"/>
  <c r="AJ725" i="262"/>
  <c r="P725" i="262"/>
  <c r="X725" i="262"/>
  <c r="AF725" i="262"/>
  <c r="AB773" i="262"/>
  <c r="T773" i="262"/>
  <c r="L773" i="262"/>
  <c r="AF773" i="262"/>
  <c r="X773" i="262"/>
  <c r="P773" i="262"/>
  <c r="AJ773" i="262"/>
  <c r="AJ709" i="262"/>
  <c r="AB709" i="262"/>
  <c r="T709" i="262"/>
  <c r="L709" i="262"/>
  <c r="AF709" i="262"/>
  <c r="X709" i="262"/>
  <c r="P709" i="262"/>
  <c r="L757" i="262"/>
  <c r="T757" i="262"/>
  <c r="AB757" i="262"/>
  <c r="AJ757" i="262"/>
  <c r="P757" i="262"/>
  <c r="X757" i="262"/>
  <c r="AF757" i="262"/>
  <c r="AJ645" i="262"/>
  <c r="AB645" i="262"/>
  <c r="T645" i="262"/>
  <c r="L645" i="262"/>
  <c r="X645" i="262"/>
  <c r="P645" i="262"/>
  <c r="AF645" i="262"/>
  <c r="AJ741" i="262"/>
  <c r="AB741" i="262"/>
  <c r="T741" i="262"/>
  <c r="L741" i="262"/>
  <c r="AF741" i="262"/>
  <c r="X741" i="262"/>
  <c r="P741" i="262"/>
  <c r="L661" i="262"/>
  <c r="T661" i="262"/>
  <c r="AB661" i="262"/>
  <c r="AJ661" i="262"/>
  <c r="X661" i="262"/>
  <c r="AF661" i="262"/>
  <c r="P661" i="262"/>
  <c r="AJ677" i="262"/>
  <c r="AB677" i="262"/>
  <c r="T677" i="262"/>
  <c r="L677" i="262"/>
  <c r="X677" i="262"/>
  <c r="P677" i="262"/>
  <c r="AF677" i="262"/>
  <c r="P597" i="262"/>
  <c r="X597" i="262"/>
  <c r="AF597" i="262"/>
  <c r="L597" i="262"/>
  <c r="T597" i="262"/>
  <c r="AB597" i="262"/>
  <c r="AJ597" i="262"/>
  <c r="AF629" i="262"/>
  <c r="P629" i="262"/>
  <c r="X629" i="262"/>
  <c r="L629" i="262"/>
  <c r="AB629" i="262"/>
  <c r="T629" i="262"/>
  <c r="AJ629" i="262"/>
  <c r="AF613" i="262"/>
  <c r="X613" i="262"/>
  <c r="P613" i="262"/>
  <c r="AJ613" i="262"/>
  <c r="AB613" i="262"/>
  <c r="L613" i="262"/>
  <c r="T613" i="262"/>
  <c r="X581" i="262"/>
  <c r="AJ581" i="262"/>
  <c r="T581" i="262"/>
  <c r="AF581" i="262"/>
  <c r="P581" i="262"/>
  <c r="AB581" i="262"/>
  <c r="L581" i="262"/>
  <c r="B829" i="262"/>
  <c r="B813" i="262"/>
  <c r="B814" i="262"/>
  <c r="H758" i="262"/>
  <c r="H790" i="262"/>
  <c r="H646" i="262"/>
  <c r="B873" i="262"/>
  <c r="H614" i="262"/>
  <c r="H598" i="262"/>
  <c r="H710" i="262"/>
  <c r="H694" i="262"/>
  <c r="H630" i="262"/>
  <c r="H726" i="262"/>
  <c r="B806" i="262"/>
  <c r="H806" i="262"/>
  <c r="H774" i="262"/>
  <c r="B879" i="262"/>
  <c r="B862" i="262"/>
  <c r="B878" i="262"/>
  <c r="B861" i="262"/>
  <c r="B807" i="262"/>
  <c r="H662" i="262"/>
  <c r="H742" i="262"/>
  <c r="H678" i="262"/>
  <c r="F889" i="262"/>
  <c r="I889" i="262"/>
  <c r="E889" i="262"/>
  <c r="H889" i="262"/>
  <c r="G889" i="262"/>
  <c r="J190" i="38" l="1"/>
  <c r="H190" i="38"/>
  <c r="Q190" i="38"/>
  <c r="V138" i="38"/>
  <c r="H138" i="38"/>
  <c r="I138" i="38"/>
  <c r="J138" i="38"/>
  <c r="K138" i="38"/>
  <c r="L138" i="38"/>
  <c r="M138" i="38"/>
  <c r="N138" i="38"/>
  <c r="O138" i="38"/>
  <c r="P138" i="38"/>
  <c r="Q138" i="38"/>
  <c r="R138" i="38"/>
  <c r="S138" i="38"/>
  <c r="T138" i="38"/>
  <c r="M190" i="38"/>
  <c r="P190" i="38"/>
  <c r="T190" i="38"/>
  <c r="N190" i="38"/>
  <c r="U138" i="38"/>
  <c r="L190" i="38"/>
  <c r="H873" i="262"/>
  <c r="AB873" i="262" s="1"/>
  <c r="G682" i="262"/>
  <c r="G666" i="262"/>
  <c r="U151" i="38"/>
  <c r="AH889" i="262"/>
  <c r="R889" i="262"/>
  <c r="AD889" i="262"/>
  <c r="V889" i="262"/>
  <c r="G900" i="262"/>
  <c r="G896" i="262"/>
  <c r="G894" i="262"/>
  <c r="G890" i="262"/>
  <c r="G897" i="262"/>
  <c r="G903" i="262"/>
  <c r="G898" i="262"/>
  <c r="G899" i="262"/>
  <c r="Z889" i="262"/>
  <c r="J889" i="262"/>
  <c r="N889" i="262"/>
  <c r="G902" i="262"/>
  <c r="G891" i="262"/>
  <c r="G904" i="262"/>
  <c r="V193" i="38" s="1"/>
  <c r="G901" i="262"/>
  <c r="G892" i="262"/>
  <c r="J193" i="38" s="1"/>
  <c r="G895" i="262"/>
  <c r="G893" i="262"/>
  <c r="K193" i="38" s="1"/>
  <c r="F192" i="38"/>
  <c r="Q872" i="262"/>
  <c r="O872" i="262"/>
  <c r="S872" i="262"/>
  <c r="U872" i="262"/>
  <c r="M872" i="262"/>
  <c r="K872" i="262"/>
  <c r="G699" i="262"/>
  <c r="AG872" i="262"/>
  <c r="AE872" i="262"/>
  <c r="AI872" i="262"/>
  <c r="AK872" i="262"/>
  <c r="W872" i="262"/>
  <c r="Y872" i="262"/>
  <c r="AC872" i="262"/>
  <c r="AA872" i="262"/>
  <c r="P806" i="262"/>
  <c r="X806" i="262"/>
  <c r="AF806" i="262"/>
  <c r="L806" i="262"/>
  <c r="T806" i="262"/>
  <c r="AB806" i="262"/>
  <c r="AJ806" i="262"/>
  <c r="AF790" i="262"/>
  <c r="X790" i="262"/>
  <c r="P790" i="262"/>
  <c r="T790" i="262"/>
  <c r="AJ790" i="262"/>
  <c r="L790" i="262"/>
  <c r="AB790" i="262"/>
  <c r="L710" i="262"/>
  <c r="T710" i="262"/>
  <c r="AB710" i="262"/>
  <c r="AJ710" i="262"/>
  <c r="P710" i="262"/>
  <c r="X710" i="262"/>
  <c r="AF710" i="262"/>
  <c r="L678" i="262"/>
  <c r="T678" i="262"/>
  <c r="AB678" i="262"/>
  <c r="AJ678" i="262"/>
  <c r="AF678" i="262"/>
  <c r="P678" i="262"/>
  <c r="X678" i="262"/>
  <c r="AJ662" i="262"/>
  <c r="AB662" i="262"/>
  <c r="T662" i="262"/>
  <c r="L662" i="262"/>
  <c r="P662" i="262"/>
  <c r="AF662" i="262"/>
  <c r="X662" i="262"/>
  <c r="L742" i="262"/>
  <c r="T742" i="262"/>
  <c r="AB742" i="262"/>
  <c r="AJ742" i="262"/>
  <c r="P742" i="262"/>
  <c r="X742" i="262"/>
  <c r="AF742" i="262"/>
  <c r="AJ774" i="262"/>
  <c r="AB774" i="262"/>
  <c r="P774" i="262"/>
  <c r="X774" i="262"/>
  <c r="AF774" i="262"/>
  <c r="L774" i="262"/>
  <c r="T774" i="262"/>
  <c r="AJ726" i="262"/>
  <c r="AB726" i="262"/>
  <c r="T726" i="262"/>
  <c r="L726" i="262"/>
  <c r="AF726" i="262"/>
  <c r="X726" i="262"/>
  <c r="P726" i="262"/>
  <c r="AF694" i="262"/>
  <c r="X694" i="262"/>
  <c r="P694" i="262"/>
  <c r="T694" i="262"/>
  <c r="AJ694" i="262"/>
  <c r="L694" i="262"/>
  <c r="AB694" i="262"/>
  <c r="L646" i="262"/>
  <c r="T646" i="262"/>
  <c r="AB646" i="262"/>
  <c r="AJ646" i="262"/>
  <c r="AF646" i="262"/>
  <c r="P646" i="262"/>
  <c r="X646" i="262"/>
  <c r="AJ758" i="262"/>
  <c r="AB758" i="262"/>
  <c r="T758" i="262"/>
  <c r="L758" i="262"/>
  <c r="AF758" i="262"/>
  <c r="X758" i="262"/>
  <c r="P758" i="262"/>
  <c r="P614" i="262"/>
  <c r="X614" i="262"/>
  <c r="AF614" i="262"/>
  <c r="AB614" i="262"/>
  <c r="AJ614" i="262"/>
  <c r="T614" i="262"/>
  <c r="L614" i="262"/>
  <c r="P630" i="262"/>
  <c r="AF630" i="262"/>
  <c r="AJ630" i="262"/>
  <c r="T630" i="262"/>
  <c r="AB630" i="262"/>
  <c r="L630" i="262"/>
  <c r="X630" i="262"/>
  <c r="X598" i="262"/>
  <c r="AB598" i="262"/>
  <c r="L598" i="262"/>
  <c r="AF598" i="262"/>
  <c r="P598" i="262"/>
  <c r="AJ598" i="262"/>
  <c r="T598" i="262"/>
  <c r="B831" i="262"/>
  <c r="B846" i="262"/>
  <c r="B830" i="262"/>
  <c r="H679" i="262"/>
  <c r="H663" i="262"/>
  <c r="H775" i="262"/>
  <c r="B823" i="262"/>
  <c r="H823" i="262"/>
  <c r="H727" i="262"/>
  <c r="H711" i="262"/>
  <c r="H615" i="262"/>
  <c r="U141" i="38" s="1"/>
  <c r="H647" i="262"/>
  <c r="H743" i="262"/>
  <c r="B824" i="262"/>
  <c r="H807" i="262"/>
  <c r="H631" i="262"/>
  <c r="H695" i="262"/>
  <c r="H791" i="262"/>
  <c r="H759" i="262"/>
  <c r="L873" i="262" l="1"/>
  <c r="P873" i="262"/>
  <c r="M193" i="38"/>
  <c r="T193" i="38"/>
  <c r="Q193" i="38"/>
  <c r="U193" i="38"/>
  <c r="H193" i="38"/>
  <c r="N193" i="38"/>
  <c r="V141" i="38"/>
  <c r="H141" i="38"/>
  <c r="I141" i="38"/>
  <c r="J141" i="38"/>
  <c r="K141" i="38"/>
  <c r="L141" i="38"/>
  <c r="M141" i="38"/>
  <c r="N141" i="38"/>
  <c r="O141" i="38"/>
  <c r="P141" i="38"/>
  <c r="Q141" i="38"/>
  <c r="R141" i="38"/>
  <c r="S141" i="38"/>
  <c r="T141" i="38"/>
  <c r="S193" i="38"/>
  <c r="I193" i="38"/>
  <c r="P193" i="38"/>
  <c r="O193" i="38"/>
  <c r="L193" i="38"/>
  <c r="R193" i="38"/>
  <c r="V151" i="38"/>
  <c r="H151" i="38"/>
  <c r="I151" i="38"/>
  <c r="J151" i="38"/>
  <c r="K151" i="38"/>
  <c r="L151" i="38"/>
  <c r="M151" i="38"/>
  <c r="N151" i="38"/>
  <c r="O151" i="38"/>
  <c r="P151" i="38"/>
  <c r="Q151" i="38"/>
  <c r="R151" i="38"/>
  <c r="S151" i="38"/>
  <c r="T151" i="38"/>
  <c r="AF873" i="262"/>
  <c r="X873" i="262"/>
  <c r="T873" i="262"/>
  <c r="AJ873" i="262"/>
  <c r="G683" i="262"/>
  <c r="U154" i="38"/>
  <c r="G700" i="262"/>
  <c r="U157" i="38"/>
  <c r="Q889" i="262"/>
  <c r="O889" i="262"/>
  <c r="AA889" i="262"/>
  <c r="AC889" i="262"/>
  <c r="AG889" i="262"/>
  <c r="AE889" i="262"/>
  <c r="AI889" i="262"/>
  <c r="AK889" i="262"/>
  <c r="K889" i="262"/>
  <c r="M889" i="262"/>
  <c r="Y889" i="262"/>
  <c r="W889" i="262"/>
  <c r="S889" i="262"/>
  <c r="U889" i="262"/>
  <c r="H890" i="262"/>
  <c r="P791" i="262"/>
  <c r="X791" i="262"/>
  <c r="AF791" i="262"/>
  <c r="AB791" i="262"/>
  <c r="L791" i="262"/>
  <c r="AJ791" i="262"/>
  <c r="T791" i="262"/>
  <c r="AJ807" i="262"/>
  <c r="AB807" i="262"/>
  <c r="T807" i="262"/>
  <c r="L807" i="262"/>
  <c r="AF807" i="262"/>
  <c r="X807" i="262"/>
  <c r="P807" i="262"/>
  <c r="AJ823" i="262"/>
  <c r="P823" i="262"/>
  <c r="AF823" i="262"/>
  <c r="T823" i="262"/>
  <c r="L823" i="262"/>
  <c r="AB823" i="262"/>
  <c r="X823" i="262"/>
  <c r="AJ647" i="262"/>
  <c r="AB647" i="262"/>
  <c r="T647" i="262"/>
  <c r="L647" i="262"/>
  <c r="X647" i="262"/>
  <c r="P647" i="262"/>
  <c r="AF647" i="262"/>
  <c r="L759" i="262"/>
  <c r="T759" i="262"/>
  <c r="AB759" i="262"/>
  <c r="AJ759" i="262"/>
  <c r="P759" i="262"/>
  <c r="X759" i="262"/>
  <c r="AF759" i="262"/>
  <c r="AJ743" i="262"/>
  <c r="AB743" i="262"/>
  <c r="T743" i="262"/>
  <c r="L743" i="262"/>
  <c r="AF743" i="262"/>
  <c r="X743" i="262"/>
  <c r="P743" i="262"/>
  <c r="L727" i="262"/>
  <c r="T727" i="262"/>
  <c r="AB727" i="262"/>
  <c r="AJ727" i="262"/>
  <c r="P727" i="262"/>
  <c r="X727" i="262"/>
  <c r="AF727" i="262"/>
  <c r="AB775" i="262"/>
  <c r="AJ775" i="262"/>
  <c r="T775" i="262"/>
  <c r="L775" i="262"/>
  <c r="AF775" i="262"/>
  <c r="X775" i="262"/>
  <c r="P775" i="262"/>
  <c r="AJ679" i="262"/>
  <c r="AB679" i="262"/>
  <c r="T679" i="262"/>
  <c r="L679" i="262"/>
  <c r="X679" i="262"/>
  <c r="P679" i="262"/>
  <c r="AF679" i="262"/>
  <c r="P695" i="262"/>
  <c r="X695" i="262"/>
  <c r="AF695" i="262"/>
  <c r="AB695" i="262"/>
  <c r="L695" i="262"/>
  <c r="AJ695" i="262"/>
  <c r="T695" i="262"/>
  <c r="L711" i="262"/>
  <c r="AJ711" i="262"/>
  <c r="AB711" i="262"/>
  <c r="T711" i="262"/>
  <c r="AF711" i="262"/>
  <c r="X711" i="262"/>
  <c r="P711" i="262"/>
  <c r="L663" i="262"/>
  <c r="T663" i="262"/>
  <c r="AB663" i="262"/>
  <c r="AJ663" i="262"/>
  <c r="X663" i="262"/>
  <c r="AF663" i="262"/>
  <c r="P663" i="262"/>
  <c r="L631" i="262"/>
  <c r="AB631" i="262"/>
  <c r="T631" i="262"/>
  <c r="AJ631" i="262"/>
  <c r="X631" i="262"/>
  <c r="AF631" i="262"/>
  <c r="P631" i="262"/>
  <c r="AF615" i="262"/>
  <c r="P615" i="262"/>
  <c r="AJ615" i="262"/>
  <c r="X615" i="262"/>
  <c r="AB615" i="262"/>
  <c r="L615" i="262"/>
  <c r="T615" i="262"/>
  <c r="B880" i="262"/>
  <c r="B863" i="262"/>
  <c r="B847" i="262"/>
  <c r="B848" i="262"/>
  <c r="B841" i="262"/>
  <c r="H744" i="262"/>
  <c r="H712" i="262"/>
  <c r="H824" i="262"/>
  <c r="H664" i="262"/>
  <c r="H760" i="262"/>
  <c r="H792" i="262"/>
  <c r="H696" i="262"/>
  <c r="H632" i="262"/>
  <c r="H808" i="262"/>
  <c r="H648" i="262"/>
  <c r="H728" i="262"/>
  <c r="B840" i="262"/>
  <c r="H840" i="262"/>
  <c r="H776" i="262"/>
  <c r="H680" i="262"/>
  <c r="V144" i="38" l="1"/>
  <c r="H144" i="38"/>
  <c r="I144" i="38"/>
  <c r="J144" i="38"/>
  <c r="K144" i="38"/>
  <c r="L144" i="38"/>
  <c r="M144" i="38"/>
  <c r="N144" i="38"/>
  <c r="O144" i="38"/>
  <c r="P144" i="38"/>
  <c r="Q144" i="38"/>
  <c r="R144" i="38"/>
  <c r="S144" i="38"/>
  <c r="T144" i="38"/>
  <c r="V157" i="38"/>
  <c r="H157" i="38"/>
  <c r="I157" i="38"/>
  <c r="J157" i="38"/>
  <c r="K157" i="38"/>
  <c r="L157" i="38"/>
  <c r="M157" i="38"/>
  <c r="N157" i="38"/>
  <c r="O157" i="38"/>
  <c r="P157" i="38"/>
  <c r="Q157" i="38"/>
  <c r="R157" i="38"/>
  <c r="S157" i="38"/>
  <c r="T157" i="38"/>
  <c r="V154" i="38"/>
  <c r="H154" i="38"/>
  <c r="I154" i="38"/>
  <c r="J154" i="38"/>
  <c r="K154" i="38"/>
  <c r="L154" i="38"/>
  <c r="M154" i="38"/>
  <c r="N154" i="38"/>
  <c r="O154" i="38"/>
  <c r="P154" i="38"/>
  <c r="Q154" i="38"/>
  <c r="R154" i="38"/>
  <c r="S154" i="38"/>
  <c r="T154" i="38"/>
  <c r="U144" i="38"/>
  <c r="AJ890" i="262"/>
  <c r="T890" i="262"/>
  <c r="P890" i="262"/>
  <c r="AF890" i="262"/>
  <c r="AB890" i="262"/>
  <c r="L890" i="262"/>
  <c r="X890" i="262"/>
  <c r="H891" i="262"/>
  <c r="L840" i="262"/>
  <c r="T840" i="262"/>
  <c r="AB840" i="262"/>
  <c r="AJ840" i="262"/>
  <c r="AF840" i="262"/>
  <c r="P840" i="262"/>
  <c r="X840" i="262"/>
  <c r="L808" i="262"/>
  <c r="T808" i="262"/>
  <c r="AB808" i="262"/>
  <c r="AJ808" i="262"/>
  <c r="P808" i="262"/>
  <c r="X808" i="262"/>
  <c r="AF808" i="262"/>
  <c r="AB824" i="262"/>
  <c r="T824" i="262"/>
  <c r="L824" i="262"/>
  <c r="AJ824" i="262"/>
  <c r="AF824" i="262"/>
  <c r="P824" i="262"/>
  <c r="X824" i="262"/>
  <c r="AF792" i="262"/>
  <c r="X792" i="262"/>
  <c r="P792" i="262"/>
  <c r="T792" i="262"/>
  <c r="AJ792" i="262"/>
  <c r="L792" i="262"/>
  <c r="AB792" i="262"/>
  <c r="L680" i="262"/>
  <c r="T680" i="262"/>
  <c r="AB680" i="262"/>
  <c r="AJ680" i="262"/>
  <c r="AF680" i="262"/>
  <c r="P680" i="262"/>
  <c r="X680" i="262"/>
  <c r="AJ664" i="262"/>
  <c r="AB664" i="262"/>
  <c r="T664" i="262"/>
  <c r="L664" i="262"/>
  <c r="P664" i="262"/>
  <c r="AF664" i="262"/>
  <c r="X664" i="262"/>
  <c r="L648" i="262"/>
  <c r="T648" i="262"/>
  <c r="AB648" i="262"/>
  <c r="AJ648" i="262"/>
  <c r="X648" i="262"/>
  <c r="AF648" i="262"/>
  <c r="P648" i="262"/>
  <c r="AF696" i="262"/>
  <c r="X696" i="262"/>
  <c r="P696" i="262"/>
  <c r="T696" i="262"/>
  <c r="AJ696" i="262"/>
  <c r="L696" i="262"/>
  <c r="AB696" i="262"/>
  <c r="AJ760" i="262"/>
  <c r="AB760" i="262"/>
  <c r="T760" i="262"/>
  <c r="L760" i="262"/>
  <c r="AF760" i="262"/>
  <c r="X760" i="262"/>
  <c r="P760" i="262"/>
  <c r="T712" i="262"/>
  <c r="AB712" i="262"/>
  <c r="AJ712" i="262"/>
  <c r="L712" i="262"/>
  <c r="P712" i="262"/>
  <c r="X712" i="262"/>
  <c r="AF712" i="262"/>
  <c r="L744" i="262"/>
  <c r="T744" i="262"/>
  <c r="AB744" i="262"/>
  <c r="AJ744" i="262"/>
  <c r="P744" i="262"/>
  <c r="X744" i="262"/>
  <c r="AF744" i="262"/>
  <c r="L776" i="262"/>
  <c r="T776" i="262"/>
  <c r="AJ776" i="262"/>
  <c r="AB776" i="262"/>
  <c r="P776" i="262"/>
  <c r="X776" i="262"/>
  <c r="AF776" i="262"/>
  <c r="AJ728" i="262"/>
  <c r="AB728" i="262"/>
  <c r="T728" i="262"/>
  <c r="L728" i="262"/>
  <c r="AF728" i="262"/>
  <c r="X728" i="262"/>
  <c r="P728" i="262"/>
  <c r="T632" i="262"/>
  <c r="L632" i="262"/>
  <c r="P632" i="262"/>
  <c r="X632" i="262"/>
  <c r="AJ632" i="262"/>
  <c r="AB632" i="262"/>
  <c r="AF632" i="262"/>
  <c r="B864" i="262"/>
  <c r="B881" i="262"/>
  <c r="B882" i="262"/>
  <c r="B865" i="262"/>
  <c r="H681" i="262"/>
  <c r="H841" i="262"/>
  <c r="H649" i="262"/>
  <c r="H809" i="262"/>
  <c r="H793" i="262"/>
  <c r="H665" i="262"/>
  <c r="H713" i="262"/>
  <c r="H745" i="262"/>
  <c r="H777" i="262"/>
  <c r="B857" i="262"/>
  <c r="H857" i="262"/>
  <c r="H729" i="262"/>
  <c r="H697" i="262"/>
  <c r="H761" i="262"/>
  <c r="H825" i="262"/>
  <c r="B858" i="262"/>
  <c r="B875" i="262"/>
  <c r="V147" i="38" l="1"/>
  <c r="H147" i="38"/>
  <c r="I147" i="38"/>
  <c r="J147" i="38"/>
  <c r="K147" i="38"/>
  <c r="L147" i="38"/>
  <c r="M147" i="38"/>
  <c r="N147" i="38"/>
  <c r="O147" i="38"/>
  <c r="P147" i="38"/>
  <c r="Q147" i="38"/>
  <c r="R147" i="38"/>
  <c r="S147" i="38"/>
  <c r="T147" i="38"/>
  <c r="U147" i="38"/>
  <c r="AB891" i="262"/>
  <c r="T891" i="262"/>
  <c r="AF891" i="262"/>
  <c r="AJ891" i="262"/>
  <c r="P891" i="262"/>
  <c r="L891" i="262"/>
  <c r="X891" i="262"/>
  <c r="H892" i="262"/>
  <c r="L857" i="262"/>
  <c r="T857" i="262"/>
  <c r="AB857" i="262"/>
  <c r="AJ857" i="262"/>
  <c r="X857" i="262"/>
  <c r="AF857" i="262"/>
  <c r="P857" i="262"/>
  <c r="P793" i="262"/>
  <c r="X793" i="262"/>
  <c r="AF793" i="262"/>
  <c r="AB793" i="262"/>
  <c r="L793" i="262"/>
  <c r="AJ793" i="262"/>
  <c r="T793" i="262"/>
  <c r="AJ841" i="262"/>
  <c r="AB841" i="262"/>
  <c r="T841" i="262"/>
  <c r="L841" i="262"/>
  <c r="X841" i="262"/>
  <c r="P841" i="262"/>
  <c r="AF841" i="262"/>
  <c r="T825" i="262"/>
  <c r="L825" i="262"/>
  <c r="AJ825" i="262"/>
  <c r="AB825" i="262"/>
  <c r="P825" i="262"/>
  <c r="AF825" i="262"/>
  <c r="X825" i="262"/>
  <c r="AJ809" i="262"/>
  <c r="AB809" i="262"/>
  <c r="T809" i="262"/>
  <c r="L809" i="262"/>
  <c r="AF809" i="262"/>
  <c r="X809" i="262"/>
  <c r="P809" i="262"/>
  <c r="L761" i="262"/>
  <c r="T761" i="262"/>
  <c r="AB761" i="262"/>
  <c r="AJ761" i="262"/>
  <c r="P761" i="262"/>
  <c r="X761" i="262"/>
  <c r="AF761" i="262"/>
  <c r="P697" i="262"/>
  <c r="X697" i="262"/>
  <c r="AF697" i="262"/>
  <c r="AB697" i="262"/>
  <c r="L697" i="262"/>
  <c r="AJ697" i="262"/>
  <c r="T697" i="262"/>
  <c r="L729" i="262"/>
  <c r="T729" i="262"/>
  <c r="AB729" i="262"/>
  <c r="AJ729" i="262"/>
  <c r="P729" i="262"/>
  <c r="X729" i="262"/>
  <c r="AF729" i="262"/>
  <c r="AB777" i="262"/>
  <c r="AJ777" i="262"/>
  <c r="T777" i="262"/>
  <c r="L777" i="262"/>
  <c r="AF777" i="262"/>
  <c r="X777" i="262"/>
  <c r="P777" i="262"/>
  <c r="AJ745" i="262"/>
  <c r="AB745" i="262"/>
  <c r="T745" i="262"/>
  <c r="L745" i="262"/>
  <c r="AF745" i="262"/>
  <c r="X745" i="262"/>
  <c r="P745" i="262"/>
  <c r="AJ649" i="262"/>
  <c r="AB649" i="262"/>
  <c r="L649" i="262"/>
  <c r="T649" i="262"/>
  <c r="X649" i="262"/>
  <c r="AF649" i="262"/>
  <c r="P649" i="262"/>
  <c r="AJ681" i="262"/>
  <c r="AB681" i="262"/>
  <c r="T681" i="262"/>
  <c r="L681" i="262"/>
  <c r="X681" i="262"/>
  <c r="P681" i="262"/>
  <c r="AF681" i="262"/>
  <c r="AJ713" i="262"/>
  <c r="AB713" i="262"/>
  <c r="T713" i="262"/>
  <c r="L713" i="262"/>
  <c r="AF713" i="262"/>
  <c r="X713" i="262"/>
  <c r="P713" i="262"/>
  <c r="L665" i="262"/>
  <c r="T665" i="262"/>
  <c r="AB665" i="262"/>
  <c r="AJ665" i="262"/>
  <c r="AF665" i="262"/>
  <c r="P665" i="262"/>
  <c r="X665" i="262"/>
  <c r="H826" i="262"/>
  <c r="H762" i="262"/>
  <c r="H730" i="262"/>
  <c r="H778" i="262"/>
  <c r="H746" i="262"/>
  <c r="H666" i="262"/>
  <c r="H794" i="262"/>
  <c r="H842" i="262"/>
  <c r="H698" i="262"/>
  <c r="H858" i="262"/>
  <c r="B874" i="262"/>
  <c r="H874" i="262"/>
  <c r="H714" i="262"/>
  <c r="H810" i="262"/>
  <c r="H682" i="262"/>
  <c r="V150" i="38" l="1"/>
  <c r="H150" i="38"/>
  <c r="I150" i="38"/>
  <c r="J150" i="38"/>
  <c r="K150" i="38"/>
  <c r="L150" i="38"/>
  <c r="M150" i="38"/>
  <c r="N150" i="38"/>
  <c r="O150" i="38"/>
  <c r="P150" i="38"/>
  <c r="Q150" i="38"/>
  <c r="R150" i="38"/>
  <c r="S150" i="38"/>
  <c r="T150" i="38"/>
  <c r="U150" i="38"/>
  <c r="H893" i="262"/>
  <c r="L892" i="262"/>
  <c r="T892" i="262"/>
  <c r="X892" i="262"/>
  <c r="AJ892" i="262"/>
  <c r="AB892" i="262"/>
  <c r="P892" i="262"/>
  <c r="AF892" i="262"/>
  <c r="L810" i="262"/>
  <c r="T810" i="262"/>
  <c r="AB810" i="262"/>
  <c r="AJ810" i="262"/>
  <c r="P810" i="262"/>
  <c r="X810" i="262"/>
  <c r="AF810" i="262"/>
  <c r="AF794" i="262"/>
  <c r="X794" i="262"/>
  <c r="P794" i="262"/>
  <c r="T794" i="262"/>
  <c r="AJ794" i="262"/>
  <c r="L794" i="262"/>
  <c r="AB794" i="262"/>
  <c r="L842" i="262"/>
  <c r="T842" i="262"/>
  <c r="AB842" i="262"/>
  <c r="AJ842" i="262"/>
  <c r="AF842" i="262"/>
  <c r="P842" i="262"/>
  <c r="X842" i="262"/>
  <c r="L874" i="262"/>
  <c r="T874" i="262"/>
  <c r="AB874" i="262"/>
  <c r="AJ874" i="262"/>
  <c r="X874" i="262"/>
  <c r="AF874" i="262"/>
  <c r="P874" i="262"/>
  <c r="AJ858" i="262"/>
  <c r="AB858" i="262"/>
  <c r="T858" i="262"/>
  <c r="L858" i="262"/>
  <c r="P858" i="262"/>
  <c r="AF858" i="262"/>
  <c r="X858" i="262"/>
  <c r="T826" i="262"/>
  <c r="AJ826" i="262"/>
  <c r="L826" i="262"/>
  <c r="AB826" i="262"/>
  <c r="AF826" i="262"/>
  <c r="P826" i="262"/>
  <c r="X826" i="262"/>
  <c r="L682" i="262"/>
  <c r="T682" i="262"/>
  <c r="AB682" i="262"/>
  <c r="AJ682" i="262"/>
  <c r="X682" i="262"/>
  <c r="AF682" i="262"/>
  <c r="P682" i="262"/>
  <c r="L714" i="262"/>
  <c r="T714" i="262"/>
  <c r="AB714" i="262"/>
  <c r="AJ714" i="262"/>
  <c r="P714" i="262"/>
  <c r="X714" i="262"/>
  <c r="AF714" i="262"/>
  <c r="L778" i="262"/>
  <c r="AB778" i="262"/>
  <c r="T778" i="262"/>
  <c r="AJ778" i="262"/>
  <c r="P778" i="262"/>
  <c r="X778" i="262"/>
  <c r="AF778" i="262"/>
  <c r="AJ762" i="262"/>
  <c r="AB762" i="262"/>
  <c r="T762" i="262"/>
  <c r="L762" i="262"/>
  <c r="AF762" i="262"/>
  <c r="X762" i="262"/>
  <c r="P762" i="262"/>
  <c r="AF698" i="262"/>
  <c r="X698" i="262"/>
  <c r="P698" i="262"/>
  <c r="T698" i="262"/>
  <c r="AJ698" i="262"/>
  <c r="L698" i="262"/>
  <c r="AB698" i="262"/>
  <c r="AB666" i="262"/>
  <c r="L666" i="262"/>
  <c r="AJ666" i="262"/>
  <c r="T666" i="262"/>
  <c r="P666" i="262"/>
  <c r="X666" i="262"/>
  <c r="AF666" i="262"/>
  <c r="L746" i="262"/>
  <c r="T746" i="262"/>
  <c r="AB746" i="262"/>
  <c r="AJ746" i="262"/>
  <c r="P746" i="262"/>
  <c r="X746" i="262"/>
  <c r="AF746" i="262"/>
  <c r="AJ730" i="262"/>
  <c r="AB730" i="262"/>
  <c r="T730" i="262"/>
  <c r="L730" i="262"/>
  <c r="AF730" i="262"/>
  <c r="X730" i="262"/>
  <c r="P730" i="262"/>
  <c r="H875" i="262"/>
  <c r="H859" i="262"/>
  <c r="H699" i="262"/>
  <c r="H843" i="262"/>
  <c r="H747" i="262"/>
  <c r="H731" i="262"/>
  <c r="H827" i="262"/>
  <c r="H683" i="262"/>
  <c r="H811" i="262"/>
  <c r="H715" i="262"/>
  <c r="H795" i="262"/>
  <c r="H779" i="262"/>
  <c r="H763" i="262"/>
  <c r="V153" i="38" l="1"/>
  <c r="H153" i="38"/>
  <c r="I153" i="38"/>
  <c r="J153" i="38"/>
  <c r="K153" i="38"/>
  <c r="L153" i="38"/>
  <c r="M153" i="38"/>
  <c r="N153" i="38"/>
  <c r="O153" i="38"/>
  <c r="P153" i="38"/>
  <c r="Q153" i="38"/>
  <c r="R153" i="38"/>
  <c r="S153" i="38"/>
  <c r="T153" i="38"/>
  <c r="U153" i="38"/>
  <c r="L893" i="262"/>
  <c r="T893" i="262"/>
  <c r="P893" i="262"/>
  <c r="X893" i="262"/>
  <c r="AJ893" i="262"/>
  <c r="AB893" i="262"/>
  <c r="AF893" i="262"/>
  <c r="H894" i="262"/>
  <c r="AJ875" i="262"/>
  <c r="AB875" i="262"/>
  <c r="T875" i="262"/>
  <c r="L875" i="262"/>
  <c r="P875" i="262"/>
  <c r="AF875" i="262"/>
  <c r="X875" i="262"/>
  <c r="P795" i="262"/>
  <c r="X795" i="262"/>
  <c r="AF795" i="262"/>
  <c r="AB795" i="262"/>
  <c r="L795" i="262"/>
  <c r="AJ795" i="262"/>
  <c r="T795" i="262"/>
  <c r="AF811" i="262"/>
  <c r="X811" i="262"/>
  <c r="P811" i="262"/>
  <c r="AJ811" i="262"/>
  <c r="AB811" i="262"/>
  <c r="T811" i="262"/>
  <c r="L811" i="262"/>
  <c r="AJ827" i="262"/>
  <c r="T827" i="262"/>
  <c r="AB827" i="262"/>
  <c r="L827" i="262"/>
  <c r="P827" i="262"/>
  <c r="AF827" i="262"/>
  <c r="X827" i="262"/>
  <c r="AJ843" i="262"/>
  <c r="AB843" i="262"/>
  <c r="T843" i="262"/>
  <c r="L843" i="262"/>
  <c r="X843" i="262"/>
  <c r="P843" i="262"/>
  <c r="AF843" i="262"/>
  <c r="L859" i="262"/>
  <c r="T859" i="262"/>
  <c r="AB859" i="262"/>
  <c r="AJ859" i="262"/>
  <c r="X859" i="262"/>
  <c r="AF859" i="262"/>
  <c r="P859" i="262"/>
  <c r="AJ747" i="262"/>
  <c r="AB747" i="262"/>
  <c r="T747" i="262"/>
  <c r="L747" i="262"/>
  <c r="AF747" i="262"/>
  <c r="X747" i="262"/>
  <c r="P747" i="262"/>
  <c r="L763" i="262"/>
  <c r="T763" i="262"/>
  <c r="AB763" i="262"/>
  <c r="AJ763" i="262"/>
  <c r="P763" i="262"/>
  <c r="X763" i="262"/>
  <c r="AF763" i="262"/>
  <c r="AJ715" i="262"/>
  <c r="AB715" i="262"/>
  <c r="T715" i="262"/>
  <c r="L715" i="262"/>
  <c r="AF715" i="262"/>
  <c r="X715" i="262"/>
  <c r="P715" i="262"/>
  <c r="AJ683" i="262"/>
  <c r="T683" i="262"/>
  <c r="AB683" i="262"/>
  <c r="L683" i="262"/>
  <c r="P683" i="262"/>
  <c r="X683" i="262"/>
  <c r="AF683" i="262"/>
  <c r="L731" i="262"/>
  <c r="T731" i="262"/>
  <c r="AB731" i="262"/>
  <c r="AJ731" i="262"/>
  <c r="P731" i="262"/>
  <c r="X731" i="262"/>
  <c r="AF731" i="262"/>
  <c r="AB779" i="262"/>
  <c r="L779" i="262"/>
  <c r="AF779" i="262"/>
  <c r="X779" i="262"/>
  <c r="P779" i="262"/>
  <c r="AJ779" i="262"/>
  <c r="T779" i="262"/>
  <c r="P699" i="262"/>
  <c r="X699" i="262"/>
  <c r="AF699" i="262"/>
  <c r="AJ699" i="262"/>
  <c r="T699" i="262"/>
  <c r="AB699" i="262"/>
  <c r="L699" i="262"/>
  <c r="H796" i="262"/>
  <c r="H812" i="262"/>
  <c r="H748" i="262"/>
  <c r="H844" i="262"/>
  <c r="H860" i="262"/>
  <c r="H764" i="262"/>
  <c r="H780" i="262"/>
  <c r="H716" i="262"/>
  <c r="H828" i="262"/>
  <c r="H732" i="262"/>
  <c r="H700" i="262"/>
  <c r="H876" i="262"/>
  <c r="V156" i="38" l="1"/>
  <c r="H156" i="38"/>
  <c r="I156" i="38"/>
  <c r="J156" i="38"/>
  <c r="K156" i="38"/>
  <c r="L156" i="38"/>
  <c r="M156" i="38"/>
  <c r="N156" i="38"/>
  <c r="O156" i="38"/>
  <c r="P156" i="38"/>
  <c r="Q156" i="38"/>
  <c r="R156" i="38"/>
  <c r="S156" i="38"/>
  <c r="T156" i="38"/>
  <c r="U156" i="38"/>
  <c r="AJ894" i="262"/>
  <c r="AB894" i="262"/>
  <c r="P894" i="262"/>
  <c r="AF894" i="262"/>
  <c r="H895" i="262"/>
  <c r="L894" i="262"/>
  <c r="T894" i="262"/>
  <c r="X894" i="262"/>
  <c r="L828" i="262"/>
  <c r="AB828" i="262"/>
  <c r="T828" i="262"/>
  <c r="AJ828" i="262"/>
  <c r="AF828" i="262"/>
  <c r="P828" i="262"/>
  <c r="X828" i="262"/>
  <c r="AJ860" i="262"/>
  <c r="AB860" i="262"/>
  <c r="T860" i="262"/>
  <c r="L860" i="262"/>
  <c r="P860" i="262"/>
  <c r="AF860" i="262"/>
  <c r="X860" i="262"/>
  <c r="AF796" i="262"/>
  <c r="X796" i="262"/>
  <c r="P796" i="262"/>
  <c r="T796" i="262"/>
  <c r="AJ796" i="262"/>
  <c r="L796" i="262"/>
  <c r="AB796" i="262"/>
  <c r="L876" i="262"/>
  <c r="T876" i="262"/>
  <c r="AB876" i="262"/>
  <c r="AJ876" i="262"/>
  <c r="X876" i="262"/>
  <c r="AF876" i="262"/>
  <c r="P876" i="262"/>
  <c r="L844" i="262"/>
  <c r="T844" i="262"/>
  <c r="AB844" i="262"/>
  <c r="AJ844" i="262"/>
  <c r="AF844" i="262"/>
  <c r="P844" i="262"/>
  <c r="X844" i="262"/>
  <c r="P812" i="262"/>
  <c r="X812" i="262"/>
  <c r="AF812" i="262"/>
  <c r="L812" i="262"/>
  <c r="T812" i="262"/>
  <c r="AB812" i="262"/>
  <c r="AJ812" i="262"/>
  <c r="AF700" i="262"/>
  <c r="P700" i="262"/>
  <c r="X700" i="262"/>
  <c r="AJ700" i="262"/>
  <c r="AB700" i="262"/>
  <c r="T700" i="262"/>
  <c r="L700" i="262"/>
  <c r="L716" i="262"/>
  <c r="T716" i="262"/>
  <c r="AB716" i="262"/>
  <c r="AJ716" i="262"/>
  <c r="P716" i="262"/>
  <c r="X716" i="262"/>
  <c r="AF716" i="262"/>
  <c r="P780" i="262"/>
  <c r="X780" i="262"/>
  <c r="AF780" i="262"/>
  <c r="T780" i="262"/>
  <c r="AJ780" i="262"/>
  <c r="L780" i="262"/>
  <c r="AB780" i="262"/>
  <c r="AJ732" i="262"/>
  <c r="AB732" i="262"/>
  <c r="T732" i="262"/>
  <c r="L732" i="262"/>
  <c r="AF732" i="262"/>
  <c r="X732" i="262"/>
  <c r="P732" i="262"/>
  <c r="AJ764" i="262"/>
  <c r="AB764" i="262"/>
  <c r="T764" i="262"/>
  <c r="L764" i="262"/>
  <c r="AF764" i="262"/>
  <c r="X764" i="262"/>
  <c r="P764" i="262"/>
  <c r="L748" i="262"/>
  <c r="T748" i="262"/>
  <c r="AB748" i="262"/>
  <c r="AJ748" i="262"/>
  <c r="P748" i="262"/>
  <c r="X748" i="262"/>
  <c r="AF748" i="262"/>
  <c r="H877" i="262"/>
  <c r="H733" i="262"/>
  <c r="H717" i="262"/>
  <c r="H861" i="262"/>
  <c r="H797" i="262"/>
  <c r="H829" i="262"/>
  <c r="H781" i="262"/>
  <c r="H765" i="262"/>
  <c r="H845" i="262"/>
  <c r="H749" i="262"/>
  <c r="H813" i="262"/>
  <c r="V159" i="38" l="1"/>
  <c r="H159" i="38"/>
  <c r="I159" i="38"/>
  <c r="J159" i="38"/>
  <c r="K159" i="38"/>
  <c r="L159" i="38"/>
  <c r="M159" i="38"/>
  <c r="N159" i="38"/>
  <c r="O159" i="38"/>
  <c r="P159" i="38"/>
  <c r="Q159" i="38"/>
  <c r="R159" i="38"/>
  <c r="S159" i="38"/>
  <c r="T159" i="38"/>
  <c r="U159" i="38"/>
  <c r="AJ895" i="262"/>
  <c r="AB895" i="262"/>
  <c r="AF895" i="262"/>
  <c r="H896" i="262"/>
  <c r="L895" i="262"/>
  <c r="T895" i="262"/>
  <c r="P895" i="262"/>
  <c r="X895" i="262"/>
  <c r="P797" i="262"/>
  <c r="X797" i="262"/>
  <c r="AF797" i="262"/>
  <c r="AB797" i="262"/>
  <c r="L797" i="262"/>
  <c r="AJ797" i="262"/>
  <c r="T797" i="262"/>
  <c r="L861" i="262"/>
  <c r="T861" i="262"/>
  <c r="AB861" i="262"/>
  <c r="AJ861" i="262"/>
  <c r="X861" i="262"/>
  <c r="AF861" i="262"/>
  <c r="P861" i="262"/>
  <c r="AF813" i="262"/>
  <c r="X813" i="262"/>
  <c r="P813" i="262"/>
  <c r="AJ813" i="262"/>
  <c r="AB813" i="262"/>
  <c r="T813" i="262"/>
  <c r="L813" i="262"/>
  <c r="AJ845" i="262"/>
  <c r="AB845" i="262"/>
  <c r="T845" i="262"/>
  <c r="L845" i="262"/>
  <c r="X845" i="262"/>
  <c r="P845" i="262"/>
  <c r="AF845" i="262"/>
  <c r="AJ829" i="262"/>
  <c r="T829" i="262"/>
  <c r="AB829" i="262"/>
  <c r="L829" i="262"/>
  <c r="P829" i="262"/>
  <c r="AF829" i="262"/>
  <c r="X829" i="262"/>
  <c r="AJ877" i="262"/>
  <c r="AB877" i="262"/>
  <c r="T877" i="262"/>
  <c r="L877" i="262"/>
  <c r="P877" i="262"/>
  <c r="AF877" i="262"/>
  <c r="X877" i="262"/>
  <c r="AJ749" i="262"/>
  <c r="AB749" i="262"/>
  <c r="T749" i="262"/>
  <c r="L749" i="262"/>
  <c r="AF749" i="262"/>
  <c r="X749" i="262"/>
  <c r="P749" i="262"/>
  <c r="AF781" i="262"/>
  <c r="X781" i="262"/>
  <c r="P781" i="262"/>
  <c r="AB781" i="262"/>
  <c r="L781" i="262"/>
  <c r="AJ781" i="262"/>
  <c r="T781" i="262"/>
  <c r="AB717" i="262"/>
  <c r="L717" i="262"/>
  <c r="X717" i="262"/>
  <c r="AJ717" i="262"/>
  <c r="T717" i="262"/>
  <c r="AF717" i="262"/>
  <c r="P717" i="262"/>
  <c r="L733" i="262"/>
  <c r="T733" i="262"/>
  <c r="AB733" i="262"/>
  <c r="AJ733" i="262"/>
  <c r="P733" i="262"/>
  <c r="X733" i="262"/>
  <c r="AF733" i="262"/>
  <c r="L765" i="262"/>
  <c r="T765" i="262"/>
  <c r="AB765" i="262"/>
  <c r="AJ765" i="262"/>
  <c r="P765" i="262"/>
  <c r="X765" i="262"/>
  <c r="AF765" i="262"/>
  <c r="H846" i="262"/>
  <c r="H798" i="262"/>
  <c r="H814" i="262"/>
  <c r="H750" i="262"/>
  <c r="H766" i="262"/>
  <c r="H782" i="262"/>
  <c r="H830" i="262"/>
  <c r="H862" i="262"/>
  <c r="H734" i="262"/>
  <c r="H878" i="262"/>
  <c r="V162" i="38" l="1"/>
  <c r="H162" i="38"/>
  <c r="I162" i="38"/>
  <c r="J162" i="38"/>
  <c r="K162" i="38"/>
  <c r="L162" i="38"/>
  <c r="M162" i="38"/>
  <c r="N162" i="38"/>
  <c r="O162" i="38"/>
  <c r="P162" i="38"/>
  <c r="Q162" i="38"/>
  <c r="R162" i="38"/>
  <c r="S162" i="38"/>
  <c r="T162" i="38"/>
  <c r="U162" i="38"/>
  <c r="AJ896" i="262"/>
  <c r="AB896" i="262"/>
  <c r="T896" i="262"/>
  <c r="AF896" i="262"/>
  <c r="H897" i="262"/>
  <c r="L896" i="262"/>
  <c r="P896" i="262"/>
  <c r="X896" i="262"/>
  <c r="L878" i="262"/>
  <c r="T878" i="262"/>
  <c r="AB878" i="262"/>
  <c r="AJ878" i="262"/>
  <c r="X878" i="262"/>
  <c r="AF878" i="262"/>
  <c r="P878" i="262"/>
  <c r="L830" i="262"/>
  <c r="AB830" i="262"/>
  <c r="T830" i="262"/>
  <c r="AJ830" i="262"/>
  <c r="AF830" i="262"/>
  <c r="P830" i="262"/>
  <c r="X830" i="262"/>
  <c r="AF798" i="262"/>
  <c r="X798" i="262"/>
  <c r="P798" i="262"/>
  <c r="T798" i="262"/>
  <c r="AJ798" i="262"/>
  <c r="L798" i="262"/>
  <c r="AB798" i="262"/>
  <c r="AJ862" i="262"/>
  <c r="AB862" i="262"/>
  <c r="T862" i="262"/>
  <c r="L862" i="262"/>
  <c r="P862" i="262"/>
  <c r="AF862" i="262"/>
  <c r="X862" i="262"/>
  <c r="P814" i="262"/>
  <c r="X814" i="262"/>
  <c r="AF814" i="262"/>
  <c r="L814" i="262"/>
  <c r="T814" i="262"/>
  <c r="AB814" i="262"/>
  <c r="AJ814" i="262"/>
  <c r="L846" i="262"/>
  <c r="T846" i="262"/>
  <c r="AB846" i="262"/>
  <c r="AJ846" i="262"/>
  <c r="AF846" i="262"/>
  <c r="P846" i="262"/>
  <c r="X846" i="262"/>
  <c r="P782" i="262"/>
  <c r="AF782" i="262"/>
  <c r="X782" i="262"/>
  <c r="T782" i="262"/>
  <c r="AJ782" i="262"/>
  <c r="L782" i="262"/>
  <c r="AB782" i="262"/>
  <c r="L750" i="262"/>
  <c r="T750" i="262"/>
  <c r="AB750" i="262"/>
  <c r="AJ750" i="262"/>
  <c r="P750" i="262"/>
  <c r="X750" i="262"/>
  <c r="AF750" i="262"/>
  <c r="AJ734" i="262"/>
  <c r="T734" i="262"/>
  <c r="AF734" i="262"/>
  <c r="P734" i="262"/>
  <c r="AB734" i="262"/>
  <c r="L734" i="262"/>
  <c r="X734" i="262"/>
  <c r="AJ766" i="262"/>
  <c r="AB766" i="262"/>
  <c r="T766" i="262"/>
  <c r="L766" i="262"/>
  <c r="AF766" i="262"/>
  <c r="X766" i="262"/>
  <c r="P766" i="262"/>
  <c r="H879" i="262"/>
  <c r="H863" i="262"/>
  <c r="H831" i="262"/>
  <c r="H767" i="262"/>
  <c r="H815" i="262"/>
  <c r="H799" i="262"/>
  <c r="H847" i="262"/>
  <c r="H783" i="262"/>
  <c r="H751" i="262"/>
  <c r="V165" i="38" l="1"/>
  <c r="H165" i="38"/>
  <c r="I165" i="38"/>
  <c r="J165" i="38"/>
  <c r="K165" i="38"/>
  <c r="L165" i="38"/>
  <c r="M165" i="38"/>
  <c r="N165" i="38"/>
  <c r="O165" i="38"/>
  <c r="P165" i="38"/>
  <c r="Q165" i="38"/>
  <c r="R165" i="38"/>
  <c r="S165" i="38"/>
  <c r="T165" i="38"/>
  <c r="U165" i="38"/>
  <c r="AJ897" i="262"/>
  <c r="AB897" i="262"/>
  <c r="AF897" i="262"/>
  <c r="L897" i="262"/>
  <c r="T897" i="262"/>
  <c r="P897" i="262"/>
  <c r="X897" i="262"/>
  <c r="H898" i="262"/>
  <c r="AJ879" i="262"/>
  <c r="AB879" i="262"/>
  <c r="T879" i="262"/>
  <c r="L879" i="262"/>
  <c r="P879" i="262"/>
  <c r="AF879" i="262"/>
  <c r="X879" i="262"/>
  <c r="AJ847" i="262"/>
  <c r="AB847" i="262"/>
  <c r="T847" i="262"/>
  <c r="L847" i="262"/>
  <c r="X847" i="262"/>
  <c r="P847" i="262"/>
  <c r="AF847" i="262"/>
  <c r="P799" i="262"/>
  <c r="X799" i="262"/>
  <c r="AF799" i="262"/>
  <c r="AB799" i="262"/>
  <c r="L799" i="262"/>
  <c r="AJ799" i="262"/>
  <c r="T799" i="262"/>
  <c r="AF815" i="262"/>
  <c r="X815" i="262"/>
  <c r="P815" i="262"/>
  <c r="AJ815" i="262"/>
  <c r="AB815" i="262"/>
  <c r="T815" i="262"/>
  <c r="L815" i="262"/>
  <c r="AJ831" i="262"/>
  <c r="T831" i="262"/>
  <c r="AB831" i="262"/>
  <c r="L831" i="262"/>
  <c r="P831" i="262"/>
  <c r="AF831" i="262"/>
  <c r="X831" i="262"/>
  <c r="L863" i="262"/>
  <c r="T863" i="262"/>
  <c r="AB863" i="262"/>
  <c r="AJ863" i="262"/>
  <c r="X863" i="262"/>
  <c r="AF863" i="262"/>
  <c r="P863" i="262"/>
  <c r="AB751" i="262"/>
  <c r="L751" i="262"/>
  <c r="X751" i="262"/>
  <c r="AJ751" i="262"/>
  <c r="T751" i="262"/>
  <c r="AF751" i="262"/>
  <c r="P751" i="262"/>
  <c r="AF783" i="262"/>
  <c r="P783" i="262"/>
  <c r="AB783" i="262"/>
  <c r="L783" i="262"/>
  <c r="AJ783" i="262"/>
  <c r="T783" i="262"/>
  <c r="X783" i="262"/>
  <c r="T767" i="262"/>
  <c r="AB767" i="262"/>
  <c r="AJ767" i="262"/>
  <c r="L767" i="262"/>
  <c r="P767" i="262"/>
  <c r="X767" i="262"/>
  <c r="AF767" i="262"/>
  <c r="H848" i="262"/>
  <c r="H864" i="262"/>
  <c r="H784" i="262"/>
  <c r="H800" i="262"/>
  <c r="H816" i="262"/>
  <c r="H768" i="262"/>
  <c r="H832" i="262"/>
  <c r="H880" i="262"/>
  <c r="V168" i="38" l="1"/>
  <c r="H168" i="38"/>
  <c r="I168" i="38"/>
  <c r="J168" i="38"/>
  <c r="K168" i="38"/>
  <c r="L168" i="38"/>
  <c r="M168" i="38"/>
  <c r="N168" i="38"/>
  <c r="O168" i="38"/>
  <c r="P168" i="38"/>
  <c r="Q168" i="38"/>
  <c r="R168" i="38"/>
  <c r="S168" i="38"/>
  <c r="T168" i="38"/>
  <c r="U168" i="38"/>
  <c r="AJ898" i="262"/>
  <c r="AB898" i="262"/>
  <c r="P898" i="262"/>
  <c r="AF898" i="262"/>
  <c r="L898" i="262"/>
  <c r="T898" i="262"/>
  <c r="X898" i="262"/>
  <c r="H899" i="262"/>
  <c r="L880" i="262"/>
  <c r="T880" i="262"/>
  <c r="AB880" i="262"/>
  <c r="AJ880" i="262"/>
  <c r="X880" i="262"/>
  <c r="AF880" i="262"/>
  <c r="P880" i="262"/>
  <c r="P816" i="262"/>
  <c r="X816" i="262"/>
  <c r="AF816" i="262"/>
  <c r="L816" i="262"/>
  <c r="T816" i="262"/>
  <c r="AB816" i="262"/>
  <c r="AJ816" i="262"/>
  <c r="AF800" i="262"/>
  <c r="X800" i="262"/>
  <c r="P800" i="262"/>
  <c r="T800" i="262"/>
  <c r="AJ800" i="262"/>
  <c r="L800" i="262"/>
  <c r="AB800" i="262"/>
  <c r="AJ864" i="262"/>
  <c r="AB864" i="262"/>
  <c r="T864" i="262"/>
  <c r="L864" i="262"/>
  <c r="X864" i="262"/>
  <c r="P864" i="262"/>
  <c r="AF864" i="262"/>
  <c r="L832" i="262"/>
  <c r="AB832" i="262"/>
  <c r="T832" i="262"/>
  <c r="AJ832" i="262"/>
  <c r="AF832" i="262"/>
  <c r="P832" i="262"/>
  <c r="X832" i="262"/>
  <c r="L848" i="262"/>
  <c r="T848" i="262"/>
  <c r="AB848" i="262"/>
  <c r="AJ848" i="262"/>
  <c r="AF848" i="262"/>
  <c r="P848" i="262"/>
  <c r="X848" i="262"/>
  <c r="L768" i="262"/>
  <c r="AJ768" i="262"/>
  <c r="T768" i="262"/>
  <c r="AF768" i="262"/>
  <c r="P768" i="262"/>
  <c r="AB768" i="262"/>
  <c r="X768" i="262"/>
  <c r="T784" i="262"/>
  <c r="AJ784" i="262"/>
  <c r="L784" i="262"/>
  <c r="AB784" i="262"/>
  <c r="X784" i="262"/>
  <c r="P784" i="262"/>
  <c r="AF784" i="262"/>
  <c r="H833" i="262"/>
  <c r="H865" i="262"/>
  <c r="H881" i="262"/>
  <c r="H817" i="262"/>
  <c r="H801" i="262"/>
  <c r="H785" i="262"/>
  <c r="H849" i="262"/>
  <c r="V171" i="38" l="1"/>
  <c r="H171" i="38"/>
  <c r="I171" i="38"/>
  <c r="J171" i="38"/>
  <c r="K171" i="38"/>
  <c r="L171" i="38"/>
  <c r="M171" i="38"/>
  <c r="N171" i="38"/>
  <c r="O171" i="38"/>
  <c r="P171" i="38"/>
  <c r="Q171" i="38"/>
  <c r="R171" i="38"/>
  <c r="S171" i="38"/>
  <c r="T171" i="38"/>
  <c r="U171" i="38"/>
  <c r="AJ899" i="262"/>
  <c r="AB899" i="262"/>
  <c r="AF899" i="262"/>
  <c r="H900" i="262"/>
  <c r="L899" i="262"/>
  <c r="T899" i="262"/>
  <c r="P899" i="262"/>
  <c r="X899" i="262"/>
  <c r="AJ849" i="262"/>
  <c r="AB849" i="262"/>
  <c r="T849" i="262"/>
  <c r="L849" i="262"/>
  <c r="X849" i="262"/>
  <c r="P849" i="262"/>
  <c r="AF849" i="262"/>
  <c r="AJ881" i="262"/>
  <c r="AB881" i="262"/>
  <c r="T881" i="262"/>
  <c r="L881" i="262"/>
  <c r="P881" i="262"/>
  <c r="AF881" i="262"/>
  <c r="X881" i="262"/>
  <c r="AJ833" i="262"/>
  <c r="T833" i="262"/>
  <c r="AB833" i="262"/>
  <c r="L833" i="262"/>
  <c r="P833" i="262"/>
  <c r="AF833" i="262"/>
  <c r="X833" i="262"/>
  <c r="P801" i="262"/>
  <c r="X801" i="262"/>
  <c r="AF801" i="262"/>
  <c r="AB801" i="262"/>
  <c r="L801" i="262"/>
  <c r="AJ801" i="262"/>
  <c r="T801" i="262"/>
  <c r="AF817" i="262"/>
  <c r="X817" i="262"/>
  <c r="P817" i="262"/>
  <c r="AJ817" i="262"/>
  <c r="AB817" i="262"/>
  <c r="T817" i="262"/>
  <c r="L817" i="262"/>
  <c r="L865" i="262"/>
  <c r="T865" i="262"/>
  <c r="AB865" i="262"/>
  <c r="AJ865" i="262"/>
  <c r="X865" i="262"/>
  <c r="AF865" i="262"/>
  <c r="P865" i="262"/>
  <c r="AJ785" i="262"/>
  <c r="P785" i="262"/>
  <c r="AB785" i="262"/>
  <c r="L785" i="262"/>
  <c r="T785" i="262"/>
  <c r="AF785" i="262"/>
  <c r="X785" i="262"/>
  <c r="H802" i="262"/>
  <c r="H882" i="262"/>
  <c r="H834" i="262"/>
  <c r="H850" i="262"/>
  <c r="H818" i="262"/>
  <c r="H866" i="262"/>
  <c r="V174" i="38" l="1"/>
  <c r="H174" i="38"/>
  <c r="I174" i="38"/>
  <c r="J174" i="38"/>
  <c r="K174" i="38"/>
  <c r="L174" i="38"/>
  <c r="M174" i="38"/>
  <c r="N174" i="38"/>
  <c r="O174" i="38"/>
  <c r="P174" i="38"/>
  <c r="Q174" i="38"/>
  <c r="R174" i="38"/>
  <c r="S174" i="38"/>
  <c r="T174" i="38"/>
  <c r="U174" i="38"/>
  <c r="AJ900" i="262"/>
  <c r="AB900" i="262"/>
  <c r="P900" i="262"/>
  <c r="AF900" i="262"/>
  <c r="L900" i="262"/>
  <c r="T900" i="262"/>
  <c r="X900" i="262"/>
  <c r="H901" i="262"/>
  <c r="P818" i="262"/>
  <c r="X818" i="262"/>
  <c r="AF818" i="262"/>
  <c r="L818" i="262"/>
  <c r="T818" i="262"/>
  <c r="AB818" i="262"/>
  <c r="AJ818" i="262"/>
  <c r="L850" i="262"/>
  <c r="T850" i="262"/>
  <c r="AB850" i="262"/>
  <c r="AJ850" i="262"/>
  <c r="AF850" i="262"/>
  <c r="P850" i="262"/>
  <c r="X850" i="262"/>
  <c r="L882" i="262"/>
  <c r="T882" i="262"/>
  <c r="AB882" i="262"/>
  <c r="AJ882" i="262"/>
  <c r="X882" i="262"/>
  <c r="AF882" i="262"/>
  <c r="P882" i="262"/>
  <c r="AJ866" i="262"/>
  <c r="AB866" i="262"/>
  <c r="T866" i="262"/>
  <c r="L866" i="262"/>
  <c r="P866" i="262"/>
  <c r="AF866" i="262"/>
  <c r="X866" i="262"/>
  <c r="L834" i="262"/>
  <c r="AB834" i="262"/>
  <c r="T834" i="262"/>
  <c r="AJ834" i="262"/>
  <c r="AF834" i="262"/>
  <c r="P834" i="262"/>
  <c r="X834" i="262"/>
  <c r="X802" i="262"/>
  <c r="AF802" i="262"/>
  <c r="P802" i="262"/>
  <c r="L802" i="262"/>
  <c r="T802" i="262"/>
  <c r="AB802" i="262"/>
  <c r="AJ802" i="262"/>
  <c r="H851" i="262"/>
  <c r="H883" i="262"/>
  <c r="H867" i="262"/>
  <c r="H819" i="262"/>
  <c r="H835" i="262"/>
  <c r="V177" i="38" l="1"/>
  <c r="H177" i="38"/>
  <c r="I177" i="38"/>
  <c r="J177" i="38"/>
  <c r="K177" i="38"/>
  <c r="L177" i="38"/>
  <c r="M177" i="38"/>
  <c r="N177" i="38"/>
  <c r="O177" i="38"/>
  <c r="P177" i="38"/>
  <c r="Q177" i="38"/>
  <c r="R177" i="38"/>
  <c r="S177" i="38"/>
  <c r="T177" i="38"/>
  <c r="U177" i="38"/>
  <c r="L901" i="262"/>
  <c r="T901" i="262"/>
  <c r="P901" i="262"/>
  <c r="X901" i="262"/>
  <c r="AJ901" i="262"/>
  <c r="AB901" i="262"/>
  <c r="AF901" i="262"/>
  <c r="H902" i="262"/>
  <c r="AJ819" i="262"/>
  <c r="T819" i="262"/>
  <c r="X819" i="262"/>
  <c r="AF819" i="262"/>
  <c r="P819" i="262"/>
  <c r="AB819" i="262"/>
  <c r="L819" i="262"/>
  <c r="L867" i="262"/>
  <c r="T867" i="262"/>
  <c r="AB867" i="262"/>
  <c r="AJ867" i="262"/>
  <c r="X867" i="262"/>
  <c r="AF867" i="262"/>
  <c r="P867" i="262"/>
  <c r="AJ851" i="262"/>
  <c r="AB851" i="262"/>
  <c r="T851" i="262"/>
  <c r="L851" i="262"/>
  <c r="X851" i="262"/>
  <c r="P851" i="262"/>
  <c r="AF851" i="262"/>
  <c r="AJ835" i="262"/>
  <c r="T835" i="262"/>
  <c r="AB835" i="262"/>
  <c r="L835" i="262"/>
  <c r="P835" i="262"/>
  <c r="AF835" i="262"/>
  <c r="X835" i="262"/>
  <c r="AJ883" i="262"/>
  <c r="AB883" i="262"/>
  <c r="T883" i="262"/>
  <c r="L883" i="262"/>
  <c r="P883" i="262"/>
  <c r="AF883" i="262"/>
  <c r="X883" i="262"/>
  <c r="H836" i="262"/>
  <c r="H868" i="262"/>
  <c r="H852" i="262"/>
  <c r="H884" i="262"/>
  <c r="V180" i="38" l="1"/>
  <c r="H180" i="38"/>
  <c r="I180" i="38"/>
  <c r="J180" i="38"/>
  <c r="K180" i="38"/>
  <c r="L180" i="38"/>
  <c r="M180" i="38"/>
  <c r="N180" i="38"/>
  <c r="O180" i="38"/>
  <c r="P180" i="38"/>
  <c r="Q180" i="38"/>
  <c r="R180" i="38"/>
  <c r="S180" i="38"/>
  <c r="T180" i="38"/>
  <c r="U180" i="38"/>
  <c r="L902" i="262"/>
  <c r="T902" i="262"/>
  <c r="X902" i="262"/>
  <c r="AJ902" i="262"/>
  <c r="AB902" i="262"/>
  <c r="P902" i="262"/>
  <c r="AF902" i="262"/>
  <c r="H903" i="262"/>
  <c r="L852" i="262"/>
  <c r="T852" i="262"/>
  <c r="AB852" i="262"/>
  <c r="AJ852" i="262"/>
  <c r="AF852" i="262"/>
  <c r="P852" i="262"/>
  <c r="X852" i="262"/>
  <c r="L836" i="262"/>
  <c r="AJ836" i="262"/>
  <c r="AB836" i="262"/>
  <c r="T836" i="262"/>
  <c r="AF836" i="262"/>
  <c r="P836" i="262"/>
  <c r="X836" i="262"/>
  <c r="L884" i="262"/>
  <c r="T884" i="262"/>
  <c r="AB884" i="262"/>
  <c r="AJ884" i="262"/>
  <c r="X884" i="262"/>
  <c r="AF884" i="262"/>
  <c r="P884" i="262"/>
  <c r="AJ868" i="262"/>
  <c r="AB868" i="262"/>
  <c r="T868" i="262"/>
  <c r="L868" i="262"/>
  <c r="P868" i="262"/>
  <c r="AF868" i="262"/>
  <c r="X868" i="262"/>
  <c r="H885" i="262"/>
  <c r="H869" i="262"/>
  <c r="H853" i="262"/>
  <c r="V183" i="38" l="1"/>
  <c r="H183" i="38"/>
  <c r="I183" i="38"/>
  <c r="J183" i="38"/>
  <c r="K183" i="38"/>
  <c r="L183" i="38"/>
  <c r="M183" i="38"/>
  <c r="N183" i="38"/>
  <c r="O183" i="38"/>
  <c r="P183" i="38"/>
  <c r="Q183" i="38"/>
  <c r="R183" i="38"/>
  <c r="S183" i="38"/>
  <c r="T183" i="38"/>
  <c r="U183" i="38"/>
  <c r="L903" i="262"/>
  <c r="T903" i="262"/>
  <c r="P903" i="262"/>
  <c r="X903" i="262"/>
  <c r="AJ903" i="262"/>
  <c r="AB903" i="262"/>
  <c r="AF903" i="262"/>
  <c r="H904" i="262"/>
  <c r="D54" i="38" s="1"/>
  <c r="L869" i="262"/>
  <c r="T869" i="262"/>
  <c r="AB869" i="262"/>
  <c r="AJ869" i="262"/>
  <c r="AF869" i="262"/>
  <c r="P869" i="262"/>
  <c r="X869" i="262"/>
  <c r="AB853" i="262"/>
  <c r="L853" i="262"/>
  <c r="AJ853" i="262"/>
  <c r="T853" i="262"/>
  <c r="AF853" i="262"/>
  <c r="X853" i="262"/>
  <c r="P853" i="262"/>
  <c r="AJ885" i="262"/>
  <c r="AB885" i="262"/>
  <c r="T885" i="262"/>
  <c r="L885" i="262"/>
  <c r="P885" i="262"/>
  <c r="AF885" i="262"/>
  <c r="X885" i="262"/>
  <c r="H870" i="262"/>
  <c r="H886" i="262"/>
  <c r="V186" i="38" l="1"/>
  <c r="H186" i="38"/>
  <c r="I186" i="38"/>
  <c r="J186" i="38"/>
  <c r="K186" i="38"/>
  <c r="L186" i="38"/>
  <c r="M186" i="38"/>
  <c r="N186" i="38"/>
  <c r="O186" i="38"/>
  <c r="P186" i="38"/>
  <c r="Q186" i="38"/>
  <c r="R186" i="38"/>
  <c r="S186" i="38"/>
  <c r="T186" i="38"/>
  <c r="H192" i="38"/>
  <c r="I192" i="38"/>
  <c r="J192" i="38"/>
  <c r="K192" i="38"/>
  <c r="L192" i="38"/>
  <c r="M192" i="38"/>
  <c r="N192" i="38"/>
  <c r="O192" i="38"/>
  <c r="P192" i="38"/>
  <c r="Q192" i="38"/>
  <c r="R192" i="38"/>
  <c r="S192" i="38"/>
  <c r="T192" i="38"/>
  <c r="U192" i="38"/>
  <c r="U186" i="38"/>
  <c r="V192" i="38"/>
  <c r="L904" i="262"/>
  <c r="T904" i="262"/>
  <c r="X904" i="262"/>
  <c r="AJ904" i="262"/>
  <c r="P904" i="262"/>
  <c r="AB904" i="262"/>
  <c r="AF904" i="262"/>
  <c r="AJ870" i="262"/>
  <c r="T870" i="262"/>
  <c r="AB870" i="262"/>
  <c r="L870" i="262"/>
  <c r="X870" i="262"/>
  <c r="AF870" i="262"/>
  <c r="P870" i="262"/>
  <c r="L886" i="262"/>
  <c r="T886" i="262"/>
  <c r="AB886" i="262"/>
  <c r="AJ886" i="262"/>
  <c r="AF886" i="262"/>
  <c r="P886" i="262"/>
  <c r="X886" i="262"/>
  <c r="H887" i="262"/>
  <c r="V189" i="38" l="1"/>
  <c r="H189" i="38"/>
  <c r="I189" i="38"/>
  <c r="J189" i="38"/>
  <c r="K189" i="38"/>
  <c r="L189" i="38"/>
  <c r="M189" i="38"/>
  <c r="N189" i="38"/>
  <c r="O189" i="38"/>
  <c r="P189" i="38"/>
  <c r="Q189" i="38"/>
  <c r="R189" i="38"/>
  <c r="S189" i="38"/>
  <c r="T189" i="38"/>
  <c r="U189" i="38"/>
  <c r="AB887" i="262"/>
  <c r="L887" i="262"/>
  <c r="AJ887" i="262"/>
  <c r="T887" i="262"/>
  <c r="X887" i="262"/>
  <c r="AF887" i="262"/>
  <c r="P887" i="262"/>
  <c r="U39" i="1103" l="1"/>
  <c r="U22" i="1103"/>
  <c r="AK39" i="262"/>
  <c r="AK22" i="1103"/>
  <c r="AK192" i="262"/>
  <c r="AK209" i="262"/>
  <c r="AK22" i="262"/>
  <c r="AK90" i="262"/>
  <c r="AK124" i="262"/>
  <c r="AK158" i="262"/>
  <c r="AK464" i="262"/>
  <c r="AK498" i="262"/>
  <c r="AK532" i="262"/>
  <c r="AK651" i="262"/>
  <c r="AK566" i="262"/>
  <c r="AK600" i="262"/>
  <c r="AK668" i="262"/>
  <c r="AI22" i="1103"/>
  <c r="AI56" i="262"/>
  <c r="AI90" i="262"/>
  <c r="AI124" i="262"/>
  <c r="AI158" i="262"/>
  <c r="AY22" i="262"/>
  <c r="AI73" i="262"/>
  <c r="AI209" i="262"/>
  <c r="AI464" i="262"/>
  <c r="AI532" i="262"/>
  <c r="AI498" i="262"/>
  <c r="AI566" i="262"/>
  <c r="AI600" i="262"/>
  <c r="AI634" i="262"/>
  <c r="AI668" i="262"/>
  <c r="K21" i="261"/>
  <c r="K38" i="261"/>
  <c r="K89" i="261"/>
  <c r="S55" i="261"/>
  <c r="W38" i="261"/>
  <c r="S38" i="261"/>
  <c r="W89" i="261"/>
  <c r="O55" i="261"/>
  <c r="O191" i="261"/>
  <c r="AK73" i="262"/>
  <c r="BA22" i="262"/>
  <c r="AK56" i="262"/>
  <c r="AK107" i="262"/>
  <c r="AK141" i="262"/>
  <c r="AK175" i="262"/>
  <c r="AK481" i="262"/>
  <c r="AK515" i="262"/>
  <c r="AK634" i="262"/>
  <c r="AK549" i="262"/>
  <c r="AK583" i="262"/>
  <c r="AK617" i="262"/>
  <c r="AK685" i="262"/>
  <c r="S39" i="1103"/>
  <c r="S22" i="1103"/>
  <c r="AI22" i="262"/>
  <c r="AI107" i="262"/>
  <c r="AI141" i="262"/>
  <c r="AI175" i="262"/>
  <c r="AI39" i="262"/>
  <c r="AI192" i="262"/>
  <c r="AI515" i="262"/>
  <c r="AI481" i="262"/>
  <c r="AI549" i="262"/>
  <c r="AI583" i="262"/>
  <c r="AI617" i="262"/>
  <c r="AI651" i="262"/>
  <c r="AI685" i="262"/>
  <c r="K72" i="261"/>
  <c r="K208" i="261"/>
  <c r="K55" i="261"/>
  <c r="K191" i="261"/>
  <c r="S89" i="261"/>
  <c r="W72" i="261"/>
  <c r="W208" i="261"/>
  <c r="S72" i="261"/>
  <c r="S208" i="261"/>
  <c r="W55" i="261"/>
  <c r="O89" i="261"/>
  <c r="W191" i="261"/>
  <c r="S191" i="261"/>
  <c r="O38" i="261"/>
  <c r="W21" i="261"/>
  <c r="Q72" i="261"/>
  <c r="Q208" i="261"/>
  <c r="Q21" i="261"/>
  <c r="U72" i="261"/>
  <c r="U208" i="261"/>
  <c r="Y55" i="261"/>
  <c r="Q89" i="261"/>
  <c r="U89" i="261"/>
  <c r="Y72" i="261"/>
  <c r="Y208" i="261"/>
  <c r="Y21" i="261"/>
  <c r="M89" i="261"/>
  <c r="M38" i="261"/>
  <c r="M21" i="261"/>
  <c r="O21" i="261"/>
  <c r="O72" i="261"/>
  <c r="O208" i="261"/>
  <c r="S21" i="261"/>
  <c r="U191" i="261"/>
  <c r="Q38" i="261"/>
  <c r="Y191" i="261"/>
  <c r="U38" i="261"/>
  <c r="Y89" i="261"/>
  <c r="Q55" i="261"/>
  <c r="Q191" i="261"/>
  <c r="U55" i="261"/>
  <c r="Y38" i="261"/>
  <c r="U21" i="261"/>
  <c r="M55" i="261"/>
  <c r="M191" i="261"/>
  <c r="M72" i="261"/>
  <c r="M208" i="261"/>
  <c r="U227" i="262" l="1"/>
  <c r="Y227" i="262"/>
  <c r="AK227" i="262"/>
  <c r="Q227" i="262"/>
  <c r="M227" i="262"/>
  <c r="AC227" i="262"/>
  <c r="AG227" i="262"/>
  <c r="AG244" i="262"/>
  <c r="AC244" i="262"/>
  <c r="Q244" i="262"/>
  <c r="AK244" i="262"/>
  <c r="M244" i="262"/>
  <c r="Y244" i="262"/>
  <c r="U244" i="262"/>
  <c r="Q261" i="262"/>
  <c r="AC261" i="262"/>
  <c r="AG261" i="262"/>
  <c r="U261" i="262"/>
  <c r="M261" i="262"/>
  <c r="Y261" i="262"/>
  <c r="AK261" i="262"/>
  <c r="Y278" i="262"/>
  <c r="U278" i="262"/>
  <c r="AG278" i="262"/>
  <c r="AC278" i="262"/>
  <c r="Q278" i="262"/>
  <c r="AK278" i="262"/>
  <c r="M278" i="262"/>
  <c r="U228" i="262"/>
  <c r="AG228" i="262"/>
  <c r="Q295" i="262"/>
  <c r="AC295" i="262"/>
  <c r="AC228" i="262"/>
  <c r="AG295" i="262"/>
  <c r="U295" i="262"/>
  <c r="M228" i="262"/>
  <c r="Q228" i="262"/>
  <c r="M295" i="262"/>
  <c r="AK228" i="262"/>
  <c r="Y228" i="262"/>
  <c r="Y295" i="262"/>
  <c r="AK295" i="262"/>
  <c r="AC229" i="262"/>
  <c r="Q229" i="262"/>
  <c r="U312" i="262"/>
  <c r="Y312" i="262"/>
  <c r="U245" i="262"/>
  <c r="Q245" i="262"/>
  <c r="U229" i="262"/>
  <c r="AK312" i="262"/>
  <c r="Q312" i="262"/>
  <c r="AC245" i="262"/>
  <c r="Y245" i="262"/>
  <c r="AK229" i="262"/>
  <c r="AG229" i="262"/>
  <c r="M312" i="262"/>
  <c r="AK245" i="262"/>
  <c r="AG245" i="262"/>
  <c r="M229" i="262"/>
  <c r="Y229" i="262"/>
  <c r="AC312" i="262"/>
  <c r="AG312" i="262"/>
  <c r="M245" i="262"/>
  <c r="AC262" i="262"/>
  <c r="Y262" i="262"/>
  <c r="M230" i="262"/>
  <c r="Q230" i="262"/>
  <c r="M246" i="262"/>
  <c r="AK329" i="262"/>
  <c r="Y329" i="262"/>
  <c r="U262" i="262"/>
  <c r="Q262" i="262"/>
  <c r="AC230" i="262"/>
  <c r="Q246" i="262"/>
  <c r="U246" i="262"/>
  <c r="U329" i="262"/>
  <c r="Q329" i="262"/>
  <c r="M262" i="262"/>
  <c r="U230" i="262"/>
  <c r="AG230" i="262"/>
  <c r="Y246" i="262"/>
  <c r="AC246" i="262"/>
  <c r="AC329" i="262"/>
  <c r="AG329" i="262"/>
  <c r="AK262" i="262"/>
  <c r="AG262" i="262"/>
  <c r="AK230" i="262"/>
  <c r="Y230" i="262"/>
  <c r="AG246" i="262"/>
  <c r="AK246" i="262"/>
  <c r="M329" i="262"/>
  <c r="Q263" i="262"/>
  <c r="U263" i="262"/>
  <c r="M231" i="262"/>
  <c r="Y231" i="262"/>
  <c r="U279" i="262"/>
  <c r="Q279" i="262"/>
  <c r="AK247" i="262"/>
  <c r="M346" i="262"/>
  <c r="Y346" i="262"/>
  <c r="Y263" i="262"/>
  <c r="AC263" i="262"/>
  <c r="AK231" i="262"/>
  <c r="AG231" i="262"/>
  <c r="M279" i="262"/>
  <c r="AG247" i="262"/>
  <c r="AC247" i="262"/>
  <c r="AC346" i="262"/>
  <c r="Q346" i="262"/>
  <c r="AG263" i="262"/>
  <c r="AK263" i="262"/>
  <c r="U231" i="262"/>
  <c r="AK279" i="262"/>
  <c r="AG279" i="262"/>
  <c r="Y247" i="262"/>
  <c r="U247" i="262"/>
  <c r="U346" i="262"/>
  <c r="M263" i="262"/>
  <c r="AC231" i="262"/>
  <c r="Q231" i="262"/>
  <c r="AC279" i="262"/>
  <c r="Y279" i="262"/>
  <c r="Q247" i="262"/>
  <c r="M247" i="262"/>
  <c r="AK346" i="262"/>
  <c r="AG346" i="262"/>
  <c r="AG264" i="262"/>
  <c r="AC264" i="262"/>
  <c r="AC296" i="262"/>
  <c r="Y296" i="262"/>
  <c r="AK280" i="262"/>
  <c r="Q248" i="262"/>
  <c r="U248" i="262"/>
  <c r="AK232" i="262"/>
  <c r="Y232" i="262"/>
  <c r="AC363" i="262"/>
  <c r="AG363" i="262"/>
  <c r="AK264" i="262"/>
  <c r="AK296" i="262"/>
  <c r="AG296" i="262"/>
  <c r="M280" i="262"/>
  <c r="Q280" i="262"/>
  <c r="Y248" i="262"/>
  <c r="AC248" i="262"/>
  <c r="M232" i="262"/>
  <c r="Q232" i="262"/>
  <c r="M363" i="262"/>
  <c r="Q264" i="262"/>
  <c r="M264" i="262"/>
  <c r="M296" i="262"/>
  <c r="U280" i="262"/>
  <c r="Y280" i="262"/>
  <c r="AG248" i="262"/>
  <c r="AK248" i="262"/>
  <c r="AC232" i="262"/>
  <c r="AK363" i="262"/>
  <c r="Q363" i="262"/>
  <c r="Y264" i="262"/>
  <c r="U264" i="262"/>
  <c r="U296" i="262"/>
  <c r="Q296" i="262"/>
  <c r="AC280" i="262"/>
  <c r="AG280" i="262"/>
  <c r="M248" i="262"/>
  <c r="U232" i="262"/>
  <c r="AG232" i="262"/>
  <c r="U363" i="262"/>
  <c r="Y363" i="262"/>
  <c r="AG313" i="262"/>
  <c r="M313" i="262"/>
  <c r="M233" i="262"/>
  <c r="Y233" i="262"/>
  <c r="Q249" i="262"/>
  <c r="M249" i="262"/>
  <c r="M265" i="262"/>
  <c r="Q297" i="262"/>
  <c r="U297" i="262"/>
  <c r="Y281" i="262"/>
  <c r="U281" i="262"/>
  <c r="U380" i="262"/>
  <c r="U313" i="262"/>
  <c r="AC233" i="262"/>
  <c r="Q233" i="262"/>
  <c r="Y249" i="262"/>
  <c r="U249" i="262"/>
  <c r="AG265" i="262"/>
  <c r="AK265" i="262"/>
  <c r="M297" i="262"/>
  <c r="AG281" i="262"/>
  <c r="AC281" i="262"/>
  <c r="AC380" i="262"/>
  <c r="Q380" i="262"/>
  <c r="AC313" i="262"/>
  <c r="Q313" i="262"/>
  <c r="U233" i="262"/>
  <c r="AG249" i="262"/>
  <c r="AC249" i="262"/>
  <c r="Y265" i="262"/>
  <c r="AC265" i="262"/>
  <c r="AG297" i="262"/>
  <c r="AK297" i="262"/>
  <c r="AK281" i="262"/>
  <c r="M380" i="262"/>
  <c r="Y380" i="262"/>
  <c r="AK313" i="262"/>
  <c r="Y313" i="262"/>
  <c r="AK233" i="262"/>
  <c r="AG233" i="262"/>
  <c r="AK249" i="262"/>
  <c r="Q265" i="262"/>
  <c r="U265" i="262"/>
  <c r="Y297" i="262"/>
  <c r="AC297" i="262"/>
  <c r="Q281" i="262"/>
  <c r="M281" i="262"/>
  <c r="AK380" i="262"/>
  <c r="AG380" i="262"/>
  <c r="AG266" i="262"/>
  <c r="AC266" i="262"/>
  <c r="Y250" i="262"/>
  <c r="AC250" i="262"/>
  <c r="M234" i="262"/>
  <c r="Q234" i="262"/>
  <c r="AK314" i="262"/>
  <c r="Y282" i="262"/>
  <c r="AC282" i="262"/>
  <c r="Q298" i="262"/>
  <c r="M298" i="262"/>
  <c r="M397" i="262"/>
  <c r="M330" i="262"/>
  <c r="AG330" i="262"/>
  <c r="AK266" i="262"/>
  <c r="Q250" i="262"/>
  <c r="U250" i="262"/>
  <c r="AK234" i="262"/>
  <c r="Y234" i="262"/>
  <c r="AC314" i="262"/>
  <c r="Y314" i="262"/>
  <c r="AG282" i="262"/>
  <c r="AK282" i="262"/>
  <c r="AK298" i="262"/>
  <c r="Y397" i="262"/>
  <c r="U397" i="262"/>
  <c r="AK330" i="262"/>
  <c r="Y330" i="262"/>
  <c r="Q266" i="262"/>
  <c r="M266" i="262"/>
  <c r="M250" i="262"/>
  <c r="U234" i="262"/>
  <c r="AG234" i="262"/>
  <c r="U314" i="262"/>
  <c r="Q314" i="262"/>
  <c r="M282" i="262"/>
  <c r="AG298" i="262"/>
  <c r="AC298" i="262"/>
  <c r="AG397" i="262"/>
  <c r="AC397" i="262"/>
  <c r="U330" i="262"/>
  <c r="Q330" i="262"/>
  <c r="Y266" i="262"/>
  <c r="U266" i="262"/>
  <c r="AG250" i="262"/>
  <c r="AK250" i="262"/>
  <c r="AC234" i="262"/>
  <c r="M314" i="262"/>
  <c r="AG314" i="262"/>
  <c r="Q282" i="262"/>
  <c r="U282" i="262"/>
  <c r="Y298" i="262"/>
  <c r="U298" i="262"/>
  <c r="Q397" i="262"/>
  <c r="AK397" i="262"/>
  <c r="AC330" i="262"/>
  <c r="Q299" i="262"/>
  <c r="U299" i="262"/>
  <c r="M235" i="262"/>
  <c r="Y235" i="262"/>
  <c r="Q283" i="262"/>
  <c r="M283" i="262"/>
  <c r="AK251" i="262"/>
  <c r="Y267" i="262"/>
  <c r="U267" i="262"/>
  <c r="AK315" i="262"/>
  <c r="Y315" i="262"/>
  <c r="AC331" i="262"/>
  <c r="Q331" i="262"/>
  <c r="M414" i="262"/>
  <c r="Y414" i="262"/>
  <c r="M347" i="262"/>
  <c r="Q347" i="262"/>
  <c r="M299" i="262"/>
  <c r="AC235" i="262"/>
  <c r="Q235" i="262"/>
  <c r="Y283" i="262"/>
  <c r="U283" i="262"/>
  <c r="Q251" i="262"/>
  <c r="M251" i="262"/>
  <c r="M267" i="262"/>
  <c r="AC315" i="262"/>
  <c r="Q315" i="262"/>
  <c r="M331" i="262"/>
  <c r="AC414" i="262"/>
  <c r="Q414" i="262"/>
  <c r="AK347" i="262"/>
  <c r="Y347" i="262"/>
  <c r="AG299" i="262"/>
  <c r="AK299" i="262"/>
  <c r="U235" i="262"/>
  <c r="AG283" i="262"/>
  <c r="AC283" i="262"/>
  <c r="Y251" i="262"/>
  <c r="U251" i="262"/>
  <c r="Q267" i="262"/>
  <c r="AK267" i="262"/>
  <c r="U315" i="262"/>
  <c r="AG315" i="262"/>
  <c r="AK331" i="262"/>
  <c r="AG331" i="262"/>
  <c r="U414" i="262"/>
  <c r="U347" i="262"/>
  <c r="AG347" i="262"/>
  <c r="Y299" i="262"/>
  <c r="AC299" i="262"/>
  <c r="AK235" i="262"/>
  <c r="AG235" i="262"/>
  <c r="AK283" i="262"/>
  <c r="AG251" i="262"/>
  <c r="AC251" i="262"/>
  <c r="AG267" i="262"/>
  <c r="AC267" i="262"/>
  <c r="M315" i="262"/>
  <c r="U331" i="262"/>
  <c r="Y331" i="262"/>
  <c r="AK414" i="262"/>
  <c r="AG414" i="262"/>
  <c r="AC347" i="262"/>
  <c r="Y268" i="262"/>
  <c r="U268" i="262"/>
  <c r="M252" i="262"/>
  <c r="M316" i="262"/>
  <c r="AG316" i="262"/>
  <c r="Y300" i="262"/>
  <c r="U300" i="262"/>
  <c r="M284" i="262"/>
  <c r="U236" i="262"/>
  <c r="AG236" i="262"/>
  <c r="AC348" i="262"/>
  <c r="Q348" i="262"/>
  <c r="AK332" i="262"/>
  <c r="Y332" i="262"/>
  <c r="Y431" i="262"/>
  <c r="AK431" i="262"/>
  <c r="AK364" i="262"/>
  <c r="AG268" i="262"/>
  <c r="AC268" i="262"/>
  <c r="Q252" i="262"/>
  <c r="U252" i="262"/>
  <c r="U316" i="262"/>
  <c r="Q316" i="262"/>
  <c r="Q300" i="262"/>
  <c r="M300" i="262"/>
  <c r="AG284" i="262"/>
  <c r="AK284" i="262"/>
  <c r="AC236" i="262"/>
  <c r="M348" i="262"/>
  <c r="Y348" i="262"/>
  <c r="U332" i="262"/>
  <c r="Q332" i="262"/>
  <c r="M431" i="262"/>
  <c r="M364" i="262"/>
  <c r="AG364" i="262"/>
  <c r="AK268" i="262"/>
  <c r="Y252" i="262"/>
  <c r="AC252" i="262"/>
  <c r="AC316" i="262"/>
  <c r="Y316" i="262"/>
  <c r="AK300" i="262"/>
  <c r="Y284" i="262"/>
  <c r="AC284" i="262"/>
  <c r="M236" i="262"/>
  <c r="Q236" i="262"/>
  <c r="AK348" i="262"/>
  <c r="AG348" i="262"/>
  <c r="AC332" i="262"/>
  <c r="AG431" i="262"/>
  <c r="U431" i="262"/>
  <c r="AC364" i="262"/>
  <c r="Y364" i="262"/>
  <c r="Q268" i="262"/>
  <c r="M268" i="262"/>
  <c r="AG252" i="262"/>
  <c r="AK252" i="262"/>
  <c r="AK316" i="262"/>
  <c r="AG300" i="262"/>
  <c r="AC300" i="262"/>
  <c r="Q284" i="262"/>
  <c r="U284" i="262"/>
  <c r="AK236" i="262"/>
  <c r="Y236" i="262"/>
  <c r="U348" i="262"/>
  <c r="M332" i="262"/>
  <c r="AG332" i="262"/>
  <c r="Q431" i="262"/>
  <c r="AC431" i="262"/>
  <c r="U364" i="262"/>
  <c r="Q364" i="262"/>
  <c r="AC317" i="262"/>
  <c r="Q317" i="262"/>
  <c r="Q285" i="262"/>
  <c r="M285" i="262"/>
  <c r="M269" i="262"/>
  <c r="AC237" i="262"/>
  <c r="Q237" i="262"/>
  <c r="Y301" i="262"/>
  <c r="AC301" i="262"/>
  <c r="Y253" i="262"/>
  <c r="AK448" i="262"/>
  <c r="Q448" i="262"/>
  <c r="AK349" i="262"/>
  <c r="Y349" i="262"/>
  <c r="M381" i="262"/>
  <c r="Q381" i="262"/>
  <c r="M365" i="262"/>
  <c r="AC333" i="262"/>
  <c r="Q333" i="262"/>
  <c r="AK317" i="262"/>
  <c r="Y317" i="262"/>
  <c r="Y285" i="262"/>
  <c r="U285" i="262"/>
  <c r="AG269" i="262"/>
  <c r="AK269" i="262"/>
  <c r="U237" i="262"/>
  <c r="Q301" i="262"/>
  <c r="U301" i="262"/>
  <c r="AC253" i="262"/>
  <c r="Q253" i="262"/>
  <c r="U448" i="262"/>
  <c r="Y448" i="262"/>
  <c r="M349" i="262"/>
  <c r="Q349" i="262"/>
  <c r="AC381" i="262"/>
  <c r="AK365" i="262"/>
  <c r="Q365" i="262"/>
  <c r="U333" i="262"/>
  <c r="Y333" i="262"/>
  <c r="M317" i="262"/>
  <c r="AG285" i="262"/>
  <c r="AC285" i="262"/>
  <c r="Y269" i="262"/>
  <c r="AC269" i="262"/>
  <c r="AK237" i="262"/>
  <c r="AG237" i="262"/>
  <c r="M301" i="262"/>
  <c r="M253" i="262"/>
  <c r="AK253" i="262"/>
  <c r="AC448" i="262"/>
  <c r="AG448" i="262"/>
  <c r="AC349" i="262"/>
  <c r="U381" i="262"/>
  <c r="AG381" i="262"/>
  <c r="U365" i="262"/>
  <c r="Y365" i="262"/>
  <c r="AK333" i="262"/>
  <c r="AG333" i="262"/>
  <c r="U317" i="262"/>
  <c r="AG317" i="262"/>
  <c r="AK285" i="262"/>
  <c r="Q269" i="262"/>
  <c r="U269" i="262"/>
  <c r="M237" i="262"/>
  <c r="Y237" i="262"/>
  <c r="AG301" i="262"/>
  <c r="AK301" i="262"/>
  <c r="AG253" i="262"/>
  <c r="U253" i="262"/>
  <c r="M448" i="262"/>
  <c r="U349" i="262"/>
  <c r="AG349" i="262"/>
  <c r="AK381" i="262"/>
  <c r="Y381" i="262"/>
  <c r="AC365" i="262"/>
  <c r="AG365" i="262"/>
  <c r="M333" i="262"/>
  <c r="U318" i="262"/>
  <c r="M318" i="262"/>
  <c r="Q318" i="262"/>
  <c r="AG286" i="262"/>
  <c r="AK286" i="262"/>
  <c r="AC238" i="262"/>
  <c r="AG270" i="262"/>
  <c r="AC270" i="262"/>
  <c r="Y302" i="262"/>
  <c r="U302" i="262"/>
  <c r="AG254" i="262"/>
  <c r="AK254" i="262"/>
  <c r="U382" i="262"/>
  <c r="M366" i="262"/>
  <c r="AG366" i="262"/>
  <c r="AK334" i="262"/>
  <c r="Y334" i="262"/>
  <c r="Q398" i="262"/>
  <c r="M398" i="262"/>
  <c r="AK350" i="262"/>
  <c r="AG350" i="262"/>
  <c r="AG318" i="262"/>
  <c r="Y286" i="262"/>
  <c r="AC286" i="262"/>
  <c r="M238" i="262"/>
  <c r="Q238" i="262"/>
  <c r="AK270" i="262"/>
  <c r="AG302" i="262"/>
  <c r="AC302" i="262"/>
  <c r="Y254" i="262"/>
  <c r="AC254" i="262"/>
  <c r="AK382" i="262"/>
  <c r="AG382" i="262"/>
  <c r="AK366" i="262"/>
  <c r="M334" i="262"/>
  <c r="AG334" i="262"/>
  <c r="Y398" i="262"/>
  <c r="U398" i="262"/>
  <c r="U350" i="262"/>
  <c r="AK318" i="262"/>
  <c r="AC318" i="262"/>
  <c r="Q286" i="262"/>
  <c r="U286" i="262"/>
  <c r="AK238" i="262"/>
  <c r="Y238" i="262"/>
  <c r="Q270" i="262"/>
  <c r="M270" i="262"/>
  <c r="AK302" i="262"/>
  <c r="Q254" i="262"/>
  <c r="U254" i="262"/>
  <c r="M382" i="262"/>
  <c r="Y382" i="262"/>
  <c r="U366" i="262"/>
  <c r="Q366" i="262"/>
  <c r="AC334" i="262"/>
  <c r="AG398" i="262"/>
  <c r="AC398" i="262"/>
  <c r="AC350" i="262"/>
  <c r="Q350" i="262"/>
  <c r="Y318" i="262"/>
  <c r="M286" i="262"/>
  <c r="U238" i="262"/>
  <c r="AG238" i="262"/>
  <c r="Y270" i="262"/>
  <c r="U270" i="262"/>
  <c r="Q302" i="262"/>
  <c r="M302" i="262"/>
  <c r="M254" i="262"/>
  <c r="AC382" i="262"/>
  <c r="Q382" i="262"/>
  <c r="AC366" i="262"/>
  <c r="Y366" i="262"/>
  <c r="U334" i="262"/>
  <c r="Q334" i="262"/>
  <c r="AK398" i="262"/>
  <c r="M350" i="262"/>
  <c r="Y350" i="262"/>
  <c r="AC319" i="262"/>
  <c r="AG319" i="262"/>
  <c r="AK239" i="262"/>
  <c r="AG239" i="262"/>
  <c r="AK319" i="262"/>
  <c r="Q319" i="262"/>
  <c r="M239" i="262"/>
  <c r="Y239" i="262"/>
  <c r="Q287" i="262"/>
  <c r="M287" i="262"/>
  <c r="M303" i="262"/>
  <c r="AG255" i="262"/>
  <c r="AC255" i="262"/>
  <c r="Y271" i="262"/>
  <c r="U271" i="262"/>
  <c r="Y399" i="262"/>
  <c r="AC399" i="262"/>
  <c r="M351" i="262"/>
  <c r="Q351" i="262"/>
  <c r="M335" i="262"/>
  <c r="U383" i="262"/>
  <c r="AG383" i="262"/>
  <c r="U367" i="262"/>
  <c r="Y367" i="262"/>
  <c r="U415" i="262"/>
  <c r="Q415" i="262"/>
  <c r="U287" i="262"/>
  <c r="AG303" i="262"/>
  <c r="AK303" i="262"/>
  <c r="AK255" i="262"/>
  <c r="Q271" i="262"/>
  <c r="AC271" i="262"/>
  <c r="AG399" i="262"/>
  <c r="AK399" i="262"/>
  <c r="AC351" i="262"/>
  <c r="AC335" i="262"/>
  <c r="Q335" i="262"/>
  <c r="AK383" i="262"/>
  <c r="Y383" i="262"/>
  <c r="AC367" i="262"/>
  <c r="AG367" i="262"/>
  <c r="AK415" i="262"/>
  <c r="M319" i="262"/>
  <c r="AC239" i="262"/>
  <c r="Q239" i="262"/>
  <c r="Y287" i="262"/>
  <c r="U319" i="262"/>
  <c r="Y319" i="262"/>
  <c r="U239" i="262"/>
  <c r="AG287" i="262"/>
  <c r="AC287" i="262"/>
  <c r="Y303" i="262"/>
  <c r="AC303" i="262"/>
  <c r="Q255" i="262"/>
  <c r="M255" i="262"/>
  <c r="AG271" i="262"/>
  <c r="AK271" i="262"/>
  <c r="M399" i="262"/>
  <c r="U351" i="262"/>
  <c r="AG351" i="262"/>
  <c r="U335" i="262"/>
  <c r="Y335" i="262"/>
  <c r="M383" i="262"/>
  <c r="Q383" i="262"/>
  <c r="M367" i="262"/>
  <c r="M415" i="262"/>
  <c r="AG415" i="262"/>
  <c r="AK287" i="262"/>
  <c r="Q303" i="262"/>
  <c r="U303" i="262"/>
  <c r="Y255" i="262"/>
  <c r="U255" i="262"/>
  <c r="M271" i="262"/>
  <c r="Q399" i="262"/>
  <c r="U399" i="262"/>
  <c r="AK351" i="262"/>
  <c r="Y351" i="262"/>
  <c r="AK335" i="262"/>
  <c r="AG335" i="262"/>
  <c r="AC383" i="262"/>
  <c r="AK367" i="262"/>
  <c r="Q367" i="262"/>
  <c r="AC415" i="262"/>
  <c r="Y415" i="262"/>
  <c r="Y304" i="262"/>
  <c r="U304" i="262"/>
  <c r="AK272" i="262"/>
  <c r="Q256" i="262"/>
  <c r="U256" i="262"/>
  <c r="AG288" i="262"/>
  <c r="AC288" i="262"/>
  <c r="M240" i="262"/>
  <c r="Q240" i="262"/>
  <c r="U320" i="262"/>
  <c r="M368" i="262"/>
  <c r="AG368" i="262"/>
  <c r="U416" i="262"/>
  <c r="Y416" i="262"/>
  <c r="Q432" i="262"/>
  <c r="M432" i="262"/>
  <c r="AC336" i="262"/>
  <c r="AC352" i="262"/>
  <c r="Q352" i="262"/>
  <c r="Y400" i="262"/>
  <c r="U400" i="262"/>
  <c r="AK384" i="262"/>
  <c r="AG384" i="262"/>
  <c r="Q304" i="262"/>
  <c r="M304" i="262"/>
  <c r="Y272" i="262"/>
  <c r="M272" i="262"/>
  <c r="M256" i="262"/>
  <c r="Q288" i="262"/>
  <c r="U288" i="262"/>
  <c r="AK240" i="262"/>
  <c r="Y240" i="262"/>
  <c r="M320" i="262"/>
  <c r="Y320" i="262"/>
  <c r="AK368" i="262"/>
  <c r="AK416" i="262"/>
  <c r="Q416" i="262"/>
  <c r="Y432" i="262"/>
  <c r="U432" i="262"/>
  <c r="U336" i="262"/>
  <c r="Q336" i="262"/>
  <c r="U352" i="262"/>
  <c r="AG400" i="262"/>
  <c r="AC400" i="262"/>
  <c r="M384" i="262"/>
  <c r="Y384" i="262"/>
  <c r="AK304" i="262"/>
  <c r="Q272" i="262"/>
  <c r="U272" i="262"/>
  <c r="AG256" i="262"/>
  <c r="AK256" i="262"/>
  <c r="M288" i="262"/>
  <c r="U240" i="262"/>
  <c r="AG240" i="262"/>
  <c r="Q320" i="262"/>
  <c r="AK320" i="262"/>
  <c r="U368" i="262"/>
  <c r="Q368" i="262"/>
  <c r="M416" i="262"/>
  <c r="AG432" i="262"/>
  <c r="AC432" i="262"/>
  <c r="AK336" i="262"/>
  <c r="Y336" i="262"/>
  <c r="AK352" i="262"/>
  <c r="AG352" i="262"/>
  <c r="AK400" i="262"/>
  <c r="AC384" i="262"/>
  <c r="Q384" i="262"/>
  <c r="AG304" i="262"/>
  <c r="AC304" i="262"/>
  <c r="AG272" i="262"/>
  <c r="AC272" i="262"/>
  <c r="Y256" i="262"/>
  <c r="AC256" i="262"/>
  <c r="Y288" i="262"/>
  <c r="AK288" i="262"/>
  <c r="AC240" i="262"/>
  <c r="AG320" i="262"/>
  <c r="AC320" i="262"/>
  <c r="AC368" i="262"/>
  <c r="Y368" i="262"/>
  <c r="AC416" i="262"/>
  <c r="AG416" i="262"/>
  <c r="AK432" i="262"/>
  <c r="M336" i="262"/>
  <c r="AG336" i="262"/>
  <c r="M352" i="262"/>
  <c r="Y352" i="262"/>
  <c r="Q400" i="262"/>
  <c r="M400" i="262"/>
  <c r="U384" i="262"/>
  <c r="Y321" i="262"/>
  <c r="AK321" i="262"/>
  <c r="M241" i="262"/>
  <c r="Y241" i="262"/>
  <c r="AG273" i="262"/>
  <c r="AK273" i="262"/>
  <c r="AK289" i="262"/>
  <c r="Q305" i="262"/>
  <c r="U305" i="262"/>
  <c r="Y257" i="262"/>
  <c r="U257" i="262"/>
  <c r="M385" i="262"/>
  <c r="Q385" i="262"/>
  <c r="M401" i="262"/>
  <c r="AK369" i="262"/>
  <c r="Q369" i="262"/>
  <c r="AC417" i="262"/>
  <c r="Y417" i="262"/>
  <c r="U449" i="262"/>
  <c r="Q449" i="262"/>
  <c r="AC353" i="262"/>
  <c r="AC337" i="262"/>
  <c r="Q337" i="262"/>
  <c r="Y433" i="262"/>
  <c r="AK433" i="262"/>
  <c r="AG321" i="262"/>
  <c r="AK241" i="262"/>
  <c r="Q241" i="262"/>
  <c r="Q273" i="262"/>
  <c r="AC273" i="262"/>
  <c r="Q289" i="262"/>
  <c r="M289" i="262"/>
  <c r="M305" i="262"/>
  <c r="AG257" i="262"/>
  <c r="AC257" i="262"/>
  <c r="AK385" i="262"/>
  <c r="Y385" i="262"/>
  <c r="AG401" i="262"/>
  <c r="AK401" i="262"/>
  <c r="M369" i="262"/>
  <c r="M417" i="262"/>
  <c r="AG417" i="262"/>
  <c r="AC449" i="262"/>
  <c r="Y449" i="262"/>
  <c r="M353" i="262"/>
  <c r="Q353" i="262"/>
  <c r="M337" i="262"/>
  <c r="Q433" i="262"/>
  <c r="U433" i="262"/>
  <c r="Q321" i="262"/>
  <c r="U321" i="262"/>
  <c r="AC241" i="262"/>
  <c r="Y273" i="262"/>
  <c r="U273" i="262"/>
  <c r="AG289" i="262"/>
  <c r="U289" i="262"/>
  <c r="AG305" i="262"/>
  <c r="AK305" i="262"/>
  <c r="AK257" i="262"/>
  <c r="U385" i="262"/>
  <c r="AG385" i="262"/>
  <c r="Y401" i="262"/>
  <c r="AC401" i="262"/>
  <c r="AC369" i="262"/>
  <c r="AG369" i="262"/>
  <c r="AK417" i="262"/>
  <c r="AK449" i="262"/>
  <c r="AG449" i="262"/>
  <c r="AK353" i="262"/>
  <c r="Y353" i="262"/>
  <c r="AK337" i="262"/>
  <c r="AG337" i="262"/>
  <c r="M433" i="262"/>
  <c r="M321" i="262"/>
  <c r="AC321" i="262"/>
  <c r="U241" i="262"/>
  <c r="AG241" i="262"/>
  <c r="M273" i="262"/>
  <c r="Y289" i="262"/>
  <c r="AC289" i="262"/>
  <c r="Y305" i="262"/>
  <c r="AC305" i="262"/>
  <c r="Q257" i="262"/>
  <c r="M257" i="262"/>
  <c r="AC385" i="262"/>
  <c r="Q401" i="262"/>
  <c r="U401" i="262"/>
  <c r="U369" i="262"/>
  <c r="Y369" i="262"/>
  <c r="U417" i="262"/>
  <c r="Q417" i="262"/>
  <c r="M449" i="262"/>
  <c r="U353" i="262"/>
  <c r="AG353" i="262"/>
  <c r="U337" i="262"/>
  <c r="Y337" i="262"/>
  <c r="AG433" i="262"/>
  <c r="AC433" i="262"/>
  <c r="Q290" i="262"/>
  <c r="U290" i="262"/>
  <c r="Y306" i="262"/>
  <c r="U306" i="262"/>
  <c r="Y274" i="262"/>
  <c r="M274" i="262"/>
  <c r="M322" i="262"/>
  <c r="Q258" i="262"/>
  <c r="AC258" i="262"/>
  <c r="U450" i="262"/>
  <c r="Y450" i="262"/>
  <c r="U338" i="262"/>
  <c r="Q338" i="262"/>
  <c r="U354" i="262"/>
  <c r="AG402" i="262"/>
  <c r="AC402" i="262"/>
  <c r="Y434" i="262"/>
  <c r="AC434" i="262"/>
  <c r="AK386" i="262"/>
  <c r="AG386" i="262"/>
  <c r="U370" i="262"/>
  <c r="Q370" i="262"/>
  <c r="M418" i="262"/>
  <c r="M290" i="262"/>
  <c r="AG306" i="262"/>
  <c r="AC306" i="262"/>
  <c r="Q274" i="262"/>
  <c r="U274" i="262"/>
  <c r="Y322" i="262"/>
  <c r="AK322" i="262"/>
  <c r="M258" i="262"/>
  <c r="M450" i="262"/>
  <c r="Q450" i="262"/>
  <c r="AK338" i="262"/>
  <c r="Y338" i="262"/>
  <c r="AK354" i="262"/>
  <c r="AG354" i="262"/>
  <c r="AK402" i="262"/>
  <c r="AG434" i="262"/>
  <c r="M434" i="262"/>
  <c r="M386" i="262"/>
  <c r="Y386" i="262"/>
  <c r="AK370" i="262"/>
  <c r="AK418" i="262"/>
  <c r="Q418" i="262"/>
  <c r="Y290" i="262"/>
  <c r="AK290" i="262"/>
  <c r="AK306" i="262"/>
  <c r="AG274" i="262"/>
  <c r="AC274" i="262"/>
  <c r="Q322" i="262"/>
  <c r="AC322" i="262"/>
  <c r="AG258" i="262"/>
  <c r="AK258" i="262"/>
  <c r="AK450" i="262"/>
  <c r="M338" i="262"/>
  <c r="AG338" i="262"/>
  <c r="M354" i="262"/>
  <c r="Y354" i="262"/>
  <c r="Q402" i="262"/>
  <c r="M402" i="262"/>
  <c r="U434" i="262"/>
  <c r="AC386" i="262"/>
  <c r="Q386" i="262"/>
  <c r="M370" i="262"/>
  <c r="AG370" i="262"/>
  <c r="U418" i="262"/>
  <c r="Y418" i="262"/>
  <c r="AG290" i="262"/>
  <c r="AC290" i="262"/>
  <c r="Q306" i="262"/>
  <c r="M306" i="262"/>
  <c r="AK274" i="262"/>
  <c r="AG322" i="262"/>
  <c r="U322" i="262"/>
  <c r="Y258" i="262"/>
  <c r="U258" i="262"/>
  <c r="AC450" i="262"/>
  <c r="AG450" i="262"/>
  <c r="AC338" i="262"/>
  <c r="AC354" i="262"/>
  <c r="Q354" i="262"/>
  <c r="Y402" i="262"/>
  <c r="U402" i="262"/>
  <c r="Q434" i="262"/>
  <c r="AK434" i="262"/>
  <c r="U386" i="262"/>
  <c r="AC370" i="262"/>
  <c r="Y370" i="262"/>
  <c r="AC418" i="262"/>
  <c r="AG418" i="262"/>
  <c r="Y323" i="262"/>
  <c r="AC323" i="262"/>
  <c r="AG291" i="262"/>
  <c r="U291" i="262"/>
  <c r="AK275" i="262"/>
  <c r="AC275" i="262"/>
  <c r="AK307" i="262"/>
  <c r="U355" i="262"/>
  <c r="AG355" i="262"/>
  <c r="AK371" i="262"/>
  <c r="Q371" i="262"/>
  <c r="AC451" i="262"/>
  <c r="Y451" i="262"/>
  <c r="M387" i="262"/>
  <c r="Q387" i="262"/>
  <c r="AK435" i="262"/>
  <c r="Q403" i="262"/>
  <c r="U403" i="262"/>
  <c r="U339" i="262"/>
  <c r="Y339" i="262"/>
  <c r="U419" i="262"/>
  <c r="Q419" i="262"/>
  <c r="Q323" i="262"/>
  <c r="U323" i="262"/>
  <c r="Q291" i="262"/>
  <c r="M291" i="262"/>
  <c r="Y275" i="262"/>
  <c r="M307" i="262"/>
  <c r="Q307" i="262"/>
  <c r="AK355" i="262"/>
  <c r="Y355" i="262"/>
  <c r="M371" i="262"/>
  <c r="AK451" i="262"/>
  <c r="AG451" i="262"/>
  <c r="AK387" i="262"/>
  <c r="Y387" i="262"/>
  <c r="AG435" i="262"/>
  <c r="U435" i="262"/>
  <c r="M403" i="262"/>
  <c r="AC339" i="262"/>
  <c r="Q339" i="262"/>
  <c r="AC419" i="262"/>
  <c r="Y419" i="262"/>
  <c r="AG323" i="262"/>
  <c r="M323" i="262"/>
  <c r="AK291" i="262"/>
  <c r="AG275" i="262"/>
  <c r="Q275" i="262"/>
  <c r="U307" i="262"/>
  <c r="Y307" i="262"/>
  <c r="M355" i="262"/>
  <c r="Q355" i="262"/>
  <c r="AC371" i="262"/>
  <c r="AG371" i="262"/>
  <c r="M451" i="262"/>
  <c r="U387" i="262"/>
  <c r="AG387" i="262"/>
  <c r="Y435" i="262"/>
  <c r="M435" i="262"/>
  <c r="AG403" i="262"/>
  <c r="AK403" i="262"/>
  <c r="M339" i="262"/>
  <c r="M419" i="262"/>
  <c r="AG419" i="262"/>
  <c r="AK323" i="262"/>
  <c r="Y291" i="262"/>
  <c r="AC291" i="262"/>
  <c r="U275" i="262"/>
  <c r="M275" i="262"/>
  <c r="AC307" i="262"/>
  <c r="AG307" i="262"/>
  <c r="AC355" i="262"/>
  <c r="U371" i="262"/>
  <c r="Y371" i="262"/>
  <c r="U451" i="262"/>
  <c r="Q451" i="262"/>
  <c r="AC387" i="262"/>
  <c r="Q435" i="262"/>
  <c r="AC435" i="262"/>
  <c r="Y403" i="262"/>
  <c r="AC403" i="262"/>
  <c r="AK339" i="262"/>
  <c r="AG339" i="262"/>
  <c r="AK419" i="262"/>
  <c r="M324" i="262"/>
  <c r="AG324" i="262"/>
  <c r="Y292" i="262"/>
  <c r="U292" i="262"/>
  <c r="M308" i="262"/>
  <c r="Q308" i="262"/>
  <c r="AK452" i="262"/>
  <c r="M340" i="262"/>
  <c r="AG340" i="262"/>
  <c r="Y404" i="262"/>
  <c r="U404" i="262"/>
  <c r="AK388" i="262"/>
  <c r="AG388" i="262"/>
  <c r="AK372" i="262"/>
  <c r="AK420" i="262"/>
  <c r="Q420" i="262"/>
  <c r="M356" i="262"/>
  <c r="Y356" i="262"/>
  <c r="Q436" i="262"/>
  <c r="AK436" i="262"/>
  <c r="AK324" i="262"/>
  <c r="AG292" i="262"/>
  <c r="Q292" i="262"/>
  <c r="U308" i="262"/>
  <c r="Y308" i="262"/>
  <c r="AC452" i="262"/>
  <c r="AG452" i="262"/>
  <c r="AC340" i="262"/>
  <c r="AG404" i="262"/>
  <c r="AC404" i="262"/>
  <c r="M388" i="262"/>
  <c r="Y388" i="262"/>
  <c r="U372" i="262"/>
  <c r="Q372" i="262"/>
  <c r="M420" i="262"/>
  <c r="AC356" i="262"/>
  <c r="Q356" i="262"/>
  <c r="Y436" i="262"/>
  <c r="AC436" i="262"/>
  <c r="AC324" i="262"/>
  <c r="Y324" i="262"/>
  <c r="AC292" i="262"/>
  <c r="AK308" i="262"/>
  <c r="AG308" i="262"/>
  <c r="U452" i="262"/>
  <c r="Y452" i="262"/>
  <c r="U340" i="262"/>
  <c r="Q340" i="262"/>
  <c r="AK404" i="262"/>
  <c r="AC388" i="262"/>
  <c r="Q388" i="262"/>
  <c r="AC372" i="262"/>
  <c r="Y372" i="262"/>
  <c r="AC420" i="262"/>
  <c r="AG420" i="262"/>
  <c r="U356" i="262"/>
  <c r="AG436" i="262"/>
  <c r="M436" i="262"/>
  <c r="U324" i="262"/>
  <c r="Q324" i="262"/>
  <c r="M292" i="262"/>
  <c r="AK292" i="262"/>
  <c r="AC308" i="262"/>
  <c r="M452" i="262"/>
  <c r="Q452" i="262"/>
  <c r="AK340" i="262"/>
  <c r="Y340" i="262"/>
  <c r="Q404" i="262"/>
  <c r="M404" i="262"/>
  <c r="U388" i="262"/>
  <c r="M372" i="262"/>
  <c r="AG372" i="262"/>
  <c r="U420" i="262"/>
  <c r="Y420" i="262"/>
  <c r="AK356" i="262"/>
  <c r="AG356" i="262"/>
  <c r="U436" i="262"/>
  <c r="Q325" i="262"/>
  <c r="U325" i="262"/>
  <c r="AK309" i="262"/>
  <c r="AG309" i="262"/>
  <c r="AC389" i="262"/>
  <c r="U357" i="262"/>
  <c r="AG357" i="262"/>
  <c r="AC421" i="262"/>
  <c r="Y421" i="262"/>
  <c r="AK437" i="262"/>
  <c r="AC341" i="262"/>
  <c r="Q341" i="262"/>
  <c r="AC453" i="262"/>
  <c r="Y453" i="262"/>
  <c r="Q405" i="262"/>
  <c r="AC405" i="262"/>
  <c r="M373" i="262"/>
  <c r="Y325" i="262"/>
  <c r="AC325" i="262"/>
  <c r="M309" i="262"/>
  <c r="Q309" i="262"/>
  <c r="M389" i="262"/>
  <c r="Q389" i="262"/>
  <c r="AC357" i="262"/>
  <c r="M421" i="262"/>
  <c r="AG421" i="262"/>
  <c r="Q437" i="262"/>
  <c r="AC437" i="262"/>
  <c r="U341" i="262"/>
  <c r="Y341" i="262"/>
  <c r="U453" i="262"/>
  <c r="Q453" i="262"/>
  <c r="Y405" i="262"/>
  <c r="AK373" i="262"/>
  <c r="Q373" i="262"/>
  <c r="AK325" i="262"/>
  <c r="AC309" i="262"/>
  <c r="U309" i="262"/>
  <c r="AK389" i="262"/>
  <c r="Y389" i="262"/>
  <c r="M357" i="262"/>
  <c r="Q357" i="262"/>
  <c r="AK421" i="262"/>
  <c r="Y437" i="262"/>
  <c r="M437" i="262"/>
  <c r="AK341" i="262"/>
  <c r="AG341" i="262"/>
  <c r="M453" i="262"/>
  <c r="M405" i="262"/>
  <c r="AG405" i="262"/>
  <c r="U373" i="262"/>
  <c r="Y373" i="262"/>
  <c r="AG325" i="262"/>
  <c r="M325" i="262"/>
  <c r="Y309" i="262"/>
  <c r="U389" i="262"/>
  <c r="AG389" i="262"/>
  <c r="AK357" i="262"/>
  <c r="Y357" i="262"/>
  <c r="U421" i="262"/>
  <c r="Q421" i="262"/>
  <c r="AG437" i="262"/>
  <c r="U437" i="262"/>
  <c r="M341" i="262"/>
  <c r="AK453" i="262"/>
  <c r="AG453" i="262"/>
  <c r="AK405" i="262"/>
  <c r="U405" i="262"/>
  <c r="AC373" i="262"/>
  <c r="AG373" i="262"/>
  <c r="AG326" i="262"/>
  <c r="AK326" i="262"/>
  <c r="Y406" i="262"/>
  <c r="AC406" i="262"/>
  <c r="U374" i="262"/>
  <c r="Q374" i="262"/>
  <c r="U358" i="262"/>
  <c r="U454" i="262"/>
  <c r="Y454" i="262"/>
  <c r="AC422" i="262"/>
  <c r="AG422" i="262"/>
  <c r="U390" i="262"/>
  <c r="AG438" i="262"/>
  <c r="M438" i="262"/>
  <c r="AK342" i="262"/>
  <c r="Y342" i="262"/>
  <c r="U326" i="262"/>
  <c r="AG406" i="262"/>
  <c r="M406" i="262"/>
  <c r="AC374" i="262"/>
  <c r="Y374" i="262"/>
  <c r="AK358" i="262"/>
  <c r="AG358" i="262"/>
  <c r="AC454" i="262"/>
  <c r="AG454" i="262"/>
  <c r="M422" i="262"/>
  <c r="AC390" i="262"/>
  <c r="Q390" i="262"/>
  <c r="Y438" i="262"/>
  <c r="AC438" i="262"/>
  <c r="U342" i="262"/>
  <c r="Q342" i="262"/>
  <c r="Y326" i="262"/>
  <c r="AC326" i="262"/>
  <c r="AK406" i="262"/>
  <c r="M374" i="262"/>
  <c r="AG374" i="262"/>
  <c r="M358" i="262"/>
  <c r="Y358" i="262"/>
  <c r="AK454" i="262"/>
  <c r="AK422" i="262"/>
  <c r="Q422" i="262"/>
  <c r="M390" i="262"/>
  <c r="Y390" i="262"/>
  <c r="Q438" i="262"/>
  <c r="AK438" i="262"/>
  <c r="AC342" i="262"/>
  <c r="Q326" i="262"/>
  <c r="M326" i="262"/>
  <c r="Q406" i="262"/>
  <c r="U406" i="262"/>
  <c r="AK374" i="262"/>
  <c r="AC358" i="262"/>
  <c r="Q358" i="262"/>
  <c r="M454" i="262"/>
  <c r="Q454" i="262"/>
  <c r="U422" i="262"/>
  <c r="Y422" i="262"/>
  <c r="AK390" i="262"/>
  <c r="AG390" i="262"/>
  <c r="U438" i="262"/>
  <c r="M342" i="262"/>
  <c r="AG342" i="262"/>
  <c r="U359" i="262"/>
  <c r="AG359" i="262"/>
  <c r="U375" i="262"/>
  <c r="Y375" i="262"/>
  <c r="AG407" i="262"/>
  <c r="AK407" i="262"/>
  <c r="M455" i="262"/>
  <c r="U343" i="262"/>
  <c r="Y343" i="262"/>
  <c r="AC439" i="262"/>
  <c r="Y439" i="262"/>
  <c r="M391" i="262"/>
  <c r="Q391" i="262"/>
  <c r="U423" i="262"/>
  <c r="Q423" i="262"/>
  <c r="AC359" i="262"/>
  <c r="AK375" i="262"/>
  <c r="Q375" i="262"/>
  <c r="Y407" i="262"/>
  <c r="M407" i="262"/>
  <c r="U455" i="262"/>
  <c r="Q455" i="262"/>
  <c r="AK343" i="262"/>
  <c r="AK439" i="262"/>
  <c r="Q439" i="262"/>
  <c r="AK391" i="262"/>
  <c r="Y391" i="262"/>
  <c r="AK423" i="262"/>
  <c r="M359" i="262"/>
  <c r="Q359" i="262"/>
  <c r="M375" i="262"/>
  <c r="Q407" i="262"/>
  <c r="AC407" i="262"/>
  <c r="AC455" i="262"/>
  <c r="Y455" i="262"/>
  <c r="AC343" i="262"/>
  <c r="AG343" i="262"/>
  <c r="U439" i="262"/>
  <c r="U391" i="262"/>
  <c r="AG391" i="262"/>
  <c r="M423" i="262"/>
  <c r="AG423" i="262"/>
  <c r="AK359" i="262"/>
  <c r="Y359" i="262"/>
  <c r="AC375" i="262"/>
  <c r="AG375" i="262"/>
  <c r="U407" i="262"/>
  <c r="AK455" i="262"/>
  <c r="AG455" i="262"/>
  <c r="M343" i="262"/>
  <c r="Q343" i="262"/>
  <c r="M439" i="262"/>
  <c r="AG439" i="262"/>
  <c r="AC391" i="262"/>
  <c r="AC423" i="262"/>
  <c r="Y423" i="262"/>
  <c r="M376" i="262"/>
  <c r="AG376" i="262"/>
  <c r="Y408" i="262"/>
  <c r="AC408" i="262"/>
  <c r="AC360" i="262"/>
  <c r="AG360" i="262"/>
  <c r="Q440" i="262"/>
  <c r="AK440" i="262"/>
  <c r="M456" i="262"/>
  <c r="AK424" i="262"/>
  <c r="Q424" i="262"/>
  <c r="M392" i="262"/>
  <c r="Y392" i="262"/>
  <c r="AK376" i="262"/>
  <c r="AG408" i="262"/>
  <c r="M408" i="262"/>
  <c r="AK360" i="262"/>
  <c r="Q360" i="262"/>
  <c r="U440" i="262"/>
  <c r="Q456" i="262"/>
  <c r="U456" i="262"/>
  <c r="U424" i="262"/>
  <c r="Y424" i="262"/>
  <c r="AK392" i="262"/>
  <c r="AG392" i="262"/>
  <c r="U376" i="262"/>
  <c r="Q376" i="262"/>
  <c r="AK408" i="262"/>
  <c r="M360" i="262"/>
  <c r="Y360" i="262"/>
  <c r="AG440" i="262"/>
  <c r="M440" i="262"/>
  <c r="Y456" i="262"/>
  <c r="AC456" i="262"/>
  <c r="AC424" i="262"/>
  <c r="AG424" i="262"/>
  <c r="U392" i="262"/>
  <c r="AC376" i="262"/>
  <c r="Y376" i="262"/>
  <c r="Q408" i="262"/>
  <c r="U408" i="262"/>
  <c r="U360" i="262"/>
  <c r="Y440" i="262"/>
  <c r="AC440" i="262"/>
  <c r="AG456" i="262"/>
  <c r="AK456" i="262"/>
  <c r="M424" i="262"/>
  <c r="AC392" i="262"/>
  <c r="Q392" i="262"/>
  <c r="Y441" i="262"/>
  <c r="M441" i="262"/>
  <c r="M393" i="262"/>
  <c r="Q393" i="262"/>
  <c r="U409" i="262"/>
  <c r="M425" i="262"/>
  <c r="AG425" i="262"/>
  <c r="AC457" i="262"/>
  <c r="Y457" i="262"/>
  <c r="U377" i="262"/>
  <c r="Y377" i="262"/>
  <c r="AG441" i="262"/>
  <c r="U441" i="262"/>
  <c r="AC393" i="262"/>
  <c r="Q409" i="262"/>
  <c r="AC409" i="262"/>
  <c r="AC425" i="262"/>
  <c r="Y425" i="262"/>
  <c r="U457" i="262"/>
  <c r="Q457" i="262"/>
  <c r="M377" i="262"/>
  <c r="AK441" i="262"/>
  <c r="U393" i="262"/>
  <c r="AG393" i="262"/>
  <c r="Y409" i="262"/>
  <c r="M409" i="262"/>
  <c r="U425" i="262"/>
  <c r="Q425" i="262"/>
  <c r="M457" i="262"/>
  <c r="AK377" i="262"/>
  <c r="Q377" i="262"/>
  <c r="Q441" i="262"/>
  <c r="AC441" i="262"/>
  <c r="AK393" i="262"/>
  <c r="Y393" i="262"/>
  <c r="AG409" i="262"/>
  <c r="AK409" i="262"/>
  <c r="AK425" i="262"/>
  <c r="AK457" i="262"/>
  <c r="AG457" i="262"/>
  <c r="AC377" i="262"/>
  <c r="AG377" i="262"/>
  <c r="AK426" i="262"/>
  <c r="Q426" i="262"/>
  <c r="M458" i="262"/>
  <c r="Y458" i="262"/>
  <c r="Y410" i="262"/>
  <c r="AC410" i="262"/>
  <c r="M394" i="262"/>
  <c r="AG394" i="262"/>
  <c r="U442" i="262"/>
  <c r="U426" i="262"/>
  <c r="Y426" i="262"/>
  <c r="AK458" i="262"/>
  <c r="AG410" i="262"/>
  <c r="M410" i="262"/>
  <c r="AK394" i="262"/>
  <c r="Q394" i="262"/>
  <c r="Q442" i="262"/>
  <c r="AK442" i="262"/>
  <c r="AC426" i="262"/>
  <c r="AG426" i="262"/>
  <c r="AC458" i="262"/>
  <c r="Q458" i="262"/>
  <c r="AK410" i="262"/>
  <c r="AC394" i="262"/>
  <c r="Y394" i="262"/>
  <c r="Y442" i="262"/>
  <c r="AC442" i="262"/>
  <c r="M426" i="262"/>
  <c r="U458" i="262"/>
  <c r="AG458" i="262"/>
  <c r="Q410" i="262"/>
  <c r="U410" i="262"/>
  <c r="U394" i="262"/>
  <c r="AG442" i="262"/>
  <c r="M442" i="262"/>
  <c r="Y443" i="262"/>
  <c r="M443" i="262"/>
  <c r="AK459" i="262"/>
  <c r="Q459" i="262"/>
  <c r="AK427" i="262"/>
  <c r="AG411" i="262"/>
  <c r="AC411" i="262"/>
  <c r="AG443" i="262"/>
  <c r="U443" i="262"/>
  <c r="AC459" i="262"/>
  <c r="M427" i="262"/>
  <c r="AG427" i="262"/>
  <c r="Q411" i="262"/>
  <c r="Y411" i="262"/>
  <c r="AK443" i="262"/>
  <c r="AG459" i="262"/>
  <c r="U459" i="262"/>
  <c r="AC427" i="262"/>
  <c r="Y427" i="262"/>
  <c r="AK411" i="262"/>
  <c r="Q443" i="262"/>
  <c r="AC443" i="262"/>
  <c r="Y459" i="262"/>
  <c r="M459" i="262"/>
  <c r="U427" i="262"/>
  <c r="Q427" i="262"/>
  <c r="U411" i="262"/>
  <c r="M411" i="262"/>
  <c r="AK428" i="262"/>
  <c r="AG428" i="262"/>
  <c r="AK460" i="262"/>
  <c r="AG444" i="262"/>
  <c r="M444" i="262"/>
  <c r="AG703" i="262"/>
  <c r="AC703" i="262"/>
  <c r="M428" i="262"/>
  <c r="Y428" i="262"/>
  <c r="AC460" i="262"/>
  <c r="AG460" i="262"/>
  <c r="U444" i="262"/>
  <c r="Y703" i="262"/>
  <c r="U703" i="262"/>
  <c r="U428" i="262"/>
  <c r="U460" i="262"/>
  <c r="Y460" i="262"/>
  <c r="Q444" i="262"/>
  <c r="AK444" i="262"/>
  <c r="M703" i="262"/>
  <c r="AC428" i="262"/>
  <c r="Q428" i="262"/>
  <c r="M460" i="262"/>
  <c r="Q460" i="262"/>
  <c r="Y444" i="262"/>
  <c r="AC444" i="262"/>
  <c r="Q703" i="262"/>
  <c r="AK703" i="262"/>
  <c r="M445" i="262"/>
  <c r="AK445" i="262"/>
  <c r="AC461" i="262"/>
  <c r="Y461" i="262"/>
  <c r="Y720" i="262"/>
  <c r="AK720" i="262"/>
  <c r="Y445" i="262"/>
  <c r="AC445" i="262"/>
  <c r="U461" i="262"/>
  <c r="Q461" i="262"/>
  <c r="M720" i="262"/>
  <c r="Q445" i="262"/>
  <c r="U445" i="262"/>
  <c r="M461" i="262"/>
  <c r="AG720" i="262"/>
  <c r="U720" i="262"/>
  <c r="AG445" i="262"/>
  <c r="AK461" i="262"/>
  <c r="AG461" i="262"/>
  <c r="Q720" i="262"/>
  <c r="AC720" i="262"/>
  <c r="M462" i="262"/>
  <c r="Q462" i="262"/>
  <c r="M737" i="262"/>
  <c r="AC462" i="262"/>
  <c r="AG462" i="262"/>
  <c r="Q737" i="262"/>
  <c r="AK737" i="262"/>
  <c r="U462" i="262"/>
  <c r="AG737" i="262"/>
  <c r="AC737" i="262"/>
  <c r="Y462" i="262"/>
  <c r="AK462" i="262"/>
  <c r="Y737" i="262"/>
  <c r="U737" i="262"/>
  <c r="Q754" i="262"/>
  <c r="AC754" i="262"/>
  <c r="Y754" i="262"/>
  <c r="AK754" i="262"/>
  <c r="M754" i="262"/>
  <c r="AG754" i="262"/>
  <c r="U754" i="262"/>
  <c r="AK704" i="262"/>
  <c r="AG704" i="262"/>
  <c r="AG771" i="262"/>
  <c r="AC771" i="262"/>
  <c r="M704" i="262"/>
  <c r="Y771" i="262"/>
  <c r="U771" i="262"/>
  <c r="U704" i="262"/>
  <c r="Q704" i="262"/>
  <c r="M771" i="262"/>
  <c r="AC704" i="262"/>
  <c r="Y704" i="262"/>
  <c r="Q771" i="262"/>
  <c r="AK771" i="262"/>
  <c r="Y705" i="262"/>
  <c r="AC705" i="262"/>
  <c r="M721" i="262"/>
  <c r="U788" i="262"/>
  <c r="Y788" i="262"/>
  <c r="Q705" i="262"/>
  <c r="U705" i="262"/>
  <c r="AK721" i="262"/>
  <c r="AG721" i="262"/>
  <c r="AK788" i="262"/>
  <c r="Q788" i="262"/>
  <c r="M705" i="262"/>
  <c r="AC721" i="262"/>
  <c r="Y721" i="262"/>
  <c r="M788" i="262"/>
  <c r="AG705" i="262"/>
  <c r="AK705" i="262"/>
  <c r="U721" i="262"/>
  <c r="Q721" i="262"/>
  <c r="AC788" i="262"/>
  <c r="AG788" i="262"/>
  <c r="AG706" i="262"/>
  <c r="AC706" i="262"/>
  <c r="AK738" i="262"/>
  <c r="AG738" i="262"/>
  <c r="Q722" i="262"/>
  <c r="U722" i="262"/>
  <c r="AG805" i="262"/>
  <c r="AC805" i="262"/>
  <c r="AK706" i="262"/>
  <c r="AC738" i="262"/>
  <c r="Y738" i="262"/>
  <c r="M722" i="262"/>
  <c r="Y805" i="262"/>
  <c r="U805" i="262"/>
  <c r="Q706" i="262"/>
  <c r="M706" i="262"/>
  <c r="U738" i="262"/>
  <c r="Q738" i="262"/>
  <c r="AG722" i="262"/>
  <c r="AK722" i="262"/>
  <c r="M805" i="262"/>
  <c r="Y706" i="262"/>
  <c r="U706" i="262"/>
  <c r="M738" i="262"/>
  <c r="Y722" i="262"/>
  <c r="AC722" i="262"/>
  <c r="Q805" i="262"/>
  <c r="AK805" i="262"/>
  <c r="M739" i="262"/>
  <c r="Q739" i="262"/>
  <c r="AG723" i="262"/>
  <c r="AC723" i="262"/>
  <c r="AK755" i="262"/>
  <c r="AG755" i="262"/>
  <c r="Q707" i="262"/>
  <c r="U707" i="262"/>
  <c r="AG822" i="262"/>
  <c r="AC822" i="262"/>
  <c r="U739" i="262"/>
  <c r="Y739" i="262"/>
  <c r="AK723" i="262"/>
  <c r="AC755" i="262"/>
  <c r="Y755" i="262"/>
  <c r="M707" i="262"/>
  <c r="Y822" i="262"/>
  <c r="U822" i="262"/>
  <c r="AC739" i="262"/>
  <c r="AG739" i="262"/>
  <c r="Q723" i="262"/>
  <c r="M723" i="262"/>
  <c r="U755" i="262"/>
  <c r="Q755" i="262"/>
  <c r="AG707" i="262"/>
  <c r="AK707" i="262"/>
  <c r="M822" i="262"/>
  <c r="AK739" i="262"/>
  <c r="Y723" i="262"/>
  <c r="U723" i="262"/>
  <c r="M755" i="262"/>
  <c r="Y707" i="262"/>
  <c r="AC707" i="262"/>
  <c r="Q822" i="262"/>
  <c r="AK822" i="262"/>
  <c r="AG708" i="262"/>
  <c r="AC708" i="262"/>
  <c r="Q756" i="262"/>
  <c r="U756" i="262"/>
  <c r="AG740" i="262"/>
  <c r="AC740" i="262"/>
  <c r="Q724" i="262"/>
  <c r="U724" i="262"/>
  <c r="AG772" i="262"/>
  <c r="AC772" i="262"/>
  <c r="Q839" i="262"/>
  <c r="AC839" i="262"/>
  <c r="AK708" i="262"/>
  <c r="Y756" i="262"/>
  <c r="AC756" i="262"/>
  <c r="AK740" i="262"/>
  <c r="Y724" i="262"/>
  <c r="AC724" i="262"/>
  <c r="AK772" i="262"/>
  <c r="AG839" i="262"/>
  <c r="U839" i="262"/>
  <c r="Q708" i="262"/>
  <c r="M708" i="262"/>
  <c r="AG756" i="262"/>
  <c r="AK756" i="262"/>
  <c r="Q740" i="262"/>
  <c r="M740" i="262"/>
  <c r="AG724" i="262"/>
  <c r="AK724" i="262"/>
  <c r="Q772" i="262"/>
  <c r="M772" i="262"/>
  <c r="M839" i="262"/>
  <c r="Y708" i="262"/>
  <c r="U708" i="262"/>
  <c r="M756" i="262"/>
  <c r="Y740" i="262"/>
  <c r="U740" i="262"/>
  <c r="M724" i="262"/>
  <c r="Y772" i="262"/>
  <c r="U772" i="262"/>
  <c r="Y839" i="262"/>
  <c r="AK839" i="262"/>
  <c r="Q741" i="262"/>
  <c r="U741" i="262"/>
  <c r="AG757" i="262"/>
  <c r="AC757" i="262"/>
  <c r="Y709" i="262"/>
  <c r="AC709" i="262"/>
  <c r="Y773" i="262"/>
  <c r="AC773" i="262"/>
  <c r="AK725" i="262"/>
  <c r="AG856" i="262"/>
  <c r="AC856" i="262"/>
  <c r="M789" i="262"/>
  <c r="Q789" i="262"/>
  <c r="M741" i="262"/>
  <c r="Y757" i="262"/>
  <c r="U757" i="262"/>
  <c r="AG709" i="262"/>
  <c r="AK709" i="262"/>
  <c r="AG773" i="262"/>
  <c r="AG725" i="262"/>
  <c r="AC725" i="262"/>
  <c r="Y856" i="262"/>
  <c r="U856" i="262"/>
  <c r="AK789" i="262"/>
  <c r="Y789" i="262"/>
  <c r="AG741" i="262"/>
  <c r="AK741" i="262"/>
  <c r="Q757" i="262"/>
  <c r="M757" i="262"/>
  <c r="M709" i="262"/>
  <c r="AK773" i="262"/>
  <c r="M773" i="262"/>
  <c r="Y725" i="262"/>
  <c r="U725" i="262"/>
  <c r="M856" i="262"/>
  <c r="U789" i="262"/>
  <c r="AG789" i="262"/>
  <c r="Y741" i="262"/>
  <c r="AC741" i="262"/>
  <c r="AK757" i="262"/>
  <c r="Q709" i="262"/>
  <c r="U709" i="262"/>
  <c r="Q773" i="262"/>
  <c r="U773" i="262"/>
  <c r="Q725" i="262"/>
  <c r="M725" i="262"/>
  <c r="Q856" i="262"/>
  <c r="AK856" i="262"/>
  <c r="AC789" i="262"/>
  <c r="Q758" i="262"/>
  <c r="U758" i="262"/>
  <c r="Y726" i="262"/>
  <c r="AC726" i="262"/>
  <c r="AG774" i="262"/>
  <c r="AK774" i="262"/>
  <c r="AK742" i="262"/>
  <c r="AG710" i="262"/>
  <c r="AC710" i="262"/>
  <c r="M790" i="262"/>
  <c r="Y790" i="262"/>
  <c r="Y873" i="262"/>
  <c r="AK873" i="262"/>
  <c r="M806" i="262"/>
  <c r="Y758" i="262"/>
  <c r="AC758" i="262"/>
  <c r="AG726" i="262"/>
  <c r="AK726" i="262"/>
  <c r="Y774" i="262"/>
  <c r="AG742" i="262"/>
  <c r="AC742" i="262"/>
  <c r="Y710" i="262"/>
  <c r="U710" i="262"/>
  <c r="AK790" i="262"/>
  <c r="AG790" i="262"/>
  <c r="M873" i="262"/>
  <c r="AK806" i="262"/>
  <c r="AG806" i="262"/>
  <c r="AG758" i="262"/>
  <c r="AK758" i="262"/>
  <c r="M726" i="262"/>
  <c r="U774" i="262"/>
  <c r="Q774" i="262"/>
  <c r="Y742" i="262"/>
  <c r="U742" i="262"/>
  <c r="Q710" i="262"/>
  <c r="M710" i="262"/>
  <c r="U790" i="262"/>
  <c r="AG873" i="262"/>
  <c r="U873" i="262"/>
  <c r="AC806" i="262"/>
  <c r="Y806" i="262"/>
  <c r="M758" i="262"/>
  <c r="Q726" i="262"/>
  <c r="U726" i="262"/>
  <c r="M774" i="262"/>
  <c r="AC774" i="262"/>
  <c r="Q742" i="262"/>
  <c r="M742" i="262"/>
  <c r="AK710" i="262"/>
  <c r="AC790" i="262"/>
  <c r="Q790" i="262"/>
  <c r="Q873" i="262"/>
  <c r="AC873" i="262"/>
  <c r="U806" i="262"/>
  <c r="Q806" i="262"/>
  <c r="Q711" i="262"/>
  <c r="AC711" i="262"/>
  <c r="Y775" i="262"/>
  <c r="AK775" i="262"/>
  <c r="Q727" i="262"/>
  <c r="M727" i="262"/>
  <c r="M743" i="262"/>
  <c r="AG759" i="262"/>
  <c r="AC759" i="262"/>
  <c r="Y823" i="262"/>
  <c r="AG823" i="262"/>
  <c r="Y807" i="262"/>
  <c r="AC807" i="262"/>
  <c r="M791" i="262"/>
  <c r="Q791" i="262"/>
  <c r="U711" i="262"/>
  <c r="Q775" i="262"/>
  <c r="U775" i="262"/>
  <c r="Y727" i="262"/>
  <c r="U727" i="262"/>
  <c r="AG743" i="262"/>
  <c r="AK743" i="262"/>
  <c r="AK759" i="262"/>
  <c r="AC823" i="262"/>
  <c r="Q823" i="262"/>
  <c r="AG807" i="262"/>
  <c r="AK807" i="262"/>
  <c r="AC791" i="262"/>
  <c r="AG711" i="262"/>
  <c r="M711" i="262"/>
  <c r="M775" i="262"/>
  <c r="AG727" i="262"/>
  <c r="AC727" i="262"/>
  <c r="Y743" i="262"/>
  <c r="AC743" i="262"/>
  <c r="Q759" i="262"/>
  <c r="M759" i="262"/>
  <c r="M823" i="262"/>
  <c r="AK823" i="262"/>
  <c r="M807" i="262"/>
  <c r="U791" i="262"/>
  <c r="AG791" i="262"/>
  <c r="Y711" i="262"/>
  <c r="AK711" i="262"/>
  <c r="AG775" i="262"/>
  <c r="AC775" i="262"/>
  <c r="AK727" i="262"/>
  <c r="Q743" i="262"/>
  <c r="U743" i="262"/>
  <c r="Y759" i="262"/>
  <c r="U759" i="262"/>
  <c r="U823" i="262"/>
  <c r="Q807" i="262"/>
  <c r="U807" i="262"/>
  <c r="AK791" i="262"/>
  <c r="Y791" i="262"/>
  <c r="Q728" i="262"/>
  <c r="U728" i="262"/>
  <c r="Y776" i="262"/>
  <c r="U776" i="262"/>
  <c r="Q744" i="262"/>
  <c r="M744" i="262"/>
  <c r="M712" i="262"/>
  <c r="Q760" i="262"/>
  <c r="U760" i="262"/>
  <c r="M792" i="262"/>
  <c r="Y792" i="262"/>
  <c r="AG824" i="262"/>
  <c r="AC824" i="262"/>
  <c r="AK808" i="262"/>
  <c r="Y840" i="262"/>
  <c r="AC840" i="262"/>
  <c r="Y890" i="262"/>
  <c r="Q890" i="262"/>
  <c r="Y728" i="262"/>
  <c r="AC728" i="262"/>
  <c r="Q776" i="262"/>
  <c r="M776" i="262"/>
  <c r="AK744" i="262"/>
  <c r="AG712" i="262"/>
  <c r="AK712" i="262"/>
  <c r="Y760" i="262"/>
  <c r="AC760" i="262"/>
  <c r="AK792" i="262"/>
  <c r="AG792" i="262"/>
  <c r="AK824" i="262"/>
  <c r="AG808" i="262"/>
  <c r="AC808" i="262"/>
  <c r="Q840" i="262"/>
  <c r="U840" i="262"/>
  <c r="AG890" i="262"/>
  <c r="AG728" i="262"/>
  <c r="AK728" i="262"/>
  <c r="AC776" i="262"/>
  <c r="AG744" i="262"/>
  <c r="AC744" i="262"/>
  <c r="Y712" i="262"/>
  <c r="AC712" i="262"/>
  <c r="AG760" i="262"/>
  <c r="AK760" i="262"/>
  <c r="U792" i="262"/>
  <c r="Y824" i="262"/>
  <c r="M824" i="262"/>
  <c r="Y808" i="262"/>
  <c r="U808" i="262"/>
  <c r="AG840" i="262"/>
  <c r="M840" i="262"/>
  <c r="AC890" i="262"/>
  <c r="AK890" i="262"/>
  <c r="M728" i="262"/>
  <c r="AG776" i="262"/>
  <c r="AK776" i="262"/>
  <c r="Y744" i="262"/>
  <c r="U744" i="262"/>
  <c r="Q712" i="262"/>
  <c r="U712" i="262"/>
  <c r="M760" i="262"/>
  <c r="AC792" i="262"/>
  <c r="Q792" i="262"/>
  <c r="Q824" i="262"/>
  <c r="U824" i="262"/>
  <c r="Q808" i="262"/>
  <c r="M808" i="262"/>
  <c r="AK840" i="262"/>
  <c r="M890" i="262"/>
  <c r="U890" i="262"/>
  <c r="Q713" i="262"/>
  <c r="U713" i="262"/>
  <c r="Y745" i="262"/>
  <c r="AC745" i="262"/>
  <c r="AG777" i="262"/>
  <c r="AC777" i="262"/>
  <c r="AK729" i="262"/>
  <c r="Y761" i="262"/>
  <c r="U761" i="262"/>
  <c r="AG809" i="262"/>
  <c r="AK809" i="262"/>
  <c r="AC825" i="262"/>
  <c r="AG841" i="262"/>
  <c r="U841" i="262"/>
  <c r="AK793" i="262"/>
  <c r="Y793" i="262"/>
  <c r="Y857" i="262"/>
  <c r="M857" i="262"/>
  <c r="Q891" i="262"/>
  <c r="AC891" i="262"/>
  <c r="M713" i="262"/>
  <c r="Q745" i="262"/>
  <c r="U745" i="262"/>
  <c r="Y777" i="262"/>
  <c r="AK777" i="262"/>
  <c r="Q729" i="262"/>
  <c r="M729" i="262"/>
  <c r="Q761" i="262"/>
  <c r="M761" i="262"/>
  <c r="M809" i="262"/>
  <c r="Y825" i="262"/>
  <c r="AK825" i="262"/>
  <c r="Q841" i="262"/>
  <c r="AC841" i="262"/>
  <c r="M793" i="262"/>
  <c r="Q793" i="262"/>
  <c r="AK857" i="262"/>
  <c r="M891" i="262"/>
  <c r="U891" i="262"/>
  <c r="AG713" i="262"/>
  <c r="AK713" i="262"/>
  <c r="M745" i="262"/>
  <c r="Q777" i="262"/>
  <c r="U777" i="262"/>
  <c r="Y729" i="262"/>
  <c r="U729" i="262"/>
  <c r="AK761" i="262"/>
  <c r="Q809" i="262"/>
  <c r="U809" i="262"/>
  <c r="AG825" i="262"/>
  <c r="M825" i="262"/>
  <c r="Y841" i="262"/>
  <c r="AK841" i="262"/>
  <c r="AC793" i="262"/>
  <c r="Q857" i="262"/>
  <c r="AC857" i="262"/>
  <c r="Y891" i="262"/>
  <c r="AG891" i="262"/>
  <c r="Y713" i="262"/>
  <c r="AC713" i="262"/>
  <c r="AG745" i="262"/>
  <c r="AK745" i="262"/>
  <c r="M777" i="262"/>
  <c r="AG729" i="262"/>
  <c r="AC729" i="262"/>
  <c r="AG761" i="262"/>
  <c r="AC761" i="262"/>
  <c r="Y809" i="262"/>
  <c r="AC809" i="262"/>
  <c r="Q825" i="262"/>
  <c r="U825" i="262"/>
  <c r="M841" i="262"/>
  <c r="U793" i="262"/>
  <c r="AG793" i="262"/>
  <c r="AG857" i="262"/>
  <c r="U857" i="262"/>
  <c r="AK891" i="262"/>
  <c r="Q730" i="262"/>
  <c r="U730" i="262"/>
  <c r="Y746" i="262"/>
  <c r="U746" i="262"/>
  <c r="AG762" i="262"/>
  <c r="AK762" i="262"/>
  <c r="AK778" i="262"/>
  <c r="AG714" i="262"/>
  <c r="AC714" i="262"/>
  <c r="Y826" i="262"/>
  <c r="M826" i="262"/>
  <c r="AG858" i="262"/>
  <c r="AC858" i="262"/>
  <c r="Y874" i="262"/>
  <c r="M874" i="262"/>
  <c r="AK842" i="262"/>
  <c r="AC794" i="262"/>
  <c r="Q794" i="262"/>
  <c r="Y810" i="262"/>
  <c r="U810" i="262"/>
  <c r="AC892" i="262"/>
  <c r="Y730" i="262"/>
  <c r="AC730" i="262"/>
  <c r="Q746" i="262"/>
  <c r="M746" i="262"/>
  <c r="M762" i="262"/>
  <c r="AG778" i="262"/>
  <c r="U778" i="262"/>
  <c r="Y714" i="262"/>
  <c r="U714" i="262"/>
  <c r="AC826" i="262"/>
  <c r="Y858" i="262"/>
  <c r="U858" i="262"/>
  <c r="AG874" i="262"/>
  <c r="U874" i="262"/>
  <c r="AG842" i="262"/>
  <c r="M842" i="262"/>
  <c r="U794" i="262"/>
  <c r="AG810" i="262"/>
  <c r="AC810" i="262"/>
  <c r="Q892" i="262"/>
  <c r="Y892" i="262"/>
  <c r="AG730" i="262"/>
  <c r="AK730" i="262"/>
  <c r="AK746" i="262"/>
  <c r="Q762" i="262"/>
  <c r="U762" i="262"/>
  <c r="Y778" i="262"/>
  <c r="AC778" i="262"/>
  <c r="Q714" i="262"/>
  <c r="M714" i="262"/>
  <c r="AG826" i="262"/>
  <c r="U826" i="262"/>
  <c r="M858" i="262"/>
  <c r="Q874" i="262"/>
  <c r="AC874" i="262"/>
  <c r="Q842" i="262"/>
  <c r="U842" i="262"/>
  <c r="AK794" i="262"/>
  <c r="AG794" i="262"/>
  <c r="AK810" i="262"/>
  <c r="AG892" i="262"/>
  <c r="U892" i="262"/>
  <c r="M730" i="262"/>
  <c r="AG746" i="262"/>
  <c r="AC746" i="262"/>
  <c r="Y762" i="262"/>
  <c r="AC762" i="262"/>
  <c r="Q778" i="262"/>
  <c r="M778" i="262"/>
  <c r="AK714" i="262"/>
  <c r="Q826" i="262"/>
  <c r="AK826" i="262"/>
  <c r="Q858" i="262"/>
  <c r="AK858" i="262"/>
  <c r="AK874" i="262"/>
  <c r="Y842" i="262"/>
  <c r="AC842" i="262"/>
  <c r="M794" i="262"/>
  <c r="Y794" i="262"/>
  <c r="Q810" i="262"/>
  <c r="M810" i="262"/>
  <c r="AK892" i="262"/>
  <c r="M892" i="262"/>
  <c r="AK779" i="262"/>
  <c r="M779" i="262"/>
  <c r="Q731" i="262"/>
  <c r="M731" i="262"/>
  <c r="AG715" i="262"/>
  <c r="AK715" i="262"/>
  <c r="AK763" i="262"/>
  <c r="Q747" i="262"/>
  <c r="U747" i="262"/>
  <c r="AG859" i="262"/>
  <c r="U859" i="262"/>
  <c r="Y843" i="262"/>
  <c r="AK843" i="262"/>
  <c r="M827" i="262"/>
  <c r="M811" i="262"/>
  <c r="Q811" i="262"/>
  <c r="AK795" i="262"/>
  <c r="Y795" i="262"/>
  <c r="Q875" i="262"/>
  <c r="AK875" i="262"/>
  <c r="AK893" i="262"/>
  <c r="M893" i="262"/>
  <c r="Q779" i="262"/>
  <c r="AC779" i="262"/>
  <c r="AK731" i="262"/>
  <c r="Y715" i="262"/>
  <c r="AC715" i="262"/>
  <c r="Q763" i="262"/>
  <c r="M763" i="262"/>
  <c r="M747" i="262"/>
  <c r="Q859" i="262"/>
  <c r="AC859" i="262"/>
  <c r="Q843" i="262"/>
  <c r="AC843" i="262"/>
  <c r="Q827" i="262"/>
  <c r="AK827" i="262"/>
  <c r="AK811" i="262"/>
  <c r="U795" i="262"/>
  <c r="AG795" i="262"/>
  <c r="AG875" i="262"/>
  <c r="AC875" i="262"/>
  <c r="Y893" i="262"/>
  <c r="Y779" i="262"/>
  <c r="AG731" i="262"/>
  <c r="AC731" i="262"/>
  <c r="Q715" i="262"/>
  <c r="U715" i="262"/>
  <c r="Y763" i="262"/>
  <c r="U763" i="262"/>
  <c r="AG747" i="262"/>
  <c r="AK747" i="262"/>
  <c r="AK859" i="262"/>
  <c r="AG843" i="262"/>
  <c r="U843" i="262"/>
  <c r="AG827" i="262"/>
  <c r="U827" i="262"/>
  <c r="AC811" i="262"/>
  <c r="AG811" i="262"/>
  <c r="AC795" i="262"/>
  <c r="Y875" i="262"/>
  <c r="U875" i="262"/>
  <c r="AG893" i="262"/>
  <c r="Q893" i="262"/>
  <c r="U779" i="262"/>
  <c r="AG779" i="262"/>
  <c r="Y731" i="262"/>
  <c r="U731" i="262"/>
  <c r="M715" i="262"/>
  <c r="AG763" i="262"/>
  <c r="AC763" i="262"/>
  <c r="Y747" i="262"/>
  <c r="AC747" i="262"/>
  <c r="Y859" i="262"/>
  <c r="M859" i="262"/>
  <c r="M843" i="262"/>
  <c r="Y827" i="262"/>
  <c r="AC827" i="262"/>
  <c r="U811" i="262"/>
  <c r="Y811" i="262"/>
  <c r="M795" i="262"/>
  <c r="Q795" i="262"/>
  <c r="M875" i="262"/>
  <c r="AC893" i="262"/>
  <c r="U893" i="262"/>
  <c r="Y748" i="262"/>
  <c r="U748" i="262"/>
  <c r="AG764" i="262"/>
  <c r="AK764" i="262"/>
  <c r="M732" i="262"/>
  <c r="AC780" i="262"/>
  <c r="AG780" i="262"/>
  <c r="Y716" i="262"/>
  <c r="U716" i="262"/>
  <c r="M812" i="262"/>
  <c r="Y844" i="262"/>
  <c r="AC844" i="262"/>
  <c r="AG876" i="262"/>
  <c r="U876" i="262"/>
  <c r="AK796" i="262"/>
  <c r="AG796" i="262"/>
  <c r="M860" i="262"/>
  <c r="Y828" i="262"/>
  <c r="U828" i="262"/>
  <c r="U894" i="262"/>
  <c r="AK894" i="262"/>
  <c r="Q748" i="262"/>
  <c r="M748" i="262"/>
  <c r="M764" i="262"/>
  <c r="Q732" i="262"/>
  <c r="U732" i="262"/>
  <c r="M780" i="262"/>
  <c r="Y780" i="262"/>
  <c r="Q716" i="262"/>
  <c r="M716" i="262"/>
  <c r="U812" i="262"/>
  <c r="Q812" i="262"/>
  <c r="AK844" i="262"/>
  <c r="Q876" i="262"/>
  <c r="AC876" i="262"/>
  <c r="M796" i="262"/>
  <c r="Y796" i="262"/>
  <c r="Q860" i="262"/>
  <c r="AK860" i="262"/>
  <c r="AK828" i="262"/>
  <c r="Y894" i="262"/>
  <c r="AG894" i="262"/>
  <c r="AK748" i="262"/>
  <c r="Q764" i="262"/>
  <c r="U764" i="262"/>
  <c r="Y732" i="262"/>
  <c r="AC732" i="262"/>
  <c r="AK780" i="262"/>
  <c r="Q780" i="262"/>
  <c r="AK716" i="262"/>
  <c r="AC812" i="262"/>
  <c r="Y812" i="262"/>
  <c r="AG844" i="262"/>
  <c r="M844" i="262"/>
  <c r="AK876" i="262"/>
  <c r="AC796" i="262"/>
  <c r="Q796" i="262"/>
  <c r="AG860" i="262"/>
  <c r="AC860" i="262"/>
  <c r="AG828" i="262"/>
  <c r="M828" i="262"/>
  <c r="Q894" i="262"/>
  <c r="AG748" i="262"/>
  <c r="AC748" i="262"/>
  <c r="Y764" i="262"/>
  <c r="AC764" i="262"/>
  <c r="AG732" i="262"/>
  <c r="AK732" i="262"/>
  <c r="U780" i="262"/>
  <c r="AG716" i="262"/>
  <c r="AC716" i="262"/>
  <c r="AK812" i="262"/>
  <c r="AG812" i="262"/>
  <c r="Q844" i="262"/>
  <c r="U844" i="262"/>
  <c r="Y876" i="262"/>
  <c r="M876" i="262"/>
  <c r="U796" i="262"/>
  <c r="Y860" i="262"/>
  <c r="U860" i="262"/>
  <c r="Q828" i="262"/>
  <c r="AC828" i="262"/>
  <c r="M894" i="262"/>
  <c r="AC894" i="262"/>
  <c r="AG765" i="262"/>
  <c r="AC765" i="262"/>
  <c r="Y733" i="262"/>
  <c r="U733" i="262"/>
  <c r="U717" i="262"/>
  <c r="AC717" i="262"/>
  <c r="AC781" i="262"/>
  <c r="Q749" i="262"/>
  <c r="U749" i="262"/>
  <c r="AG877" i="262"/>
  <c r="AC877" i="262"/>
  <c r="Q829" i="262"/>
  <c r="AK829" i="262"/>
  <c r="M845" i="262"/>
  <c r="M813" i="262"/>
  <c r="Q813" i="262"/>
  <c r="AG861" i="262"/>
  <c r="U861" i="262"/>
  <c r="M797" i="262"/>
  <c r="Q797" i="262"/>
  <c r="M895" i="262"/>
  <c r="AK895" i="262"/>
  <c r="AK765" i="262"/>
  <c r="AG733" i="262"/>
  <c r="AC733" i="262"/>
  <c r="AG717" i="262"/>
  <c r="M717" i="262"/>
  <c r="M781" i="262"/>
  <c r="AG781" i="262"/>
  <c r="M749" i="262"/>
  <c r="Y877" i="262"/>
  <c r="U877" i="262"/>
  <c r="AG829" i="262"/>
  <c r="U829" i="262"/>
  <c r="Y845" i="262"/>
  <c r="AK845" i="262"/>
  <c r="AK813" i="262"/>
  <c r="Q861" i="262"/>
  <c r="AC861" i="262"/>
  <c r="AK797" i="262"/>
  <c r="Y797" i="262"/>
  <c r="U895" i="262"/>
  <c r="Q765" i="262"/>
  <c r="M765" i="262"/>
  <c r="AK733" i="262"/>
  <c r="Q717" i="262"/>
  <c r="Y717" i="262"/>
  <c r="AK781" i="262"/>
  <c r="Y781" i="262"/>
  <c r="AG749" i="262"/>
  <c r="AK749" i="262"/>
  <c r="M877" i="262"/>
  <c r="Y829" i="262"/>
  <c r="AC829" i="262"/>
  <c r="Q845" i="262"/>
  <c r="AC845" i="262"/>
  <c r="AC813" i="262"/>
  <c r="AG813" i="262"/>
  <c r="AK861" i="262"/>
  <c r="U797" i="262"/>
  <c r="AG797" i="262"/>
  <c r="Q895" i="262"/>
  <c r="AG895" i="262"/>
  <c r="Y765" i="262"/>
  <c r="U765" i="262"/>
  <c r="Q733" i="262"/>
  <c r="M733" i="262"/>
  <c r="AK717" i="262"/>
  <c r="U781" i="262"/>
  <c r="Q781" i="262"/>
  <c r="Y749" i="262"/>
  <c r="AC749" i="262"/>
  <c r="Q877" i="262"/>
  <c r="AK877" i="262"/>
  <c r="M829" i="262"/>
  <c r="AG845" i="262"/>
  <c r="U845" i="262"/>
  <c r="U813" i="262"/>
  <c r="Y813" i="262"/>
  <c r="Y861" i="262"/>
  <c r="M861" i="262"/>
  <c r="AC797" i="262"/>
  <c r="Y895" i="262"/>
  <c r="AC895" i="262"/>
  <c r="Y766" i="262"/>
  <c r="AC766" i="262"/>
  <c r="AC734" i="262"/>
  <c r="AK734" i="262"/>
  <c r="AK750" i="262"/>
  <c r="AC782" i="262"/>
  <c r="Y782" i="262"/>
  <c r="Q846" i="262"/>
  <c r="U846" i="262"/>
  <c r="U814" i="262"/>
  <c r="Q814" i="262"/>
  <c r="M862" i="262"/>
  <c r="AC798" i="262"/>
  <c r="Q798" i="262"/>
  <c r="Q830" i="262"/>
  <c r="AC830" i="262"/>
  <c r="Y878" i="262"/>
  <c r="M878" i="262"/>
  <c r="U896" i="262"/>
  <c r="Q766" i="262"/>
  <c r="U766" i="262"/>
  <c r="M734" i="262"/>
  <c r="U734" i="262"/>
  <c r="Q750" i="262"/>
  <c r="M750" i="262"/>
  <c r="U782" i="262"/>
  <c r="Y846" i="262"/>
  <c r="AC846" i="262"/>
  <c r="AC814" i="262"/>
  <c r="Y814" i="262"/>
  <c r="Q862" i="262"/>
  <c r="AK862" i="262"/>
  <c r="U798" i="262"/>
  <c r="Y830" i="262"/>
  <c r="U830" i="262"/>
  <c r="AG878" i="262"/>
  <c r="U878" i="262"/>
  <c r="M896" i="262"/>
  <c r="AC896" i="262"/>
  <c r="M766" i="262"/>
  <c r="Y734" i="262"/>
  <c r="AG734" i="262"/>
  <c r="Y750" i="262"/>
  <c r="U750" i="262"/>
  <c r="AK782" i="262"/>
  <c r="Q782" i="262"/>
  <c r="AK846" i="262"/>
  <c r="AK814" i="262"/>
  <c r="AG814" i="262"/>
  <c r="AG862" i="262"/>
  <c r="AC862" i="262"/>
  <c r="AK798" i="262"/>
  <c r="AG798" i="262"/>
  <c r="AK830" i="262"/>
  <c r="Q878" i="262"/>
  <c r="AC878" i="262"/>
  <c r="Q896" i="262"/>
  <c r="AK896" i="262"/>
  <c r="AG766" i="262"/>
  <c r="AK766" i="262"/>
  <c r="Q734" i="262"/>
  <c r="AG750" i="262"/>
  <c r="AC750" i="262"/>
  <c r="M782" i="262"/>
  <c r="AG782" i="262"/>
  <c r="AG846" i="262"/>
  <c r="M846" i="262"/>
  <c r="M814" i="262"/>
  <c r="Y862" i="262"/>
  <c r="U862" i="262"/>
  <c r="M798" i="262"/>
  <c r="Y798" i="262"/>
  <c r="AG830" i="262"/>
  <c r="M830" i="262"/>
  <c r="AK878" i="262"/>
  <c r="Y896" i="262"/>
  <c r="AG896" i="262"/>
  <c r="Y767" i="262"/>
  <c r="AC767" i="262"/>
  <c r="AK783" i="262"/>
  <c r="AG783" i="262"/>
  <c r="AK751" i="262"/>
  <c r="Q863" i="262"/>
  <c r="AC863" i="262"/>
  <c r="AG831" i="262"/>
  <c r="U831" i="262"/>
  <c r="AC815" i="262"/>
  <c r="AG815" i="262"/>
  <c r="AC799" i="262"/>
  <c r="AG847" i="262"/>
  <c r="U847" i="262"/>
  <c r="AG879" i="262"/>
  <c r="AC879" i="262"/>
  <c r="M897" i="262"/>
  <c r="AG767" i="262"/>
  <c r="AK767" i="262"/>
  <c r="U783" i="262"/>
  <c r="Q783" i="262"/>
  <c r="U751" i="262"/>
  <c r="AC751" i="262"/>
  <c r="AK863" i="262"/>
  <c r="Y831" i="262"/>
  <c r="AC831" i="262"/>
  <c r="U815" i="262"/>
  <c r="Y815" i="262"/>
  <c r="M799" i="262"/>
  <c r="Q799" i="262"/>
  <c r="M847" i="262"/>
  <c r="Y879" i="262"/>
  <c r="U879" i="262"/>
  <c r="Y897" i="262"/>
  <c r="AG897" i="262"/>
  <c r="M767" i="262"/>
  <c r="Y783" i="262"/>
  <c r="AC783" i="262"/>
  <c r="AG751" i="262"/>
  <c r="M751" i="262"/>
  <c r="Y863" i="262"/>
  <c r="M863" i="262"/>
  <c r="M831" i="262"/>
  <c r="M815" i="262"/>
  <c r="Q815" i="262"/>
  <c r="AK799" i="262"/>
  <c r="Y799" i="262"/>
  <c r="Y847" i="262"/>
  <c r="AK847" i="262"/>
  <c r="M879" i="262"/>
  <c r="Q897" i="262"/>
  <c r="AC897" i="262"/>
  <c r="Q767" i="262"/>
  <c r="U767" i="262"/>
  <c r="M783" i="262"/>
  <c r="Q751" i="262"/>
  <c r="Y751" i="262"/>
  <c r="AG863" i="262"/>
  <c r="U863" i="262"/>
  <c r="Q831" i="262"/>
  <c r="AK831" i="262"/>
  <c r="AK815" i="262"/>
  <c r="U799" i="262"/>
  <c r="AG799" i="262"/>
  <c r="Q847" i="262"/>
  <c r="AC847" i="262"/>
  <c r="Q879" i="262"/>
  <c r="AK879" i="262"/>
  <c r="U897" i="262"/>
  <c r="AK897" i="262"/>
  <c r="Q784" i="262"/>
  <c r="AK784" i="262"/>
  <c r="Q768" i="262"/>
  <c r="M768" i="262"/>
  <c r="AK848" i="262"/>
  <c r="Y832" i="262"/>
  <c r="U832" i="262"/>
  <c r="Q864" i="262"/>
  <c r="AC864" i="262"/>
  <c r="AK800" i="262"/>
  <c r="AG800" i="262"/>
  <c r="M816" i="262"/>
  <c r="Q880" i="262"/>
  <c r="AC880" i="262"/>
  <c r="Y898" i="262"/>
  <c r="Q898" i="262"/>
  <c r="AG784" i="262"/>
  <c r="M784" i="262"/>
  <c r="AC768" i="262"/>
  <c r="AK768" i="262"/>
  <c r="AG848" i="262"/>
  <c r="M848" i="262"/>
  <c r="AK832" i="262"/>
  <c r="AG864" i="262"/>
  <c r="U864" i="262"/>
  <c r="M800" i="262"/>
  <c r="Y800" i="262"/>
  <c r="U816" i="262"/>
  <c r="Q816" i="262"/>
  <c r="AK880" i="262"/>
  <c r="U898" i="262"/>
  <c r="AC898" i="262"/>
  <c r="AC784" i="262"/>
  <c r="Y768" i="262"/>
  <c r="U768" i="262"/>
  <c r="Q848" i="262"/>
  <c r="U848" i="262"/>
  <c r="AG832" i="262"/>
  <c r="M832" i="262"/>
  <c r="M864" i="262"/>
  <c r="AC800" i="262"/>
  <c r="Q800" i="262"/>
  <c r="AC816" i="262"/>
  <c r="Y816" i="262"/>
  <c r="Y880" i="262"/>
  <c r="M880" i="262"/>
  <c r="M898" i="262"/>
  <c r="AK898" i="262"/>
  <c r="Y784" i="262"/>
  <c r="U784" i="262"/>
  <c r="AG768" i="262"/>
  <c r="Y848" i="262"/>
  <c r="AC848" i="262"/>
  <c r="Q832" i="262"/>
  <c r="AC832" i="262"/>
  <c r="Y864" i="262"/>
  <c r="AK864" i="262"/>
  <c r="U800" i="262"/>
  <c r="AK816" i="262"/>
  <c r="AG816" i="262"/>
  <c r="AG880" i="262"/>
  <c r="U880" i="262"/>
  <c r="AG898" i="262"/>
  <c r="AG785" i="262"/>
  <c r="Q785" i="262"/>
  <c r="Y865" i="262"/>
  <c r="M865" i="262"/>
  <c r="AK817" i="262"/>
  <c r="U801" i="262"/>
  <c r="AG801" i="262"/>
  <c r="AG833" i="262"/>
  <c r="U833" i="262"/>
  <c r="Q881" i="262"/>
  <c r="AK881" i="262"/>
  <c r="M849" i="262"/>
  <c r="Y899" i="262"/>
  <c r="AC899" i="262"/>
  <c r="U785" i="262"/>
  <c r="AK785" i="262"/>
  <c r="AK865" i="262"/>
  <c r="M817" i="262"/>
  <c r="Q817" i="262"/>
  <c r="AK801" i="262"/>
  <c r="Y801" i="262"/>
  <c r="Q833" i="262"/>
  <c r="AK833" i="262"/>
  <c r="M881" i="262"/>
  <c r="AG849" i="262"/>
  <c r="U849" i="262"/>
  <c r="Q899" i="262"/>
  <c r="AG899" i="262"/>
  <c r="M785" i="262"/>
  <c r="Q865" i="262"/>
  <c r="AC865" i="262"/>
  <c r="U817" i="262"/>
  <c r="Y817" i="262"/>
  <c r="M801" i="262"/>
  <c r="Q801" i="262"/>
  <c r="M833" i="262"/>
  <c r="Y881" i="262"/>
  <c r="U881" i="262"/>
  <c r="Q849" i="262"/>
  <c r="AC849" i="262"/>
  <c r="U899" i="262"/>
  <c r="Y785" i="262"/>
  <c r="AC785" i="262"/>
  <c r="AG865" i="262"/>
  <c r="U865" i="262"/>
  <c r="AC817" i="262"/>
  <c r="AG817" i="262"/>
  <c r="AC801" i="262"/>
  <c r="Y833" i="262"/>
  <c r="AC833" i="262"/>
  <c r="AG881" i="262"/>
  <c r="AC881" i="262"/>
  <c r="Y849" i="262"/>
  <c r="AK849" i="262"/>
  <c r="M899" i="262"/>
  <c r="AK899" i="262"/>
  <c r="AC802" i="262"/>
  <c r="AG802" i="262"/>
  <c r="AG834" i="262"/>
  <c r="M834" i="262"/>
  <c r="M866" i="262"/>
  <c r="Q882" i="262"/>
  <c r="AC882" i="262"/>
  <c r="Q850" i="262"/>
  <c r="U850" i="262"/>
  <c r="U818" i="262"/>
  <c r="Q818" i="262"/>
  <c r="M900" i="262"/>
  <c r="AK900" i="262"/>
  <c r="U802" i="262"/>
  <c r="Y802" i="262"/>
  <c r="AK834" i="262"/>
  <c r="Y866" i="262"/>
  <c r="U866" i="262"/>
  <c r="AG882" i="262"/>
  <c r="U882" i="262"/>
  <c r="AG850" i="262"/>
  <c r="M850" i="262"/>
  <c r="M818" i="262"/>
  <c r="U900" i="262"/>
  <c r="AC900" i="262"/>
  <c r="M802" i="262"/>
  <c r="Y834" i="262"/>
  <c r="U834" i="262"/>
  <c r="AG866" i="262"/>
  <c r="AC866" i="262"/>
  <c r="Y882" i="262"/>
  <c r="M882" i="262"/>
  <c r="AK850" i="262"/>
  <c r="AK818" i="262"/>
  <c r="AG818" i="262"/>
  <c r="Y900" i="262"/>
  <c r="Q900" i="262"/>
  <c r="AK802" i="262"/>
  <c r="Q802" i="262"/>
  <c r="Q834" i="262"/>
  <c r="AC834" i="262"/>
  <c r="Q866" i="262"/>
  <c r="AK866" i="262"/>
  <c r="AK882" i="262"/>
  <c r="Y850" i="262"/>
  <c r="AC850" i="262"/>
  <c r="AC818" i="262"/>
  <c r="Y818" i="262"/>
  <c r="AG900" i="262"/>
  <c r="AG883" i="262"/>
  <c r="AC883" i="262"/>
  <c r="Q835" i="262"/>
  <c r="AK835" i="262"/>
  <c r="M851" i="262"/>
  <c r="Q867" i="262"/>
  <c r="AC867" i="262"/>
  <c r="AC819" i="262"/>
  <c r="U819" i="262"/>
  <c r="Y901" i="262"/>
  <c r="Y883" i="262"/>
  <c r="U883" i="262"/>
  <c r="AG835" i="262"/>
  <c r="U835" i="262"/>
  <c r="Y851" i="262"/>
  <c r="AK851" i="262"/>
  <c r="AK867" i="262"/>
  <c r="M819" i="262"/>
  <c r="Y819" i="262"/>
  <c r="AG901" i="262"/>
  <c r="Q901" i="262"/>
  <c r="M883" i="262"/>
  <c r="Y835" i="262"/>
  <c r="AC835" i="262"/>
  <c r="Q851" i="262"/>
  <c r="AC851" i="262"/>
  <c r="Y867" i="262"/>
  <c r="M867" i="262"/>
  <c r="AG819" i="262"/>
  <c r="AC901" i="262"/>
  <c r="U901" i="262"/>
  <c r="Q883" i="262"/>
  <c r="AK883" i="262"/>
  <c r="M835" i="262"/>
  <c r="AG851" i="262"/>
  <c r="U851" i="262"/>
  <c r="AG867" i="262"/>
  <c r="U867" i="262"/>
  <c r="Q819" i="262"/>
  <c r="AK819" i="262"/>
  <c r="AK901" i="262"/>
  <c r="M901" i="262"/>
  <c r="AG868" i="262"/>
  <c r="AC868" i="262"/>
  <c r="Y884" i="262"/>
  <c r="M884" i="262"/>
  <c r="U836" i="262"/>
  <c r="Y852" i="262"/>
  <c r="AC852" i="262"/>
  <c r="AG902" i="262"/>
  <c r="Y902" i="262"/>
  <c r="Y868" i="262"/>
  <c r="U868" i="262"/>
  <c r="AG884" i="262"/>
  <c r="U884" i="262"/>
  <c r="AG836" i="262"/>
  <c r="M836" i="262"/>
  <c r="AK852" i="262"/>
  <c r="Q902" i="262"/>
  <c r="U902" i="262"/>
  <c r="M868" i="262"/>
  <c r="Q884" i="262"/>
  <c r="AC884" i="262"/>
  <c r="Q836" i="262"/>
  <c r="AK836" i="262"/>
  <c r="AG852" i="262"/>
  <c r="M852" i="262"/>
  <c r="AC902" i="262"/>
  <c r="M902" i="262"/>
  <c r="Q868" i="262"/>
  <c r="AK868" i="262"/>
  <c r="AK884" i="262"/>
  <c r="Y836" i="262"/>
  <c r="AC836" i="262"/>
  <c r="Q852" i="262"/>
  <c r="U852" i="262"/>
  <c r="AK902" i="262"/>
  <c r="AG885" i="262"/>
  <c r="AC885" i="262"/>
  <c r="AG853" i="262"/>
  <c r="AC853" i="262"/>
  <c r="AK869" i="262"/>
  <c r="AC903" i="262"/>
  <c r="U903" i="262"/>
  <c r="Q885" i="262"/>
  <c r="AK885" i="262"/>
  <c r="U853" i="262"/>
  <c r="Y869" i="262"/>
  <c r="AC869" i="262"/>
  <c r="AG903" i="262"/>
  <c r="Q903" i="262"/>
  <c r="M885" i="262"/>
  <c r="Q853" i="262"/>
  <c r="AK853" i="262"/>
  <c r="Q869" i="262"/>
  <c r="U869" i="262"/>
  <c r="Y903" i="262"/>
  <c r="Y885" i="262"/>
  <c r="U885" i="262"/>
  <c r="Y853" i="262"/>
  <c r="M853" i="262"/>
  <c r="AG869" i="262"/>
  <c r="M869" i="262"/>
  <c r="AK903" i="262"/>
  <c r="M903" i="262"/>
  <c r="M886" i="262"/>
  <c r="Q886" i="262"/>
  <c r="U886" i="262"/>
  <c r="Y870" i="262"/>
  <c r="AK870" i="262"/>
  <c r="AK904" i="262"/>
  <c r="Y886" i="262"/>
  <c r="AG870" i="262"/>
  <c r="AG904" i="262"/>
  <c r="Y904" i="262"/>
  <c r="AG886" i="262"/>
  <c r="U870" i="262"/>
  <c r="AK886" i="262"/>
  <c r="Q870" i="262"/>
  <c r="AC870" i="262"/>
  <c r="AC904" i="262"/>
  <c r="U904" i="262"/>
  <c r="AC886" i="262"/>
  <c r="M870" i="262"/>
  <c r="Q904" i="262"/>
  <c r="M904" i="262"/>
  <c r="AG887" i="262"/>
  <c r="M887" i="262"/>
  <c r="Y887" i="262"/>
  <c r="AC887" i="262"/>
  <c r="U887" i="262"/>
  <c r="Q887" i="262"/>
  <c r="AK887" i="262"/>
  <c r="U22" i="261"/>
  <c r="Q91" i="261"/>
  <c r="U58" i="261"/>
  <c r="Q39" i="261"/>
  <c r="Q192" i="261"/>
  <c r="Q40" i="261"/>
  <c r="U57" i="261"/>
  <c r="Q41" i="261"/>
  <c r="Q24" i="261"/>
  <c r="Q60" i="261"/>
  <c r="U61" i="261"/>
  <c r="Q43" i="261"/>
  <c r="U215" i="261"/>
  <c r="Q27" i="261"/>
  <c r="Q29" i="261"/>
  <c r="Q48" i="261"/>
  <c r="Y48" i="261"/>
  <c r="Y60" i="261"/>
  <c r="Q213" i="261"/>
  <c r="Y213" i="261"/>
  <c r="U76" i="261"/>
  <c r="Y61" i="261"/>
  <c r="Y197" i="261"/>
  <c r="Q216" i="261"/>
  <c r="Y216" i="261"/>
  <c r="Q217" i="261"/>
  <c r="U65" i="261"/>
  <c r="Y201" i="261"/>
  <c r="Y202" i="261"/>
  <c r="Y203" i="261"/>
  <c r="Q34" i="261"/>
  <c r="U90" i="261"/>
  <c r="Q56" i="261"/>
  <c r="Y22" i="261"/>
  <c r="U40" i="261"/>
  <c r="Y39" i="261"/>
  <c r="Y57" i="261"/>
  <c r="Y92" i="261"/>
  <c r="U25" i="261"/>
  <c r="U23" i="261"/>
  <c r="U211" i="261"/>
  <c r="Y56" i="261"/>
  <c r="Q210" i="261"/>
  <c r="Y24" i="261"/>
  <c r="Q194" i="261"/>
  <c r="Y59" i="261"/>
  <c r="U42" i="261"/>
  <c r="Y44" i="261"/>
  <c r="U45" i="261"/>
  <c r="U63" i="261"/>
  <c r="U199" i="261"/>
  <c r="Y199" i="261"/>
  <c r="Y218" i="261"/>
  <c r="U98" i="261"/>
  <c r="Q93" i="261"/>
  <c r="Q44" i="261"/>
  <c r="Y78" i="261"/>
  <c r="U27" i="261"/>
  <c r="Q197" i="261"/>
  <c r="U28" i="261"/>
  <c r="U80" i="261"/>
  <c r="Q80" i="261"/>
  <c r="U81" i="261"/>
  <c r="Q200" i="261"/>
  <c r="Y98" i="261"/>
  <c r="Y67" i="261"/>
  <c r="U221" i="261"/>
  <c r="Q68" i="261"/>
  <c r="Q33" i="261"/>
  <c r="Y192" i="261"/>
  <c r="Y74" i="261"/>
  <c r="Q74" i="261"/>
  <c r="Y210" i="261"/>
  <c r="Q57" i="261"/>
  <c r="U75" i="261"/>
  <c r="Y93" i="261"/>
  <c r="Q212" i="261"/>
  <c r="Q79" i="261"/>
  <c r="U198" i="261"/>
  <c r="Q58" i="261"/>
  <c r="Y41" i="261"/>
  <c r="Y25" i="261"/>
  <c r="U44" i="261"/>
  <c r="Q215" i="261"/>
  <c r="Q198" i="261"/>
  <c r="Y217" i="261"/>
  <c r="U47" i="261"/>
  <c r="Q99" i="261"/>
  <c r="U67" i="261"/>
  <c r="Q202" i="261"/>
  <c r="Y101" i="261"/>
  <c r="Q52" i="261"/>
  <c r="U195" i="261"/>
  <c r="Q214" i="261"/>
  <c r="Y95" i="261"/>
  <c r="Y63" i="261"/>
  <c r="Q81" i="261"/>
  <c r="U30" i="261"/>
  <c r="Y194" i="261"/>
  <c r="U60" i="261"/>
  <c r="U214" i="261"/>
  <c r="U79" i="261"/>
  <c r="Y47" i="261"/>
  <c r="Q49" i="261"/>
  <c r="Q66" i="261"/>
  <c r="U85" i="261"/>
  <c r="Q90" i="261"/>
  <c r="Q73" i="261"/>
  <c r="U74" i="261"/>
  <c r="U210" i="261"/>
  <c r="Y73" i="261"/>
  <c r="Y91" i="261"/>
  <c r="Q25" i="261"/>
  <c r="Y196" i="261"/>
  <c r="Q26" i="261"/>
  <c r="Y96" i="261"/>
  <c r="Q96" i="261"/>
  <c r="Y28" i="261"/>
  <c r="U97" i="261"/>
  <c r="Q65" i="261"/>
  <c r="Y83" i="261"/>
  <c r="Y76" i="261"/>
  <c r="U77" i="261"/>
  <c r="U212" i="261"/>
  <c r="U26" i="261"/>
  <c r="U95" i="261"/>
  <c r="Y45" i="261"/>
  <c r="Y46" i="261"/>
  <c r="U46" i="261"/>
  <c r="Q64" i="261"/>
  <c r="Q47" i="261"/>
  <c r="Y65" i="261"/>
  <c r="Q83" i="261"/>
  <c r="Q100" i="261"/>
  <c r="Q32" i="261"/>
  <c r="Y222" i="261"/>
  <c r="U223" i="261"/>
  <c r="M35" i="261"/>
  <c r="M68" i="261"/>
  <c r="M206" i="261"/>
  <c r="M86" i="261"/>
  <c r="M85" i="261"/>
  <c r="M202" i="261"/>
  <c r="M218" i="261"/>
  <c r="M81" i="261"/>
  <c r="M78" i="261"/>
  <c r="M96" i="261"/>
  <c r="M27" i="261"/>
  <c r="M213" i="261"/>
  <c r="M76" i="261"/>
  <c r="M211" i="261"/>
  <c r="M210" i="261"/>
  <c r="AK666" i="262"/>
  <c r="AK647" i="262"/>
  <c r="AK613" i="262"/>
  <c r="AK627" i="262"/>
  <c r="AK609" i="262"/>
  <c r="AK528" i="262"/>
  <c r="AK495" i="262"/>
  <c r="AK510" i="262"/>
  <c r="AK557" i="262"/>
  <c r="AK523" i="262"/>
  <c r="AK538" i="262"/>
  <c r="AK699" i="262"/>
  <c r="AK695" i="262"/>
  <c r="AK677" i="262"/>
  <c r="Q196" i="261"/>
  <c r="Q95" i="261"/>
  <c r="Y80" i="261"/>
  <c r="Q63" i="261"/>
  <c r="Y97" i="261"/>
  <c r="U64" i="261"/>
  <c r="U82" i="261"/>
  <c r="Y49" i="261"/>
  <c r="Q211" i="261"/>
  <c r="Q59" i="261"/>
  <c r="Y27" i="261"/>
  <c r="U29" i="261"/>
  <c r="Q30" i="261"/>
  <c r="Y99" i="261"/>
  <c r="Q67" i="261"/>
  <c r="Q209" i="261"/>
  <c r="U24" i="261"/>
  <c r="U41" i="261"/>
  <c r="Y209" i="261"/>
  <c r="Y23" i="261"/>
  <c r="Q42" i="261"/>
  <c r="U43" i="261"/>
  <c r="Q94" i="261"/>
  <c r="Y198" i="261"/>
  <c r="Y219" i="261"/>
  <c r="Q92" i="261"/>
  <c r="Y75" i="261"/>
  <c r="Y42" i="261"/>
  <c r="Y195" i="261"/>
  <c r="Q195" i="261"/>
  <c r="U59" i="261"/>
  <c r="Q78" i="261"/>
  <c r="Y43" i="261"/>
  <c r="Y215" i="261"/>
  <c r="U216" i="261"/>
  <c r="Y81" i="261"/>
  <c r="Y200" i="261"/>
  <c r="U51" i="261"/>
  <c r="Y86" i="261"/>
  <c r="Q87" i="261"/>
  <c r="M104" i="261"/>
  <c r="M69" i="261"/>
  <c r="M203" i="261"/>
  <c r="M66" i="261"/>
  <c r="M223" i="261"/>
  <c r="M32" i="261"/>
  <c r="M30" i="261"/>
  <c r="M215" i="261"/>
  <c r="M195" i="261"/>
  <c r="M60" i="261"/>
  <c r="M58" i="261"/>
  <c r="M24" i="261"/>
  <c r="AK110" i="262"/>
  <c r="AK696" i="262"/>
  <c r="AK614" i="262"/>
  <c r="AK580" i="262"/>
  <c r="AK562" i="262"/>
  <c r="AK625" i="262"/>
  <c r="AK559" i="262"/>
  <c r="AK654" i="262"/>
  <c r="AK620" i="262"/>
  <c r="AK491" i="262"/>
  <c r="AK664" i="262"/>
  <c r="AK630" i="262"/>
  <c r="AK660" i="262"/>
  <c r="AK658" i="262"/>
  <c r="AK689" i="262"/>
  <c r="AK512" i="262"/>
  <c r="AK621" i="262"/>
  <c r="AK556" i="262"/>
  <c r="AK603" i="262"/>
  <c r="AK505" i="262"/>
  <c r="AK534" i="262"/>
  <c r="AK550" i="262"/>
  <c r="AK473" i="262"/>
  <c r="AK503" i="262"/>
  <c r="AK469" i="262"/>
  <c r="AK482" i="262"/>
  <c r="AK36" i="262"/>
  <c r="AK170" i="262"/>
  <c r="U192" i="261"/>
  <c r="Y40" i="261"/>
  <c r="U209" i="261"/>
  <c r="Y90" i="261"/>
  <c r="U39" i="261"/>
  <c r="Y211" i="261"/>
  <c r="Q76" i="261"/>
  <c r="Y212" i="261"/>
  <c r="U213" i="261"/>
  <c r="U196" i="261"/>
  <c r="U78" i="261"/>
  <c r="Y79" i="261"/>
  <c r="AK643" i="262"/>
  <c r="AK672" i="262"/>
  <c r="AK670" i="262"/>
  <c r="AK539" i="262"/>
  <c r="AK537" i="262"/>
  <c r="AK533" i="262"/>
  <c r="AK470" i="262"/>
  <c r="U37" i="1103"/>
  <c r="Y102" i="261"/>
  <c r="Q22" i="261"/>
  <c r="Q193" i="261"/>
  <c r="U92" i="261"/>
  <c r="U193" i="261"/>
  <c r="Q75" i="261"/>
  <c r="Q61" i="261"/>
  <c r="U197" i="261"/>
  <c r="Q199" i="261"/>
  <c r="U217" i="261"/>
  <c r="U218" i="261"/>
  <c r="Q218" i="261"/>
  <c r="U200" i="261"/>
  <c r="Y26" i="261"/>
  <c r="U62" i="261"/>
  <c r="U96" i="261"/>
  <c r="Q46" i="261"/>
  <c r="Y30" i="261"/>
  <c r="Q201" i="261"/>
  <c r="U49" i="261"/>
  <c r="Y32" i="261"/>
  <c r="Y100" i="261"/>
  <c r="Q101" i="261"/>
  <c r="Y68" i="261"/>
  <c r="Y204" i="261"/>
  <c r="U69" i="261"/>
  <c r="M36" i="261"/>
  <c r="M102" i="261"/>
  <c r="M50" i="261"/>
  <c r="M219" i="261"/>
  <c r="M82" i="261"/>
  <c r="M98" i="261"/>
  <c r="M63" i="261"/>
  <c r="M95" i="261"/>
  <c r="M198" i="261"/>
  <c r="M94" i="261"/>
  <c r="M25" i="261"/>
  <c r="M23" i="261"/>
  <c r="M209" i="261"/>
  <c r="M40" i="261"/>
  <c r="M39" i="261"/>
  <c r="AK697" i="262"/>
  <c r="AK598" i="262"/>
  <c r="AK596" i="262"/>
  <c r="AK530" i="262"/>
  <c r="AK529" i="262"/>
  <c r="AK656" i="262"/>
  <c r="AK591" i="262"/>
  <c r="AK494" i="262"/>
  <c r="AK540" i="262"/>
  <c r="AK587" i="262"/>
  <c r="AK652" i="262"/>
  <c r="AK649" i="262"/>
  <c r="AK646" i="262"/>
  <c r="AK692" i="262"/>
  <c r="AK563" i="262"/>
  <c r="AK513" i="262"/>
  <c r="AK496" i="262"/>
  <c r="AK655" i="262"/>
  <c r="AK574" i="262"/>
  <c r="AK492" i="262"/>
  <c r="AK686" i="262"/>
  <c r="AK490" i="262"/>
  <c r="AK635" i="262"/>
  <c r="AK535" i="262"/>
  <c r="AK601" i="262"/>
  <c r="AK221" i="262"/>
  <c r="BA37" i="262"/>
  <c r="AK37" i="1103"/>
  <c r="AK122" i="262"/>
  <c r="AK139" i="262"/>
  <c r="U53" i="1103"/>
  <c r="AK137" i="262"/>
  <c r="AK52" i="262"/>
  <c r="U31" i="1103"/>
  <c r="AK179" i="262"/>
  <c r="AK131" i="262"/>
  <c r="AK36" i="1103"/>
  <c r="AK121" i="262"/>
  <c r="AK35" i="1103"/>
  <c r="AK168" i="262"/>
  <c r="AK183" i="262"/>
  <c r="AK51" i="262"/>
  <c r="AK100" i="262"/>
  <c r="BA32" i="262"/>
  <c r="AK197" i="262"/>
  <c r="AK63" i="262"/>
  <c r="AK60" i="262"/>
  <c r="AK25" i="262"/>
  <c r="AK58" i="262"/>
  <c r="AK23" i="262"/>
  <c r="U40" i="1103"/>
  <c r="BA27" i="262"/>
  <c r="AK113" i="262"/>
  <c r="U43" i="1103"/>
  <c r="AK42" i="262"/>
  <c r="Y104" i="261"/>
  <c r="U222" i="261"/>
  <c r="U204" i="261"/>
  <c r="Q85" i="261"/>
  <c r="Y33" i="261"/>
  <c r="Q220" i="261"/>
  <c r="U219" i="261"/>
  <c r="U201" i="261"/>
  <c r="Q219" i="261"/>
  <c r="Q206" i="261"/>
  <c r="M103" i="261"/>
  <c r="M67" i="261"/>
  <c r="M49" i="261"/>
  <c r="M204" i="261"/>
  <c r="M52" i="261"/>
  <c r="M84" i="261"/>
  <c r="M100" i="261"/>
  <c r="M200" i="261"/>
  <c r="M26" i="261"/>
  <c r="M42" i="261"/>
  <c r="M28" i="261"/>
  <c r="M45" i="261"/>
  <c r="M59" i="261"/>
  <c r="M75" i="261"/>
  <c r="M74" i="261"/>
  <c r="AK681" i="262"/>
  <c r="AK694" i="262"/>
  <c r="AK564" i="262"/>
  <c r="AK546" i="262"/>
  <c r="AK545" i="262"/>
  <c r="AK592" i="262"/>
  <c r="AK511" i="262"/>
  <c r="AK573" i="262"/>
  <c r="AK524" i="262"/>
  <c r="AK475" i="262"/>
  <c r="AK569" i="262"/>
  <c r="AK665" i="262"/>
  <c r="AK678" i="262"/>
  <c r="AK644" i="262"/>
  <c r="AK594" i="262"/>
  <c r="AK561" i="262"/>
  <c r="AK624" i="262"/>
  <c r="AK575" i="262"/>
  <c r="AK541" i="262"/>
  <c r="AK636" i="262"/>
  <c r="AK619" i="262"/>
  <c r="AK506" i="262"/>
  <c r="AK472" i="262"/>
  <c r="AK518" i="262"/>
  <c r="AK485" i="262"/>
  <c r="AK521" i="262"/>
  <c r="AK487" i="262"/>
  <c r="AK567" i="262"/>
  <c r="AK466" i="262"/>
  <c r="AK224" i="262"/>
  <c r="AK207" i="262"/>
  <c r="AK37" i="262"/>
  <c r="AK171" i="262"/>
  <c r="AK190" i="262"/>
  <c r="U35" i="1103"/>
  <c r="AK657" i="262"/>
  <c r="AK671" i="262"/>
  <c r="AK637" i="262"/>
  <c r="AK602" i="262"/>
  <c r="AK551" i="262"/>
  <c r="AK468" i="262"/>
  <c r="AK536" i="262"/>
  <c r="AK516" i="262"/>
  <c r="AK154" i="262"/>
  <c r="AK173" i="262"/>
  <c r="U56" i="261"/>
  <c r="Y193" i="261"/>
  <c r="U73" i="261"/>
  <c r="Q23" i="261"/>
  <c r="U91" i="261"/>
  <c r="U194" i="261"/>
  <c r="Y58" i="261"/>
  <c r="Q77" i="261"/>
  <c r="U94" i="261"/>
  <c r="Q62" i="261"/>
  <c r="Y62" i="261"/>
  <c r="Q28" i="261"/>
  <c r="Y64" i="261"/>
  <c r="Y29" i="261"/>
  <c r="Q97" i="261"/>
  <c r="U48" i="261"/>
  <c r="Y82" i="261"/>
  <c r="Q82" i="261"/>
  <c r="Y77" i="261"/>
  <c r="U93" i="261"/>
  <c r="Y214" i="261"/>
  <c r="Y94" i="261"/>
  <c r="Q45" i="261"/>
  <c r="Q98" i="261"/>
  <c r="Q31" i="261"/>
  <c r="Y66" i="261"/>
  <c r="U31" i="261"/>
  <c r="U33" i="261"/>
  <c r="Q203" i="261"/>
  <c r="Y69" i="261"/>
  <c r="U87" i="261"/>
  <c r="M33" i="261"/>
  <c r="M87" i="261"/>
  <c r="M222" i="261"/>
  <c r="M221" i="261"/>
  <c r="M201" i="261"/>
  <c r="M31" i="261"/>
  <c r="M217" i="261"/>
  <c r="M97" i="261"/>
  <c r="M62" i="261"/>
  <c r="M44" i="261"/>
  <c r="M212" i="261"/>
  <c r="M29" i="261"/>
  <c r="M61" i="261"/>
  <c r="M73" i="261"/>
  <c r="M193" i="261"/>
  <c r="M90" i="261"/>
  <c r="AK109" i="262"/>
  <c r="AK679" i="262"/>
  <c r="AK629" i="262"/>
  <c r="AK611" i="262"/>
  <c r="AK674" i="262"/>
  <c r="AK544" i="262"/>
  <c r="AK607" i="262"/>
  <c r="AK590" i="262"/>
  <c r="AK509" i="262"/>
  <c r="AK588" i="262"/>
  <c r="AK570" i="262"/>
  <c r="AK632" i="262"/>
  <c r="AK661" i="262"/>
  <c r="AK547" i="262"/>
  <c r="AK610" i="262"/>
  <c r="AK640" i="262"/>
  <c r="AK639" i="262"/>
  <c r="AK478" i="262"/>
  <c r="AK653" i="262"/>
  <c r="AK572" i="262"/>
  <c r="AK669" i="262"/>
  <c r="AK504" i="262"/>
  <c r="AK486" i="262"/>
  <c r="AK520" i="262"/>
  <c r="AK471" i="262"/>
  <c r="AK501" i="262"/>
  <c r="AK499" i="262"/>
  <c r="AK189" i="262"/>
  <c r="AK172" i="262"/>
  <c r="AK71" i="262"/>
  <c r="AK104" i="262"/>
  <c r="AK205" i="262"/>
  <c r="AK53" i="262"/>
  <c r="AK68" i="262"/>
  <c r="AK101" i="262"/>
  <c r="AK32" i="262"/>
  <c r="AK134" i="262"/>
  <c r="AK118" i="262"/>
  <c r="AK213" i="262"/>
  <c r="BA30" i="262"/>
  <c r="AK30" i="1103"/>
  <c r="AK194" i="262"/>
  <c r="AK162" i="262"/>
  <c r="BA35" i="262"/>
  <c r="AK136" i="262"/>
  <c r="AK65" i="262"/>
  <c r="AK180" i="262"/>
  <c r="AK196" i="262"/>
  <c r="AK163" i="262"/>
  <c r="AK195" i="262"/>
  <c r="AK130" i="262"/>
  <c r="AK80" i="262"/>
  <c r="AK145" i="262"/>
  <c r="AK95" i="262"/>
  <c r="AK126" i="262"/>
  <c r="AK112" i="262"/>
  <c r="U24" i="1103"/>
  <c r="U104" i="261"/>
  <c r="Y205" i="261"/>
  <c r="U35" i="261"/>
  <c r="Y52" i="261"/>
  <c r="Q102" i="261"/>
  <c r="Q221" i="261"/>
  <c r="U68" i="261"/>
  <c r="Q84" i="261"/>
  <c r="U50" i="261"/>
  <c r="U206" i="261"/>
  <c r="Y53" i="261"/>
  <c r="M205" i="261"/>
  <c r="M34" i="261"/>
  <c r="M101" i="261"/>
  <c r="M53" i="261"/>
  <c r="M51" i="261"/>
  <c r="M83" i="261"/>
  <c r="M199" i="261"/>
  <c r="M64" i="261"/>
  <c r="M46" i="261"/>
  <c r="AK683" i="262"/>
  <c r="AK631" i="262"/>
  <c r="AK581" i="262"/>
  <c r="AK691" i="262"/>
  <c r="AK626" i="262"/>
  <c r="AK560" i="262"/>
  <c r="AK527" i="262"/>
  <c r="AK638" i="262"/>
  <c r="AK477" i="262"/>
  <c r="AK571" i="262"/>
  <c r="AK522" i="262"/>
  <c r="AK700" i="262"/>
  <c r="AK663" i="262"/>
  <c r="AK645" i="262"/>
  <c r="AK579" i="262"/>
  <c r="AK690" i="262"/>
  <c r="AK608" i="262"/>
  <c r="AK543" i="262"/>
  <c r="AK558" i="262"/>
  <c r="AK589" i="262"/>
  <c r="AK476" i="262"/>
  <c r="AK474" i="262"/>
  <c r="AK553" i="262"/>
  <c r="AK519" i="262"/>
  <c r="AK502" i="262"/>
  <c r="AK488" i="262"/>
  <c r="AK584" i="262"/>
  <c r="U36" i="1103"/>
  <c r="AK220" i="262"/>
  <c r="AK155" i="262"/>
  <c r="AK219" i="262"/>
  <c r="AK188" i="262"/>
  <c r="AK203" i="262"/>
  <c r="AK202" i="262"/>
  <c r="AK69" i="262"/>
  <c r="AK102" i="262"/>
  <c r="U34" i="1103"/>
  <c r="AK33" i="262"/>
  <c r="U33" i="1103"/>
  <c r="U50" i="1103"/>
  <c r="AK83" i="262"/>
  <c r="AK165" i="262"/>
  <c r="AK34" i="262"/>
  <c r="AK152" i="262"/>
  <c r="AK151" i="262"/>
  <c r="AK166" i="262"/>
  <c r="AK198" i="262"/>
  <c r="AK117" i="262"/>
  <c r="AK28" i="1103"/>
  <c r="U28" i="1103"/>
  <c r="AK27" i="1103"/>
  <c r="AK160" i="262"/>
  <c r="AK128" i="262"/>
  <c r="U23" i="1103"/>
  <c r="AK40" i="262"/>
  <c r="U26" i="1103"/>
  <c r="AK26" i="1103"/>
  <c r="U25" i="1103"/>
  <c r="AK24" i="262"/>
  <c r="AK91" i="262"/>
  <c r="Q205" i="261"/>
  <c r="Q103" i="261"/>
  <c r="U86" i="261"/>
  <c r="U34" i="261"/>
  <c r="Y221" i="261"/>
  <c r="U100" i="261"/>
  <c r="U66" i="261"/>
  <c r="Y36" i="261"/>
  <c r="M48" i="261"/>
  <c r="M65" i="261"/>
  <c r="M79" i="261"/>
  <c r="M214" i="261"/>
  <c r="M47" i="261"/>
  <c r="M216" i="261"/>
  <c r="M77" i="261"/>
  <c r="M92" i="261"/>
  <c r="M192" i="261"/>
  <c r="AK648" i="262"/>
  <c r="AK597" i="262"/>
  <c r="AK675" i="262"/>
  <c r="AK578" i="262"/>
  <c r="AK577" i="262"/>
  <c r="AK606" i="262"/>
  <c r="AK605" i="262"/>
  <c r="AK554" i="262"/>
  <c r="AK108" i="262"/>
  <c r="AK680" i="262"/>
  <c r="AK693" i="262"/>
  <c r="AK612" i="262"/>
  <c r="AK642" i="262"/>
  <c r="AK593" i="262"/>
  <c r="AK623" i="262"/>
  <c r="AK526" i="262"/>
  <c r="AK493" i="262"/>
  <c r="AK604" i="262"/>
  <c r="AK555" i="262"/>
  <c r="AK489" i="262"/>
  <c r="AK552" i="262"/>
  <c r="AK484" i="262"/>
  <c r="AK467" i="262"/>
  <c r="AK483" i="262"/>
  <c r="AK206" i="262"/>
  <c r="AK465" i="262"/>
  <c r="AK105" i="262"/>
  <c r="AK204" i="262"/>
  <c r="AK184" i="262"/>
  <c r="U51" i="1103"/>
  <c r="BA33" i="262"/>
  <c r="U49" i="1103"/>
  <c r="AK49" i="262"/>
  <c r="AK133" i="262"/>
  <c r="AK48" i="262"/>
  <c r="AK132" i="262"/>
  <c r="AK211" i="262"/>
  <c r="BA29" i="262"/>
  <c r="AK62" i="262"/>
  <c r="BA28" i="262"/>
  <c r="AK186" i="262"/>
  <c r="AK87" i="262"/>
  <c r="AK169" i="262"/>
  <c r="AK200" i="262"/>
  <c r="U32" i="1103"/>
  <c r="AK30" i="262"/>
  <c r="AK116" i="262"/>
  <c r="AK98" i="262"/>
  <c r="AK29" i="262"/>
  <c r="AK147" i="262"/>
  <c r="AK28" i="262"/>
  <c r="AK46" i="262"/>
  <c r="AK27" i="262"/>
  <c r="AK25" i="1103"/>
  <c r="U45" i="1103"/>
  <c r="BA26" i="262"/>
  <c r="AK93" i="262"/>
  <c r="U41" i="1103"/>
  <c r="Q35" i="261"/>
  <c r="Y35" i="261"/>
  <c r="Q222" i="261"/>
  <c r="Y51" i="261"/>
  <c r="U101" i="261"/>
  <c r="Y223" i="261"/>
  <c r="AK187" i="262"/>
  <c r="AK218" i="262"/>
  <c r="AK153" i="262"/>
  <c r="AK86" i="262"/>
  <c r="AK214" i="262"/>
  <c r="AK182" i="262"/>
  <c r="U48" i="1103"/>
  <c r="AK82" i="262"/>
  <c r="AK97" i="262"/>
  <c r="AK81" i="262"/>
  <c r="AK96" i="262"/>
  <c r="AK70" i="262"/>
  <c r="AK88" i="262"/>
  <c r="AK120" i="262"/>
  <c r="AK33" i="1103"/>
  <c r="AK181" i="262"/>
  <c r="U46" i="1103"/>
  <c r="AK114" i="262"/>
  <c r="AK43" i="262"/>
  <c r="U42" i="1103"/>
  <c r="AK23" i="1103"/>
  <c r="U27" i="1103"/>
  <c r="AK129" i="262"/>
  <c r="AK193" i="262"/>
  <c r="AK44" i="262"/>
  <c r="AK75" i="262"/>
  <c r="Y70" i="261"/>
  <c r="U103" i="261"/>
  <c r="Q70" i="261"/>
  <c r="Y85" i="261"/>
  <c r="U203" i="261"/>
  <c r="Q50" i="261"/>
  <c r="U36" i="261"/>
  <c r="Q223" i="261"/>
  <c r="Y34" i="261"/>
  <c r="M70" i="261"/>
  <c r="M220" i="261"/>
  <c r="M99" i="261"/>
  <c r="M80" i="261"/>
  <c r="M196" i="261"/>
  <c r="M197" i="261"/>
  <c r="M43" i="261"/>
  <c r="M93" i="261"/>
  <c r="M194" i="261"/>
  <c r="M41" i="261"/>
  <c r="M91" i="261"/>
  <c r="M22" i="261"/>
  <c r="M57" i="261"/>
  <c r="M56" i="261"/>
  <c r="AK698" i="262"/>
  <c r="AK662" i="262"/>
  <c r="AK628" i="262"/>
  <c r="AK659" i="262"/>
  <c r="AK641" i="262"/>
  <c r="AK576" i="262"/>
  <c r="AK687" i="262"/>
  <c r="AK622" i="262"/>
  <c r="AK508" i="262"/>
  <c r="AK507" i="262"/>
  <c r="AK586" i="262"/>
  <c r="AK682" i="262"/>
  <c r="AK615" i="262"/>
  <c r="AK676" i="262"/>
  <c r="AK595" i="262"/>
  <c r="AK673" i="262"/>
  <c r="AK688" i="262"/>
  <c r="AK479" i="262"/>
  <c r="AK542" i="262"/>
  <c r="AK525" i="262"/>
  <c r="AK585" i="262"/>
  <c r="AK618" i="262"/>
  <c r="AK517" i="262"/>
  <c r="AK568" i="262"/>
  <c r="AK500" i="262"/>
  <c r="AK223" i="262"/>
  <c r="AK222" i="262"/>
  <c r="AK156" i="262"/>
  <c r="AK54" i="262"/>
  <c r="AK201" i="262"/>
  <c r="AK34" i="1103"/>
  <c r="AK119" i="262"/>
  <c r="BA31" i="262"/>
  <c r="AK31" i="1103"/>
  <c r="AK47" i="262"/>
  <c r="AK138" i="262"/>
  <c r="BA36" i="262"/>
  <c r="AK103" i="262"/>
  <c r="AK167" i="262"/>
  <c r="AK215" i="262"/>
  <c r="AK50" i="262"/>
  <c r="AK99" i="262"/>
  <c r="U30" i="1103"/>
  <c r="U47" i="1103"/>
  <c r="U44" i="1103"/>
  <c r="AK143" i="262"/>
  <c r="AK74" i="262"/>
  <c r="AK79" i="262"/>
  <c r="AK127" i="262"/>
  <c r="BA23" i="262"/>
  <c r="Q104" i="261"/>
  <c r="U205" i="261"/>
  <c r="U70" i="261"/>
  <c r="U52" i="261"/>
  <c r="Q86" i="261"/>
  <c r="U32" i="261"/>
  <c r="U84" i="261"/>
  <c r="U83" i="261"/>
  <c r="Y31" i="261"/>
  <c r="Q36" i="261"/>
  <c r="Y87" i="261"/>
  <c r="Q53" i="261"/>
  <c r="AK217" i="262"/>
  <c r="AK216" i="262"/>
  <c r="AK199" i="262"/>
  <c r="AK85" i="262"/>
  <c r="AK64" i="262"/>
  <c r="AK212" i="262"/>
  <c r="AK150" i="262"/>
  <c r="AK31" i="262"/>
  <c r="AK164" i="262"/>
  <c r="AK148" i="262"/>
  <c r="AK146" i="262"/>
  <c r="AK178" i="262"/>
  <c r="AK61" i="262"/>
  <c r="AK45" i="262"/>
  <c r="AK26" i="262"/>
  <c r="AK111" i="262"/>
  <c r="AK92" i="262"/>
  <c r="AK125" i="262"/>
  <c r="AK78" i="262"/>
  <c r="AK59" i="262"/>
  <c r="AK159" i="262"/>
  <c r="AK76" i="262"/>
  <c r="AK142" i="262"/>
  <c r="Y103" i="261"/>
  <c r="Q69" i="261"/>
  <c r="Y50" i="261"/>
  <c r="Y84" i="261"/>
  <c r="AK185" i="262"/>
  <c r="BA34" i="262"/>
  <c r="AK84" i="262"/>
  <c r="AK66" i="262"/>
  <c r="U29" i="1103"/>
  <c r="U54" i="1103"/>
  <c r="AK35" i="262"/>
  <c r="U52" i="1103"/>
  <c r="AK67" i="262"/>
  <c r="AK135" i="262"/>
  <c r="AK32" i="1103"/>
  <c r="AK149" i="262"/>
  <c r="AK115" i="262"/>
  <c r="AK29" i="1103"/>
  <c r="AK210" i="262"/>
  <c r="AK144" i="262"/>
  <c r="BA25" i="262"/>
  <c r="AK24" i="1103"/>
  <c r="BA24" i="262"/>
  <c r="AK41" i="262"/>
  <c r="AK177" i="262"/>
  <c r="AK161" i="262"/>
  <c r="AK94" i="262"/>
  <c r="AK77" i="262"/>
  <c r="AK176" i="262"/>
  <c r="AK57" i="262"/>
  <c r="U102" i="261"/>
  <c r="Q204" i="261"/>
  <c r="Q51" i="261"/>
  <c r="U202" i="261"/>
  <c r="Y220" i="261"/>
  <c r="U220" i="261"/>
  <c r="U99" i="261"/>
  <c r="Y206" i="261"/>
  <c r="U53" i="261"/>
  <c r="BW22" i="262" l="1"/>
  <c r="O158" i="262"/>
  <c r="O549" i="262"/>
  <c r="O566" i="262"/>
  <c r="O464" i="262"/>
  <c r="O617" i="262"/>
  <c r="O634" i="262"/>
  <c r="O124" i="262"/>
  <c r="O107" i="262"/>
  <c r="O175" i="262"/>
  <c r="O192" i="262"/>
  <c r="O583" i="262"/>
  <c r="O600" i="262"/>
  <c r="O498" i="262"/>
  <c r="O651" i="262"/>
  <c r="O668" i="262"/>
  <c r="O73" i="262"/>
  <c r="O209" i="262"/>
  <c r="O56" i="262"/>
  <c r="O39" i="262"/>
  <c r="O515" i="262"/>
  <c r="O532" i="262"/>
  <c r="O685" i="262"/>
  <c r="O90" i="262"/>
  <c r="O22" i="262"/>
  <c r="O481" i="262"/>
  <c r="O141" i="262"/>
  <c r="U464" i="262"/>
  <c r="U583" i="262"/>
  <c r="U124" i="262"/>
  <c r="U107" i="262"/>
  <c r="U141" i="262"/>
  <c r="U498" i="262"/>
  <c r="U617" i="262"/>
  <c r="U56" i="262"/>
  <c r="U209" i="262"/>
  <c r="U566" i="262"/>
  <c r="U685" i="262"/>
  <c r="U668" i="262"/>
  <c r="U39" i="262"/>
  <c r="U481" i="262"/>
  <c r="U73" i="262"/>
  <c r="U192" i="262"/>
  <c r="U549" i="262"/>
  <c r="U532" i="262"/>
  <c r="U651" i="262"/>
  <c r="U22" i="262"/>
  <c r="U600" i="262"/>
  <c r="U90" i="262"/>
  <c r="U175" i="262"/>
  <c r="U158" i="262"/>
  <c r="U515" i="262"/>
  <c r="U634" i="262"/>
  <c r="Q617" i="262"/>
  <c r="Q90" i="262"/>
  <c r="Q158" i="262"/>
  <c r="Q685" i="262"/>
  <c r="Q141" i="262"/>
  <c r="Q464" i="262"/>
  <c r="Q39" i="262"/>
  <c r="Q209" i="262"/>
  <c r="Q532" i="262"/>
  <c r="Q22" i="262"/>
  <c r="Q515" i="262"/>
  <c r="Q600" i="262"/>
  <c r="Q56" i="262"/>
  <c r="Q192" i="262"/>
  <c r="Q583" i="262"/>
  <c r="Q175" i="262"/>
  <c r="Q498" i="262"/>
  <c r="Q651" i="262"/>
  <c r="Q668" i="262"/>
  <c r="Q481" i="262"/>
  <c r="Q566" i="262"/>
  <c r="Q107" i="262"/>
  <c r="Q549" i="262"/>
  <c r="Q634" i="262"/>
  <c r="Q73" i="262"/>
  <c r="Q124" i="262"/>
  <c r="AA56" i="262"/>
  <c r="AA634" i="262"/>
  <c r="AA90" i="262"/>
  <c r="AA668" i="262"/>
  <c r="AA566" i="262"/>
  <c r="AA600" i="262"/>
  <c r="AQ22" i="262"/>
  <c r="AA209" i="262"/>
  <c r="AA498" i="262"/>
  <c r="AA532" i="262"/>
  <c r="AA141" i="262"/>
  <c r="AA685" i="262"/>
  <c r="AA39" i="262"/>
  <c r="AA617" i="262"/>
  <c r="AA651" i="262"/>
  <c r="AA549" i="262"/>
  <c r="AA73" i="262"/>
  <c r="AA583" i="262"/>
  <c r="BG22" i="262"/>
  <c r="AA22" i="262"/>
  <c r="AA481" i="262"/>
  <c r="AA107" i="262"/>
  <c r="AA515" i="262"/>
  <c r="AA158" i="262"/>
  <c r="O39" i="1103"/>
  <c r="AA192" i="262"/>
  <c r="AA175" i="262"/>
  <c r="AA464" i="262"/>
  <c r="CA22" i="262"/>
  <c r="AE22" i="1103"/>
  <c r="O22" i="1103"/>
  <c r="AA124" i="262"/>
  <c r="AA22" i="1103"/>
  <c r="Y56" i="262"/>
  <c r="M634" i="262"/>
  <c r="Y549" i="262"/>
  <c r="AG600" i="262"/>
  <c r="AG107" i="262"/>
  <c r="M600" i="262"/>
  <c r="Y532" i="262"/>
  <c r="AG583" i="262"/>
  <c r="M685" i="262"/>
  <c r="M566" i="262"/>
  <c r="Y515" i="262"/>
  <c r="AG566" i="262"/>
  <c r="M651" i="262"/>
  <c r="M532" i="262"/>
  <c r="Y498" i="262"/>
  <c r="AG549" i="262"/>
  <c r="M124" i="262"/>
  <c r="AG141" i="262"/>
  <c r="AG124" i="262"/>
  <c r="M481" i="262"/>
  <c r="M56" i="262"/>
  <c r="Y192" i="262"/>
  <c r="AG685" i="262"/>
  <c r="M209" i="262"/>
  <c r="M107" i="262"/>
  <c r="Y175" i="262"/>
  <c r="Y668" i="262"/>
  <c r="M175" i="262"/>
  <c r="AG209" i="262"/>
  <c r="Y158" i="262"/>
  <c r="Y651" i="262"/>
  <c r="M73" i="262"/>
  <c r="AG192" i="262"/>
  <c r="Y90" i="262"/>
  <c r="Y634" i="262"/>
  <c r="Y685" i="262"/>
  <c r="M141" i="262"/>
  <c r="Y124" i="262"/>
  <c r="Y22" i="262"/>
  <c r="M90" i="262"/>
  <c r="AG175" i="262"/>
  <c r="AG56" i="262"/>
  <c r="AG617" i="262"/>
  <c r="AG668" i="262"/>
  <c r="AG158" i="262"/>
  <c r="Y73" i="262"/>
  <c r="Y600" i="262"/>
  <c r="AG651" i="262"/>
  <c r="AG73" i="262"/>
  <c r="Y107" i="262"/>
  <c r="Y583" i="262"/>
  <c r="AG634" i="262"/>
  <c r="AG90" i="262"/>
  <c r="M668" i="262"/>
  <c r="Y566" i="262"/>
  <c r="Y617" i="262"/>
  <c r="AG22" i="262"/>
  <c r="AG39" i="262"/>
  <c r="Y141" i="262"/>
  <c r="M617" i="262"/>
  <c r="M498" i="262"/>
  <c r="Y481" i="262"/>
  <c r="AG532" i="262"/>
  <c r="M583" i="262"/>
  <c r="M464" i="262"/>
  <c r="Y464" i="262"/>
  <c r="AG515" i="262"/>
  <c r="M549" i="262"/>
  <c r="M192" i="262"/>
  <c r="AG464" i="262"/>
  <c r="AG498" i="262"/>
  <c r="M515" i="262"/>
  <c r="M158" i="262"/>
  <c r="Y209" i="262"/>
  <c r="AG481" i="262"/>
  <c r="M22" i="262"/>
  <c r="Y39" i="262"/>
  <c r="M39" i="262"/>
  <c r="BO22" i="262"/>
  <c r="BC22" i="262"/>
  <c r="AU22" i="262"/>
  <c r="AM22" i="262"/>
  <c r="K39" i="1103"/>
  <c r="K22" i="1103"/>
  <c r="W22" i="1103"/>
  <c r="AO22" i="262"/>
  <c r="AW22" i="262"/>
  <c r="BQ22" i="262"/>
  <c r="BE22" i="262"/>
  <c r="S209" i="262"/>
  <c r="S532" i="262"/>
  <c r="S549" i="262"/>
  <c r="S634" i="262"/>
  <c r="S651" i="262"/>
  <c r="S481" i="262"/>
  <c r="S566" i="262"/>
  <c r="S107" i="262"/>
  <c r="S39" i="262"/>
  <c r="S22" i="262"/>
  <c r="S141" i="262"/>
  <c r="S464" i="262"/>
  <c r="S124" i="262"/>
  <c r="S90" i="262"/>
  <c r="S158" i="262"/>
  <c r="S175" i="262"/>
  <c r="S498" i="262"/>
  <c r="S583" i="262"/>
  <c r="S685" i="262"/>
  <c r="S73" i="262"/>
  <c r="S56" i="262"/>
  <c r="S192" i="262"/>
  <c r="S668" i="262"/>
  <c r="S515" i="262"/>
  <c r="S600" i="262"/>
  <c r="S617" i="262"/>
  <c r="BY22" i="262"/>
  <c r="BM22" i="262"/>
  <c r="BU22" i="262"/>
  <c r="K549" i="262"/>
  <c r="K209" i="262"/>
  <c r="K481" i="262"/>
  <c r="K56" i="262"/>
  <c r="AE192" i="262"/>
  <c r="AE685" i="262"/>
  <c r="W56" i="262"/>
  <c r="AE651" i="262"/>
  <c r="W668" i="262"/>
  <c r="AE73" i="262"/>
  <c r="AE634" i="262"/>
  <c r="K39" i="262"/>
  <c r="AE209" i="262"/>
  <c r="K73" i="262"/>
  <c r="W175" i="262"/>
  <c r="W685" i="262"/>
  <c r="K107" i="262"/>
  <c r="W158" i="262"/>
  <c r="AE668" i="262"/>
  <c r="AE141" i="262"/>
  <c r="AE56" i="262"/>
  <c r="AE107" i="262"/>
  <c r="W90" i="262"/>
  <c r="K651" i="262"/>
  <c r="AE549" i="262"/>
  <c r="K532" i="262"/>
  <c r="AE515" i="262"/>
  <c r="W532" i="262"/>
  <c r="K498" i="262"/>
  <c r="AE498" i="262"/>
  <c r="K22" i="262"/>
  <c r="W124" i="262"/>
  <c r="W583" i="262"/>
  <c r="K600" i="262"/>
  <c r="W549" i="262"/>
  <c r="W566" i="262"/>
  <c r="K566" i="262"/>
  <c r="AE532" i="262"/>
  <c r="AE39" i="262"/>
  <c r="AE124" i="262"/>
  <c r="K175" i="262"/>
  <c r="K583" i="262"/>
  <c r="AE175" i="262"/>
  <c r="W73" i="262"/>
  <c r="W617" i="262"/>
  <c r="K668" i="262"/>
  <c r="AE583" i="262"/>
  <c r="W600" i="262"/>
  <c r="K634" i="262"/>
  <c r="AE566" i="262"/>
  <c r="AE22" i="262"/>
  <c r="AE158" i="262"/>
  <c r="W651" i="262"/>
  <c r="AE90" i="262"/>
  <c r="AE617" i="262"/>
  <c r="W634" i="262"/>
  <c r="W107" i="262"/>
  <c r="AE600" i="262"/>
  <c r="W22" i="262"/>
  <c r="K685" i="262"/>
  <c r="K617" i="262"/>
  <c r="K515" i="262"/>
  <c r="W481" i="262"/>
  <c r="K158" i="262"/>
  <c r="W209" i="262"/>
  <c r="W464" i="262"/>
  <c r="K90" i="262"/>
  <c r="W192" i="262"/>
  <c r="K141" i="262"/>
  <c r="K124" i="262"/>
  <c r="W515" i="262"/>
  <c r="K464" i="262"/>
  <c r="AE481" i="262"/>
  <c r="W498" i="262"/>
  <c r="K192" i="262"/>
  <c r="AE464" i="262"/>
  <c r="W141" i="262"/>
  <c r="W39" i="262"/>
  <c r="BK22" i="262"/>
  <c r="BS22" i="262"/>
  <c r="M39" i="1103"/>
  <c r="Y22" i="1103"/>
  <c r="M22" i="1103"/>
  <c r="AC617" i="262"/>
  <c r="AC90" i="262"/>
  <c r="AC583" i="262"/>
  <c r="AC124" i="262"/>
  <c r="AC141" i="262"/>
  <c r="AC685" i="262"/>
  <c r="AC668" i="262"/>
  <c r="AC600" i="262"/>
  <c r="AC566" i="262"/>
  <c r="AG22" i="1103"/>
  <c r="AC39" i="262"/>
  <c r="AC651" i="262"/>
  <c r="BI22" i="262"/>
  <c r="AC107" i="262"/>
  <c r="AC481" i="262"/>
  <c r="AC192" i="262"/>
  <c r="AC158" i="262"/>
  <c r="AC22" i="262"/>
  <c r="AC549" i="262"/>
  <c r="AC515" i="262"/>
  <c r="AS22" i="262"/>
  <c r="AC56" i="262"/>
  <c r="AC73" i="262"/>
  <c r="AC209" i="262"/>
  <c r="AC464" i="262"/>
  <c r="AC175" i="262"/>
  <c r="Q22" i="1103"/>
  <c r="Q39" i="1103"/>
  <c r="AC532" i="262"/>
  <c r="AC498" i="262"/>
  <c r="CC22" i="262"/>
  <c r="AC634" i="262"/>
  <c r="AC22" i="1103"/>
  <c r="BY32" i="262"/>
  <c r="BU26" i="262"/>
  <c r="U110" i="262" l="1"/>
  <c r="BE29" i="262"/>
  <c r="Q542" i="262"/>
  <c r="Y524" i="262"/>
  <c r="Y683" i="262"/>
  <c r="AG215" i="262"/>
  <c r="Y477" i="262"/>
  <c r="AG543" i="262"/>
  <c r="AG49" i="262"/>
  <c r="Y522" i="262"/>
  <c r="Y550" i="262"/>
  <c r="AG618" i="262"/>
  <c r="Y555" i="262"/>
  <c r="M658" i="262"/>
  <c r="AG575" i="262"/>
  <c r="M199" i="262"/>
  <c r="AG155" i="262"/>
  <c r="AG467" i="262"/>
  <c r="AG520" i="262"/>
  <c r="M590" i="262"/>
  <c r="AG653" i="262"/>
  <c r="M61" i="262"/>
  <c r="Y31" i="262"/>
  <c r="M495" i="262"/>
  <c r="Y572" i="262"/>
  <c r="AG172" i="262"/>
  <c r="AG567" i="262"/>
  <c r="Y652" i="262"/>
  <c r="M671" i="262"/>
  <c r="M619" i="262"/>
  <c r="AG538" i="262"/>
  <c r="AG53" i="262"/>
  <c r="Y188" i="262"/>
  <c r="AG501" i="262"/>
  <c r="M571" i="262"/>
  <c r="M126" i="262"/>
  <c r="AG23" i="262"/>
  <c r="Y103" i="262"/>
  <c r="Y626" i="262"/>
  <c r="Y223" i="262"/>
  <c r="Y627" i="262"/>
  <c r="Y679" i="262"/>
  <c r="Y688" i="262"/>
  <c r="M189" i="262"/>
  <c r="AG612" i="262"/>
  <c r="Y606" i="262"/>
  <c r="M168" i="262"/>
  <c r="AG642" i="262"/>
  <c r="M186" i="262"/>
  <c r="M504" i="262"/>
  <c r="AG513" i="262"/>
  <c r="M164" i="262"/>
  <c r="M220" i="262"/>
  <c r="AG132" i="262"/>
  <c r="AG673" i="262"/>
  <c r="AG54" i="262"/>
  <c r="Y59" i="262"/>
  <c r="M104" i="262"/>
  <c r="M542" i="262"/>
  <c r="AG519" i="262"/>
  <c r="M100" i="262"/>
  <c r="M586" i="262"/>
  <c r="AG499" i="262"/>
  <c r="AG78" i="262"/>
  <c r="Y51" i="262"/>
  <c r="Y190" i="262"/>
  <c r="Y597" i="262"/>
  <c r="AG97" i="262"/>
  <c r="Y170" i="262"/>
  <c r="M26" i="262"/>
  <c r="Y152" i="262"/>
  <c r="Y605" i="262"/>
  <c r="AG562" i="262"/>
  <c r="Y200" i="262"/>
  <c r="Y156" i="262"/>
  <c r="AG624" i="262"/>
  <c r="Y84" i="262"/>
  <c r="Y696" i="262"/>
  <c r="AG95" i="262"/>
  <c r="AG164" i="262"/>
  <c r="M194" i="262"/>
  <c r="Y219" i="262"/>
  <c r="M520" i="262"/>
  <c r="Y594" i="262"/>
  <c r="Y58" i="262"/>
  <c r="AG45" i="262"/>
  <c r="AG665" i="262"/>
  <c r="Y184" i="262"/>
  <c r="M187" i="262"/>
  <c r="M649" i="262"/>
  <c r="M680" i="262"/>
  <c r="AG51" i="262"/>
  <c r="Y646" i="262"/>
  <c r="AG92" i="262"/>
  <c r="Y178" i="262"/>
  <c r="M632" i="262"/>
  <c r="M578" i="262"/>
  <c r="AG82" i="262"/>
  <c r="Y643" i="262"/>
  <c r="M677" i="262"/>
  <c r="Y700" i="262"/>
  <c r="Y485" i="262"/>
  <c r="Y614" i="262"/>
  <c r="AG585" i="262"/>
  <c r="AG545" i="262"/>
  <c r="AG678" i="262"/>
  <c r="Y160" i="262"/>
  <c r="Y543" i="262"/>
  <c r="AG643" i="262"/>
  <c r="Y682" i="262"/>
  <c r="AG649" i="262"/>
  <c r="AG698" i="262"/>
  <c r="Y577" i="262"/>
  <c r="M618" i="262"/>
  <c r="Y693" i="262"/>
  <c r="AG479" i="262"/>
  <c r="M524" i="262"/>
  <c r="AG142" i="262"/>
  <c r="AG118" i="262"/>
  <c r="M139" i="262"/>
  <c r="Y145" i="262"/>
  <c r="Y114" i="262"/>
  <c r="Y473" i="262"/>
  <c r="AG597" i="262"/>
  <c r="Y177" i="262"/>
  <c r="Y538" i="262"/>
  <c r="AG621" i="262"/>
  <c r="Y95" i="262"/>
  <c r="Y487" i="262"/>
  <c r="AG104" i="262"/>
  <c r="AG223" i="262"/>
  <c r="AG503" i="262"/>
  <c r="M493" i="262"/>
  <c r="AG556" i="262"/>
  <c r="M42" i="262"/>
  <c r="AG101" i="262"/>
  <c r="AG69" i="262"/>
  <c r="AG533" i="262"/>
  <c r="M635" i="262"/>
  <c r="AG586" i="262"/>
  <c r="M597" i="262"/>
  <c r="AG136" i="262"/>
  <c r="M570" i="262"/>
  <c r="AG652" i="262"/>
  <c r="AG52" i="262"/>
  <c r="Y153" i="262"/>
  <c r="Y467" i="262"/>
  <c r="M505" i="262"/>
  <c r="M499" i="262"/>
  <c r="Y470" i="262"/>
  <c r="AG149" i="262"/>
  <c r="AG183" i="262"/>
  <c r="AG105" i="262"/>
  <c r="M207" i="262"/>
  <c r="M129" i="262"/>
  <c r="M125" i="262"/>
  <c r="M112" i="262"/>
  <c r="AG484" i="262"/>
  <c r="Y642" i="262"/>
  <c r="Y666" i="262"/>
  <c r="AG518" i="262"/>
  <c r="Y490" i="262"/>
  <c r="AG626" i="262"/>
  <c r="Y189" i="262"/>
  <c r="Y151" i="262"/>
  <c r="AG102" i="262"/>
  <c r="AG190" i="262"/>
  <c r="M486" i="262"/>
  <c r="AG473" i="262"/>
  <c r="M659" i="262"/>
  <c r="AG98" i="262"/>
  <c r="Y100" i="262"/>
  <c r="Y70" i="262"/>
  <c r="M88" i="262"/>
  <c r="Y486" i="262"/>
  <c r="M527" i="262"/>
  <c r="M27" i="262"/>
  <c r="M172" i="262"/>
  <c r="AG485" i="262"/>
  <c r="Y212" i="262"/>
  <c r="AG67" i="262"/>
  <c r="AG219" i="262"/>
  <c r="M219" i="262"/>
  <c r="M149" i="262"/>
  <c r="Y172" i="262"/>
  <c r="AG161" i="262"/>
  <c r="AG48" i="262"/>
  <c r="Y168" i="262"/>
  <c r="M166" i="262"/>
  <c r="Y110" i="262"/>
  <c r="M37" i="262"/>
  <c r="M142" i="262"/>
  <c r="M121" i="262"/>
  <c r="AG147" i="262"/>
  <c r="Y81" i="262"/>
  <c r="Y88" i="262"/>
  <c r="Y526" i="262"/>
  <c r="Y513" i="262"/>
  <c r="Y218" i="262"/>
  <c r="AG536" i="262"/>
  <c r="AG596" i="262"/>
  <c r="M102" i="262"/>
  <c r="Y596" i="262"/>
  <c r="M539" i="262"/>
  <c r="M533" i="262"/>
  <c r="Y678" i="262"/>
  <c r="M507" i="262"/>
  <c r="M79" i="262"/>
  <c r="AG625" i="262"/>
  <c r="M470" i="262"/>
  <c r="M216" i="262"/>
  <c r="Y675" i="262"/>
  <c r="M501" i="262"/>
  <c r="AG474" i="262"/>
  <c r="AG476" i="262"/>
  <c r="AG559" i="262"/>
  <c r="M178" i="262"/>
  <c r="AG546" i="262"/>
  <c r="M503" i="262"/>
  <c r="Y503" i="262"/>
  <c r="Y669" i="262"/>
  <c r="Y573" i="262"/>
  <c r="M696" i="262"/>
  <c r="AG640" i="262"/>
  <c r="M71" i="262"/>
  <c r="Y108" i="262"/>
  <c r="M128" i="262"/>
  <c r="M145" i="262"/>
  <c r="AG148" i="262"/>
  <c r="Y30" i="262"/>
  <c r="Y126" i="262"/>
  <c r="AG528" i="262"/>
  <c r="Y551" i="262"/>
  <c r="AG695" i="262"/>
  <c r="Y556" i="262"/>
  <c r="AG603" i="262"/>
  <c r="Y465" i="262"/>
  <c r="M556" i="262"/>
  <c r="Y488" i="262"/>
  <c r="Y201" i="262"/>
  <c r="M487" i="262"/>
  <c r="AG472" i="262"/>
  <c r="M489" i="262"/>
  <c r="M607" i="262"/>
  <c r="AG550" i="262"/>
  <c r="M190" i="262"/>
  <c r="M197" i="262"/>
  <c r="Y113" i="262"/>
  <c r="M40" i="262"/>
  <c r="M122" i="262"/>
  <c r="AG110" i="262"/>
  <c r="AG125" i="262"/>
  <c r="Y589" i="262"/>
  <c r="AG182" i="262"/>
  <c r="AG156" i="262"/>
  <c r="Y640" i="262"/>
  <c r="Y546" i="262"/>
  <c r="M29" i="262"/>
  <c r="Y207" i="262"/>
  <c r="AG507" i="262"/>
  <c r="Y196" i="262"/>
  <c r="Y214" i="262"/>
  <c r="Y476" i="262"/>
  <c r="Y576" i="262"/>
  <c r="AG198" i="262"/>
  <c r="M580" i="262"/>
  <c r="AG65" i="262"/>
  <c r="Y564" i="262"/>
  <c r="M648" i="262"/>
  <c r="AG176" i="262"/>
  <c r="M563" i="262"/>
  <c r="M512" i="262"/>
  <c r="AG80" i="262"/>
  <c r="AG699" i="262"/>
  <c r="M546" i="262"/>
  <c r="Y647" i="262"/>
  <c r="M700" i="262"/>
  <c r="AG690" i="262"/>
  <c r="AG162" i="262"/>
  <c r="AG666" i="262"/>
  <c r="M656" i="262"/>
  <c r="AG47" i="262"/>
  <c r="M697" i="262"/>
  <c r="Y496" i="262"/>
  <c r="Y92" i="262"/>
  <c r="AG661" i="262"/>
  <c r="M492" i="262"/>
  <c r="Y94" i="262"/>
  <c r="M595" i="262"/>
  <c r="AG119" i="262"/>
  <c r="Y131" i="262"/>
  <c r="AG607" i="262"/>
  <c r="Y501" i="262"/>
  <c r="AG613" i="262"/>
  <c r="Y571" i="262"/>
  <c r="M469" i="262"/>
  <c r="Y510" i="262"/>
  <c r="Y530" i="262"/>
  <c r="M153" i="262"/>
  <c r="Y540" i="262"/>
  <c r="AG544" i="262"/>
  <c r="M82" i="262"/>
  <c r="M536" i="262"/>
  <c r="Y628" i="262"/>
  <c r="M666" i="262"/>
  <c r="M204" i="262"/>
  <c r="Y658" i="262"/>
  <c r="Y125" i="262"/>
  <c r="AG516" i="262"/>
  <c r="Y183" i="262"/>
  <c r="Y607" i="262"/>
  <c r="AG469" i="262"/>
  <c r="Y469" i="262"/>
  <c r="M500" i="262"/>
  <c r="M573" i="262"/>
  <c r="AG221" i="262"/>
  <c r="M103" i="262"/>
  <c r="M568" i="262"/>
  <c r="AG196" i="262"/>
  <c r="M214" i="262"/>
  <c r="M475" i="262"/>
  <c r="Y44" i="262"/>
  <c r="M77" i="262"/>
  <c r="M517" i="262"/>
  <c r="Y143" i="262"/>
  <c r="Y77" i="262"/>
  <c r="AG66" i="262"/>
  <c r="Y588" i="262"/>
  <c r="AG654" i="262"/>
  <c r="AG151" i="262"/>
  <c r="AG224" i="262"/>
  <c r="Y593" i="262"/>
  <c r="M176" i="262"/>
  <c r="AG657" i="262"/>
  <c r="M516" i="262"/>
  <c r="M66" i="262"/>
  <c r="AG658" i="262"/>
  <c r="M224" i="262"/>
  <c r="M596" i="262"/>
  <c r="Y608" i="262"/>
  <c r="M217" i="262"/>
  <c r="M193" i="262"/>
  <c r="AG672" i="262"/>
  <c r="M87" i="262"/>
  <c r="AG486" i="262"/>
  <c r="Y489" i="262"/>
  <c r="AG524" i="262"/>
  <c r="M629" i="262"/>
  <c r="AG560" i="262"/>
  <c r="M185" i="262"/>
  <c r="AG207" i="262"/>
  <c r="Y534" i="262"/>
  <c r="AG506" i="262"/>
  <c r="M641" i="262"/>
  <c r="AG574" i="262"/>
  <c r="Y680" i="262"/>
  <c r="AG588" i="262"/>
  <c r="Y71" i="262"/>
  <c r="Y61" i="262"/>
  <c r="Y210" i="262"/>
  <c r="M606" i="262"/>
  <c r="M692" i="262"/>
  <c r="AG577" i="262"/>
  <c r="M652" i="262"/>
  <c r="M655" i="262"/>
  <c r="M473" i="262"/>
  <c r="AG623" i="262"/>
  <c r="AG692" i="262"/>
  <c r="M222" i="262"/>
  <c r="Y493" i="262"/>
  <c r="AG578" i="262"/>
  <c r="M155" i="262"/>
  <c r="M41" i="262"/>
  <c r="M110" i="262"/>
  <c r="Y109" i="262"/>
  <c r="M127" i="262"/>
  <c r="Y28" i="262"/>
  <c r="Y154" i="262"/>
  <c r="Y519" i="262"/>
  <c r="AG42" i="262"/>
  <c r="Y47" i="262"/>
  <c r="Y504" i="262"/>
  <c r="Y654" i="262"/>
  <c r="Y45" i="262"/>
  <c r="M478" i="262"/>
  <c r="AG79" i="262"/>
  <c r="Y664" i="262"/>
  <c r="M529" i="262"/>
  <c r="AG694" i="262"/>
  <c r="M663" i="262"/>
  <c r="M669" i="262"/>
  <c r="AG58" i="262"/>
  <c r="Y644" i="262"/>
  <c r="M621" i="262"/>
  <c r="AG691" i="262"/>
  <c r="M530" i="262"/>
  <c r="Y639" i="262"/>
  <c r="Y91" i="262"/>
  <c r="Y580" i="262"/>
  <c r="M555" i="262"/>
  <c r="AG43" i="262"/>
  <c r="M609" i="262"/>
  <c r="AG526" i="262"/>
  <c r="AG655" i="262"/>
  <c r="Y690" i="262"/>
  <c r="M485" i="262"/>
  <c r="AG647" i="262"/>
  <c r="M559" i="262"/>
  <c r="M34" i="262"/>
  <c r="Y138" i="262"/>
  <c r="AG139" i="262"/>
  <c r="AG26" i="262"/>
  <c r="AG150" i="262"/>
  <c r="AG206" i="262"/>
  <c r="AG561" i="262"/>
  <c r="Y176" i="262"/>
  <c r="Y533" i="262"/>
  <c r="AG619" i="262"/>
  <c r="Y649" i="262"/>
  <c r="M585" i="262"/>
  <c r="Y697" i="262"/>
  <c r="AG579" i="262"/>
  <c r="M588" i="262"/>
  <c r="Y562" i="262"/>
  <c r="M592" i="262"/>
  <c r="M205" i="262"/>
  <c r="Y613" i="262"/>
  <c r="M525" i="262"/>
  <c r="M601" i="262"/>
  <c r="AG615" i="262"/>
  <c r="M541" i="262"/>
  <c r="AG541" i="262"/>
  <c r="AG527" i="262"/>
  <c r="Y529" i="262"/>
  <c r="M482" i="262"/>
  <c r="AG630" i="262"/>
  <c r="M653" i="262"/>
  <c r="AG555" i="262"/>
  <c r="Y557" i="262"/>
  <c r="Y655" i="262"/>
  <c r="M49" i="262"/>
  <c r="AG547" i="262"/>
  <c r="M553" i="262"/>
  <c r="Y118" i="262"/>
  <c r="AG29" i="262"/>
  <c r="M36" i="262"/>
  <c r="Y148" i="262"/>
  <c r="Y129" i="262"/>
  <c r="Y187" i="262"/>
  <c r="Y671" i="262"/>
  <c r="AG564" i="262"/>
  <c r="Y221" i="262"/>
  <c r="AG601" i="262"/>
  <c r="Y659" i="262"/>
  <c r="Y169" i="262"/>
  <c r="Y179" i="262"/>
  <c r="Y50" i="262"/>
  <c r="AG201" i="262"/>
  <c r="M169" i="262"/>
  <c r="AG500" i="262"/>
  <c r="M574" i="262"/>
  <c r="AG76" i="262"/>
  <c r="Y63" i="262"/>
  <c r="AG181" i="262"/>
  <c r="M181" i="262"/>
  <c r="AG220" i="262"/>
  <c r="M506" i="262"/>
  <c r="M30" i="262"/>
  <c r="M195" i="262"/>
  <c r="AG71" i="262"/>
  <c r="AG93" i="262"/>
  <c r="Y211" i="262"/>
  <c r="AG166" i="262"/>
  <c r="M212" i="262"/>
  <c r="M57" i="262"/>
  <c r="Y216" i="262"/>
  <c r="Y615" i="262"/>
  <c r="AG59" i="262"/>
  <c r="Y195" i="262"/>
  <c r="M74" i="262"/>
  <c r="AG137" i="262"/>
  <c r="Y37" i="262"/>
  <c r="AG35" i="262"/>
  <c r="AG108" i="262"/>
  <c r="M135" i="262"/>
  <c r="Y204" i="262"/>
  <c r="Y46" i="262"/>
  <c r="Y570" i="262"/>
  <c r="Y64" i="262"/>
  <c r="M637" i="262"/>
  <c r="AG169" i="262"/>
  <c r="AG535" i="262"/>
  <c r="M552" i="262"/>
  <c r="Y167" i="262"/>
  <c r="Y482" i="262"/>
  <c r="M465" i="262"/>
  <c r="M561" i="262"/>
  <c r="Y585" i="262"/>
  <c r="M86" i="262"/>
  <c r="M589" i="262"/>
  <c r="AG584" i="262"/>
  <c r="M690" i="262"/>
  <c r="AG33" i="262"/>
  <c r="M109" i="262"/>
  <c r="AG121" i="262"/>
  <c r="Y136" i="262"/>
  <c r="M143" i="262"/>
  <c r="AG88" i="262"/>
  <c r="Y591" i="262"/>
  <c r="Y98" i="262"/>
  <c r="Y67" i="262"/>
  <c r="AG525" i="262"/>
  <c r="Y657" i="262"/>
  <c r="AG203" i="262"/>
  <c r="M98" i="262"/>
  <c r="AG171" i="262"/>
  <c r="M521" i="262"/>
  <c r="M51" i="262"/>
  <c r="Y205" i="262"/>
  <c r="M518" i="262"/>
  <c r="BY24" i="262"/>
  <c r="BY29" i="262"/>
  <c r="BY30" i="262"/>
  <c r="BY31" i="262"/>
  <c r="BY34" i="262"/>
  <c r="BY35" i="262"/>
  <c r="BY37" i="262"/>
  <c r="BY23" i="262"/>
  <c r="Q547" i="262"/>
  <c r="Q164" i="262"/>
  <c r="Q553" i="262"/>
  <c r="Q584" i="262"/>
  <c r="Q34" i="262"/>
  <c r="Q640" i="262"/>
  <c r="Q641" i="262"/>
  <c r="Q81" i="262"/>
  <c r="Q535" i="262"/>
  <c r="Q559" i="262"/>
  <c r="Q589" i="262"/>
  <c r="Q172" i="262"/>
  <c r="Q93" i="262"/>
  <c r="Q669" i="262"/>
  <c r="Q61" i="262"/>
  <c r="Q470" i="262"/>
  <c r="Q551" i="262"/>
  <c r="Q213" i="262"/>
  <c r="Q612" i="262"/>
  <c r="Q681" i="262"/>
  <c r="Q573" i="262"/>
  <c r="Q588" i="262"/>
  <c r="Q218" i="262"/>
  <c r="Q200" i="262"/>
  <c r="Q491" i="262"/>
  <c r="Q118" i="262"/>
  <c r="Q469" i="262"/>
  <c r="Q482" i="262"/>
  <c r="Q110" i="262"/>
  <c r="Q483" i="262"/>
  <c r="Q187" i="262"/>
  <c r="Q180" i="262"/>
  <c r="Q488" i="262"/>
  <c r="Q129" i="262"/>
  <c r="Q637" i="262"/>
  <c r="Q665" i="262"/>
  <c r="Q43" i="262"/>
  <c r="Q52" i="262"/>
  <c r="Q556" i="262"/>
  <c r="Q202" i="262"/>
  <c r="Q153" i="262"/>
  <c r="Q499" i="262"/>
  <c r="Q45" i="262"/>
  <c r="Q24" i="262"/>
  <c r="Q203" i="262"/>
  <c r="Q694" i="262"/>
  <c r="Q529" i="262"/>
  <c r="Q474" i="262"/>
  <c r="Q544" i="262"/>
  <c r="Q506" i="262"/>
  <c r="Q659" i="262"/>
  <c r="Q571" i="262"/>
  <c r="Q210" i="262"/>
  <c r="Q152" i="262"/>
  <c r="Q672" i="262"/>
  <c r="Q177" i="262"/>
  <c r="Q97" i="262"/>
  <c r="Q135" i="262"/>
  <c r="Q486" i="262"/>
  <c r="Q217" i="262"/>
  <c r="Q26" i="262"/>
  <c r="Q102" i="262"/>
  <c r="Q502" i="262"/>
  <c r="Q138" i="262"/>
  <c r="Q165" i="262"/>
  <c r="Q194" i="262"/>
  <c r="Q204" i="262"/>
  <c r="Q541" i="262"/>
  <c r="Q610" i="262"/>
  <c r="Q112" i="262"/>
  <c r="Q224" i="262"/>
  <c r="Q591" i="262"/>
  <c r="Q136" i="262"/>
  <c r="Q658" i="262"/>
  <c r="Q212" i="262"/>
  <c r="Q593" i="262"/>
  <c r="Q151" i="262"/>
  <c r="Q645" i="262"/>
  <c r="Q137" i="262"/>
  <c r="Q23" i="262"/>
  <c r="Q30" i="262"/>
  <c r="Q518" i="262"/>
  <c r="Q114" i="262"/>
  <c r="Q625" i="262"/>
  <c r="Q472" i="262"/>
  <c r="Q29" i="262"/>
  <c r="Q160" i="262"/>
  <c r="Q646" i="262"/>
  <c r="Q683" i="262"/>
  <c r="Q49" i="262"/>
  <c r="Q132" i="262"/>
  <c r="Q638" i="262"/>
  <c r="Q679" i="262"/>
  <c r="Q109" i="262"/>
  <c r="Q169" i="262"/>
  <c r="Q691" i="262"/>
  <c r="Q111" i="262"/>
  <c r="Q557" i="262"/>
  <c r="Q657" i="262"/>
  <c r="Q25" i="262"/>
  <c r="Q523" i="262"/>
  <c r="Q98" i="262"/>
  <c r="Q156" i="262"/>
  <c r="Q105" i="262"/>
  <c r="Q74" i="262"/>
  <c r="Q178" i="262"/>
  <c r="Q95" i="262"/>
  <c r="Q182" i="262"/>
  <c r="Q199" i="262"/>
  <c r="Q60" i="262"/>
  <c r="Q77" i="262"/>
  <c r="Q540" i="262"/>
  <c r="Q28" i="262"/>
  <c r="Q615" i="262"/>
  <c r="Q33" i="262"/>
  <c r="Q568" i="262"/>
  <c r="Q654" i="262"/>
  <c r="Q530" i="262"/>
  <c r="Q195" i="262"/>
  <c r="Q597" i="262"/>
  <c r="Q66" i="262"/>
  <c r="Q608" i="262"/>
  <c r="Q130" i="262"/>
  <c r="Q509" i="262"/>
  <c r="Q59" i="262"/>
  <c r="Q46" i="262"/>
  <c r="Q517" i="262"/>
  <c r="Q613" i="262"/>
  <c r="Q614" i="262"/>
  <c r="Q211" i="262"/>
  <c r="Q697" i="262"/>
  <c r="Q84" i="262"/>
  <c r="Q507" i="262"/>
  <c r="Q552" i="262"/>
  <c r="Q170" i="262"/>
  <c r="Q528" i="262"/>
  <c r="Q522" i="262"/>
  <c r="Q596" i="262"/>
  <c r="Q698" i="262"/>
  <c r="Q655" i="262"/>
  <c r="Q674" i="262"/>
  <c r="Q677" i="262"/>
  <c r="Q579" i="262"/>
  <c r="Q31" i="262"/>
  <c r="Q214" i="262"/>
  <c r="Q223" i="262"/>
  <c r="Q560" i="262"/>
  <c r="Q41" i="262"/>
  <c r="Q32" i="262"/>
  <c r="Q27" i="262"/>
  <c r="Q201" i="262"/>
  <c r="Q662" i="262"/>
  <c r="Q171" i="262"/>
  <c r="Q545" i="262"/>
  <c r="Q555" i="262"/>
  <c r="Q127" i="262"/>
  <c r="Q554" i="262"/>
  <c r="Q605" i="262"/>
  <c r="Q68" i="262"/>
  <c r="Q527" i="262"/>
  <c r="Q570" i="262"/>
  <c r="Q40" i="262"/>
  <c r="Q504" i="262"/>
  <c r="Q128" i="262"/>
  <c r="Q489" i="262"/>
  <c r="Q75" i="262"/>
  <c r="Q618" i="262"/>
  <c r="Q193" i="262"/>
  <c r="Q619" i="262"/>
  <c r="Q103" i="262"/>
  <c r="Q69" i="262"/>
  <c r="Q513" i="262"/>
  <c r="Q632" i="262"/>
  <c r="Q37" i="262"/>
  <c r="Q602" i="262"/>
  <c r="Q606" i="262"/>
  <c r="Q484" i="262"/>
  <c r="Q478" i="262"/>
  <c r="Q221" i="262"/>
  <c r="Q695" i="262"/>
  <c r="Q503" i="262"/>
  <c r="Q76" i="262"/>
  <c r="Q120" i="262"/>
  <c r="Q65" i="262"/>
  <c r="Q150" i="262"/>
  <c r="Q656" i="262"/>
  <c r="Q664" i="262"/>
  <c r="Q622" i="262"/>
  <c r="Q163" i="262"/>
  <c r="Q598" i="262"/>
  <c r="Q101" i="262"/>
  <c r="Q586" i="262"/>
  <c r="Q154" i="262"/>
  <c r="Q525" i="262"/>
  <c r="Q125" i="262"/>
  <c r="U644" i="262"/>
  <c r="U614" i="262"/>
  <c r="U656" i="262"/>
  <c r="U590" i="262"/>
  <c r="U162" i="262"/>
  <c r="U683" i="262"/>
  <c r="U629" i="262"/>
  <c r="U70" i="262"/>
  <c r="U212" i="262"/>
  <c r="U28" i="262"/>
  <c r="U585" i="262"/>
  <c r="U156" i="262"/>
  <c r="U84" i="262"/>
  <c r="U33" i="262"/>
  <c r="U161" i="262"/>
  <c r="U465" i="262"/>
  <c r="U484" i="262"/>
  <c r="U102" i="262"/>
  <c r="U524" i="262"/>
  <c r="U637" i="262"/>
  <c r="U534" i="262"/>
  <c r="U675" i="262"/>
  <c r="U628" i="262"/>
  <c r="U623" i="262"/>
  <c r="U597" i="262"/>
  <c r="U647" i="262"/>
  <c r="U139" i="262"/>
  <c r="U194" i="262"/>
  <c r="U163" i="262"/>
  <c r="U539" i="262"/>
  <c r="U52" i="262"/>
  <c r="U217" i="262"/>
  <c r="U48" i="262"/>
  <c r="U519" i="262"/>
  <c r="U521" i="262"/>
  <c r="U170" i="262"/>
  <c r="U49" i="262"/>
  <c r="U653" i="262"/>
  <c r="U508" i="262"/>
  <c r="U221" i="262"/>
  <c r="U676" i="262"/>
  <c r="U563" i="262"/>
  <c r="U525" i="262"/>
  <c r="U489" i="262"/>
  <c r="U619" i="262"/>
  <c r="U699" i="262"/>
  <c r="U577" i="262"/>
  <c r="U561" i="262"/>
  <c r="U167" i="262"/>
  <c r="U74" i="262"/>
  <c r="U58" i="262"/>
  <c r="U500" i="262"/>
  <c r="U82" i="262"/>
  <c r="U181" i="262"/>
  <c r="U43" i="262"/>
  <c r="U550" i="262"/>
  <c r="U137" i="262"/>
  <c r="U34" i="262"/>
  <c r="U61" i="262"/>
  <c r="U505" i="262"/>
  <c r="U552" i="262"/>
  <c r="U120" i="262"/>
  <c r="U528" i="262"/>
  <c r="U639" i="262"/>
  <c r="U471" i="262"/>
  <c r="U649" i="262"/>
  <c r="U631" i="262"/>
  <c r="U108" i="262"/>
  <c r="U91" i="262"/>
  <c r="U697" i="262"/>
  <c r="U201" i="262"/>
  <c r="U149" i="262"/>
  <c r="U30" i="262"/>
  <c r="U568" i="262"/>
  <c r="U205" i="262"/>
  <c r="U105" i="262"/>
  <c r="U164" i="262"/>
  <c r="U572" i="262"/>
  <c r="U491" i="262"/>
  <c r="U109" i="262"/>
  <c r="U216" i="262"/>
  <c r="U638" i="262"/>
  <c r="U526" i="262"/>
  <c r="U535" i="262"/>
  <c r="U645" i="262"/>
  <c r="U661" i="262"/>
  <c r="U574" i="262"/>
  <c r="U44" i="262"/>
  <c r="U643" i="262"/>
  <c r="U581" i="262"/>
  <c r="U153" i="262"/>
  <c r="U119" i="262"/>
  <c r="U142" i="262"/>
  <c r="U547" i="262"/>
  <c r="U576" i="262"/>
  <c r="U133" i="262"/>
  <c r="U160" i="262"/>
  <c r="U94" i="262"/>
  <c r="U129" i="262"/>
  <c r="U569" i="262"/>
  <c r="U51" i="262"/>
  <c r="U168" i="262"/>
  <c r="U178" i="262"/>
  <c r="U584" i="262"/>
  <c r="U618" i="262"/>
  <c r="U35" i="262"/>
  <c r="U558" i="262"/>
  <c r="U687" i="262"/>
  <c r="U472" i="262"/>
  <c r="U53" i="262"/>
  <c r="U136" i="262"/>
  <c r="U179" i="262"/>
  <c r="U195" i="262"/>
  <c r="U518" i="262"/>
  <c r="U71" i="262"/>
  <c r="U104" i="262"/>
  <c r="U63" i="262"/>
  <c r="U506" i="262"/>
  <c r="U553" i="262"/>
  <c r="U103" i="262"/>
  <c r="U609" i="262"/>
  <c r="U688" i="262"/>
  <c r="U115" i="262"/>
  <c r="U76" i="262"/>
  <c r="U171" i="262"/>
  <c r="U206" i="262"/>
  <c r="U493" i="262"/>
  <c r="U536" i="262"/>
  <c r="U679" i="262"/>
  <c r="U692" i="262"/>
  <c r="U624" i="262"/>
  <c r="U495" i="262"/>
  <c r="U131" i="262"/>
  <c r="U698" i="262"/>
  <c r="U664" i="262"/>
  <c r="U204" i="262"/>
  <c r="U64" i="262"/>
  <c r="U29" i="262"/>
  <c r="U610" i="262"/>
  <c r="U211" i="262"/>
  <c r="U24" i="262"/>
  <c r="U134" i="262"/>
  <c r="U570" i="262"/>
  <c r="U207" i="262"/>
  <c r="U575" i="262"/>
  <c r="U496" i="262"/>
  <c r="U669" i="262"/>
  <c r="U663" i="262"/>
  <c r="U665" i="262"/>
  <c r="U546" i="262"/>
  <c r="U591" i="262"/>
  <c r="U132" i="262"/>
  <c r="U126" i="262"/>
  <c r="U615" i="262"/>
  <c r="U203" i="262"/>
  <c r="U65" i="262"/>
  <c r="U477" i="262"/>
  <c r="U695" i="262"/>
  <c r="U200" i="262"/>
  <c r="U95" i="262"/>
  <c r="U54" i="262"/>
  <c r="U47" i="262"/>
  <c r="U527" i="262"/>
  <c r="U640" i="262"/>
  <c r="U165" i="262"/>
  <c r="U632" i="262"/>
  <c r="U682" i="262"/>
  <c r="U222" i="262"/>
  <c r="U147" i="262"/>
  <c r="U196" i="262"/>
  <c r="U125" i="262"/>
  <c r="U138" i="262"/>
  <c r="U219" i="262"/>
  <c r="U31" i="262"/>
  <c r="U504" i="262"/>
  <c r="U635" i="262"/>
  <c r="U186" i="262"/>
  <c r="U543" i="262"/>
  <c r="U559" i="262"/>
  <c r="U537" i="262"/>
  <c r="U696" i="262"/>
  <c r="U648" i="262"/>
  <c r="U689" i="262"/>
  <c r="U512" i="262"/>
  <c r="U111" i="262"/>
  <c r="U686" i="262"/>
  <c r="U473" i="262"/>
  <c r="U37" i="262"/>
  <c r="U626" i="262"/>
  <c r="U608" i="262"/>
  <c r="U556" i="262"/>
  <c r="U492" i="262"/>
  <c r="U680" i="262"/>
  <c r="U627" i="262"/>
  <c r="U594" i="262"/>
  <c r="BM28" i="262"/>
  <c r="BU32" i="262"/>
  <c r="BM23" i="262"/>
  <c r="BM34" i="262"/>
  <c r="BU30" i="262"/>
  <c r="BU29" i="262"/>
  <c r="BM30" i="262"/>
  <c r="BU23" i="262"/>
  <c r="BU31" i="262"/>
  <c r="BM33" i="262"/>
  <c r="BM36" i="262"/>
  <c r="BM27" i="262"/>
  <c r="BM24" i="262"/>
  <c r="BU33" i="262"/>
  <c r="BM37" i="262"/>
  <c r="AO30" i="262"/>
  <c r="AW36" i="262"/>
  <c r="BQ28" i="262"/>
  <c r="BQ35" i="262"/>
  <c r="BE25" i="262"/>
  <c r="AO37" i="262"/>
  <c r="BE27" i="262"/>
  <c r="AW35" i="262"/>
  <c r="AO32" i="262"/>
  <c r="AW34" i="262"/>
  <c r="AW33" i="262"/>
  <c r="AW24" i="262"/>
  <c r="BQ36" i="262"/>
  <c r="AW27" i="262"/>
  <c r="BQ37" i="262"/>
  <c r="AW28" i="262"/>
  <c r="AO26" i="262"/>
  <c r="BE31" i="262"/>
  <c r="BQ33" i="262"/>
  <c r="BE36" i="262"/>
  <c r="AW31" i="262"/>
  <c r="BE37" i="262"/>
  <c r="BQ31" i="262"/>
  <c r="AO28" i="262"/>
  <c r="AW23" i="262"/>
  <c r="BQ29" i="262"/>
  <c r="BE35" i="262"/>
  <c r="AO23" i="262"/>
  <c r="AO34" i="262"/>
  <c r="AO24" i="262"/>
  <c r="Y31" i="1103"/>
  <c r="M43" i="1103"/>
  <c r="M24" i="1103"/>
  <c r="Y35" i="1103"/>
  <c r="M50" i="1103"/>
  <c r="M44" i="1103"/>
  <c r="Y24" i="1103"/>
  <c r="M46" i="1103"/>
  <c r="Y29" i="1103"/>
  <c r="M27" i="1103"/>
  <c r="M53" i="1103"/>
  <c r="M28" i="1103"/>
  <c r="M48" i="1103"/>
  <c r="M23" i="1103"/>
  <c r="M32" i="1103"/>
  <c r="Y30" i="1103"/>
  <c r="M54" i="1103"/>
  <c r="M51" i="1103"/>
  <c r="Y33" i="1103"/>
  <c r="M40" i="1103"/>
  <c r="Y27" i="1103"/>
  <c r="Y34" i="1103"/>
  <c r="M35" i="1103"/>
  <c r="M52" i="1103"/>
  <c r="AG116" i="262"/>
  <c r="AG36" i="262"/>
  <c r="M25" i="262"/>
  <c r="Y144" i="262"/>
  <c r="M130" i="262"/>
  <c r="M117" i="262"/>
  <c r="M624" i="262"/>
  <c r="AG490" i="262"/>
  <c r="AG470" i="262"/>
  <c r="AG465" i="262"/>
  <c r="AG509" i="262"/>
  <c r="M672" i="262"/>
  <c r="M581" i="262"/>
  <c r="AG492" i="262"/>
  <c r="AG553" i="262"/>
  <c r="Y502" i="262"/>
  <c r="AG687" i="262"/>
  <c r="M645" i="262"/>
  <c r="M138" i="262"/>
  <c r="M68" i="262"/>
  <c r="AG511" i="262"/>
  <c r="M675" i="262"/>
  <c r="Y619" i="262"/>
  <c r="Y520" i="262"/>
  <c r="AG517" i="262"/>
  <c r="M206" i="262"/>
  <c r="Y545" i="262"/>
  <c r="M92" i="262"/>
  <c r="AG494" i="262"/>
  <c r="Y491" i="262"/>
  <c r="Y536" i="262"/>
  <c r="AG589" i="262"/>
  <c r="AG68" i="262"/>
  <c r="Y162" i="262"/>
  <c r="AG512" i="262"/>
  <c r="Y186" i="262"/>
  <c r="AG46" i="262"/>
  <c r="Y479" i="262"/>
  <c r="Y27" i="262"/>
  <c r="M32" i="262"/>
  <c r="Y135" i="262"/>
  <c r="Y111" i="262"/>
  <c r="Y25" i="262"/>
  <c r="M52" i="262"/>
  <c r="Y199" i="262"/>
  <c r="M699" i="262"/>
  <c r="M182" i="262"/>
  <c r="AG167" i="262"/>
  <c r="AG631" i="262"/>
  <c r="M173" i="262"/>
  <c r="AG70" i="262"/>
  <c r="M46" i="262"/>
  <c r="M467" i="262"/>
  <c r="Y54" i="262"/>
  <c r="M58" i="262"/>
  <c r="M97" i="262"/>
  <c r="Y65" i="262"/>
  <c r="AG194" i="262"/>
  <c r="Y699" i="262"/>
  <c r="AG186" i="262"/>
  <c r="M160" i="262"/>
  <c r="M184" i="262"/>
  <c r="Y69" i="262"/>
  <c r="Y99" i="262"/>
  <c r="AG81" i="262"/>
  <c r="Y206" i="262"/>
  <c r="M200" i="262"/>
  <c r="AG483" i="262"/>
  <c r="AG662" i="262"/>
  <c r="Y561" i="262"/>
  <c r="Y173" i="262"/>
  <c r="Y87" i="262"/>
  <c r="Y544" i="262"/>
  <c r="Y603" i="262"/>
  <c r="AG213" i="262"/>
  <c r="AG130" i="262"/>
  <c r="M137" i="262"/>
  <c r="Y134" i="262"/>
  <c r="M99" i="262"/>
  <c r="Y559" i="262"/>
  <c r="AG493" i="262"/>
  <c r="AG539" i="262"/>
  <c r="Y674" i="262"/>
  <c r="M50" i="262"/>
  <c r="M69" i="262"/>
  <c r="AG641" i="262"/>
  <c r="Y623" i="262"/>
  <c r="Y541" i="262"/>
  <c r="AG676" i="262"/>
  <c r="M171" i="262"/>
  <c r="AG113" i="262"/>
  <c r="M476" i="262"/>
  <c r="AG629" i="262"/>
  <c r="M54" i="262"/>
  <c r="Y609" i="262"/>
  <c r="AG558" i="262"/>
  <c r="AG540" i="262"/>
  <c r="M544" i="262"/>
  <c r="AG680" i="262"/>
  <c r="M488" i="262"/>
  <c r="Y579" i="262"/>
  <c r="Y512" i="262"/>
  <c r="AG510" i="262"/>
  <c r="AG75" i="262"/>
  <c r="Y484" i="262"/>
  <c r="Y53" i="262"/>
  <c r="AG656" i="262"/>
  <c r="AG489" i="262"/>
  <c r="Y203" i="262"/>
  <c r="Y547" i="262"/>
  <c r="M148" i="262"/>
  <c r="M146" i="262"/>
  <c r="AG31" i="262"/>
  <c r="M144" i="262"/>
  <c r="Y120" i="262"/>
  <c r="AG129" i="262"/>
  <c r="AG27" i="262"/>
  <c r="Y32" i="262"/>
  <c r="M28" i="262"/>
  <c r="M477" i="262"/>
  <c r="Y516" i="262"/>
  <c r="M152" i="262"/>
  <c r="Y52" i="262"/>
  <c r="Y165" i="262"/>
  <c r="Y194" i="262"/>
  <c r="M560" i="262"/>
  <c r="AG471" i="262"/>
  <c r="M188" i="262"/>
  <c r="AG187" i="262"/>
  <c r="AG85" i="262"/>
  <c r="AG197" i="262"/>
  <c r="M638" i="262"/>
  <c r="AG635" i="262"/>
  <c r="M519" i="262"/>
  <c r="M496" i="262"/>
  <c r="Y601" i="262"/>
  <c r="M105" i="262"/>
  <c r="M610" i="262"/>
  <c r="AG522" i="262"/>
  <c r="M636" i="262"/>
  <c r="M660" i="262"/>
  <c r="AG521" i="262"/>
  <c r="M535" i="262"/>
  <c r="Y505" i="262"/>
  <c r="Y48" i="262"/>
  <c r="AG74" i="262"/>
  <c r="Y466" i="262"/>
  <c r="Y155" i="262"/>
  <c r="AG693" i="262"/>
  <c r="Y635" i="262"/>
  <c r="M147" i="262"/>
  <c r="M131" i="262"/>
  <c r="Y119" i="262"/>
  <c r="Y35" i="262"/>
  <c r="Y130" i="262"/>
  <c r="M575" i="262"/>
  <c r="AG700" i="262"/>
  <c r="M602" i="262"/>
  <c r="AG593" i="262"/>
  <c r="Y663" i="262"/>
  <c r="M502" i="262"/>
  <c r="M579" i="262"/>
  <c r="Y676" i="262"/>
  <c r="M526" i="262"/>
  <c r="Y694" i="262"/>
  <c r="Y93" i="262"/>
  <c r="M620" i="262"/>
  <c r="M540" i="262"/>
  <c r="AG679" i="262"/>
  <c r="AG177" i="262"/>
  <c r="AG529" i="262"/>
  <c r="AG628" i="262"/>
  <c r="M670" i="262"/>
  <c r="M608" i="262"/>
  <c r="M60" i="262"/>
  <c r="Y97" i="262"/>
  <c r="AG563" i="262"/>
  <c r="Y631" i="262"/>
  <c r="M689" i="262"/>
  <c r="Y662" i="262"/>
  <c r="Y592" i="262"/>
  <c r="Y523" i="262"/>
  <c r="AG179" i="262"/>
  <c r="Y159" i="262"/>
  <c r="AG605" i="262"/>
  <c r="AG534" i="262"/>
  <c r="AG160" i="262"/>
  <c r="AG117" i="262"/>
  <c r="AG41" i="262"/>
  <c r="AG135" i="262"/>
  <c r="M24" i="262"/>
  <c r="M683" i="262"/>
  <c r="Y587" i="262"/>
  <c r="M491" i="262"/>
  <c r="AG502" i="262"/>
  <c r="AG189" i="262"/>
  <c r="AG103" i="262"/>
  <c r="M63" i="262"/>
  <c r="AG637" i="262"/>
  <c r="M687" i="262"/>
  <c r="Y521" i="262"/>
  <c r="Y584" i="262"/>
  <c r="AG173" i="262"/>
  <c r="M179" i="262"/>
  <c r="AG478" i="262"/>
  <c r="M674" i="262"/>
  <c r="M177" i="262"/>
  <c r="Y637" i="262"/>
  <c r="M639" i="262"/>
  <c r="M183" i="262"/>
  <c r="Y672" i="262"/>
  <c r="M665" i="262"/>
  <c r="M101" i="262"/>
  <c r="AG495" i="262"/>
  <c r="M691" i="262"/>
  <c r="AG671" i="262"/>
  <c r="Y202" i="262"/>
  <c r="AG83" i="262"/>
  <c r="Y507" i="262"/>
  <c r="Y537" i="262"/>
  <c r="AG211" i="262"/>
  <c r="Y670" i="262"/>
  <c r="AG40" i="262"/>
  <c r="M111" i="262"/>
  <c r="Y132" i="262"/>
  <c r="Y147" i="262"/>
  <c r="Y34" i="262"/>
  <c r="Y112" i="262"/>
  <c r="AG115" i="262"/>
  <c r="AG126" i="262"/>
  <c r="Y133" i="262"/>
  <c r="M537" i="262"/>
  <c r="Y645" i="262"/>
  <c r="Y75" i="262"/>
  <c r="AG496" i="262"/>
  <c r="AG530" i="262"/>
  <c r="M587" i="262"/>
  <c r="M605" i="262"/>
  <c r="Y665" i="262"/>
  <c r="Y62" i="262"/>
  <c r="AG610" i="262"/>
  <c r="AG660" i="262"/>
  <c r="M543" i="262"/>
  <c r="Y692" i="262"/>
  <c r="M646" i="262"/>
  <c r="Y96" i="262"/>
  <c r="M623" i="262"/>
  <c r="AG696" i="262"/>
  <c r="Y161" i="262"/>
  <c r="Y641" i="262"/>
  <c r="M62" i="262"/>
  <c r="AG99" i="262"/>
  <c r="M547" i="262"/>
  <c r="M80" i="262"/>
  <c r="Y164" i="262"/>
  <c r="AG644" i="262"/>
  <c r="Y83" i="262"/>
  <c r="Y492" i="262"/>
  <c r="Y517" i="262"/>
  <c r="AG60" i="262"/>
  <c r="Y495" i="262"/>
  <c r="AG537" i="262"/>
  <c r="Y79" i="262"/>
  <c r="AG145" i="262"/>
  <c r="AG128" i="262"/>
  <c r="AG111" i="262"/>
  <c r="M119" i="262"/>
  <c r="AG109" i="262"/>
  <c r="M664" i="262"/>
  <c r="Y509" i="262"/>
  <c r="M528" i="262"/>
  <c r="M75" i="262"/>
  <c r="AG604" i="262"/>
  <c r="M508" i="262"/>
  <c r="M64" i="262"/>
  <c r="Y511" i="262"/>
  <c r="M612" i="262"/>
  <c r="M48" i="262"/>
  <c r="AG670" i="262"/>
  <c r="M576" i="262"/>
  <c r="M611" i="262"/>
  <c r="AG587" i="262"/>
  <c r="Y472" i="262"/>
  <c r="Y567" i="262"/>
  <c r="AG606" i="262"/>
  <c r="M627" i="262"/>
  <c r="M698" i="262"/>
  <c r="AG557" i="262"/>
  <c r="AG475" i="262"/>
  <c r="AG552" i="262"/>
  <c r="AG688" i="262"/>
  <c r="M93" i="262"/>
  <c r="Y625" i="262"/>
  <c r="Y222" i="262"/>
  <c r="Y149" i="262"/>
  <c r="AG592" i="262"/>
  <c r="Y542" i="262"/>
  <c r="Y68" i="262"/>
  <c r="AG96" i="262"/>
  <c r="Y602" i="262"/>
  <c r="AG30" i="262"/>
  <c r="Y117" i="262"/>
  <c r="Y36" i="262"/>
  <c r="M564" i="262"/>
  <c r="M65" i="262"/>
  <c r="Y166" i="262"/>
  <c r="AG646" i="262"/>
  <c r="Y76" i="262"/>
  <c r="M615" i="262"/>
  <c r="Y677" i="262"/>
  <c r="M223" i="262"/>
  <c r="AG185" i="262"/>
  <c r="M91" i="262"/>
  <c r="Y80" i="262"/>
  <c r="AG77" i="262"/>
  <c r="Y611" i="262"/>
  <c r="M70" i="262"/>
  <c r="Y104" i="262"/>
  <c r="M210" i="262"/>
  <c r="M221" i="262"/>
  <c r="AG87" i="262"/>
  <c r="Y698" i="262"/>
  <c r="Y560" i="262"/>
  <c r="Y539" i="262"/>
  <c r="M151" i="262"/>
  <c r="Y618" i="262"/>
  <c r="AC26" i="1103"/>
  <c r="AS24" i="262"/>
  <c r="AC615" i="262"/>
  <c r="AS37" i="262"/>
  <c r="CC31" i="262"/>
  <c r="AC151" i="262"/>
  <c r="AC160" i="262"/>
  <c r="AC589" i="262"/>
  <c r="AC602" i="262"/>
  <c r="AC66" i="262"/>
  <c r="AC553" i="262"/>
  <c r="AS27" i="262"/>
  <c r="BI24" i="262"/>
  <c r="Q34" i="1103"/>
  <c r="CC28" i="262"/>
  <c r="AC676" i="262"/>
  <c r="AC570" i="262"/>
  <c r="AC31" i="1103"/>
  <c r="AC85" i="262"/>
  <c r="AC37" i="1103"/>
  <c r="BI23" i="262"/>
  <c r="AC586" i="262"/>
  <c r="AC507" i="262"/>
  <c r="AC657" i="262"/>
  <c r="CC24" i="262"/>
  <c r="AC613" i="262"/>
  <c r="AC136" i="262"/>
  <c r="AC184" i="262"/>
  <c r="AC224" i="262"/>
  <c r="AG29" i="1103"/>
  <c r="AC98" i="262"/>
  <c r="AC198" i="262"/>
  <c r="CC36" i="262"/>
  <c r="AC112" i="262"/>
  <c r="AC686" i="262"/>
  <c r="AC165" i="262"/>
  <c r="AC539" i="262"/>
  <c r="AC637" i="262"/>
  <c r="AC48" i="262"/>
  <c r="AC155" i="262"/>
  <c r="AC683" i="262"/>
  <c r="AC612" i="262"/>
  <c r="AC178" i="262"/>
  <c r="AC596" i="262"/>
  <c r="AG30" i="1103"/>
  <c r="AG31" i="1103"/>
  <c r="AC171" i="262"/>
  <c r="AC560" i="262"/>
  <c r="AC212" i="262"/>
  <c r="AC528" i="262"/>
  <c r="AC217" i="262"/>
  <c r="AC219" i="262"/>
  <c r="BI36" i="262"/>
  <c r="AC45" i="262"/>
  <c r="CC34" i="262"/>
  <c r="AC621" i="262"/>
  <c r="AC156" i="262"/>
  <c r="AC164" i="262"/>
  <c r="AC563" i="262"/>
  <c r="AC99" i="262"/>
  <c r="AC577" i="262"/>
  <c r="AC146" i="262"/>
  <c r="Q49" i="1103"/>
  <c r="CC26" i="262"/>
  <c r="AG24" i="1103"/>
  <c r="AC581" i="262"/>
  <c r="AC68" i="262"/>
  <c r="AC642" i="262"/>
  <c r="AC614" i="262"/>
  <c r="AC485" i="262"/>
  <c r="AC183" i="262"/>
  <c r="AC169" i="262"/>
  <c r="AC700" i="262"/>
  <c r="AC60" i="262"/>
  <c r="AC204" i="262"/>
  <c r="AC83" i="262"/>
  <c r="AC196" i="262"/>
  <c r="Q35" i="1103"/>
  <c r="AC84" i="262"/>
  <c r="AC534" i="262"/>
  <c r="Q48" i="1103"/>
  <c r="AC120" i="262"/>
  <c r="AC475" i="262"/>
  <c r="AC71" i="262"/>
  <c r="Q30" i="1103"/>
  <c r="AC677" i="262"/>
  <c r="AC529" i="262"/>
  <c r="AC573" i="262"/>
  <c r="AC138" i="262"/>
  <c r="AC220" i="262"/>
  <c r="AC223" i="262"/>
  <c r="Q47" i="1103"/>
  <c r="AC494" i="262"/>
  <c r="AC473" i="262"/>
  <c r="AC34" i="262"/>
  <c r="AC137" i="262"/>
  <c r="AC117" i="262"/>
  <c r="AC593" i="262"/>
  <c r="AC629" i="262"/>
  <c r="AC194" i="262"/>
  <c r="AC628" i="262"/>
  <c r="Q53" i="1103"/>
  <c r="AC200" i="262"/>
  <c r="AC568" i="262"/>
  <c r="AC80" i="262"/>
  <c r="AC87" i="262"/>
  <c r="AC67" i="262"/>
  <c r="AC181" i="262"/>
  <c r="AC114" i="262"/>
  <c r="AS23" i="262"/>
  <c r="AC25" i="1103"/>
  <c r="AC555" i="262"/>
  <c r="CC35" i="262"/>
  <c r="AC606" i="262"/>
  <c r="AC64" i="262"/>
  <c r="AC525" i="262"/>
  <c r="AC149" i="262"/>
  <c r="AC58" i="262"/>
  <c r="AC69" i="262"/>
  <c r="AC660" i="262"/>
  <c r="AC619" i="262"/>
  <c r="AC29" i="262"/>
  <c r="AC54" i="262"/>
  <c r="AC672" i="262"/>
  <c r="AC569" i="262"/>
  <c r="BI33" i="262"/>
  <c r="AC31" i="262"/>
  <c r="AC604" i="262"/>
  <c r="AC197" i="262"/>
  <c r="AC489" i="262"/>
  <c r="AC43" i="262"/>
  <c r="AC594" i="262"/>
  <c r="AC32" i="1103"/>
  <c r="Q36" i="1103"/>
  <c r="AC513" i="262"/>
  <c r="AS35" i="262"/>
  <c r="AC692" i="262"/>
  <c r="AC556" i="262"/>
  <c r="AC36" i="262"/>
  <c r="AC134" i="262"/>
  <c r="AC176" i="262"/>
  <c r="AC666" i="262"/>
  <c r="AC152" i="262"/>
  <c r="AC557" i="262"/>
  <c r="AC33" i="262"/>
  <c r="AC27" i="262"/>
  <c r="AS29" i="262"/>
  <c r="AC144" i="262"/>
  <c r="AC592" i="262"/>
  <c r="AC552" i="262"/>
  <c r="AC653" i="262"/>
  <c r="AC697" i="262"/>
  <c r="BI29" i="262"/>
  <c r="Q45" i="1103"/>
  <c r="AC75" i="262"/>
  <c r="AC125" i="262"/>
  <c r="AC118" i="262"/>
  <c r="CC25" i="262"/>
  <c r="BI37" i="262"/>
  <c r="AC608" i="262"/>
  <c r="AC195" i="262"/>
  <c r="Q37" i="1103"/>
  <c r="AC189" i="262"/>
  <c r="AC579" i="262"/>
  <c r="BI28" i="262"/>
  <c r="AC530" i="262"/>
  <c r="AC28" i="262"/>
  <c r="AC694" i="262"/>
  <c r="AG36" i="1103"/>
  <c r="AC221" i="262"/>
  <c r="AC101" i="262"/>
  <c r="AC648" i="262"/>
  <c r="Q27" i="1103"/>
  <c r="AC23" i="1103"/>
  <c r="Q24" i="1103"/>
  <c r="AC479" i="262"/>
  <c r="AC477" i="262"/>
  <c r="AC496" i="262"/>
  <c r="Q29" i="1103"/>
  <c r="AC51" i="262"/>
  <c r="AC185" i="262"/>
  <c r="AC675" i="262"/>
  <c r="AC154" i="262"/>
  <c r="AC59" i="262"/>
  <c r="CC23" i="262"/>
  <c r="AC113" i="262"/>
  <c r="AC483" i="262"/>
  <c r="AC567" i="262"/>
  <c r="AC32" i="262"/>
  <c r="AC492" i="262"/>
  <c r="AC499" i="262"/>
  <c r="AC471" i="262"/>
  <c r="BI32" i="262"/>
  <c r="AC95" i="262"/>
  <c r="AC638" i="262"/>
  <c r="AS34" i="262"/>
  <c r="AC70" i="262"/>
  <c r="AC47" i="262"/>
  <c r="AC662" i="262"/>
  <c r="AC109" i="262"/>
  <c r="AC682" i="262"/>
  <c r="AC467" i="262"/>
  <c r="AC168" i="262"/>
  <c r="AC488" i="262"/>
  <c r="AC505" i="262"/>
  <c r="AS25" i="262"/>
  <c r="AC527" i="262"/>
  <c r="AC180" i="262"/>
  <c r="AC627" i="262"/>
  <c r="AC691" i="262"/>
  <c r="AC623" i="262"/>
  <c r="AC474" i="262"/>
  <c r="AC484" i="262"/>
  <c r="AC664" i="262"/>
  <c r="AC659" i="262"/>
  <c r="Q50" i="1103"/>
  <c r="AC636" i="262"/>
  <c r="AC511" i="262"/>
  <c r="BI30" i="262"/>
  <c r="AC575" i="262"/>
  <c r="AC139" i="262"/>
  <c r="AC35" i="262"/>
  <c r="AS36" i="262"/>
  <c r="CC30" i="262"/>
  <c r="AC108" i="262"/>
  <c r="AC133" i="262"/>
  <c r="AC469" i="262"/>
  <c r="AC215" i="262"/>
  <c r="AC618" i="262"/>
  <c r="AC626" i="262"/>
  <c r="AC495" i="262"/>
  <c r="AC82" i="262"/>
  <c r="AC622" i="262"/>
  <c r="AG34" i="1103"/>
  <c r="AC674" i="262"/>
  <c r="AC466" i="262"/>
  <c r="AC111" i="262"/>
  <c r="AC130" i="262"/>
  <c r="Q25" i="1103"/>
  <c r="AC681" i="262"/>
  <c r="AC610" i="262"/>
  <c r="AC218" i="262"/>
  <c r="AC635" i="262"/>
  <c r="AC79" i="262"/>
  <c r="AC187" i="262"/>
  <c r="AC591" i="262"/>
  <c r="BI35" i="262"/>
  <c r="AC94" i="262"/>
  <c r="AC78" i="262"/>
  <c r="AC693" i="262"/>
  <c r="BI27" i="262"/>
  <c r="AC580" i="262"/>
  <c r="AC699" i="262"/>
  <c r="AC665" i="262"/>
  <c r="AC147" i="262"/>
  <c r="AC576" i="262"/>
  <c r="AC127" i="262"/>
  <c r="AC644" i="262"/>
  <c r="Q52" i="1103"/>
  <c r="AC193" i="262"/>
  <c r="AC639" i="262"/>
  <c r="AC510" i="262"/>
  <c r="AC547" i="262"/>
  <c r="BI31" i="262"/>
  <c r="AG23" i="1103"/>
  <c r="AC131" i="262"/>
  <c r="AC508" i="262"/>
  <c r="AC49" i="262"/>
  <c r="AC601" i="262"/>
  <c r="AC121" i="262"/>
  <c r="AC37" i="262"/>
  <c r="AC698" i="262"/>
  <c r="AC645" i="262"/>
  <c r="Q43" i="1103"/>
  <c r="AC504" i="262"/>
  <c r="AC46" i="262"/>
  <c r="CC33" i="262"/>
  <c r="AC487" i="262"/>
  <c r="AC143" i="262"/>
  <c r="AC129" i="262"/>
  <c r="AS26" i="262"/>
  <c r="AC518" i="262"/>
  <c r="AC554" i="262"/>
  <c r="AC214" i="262"/>
  <c r="AC490" i="262"/>
  <c r="AC135" i="262"/>
  <c r="AC524" i="262"/>
  <c r="AC142" i="262"/>
  <c r="AC688" i="262"/>
  <c r="AC595" i="262"/>
  <c r="AC36" i="1103"/>
  <c r="AC533" i="262"/>
  <c r="AC501" i="262"/>
  <c r="AC163" i="262"/>
  <c r="AC673" i="262"/>
  <c r="AC211" i="262"/>
  <c r="AC96" i="262"/>
  <c r="AC643" i="262"/>
  <c r="Q42" i="1103"/>
  <c r="AC476" i="262"/>
  <c r="AS30" i="262"/>
  <c r="AC81" i="262"/>
  <c r="AC509" i="262"/>
  <c r="AC40" i="262"/>
  <c r="BI34" i="262"/>
  <c r="AC172" i="262"/>
  <c r="AC63" i="262"/>
  <c r="AC558" i="262"/>
  <c r="AC44" i="262"/>
  <c r="AC159" i="262"/>
  <c r="AC603" i="262"/>
  <c r="AC26" i="262"/>
  <c r="AG25" i="1103"/>
  <c r="AC24" i="262"/>
  <c r="AC680" i="262"/>
  <c r="AC27" i="1103"/>
  <c r="AC545" i="262"/>
  <c r="AC541" i="262"/>
  <c r="AC57" i="262"/>
  <c r="Q54" i="1103"/>
  <c r="AC222" i="262"/>
  <c r="AC669" i="262"/>
  <c r="AC91" i="262"/>
  <c r="AC182" i="262"/>
  <c r="AC503" i="262"/>
  <c r="AC52" i="262"/>
  <c r="AC132" i="262"/>
  <c r="AC126" i="262"/>
  <c r="AC537" i="262"/>
  <c r="AC590" i="262"/>
  <c r="AC654" i="262"/>
  <c r="AC526" i="262"/>
  <c r="AC661" i="262"/>
  <c r="AC493" i="262"/>
  <c r="AC578" i="262"/>
  <c r="AC611" i="262"/>
  <c r="AC679" i="262"/>
  <c r="AC179" i="262"/>
  <c r="AC30" i="262"/>
  <c r="AC115" i="262"/>
  <c r="AC630" i="262"/>
  <c r="AC646" i="262"/>
  <c r="AC199" i="262"/>
  <c r="AC486" i="262"/>
  <c r="AC516" i="262"/>
  <c r="AC203" i="262"/>
  <c r="AC585" i="262"/>
  <c r="AC166" i="262"/>
  <c r="AC104" i="262"/>
  <c r="AC500" i="262"/>
  <c r="AS33" i="262"/>
  <c r="AC517" i="262"/>
  <c r="CC32" i="262"/>
  <c r="Q23" i="1103"/>
  <c r="AC148" i="262"/>
  <c r="AC465" i="262"/>
  <c r="AC506" i="262"/>
  <c r="AS31" i="262"/>
  <c r="AC77" i="262"/>
  <c r="AC512" i="262"/>
  <c r="AC538" i="262"/>
  <c r="AC605" i="262"/>
  <c r="AC620" i="262"/>
  <c r="AC201" i="262"/>
  <c r="AC210" i="262"/>
  <c r="AC33" i="1103"/>
  <c r="AC202" i="262"/>
  <c r="AC658" i="262"/>
  <c r="AS28" i="262"/>
  <c r="Q33" i="1103"/>
  <c r="AC173" i="262"/>
  <c r="AC491" i="262"/>
  <c r="AC571" i="262"/>
  <c r="AC468" i="262"/>
  <c r="AC186" i="262"/>
  <c r="AC62" i="262"/>
  <c r="AC625" i="262"/>
  <c r="AC652" i="262"/>
  <c r="Q40" i="1103"/>
  <c r="AC536" i="262"/>
  <c r="AC161" i="262"/>
  <c r="AC631" i="262"/>
  <c r="AC522" i="262"/>
  <c r="AC564" i="262"/>
  <c r="AC624" i="262"/>
  <c r="AC540" i="262"/>
  <c r="AG27" i="1103"/>
  <c r="Q31" i="1103"/>
  <c r="AC521" i="262"/>
  <c r="AC502" i="262"/>
  <c r="AC105" i="262"/>
  <c r="AC34" i="1103"/>
  <c r="AC216" i="262"/>
  <c r="AS32" i="262"/>
  <c r="AC119" i="262"/>
  <c r="Q28" i="1103"/>
  <c r="AC607" i="262"/>
  <c r="AC663" i="262"/>
  <c r="AC655" i="262"/>
  <c r="AC689" i="262"/>
  <c r="AC97" i="262"/>
  <c r="AC641" i="262"/>
  <c r="AG33" i="1103"/>
  <c r="AC544" i="262"/>
  <c r="AG32" i="1103"/>
  <c r="AC206" i="262"/>
  <c r="AC598" i="262"/>
  <c r="AC695" i="262"/>
  <c r="BI26" i="262"/>
  <c r="AC116" i="262"/>
  <c r="AC656" i="262"/>
  <c r="AC588" i="262"/>
  <c r="AC519" i="262"/>
  <c r="AG28" i="1103"/>
  <c r="AC188" i="262"/>
  <c r="Q44" i="1103"/>
  <c r="CC27" i="262"/>
  <c r="AC23" i="262"/>
  <c r="BI25" i="262"/>
  <c r="AC102" i="262"/>
  <c r="AC584" i="262"/>
  <c r="AC76" i="262"/>
  <c r="Q41" i="1103"/>
  <c r="AC520" i="262"/>
  <c r="AC50" i="262"/>
  <c r="AC597" i="262"/>
  <c r="AG35" i="1103"/>
  <c r="AC559" i="262"/>
  <c r="AC561" i="262"/>
  <c r="AC153" i="262"/>
  <c r="AC65" i="262"/>
  <c r="AC542" i="262"/>
  <c r="AC25" i="262"/>
  <c r="AC100" i="262"/>
  <c r="AC92" i="262"/>
  <c r="AC543" i="262"/>
  <c r="AC572" i="262"/>
  <c r="AC535" i="262"/>
  <c r="AC472" i="262"/>
  <c r="AC678" i="262"/>
  <c r="AC24" i="1103"/>
  <c r="AC687" i="262"/>
  <c r="AC88" i="262"/>
  <c r="AC170" i="262"/>
  <c r="AC207" i="262"/>
  <c r="AC649" i="262"/>
  <c r="AC609" i="262"/>
  <c r="AC53" i="262"/>
  <c r="AC671" i="262"/>
  <c r="AC690" i="262"/>
  <c r="AC28" i="1103"/>
  <c r="Q32" i="1103"/>
  <c r="AC632" i="262"/>
  <c r="AC647" i="262"/>
  <c r="AC213" i="262"/>
  <c r="AC670" i="262"/>
  <c r="AC546" i="262"/>
  <c r="AC145" i="262"/>
  <c r="AC122" i="262"/>
  <c r="AC640" i="262"/>
  <c r="AC35" i="1103"/>
  <c r="AC30" i="1103"/>
  <c r="AC696" i="262"/>
  <c r="AC562" i="262"/>
  <c r="AG37" i="1103"/>
  <c r="AC86" i="262"/>
  <c r="AC110" i="262"/>
  <c r="AG26" i="1103"/>
  <c r="AC550" i="262"/>
  <c r="AC103" i="262"/>
  <c r="CC29" i="262"/>
  <c r="AC74" i="262"/>
  <c r="AC190" i="262"/>
  <c r="AC167" i="262"/>
  <c r="AC61" i="262"/>
  <c r="AC523" i="262"/>
  <c r="AC478" i="262"/>
  <c r="AC482" i="262"/>
  <c r="Q46" i="1103"/>
  <c r="AC177" i="262"/>
  <c r="AC205" i="262"/>
  <c r="AC93" i="262"/>
  <c r="Q26" i="1103"/>
  <c r="AC128" i="262"/>
  <c r="AC150" i="262"/>
  <c r="CC37" i="262"/>
  <c r="AC41" i="262"/>
  <c r="AC162" i="262"/>
  <c r="AC587" i="262"/>
  <c r="AC551" i="262"/>
  <c r="AC470" i="262"/>
  <c r="AC42" i="262"/>
  <c r="AC29" i="1103"/>
  <c r="AC574" i="262"/>
  <c r="Q51" i="1103"/>
  <c r="BY26" i="262"/>
  <c r="BY33" i="262"/>
  <c r="BY36" i="262"/>
  <c r="BY28" i="262"/>
  <c r="BY25" i="262"/>
  <c r="BY27" i="262"/>
  <c r="Q134" i="262"/>
  <c r="Q133" i="262"/>
  <c r="Q500" i="262"/>
  <c r="Q666" i="262"/>
  <c r="Q216" i="262"/>
  <c r="Q631" i="262"/>
  <c r="Q647" i="262"/>
  <c r="Q676" i="262"/>
  <c r="Q147" i="262"/>
  <c r="Q80" i="262"/>
  <c r="Q652" i="262"/>
  <c r="Q173" i="262"/>
  <c r="Q205" i="262"/>
  <c r="Q86" i="262"/>
  <c r="Q161" i="262"/>
  <c r="Q536" i="262"/>
  <c r="Q648" i="262"/>
  <c r="Q688" i="262"/>
  <c r="Q197" i="262"/>
  <c r="Q142" i="262"/>
  <c r="Q628" i="262"/>
  <c r="Q162" i="262"/>
  <c r="Q104" i="262"/>
  <c r="Q50" i="262"/>
  <c r="Q512" i="262"/>
  <c r="Q148" i="262"/>
  <c r="Q496" i="262"/>
  <c r="Q190" i="262"/>
  <c r="Q630" i="262"/>
  <c r="Q526" i="262"/>
  <c r="Q516" i="262"/>
  <c r="Q99" i="262"/>
  <c r="Q36" i="262"/>
  <c r="Q587" i="262"/>
  <c r="Q91" i="262"/>
  <c r="Q64" i="262"/>
  <c r="Q145" i="262"/>
  <c r="Q696" i="262"/>
  <c r="Q594" i="262"/>
  <c r="Q562" i="262"/>
  <c r="Q519" i="262"/>
  <c r="Q168" i="262"/>
  <c r="Q57" i="262"/>
  <c r="Q678" i="262"/>
  <c r="Q183" i="262"/>
  <c r="Q220" i="262"/>
  <c r="Q524" i="262"/>
  <c r="Q580" i="262"/>
  <c r="Q520" i="262"/>
  <c r="Q592" i="262"/>
  <c r="Q113" i="262"/>
  <c r="Q155" i="262"/>
  <c r="Q144" i="262"/>
  <c r="Q699" i="262"/>
  <c r="Q179" i="262"/>
  <c r="Q146" i="262"/>
  <c r="Q479" i="262"/>
  <c r="Q682" i="262"/>
  <c r="Q79" i="262"/>
  <c r="Q188" i="262"/>
  <c r="Q495" i="262"/>
  <c r="Q51" i="262"/>
  <c r="Q689" i="262"/>
  <c r="Q121" i="262"/>
  <c r="Q626" i="262"/>
  <c r="Q687" i="262"/>
  <c r="Q636" i="262"/>
  <c r="Q675" i="262"/>
  <c r="Q546" i="262"/>
  <c r="Q563" i="262"/>
  <c r="Q467" i="262"/>
  <c r="Q693" i="262"/>
  <c r="Q564" i="262"/>
  <c r="Q181" i="262"/>
  <c r="Q670" i="262"/>
  <c r="Q508" i="262"/>
  <c r="Q83" i="262"/>
  <c r="Q510" i="262"/>
  <c r="Q35" i="262"/>
  <c r="Q501" i="262"/>
  <c r="Q621" i="262"/>
  <c r="Q653" i="262"/>
  <c r="Q206" i="262"/>
  <c r="Q473" i="262"/>
  <c r="Q603" i="262"/>
  <c r="Q78" i="262"/>
  <c r="Q569" i="262"/>
  <c r="Q94" i="262"/>
  <c r="Q159" i="262"/>
  <c r="Q629" i="262"/>
  <c r="Q607" i="262"/>
  <c r="Q196" i="262"/>
  <c r="Q189" i="262"/>
  <c r="Q581" i="262"/>
  <c r="Q222" i="262"/>
  <c r="Q71" i="262"/>
  <c r="Q511" i="262"/>
  <c r="Q609" i="262"/>
  <c r="Q644" i="262"/>
  <c r="Q601" i="262"/>
  <c r="Q44" i="262"/>
  <c r="Q48" i="262"/>
  <c r="Q538" i="262"/>
  <c r="Q661" i="262"/>
  <c r="Q143" i="262"/>
  <c r="Q176" i="262"/>
  <c r="Q700" i="262"/>
  <c r="Q63" i="262"/>
  <c r="Q476" i="262"/>
  <c r="Q117" i="262"/>
  <c r="Q620" i="262"/>
  <c r="Q126" i="262"/>
  <c r="Q561" i="262"/>
  <c r="Q184" i="262"/>
  <c r="Q215" i="262"/>
  <c r="Q521" i="262"/>
  <c r="Q537" i="262"/>
  <c r="Q558" i="262"/>
  <c r="Q198" i="262"/>
  <c r="Q58" i="262"/>
  <c r="Q53" i="262"/>
  <c r="Q119" i="262"/>
  <c r="Q475" i="262"/>
  <c r="Q505" i="262"/>
  <c r="Q62" i="262"/>
  <c r="Q471" i="262"/>
  <c r="Q70" i="262"/>
  <c r="Q487" i="262"/>
  <c r="Q572" i="262"/>
  <c r="Q623" i="262"/>
  <c r="Q82" i="262"/>
  <c r="Q578" i="262"/>
  <c r="Q167" i="262"/>
  <c r="Q108" i="262"/>
  <c r="Q54" i="262"/>
  <c r="Q604" i="262"/>
  <c r="Q149" i="262"/>
  <c r="Q186" i="262"/>
  <c r="Q207" i="262"/>
  <c r="Q122" i="262"/>
  <c r="Q649" i="262"/>
  <c r="Q590" i="262"/>
  <c r="Q543" i="262"/>
  <c r="Q166" i="262"/>
  <c r="Q574" i="262"/>
  <c r="Q690" i="262"/>
  <c r="Q642" i="262"/>
  <c r="Q92" i="262"/>
  <c r="Q663" i="262"/>
  <c r="Q96" i="262"/>
  <c r="Q585" i="262"/>
  <c r="Q115" i="262"/>
  <c r="Q219" i="262"/>
  <c r="Q67" i="262"/>
  <c r="Q660" i="262"/>
  <c r="Q627" i="262"/>
  <c r="Q88" i="262"/>
  <c r="Q466" i="262"/>
  <c r="Q671" i="262"/>
  <c r="Q85" i="262"/>
  <c r="Q131" i="262"/>
  <c r="Q533" i="262"/>
  <c r="Q539" i="262"/>
  <c r="Q42" i="262"/>
  <c r="Q680" i="262"/>
  <c r="Q575" i="262"/>
  <c r="Q477" i="262"/>
  <c r="Q490" i="262"/>
  <c r="Q624" i="262"/>
  <c r="Q639" i="262"/>
  <c r="Q116" i="262"/>
  <c r="Q185" i="262"/>
  <c r="Q87" i="262"/>
  <c r="Q139" i="262"/>
  <c r="Q494" i="262"/>
  <c r="Q673" i="262"/>
  <c r="Q595" i="262"/>
  <c r="Q611" i="262"/>
  <c r="Q577" i="262"/>
  <c r="Q485" i="262"/>
  <c r="Q692" i="262"/>
  <c r="Q492" i="262"/>
  <c r="Q686" i="262"/>
  <c r="Q493" i="262"/>
  <c r="Q465" i="262"/>
  <c r="Q100" i="262"/>
  <c r="Q550" i="262"/>
  <c r="Q567" i="262"/>
  <c r="Q47" i="262"/>
  <c r="Q534" i="262"/>
  <c r="Q468" i="262"/>
  <c r="Q576" i="262"/>
  <c r="Q635" i="262"/>
  <c r="Q643" i="262"/>
  <c r="U541" i="262"/>
  <c r="U636" i="262"/>
  <c r="U40" i="262"/>
  <c r="U660" i="262"/>
  <c r="U690" i="262"/>
  <c r="U98" i="262"/>
  <c r="U193" i="262"/>
  <c r="U144" i="262"/>
  <c r="U173" i="262"/>
  <c r="U184" i="262"/>
  <c r="U85" i="262"/>
  <c r="U114" i="262"/>
  <c r="U588" i="262"/>
  <c r="U202" i="262"/>
  <c r="U154" i="262"/>
  <c r="U180" i="262"/>
  <c r="U586" i="262"/>
  <c r="U538" i="262"/>
  <c r="U155" i="262"/>
  <c r="U529" i="262"/>
  <c r="U672" i="262"/>
  <c r="U571" i="262"/>
  <c r="U587" i="262"/>
  <c r="U113" i="262"/>
  <c r="U199" i="262"/>
  <c r="U77" i="262"/>
  <c r="U59" i="262"/>
  <c r="U601" i="262"/>
  <c r="U198" i="262"/>
  <c r="U166" i="262"/>
  <c r="U78" i="262"/>
  <c r="U533" i="262"/>
  <c r="U516" i="262"/>
  <c r="U135" i="262"/>
  <c r="U605" i="262"/>
  <c r="U621" i="262"/>
  <c r="U502" i="262"/>
  <c r="U122" i="262"/>
  <c r="U592" i="262"/>
  <c r="U622" i="262"/>
  <c r="U474" i="262"/>
  <c r="U700" i="262"/>
  <c r="U630" i="262"/>
  <c r="U578" i="262"/>
  <c r="U511" i="262"/>
  <c r="U606" i="262"/>
  <c r="U26" i="262"/>
  <c r="U646" i="262"/>
  <c r="U598" i="262"/>
  <c r="U88" i="262"/>
  <c r="U46" i="262"/>
  <c r="U146" i="262"/>
  <c r="U522" i="262"/>
  <c r="U87" i="262"/>
  <c r="U169" i="262"/>
  <c r="U148" i="262"/>
  <c r="U555" i="262"/>
  <c r="U224" i="262"/>
  <c r="U36" i="262"/>
  <c r="U66" i="262"/>
  <c r="U557" i="262"/>
  <c r="U490" i="262"/>
  <c r="U482" i="262"/>
  <c r="U691" i="262"/>
  <c r="U593" i="262"/>
  <c r="U478" i="262"/>
  <c r="U509" i="262"/>
  <c r="U530" i="262"/>
  <c r="U67" i="262"/>
  <c r="U177" i="262"/>
  <c r="U25" i="262"/>
  <c r="U501" i="262"/>
  <c r="U121" i="262"/>
  <c r="U32" i="262"/>
  <c r="U80" i="262"/>
  <c r="U488" i="262"/>
  <c r="U467" i="262"/>
  <c r="U69" i="262"/>
  <c r="U479" i="262"/>
  <c r="U652" i="262"/>
  <c r="U523" i="262"/>
  <c r="U172" i="262"/>
  <c r="U544" i="262"/>
  <c r="U657" i="262"/>
  <c r="U589" i="262"/>
  <c r="U666" i="262"/>
  <c r="U513" i="262"/>
  <c r="U545" i="262"/>
  <c r="U150" i="262"/>
  <c r="U41" i="262"/>
  <c r="U75" i="262"/>
  <c r="U560" i="262"/>
  <c r="U671" i="262"/>
  <c r="U143" i="262"/>
  <c r="U681" i="262"/>
  <c r="U678" i="262"/>
  <c r="U116" i="262"/>
  <c r="U499" i="262"/>
  <c r="U83" i="262"/>
  <c r="U197" i="262"/>
  <c r="U92" i="262"/>
  <c r="U220" i="262"/>
  <c r="U188" i="262"/>
  <c r="U50" i="262"/>
  <c r="U604" i="262"/>
  <c r="U603" i="262"/>
  <c r="U190" i="262"/>
  <c r="U674" i="262"/>
  <c r="U658" i="262"/>
  <c r="U99" i="262"/>
  <c r="U42" i="262"/>
  <c r="U223" i="262"/>
  <c r="U183" i="262"/>
  <c r="U213" i="262"/>
  <c r="U210" i="262"/>
  <c r="U469" i="262"/>
  <c r="U189" i="262"/>
  <c r="U101" i="262"/>
  <c r="U510" i="262"/>
  <c r="U476" i="262"/>
  <c r="U517" i="262"/>
  <c r="U613" i="262"/>
  <c r="U145" i="262"/>
  <c r="U487" i="262"/>
  <c r="U81" i="262"/>
  <c r="U187" i="262"/>
  <c r="U562" i="262"/>
  <c r="U673" i="262"/>
  <c r="U602" i="262"/>
  <c r="U620" i="262"/>
  <c r="U57" i="262"/>
  <c r="U642" i="262"/>
  <c r="U659" i="262"/>
  <c r="U152" i="262"/>
  <c r="U159" i="262"/>
  <c r="U60" i="262"/>
  <c r="U503" i="262"/>
  <c r="U117" i="262"/>
  <c r="U641" i="262"/>
  <c r="U127" i="262"/>
  <c r="U218" i="262"/>
  <c r="U214" i="262"/>
  <c r="U567" i="262"/>
  <c r="U118" i="262"/>
  <c r="U468" i="262"/>
  <c r="U596" i="262"/>
  <c r="U595" i="262"/>
  <c r="U670" i="262"/>
  <c r="U573" i="262"/>
  <c r="U23" i="262"/>
  <c r="U694" i="262"/>
  <c r="U612" i="262"/>
  <c r="U100" i="262"/>
  <c r="U130" i="262"/>
  <c r="U62" i="262"/>
  <c r="U112" i="262"/>
  <c r="U128" i="262"/>
  <c r="U579" i="262"/>
  <c r="U97" i="262"/>
  <c r="U551" i="262"/>
  <c r="U86" i="262"/>
  <c r="U554" i="262"/>
  <c r="U93" i="262"/>
  <c r="U564" i="262"/>
  <c r="U580" i="262"/>
  <c r="U185" i="262"/>
  <c r="U79" i="262"/>
  <c r="U45" i="262"/>
  <c r="U520" i="262"/>
  <c r="U68" i="262"/>
  <c r="U151" i="262"/>
  <c r="U27" i="262"/>
  <c r="U486" i="262"/>
  <c r="U470" i="262"/>
  <c r="U182" i="262"/>
  <c r="U507" i="262"/>
  <c r="U540" i="262"/>
  <c r="U466" i="262"/>
  <c r="U625" i="262"/>
  <c r="U611" i="262"/>
  <c r="U542" i="262"/>
  <c r="U475" i="262"/>
  <c r="U176" i="262"/>
  <c r="U693" i="262"/>
  <c r="U485" i="262"/>
  <c r="U215" i="262"/>
  <c r="U607" i="262"/>
  <c r="U494" i="262"/>
  <c r="U483" i="262"/>
  <c r="U662" i="262"/>
  <c r="U677" i="262"/>
  <c r="U654" i="262"/>
  <c r="U655" i="262"/>
  <c r="U96" i="262"/>
  <c r="BM31" i="262"/>
  <c r="BU34" i="262"/>
  <c r="BM35" i="262"/>
  <c r="BM26" i="262"/>
  <c r="BM32" i="262"/>
  <c r="BU24" i="262"/>
  <c r="BU36" i="262"/>
  <c r="BU37" i="262"/>
  <c r="BU28" i="262"/>
  <c r="BU35" i="262"/>
  <c r="BU25" i="262"/>
  <c r="BM29" i="262"/>
  <c r="BM25" i="262"/>
  <c r="BU27" i="262"/>
  <c r="AO35" i="262"/>
  <c r="BQ25" i="262"/>
  <c r="AO33" i="262"/>
  <c r="BQ24" i="262"/>
  <c r="AW30" i="262"/>
  <c r="BE30" i="262"/>
  <c r="BQ32" i="262"/>
  <c r="AW25" i="262"/>
  <c r="BQ27" i="262"/>
  <c r="AO27" i="262"/>
  <c r="AO29" i="262"/>
  <c r="AW29" i="262"/>
  <c r="BQ34" i="262"/>
  <c r="BE32" i="262"/>
  <c r="AW37" i="262"/>
  <c r="AW32" i="262"/>
  <c r="BE23" i="262"/>
  <c r="AO31" i="262"/>
  <c r="AW26" i="262"/>
  <c r="BE28" i="262"/>
  <c r="AO36" i="262"/>
  <c r="BQ26" i="262"/>
  <c r="BE24" i="262"/>
  <c r="BE26" i="262"/>
  <c r="BQ30" i="262"/>
  <c r="BE34" i="262"/>
  <c r="AO25" i="262"/>
  <c r="BE33" i="262"/>
  <c r="BQ23" i="262"/>
  <c r="M37" i="1103"/>
  <c r="M36" i="1103"/>
  <c r="Y26" i="1103"/>
  <c r="Y23" i="1103"/>
  <c r="M33" i="1103"/>
  <c r="Y32" i="1103"/>
  <c r="Y36" i="1103"/>
  <c r="M26" i="1103"/>
  <c r="M45" i="1103"/>
  <c r="M25" i="1103"/>
  <c r="M42" i="1103"/>
  <c r="M31" i="1103"/>
  <c r="M47" i="1103"/>
  <c r="M29" i="1103"/>
  <c r="Y37" i="1103"/>
  <c r="M49" i="1103"/>
  <c r="Y28" i="1103"/>
  <c r="Y25" i="1103"/>
  <c r="M41" i="1103"/>
  <c r="M34" i="1103"/>
  <c r="M30" i="1103"/>
  <c r="AG134" i="262"/>
  <c r="Y122" i="262"/>
  <c r="AG143" i="262"/>
  <c r="AG146" i="262"/>
  <c r="Y24" i="262"/>
  <c r="Y127" i="262"/>
  <c r="M159" i="262"/>
  <c r="Y180" i="262"/>
  <c r="M577" i="262"/>
  <c r="M43" i="262"/>
  <c r="AG195" i="262"/>
  <c r="Y691" i="262"/>
  <c r="M165" i="262"/>
  <c r="Y66" i="262"/>
  <c r="M695" i="262"/>
  <c r="M83" i="262"/>
  <c r="Y150" i="262"/>
  <c r="AG614" i="262"/>
  <c r="M693" i="262"/>
  <c r="AG61" i="262"/>
  <c r="AG57" i="262"/>
  <c r="Y661" i="262"/>
  <c r="AG214" i="262"/>
  <c r="M630" i="262"/>
  <c r="M162" i="262"/>
  <c r="AG64" i="262"/>
  <c r="AG210" i="262"/>
  <c r="AG648" i="262"/>
  <c r="Y86" i="262"/>
  <c r="M59" i="262"/>
  <c r="AG218" i="262"/>
  <c r="AG675" i="262"/>
  <c r="Y494" i="262"/>
  <c r="AG217" i="262"/>
  <c r="Y215" i="262"/>
  <c r="Y478" i="262"/>
  <c r="AG504" i="262"/>
  <c r="AG62" i="262"/>
  <c r="M132" i="262"/>
  <c r="AG120" i="262"/>
  <c r="Y33" i="262"/>
  <c r="AG122" i="262"/>
  <c r="M631" i="262"/>
  <c r="AG573" i="262"/>
  <c r="AG570" i="262"/>
  <c r="Y471" i="262"/>
  <c r="Y575" i="262"/>
  <c r="M679" i="262"/>
  <c r="M211" i="262"/>
  <c r="Y622" i="262"/>
  <c r="AG636" i="262"/>
  <c r="AG669" i="262"/>
  <c r="AG609" i="262"/>
  <c r="M47" i="262"/>
  <c r="AG24" i="262"/>
  <c r="M484" i="262"/>
  <c r="Y578" i="262"/>
  <c r="M44" i="262"/>
  <c r="AG638" i="262"/>
  <c r="AG620" i="262"/>
  <c r="Y569" i="262"/>
  <c r="M603" i="262"/>
  <c r="Y660" i="262"/>
  <c r="M167" i="262"/>
  <c r="AG576" i="262"/>
  <c r="AG590" i="262"/>
  <c r="Y508" i="262"/>
  <c r="Y624" i="262"/>
  <c r="Y171" i="262"/>
  <c r="Y197" i="262"/>
  <c r="AG594" i="262"/>
  <c r="Y468" i="262"/>
  <c r="Y85" i="262"/>
  <c r="Y689" i="262"/>
  <c r="Y139" i="262"/>
  <c r="Y128" i="262"/>
  <c r="M108" i="262"/>
  <c r="Y116" i="262"/>
  <c r="M483" i="262"/>
  <c r="Y220" i="262"/>
  <c r="M213" i="262"/>
  <c r="M471" i="262"/>
  <c r="AG170" i="262"/>
  <c r="M45" i="262"/>
  <c r="M554" i="262"/>
  <c r="AG468" i="262"/>
  <c r="M203" i="262"/>
  <c r="M572" i="262"/>
  <c r="AG482" i="262"/>
  <c r="M67" i="262"/>
  <c r="M170" i="262"/>
  <c r="AG202" i="262"/>
  <c r="AG50" i="262"/>
  <c r="AG212" i="262"/>
  <c r="AG466" i="262"/>
  <c r="M202" i="262"/>
  <c r="M584" i="262"/>
  <c r="AG205" i="262"/>
  <c r="AG152" i="262"/>
  <c r="AG100" i="262"/>
  <c r="AG487" i="262"/>
  <c r="M534" i="262"/>
  <c r="AG569" i="262"/>
  <c r="Y78" i="262"/>
  <c r="Y595" i="262"/>
  <c r="Y535" i="262"/>
  <c r="AG222" i="262"/>
  <c r="AG91" i="262"/>
  <c r="AG542" i="262"/>
  <c r="Y185" i="262"/>
  <c r="M35" i="262"/>
  <c r="Y23" i="262"/>
  <c r="M115" i="262"/>
  <c r="AG32" i="262"/>
  <c r="AG138" i="262"/>
  <c r="AG34" i="262"/>
  <c r="M116" i="262"/>
  <c r="M120" i="262"/>
  <c r="M474" i="262"/>
  <c r="Y581" i="262"/>
  <c r="M156" i="262"/>
  <c r="M522" i="262"/>
  <c r="AG659" i="262"/>
  <c r="M150" i="262"/>
  <c r="M622" i="262"/>
  <c r="AG697" i="262"/>
  <c r="M472" i="262"/>
  <c r="M558" i="262"/>
  <c r="Y598" i="262"/>
  <c r="M550" i="262"/>
  <c r="M468" i="262"/>
  <c r="AG611" i="262"/>
  <c r="Y656" i="262"/>
  <c r="Y527" i="262"/>
  <c r="AG664" i="262"/>
  <c r="M551" i="262"/>
  <c r="M538" i="262"/>
  <c r="Y630" i="262"/>
  <c r="AG193" i="262"/>
  <c r="Y528" i="262"/>
  <c r="AG595" i="262"/>
  <c r="M604" i="262"/>
  <c r="Y563" i="262"/>
  <c r="Y653" i="262"/>
  <c r="Y552" i="262"/>
  <c r="Y42" i="262"/>
  <c r="AG598" i="262"/>
  <c r="AG602" i="262"/>
  <c r="AG204" i="262"/>
  <c r="Y74" i="262"/>
  <c r="M23" i="262"/>
  <c r="AG114" i="262"/>
  <c r="Y41" i="262"/>
  <c r="Y146" i="262"/>
  <c r="Y29" i="262"/>
  <c r="M594" i="262"/>
  <c r="AG568" i="262"/>
  <c r="M466" i="262"/>
  <c r="AG188" i="262"/>
  <c r="AG184" i="262"/>
  <c r="AG84" i="262"/>
  <c r="M647" i="262"/>
  <c r="AG491" i="262"/>
  <c r="M490" i="262"/>
  <c r="Y500" i="262"/>
  <c r="Y105" i="262"/>
  <c r="AG168" i="262"/>
  <c r="M644" i="262"/>
  <c r="Y686" i="262"/>
  <c r="M509" i="262"/>
  <c r="M694" i="262"/>
  <c r="Y506" i="262"/>
  <c r="M569" i="262"/>
  <c r="M78" i="262"/>
  <c r="Y621" i="262"/>
  <c r="M513" i="262"/>
  <c r="M94" i="262"/>
  <c r="AG572" i="262"/>
  <c r="M510" i="262"/>
  <c r="Y620" i="262"/>
  <c r="Y101" i="262"/>
  <c r="Y60" i="262"/>
  <c r="AG488" i="262"/>
  <c r="Y483" i="262"/>
  <c r="AG159" i="262"/>
  <c r="AG571" i="262"/>
  <c r="M113" i="262"/>
  <c r="AG25" i="262"/>
  <c r="Y142" i="262"/>
  <c r="Y115" i="262"/>
  <c r="M661" i="262"/>
  <c r="AG581" i="262"/>
  <c r="M591" i="262"/>
  <c r="AG663" i="262"/>
  <c r="Y193" i="262"/>
  <c r="M557" i="262"/>
  <c r="M640" i="262"/>
  <c r="AG681" i="262"/>
  <c r="M628" i="262"/>
  <c r="Y610" i="262"/>
  <c r="AG163" i="262"/>
  <c r="M625" i="262"/>
  <c r="M545" i="262"/>
  <c r="M81" i="262"/>
  <c r="AG180" i="262"/>
  <c r="AG580" i="262"/>
  <c r="AG632" i="262"/>
  <c r="M643" i="262"/>
  <c r="M662" i="262"/>
  <c r="M215" i="262"/>
  <c r="AG199" i="262"/>
  <c r="Y695" i="262"/>
  <c r="Y43" i="262"/>
  <c r="M682" i="262"/>
  <c r="Y648" i="262"/>
  <c r="AG63" i="262"/>
  <c r="Y638" i="262"/>
  <c r="Y102" i="262"/>
  <c r="Y163" i="262"/>
  <c r="AG639" i="262"/>
  <c r="AG554" i="262"/>
  <c r="Y213" i="262"/>
  <c r="M33" i="262"/>
  <c r="M134" i="262"/>
  <c r="AG133" i="262"/>
  <c r="Y40" i="262"/>
  <c r="M133" i="262"/>
  <c r="AG28" i="262"/>
  <c r="AG131" i="262"/>
  <c r="Y121" i="262"/>
  <c r="AG112" i="262"/>
  <c r="M593" i="262"/>
  <c r="Y554" i="262"/>
  <c r="M523" i="262"/>
  <c r="M626" i="262"/>
  <c r="Y553" i="262"/>
  <c r="M567" i="262"/>
  <c r="M598" i="262"/>
  <c r="AG508" i="262"/>
  <c r="M511" i="262"/>
  <c r="M681" i="262"/>
  <c r="AG686" i="262"/>
  <c r="M686" i="262"/>
  <c r="M654" i="262"/>
  <c r="Y568" i="262"/>
  <c r="Y499" i="262"/>
  <c r="AG154" i="262"/>
  <c r="Y604" i="262"/>
  <c r="M494" i="262"/>
  <c r="M673" i="262"/>
  <c r="Y474" i="262"/>
  <c r="AG551" i="262"/>
  <c r="Y224" i="262"/>
  <c r="Y558" i="262"/>
  <c r="M562" i="262"/>
  <c r="Y590" i="262"/>
  <c r="AG153" i="262"/>
  <c r="AG44" i="262"/>
  <c r="AG477" i="262"/>
  <c r="Y475" i="262"/>
  <c r="Y182" i="262"/>
  <c r="Y57" i="262"/>
  <c r="Y518" i="262"/>
  <c r="AG144" i="262"/>
  <c r="Y137" i="262"/>
  <c r="M114" i="262"/>
  <c r="Y26" i="262"/>
  <c r="M479" i="262"/>
  <c r="AG683" i="262"/>
  <c r="AG178" i="262"/>
  <c r="AG674" i="262"/>
  <c r="AG645" i="262"/>
  <c r="M688" i="262"/>
  <c r="M642" i="262"/>
  <c r="M180" i="262"/>
  <c r="Y181" i="262"/>
  <c r="Y629" i="262"/>
  <c r="AG682" i="262"/>
  <c r="M676" i="262"/>
  <c r="Y681" i="262"/>
  <c r="M196" i="262"/>
  <c r="Y198" i="262"/>
  <c r="M613" i="262"/>
  <c r="M163" i="262"/>
  <c r="Y49" i="262"/>
  <c r="AG677" i="262"/>
  <c r="M201" i="262"/>
  <c r="AG200" i="262"/>
  <c r="M76" i="262"/>
  <c r="M53" i="262"/>
  <c r="AG86" i="262"/>
  <c r="Y632" i="262"/>
  <c r="AG216" i="262"/>
  <c r="AG591" i="262"/>
  <c r="Y586" i="262"/>
  <c r="Y82" i="262"/>
  <c r="AG94" i="262"/>
  <c r="Y636" i="262"/>
  <c r="AG165" i="262"/>
  <c r="M136" i="262"/>
  <c r="M118" i="262"/>
  <c r="AG127" i="262"/>
  <c r="AG37" i="262"/>
  <c r="M198" i="262"/>
  <c r="Y687" i="262"/>
  <c r="M614" i="262"/>
  <c r="M84" i="262"/>
  <c r="Y574" i="262"/>
  <c r="M657" i="262"/>
  <c r="M154" i="262"/>
  <c r="Y673" i="262"/>
  <c r="M96" i="262"/>
  <c r="M218" i="262"/>
  <c r="AG608" i="262"/>
  <c r="M678" i="262"/>
  <c r="M161" i="262"/>
  <c r="AG622" i="262"/>
  <c r="AG523" i="262"/>
  <c r="AG505" i="262"/>
  <c r="AG689" i="262"/>
  <c r="M95" i="262"/>
  <c r="M85" i="262"/>
  <c r="Y525" i="262"/>
  <c r="AG627" i="262"/>
  <c r="Y612" i="262"/>
  <c r="Y217" i="262"/>
  <c r="U29" i="35" l="1"/>
  <c r="U39" i="35"/>
  <c r="U43" i="35"/>
  <c r="U38" i="35"/>
  <c r="U31" i="35"/>
  <c r="U36" i="35"/>
  <c r="U32" i="35"/>
  <c r="U40" i="35"/>
  <c r="U34" i="35"/>
  <c r="U33" i="35"/>
  <c r="U41" i="35"/>
  <c r="U35" i="35"/>
  <c r="U42" i="35"/>
  <c r="U37" i="35"/>
  <c r="U30" i="35"/>
  <c r="M131" i="280"/>
  <c r="M130" i="280"/>
  <c r="M127" i="280"/>
  <c r="M129" i="280"/>
  <c r="M128" i="280"/>
  <c r="M123" i="280"/>
  <c r="M50" i="280"/>
  <c r="M36" i="280"/>
  <c r="S27" i="35"/>
  <c r="M122" i="280"/>
  <c r="W27" i="35"/>
  <c r="M43" i="280"/>
  <c r="M40" i="280"/>
  <c r="M46" i="280"/>
  <c r="M62" i="280"/>
  <c r="M69" i="280"/>
  <c r="M48" i="280"/>
  <c r="M68" i="280"/>
  <c r="M64" i="280"/>
  <c r="M70" i="280"/>
  <c r="M49" i="280"/>
  <c r="M71" i="280"/>
  <c r="M65" i="280"/>
  <c r="M47" i="280"/>
  <c r="M41" i="280"/>
  <c r="M42" i="280"/>
  <c r="M63" i="280"/>
  <c r="V30" i="35"/>
  <c r="V31" i="35"/>
  <c r="V36" i="35"/>
  <c r="V42" i="35"/>
  <c r="V38" i="35"/>
  <c r="V35" i="35"/>
  <c r="V29" i="35"/>
  <c r="V33" i="35"/>
  <c r="V34" i="35"/>
  <c r="V37" i="35"/>
  <c r="V41" i="35"/>
  <c r="V40" i="35"/>
  <c r="V39" i="35"/>
  <c r="V32" i="35"/>
  <c r="V43" i="35"/>
  <c r="M25" i="280"/>
  <c r="M27" i="280"/>
  <c r="M20" i="280"/>
  <c r="M21" i="280"/>
  <c r="M22" i="280"/>
  <c r="M26" i="280"/>
  <c r="R36" i="35"/>
  <c r="R43" i="35"/>
  <c r="R41" i="35"/>
  <c r="R34" i="35"/>
  <c r="R42" i="35"/>
  <c r="R38" i="35"/>
  <c r="R31" i="35"/>
  <c r="R37" i="35"/>
  <c r="R40" i="35"/>
  <c r="R35" i="35"/>
  <c r="R30" i="35"/>
  <c r="R33" i="35"/>
  <c r="R32" i="35"/>
  <c r="R29" i="35"/>
  <c r="R39" i="35"/>
  <c r="M45" i="280"/>
  <c r="M56" i="280"/>
  <c r="M76" i="280"/>
  <c r="M44" i="280"/>
  <c r="M67" i="280"/>
  <c r="M78" i="280"/>
  <c r="M66" i="280"/>
  <c r="M61" i="280"/>
  <c r="M55" i="280"/>
  <c r="M54" i="280"/>
  <c r="M39" i="280"/>
  <c r="M79" i="280"/>
  <c r="M57" i="280"/>
  <c r="M77" i="280"/>
  <c r="M60" i="280"/>
  <c r="M35" i="280"/>
  <c r="M38" i="280"/>
  <c r="M90" i="280"/>
  <c r="M89" i="280"/>
  <c r="M109" i="280"/>
  <c r="M32" i="280"/>
  <c r="M19" i="280"/>
  <c r="M16" i="280"/>
  <c r="M24" i="280"/>
  <c r="M33" i="280"/>
  <c r="M118" i="280"/>
  <c r="M105" i="280"/>
  <c r="M84" i="280"/>
  <c r="M83" i="280"/>
  <c r="M115" i="280"/>
  <c r="M97" i="280"/>
  <c r="M96" i="280"/>
  <c r="M117" i="280"/>
  <c r="M124" i="280"/>
  <c r="M81" i="280"/>
  <c r="M116" i="280"/>
  <c r="M120" i="280"/>
  <c r="M98" i="280"/>
  <c r="M99" i="280"/>
  <c r="T39" i="35"/>
  <c r="T37" i="35"/>
  <c r="T36" i="35"/>
  <c r="T32" i="35"/>
  <c r="T33" i="35"/>
  <c r="T40" i="35"/>
  <c r="T38" i="35"/>
  <c r="T30" i="35"/>
  <c r="T35" i="35"/>
  <c r="T29" i="35"/>
  <c r="T41" i="35"/>
  <c r="T31" i="35"/>
  <c r="T42" i="35"/>
  <c r="T43" i="35"/>
  <c r="T34" i="35"/>
  <c r="W34" i="35"/>
  <c r="W32" i="35"/>
  <c r="W39" i="35"/>
  <c r="W31" i="35"/>
  <c r="W40" i="35"/>
  <c r="W36" i="35"/>
  <c r="W37" i="35"/>
  <c r="W42" i="35"/>
  <c r="W33" i="35"/>
  <c r="W30" i="35"/>
  <c r="W43" i="35"/>
  <c r="W35" i="35"/>
  <c r="W29" i="35"/>
  <c r="W38" i="35"/>
  <c r="W41" i="35"/>
  <c r="M17" i="280"/>
  <c r="M28" i="280"/>
  <c r="M111" i="280"/>
  <c r="M119" i="280"/>
  <c r="M112" i="280"/>
  <c r="M107" i="280"/>
  <c r="M94" i="280"/>
  <c r="M110" i="280"/>
  <c r="M87" i="280"/>
  <c r="M93" i="280"/>
  <c r="M88" i="280"/>
  <c r="M85" i="280"/>
  <c r="M108" i="280"/>
  <c r="M92" i="280"/>
  <c r="M86" i="280"/>
  <c r="M106" i="280"/>
  <c r="M91" i="280"/>
  <c r="M121" i="280"/>
  <c r="M113" i="280"/>
  <c r="M114" i="280"/>
  <c r="M73" i="280"/>
  <c r="M75" i="280"/>
  <c r="M59" i="280"/>
  <c r="M74" i="280"/>
  <c r="R27" i="35"/>
  <c r="M82" i="280"/>
  <c r="M95" i="280"/>
  <c r="M18" i="280"/>
  <c r="M29" i="280"/>
  <c r="M31" i="280"/>
  <c r="M30" i="280"/>
  <c r="T27" i="35"/>
  <c r="V27" i="35"/>
  <c r="M72" i="280"/>
  <c r="M58" i="280"/>
  <c r="S39" i="35"/>
  <c r="S33" i="35"/>
  <c r="S30" i="35"/>
  <c r="S38" i="35"/>
  <c r="S40" i="35"/>
  <c r="S32" i="35"/>
  <c r="S43" i="35"/>
  <c r="S29" i="35"/>
  <c r="S34" i="35"/>
  <c r="S36" i="35"/>
  <c r="S35" i="35"/>
  <c r="S42" i="35"/>
  <c r="S31" i="35"/>
  <c r="S41" i="35"/>
  <c r="S37" i="35"/>
  <c r="M53" i="280"/>
  <c r="M37" i="280"/>
  <c r="M51" i="280"/>
  <c r="M52" i="280"/>
  <c r="U27"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Ryan S. Parker</author>
  </authors>
  <commentList>
    <comment ref="K95" authorId="0" shapeId="0" xr:uid="{565ED14F-4CF7-4D54-BD7E-18415022465C}">
      <text>
        <r>
          <rPr>
            <b/>
            <sz val="9"/>
            <color indexed="81"/>
            <rFont val="Tahoma"/>
            <family val="2"/>
          </rPr>
          <t>Ryan S. Parker:</t>
        </r>
        <r>
          <rPr>
            <sz val="9"/>
            <color indexed="81"/>
            <rFont val="Tahoma"/>
            <family val="2"/>
          </rPr>
          <t xml:space="preserve">
Size for 800-1000 fpm if inlet size is unknown.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Anke Beyer-Lout</author>
    <author>Jared Ritter</author>
  </authors>
  <commentList>
    <comment ref="D25" authorId="0" shapeId="0" xr:uid="{00000000-0006-0000-0500-000001000000}">
      <text>
        <r>
          <rPr>
            <b/>
            <sz val="9"/>
            <color indexed="81"/>
            <rFont val="Tahoma"/>
            <family val="2"/>
          </rPr>
          <t>Anke Beyer-Lout:</t>
        </r>
        <r>
          <rPr>
            <sz val="9"/>
            <color indexed="81"/>
            <rFont val="Tahoma"/>
            <family val="2"/>
          </rPr>
          <t xml:space="preserve">
converted from 24-hour average to 1-hour average using Turner's equation.</t>
        </r>
      </text>
    </comment>
    <comment ref="M36" authorId="1" shapeId="0" xr:uid="{9DB8AB02-8DDB-4CA1-9B9F-C2DC5C74D269}">
      <text>
        <r>
          <rPr>
            <b/>
            <sz val="9"/>
            <color indexed="81"/>
            <rFont val="Tahoma"/>
            <family val="2"/>
          </rPr>
          <t>Jared Ritter:</t>
        </r>
        <r>
          <rPr>
            <sz val="9"/>
            <color indexed="81"/>
            <rFont val="Tahoma"/>
            <family val="2"/>
          </rPr>
          <t xml:space="preserve">
Keep this as "1" when using combined scenarios</t>
        </r>
      </text>
    </comment>
    <comment ref="N36" authorId="1" shapeId="0" xr:uid="{A572F82A-13C9-4301-BD7F-B6EDA869C48F}">
      <text>
        <r>
          <rPr>
            <b/>
            <sz val="9"/>
            <color indexed="81"/>
            <rFont val="Tahoma"/>
            <family val="2"/>
          </rPr>
          <t>Jared Ritter:</t>
        </r>
        <r>
          <rPr>
            <sz val="9"/>
            <color indexed="81"/>
            <rFont val="Tahoma"/>
            <family val="2"/>
          </rPr>
          <t xml:space="preserve">
Keep this as "1" when using combined scenarios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Jared Ritter</author>
  </authors>
  <commentList>
    <comment ref="B17" authorId="0" shapeId="0" xr:uid="{00000000-0006-0000-0D00-000001000000}">
      <text>
        <r>
          <rPr>
            <b/>
            <sz val="9"/>
            <color indexed="81"/>
            <rFont val="Tahoma"/>
            <family val="2"/>
          </rPr>
          <t>Jared Ritter:</t>
        </r>
        <r>
          <rPr>
            <sz val="9"/>
            <color indexed="81"/>
            <rFont val="Tahoma"/>
            <family val="2"/>
          </rPr>
          <t xml:space="preserve">
If you want to compare to WT results you type in the run number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Collin Zimmerman</author>
  </authors>
  <commentList>
    <comment ref="B190" authorId="0" shapeId="0" xr:uid="{451492D9-76F1-450F-AE14-E8B182F371A4}">
      <text>
        <r>
          <rPr>
            <b/>
            <sz val="9"/>
            <color indexed="81"/>
            <rFont val="Tahoma"/>
            <family val="2"/>
          </rPr>
          <t>Collin Zimmerman:</t>
        </r>
        <r>
          <rPr>
            <sz val="9"/>
            <color indexed="81"/>
            <rFont val="Tahoma"/>
            <family val="2"/>
          </rPr>
          <t xml:space="preserve">
Change Reg Speed to Match Source if using something other than 2 m/s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Adam Zipperer</author>
  </authors>
  <commentList>
    <comment ref="D18" authorId="0" shapeId="0" xr:uid="{00000000-0006-0000-1200-000001000000}">
      <text>
        <r>
          <rPr>
            <b/>
            <sz val="9"/>
            <color indexed="81"/>
            <rFont val="Tahoma"/>
            <family val="2"/>
          </rPr>
          <t>Adam Zipperer:</t>
        </r>
        <r>
          <rPr>
            <sz val="9"/>
            <color indexed="81"/>
            <rFont val="Tahoma"/>
            <family val="2"/>
          </rPr>
          <t xml:space="preserve">
CDC 2005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Jared Ritter</author>
  </authors>
  <commentList>
    <comment ref="J9" authorId="0" shapeId="0" xr:uid="{00000000-0006-0000-1300-000001000000}">
      <text>
        <r>
          <rPr>
            <b/>
            <sz val="9"/>
            <color indexed="81"/>
            <rFont val="Tahoma"/>
            <family val="2"/>
          </rPr>
          <t>Jared Ritter:</t>
        </r>
        <r>
          <rPr>
            <sz val="9"/>
            <color indexed="81"/>
            <rFont val="Tahoma"/>
            <family val="2"/>
          </rPr>
          <t xml:space="preserve">
IMPORTANT
This accounts for 1 in 10 probability of a positive PPD test leading to Active TB. There is an extra factor of 10 included in this calculation. 
i.e Active TB is a factor of 10 less likely than positive PPD</t>
        </r>
      </text>
    </comment>
    <comment ref="J10" authorId="0" shapeId="0" xr:uid="{00000000-0006-0000-1300-000002000000}">
      <text>
        <r>
          <rPr>
            <b/>
            <sz val="9"/>
            <color indexed="81"/>
            <rFont val="Tahoma"/>
            <family val="2"/>
          </rPr>
          <t>Jared Ritter:</t>
        </r>
        <r>
          <rPr>
            <sz val="9"/>
            <color indexed="81"/>
            <rFont val="Tahoma"/>
            <family val="2"/>
          </rPr>
          <t xml:space="preserve">
Or Bronchoscopy /Couch depending on your emission scenario.
If your emission scenario changes you need to point the equations in column J, N, O, P to the correct row on the "ISOLATION Criteria Sheet"
Make sure they are pointed at the correct a, b, c coefficients, on the correct row (e.g. Bronchoscopy row 23, Intubation row 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Jared Ritter</author>
  </authors>
  <commentList>
    <comment ref="J9" authorId="0" shapeId="0" xr:uid="{00000000-0006-0000-1400-000001000000}">
      <text>
        <r>
          <rPr>
            <b/>
            <sz val="9"/>
            <color indexed="81"/>
            <rFont val="Tahoma"/>
            <family val="2"/>
          </rPr>
          <t>Jared Ritter:</t>
        </r>
        <r>
          <rPr>
            <sz val="9"/>
            <color indexed="81"/>
            <rFont val="Tahoma"/>
            <family val="2"/>
          </rPr>
          <t xml:space="preserve">
IMPORTANT
This accounts for 1 in 10 probability of a positive PPD test leading to Active TB. There is an extra factor of 10 included in this calculation. 
i.e Active TB is a factor of 10 less likely than positive PPD</t>
        </r>
      </text>
    </comment>
    <comment ref="J10" authorId="0" shapeId="0" xr:uid="{00000000-0006-0000-1400-000002000000}">
      <text>
        <r>
          <rPr>
            <b/>
            <sz val="9"/>
            <color indexed="81"/>
            <rFont val="Tahoma"/>
            <family val="2"/>
          </rPr>
          <t>Jared Ritter:</t>
        </r>
        <r>
          <rPr>
            <sz val="9"/>
            <color indexed="81"/>
            <rFont val="Tahoma"/>
            <family val="2"/>
          </rPr>
          <t xml:space="preserve">
Or Bronchoscopy /Couch depending on your emission scenario.
If your emission scenario changes you need to point the equations in column J, N, O, P to the correct row on the "ISOLATION Criteria Sheet"
Make sure they are pointed at the correct a, b, c coefficients, on the correct row (e.g. Bronchoscopy row 23, Intubation row 24)</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Jared Ritter</author>
  </authors>
  <commentList>
    <comment ref="D12" authorId="0" shapeId="0" xr:uid="{8B855F3E-0588-4FF4-BF4A-21A3A693CE0D}">
      <text>
        <r>
          <rPr>
            <b/>
            <sz val="9"/>
            <color indexed="81"/>
            <rFont val="Tahoma"/>
            <family val="2"/>
          </rPr>
          <t>Jared Ritter:</t>
        </r>
        <r>
          <rPr>
            <sz val="9"/>
            <color indexed="81"/>
            <rFont val="Tahoma"/>
            <family val="2"/>
          </rPr>
          <t xml:space="preserve">
Release rate provided by AEI for project 11234, and agrees with technical reference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Greg M Gross</author>
    <author>Jared Ritter</author>
  </authors>
  <commentList>
    <comment ref="AA1" authorId="0" shapeId="0" xr:uid="{3CFD71A4-DBBA-4B40-9063-F2E419059A73}">
      <text>
        <r>
          <rPr>
            <b/>
            <sz val="9"/>
            <color indexed="81"/>
            <rFont val="Tahoma"/>
            <family val="2"/>
          </rPr>
          <t>Greg M Gross:</t>
        </r>
        <r>
          <rPr>
            <sz val="9"/>
            <color indexed="81"/>
            <rFont val="Tahoma"/>
            <family val="2"/>
          </rPr>
          <t xml:space="preserve">
Conversion from ppm to ug/m3 as per Sergio Garcia guidance document</t>
        </r>
      </text>
    </comment>
    <comment ref="AA6" authorId="0" shapeId="0" xr:uid="{5E4BDCF1-A229-4643-B29A-EFCF68C2504F}">
      <text>
        <r>
          <rPr>
            <b/>
            <sz val="9"/>
            <color indexed="81"/>
            <rFont val="Tahoma"/>
            <family val="2"/>
          </rPr>
          <t>Greg M Gross:</t>
        </r>
        <r>
          <rPr>
            <sz val="9"/>
            <color indexed="81"/>
            <rFont val="Tahoma"/>
            <family val="2"/>
          </rPr>
          <t xml:space="preserve">
Backgrounds from JR</t>
        </r>
      </text>
    </comment>
    <comment ref="F56" authorId="1" shapeId="0" xr:uid="{898CA5DF-3D0F-419A-BA7F-72F7305716A0}">
      <text>
        <r>
          <rPr>
            <b/>
            <sz val="9"/>
            <color indexed="81"/>
            <rFont val="Tahoma"/>
            <family val="2"/>
          </rPr>
          <t>Jared Ritter:</t>
        </r>
        <r>
          <rPr>
            <sz val="9"/>
            <color indexed="81"/>
            <rFont val="Tahoma"/>
            <family val="2"/>
          </rPr>
          <t xml:space="preserve">
</t>
        </r>
        <r>
          <rPr>
            <sz val="12"/>
            <color indexed="81"/>
            <rFont val="Tahoma"/>
            <family val="2"/>
          </rPr>
          <t>List or link to your receptor that is receiving the combined impact here</t>
        </r>
      </text>
    </comment>
    <comment ref="S56" authorId="1" shapeId="0" xr:uid="{B7790780-D1D5-44B8-9588-016BADED7232}">
      <text>
        <r>
          <rPr>
            <b/>
            <sz val="9"/>
            <color indexed="81"/>
            <rFont val="Tahoma"/>
            <family val="2"/>
          </rPr>
          <t>Jared Ritter:</t>
        </r>
        <r>
          <rPr>
            <sz val="9"/>
            <color indexed="81"/>
            <rFont val="Tahoma"/>
            <family val="2"/>
          </rPr>
          <t xml:space="preserve">
</t>
        </r>
        <r>
          <rPr>
            <sz val="12"/>
            <color indexed="81"/>
            <rFont val="Tahoma"/>
            <family val="2"/>
          </rPr>
          <t>These values come from the combiner, with selected runs and pollutant scalars</t>
        </r>
      </text>
    </comment>
    <comment ref="S62" authorId="0" shapeId="0" xr:uid="{6C26ED3E-14C3-45F3-B6FF-F54A9F3E7BD8}">
      <text>
        <r>
          <rPr>
            <b/>
            <sz val="9"/>
            <color indexed="81"/>
            <rFont val="Tahoma"/>
            <family val="2"/>
          </rPr>
          <t>Jared Ritter:</t>
        </r>
        <r>
          <rPr>
            <sz val="9"/>
            <color indexed="81"/>
            <rFont val="Tahoma"/>
            <family val="2"/>
          </rPr>
          <t xml:space="preserve">
Request background concentrations from monitoring stations near the test site. These are project specific.</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6668probs" type="6" refreshedVersion="4" background="1" saveData="1">
    <textPr codePage="437" firstRow="2" sourceFile="D:\Documents\aaCURRENTproj\LABVEIW\Probabilities\Project Trials\6668probs.out">
      <textFields count="8">
        <textField/>
        <textField/>
        <textField/>
        <textField/>
        <textField/>
        <textField/>
        <textField/>
        <textField/>
      </textFields>
    </textPr>
  </connection>
  <connection id="2" xr16:uid="{00000000-0015-0000-FFFF-FFFF01000000}" name="sampa1" type="6" refreshedVersion="4" background="1" saveData="1">
    <textPr codePage="437" sourceFile="D:\Templates In Progress\sampa.ros" tab="0" space="1" consecutive="1">
      <textFields count="6">
        <textField/>
        <textField/>
        <textField/>
        <textField/>
        <textField/>
        <textField/>
      </textFields>
    </textPr>
  </connection>
</connections>
</file>

<file path=xl/sharedStrings.xml><?xml version="1.0" encoding="utf-8"?>
<sst xmlns="http://schemas.openxmlformats.org/spreadsheetml/2006/main" count="12089" uniqueCount="1744">
  <si>
    <t>STEL</t>
  </si>
  <si>
    <t>TWA</t>
  </si>
  <si>
    <t xml:space="preserve"> (µg/m³)</t>
  </si>
  <si>
    <r>
      <t>NIOSH - NO</t>
    </r>
    <r>
      <rPr>
        <vertAlign val="subscript"/>
        <sz val="12"/>
        <rFont val="Times New Roman"/>
        <family val="1"/>
      </rPr>
      <t>2</t>
    </r>
    <r>
      <rPr>
        <sz val="12"/>
        <rFont val="Times New Roman"/>
        <family val="1"/>
      </rPr>
      <t xml:space="preserve"> (µg/m³)/(g/s):</t>
    </r>
  </si>
  <si>
    <r>
      <t>OSHA - NO</t>
    </r>
    <r>
      <rPr>
        <vertAlign val="subscript"/>
        <sz val="12"/>
        <rFont val="Times New Roman"/>
        <family val="1"/>
      </rPr>
      <t>2</t>
    </r>
    <r>
      <rPr>
        <sz val="12"/>
        <rFont val="Times New Roman"/>
        <family val="1"/>
      </rPr>
      <t xml:space="preserve"> (µg/m³)/(g/s):</t>
    </r>
  </si>
  <si>
    <r>
      <t>Health</t>
    </r>
    <r>
      <rPr>
        <b/>
        <vertAlign val="superscript"/>
        <sz val="12"/>
        <rFont val="Times New Roman"/>
        <family val="1"/>
      </rPr>
      <t xml:space="preserve"> </t>
    </r>
    <r>
      <rPr>
        <b/>
        <sz val="12"/>
        <rFont val="Times New Roman"/>
        <family val="1"/>
      </rPr>
      <t>(µg/m³)</t>
    </r>
  </si>
  <si>
    <r>
      <t>CO - ACGIH</t>
    </r>
    <r>
      <rPr>
        <vertAlign val="superscript"/>
        <sz val="12"/>
        <rFont val="Times New Roman"/>
        <family val="1"/>
      </rPr>
      <t>(1)</t>
    </r>
  </si>
  <si>
    <r>
      <t>NO - NIOSH</t>
    </r>
    <r>
      <rPr>
        <vertAlign val="superscript"/>
        <sz val="12"/>
        <rFont val="Times New Roman"/>
        <family val="1"/>
      </rPr>
      <t>(1)</t>
    </r>
  </si>
  <si>
    <t>Tier 3</t>
  </si>
  <si>
    <t>&gt;560 kW</t>
  </si>
  <si>
    <r>
      <t>2) Emission factors for all except SO</t>
    </r>
    <r>
      <rPr>
        <vertAlign val="subscript"/>
        <sz val="12"/>
        <color indexed="10"/>
        <rFont val="Times New Roman"/>
        <family val="1"/>
      </rPr>
      <t>x</t>
    </r>
    <r>
      <rPr>
        <sz val="12"/>
        <color indexed="10"/>
        <rFont val="Times New Roman"/>
        <family val="1"/>
      </rPr>
      <t xml:space="preserve"> from CFR Title 40, Part 89, Table 1 (CFR, 2002).</t>
    </r>
  </si>
  <si>
    <t>AC</t>
  </si>
  <si>
    <t>AD</t>
  </si>
  <si>
    <t>AE</t>
  </si>
  <si>
    <t>AF</t>
  </si>
  <si>
    <t>AG</t>
  </si>
  <si>
    <t>BR</t>
  </si>
  <si>
    <t>130 kW - 560 kW</t>
  </si>
  <si>
    <t>6) Emission factors from AP 42 Table 3.4-1 (EPA, 1996).</t>
  </si>
  <si>
    <t>Receiving</t>
  </si>
  <si>
    <t>NIOSH</t>
  </si>
  <si>
    <t>OSHA</t>
  </si>
  <si>
    <t>Named Ranges in Pink</t>
  </si>
  <si>
    <t>Prob_ProbTotal</t>
  </si>
  <si>
    <t>Prob_Prob</t>
  </si>
  <si>
    <t>Prob_RunNumber</t>
  </si>
  <si>
    <t>Prob_ProbRunandCrit</t>
  </si>
  <si>
    <t xml:space="preserve">Import from PPPPprb.TXT using the ! button (Refresh Data) on the toolbar </t>
  </si>
  <si>
    <t>Copy and paste formula in column R</t>
  </si>
  <si>
    <t>Select Cell D12</t>
  </si>
  <si>
    <t>SET WIND SPEEDS FOR ALL SHEETS HERE</t>
  </si>
  <si>
    <t>5) SET WIND SPEEDS FOR ALL SHEETS BELOW</t>
  </si>
  <si>
    <t>Table A - AA Data</t>
  </si>
  <si>
    <t>Building 2</t>
  </si>
  <si>
    <t>Kitchen Exhaust 1</t>
  </si>
  <si>
    <t>Kitchen Exhaust 2</t>
  </si>
  <si>
    <t>B2 Gen-1</t>
  </si>
  <si>
    <t>B2 Gen-2</t>
  </si>
  <si>
    <t>B2 FE-1</t>
  </si>
  <si>
    <t>Totals:</t>
  </si>
  <si>
    <t>&gt;16</t>
  </si>
  <si>
    <t>B2 FE-2</t>
  </si>
  <si>
    <t>B2 FE-3</t>
  </si>
  <si>
    <t>B2 Viv-1</t>
  </si>
  <si>
    <t>B2 Viv-2</t>
  </si>
  <si>
    <t>B2 Viv-3</t>
  </si>
  <si>
    <t>B2 Kit-1</t>
  </si>
  <si>
    <t>B2 Kit-2</t>
  </si>
  <si>
    <t>B2 BSL3-1</t>
  </si>
  <si>
    <t>B2 BSL3-2</t>
  </si>
  <si>
    <t>B2 DT</t>
  </si>
  <si>
    <t>B2 DG</t>
  </si>
  <si>
    <t>B3 Gen-1</t>
  </si>
  <si>
    <t>B3 Gen-2</t>
  </si>
  <si>
    <t>B3 FE-1</t>
  </si>
  <si>
    <t>B3 FE-2</t>
  </si>
  <si>
    <t>B3 FE-3</t>
  </si>
  <si>
    <t>B3 Viv-1</t>
  </si>
  <si>
    <t>B3 Viv-2</t>
  </si>
  <si>
    <t>B3 Viv-3</t>
  </si>
  <si>
    <t>B3 Kit-1</t>
  </si>
  <si>
    <t>B3 Kit-2</t>
  </si>
  <si>
    <t>B3 BSL3-1</t>
  </si>
  <si>
    <t>B3 BSL3-2</t>
  </si>
  <si>
    <t>B3 DT</t>
  </si>
  <si>
    <t>B3 DG</t>
  </si>
  <si>
    <t>BO</t>
  </si>
  <si>
    <t>Stack Letter</t>
  </si>
  <si>
    <t>StackID</t>
  </si>
  <si>
    <t>Tier 2</t>
  </si>
  <si>
    <r>
      <t xml:space="preserve">Air Density, </t>
    </r>
    <r>
      <rPr>
        <sz val="12"/>
        <rFont val="Symbol"/>
        <family val="1"/>
        <charset val="2"/>
      </rPr>
      <t>r</t>
    </r>
    <r>
      <rPr>
        <vertAlign val="subscript"/>
        <sz val="12"/>
        <rFont val="Times New Roman"/>
        <family val="1"/>
      </rPr>
      <t>a</t>
    </r>
    <r>
      <rPr>
        <sz val="12"/>
        <rFont val="Times New Roman"/>
        <family val="1"/>
      </rPr>
      <t xml:space="preserve"> (kg/m</t>
    </r>
    <r>
      <rPr>
        <vertAlign val="superscript"/>
        <sz val="12"/>
        <rFont val="Times New Roman"/>
        <family val="1"/>
      </rPr>
      <t>3</t>
    </r>
    <r>
      <rPr>
        <sz val="12"/>
        <rFont val="Times New Roman"/>
        <family val="1"/>
      </rPr>
      <t>)</t>
    </r>
  </si>
  <si>
    <r>
      <t xml:space="preserve">Exhaust Density, </t>
    </r>
    <r>
      <rPr>
        <sz val="12"/>
        <rFont val="Symbol"/>
        <family val="1"/>
        <charset val="2"/>
      </rPr>
      <t>r</t>
    </r>
    <r>
      <rPr>
        <vertAlign val="subscript"/>
        <sz val="12"/>
        <rFont val="Times New Roman"/>
        <family val="1"/>
      </rPr>
      <t>s</t>
    </r>
    <r>
      <rPr>
        <sz val="12"/>
        <rFont val="Times New Roman"/>
        <family val="1"/>
      </rPr>
      <t xml:space="preserve"> (kg/m</t>
    </r>
    <r>
      <rPr>
        <vertAlign val="superscript"/>
        <sz val="12"/>
        <rFont val="Times New Roman"/>
        <family val="1"/>
      </rPr>
      <t>3</t>
    </r>
    <r>
      <rPr>
        <sz val="12"/>
        <rFont val="Times New Roman"/>
        <family val="1"/>
      </rPr>
      <t>)</t>
    </r>
  </si>
  <si>
    <r>
      <t xml:space="preserve">Air Viscosity,  </t>
    </r>
    <r>
      <rPr>
        <sz val="12"/>
        <rFont val="Symbol"/>
        <family val="1"/>
        <charset val="2"/>
      </rPr>
      <t>n</t>
    </r>
    <r>
      <rPr>
        <vertAlign val="subscript"/>
        <sz val="12"/>
        <rFont val="Times New Roman"/>
        <family val="1"/>
      </rPr>
      <t>a</t>
    </r>
    <r>
      <rPr>
        <sz val="12"/>
        <rFont val="Times New Roman"/>
        <family val="1"/>
      </rPr>
      <t xml:space="preserve"> (m</t>
    </r>
    <r>
      <rPr>
        <vertAlign val="superscript"/>
        <sz val="12"/>
        <rFont val="Times New Roman"/>
        <family val="1"/>
      </rPr>
      <t>2</t>
    </r>
    <r>
      <rPr>
        <sz val="12"/>
        <rFont val="Times New Roman"/>
        <family val="1"/>
      </rPr>
      <t>/s)</t>
    </r>
  </si>
  <si>
    <r>
      <t xml:space="preserve">Gas Viscosity, </t>
    </r>
    <r>
      <rPr>
        <sz val="12"/>
        <rFont val="Symbol"/>
        <family val="1"/>
        <charset val="2"/>
      </rPr>
      <t>n</t>
    </r>
    <r>
      <rPr>
        <vertAlign val="subscript"/>
        <sz val="12"/>
        <rFont val="Times New Roman"/>
        <family val="1"/>
      </rPr>
      <t>s</t>
    </r>
    <r>
      <rPr>
        <sz val="12"/>
        <rFont val="Times New Roman"/>
        <family val="1"/>
      </rPr>
      <t xml:space="preserve"> (m</t>
    </r>
    <r>
      <rPr>
        <vertAlign val="superscript"/>
        <sz val="12"/>
        <rFont val="Times New Roman"/>
        <family val="1"/>
      </rPr>
      <t>2</t>
    </r>
    <r>
      <rPr>
        <sz val="12"/>
        <rFont val="Times New Roman"/>
        <family val="1"/>
      </rPr>
      <t>/s)</t>
    </r>
  </si>
  <si>
    <r>
      <t>Stack Flow Reynolds Number (Interior), Re</t>
    </r>
    <r>
      <rPr>
        <vertAlign val="subscript"/>
        <sz val="12"/>
        <rFont val="Times New Roman"/>
        <family val="1"/>
      </rPr>
      <t>s</t>
    </r>
    <r>
      <rPr>
        <sz val="12"/>
        <rFont val="Times New Roman"/>
        <family val="1"/>
      </rPr>
      <t xml:space="preserve"> = d V</t>
    </r>
    <r>
      <rPr>
        <vertAlign val="subscript"/>
        <sz val="12"/>
        <rFont val="Times New Roman"/>
        <family val="1"/>
      </rPr>
      <t>e</t>
    </r>
    <r>
      <rPr>
        <sz val="12"/>
        <rFont val="Times New Roman"/>
        <family val="1"/>
      </rPr>
      <t xml:space="preserve"> / </t>
    </r>
    <r>
      <rPr>
        <sz val="12"/>
        <rFont val="Symbol"/>
        <family val="1"/>
        <charset val="2"/>
      </rPr>
      <t>n</t>
    </r>
    <r>
      <rPr>
        <vertAlign val="subscript"/>
        <sz val="12"/>
        <rFont val="Times New Roman"/>
        <family val="1"/>
      </rPr>
      <t>s</t>
    </r>
  </si>
  <si>
    <r>
      <t>Surface Reynolds Number, z</t>
    </r>
    <r>
      <rPr>
        <vertAlign val="subscript"/>
        <sz val="12"/>
        <rFont val="Times New Roman"/>
        <family val="1"/>
      </rPr>
      <t>o, s</t>
    </r>
    <r>
      <rPr>
        <sz val="12"/>
        <rFont val="Times New Roman"/>
        <family val="1"/>
      </rPr>
      <t xml:space="preserve"> U</t>
    </r>
    <r>
      <rPr>
        <vertAlign val="subscript"/>
        <sz val="12"/>
        <rFont val="Times New Roman"/>
        <family val="1"/>
      </rPr>
      <t>*</t>
    </r>
    <r>
      <rPr>
        <sz val="12"/>
        <rFont val="Times New Roman"/>
        <family val="1"/>
      </rPr>
      <t xml:space="preserve"> / </t>
    </r>
    <r>
      <rPr>
        <sz val="12"/>
        <rFont val="Symbol"/>
        <family val="1"/>
        <charset val="2"/>
      </rPr>
      <t>n</t>
    </r>
    <r>
      <rPr>
        <vertAlign val="subscript"/>
        <sz val="12"/>
        <rFont val="Times New Roman"/>
        <family val="1"/>
      </rPr>
      <t>a</t>
    </r>
  </si>
  <si>
    <r>
      <t>Site Friction Velocity Ratio, U</t>
    </r>
    <r>
      <rPr>
        <vertAlign val="subscript"/>
        <sz val="12"/>
        <rFont val="Times New Roman"/>
        <family val="1"/>
      </rPr>
      <t>*</t>
    </r>
    <r>
      <rPr>
        <sz val="12"/>
        <rFont val="Times New Roman"/>
        <family val="1"/>
      </rPr>
      <t>/U</t>
    </r>
    <r>
      <rPr>
        <vertAlign val="subscript"/>
        <sz val="12"/>
        <rFont val="Times New Roman"/>
        <family val="1"/>
      </rPr>
      <t>inf</t>
    </r>
  </si>
  <si>
    <t>Model Grade Elevation (ft)</t>
  </si>
  <si>
    <t>d</t>
  </si>
  <si>
    <t>(in2)</t>
  </si>
  <si>
    <t>(ft2)</t>
  </si>
  <si>
    <t>Model Ambient Temp (C)</t>
  </si>
  <si>
    <r>
      <t>Volume Flow Rate, V (m</t>
    </r>
    <r>
      <rPr>
        <vertAlign val="superscript"/>
        <sz val="12"/>
        <rFont val="Times New Roman"/>
        <family val="1"/>
      </rPr>
      <t>3</t>
    </r>
    <r>
      <rPr>
        <sz val="12"/>
        <rFont val="Times New Roman"/>
        <family val="1"/>
      </rPr>
      <t>/s)</t>
    </r>
  </si>
  <si>
    <t>ml/s</t>
  </si>
  <si>
    <t>%</t>
  </si>
  <si>
    <t>Component</t>
  </si>
  <si>
    <t>(mole fraction)</t>
  </si>
  <si>
    <t>1.00 or</t>
  </si>
  <si>
    <t>Mixture Molecular Weight</t>
  </si>
  <si>
    <r>
      <t xml:space="preserve">Mixture Absolute Viscosity, </t>
    </r>
    <r>
      <rPr>
        <sz val="12"/>
        <rFont val="Symbol"/>
        <family val="1"/>
        <charset val="2"/>
      </rPr>
      <t>m</t>
    </r>
  </si>
  <si>
    <r>
      <t xml:space="preserve">Mixture Kinematic Viscosity, </t>
    </r>
    <r>
      <rPr>
        <sz val="12"/>
        <rFont val="Symbol"/>
        <family val="1"/>
        <charset val="2"/>
      </rPr>
      <t>n</t>
    </r>
  </si>
  <si>
    <t>g-mole</t>
  </si>
  <si>
    <t>X = mole fraction</t>
  </si>
  <si>
    <t>i</t>
  </si>
  <si>
    <t>j</t>
  </si>
  <si>
    <t>Mi/Mj</t>
  </si>
  <si>
    <t>Ui/Uj</t>
  </si>
  <si>
    <t>sum j</t>
  </si>
  <si>
    <r>
      <t>F</t>
    </r>
    <r>
      <rPr>
        <vertAlign val="subscript"/>
        <sz val="12"/>
        <rFont val="Times New Roman"/>
        <family val="1"/>
      </rPr>
      <t>ij</t>
    </r>
  </si>
  <si>
    <r>
      <t>C</t>
    </r>
    <r>
      <rPr>
        <vertAlign val="subscript"/>
        <sz val="12"/>
        <rFont val="Times New Roman"/>
        <family val="1"/>
      </rPr>
      <t>j</t>
    </r>
    <r>
      <rPr>
        <sz val="12"/>
        <rFont val="Times New Roman"/>
        <family val="1"/>
      </rPr>
      <t xml:space="preserve"> </t>
    </r>
    <r>
      <rPr>
        <sz val="12"/>
        <rFont val="Symbol"/>
        <family val="1"/>
        <charset val="2"/>
      </rPr>
      <t>F</t>
    </r>
    <r>
      <rPr>
        <vertAlign val="subscript"/>
        <sz val="12"/>
        <rFont val="Times New Roman"/>
        <family val="1"/>
      </rPr>
      <t>ij</t>
    </r>
  </si>
  <si>
    <r>
      <t xml:space="preserve">U = </t>
    </r>
    <r>
      <rPr>
        <sz val="12"/>
        <rFont val="Symbol"/>
        <family val="1"/>
        <charset val="2"/>
      </rPr>
      <t>m</t>
    </r>
    <r>
      <rPr>
        <sz val="12"/>
        <rFont val="Times New Roman"/>
        <family val="1"/>
      </rPr>
      <t xml:space="preserve"> (absolute viscosity)</t>
    </r>
  </si>
  <si>
    <t>M = Molar Weight</t>
  </si>
  <si>
    <r>
      <t>m</t>
    </r>
    <r>
      <rPr>
        <sz val="12"/>
        <rFont val="Times New Roman"/>
        <family val="1"/>
      </rPr>
      <t xml:space="preserve"> mixture =</t>
    </r>
  </si>
  <si>
    <r>
      <t>micropoise ((10</t>
    </r>
    <r>
      <rPr>
        <vertAlign val="superscript"/>
        <sz val="12"/>
        <rFont val="Times New Roman"/>
        <family val="1"/>
      </rPr>
      <t>6</t>
    </r>
    <r>
      <rPr>
        <sz val="12"/>
        <rFont val="Times New Roman"/>
        <family val="1"/>
      </rPr>
      <t xml:space="preserve"> g) / (s-cm))</t>
    </r>
  </si>
  <si>
    <t>poises</t>
  </si>
  <si>
    <r>
      <t>cm</t>
    </r>
    <r>
      <rPr>
        <vertAlign val="superscript"/>
        <sz val="12"/>
        <rFont val="Times New Roman"/>
        <family val="1"/>
      </rPr>
      <t>2</t>
    </r>
    <r>
      <rPr>
        <sz val="12"/>
        <rFont val="Times New Roman"/>
        <family val="1"/>
      </rPr>
      <t>/s</t>
    </r>
  </si>
  <si>
    <r>
      <t xml:space="preserve">Mixture Density Ratio, </t>
    </r>
    <r>
      <rPr>
        <sz val="12"/>
        <rFont val="Symbol"/>
        <family val="1"/>
        <charset val="2"/>
      </rPr>
      <t>l</t>
    </r>
  </si>
  <si>
    <t>Difference from design</t>
  </si>
  <si>
    <r>
      <t>m</t>
    </r>
    <r>
      <rPr>
        <vertAlign val="superscript"/>
        <sz val="12"/>
        <rFont val="Times New Roman"/>
        <family val="1"/>
      </rPr>
      <t>2</t>
    </r>
    <r>
      <rPr>
        <sz val="12"/>
        <rFont val="Times New Roman"/>
        <family val="1"/>
      </rPr>
      <t>/s</t>
    </r>
  </si>
  <si>
    <t>Rounded to 3 Sig Fig</t>
  </si>
  <si>
    <r>
      <t>M</t>
    </r>
    <r>
      <rPr>
        <vertAlign val="subscript"/>
        <sz val="12"/>
        <rFont val="Times New Roman"/>
        <family val="1"/>
      </rPr>
      <t>o</t>
    </r>
    <r>
      <rPr>
        <sz val="12"/>
        <rFont val="Times New Roman"/>
        <family val="1"/>
      </rPr>
      <t xml:space="preserve"> difference</t>
    </r>
  </si>
  <si>
    <r>
      <t>Fr</t>
    </r>
    <r>
      <rPr>
        <vertAlign val="subscript"/>
        <sz val="12"/>
        <rFont val="Times New Roman"/>
        <family val="1"/>
      </rPr>
      <t>s</t>
    </r>
    <r>
      <rPr>
        <sz val="12"/>
        <rFont val="Times New Roman"/>
        <family val="1"/>
      </rPr>
      <t xml:space="preserve"> difference</t>
    </r>
  </si>
  <si>
    <r>
      <t>B</t>
    </r>
    <r>
      <rPr>
        <vertAlign val="subscript"/>
        <sz val="12"/>
        <rFont val="Times New Roman"/>
        <family val="1"/>
      </rPr>
      <t>o</t>
    </r>
    <r>
      <rPr>
        <sz val="12"/>
        <rFont val="Times New Roman"/>
        <family val="1"/>
      </rPr>
      <t xml:space="preserve"> difference</t>
    </r>
  </si>
  <si>
    <t>None</t>
  </si>
  <si>
    <t>Golden</t>
  </si>
  <si>
    <t>Max</t>
  </si>
  <si>
    <t>Min</t>
  </si>
  <si>
    <t>DG</t>
  </si>
  <si>
    <t>Stack</t>
  </si>
  <si>
    <t>Simulation</t>
  </si>
  <si>
    <t>Number</t>
  </si>
  <si>
    <t>Basic Simulation Information</t>
  </si>
  <si>
    <t>Component 1</t>
  </si>
  <si>
    <t>Component 2</t>
  </si>
  <si>
    <t>Model Scale</t>
  </si>
  <si>
    <t>Uanem</t>
  </si>
  <si>
    <t>Uref</t>
  </si>
  <si>
    <t>Vol. Flow</t>
  </si>
  <si>
    <t>(-)</t>
  </si>
  <si>
    <t>(cc/s)</t>
  </si>
  <si>
    <t>Date:</t>
  </si>
  <si>
    <t>Time:</t>
  </si>
  <si>
    <t>Total</t>
  </si>
  <si>
    <t>% of</t>
  </si>
  <si>
    <t>Setting</t>
  </si>
  <si>
    <t>Project QA Sheet</t>
  </si>
  <si>
    <t>No</t>
  </si>
  <si>
    <t>Stack/Source Information</t>
  </si>
  <si>
    <t>Round</t>
  </si>
  <si>
    <t>Square</t>
  </si>
  <si>
    <t>(Outside Dim.)</t>
  </si>
  <si>
    <r>
      <t>Trip</t>
    </r>
    <r>
      <rPr>
        <vertAlign val="superscript"/>
        <sz val="12"/>
        <rFont val="Times New Roman"/>
        <family val="1"/>
      </rPr>
      <t>(1)</t>
    </r>
  </si>
  <si>
    <r>
      <t>Re</t>
    </r>
    <r>
      <rPr>
        <vertAlign val="subscript"/>
        <sz val="12"/>
        <rFont val="Times New Roman"/>
        <family val="1"/>
      </rPr>
      <t>s</t>
    </r>
  </si>
  <si>
    <t>Note:</t>
  </si>
  <si>
    <r>
      <t xml:space="preserve">1) Stacks with 90 degree bends and air intakes (AHU) do </t>
    </r>
    <r>
      <rPr>
        <b/>
        <sz val="12"/>
        <rFont val="Times New Roman"/>
        <family val="1"/>
      </rPr>
      <t>NOT</t>
    </r>
    <r>
      <rPr>
        <sz val="12"/>
        <rFont val="Times New Roman"/>
        <family val="1"/>
      </rPr>
      <t xml:space="preserve"> require trips.</t>
    </r>
  </si>
  <si>
    <t>Table 3</t>
  </si>
  <si>
    <t>Receptor Descriptions</t>
  </si>
  <si>
    <t>Receptor</t>
  </si>
  <si>
    <t>Additional Explanation</t>
  </si>
  <si>
    <t>Worst Case Receptor 1</t>
  </si>
  <si>
    <t>Table 1</t>
  </si>
  <si>
    <t>Table ?</t>
  </si>
  <si>
    <t>Worst Case Receptor 2</t>
  </si>
  <si>
    <t>Worst Case Receptor 3</t>
  </si>
  <si>
    <t>Worst Case Receptor 4</t>
  </si>
  <si>
    <t>Worst Case Receptor 5</t>
  </si>
  <si>
    <t>TBD</t>
  </si>
  <si>
    <t>To Be Determined</t>
  </si>
  <si>
    <t>Identification</t>
  </si>
  <si>
    <t>Table 5</t>
  </si>
  <si>
    <t>Run</t>
  </si>
  <si>
    <t>Intake</t>
  </si>
  <si>
    <t>Wind</t>
  </si>
  <si>
    <t>Concentration</t>
  </si>
  <si>
    <t>Criteria</t>
  </si>
  <si>
    <t>Design Criteria</t>
  </si>
  <si>
    <t>Operating</t>
  </si>
  <si>
    <t>Direction</t>
  </si>
  <si>
    <t>Speed</t>
  </si>
  <si>
    <t>Achieved?</t>
  </si>
  <si>
    <t>May Be Exceeded</t>
  </si>
  <si>
    <t>Health</t>
  </si>
  <si>
    <t>Odor</t>
  </si>
  <si>
    <t>(model in)</t>
  </si>
  <si>
    <t>(Deg.)</t>
  </si>
  <si>
    <t>(µg/m³)/(g/s)</t>
  </si>
  <si>
    <t>Operating?</t>
  </si>
  <si>
    <t>(YES/NO)</t>
  </si>
  <si>
    <t>Summary of Normalized Concentration Design Criteria</t>
  </si>
  <si>
    <t>Source Type</t>
  </si>
  <si>
    <t>(µg/m³) / (g/s)</t>
  </si>
  <si>
    <r>
      <t>Basis for Design Criteria</t>
    </r>
    <r>
      <rPr>
        <b/>
        <vertAlign val="superscript"/>
        <sz val="12"/>
        <rFont val="Times New Roman"/>
        <family val="1"/>
      </rPr>
      <t>(1)</t>
    </r>
  </si>
  <si>
    <t>Type</t>
  </si>
  <si>
    <t>Basis for Criteria</t>
  </si>
  <si>
    <t>1:2000 odor dilution threshold for diesel exhaust</t>
  </si>
  <si>
    <t>1:300 recommended dilution for kitchen exhaust</t>
  </si>
  <si>
    <t>1:10 dilution based on estimated glutaraldehyde emissions</t>
  </si>
  <si>
    <t>1:100 recommended dilution for a vivarium</t>
  </si>
  <si>
    <t>1:100 minimum recommended dilution for kitchen exhaust</t>
  </si>
  <si>
    <t>Normalized Health Limits and Odor Thresholds</t>
  </si>
  <si>
    <t>Number of vehicles:</t>
  </si>
  <si>
    <t>Vehicle speed (mph):</t>
  </si>
  <si>
    <t>Length of road (miles):</t>
  </si>
  <si>
    <t>Rated Engine Power Output (kW):</t>
  </si>
  <si>
    <t>Mass Emission Rate (g/s):</t>
  </si>
  <si>
    <t>CO (g/s):</t>
  </si>
  <si>
    <t>NO (g/s):</t>
  </si>
  <si>
    <t>Health Limits and Odor Thresholds</t>
  </si>
  <si>
    <r>
      <t>NO</t>
    </r>
    <r>
      <rPr>
        <vertAlign val="subscript"/>
        <sz val="12"/>
        <rFont val="Times New Roman"/>
        <family val="1"/>
      </rPr>
      <t>x</t>
    </r>
    <r>
      <rPr>
        <sz val="12"/>
        <rFont val="Times New Roman"/>
        <family val="1"/>
      </rPr>
      <t xml:space="preserve"> (g/s):</t>
    </r>
  </si>
  <si>
    <r>
      <t>NO</t>
    </r>
    <r>
      <rPr>
        <vertAlign val="subscript"/>
        <sz val="12"/>
        <rFont val="Times New Roman"/>
        <family val="1"/>
      </rPr>
      <t>2</t>
    </r>
    <r>
      <rPr>
        <sz val="12"/>
        <rFont val="Times New Roman"/>
        <family val="1"/>
      </rPr>
      <t xml:space="preserve"> (g/s):</t>
    </r>
  </si>
  <si>
    <r>
      <t>SO</t>
    </r>
    <r>
      <rPr>
        <vertAlign val="subscript"/>
        <sz val="12"/>
        <rFont val="Times New Roman"/>
        <family val="1"/>
      </rPr>
      <t>2</t>
    </r>
    <r>
      <rPr>
        <sz val="12"/>
        <rFont val="Times New Roman"/>
        <family val="1"/>
      </rPr>
      <t xml:space="preserve"> (g/s):</t>
    </r>
  </si>
  <si>
    <r>
      <t>PM</t>
    </r>
    <r>
      <rPr>
        <vertAlign val="subscript"/>
        <sz val="12"/>
        <rFont val="Times New Roman"/>
        <family val="1"/>
      </rPr>
      <t>10</t>
    </r>
    <r>
      <rPr>
        <sz val="12"/>
        <rFont val="Times New Roman"/>
        <family val="1"/>
      </rPr>
      <t xml:space="preserve"> (g/s):</t>
    </r>
  </si>
  <si>
    <t>Health Limits</t>
  </si>
  <si>
    <t>CO (µg/m³)/(g/s):</t>
  </si>
  <si>
    <t>NO (µg/m³)/(g/s):</t>
  </si>
  <si>
    <t>Health Design Criteria (µg/m³)/(g/s):</t>
  </si>
  <si>
    <t>Odor Thresholds</t>
  </si>
  <si>
    <t>Combined Exhaust (µg/m³)/(g/s):</t>
  </si>
  <si>
    <t>Odor Design Criteria (µg/m³)/(g/s):</t>
  </si>
  <si>
    <t>Emissions Data</t>
  </si>
  <si>
    <r>
      <t>Volume Flow (m</t>
    </r>
    <r>
      <rPr>
        <vertAlign val="superscript"/>
        <sz val="12"/>
        <rFont val="Times New Roman"/>
        <family val="1"/>
      </rPr>
      <t>3</t>
    </r>
    <r>
      <rPr>
        <sz val="12"/>
        <rFont val="Times New Roman"/>
        <family val="1"/>
      </rPr>
      <t>/s):</t>
    </r>
  </si>
  <si>
    <r>
      <t>NO</t>
    </r>
    <r>
      <rPr>
        <vertAlign val="subscript"/>
        <sz val="12"/>
        <rFont val="Times New Roman"/>
        <family val="1"/>
      </rPr>
      <t>2</t>
    </r>
    <r>
      <rPr>
        <sz val="12"/>
        <rFont val="Times New Roman"/>
        <family val="1"/>
      </rPr>
      <t xml:space="preserve"> (µg/m³)/(g/s):</t>
    </r>
  </si>
  <si>
    <r>
      <t>SO</t>
    </r>
    <r>
      <rPr>
        <vertAlign val="subscript"/>
        <sz val="12"/>
        <rFont val="Times New Roman"/>
        <family val="1"/>
      </rPr>
      <t>2</t>
    </r>
    <r>
      <rPr>
        <sz val="12"/>
        <rFont val="Times New Roman"/>
        <family val="1"/>
      </rPr>
      <t xml:space="preserve"> (µg/m³)/(g/s):</t>
    </r>
  </si>
  <si>
    <r>
      <t>PM</t>
    </r>
    <r>
      <rPr>
        <vertAlign val="subscript"/>
        <sz val="12"/>
        <rFont val="Times New Roman"/>
        <family val="1"/>
      </rPr>
      <t>10</t>
    </r>
    <r>
      <rPr>
        <sz val="12"/>
        <rFont val="Times New Roman"/>
        <family val="1"/>
      </rPr>
      <t xml:space="preserve"> (µg/m³)/(g/s):</t>
    </r>
  </si>
  <si>
    <t>Notes:</t>
  </si>
  <si>
    <t>For the Combustion Sources</t>
  </si>
  <si>
    <t>1)</t>
  </si>
  <si>
    <t>2)</t>
  </si>
  <si>
    <t>3)</t>
  </si>
  <si>
    <t>4)</t>
  </si>
  <si>
    <t>Total # of tests:</t>
  </si>
  <si>
    <t>Total tests completed:</t>
  </si>
  <si>
    <t>Maximum</t>
  </si>
  <si>
    <t>Measured</t>
  </si>
  <si>
    <t>Flow Visualization Test Plan</t>
  </si>
  <si>
    <t>min</t>
  </si>
  <si>
    <t>max</t>
  </si>
  <si>
    <t>Air Intake Dilution Requirements for Various Infection Rates for Tuberculosis</t>
  </si>
  <si>
    <t>Infection</t>
  </si>
  <si>
    <t>Room</t>
  </si>
  <si>
    <t>Emission</t>
  </si>
  <si>
    <t>Air Intake Dilution Requirements for</t>
  </si>
  <si>
    <t>Rate</t>
  </si>
  <si>
    <t>Changes</t>
  </si>
  <si>
    <t>Purified Protein Derivative Conversion Percentages of:</t>
  </si>
  <si>
    <t>Procedure</t>
  </si>
  <si>
    <t>q (qpm)</t>
  </si>
  <si>
    <t>C (ACH)</t>
  </si>
  <si>
    <t>C (ACM)</t>
  </si>
  <si>
    <t>Bronchoscopy</t>
  </si>
  <si>
    <t>Abscess Irrigation</t>
  </si>
  <si>
    <t>Autopsy</t>
  </si>
  <si>
    <t>Intubation</t>
  </si>
  <si>
    <t>Assumptions:</t>
  </si>
  <si>
    <t>Exposure Time,  (t) min:</t>
  </si>
  <si>
    <r>
      <t>Pulmonary Ventilation, (p) m</t>
    </r>
    <r>
      <rPr>
        <vertAlign val="superscript"/>
        <sz val="12"/>
        <rFont val="Times New Roman"/>
        <family val="1"/>
      </rPr>
      <t>3</t>
    </r>
    <r>
      <rPr>
        <sz val="12"/>
        <rFont val="Times New Roman"/>
        <family val="1"/>
      </rPr>
      <t>/min:</t>
    </r>
  </si>
  <si>
    <r>
      <t>Room Volume, (V) m</t>
    </r>
    <r>
      <rPr>
        <vertAlign val="superscript"/>
        <sz val="12"/>
        <rFont val="Times New Roman"/>
        <family val="1"/>
      </rPr>
      <t>3</t>
    </r>
    <r>
      <rPr>
        <sz val="12"/>
        <rFont val="Times New Roman"/>
        <family val="1"/>
      </rPr>
      <t>:</t>
    </r>
  </si>
  <si>
    <t>Room Height (ft):</t>
  </si>
  <si>
    <t>Room Width (ft):</t>
  </si>
  <si>
    <t>Room Length (ft):</t>
  </si>
  <si>
    <t>Iteration Result Cells</t>
  </si>
  <si>
    <t>Use notes:</t>
  </si>
  <si>
    <t>3) Run Isolation Room Macro.</t>
  </si>
  <si>
    <t>2) Set # of air changes in cell D18.</t>
  </si>
  <si>
    <t>1) Set room volume in cells O10-12.</t>
  </si>
  <si>
    <t>*</t>
  </si>
  <si>
    <t>Calm</t>
  </si>
  <si>
    <t>percent each category:</t>
  </si>
  <si>
    <t>calm</t>
  </si>
  <si>
    <t>Bin 1</t>
  </si>
  <si>
    <t>Bin 2</t>
  </si>
  <si>
    <t>Bin 3</t>
  </si>
  <si>
    <t>Bin 4</t>
  </si>
  <si>
    <t>Bin 5</t>
  </si>
  <si>
    <t>Bin 6</t>
  </si>
  <si>
    <t>difference</t>
  </si>
  <si>
    <t>max WS each Bin:</t>
  </si>
  <si>
    <t>Time Exceeded (%):</t>
  </si>
  <si>
    <t>Plotted Time Exceeded (%):</t>
  </si>
  <si>
    <t>1% Wind Speed Analysis</t>
  </si>
  <si>
    <t>Category:</t>
  </si>
  <si>
    <t>slope (m)</t>
  </si>
  <si>
    <t>intercept (b)</t>
  </si>
  <si>
    <r>
      <t>1% from y = bm</t>
    </r>
    <r>
      <rPr>
        <vertAlign val="superscript"/>
        <sz val="12"/>
        <rFont val="Times New Roman"/>
        <family val="1"/>
      </rPr>
      <t>x</t>
    </r>
  </si>
  <si>
    <t>Listed 1% WS:</t>
  </si>
  <si>
    <t>Stack/Receptor Info</t>
  </si>
  <si>
    <t>Ref Speed Computation</t>
  </si>
  <si>
    <t>Other Model Conditions</t>
  </si>
  <si>
    <t xml:space="preserve">       Model Concentration</t>
  </si>
  <si>
    <t>Anem</t>
  </si>
  <si>
    <t>Site</t>
  </si>
  <si>
    <t>Mod</t>
  </si>
  <si>
    <t>Src</t>
  </si>
  <si>
    <t>.9743 or</t>
  </si>
  <si>
    <t>4) Columns V-AF for stack size calculations</t>
  </si>
  <si>
    <t>WT</t>
  </si>
  <si>
    <t>BL</t>
  </si>
  <si>
    <t>Ref</t>
  </si>
  <si>
    <t>Vol</t>
  </si>
  <si>
    <t>Ch. 1</t>
  </si>
  <si>
    <t>Ch. 2</t>
  </si>
  <si>
    <t>Cal</t>
  </si>
  <si>
    <t>C/m</t>
  </si>
  <si>
    <t>Diff</t>
  </si>
  <si>
    <t>Ht</t>
  </si>
  <si>
    <t>n</t>
  </si>
  <si>
    <t>Conc</t>
  </si>
  <si>
    <t>FID</t>
  </si>
  <si>
    <t>BG</t>
  </si>
  <si>
    <t>(ug/m3)/</t>
  </si>
  <si>
    <t>(%)</t>
  </si>
  <si>
    <t>Voltage</t>
  </si>
  <si>
    <t>(ppm)</t>
  </si>
  <si>
    <t>(g/s)</t>
  </si>
  <si>
    <t>Used with Ventilation Projects using High-frequency FID</t>
  </si>
  <si>
    <t>Number of stack/flow rate setups</t>
  </si>
  <si>
    <t>(one for each stack design with differing flow rates and</t>
  </si>
  <si>
    <t>for each approach flow)</t>
  </si>
  <si>
    <t>Number of Wind Speeds (max 15):</t>
  </si>
  <si>
    <t>Flow Rates/Tunnel Speed vs. Anemometer &amp; Reference Wind Speeds:</t>
  </si>
  <si>
    <t xml:space="preserve">Full Scale (m/s)      </t>
  </si>
  <si>
    <t>"</t>
  </si>
  <si>
    <t>FR</t>
  </si>
  <si>
    <t>TV</t>
  </si>
  <si>
    <t>ADJUST FORMULA</t>
  </si>
  <si>
    <t>-------------------------------------------------------------</t>
  </si>
  <si>
    <t>FR - Flow Rates (ml/s)</t>
  </si>
  <si>
    <t>TV - Tunnel Speeds (m/s)</t>
  </si>
  <si>
    <t>For Run #</t>
  </si>
  <si>
    <t>Health/Odor</t>
  </si>
  <si>
    <t>AI</t>
  </si>
  <si>
    <t>ASHRAE</t>
  </si>
  <si>
    <t>"as mfg"</t>
  </si>
  <si>
    <t>"as inst"</t>
  </si>
  <si>
    <t>tbd</t>
  </si>
  <si>
    <t>Turn-up in Orange</t>
  </si>
  <si>
    <t>Turn-down in Green</t>
  </si>
  <si>
    <t>Diesel Exhaust (dilution):</t>
  </si>
  <si>
    <t>Jet Turbine Exhaust (dilution):</t>
  </si>
  <si>
    <t>BLR</t>
  </si>
  <si>
    <t>Totals</t>
  </si>
  <si>
    <t>by</t>
  </si>
  <si>
    <t>From Table A's</t>
  </si>
  <si>
    <r>
      <t>5) Black format for calculated cells,</t>
    </r>
    <r>
      <rPr>
        <sz val="12"/>
        <color indexed="10"/>
        <rFont val="Times New Roman"/>
        <family val="1"/>
      </rPr>
      <t xml:space="preserve"> </t>
    </r>
    <r>
      <rPr>
        <sz val="12"/>
        <color indexed="12"/>
        <rFont val="Times New Roman"/>
        <family val="1"/>
      </rPr>
      <t>blue for references cells</t>
    </r>
    <r>
      <rPr>
        <sz val="12"/>
        <rFont val="Times New Roman"/>
        <family val="1"/>
      </rPr>
      <t xml:space="preserve">, </t>
    </r>
    <r>
      <rPr>
        <sz val="12"/>
        <color indexed="10"/>
        <rFont val="Times New Roman"/>
        <family val="1"/>
      </rPr>
      <t>red for user input cells</t>
    </r>
    <r>
      <rPr>
        <sz val="12"/>
        <rFont val="Times New Roman"/>
        <family val="1"/>
      </rPr>
      <t xml:space="preserve">, </t>
    </r>
    <r>
      <rPr>
        <sz val="12"/>
        <color indexed="14"/>
        <rFont val="Times New Roman"/>
        <family val="1"/>
      </rPr>
      <t>pink for cells altered from standard</t>
    </r>
    <r>
      <rPr>
        <sz val="12"/>
        <rFont val="Times New Roman"/>
        <family val="1"/>
      </rPr>
      <t xml:space="preserve">, </t>
    </r>
    <r>
      <rPr>
        <sz val="12"/>
        <color indexed="53"/>
        <rFont val="Times New Roman"/>
        <family val="1"/>
      </rPr>
      <t>and orange for informational/flag use</t>
    </r>
    <r>
      <rPr>
        <sz val="12"/>
        <color indexed="10"/>
        <rFont val="Times New Roman"/>
        <family val="1"/>
      </rPr>
      <t>.</t>
    </r>
  </si>
  <si>
    <t>Full-Model</t>
  </si>
  <si>
    <t>Dia.</t>
  </si>
  <si>
    <t>WCR1</t>
  </si>
  <si>
    <t>WCR2</t>
  </si>
  <si>
    <t>WCR3</t>
  </si>
  <si>
    <t>WCR4</t>
  </si>
  <si>
    <t>WCR5</t>
  </si>
  <si>
    <t>Total Contract:</t>
  </si>
  <si>
    <t>100% N2</t>
  </si>
  <si>
    <t>ANSI/AIHA Z9.5 "as installed" fume hood containment criterion</t>
  </si>
  <si>
    <t>ANSI/AIHA Z9.5 "as manufactured" fume hood containment criterion</t>
  </si>
  <si>
    <t>1:500 odor dilution threshold for turbine engine exhaust</t>
  </si>
  <si>
    <t>NORMAL DATA COLLECTION</t>
  </si>
  <si>
    <t>ENERGY ANALYSIS</t>
  </si>
  <si>
    <t>BA</t>
  </si>
  <si>
    <t>CA</t>
  </si>
  <si>
    <t>DA</t>
  </si>
  <si>
    <t>Normalized Concentration Results and Percent Time the Design Criteria may be Exceeded For Each Source Configuration</t>
  </si>
  <si>
    <t>Difference:</t>
  </si>
  <si>
    <t>(1-@EXP(((-1*$D$15*$B9)/$D$16)*(((($D9*L6)*$D$17)+(@EXP(-1*($D9*L6)*$D$17))-1)/(($D9*L6)^2))))*100</t>
  </si>
  <si>
    <t>Isolation Room Exhaust - Without HEPA Filtration</t>
  </si>
  <si>
    <t>Isolation Room Exhaust - With HEPA Filtration</t>
  </si>
  <si>
    <t>Oil Fired</t>
  </si>
  <si>
    <t>Gas Fired</t>
  </si>
  <si>
    <t>Emission Rates:</t>
  </si>
  <si>
    <t>#N/A</t>
  </si>
  <si>
    <t>Remaining:</t>
  </si>
  <si>
    <t>Emission Factors:</t>
  </si>
  <si>
    <t>Initial</t>
  </si>
  <si>
    <t>Base</t>
  </si>
  <si>
    <t>Max Normalized</t>
  </si>
  <si>
    <t>WT-Measured</t>
  </si>
  <si>
    <t>Full-scale Exhaust and Modeling Information</t>
  </si>
  <si>
    <t>"Yes" if (1) &lt; (2) or "No" if (1) &gt; (2).</t>
  </si>
  <si>
    <t>(1)</t>
  </si>
  <si>
    <t>(2)</t>
  </si>
  <si>
    <t>Design</t>
  </si>
  <si>
    <t>(3)</t>
  </si>
  <si>
    <t>Percent Time</t>
  </si>
  <si>
    <t>(4)</t>
  </si>
  <si>
    <t>Maximum Wind Speed (m/s):</t>
  </si>
  <si>
    <t>Joint Probability Distribution of Wind Speed and Wind Direction at the</t>
  </si>
  <si>
    <t>Totals by Category (%):</t>
  </si>
  <si>
    <t>3) Edit max WS in row 70 Columns O-U.</t>
  </si>
  <si>
    <t>1) ENSURE THAT *.ROS FILE HAS A LINE FOR CATEGORY 6 (SEE ROW 34).</t>
  </si>
  <si>
    <t>Anemometer Wind Speeds (m/s)</t>
  </si>
  <si>
    <t xml:space="preserve">Reference Wind Speeds (m/s) </t>
  </si>
  <si>
    <t>Land</t>
  </si>
  <si>
    <t>Water</t>
  </si>
  <si>
    <t>Approach</t>
  </si>
  <si>
    <t>2 = Water</t>
  </si>
  <si>
    <t>1 = Land</t>
  </si>
  <si>
    <t xml:space="preserve">              </t>
  </si>
  <si>
    <t xml:space="preserve">           </t>
  </si>
  <si>
    <t>1) Copy Rows 39-41 as required</t>
  </si>
  <si>
    <t>2) Select Approach and Simulation Numbers</t>
  </si>
  <si>
    <t>3) If forcing the Stack Label, add a front double quote ("), enough spaces at the end of the label for 12 characters, and an end double quote(").</t>
  </si>
  <si>
    <t>4) Adjust formulas in cells D22 and D26.</t>
  </si>
  <si>
    <t>5) Copy from  Cell C15 to lower right end of data (i.e., R46) and paste to a new Text Pad document.</t>
  </si>
  <si>
    <t>6) Delete all of the zero (0) and #DIV/0 data from the Text Pad document from the Anemometer Wind Speeds,/Reference Wind Speeds and the FR/TV rows (use the Block Select Mode under the Configuration Menu).</t>
  </si>
  <si>
    <t>7) Save the Text Pad document as PPPPflow.inp.</t>
  </si>
  <si>
    <t>4) Edit formula's in O74 and O75 to include only those points that form a straight line across 1% (SEE GRAPH THIS SHEET).</t>
  </si>
  <si>
    <t>Note that Text Pad should be set up to automatically use 8 spaces per tab under Configure|Preferences|Document Classes|Default|Tabulation.</t>
  </si>
  <si>
    <t>Year</t>
  </si>
  <si>
    <t>of</t>
  </si>
  <si>
    <t>Pedestrian Comfort Assessment</t>
  </si>
  <si>
    <t>Configuration</t>
  </si>
  <si>
    <t>A</t>
  </si>
  <si>
    <t>Relatively low mean wind speed and peak gusts for  this site.</t>
  </si>
  <si>
    <t>-----------</t>
  </si>
  <si>
    <t>* Approach Info:</t>
  </si>
  <si>
    <t>WD</t>
  </si>
  <si>
    <t>Range</t>
  </si>
  <si>
    <t>(deg)</t>
  </si>
  <si>
    <t>Start</t>
  </si>
  <si>
    <t>End</t>
  </si>
  <si>
    <t>*  Measurement Location Descriptions</t>
  </si>
  <si>
    <t>Recep.</t>
  </si>
  <si>
    <t>Loc.</t>
  </si>
  <si>
    <t>(30 char max; in double quotes)</t>
  </si>
  <si>
    <t>"----+----1----+----2----+----3"</t>
  </si>
  <si>
    <t>-1</t>
  </si>
  <si>
    <t>Use Notes</t>
  </si>
  <si>
    <t>1) Fill in receptor id's and addition explanation (if needed)</t>
  </si>
  <si>
    <t>3) Delete unnecessary receptor id's in TEXTPAD.</t>
  </si>
  <si>
    <t>Project</t>
  </si>
  <si>
    <t>Project Title</t>
  </si>
  <si>
    <t>####</t>
  </si>
  <si>
    <t>(as desired to appear on outputs, in ", 65 char max)</t>
  </si>
  <si>
    <t>----+----1----+----2----+----3----+----4----+----5----+----6----+</t>
  </si>
  <si>
    <t xml:space="preserve">               </t>
  </si>
  <si>
    <t>Label Id</t>
  </si>
  <si>
    <t>Apprch</t>
  </si>
  <si>
    <t>(9 char max)</t>
  </si>
  <si>
    <t>*--------------------</t>
  </si>
  <si>
    <t>----+----</t>
  </si>
  <si>
    <t>-----------------------</t>
  </si>
  <si>
    <r>
      <t xml:space="preserve">2) Update </t>
    </r>
    <r>
      <rPr>
        <sz val="12"/>
        <color indexed="10"/>
        <rFont val="Times New Roman"/>
        <family val="1"/>
      </rPr>
      <t>RED FONT</t>
    </r>
    <r>
      <rPr>
        <sz val="12"/>
        <rFont val="Times New Roman"/>
        <family val="1"/>
      </rPr>
      <t xml:space="preserve"> cells in </t>
    </r>
    <r>
      <rPr>
        <sz val="12"/>
        <color indexed="10"/>
        <rFont val="Times New Roman"/>
        <family val="1"/>
      </rPr>
      <t>Range H7..T69</t>
    </r>
    <r>
      <rPr>
        <sz val="12"/>
        <rFont val="Times New Roman"/>
        <family val="1"/>
      </rPr>
      <t xml:space="preserve"> As needed and </t>
    </r>
    <r>
      <rPr>
        <sz val="12"/>
        <color indexed="12"/>
        <rFont val="Times New Roman"/>
        <family val="1"/>
      </rPr>
      <t>copy range I7..T69</t>
    </r>
    <r>
      <rPr>
        <sz val="12"/>
        <rFont val="Times New Roman"/>
        <family val="1"/>
      </rPr>
      <t xml:space="preserve"> to a blank document in TEXTPAD.</t>
    </r>
  </si>
  <si>
    <t>Installed</t>
  </si>
  <si>
    <t>Verified</t>
  </si>
  <si>
    <t>(shop)</t>
  </si>
  <si>
    <t>(in WT)</t>
  </si>
  <si>
    <t>Odor threshold associated with NO2</t>
  </si>
  <si>
    <t>Odor threshold associated with NO</t>
  </si>
  <si>
    <t>Most conservative criterion based on average annual inhalation values</t>
  </si>
  <si>
    <t>MAX WT</t>
  </si>
  <si>
    <t>MEASURED</t>
  </si>
  <si>
    <t>WIND</t>
  </si>
  <si>
    <t>SPEED</t>
  </si>
  <si>
    <t>BASIC ENERGY ANALYSIS</t>
  </si>
  <si>
    <t>CONCENTRATION</t>
  </si>
  <si>
    <t>Basic Turndown Available</t>
  </si>
  <si>
    <t>(overall max conc.)/(design criteria)</t>
  </si>
  <si>
    <t>Odor threshold associated with SO2</t>
  </si>
  <si>
    <r>
      <t>Intubation-based design criteria (</t>
    </r>
    <r>
      <rPr>
        <b/>
        <sz val="12"/>
        <rFont val="Symbol"/>
        <family val="1"/>
        <charset val="2"/>
      </rPr>
      <t>m</t>
    </r>
    <r>
      <rPr>
        <b/>
        <sz val="12"/>
        <rFont val="Times New Roman"/>
        <family val="1"/>
      </rPr>
      <t>g/m</t>
    </r>
    <r>
      <rPr>
        <b/>
        <vertAlign val="superscript"/>
        <sz val="12"/>
        <rFont val="Times New Roman"/>
        <family val="1"/>
      </rPr>
      <t>3</t>
    </r>
    <r>
      <rPr>
        <b/>
        <sz val="12"/>
        <rFont val="Times New Roman"/>
        <family val="1"/>
      </rPr>
      <t xml:space="preserve"> per g/s):</t>
    </r>
  </si>
  <si>
    <t>HIDE</t>
  </si>
  <si>
    <t>Isolation Room</t>
  </si>
  <si>
    <t>200 hp Diesel Ambulance</t>
  </si>
  <si>
    <t>DT</t>
  </si>
  <si>
    <t>200 hp Diesel Truck</t>
  </si>
  <si>
    <t>AMB</t>
  </si>
  <si>
    <t>400 hp Diesel Truck</t>
  </si>
  <si>
    <t>Local Grade</t>
  </si>
  <si>
    <t>750 kW Diesel Generator</t>
  </si>
  <si>
    <t>1000 kW Diesel Generator</t>
  </si>
  <si>
    <t>1500 kW Diesel Generator</t>
  </si>
  <si>
    <t>2000 kW Diesel Generator</t>
  </si>
  <si>
    <t>Simulated Air Handling Units</t>
  </si>
  <si>
    <t>250 kW Diesel Generator</t>
  </si>
  <si>
    <t>550 kW Diesel Generator</t>
  </si>
  <si>
    <t>1250 kW Diesel Generator</t>
  </si>
  <si>
    <t>1750 kW Diesel Generator</t>
  </si>
  <si>
    <t>- 32nds</t>
  </si>
  <si>
    <t>Equiv</t>
  </si>
  <si>
    <t>Receptor 1</t>
  </si>
  <si>
    <t>Receptor 2</t>
  </si>
  <si>
    <t>Receptor 3</t>
  </si>
  <si>
    <t>Receptor 4</t>
  </si>
  <si>
    <t>Receptor 5</t>
  </si>
  <si>
    <t>Receptor 6</t>
  </si>
  <si>
    <t>Receptor 7</t>
  </si>
  <si>
    <t>Receptor 8</t>
  </si>
  <si>
    <t>Receptor 9</t>
  </si>
  <si>
    <t>Receptor 10</t>
  </si>
  <si>
    <t>Receptor 11</t>
  </si>
  <si>
    <t>Receptor 12</t>
  </si>
  <si>
    <t>Receptor 13</t>
  </si>
  <si>
    <t>Receptor 14</t>
  </si>
  <si>
    <t>Receptor 15</t>
  </si>
  <si>
    <t>Receptor 16</t>
  </si>
  <si>
    <t>Receptor 17</t>
  </si>
  <si>
    <t>Receptor 18</t>
  </si>
  <si>
    <t>Receptor 19</t>
  </si>
  <si>
    <t>Receptor 20</t>
  </si>
  <si>
    <t>Receptor 21</t>
  </si>
  <si>
    <t>Receptor 22</t>
  </si>
  <si>
    <t>Receptor 23</t>
  </si>
  <si>
    <t>Receptor 24</t>
  </si>
  <si>
    <t>Receptor 25</t>
  </si>
  <si>
    <t>Receptor 26</t>
  </si>
  <si>
    <t>Receptor 27</t>
  </si>
  <si>
    <t>Receptor 28</t>
  </si>
  <si>
    <t>Receptor 29</t>
  </si>
  <si>
    <t>Receptor 30</t>
  </si>
  <si>
    <t>Receptor 31</t>
  </si>
  <si>
    <t>Receptor 32</t>
  </si>
  <si>
    <t>Receptor 33</t>
  </si>
  <si>
    <t>Receptor 34</t>
  </si>
  <si>
    <t>Receptor 35</t>
  </si>
  <si>
    <t>Receptor 36</t>
  </si>
  <si>
    <t>Receptor 37</t>
  </si>
  <si>
    <t>Receptor 38</t>
  </si>
  <si>
    <t>Iden</t>
  </si>
  <si>
    <t>(OD)</t>
  </si>
  <si>
    <t>Brass Size</t>
  </si>
  <si>
    <t>MAIN TEST BUILDING</t>
  </si>
  <si>
    <t>Title 3</t>
  </si>
  <si>
    <t>(outside)</t>
  </si>
  <si>
    <t>Output Data:</t>
  </si>
  <si>
    <t>Input Data:</t>
  </si>
  <si>
    <t>Energy Input (MMBTU / hr):</t>
  </si>
  <si>
    <t>CO (g/kWhr-DG; lb/MMBTU - Boiler):</t>
  </si>
  <si>
    <r>
      <t>NO</t>
    </r>
    <r>
      <rPr>
        <vertAlign val="subscript"/>
        <sz val="12"/>
        <rFont val="Times New Roman"/>
        <family val="1"/>
      </rPr>
      <t>x</t>
    </r>
    <r>
      <rPr>
        <sz val="12"/>
        <rFont val="Times New Roman"/>
        <family val="1"/>
      </rPr>
      <t xml:space="preserve"> (g/kWhr-DG; lb/MMBTU - Boiler):</t>
    </r>
  </si>
  <si>
    <r>
      <t>SO</t>
    </r>
    <r>
      <rPr>
        <vertAlign val="subscript"/>
        <sz val="12"/>
        <rFont val="Times New Roman"/>
        <family val="1"/>
      </rPr>
      <t>2</t>
    </r>
    <r>
      <rPr>
        <sz val="12"/>
        <rFont val="Times New Roman"/>
        <family val="1"/>
      </rPr>
      <t xml:space="preserve"> (g/kWhr-DG; lb/MMBTU - Boiler):</t>
    </r>
  </si>
  <si>
    <t>CO (ppm-Boiler):</t>
  </si>
  <si>
    <r>
      <t>NO</t>
    </r>
    <r>
      <rPr>
        <vertAlign val="subscript"/>
        <sz val="12"/>
        <rFont val="Times New Roman"/>
        <family val="1"/>
      </rPr>
      <t>x</t>
    </r>
    <r>
      <rPr>
        <sz val="12"/>
        <rFont val="Times New Roman"/>
        <family val="1"/>
      </rPr>
      <t xml:space="preserve"> (ppm-Boiler):</t>
    </r>
  </si>
  <si>
    <r>
      <t>SO</t>
    </r>
    <r>
      <rPr>
        <vertAlign val="subscript"/>
        <sz val="12"/>
        <rFont val="Times New Roman"/>
        <family val="1"/>
      </rPr>
      <t>2</t>
    </r>
    <r>
      <rPr>
        <sz val="12"/>
        <rFont val="Times New Roman"/>
        <family val="1"/>
      </rPr>
      <t xml:space="preserve"> (ppm-Boiler):</t>
    </r>
  </si>
  <si>
    <r>
      <t>Gas Fired - Low NO</t>
    </r>
    <r>
      <rPr>
        <b/>
        <vertAlign val="subscript"/>
        <sz val="12"/>
        <rFont val="Times New Roman"/>
        <family val="1"/>
      </rPr>
      <t>x</t>
    </r>
  </si>
  <si>
    <t>200 hp Bryan Boiler (8.5 MMBTU)</t>
  </si>
  <si>
    <t>300 hp Bryan Boiler (12.6 MMBTU)</t>
  </si>
  <si>
    <t>400 hp Bryan Boiler (17.0 MMBTU)</t>
  </si>
  <si>
    <t>Row 10000</t>
  </si>
  <si>
    <t>500 hp Bryan Boiler (21.0 MMBTU)</t>
  </si>
  <si>
    <t>108 hp Bryan Boiler (4.5 MMBTU)</t>
  </si>
  <si>
    <t>143 hp Bryan Boiler (6.0 MMBTU)</t>
  </si>
  <si>
    <t>CT</t>
  </si>
  <si>
    <t>296 to 425 ton BAC 1500 Cooling Tower (Each of Two Cells)</t>
  </si>
  <si>
    <t>412 to 527 ton BAC 3000 Cooling Tower (Single Cell)</t>
  </si>
  <si>
    <t>209 to 270 ton BAC Series V Cooling Tower (Rect. Cell)</t>
  </si>
  <si>
    <t>433 to 586 ton BAC FXV Cooling Tower  (Each of Two Cells)</t>
  </si>
  <si>
    <t>Horiz</t>
  </si>
  <si>
    <t xml:space="preserve"> and Percent Time the Design Criteria may be Exceeded For Each Source/Receptor Combination Evaluated</t>
  </si>
  <si>
    <t>Test Plan, Normalized Concentration Results</t>
  </si>
  <si>
    <t>Mass Emission Rate (lb/hr):</t>
  </si>
  <si>
    <t>Normalized Dilution Requirements for Miscellaneous Exhausts</t>
  </si>
  <si>
    <t>Dilution</t>
  </si>
  <si>
    <t>Criterion</t>
  </si>
  <si>
    <t>Basis</t>
  </si>
  <si>
    <t>Normalized</t>
  </si>
  <si>
    <t>Requirement</t>
  </si>
  <si>
    <t>Tests defined but not yet tested:</t>
  </si>
  <si>
    <t>Health (no HEPA)</t>
  </si>
  <si>
    <t>Health (with HEPA)</t>
  </si>
  <si>
    <t>Automobile (Each Vehicle)</t>
  </si>
  <si>
    <t>AUTO</t>
  </si>
  <si>
    <t>Avg Speed</t>
  </si>
  <si>
    <t>Idle</t>
  </si>
  <si>
    <t>(5)</t>
  </si>
  <si>
    <t>Automobile</t>
  </si>
  <si>
    <t>"Fair" generic stack category (lowest recommended by CPP)</t>
  </si>
  <si>
    <t>1:400 odor dilution threshold for filtered diesel exhaust</t>
  </si>
  <si>
    <t>0.001% PPD TB conversions for intubation without HEPA filter</t>
  </si>
  <si>
    <t>0.001% PPD TB conversions for intubation with HEPA filter</t>
  </si>
  <si>
    <t>3% opacity (1:33 dilution) for smoke alarm activation</t>
  </si>
  <si>
    <t>Fume hoods</t>
  </si>
  <si>
    <t>Misc Exhausts</t>
  </si>
  <si>
    <t>Equipment</t>
  </si>
  <si>
    <t>Criteria Basis</t>
  </si>
  <si>
    <t>number</t>
  </si>
  <si>
    <t xml:space="preserve">Trip </t>
  </si>
  <si>
    <t xml:space="preserve">Required </t>
  </si>
  <si>
    <t>by Table A</t>
  </si>
  <si>
    <t>=YES</t>
  </si>
  <si>
    <t>DEFAULT</t>
  </si>
  <si>
    <t>YES</t>
  </si>
  <si>
    <r>
      <t xml:space="preserve">Annual average exposure limit </t>
    </r>
    <r>
      <rPr>
        <sz val="12"/>
        <rFont val="Times New Roman"/>
        <family val="1"/>
      </rPr>
      <t>adjusted to 60 min</t>
    </r>
  </si>
  <si>
    <t>Odor (filtered)</t>
  </si>
  <si>
    <t>Equipment Sources</t>
  </si>
  <si>
    <t>Samples for each source type</t>
  </si>
  <si>
    <t xml:space="preserve">                    </t>
  </si>
  <si>
    <t>Copy and paste columns A-F into table (Columns I-N)</t>
  </si>
  <si>
    <t>Edit values in Columns I and N</t>
  </si>
  <si>
    <t>Criteria typed on this table</t>
  </si>
  <si>
    <t>Isotope Hood</t>
  </si>
  <si>
    <t>Dilution Based Odor</t>
  </si>
  <si>
    <t>Dilution Based Health</t>
  </si>
  <si>
    <t>Combustion Source - 2 columns of calculations</t>
  </si>
  <si>
    <t>Combustion Source - 1 column of calculations</t>
  </si>
  <si>
    <t>Combustion Source - 1 column of calculations- Filterable</t>
  </si>
  <si>
    <t>Combustion Source - 2 columns of calculations- Filterable</t>
  </si>
  <si>
    <t>Combustion Source - 3 columns of calculations</t>
  </si>
  <si>
    <t>Combustion Source - 3 columns of calculations- Filterable</t>
  </si>
  <si>
    <t>Vis</t>
  </si>
  <si>
    <t>(fs m)</t>
  </si>
  <si>
    <t>(C/m)</t>
  </si>
  <si>
    <t>Hours</t>
  </si>
  <si>
    <t>Probability</t>
  </si>
  <si>
    <t>Letter</t>
  </si>
  <si>
    <t>WDc</t>
  </si>
  <si>
    <t>WSc</t>
  </si>
  <si>
    <t>Per Year</t>
  </si>
  <si>
    <t>Summed</t>
  </si>
  <si>
    <t>(6)</t>
  </si>
  <si>
    <r>
      <t xml:space="preserve">    SO</t>
    </r>
    <r>
      <rPr>
        <vertAlign val="subscript"/>
        <sz val="12"/>
        <color indexed="10"/>
        <rFont val="Times New Roman"/>
        <family val="1"/>
      </rPr>
      <t>x</t>
    </r>
    <r>
      <rPr>
        <sz val="12"/>
        <color indexed="10"/>
        <rFont val="Times New Roman"/>
        <family val="1"/>
      </rPr>
      <t xml:space="preserve"> emission factor from AP 42 Table 3.4-1 (EPA, 1996).</t>
    </r>
  </si>
  <si>
    <t>CFR Title 40 Part 89, Table 1 Emission Standards (CFR, 2002)</t>
  </si>
  <si>
    <t>Rated Power</t>
  </si>
  <si>
    <t>(kW)</t>
  </si>
  <si>
    <t>Tier</t>
  </si>
  <si>
    <t>Model Year</t>
  </si>
  <si>
    <t>HC</t>
  </si>
  <si>
    <t>NMHC + NOx</t>
  </si>
  <si>
    <t>NOx or</t>
  </si>
  <si>
    <t>CO</t>
  </si>
  <si>
    <t>PM</t>
  </si>
  <si>
    <t>g/kW-hr</t>
  </si>
  <si>
    <t>Table 4</t>
  </si>
  <si>
    <t xml:space="preserve">Formula Runs to </t>
  </si>
  <si>
    <t>PM:</t>
  </si>
  <si>
    <t>Scale:</t>
  </si>
  <si>
    <t>File will be written to the same directory that this workbook is located in and will be named ####fcal.com where #### is the four digit project number</t>
  </si>
  <si>
    <t>This</t>
  </si>
  <si>
    <t>Col. to</t>
  </si>
  <si>
    <t>for</t>
  </si>
  <si>
    <t>Sources</t>
  </si>
  <si>
    <t xml:space="preserve">Goal Seek </t>
  </si>
  <si>
    <t>SETUP SHOTS</t>
  </si>
  <si>
    <t xml:space="preserve">Notes: </t>
  </si>
  <si>
    <t>Stills</t>
  </si>
  <si>
    <t>Photo #</t>
  </si>
  <si>
    <t>Config.</t>
  </si>
  <si>
    <t>(*.jpg)</t>
  </si>
  <si>
    <t>A,B,C,D,E</t>
  </si>
  <si>
    <t>Conditional</t>
  </si>
  <si>
    <t>Formatting</t>
  </si>
  <si>
    <t>Assumed Equal to Indoor Temperature</t>
  </si>
  <si>
    <t>NOT TYPIALLY USED IN A REPORT</t>
  </si>
  <si>
    <r>
      <t xml:space="preserve">See Section </t>
    </r>
    <r>
      <rPr>
        <sz val="12"/>
        <color indexed="10"/>
        <rFont val="Times New Roman"/>
        <family val="1"/>
      </rPr>
      <t>2</t>
    </r>
    <r>
      <rPr>
        <sz val="12"/>
        <rFont val="Times New Roman"/>
        <family val="1"/>
      </rPr>
      <t xml:space="preserve"> for detailed discussion.</t>
    </r>
  </si>
  <si>
    <r>
      <t>The maximum normalized concentration (</t>
    </r>
    <r>
      <rPr>
        <i/>
        <sz val="12"/>
        <color indexed="10"/>
        <rFont val="Times New Roman"/>
        <family val="1"/>
      </rPr>
      <t>C/m</t>
    </r>
    <r>
      <rPr>
        <sz val="12"/>
        <color indexed="10"/>
        <rFont val="Times New Roman"/>
        <family val="1"/>
      </rPr>
      <t>) measured in the wind tunnel for the specific source/receptor pair.</t>
    </r>
  </si>
  <si>
    <r>
      <t xml:space="preserve">The maximum acceptable </t>
    </r>
    <r>
      <rPr>
        <i/>
        <sz val="12"/>
        <color indexed="10"/>
        <rFont val="Times New Roman"/>
        <family val="1"/>
      </rPr>
      <t>C/m</t>
    </r>
    <r>
      <rPr>
        <sz val="12"/>
        <color indexed="10"/>
        <rFont val="Times New Roman"/>
        <family val="1"/>
      </rPr>
      <t xml:space="preserve"> for each specific source, based on criteria discussed in Section 2.</t>
    </r>
  </si>
  <si>
    <t>View over TT and Down Tunnel
Best Site Model Wind Direction</t>
  </si>
  <si>
    <t>Site Model Close-up
4 Wind Directions</t>
  </si>
  <si>
    <t>Video</t>
  </si>
  <si>
    <t>Tape Count</t>
  </si>
  <si>
    <t>Close up
Zoom out &amp; down tunnel showing roof</t>
  </si>
  <si>
    <t>Widest Zoom
Full TT Rotation</t>
  </si>
  <si>
    <t># Photos</t>
  </si>
  <si>
    <t>Ped</t>
  </si>
  <si>
    <t>Controlled Emissions</t>
  </si>
  <si>
    <t>Smoke</t>
  </si>
  <si>
    <t>Component 3</t>
  </si>
  <si>
    <t>Component 4</t>
  </si>
  <si>
    <t xml:space="preserve">-------------------------------------------------------------------  Hide Unused Columns   -------------------------------------------------------------------  </t>
  </si>
  <si>
    <t>Flow Calibration Number</t>
  </si>
  <si>
    <t>This sheet is designed to create the Flow Calibration input file</t>
  </si>
  <si>
    <t>Flow Calibration Combinations Table</t>
  </si>
  <si>
    <t>Insert all appropriate flow calibrations in the "Flow Calibration Combination Table" below.</t>
  </si>
  <si>
    <t>A blank line in the Percent Tracer column will end the process</t>
  </si>
  <si>
    <t>Press the "Write Fcal File" command button to the right to create file.</t>
  </si>
  <si>
    <t>100N213</t>
  </si>
  <si>
    <t>Specific</t>
  </si>
  <si>
    <t>Table 6 Prob Run and Crit</t>
  </si>
  <si>
    <t>Table 5 Prob Run and Crit</t>
  </si>
  <si>
    <t>Guidance for picking Wind Speeds - chose wind speed increment changes of less than 30%</t>
  </si>
  <si>
    <t>Flow Settings</t>
  </si>
  <si>
    <t>Flow Cal</t>
  </si>
  <si>
    <t>Summary</t>
  </si>
  <si>
    <t>Tracer</t>
  </si>
  <si>
    <t>Percent</t>
  </si>
  <si>
    <t>Table 2</t>
  </si>
  <si>
    <t>Source</t>
  </si>
  <si>
    <t>Description</t>
  </si>
  <si>
    <t>ID</t>
  </si>
  <si>
    <t>Height</t>
  </si>
  <si>
    <t>Above Base</t>
  </si>
  <si>
    <t>(ft)</t>
  </si>
  <si>
    <t>Exit</t>
  </si>
  <si>
    <t>USE NOTES:</t>
  </si>
  <si>
    <t>Diameter</t>
  </si>
  <si>
    <t>(in)</t>
  </si>
  <si>
    <t>Mass</t>
  </si>
  <si>
    <t>Flow</t>
  </si>
  <si>
    <t>(lb/hr)</t>
  </si>
  <si>
    <t>Volume</t>
  </si>
  <si>
    <t>Flow Rate</t>
  </si>
  <si>
    <t>(cfm)</t>
  </si>
  <si>
    <t>Velocity</t>
  </si>
  <si>
    <t>(fpm)</t>
  </si>
  <si>
    <t>Orientation</t>
  </si>
  <si>
    <t>Comment</t>
  </si>
  <si>
    <t>Area</t>
  </si>
  <si>
    <t>Site Parameters:</t>
  </si>
  <si>
    <t>Scale Reduction:</t>
  </si>
  <si>
    <t>Typical Building Height (m):</t>
  </si>
  <si>
    <r>
      <t>Ambient Temperature (</t>
    </r>
    <r>
      <rPr>
        <vertAlign val="superscript"/>
        <sz val="12"/>
        <rFont val="Times New Roman"/>
        <family val="1"/>
      </rPr>
      <t>o</t>
    </r>
    <r>
      <rPr>
        <sz val="12"/>
        <rFont val="Times New Roman"/>
        <family val="1"/>
      </rPr>
      <t>K):</t>
    </r>
  </si>
  <si>
    <t>Anemometer Height (m):</t>
  </si>
  <si>
    <t>Anemometer Surface Roughness (m):</t>
  </si>
  <si>
    <t>10Eth90N231</t>
  </si>
  <si>
    <t>10Eth90He31</t>
  </si>
  <si>
    <t>100He12</t>
  </si>
  <si>
    <t>100He22</t>
  </si>
  <si>
    <t>Site Anemometer Height (m):</t>
  </si>
  <si>
    <t>Site Surface Roughness (m):</t>
  </si>
  <si>
    <t>1 Percent Wind Speed (m/s):</t>
  </si>
  <si>
    <t>Grade Elevation (m):</t>
  </si>
  <si>
    <t>1=Round</t>
  </si>
  <si>
    <t>2=Square</t>
  </si>
  <si>
    <t>Vertical</t>
  </si>
  <si>
    <r>
      <t>(</t>
    </r>
    <r>
      <rPr>
        <b/>
        <vertAlign val="superscript"/>
        <sz val="12"/>
        <rFont val="Times New Roman"/>
        <family val="1"/>
      </rPr>
      <t>o</t>
    </r>
    <r>
      <rPr>
        <b/>
        <sz val="12"/>
        <rFont val="Times New Roman"/>
        <family val="1"/>
      </rPr>
      <t>F)</t>
    </r>
  </si>
  <si>
    <t>Temp.</t>
  </si>
  <si>
    <t>(m/s)</t>
  </si>
  <si>
    <t>Model</t>
  </si>
  <si>
    <t>Ref.</t>
  </si>
  <si>
    <t>Wind Speed</t>
  </si>
  <si>
    <t>Density</t>
  </si>
  <si>
    <t>Ratio</t>
  </si>
  <si>
    <t>Flag</t>
  </si>
  <si>
    <t>Exhaust Shape</t>
  </si>
  <si>
    <t>Round Brass Sizes</t>
  </si>
  <si>
    <t>Size</t>
  </si>
  <si>
    <t>Wall</t>
  </si>
  <si>
    <t>(32 in)</t>
  </si>
  <si>
    <r>
      <t>(in</t>
    </r>
    <r>
      <rPr>
        <vertAlign val="superscript"/>
        <sz val="12"/>
        <rFont val="Times New Roman"/>
        <family val="1"/>
      </rPr>
      <t>2</t>
    </r>
    <r>
      <rPr>
        <sz val="12"/>
        <rFont val="Times New Roman"/>
        <family val="1"/>
      </rPr>
      <t>)</t>
    </r>
  </si>
  <si>
    <t>Inside</t>
  </si>
  <si>
    <t>Minimum</t>
  </si>
  <si>
    <t>(Round)</t>
  </si>
  <si>
    <t>Building/Terrain Flag</t>
  </si>
  <si>
    <t>Bldg = 1; Terrain = 2</t>
  </si>
  <si>
    <t>Equivalent</t>
  </si>
  <si>
    <t>diameter</t>
  </si>
  <si>
    <t>Calculated</t>
  </si>
  <si>
    <t>Selected</t>
  </si>
  <si>
    <t>Square Brass Sizes</t>
  </si>
  <si>
    <t>Dimension</t>
  </si>
  <si>
    <t>(Square)</t>
  </si>
  <si>
    <t>Dia./Dim.</t>
  </si>
  <si>
    <t>(Round/Square)</t>
  </si>
  <si>
    <t>Nearest</t>
  </si>
  <si>
    <t>Smaller</t>
  </si>
  <si>
    <t>Larger</t>
  </si>
  <si>
    <t>Ascending</t>
  </si>
  <si>
    <t>Descending</t>
  </si>
  <si>
    <t>Molecular</t>
  </si>
  <si>
    <t>Viscosity</t>
  </si>
  <si>
    <t>Weight</t>
  </si>
  <si>
    <t>micropoises</t>
  </si>
  <si>
    <t>&amp; 1 atm</t>
  </si>
  <si>
    <t>T</t>
  </si>
  <si>
    <t>(mph)</t>
  </si>
  <si>
    <t>Metric Units</t>
  </si>
  <si>
    <t>(m)</t>
  </si>
  <si>
    <t>FLAGS</t>
  </si>
  <si>
    <t>3=Exact (OP AI)</t>
  </si>
  <si>
    <t>Corresponding Flow Parameters</t>
  </si>
  <si>
    <t>cfm (fpm)</t>
  </si>
  <si>
    <t>Calculated Table A Values Associated with Source #)</t>
  </si>
  <si>
    <t>Associated with Source #</t>
  </si>
  <si>
    <t>(m2)</t>
  </si>
  <si>
    <t>Brass</t>
  </si>
  <si>
    <r>
      <t>(m</t>
    </r>
    <r>
      <rPr>
        <b/>
        <vertAlign val="superscript"/>
        <sz val="12"/>
        <rFont val="Times New Roman"/>
        <family val="1"/>
      </rPr>
      <t>3</t>
    </r>
    <r>
      <rPr>
        <b/>
        <sz val="12"/>
        <rFont val="Times New Roman"/>
        <family val="1"/>
      </rPr>
      <t>/s)</t>
    </r>
  </si>
  <si>
    <t>(kg/s)</t>
  </si>
  <si>
    <t>(K)</t>
  </si>
  <si>
    <t>Air</t>
  </si>
  <si>
    <t>Ammonia</t>
  </si>
  <si>
    <t>Argon</t>
  </si>
  <si>
    <t>Butane</t>
  </si>
  <si>
    <t>Carbon dioxide</t>
  </si>
  <si>
    <t>Carbon monoxide</t>
  </si>
  <si>
    <t>Chlorine</t>
  </si>
  <si>
    <t>Ethane</t>
  </si>
  <si>
    <t>Helium</t>
  </si>
  <si>
    <t>Hydrogen</t>
  </si>
  <si>
    <t>Hydrogen chloride</t>
  </si>
  <si>
    <t>Methane</t>
  </si>
  <si>
    <t># of inc.</t>
  </si>
  <si>
    <t>ws</t>
  </si>
  <si>
    <t>ln(ws)</t>
  </si>
  <si>
    <t>Increment #</t>
  </si>
  <si>
    <t>Nitric Oxide</t>
  </si>
  <si>
    <t>Nitrogen</t>
  </si>
  <si>
    <t>Oxygen</t>
  </si>
  <si>
    <t>Propane</t>
  </si>
  <si>
    <t>Sulfer dioxide</t>
  </si>
  <si>
    <t>Sulfer hexafluroride</t>
  </si>
  <si>
    <t>Water (vapor)</t>
  </si>
  <si>
    <t>Gas</t>
  </si>
  <si>
    <t>#</t>
  </si>
  <si>
    <t>Name</t>
  </si>
  <si>
    <t>(g-mole)</t>
  </si>
  <si>
    <t>(C)</t>
  </si>
  <si>
    <t>Temp</t>
  </si>
  <si>
    <t>MW</t>
  </si>
  <si>
    <r>
      <t>(10</t>
    </r>
    <r>
      <rPr>
        <vertAlign val="superscript"/>
        <sz val="12"/>
        <rFont val="Times New Roman"/>
        <family val="1"/>
      </rPr>
      <t>6</t>
    </r>
    <r>
      <rPr>
        <sz val="12"/>
        <rFont val="Times New Roman"/>
        <family val="1"/>
      </rPr>
      <t xml:space="preserve"> g) / (s-cm)</t>
    </r>
  </si>
  <si>
    <t>at T (C)</t>
  </si>
  <si>
    <t>NOTES:</t>
  </si>
  <si>
    <t>Mixture density computed based on values in 61st CRC Handbook</t>
  </si>
  <si>
    <t>Mixture Kinematic Viscosity computed based on Wilke (1949) -- see Bird, Stewart &amp; Lightfoot (1960) p.24</t>
  </si>
  <si>
    <t>Table A-</t>
  </si>
  <si>
    <t>1) Columns A-L For Final Report</t>
  </si>
  <si>
    <t>Use Notes:</t>
  </si>
  <si>
    <r>
      <t xml:space="preserve">1) Edit Table Number in sheet name </t>
    </r>
    <r>
      <rPr>
        <b/>
        <sz val="12"/>
        <rFont val="Times New Roman"/>
        <family val="1"/>
      </rPr>
      <t>ONLY</t>
    </r>
    <r>
      <rPr>
        <sz val="12"/>
        <rFont val="Times New Roman"/>
        <family val="1"/>
      </rPr>
      <t>.</t>
    </r>
  </si>
  <si>
    <t>Full and Model Scale Similarity Parameters</t>
  </si>
  <si>
    <t>Dimensional Parameters</t>
  </si>
  <si>
    <t>.</t>
  </si>
  <si>
    <t>Grade Elevation Above Mean Sea Level, z=0 (m)</t>
  </si>
  <si>
    <t>Stack Inside Diameter, d (m)</t>
  </si>
  <si>
    <t>Exhaust rate, Q (kg/s)</t>
  </si>
  <si>
    <t>Stack Height above grade, h (m)</t>
  </si>
  <si>
    <t>Dimensionless Parameters</t>
  </si>
  <si>
    <t>Time Scale, TS</t>
  </si>
  <si>
    <t>Length Scale, SF</t>
  </si>
  <si>
    <t>Diameter to Stack Height Ratio, d/h</t>
  </si>
  <si>
    <t>English</t>
  </si>
  <si>
    <t>Full Scale</t>
  </si>
  <si>
    <t>ft</t>
  </si>
  <si>
    <t>fpm</t>
  </si>
  <si>
    <t>lb/hr</t>
  </si>
  <si>
    <t>mph</t>
  </si>
  <si>
    <r>
      <t>ft</t>
    </r>
    <r>
      <rPr>
        <vertAlign val="superscript"/>
        <sz val="12"/>
        <rFont val="Times New Roman"/>
        <family val="1"/>
      </rPr>
      <t>2</t>
    </r>
  </si>
  <si>
    <r>
      <t>o</t>
    </r>
    <r>
      <rPr>
        <sz val="12"/>
        <rFont val="Times New Roman"/>
        <family val="1"/>
      </rPr>
      <t>F</t>
    </r>
  </si>
  <si>
    <r>
      <t>ft</t>
    </r>
    <r>
      <rPr>
        <vertAlign val="superscript"/>
        <sz val="12"/>
        <rFont val="Times New Roman"/>
        <family val="1"/>
      </rPr>
      <t>3</t>
    </r>
    <r>
      <rPr>
        <sz val="12"/>
        <rFont val="Times New Roman"/>
        <family val="1"/>
      </rPr>
      <t>/min</t>
    </r>
  </si>
  <si>
    <t>atm</t>
  </si>
  <si>
    <r>
      <t>lb/ft</t>
    </r>
    <r>
      <rPr>
        <vertAlign val="superscript"/>
        <sz val="12"/>
        <rFont val="Times New Roman"/>
        <family val="1"/>
      </rPr>
      <t>3</t>
    </r>
  </si>
  <si>
    <r>
      <t>ft</t>
    </r>
    <r>
      <rPr>
        <vertAlign val="superscript"/>
        <sz val="12"/>
        <rFont val="Times New Roman"/>
        <family val="1"/>
      </rPr>
      <t>2</t>
    </r>
    <r>
      <rPr>
        <sz val="12"/>
        <rFont val="Times New Roman"/>
        <family val="1"/>
      </rPr>
      <t>/s</t>
    </r>
  </si>
  <si>
    <t>Full</t>
  </si>
  <si>
    <t>Scale</t>
  </si>
  <si>
    <t>Free Stream Height (m)</t>
  </si>
  <si>
    <r>
      <t>Stack Inside Area, A</t>
    </r>
    <r>
      <rPr>
        <vertAlign val="subscript"/>
        <sz val="12"/>
        <rFont val="Times New Roman"/>
        <family val="1"/>
      </rPr>
      <t>e</t>
    </r>
    <r>
      <rPr>
        <sz val="12"/>
        <rFont val="Times New Roman"/>
        <family val="1"/>
      </rPr>
      <t xml:space="preserve"> (m</t>
    </r>
    <r>
      <rPr>
        <vertAlign val="superscript"/>
        <sz val="12"/>
        <rFont val="Times New Roman"/>
        <family val="1"/>
      </rPr>
      <t>2</t>
    </r>
    <r>
      <rPr>
        <sz val="12"/>
        <rFont val="Times New Roman"/>
        <family val="1"/>
      </rPr>
      <t>)</t>
    </r>
  </si>
  <si>
    <r>
      <t>Exit Velocity, V</t>
    </r>
    <r>
      <rPr>
        <vertAlign val="subscript"/>
        <sz val="12"/>
        <rFont val="Times New Roman"/>
        <family val="1"/>
      </rPr>
      <t>e</t>
    </r>
    <r>
      <rPr>
        <sz val="12"/>
        <rFont val="Times New Roman"/>
        <family val="1"/>
      </rPr>
      <t xml:space="preserve"> (m/s)</t>
    </r>
  </si>
  <si>
    <r>
      <t>Exit Temperature, T</t>
    </r>
    <r>
      <rPr>
        <vertAlign val="subscript"/>
        <sz val="12"/>
        <rFont val="Times New Roman"/>
        <family val="1"/>
      </rPr>
      <t>s</t>
    </r>
    <r>
      <rPr>
        <sz val="12"/>
        <rFont val="Times New Roman"/>
        <family val="1"/>
      </rPr>
      <t xml:space="preserve"> (K)</t>
    </r>
  </si>
  <si>
    <r>
      <t>Ambient Pressure, P</t>
    </r>
    <r>
      <rPr>
        <vertAlign val="subscript"/>
        <sz val="12"/>
        <rFont val="Times New Roman"/>
        <family val="1"/>
      </rPr>
      <t>a</t>
    </r>
    <r>
      <rPr>
        <sz val="12"/>
        <rFont val="Times New Roman"/>
        <family val="1"/>
      </rPr>
      <t xml:space="preserve"> (hPa)</t>
    </r>
  </si>
  <si>
    <r>
      <t>Ambient Temperature, T</t>
    </r>
    <r>
      <rPr>
        <vertAlign val="subscript"/>
        <sz val="12"/>
        <rFont val="Times New Roman"/>
        <family val="1"/>
      </rPr>
      <t>a</t>
    </r>
    <r>
      <rPr>
        <sz val="12"/>
        <rFont val="Times New Roman"/>
        <family val="1"/>
      </rPr>
      <t xml:space="preserve"> (K)</t>
    </r>
  </si>
  <si>
    <r>
      <t>Free Stream Wind Speed, U</t>
    </r>
    <r>
      <rPr>
        <vertAlign val="subscript"/>
        <sz val="12"/>
        <rFont val="Times New Roman"/>
        <family val="1"/>
      </rPr>
      <t>inf</t>
    </r>
    <r>
      <rPr>
        <sz val="12"/>
        <rFont val="Times New Roman"/>
        <family val="1"/>
      </rPr>
      <t xml:space="preserve"> (m/s)</t>
    </r>
  </si>
  <si>
    <r>
      <t>Free Stream Height, z</t>
    </r>
    <r>
      <rPr>
        <vertAlign val="subscript"/>
        <sz val="12"/>
        <rFont val="Times New Roman"/>
        <family val="1"/>
      </rPr>
      <t>inf</t>
    </r>
    <r>
      <rPr>
        <sz val="12"/>
        <rFont val="Times New Roman"/>
        <family val="1"/>
      </rPr>
      <t xml:space="preserve"> (m)</t>
    </r>
  </si>
  <si>
    <r>
      <t>Reference Wind Speed, U</t>
    </r>
    <r>
      <rPr>
        <vertAlign val="subscript"/>
        <sz val="12"/>
        <rFont val="Times New Roman"/>
        <family val="1"/>
      </rPr>
      <t>ref</t>
    </r>
    <r>
      <rPr>
        <sz val="12"/>
        <rFont val="Times New Roman"/>
        <family val="1"/>
      </rPr>
      <t xml:space="preserve"> (m/s)</t>
    </r>
  </si>
  <si>
    <r>
      <t>Reference Height, z</t>
    </r>
    <r>
      <rPr>
        <vertAlign val="subscript"/>
        <sz val="12"/>
        <rFont val="Times New Roman"/>
        <family val="1"/>
      </rPr>
      <t>ref</t>
    </r>
    <r>
      <rPr>
        <sz val="12"/>
        <rFont val="Times New Roman"/>
        <family val="1"/>
      </rPr>
      <t xml:space="preserve"> (m)</t>
    </r>
  </si>
  <si>
    <r>
      <t>Anemometer Wind Speed, U</t>
    </r>
    <r>
      <rPr>
        <vertAlign val="subscript"/>
        <sz val="12"/>
        <rFont val="Times New Roman"/>
        <family val="1"/>
      </rPr>
      <t>a</t>
    </r>
    <r>
      <rPr>
        <sz val="12"/>
        <rFont val="Times New Roman"/>
        <family val="1"/>
      </rPr>
      <t xml:space="preserve"> (m/s)</t>
    </r>
  </si>
  <si>
    <r>
      <t>Anemometer Height, z</t>
    </r>
    <r>
      <rPr>
        <vertAlign val="subscript"/>
        <sz val="12"/>
        <rFont val="Times New Roman"/>
        <family val="1"/>
      </rPr>
      <t>a</t>
    </r>
    <r>
      <rPr>
        <sz val="12"/>
        <rFont val="Times New Roman"/>
        <family val="1"/>
      </rPr>
      <t xml:space="preserve"> (m)</t>
    </r>
  </si>
  <si>
    <r>
      <t>Site Wind Speed, U</t>
    </r>
    <r>
      <rPr>
        <vertAlign val="subscript"/>
        <sz val="12"/>
        <rFont val="Times New Roman"/>
        <family val="1"/>
      </rPr>
      <t>s</t>
    </r>
    <r>
      <rPr>
        <sz val="12"/>
        <rFont val="Times New Roman"/>
        <family val="1"/>
      </rPr>
      <t xml:space="preserve"> (m/s)</t>
    </r>
  </si>
  <si>
    <r>
      <t>Site Anemometer' Height, z</t>
    </r>
    <r>
      <rPr>
        <vertAlign val="subscript"/>
        <sz val="12"/>
        <rFont val="Times New Roman"/>
        <family val="1"/>
      </rPr>
      <t>s</t>
    </r>
    <r>
      <rPr>
        <sz val="12"/>
        <rFont val="Times New Roman"/>
        <family val="1"/>
      </rPr>
      <t xml:space="preserve"> (m)</t>
    </r>
  </si>
  <si>
    <r>
      <t>Stack Height Speed, U</t>
    </r>
    <r>
      <rPr>
        <vertAlign val="subscript"/>
        <sz val="12"/>
        <rFont val="Times New Roman"/>
        <family val="1"/>
      </rPr>
      <t>h</t>
    </r>
    <r>
      <rPr>
        <sz val="12"/>
        <rFont val="Times New Roman"/>
        <family val="1"/>
      </rPr>
      <t xml:space="preserve"> (m/s)</t>
    </r>
  </si>
  <si>
    <r>
      <t>Anemometer Surface Roughness Length, z</t>
    </r>
    <r>
      <rPr>
        <vertAlign val="subscript"/>
        <sz val="12"/>
        <rFont val="Times New Roman"/>
        <family val="1"/>
      </rPr>
      <t>o, a</t>
    </r>
    <r>
      <rPr>
        <sz val="12"/>
        <rFont val="Times New Roman"/>
        <family val="1"/>
      </rPr>
      <t xml:space="preserve"> (m)</t>
    </r>
  </si>
  <si>
    <r>
      <t>Site Surface Roughness Length, z</t>
    </r>
    <r>
      <rPr>
        <vertAlign val="subscript"/>
        <sz val="12"/>
        <rFont val="Times New Roman"/>
        <family val="1"/>
      </rPr>
      <t>o, s</t>
    </r>
    <r>
      <rPr>
        <sz val="12"/>
        <rFont val="Times New Roman"/>
        <family val="1"/>
      </rPr>
      <t xml:space="preserve"> (m)</t>
    </r>
  </si>
  <si>
    <r>
      <t>Site Surface Friction Velocity, U</t>
    </r>
    <r>
      <rPr>
        <vertAlign val="subscript"/>
        <sz val="12"/>
        <rFont val="Times New Roman"/>
        <family val="1"/>
      </rPr>
      <t>*</t>
    </r>
    <r>
      <rPr>
        <sz val="12"/>
        <rFont val="Times New Roman"/>
        <family val="1"/>
      </rPr>
      <t xml:space="preserve"> (m/s)</t>
    </r>
  </si>
  <si>
    <r>
      <t>Anemometer Power Law Exponent, n</t>
    </r>
    <r>
      <rPr>
        <vertAlign val="subscript"/>
        <sz val="12"/>
        <rFont val="Times New Roman"/>
        <family val="1"/>
      </rPr>
      <t>a</t>
    </r>
  </si>
  <si>
    <r>
      <t>Site Power Law Exponent, n</t>
    </r>
    <r>
      <rPr>
        <vertAlign val="subscript"/>
        <sz val="12"/>
        <rFont val="Times New Roman"/>
        <family val="1"/>
      </rPr>
      <t>s</t>
    </r>
  </si>
  <si>
    <r>
      <t>Velocity Ratio, R = V</t>
    </r>
    <r>
      <rPr>
        <vertAlign val="subscript"/>
        <sz val="12"/>
        <rFont val="Times New Roman"/>
        <family val="1"/>
      </rPr>
      <t>e</t>
    </r>
    <r>
      <rPr>
        <sz val="12"/>
        <rFont val="Times New Roman"/>
        <family val="1"/>
      </rPr>
      <t>/U</t>
    </r>
    <r>
      <rPr>
        <vertAlign val="subscript"/>
        <sz val="12"/>
        <rFont val="Times New Roman"/>
        <family val="1"/>
      </rPr>
      <t>r</t>
    </r>
  </si>
  <si>
    <r>
      <t>Stack Velocity Ratio, R</t>
    </r>
    <r>
      <rPr>
        <vertAlign val="subscript"/>
        <sz val="12"/>
        <rFont val="Times New Roman"/>
        <family val="1"/>
      </rPr>
      <t>s</t>
    </r>
    <r>
      <rPr>
        <sz val="12"/>
        <rFont val="Times New Roman"/>
        <family val="1"/>
      </rPr>
      <t xml:space="preserve"> = V</t>
    </r>
    <r>
      <rPr>
        <vertAlign val="subscript"/>
        <sz val="12"/>
        <rFont val="Times New Roman"/>
        <family val="1"/>
      </rPr>
      <t>e</t>
    </r>
    <r>
      <rPr>
        <sz val="12"/>
        <rFont val="Times New Roman"/>
        <family val="1"/>
      </rPr>
      <t>/U</t>
    </r>
    <r>
      <rPr>
        <vertAlign val="subscript"/>
        <sz val="12"/>
        <rFont val="Times New Roman"/>
        <family val="1"/>
      </rPr>
      <t>h</t>
    </r>
  </si>
  <si>
    <r>
      <t>Momentum Ratio, M</t>
    </r>
    <r>
      <rPr>
        <vertAlign val="subscript"/>
        <sz val="12"/>
        <rFont val="Times New Roman"/>
        <family val="1"/>
      </rPr>
      <t>o</t>
    </r>
  </si>
  <si>
    <r>
      <t>Buoyancy Ratio, B</t>
    </r>
    <r>
      <rPr>
        <vertAlign val="subscript"/>
        <sz val="12"/>
        <rFont val="Times New Roman"/>
        <family val="1"/>
      </rPr>
      <t>o</t>
    </r>
  </si>
  <si>
    <r>
      <t>Froude Number, Fr</t>
    </r>
    <r>
      <rPr>
        <vertAlign val="subscript"/>
        <sz val="12"/>
        <rFont val="Times New Roman"/>
        <family val="1"/>
      </rPr>
      <t>s</t>
    </r>
  </si>
  <si>
    <r>
      <t xml:space="preserve">Density Ratio, </t>
    </r>
    <r>
      <rPr>
        <sz val="12"/>
        <rFont val="Symbol"/>
        <family val="1"/>
        <charset val="2"/>
      </rPr>
      <t>l</t>
    </r>
  </si>
  <si>
    <r>
      <t>Stack Reynolds Number (Exterior), d U</t>
    </r>
    <r>
      <rPr>
        <vertAlign val="subscript"/>
        <sz val="12"/>
        <rFont val="Times New Roman"/>
        <family val="1"/>
      </rPr>
      <t>h</t>
    </r>
    <r>
      <rPr>
        <sz val="12"/>
        <rFont val="Times New Roman"/>
        <family val="1"/>
      </rPr>
      <t xml:space="preserve"> / </t>
    </r>
    <r>
      <rPr>
        <sz val="12"/>
        <rFont val="Symbol"/>
        <family val="1"/>
        <charset val="2"/>
      </rPr>
      <t>n</t>
    </r>
    <r>
      <rPr>
        <vertAlign val="subscript"/>
        <sz val="12"/>
        <rFont val="Times New Roman"/>
        <family val="1"/>
      </rPr>
      <t>a</t>
    </r>
  </si>
  <si>
    <t>Health limit associated with NO2 emissions</t>
  </si>
  <si>
    <t>Sequence</t>
  </si>
  <si>
    <t>POST- REVIEW RE-RUNS</t>
  </si>
  <si>
    <t>Notes</t>
  </si>
  <si>
    <t xml:space="preserve">Stack Height </t>
  </si>
  <si>
    <t>Roof</t>
  </si>
  <si>
    <t>Main Roof</t>
  </si>
  <si>
    <t>Garage Exhaust</t>
  </si>
  <si>
    <t>General Exhaust</t>
  </si>
  <si>
    <t>B</t>
  </si>
  <si>
    <t>100N201</t>
  </si>
  <si>
    <t>100N202</t>
  </si>
  <si>
    <t>100N205</t>
  </si>
  <si>
    <t>100N206</t>
  </si>
  <si>
    <t>100N221</t>
  </si>
  <si>
    <t>100N211</t>
  </si>
  <si>
    <t>C</t>
  </si>
  <si>
    <t>D</t>
  </si>
  <si>
    <t>E</t>
  </si>
  <si>
    <t>F</t>
  </si>
  <si>
    <t>H</t>
  </si>
  <si>
    <t>J</t>
  </si>
  <si>
    <t>K</t>
  </si>
  <si>
    <t>BSL3-2</t>
  </si>
  <si>
    <t>Lab Air Handling Unit 1</t>
  </si>
  <si>
    <t>Fume Hood Exhaust 1</t>
  </si>
  <si>
    <t>Fume Hood Exhaust 2</t>
  </si>
  <si>
    <t>Fume Hood Exhaust 3</t>
  </si>
  <si>
    <t>Vivarium Exhaust 1</t>
  </si>
  <si>
    <t>Vivarium Exhaust 2</t>
  </si>
  <si>
    <t>Vivarium Exhaust 3</t>
  </si>
  <si>
    <t>Biological Safety Cabinet 1</t>
  </si>
  <si>
    <t>Biological Safety Cabinet 2</t>
  </si>
  <si>
    <t>AHU Labs-1</t>
  </si>
  <si>
    <t>AHU Labs-2</t>
  </si>
  <si>
    <t>AHU Labs-3</t>
  </si>
  <si>
    <t>Lab Air Handling Unit 2</t>
  </si>
  <si>
    <t>Lab Air Handling Unit 3</t>
  </si>
  <si>
    <t>na</t>
  </si>
  <si>
    <t>AA</t>
  </si>
  <si>
    <t>BS</t>
  </si>
  <si>
    <t>Date</t>
  </si>
  <si>
    <t>Reviser</t>
  </si>
  <si>
    <t>JJC</t>
  </si>
  <si>
    <r>
      <t>PM</t>
    </r>
    <r>
      <rPr>
        <vertAlign val="subscript"/>
        <sz val="12"/>
        <rFont val="Times New Roman"/>
        <family val="1"/>
      </rPr>
      <t>2.5</t>
    </r>
    <r>
      <rPr>
        <sz val="12"/>
        <rFont val="Times New Roman"/>
        <family val="1"/>
      </rPr>
      <t xml:space="preserve"> (g/s):</t>
    </r>
  </si>
  <si>
    <r>
      <t>PM</t>
    </r>
    <r>
      <rPr>
        <vertAlign val="subscript"/>
        <sz val="12"/>
        <rFont val="Times New Roman"/>
        <family val="1"/>
      </rPr>
      <t>2.5</t>
    </r>
    <r>
      <rPr>
        <sz val="12"/>
        <rFont val="Times New Roman"/>
        <family val="1"/>
      </rPr>
      <t xml:space="preserve"> (µg/m³)/(g/s):</t>
    </r>
  </si>
  <si>
    <r>
      <t>PM</t>
    </r>
    <r>
      <rPr>
        <vertAlign val="subscript"/>
        <sz val="12"/>
        <rFont val="Times New Roman"/>
        <family val="1"/>
      </rPr>
      <t>10</t>
    </r>
    <r>
      <rPr>
        <sz val="12"/>
        <rFont val="Times New Roman"/>
        <family val="1"/>
      </rPr>
      <t xml:space="preserve"> (g/kWhr-DG; lb/MMBTU - Boiler):</t>
    </r>
  </si>
  <si>
    <r>
      <t>PM</t>
    </r>
    <r>
      <rPr>
        <vertAlign val="subscript"/>
        <sz val="12"/>
        <rFont val="Times New Roman"/>
        <family val="1"/>
      </rPr>
      <t>2.5</t>
    </r>
    <r>
      <rPr>
        <sz val="12"/>
        <rFont val="Times New Roman"/>
        <family val="1"/>
      </rPr>
      <t xml:space="preserve"> (g/kWhr-DG; lb/MMBTU - Boiler):</t>
    </r>
  </si>
  <si>
    <t>Added This Sheet; changed PM exposure from NAAQS number to OSHA Occupational TWA</t>
  </si>
  <si>
    <t>Rev</t>
  </si>
  <si>
    <t>10_03</t>
  </si>
  <si>
    <r>
      <t>PM</t>
    </r>
    <r>
      <rPr>
        <vertAlign val="subscript"/>
        <sz val="12"/>
        <rFont val="Times New Roman"/>
        <family val="1"/>
      </rPr>
      <t>10</t>
    </r>
    <r>
      <rPr>
        <sz val="12"/>
        <rFont val="Times New Roman"/>
        <family val="1"/>
      </rPr>
      <t xml:space="preserve"> (ppm-Boiler):</t>
    </r>
  </si>
  <si>
    <r>
      <t>PM</t>
    </r>
    <r>
      <rPr>
        <vertAlign val="subscript"/>
        <sz val="12"/>
        <rFont val="Times New Roman"/>
        <family val="1"/>
      </rPr>
      <t>2.5</t>
    </r>
    <r>
      <rPr>
        <sz val="12"/>
        <rFont val="Times New Roman"/>
        <family val="1"/>
      </rPr>
      <t xml:space="preserve"> (ppm-Boiler):</t>
    </r>
  </si>
  <si>
    <t>10_04</t>
  </si>
  <si>
    <t>Updated Data Macro to dynamically determine Run Number column using TPRunNumber named range. Also deleted Run Number strikethrough conditional formatting.</t>
  </si>
  <si>
    <t>10_05</t>
  </si>
  <si>
    <t>ABL</t>
  </si>
  <si>
    <t>2000 Neutral / 670 bouyant</t>
  </si>
  <si>
    <t>Modeled</t>
  </si>
  <si>
    <t>full scale modeled flow parameters:</t>
  </si>
  <si>
    <t>cfm</t>
  </si>
  <si>
    <t>Design Exit</t>
  </si>
  <si>
    <t xml:space="preserve">Design </t>
  </si>
  <si>
    <t>Volume Flow</t>
  </si>
  <si>
    <t>Set ref WS to 4 m/s and density ratio to 0.97 for all sources in Table 1</t>
  </si>
  <si>
    <t>Hard typed all receptor #s in test plan</t>
  </si>
  <si>
    <t>Linked the stack label and height in test plan to stack ID for all rows</t>
  </si>
  <si>
    <t>In 1% Wind sheet: moved cell location where test wind speeds are defined</t>
  </si>
  <si>
    <t>In Flow Input File sheets: changed the stack label formula from a VLOOKUP to an INDEX(MATCH) function</t>
  </si>
  <si>
    <t>Changed limits for exterior Re number to 300 - 10^5</t>
  </si>
  <si>
    <t>Added columns in test plan sheet with design flow and velocity from Table 1. Updated energy analysis section to base all calculations on the new columns.</t>
  </si>
  <si>
    <t>Replaced MacroData.bas with John's new version</t>
  </si>
  <si>
    <r>
      <t>Replaced "</t>
    </r>
    <r>
      <rPr>
        <b/>
        <sz val="12"/>
        <rFont val="Times New Roman"/>
        <family val="1"/>
      </rPr>
      <t>Title 2</t>
    </r>
    <r>
      <rPr>
        <sz val="12"/>
        <rFont val="Times New Roman"/>
        <family val="1"/>
      </rPr>
      <t>" and "</t>
    </r>
    <r>
      <rPr>
        <i/>
        <sz val="12"/>
        <rFont val="Times New Roman"/>
        <family val="1"/>
      </rPr>
      <t>Title 4</t>
    </r>
    <r>
      <rPr>
        <sz val="12"/>
        <rFont val="Times New Roman"/>
        <family val="1"/>
      </rPr>
      <t>" in the test plan with John's equation to display stack name, flow and velocity based on stack ID in row below.</t>
    </r>
  </si>
  <si>
    <t>modeled</t>
  </si>
  <si>
    <t xml:space="preserve">full scale </t>
  </si>
  <si>
    <t>Added column to table A's with modeled full scale parameters</t>
  </si>
  <si>
    <t>Fixed the '2000 Neutral / 670 bouyant' label in Table A's</t>
  </si>
  <si>
    <t>Volume flow</t>
  </si>
  <si>
    <t>exit velocity</t>
  </si>
  <si>
    <t>Wrote a macro to hide all rows in the flow settings sheet that have a volume flow of 0.1 cc/s (in case there is an energy analysis in the study but not all stacks are considered). Just set the flow to 0.1 cc/s and highlight the range of cells you you want the macro to run for. Then press cntl + j.</t>
  </si>
  <si>
    <t>Added columns to Table 1 to display the modeled full scale flow and velocity. Added named ranges to these new columns: SourceVolumeFlowRateModeled and SourceExitVelocityModeled</t>
  </si>
  <si>
    <t>11_00</t>
  </si>
  <si>
    <t>b</t>
  </si>
  <si>
    <t>c</t>
  </si>
  <si>
    <t>Added curve fit coefficients to Isolation Room criterion and 1:1,000,000 probability column</t>
  </si>
  <si>
    <t>POWER LAW TRENDLINE RESULTS Y=cX^b</t>
  </si>
  <si>
    <t>r2</t>
  </si>
  <si>
    <r>
      <t>Bronchoscopy-based design criteria (</t>
    </r>
    <r>
      <rPr>
        <b/>
        <sz val="12"/>
        <rFont val="Symbol"/>
        <family val="1"/>
        <charset val="2"/>
      </rPr>
      <t>m</t>
    </r>
    <r>
      <rPr>
        <b/>
        <sz val="12"/>
        <rFont val="Times New Roman"/>
        <family val="1"/>
      </rPr>
      <t>g/m</t>
    </r>
    <r>
      <rPr>
        <b/>
        <vertAlign val="superscript"/>
        <sz val="12"/>
        <rFont val="Times New Roman"/>
        <family val="1"/>
      </rPr>
      <t>3</t>
    </r>
    <r>
      <rPr>
        <b/>
        <sz val="12"/>
        <rFont val="Times New Roman"/>
        <family val="1"/>
      </rPr>
      <t xml:space="preserve"> per g/s):</t>
    </r>
  </si>
  <si>
    <t>Table 6a</t>
  </si>
  <si>
    <t>Normalized Concentration Results and Probability of Adverse Exposure</t>
  </si>
  <si>
    <t>Probability of Positive PPD Test</t>
  </si>
  <si>
    <t>No HEPA filter</t>
  </si>
  <si>
    <t>With HEPA filter</t>
  </si>
  <si>
    <t>Per Intubation</t>
  </si>
  <si>
    <t>Probability better than 1 in</t>
  </si>
  <si>
    <t>no HEPA</t>
  </si>
  <si>
    <t>with HEPA</t>
  </si>
  <si>
    <t>1 in</t>
  </si>
  <si>
    <t>The probability of a positive PPD test determined by interpolating/extrapolating (1) using the normalized criteria in Table 8.</t>
  </si>
  <si>
    <t>"Yes" if (2) &gt; (3) or "No" if (2) &lt; (3).</t>
  </si>
  <si>
    <t>Added Results Summary ISO - gives probability of positivie PPD conversion based on max concentration - no probability of wind statistics is included</t>
  </si>
  <si>
    <t>OSHA Health Design Criteria (µg/m³)/(g/s):</t>
  </si>
  <si>
    <t>Health (OSHA)</t>
  </si>
  <si>
    <t>DF</t>
  </si>
  <si>
    <t>Added OSHA criterion to design criteria summary for combustion sources</t>
  </si>
  <si>
    <t>WT2</t>
  </si>
  <si>
    <t>100 cc/s Device</t>
  </si>
  <si>
    <t>600 cc/s Device</t>
  </si>
  <si>
    <t>Sim</t>
  </si>
  <si>
    <t>Ltr</t>
  </si>
  <si>
    <t>100 cc/s Device + 600 cc/s Device</t>
  </si>
  <si>
    <t>100 cc/s Device + 2000 cc/s Device</t>
  </si>
  <si>
    <t>600 cc/s Device + 600 cc/s Device</t>
  </si>
  <si>
    <t>600 cc/s Device + 2000 cc/s Device</t>
  </si>
  <si>
    <t>100% Tracer</t>
  </si>
  <si>
    <t>10% Tracer - PreMix</t>
  </si>
  <si>
    <t xml:space="preserve">2 Devices: 10% Tracer using 100 cc/s </t>
  </si>
  <si>
    <t>2 Devices: 10% Tracer using 600 cc/s</t>
  </si>
  <si>
    <t>600 cc/s Device + 2000 cc/s Device + 2000 cc/s Device</t>
  </si>
  <si>
    <t>3 Devices: 10% Tracer Using 100 cc/s</t>
  </si>
  <si>
    <t>WT1</t>
  </si>
  <si>
    <t>WT3</t>
  </si>
  <si>
    <t>Eth</t>
  </si>
  <si>
    <t>Tunnel In Use</t>
  </si>
  <si>
    <t>changed print ranges to correspond to new report format</t>
  </si>
  <si>
    <t>Table C-6</t>
  </si>
  <si>
    <t>Normalized Health Limit and Odor Threshold</t>
  </si>
  <si>
    <t>Source #</t>
  </si>
  <si>
    <t>Health Limit:</t>
  </si>
  <si>
    <r>
      <t>mg/m</t>
    </r>
    <r>
      <rPr>
        <vertAlign val="superscript"/>
        <sz val="11"/>
        <rFont val="Times New Roman"/>
        <family val="1"/>
      </rPr>
      <t>3</t>
    </r>
  </si>
  <si>
    <t>Safety Factor:</t>
  </si>
  <si>
    <t>µg/m³</t>
  </si>
  <si>
    <t>Odor Threshold:</t>
  </si>
  <si>
    <t>Exhaust</t>
  </si>
  <si>
    <r>
      <t>Initial</t>
    </r>
    <r>
      <rPr>
        <vertAlign val="superscript"/>
        <sz val="11"/>
        <rFont val="Times New Roman"/>
        <family val="1"/>
      </rPr>
      <t>a</t>
    </r>
  </si>
  <si>
    <t>Abator</t>
  </si>
  <si>
    <t>Abated</t>
  </si>
  <si>
    <t>(Table 1)</t>
  </si>
  <si>
    <r>
      <t>Efficiency</t>
    </r>
    <r>
      <rPr>
        <vertAlign val="superscript"/>
        <sz val="11"/>
        <rFont val="Times New Roman"/>
        <family val="1"/>
      </rPr>
      <t>b</t>
    </r>
  </si>
  <si>
    <t>(1 x 2)</t>
  </si>
  <si>
    <t>mg/L</t>
  </si>
  <si>
    <r>
      <t>g/m</t>
    </r>
    <r>
      <rPr>
        <vertAlign val="superscript"/>
        <sz val="11"/>
        <rFont val="Times New Roman"/>
        <family val="1"/>
      </rPr>
      <t>3</t>
    </r>
  </si>
  <si>
    <r>
      <t>m</t>
    </r>
    <r>
      <rPr>
        <vertAlign val="superscript"/>
        <sz val="11"/>
        <rFont val="Times New Roman"/>
        <family val="1"/>
      </rPr>
      <t>3</t>
    </r>
    <r>
      <rPr>
        <sz val="11"/>
        <rFont val="Times New Roman"/>
        <family val="1"/>
      </rPr>
      <t>/s</t>
    </r>
  </si>
  <si>
    <t>g/s</t>
  </si>
  <si>
    <t>Normalized Health Limit (µg/m³ per g/s):</t>
  </si>
  <si>
    <t>Normalized Odor Threshold (µg/m³ per g/s):</t>
  </si>
  <si>
    <t>a) Based on 3M Steri-Vac 5XL Gas Sterilizer/Aerator.</t>
  </si>
  <si>
    <t>a) Based on 3M EO Abator.</t>
  </si>
  <si>
    <t>Atrium Smoke Criteria</t>
  </si>
  <si>
    <t>material</t>
  </si>
  <si>
    <t>VFP, kJ/m²</t>
  </si>
  <si>
    <t>Visibility Fuel Parameter</t>
  </si>
  <si>
    <t>Wood</t>
  </si>
  <si>
    <t>VFP</t>
  </si>
  <si>
    <t>kJ/m²</t>
  </si>
  <si>
    <t>lower numbers are more conservative; use 30 kJ/m²</t>
  </si>
  <si>
    <t>Polypropylene</t>
  </si>
  <si>
    <t>unless you have specific info about the fire</t>
  </si>
  <si>
    <t>Polystyrene</t>
  </si>
  <si>
    <t>polyurethane</t>
  </si>
  <si>
    <t>wool</t>
  </si>
  <si>
    <t>Safety Factor</t>
  </si>
  <si>
    <t xml:space="preserve">If there is high uncertainty in your assumptions </t>
  </si>
  <si>
    <t>propane</t>
  </si>
  <si>
    <t>you may want to use a safety factor…</t>
  </si>
  <si>
    <t>These values are largely based on FDS fuels.</t>
  </si>
  <si>
    <t>Fire Size</t>
  </si>
  <si>
    <t>BTU/s</t>
  </si>
  <si>
    <t>widely accepted default fire size</t>
  </si>
  <si>
    <t>Q=</t>
  </si>
  <si>
    <t>kW</t>
  </si>
  <si>
    <t>Additional Information</t>
  </si>
  <si>
    <t>Note that the concentration limits are per fire, with all stacks running. You have to average the concentrations from all stacks and compare that to the normalized concentration targets. Obviously, if each stack meets the criteria, then the averages will also, in which case the combination may not be needed.  
VFP stands for Visibility Fuel Parameter. Lower values mean less visibility in the same amount of smoke (i.e. blacker smoke). These values are not conservative. They are largely taken from FDS fuel parameters. I would be inclined to use 30 in most cases. The old CPP fuel mix used a value of 45 (based on a combination of wood and polyurethane), but I’m shying away from that, since the FDS values are already unconservative when compared with other publications.</t>
  </si>
  <si>
    <t>per m</t>
  </si>
  <si>
    <t>per ft</t>
  </si>
  <si>
    <t>extinction coefficient, a=</t>
  </si>
  <si>
    <t>1/m</t>
  </si>
  <si>
    <t>normalized concentration</t>
  </si>
  <si>
    <t>ug/m3 per g/s</t>
  </si>
  <si>
    <t>Approximation valid?</t>
  </si>
  <si>
    <t>Visibility target</t>
  </si>
  <si>
    <t>visibility, S=</t>
  </si>
  <si>
    <t>m</t>
  </si>
  <si>
    <t>where K=</t>
  </si>
  <si>
    <t>for a reflective surface</t>
  </si>
  <si>
    <t>atarget=</t>
  </si>
  <si>
    <t>m^(-1)</t>
  </si>
  <si>
    <t>Paint Booth Criteria</t>
  </si>
  <si>
    <t>Weighted by Percentage</t>
  </si>
  <si>
    <t>HL/m</t>
  </si>
  <si>
    <t>HL</t>
  </si>
  <si>
    <t>OT</t>
  </si>
  <si>
    <t>OT/m</t>
  </si>
  <si>
    <t>Percentage</t>
  </si>
  <si>
    <t>Molec</t>
  </si>
  <si>
    <t>Vapor</t>
  </si>
  <si>
    <t>Occupational Exposure
Limit</t>
  </si>
  <si>
    <t xml:space="preserve">Odor </t>
  </si>
  <si>
    <t>Normalized Odor</t>
  </si>
  <si>
    <t>Concen</t>
  </si>
  <si>
    <t>CAS #</t>
  </si>
  <si>
    <t>Chemical Name</t>
  </si>
  <si>
    <t>Wt</t>
  </si>
  <si>
    <t>Pressure</t>
  </si>
  <si>
    <t>Limit</t>
  </si>
  <si>
    <t>Threshold</t>
  </si>
  <si>
    <t>Paint</t>
  </si>
  <si>
    <t>(mm Hg)</t>
  </si>
  <si>
    <t>(Pa)</t>
  </si>
  <si>
    <t>Agency</t>
  </si>
  <si>
    <t>(mg/m³)</t>
  </si>
  <si>
    <t>80-62-6</t>
  </si>
  <si>
    <t>Methyl methracrylate</t>
  </si>
  <si>
    <t>123-86-4</t>
  </si>
  <si>
    <t>Butyl acetate(n-)</t>
  </si>
  <si>
    <t>108-88-3</t>
  </si>
  <si>
    <t>Toluene</t>
  </si>
  <si>
    <t>111-76-2</t>
  </si>
  <si>
    <t>Butoxyethanol</t>
  </si>
  <si>
    <t>1330-20-7</t>
  </si>
  <si>
    <t>Xylenes (o-,m-,p-isomers)</t>
  </si>
  <si>
    <t>ACGIH</t>
  </si>
  <si>
    <t>100-41-4</t>
  </si>
  <si>
    <t>Ethyl benzene</t>
  </si>
  <si>
    <t>107-21-1</t>
  </si>
  <si>
    <t>Ethylene glycol</t>
  </si>
  <si>
    <t>Ceil</t>
  </si>
  <si>
    <t>67-64-1</t>
  </si>
  <si>
    <t>Acetone</t>
  </si>
  <si>
    <t>110-54-3</t>
  </si>
  <si>
    <t>Hexane(n-)</t>
  </si>
  <si>
    <t>8052-41-3</t>
  </si>
  <si>
    <t>Stoddard solvent</t>
  </si>
  <si>
    <t>110-82-7</t>
  </si>
  <si>
    <t>Cyclohexane</t>
  </si>
  <si>
    <t>Normal Emissions Safety Factor</t>
  </si>
  <si>
    <t>Emission Rate Calculations</t>
  </si>
  <si>
    <t>Paint Usage</t>
  </si>
  <si>
    <t>(gal/hr)</t>
  </si>
  <si>
    <t>(L/s)</t>
  </si>
  <si>
    <t>Density (water assumed)</t>
  </si>
  <si>
    <t>(g/L)</t>
  </si>
  <si>
    <t>Total Emission Rate</t>
  </si>
  <si>
    <t>% emissions thru stack</t>
  </si>
  <si>
    <t>Emission Rate</t>
  </si>
  <si>
    <t>N2</t>
  </si>
  <si>
    <t>He</t>
  </si>
  <si>
    <t>Inert</t>
  </si>
  <si>
    <t>Carrier</t>
  </si>
  <si>
    <t>4 Devices: 10% Tracer Using 600 cc/s</t>
  </si>
  <si>
    <t>600 cc/s Device + 600 cc/s Device + 2000 cc/s Device + 2000 cc/s Device</t>
  </si>
  <si>
    <t>Tunnel Specific MFCs</t>
  </si>
  <si>
    <t>n/a</t>
  </si>
  <si>
    <t>Rev:</t>
  </si>
  <si>
    <t>Exhaust Sources Flows</t>
  </si>
  <si>
    <t>14</t>
  </si>
  <si>
    <t>15</t>
  </si>
  <si>
    <t>Single Device</t>
  </si>
  <si>
    <t>Multiple Devices</t>
  </si>
  <si>
    <t>100% Flow</t>
  </si>
  <si>
    <t>2000 cc/s Device</t>
  </si>
  <si>
    <t>32</t>
  </si>
  <si>
    <t>25</t>
  </si>
  <si>
    <t>12</t>
  </si>
  <si>
    <t>16</t>
  </si>
  <si>
    <t>Exhaust Sources Flows - FLOW VIS</t>
  </si>
  <si>
    <t>Rec.</t>
  </si>
  <si>
    <t>Reduced Flow Settings to 1 sheet linked to tunnnel, which is linked to ProjectBookmarks</t>
  </si>
  <si>
    <t>100Eth32</t>
  </si>
  <si>
    <t>10Eth90N221</t>
  </si>
  <si>
    <t>100N222</t>
  </si>
  <si>
    <t>100N212</t>
  </si>
  <si>
    <t>100Eth21</t>
  </si>
  <si>
    <t>10Eth90He21</t>
  </si>
  <si>
    <t>100He13</t>
  </si>
  <si>
    <t>100Eth34</t>
  </si>
  <si>
    <t>10Eth90N235</t>
  </si>
  <si>
    <t>10Eth90He35</t>
  </si>
  <si>
    <t>100Eth35</t>
  </si>
  <si>
    <t>100Eth23</t>
  </si>
  <si>
    <t>10Eth90He23</t>
  </si>
  <si>
    <t>100He25</t>
  </si>
  <si>
    <t>100N216</t>
  </si>
  <si>
    <t>100He16</t>
  </si>
  <si>
    <t>100N225</t>
  </si>
  <si>
    <t>100N217</t>
  </si>
  <si>
    <t>100He17</t>
  </si>
  <si>
    <t>34</t>
  </si>
  <si>
    <t>Leave at least 1 blank line below WT1 section</t>
  </si>
  <si>
    <t>Leave at least 1 blank line below WT2 section</t>
  </si>
  <si>
    <t>Leave at least 1 blank line below WT3 section</t>
  </si>
  <si>
    <t>Modified HideMacro to stop screen updating to improve performance speed</t>
  </si>
  <si>
    <t>Reduced Flow Input sheets to 1 sheet linked to tunnel selection</t>
  </si>
  <si>
    <t>Reduced Flow Vis Settings to 1 sheet linked to tunnel selection</t>
  </si>
  <si>
    <t>Reduced FCalInput sheets to 1 sheet and revised macro appropriately - selects the appropriate controllers based on the selected tunnel.</t>
  </si>
  <si>
    <t>Re-defined name ranges referring to FlowCals to refer to rows 9 to 116 and added note instructing to insert rows above. Tried referring to a named range in Flowcals but that was not stable.</t>
  </si>
  <si>
    <t>11_01</t>
  </si>
  <si>
    <t>jjc</t>
  </si>
  <si>
    <t>Fixed FCAL Input bug</t>
  </si>
  <si>
    <t>Fixed the Conditional Formatting problems in the Basic Energy Analysis section</t>
  </si>
  <si>
    <t>Change ISO results to link to Intubation values rather than Bronchoscopy values</t>
  </si>
  <si>
    <t>Added Plume Rise Scaling to simulation calculation tables. New/changed cells are colored magenta - 10/14/2011 RLP noted this was not implemented correctly</t>
  </si>
  <si>
    <t>11_01_1</t>
  </si>
  <si>
    <t>Reverted to old scaling method because RLP/BCC determined that the new scaling method as planned is not conservative AND it was not implemented correctly anyway</t>
  </si>
  <si>
    <t>Unchecked the "Update Links" in Advanced Options</t>
  </si>
  <si>
    <t>Renamed MacroHide to HideSimulationWindSpeeds</t>
  </si>
  <si>
    <t>Cleaned up some links to absolute cells in ProjectBookmarks</t>
  </si>
  <si>
    <t>FcalInput Macro was closing Flowcals.xlms too early and not able to finish - fixed it.</t>
  </si>
  <si>
    <t>Fixed formula for the 1 WS using 100% tracer</t>
  </si>
  <si>
    <t>Flow Input File - changed anemometer wind speeds to refer to 1% Wind Sheet instead of flow settings sheet</t>
  </si>
  <si>
    <t>Flow Settings Sheets (all 3)  - changed all anemometer wind speeds to refer to 1% Wind Sheet</t>
  </si>
  <si>
    <t>"----+----1--"</t>
  </si>
  <si>
    <t xml:space="preserve">            </t>
  </si>
  <si>
    <t xml:space="preserve">        Density</t>
  </si>
  <si>
    <t xml:space="preserve">Stack Label   </t>
  </si>
  <si>
    <t xml:space="preserve">Approach Label        </t>
  </si>
  <si>
    <t>-------------</t>
  </si>
  <si>
    <t>----------------------</t>
  </si>
  <si>
    <t>-------</t>
  </si>
  <si>
    <t xml:space="preserve">        "----+----"</t>
  </si>
  <si>
    <t>Flow Input File - changed to only allow 9 characters instead of 15 to match limits of vbDifcollect (was 12 - not sure when it got to 15 in this spreadsheet -, now 12 since we have "LL:" as the first 3 characters)</t>
  </si>
  <si>
    <t>12_01</t>
  </si>
  <si>
    <t>12_02</t>
  </si>
  <si>
    <t>fixed broken import for 1% wind speed</t>
  </si>
  <si>
    <t>Modules/Macros</t>
  </si>
  <si>
    <t>Added module “MacroColWidth” that will automatically set column width based on range you select. I have this set to Ctrl-W hot key combination.</t>
  </si>
  <si>
    <r>
      <t xml:space="preserve">Replaced the MacroMargins module - default printer for electronic reports is "PEERNET.DRV ePro 6.0" </t>
    </r>
    <r>
      <rPr>
        <sz val="12"/>
        <color rgb="FFFF0000"/>
        <rFont val="Times New Roman"/>
        <family val="1"/>
      </rPr>
      <t>you will need to change this line to match the version you use</t>
    </r>
    <r>
      <rPr>
        <sz val="12"/>
        <rFont val="Times New Roman"/>
        <family val="1"/>
      </rPr>
      <t>.</t>
    </r>
  </si>
  <si>
    <t>Added module “Printer_Default” to find the default printer for the “Margins_Hardcopy” macro</t>
  </si>
  <si>
    <t>Added module “Printer_NE_ID” to automatically find the port for the printer named in “Margins_Electronic” macro</t>
  </si>
  <si>
    <t>Added modules “Printer_Details” and “Printer_Function” that contain code from outside authors for handling various printer calls</t>
  </si>
  <si>
    <t>(Stack)</t>
  </si>
  <si>
    <t>(Alias)</t>
  </si>
  <si>
    <t>Proj Eng:</t>
  </si>
  <si>
    <t>Stack Summary</t>
  </si>
  <si>
    <t>Changed default print area to exclude alias letters</t>
  </si>
  <si>
    <t>Added outline</t>
  </si>
  <si>
    <t>QA</t>
  </si>
  <si>
    <t>Added Project Engineer initials</t>
  </si>
  <si>
    <t>Revised titles to allow narrower columns</t>
  </si>
  <si>
    <t>Changed orientation to Landscape</t>
  </si>
  <si>
    <t>Adjusted formatting to allow larger printed scale</t>
  </si>
  <si>
    <t>Fire criteria - change to single outer border</t>
  </si>
  <si>
    <t>EtO crteria - changed to portrait</t>
  </si>
  <si>
    <t>Paint Booth</t>
  </si>
  <si>
    <t xml:space="preserve">Changed emissions from 10% of paint used to 1% </t>
  </si>
  <si>
    <t>Changed to single borders</t>
  </si>
  <si>
    <t>Design Criteria Summary - changed to single border</t>
  </si>
  <si>
    <t>Above</t>
  </si>
  <si>
    <t>Op.</t>
  </si>
  <si>
    <t>Rec</t>
  </si>
  <si>
    <t>mean</t>
  </si>
  <si>
    <t>volt</t>
  </si>
  <si>
    <t>PRIORITY</t>
  </si>
  <si>
    <t>1) Only applies to Health Limits, Odor Thresholds are referenced in report text.</t>
  </si>
  <si>
    <t>Updated note 1 to refer to report text rather than Appendix C text</t>
  </si>
  <si>
    <t>Test plan</t>
  </si>
  <si>
    <t>Revised headers slighly to allow narrower columns</t>
  </si>
  <si>
    <t>Add "Priority" column to left for communication to tunnel techs</t>
  </si>
  <si>
    <t>Grade</t>
  </si>
  <si>
    <t>Results ISO</t>
  </si>
  <si>
    <t>Results OSHA</t>
  </si>
  <si>
    <t>Results Summary Multiple</t>
  </si>
  <si>
    <t>Table As - changed to single borders</t>
  </si>
  <si>
    <t>Added module “Print_Report” for printing report tables with CPP blue headers (this likes single borders)</t>
  </si>
  <si>
    <t>Isolation Criteria - reformatted to support color printing</t>
  </si>
  <si>
    <t>Uncontrolled</t>
  </si>
  <si>
    <r>
      <t>NO</t>
    </r>
    <r>
      <rPr>
        <vertAlign val="subscript"/>
        <sz val="12"/>
        <rFont val="Times New Roman"/>
        <family val="1"/>
      </rPr>
      <t>2</t>
    </r>
    <r>
      <rPr>
        <sz val="12"/>
        <rFont val="Times New Roman"/>
        <family val="1"/>
      </rPr>
      <t xml:space="preserve"> - NIOSH</t>
    </r>
    <r>
      <rPr>
        <vertAlign val="superscript"/>
        <sz val="12"/>
        <rFont val="Times New Roman"/>
        <family val="1"/>
      </rPr>
      <t>(1)</t>
    </r>
  </si>
  <si>
    <r>
      <t>NO</t>
    </r>
    <r>
      <rPr>
        <vertAlign val="subscript"/>
        <sz val="12"/>
        <rFont val="Times New Roman"/>
        <family val="1"/>
      </rPr>
      <t>2</t>
    </r>
    <r>
      <rPr>
        <sz val="12"/>
        <rFont val="Times New Roman"/>
        <family val="1"/>
      </rPr>
      <t xml:space="preserve"> - OSHA</t>
    </r>
    <r>
      <rPr>
        <vertAlign val="superscript"/>
        <sz val="12"/>
        <rFont val="Times New Roman"/>
        <family val="1"/>
      </rPr>
      <t>(1)</t>
    </r>
  </si>
  <si>
    <r>
      <t>SO</t>
    </r>
    <r>
      <rPr>
        <vertAlign val="subscript"/>
        <sz val="12"/>
        <rFont val="Times New Roman"/>
        <family val="1"/>
      </rPr>
      <t>2</t>
    </r>
    <r>
      <rPr>
        <sz val="12"/>
        <rFont val="Times New Roman"/>
        <family val="1"/>
      </rPr>
      <t xml:space="preserve"> - ACGIH</t>
    </r>
    <r>
      <rPr>
        <vertAlign val="superscript"/>
        <sz val="12"/>
        <rFont val="Times New Roman"/>
        <family val="1"/>
      </rPr>
      <t>(1)</t>
    </r>
  </si>
  <si>
    <r>
      <t>PM</t>
    </r>
    <r>
      <rPr>
        <vertAlign val="subscript"/>
        <sz val="12"/>
        <rFont val="Times New Roman"/>
        <family val="1"/>
      </rPr>
      <t>10</t>
    </r>
    <r>
      <rPr>
        <sz val="12"/>
        <rFont val="Times New Roman"/>
        <family val="1"/>
      </rPr>
      <t xml:space="preserve"> (Inhalable) OSHA</t>
    </r>
    <r>
      <rPr>
        <vertAlign val="superscript"/>
        <sz val="12"/>
        <rFont val="Times New Roman"/>
        <family val="1"/>
      </rPr>
      <t>(1)</t>
    </r>
  </si>
  <si>
    <r>
      <t>PM</t>
    </r>
    <r>
      <rPr>
        <vertAlign val="subscript"/>
        <sz val="12"/>
        <rFont val="Times New Roman"/>
        <family val="1"/>
      </rPr>
      <t>2.5</t>
    </r>
    <r>
      <rPr>
        <sz val="12"/>
        <rFont val="Times New Roman"/>
        <family val="1"/>
      </rPr>
      <t xml:space="preserve"> (Respirable) OSHA</t>
    </r>
    <r>
      <rPr>
        <vertAlign val="superscript"/>
        <sz val="12"/>
        <rFont val="Times New Roman"/>
        <family val="1"/>
      </rPr>
      <t>(1)</t>
    </r>
  </si>
  <si>
    <t>74-98-6</t>
  </si>
  <si>
    <t>12_03</t>
  </si>
  <si>
    <r>
      <t xml:space="preserve">Combustion Criteria </t>
    </r>
    <r>
      <rPr>
        <sz val="12"/>
        <color rgb="FFFF0000"/>
        <rFont val="Times New Roman"/>
        <family val="1"/>
      </rPr>
      <t>(TOO COMPLEX FOR COLOR or BW PRINTING, JUST USE BW FOR NOW)</t>
    </r>
  </si>
  <si>
    <t>12_04</t>
  </si>
  <si>
    <t>Fixed Fire Criteria - changed to 10% per m</t>
  </si>
  <si>
    <t>Updated MacroHide to make it run faster</t>
  </si>
  <si>
    <t>Updated Macro Naming to include version number</t>
  </si>
  <si>
    <t>13_00</t>
  </si>
  <si>
    <t>Fcal Input Macro: v11_00 was an older version that did not work, got into the template when I renamed to include version number (Pulled it from my Personal which was out of date)</t>
  </si>
  <si>
    <t>Replaced with v12_00 since it was the one in the v12_01 template that worked</t>
  </si>
  <si>
    <t>13_01</t>
  </si>
  <si>
    <t>JR</t>
  </si>
  <si>
    <t>Changed MFC's in "Flow Settings" and "Flow Cal Input File" sheets.  MFC-22 (from WT2) is dead. MFC-25 is now in WT2.  MFC-25 is NOT in WT3</t>
  </si>
  <si>
    <t>100N223</t>
  </si>
  <si>
    <t>100He24</t>
  </si>
  <si>
    <t>100He23</t>
  </si>
  <si>
    <t xml:space="preserve">Included "Source base height" in Test Plan sheet. </t>
  </si>
  <si>
    <t>Works with LABVIEW Probabilities program</t>
  </si>
  <si>
    <t>LABVIEW PROBABILITIES</t>
  </si>
  <si>
    <t>14_00</t>
  </si>
  <si>
    <t>Changed receptor print area, added row</t>
  </si>
  <si>
    <t>Changed Print Titles on Testplan Sheet</t>
  </si>
  <si>
    <t>Formatting anemometer specs on Stack Summary Sheet</t>
  </si>
  <si>
    <t>Round (OD)</t>
  </si>
  <si>
    <t>Real Time Plotter Input File</t>
  </si>
  <si>
    <t>Project Number</t>
  </si>
  <si>
    <t>Project Name</t>
  </si>
  <si>
    <t>Project Scale</t>
  </si>
  <si>
    <r>
      <t>Real Surface Roughness Length, z</t>
    </r>
    <r>
      <rPr>
        <vertAlign val="subscript"/>
        <sz val="12"/>
        <rFont val="Times New Roman"/>
        <family val="1"/>
      </rPr>
      <t>o, s</t>
    </r>
    <r>
      <rPr>
        <sz val="12"/>
        <rFont val="Times New Roman"/>
        <family val="1"/>
      </rPr>
      <t xml:space="preserve"> (m)</t>
    </r>
  </si>
  <si>
    <r>
      <t>Surface Roughness Length for Sigmas, z</t>
    </r>
    <r>
      <rPr>
        <vertAlign val="subscript"/>
        <sz val="12"/>
        <rFont val="Times New Roman"/>
        <family val="1"/>
      </rPr>
      <t>o, sigma</t>
    </r>
    <r>
      <rPr>
        <sz val="12"/>
        <rFont val="Times New Roman"/>
        <family val="1"/>
      </rPr>
      <t xml:space="preserve"> (m)</t>
    </r>
  </si>
  <si>
    <t>Stack/Receptor</t>
  </si>
  <si>
    <t>Stack/Receptor Description</t>
  </si>
  <si>
    <t>X Position (ft)</t>
  </si>
  <si>
    <t>Y Position (ft)</t>
  </si>
  <si>
    <t>Z Position (ft)</t>
  </si>
  <si>
    <t>Exit Velocity (m/s)</t>
  </si>
  <si>
    <t>Design Criteria Lower Bound (µg/m³)/(g/s)</t>
  </si>
  <si>
    <t>Design Criteria Upper Bound (µg/m³)/(g/s)</t>
  </si>
  <si>
    <t>EF-1/2</t>
  </si>
  <si>
    <t>6043549.1555</t>
  </si>
  <si>
    <t>2139086.8220</t>
  </si>
  <si>
    <t>AB</t>
  </si>
  <si>
    <t>EF-3/4</t>
  </si>
  <si>
    <t>6043553.8037</t>
  </si>
  <si>
    <t>2139066.9337</t>
  </si>
  <si>
    <t>EF-5/6</t>
  </si>
  <si>
    <t>6043558.2680</t>
  </si>
  <si>
    <t>2139047.7518</t>
  </si>
  <si>
    <t>EF-7</t>
  </si>
  <si>
    <t>6043559.5836</t>
  </si>
  <si>
    <t>2139089.5118</t>
  </si>
  <si>
    <t>RF-1</t>
  </si>
  <si>
    <t>6043548.8268</t>
  </si>
  <si>
    <t>2139180.9203</t>
  </si>
  <si>
    <t>EF-1/2-alt</t>
  </si>
  <si>
    <t>6043553.4032</t>
  </si>
  <si>
    <t>2139087.8035</t>
  </si>
  <si>
    <t>BB</t>
  </si>
  <si>
    <t>EF-3/4-alt</t>
  </si>
  <si>
    <t>6043557.2119</t>
  </si>
  <si>
    <t>2139067.7302</t>
  </si>
  <si>
    <t>5999K12</t>
  </si>
  <si>
    <t>6043362.2869</t>
  </si>
  <si>
    <t>2139033.4465</t>
  </si>
  <si>
    <t>CB</t>
  </si>
  <si>
    <t>5999K26</t>
  </si>
  <si>
    <t>6043364.5625</t>
  </si>
  <si>
    <t>2139023.7136</t>
  </si>
  <si>
    <t>AUTO-1</t>
  </si>
  <si>
    <t>6043441.4765</t>
  </si>
  <si>
    <t>2139159.0334</t>
  </si>
  <si>
    <t>DB</t>
  </si>
  <si>
    <t>AUTO-2</t>
  </si>
  <si>
    <t>6043488.3945</t>
  </si>
  <si>
    <t>2139282.4172</t>
  </si>
  <si>
    <t>DC</t>
  </si>
  <si>
    <t>Train</t>
  </si>
  <si>
    <t>6042807.5968</t>
  </si>
  <si>
    <t>2139121.0122</t>
  </si>
  <si>
    <t>DD</t>
  </si>
  <si>
    <t>CT-1</t>
  </si>
  <si>
    <t>6043365.0453</t>
  </si>
  <si>
    <t>2138780.2985</t>
  </si>
  <si>
    <t>DE</t>
  </si>
  <si>
    <t>6043494.3006</t>
  </si>
  <si>
    <t>2139218.5204</t>
  </si>
  <si>
    <t>6043551.2812</t>
  </si>
  <si>
    <t>2139222.1626</t>
  </si>
  <si>
    <t>6043580.2757</t>
  </si>
  <si>
    <t>2139204.8069</t>
  </si>
  <si>
    <t>6043647.2741</t>
  </si>
  <si>
    <t>2139300.8112</t>
  </si>
  <si>
    <t>6043690.3909</t>
  </si>
  <si>
    <t>2139142.7479</t>
  </si>
  <si>
    <t>6043775.0395</t>
  </si>
  <si>
    <t>2139163.3854</t>
  </si>
  <si>
    <t>6043451.8705</t>
  </si>
  <si>
    <t>2138796.1385</t>
  </si>
  <si>
    <t>6043462.0362</t>
  </si>
  <si>
    <t>2138763.8772</t>
  </si>
  <si>
    <t>6043375.2948</t>
  </si>
  <si>
    <t>2138987.3140</t>
  </si>
  <si>
    <t>6043291.0926</t>
  </si>
  <si>
    <t>2139012.1817</t>
  </si>
  <si>
    <t>6043272.3382</t>
  </si>
  <si>
    <t>2139267.8486</t>
  </si>
  <si>
    <t>6043340.3859</t>
  </si>
  <si>
    <t>2139788.9175</t>
  </si>
  <si>
    <t>6043291.1394</t>
  </si>
  <si>
    <t>2139603.6848</t>
  </si>
  <si>
    <t>6043869.1114</t>
  </si>
  <si>
    <t>2139661.4722</t>
  </si>
  <si>
    <t>6044195.0674</t>
  </si>
  <si>
    <t>2139262.2525</t>
  </si>
  <si>
    <t>6043799.0905</t>
  </si>
  <si>
    <t>2139039.6872</t>
  </si>
  <si>
    <t>6044190.1497</t>
  </si>
  <si>
    <t>2139096.3823</t>
  </si>
  <si>
    <t>6043131.0256</t>
  </si>
  <si>
    <t>2138851.6422</t>
  </si>
  <si>
    <t>6043150.4148</t>
  </si>
  <si>
    <t>2138911.3742</t>
  </si>
  <si>
    <t>6043259.6087</t>
  </si>
  <si>
    <t>2139152.6668</t>
  </si>
  <si>
    <t>6043543.4062</t>
  </si>
  <si>
    <t>2139131.9391</t>
  </si>
  <si>
    <t>14_01</t>
  </si>
  <si>
    <t>Added RTP.inp tab for new Real Time Plotter input file</t>
  </si>
  <si>
    <t>Added Macro RTP_Input_Write to the template workbook -- this writes the XXXXrtp.inp to the same directory as the spreadsheet</t>
  </si>
  <si>
    <t>Added "Selected Brass Size OD" to the Stack Summary tab - because I didn’t like toggling to the QA sheet to find it</t>
  </si>
  <si>
    <t>Flow Vis Settings Tab - updated the correct MFC's for the correct WT. Note this should have been done with the v13_01 changes above.</t>
  </si>
  <si>
    <t>Flow Vis Settings and Air Intake Settings - Shaded every other line (request from Ttechs to make these easier to read since they set them manually)</t>
  </si>
  <si>
    <t>Air Intake Settings Tab- updated MFC's for WT2. MFC-14 and MFC-15 combination for multiple MFC use.</t>
  </si>
  <si>
    <t>1% Wind Tab - default the sheet to "black and white" for printing to report</t>
  </si>
  <si>
    <t>Dilution Criteria Tab - Changed the print area to automatically disregard the "Source Number"</t>
  </si>
  <si>
    <t>Critical</t>
  </si>
  <si>
    <t>Fit</t>
  </si>
  <si>
    <t>RMSE</t>
  </si>
  <si>
    <t>Bias</t>
  </si>
  <si>
    <t>WDmin</t>
  </si>
  <si>
    <t>WDmax</t>
  </si>
  <si>
    <t>Plot</t>
  </si>
  <si>
    <t>1% wind</t>
  </si>
  <si>
    <t>(æg/m3</t>
  </si>
  <si>
    <t>Coefficient</t>
  </si>
  <si>
    <t>Time</t>
  </si>
  <si>
    <t>speed</t>
  </si>
  <si>
    <t>per g/s)</t>
  </si>
  <si>
    <t>concentration</t>
  </si>
  <si>
    <t>Completed</t>
  </si>
  <si>
    <t>(ug/m3 per g/s)</t>
  </si>
  <si>
    <t>AB:EF-BSL2-2</t>
  </si>
  <si>
    <t>1 TVMDL penthouse intake</t>
  </si>
  <si>
    <t>2 TVMDL penthouse intake</t>
  </si>
  <si>
    <t>AA:EF-BSL2-1</t>
  </si>
  <si>
    <t>AC:EF-BSL2-3</t>
  </si>
  <si>
    <t>AD:EF-BSL3-1</t>
  </si>
  <si>
    <t>AE:EF-BSL3-2</t>
  </si>
  <si>
    <t>AH:DG</t>
  </si>
  <si>
    <t>4 NNW ped location</t>
  </si>
  <si>
    <t>7 TVMDL parking lot</t>
  </si>
  <si>
    <t>8 NE ped location</t>
  </si>
  <si>
    <t>10 SE ped location</t>
  </si>
  <si>
    <t>102A</t>
  </si>
  <si>
    <t>for plots:</t>
  </si>
  <si>
    <t>Ucrit</t>
  </si>
  <si>
    <t>plot these:</t>
  </si>
  <si>
    <t>WS</t>
  </si>
  <si>
    <t>criteria</t>
  </si>
  <si>
    <t>1% WS</t>
  </si>
  <si>
    <t>conc</t>
  </si>
  <si>
    <t xml:space="preserve"> Wind</t>
  </si>
  <si>
    <t xml:space="preserve">   C/m  </t>
  </si>
  <si>
    <t>FIT</t>
  </si>
  <si>
    <t>Turn up/down by factor of:</t>
  </si>
  <si>
    <t>% of full flow</t>
  </si>
  <si>
    <t xml:space="preserve"> Dir.</t>
  </si>
  <si>
    <t xml:space="preserve"> (µg/m3</t>
  </si>
  <si>
    <t>C/m max</t>
  </si>
  <si>
    <t>WDcrit</t>
  </si>
  <si>
    <t>─────</t>
  </si>
  <si>
    <t>────────</t>
  </si>
  <si>
    <t>estimate based on fit:</t>
  </si>
  <si>
    <t>109A</t>
  </si>
  <si>
    <t>111A</t>
  </si>
  <si>
    <t>122A</t>
  </si>
  <si>
    <t>15_01</t>
  </si>
  <si>
    <t>AZ</t>
  </si>
  <si>
    <t>This means the four columns with the non-rounded numbers need to be hidden like some others.</t>
  </si>
  <si>
    <t>EXACT Percent Time</t>
  </si>
  <si>
    <t>Approximate Percent Time</t>
  </si>
  <si>
    <t>Added columns to test plan results to display probabilities as rounded percentages (1%,2%,9%,14%, 20%,30%, etc.) - easier to read for client</t>
  </si>
  <si>
    <t>15_02</t>
  </si>
  <si>
    <t>Updated the data import macro. There was a bug with the subroutine that converted column numbers to column letters that involved an erroneous calculation for the second half of the alphabet for 2-letter column names</t>
  </si>
  <si>
    <t>15_03</t>
  </si>
  <si>
    <t>Updated fcal.inp data link and macro to look up the MFC cals in the new location on Thunder (\\THUNDER\Lab Management\Flecks Stuff\Equipment - Wind Tunnels\MFC)</t>
  </si>
  <si>
    <t>Rec #</t>
  </si>
  <si>
    <t>LINKED FROM TEST PLAN</t>
  </si>
  <si>
    <t>(m3/s)</t>
  </si>
  <si>
    <t>Distance to</t>
  </si>
  <si>
    <t>S</t>
  </si>
  <si>
    <t>Turb</t>
  </si>
  <si>
    <t>λ</t>
  </si>
  <si>
    <t>Beta β</t>
  </si>
  <si>
    <t>m/s</t>
  </si>
  <si>
    <t>PREDICTED</t>
  </si>
  <si>
    <t>Cp &lt; Cm</t>
  </si>
  <si>
    <t>M</t>
  </si>
  <si>
    <t>MAX</t>
  </si>
  <si>
    <t>Predicted/</t>
  </si>
  <si>
    <t>Difference</t>
  </si>
  <si>
    <t>Delta</t>
  </si>
  <si>
    <t>Stack Tip</t>
  </si>
  <si>
    <t>Z</t>
  </si>
  <si>
    <r>
      <t>U</t>
    </r>
    <r>
      <rPr>
        <b/>
        <vertAlign val="subscript"/>
        <sz val="12"/>
        <rFont val="Times New Roman"/>
        <family val="1"/>
      </rPr>
      <t>H</t>
    </r>
  </si>
  <si>
    <t>X</t>
  </si>
  <si>
    <t>Min.</t>
  </si>
  <si>
    <r>
      <t>h</t>
    </r>
    <r>
      <rPr>
        <b/>
        <vertAlign val="subscript"/>
        <sz val="12"/>
        <rFont val="Times New Roman"/>
        <family val="1"/>
      </rPr>
      <t>s</t>
    </r>
  </si>
  <si>
    <r>
      <t>V</t>
    </r>
    <r>
      <rPr>
        <b/>
        <vertAlign val="subscript"/>
        <sz val="12"/>
        <rFont val="Times New Roman"/>
        <family val="1"/>
      </rPr>
      <t>e</t>
    </r>
  </si>
  <si>
    <r>
      <t>d</t>
    </r>
    <r>
      <rPr>
        <b/>
        <vertAlign val="subscript"/>
        <sz val="12"/>
        <rFont val="Times New Roman"/>
        <family val="1"/>
      </rPr>
      <t>e</t>
    </r>
  </si>
  <si>
    <r>
      <t>Q</t>
    </r>
    <r>
      <rPr>
        <b/>
        <vertAlign val="subscript"/>
        <sz val="12"/>
        <rFont val="Times New Roman"/>
        <family val="1"/>
      </rPr>
      <t>e</t>
    </r>
  </si>
  <si>
    <t>ASHRAE SCREENING TOOL</t>
  </si>
  <si>
    <t>Post-Testing Comparison</t>
  </si>
  <si>
    <t>Predicted</t>
  </si>
  <si>
    <t>vs</t>
  </si>
  <si>
    <t>15_04</t>
  </si>
  <si>
    <t>Added tab for "ASHRAE Screening tool" - R&amp;D 145</t>
  </si>
  <si>
    <t>15_05</t>
  </si>
  <si>
    <t>ARZ</t>
  </si>
  <si>
    <t>Changed the air intake flow settings so that WT3 was Air, not N2. Moved MFC's 14 &amp; 15 to WT3 from WT2. Removed MFC19 from WT3.</t>
  </si>
  <si>
    <t>Approximate percentage of time for which the prescribed emission scenario may produce concentrations greater than (2), based on a curve fit to all data collected for the specific source/receptor pair and the local wind frequency distribution.</t>
  </si>
  <si>
    <t>15_06</t>
  </si>
  <si>
    <t>added NAAQS and Cal/OSHA limits to combustion criteria tab</t>
  </si>
  <si>
    <r>
      <t>NO</t>
    </r>
    <r>
      <rPr>
        <vertAlign val="subscript"/>
        <sz val="12"/>
        <rFont val="Times New Roman"/>
        <family val="1"/>
      </rPr>
      <t>2</t>
    </r>
    <r>
      <rPr>
        <sz val="12"/>
        <rFont val="Times New Roman"/>
        <family val="1"/>
      </rPr>
      <t xml:space="preserve"> - NAAQS</t>
    </r>
    <r>
      <rPr>
        <vertAlign val="superscript"/>
        <sz val="12"/>
        <rFont val="Times New Roman"/>
        <family val="1"/>
      </rPr>
      <t>(1)</t>
    </r>
  </si>
  <si>
    <r>
      <t>NO</t>
    </r>
    <r>
      <rPr>
        <vertAlign val="subscript"/>
        <sz val="12"/>
        <rFont val="Times New Roman"/>
        <family val="1"/>
      </rPr>
      <t>2</t>
    </r>
    <r>
      <rPr>
        <sz val="12"/>
        <rFont val="Times New Roman"/>
        <family val="1"/>
      </rPr>
      <t xml:space="preserve"> - Cal/OSHA</t>
    </r>
    <r>
      <rPr>
        <vertAlign val="superscript"/>
        <sz val="12"/>
        <rFont val="Times New Roman"/>
        <family val="1"/>
      </rPr>
      <t>(1)</t>
    </r>
  </si>
  <si>
    <r>
      <t>SO</t>
    </r>
    <r>
      <rPr>
        <vertAlign val="subscript"/>
        <sz val="12"/>
        <rFont val="Times New Roman"/>
        <family val="1"/>
      </rPr>
      <t>2</t>
    </r>
    <r>
      <rPr>
        <sz val="12"/>
        <rFont val="Times New Roman"/>
        <family val="1"/>
      </rPr>
      <t xml:space="preserve"> - NAAQS</t>
    </r>
    <r>
      <rPr>
        <vertAlign val="superscript"/>
        <sz val="12"/>
        <rFont val="Times New Roman"/>
        <family val="1"/>
      </rPr>
      <t>(1)</t>
    </r>
  </si>
  <si>
    <r>
      <t>PM</t>
    </r>
    <r>
      <rPr>
        <vertAlign val="subscript"/>
        <sz val="12"/>
        <rFont val="Times New Roman"/>
        <family val="1"/>
      </rPr>
      <t>10</t>
    </r>
    <r>
      <rPr>
        <sz val="12"/>
        <rFont val="Times New Roman"/>
        <family val="1"/>
      </rPr>
      <t xml:space="preserve"> (Inhalable) NAAQS</t>
    </r>
    <r>
      <rPr>
        <vertAlign val="superscript"/>
        <sz val="12"/>
        <rFont val="Times New Roman"/>
        <family val="1"/>
      </rPr>
      <t>(1)</t>
    </r>
  </si>
  <si>
    <r>
      <t>PM</t>
    </r>
    <r>
      <rPr>
        <vertAlign val="subscript"/>
        <sz val="12"/>
        <rFont val="Times New Roman"/>
        <family val="1"/>
      </rPr>
      <t>2.5</t>
    </r>
    <r>
      <rPr>
        <sz val="12"/>
        <rFont val="Times New Roman"/>
        <family val="1"/>
      </rPr>
      <t xml:space="preserve"> (Respirable) NAAQS</t>
    </r>
    <r>
      <rPr>
        <vertAlign val="superscript"/>
        <sz val="12"/>
        <rFont val="Times New Roman"/>
        <family val="1"/>
      </rPr>
      <t>(1)</t>
    </r>
  </si>
  <si>
    <t>% sulfur in fuel:</t>
  </si>
  <si>
    <t>ambient ratio of 0.9 assumed for all NO conversion</t>
  </si>
  <si>
    <t>NAAQS Health Design Criteria (µg/m³)/(g/s):</t>
  </si>
  <si>
    <r>
      <t>Cal/OSHA - NO</t>
    </r>
    <r>
      <rPr>
        <vertAlign val="subscript"/>
        <sz val="12"/>
        <rFont val="Times New Roman"/>
        <family val="1"/>
      </rPr>
      <t>2</t>
    </r>
    <r>
      <rPr>
        <sz val="12"/>
        <rFont val="Times New Roman"/>
        <family val="1"/>
      </rPr>
      <t xml:space="preserve"> (µg/m³)/(g/s):</t>
    </r>
  </si>
  <si>
    <r>
      <t>NAAQS - NO</t>
    </r>
    <r>
      <rPr>
        <vertAlign val="subscript"/>
        <sz val="12"/>
        <rFont val="Times New Roman"/>
        <family val="1"/>
      </rPr>
      <t>2</t>
    </r>
    <r>
      <rPr>
        <sz val="12"/>
        <rFont val="Times New Roman"/>
        <family val="1"/>
      </rPr>
      <t xml:space="preserve"> (µg/m³)/(g/s):</t>
    </r>
  </si>
  <si>
    <r>
      <t>ACGIH - SO</t>
    </r>
    <r>
      <rPr>
        <vertAlign val="subscript"/>
        <sz val="12"/>
        <rFont val="Times New Roman"/>
        <family val="1"/>
      </rPr>
      <t>2</t>
    </r>
    <r>
      <rPr>
        <sz val="12"/>
        <rFont val="Times New Roman"/>
        <family val="1"/>
      </rPr>
      <t xml:space="preserve"> (µg/m³)/(g/s):</t>
    </r>
  </si>
  <si>
    <r>
      <t>NAAQS - SO</t>
    </r>
    <r>
      <rPr>
        <vertAlign val="subscript"/>
        <sz val="12"/>
        <rFont val="Times New Roman"/>
        <family val="1"/>
      </rPr>
      <t>2</t>
    </r>
    <r>
      <rPr>
        <sz val="12"/>
        <rFont val="Times New Roman"/>
        <family val="1"/>
      </rPr>
      <t xml:space="preserve"> (µg/m³)/(g/s):</t>
    </r>
  </si>
  <si>
    <r>
      <t>OSHA - PM</t>
    </r>
    <r>
      <rPr>
        <vertAlign val="subscript"/>
        <sz val="12"/>
        <rFont val="Times New Roman"/>
        <family val="1"/>
      </rPr>
      <t>10</t>
    </r>
    <r>
      <rPr>
        <sz val="12"/>
        <rFont val="Times New Roman"/>
        <family val="1"/>
      </rPr>
      <t xml:space="preserve"> (µg/m³)/(g/s):</t>
    </r>
  </si>
  <si>
    <r>
      <t>OSHA - PM</t>
    </r>
    <r>
      <rPr>
        <vertAlign val="subscript"/>
        <sz val="12"/>
        <rFont val="Times New Roman"/>
        <family val="1"/>
      </rPr>
      <t>2.5</t>
    </r>
    <r>
      <rPr>
        <sz val="12"/>
        <rFont val="Times New Roman"/>
        <family val="1"/>
      </rPr>
      <t xml:space="preserve"> (µg/m³)/(g/s):</t>
    </r>
  </si>
  <si>
    <r>
      <t>NAAQS - PM</t>
    </r>
    <r>
      <rPr>
        <vertAlign val="subscript"/>
        <sz val="12"/>
        <rFont val="Times New Roman"/>
        <family val="1"/>
      </rPr>
      <t>10</t>
    </r>
    <r>
      <rPr>
        <sz val="12"/>
        <rFont val="Times New Roman"/>
        <family val="1"/>
      </rPr>
      <t xml:space="preserve"> (µg/m³)/(g/s):</t>
    </r>
  </si>
  <si>
    <r>
      <t>NAAQS - PM</t>
    </r>
    <r>
      <rPr>
        <vertAlign val="subscript"/>
        <sz val="12"/>
        <rFont val="Times New Roman"/>
        <family val="1"/>
      </rPr>
      <t>2.5</t>
    </r>
    <r>
      <rPr>
        <sz val="12"/>
        <rFont val="Times New Roman"/>
        <family val="1"/>
      </rPr>
      <t xml:space="preserve"> (µg/m³)/(g/s):</t>
    </r>
  </si>
  <si>
    <r>
      <t>NO</t>
    </r>
    <r>
      <rPr>
        <vertAlign val="subscript"/>
        <sz val="12"/>
        <rFont val="Times New Roman"/>
        <family val="1"/>
      </rPr>
      <t>2</t>
    </r>
    <r>
      <rPr>
        <sz val="12"/>
        <rFont val="Times New Roman"/>
        <family val="1"/>
      </rPr>
      <t>/NO</t>
    </r>
    <r>
      <rPr>
        <vertAlign val="subscript"/>
        <sz val="12"/>
        <rFont val="Times New Roman"/>
        <family val="1"/>
      </rPr>
      <t>x</t>
    </r>
    <r>
      <rPr>
        <sz val="12"/>
        <rFont val="Times New Roman"/>
        <family val="1"/>
      </rPr>
      <t xml:space="preserve"> ambient ratio:</t>
    </r>
  </si>
  <si>
    <t>DI</t>
  </si>
  <si>
    <t>broke the link to the 7754 test plan (was accidentally linked sometime in 2014)</t>
  </si>
  <si>
    <t>NOx</t>
  </si>
  <si>
    <t>Total NOx</t>
  </si>
  <si>
    <t>(µg/m³)</t>
  </si>
  <si>
    <t>Normalized Concentration Results, Total NOx Concentration Results and Resulting Ambient Ratio for each Combustion Source Configuration</t>
  </si>
  <si>
    <t>Total NOx emission rate</t>
  </si>
  <si>
    <t xml:space="preserve">The resulting maximum NOx concentration. </t>
  </si>
  <si>
    <t xml:space="preserve">The resulting ambient ratio of NOx/NO2. </t>
  </si>
  <si>
    <t>link the NOx emission rate to the one in the Combustion Criteria tab</t>
  </si>
  <si>
    <t>Pick the highest resulting ambient ratio for each source and stick it into the Combustion Criteria tab to calculate the correct NO2 criterion</t>
  </si>
  <si>
    <t>EF-1</t>
  </si>
  <si>
    <t>EF-2</t>
  </si>
  <si>
    <t>EF-3</t>
  </si>
  <si>
    <t>EF-4</t>
  </si>
  <si>
    <t>EF-5</t>
  </si>
  <si>
    <t>EF-6</t>
  </si>
  <si>
    <t>EF-8</t>
  </si>
  <si>
    <t>EF-9</t>
  </si>
  <si>
    <t>added tab to calculate the ambient ratio based on WT results</t>
  </si>
  <si>
    <t>added additional tabs for simulation criteria (Table AA's)</t>
  </si>
  <si>
    <t>Formatted the simulated AHU's as number in both the stack summary and QA sheet to fix a bug-type-thing.</t>
  </si>
  <si>
    <t>15_07</t>
  </si>
  <si>
    <t>Updated "Flow Settings" tab to include current MFC's in WT1</t>
  </si>
  <si>
    <t>Updated "Flow Cal Input File" to include gas/MFC combinations for WT1</t>
  </si>
  <si>
    <t>100N231</t>
  </si>
  <si>
    <t>15_08</t>
  </si>
  <si>
    <t>Fixed delta Z calc on ASHRAE Screening Tool tab</t>
  </si>
  <si>
    <t>16_02</t>
  </si>
  <si>
    <t>Added new MFC combination to WT1 flow cals. We were missing 10% eth on 20 series and 90% tracer on 10 series.  Added 100Eth21 (10%) || 100N212 (90%) to the flow cal input file sheet.</t>
  </si>
  <si>
    <t>17_00</t>
  </si>
  <si>
    <t>Corrected Isolation Room criteria sheet. Relinked IsoNoHepa and IsoHepa, deleted redundant links. Changed room size to 12'x35'x20'</t>
  </si>
  <si>
    <t>26</t>
  </si>
  <si>
    <t>10Eth90N226</t>
  </si>
  <si>
    <t>100N226</t>
  </si>
  <si>
    <t>Removed from WT3 MFC combos -- per KJF may not need premix on 20 series-- at the time these were removed there was no cal for premix on MFC-26, if that cal is needed/added we can add these combos back in -JR</t>
  </si>
  <si>
    <t>Updated Flow Cal Input file and Flow Settings -- MFC-24 was replaced by MFC-26</t>
  </si>
  <si>
    <t>No premix Calibration for MFC-26 - from talking with KJF, premix on a 20 series MFC may not be needed. If we do need it, we can add the combinations back in that are highlighted Green on the Flow Cal Input file</t>
  </si>
  <si>
    <t>17_01</t>
  </si>
  <si>
    <t>removed premix combo with Helium so the fcal macro doesn’t crash. Helium no longer used.</t>
  </si>
  <si>
    <t>Instructions:</t>
  </si>
  <si>
    <t>Post-Processed</t>
  </si>
  <si>
    <t>Turn-up</t>
  </si>
  <si>
    <t xml:space="preserve">Turn-down </t>
  </si>
  <si>
    <t>Scalar</t>
  </si>
  <si>
    <t>RUN #</t>
  </si>
  <si>
    <t>ORIGINAL RUN</t>
  </si>
  <si>
    <t>SCALAR</t>
  </si>
  <si>
    <t>POST-PROCESSED</t>
  </si>
  <si>
    <t>ED:EF-5-2a</t>
  </si>
  <si>
    <t>9 AHU-2-2</t>
  </si>
  <si>
    <t>12 AHU-1-2</t>
  </si>
  <si>
    <t>15 AHU-V1-2</t>
  </si>
  <si>
    <t>% Full Flow</t>
  </si>
  <si>
    <t>Copy fitnew.xls into columns A8-Q (DON’T copy over the whole row or you'll overwrite valuable formulas)</t>
  </si>
  <si>
    <t>Fill out cells with red text and yellow highlight</t>
  </si>
  <si>
    <t xml:space="preserve">Goal-seek max concentration (Column U) to criteria value </t>
  </si>
  <si>
    <t>by changing scalar (Column T),</t>
  </si>
  <si>
    <t>17_02</t>
  </si>
  <si>
    <t>Added tab "Fit and Interpolation - V2" for post processing a run that has a fit. This applies a scalar that is useful on Energy Analysis runs where Peak Conc &gt; criteria and WS crit &gt; 1% WS</t>
  </si>
  <si>
    <t>Hid the old Fit and Interpolation sheet in case you still want to use it. It requires both a fit (fitnew.xls) and individual run data (.out file)</t>
  </si>
  <si>
    <t>Probability of Developing Active TB</t>
  </si>
  <si>
    <t>Meteorological Probability of Exceeding</t>
  </si>
  <si>
    <t>WHO Recommended Acceptability Thresholds</t>
  </si>
  <si>
    <t>Step 1 -</t>
  </si>
  <si>
    <t>Probability of infection based on your maximum concentration</t>
  </si>
  <si>
    <t>Step 2 -</t>
  </si>
  <si>
    <t>PROBABILITY LOOKUPS</t>
  </si>
  <si>
    <t>Step 3 (If needed)</t>
  </si>
  <si>
    <t>Compound probability with the frequency of a procedure</t>
  </si>
  <si>
    <t>Total Probability of Infection</t>
  </si>
  <si>
    <t>Emission Events</t>
  </si>
  <si>
    <t>Procedures/day</t>
  </si>
  <si>
    <t>per year</t>
  </si>
  <si>
    <t>Total Probability of Exceeding</t>
  </si>
  <si>
    <t>Run AQ probabilities for these 3 criteria</t>
  </si>
  <si>
    <t>Probability of infection compounded with probability of wind events(Weibull)</t>
  </si>
  <si>
    <t>17_03</t>
  </si>
  <si>
    <t>Added "Iso Results - No HEPA" and "Iso Results - With HEPA" to incorporate the weibull wind data into our probability of exceedance</t>
  </si>
  <si>
    <t>Changed the low cutoff on "Test Plan &amp; Results" to 1/4 the lowest criterion, instead of 1/2. Widening the band for detailed analysis.</t>
  </si>
  <si>
    <t>β=1 (Vertical)</t>
  </si>
  <si>
    <t>β=0 (Capped)</t>
  </si>
  <si>
    <t>TEST PLAN MIRROR FORMAT (links RUN NUMBERS to pull info from test plan)</t>
  </si>
  <si>
    <t>NUMERICAL / EVERY STACK COMBINATION FORMAT (links STACK SOURCE LETTER and RECEPTOR NUMBER to pull info from Stack Summary, can use Run Number to link WT Results)</t>
  </si>
  <si>
    <t>23</t>
  </si>
  <si>
    <t>21</t>
  </si>
  <si>
    <t>31</t>
  </si>
  <si>
    <t>"FlowVis Settings" -  Set Uref = 2m/s, updated the MFC's to be current</t>
  </si>
  <si>
    <t xml:space="preserve">Updated "ASHRAE SCREENING TOOL" - new formats, you can either use the tool to link stack info from the test plan, or from the stack summary. Un-hid the Beta term for Capped (B=0) and Uncapped Stacks (B=1)
</t>
  </si>
  <si>
    <t>2) Refresh data by right-click on cell A12 and select 'Refresh' (allows you to select new file).</t>
  </si>
  <si>
    <t>17_04</t>
  </si>
  <si>
    <t>small cosmetic edits in the QA and the 1% Wind sheets</t>
  </si>
  <si>
    <t>17_05</t>
  </si>
  <si>
    <t>Updated ASHRAE criterion reference</t>
  </si>
  <si>
    <t>Project:</t>
  </si>
  <si>
    <t>Cutoff</t>
  </si>
  <si>
    <t>Changed print area for flow settings. Hid the columns for 10Eth90N226 - since this combination for premix is no longer used at the tunnel</t>
  </si>
  <si>
    <t>Added project number, print date/time to header on test plan (tech request)</t>
  </si>
  <si>
    <t>Detailed LOW</t>
  </si>
  <si>
    <t>Detailed HIGH</t>
  </si>
  <si>
    <t>8-Hour TWA</t>
  </si>
  <si>
    <t>Formaldehyde Emission Scenario</t>
  </si>
  <si>
    <t>(ppmv)</t>
  </si>
  <si>
    <t>Formaldehyde Release per Cadaver [mg/min/Cadaver]:</t>
  </si>
  <si>
    <t>Number of Tables/Cadavers:</t>
  </si>
  <si>
    <t>Formaldehyde Release Rate [g/s]:</t>
  </si>
  <si>
    <t>Formaldehyde Molecular Mass [g/mol]:</t>
  </si>
  <si>
    <r>
      <t>Safety Factor (ANSI/AIHA Z9.5)</t>
    </r>
    <r>
      <rPr>
        <b/>
        <vertAlign val="superscript"/>
        <sz val="12"/>
        <color rgb="FF000000"/>
        <rFont val="Times New Roman"/>
        <family val="1"/>
      </rPr>
      <t>1</t>
    </r>
    <r>
      <rPr>
        <b/>
        <sz val="12"/>
        <color rgb="FF000000"/>
        <rFont val="Times New Roman"/>
        <family val="1"/>
      </rPr>
      <t>:</t>
    </r>
  </si>
  <si>
    <t>Exposure Limits (µg/m³)</t>
  </si>
  <si>
    <t>Normalized Criterion  (µg/m³) / (g/s)</t>
  </si>
  <si>
    <t>1) Exhaust concentrations recommended to be discharged such that reentrainment concentrations are no worse than 20% of the allowable concentrations within the laboratory (Section 5.4.5, ANSI/AIHA Z9.5-2010).</t>
  </si>
  <si>
    <t>Adjust number of tables/cadavers based on project specific room configuration</t>
  </si>
  <si>
    <t>18_00</t>
  </si>
  <si>
    <t>Added Formaldehyde Criteria sheet for anatomy labs with cadavers (per CPP11234)</t>
  </si>
  <si>
    <r>
      <t xml:space="preserve">2) Columns N-R </t>
    </r>
    <r>
      <rPr>
        <b/>
        <sz val="12"/>
        <rFont val="Times New Roman"/>
        <family val="1"/>
      </rPr>
      <t>REQUIRED</t>
    </r>
    <r>
      <rPr>
        <sz val="12"/>
        <rFont val="Times New Roman"/>
        <family val="1"/>
      </rPr>
      <t xml:space="preserve"> for Table A calculations</t>
    </r>
  </si>
  <si>
    <t>4) Columns S-U for buoyancy matching</t>
  </si>
  <si>
    <t xml:space="preserve">User Determined Table A Values </t>
  </si>
  <si>
    <t>Buoyancy Ratios</t>
  </si>
  <si>
    <t>Buoyant</t>
  </si>
  <si>
    <t>Building 3</t>
  </si>
  <si>
    <t>Ran spell check on each sheet - I've been wanting to do that forever</t>
  </si>
  <si>
    <t>20% of fume hood criteria which assumes limited chemical usage</t>
  </si>
  <si>
    <t>type the run numbers for all combustion source runs</t>
  </si>
  <si>
    <t>Obscuration target, l=</t>
  </si>
  <si>
    <t>for Ethylene Oxide Sterilizer</t>
  </si>
  <si>
    <t>See Note 1 for explanation on Safety Factor 5</t>
  </si>
  <si>
    <t>If the post-processed peak occurs in the EA wind speeds, limit wind speed (Column S) to the 1%WS (i.e. hard type 1%WS into Column T and redo goal search)</t>
  </si>
  <si>
    <t>Colorado State University</t>
  </si>
  <si>
    <t>11234</t>
  </si>
  <si>
    <t>Health Education Outreach Center</t>
  </si>
  <si>
    <t>Cleaned up all the named ranges that were linked to old test plans, really hoping that didn’t mess anything else up, we'll find out the next time we use the new template</t>
  </si>
  <si>
    <t>Limits</t>
  </si>
  <si>
    <t>MW (CO)</t>
  </si>
  <si>
    <t>g/mol</t>
  </si>
  <si>
    <t>ppm</t>
  </si>
  <si>
    <t>ppb</t>
  </si>
  <si>
    <t>MW (No2)</t>
  </si>
  <si>
    <t>mg/m3</t>
  </si>
  <si>
    <t>MW (SO2)</t>
  </si>
  <si>
    <t>Backgrounds</t>
  </si>
  <si>
    <t>NAAQS Criteria Achieved? (2),(3)</t>
  </si>
  <si>
    <t>Maximum Predicted Combined Concentration</t>
  </si>
  <si>
    <t>NAAQS Normalized Criteria</t>
  </si>
  <si>
    <t>Source Emission Information</t>
  </si>
  <si>
    <t>NO2</t>
  </si>
  <si>
    <t>PM2.5</t>
  </si>
  <si>
    <t>PM10</t>
  </si>
  <si>
    <t>SO2</t>
  </si>
  <si>
    <t>Nox</t>
  </si>
  <si>
    <t>NO</t>
  </si>
  <si>
    <t>8 Hr</t>
  </si>
  <si>
    <t>1 Hr</t>
  </si>
  <si>
    <t>1 Yr</t>
  </si>
  <si>
    <t>24 Hr</t>
  </si>
  <si>
    <t>Carbon Monoxide (CO)</t>
  </si>
  <si>
    <t>Nitrogen Dioxide (NO2)</t>
  </si>
  <si>
    <t>Particle Pollution (PM2.5)</t>
  </si>
  <si>
    <t>(PM10)</t>
  </si>
  <si>
    <t>Sulfur Dioxide (SO2)</t>
  </si>
  <si>
    <t>8 Hour</t>
  </si>
  <si>
    <t>1 Hour</t>
  </si>
  <si>
    <t>1 Year</t>
  </si>
  <si>
    <t>24 Hours</t>
  </si>
  <si>
    <t>All possible runs for combination</t>
  </si>
  <si>
    <t>Maximum concentration of each pollutant (ug/m3)</t>
  </si>
  <si>
    <t>All Sources Combined</t>
  </si>
  <si>
    <t>Total Concentration</t>
  </si>
  <si>
    <t>10 - AHU-P7/P8 Intake</t>
  </si>
  <si>
    <t>21 - AHU-U4 Intake</t>
  </si>
  <si>
    <t>22 - AHU-U1/U2/U3 Intake</t>
  </si>
  <si>
    <t>23 - AHU-U7</t>
  </si>
  <si>
    <t>25 - AHU-U5/U6/U8 Intake N</t>
  </si>
  <si>
    <t>42 - Cancer Center Entrance</t>
  </si>
  <si>
    <r>
      <t>Background</t>
    </r>
    <r>
      <rPr>
        <b/>
        <i/>
        <vertAlign val="superscript"/>
        <sz val="12"/>
        <color rgb="FF000000"/>
        <rFont val="Times New Roman"/>
        <family val="1"/>
      </rPr>
      <t>5</t>
    </r>
  </si>
  <si>
    <t>The maximum acceptable level for each NAAQS pollutant.</t>
  </si>
  <si>
    <t>5)</t>
  </si>
  <si>
    <t>Background concentrations provided by Indiana Department of Environmental Management - Office of Air Quality.</t>
  </si>
  <si>
    <t>Combination Scenario 1 - LIST COMBINED SOURCES HERE</t>
  </si>
  <si>
    <t>Link to emission rates in combustion criteria sheet</t>
  </si>
  <si>
    <t>The maximum normalized concentration (C/m) measured in the wind tunnel for the specific source/receptor pair.</t>
  </si>
  <si>
    <t>Added NAAQS Combination Results sheet (see CPP 9490 and 11642)</t>
  </si>
  <si>
    <t>Changed formula in column M on Test Plan &amp; Results to ROUNDUP so 3.05m will match our 3.1m format, and wont be flagged red</t>
  </si>
  <si>
    <t>18_01</t>
  </si>
  <si>
    <t>Fixed note in Design Criteria Summary for Atrium Smoke - Obscuration 3% per foot, Visibility 50 ft</t>
  </si>
  <si>
    <t>Limit associated with a visibility target of 50 ft (15 m)</t>
  </si>
  <si>
    <t>Limit associated with an obscuration of 3% per foot (10% per meter)</t>
  </si>
  <si>
    <t>18 02</t>
  </si>
  <si>
    <t>CZ</t>
  </si>
  <si>
    <t>updated Formaldehyde ACGIH criteria</t>
  </si>
  <si>
    <t>Helicopter</t>
  </si>
  <si>
    <t>Bell 407</t>
  </si>
  <si>
    <t>Takeoff/Landing (7)</t>
  </si>
  <si>
    <t>Idle (25% Takeoff Load) (7)</t>
  </si>
  <si>
    <t>18 03</t>
  </si>
  <si>
    <t>Added Helicopter (Bell 407) to Combustion Criteria</t>
  </si>
  <si>
    <t>7) Emission factors from manufacturer (Bell).</t>
  </si>
  <si>
    <t>19_00</t>
  </si>
  <si>
    <r>
      <t>NO</t>
    </r>
    <r>
      <rPr>
        <vertAlign val="subscript"/>
        <sz val="12"/>
        <rFont val="Times New Roman"/>
        <family val="1"/>
      </rPr>
      <t>2</t>
    </r>
    <r>
      <rPr>
        <sz val="12"/>
        <rFont val="Times New Roman"/>
        <family val="1"/>
      </rPr>
      <t xml:space="preserve"> - ACGIH</t>
    </r>
    <r>
      <rPr>
        <vertAlign val="superscript"/>
        <sz val="12"/>
        <rFont val="Times New Roman"/>
        <family val="1"/>
      </rPr>
      <t>(1)</t>
    </r>
  </si>
  <si>
    <r>
      <t>ACGIH- NO</t>
    </r>
    <r>
      <rPr>
        <vertAlign val="subscript"/>
        <sz val="12"/>
        <rFont val="Times New Roman"/>
        <family val="1"/>
      </rPr>
      <t>2</t>
    </r>
    <r>
      <rPr>
        <sz val="12"/>
        <rFont val="Times New Roman"/>
        <family val="1"/>
      </rPr>
      <t xml:space="preserve"> (µg/m³)/(g/s):</t>
    </r>
  </si>
  <si>
    <t>Combustion Criteria - added the ACGIH health limit for NO2, now this is the limiting criterion for most cases as opposed to NIOSH</t>
  </si>
  <si>
    <t>Design Criteria Summary - updated NIOSH health notes to ACGIH due to the change in NO2 limits (see line above)</t>
  </si>
  <si>
    <t>Health (ACGIH)</t>
  </si>
  <si>
    <t>DM</t>
  </si>
  <si>
    <t>DN</t>
  </si>
  <si>
    <t>Helicopter Exhaust (Takeoff/Landing)</t>
  </si>
  <si>
    <t>HELI-LTO</t>
  </si>
  <si>
    <t>Horizontal</t>
  </si>
  <si>
    <t>Helicopter Exhaust (Idle)</t>
  </si>
  <si>
    <t>HELI-Idle</t>
  </si>
  <si>
    <t>Stack Summary - Added helicopter LTO and idle, based on several previous projects (latest 11642)</t>
  </si>
  <si>
    <t>Changed minimum stack size BACK to 4/32'' OD, since we have problems with 3/32'' OD</t>
  </si>
  <si>
    <t>19_01</t>
  </si>
  <si>
    <t>"Flow Cal Input' - v19_00.bas Updated macro to write 5 digit project numbers</t>
  </si>
  <si>
    <t>Data import macro - v19_00.bas updated so it reads in 5 digit project numbers</t>
  </si>
  <si>
    <t>Receptors' - updated proj inp to look at left 5 values for 5 digit project numbers, proj input 2 digit year is now calculated</t>
  </si>
  <si>
    <t>19_02</t>
  </si>
  <si>
    <t>Updated flow.inp with 5 digit project number and "Land     " text</t>
  </si>
  <si>
    <t>"Land</t>
  </si>
  <si>
    <t xml:space="preserve">  "</t>
  </si>
  <si>
    <t>Added mph for convenience in the 1% wind speed sheet</t>
  </si>
  <si>
    <t>Light Duty Gas Vehicle</t>
  </si>
  <si>
    <t>LDGV</t>
  </si>
  <si>
    <t>Assumes 3% of all vehicles are diesel</t>
  </si>
  <si>
    <t>Light Duty Diesel Vehicle</t>
  </si>
  <si>
    <t>LDDV</t>
  </si>
  <si>
    <t>Combined Vehicle Scenaro</t>
  </si>
  <si>
    <t>Scenario 1</t>
  </si>
  <si>
    <t>19_03</t>
  </si>
  <si>
    <t>Design Criteria Met? (5)</t>
  </si>
  <si>
    <t>Resulting</t>
  </si>
  <si>
    <r>
      <t>Total NO</t>
    </r>
    <r>
      <rPr>
        <b/>
        <vertAlign val="subscript"/>
        <sz val="12"/>
        <rFont val="Times New Roman"/>
        <family val="1"/>
      </rPr>
      <t>2</t>
    </r>
  </si>
  <si>
    <r>
      <t>NO</t>
    </r>
    <r>
      <rPr>
        <b/>
        <vertAlign val="subscript"/>
        <sz val="12"/>
        <rFont val="Times New Roman"/>
        <family val="1"/>
      </rPr>
      <t>2</t>
    </r>
  </si>
  <si>
    <t xml:space="preserve">Ambient </t>
  </si>
  <si>
    <t>Health Limit</t>
  </si>
  <si>
    <t>Odor Threshold</t>
  </si>
  <si>
    <r>
      <t>"Yes" if Total NO</t>
    </r>
    <r>
      <rPr>
        <vertAlign val="subscript"/>
        <sz val="12"/>
        <color rgb="FFFF0000"/>
        <rFont val="Times New Roman"/>
        <family val="1"/>
      </rPr>
      <t>2</t>
    </r>
    <r>
      <rPr>
        <sz val="12"/>
        <color rgb="FFFF0000"/>
        <rFont val="Times New Roman"/>
        <family val="1"/>
      </rPr>
      <t xml:space="preserve"> Concentration &lt; Design Criteria</t>
    </r>
  </si>
  <si>
    <t>Ambient Ratio Method Updated - calculates NO2 concentration for every receptor, compares directly to NO2 thresholds</t>
  </si>
  <si>
    <t>Cadaver/Formaldehyde</t>
  </si>
  <si>
    <t>Design Criteria Summary - added notes for Cadaver/formaldehyde</t>
  </si>
  <si>
    <t>Isolation Criteria - reformatted to support color printing, grey</t>
  </si>
  <si>
    <t>Combustion Criteria - updated to include LDGV and LDDV, and combination scenario for parking garage exhaust</t>
  </si>
  <si>
    <t>19_04</t>
  </si>
  <si>
    <t>RP</t>
  </si>
  <si>
    <t>Updated print color report macro to the new grey headers</t>
  </si>
  <si>
    <t>Release rate per cadaver provided by AEI for CFD simulations on CPP project 11234, and agrees well with the Characterizing Formaldehyde Emission Rates technical reference</t>
  </si>
  <si>
    <t>19_05</t>
  </si>
  <si>
    <t>Corrected Formaldehyde calculation, added note about reference for the cadaver emission rate</t>
  </si>
  <si>
    <t>19_06</t>
  </si>
  <si>
    <t>Updated high cutoff on Test Plan to be 2x highest criterion</t>
  </si>
  <si>
    <t>Updated Z calculation on ASHRAE Screening Tool to handle MSL heights data extraction</t>
  </si>
  <si>
    <t>SAB</t>
  </si>
  <si>
    <t>20_01</t>
  </si>
  <si>
    <t xml:space="preserve">Test plan sheet and Data macro (v20_00) updated to import FID range </t>
  </si>
  <si>
    <t>20_02</t>
  </si>
  <si>
    <t>Corrected fcal link to avoid Thunder</t>
  </si>
  <si>
    <t>20_03</t>
  </si>
  <si>
    <t>Added note for AHU intake sizing</t>
  </si>
  <si>
    <t>3) Emission rates from EPA Fact Sheet EPA420-F-08-025 (EPA, 2008).</t>
  </si>
  <si>
    <t>HDDV</t>
  </si>
  <si>
    <t>4) Emission factors for a typical boiler.</t>
  </si>
  <si>
    <t>5) Emission rates from Mobile 5b model (EPA, 1996b).</t>
  </si>
  <si>
    <t>1:50 recommended dilution for Class 4 air</t>
  </si>
  <si>
    <t>1:15 recommended dilution for Class 3 air</t>
  </si>
  <si>
    <t>General Exhaust (Std. 62.1)</t>
  </si>
  <si>
    <t>20_04</t>
  </si>
  <si>
    <t>Added General Exhaust comments to design criteria</t>
  </si>
  <si>
    <t>Updated HDDV emissions and updated footnotes</t>
  </si>
  <si>
    <t>20_05</t>
  </si>
  <si>
    <t>Update ARM2 for 0.2 NO2 emissions for all combustion sources</t>
  </si>
  <si>
    <t>23_Sept_2020</t>
  </si>
  <si>
    <t>20_06</t>
  </si>
  <si>
    <t>Fixing Intake Flow Settings tunnel speed label to link to the actual tunnel speed being tested</t>
  </si>
  <si>
    <t>Intake Sources Flows</t>
  </si>
  <si>
    <t>20_7</t>
  </si>
  <si>
    <t>AMS</t>
  </si>
  <si>
    <t>Updating ASHRAE Reference</t>
  </si>
  <si>
    <t>ASHRAE (2019) example criterion for an accidental spill in a fume hood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</si>
</sst>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_(* \(#,##0.00\);_(* &quot;-&quot;??_);_(@_)"/>
    <numFmt numFmtId="164" formatCode="&quot;1:&quot;####"/>
    <numFmt numFmtId="165" formatCode="_(* #,##0.0_____);_(* \(#,##0.0_____);_(* &quot;-&quot;??______\);_(@_)"/>
    <numFmt numFmtId="166" formatCode="_(* #,##0.00_____);_(* \(#,##0.00\)____;_(* &quot;-&quot;??_);_(@_)"/>
    <numFmt numFmtId="167" formatCode="_(* #,##0_____);_(* \(#,##0_____);_(* 0_____);_(@_)"/>
    <numFmt numFmtId="168" formatCode="mmmm\ d\,\ yyyy"/>
    <numFmt numFmtId="169" formatCode="0.0"/>
    <numFmt numFmtId="170" formatCode="0.0%"/>
    <numFmt numFmtId="171" formatCode="0.000%"/>
    <numFmt numFmtId="172" formatCode="&quot;1:&quot;#,###;&quot;&lt;1:1  &quot;;&quot;&lt;1:1  &quot;"/>
    <numFmt numFmtId="173" formatCode="0.000"/>
    <numFmt numFmtId="174" formatCode="0.0000"/>
    <numFmt numFmtId="175" formatCode="0.000E+00"/>
    <numFmt numFmtId="176" formatCode="_(* #,##0.000___);_(* \(#,##0.000\)_;_*0.000__;_(@_)"/>
    <numFmt numFmtId="177" formatCode="_(* #,##0.0_____);_(* \(#,##0.0_____);_(* &quot;-&quot;??_____);_(@_)"/>
    <numFmt numFmtId="178" formatCode="_(* #,##0_______);_(* \(#,##0_____);_(* &quot;-&quot;??_______);_(@_)"/>
    <numFmt numFmtId="179" formatCode="_(* #0.00%___);_(* #0.00%___);_(* &quot;-&quot;??_);_(@_)"/>
    <numFmt numFmtId="180" formatCode="_(* #,##0.0_____);_(* \(#,##0.0_____);_(* \ #,##0.0_____);_(@_)"/>
    <numFmt numFmtId="181" formatCode="_(* #,##0.0_____);_(* \(#,##0.0_____);_(* #,##0.0_____);_(@_)"/>
    <numFmt numFmtId="182" formatCode="_(* #,##0.00_____);_(* \(#,##0.00_____);_(* 0.00_____);_(@_)"/>
    <numFmt numFmtId="183" formatCode="_(* #,##0_______);_(* \(#,##0_______);_(* #,##0_______);_(@_)"/>
    <numFmt numFmtId="184" formatCode="_(* #,##0_______);_(* \(#,##0\)______;_(* #,##0_______);_(@_)"/>
    <numFmt numFmtId="185" formatCode="_(* #,##0.0_____);_(* \(#,##0.0\)____;_(* #,##0.0_____);_(@_)"/>
    <numFmt numFmtId="186" formatCode="_(* #,##0.000_);_(* \(#,##0.000\);_(* &quot;-&quot;??_);_(@_)"/>
    <numFmt numFmtId="187" formatCode="_(* #,##0.0000_);_(* \(#,##0.0000\);_(* &quot;-&quot;??_);_(@_)"/>
    <numFmt numFmtId="188" formatCode="_(* #,##0.0___);_(* \(#,##0.0\)_;_*0.000__;_(@_)"/>
    <numFmt numFmtId="189" formatCode="&quot;1:&quot;###"/>
    <numFmt numFmtId="190" formatCode="[$-409]d\-mmm\-yyyy;@"/>
    <numFmt numFmtId="191" formatCode="_(* #,##0_);_(* \(#,##0\);_(* &quot;-&quot;??_);_(@_)"/>
    <numFmt numFmtId="192" formatCode="0.0000%"/>
    <numFmt numFmtId="193" formatCode="0.00000"/>
    <numFmt numFmtId="194" formatCode="#,##0.000"/>
    <numFmt numFmtId="195" formatCode="#,##0.0000"/>
    <numFmt numFmtId="196" formatCode="#,##0.0"/>
    <numFmt numFmtId="197" formatCode="_(* #,##0.0___);_(* \(#,##0.0\);___(* &quot;-&quot;??_);_(@_)"/>
    <numFmt numFmtId="198" formatCode="_(* #,##0.000___);_(* \(#,##0.000\);___(* &quot;-&quot;??_);_(@_)"/>
    <numFmt numFmtId="199" formatCode="#,##0.000_);\(#,##0.000\)"/>
    <numFmt numFmtId="200" formatCode="_(* #,##0.0_____);_(* \(#,##0.0_____);_(* 0.0_____);_(@_)"/>
    <numFmt numFmtId="201" formatCode="_(* #0%___);_(* #0%___);_(* &quot;-&quot;??_);_(@_)"/>
    <numFmt numFmtId="202" formatCode="_(* #,##0_____);_(* \(#,##0_____);_(* #,##0_____);_(@_)"/>
    <numFmt numFmtId="203" formatCode="_(* #,##0.00_______);_(* \(#,##0.00_______);_(* #,##0.00_______);_(@_)"/>
    <numFmt numFmtId="204" formatCode="#.00"/>
    <numFmt numFmtId="205" formatCode="dd\-mmm\-yy"/>
    <numFmt numFmtId="206" formatCode="&quot;$&quot;#"/>
    <numFmt numFmtId="207" formatCode="_(* #,##0.000_______);_(* \(#,##0.000_______);_(* #,##0.000_______);_(@_)"/>
    <numFmt numFmtId="208" formatCode="#,##0.0_);\(#,##0.0\)"/>
  </numFmts>
  <fonts count="118">
    <font>
      <sz val="12"/>
      <name val="Times New Roman"/>
      <family val="1"/>
    </font>
    <font>
      <sz val="11"/>
      <color theme="1"/>
      <name val="Calibri"/>
      <family val="2"/>
      <scheme val="minor"/>
    </font>
    <font>
      <sz val="10"/>
      <name val="Arial"/>
      <family val="2"/>
    </font>
    <font>
      <sz val="12"/>
      <name val="Times New Roman"/>
      <family val="1"/>
    </font>
    <font>
      <sz val="12"/>
      <color indexed="10"/>
      <name val="Times New Roman"/>
      <family val="1"/>
    </font>
    <font>
      <b/>
      <sz val="12"/>
      <name val="Times New Roman"/>
      <family val="1"/>
    </font>
    <font>
      <vertAlign val="superscript"/>
      <sz val="12"/>
      <name val="Times New Roman"/>
      <family val="1"/>
    </font>
    <font>
      <b/>
      <sz val="14"/>
      <name val="Times New Roman"/>
      <family val="1"/>
    </font>
    <font>
      <sz val="12"/>
      <color indexed="53"/>
      <name val="Times New Roman"/>
      <family val="1"/>
    </font>
    <font>
      <b/>
      <sz val="12"/>
      <color indexed="10"/>
      <name val="Times New Roman"/>
      <family val="1"/>
    </font>
    <font>
      <sz val="12"/>
      <name val="Times New Roman"/>
      <family val="1"/>
    </font>
    <font>
      <b/>
      <vertAlign val="superscript"/>
      <sz val="12"/>
      <name val="Times New Roman"/>
      <family val="1"/>
    </font>
    <font>
      <sz val="12"/>
      <color indexed="12"/>
      <name val="Times New Roman"/>
      <family val="1"/>
    </font>
    <font>
      <sz val="12"/>
      <color indexed="14"/>
      <name val="Times New Roman"/>
      <family val="1"/>
    </font>
    <font>
      <sz val="12"/>
      <color indexed="52"/>
      <name val="Times New Roman"/>
      <family val="1"/>
    </font>
    <font>
      <b/>
      <sz val="12"/>
      <color indexed="12"/>
      <name val="Times New Roman"/>
      <family val="1"/>
    </font>
    <font>
      <b/>
      <sz val="14"/>
      <color indexed="12"/>
      <name val="Times New Roman"/>
      <family val="1"/>
    </font>
    <font>
      <i/>
      <u/>
      <sz val="12"/>
      <name val="Times New Roman"/>
      <family val="1"/>
    </font>
    <font>
      <sz val="12"/>
      <color indexed="42"/>
      <name val="Times New Roman"/>
      <family val="1"/>
    </font>
    <font>
      <vertAlign val="subscript"/>
      <sz val="12"/>
      <name val="Times New Roman"/>
      <family val="1"/>
    </font>
    <font>
      <sz val="12"/>
      <name val="Symbol"/>
      <family val="1"/>
      <charset val="2"/>
    </font>
    <font>
      <sz val="12"/>
      <color indexed="9"/>
      <name val="Times New Roman"/>
      <family val="1"/>
    </font>
    <font>
      <i/>
      <sz val="12"/>
      <name val="Times New Roman"/>
      <family val="1"/>
    </font>
    <font>
      <b/>
      <sz val="16"/>
      <color indexed="12"/>
      <name val="Times New Roman"/>
      <family val="1"/>
    </font>
    <font>
      <b/>
      <i/>
      <sz val="12"/>
      <name val="Times New Roman"/>
      <family val="1"/>
    </font>
    <font>
      <b/>
      <sz val="16"/>
      <name val="Times New Roman"/>
      <family val="1"/>
    </font>
    <font>
      <b/>
      <sz val="12"/>
      <color indexed="52"/>
      <name val="Times New Roman"/>
      <family val="1"/>
    </font>
    <font>
      <b/>
      <sz val="12"/>
      <color indexed="53"/>
      <name val="Times New Roman"/>
      <family val="1"/>
    </font>
    <font>
      <b/>
      <sz val="12"/>
      <color indexed="14"/>
      <name val="Times New Roman"/>
      <family val="1"/>
    </font>
    <font>
      <b/>
      <sz val="12"/>
      <color indexed="51"/>
      <name val="Times New Roman"/>
      <family val="1"/>
    </font>
    <font>
      <b/>
      <sz val="16"/>
      <color indexed="10"/>
      <name val="Times New Roman"/>
      <family val="1"/>
    </font>
    <font>
      <sz val="14"/>
      <name val="Times New Roman"/>
      <family val="1"/>
    </font>
    <font>
      <sz val="14"/>
      <color indexed="12"/>
      <name val="Times New Roman"/>
      <family val="1"/>
    </font>
    <font>
      <b/>
      <sz val="18"/>
      <name val="Times New Roman"/>
      <family val="1"/>
    </font>
    <font>
      <b/>
      <sz val="12"/>
      <name val="Symbol"/>
      <family val="1"/>
      <charset val="2"/>
    </font>
    <font>
      <b/>
      <vertAlign val="subscript"/>
      <sz val="12"/>
      <name val="Times New Roman"/>
      <family val="1"/>
    </font>
    <font>
      <sz val="12"/>
      <color indexed="8"/>
      <name val="Times New Roman"/>
      <family val="1"/>
    </font>
    <font>
      <sz val="11"/>
      <color indexed="10"/>
      <name val="Times New Roman"/>
      <family val="1"/>
    </font>
    <font>
      <sz val="11"/>
      <name val="Times New Roman"/>
      <family val="1"/>
    </font>
    <font>
      <sz val="12"/>
      <name val="Times New Roman"/>
      <family val="1"/>
    </font>
    <font>
      <vertAlign val="subscript"/>
      <sz val="12"/>
      <color indexed="10"/>
      <name val="Times New Roman"/>
      <family val="1"/>
    </font>
    <font>
      <b/>
      <sz val="18"/>
      <color indexed="12"/>
      <name val="Times New Roman"/>
      <family val="1"/>
    </font>
    <font>
      <sz val="11"/>
      <color indexed="12"/>
      <name val="Times New Roman"/>
      <family val="1"/>
    </font>
    <font>
      <sz val="12"/>
      <name val="Courier"/>
      <family val="3"/>
    </font>
    <font>
      <sz val="12"/>
      <name val="Times New Roman"/>
      <family val="1"/>
    </font>
    <font>
      <sz val="8"/>
      <name val="Courier New w/ lines"/>
      <family val="3"/>
    </font>
    <font>
      <sz val="8"/>
      <color indexed="12"/>
      <name val="Courier New w/ lines"/>
      <family val="3"/>
    </font>
    <font>
      <sz val="8"/>
      <color indexed="10"/>
      <name val="Courier New w/ lines"/>
      <family val="3"/>
    </font>
    <font>
      <b/>
      <sz val="12"/>
      <color indexed="8"/>
      <name val="Times New Roman"/>
      <family val="1"/>
    </font>
    <font>
      <sz val="14"/>
      <color indexed="10"/>
      <name val="Times New Roman"/>
      <family val="1"/>
    </font>
    <font>
      <sz val="12"/>
      <color indexed="45"/>
      <name val="Times New Roman"/>
      <family val="1"/>
    </font>
    <font>
      <sz val="14"/>
      <color indexed="45"/>
      <name val="Times New Roman"/>
      <family val="1"/>
    </font>
    <font>
      <sz val="8"/>
      <name val="Times New Roman"/>
      <family val="1"/>
    </font>
    <font>
      <sz val="12"/>
      <color indexed="16"/>
      <name val="Times New Roman"/>
      <family val="1"/>
    </font>
    <font>
      <b/>
      <sz val="12"/>
      <color indexed="16"/>
      <name val="Times New Roman"/>
      <family val="1"/>
    </font>
    <font>
      <i/>
      <sz val="12"/>
      <color indexed="10"/>
      <name val="Times New Roman"/>
      <family val="1"/>
    </font>
    <font>
      <sz val="12"/>
      <color indexed="17"/>
      <name val="Times New Roman"/>
      <family val="1"/>
    </font>
    <font>
      <b/>
      <sz val="12"/>
      <color indexed="17"/>
      <name val="Times New Roman"/>
      <family val="1"/>
    </font>
    <font>
      <sz val="12"/>
      <color indexed="12"/>
      <name val="Times New Roman"/>
      <family val="1"/>
    </font>
    <font>
      <sz val="12"/>
      <color rgb="FFFF66FF"/>
      <name val="Times New Roman"/>
      <family val="1"/>
    </font>
    <font>
      <sz val="12"/>
      <color rgb="FFFF66FF"/>
      <name val="Symbol"/>
      <family val="1"/>
      <charset val="2"/>
    </font>
    <font>
      <sz val="12"/>
      <color rgb="FFFF0000"/>
      <name val="Times New Roman"/>
      <family val="1"/>
    </font>
    <font>
      <sz val="12"/>
      <color rgb="FF2C31FC"/>
      <name val="Times New Roman"/>
      <family val="1"/>
    </font>
    <font>
      <b/>
      <sz val="12"/>
      <color rgb="FF2C31FC"/>
      <name val="Times New Roman"/>
      <family val="1"/>
    </font>
    <font>
      <b/>
      <sz val="16"/>
      <color rgb="FFFFC000"/>
      <name val="Times New Roman"/>
      <family val="1"/>
    </font>
    <font>
      <b/>
      <sz val="14"/>
      <color rgb="FFFFC000"/>
      <name val="Times New Roman"/>
      <family val="1"/>
    </font>
    <font>
      <b/>
      <sz val="11"/>
      <name val="Times New Roman"/>
      <family val="1"/>
    </font>
    <font>
      <vertAlign val="superscript"/>
      <sz val="11"/>
      <name val="Times New Roman"/>
      <family val="1"/>
    </font>
    <font>
      <sz val="11"/>
      <color rgb="FFFF0000"/>
      <name val="Times New Roman"/>
      <family val="1"/>
    </font>
    <font>
      <b/>
      <sz val="11"/>
      <color rgb="FFFFC000"/>
      <name val="Times New Roman"/>
      <family val="1"/>
    </font>
    <font>
      <b/>
      <sz val="11"/>
      <color indexed="10"/>
      <name val="Times New Roman"/>
      <family val="1"/>
    </font>
    <font>
      <b/>
      <sz val="11"/>
      <color indexed="12"/>
      <name val="Times New Roman"/>
      <family val="1"/>
    </font>
    <font>
      <sz val="11"/>
      <color indexed="17"/>
      <name val="Times New Roman"/>
      <family val="1"/>
    </font>
    <font>
      <i/>
      <sz val="11"/>
      <name val="Times New Roman"/>
      <family val="1"/>
    </font>
    <font>
      <sz val="10"/>
      <name val="Times New Roman"/>
      <family val="1"/>
    </font>
    <font>
      <b/>
      <sz val="16"/>
      <color rgb="FFFF0000"/>
      <name val="Times New Roman"/>
      <family val="1"/>
    </font>
    <font>
      <sz val="12"/>
      <color theme="5" tint="-0.249977111117893"/>
      <name val="Times New Roman"/>
      <family val="1"/>
    </font>
    <font>
      <sz val="12"/>
      <color theme="9" tint="-0.249977111117893"/>
      <name val="Times New Roman"/>
      <family val="1"/>
    </font>
    <font>
      <b/>
      <sz val="12"/>
      <color rgb="FFFF0000"/>
      <name val="Times New Roman"/>
      <family val="1"/>
    </font>
    <font>
      <b/>
      <sz val="16"/>
      <color rgb="FF2C31FC"/>
      <name val="Times New Roman"/>
      <family val="1"/>
    </font>
    <font>
      <sz val="12"/>
      <color rgb="FFFF00FF"/>
      <name val="Times New Roman"/>
      <family val="1"/>
    </font>
    <font>
      <sz val="8"/>
      <color rgb="FF2C31FC"/>
      <name val="Courier New w/ lines"/>
      <family val="3"/>
    </font>
    <font>
      <b/>
      <sz val="12"/>
      <color theme="9" tint="-0.249977111117893"/>
      <name val="Times New Roman"/>
      <family val="1"/>
    </font>
    <font>
      <sz val="12"/>
      <color rgb="FF000000"/>
      <name val="Times New Roman"/>
      <family val="1"/>
    </font>
    <font>
      <b/>
      <sz val="12"/>
      <color rgb="FF000000"/>
      <name val="Times New Roman"/>
      <family val="1"/>
    </font>
    <font>
      <sz val="12"/>
      <color rgb="FF0000FF"/>
      <name val="Times New Roman"/>
      <family val="1"/>
    </font>
    <font>
      <sz val="12"/>
      <color rgb="FFFFC000"/>
      <name val="Times New Roman"/>
      <family val="1"/>
    </font>
    <font>
      <b/>
      <sz val="12"/>
      <color rgb="FFFFC000"/>
      <name val="Times New Roman"/>
      <family val="1"/>
    </font>
    <font>
      <b/>
      <sz val="12"/>
      <color rgb="FFFF00FF"/>
      <name val="Times New Roman"/>
      <family val="1"/>
    </font>
    <font>
      <b/>
      <sz val="12"/>
      <color rgb="FFFFFF00"/>
      <name val="Times New Roman"/>
      <family val="1"/>
    </font>
    <font>
      <b/>
      <sz val="14"/>
      <color rgb="FFFF00FF"/>
      <name val="Times New Roman"/>
      <family val="1"/>
    </font>
    <font>
      <sz val="9"/>
      <color indexed="81"/>
      <name val="Tahoma"/>
      <family val="2"/>
    </font>
    <font>
      <b/>
      <sz val="9"/>
      <color indexed="81"/>
      <name val="Tahoma"/>
      <family val="2"/>
    </font>
    <font>
      <sz val="10"/>
      <name val="Courier"/>
      <family val="3"/>
    </font>
    <font>
      <sz val="10"/>
      <color indexed="8"/>
      <name val="Courier"/>
      <family val="3"/>
    </font>
    <font>
      <b/>
      <sz val="18"/>
      <color indexed="8"/>
      <name val="Courier"/>
      <family val="3"/>
    </font>
    <font>
      <b/>
      <sz val="12"/>
      <color indexed="8"/>
      <name val="Courier"/>
      <family val="3"/>
    </font>
    <font>
      <sz val="12"/>
      <color rgb="FF00B050"/>
      <name val="Times New Roman"/>
      <family val="1"/>
    </font>
    <font>
      <sz val="12"/>
      <color theme="9" tint="0.39997558519241921"/>
      <name val="Times New Roman"/>
      <family val="1"/>
    </font>
    <font>
      <b/>
      <sz val="12"/>
      <color rgb="FF0000FF"/>
      <name val="Times New Roman"/>
      <family val="1"/>
    </font>
    <font>
      <sz val="12"/>
      <color rgb="FF7030A0"/>
      <name val="Times New Roman"/>
      <family val="1"/>
    </font>
    <font>
      <b/>
      <sz val="12"/>
      <color theme="9" tint="0.39997558519241921"/>
      <name val="Times New Roman"/>
      <family val="1"/>
    </font>
    <font>
      <b/>
      <vertAlign val="superscript"/>
      <sz val="12"/>
      <color rgb="FF000000"/>
      <name val="Times New Roman"/>
      <family val="1"/>
    </font>
    <font>
      <b/>
      <sz val="12"/>
      <color rgb="FFE26B0A"/>
      <name val="Times New Roman"/>
      <family val="1"/>
    </font>
    <font>
      <b/>
      <sz val="12"/>
      <color rgb="FFFF6600"/>
      <name val="Times New Roman"/>
      <family val="1"/>
    </font>
    <font>
      <sz val="12"/>
      <color rgb="FFE26B0A"/>
      <name val="Times New Roman"/>
      <family val="1"/>
    </font>
    <font>
      <sz val="12"/>
      <color rgb="FFFF6600"/>
      <name val="Times New Roman"/>
      <family val="1"/>
    </font>
    <font>
      <b/>
      <sz val="16"/>
      <color rgb="FFFFFF00"/>
      <name val="Times New Roman"/>
      <family val="1"/>
    </font>
    <font>
      <sz val="12"/>
      <color rgb="FF0070C0"/>
      <name val="Times New Roman"/>
      <family val="1"/>
    </font>
    <font>
      <b/>
      <i/>
      <sz val="12"/>
      <color rgb="FF000000"/>
      <name val="Times New Roman"/>
      <family val="1"/>
    </font>
    <font>
      <b/>
      <i/>
      <vertAlign val="superscript"/>
      <sz val="12"/>
      <color rgb="FF000000"/>
      <name val="Times New Roman"/>
      <family val="1"/>
    </font>
    <font>
      <b/>
      <sz val="16"/>
      <color rgb="FFFF00FF"/>
      <name val="Times New Roman"/>
      <family val="1"/>
    </font>
    <font>
      <sz val="12"/>
      <color indexed="81"/>
      <name val="Tahoma"/>
      <family val="2"/>
    </font>
    <font>
      <b/>
      <sz val="16"/>
      <color rgb="FF000000"/>
      <name val="Times New Roman"/>
      <family val="1"/>
    </font>
    <font>
      <sz val="8"/>
      <color rgb="FFFF0000"/>
      <name val="Courier New w/ lines"/>
      <family val="3"/>
    </font>
    <font>
      <i/>
      <sz val="12"/>
      <color rgb="FFFF00FF"/>
      <name val="Times New Roman"/>
      <family val="1"/>
    </font>
    <font>
      <vertAlign val="subscript"/>
      <sz val="12"/>
      <color rgb="FFFF0000"/>
      <name val="Times New Roman"/>
      <family val="1"/>
    </font>
    <font>
      <b/>
      <sz val="12"/>
      <color theme="1"/>
      <name val="Times New Roman"/>
      <family val="1"/>
    </font>
  </fonts>
  <fills count="23">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indexed="43"/>
        <bgColor indexed="64"/>
      </patternFill>
    </fill>
    <fill>
      <patternFill patternType="solid">
        <fgColor indexed="5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indexed="22"/>
        <bgColor indexed="64"/>
      </patternFill>
    </fill>
    <fill>
      <patternFill patternType="solid">
        <fgColor theme="9" tint="0.79998168889431442"/>
        <bgColor indexed="64"/>
      </patternFill>
    </fill>
    <fill>
      <patternFill patternType="solid">
        <fgColor rgb="FF0F5A87"/>
        <bgColor indexed="64"/>
      </patternFill>
    </fill>
    <fill>
      <patternFill patternType="solid">
        <fgColor rgb="FFFFC00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FFCC"/>
      </patternFill>
    </fill>
    <fill>
      <patternFill patternType="solid">
        <fgColor theme="4" tint="0.59999389629810485"/>
        <bgColor indexed="64"/>
      </patternFill>
    </fill>
    <fill>
      <patternFill patternType="solid">
        <fgColor theme="0" tint="-0.249977111117893"/>
        <bgColor indexed="64"/>
      </patternFill>
    </fill>
  </fills>
  <borders count="113">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double">
        <color indexed="64"/>
      </left>
      <right/>
      <top style="double">
        <color indexed="64"/>
      </top>
      <bottom/>
      <diagonal/>
    </border>
    <border>
      <left/>
      <right/>
      <top style="double">
        <color indexed="64"/>
      </top>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top/>
      <bottom/>
      <diagonal/>
    </border>
    <border>
      <left style="thin">
        <color indexed="64"/>
      </left>
      <right style="double">
        <color indexed="64"/>
      </right>
      <top/>
      <bottom style="thin">
        <color indexed="64"/>
      </bottom>
      <diagonal/>
    </border>
    <border>
      <left style="thin">
        <color indexed="64"/>
      </left>
      <right style="double">
        <color indexed="64"/>
      </right>
      <top/>
      <bottom/>
      <diagonal/>
    </border>
    <border>
      <left style="double">
        <color indexed="64"/>
      </left>
      <right/>
      <top/>
      <bottom style="double">
        <color indexed="64"/>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double">
        <color indexed="64"/>
      </right>
      <top/>
      <bottom/>
      <diagonal/>
    </border>
    <border>
      <left/>
      <right style="double">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uble">
        <color indexed="64"/>
      </right>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style="double">
        <color indexed="64"/>
      </left>
      <right style="thin">
        <color indexed="64"/>
      </right>
      <top/>
      <bottom style="double">
        <color indexed="64"/>
      </bottom>
      <diagonal/>
    </border>
    <border>
      <left style="thin">
        <color indexed="64"/>
      </left>
      <right style="double">
        <color indexed="64"/>
      </right>
      <top style="thin">
        <color indexed="64"/>
      </top>
      <bottom/>
      <diagonal/>
    </border>
    <border>
      <left style="thin">
        <color indexed="64"/>
      </left>
      <right style="double">
        <color indexed="64"/>
      </right>
      <top/>
      <bottom style="double">
        <color indexed="64"/>
      </bottom>
      <diagonal/>
    </border>
    <border>
      <left/>
      <right style="double">
        <color indexed="64"/>
      </right>
      <top style="double">
        <color indexed="64"/>
      </top>
      <bottom/>
      <diagonal/>
    </border>
    <border>
      <left style="double">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style="double">
        <color indexed="64"/>
      </right>
      <top style="hair">
        <color indexed="64"/>
      </top>
      <bottom/>
      <diagonal/>
    </border>
    <border>
      <left style="double">
        <color indexed="64"/>
      </left>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style="double">
        <color indexed="64"/>
      </left>
      <right/>
      <top style="hair">
        <color indexed="64"/>
      </top>
      <bottom style="double">
        <color indexed="64"/>
      </bottom>
      <diagonal/>
    </border>
    <border>
      <left style="thin">
        <color indexed="64"/>
      </left>
      <right style="double">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style="double">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thin">
        <color indexed="64"/>
      </right>
      <top style="thin">
        <color indexed="64"/>
      </top>
      <bottom style="hair">
        <color indexed="64"/>
      </bottom>
      <diagonal/>
    </border>
    <border>
      <left style="thin">
        <color indexed="64"/>
      </left>
      <right style="double">
        <color indexed="64"/>
      </right>
      <top style="thin">
        <color indexed="64"/>
      </top>
      <bottom style="hair">
        <color indexed="64"/>
      </bottom>
      <diagonal/>
    </border>
    <border>
      <left style="double">
        <color indexed="64"/>
      </left>
      <right style="thin">
        <color indexed="64"/>
      </right>
      <top style="hair">
        <color indexed="64"/>
      </top>
      <bottom style="double">
        <color indexed="64"/>
      </bottom>
      <diagonal/>
    </border>
    <border>
      <left/>
      <right style="double">
        <color indexed="64"/>
      </right>
      <top style="hair">
        <color indexed="64"/>
      </top>
      <bottom style="hair">
        <color indexed="64"/>
      </bottom>
      <diagonal/>
    </border>
    <border>
      <left/>
      <right style="double">
        <color indexed="64"/>
      </right>
      <top style="hair">
        <color indexed="64"/>
      </top>
      <bottom/>
      <diagonal/>
    </border>
    <border>
      <left/>
      <right style="double">
        <color indexed="64"/>
      </right>
      <top style="hair">
        <color indexed="64"/>
      </top>
      <bottom style="double">
        <color indexed="64"/>
      </bottom>
      <diagonal/>
    </border>
    <border>
      <left style="double">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style="double">
        <color indexed="64"/>
      </left>
      <right style="thin">
        <color indexed="64"/>
      </right>
      <top style="double">
        <color indexed="64"/>
      </top>
      <bottom/>
      <diagonal/>
    </border>
    <border>
      <left style="double">
        <color indexed="64"/>
      </left>
      <right style="thin">
        <color indexed="64"/>
      </right>
      <top style="hair">
        <color indexed="64"/>
      </top>
      <bottom/>
      <diagonal/>
    </border>
    <border>
      <left style="double">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style="double">
        <color indexed="64"/>
      </right>
      <top style="double">
        <color indexed="64"/>
      </top>
      <bottom style="hair">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style="double">
        <color indexed="64"/>
      </left>
      <right/>
      <top style="double">
        <color indexed="64"/>
      </top>
      <bottom style="hair">
        <color indexed="64"/>
      </bottom>
      <diagonal/>
    </border>
    <border>
      <left/>
      <right style="thin">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rgb="FF000000"/>
      </right>
      <top/>
      <bottom/>
      <diagonal/>
    </border>
    <border>
      <left style="thin">
        <color rgb="FFB2B2B2"/>
      </left>
      <right style="thin">
        <color rgb="FFB2B2B2"/>
      </right>
      <top style="thin">
        <color rgb="FFB2B2B2"/>
      </top>
      <bottom style="thin">
        <color rgb="FFB2B2B2"/>
      </bottom>
      <diagonal/>
    </border>
    <border>
      <left/>
      <right/>
      <top style="thin">
        <color rgb="FF000000"/>
      </top>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right style="thin">
        <color rgb="FF000000"/>
      </right>
      <top/>
      <bottom style="thin">
        <color indexed="64"/>
      </bottom>
      <diagonal/>
    </border>
    <border>
      <left style="thin">
        <color rgb="FF000000"/>
      </left>
      <right style="thin">
        <color rgb="FF000000"/>
      </right>
      <top/>
      <bottom/>
      <diagonal/>
    </border>
  </borders>
  <cellStyleXfs count="20">
    <xf numFmtId="0" fontId="0" fillId="0" borderId="0"/>
    <xf numFmtId="43" fontId="2" fillId="0" borderId="0" applyFont="0" applyFill="0" applyBorder="0" applyAlignment="0" applyProtection="0"/>
    <xf numFmtId="0" fontId="44" fillId="0" borderId="0"/>
    <xf numFmtId="0" fontId="3" fillId="0" borderId="0"/>
    <xf numFmtId="0" fontId="3"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93" fillId="0" borderId="0"/>
    <xf numFmtId="3" fontId="94" fillId="0" borderId="0">
      <protection locked="0"/>
    </xf>
    <xf numFmtId="206" fontId="94" fillId="0" borderId="0">
      <protection locked="0"/>
    </xf>
    <xf numFmtId="205" fontId="94" fillId="0" borderId="0">
      <protection locked="0"/>
    </xf>
    <xf numFmtId="204" fontId="94" fillId="0" borderId="0">
      <protection locked="0"/>
    </xf>
    <xf numFmtId="0" fontId="95" fillId="0" borderId="0">
      <protection locked="0"/>
    </xf>
    <xf numFmtId="0" fontId="96" fillId="0" borderId="0">
      <protection locked="0"/>
    </xf>
    <xf numFmtId="0" fontId="94" fillId="0" borderId="13">
      <protection locked="0"/>
    </xf>
    <xf numFmtId="0" fontId="3" fillId="0" borderId="0"/>
    <xf numFmtId="0" fontId="1" fillId="0" borderId="0"/>
    <xf numFmtId="0" fontId="1" fillId="0" borderId="0"/>
    <xf numFmtId="0" fontId="1" fillId="20" borderId="106" applyNumberFormat="0" applyFont="0" applyAlignment="0" applyProtection="0"/>
  </cellStyleXfs>
  <cellXfs count="1876">
    <xf numFmtId="0" fontId="0" fillId="0" borderId="0" xfId="0"/>
    <xf numFmtId="0" fontId="4" fillId="0" borderId="0" xfId="0" applyFont="1"/>
    <xf numFmtId="0" fontId="5" fillId="0" borderId="0" xfId="0" applyFont="1"/>
    <xf numFmtId="0" fontId="3" fillId="0" borderId="0" xfId="0" applyFont="1"/>
    <xf numFmtId="0" fontId="7" fillId="0" borderId="0" xfId="0" applyFont="1"/>
    <xf numFmtId="0" fontId="0" fillId="0" borderId="0" xfId="0" applyAlignment="1">
      <alignment horizontal="center"/>
    </xf>
    <xf numFmtId="43" fontId="0" fillId="0" borderId="0" xfId="1" applyFont="1" applyAlignment="1">
      <alignment horizontal="center"/>
    </xf>
    <xf numFmtId="43" fontId="4" fillId="0" borderId="0" xfId="1" applyFont="1" applyAlignment="1">
      <alignment horizontal="center"/>
    </xf>
    <xf numFmtId="43" fontId="0" fillId="0" borderId="0" xfId="1" applyFont="1"/>
    <xf numFmtId="43" fontId="4" fillId="0" borderId="0" xfId="1" applyFont="1"/>
    <xf numFmtId="0" fontId="5" fillId="0" borderId="1" xfId="0" applyFont="1" applyBorder="1"/>
    <xf numFmtId="0" fontId="10" fillId="0" borderId="1" xfId="0" applyFont="1" applyBorder="1"/>
    <xf numFmtId="0" fontId="5" fillId="0" borderId="0" xfId="0" applyFont="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14" fillId="0" borderId="0" xfId="0" applyFont="1"/>
    <xf numFmtId="0" fontId="12"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43" fontId="0" fillId="0" borderId="5" xfId="1" applyFont="1" applyBorder="1"/>
    <xf numFmtId="43" fontId="0" fillId="0" borderId="6" xfId="1" applyFont="1" applyBorder="1"/>
    <xf numFmtId="43" fontId="12" fillId="0" borderId="0" xfId="1" applyFont="1"/>
    <xf numFmtId="43" fontId="0" fillId="0" borderId="7" xfId="1" applyFont="1" applyBorder="1"/>
    <xf numFmtId="43" fontId="0" fillId="0" borderId="1" xfId="1" applyFont="1" applyBorder="1"/>
    <xf numFmtId="43" fontId="12" fillId="0" borderId="1" xfId="1" applyFont="1" applyBorder="1"/>
    <xf numFmtId="43" fontId="0" fillId="0" borderId="8" xfId="1" applyFont="1" applyBorder="1"/>
    <xf numFmtId="0" fontId="4" fillId="0" borderId="1" xfId="0" applyFont="1" applyBorder="1"/>
    <xf numFmtId="43" fontId="4" fillId="0" borderId="1" xfId="1" applyFont="1" applyBorder="1"/>
    <xf numFmtId="0" fontId="0" fillId="0" borderId="3" xfId="0" applyBorder="1"/>
    <xf numFmtId="43" fontId="3" fillId="0" borderId="0" xfId="1" applyFont="1" applyAlignment="1">
      <alignment horizontal="center"/>
    </xf>
    <xf numFmtId="0" fontId="0" fillId="0" borderId="5" xfId="0" applyBorder="1"/>
    <xf numFmtId="0" fontId="14" fillId="0" borderId="0" xfId="0" applyFont="1" applyAlignment="1">
      <alignment horizontal="center"/>
    </xf>
    <xf numFmtId="1" fontId="12" fillId="0" borderId="0" xfId="1" applyNumberFormat="1" applyFont="1" applyAlignment="1">
      <alignment horizontal="center"/>
    </xf>
    <xf numFmtId="43" fontId="12" fillId="0" borderId="0" xfId="1" applyFont="1" applyAlignment="1">
      <alignment horizontal="center"/>
    </xf>
    <xf numFmtId="0" fontId="0" fillId="0" borderId="6" xfId="0" applyBorder="1"/>
    <xf numFmtId="0" fontId="0" fillId="0" borderId="1" xfId="0" applyBorder="1" applyAlignment="1">
      <alignment horizontal="center"/>
    </xf>
    <xf numFmtId="43" fontId="0" fillId="0" borderId="1" xfId="1" applyFont="1" applyBorder="1" applyAlignment="1">
      <alignment horizontal="center"/>
    </xf>
    <xf numFmtId="43" fontId="4" fillId="0" borderId="1" xfId="1" applyFont="1" applyBorder="1" applyAlignment="1">
      <alignment horizontal="center"/>
    </xf>
    <xf numFmtId="0" fontId="0" fillId="0" borderId="1" xfId="0" applyBorder="1"/>
    <xf numFmtId="0" fontId="12" fillId="0" borderId="0" xfId="0" applyFont="1" applyAlignment="1">
      <alignment horizontal="center"/>
    </xf>
    <xf numFmtId="0" fontId="0" fillId="0" borderId="0" xfId="1" applyNumberFormat="1" applyFont="1" applyAlignment="1">
      <alignment horizontal="center"/>
    </xf>
    <xf numFmtId="0" fontId="12" fillId="0" borderId="0" xfId="1" applyNumberFormat="1" applyFont="1" applyAlignment="1">
      <alignment horizontal="center"/>
    </xf>
    <xf numFmtId="0" fontId="15" fillId="0" borderId="0" xfId="0" applyFont="1"/>
    <xf numFmtId="0" fontId="4" fillId="0" borderId="0" xfId="0" applyFont="1" applyAlignment="1">
      <alignment horizontal="center"/>
    </xf>
    <xf numFmtId="0" fontId="4" fillId="0" borderId="1" xfId="0" applyFont="1" applyBorder="1" applyAlignment="1">
      <alignment horizontal="center"/>
    </xf>
    <xf numFmtId="2" fontId="0" fillId="0" borderId="0" xfId="0" applyNumberFormat="1"/>
    <xf numFmtId="0" fontId="0" fillId="0" borderId="7" xfId="0" applyBorder="1" applyAlignment="1">
      <alignment horizontal="center"/>
    </xf>
    <xf numFmtId="0" fontId="0" fillId="0" borderId="8" xfId="0" applyBorder="1" applyAlignment="1">
      <alignment horizontal="center"/>
    </xf>
    <xf numFmtId="0" fontId="0" fillId="0" borderId="4" xfId="0" applyBorder="1"/>
    <xf numFmtId="0" fontId="0" fillId="0" borderId="7" xfId="0" applyBorder="1"/>
    <xf numFmtId="0" fontId="0" fillId="0" borderId="8" xfId="0" applyBorder="1"/>
    <xf numFmtId="0" fontId="16" fillId="0" borderId="0" xfId="0" applyFont="1"/>
    <xf numFmtId="0" fontId="12" fillId="0" borderId="1" xfId="0" applyFont="1" applyBorder="1"/>
    <xf numFmtId="43" fontId="3" fillId="0" borderId="1" xfId="1" applyFont="1" applyBorder="1" applyAlignment="1">
      <alignment horizontal="center"/>
    </xf>
    <xf numFmtId="1" fontId="4" fillId="0" borderId="1" xfId="1" applyNumberFormat="1" applyFont="1" applyBorder="1" applyAlignment="1">
      <alignment horizontal="center"/>
    </xf>
    <xf numFmtId="0" fontId="0" fillId="0" borderId="1" xfId="1" applyNumberFormat="1" applyFont="1" applyBorder="1" applyAlignment="1">
      <alignment horizontal="center"/>
    </xf>
    <xf numFmtId="1" fontId="12" fillId="0" borderId="1" xfId="1" applyNumberFormat="1" applyFont="1" applyBorder="1" applyAlignment="1">
      <alignment horizontal="center"/>
    </xf>
    <xf numFmtId="43" fontId="12" fillId="0" borderId="1" xfId="1" applyFont="1" applyBorder="1" applyAlignment="1">
      <alignment horizontal="center"/>
    </xf>
    <xf numFmtId="0" fontId="12" fillId="0" borderId="1" xfId="0" applyFont="1" applyBorder="1" applyAlignment="1">
      <alignment horizontal="center"/>
    </xf>
    <xf numFmtId="0" fontId="12" fillId="0" borderId="1" xfId="1" applyNumberFormat="1" applyFont="1" applyBorder="1" applyAlignment="1">
      <alignment horizontal="center"/>
    </xf>
    <xf numFmtId="0" fontId="18" fillId="0" borderId="0" xfId="0" applyFont="1"/>
    <xf numFmtId="9" fontId="4" fillId="0" borderId="0" xfId="5" applyFont="1" applyAlignment="1">
      <alignment horizontal="center"/>
    </xf>
    <xf numFmtId="2" fontId="0" fillId="0" borderId="0" xfId="5" applyNumberFormat="1" applyFont="1" applyAlignment="1">
      <alignment horizontal="center"/>
    </xf>
    <xf numFmtId="171" fontId="4" fillId="0" borderId="0" xfId="5" applyNumberFormat="1" applyFont="1" applyAlignment="1">
      <alignment horizontal="center"/>
    </xf>
    <xf numFmtId="2" fontId="0" fillId="0" borderId="0" xfId="0" applyNumberFormat="1" applyAlignment="1">
      <alignment horizontal="center"/>
    </xf>
    <xf numFmtId="170" fontId="4" fillId="0" borderId="0" xfId="5" applyNumberFormat="1" applyFont="1" applyAlignment="1">
      <alignment horizontal="center"/>
    </xf>
    <xf numFmtId="169" fontId="0" fillId="0" borderId="0" xfId="5" applyNumberFormat="1" applyFont="1" applyAlignment="1">
      <alignment horizontal="center"/>
    </xf>
    <xf numFmtId="173" fontId="0" fillId="0" borderId="0" xfId="5" applyNumberFormat="1" applyFont="1" applyAlignment="1">
      <alignment horizontal="center"/>
    </xf>
    <xf numFmtId="10" fontId="4" fillId="0" borderId="0" xfId="5" applyNumberFormat="1" applyFont="1" applyAlignment="1">
      <alignment horizontal="center"/>
    </xf>
    <xf numFmtId="2" fontId="4" fillId="0" borderId="0" xfId="0" applyNumberFormat="1" applyFont="1"/>
    <xf numFmtId="0" fontId="0" fillId="0" borderId="9" xfId="0" applyBorder="1"/>
    <xf numFmtId="0" fontId="5" fillId="0" borderId="5" xfId="0" applyFont="1" applyBorder="1" applyAlignment="1">
      <alignment horizontal="center"/>
    </xf>
    <xf numFmtId="0" fontId="5" fillId="0" borderId="6" xfId="0" applyFont="1" applyBorder="1" applyAlignment="1">
      <alignment horizontal="center"/>
    </xf>
    <xf numFmtId="0" fontId="5" fillId="0" borderId="10" xfId="0" applyFont="1" applyBorder="1" applyAlignment="1">
      <alignment horizontal="center"/>
    </xf>
    <xf numFmtId="0" fontId="5" fillId="0" borderId="7" xfId="0" applyFont="1" applyBorder="1" applyAlignment="1">
      <alignment horizontal="center"/>
    </xf>
    <xf numFmtId="43" fontId="3" fillId="0" borderId="2" xfId="0" applyNumberFormat="1" applyFont="1" applyBorder="1"/>
    <xf numFmtId="43" fontId="3" fillId="0" borderId="5" xfId="0" applyNumberFormat="1" applyFont="1" applyBorder="1"/>
    <xf numFmtId="0" fontId="6" fillId="0" borderId="6" xfId="0" applyFont="1" applyBorder="1"/>
    <xf numFmtId="11" fontId="0" fillId="0" borderId="5" xfId="0" applyNumberFormat="1" applyBorder="1"/>
    <xf numFmtId="43" fontId="0" fillId="0" borderId="5" xfId="0" applyNumberFormat="1" applyBorder="1"/>
    <xf numFmtId="43" fontId="12" fillId="0" borderId="5" xfId="0" applyNumberFormat="1" applyFont="1" applyBorder="1"/>
    <xf numFmtId="11" fontId="12" fillId="0" borderId="5" xfId="0" applyNumberFormat="1" applyFont="1" applyBorder="1"/>
    <xf numFmtId="43" fontId="12" fillId="0" borderId="11" xfId="1" applyFont="1" applyBorder="1"/>
    <xf numFmtId="43" fontId="3" fillId="0" borderId="11" xfId="1" applyFont="1" applyBorder="1"/>
    <xf numFmtId="0" fontId="4" fillId="0" borderId="11" xfId="0" applyFont="1" applyBorder="1" applyAlignment="1">
      <alignment horizontal="center"/>
    </xf>
    <xf numFmtId="43" fontId="0" fillId="0" borderId="11" xfId="0" applyNumberFormat="1" applyBorder="1"/>
    <xf numFmtId="11" fontId="0" fillId="0" borderId="11" xfId="0" applyNumberFormat="1" applyBorder="1"/>
    <xf numFmtId="0" fontId="0" fillId="0" borderId="11" xfId="0" applyBorder="1"/>
    <xf numFmtId="0" fontId="0" fillId="0" borderId="12" xfId="0" applyBorder="1"/>
    <xf numFmtId="0" fontId="0" fillId="0" borderId="13" xfId="0" applyBorder="1"/>
    <xf numFmtId="0" fontId="5" fillId="0" borderId="14" xfId="0" applyFont="1" applyBorder="1" applyAlignment="1">
      <alignment horizontal="center"/>
    </xf>
    <xf numFmtId="0" fontId="5" fillId="0" borderId="17" xfId="0" applyFont="1" applyBorder="1" applyAlignment="1">
      <alignment horizontal="center"/>
    </xf>
    <xf numFmtId="0" fontId="0" fillId="0" borderId="16" xfId="0" applyBorder="1"/>
    <xf numFmtId="0" fontId="0" fillId="0" borderId="18" xfId="0" applyBorder="1"/>
    <xf numFmtId="0" fontId="17" fillId="0" borderId="0" xfId="0" applyFont="1"/>
    <xf numFmtId="0" fontId="0" fillId="0" borderId="20" xfId="0" applyBorder="1"/>
    <xf numFmtId="43" fontId="3" fillId="0" borderId="5" xfId="1" applyFont="1" applyBorder="1" applyAlignment="1">
      <alignment horizontal="center"/>
    </xf>
    <xf numFmtId="0" fontId="0" fillId="0" borderId="2" xfId="0" applyBorder="1"/>
    <xf numFmtId="10" fontId="0" fillId="0" borderId="0" xfId="5" applyNumberFormat="1" applyFont="1" applyAlignment="1">
      <alignment horizontal="center"/>
    </xf>
    <xf numFmtId="0" fontId="3" fillId="0" borderId="0" xfId="0" applyFont="1" applyAlignment="1">
      <alignment horizontal="center"/>
    </xf>
    <xf numFmtId="11" fontId="0" fillId="0" borderId="1" xfId="0" applyNumberFormat="1" applyBorder="1" applyAlignment="1">
      <alignment horizontal="center"/>
    </xf>
    <xf numFmtId="11" fontId="0" fillId="0" borderId="8" xfId="0" applyNumberFormat="1" applyBorder="1" applyAlignment="1">
      <alignment horizontal="center"/>
    </xf>
    <xf numFmtId="0" fontId="20" fillId="0" borderId="1" xfId="0" applyFont="1" applyBorder="1" applyAlignment="1">
      <alignment horizontal="center"/>
    </xf>
    <xf numFmtId="0" fontId="4" fillId="0" borderId="6" xfId="0" applyFont="1" applyBorder="1" applyAlignment="1">
      <alignment horizontal="center"/>
    </xf>
    <xf numFmtId="0" fontId="0" fillId="0" borderId="0" xfId="0" applyAlignment="1">
      <alignment horizontal="right"/>
    </xf>
    <xf numFmtId="0" fontId="20" fillId="0" borderId="0" xfId="0" applyFont="1" applyAlignment="1">
      <alignment horizontal="right"/>
    </xf>
    <xf numFmtId="0" fontId="0" fillId="0" borderId="0" xfId="0" applyAlignment="1">
      <alignment horizontal="left"/>
    </xf>
    <xf numFmtId="11" fontId="21" fillId="0" borderId="0" xfId="0" applyNumberFormat="1" applyFont="1"/>
    <xf numFmtId="11" fontId="3" fillId="0" borderId="0" xfId="0" applyNumberFormat="1" applyFont="1"/>
    <xf numFmtId="43" fontId="3" fillId="0" borderId="0" xfId="0" applyNumberFormat="1" applyFont="1"/>
    <xf numFmtId="0" fontId="4" fillId="0" borderId="6" xfId="0" applyFont="1" applyBorder="1"/>
    <xf numFmtId="0" fontId="0" fillId="0" borderId="3" xfId="0" applyBorder="1" applyAlignment="1">
      <alignment horizontal="right"/>
    </xf>
    <xf numFmtId="0" fontId="5" fillId="0" borderId="0" xfId="0" applyFont="1" applyAlignment="1">
      <alignment horizontal="right"/>
    </xf>
    <xf numFmtId="11" fontId="0" fillId="0" borderId="5" xfId="0" applyNumberFormat="1" applyBorder="1" applyAlignment="1">
      <alignment horizontal="center"/>
    </xf>
    <xf numFmtId="11" fontId="0" fillId="0" borderId="0" xfId="0" applyNumberFormat="1" applyAlignment="1">
      <alignment horizontal="center"/>
    </xf>
    <xf numFmtId="11" fontId="0" fillId="0" borderId="6" xfId="0" applyNumberFormat="1" applyBorder="1" applyAlignment="1">
      <alignment horizontal="center"/>
    </xf>
    <xf numFmtId="11" fontId="0" fillId="0" borderId="7" xfId="0" applyNumberFormat="1" applyBorder="1" applyAlignment="1">
      <alignment horizontal="center"/>
    </xf>
    <xf numFmtId="0" fontId="23" fillId="0" borderId="0" xfId="0" applyFont="1"/>
    <xf numFmtId="43" fontId="3" fillId="0" borderId="0" xfId="1" applyFont="1"/>
    <xf numFmtId="0" fontId="22" fillId="0" borderId="0" xfId="0" applyFont="1" applyAlignment="1">
      <alignment horizontal="center"/>
    </xf>
    <xf numFmtId="0" fontId="5" fillId="0" borderId="2" xfId="0" applyFont="1" applyBorder="1"/>
    <xf numFmtId="0" fontId="5" fillId="0" borderId="5" xfId="0" applyFont="1" applyBorder="1"/>
    <xf numFmtId="43" fontId="12" fillId="0" borderId="5" xfId="1" applyFont="1" applyBorder="1" applyAlignment="1">
      <alignment horizontal="center"/>
    </xf>
    <xf numFmtId="0" fontId="4" fillId="0" borderId="5" xfId="0" applyFont="1" applyBorder="1" applyAlignment="1">
      <alignment horizontal="center"/>
    </xf>
    <xf numFmtId="0" fontId="0" fillId="0" borderId="6" xfId="0" applyBorder="1" applyAlignment="1">
      <alignment horizontal="right"/>
    </xf>
    <xf numFmtId="11" fontId="0" fillId="0" borderId="2" xfId="0" applyNumberFormat="1" applyBorder="1" applyAlignment="1">
      <alignment horizontal="center"/>
    </xf>
    <xf numFmtId="11" fontId="0" fillId="0" borderId="3" xfId="0" applyNumberFormat="1" applyBorder="1" applyAlignment="1">
      <alignment horizontal="center"/>
    </xf>
    <xf numFmtId="11" fontId="0" fillId="0" borderId="4" xfId="0" applyNumberFormat="1" applyBorder="1" applyAlignment="1">
      <alignment horizontal="center"/>
    </xf>
    <xf numFmtId="43" fontId="3" fillId="0" borderId="5" xfId="1" applyFont="1" applyBorder="1"/>
    <xf numFmtId="0" fontId="5" fillId="0" borderId="10" xfId="0" applyFont="1" applyBorder="1"/>
    <xf numFmtId="10" fontId="3" fillId="0" borderId="0" xfId="5" applyNumberFormat="1" applyFont="1" applyAlignment="1">
      <alignment horizontal="center"/>
    </xf>
    <xf numFmtId="43" fontId="3" fillId="0" borderId="11" xfId="1" applyFont="1" applyBorder="1" applyAlignment="1">
      <alignment horizontal="justify"/>
    </xf>
    <xf numFmtId="11" fontId="9" fillId="0" borderId="7" xfId="5" applyNumberFormat="1" applyFont="1" applyBorder="1" applyAlignment="1">
      <alignment horizontal="center"/>
    </xf>
    <xf numFmtId="11" fontId="9" fillId="0" borderId="1" xfId="5" applyNumberFormat="1" applyFont="1" applyBorder="1" applyAlignment="1">
      <alignment horizontal="center"/>
    </xf>
    <xf numFmtId="11" fontId="9" fillId="0" borderId="8" xfId="5" applyNumberFormat="1" applyFont="1" applyBorder="1" applyAlignment="1">
      <alignment horizontal="center"/>
    </xf>
    <xf numFmtId="11" fontId="3" fillId="0" borderId="11" xfId="1" applyNumberFormat="1" applyFont="1" applyBorder="1"/>
    <xf numFmtId="3" fontId="3" fillId="0" borderId="0" xfId="1" applyNumberFormat="1" applyFont="1" applyAlignment="1">
      <alignment horizontal="right"/>
    </xf>
    <xf numFmtId="43" fontId="9" fillId="0" borderId="0" xfId="1" applyFont="1"/>
    <xf numFmtId="0" fontId="0" fillId="0" borderId="10" xfId="0" applyBorder="1"/>
    <xf numFmtId="0" fontId="5" fillId="0" borderId="2" xfId="0" applyFont="1" applyBorder="1" applyAlignment="1">
      <alignment horizontal="center"/>
    </xf>
    <xf numFmtId="0" fontId="5" fillId="0" borderId="4" xfId="0" applyFont="1" applyBorder="1" applyAlignment="1">
      <alignment horizontal="center"/>
    </xf>
    <xf numFmtId="0" fontId="5" fillId="0" borderId="3" xfId="0" applyFont="1" applyBorder="1" applyAlignment="1">
      <alignment horizontal="center"/>
    </xf>
    <xf numFmtId="0" fontId="5" fillId="0" borderId="8" xfId="0" applyFont="1" applyBorder="1" applyAlignment="1">
      <alignment horizontal="center"/>
    </xf>
    <xf numFmtId="0" fontId="0" fillId="0" borderId="24" xfId="0" applyBorder="1" applyAlignment="1">
      <alignment horizontal="center"/>
    </xf>
    <xf numFmtId="0" fontId="0" fillId="0" borderId="24" xfId="0" applyBorder="1"/>
    <xf numFmtId="0" fontId="0" fillId="0" borderId="22" xfId="0" applyBorder="1"/>
    <xf numFmtId="0" fontId="0" fillId="0" borderId="25" xfId="0" applyBorder="1"/>
    <xf numFmtId="0" fontId="25" fillId="0" borderId="0" xfId="0" applyFont="1"/>
    <xf numFmtId="0" fontId="5" fillId="0" borderId="4" xfId="0" applyFont="1" applyBorder="1" applyAlignment="1">
      <alignment horizontal="left"/>
    </xf>
    <xf numFmtId="0" fontId="5" fillId="0" borderId="8" xfId="0" applyFont="1" applyBorder="1" applyAlignment="1">
      <alignment horizontal="left"/>
    </xf>
    <xf numFmtId="0" fontId="26" fillId="0" borderId="0" xfId="0" applyFont="1" applyAlignment="1">
      <alignment horizontal="center"/>
    </xf>
    <xf numFmtId="0" fontId="26" fillId="0" borderId="3" xfId="0" applyFont="1" applyBorder="1" applyAlignment="1">
      <alignment horizontal="center"/>
    </xf>
    <xf numFmtId="0" fontId="26" fillId="0" borderId="1" xfId="0" applyFont="1" applyBorder="1" applyAlignment="1">
      <alignment horizontal="center"/>
    </xf>
    <xf numFmtId="0" fontId="24" fillId="0" borderId="0" xfId="0" applyFont="1"/>
    <xf numFmtId="0" fontId="27" fillId="0" borderId="0" xfId="0" applyFont="1" applyAlignment="1">
      <alignment horizontal="center"/>
    </xf>
    <xf numFmtId="43" fontId="4" fillId="0" borderId="11" xfId="1" applyFont="1" applyBorder="1"/>
    <xf numFmtId="43" fontId="4" fillId="0" borderId="11" xfId="1" applyFont="1" applyBorder="1" applyAlignment="1">
      <alignment horizontal="right"/>
    </xf>
    <xf numFmtId="0" fontId="5" fillId="0" borderId="11" xfId="0" applyFont="1" applyBorder="1" applyAlignment="1">
      <alignment horizontal="center"/>
    </xf>
    <xf numFmtId="0" fontId="22" fillId="0" borderId="5" xfId="0" applyFont="1" applyBorder="1"/>
    <xf numFmtId="11" fontId="9" fillId="0" borderId="2" xfId="0" applyNumberFormat="1" applyFont="1" applyBorder="1" applyAlignment="1">
      <alignment horizontal="center"/>
    </xf>
    <xf numFmtId="11" fontId="9" fillId="0" borderId="3" xfId="0" applyNumberFormat="1" applyFont="1" applyBorder="1" applyAlignment="1">
      <alignment horizontal="center"/>
    </xf>
    <xf numFmtId="11" fontId="9" fillId="0" borderId="4" xfId="0" applyNumberFormat="1" applyFont="1" applyBorder="1" applyAlignment="1">
      <alignment horizontal="center"/>
    </xf>
    <xf numFmtId="0" fontId="0" fillId="0" borderId="5" xfId="0" applyBorder="1" applyAlignment="1">
      <alignment horizontal="left"/>
    </xf>
    <xf numFmtId="0" fontId="4" fillId="0" borderId="11" xfId="0" applyFont="1" applyBorder="1"/>
    <xf numFmtId="43" fontId="0" fillId="0" borderId="11" xfId="1" applyFont="1" applyBorder="1" applyAlignment="1">
      <alignment horizontal="right"/>
    </xf>
    <xf numFmtId="43" fontId="0" fillId="0" borderId="9" xfId="1" applyFont="1" applyBorder="1" applyAlignment="1">
      <alignment horizontal="right"/>
    </xf>
    <xf numFmtId="169" fontId="0" fillId="0" borderId="0" xfId="0" applyNumberFormat="1"/>
    <xf numFmtId="169" fontId="12" fillId="0" borderId="0" xfId="0" applyNumberFormat="1" applyFont="1"/>
    <xf numFmtId="172" fontId="0" fillId="0" borderId="0" xfId="0" applyNumberFormat="1" applyAlignment="1">
      <alignment horizontal="center"/>
    </xf>
    <xf numFmtId="172" fontId="0" fillId="0" borderId="3" xfId="0" applyNumberFormat="1" applyBorder="1" applyAlignment="1">
      <alignment horizontal="center"/>
    </xf>
    <xf numFmtId="172" fontId="0" fillId="0" borderId="4" xfId="0" applyNumberFormat="1" applyBorder="1" applyAlignment="1">
      <alignment horizontal="center"/>
    </xf>
    <xf numFmtId="172" fontId="0" fillId="0" borderId="6" xfId="0" applyNumberFormat="1" applyBorder="1" applyAlignment="1">
      <alignment horizontal="center"/>
    </xf>
    <xf numFmtId="172" fontId="0" fillId="0" borderId="1" xfId="0" applyNumberFormat="1" applyBorder="1" applyAlignment="1">
      <alignment horizontal="center"/>
    </xf>
    <xf numFmtId="172" fontId="0" fillId="0" borderId="8" xfId="0" applyNumberForma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8" fillId="0" borderId="0" xfId="0" applyFont="1" applyAlignment="1">
      <alignment horizontal="right"/>
    </xf>
    <xf numFmtId="0" fontId="8" fillId="0" borderId="0" xfId="0" applyFont="1"/>
    <xf numFmtId="167" fontId="0" fillId="0" borderId="1" xfId="0" applyNumberFormat="1" applyBorder="1"/>
    <xf numFmtId="0" fontId="3" fillId="0" borderId="2" xfId="0" applyFont="1" applyBorder="1"/>
    <xf numFmtId="167" fontId="4" fillId="0" borderId="3" xfId="0" applyNumberFormat="1" applyFont="1" applyBorder="1"/>
    <xf numFmtId="4" fontId="0" fillId="0" borderId="3" xfId="0" applyNumberFormat="1" applyBorder="1" applyAlignment="1">
      <alignment horizontal="center"/>
    </xf>
    <xf numFmtId="0" fontId="3" fillId="0" borderId="5" xfId="0" applyFont="1" applyBorder="1"/>
    <xf numFmtId="167" fontId="4" fillId="0" borderId="0" xfId="0" applyNumberFormat="1" applyFont="1"/>
    <xf numFmtId="167" fontId="12" fillId="0" borderId="0" xfId="0" applyNumberFormat="1" applyFont="1"/>
    <xf numFmtId="4" fontId="0" fillId="0" borderId="0" xfId="0" applyNumberFormat="1" applyAlignment="1">
      <alignment horizontal="center"/>
    </xf>
    <xf numFmtId="167" fontId="4" fillId="0" borderId="1" xfId="0" applyNumberFormat="1" applyFont="1" applyBorder="1"/>
    <xf numFmtId="167" fontId="12" fillId="0" borderId="1" xfId="0" applyNumberFormat="1" applyFont="1" applyBorder="1"/>
    <xf numFmtId="4" fontId="0" fillId="0" borderId="1" xfId="0" applyNumberFormat="1" applyBorder="1" applyAlignment="1">
      <alignment horizontal="center"/>
    </xf>
    <xf numFmtId="2" fontId="4" fillId="0" borderId="0" xfId="0" applyNumberFormat="1" applyFont="1" applyAlignment="1">
      <alignment horizontal="center"/>
    </xf>
    <xf numFmtId="0" fontId="5" fillId="0" borderId="7" xfId="0" applyFont="1" applyBorder="1"/>
    <xf numFmtId="167" fontId="12" fillId="0" borderId="3" xfId="0" applyNumberFormat="1" applyFont="1" applyBorder="1"/>
    <xf numFmtId="166" fontId="12" fillId="0" borderId="3" xfId="0" applyNumberFormat="1" applyFont="1" applyBorder="1"/>
    <xf numFmtId="166" fontId="12" fillId="0" borderId="0" xfId="0" applyNumberFormat="1" applyFont="1"/>
    <xf numFmtId="166" fontId="12" fillId="0" borderId="1" xfId="0" applyNumberFormat="1" applyFont="1" applyBorder="1"/>
    <xf numFmtId="169" fontId="12" fillId="0" borderId="0" xfId="0" applyNumberFormat="1" applyFont="1" applyAlignment="1">
      <alignment horizontal="center"/>
    </xf>
    <xf numFmtId="2" fontId="12" fillId="0" borderId="0" xfId="0" applyNumberFormat="1" applyFont="1" applyAlignment="1">
      <alignment horizontal="center"/>
    </xf>
    <xf numFmtId="169" fontId="4" fillId="0" borderId="0" xfId="0" applyNumberFormat="1" applyFont="1"/>
    <xf numFmtId="2" fontId="3" fillId="0" borderId="0" xfId="0" applyNumberFormat="1" applyFont="1" applyAlignment="1">
      <alignment horizontal="center"/>
    </xf>
    <xf numFmtId="0" fontId="9" fillId="0" borderId="5" xfId="0" applyFont="1" applyBorder="1" applyAlignment="1">
      <alignment horizontal="center"/>
    </xf>
    <xf numFmtId="0" fontId="9" fillId="0" borderId="0" xfId="0" applyFont="1" applyAlignment="1">
      <alignment horizontal="center"/>
    </xf>
    <xf numFmtId="0" fontId="9" fillId="0" borderId="6" xfId="0" applyFont="1" applyBorder="1" applyAlignment="1">
      <alignment horizontal="center"/>
    </xf>
    <xf numFmtId="0" fontId="9" fillId="0" borderId="7" xfId="0" applyFont="1" applyBorder="1" applyAlignment="1">
      <alignment horizontal="center"/>
    </xf>
    <xf numFmtId="0" fontId="9" fillId="0" borderId="1" xfId="0" applyFont="1" applyBorder="1" applyAlignment="1">
      <alignment horizontal="center"/>
    </xf>
    <xf numFmtId="0" fontId="9" fillId="0" borderId="8" xfId="0" applyFont="1" applyBorder="1" applyAlignment="1">
      <alignment horizontal="center"/>
    </xf>
    <xf numFmtId="169" fontId="4" fillId="0" borderId="0" xfId="0" applyNumberFormat="1" applyFont="1" applyAlignment="1">
      <alignment horizontal="center"/>
    </xf>
    <xf numFmtId="2" fontId="12" fillId="0" borderId="0" xfId="0" applyNumberFormat="1" applyFont="1"/>
    <xf numFmtId="0" fontId="4" fillId="0" borderId="10" xfId="0" applyFont="1" applyBorder="1" applyAlignment="1">
      <alignment horizontal="center"/>
    </xf>
    <xf numFmtId="0" fontId="4" fillId="0" borderId="8" xfId="0" applyFont="1" applyBorder="1" applyAlignment="1">
      <alignment horizontal="center"/>
    </xf>
    <xf numFmtId="0" fontId="14" fillId="0" borderId="5" xfId="0" applyFont="1" applyBorder="1" applyAlignment="1">
      <alignment horizontal="center"/>
    </xf>
    <xf numFmtId="0" fontId="26" fillId="0" borderId="5" xfId="0" applyFont="1" applyBorder="1" applyAlignment="1">
      <alignment horizontal="center"/>
    </xf>
    <xf numFmtId="0" fontId="14" fillId="0" borderId="7" xfId="0" applyFont="1" applyBorder="1" applyAlignment="1">
      <alignment horizontal="center"/>
    </xf>
    <xf numFmtId="0" fontId="26" fillId="0" borderId="6" xfId="0" applyFont="1" applyBorder="1" applyAlignment="1">
      <alignment horizontal="center"/>
    </xf>
    <xf numFmtId="0" fontId="14" fillId="0" borderId="6" xfId="0" applyFont="1" applyBorder="1" applyAlignment="1">
      <alignment horizontal="center"/>
    </xf>
    <xf numFmtId="0" fontId="14" fillId="0" borderId="8" xfId="0" applyFont="1" applyBorder="1" applyAlignment="1">
      <alignment horizontal="center"/>
    </xf>
    <xf numFmtId="1" fontId="9" fillId="0" borderId="0" xfId="1" applyNumberFormat="1" applyFont="1" applyAlignment="1">
      <alignment horizontal="center"/>
    </xf>
    <xf numFmtId="43" fontId="9" fillId="0" borderId="0" xfId="1" applyFont="1" applyAlignment="1">
      <alignment horizontal="center"/>
    </xf>
    <xf numFmtId="0" fontId="26" fillId="0" borderId="0" xfId="0" applyFont="1"/>
    <xf numFmtId="0" fontId="14" fillId="0" borderId="1" xfId="0" applyFont="1" applyBorder="1" applyAlignment="1">
      <alignment horizontal="center"/>
    </xf>
    <xf numFmtId="0" fontId="14" fillId="0" borderId="9" xfId="0" applyFont="1" applyBorder="1"/>
    <xf numFmtId="0" fontId="26" fillId="0" borderId="11" xfId="0" applyFont="1" applyBorder="1" applyAlignment="1">
      <alignment horizontal="center"/>
    </xf>
    <xf numFmtId="0" fontId="14" fillId="0" borderId="11" xfId="0" applyFont="1" applyBorder="1" applyAlignment="1">
      <alignment horizontal="center"/>
    </xf>
    <xf numFmtId="0" fontId="14" fillId="0" borderId="10" xfId="0" applyFont="1" applyBorder="1" applyAlignment="1">
      <alignment horizontal="center"/>
    </xf>
    <xf numFmtId="43" fontId="9" fillId="0" borderId="0" xfId="1" applyFont="1" applyAlignment="1">
      <alignment horizontal="right"/>
    </xf>
    <xf numFmtId="11" fontId="12" fillId="0" borderId="0" xfId="1" applyNumberFormat="1" applyFont="1" applyAlignment="1">
      <alignment horizontal="center"/>
    </xf>
    <xf numFmtId="0" fontId="28" fillId="0" borderId="0" xfId="0" applyFont="1" applyAlignment="1">
      <alignment horizontal="center"/>
    </xf>
    <xf numFmtId="167" fontId="4" fillId="0" borderId="0" xfId="1" applyNumberFormat="1" applyFont="1"/>
    <xf numFmtId="167" fontId="0" fillId="0" borderId="0" xfId="1" applyNumberFormat="1" applyFont="1"/>
    <xf numFmtId="167" fontId="4" fillId="0" borderId="1" xfId="1" applyNumberFormat="1" applyFont="1" applyBorder="1" applyAlignment="1">
      <alignment horizontal="center"/>
    </xf>
    <xf numFmtId="167" fontId="4" fillId="0" borderId="1" xfId="1" applyNumberFormat="1" applyFont="1" applyBorder="1"/>
    <xf numFmtId="167" fontId="0" fillId="0" borderId="0" xfId="0" applyNumberFormat="1"/>
    <xf numFmtId="167" fontId="0" fillId="0" borderId="0" xfId="1" applyNumberFormat="1" applyFont="1" applyAlignment="1">
      <alignment horizontal="center"/>
    </xf>
    <xf numFmtId="165" fontId="0" fillId="0" borderId="0" xfId="0" applyNumberFormat="1"/>
    <xf numFmtId="165" fontId="4" fillId="0" borderId="1" xfId="1" applyNumberFormat="1" applyFont="1" applyBorder="1" applyAlignment="1">
      <alignment horizontal="center"/>
    </xf>
    <xf numFmtId="165" fontId="4" fillId="0" borderId="1" xfId="1" applyNumberFormat="1" applyFont="1" applyBorder="1"/>
    <xf numFmtId="166" fontId="0" fillId="0" borderId="1" xfId="0" applyNumberFormat="1" applyBorder="1"/>
    <xf numFmtId="166" fontId="4" fillId="0" borderId="1" xfId="1" applyNumberFormat="1" applyFont="1" applyBorder="1"/>
    <xf numFmtId="0" fontId="29" fillId="0" borderId="0" xfId="0" applyFont="1"/>
    <xf numFmtId="43" fontId="0" fillId="0" borderId="0" xfId="0" applyNumberFormat="1"/>
    <xf numFmtId="9" fontId="12" fillId="0" borderId="0" xfId="5" applyFont="1"/>
    <xf numFmtId="177" fontId="0" fillId="0" borderId="0" xfId="0" applyNumberFormat="1"/>
    <xf numFmtId="177" fontId="0" fillId="0" borderId="6" xfId="0" applyNumberFormat="1" applyBorder="1"/>
    <xf numFmtId="1" fontId="0" fillId="0" borderId="0" xfId="0" applyNumberFormat="1"/>
    <xf numFmtId="165" fontId="4" fillId="0" borderId="3" xfId="0" applyNumberFormat="1" applyFont="1" applyBorder="1"/>
    <xf numFmtId="165" fontId="12" fillId="0" borderId="0" xfId="0" applyNumberFormat="1" applyFont="1"/>
    <xf numFmtId="165" fontId="12" fillId="0" borderId="1" xfId="0" applyNumberFormat="1" applyFont="1" applyBorder="1"/>
    <xf numFmtId="165" fontId="12" fillId="0" borderId="3" xfId="0" applyNumberFormat="1" applyFont="1" applyBorder="1"/>
    <xf numFmtId="37" fontId="5" fillId="0" borderId="0" xfId="1" applyNumberFormat="1" applyFont="1" applyAlignment="1">
      <alignment horizontal="right"/>
    </xf>
    <xf numFmtId="3" fontId="0" fillId="0" borderId="9" xfId="1" applyNumberFormat="1" applyFont="1" applyBorder="1" applyAlignment="1">
      <alignment horizontal="right"/>
    </xf>
    <xf numFmtId="3" fontId="4" fillId="0" borderId="9" xfId="1" quotePrefix="1" applyNumberFormat="1" applyFont="1" applyBorder="1" applyAlignment="1">
      <alignment horizontal="right"/>
    </xf>
    <xf numFmtId="3" fontId="0" fillId="0" borderId="11" xfId="1" applyNumberFormat="1" applyFont="1" applyBorder="1" applyAlignment="1">
      <alignment horizontal="right"/>
    </xf>
    <xf numFmtId="3" fontId="0" fillId="0" borderId="10" xfId="1" applyNumberFormat="1" applyFont="1" applyBorder="1" applyAlignment="1">
      <alignment horizontal="right"/>
    </xf>
    <xf numFmtId="3" fontId="5" fillId="0" borderId="0" xfId="1" applyNumberFormat="1" applyFont="1" applyAlignment="1">
      <alignment horizontal="right"/>
    </xf>
    <xf numFmtId="0" fontId="3" fillId="0" borderId="5" xfId="0" applyFont="1" applyBorder="1" applyAlignment="1">
      <alignment horizontal="center"/>
    </xf>
    <xf numFmtId="0" fontId="4" fillId="0" borderId="0" xfId="0" applyFont="1" applyAlignment="1">
      <alignment horizontal="right"/>
    </xf>
    <xf numFmtId="0" fontId="12" fillId="0" borderId="0" xfId="0" applyFont="1" applyAlignment="1">
      <alignment horizontal="left"/>
    </xf>
    <xf numFmtId="9" fontId="4" fillId="0" borderId="0" xfId="5" applyFont="1"/>
    <xf numFmtId="9" fontId="3" fillId="0" borderId="0" xfId="5" applyFont="1"/>
    <xf numFmtId="166" fontId="0" fillId="0" borderId="0" xfId="0" applyNumberFormat="1"/>
    <xf numFmtId="177" fontId="3" fillId="0" borderId="0" xfId="0" applyNumberFormat="1" applyFont="1"/>
    <xf numFmtId="166" fontId="3" fillId="0" borderId="0" xfId="0" applyNumberFormat="1" applyFont="1"/>
    <xf numFmtId="177" fontId="5" fillId="0" borderId="3" xfId="0" applyNumberFormat="1" applyFont="1" applyBorder="1" applyAlignment="1">
      <alignment horizontal="center"/>
    </xf>
    <xf numFmtId="49" fontId="5" fillId="0" borderId="3" xfId="0" applyNumberFormat="1" applyFont="1" applyBorder="1" applyAlignment="1">
      <alignment horizontal="center"/>
    </xf>
    <xf numFmtId="177" fontId="5" fillId="0" borderId="0" xfId="0" applyNumberFormat="1" applyFont="1" applyAlignment="1">
      <alignment horizontal="center"/>
    </xf>
    <xf numFmtId="177" fontId="5" fillId="0" borderId="1" xfId="0" applyNumberFormat="1" applyFont="1" applyBorder="1" applyAlignment="1">
      <alignment horizontal="center"/>
    </xf>
    <xf numFmtId="177" fontId="0" fillId="0" borderId="3" xfId="0" applyNumberFormat="1" applyBorder="1"/>
    <xf numFmtId="166" fontId="0" fillId="0" borderId="3" xfId="0" applyNumberFormat="1" applyBorder="1"/>
    <xf numFmtId="0" fontId="12" fillId="0" borderId="5" xfId="0" applyFont="1" applyBorder="1" applyAlignment="1">
      <alignment horizontal="center"/>
    </xf>
    <xf numFmtId="178" fontId="0" fillId="0" borderId="0" xfId="0" applyNumberFormat="1"/>
    <xf numFmtId="0" fontId="0" fillId="0" borderId="0" xfId="0" applyAlignment="1">
      <alignment horizontal="right" vertical="top"/>
    </xf>
    <xf numFmtId="0" fontId="0" fillId="0" borderId="0" xfId="0" applyAlignment="1">
      <alignment vertical="top" wrapText="1"/>
    </xf>
    <xf numFmtId="166" fontId="8" fillId="0" borderId="0" xfId="0" applyNumberFormat="1" applyFont="1"/>
    <xf numFmtId="167" fontId="4" fillId="0" borderId="0" xfId="0" applyNumberFormat="1" applyFont="1" applyAlignment="1">
      <alignment horizontal="left"/>
    </xf>
    <xf numFmtId="0" fontId="12" fillId="0" borderId="6" xfId="0" applyFont="1" applyBorder="1" applyAlignment="1">
      <alignment horizontal="center"/>
    </xf>
    <xf numFmtId="43" fontId="0" fillId="0" borderId="6" xfId="0" applyNumberFormat="1" applyBorder="1"/>
    <xf numFmtId="43" fontId="12" fillId="0" borderId="24" xfId="1" applyFont="1" applyBorder="1"/>
    <xf numFmtId="179" fontId="4" fillId="0" borderId="5" xfId="0" applyNumberFormat="1" applyFont="1" applyBorder="1" applyAlignment="1">
      <alignment horizontal="center"/>
    </xf>
    <xf numFmtId="179" fontId="4" fillId="0" borderId="6" xfId="0" applyNumberFormat="1" applyFont="1" applyBorder="1" applyAlignment="1">
      <alignment horizontal="center"/>
    </xf>
    <xf numFmtId="179" fontId="4" fillId="0" borderId="7" xfId="0" applyNumberFormat="1" applyFont="1" applyBorder="1" applyAlignment="1">
      <alignment horizontal="center"/>
    </xf>
    <xf numFmtId="179" fontId="4" fillId="0" borderId="8" xfId="0" applyNumberFormat="1" applyFont="1" applyBorder="1" applyAlignment="1">
      <alignment horizontal="center"/>
    </xf>
    <xf numFmtId="179" fontId="12" fillId="0" borderId="5" xfId="0" applyNumberFormat="1" applyFont="1" applyBorder="1" applyAlignment="1">
      <alignment horizontal="center"/>
    </xf>
    <xf numFmtId="179" fontId="12" fillId="0" borderId="6" xfId="0" applyNumberFormat="1" applyFont="1" applyBorder="1" applyAlignment="1">
      <alignment horizontal="center"/>
    </xf>
    <xf numFmtId="0" fontId="25" fillId="0" borderId="0" xfId="0" applyFont="1" applyAlignment="1">
      <alignment horizontal="left"/>
    </xf>
    <xf numFmtId="49" fontId="5" fillId="0" borderId="0" xfId="0" applyNumberFormat="1" applyFont="1" applyAlignment="1">
      <alignment horizontal="center"/>
    </xf>
    <xf numFmtId="43" fontId="15" fillId="0" borderId="0" xfId="1" applyFont="1" applyAlignment="1">
      <alignment horizontal="center"/>
    </xf>
    <xf numFmtId="0" fontId="13" fillId="0" borderId="1" xfId="0" applyFont="1" applyBorder="1" applyAlignment="1">
      <alignment horizontal="center"/>
    </xf>
    <xf numFmtId="0" fontId="13" fillId="0" borderId="8" xfId="0" applyFont="1" applyBorder="1" applyAlignment="1">
      <alignment horizontal="center"/>
    </xf>
    <xf numFmtId="0" fontId="31" fillId="0" borderId="2" xfId="0" applyFont="1" applyBorder="1"/>
    <xf numFmtId="0" fontId="31" fillId="0" borderId="3" xfId="0" applyFont="1" applyBorder="1"/>
    <xf numFmtId="0" fontId="7" fillId="0" borderId="3" xfId="0" applyFont="1" applyBorder="1" applyAlignment="1">
      <alignment horizontal="left"/>
    </xf>
    <xf numFmtId="0" fontId="7" fillId="0" borderId="4" xfId="0" applyFont="1" applyBorder="1" applyAlignment="1">
      <alignment horizontal="center"/>
    </xf>
    <xf numFmtId="0" fontId="31" fillId="0" borderId="5" xfId="0" applyFont="1" applyBorder="1"/>
    <xf numFmtId="0" fontId="7" fillId="0" borderId="0" xfId="0" applyFont="1" applyAlignment="1">
      <alignment horizontal="right"/>
    </xf>
    <xf numFmtId="0" fontId="7" fillId="0" borderId="0" xfId="0" applyFont="1" applyAlignment="1">
      <alignment horizontal="center"/>
    </xf>
    <xf numFmtId="0" fontId="7" fillId="0" borderId="6" xfId="0" applyFont="1" applyBorder="1" applyAlignment="1">
      <alignment horizontal="center"/>
    </xf>
    <xf numFmtId="0" fontId="31" fillId="0" borderId="7" xfId="0" applyFont="1" applyBorder="1"/>
    <xf numFmtId="0" fontId="31" fillId="0" borderId="4" xfId="0" applyFont="1" applyBorder="1"/>
    <xf numFmtId="0" fontId="32" fillId="0" borderId="0" xfId="0" applyFont="1" applyAlignment="1">
      <alignment horizontal="center"/>
    </xf>
    <xf numFmtId="176" fontId="32" fillId="0" borderId="0" xfId="0" applyNumberFormat="1" applyFont="1" applyAlignment="1">
      <alignment horizontal="center"/>
    </xf>
    <xf numFmtId="0" fontId="31" fillId="0" borderId="1" xfId="0" applyFont="1" applyBorder="1" applyAlignment="1">
      <alignment horizontal="center"/>
    </xf>
    <xf numFmtId="176" fontId="32" fillId="0" borderId="1" xfId="0" applyNumberFormat="1" applyFont="1" applyBorder="1" applyAlignment="1">
      <alignment horizontal="center"/>
    </xf>
    <xf numFmtId="0" fontId="31" fillId="0" borderId="1" xfId="0" applyFont="1" applyBorder="1"/>
    <xf numFmtId="0" fontId="31" fillId="0" borderId="8" xfId="0" applyFont="1" applyBorder="1"/>
    <xf numFmtId="0" fontId="31" fillId="0" borderId="0" xfId="0" applyFont="1"/>
    <xf numFmtId="0" fontId="7" fillId="0" borderId="1" xfId="0" applyFont="1" applyBorder="1" applyAlignment="1">
      <alignment horizontal="center"/>
    </xf>
    <xf numFmtId="167" fontId="7" fillId="0" borderId="8" xfId="0" applyNumberFormat="1" applyFont="1" applyBorder="1"/>
    <xf numFmtId="169" fontId="16" fillId="0" borderId="0" xfId="0" applyNumberFormat="1" applyFont="1" applyAlignment="1">
      <alignment horizontal="center"/>
    </xf>
    <xf numFmtId="0" fontId="26" fillId="0" borderId="4" xfId="0" applyFont="1" applyBorder="1" applyAlignment="1">
      <alignment horizontal="center"/>
    </xf>
    <xf numFmtId="0" fontId="24" fillId="0" borderId="0" xfId="0" applyFont="1" applyAlignment="1">
      <alignment horizontal="left"/>
    </xf>
    <xf numFmtId="181" fontId="4" fillId="0" borderId="0" xfId="0" applyNumberFormat="1" applyFont="1" applyAlignment="1">
      <alignment horizontal="right"/>
    </xf>
    <xf numFmtId="181" fontId="0" fillId="0" borderId="1" xfId="0" applyNumberFormat="1" applyBorder="1"/>
    <xf numFmtId="183" fontId="4" fillId="0" borderId="0" xfId="0" applyNumberFormat="1" applyFont="1" applyAlignment="1">
      <alignment horizontal="right"/>
    </xf>
    <xf numFmtId="183" fontId="4" fillId="0" borderId="0" xfId="0" applyNumberFormat="1" applyFont="1"/>
    <xf numFmtId="183" fontId="12" fillId="0" borderId="0" xfId="0" applyNumberFormat="1" applyFont="1" applyAlignment="1">
      <alignment horizontal="center"/>
    </xf>
    <xf numFmtId="183" fontId="0" fillId="0" borderId="1" xfId="0" applyNumberFormat="1" applyBorder="1"/>
    <xf numFmtId="183" fontId="12" fillId="0" borderId="0" xfId="0" applyNumberFormat="1" applyFont="1" applyAlignment="1">
      <alignment horizontal="right"/>
    </xf>
    <xf numFmtId="0" fontId="0" fillId="0" borderId="0" xfId="0" quotePrefix="1"/>
    <xf numFmtId="1" fontId="4" fillId="0" borderId="0" xfId="0" applyNumberFormat="1" applyFont="1" applyAlignment="1">
      <alignment horizontal="center"/>
    </xf>
    <xf numFmtId="0" fontId="4" fillId="0" borderId="0" xfId="0" quotePrefix="1" applyFont="1"/>
    <xf numFmtId="185" fontId="4" fillId="0" borderId="0" xfId="1" applyNumberFormat="1" applyFont="1"/>
    <xf numFmtId="185" fontId="4" fillId="0" borderId="1" xfId="1" applyNumberFormat="1" applyFont="1" applyBorder="1"/>
    <xf numFmtId="185" fontId="5" fillId="0" borderId="1" xfId="0" applyNumberFormat="1" applyFont="1" applyBorder="1" applyAlignment="1">
      <alignment horizontal="center"/>
    </xf>
    <xf numFmtId="185" fontId="5" fillId="0" borderId="0" xfId="0" applyNumberFormat="1" applyFont="1" applyAlignment="1">
      <alignment horizontal="center"/>
    </xf>
    <xf numFmtId="182" fontId="0" fillId="0" borderId="0" xfId="0" applyNumberFormat="1" applyAlignment="1">
      <alignment horizontal="right"/>
    </xf>
    <xf numFmtId="182" fontId="0" fillId="0" borderId="1" xfId="0" applyNumberFormat="1" applyBorder="1"/>
    <xf numFmtId="186" fontId="4" fillId="0" borderId="11" xfId="1" applyNumberFormat="1" applyFont="1" applyBorder="1"/>
    <xf numFmtId="168" fontId="0" fillId="0" borderId="0" xfId="0" applyNumberFormat="1" applyAlignment="1">
      <alignment horizontal="left"/>
    </xf>
    <xf numFmtId="19" fontId="0" fillId="0" borderId="0" xfId="0" applyNumberFormat="1" applyAlignment="1">
      <alignment horizontal="left"/>
    </xf>
    <xf numFmtId="49" fontId="5" fillId="0" borderId="5" xfId="0" applyNumberFormat="1" applyFont="1" applyBorder="1" applyAlignment="1">
      <alignment horizontal="center"/>
    </xf>
    <xf numFmtId="183" fontId="12" fillId="0" borderId="5" xfId="0" applyNumberFormat="1" applyFont="1" applyBorder="1" applyAlignment="1">
      <alignment horizontal="center"/>
    </xf>
    <xf numFmtId="183" fontId="0" fillId="0" borderId="7" xfId="0" applyNumberFormat="1" applyBorder="1"/>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xf numFmtId="0" fontId="0" fillId="0" borderId="31" xfId="0" applyBorder="1"/>
    <xf numFmtId="43" fontId="12" fillId="0" borderId="31" xfId="1" applyFont="1" applyBorder="1"/>
    <xf numFmtId="0" fontId="0" fillId="0" borderId="33" xfId="0" applyBorder="1"/>
    <xf numFmtId="3" fontId="5" fillId="0" borderId="0" xfId="0" applyNumberFormat="1" applyFont="1" applyAlignment="1">
      <alignment horizontal="center"/>
    </xf>
    <xf numFmtId="187" fontId="0" fillId="0" borderId="0" xfId="1" applyNumberFormat="1" applyFont="1" applyAlignment="1">
      <alignment horizontal="center"/>
    </xf>
    <xf numFmtId="186" fontId="0" fillId="0" borderId="0" xfId="1" applyNumberFormat="1" applyFont="1" applyAlignment="1">
      <alignment horizontal="center"/>
    </xf>
    <xf numFmtId="174" fontId="0" fillId="0" borderId="0" xfId="1" applyNumberFormat="1" applyFont="1" applyAlignment="1">
      <alignment horizontal="center"/>
    </xf>
    <xf numFmtId="183" fontId="3" fillId="0" borderId="0" xfId="0" applyNumberFormat="1" applyFont="1"/>
    <xf numFmtId="0" fontId="27" fillId="2" borderId="0" xfId="0" applyFont="1" applyFill="1" applyAlignment="1">
      <alignment horizontal="center"/>
    </xf>
    <xf numFmtId="0" fontId="27" fillId="2" borderId="1" xfId="0" applyFont="1" applyFill="1" applyBorder="1" applyAlignment="1">
      <alignment horizontal="center"/>
    </xf>
    <xf numFmtId="49" fontId="27" fillId="0" borderId="3" xfId="0" applyNumberFormat="1" applyFont="1" applyBorder="1" applyAlignment="1">
      <alignment horizontal="center"/>
    </xf>
    <xf numFmtId="49" fontId="27" fillId="2" borderId="0" xfId="0" applyNumberFormat="1" applyFont="1" applyFill="1" applyAlignment="1">
      <alignment horizontal="center"/>
    </xf>
    <xf numFmtId="43" fontId="12" fillId="0" borderId="9" xfId="1" applyFont="1" applyBorder="1"/>
    <xf numFmtId="43" fontId="12" fillId="0" borderId="11" xfId="0" applyNumberFormat="1" applyFont="1" applyBorder="1"/>
    <xf numFmtId="43" fontId="12" fillId="0" borderId="18" xfId="1" applyFont="1" applyBorder="1"/>
    <xf numFmtId="3" fontId="4" fillId="0" borderId="0" xfId="1" applyNumberFormat="1" applyFont="1" applyAlignment="1">
      <alignment horizontal="center"/>
    </xf>
    <xf numFmtId="165" fontId="12" fillId="0" borderId="0" xfId="1" applyNumberFormat="1" applyFont="1" applyAlignment="1">
      <alignment horizontal="center"/>
    </xf>
    <xf numFmtId="167" fontId="12" fillId="0" borderId="0" xfId="0" applyNumberFormat="1" applyFont="1" applyAlignment="1">
      <alignment horizontal="right"/>
    </xf>
    <xf numFmtId="0" fontId="15" fillId="0" borderId="0" xfId="0" applyFont="1" applyAlignment="1">
      <alignment horizontal="left"/>
    </xf>
    <xf numFmtId="0" fontId="4" fillId="0" borderId="9" xfId="0" applyFont="1" applyBorder="1"/>
    <xf numFmtId="0" fontId="9" fillId="0" borderId="11" xfId="0" applyFont="1" applyBorder="1" applyAlignment="1">
      <alignment horizontal="center"/>
    </xf>
    <xf numFmtId="0" fontId="8" fillId="0" borderId="9" xfId="0" applyFont="1" applyBorder="1"/>
    <xf numFmtId="0" fontId="27" fillId="0" borderId="6" xfId="0" applyFont="1" applyBorder="1" applyAlignment="1">
      <alignment horizontal="center"/>
    </xf>
    <xf numFmtId="0" fontId="27" fillId="0" borderId="11" xfId="0" applyFont="1" applyBorder="1" applyAlignment="1">
      <alignment horizontal="center"/>
    </xf>
    <xf numFmtId="0" fontId="8" fillId="0" borderId="6" xfId="0" applyFont="1" applyBorder="1" applyAlignment="1">
      <alignment horizontal="center"/>
    </xf>
    <xf numFmtId="0" fontId="8" fillId="0" borderId="10" xfId="0" applyFont="1" applyBorder="1" applyAlignment="1">
      <alignment horizontal="center"/>
    </xf>
    <xf numFmtId="0" fontId="8" fillId="0" borderId="8" xfId="0" applyFont="1" applyBorder="1" applyAlignment="1">
      <alignment horizontal="center"/>
    </xf>
    <xf numFmtId="0" fontId="8" fillId="0" borderId="11" xfId="0" applyFont="1" applyBorder="1" applyAlignment="1">
      <alignment horizontal="center"/>
    </xf>
    <xf numFmtId="186" fontId="4" fillId="0" borderId="11" xfId="1" applyNumberFormat="1" applyFont="1" applyBorder="1" applyAlignment="1">
      <alignment horizontal="right"/>
    </xf>
    <xf numFmtId="186" fontId="3" fillId="0" borderId="11" xfId="1" applyNumberFormat="1" applyFont="1" applyBorder="1"/>
    <xf numFmtId="186" fontId="0" fillId="0" borderId="11" xfId="0" applyNumberFormat="1" applyBorder="1" applyAlignment="1">
      <alignment horizontal="left"/>
    </xf>
    <xf numFmtId="186" fontId="0" fillId="0" borderId="11" xfId="0" applyNumberFormat="1" applyBorder="1" applyAlignment="1">
      <alignment horizontal="right"/>
    </xf>
    <xf numFmtId="187" fontId="3" fillId="0" borderId="11" xfId="1" applyNumberFormat="1" applyFont="1" applyBorder="1"/>
    <xf numFmtId="187" fontId="3" fillId="0" borderId="11" xfId="1" applyNumberFormat="1" applyFont="1" applyBorder="1" applyAlignment="1">
      <alignment horizontal="right"/>
    </xf>
    <xf numFmtId="43" fontId="36" fillId="0" borderId="11" xfId="1" applyFont="1" applyBorder="1"/>
    <xf numFmtId="164" fontId="4" fillId="0" borderId="0" xfId="0" applyNumberFormat="1" applyFont="1" applyAlignment="1">
      <alignment horizontal="center"/>
    </xf>
    <xf numFmtId="182" fontId="12" fillId="0" borderId="0" xfId="0" applyNumberFormat="1" applyFont="1"/>
    <xf numFmtId="0" fontId="5" fillId="0" borderId="9" xfId="0" applyFont="1" applyBorder="1" applyAlignment="1">
      <alignment horizontal="center"/>
    </xf>
    <xf numFmtId="183" fontId="3" fillId="0" borderId="11" xfId="0" applyNumberFormat="1" applyFont="1" applyBorder="1"/>
    <xf numFmtId="0" fontId="4" fillId="0" borderId="5" xfId="0" applyFont="1" applyBorder="1"/>
    <xf numFmtId="0" fontId="36" fillId="0" borderId="0" xfId="0" applyFont="1" applyAlignment="1">
      <alignment horizontal="center"/>
    </xf>
    <xf numFmtId="183" fontId="4" fillId="0" borderId="0" xfId="0" applyNumberFormat="1" applyFont="1" applyAlignment="1">
      <alignment horizontal="center"/>
    </xf>
    <xf numFmtId="169" fontId="4" fillId="0" borderId="11" xfId="0" applyNumberFormat="1" applyFont="1" applyBorder="1"/>
    <xf numFmtId="186" fontId="3" fillId="0" borderId="11" xfId="1" applyNumberFormat="1" applyFont="1" applyBorder="1" applyAlignment="1">
      <alignment horizontal="right"/>
    </xf>
    <xf numFmtId="0" fontId="5" fillId="0" borderId="12" xfId="0" applyFont="1" applyBorder="1" applyAlignment="1">
      <alignment horizontal="center"/>
    </xf>
    <xf numFmtId="0" fontId="0" fillId="0" borderId="37" xfId="0" applyBorder="1"/>
    <xf numFmtId="0" fontId="5" fillId="0" borderId="19" xfId="0" applyFont="1" applyBorder="1" applyAlignment="1">
      <alignment horizontal="center"/>
    </xf>
    <xf numFmtId="183" fontId="3" fillId="0" borderId="0" xfId="0" applyNumberFormat="1" applyFont="1" applyAlignment="1">
      <alignment horizontal="right"/>
    </xf>
    <xf numFmtId="183" fontId="4" fillId="0" borderId="6" xfId="0" applyNumberFormat="1" applyFont="1" applyBorder="1" applyAlignment="1">
      <alignment horizontal="right"/>
    </xf>
    <xf numFmtId="183" fontId="12" fillId="0" borderId="6" xfId="0" applyNumberFormat="1" applyFont="1" applyBorder="1" applyAlignment="1">
      <alignment horizontal="right"/>
    </xf>
    <xf numFmtId="183" fontId="4" fillId="0" borderId="6" xfId="0" applyNumberFormat="1" applyFont="1" applyBorder="1" applyAlignment="1">
      <alignment horizontal="center"/>
    </xf>
    <xf numFmtId="183" fontId="4" fillId="0" borderId="8" xfId="0" applyNumberFormat="1" applyFont="1" applyBorder="1" applyAlignment="1">
      <alignment horizontal="right"/>
    </xf>
    <xf numFmtId="0" fontId="12" fillId="0" borderId="5" xfId="0" applyFont="1" applyBorder="1" applyAlignment="1">
      <alignment horizontal="left"/>
    </xf>
    <xf numFmtId="0" fontId="0" fillId="0" borderId="7" xfId="0" applyBorder="1" applyAlignment="1">
      <alignment horizontal="left"/>
    </xf>
    <xf numFmtId="0" fontId="3" fillId="0" borderId="0" xfId="4"/>
    <xf numFmtId="0" fontId="9" fillId="0" borderId="31" xfId="4" applyFont="1" applyBorder="1"/>
    <xf numFmtId="0" fontId="4" fillId="0" borderId="31" xfId="4" applyFont="1" applyBorder="1"/>
    <xf numFmtId="0" fontId="12" fillId="0" borderId="31" xfId="0" applyFont="1" applyBorder="1"/>
    <xf numFmtId="0" fontId="12" fillId="0" borderId="18" xfId="0" applyFont="1" applyBorder="1" applyAlignment="1">
      <alignment horizontal="left"/>
    </xf>
    <xf numFmtId="0" fontId="27" fillId="0" borderId="0" xfId="4" applyFont="1"/>
    <xf numFmtId="0" fontId="0" fillId="0" borderId="38" xfId="0" applyBorder="1"/>
    <xf numFmtId="0" fontId="0" fillId="0" borderId="39" xfId="0" applyBorder="1"/>
    <xf numFmtId="0" fontId="0" fillId="0" borderId="40" xfId="0" applyBorder="1"/>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39" fillId="0" borderId="0" xfId="0" applyFont="1"/>
    <xf numFmtId="0" fontId="5" fillId="0" borderId="43" xfId="0" applyFont="1" applyBorder="1" applyAlignment="1">
      <alignment horizontal="center"/>
    </xf>
    <xf numFmtId="0" fontId="5" fillId="0" borderId="44" xfId="0" applyFont="1" applyBorder="1" applyAlignment="1">
      <alignment horizontal="center"/>
    </xf>
    <xf numFmtId="2" fontId="0" fillId="0" borderId="6" xfId="0" applyNumberFormat="1" applyBorder="1" applyAlignment="1">
      <alignment horizontal="center"/>
    </xf>
    <xf numFmtId="2" fontId="0" fillId="0" borderId="1" xfId="0" applyNumberFormat="1" applyBorder="1" applyAlignment="1">
      <alignment horizontal="center"/>
    </xf>
    <xf numFmtId="2" fontId="0" fillId="0" borderId="8" xfId="0" applyNumberFormat="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41" fillId="0" borderId="0" xfId="0" applyFont="1"/>
    <xf numFmtId="1" fontId="15" fillId="0" borderId="0" xfId="0" applyNumberFormat="1" applyFont="1"/>
    <xf numFmtId="167" fontId="5" fillId="0" borderId="5" xfId="0" applyNumberFormat="1" applyFont="1" applyBorder="1" applyAlignment="1">
      <alignment horizontal="left"/>
    </xf>
    <xf numFmtId="9" fontId="4" fillId="0" borderId="6" xfId="5" applyFont="1" applyBorder="1"/>
    <xf numFmtId="9" fontId="12" fillId="0" borderId="6" xfId="5" applyFont="1" applyBorder="1"/>
    <xf numFmtId="0" fontId="5" fillId="0" borderId="9" xfId="0" applyFont="1" applyBorder="1"/>
    <xf numFmtId="0" fontId="43" fillId="0" borderId="0" xfId="0" applyFont="1"/>
    <xf numFmtId="179" fontId="4" fillId="0" borderId="0" xfId="0" applyNumberFormat="1" applyFont="1" applyAlignment="1">
      <alignment horizontal="center"/>
    </xf>
    <xf numFmtId="179" fontId="12" fillId="0" borderId="0" xfId="0" applyNumberFormat="1" applyFont="1" applyAlignment="1">
      <alignment horizontal="center"/>
    </xf>
    <xf numFmtId="179" fontId="4" fillId="0" borderId="1" xfId="0" applyNumberFormat="1" applyFont="1" applyBorder="1" applyAlignment="1">
      <alignment horizontal="center"/>
    </xf>
    <xf numFmtId="0" fontId="5" fillId="0" borderId="1" xfId="0" applyFont="1" applyBorder="1" applyAlignment="1">
      <alignment horizontal="right"/>
    </xf>
    <xf numFmtId="0" fontId="45" fillId="0" borderId="0" xfId="0" applyFont="1"/>
    <xf numFmtId="0" fontId="45" fillId="0" borderId="0" xfId="0" quotePrefix="1" applyFont="1"/>
    <xf numFmtId="2" fontId="45" fillId="0" borderId="0" xfId="0" applyNumberFormat="1" applyFont="1"/>
    <xf numFmtId="0" fontId="45" fillId="0" borderId="0" xfId="0" applyFont="1" applyAlignment="1">
      <alignment horizontal="center"/>
    </xf>
    <xf numFmtId="0" fontId="45" fillId="0" borderId="0" xfId="0" applyFont="1" applyAlignment="1">
      <alignment horizontal="left"/>
    </xf>
    <xf numFmtId="0" fontId="46" fillId="0" borderId="0" xfId="0" applyFont="1"/>
    <xf numFmtId="43" fontId="46" fillId="0" borderId="0" xfId="1" applyFont="1"/>
    <xf numFmtId="2" fontId="46" fillId="0" borderId="0" xfId="1" applyNumberFormat="1" applyFont="1"/>
    <xf numFmtId="0" fontId="47" fillId="0" borderId="0" xfId="0" applyFont="1"/>
    <xf numFmtId="0" fontId="47" fillId="0" borderId="0" xfId="0" applyFont="1" applyAlignment="1">
      <alignment horizontal="right"/>
    </xf>
    <xf numFmtId="0" fontId="45" fillId="0" borderId="0" xfId="0" applyFont="1" applyAlignment="1">
      <alignment horizontal="right"/>
    </xf>
    <xf numFmtId="0" fontId="47" fillId="0" borderId="0" xfId="0" applyFont="1" applyAlignment="1">
      <alignment horizontal="center"/>
    </xf>
    <xf numFmtId="0" fontId="37" fillId="0" borderId="0" xfId="2" applyFont="1" applyAlignment="1">
      <alignment horizontal="left"/>
    </xf>
    <xf numFmtId="0" fontId="0" fillId="0" borderId="9" xfId="0" applyBorder="1" applyAlignment="1">
      <alignment vertical="center"/>
    </xf>
    <xf numFmtId="0" fontId="0" fillId="0" borderId="0" xfId="0" applyAlignment="1">
      <alignment vertical="center"/>
    </xf>
    <xf numFmtId="0" fontId="0" fillId="0" borderId="11" xfId="0" applyBorder="1" applyAlignment="1">
      <alignment vertical="center"/>
    </xf>
    <xf numFmtId="0" fontId="5" fillId="0" borderId="13" xfId="0" applyFont="1" applyBorder="1" applyAlignment="1">
      <alignment horizontal="center"/>
    </xf>
    <xf numFmtId="49" fontId="5" fillId="0" borderId="36" xfId="0" applyNumberFormat="1" applyFont="1" applyBorder="1" applyAlignment="1">
      <alignment horizontal="center"/>
    </xf>
    <xf numFmtId="0" fontId="5" fillId="0" borderId="16" xfId="0" applyFont="1" applyBorder="1" applyAlignment="1">
      <alignment horizontal="center"/>
    </xf>
    <xf numFmtId="0" fontId="5" fillId="0" borderId="24" xfId="0" applyFont="1" applyBorder="1" applyAlignment="1">
      <alignment horizontal="center"/>
    </xf>
    <xf numFmtId="0" fontId="5" fillId="0" borderId="37" xfId="0" applyFont="1" applyBorder="1" applyAlignment="1">
      <alignment horizontal="center"/>
    </xf>
    <xf numFmtId="0" fontId="5" fillId="0" borderId="29" xfId="0" applyFont="1" applyBorder="1" applyAlignment="1">
      <alignment horizontal="center"/>
    </xf>
    <xf numFmtId="0" fontId="0" fillId="0" borderId="45" xfId="0" applyBorder="1" applyAlignment="1">
      <alignment vertical="center"/>
    </xf>
    <xf numFmtId="49" fontId="5" fillId="0" borderId="12" xfId="0" applyNumberFormat="1" applyFont="1" applyBorder="1" applyAlignment="1">
      <alignment horizontal="center"/>
    </xf>
    <xf numFmtId="0" fontId="0" fillId="0" borderId="45" xfId="0" applyBorder="1"/>
    <xf numFmtId="49" fontId="5" fillId="0" borderId="15" xfId="0" applyNumberFormat="1" applyFont="1" applyBorder="1" applyAlignment="1">
      <alignment horizontal="center"/>
    </xf>
    <xf numFmtId="0" fontId="5" fillId="0" borderId="18" xfId="0" applyFont="1" applyBorder="1" applyAlignment="1">
      <alignment horizontal="center"/>
    </xf>
    <xf numFmtId="0" fontId="5" fillId="0" borderId="46" xfId="0" applyFont="1" applyBorder="1" applyAlignment="1">
      <alignment horizontal="center"/>
    </xf>
    <xf numFmtId="0" fontId="0" fillId="0" borderId="14" xfId="0" applyBorder="1"/>
    <xf numFmtId="0" fontId="0" fillId="0" borderId="47" xfId="0" applyBorder="1"/>
    <xf numFmtId="0" fontId="26" fillId="0" borderId="13" xfId="0" applyFont="1" applyBorder="1" applyAlignment="1">
      <alignment horizontal="center"/>
    </xf>
    <xf numFmtId="167" fontId="5" fillId="0" borderId="10" xfId="0" applyNumberFormat="1" applyFont="1" applyBorder="1" applyAlignment="1">
      <alignment horizontal="right"/>
    </xf>
    <xf numFmtId="0" fontId="10" fillId="0" borderId="2" xfId="2" applyFont="1" applyBorder="1"/>
    <xf numFmtId="0" fontId="10" fillId="0" borderId="3" xfId="2" applyFont="1" applyBorder="1" applyAlignment="1">
      <alignment horizontal="center"/>
    </xf>
    <xf numFmtId="0" fontId="10" fillId="0" borderId="3" xfId="2" applyFont="1" applyBorder="1"/>
    <xf numFmtId="0" fontId="10" fillId="0" borderId="3" xfId="0" applyFont="1" applyBorder="1"/>
    <xf numFmtId="0" fontId="10" fillId="0" borderId="9" xfId="2" applyFont="1" applyBorder="1" applyAlignment="1">
      <alignment horizontal="center"/>
    </xf>
    <xf numFmtId="0" fontId="10" fillId="0" borderId="9" xfId="2" applyFont="1" applyBorder="1"/>
    <xf numFmtId="0" fontId="10" fillId="0" borderId="2" xfId="2" applyFont="1" applyBorder="1" applyAlignment="1">
      <alignment horizontal="center"/>
    </xf>
    <xf numFmtId="0" fontId="10" fillId="0" borderId="48" xfId="2" applyFont="1" applyBorder="1" applyAlignment="1">
      <alignment horizontal="center"/>
    </xf>
    <xf numFmtId="0" fontId="10" fillId="0" borderId="1" xfId="2" applyFont="1" applyBorder="1" applyAlignment="1">
      <alignment horizontal="center"/>
    </xf>
    <xf numFmtId="0" fontId="10" fillId="0" borderId="1" xfId="2" applyFont="1" applyBorder="1" applyAlignment="1">
      <alignment horizontal="center" vertical="top"/>
    </xf>
    <xf numFmtId="0" fontId="10" fillId="0" borderId="1" xfId="2" applyFont="1" applyBorder="1"/>
    <xf numFmtId="0" fontId="10" fillId="0" borderId="10" xfId="2" applyFont="1" applyBorder="1" applyAlignment="1">
      <alignment horizontal="center" vertical="top"/>
    </xf>
    <xf numFmtId="0" fontId="10" fillId="0" borderId="11" xfId="2" applyFont="1" applyBorder="1" applyAlignment="1">
      <alignment horizontal="center"/>
    </xf>
    <xf numFmtId="0" fontId="10" fillId="0" borderId="5" xfId="2" applyFont="1" applyBorder="1" applyAlignment="1">
      <alignment horizontal="center"/>
    </xf>
    <xf numFmtId="0" fontId="10" fillId="0" borderId="0" xfId="2" applyFont="1" applyAlignment="1">
      <alignment horizontal="center"/>
    </xf>
    <xf numFmtId="0" fontId="10" fillId="0" borderId="0" xfId="0" applyFont="1"/>
    <xf numFmtId="0" fontId="5" fillId="0" borderId="49" xfId="0" applyFont="1" applyBorder="1" applyAlignment="1">
      <alignment horizontal="center"/>
    </xf>
    <xf numFmtId="0" fontId="49" fillId="3" borderId="10" xfId="2" applyFont="1" applyFill="1" applyBorder="1" applyAlignment="1">
      <alignment horizontal="center" vertical="top" wrapText="1"/>
    </xf>
    <xf numFmtId="0" fontId="49" fillId="3" borderId="10" xfId="2" applyFont="1" applyFill="1" applyBorder="1" applyAlignment="1">
      <alignment vertical="top" wrapText="1"/>
    </xf>
    <xf numFmtId="0" fontId="49" fillId="0" borderId="50" xfId="0" applyFont="1" applyBorder="1" applyAlignment="1">
      <alignment horizontal="center" vertical="center"/>
    </xf>
    <xf numFmtId="183" fontId="32" fillId="0" borderId="51" xfId="0" applyNumberFormat="1" applyFont="1" applyBorder="1" applyAlignment="1">
      <alignment vertical="center"/>
    </xf>
    <xf numFmtId="2" fontId="32" fillId="0" borderId="50" xfId="1" applyNumberFormat="1" applyFont="1" applyBorder="1" applyAlignment="1">
      <alignment vertical="center"/>
    </xf>
    <xf numFmtId="177" fontId="31" fillId="0" borderId="52" xfId="0" applyNumberFormat="1" applyFont="1" applyBorder="1" applyAlignment="1">
      <alignment vertical="center"/>
    </xf>
    <xf numFmtId="167" fontId="32" fillId="0" borderId="53" xfId="0" applyNumberFormat="1" applyFont="1" applyBorder="1" applyAlignment="1">
      <alignment horizontal="center" vertical="center"/>
    </xf>
    <xf numFmtId="0" fontId="31" fillId="0" borderId="50" xfId="0" applyFont="1" applyBorder="1" applyAlignment="1">
      <alignment horizontal="center" vertical="center"/>
    </xf>
    <xf numFmtId="183" fontId="32" fillId="0" borderId="54" xfId="0" applyNumberFormat="1" applyFont="1" applyBorder="1" applyAlignment="1">
      <alignment vertical="center"/>
    </xf>
    <xf numFmtId="2" fontId="32" fillId="0" borderId="55" xfId="1" applyNumberFormat="1" applyFont="1" applyBorder="1" applyAlignment="1">
      <alignment vertical="center"/>
    </xf>
    <xf numFmtId="177" fontId="31" fillId="0" borderId="56" xfId="0" applyNumberFormat="1" applyFont="1" applyBorder="1" applyAlignment="1">
      <alignment vertical="center"/>
    </xf>
    <xf numFmtId="167" fontId="32" fillId="0" borderId="57" xfId="0" applyNumberFormat="1" applyFont="1" applyBorder="1" applyAlignment="1">
      <alignment horizontal="center" vertical="center"/>
    </xf>
    <xf numFmtId="0" fontId="31" fillId="0" borderId="58" xfId="0" applyFont="1" applyBorder="1" applyAlignment="1">
      <alignment vertical="center"/>
    </xf>
    <xf numFmtId="183" fontId="31" fillId="0" borderId="59" xfId="0" applyNumberFormat="1" applyFont="1" applyBorder="1" applyAlignment="1">
      <alignment vertical="center"/>
    </xf>
    <xf numFmtId="0" fontId="31" fillId="0" borderId="60" xfId="0" applyFont="1" applyBorder="1" applyAlignment="1">
      <alignment vertical="center"/>
    </xf>
    <xf numFmtId="183" fontId="31" fillId="0" borderId="57" xfId="0" applyNumberFormat="1" applyFont="1" applyBorder="1" applyAlignment="1">
      <alignment vertical="center"/>
    </xf>
    <xf numFmtId="0" fontId="31" fillId="0" borderId="61" xfId="0" applyFont="1" applyBorder="1"/>
    <xf numFmtId="0" fontId="31" fillId="0" borderId="62" xfId="0" applyFont="1" applyBorder="1" applyAlignment="1">
      <alignment vertical="center"/>
    </xf>
    <xf numFmtId="0" fontId="31" fillId="0" borderId="63" xfId="0" applyFont="1" applyBorder="1" applyAlignment="1">
      <alignment vertical="center"/>
    </xf>
    <xf numFmtId="0" fontId="31" fillId="0" borderId="64" xfId="0" applyFont="1" applyBorder="1" applyAlignment="1">
      <alignment vertical="center"/>
    </xf>
    <xf numFmtId="0" fontId="31" fillId="0" borderId="65" xfId="0" applyFont="1" applyBorder="1" applyAlignment="1">
      <alignment vertical="center"/>
    </xf>
    <xf numFmtId="0" fontId="31" fillId="0" borderId="66" xfId="0" applyFont="1" applyBorder="1" applyAlignment="1">
      <alignment vertical="center"/>
    </xf>
    <xf numFmtId="0" fontId="31" fillId="0" borderId="67" xfId="0" applyFont="1" applyBorder="1" applyAlignment="1">
      <alignment vertical="center"/>
    </xf>
    <xf numFmtId="0" fontId="31" fillId="0" borderId="68" xfId="0" applyFont="1" applyBorder="1" applyAlignment="1">
      <alignment vertical="center"/>
    </xf>
    <xf numFmtId="0" fontId="50" fillId="3" borderId="18" xfId="0" applyFont="1" applyFill="1" applyBorder="1" applyAlignment="1">
      <alignment vertical="center"/>
    </xf>
    <xf numFmtId="0" fontId="50" fillId="3" borderId="24" xfId="0" applyFont="1" applyFill="1" applyBorder="1" applyAlignment="1">
      <alignment vertical="center"/>
    </xf>
    <xf numFmtId="183" fontId="51" fillId="3" borderId="51" xfId="0" applyNumberFormat="1" applyFont="1" applyFill="1" applyBorder="1" applyAlignment="1">
      <alignment vertical="center"/>
    </xf>
    <xf numFmtId="183" fontId="51" fillId="3" borderId="69" xfId="0" applyNumberFormat="1" applyFont="1" applyFill="1" applyBorder="1" applyAlignment="1">
      <alignment vertical="center"/>
    </xf>
    <xf numFmtId="183" fontId="51" fillId="3" borderId="54" xfId="0" applyNumberFormat="1" applyFont="1" applyFill="1" applyBorder="1" applyAlignment="1">
      <alignment vertical="center"/>
    </xf>
    <xf numFmtId="183" fontId="51" fillId="3" borderId="70" xfId="0" applyNumberFormat="1" applyFont="1" applyFill="1" applyBorder="1" applyAlignment="1">
      <alignment vertical="center"/>
    </xf>
    <xf numFmtId="183" fontId="51" fillId="3" borderId="59" xfId="0" applyNumberFormat="1" applyFont="1" applyFill="1" applyBorder="1" applyAlignment="1">
      <alignment vertical="center"/>
    </xf>
    <xf numFmtId="183" fontId="51" fillId="3" borderId="71" xfId="0" applyNumberFormat="1" applyFont="1" applyFill="1" applyBorder="1" applyAlignment="1">
      <alignment vertical="center"/>
    </xf>
    <xf numFmtId="0" fontId="31" fillId="3" borderId="72" xfId="0" applyFont="1" applyFill="1" applyBorder="1" applyAlignment="1">
      <alignment vertical="center"/>
    </xf>
    <xf numFmtId="0" fontId="31" fillId="3" borderId="51" xfId="0" applyFont="1" applyFill="1" applyBorder="1" applyAlignment="1">
      <alignment vertical="center"/>
    </xf>
    <xf numFmtId="0" fontId="31" fillId="3" borderId="69" xfId="0" applyFont="1" applyFill="1" applyBorder="1" applyAlignment="1">
      <alignment vertical="center"/>
    </xf>
    <xf numFmtId="0" fontId="31" fillId="3" borderId="68" xfId="0" applyFont="1" applyFill="1" applyBorder="1" applyAlignment="1">
      <alignment vertical="center"/>
    </xf>
    <xf numFmtId="0" fontId="31" fillId="3" borderId="59" xfId="0" applyFont="1" applyFill="1" applyBorder="1" applyAlignment="1">
      <alignment vertical="center"/>
    </xf>
    <xf numFmtId="0" fontId="31" fillId="3" borderId="71" xfId="0" applyFont="1" applyFill="1" applyBorder="1" applyAlignment="1">
      <alignment vertical="center"/>
    </xf>
    <xf numFmtId="0" fontId="49" fillId="4" borderId="52" xfId="0" applyFont="1" applyFill="1" applyBorder="1" applyAlignment="1">
      <alignment horizontal="center" vertical="center"/>
    </xf>
    <xf numFmtId="169" fontId="49" fillId="4" borderId="52" xfId="0" applyNumberFormat="1" applyFont="1" applyFill="1" applyBorder="1" applyAlignment="1">
      <alignment horizontal="center" vertical="center"/>
    </xf>
    <xf numFmtId="178" fontId="49" fillId="4" borderId="52" xfId="0" applyNumberFormat="1" applyFont="1" applyFill="1" applyBorder="1" applyAlignment="1">
      <alignment horizontal="center" vertical="center"/>
    </xf>
    <xf numFmtId="178" fontId="49" fillId="4" borderId="73" xfId="0" applyNumberFormat="1" applyFont="1" applyFill="1" applyBorder="1" applyAlignment="1">
      <alignment horizontal="left" vertical="center"/>
    </xf>
    <xf numFmtId="165" fontId="32" fillId="4" borderId="53" xfId="0" applyNumberFormat="1" applyFont="1" applyFill="1" applyBorder="1" applyAlignment="1">
      <alignment horizontal="right" vertical="center"/>
    </xf>
    <xf numFmtId="0" fontId="31" fillId="4" borderId="60" xfId="0" applyFont="1" applyFill="1" applyBorder="1" applyAlignment="1">
      <alignment vertical="center"/>
    </xf>
    <xf numFmtId="0" fontId="31" fillId="4" borderId="74" xfId="0" applyFont="1" applyFill="1" applyBorder="1" applyAlignment="1">
      <alignment vertical="center"/>
    </xf>
    <xf numFmtId="0" fontId="31" fillId="4" borderId="75" xfId="0" applyFont="1" applyFill="1" applyBorder="1" applyAlignment="1">
      <alignment vertical="center"/>
    </xf>
    <xf numFmtId="0" fontId="49" fillId="4" borderId="10" xfId="2" applyFont="1" applyFill="1" applyBorder="1" applyAlignment="1">
      <alignment horizontal="center" vertical="center" wrapText="1"/>
    </xf>
    <xf numFmtId="0" fontId="49" fillId="4" borderId="48" xfId="2" applyFont="1" applyFill="1" applyBorder="1" applyAlignment="1">
      <alignment horizontal="center" vertical="center" wrapText="1"/>
    </xf>
    <xf numFmtId="0" fontId="49" fillId="4" borderId="56" xfId="0" applyFont="1" applyFill="1" applyBorder="1" applyAlignment="1">
      <alignment horizontal="center" vertical="center"/>
    </xf>
    <xf numFmtId="0" fontId="5" fillId="0" borderId="76" xfId="0" applyFont="1" applyBorder="1" applyAlignment="1">
      <alignment horizontal="center"/>
    </xf>
    <xf numFmtId="0" fontId="48" fillId="0" borderId="14" xfId="0" applyFont="1" applyBorder="1" applyAlignment="1">
      <alignment horizontal="center"/>
    </xf>
    <xf numFmtId="0" fontId="5" fillId="0" borderId="31" xfId="0" applyFont="1" applyBorder="1" applyAlignment="1">
      <alignment horizontal="center"/>
    </xf>
    <xf numFmtId="0" fontId="48" fillId="0" borderId="11" xfId="0" applyFont="1" applyBorder="1" applyAlignment="1">
      <alignment horizontal="center"/>
    </xf>
    <xf numFmtId="0" fontId="5" fillId="0" borderId="32" xfId="0" applyFont="1" applyBorder="1" applyAlignment="1">
      <alignment horizontal="center"/>
    </xf>
    <xf numFmtId="0" fontId="48" fillId="0" borderId="10" xfId="0" applyFont="1" applyBorder="1" applyAlignment="1">
      <alignment horizontal="center"/>
    </xf>
    <xf numFmtId="0" fontId="0" fillId="0" borderId="30" xfId="0" applyBorder="1" applyAlignment="1">
      <alignment vertical="center"/>
    </xf>
    <xf numFmtId="0" fontId="0" fillId="0" borderId="34" xfId="0" applyBorder="1" applyAlignment="1">
      <alignment vertical="center"/>
    </xf>
    <xf numFmtId="0" fontId="49" fillId="0" borderId="72" xfId="0" applyFont="1" applyBorder="1" applyAlignment="1">
      <alignment horizontal="center" vertical="center"/>
    </xf>
    <xf numFmtId="0" fontId="32" fillId="0" borderId="52" xfId="0" applyFont="1" applyBorder="1" applyAlignment="1">
      <alignment horizontal="center" vertical="center"/>
    </xf>
    <xf numFmtId="181" fontId="32" fillId="0" borderId="52" xfId="0" applyNumberFormat="1" applyFont="1" applyBorder="1" applyAlignment="1">
      <alignment horizontal="right" vertical="center"/>
    </xf>
    <xf numFmtId="182" fontId="32" fillId="0" borderId="52" xfId="0" applyNumberFormat="1" applyFont="1" applyBorder="1" applyAlignment="1">
      <alignment horizontal="right" vertical="center"/>
    </xf>
    <xf numFmtId="0" fontId="32" fillId="0" borderId="52" xfId="0" applyFont="1" applyBorder="1" applyAlignment="1">
      <alignment horizontal="left" vertical="center" indent="1"/>
    </xf>
    <xf numFmtId="183" fontId="32" fillId="0" borderId="52" xfId="0" applyNumberFormat="1" applyFont="1" applyBorder="1" applyAlignment="1">
      <alignment horizontal="right" vertical="center"/>
    </xf>
    <xf numFmtId="0" fontId="31" fillId="0" borderId="72" xfId="0" applyFont="1" applyBorder="1" applyAlignment="1">
      <alignment horizontal="center" vertical="center"/>
    </xf>
    <xf numFmtId="0" fontId="31" fillId="0" borderId="77" xfId="0" applyFont="1" applyBorder="1" applyAlignment="1">
      <alignment horizontal="center" vertical="center"/>
    </xf>
    <xf numFmtId="0" fontId="32" fillId="0" borderId="56" xfId="0" applyFont="1" applyBorder="1" applyAlignment="1">
      <alignment horizontal="center" vertical="center"/>
    </xf>
    <xf numFmtId="181" fontId="32" fillId="0" borderId="56" xfId="0" applyNumberFormat="1" applyFont="1" applyBorder="1" applyAlignment="1">
      <alignment horizontal="right" vertical="center"/>
    </xf>
    <xf numFmtId="182" fontId="32" fillId="0" borderId="56" xfId="0" applyNumberFormat="1" applyFont="1" applyBorder="1" applyAlignment="1">
      <alignment horizontal="right" vertical="center"/>
    </xf>
    <xf numFmtId="0" fontId="32" fillId="0" borderId="56" xfId="0" applyFont="1" applyBorder="1" applyAlignment="1">
      <alignment horizontal="left" vertical="center" indent="1"/>
    </xf>
    <xf numFmtId="183" fontId="32" fillId="0" borderId="56" xfId="0" applyNumberFormat="1" applyFont="1" applyBorder="1" applyAlignment="1">
      <alignment horizontal="right" vertical="center"/>
    </xf>
    <xf numFmtId="181" fontId="31" fillId="0" borderId="60" xfId="0" applyNumberFormat="1" applyFont="1" applyBorder="1" applyAlignment="1">
      <alignment vertical="center"/>
    </xf>
    <xf numFmtId="183" fontId="31" fillId="0" borderId="60" xfId="0" applyNumberFormat="1" applyFont="1" applyBorder="1" applyAlignment="1">
      <alignment vertical="center"/>
    </xf>
    <xf numFmtId="0" fontId="7" fillId="0" borderId="0" xfId="2" applyFont="1"/>
    <xf numFmtId="0" fontId="49" fillId="0" borderId="0" xfId="2" applyFont="1" applyAlignment="1">
      <alignment horizontal="left"/>
    </xf>
    <xf numFmtId="0" fontId="31" fillId="0" borderId="0" xfId="2" applyFont="1"/>
    <xf numFmtId="0" fontId="3" fillId="0" borderId="2" xfId="2" applyFont="1" applyBorder="1"/>
    <xf numFmtId="0" fontId="4" fillId="0" borderId="3" xfId="2" applyFont="1" applyBorder="1" applyAlignment="1">
      <alignment horizontal="left"/>
    </xf>
    <xf numFmtId="0" fontId="10" fillId="0" borderId="4" xfId="0" applyFont="1" applyBorder="1"/>
    <xf numFmtId="0" fontId="26" fillId="2" borderId="6" xfId="0" applyFont="1" applyFill="1" applyBorder="1" applyAlignment="1">
      <alignment horizontal="center"/>
    </xf>
    <xf numFmtId="0" fontId="14" fillId="2" borderId="8" xfId="0" applyFont="1" applyFill="1" applyBorder="1" applyAlignment="1">
      <alignment horizontal="center"/>
    </xf>
    <xf numFmtId="0" fontId="0" fillId="2" borderId="0" xfId="0" applyFill="1"/>
    <xf numFmtId="11" fontId="3" fillId="2" borderId="0" xfId="1" applyNumberFormat="1" applyFont="1" applyFill="1" applyAlignment="1">
      <alignment horizontal="center"/>
    </xf>
    <xf numFmtId="43" fontId="12" fillId="2" borderId="0" xfId="1" applyFont="1" applyFill="1" applyAlignment="1">
      <alignment horizontal="center"/>
    </xf>
    <xf numFmtId="0" fontId="4" fillId="2" borderId="6" xfId="0" applyFont="1" applyFill="1" applyBorder="1" applyAlignment="1">
      <alignment horizontal="center"/>
    </xf>
    <xf numFmtId="187" fontId="9" fillId="0" borderId="0" xfId="1" applyNumberFormat="1" applyFont="1" applyAlignment="1">
      <alignment horizontal="center"/>
    </xf>
    <xf numFmtId="10" fontId="3" fillId="0" borderId="1" xfId="5" applyNumberFormat="1" applyFont="1" applyBorder="1" applyAlignment="1">
      <alignment horizontal="center"/>
    </xf>
    <xf numFmtId="43" fontId="0" fillId="0" borderId="0" xfId="0" applyNumberFormat="1" applyAlignment="1">
      <alignment horizontal="center"/>
    </xf>
    <xf numFmtId="10" fontId="0" fillId="0" borderId="0" xfId="0" applyNumberFormat="1" applyAlignment="1">
      <alignment horizontal="center"/>
    </xf>
    <xf numFmtId="0" fontId="5" fillId="0" borderId="26" xfId="0" applyFont="1" applyBorder="1" applyAlignment="1">
      <alignment horizontal="center"/>
    </xf>
    <xf numFmtId="0" fontId="5" fillId="0" borderId="48" xfId="0" applyFont="1" applyBorder="1" applyAlignment="1">
      <alignment horizontal="center"/>
    </xf>
    <xf numFmtId="166" fontId="27" fillId="0" borderId="0" xfId="0" applyNumberFormat="1" applyFont="1" applyAlignment="1">
      <alignment horizontal="center"/>
    </xf>
    <xf numFmtId="166" fontId="27" fillId="0" borderId="1" xfId="0" applyNumberFormat="1" applyFont="1" applyBorder="1" applyAlignment="1">
      <alignment horizontal="center"/>
    </xf>
    <xf numFmtId="49" fontId="5" fillId="0" borderId="6" xfId="0" applyNumberFormat="1" applyFont="1" applyBorder="1" applyAlignment="1">
      <alignment horizontal="center"/>
    </xf>
    <xf numFmtId="183" fontId="12" fillId="0" borderId="6" xfId="0" applyNumberFormat="1" applyFont="1" applyBorder="1" applyAlignment="1">
      <alignment horizontal="center"/>
    </xf>
    <xf numFmtId="183" fontId="0" fillId="0" borderId="8" xfId="0" applyNumberFormat="1" applyBorder="1"/>
    <xf numFmtId="49" fontId="5" fillId="0" borderId="13" xfId="0" applyNumberFormat="1" applyFont="1" applyBorder="1" applyAlignment="1">
      <alignment horizontal="center"/>
    </xf>
    <xf numFmtId="0" fontId="50" fillId="3" borderId="0" xfId="0" applyFont="1" applyFill="1" applyAlignment="1">
      <alignment vertical="center"/>
    </xf>
    <xf numFmtId="183" fontId="51" fillId="3" borderId="53" xfId="0" applyNumberFormat="1" applyFont="1" applyFill="1" applyBorder="1" applyAlignment="1">
      <alignment vertical="center"/>
    </xf>
    <xf numFmtId="183" fontId="51" fillId="3" borderId="57" xfId="0" applyNumberFormat="1" applyFont="1" applyFill="1" applyBorder="1" applyAlignment="1">
      <alignment vertical="center"/>
    </xf>
    <xf numFmtId="183" fontId="51" fillId="3" borderId="75" xfId="0" applyNumberFormat="1" applyFont="1" applyFill="1" applyBorder="1" applyAlignment="1">
      <alignment vertical="center"/>
    </xf>
    <xf numFmtId="0" fontId="0" fillId="3" borderId="31" xfId="0" applyFill="1" applyBorder="1" applyAlignment="1">
      <alignment vertical="center"/>
    </xf>
    <xf numFmtId="183" fontId="32" fillId="3" borderId="72" xfId="0" applyNumberFormat="1" applyFont="1" applyFill="1" applyBorder="1" applyAlignment="1">
      <alignment vertical="center"/>
    </xf>
    <xf numFmtId="183" fontId="32" fillId="3" borderId="77" xfId="0" applyNumberFormat="1" applyFont="1" applyFill="1" applyBorder="1" applyAlignment="1">
      <alignment vertical="center"/>
    </xf>
    <xf numFmtId="183" fontId="31" fillId="3" borderId="68" xfId="0" applyNumberFormat="1" applyFont="1" applyFill="1" applyBorder="1" applyAlignment="1">
      <alignment vertical="center"/>
    </xf>
    <xf numFmtId="183" fontId="51" fillId="3" borderId="0" xfId="0" applyNumberFormat="1" applyFont="1" applyFill="1" applyAlignment="1">
      <alignment vertical="center"/>
    </xf>
    <xf numFmtId="0" fontId="31" fillId="0" borderId="68" xfId="0" applyFont="1" applyBorder="1" applyAlignment="1">
      <alignment horizontal="center" vertical="center"/>
    </xf>
    <xf numFmtId="0" fontId="49" fillId="4" borderId="60" xfId="0" applyFont="1" applyFill="1" applyBorder="1" applyAlignment="1">
      <alignment horizontal="center" vertical="center"/>
    </xf>
    <xf numFmtId="0" fontId="32" fillId="0" borderId="60" xfId="0" applyFont="1" applyBorder="1" applyAlignment="1">
      <alignment horizontal="center" vertical="center"/>
    </xf>
    <xf numFmtId="181" fontId="32" fillId="0" borderId="60" xfId="0" applyNumberFormat="1" applyFont="1" applyBorder="1" applyAlignment="1">
      <alignment horizontal="right" vertical="center"/>
    </xf>
    <xf numFmtId="182" fontId="32" fillId="0" borderId="60" xfId="0" applyNumberFormat="1" applyFont="1" applyBorder="1" applyAlignment="1">
      <alignment horizontal="right" vertical="center"/>
    </xf>
    <xf numFmtId="0" fontId="32" fillId="0" borderId="60" xfId="0" applyFont="1" applyBorder="1" applyAlignment="1">
      <alignment horizontal="left" vertical="center" indent="1"/>
    </xf>
    <xf numFmtId="183" fontId="32" fillId="0" borderId="60" xfId="0" applyNumberFormat="1" applyFont="1" applyBorder="1" applyAlignment="1">
      <alignment horizontal="right" vertical="center"/>
    </xf>
    <xf numFmtId="183" fontId="32" fillId="0" borderId="59" xfId="0" applyNumberFormat="1" applyFont="1" applyBorder="1" applyAlignment="1">
      <alignment vertical="center"/>
    </xf>
    <xf numFmtId="183" fontId="32" fillId="3" borderId="68" xfId="0" applyNumberFormat="1" applyFont="1" applyFill="1" applyBorder="1" applyAlignment="1">
      <alignment vertical="center"/>
    </xf>
    <xf numFmtId="2" fontId="32" fillId="0" borderId="58" xfId="1" applyNumberFormat="1" applyFont="1" applyBorder="1" applyAlignment="1">
      <alignment vertical="center"/>
    </xf>
    <xf numFmtId="177" fontId="31" fillId="0" borderId="60" xfId="0" applyNumberFormat="1" applyFont="1" applyBorder="1" applyAlignment="1">
      <alignment vertical="center"/>
    </xf>
    <xf numFmtId="0" fontId="31" fillId="0" borderId="0" xfId="0" applyFont="1" applyAlignment="1">
      <alignment horizontal="center" vertical="center"/>
    </xf>
    <xf numFmtId="0" fontId="49" fillId="4" borderId="0" xfId="0" applyFont="1" applyFill="1" applyAlignment="1">
      <alignment horizontal="center" vertical="center"/>
    </xf>
    <xf numFmtId="0" fontId="32" fillId="0" borderId="0" xfId="0" applyFont="1" applyAlignment="1">
      <alignment horizontal="center" vertical="center"/>
    </xf>
    <xf numFmtId="181" fontId="32" fillId="0" borderId="0" xfId="0" applyNumberFormat="1" applyFont="1" applyAlignment="1">
      <alignment horizontal="right" vertical="center"/>
    </xf>
    <xf numFmtId="182" fontId="32" fillId="0" borderId="0" xfId="0" applyNumberFormat="1" applyFont="1" applyAlignment="1">
      <alignment horizontal="right" vertical="center"/>
    </xf>
    <xf numFmtId="0" fontId="32" fillId="0" borderId="0" xfId="0" applyFont="1" applyAlignment="1">
      <alignment horizontal="left" vertical="center" indent="1"/>
    </xf>
    <xf numFmtId="183" fontId="32" fillId="0" borderId="0" xfId="0" applyNumberFormat="1" applyFont="1" applyAlignment="1">
      <alignment horizontal="right" vertical="center"/>
    </xf>
    <xf numFmtId="183" fontId="32" fillId="0" borderId="0" xfId="0" applyNumberFormat="1" applyFont="1" applyAlignment="1">
      <alignment vertical="center"/>
    </xf>
    <xf numFmtId="183" fontId="32" fillId="3" borderId="0" xfId="0" applyNumberFormat="1" applyFont="1" applyFill="1" applyAlignment="1">
      <alignment vertical="center"/>
    </xf>
    <xf numFmtId="2" fontId="32" fillId="0" borderId="0" xfId="1" applyNumberFormat="1" applyFont="1" applyAlignment="1">
      <alignment vertical="center"/>
    </xf>
    <xf numFmtId="177" fontId="31" fillId="0" borderId="0" xfId="0" applyNumberFormat="1" applyFont="1" applyAlignment="1">
      <alignment vertical="center"/>
    </xf>
    <xf numFmtId="177" fontId="31" fillId="0" borderId="57" xfId="0" applyNumberFormat="1" applyFont="1" applyBorder="1" applyAlignment="1">
      <alignment vertical="center"/>
    </xf>
    <xf numFmtId="0" fontId="31" fillId="0" borderId="78" xfId="0" applyFont="1" applyBorder="1" applyAlignment="1">
      <alignment horizontal="center" vertical="center"/>
    </xf>
    <xf numFmtId="0" fontId="49" fillId="4" borderId="79" xfId="0" applyFont="1" applyFill="1" applyBorder="1" applyAlignment="1">
      <alignment horizontal="center" vertical="center"/>
    </xf>
    <xf numFmtId="0" fontId="32" fillId="0" borderId="79" xfId="0" applyFont="1" applyBorder="1" applyAlignment="1">
      <alignment horizontal="center" vertical="center"/>
    </xf>
    <xf numFmtId="181" fontId="32" fillId="0" borderId="79" xfId="0" applyNumberFormat="1" applyFont="1" applyBorder="1" applyAlignment="1">
      <alignment horizontal="right" vertical="center"/>
    </xf>
    <xf numFmtId="182" fontId="32" fillId="0" borderId="79" xfId="0" applyNumberFormat="1" applyFont="1" applyBorder="1" applyAlignment="1">
      <alignment horizontal="right" vertical="center"/>
    </xf>
    <xf numFmtId="0" fontId="32" fillId="0" borderId="79" xfId="0" applyFont="1" applyBorder="1" applyAlignment="1">
      <alignment horizontal="left" vertical="center" indent="1"/>
    </xf>
    <xf numFmtId="183" fontId="32" fillId="0" borderId="79" xfId="0" applyNumberFormat="1" applyFont="1" applyBorder="1" applyAlignment="1">
      <alignment horizontal="right" vertical="center"/>
    </xf>
    <xf numFmtId="183" fontId="32" fillId="0" borderId="80" xfId="0" applyNumberFormat="1" applyFont="1" applyBorder="1" applyAlignment="1">
      <alignment vertical="center"/>
    </xf>
    <xf numFmtId="183" fontId="32" fillId="3" borderId="78" xfId="0" applyNumberFormat="1" applyFont="1" applyFill="1" applyBorder="1" applyAlignment="1">
      <alignment vertical="center"/>
    </xf>
    <xf numFmtId="183" fontId="51" fillId="3" borderId="81" xfId="0" applyNumberFormat="1" applyFont="1" applyFill="1" applyBorder="1" applyAlignment="1">
      <alignment vertical="center"/>
    </xf>
    <xf numFmtId="183" fontId="51" fillId="3" borderId="80" xfId="0" applyNumberFormat="1" applyFont="1" applyFill="1" applyBorder="1" applyAlignment="1">
      <alignment vertical="center"/>
    </xf>
    <xf numFmtId="183" fontId="51" fillId="3" borderId="82" xfId="0" applyNumberFormat="1" applyFont="1" applyFill="1" applyBorder="1" applyAlignment="1">
      <alignment vertical="center"/>
    </xf>
    <xf numFmtId="2" fontId="32" fillId="0" borderId="83" xfId="1" applyNumberFormat="1" applyFont="1" applyBorder="1" applyAlignment="1">
      <alignment vertical="center"/>
    </xf>
    <xf numFmtId="177" fontId="31" fillId="0" borderId="79" xfId="0" applyNumberFormat="1" applyFont="1" applyBorder="1" applyAlignment="1">
      <alignment vertical="center"/>
    </xf>
    <xf numFmtId="0" fontId="31" fillId="0" borderId="0" xfId="0" applyFont="1" applyAlignment="1">
      <alignment horizontal="left" vertical="center"/>
    </xf>
    <xf numFmtId="0" fontId="0" fillId="2" borderId="0" xfId="0" applyFill="1" applyAlignment="1">
      <alignment horizontal="center"/>
    </xf>
    <xf numFmtId="0" fontId="12" fillId="0" borderId="11" xfId="0" applyFont="1" applyBorder="1" applyAlignment="1">
      <alignment horizontal="center"/>
    </xf>
    <xf numFmtId="0" fontId="0" fillId="0" borderId="34" xfId="0" applyBorder="1"/>
    <xf numFmtId="0" fontId="0" fillId="0" borderId="18" xfId="0" applyBorder="1" applyAlignment="1">
      <alignment horizontal="center"/>
    </xf>
    <xf numFmtId="0" fontId="0" fillId="0" borderId="35" xfId="0" applyBorder="1"/>
    <xf numFmtId="0" fontId="0" fillId="0" borderId="32" xfId="0" applyBorder="1" applyAlignment="1">
      <alignment horizontal="center"/>
    </xf>
    <xf numFmtId="0" fontId="0" fillId="0" borderId="17" xfId="0" applyBorder="1" applyAlignment="1">
      <alignment horizontal="center"/>
    </xf>
    <xf numFmtId="0" fontId="24" fillId="0" borderId="0" xfId="0" applyFont="1" applyAlignment="1">
      <alignment horizontal="center"/>
    </xf>
    <xf numFmtId="0" fontId="0" fillId="0" borderId="23" xfId="0" applyBorder="1"/>
    <xf numFmtId="43" fontId="12" fillId="0" borderId="9" xfId="1" applyFont="1" applyBorder="1" applyAlignment="1">
      <alignment horizontal="center"/>
    </xf>
    <xf numFmtId="43" fontId="12" fillId="0" borderId="11" xfId="1" applyFont="1" applyBorder="1" applyAlignment="1">
      <alignment horizontal="center"/>
    </xf>
    <xf numFmtId="0" fontId="5" fillId="0" borderId="47" xfId="0" applyFont="1" applyBorder="1" applyAlignment="1">
      <alignment horizontal="center"/>
    </xf>
    <xf numFmtId="19" fontId="0" fillId="0" borderId="0" xfId="0" applyNumberFormat="1" applyAlignment="1">
      <alignment horizontal="center"/>
    </xf>
    <xf numFmtId="0" fontId="0" fillId="0" borderId="16" xfId="0" applyBorder="1" applyAlignment="1">
      <alignment horizontal="center"/>
    </xf>
    <xf numFmtId="43" fontId="0" fillId="0" borderId="11" xfId="0" applyNumberFormat="1" applyBorder="1" applyAlignment="1">
      <alignment horizontal="center"/>
    </xf>
    <xf numFmtId="0" fontId="0" fillId="0" borderId="84" xfId="0" applyBorder="1"/>
    <xf numFmtId="0" fontId="0" fillId="0" borderId="76" xfId="0" applyBorder="1"/>
    <xf numFmtId="0" fontId="0" fillId="0" borderId="36" xfId="0" applyBorder="1"/>
    <xf numFmtId="0" fontId="24" fillId="0" borderId="20" xfId="0" applyFont="1" applyBorder="1" applyAlignment="1">
      <alignment horizontal="left"/>
    </xf>
    <xf numFmtId="0" fontId="0" fillId="0" borderId="13" xfId="0" applyBorder="1" applyAlignment="1">
      <alignment horizontal="center"/>
    </xf>
    <xf numFmtId="0" fontId="27" fillId="0" borderId="0" xfId="0" applyFont="1" applyAlignment="1">
      <alignment horizontal="right"/>
    </xf>
    <xf numFmtId="0" fontId="22" fillId="0" borderId="0" xfId="0" applyFont="1"/>
    <xf numFmtId="188" fontId="12" fillId="0" borderId="0" xfId="0" applyNumberFormat="1" applyFont="1" applyAlignment="1">
      <alignment horizontal="center"/>
    </xf>
    <xf numFmtId="0" fontId="3" fillId="0" borderId="11" xfId="0" applyFont="1" applyBorder="1" applyAlignment="1">
      <alignment horizontal="center"/>
    </xf>
    <xf numFmtId="0" fontId="52" fillId="0" borderId="0" xfId="0" applyFont="1"/>
    <xf numFmtId="0" fontId="15" fillId="0" borderId="16" xfId="0" applyFont="1" applyBorder="1"/>
    <xf numFmtId="0" fontId="27" fillId="0" borderId="13" xfId="0" applyFont="1" applyBorder="1" applyAlignment="1">
      <alignment horizontal="center"/>
    </xf>
    <xf numFmtId="0" fontId="5" fillId="0" borderId="20" xfId="0" applyFont="1" applyBorder="1" applyAlignment="1">
      <alignment horizontal="center"/>
    </xf>
    <xf numFmtId="0" fontId="27" fillId="0" borderId="20"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5" fillId="0" borderId="25" xfId="0" applyFont="1" applyBorder="1" applyAlignment="1">
      <alignment horizontal="center"/>
    </xf>
    <xf numFmtId="181" fontId="12" fillId="0" borderId="0" xfId="0" applyNumberFormat="1" applyFont="1" applyAlignment="1">
      <alignment horizontal="right"/>
    </xf>
    <xf numFmtId="0" fontId="12" fillId="0" borderId="0" xfId="0" applyFont="1" applyAlignment="1">
      <alignment horizontal="left" indent="1"/>
    </xf>
    <xf numFmtId="185" fontId="12" fillId="0" borderId="0" xfId="0" applyNumberFormat="1" applyFont="1" applyAlignment="1">
      <alignment horizontal="right"/>
    </xf>
    <xf numFmtId="183" fontId="12" fillId="0" borderId="0" xfId="0" applyNumberFormat="1" applyFont="1"/>
    <xf numFmtId="179" fontId="0" fillId="0" borderId="7" xfId="0" applyNumberFormat="1" applyBorder="1"/>
    <xf numFmtId="179" fontId="0" fillId="0" borderId="8" xfId="0" applyNumberFormat="1" applyBorder="1"/>
    <xf numFmtId="179" fontId="0" fillId="0" borderId="1" xfId="0" applyNumberFormat="1" applyBorder="1"/>
    <xf numFmtId="183" fontId="0" fillId="0" borderId="0" xfId="0" applyNumberFormat="1"/>
    <xf numFmtId="179" fontId="0" fillId="0" borderId="0" xfId="0" applyNumberFormat="1"/>
    <xf numFmtId="1" fontId="28" fillId="0" borderId="0" xfId="0" applyNumberFormat="1" applyFont="1"/>
    <xf numFmtId="179" fontId="4" fillId="0" borderId="2" xfId="0" applyNumberFormat="1" applyFont="1" applyBorder="1" applyAlignment="1">
      <alignment horizontal="center"/>
    </xf>
    <xf numFmtId="179" fontId="4" fillId="0" borderId="3" xfId="0" applyNumberFormat="1" applyFont="1" applyBorder="1" applyAlignment="1">
      <alignment horizontal="center"/>
    </xf>
    <xf numFmtId="179" fontId="4" fillId="0" borderId="4" xfId="0" applyNumberFormat="1" applyFont="1" applyBorder="1" applyAlignment="1">
      <alignment horizontal="center"/>
    </xf>
    <xf numFmtId="0" fontId="28" fillId="0" borderId="0" xfId="0" applyFont="1"/>
    <xf numFmtId="0" fontId="53" fillId="0" borderId="0" xfId="0" applyFont="1"/>
    <xf numFmtId="0" fontId="28" fillId="0" borderId="9" xfId="0" applyFont="1" applyBorder="1" applyAlignment="1">
      <alignment horizontal="center"/>
    </xf>
    <xf numFmtId="176" fontId="7" fillId="0" borderId="6" xfId="0" applyNumberFormat="1" applyFont="1" applyBorder="1"/>
    <xf numFmtId="176" fontId="7" fillId="0" borderId="1" xfId="0" applyNumberFormat="1" applyFont="1" applyBorder="1" applyAlignment="1">
      <alignment horizontal="center"/>
    </xf>
    <xf numFmtId="0" fontId="3" fillId="0" borderId="3" xfId="0" applyFont="1" applyBorder="1"/>
    <xf numFmtId="0" fontId="3" fillId="0" borderId="4" xfId="0" applyFont="1" applyBorder="1"/>
    <xf numFmtId="0" fontId="3" fillId="0" borderId="0" xfId="0" applyFont="1" applyAlignment="1">
      <alignment horizontal="right"/>
    </xf>
    <xf numFmtId="0" fontId="3" fillId="0" borderId="6" xfId="0" applyFont="1" applyBorder="1"/>
    <xf numFmtId="0" fontId="10" fillId="0" borderId="6" xfId="0" applyFont="1" applyBorder="1"/>
    <xf numFmtId="0" fontId="10" fillId="0" borderId="5" xfId="0" applyFont="1" applyBorder="1"/>
    <xf numFmtId="169" fontId="10" fillId="0" borderId="0" xfId="0" applyNumberFormat="1" applyFont="1"/>
    <xf numFmtId="9" fontId="10" fillId="0" borderId="6" xfId="5" applyFont="1" applyBorder="1"/>
    <xf numFmtId="0" fontId="10" fillId="0" borderId="7" xfId="0" applyFont="1" applyBorder="1"/>
    <xf numFmtId="9" fontId="10" fillId="0" borderId="8" xfId="5" applyFont="1" applyBorder="1"/>
    <xf numFmtId="0" fontId="0" fillId="0" borderId="85" xfId="0" applyBorder="1"/>
    <xf numFmtId="0" fontId="0" fillId="0" borderId="86" xfId="0" applyBorder="1"/>
    <xf numFmtId="0" fontId="0" fillId="0" borderId="86" xfId="0" applyBorder="1" applyAlignment="1">
      <alignment horizontal="center"/>
    </xf>
    <xf numFmtId="0" fontId="0" fillId="0" borderId="87" xfId="0" applyBorder="1"/>
    <xf numFmtId="0" fontId="12" fillId="0" borderId="86" xfId="0" applyFont="1" applyBorder="1" applyAlignment="1">
      <alignment horizontal="right"/>
    </xf>
    <xf numFmtId="0" fontId="0" fillId="0" borderId="88" xfId="0" applyBorder="1"/>
    <xf numFmtId="0" fontId="9" fillId="0" borderId="16" xfId="0" applyFont="1" applyBorder="1" applyAlignment="1">
      <alignment horizontal="center"/>
    </xf>
    <xf numFmtId="167" fontId="5" fillId="0" borderId="0" xfId="0" applyNumberFormat="1" applyFont="1" applyAlignment="1">
      <alignment horizontal="center"/>
    </xf>
    <xf numFmtId="0" fontId="33" fillId="0" borderId="0" xfId="0" applyFont="1" applyAlignment="1">
      <alignment horizontal="center"/>
    </xf>
    <xf numFmtId="9" fontId="10" fillId="0" borderId="0" xfId="5" applyFont="1"/>
    <xf numFmtId="2" fontId="10" fillId="0" borderId="0" xfId="0" applyNumberFormat="1" applyFont="1"/>
    <xf numFmtId="2" fontId="4" fillId="0" borderId="1" xfId="0" applyNumberFormat="1" applyFont="1" applyBorder="1"/>
    <xf numFmtId="0" fontId="3" fillId="0" borderId="5" xfId="0" applyFont="1" applyBorder="1" applyAlignment="1">
      <alignment horizontal="left"/>
    </xf>
    <xf numFmtId="2" fontId="12" fillId="0" borderId="1" xfId="0" applyNumberFormat="1" applyFont="1" applyBorder="1"/>
    <xf numFmtId="176" fontId="7" fillId="0" borderId="0" xfId="0" applyNumberFormat="1" applyFont="1" applyAlignment="1">
      <alignment horizontal="center"/>
    </xf>
    <xf numFmtId="0" fontId="31" fillId="0" borderId="3" xfId="0" applyFont="1" applyBorder="1" applyAlignment="1">
      <alignment horizontal="center"/>
    </xf>
    <xf numFmtId="0" fontId="32" fillId="0" borderId="3" xfId="0" applyFont="1" applyBorder="1" applyAlignment="1">
      <alignment horizontal="center"/>
    </xf>
    <xf numFmtId="167" fontId="7" fillId="0" borderId="6" xfId="0" applyNumberFormat="1" applyFont="1" applyBorder="1"/>
    <xf numFmtId="0" fontId="5" fillId="2" borderId="0" xfId="0" applyFont="1" applyFill="1"/>
    <xf numFmtId="165" fontId="0" fillId="2" borderId="0" xfId="0" applyNumberFormat="1" applyFill="1"/>
    <xf numFmtId="0" fontId="0" fillId="2" borderId="11" xfId="0" applyFill="1" applyBorder="1"/>
    <xf numFmtId="0" fontId="0" fillId="2" borderId="5" xfId="0" applyFill="1" applyBorder="1"/>
    <xf numFmtId="2" fontId="46" fillId="0" borderId="0" xfId="0" applyNumberFormat="1" applyFont="1"/>
    <xf numFmtId="181" fontId="3" fillId="0" borderId="0" xfId="0" applyNumberFormat="1" applyFont="1" applyAlignment="1">
      <alignment horizontal="right"/>
    </xf>
    <xf numFmtId="0" fontId="9" fillId="0" borderId="0" xfId="0" applyFont="1"/>
    <xf numFmtId="2" fontId="4" fillId="0" borderId="89" xfId="0" applyNumberFormat="1" applyFont="1" applyBorder="1"/>
    <xf numFmtId="2" fontId="4" fillId="0" borderId="90" xfId="0" applyNumberFormat="1" applyFont="1" applyBorder="1"/>
    <xf numFmtId="2" fontId="4" fillId="0" borderId="91" xfId="0" applyNumberFormat="1" applyFont="1" applyBorder="1"/>
    <xf numFmtId="19" fontId="0" fillId="0" borderId="0" xfId="0" applyNumberFormat="1" applyAlignment="1">
      <alignment horizontal="right"/>
    </xf>
    <xf numFmtId="189" fontId="0" fillId="0" borderId="0" xfId="0" applyNumberFormat="1" applyAlignment="1">
      <alignment horizontal="left"/>
    </xf>
    <xf numFmtId="0" fontId="7" fillId="0" borderId="1" xfId="0" applyFont="1" applyBorder="1" applyAlignment="1">
      <alignment horizontal="right"/>
    </xf>
    <xf numFmtId="49" fontId="5" fillId="0" borderId="2" xfId="0" applyNumberFormat="1" applyFont="1" applyBorder="1" applyAlignment="1">
      <alignment horizontal="center"/>
    </xf>
    <xf numFmtId="49" fontId="5" fillId="0" borderId="4" xfId="0" applyNumberFormat="1" applyFont="1" applyBorder="1" applyAlignment="1">
      <alignment horizontal="center"/>
    </xf>
    <xf numFmtId="181" fontId="4" fillId="0" borderId="5" xfId="0" applyNumberFormat="1" applyFont="1" applyBorder="1" applyAlignment="1">
      <alignment horizontal="right"/>
    </xf>
    <xf numFmtId="0" fontId="5" fillId="0" borderId="11" xfId="0" applyFont="1" applyBorder="1"/>
    <xf numFmtId="0" fontId="3" fillId="0" borderId="11" xfId="0" applyFont="1" applyBorder="1"/>
    <xf numFmtId="0" fontId="22" fillId="0" borderId="11" xfId="0" applyFont="1" applyBorder="1"/>
    <xf numFmtId="167" fontId="5" fillId="0" borderId="0" xfId="0" applyNumberFormat="1" applyFont="1" applyAlignment="1">
      <alignment horizontal="left"/>
    </xf>
    <xf numFmtId="0" fontId="0" fillId="0" borderId="17" xfId="0" quotePrefix="1" applyBorder="1" applyAlignment="1">
      <alignment horizontal="center"/>
    </xf>
    <xf numFmtId="43" fontId="0" fillId="0" borderId="18" xfId="1" applyFont="1" applyBorder="1" applyAlignment="1">
      <alignment horizontal="center"/>
    </xf>
    <xf numFmtId="43" fontId="4" fillId="0" borderId="18" xfId="1" applyFont="1" applyBorder="1" applyAlignment="1">
      <alignment horizontal="center"/>
    </xf>
    <xf numFmtId="177" fontId="4" fillId="0" borderId="0" xfId="0" applyNumberFormat="1" applyFont="1"/>
    <xf numFmtId="166" fontId="4" fillId="0" borderId="0" xfId="0" applyNumberFormat="1" applyFont="1"/>
    <xf numFmtId="179" fontId="56" fillId="0" borderId="0" xfId="0" applyNumberFormat="1" applyFont="1" applyAlignment="1">
      <alignment horizontal="center"/>
    </xf>
    <xf numFmtId="0" fontId="56" fillId="0" borderId="0" xfId="0" applyFont="1" applyAlignment="1">
      <alignment horizontal="center"/>
    </xf>
    <xf numFmtId="0" fontId="56" fillId="0" borderId="6" xfId="0" applyFont="1" applyBorder="1" applyAlignment="1">
      <alignment horizontal="center"/>
    </xf>
    <xf numFmtId="0" fontId="57" fillId="0" borderId="1" xfId="0" applyFont="1" applyBorder="1" applyAlignment="1">
      <alignment horizontal="center"/>
    </xf>
    <xf numFmtId="0" fontId="0" fillId="0" borderId="8" xfId="0" applyBorder="1" applyAlignment="1">
      <alignment horizontal="right"/>
    </xf>
    <xf numFmtId="190" fontId="5" fillId="0" borderId="0" xfId="0" applyNumberFormat="1" applyFont="1"/>
    <xf numFmtId="190" fontId="0" fillId="0" borderId="0" xfId="0" applyNumberFormat="1"/>
    <xf numFmtId="0" fontId="52" fillId="0" borderId="0" xfId="0" applyFont="1" applyAlignment="1">
      <alignment horizontal="center"/>
    </xf>
    <xf numFmtId="0" fontId="0" fillId="5" borderId="2" xfId="0" applyFill="1" applyBorder="1"/>
    <xf numFmtId="0" fontId="0" fillId="5" borderId="4" xfId="0" applyFill="1" applyBorder="1"/>
    <xf numFmtId="43" fontId="3" fillId="5" borderId="6" xfId="1" applyFont="1" applyFill="1" applyBorder="1"/>
    <xf numFmtId="43" fontId="3" fillId="5" borderId="8" xfId="1" applyFont="1" applyFill="1" applyBorder="1"/>
    <xf numFmtId="179" fontId="56" fillId="0" borderId="5" xfId="0" applyNumberFormat="1" applyFont="1" applyBorder="1" applyAlignment="1">
      <alignment horizontal="center"/>
    </xf>
    <xf numFmtId="179" fontId="56" fillId="0" borderId="6" xfId="0" applyNumberFormat="1" applyFont="1" applyBorder="1" applyAlignment="1">
      <alignment horizontal="center"/>
    </xf>
    <xf numFmtId="49" fontId="5" fillId="0" borderId="9" xfId="0" applyNumberFormat="1" applyFont="1" applyBorder="1" applyAlignment="1">
      <alignment horizontal="center"/>
    </xf>
    <xf numFmtId="49" fontId="5" fillId="0" borderId="11" xfId="0" applyNumberFormat="1" applyFont="1" applyBorder="1" applyAlignment="1">
      <alignment horizontal="center"/>
    </xf>
    <xf numFmtId="179" fontId="4" fillId="0" borderId="9" xfId="0" applyNumberFormat="1" applyFont="1" applyBorder="1" applyAlignment="1">
      <alignment horizontal="center"/>
    </xf>
    <xf numFmtId="179" fontId="4" fillId="0" borderId="11" xfId="0" applyNumberFormat="1" applyFont="1" applyBorder="1" applyAlignment="1">
      <alignment horizontal="center"/>
    </xf>
    <xf numFmtId="179" fontId="4" fillId="0" borderId="10" xfId="0" applyNumberFormat="1" applyFont="1" applyBorder="1" applyAlignment="1">
      <alignment horizontal="center"/>
    </xf>
    <xf numFmtId="183" fontId="58" fillId="0" borderId="11" xfId="0" applyNumberFormat="1" applyFont="1" applyBorder="1" applyAlignment="1">
      <alignment horizontal="center"/>
    </xf>
    <xf numFmtId="3" fontId="0" fillId="5" borderId="5" xfId="0" applyNumberFormat="1" applyFill="1" applyBorder="1"/>
    <xf numFmtId="3" fontId="0" fillId="5" borderId="7" xfId="0" applyNumberFormat="1" applyFill="1" applyBorder="1"/>
    <xf numFmtId="183" fontId="58" fillId="0" borderId="5" xfId="0" applyNumberFormat="1" applyFont="1" applyBorder="1" applyAlignment="1">
      <alignment horizontal="center"/>
    </xf>
    <xf numFmtId="0" fontId="58" fillId="0" borderId="0" xfId="0" applyFont="1" applyAlignment="1">
      <alignment horizontal="center"/>
    </xf>
    <xf numFmtId="0" fontId="25" fillId="0" borderId="0" xfId="0" applyFont="1" applyAlignment="1">
      <alignment horizontal="center"/>
    </xf>
    <xf numFmtId="190" fontId="0" fillId="0" borderId="0" xfId="0" quotePrefix="1" applyNumberFormat="1"/>
    <xf numFmtId="0" fontId="59" fillId="0" borderId="0" xfId="0" applyFont="1"/>
    <xf numFmtId="11" fontId="59" fillId="0" borderId="0" xfId="0" applyNumberFormat="1" applyFont="1"/>
    <xf numFmtId="0" fontId="60" fillId="0" borderId="0" xfId="0" applyFont="1"/>
    <xf numFmtId="43" fontId="59" fillId="0" borderId="0" xfId="0" applyNumberFormat="1" applyFont="1"/>
    <xf numFmtId="2" fontId="59" fillId="0" borderId="0" xfId="0" applyNumberFormat="1" applyFont="1"/>
    <xf numFmtId="171" fontId="5" fillId="0" borderId="0" xfId="5" applyNumberFormat="1" applyFont="1" applyAlignment="1">
      <alignment horizontal="center"/>
    </xf>
    <xf numFmtId="191" fontId="0" fillId="0" borderId="0" xfId="1" applyNumberFormat="1" applyFont="1"/>
    <xf numFmtId="192" fontId="4" fillId="0" borderId="0" xfId="5" applyNumberFormat="1" applyFont="1" applyAlignment="1">
      <alignment horizontal="center"/>
    </xf>
    <xf numFmtId="193" fontId="0" fillId="0" borderId="0" xfId="5" applyNumberFormat="1" applyFont="1" applyAlignment="1">
      <alignment horizontal="center"/>
    </xf>
    <xf numFmtId="3" fontId="3" fillId="0" borderId="0" xfId="0" applyNumberFormat="1" applyFont="1" applyAlignment="1">
      <alignment horizontal="center"/>
    </xf>
    <xf numFmtId="194" fontId="3" fillId="0" borderId="0" xfId="0" applyNumberFormat="1" applyFont="1" applyAlignment="1">
      <alignment horizontal="center"/>
    </xf>
    <xf numFmtId="195" fontId="3" fillId="0" borderId="0" xfId="0" applyNumberFormat="1" applyFont="1" applyAlignment="1">
      <alignment horizontal="center"/>
    </xf>
    <xf numFmtId="191" fontId="0" fillId="0" borderId="0" xfId="1" applyNumberFormat="1" applyFont="1" applyAlignment="1">
      <alignment horizontal="center"/>
    </xf>
    <xf numFmtId="195" fontId="0" fillId="0" borderId="0" xfId="0" applyNumberFormat="1" applyAlignment="1">
      <alignment horizontal="center"/>
    </xf>
    <xf numFmtId="195" fontId="5" fillId="0" borderId="0" xfId="0" applyNumberFormat="1" applyFont="1" applyAlignment="1">
      <alignment horizontal="center"/>
    </xf>
    <xf numFmtId="169" fontId="0" fillId="0" borderId="0" xfId="0" applyNumberFormat="1" applyAlignment="1">
      <alignment horizontal="center"/>
    </xf>
    <xf numFmtId="195" fontId="4" fillId="0" borderId="0" xfId="0" applyNumberFormat="1" applyFont="1" applyAlignment="1">
      <alignment horizontal="center"/>
    </xf>
    <xf numFmtId="195" fontId="5" fillId="0" borderId="0" xfId="5" applyNumberFormat="1" applyFont="1" applyAlignment="1">
      <alignment horizontal="center"/>
    </xf>
    <xf numFmtId="166" fontId="12" fillId="0" borderId="0" xfId="0" applyNumberFormat="1" applyFont="1" applyAlignment="1">
      <alignment horizontal="center"/>
    </xf>
    <xf numFmtId="191" fontId="5" fillId="0" borderId="0" xfId="1" applyNumberFormat="1" applyFont="1" applyAlignment="1">
      <alignment horizontal="center"/>
    </xf>
    <xf numFmtId="191" fontId="5" fillId="0" borderId="5" xfId="1" applyNumberFormat="1" applyFont="1" applyBorder="1" applyAlignment="1">
      <alignment horizontal="center"/>
    </xf>
    <xf numFmtId="0" fontId="61" fillId="0" borderId="5" xfId="0" applyFont="1" applyBorder="1" applyAlignment="1">
      <alignment horizontal="center"/>
    </xf>
    <xf numFmtId="0" fontId="62" fillId="0" borderId="5" xfId="0" applyFont="1" applyBorder="1"/>
    <xf numFmtId="0" fontId="63" fillId="0" borderId="5" xfId="0" applyFont="1" applyBorder="1"/>
    <xf numFmtId="0" fontId="5" fillId="7" borderId="0" xfId="0" applyFont="1" applyFill="1" applyAlignment="1">
      <alignment horizontal="center"/>
    </xf>
    <xf numFmtId="0" fontId="5" fillId="7" borderId="6" xfId="0" applyFont="1" applyFill="1" applyBorder="1" applyAlignment="1">
      <alignment horizontal="center"/>
    </xf>
    <xf numFmtId="0" fontId="0" fillId="7" borderId="5" xfId="0" applyFill="1" applyBorder="1" applyAlignment="1">
      <alignment horizontal="center"/>
    </xf>
    <xf numFmtId="0" fontId="0" fillId="7" borderId="7" xfId="0" applyFill="1" applyBorder="1" applyAlignment="1">
      <alignment horizontal="center"/>
    </xf>
    <xf numFmtId="0" fontId="5" fillId="7" borderId="1" xfId="0" applyFont="1" applyFill="1" applyBorder="1" applyAlignment="1">
      <alignment horizontal="center"/>
    </xf>
    <xf numFmtId="0" fontId="0" fillId="7" borderId="1" xfId="0" applyFill="1" applyBorder="1"/>
    <xf numFmtId="0" fontId="0" fillId="7" borderId="8" xfId="0" applyFill="1" applyBorder="1"/>
    <xf numFmtId="9" fontId="61" fillId="8" borderId="0" xfId="0" applyNumberFormat="1" applyFont="1" applyFill="1" applyAlignment="1">
      <alignment horizontal="center"/>
    </xf>
    <xf numFmtId="0" fontId="5" fillId="8" borderId="0" xfId="0" applyFont="1" applyFill="1" applyAlignment="1">
      <alignment horizontal="center"/>
    </xf>
    <xf numFmtId="0" fontId="5" fillId="8" borderId="5" xfId="0" applyFont="1" applyFill="1" applyBorder="1" applyAlignment="1">
      <alignment horizontal="right"/>
    </xf>
    <xf numFmtId="0" fontId="5" fillId="8" borderId="6" xfId="0" applyFont="1" applyFill="1" applyBorder="1" applyAlignment="1">
      <alignment horizontal="center"/>
    </xf>
    <xf numFmtId="0" fontId="0" fillId="8" borderId="5" xfId="0" applyFill="1" applyBorder="1" applyAlignment="1">
      <alignment horizontal="center"/>
    </xf>
    <xf numFmtId="0" fontId="0" fillId="8" borderId="7" xfId="0" applyFill="1" applyBorder="1" applyAlignment="1">
      <alignment horizontal="center"/>
    </xf>
    <xf numFmtId="0" fontId="5" fillId="8" borderId="1" xfId="0" applyFont="1" applyFill="1" applyBorder="1" applyAlignment="1">
      <alignment horizontal="center"/>
    </xf>
    <xf numFmtId="0" fontId="0" fillId="8" borderId="1" xfId="0" applyFill="1" applyBorder="1"/>
    <xf numFmtId="0" fontId="0" fillId="8" borderId="8" xfId="0" applyFill="1" applyBorder="1"/>
    <xf numFmtId="9" fontId="61" fillId="9" borderId="0" xfId="0" applyNumberFormat="1" applyFont="1" applyFill="1" applyAlignment="1">
      <alignment horizontal="center"/>
    </xf>
    <xf numFmtId="0" fontId="5" fillId="9" borderId="0" xfId="0" applyFont="1" applyFill="1" applyAlignment="1">
      <alignment horizontal="center"/>
    </xf>
    <xf numFmtId="0" fontId="5" fillId="9" borderId="5" xfId="0" applyFont="1" applyFill="1" applyBorder="1" applyAlignment="1">
      <alignment horizontal="right"/>
    </xf>
    <xf numFmtId="0" fontId="0" fillId="9" borderId="5" xfId="0" applyFill="1" applyBorder="1" applyAlignment="1">
      <alignment horizontal="center"/>
    </xf>
    <xf numFmtId="0" fontId="0" fillId="9" borderId="7" xfId="0" applyFill="1" applyBorder="1" applyAlignment="1">
      <alignment horizontal="center"/>
    </xf>
    <xf numFmtId="0" fontId="5" fillId="9" borderId="1" xfId="0" applyFont="1" applyFill="1" applyBorder="1" applyAlignment="1">
      <alignment horizontal="center"/>
    </xf>
    <xf numFmtId="0" fontId="0" fillId="9" borderId="1" xfId="0" applyFill="1" applyBorder="1"/>
    <xf numFmtId="177" fontId="0" fillId="0" borderId="5" xfId="0" applyNumberFormat="1" applyBorder="1"/>
    <xf numFmtId="0" fontId="30" fillId="0" borderId="0" xfId="0" applyFont="1"/>
    <xf numFmtId="0" fontId="9" fillId="0" borderId="0" xfId="0" applyFont="1" applyAlignment="1">
      <alignment horizontal="left"/>
    </xf>
    <xf numFmtId="0" fontId="7" fillId="0" borderId="1" xfId="0" applyFont="1" applyBorder="1"/>
    <xf numFmtId="0" fontId="9" fillId="0" borderId="1" xfId="0" applyFont="1" applyBorder="1" applyAlignment="1">
      <alignment horizontal="left"/>
    </xf>
    <xf numFmtId="0" fontId="0" fillId="10" borderId="5" xfId="0" applyFill="1" applyBorder="1" applyAlignment="1">
      <alignment horizontal="center"/>
    </xf>
    <xf numFmtId="0" fontId="5" fillId="10" borderId="0" xfId="0" applyFont="1" applyFill="1" applyAlignment="1">
      <alignment horizontal="center"/>
    </xf>
    <xf numFmtId="0" fontId="5" fillId="10" borderId="6" xfId="0" applyFont="1" applyFill="1" applyBorder="1" applyAlignment="1">
      <alignment horizontal="center"/>
    </xf>
    <xf numFmtId="0" fontId="0" fillId="10" borderId="7" xfId="0" applyFill="1" applyBorder="1" applyAlignment="1">
      <alignment horizontal="center"/>
    </xf>
    <xf numFmtId="0" fontId="5" fillId="10" borderId="1" xfId="0" applyFont="1" applyFill="1" applyBorder="1" applyAlignment="1">
      <alignment horizontal="center"/>
    </xf>
    <xf numFmtId="0" fontId="0" fillId="10" borderId="1" xfId="0" applyFill="1" applyBorder="1"/>
    <xf numFmtId="0" fontId="0" fillId="10" borderId="8" xfId="0" applyFill="1" applyBorder="1"/>
    <xf numFmtId="0" fontId="0" fillId="11" borderId="5" xfId="0" applyFill="1" applyBorder="1" applyAlignment="1">
      <alignment horizontal="center"/>
    </xf>
    <xf numFmtId="0" fontId="5" fillId="11" borderId="0" xfId="0" applyFont="1" applyFill="1" applyAlignment="1">
      <alignment horizontal="center"/>
    </xf>
    <xf numFmtId="0" fontId="5" fillId="11" borderId="6" xfId="0" applyFont="1" applyFill="1" applyBorder="1" applyAlignment="1">
      <alignment horizontal="center"/>
    </xf>
    <xf numFmtId="0" fontId="0" fillId="11" borderId="7" xfId="0" applyFill="1" applyBorder="1" applyAlignment="1">
      <alignment horizontal="center"/>
    </xf>
    <xf numFmtId="0" fontId="5" fillId="11" borderId="1" xfId="0" applyFont="1" applyFill="1" applyBorder="1" applyAlignment="1">
      <alignment horizontal="center"/>
    </xf>
    <xf numFmtId="0" fontId="0" fillId="11" borderId="8" xfId="0" applyFill="1" applyBorder="1"/>
    <xf numFmtId="1" fontId="5" fillId="0" borderId="5" xfId="0" applyNumberFormat="1" applyFont="1" applyBorder="1" applyAlignment="1">
      <alignment horizontal="center"/>
    </xf>
    <xf numFmtId="1" fontId="5" fillId="0" borderId="0" xfId="0" applyNumberFormat="1" applyFont="1" applyAlignment="1">
      <alignment horizontal="center"/>
    </xf>
    <xf numFmtId="1" fontId="5" fillId="0" borderId="6" xfId="0" applyNumberFormat="1" applyFont="1" applyBorder="1" applyAlignment="1">
      <alignment horizontal="center"/>
    </xf>
    <xf numFmtId="1" fontId="5" fillId="9" borderId="5" xfId="0" applyNumberFormat="1" applyFont="1" applyFill="1" applyBorder="1" applyAlignment="1">
      <alignment horizontal="right"/>
    </xf>
    <xf numFmtId="1" fontId="61" fillId="9" borderId="0" xfId="0" applyNumberFormat="1" applyFont="1" applyFill="1" applyAlignment="1">
      <alignment horizontal="center"/>
    </xf>
    <xf numFmtId="1" fontId="5" fillId="9" borderId="0" xfId="0" applyNumberFormat="1" applyFont="1" applyFill="1" applyAlignment="1">
      <alignment horizontal="center"/>
    </xf>
    <xf numFmtId="1" fontId="5" fillId="8" borderId="5" xfId="0" applyNumberFormat="1" applyFont="1" applyFill="1" applyBorder="1" applyAlignment="1">
      <alignment horizontal="right"/>
    </xf>
    <xf numFmtId="1" fontId="61" fillId="8" borderId="0" xfId="0" applyNumberFormat="1" applyFont="1" applyFill="1" applyAlignment="1">
      <alignment horizontal="center"/>
    </xf>
    <xf numFmtId="1" fontId="5" fillId="8" borderId="0" xfId="0" applyNumberFormat="1" applyFont="1" applyFill="1" applyAlignment="1">
      <alignment horizontal="center"/>
    </xf>
    <xf numFmtId="1" fontId="5" fillId="7" borderId="5" xfId="0" applyNumberFormat="1" applyFont="1" applyFill="1" applyBorder="1" applyAlignment="1">
      <alignment horizontal="right"/>
    </xf>
    <xf numFmtId="1" fontId="61" fillId="7" borderId="0" xfId="0" applyNumberFormat="1" applyFont="1" applyFill="1" applyAlignment="1">
      <alignment horizontal="center"/>
    </xf>
    <xf numFmtId="1" fontId="22" fillId="7" borderId="0" xfId="0" applyNumberFormat="1" applyFont="1" applyFill="1" applyAlignment="1">
      <alignment horizontal="center"/>
    </xf>
    <xf numFmtId="1" fontId="0" fillId="7" borderId="0" xfId="0" applyNumberFormat="1" applyFill="1" applyAlignment="1">
      <alignment horizontal="center"/>
    </xf>
    <xf numFmtId="1" fontId="22" fillId="7" borderId="6" xfId="0" applyNumberFormat="1" applyFont="1" applyFill="1" applyBorder="1" applyAlignment="1">
      <alignment horizontal="center"/>
    </xf>
    <xf numFmtId="1" fontId="5" fillId="10" borderId="5" xfId="0" applyNumberFormat="1" applyFont="1" applyFill="1" applyBorder="1" applyAlignment="1">
      <alignment horizontal="right"/>
    </xf>
    <xf numFmtId="1" fontId="61" fillId="10" borderId="0" xfId="0" applyNumberFormat="1" applyFont="1" applyFill="1" applyAlignment="1">
      <alignment horizontal="center"/>
    </xf>
    <xf numFmtId="1" fontId="22" fillId="10" borderId="0" xfId="0" applyNumberFormat="1" applyFont="1" applyFill="1" applyAlignment="1">
      <alignment horizontal="center"/>
    </xf>
    <xf numFmtId="1" fontId="0" fillId="10" borderId="0" xfId="0" applyNumberFormat="1" applyFill="1" applyAlignment="1">
      <alignment horizontal="center"/>
    </xf>
    <xf numFmtId="1" fontId="22" fillId="10" borderId="6" xfId="0" applyNumberFormat="1" applyFont="1" applyFill="1" applyBorder="1" applyAlignment="1">
      <alignment horizontal="center"/>
    </xf>
    <xf numFmtId="1" fontId="5" fillId="11" borderId="5" xfId="0" applyNumberFormat="1" applyFont="1" applyFill="1" applyBorder="1" applyAlignment="1">
      <alignment horizontal="right"/>
    </xf>
    <xf numFmtId="1" fontId="61" fillId="11" borderId="0" xfId="0" applyNumberFormat="1" applyFont="1" applyFill="1" applyAlignment="1">
      <alignment horizontal="center"/>
    </xf>
    <xf numFmtId="1" fontId="22" fillId="11" borderId="0" xfId="0" applyNumberFormat="1" applyFont="1" applyFill="1" applyAlignment="1">
      <alignment horizontal="center"/>
    </xf>
    <xf numFmtId="1" fontId="0" fillId="11" borderId="0" xfId="0" applyNumberFormat="1" applyFill="1" applyAlignment="1">
      <alignment horizontal="center"/>
    </xf>
    <xf numFmtId="1" fontId="22" fillId="11" borderId="6" xfId="0" applyNumberFormat="1" applyFont="1" applyFill="1" applyBorder="1" applyAlignment="1">
      <alignment horizontal="center"/>
    </xf>
    <xf numFmtId="1" fontId="22" fillId="0" borderId="0" xfId="0" applyNumberFormat="1" applyFont="1" applyAlignment="1">
      <alignment horizontal="center"/>
    </xf>
    <xf numFmtId="1" fontId="62" fillId="9" borderId="0" xfId="0" applyNumberFormat="1" applyFont="1" applyFill="1" applyAlignment="1">
      <alignment horizontal="center"/>
    </xf>
    <xf numFmtId="1" fontId="22" fillId="8" borderId="0" xfId="0" applyNumberFormat="1" applyFont="1" applyFill="1" applyAlignment="1">
      <alignment horizontal="center"/>
    </xf>
    <xf numFmtId="0" fontId="64" fillId="0" borderId="0" xfId="0" applyFont="1"/>
    <xf numFmtId="0" fontId="64" fillId="0" borderId="0" xfId="0" applyFont="1" applyAlignment="1">
      <alignment horizontal="left"/>
    </xf>
    <xf numFmtId="0" fontId="65" fillId="0" borderId="0" xfId="0" applyFont="1"/>
    <xf numFmtId="0" fontId="4" fillId="0" borderId="0" xfId="0" applyFont="1" applyAlignment="1">
      <alignment vertical="top"/>
    </xf>
    <xf numFmtId="0" fontId="38" fillId="0" borderId="0" xfId="0" applyFont="1"/>
    <xf numFmtId="0" fontId="66" fillId="0" borderId="0" xfId="0" applyFont="1"/>
    <xf numFmtId="0" fontId="38" fillId="0" borderId="2" xfId="0" applyFont="1" applyBorder="1" applyAlignment="1">
      <alignment horizontal="right"/>
    </xf>
    <xf numFmtId="0" fontId="37" fillId="0" borderId="3" xfId="0" applyFont="1" applyBorder="1"/>
    <xf numFmtId="0" fontId="38" fillId="0" borderId="4" xfId="0" applyFont="1" applyBorder="1"/>
    <xf numFmtId="0" fontId="38" fillId="0" borderId="2" xfId="0" applyFont="1" applyBorder="1"/>
    <xf numFmtId="0" fontId="38" fillId="0" borderId="3" xfId="0" applyFont="1" applyBorder="1" applyAlignment="1">
      <alignment horizontal="right"/>
    </xf>
    <xf numFmtId="0" fontId="37" fillId="0" borderId="4" xfId="0" applyFont="1" applyBorder="1" applyAlignment="1">
      <alignment horizontal="left"/>
    </xf>
    <xf numFmtId="0" fontId="38" fillId="0" borderId="7" xfId="0" applyFont="1" applyBorder="1"/>
    <xf numFmtId="191" fontId="38" fillId="0" borderId="1" xfId="1" applyNumberFormat="1" applyFont="1" applyBorder="1"/>
    <xf numFmtId="0" fontId="38" fillId="0" borderId="8" xfId="0" applyFont="1" applyBorder="1"/>
    <xf numFmtId="0" fontId="38" fillId="0" borderId="6" xfId="0" applyFont="1" applyBorder="1"/>
    <xf numFmtId="0" fontId="38" fillId="0" borderId="1" xfId="0" applyFont="1" applyBorder="1"/>
    <xf numFmtId="0" fontId="38" fillId="0" borderId="4" xfId="0" applyFont="1" applyBorder="1" applyAlignment="1">
      <alignment horizontal="center"/>
    </xf>
    <xf numFmtId="0" fontId="38" fillId="0" borderId="9" xfId="0" applyFont="1" applyBorder="1" applyAlignment="1">
      <alignment horizontal="center"/>
    </xf>
    <xf numFmtId="0" fontId="38" fillId="0" borderId="9" xfId="0" applyFont="1" applyBorder="1"/>
    <xf numFmtId="0" fontId="38" fillId="0" borderId="11" xfId="0" applyFont="1" applyBorder="1" applyAlignment="1">
      <alignment horizontal="center"/>
    </xf>
    <xf numFmtId="0" fontId="38" fillId="0" borderId="5" xfId="0" applyFont="1" applyBorder="1" applyAlignment="1">
      <alignment horizontal="center"/>
    </xf>
    <xf numFmtId="0" fontId="38" fillId="0" borderId="6" xfId="0" applyFont="1" applyBorder="1" applyAlignment="1">
      <alignment horizontal="center"/>
    </xf>
    <xf numFmtId="0" fontId="38" fillId="0" borderId="7" xfId="0" applyFont="1" applyBorder="1" applyAlignment="1">
      <alignment horizontal="center"/>
    </xf>
    <xf numFmtId="0" fontId="38" fillId="0" borderId="8" xfId="0" applyFont="1" applyBorder="1" applyAlignment="1">
      <alignment horizontal="center"/>
    </xf>
    <xf numFmtId="0" fontId="38" fillId="0" borderId="10" xfId="0" applyFont="1" applyBorder="1" applyAlignment="1">
      <alignment horizontal="center"/>
    </xf>
    <xf numFmtId="0" fontId="68" fillId="0" borderId="0" xfId="0" applyFont="1"/>
    <xf numFmtId="0" fontId="37" fillId="0" borderId="7" xfId="0" applyFont="1" applyBorder="1" applyAlignment="1">
      <alignment horizontal="center"/>
    </xf>
    <xf numFmtId="2" fontId="42" fillId="0" borderId="10" xfId="0" applyNumberFormat="1" applyFont="1" applyBorder="1" applyAlignment="1">
      <alignment horizontal="center"/>
    </xf>
    <xf numFmtId="2" fontId="38" fillId="0" borderId="10" xfId="0" applyNumberFormat="1" applyFont="1" applyBorder="1" applyAlignment="1">
      <alignment horizontal="center"/>
    </xf>
    <xf numFmtId="173" fontId="38" fillId="0" borderId="10" xfId="0" applyNumberFormat="1" applyFont="1" applyBorder="1" applyAlignment="1">
      <alignment horizontal="center"/>
    </xf>
    <xf numFmtId="0" fontId="38" fillId="0" borderId="0" xfId="0" applyFont="1" applyAlignment="1">
      <alignment horizontal="right"/>
    </xf>
    <xf numFmtId="191" fontId="38" fillId="0" borderId="0" xfId="1" applyNumberFormat="1" applyFont="1"/>
    <xf numFmtId="0" fontId="69" fillId="0" borderId="0" xfId="0" applyFont="1"/>
    <xf numFmtId="0" fontId="38" fillId="0" borderId="0" xfId="0" applyFont="1" applyAlignment="1">
      <alignment horizontal="center"/>
    </xf>
    <xf numFmtId="0" fontId="38" fillId="12" borderId="26" xfId="0" applyFont="1" applyFill="1" applyBorder="1"/>
    <xf numFmtId="0" fontId="38" fillId="12" borderId="48" xfId="0" applyFont="1" applyFill="1" applyBorder="1" applyAlignment="1">
      <alignment horizontal="center" wrapText="1"/>
    </xf>
    <xf numFmtId="0" fontId="38" fillId="12" borderId="5" xfId="0" applyFont="1" applyFill="1" applyBorder="1"/>
    <xf numFmtId="0" fontId="38" fillId="12" borderId="11" xfId="0" applyFont="1" applyFill="1" applyBorder="1" applyAlignment="1">
      <alignment horizontal="center"/>
    </xf>
    <xf numFmtId="0" fontId="66" fillId="0" borderId="6" xfId="0" applyFont="1" applyBorder="1" applyAlignment="1">
      <alignment horizontal="right"/>
    </xf>
    <xf numFmtId="0" fontId="37" fillId="0" borderId="0" xfId="0" applyFont="1" applyAlignment="1">
      <alignment horizontal="center"/>
    </xf>
    <xf numFmtId="0" fontId="37" fillId="0" borderId="0" xfId="0" applyFont="1"/>
    <xf numFmtId="0" fontId="37" fillId="0" borderId="1" xfId="0" applyFont="1" applyBorder="1" applyAlignment="1">
      <alignment horizontal="center"/>
    </xf>
    <xf numFmtId="0" fontId="38" fillId="0" borderId="3" xfId="0" applyFont="1" applyBorder="1"/>
    <xf numFmtId="0" fontId="37" fillId="0" borderId="3" xfId="0" applyFont="1" applyBorder="1" applyAlignment="1">
      <alignment horizontal="center"/>
    </xf>
    <xf numFmtId="0" fontId="38" fillId="12" borderId="7" xfId="0" applyFont="1" applyFill="1" applyBorder="1"/>
    <xf numFmtId="1" fontId="38" fillId="12" borderId="10" xfId="0" applyNumberFormat="1" applyFont="1" applyFill="1" applyBorder="1" applyAlignment="1">
      <alignment horizontal="center" vertical="center"/>
    </xf>
    <xf numFmtId="0" fontId="66" fillId="0" borderId="8" xfId="0" applyFont="1" applyBorder="1" applyAlignment="1">
      <alignment horizontal="right"/>
    </xf>
    <xf numFmtId="0" fontId="38" fillId="0" borderId="3" xfId="0" applyFont="1" applyBorder="1" applyAlignment="1">
      <alignment horizontal="center"/>
    </xf>
    <xf numFmtId="0" fontId="38" fillId="12" borderId="0" xfId="0" applyFont="1" applyFill="1" applyAlignment="1">
      <alignment horizontal="center"/>
    </xf>
    <xf numFmtId="0" fontId="38" fillId="0" borderId="0" xfId="0" applyFont="1" applyAlignment="1">
      <alignment vertical="center"/>
    </xf>
    <xf numFmtId="0" fontId="38" fillId="0" borderId="6" xfId="0" applyFont="1" applyBorder="1" applyAlignment="1">
      <alignment horizontal="right"/>
    </xf>
    <xf numFmtId="1" fontId="42" fillId="0" borderId="0" xfId="0" applyNumberFormat="1" applyFont="1" applyAlignment="1">
      <alignment horizontal="center"/>
    </xf>
    <xf numFmtId="0" fontId="38" fillId="0" borderId="8" xfId="0" applyFont="1" applyBorder="1" applyAlignment="1">
      <alignment horizontal="right"/>
    </xf>
    <xf numFmtId="1" fontId="42" fillId="0" borderId="1" xfId="0" applyNumberFormat="1" applyFont="1" applyBorder="1" applyAlignment="1">
      <alignment horizontal="center"/>
    </xf>
    <xf numFmtId="0" fontId="38" fillId="12" borderId="0" xfId="0" applyFont="1" applyFill="1"/>
    <xf numFmtId="0" fontId="38" fillId="0" borderId="4" xfId="0" applyFont="1" applyBorder="1" applyAlignment="1">
      <alignment horizontal="right"/>
    </xf>
    <xf numFmtId="1" fontId="42" fillId="0" borderId="3" xfId="0" applyNumberFormat="1" applyFont="1" applyBorder="1" applyAlignment="1">
      <alignment horizontal="center"/>
    </xf>
    <xf numFmtId="10" fontId="42" fillId="0" borderId="0" xfId="0" applyNumberFormat="1" applyFont="1"/>
    <xf numFmtId="0" fontId="70" fillId="0" borderId="0" xfId="0" applyFont="1"/>
    <xf numFmtId="0" fontId="42" fillId="0" borderId="0" xfId="0" applyFont="1" applyAlignment="1">
      <alignment horizontal="center"/>
    </xf>
    <xf numFmtId="0" fontId="38" fillId="0" borderId="6" xfId="0" applyFont="1" applyBorder="1" applyAlignment="1">
      <alignment horizontal="right" vertical="center"/>
    </xf>
    <xf numFmtId="1" fontId="71" fillId="0" borderId="0" xfId="0" applyNumberFormat="1" applyFont="1" applyAlignment="1">
      <alignment horizontal="center"/>
    </xf>
    <xf numFmtId="0" fontId="70" fillId="0" borderId="0" xfId="0" applyFont="1" applyAlignment="1">
      <alignment horizontal="center"/>
    </xf>
    <xf numFmtId="0" fontId="38" fillId="0" borderId="8" xfId="0" applyFont="1" applyBorder="1" applyAlignment="1">
      <alignment horizontal="right" vertical="center"/>
    </xf>
    <xf numFmtId="1" fontId="71" fillId="0" borderId="1" xfId="0" applyNumberFormat="1" applyFont="1" applyBorder="1" applyAlignment="1">
      <alignment horizontal="center"/>
    </xf>
    <xf numFmtId="1" fontId="42" fillId="0" borderId="0" xfId="0" applyNumberFormat="1" applyFont="1"/>
    <xf numFmtId="0" fontId="38" fillId="0" borderId="0" xfId="0" quotePrefix="1" applyFont="1" applyAlignment="1">
      <alignment horizontal="center"/>
    </xf>
    <xf numFmtId="1" fontId="37" fillId="0" borderId="0" xfId="0" applyNumberFormat="1" applyFont="1"/>
    <xf numFmtId="169" fontId="37" fillId="0" borderId="0" xfId="0" applyNumberFormat="1" applyFont="1" applyAlignment="1">
      <alignment horizontal="center" vertical="center"/>
    </xf>
    <xf numFmtId="0" fontId="72" fillId="0" borderId="0" xfId="0" applyFont="1" applyAlignment="1">
      <alignment vertical="center"/>
    </xf>
    <xf numFmtId="2" fontId="42" fillId="0" borderId="0" xfId="0" applyNumberFormat="1" applyFont="1" applyAlignment="1">
      <alignment horizontal="center"/>
    </xf>
    <xf numFmtId="0" fontId="73" fillId="0" borderId="6" xfId="0" applyFont="1" applyBorder="1" applyAlignment="1">
      <alignment horizontal="center"/>
    </xf>
    <xf numFmtId="0" fontId="73" fillId="0" borderId="0" xfId="0" applyFont="1" applyAlignment="1">
      <alignment horizontal="center"/>
    </xf>
    <xf numFmtId="0" fontId="73" fillId="0" borderId="5" xfId="0" applyFont="1" applyBorder="1" applyAlignment="1">
      <alignment horizontal="center"/>
    </xf>
    <xf numFmtId="196" fontId="73" fillId="0" borderId="11" xfId="0" applyNumberFormat="1" applyFont="1" applyBorder="1" applyAlignment="1">
      <alignment horizontal="center"/>
    </xf>
    <xf numFmtId="196" fontId="38" fillId="0" borderId="11" xfId="0" applyNumberFormat="1" applyFont="1" applyBorder="1"/>
    <xf numFmtId="196" fontId="38" fillId="0" borderId="0" xfId="0" applyNumberFormat="1" applyFont="1" applyAlignment="1">
      <alignment horizontal="center"/>
    </xf>
    <xf numFmtId="196" fontId="38" fillId="0" borderId="11" xfId="0" applyNumberFormat="1" applyFont="1" applyBorder="1" applyAlignment="1">
      <alignment horizontal="center"/>
    </xf>
    <xf numFmtId="0" fontId="38" fillId="0" borderId="5" xfId="0" applyFont="1" applyBorder="1"/>
    <xf numFmtId="0" fontId="38" fillId="0" borderId="11" xfId="0" applyFont="1" applyBorder="1"/>
    <xf numFmtId="197" fontId="37" fillId="0" borderId="0" xfId="0" applyNumberFormat="1" applyFont="1"/>
    <xf numFmtId="11" fontId="37" fillId="0" borderId="0" xfId="0" applyNumberFormat="1" applyFont="1"/>
    <xf numFmtId="0" fontId="37" fillId="0" borderId="5" xfId="0" applyFont="1" applyBorder="1" applyAlignment="1">
      <alignment horizontal="center"/>
    </xf>
    <xf numFmtId="198" fontId="37" fillId="0" borderId="6" xfId="0" applyNumberFormat="1" applyFont="1" applyBorder="1"/>
    <xf numFmtId="198" fontId="37" fillId="0" borderId="11" xfId="0" applyNumberFormat="1" applyFont="1" applyBorder="1"/>
    <xf numFmtId="187" fontId="42" fillId="0" borderId="0" xfId="0" applyNumberFormat="1" applyFont="1"/>
    <xf numFmtId="9" fontId="38" fillId="0" borderId="0" xfId="0" applyNumberFormat="1" applyFont="1" applyAlignment="1">
      <alignment horizontal="center"/>
    </xf>
    <xf numFmtId="196" fontId="38" fillId="0" borderId="0" xfId="0" applyNumberFormat="1" applyFont="1"/>
    <xf numFmtId="1" fontId="38" fillId="0" borderId="0" xfId="0" applyNumberFormat="1" applyFont="1"/>
    <xf numFmtId="9" fontId="38" fillId="0" borderId="0" xfId="0" applyNumberFormat="1" applyFont="1"/>
    <xf numFmtId="0" fontId="66" fillId="0" borderId="0" xfId="0" applyFont="1" applyAlignment="1">
      <alignment horizontal="left"/>
    </xf>
    <xf numFmtId="0" fontId="37" fillId="0" borderId="0" xfId="0" applyFont="1" applyAlignment="1">
      <alignment horizontal="right"/>
    </xf>
    <xf numFmtId="11" fontId="38" fillId="0" borderId="0" xfId="0" applyNumberFormat="1" applyFont="1" applyAlignment="1">
      <alignment horizontal="right"/>
    </xf>
    <xf numFmtId="173" fontId="38" fillId="0" borderId="0" xfId="0" applyNumberFormat="1" applyFont="1"/>
    <xf numFmtId="173" fontId="37" fillId="0" borderId="0" xfId="5" applyNumberFormat="1" applyFont="1" applyAlignment="1">
      <alignment horizontal="right"/>
    </xf>
    <xf numFmtId="173" fontId="73" fillId="0" borderId="0" xfId="0" applyNumberFormat="1" applyFont="1" applyAlignment="1">
      <alignment horizontal="center"/>
    </xf>
    <xf numFmtId="11" fontId="38" fillId="0" borderId="0" xfId="0" applyNumberFormat="1" applyFont="1" applyAlignment="1" applyProtection="1">
      <alignment horizontal="right"/>
      <protection locked="0"/>
    </xf>
    <xf numFmtId="197" fontId="38" fillId="0" borderId="0" xfId="0" applyNumberFormat="1" applyFont="1" applyAlignment="1">
      <alignment horizontal="center"/>
    </xf>
    <xf numFmtId="173" fontId="38" fillId="0" borderId="0" xfId="0" applyNumberFormat="1" applyFont="1" applyAlignment="1">
      <alignment horizontal="center"/>
    </xf>
    <xf numFmtId="196" fontId="73" fillId="0" borderId="0" xfId="0" applyNumberFormat="1" applyFont="1" applyAlignment="1">
      <alignment horizontal="center"/>
    </xf>
    <xf numFmtId="0" fontId="38" fillId="0" borderId="0" xfId="0" applyFont="1" applyAlignment="1">
      <alignment horizontal="left"/>
    </xf>
    <xf numFmtId="196" fontId="74" fillId="0" borderId="0" xfId="0" applyNumberFormat="1" applyFont="1" applyAlignment="1">
      <alignment horizontal="center"/>
    </xf>
    <xf numFmtId="0" fontId="61" fillId="0" borderId="0" xfId="0" applyFont="1"/>
    <xf numFmtId="187" fontId="12" fillId="0" borderId="0" xfId="1" applyNumberFormat="1" applyFont="1"/>
    <xf numFmtId="0" fontId="61" fillId="0" borderId="0" xfId="0" applyFont="1" applyAlignment="1">
      <alignment horizontal="center"/>
    </xf>
    <xf numFmtId="0" fontId="76" fillId="0" borderId="5" xfId="0" applyFont="1" applyBorder="1" applyAlignment="1">
      <alignment horizontal="center"/>
    </xf>
    <xf numFmtId="167" fontId="0" fillId="0" borderId="0" xfId="0" applyNumberFormat="1" applyAlignment="1">
      <alignment horizontal="right"/>
    </xf>
    <xf numFmtId="1" fontId="0" fillId="9" borderId="0" xfId="0" applyNumberFormat="1" applyFill="1" applyAlignment="1">
      <alignment horizontal="center"/>
    </xf>
    <xf numFmtId="0" fontId="77" fillId="0" borderId="5" xfId="0" applyFont="1" applyBorder="1" applyAlignment="1">
      <alignment horizontal="center"/>
    </xf>
    <xf numFmtId="1" fontId="0" fillId="8" borderId="0" xfId="0" applyNumberFormat="1" applyFill="1" applyAlignment="1">
      <alignment horizontal="center"/>
    </xf>
    <xf numFmtId="1" fontId="5" fillId="13" borderId="5" xfId="0" applyNumberFormat="1" applyFont="1" applyFill="1" applyBorder="1" applyAlignment="1">
      <alignment horizontal="right"/>
    </xf>
    <xf numFmtId="1" fontId="61" fillId="13" borderId="0" xfId="0" applyNumberFormat="1" applyFont="1" applyFill="1" applyAlignment="1">
      <alignment horizontal="center"/>
    </xf>
    <xf numFmtId="1" fontId="22" fillId="13" borderId="0" xfId="0" applyNumberFormat="1" applyFont="1" applyFill="1" applyAlignment="1">
      <alignment horizontal="center"/>
    </xf>
    <xf numFmtId="1" fontId="0" fillId="13" borderId="0" xfId="0" applyNumberFormat="1" applyFill="1" applyAlignment="1">
      <alignment horizontal="center"/>
    </xf>
    <xf numFmtId="1" fontId="22" fillId="13" borderId="6" xfId="0" applyNumberFormat="1" applyFont="1" applyFill="1" applyBorder="1" applyAlignment="1">
      <alignment horizontal="center"/>
    </xf>
    <xf numFmtId="0" fontId="0" fillId="13" borderId="5" xfId="0" applyFill="1" applyBorder="1" applyAlignment="1">
      <alignment horizontal="center"/>
    </xf>
    <xf numFmtId="0" fontId="5" fillId="13" borderId="0" xfId="0" applyFont="1" applyFill="1" applyAlignment="1">
      <alignment horizontal="center"/>
    </xf>
    <xf numFmtId="0" fontId="5" fillId="13" borderId="6" xfId="0" applyFont="1" applyFill="1" applyBorder="1" applyAlignment="1">
      <alignment horizontal="center"/>
    </xf>
    <xf numFmtId="0" fontId="0" fillId="13" borderId="7" xfId="0" applyFill="1" applyBorder="1" applyAlignment="1">
      <alignment horizontal="center"/>
    </xf>
    <xf numFmtId="0" fontId="5" fillId="13" borderId="1" xfId="0" applyFont="1" applyFill="1" applyBorder="1" applyAlignment="1">
      <alignment horizontal="center"/>
    </xf>
    <xf numFmtId="0" fontId="0" fillId="13" borderId="8" xfId="0" applyFill="1" applyBorder="1"/>
    <xf numFmtId="0" fontId="0" fillId="13" borderId="1" xfId="0" applyFill="1" applyBorder="1"/>
    <xf numFmtId="0" fontId="77" fillId="0" borderId="0" xfId="0" applyFont="1" applyAlignment="1">
      <alignment horizontal="center"/>
    </xf>
    <xf numFmtId="0" fontId="76" fillId="0" borderId="0" xfId="0" applyFont="1" applyAlignment="1">
      <alignment horizontal="center"/>
    </xf>
    <xf numFmtId="0" fontId="0" fillId="0" borderId="39" xfId="0" applyBorder="1" applyAlignment="1">
      <alignment horizontal="center"/>
    </xf>
    <xf numFmtId="0" fontId="0" fillId="0" borderId="93" xfId="0" applyBorder="1"/>
    <xf numFmtId="0" fontId="0" fillId="0" borderId="94" xfId="0" applyBorder="1"/>
    <xf numFmtId="0" fontId="61" fillId="0" borderId="94" xfId="0" applyFont="1" applyBorder="1" applyAlignment="1">
      <alignment horizontal="center"/>
    </xf>
    <xf numFmtId="0" fontId="61" fillId="0" borderId="94" xfId="0" applyFont="1" applyBorder="1"/>
    <xf numFmtId="49" fontId="61" fillId="0" borderId="0" xfId="0" applyNumberFormat="1" applyFont="1" applyAlignment="1">
      <alignment horizontal="center"/>
    </xf>
    <xf numFmtId="49" fontId="61" fillId="0" borderId="3" xfId="0" applyNumberFormat="1" applyFont="1" applyBorder="1" applyAlignment="1">
      <alignment horizontal="center"/>
    </xf>
    <xf numFmtId="49" fontId="61" fillId="0" borderId="4" xfId="0" applyNumberFormat="1" applyFont="1" applyBorder="1" applyAlignment="1">
      <alignment horizontal="center"/>
    </xf>
    <xf numFmtId="49" fontId="61" fillId="0" borderId="6" xfId="0" applyNumberFormat="1" applyFont="1" applyBorder="1" applyAlignment="1">
      <alignment horizontal="center"/>
    </xf>
    <xf numFmtId="49" fontId="61" fillId="0" borderId="1" xfId="0" applyNumberFormat="1" applyFont="1" applyBorder="1" applyAlignment="1">
      <alignment horizontal="center"/>
    </xf>
    <xf numFmtId="49" fontId="61" fillId="0" borderId="8" xfId="0" applyNumberFormat="1" applyFont="1" applyBorder="1" applyAlignment="1">
      <alignment horizontal="center"/>
    </xf>
    <xf numFmtId="49" fontId="0" fillId="0" borderId="0" xfId="0" applyNumberFormat="1" applyAlignment="1">
      <alignment horizontal="center"/>
    </xf>
    <xf numFmtId="49" fontId="0" fillId="0" borderId="42" xfId="0" applyNumberFormat="1" applyBorder="1" applyAlignment="1">
      <alignment horizontal="center"/>
    </xf>
    <xf numFmtId="49" fontId="0" fillId="0" borderId="94" xfId="0" applyNumberFormat="1" applyBorder="1" applyAlignment="1">
      <alignment horizontal="center"/>
    </xf>
    <xf numFmtId="49" fontId="0" fillId="0" borderId="95" xfId="0" applyNumberFormat="1" applyBorder="1" applyAlignment="1">
      <alignment horizontal="center"/>
    </xf>
    <xf numFmtId="0" fontId="78" fillId="0" borderId="0" xfId="0" applyFont="1" applyAlignment="1">
      <alignment horizontal="left"/>
    </xf>
    <xf numFmtId="1" fontId="0" fillId="0" borderId="11" xfId="0" applyNumberFormat="1" applyBorder="1"/>
    <xf numFmtId="1" fontId="5" fillId="0" borderId="11" xfId="0" applyNumberFormat="1" applyFont="1" applyBorder="1" applyAlignment="1">
      <alignment horizontal="center"/>
    </xf>
    <xf numFmtId="0" fontId="75" fillId="0" borderId="0" xfId="0" applyFont="1"/>
    <xf numFmtId="0" fontId="79" fillId="0" borderId="93" xfId="0" applyFont="1" applyBorder="1"/>
    <xf numFmtId="167" fontId="0" fillId="0" borderId="6" xfId="0" applyNumberFormat="1" applyBorder="1" applyAlignment="1">
      <alignment horizontal="right"/>
    </xf>
    <xf numFmtId="49" fontId="0" fillId="0" borderId="39" xfId="0" applyNumberFormat="1" applyBorder="1" applyAlignment="1">
      <alignment horizontal="center"/>
    </xf>
    <xf numFmtId="0" fontId="79" fillId="0" borderId="41" xfId="0" applyFont="1" applyBorder="1"/>
    <xf numFmtId="0" fontId="79" fillId="6" borderId="41" xfId="0" applyFont="1" applyFill="1" applyBorder="1"/>
    <xf numFmtId="9" fontId="4" fillId="6" borderId="11" xfId="5" applyFont="1" applyFill="1" applyBorder="1"/>
    <xf numFmtId="187" fontId="4" fillId="6" borderId="0" xfId="1" applyNumberFormat="1" applyFont="1" applyFill="1"/>
    <xf numFmtId="43" fontId="4" fillId="6" borderId="0" xfId="1" applyFont="1" applyFill="1"/>
    <xf numFmtId="0" fontId="4" fillId="6" borderId="5" xfId="0" applyFont="1" applyFill="1" applyBorder="1"/>
    <xf numFmtId="9" fontId="4" fillId="6" borderId="6" xfId="5" applyFont="1" applyFill="1" applyBorder="1"/>
    <xf numFmtId="9" fontId="3" fillId="0" borderId="6" xfId="5" applyFont="1" applyBorder="1"/>
    <xf numFmtId="0" fontId="61" fillId="0" borderId="5" xfId="0" applyFont="1" applyBorder="1"/>
    <xf numFmtId="9" fontId="61" fillId="0" borderId="6" xfId="5" applyFont="1" applyBorder="1"/>
    <xf numFmtId="187" fontId="61" fillId="0" borderId="0" xfId="1" applyNumberFormat="1" applyFont="1"/>
    <xf numFmtId="43" fontId="61" fillId="0" borderId="0" xfId="1" applyFont="1"/>
    <xf numFmtId="9" fontId="12" fillId="6" borderId="6" xfId="5" applyFont="1" applyFill="1" applyBorder="1"/>
    <xf numFmtId="0" fontId="0" fillId="6" borderId="5" xfId="0" applyFill="1" applyBorder="1"/>
    <xf numFmtId="0" fontId="43" fillId="6" borderId="0" xfId="0" applyFont="1" applyFill="1"/>
    <xf numFmtId="167" fontId="5" fillId="6" borderId="0" xfId="0" applyNumberFormat="1" applyFont="1" applyFill="1" applyAlignment="1">
      <alignment horizontal="left"/>
    </xf>
    <xf numFmtId="167" fontId="5" fillId="6" borderId="5" xfId="0" applyNumberFormat="1" applyFont="1" applyFill="1" applyBorder="1" applyAlignment="1">
      <alignment horizontal="left"/>
    </xf>
    <xf numFmtId="0" fontId="0" fillId="6" borderId="6" xfId="0" applyFill="1" applyBorder="1"/>
    <xf numFmtId="9" fontId="61" fillId="0" borderId="11" xfId="5" applyFont="1" applyBorder="1"/>
    <xf numFmtId="9" fontId="4" fillId="0" borderId="11" xfId="5" applyFont="1" applyBorder="1"/>
    <xf numFmtId="187" fontId="4" fillId="0" borderId="0" xfId="1" applyNumberFormat="1" applyFont="1"/>
    <xf numFmtId="0" fontId="0" fillId="6" borderId="11" xfId="0" applyFill="1" applyBorder="1"/>
    <xf numFmtId="0" fontId="0" fillId="6" borderId="0" xfId="0" applyFill="1"/>
    <xf numFmtId="0" fontId="5" fillId="0" borderId="3" xfId="0" applyFont="1" applyBorder="1"/>
    <xf numFmtId="0" fontId="5" fillId="0" borderId="3" xfId="0" applyFont="1" applyBorder="1" applyAlignment="1">
      <alignment horizontal="left"/>
    </xf>
    <xf numFmtId="0" fontId="80" fillId="0" borderId="0" xfId="0" applyFont="1"/>
    <xf numFmtId="11" fontId="59" fillId="0" borderId="0" xfId="1" applyNumberFormat="1" applyFont="1"/>
    <xf numFmtId="0" fontId="0" fillId="0" borderId="1" xfId="0" applyBorder="1" applyAlignment="1">
      <alignment horizontal="left"/>
    </xf>
    <xf numFmtId="0" fontId="5" fillId="0" borderId="4" xfId="0" applyFont="1" applyBorder="1"/>
    <xf numFmtId="0" fontId="5" fillId="0" borderId="6" xfId="0" applyFont="1" applyBorder="1"/>
    <xf numFmtId="0" fontId="5" fillId="0" borderId="8" xfId="0" applyFont="1" applyBorder="1"/>
    <xf numFmtId="0" fontId="9" fillId="0" borderId="5" xfId="0" applyFont="1" applyBorder="1"/>
    <xf numFmtId="180" fontId="4" fillId="0" borderId="0" xfId="1" applyNumberFormat="1" applyFont="1" applyAlignment="1">
      <alignment horizontal="right"/>
    </xf>
    <xf numFmtId="180" fontId="4" fillId="0" borderId="0" xfId="1" applyNumberFormat="1" applyFont="1" applyAlignment="1">
      <alignment horizontal="center"/>
    </xf>
    <xf numFmtId="165" fontId="3" fillId="0" borderId="0" xfId="1" applyNumberFormat="1" applyFont="1"/>
    <xf numFmtId="180" fontId="4" fillId="0" borderId="0" xfId="1" applyNumberFormat="1" applyFont="1"/>
    <xf numFmtId="49" fontId="3" fillId="0" borderId="5" xfId="0" applyNumberFormat="1" applyFont="1" applyBorder="1" applyAlignment="1">
      <alignment horizontal="center"/>
    </xf>
    <xf numFmtId="0" fontId="4" fillId="0" borderId="7" xfId="0" applyFont="1" applyBorder="1"/>
    <xf numFmtId="0" fontId="4" fillId="0" borderId="8" xfId="0" applyFont="1" applyBorder="1"/>
    <xf numFmtId="0" fontId="15" fillId="0" borderId="5" xfId="0" applyFont="1" applyBorder="1"/>
    <xf numFmtId="185" fontId="0" fillId="0" borderId="0" xfId="0" applyNumberFormat="1"/>
    <xf numFmtId="182" fontId="3" fillId="0" borderId="0" xfId="1" applyNumberFormat="1" applyFont="1" applyAlignment="1">
      <alignment horizontal="center"/>
    </xf>
    <xf numFmtId="182" fontId="0" fillId="0" borderId="0" xfId="1" applyNumberFormat="1" applyFont="1"/>
    <xf numFmtId="182" fontId="3" fillId="0" borderId="0" xfId="1" applyNumberFormat="1" applyFont="1"/>
    <xf numFmtId="182" fontId="0" fillId="0" borderId="0" xfId="0" applyNumberFormat="1"/>
    <xf numFmtId="185" fontId="12" fillId="0" borderId="0" xfId="1" applyNumberFormat="1" applyFont="1"/>
    <xf numFmtId="0" fontId="12" fillId="0" borderId="6" xfId="0" applyFont="1" applyBorder="1"/>
    <xf numFmtId="0" fontId="12" fillId="0" borderId="5" xfId="0" applyFont="1" applyBorder="1"/>
    <xf numFmtId="0" fontId="12" fillId="0" borderId="7" xfId="0" applyFont="1" applyBorder="1"/>
    <xf numFmtId="0" fontId="0" fillId="0" borderId="12" xfId="0" applyBorder="1" applyAlignment="1">
      <alignment horizontal="center"/>
    </xf>
    <xf numFmtId="0" fontId="5" fillId="0" borderId="2" xfId="0" applyFont="1" applyBorder="1" applyAlignment="1">
      <alignment horizontal="left"/>
    </xf>
    <xf numFmtId="0" fontId="0" fillId="0" borderId="4" xfId="0" applyBorder="1" applyAlignment="1">
      <alignment horizontal="right"/>
    </xf>
    <xf numFmtId="0" fontId="22" fillId="0" borderId="2" xfId="0" applyFont="1" applyBorder="1"/>
    <xf numFmtId="43" fontId="4" fillId="0" borderId="9" xfId="1" applyFont="1" applyBorder="1"/>
    <xf numFmtId="0" fontId="0" fillId="0" borderId="1" xfId="0" applyBorder="1" applyAlignment="1">
      <alignment horizontal="right"/>
    </xf>
    <xf numFmtId="43" fontId="4" fillId="0" borderId="10" xfId="1" applyFont="1" applyBorder="1" applyAlignment="1">
      <alignment horizontal="right"/>
    </xf>
    <xf numFmtId="186" fontId="0" fillId="0" borderId="10" xfId="0" applyNumberFormat="1" applyBorder="1" applyAlignment="1">
      <alignment horizontal="right"/>
    </xf>
    <xf numFmtId="186" fontId="4" fillId="0" borderId="10" xfId="1" applyNumberFormat="1" applyFont="1" applyBorder="1" applyAlignment="1">
      <alignment horizontal="right"/>
    </xf>
    <xf numFmtId="43" fontId="12" fillId="0" borderId="10" xfId="1" applyFont="1" applyBorder="1"/>
    <xf numFmtId="43" fontId="4" fillId="0" borderId="5" xfId="1" applyFont="1" applyBorder="1"/>
    <xf numFmtId="43" fontId="12" fillId="0" borderId="6" xfId="1" applyFont="1" applyBorder="1"/>
    <xf numFmtId="0" fontId="4" fillId="0" borderId="10" xfId="0" applyFont="1" applyBorder="1"/>
    <xf numFmtId="0" fontId="5" fillId="0" borderId="10" xfId="0" quotePrefix="1" applyFont="1" applyBorder="1" applyAlignment="1">
      <alignment horizontal="center"/>
    </xf>
    <xf numFmtId="0" fontId="66" fillId="0" borderId="5" xfId="0" applyFont="1" applyBorder="1"/>
    <xf numFmtId="0" fontId="66" fillId="0" borderId="7" xfId="0" applyFont="1" applyBorder="1"/>
    <xf numFmtId="0" fontId="66" fillId="0" borderId="2" xfId="0" applyFont="1" applyBorder="1"/>
    <xf numFmtId="0" fontId="38" fillId="0" borderId="5" xfId="0" applyFont="1" applyBorder="1" applyAlignment="1">
      <alignment horizontal="right" vertical="center"/>
    </xf>
    <xf numFmtId="0" fontId="72" fillId="0" borderId="6" xfId="0" applyFont="1" applyBorder="1" applyAlignment="1">
      <alignment vertical="center"/>
    </xf>
    <xf numFmtId="0" fontId="38" fillId="0" borderId="6" xfId="0" applyFont="1" applyBorder="1" applyAlignment="1">
      <alignment vertical="center"/>
    </xf>
    <xf numFmtId="0" fontId="38" fillId="0" borderId="7" xfId="0" applyFont="1" applyBorder="1" applyAlignment="1">
      <alignment horizontal="right" vertical="center"/>
    </xf>
    <xf numFmtId="3" fontId="38" fillId="0" borderId="92" xfId="0" applyNumberFormat="1" applyFont="1" applyBorder="1"/>
    <xf numFmtId="3" fontId="38" fillId="0" borderId="44" xfId="0" applyNumberFormat="1" applyFont="1" applyBorder="1"/>
    <xf numFmtId="0" fontId="7" fillId="0" borderId="2" xfId="0" applyFont="1" applyBorder="1"/>
    <xf numFmtId="0" fontId="38" fillId="0" borderId="2" xfId="0" applyFont="1" applyBorder="1" applyAlignment="1">
      <alignment horizontal="center"/>
    </xf>
    <xf numFmtId="0" fontId="73" fillId="0" borderId="4" xfId="0" applyFont="1" applyBorder="1" applyAlignment="1">
      <alignment horizontal="center"/>
    </xf>
    <xf numFmtId="0" fontId="73" fillId="0" borderId="3" xfId="0" applyFont="1" applyBorder="1" applyAlignment="1">
      <alignment horizontal="center"/>
    </xf>
    <xf numFmtId="196" fontId="38" fillId="0" borderId="9" xfId="0" applyNumberFormat="1" applyFont="1" applyBorder="1" applyAlignment="1">
      <alignment horizontal="center"/>
    </xf>
    <xf numFmtId="0" fontId="3" fillId="0" borderId="3" xfId="0" applyFont="1" applyBorder="1" applyAlignment="1">
      <alignment vertical="top" wrapText="1"/>
    </xf>
    <xf numFmtId="0" fontId="38" fillId="0" borderId="5" xfId="0" applyFont="1" applyBorder="1" applyAlignment="1">
      <alignment horizontal="left"/>
    </xf>
    <xf numFmtId="49" fontId="37" fillId="0" borderId="5" xfId="0" applyNumberFormat="1" applyFont="1" applyBorder="1" applyAlignment="1">
      <alignment horizontal="left"/>
    </xf>
    <xf numFmtId="0" fontId="38" fillId="0" borderId="10" xfId="0" applyFont="1" applyBorder="1"/>
    <xf numFmtId="196" fontId="38" fillId="0" borderId="10" xfId="0" applyNumberFormat="1" applyFont="1" applyBorder="1"/>
    <xf numFmtId="9" fontId="38" fillId="0" borderId="1" xfId="0" applyNumberFormat="1" applyFont="1" applyBorder="1" applyAlignment="1">
      <alignment horizontal="center"/>
    </xf>
    <xf numFmtId="0" fontId="38" fillId="0" borderId="7" xfId="0" applyFont="1" applyBorder="1" applyAlignment="1">
      <alignment horizontal="left"/>
    </xf>
    <xf numFmtId="0" fontId="38" fillId="0" borderId="1" xfId="0" applyFont="1" applyBorder="1" applyAlignment="1">
      <alignment horizontal="center"/>
    </xf>
    <xf numFmtId="196" fontId="38" fillId="0" borderId="10" xfId="0" applyNumberFormat="1" applyFont="1" applyBorder="1" applyAlignment="1">
      <alignment horizontal="center"/>
    </xf>
    <xf numFmtId="196" fontId="38" fillId="0" borderId="1" xfId="0" applyNumberFormat="1" applyFont="1" applyBorder="1" applyAlignment="1">
      <alignment horizontal="center"/>
    </xf>
    <xf numFmtId="0" fontId="73" fillId="0" borderId="9" xfId="0" applyFont="1" applyBorder="1" applyAlignment="1">
      <alignment horizontal="center"/>
    </xf>
    <xf numFmtId="196" fontId="73" fillId="0" borderId="9" xfId="0" applyNumberFormat="1" applyFont="1" applyBorder="1" applyAlignment="1">
      <alignment horizontal="center"/>
    </xf>
    <xf numFmtId="196" fontId="38" fillId="0" borderId="9" xfId="0" applyNumberFormat="1" applyFont="1" applyBorder="1"/>
    <xf numFmtId="199" fontId="38" fillId="0" borderId="11" xfId="0" applyNumberFormat="1" applyFont="1" applyBorder="1"/>
    <xf numFmtId="3" fontId="38" fillId="0" borderId="11" xfId="0" applyNumberFormat="1" applyFont="1" applyBorder="1"/>
    <xf numFmtId="1" fontId="38" fillId="0" borderId="10" xfId="0" applyNumberFormat="1" applyFont="1" applyBorder="1"/>
    <xf numFmtId="0" fontId="12" fillId="0" borderId="6" xfId="0" applyFont="1" applyBorder="1" applyAlignment="1">
      <alignment horizontal="left"/>
    </xf>
    <xf numFmtId="0" fontId="12" fillId="0" borderId="8" xfId="0" applyFont="1" applyBorder="1" applyAlignment="1">
      <alignment horizontal="left"/>
    </xf>
    <xf numFmtId="0" fontId="12" fillId="0" borderId="11" xfId="0" applyFont="1" applyBorder="1"/>
    <xf numFmtId="0" fontId="12" fillId="0" borderId="11" xfId="0" applyFont="1" applyBorder="1" applyAlignment="1">
      <alignment horizontal="left"/>
    </xf>
    <xf numFmtId="0" fontId="81" fillId="0" borderId="0" xfId="0" applyFont="1" applyAlignment="1">
      <alignment horizontal="center"/>
    </xf>
    <xf numFmtId="49" fontId="82" fillId="0" borderId="3" xfId="0" applyNumberFormat="1" applyFont="1" applyBorder="1" applyAlignment="1">
      <alignment horizontal="center"/>
    </xf>
    <xf numFmtId="0" fontId="77" fillId="0" borderId="0" xfId="0" applyFont="1"/>
    <xf numFmtId="0" fontId="82" fillId="0" borderId="0" xfId="0" applyFont="1" applyAlignment="1">
      <alignment horizontal="center"/>
    </xf>
    <xf numFmtId="0" fontId="82" fillId="0" borderId="1" xfId="0" applyFont="1" applyBorder="1" applyAlignment="1">
      <alignment horizontal="center"/>
    </xf>
    <xf numFmtId="0" fontId="27" fillId="0" borderId="3" xfId="0" applyFont="1" applyBorder="1" applyAlignment="1">
      <alignment horizontal="center"/>
    </xf>
    <xf numFmtId="191" fontId="5" fillId="0" borderId="6" xfId="1" applyNumberFormat="1" applyFont="1" applyBorder="1" applyAlignment="1">
      <alignment horizontal="center"/>
    </xf>
    <xf numFmtId="0" fontId="27" fillId="0" borderId="1" xfId="0" applyFont="1" applyBorder="1" applyAlignment="1">
      <alignment horizontal="center"/>
    </xf>
    <xf numFmtId="0" fontId="12" fillId="0" borderId="0" xfId="0" applyFont="1" applyAlignment="1">
      <alignment vertical="top"/>
    </xf>
    <xf numFmtId="0" fontId="17" fillId="0" borderId="5" xfId="0" applyFont="1" applyBorder="1"/>
    <xf numFmtId="43" fontId="12" fillId="0" borderId="7" xfId="0" applyNumberFormat="1" applyFont="1" applyBorder="1"/>
    <xf numFmtId="0" fontId="3" fillId="0" borderId="8" xfId="0" applyFont="1" applyBorder="1"/>
    <xf numFmtId="43" fontId="3" fillId="0" borderId="10" xfId="1" applyFont="1" applyBorder="1"/>
    <xf numFmtId="43" fontId="12" fillId="0" borderId="2" xfId="1" applyFont="1" applyBorder="1"/>
    <xf numFmtId="43" fontId="12" fillId="0" borderId="5" xfId="1" applyFont="1" applyBorder="1"/>
    <xf numFmtId="175" fontId="12" fillId="0" borderId="5" xfId="0" applyNumberFormat="1" applyFont="1" applyBorder="1"/>
    <xf numFmtId="175" fontId="0" fillId="0" borderId="5" xfId="0" applyNumberFormat="1" applyBorder="1"/>
    <xf numFmtId="39" fontId="3" fillId="0" borderId="5" xfId="1" applyNumberFormat="1" applyFont="1" applyBorder="1" applyAlignment="1">
      <alignment horizontal="right"/>
    </xf>
    <xf numFmtId="11" fontId="3" fillId="0" borderId="5" xfId="1" applyNumberFormat="1" applyFont="1" applyBorder="1" applyAlignment="1">
      <alignment horizontal="right"/>
    </xf>
    <xf numFmtId="43" fontId="12" fillId="0" borderId="4" xfId="1" applyFont="1" applyBorder="1"/>
    <xf numFmtId="2" fontId="12" fillId="0" borderId="6" xfId="0" applyNumberFormat="1" applyFont="1" applyBorder="1"/>
    <xf numFmtId="43" fontId="3" fillId="0" borderId="6" xfId="1" applyFont="1" applyBorder="1"/>
    <xf numFmtId="43" fontId="12" fillId="0" borderId="6" xfId="0" applyNumberFormat="1" applyFont="1" applyBorder="1"/>
    <xf numFmtId="11" fontId="0" fillId="0" borderId="6" xfId="0" applyNumberFormat="1" applyBorder="1"/>
    <xf numFmtId="43" fontId="58" fillId="0" borderId="6" xfId="0" applyNumberFormat="1" applyFont="1" applyBorder="1"/>
    <xf numFmtId="43" fontId="3" fillId="0" borderId="6" xfId="1" applyFont="1" applyBorder="1" applyAlignment="1">
      <alignment horizontal="justify"/>
    </xf>
    <xf numFmtId="39" fontId="3" fillId="0" borderId="6" xfId="1" applyNumberFormat="1" applyFont="1" applyBorder="1" applyAlignment="1">
      <alignment horizontal="right"/>
    </xf>
    <xf numFmtId="11" fontId="3" fillId="0" borderId="6" xfId="1" applyNumberFormat="1" applyFont="1" applyBorder="1" applyAlignment="1">
      <alignment horizontal="right"/>
    </xf>
    <xf numFmtId="187" fontId="12" fillId="0" borderId="6" xfId="1" applyNumberFormat="1" applyFont="1" applyBorder="1"/>
    <xf numFmtId="43" fontId="12" fillId="0" borderId="8" xfId="0" applyNumberFormat="1" applyFont="1" applyBorder="1"/>
    <xf numFmtId="175" fontId="12" fillId="0" borderId="11" xfId="0" applyNumberFormat="1" applyFont="1" applyBorder="1"/>
    <xf numFmtId="175" fontId="0" fillId="0" borderId="11" xfId="0" applyNumberFormat="1" applyBorder="1"/>
    <xf numFmtId="11" fontId="4" fillId="0" borderId="11" xfId="0" applyNumberFormat="1" applyFont="1" applyBorder="1"/>
    <xf numFmtId="11" fontId="12" fillId="0" borderId="11" xfId="0" applyNumberFormat="1" applyFont="1" applyBorder="1"/>
    <xf numFmtId="39" fontId="3" fillId="0" borderId="11" xfId="1" applyNumberFormat="1" applyFont="1" applyBorder="1" applyAlignment="1">
      <alignment horizontal="right"/>
    </xf>
    <xf numFmtId="11" fontId="3" fillId="0" borderId="11" xfId="1" applyNumberFormat="1" applyFont="1" applyBorder="1" applyAlignment="1">
      <alignment horizontal="right"/>
    </xf>
    <xf numFmtId="187" fontId="4" fillId="0" borderId="11" xfId="1" applyNumberFormat="1" applyFont="1" applyBorder="1"/>
    <xf numFmtId="43" fontId="12" fillId="0" borderId="10" xfId="0" applyNumberFormat="1" applyFont="1" applyBorder="1"/>
    <xf numFmtId="1" fontId="59" fillId="0" borderId="3" xfId="0" applyNumberFormat="1" applyFont="1" applyBorder="1"/>
    <xf numFmtId="0" fontId="59" fillId="0" borderId="3" xfId="0" applyFont="1" applyBorder="1"/>
    <xf numFmtId="11" fontId="59" fillId="0" borderId="3" xfId="0" applyNumberFormat="1" applyFont="1" applyBorder="1"/>
    <xf numFmtId="1" fontId="59" fillId="0" borderId="0" xfId="0" applyNumberFormat="1" applyFont="1"/>
    <xf numFmtId="43" fontId="58" fillId="0" borderId="0" xfId="1" applyFont="1"/>
    <xf numFmtId="43" fontId="3" fillId="0" borderId="0" xfId="1" applyFont="1" applyAlignment="1">
      <alignment horizontal="justify"/>
    </xf>
    <xf numFmtId="11" fontId="0" fillId="0" borderId="0" xfId="0" applyNumberFormat="1"/>
    <xf numFmtId="39" fontId="3" fillId="0" borderId="0" xfId="1" applyNumberFormat="1" applyFont="1" applyAlignment="1">
      <alignment horizontal="right"/>
    </xf>
    <xf numFmtId="11" fontId="3" fillId="0" borderId="0" xfId="1" applyNumberFormat="1" applyFont="1" applyAlignment="1">
      <alignment horizontal="right"/>
    </xf>
    <xf numFmtId="187" fontId="58" fillId="0" borderId="0" xfId="1" applyNumberFormat="1" applyFont="1"/>
    <xf numFmtId="43" fontId="12" fillId="0" borderId="0" xfId="0" applyNumberFormat="1" applyFont="1"/>
    <xf numFmtId="175" fontId="12" fillId="0" borderId="6" xfId="0" applyNumberFormat="1" applyFont="1" applyBorder="1"/>
    <xf numFmtId="175" fontId="0" fillId="0" borderId="6" xfId="0" applyNumberFormat="1" applyBorder="1"/>
    <xf numFmtId="11" fontId="4" fillId="0" borderId="6" xfId="0" applyNumberFormat="1" applyFont="1" applyBorder="1"/>
    <xf numFmtId="43" fontId="4" fillId="0" borderId="6" xfId="1" applyFont="1" applyBorder="1"/>
    <xf numFmtId="11" fontId="12" fillId="0" borderId="6" xfId="0" applyNumberFormat="1" applyFont="1" applyBorder="1"/>
    <xf numFmtId="187" fontId="4" fillId="0" borderId="6" xfId="1" applyNumberFormat="1" applyFont="1" applyBorder="1"/>
    <xf numFmtId="0" fontId="5" fillId="0" borderId="11" xfId="0" quotePrefix="1" applyFont="1" applyBorder="1" applyAlignment="1">
      <alignment horizontal="center"/>
    </xf>
    <xf numFmtId="0" fontId="5" fillId="0" borderId="9" xfId="0" quotePrefix="1" applyFont="1" applyBorder="1" applyAlignment="1">
      <alignment horizontal="center"/>
    </xf>
    <xf numFmtId="0" fontId="27" fillId="0" borderId="6" xfId="0" applyFont="1" applyBorder="1" applyAlignment="1">
      <alignment horizontal="right"/>
    </xf>
    <xf numFmtId="0" fontId="24" fillId="0" borderId="2" xfId="0" applyFont="1" applyBorder="1"/>
    <xf numFmtId="0" fontId="83" fillId="0" borderId="11" xfId="0" applyFont="1" applyBorder="1"/>
    <xf numFmtId="43" fontId="83" fillId="0" borderId="11" xfId="1" applyFont="1" applyBorder="1"/>
    <xf numFmtId="0" fontId="83" fillId="0" borderId="9" xfId="0" applyFont="1" applyBorder="1"/>
    <xf numFmtId="43" fontId="83" fillId="0" borderId="11" xfId="0" applyNumberFormat="1" applyFont="1" applyBorder="1" applyAlignment="1">
      <alignment horizontal="left"/>
    </xf>
    <xf numFmtId="43" fontId="83" fillId="0" borderId="10" xfId="0" applyNumberFormat="1" applyFont="1" applyBorder="1" applyAlignment="1">
      <alignment horizontal="left"/>
    </xf>
    <xf numFmtId="0" fontId="83" fillId="0" borderId="0" xfId="0" applyFont="1"/>
    <xf numFmtId="3" fontId="83" fillId="0" borderId="9" xfId="1" applyNumberFormat="1" applyFont="1" applyBorder="1" applyAlignment="1">
      <alignment horizontal="right"/>
    </xf>
    <xf numFmtId="3" fontId="83" fillId="0" borderId="11" xfId="1" applyNumberFormat="1" applyFont="1" applyBorder="1" applyAlignment="1">
      <alignment horizontal="right"/>
    </xf>
    <xf numFmtId="3" fontId="83" fillId="0" borderId="10" xfId="1" applyNumberFormat="1" applyFont="1" applyBorder="1" applyAlignment="1">
      <alignment horizontal="right"/>
    </xf>
    <xf numFmtId="3" fontId="84" fillId="0" borderId="0" xfId="1" applyNumberFormat="1" applyFont="1" applyAlignment="1">
      <alignment horizontal="right"/>
    </xf>
    <xf numFmtId="0" fontId="61" fillId="0" borderId="11" xfId="0" applyFont="1" applyBorder="1" applyAlignment="1">
      <alignment horizontal="center"/>
    </xf>
    <xf numFmtId="0" fontId="85" fillId="0" borderId="11" xfId="0" applyFont="1" applyBorder="1" applyAlignment="1">
      <alignment horizontal="center"/>
    </xf>
    <xf numFmtId="0" fontId="61" fillId="0" borderId="11" xfId="0" applyFont="1" applyBorder="1"/>
    <xf numFmtId="0" fontId="61" fillId="0" borderId="10" xfId="0" applyFont="1" applyBorder="1"/>
    <xf numFmtId="43" fontId="61" fillId="0" borderId="9" xfId="1" applyFont="1" applyBorder="1"/>
    <xf numFmtId="43" fontId="85" fillId="0" borderId="9" xfId="1" applyFont="1" applyBorder="1"/>
    <xf numFmtId="43" fontId="85" fillId="0" borderId="11" xfId="1" applyFont="1" applyBorder="1"/>
    <xf numFmtId="43" fontId="85" fillId="0" borderId="10" xfId="1" applyFont="1" applyBorder="1"/>
    <xf numFmtId="43" fontId="61" fillId="0" borderId="11" xfId="1" applyFont="1" applyBorder="1"/>
    <xf numFmtId="186" fontId="61" fillId="0" borderId="11" xfId="1" applyNumberFormat="1" applyFont="1" applyBorder="1"/>
    <xf numFmtId="0" fontId="0" fillId="0" borderId="97" xfId="0" applyBorder="1"/>
    <xf numFmtId="0" fontId="24" fillId="0" borderId="5" xfId="0" applyFont="1" applyBorder="1"/>
    <xf numFmtId="3" fontId="0" fillId="0" borderId="11" xfId="0" applyNumberFormat="1" applyBorder="1"/>
    <xf numFmtId="3" fontId="0" fillId="0" borderId="5" xfId="1" applyNumberFormat="1" applyFont="1" applyBorder="1" applyAlignment="1">
      <alignment horizontal="right"/>
    </xf>
    <xf numFmtId="0" fontId="0" fillId="0" borderId="11" xfId="3" applyFont="1" applyBorder="1" applyAlignment="1">
      <alignment horizontal="right"/>
    </xf>
    <xf numFmtId="3" fontId="0" fillId="0" borderId="11" xfId="1" applyNumberFormat="1" applyFont="1" applyBorder="1"/>
    <xf numFmtId="0" fontId="0" fillId="0" borderId="10" xfId="3" applyFont="1" applyBorder="1" applyAlignment="1">
      <alignment horizontal="right"/>
    </xf>
    <xf numFmtId="3" fontId="0" fillId="0" borderId="7" xfId="1" applyNumberFormat="1" applyFont="1" applyBorder="1" applyAlignment="1">
      <alignment horizontal="right"/>
    </xf>
    <xf numFmtId="0" fontId="0" fillId="0" borderId="97" xfId="0" applyBorder="1" applyAlignment="1">
      <alignment horizontal="center"/>
    </xf>
    <xf numFmtId="0" fontId="5" fillId="0" borderId="96" xfId="0" applyFont="1" applyBorder="1" applyAlignment="1">
      <alignment horizontal="center"/>
    </xf>
    <xf numFmtId="0" fontId="5" fillId="0" borderId="101" xfId="0" applyFont="1" applyBorder="1" applyAlignment="1">
      <alignment horizontal="center"/>
    </xf>
    <xf numFmtId="0" fontId="5" fillId="0" borderId="98" xfId="0" quotePrefix="1" applyFont="1" applyBorder="1" applyAlignment="1">
      <alignment horizontal="center"/>
    </xf>
    <xf numFmtId="0" fontId="5" fillId="0" borderId="100" xfId="0" quotePrefix="1" applyFont="1" applyBorder="1" applyAlignment="1">
      <alignment horizontal="center"/>
    </xf>
    <xf numFmtId="0" fontId="24" fillId="0" borderId="26" xfId="0" applyFont="1" applyBorder="1"/>
    <xf numFmtId="0" fontId="0" fillId="0" borderId="27" xfId="0" applyBorder="1"/>
    <xf numFmtId="0" fontId="0" fillId="0" borderId="28" xfId="0" applyBorder="1"/>
    <xf numFmtId="3" fontId="61" fillId="0" borderId="11" xfId="1" applyNumberFormat="1" applyFont="1" applyBorder="1"/>
    <xf numFmtId="3" fontId="61" fillId="0" borderId="5" xfId="1" applyNumberFormat="1" applyFont="1" applyBorder="1" applyAlignment="1">
      <alignment horizontal="right"/>
    </xf>
    <xf numFmtId="3" fontId="61" fillId="0" borderId="10" xfId="1" applyNumberFormat="1" applyFont="1" applyBorder="1"/>
    <xf numFmtId="170" fontId="37" fillId="0" borderId="0" xfId="0" applyNumberFormat="1" applyFont="1" applyAlignment="1">
      <alignment horizontal="center"/>
    </xf>
    <xf numFmtId="49" fontId="61" fillId="6" borderId="1" xfId="0" applyNumberFormat="1" applyFont="1" applyFill="1" applyBorder="1" applyAlignment="1">
      <alignment horizontal="center"/>
    </xf>
    <xf numFmtId="49" fontId="61" fillId="15" borderId="0" xfId="0" applyNumberFormat="1" applyFont="1" applyFill="1" applyAlignment="1">
      <alignment horizontal="center"/>
    </xf>
    <xf numFmtId="0" fontId="4" fillId="15" borderId="5" xfId="0" applyFont="1" applyFill="1" applyBorder="1"/>
    <xf numFmtId="1" fontId="54" fillId="0" borderId="0" xfId="0" applyNumberFormat="1" applyFont="1" applyAlignment="1">
      <alignment horizontal="center"/>
    </xf>
    <xf numFmtId="0" fontId="54" fillId="0" borderId="0" xfId="0" applyFont="1" applyAlignment="1">
      <alignment horizontal="center"/>
    </xf>
    <xf numFmtId="0" fontId="78" fillId="6" borderId="0" xfId="0" applyFont="1" applyFill="1"/>
    <xf numFmtId="0" fontId="4" fillId="0" borderId="5" xfId="0" applyFont="1" applyBorder="1" applyAlignment="1">
      <alignment horizontal="center" vertical="center"/>
    </xf>
    <xf numFmtId="0" fontId="4" fillId="0" borderId="6" xfId="0" applyFont="1" applyBorder="1" applyAlignment="1">
      <alignment vertical="center"/>
    </xf>
    <xf numFmtId="0" fontId="4" fillId="0" borderId="11" xfId="0" applyFont="1" applyBorder="1" applyAlignment="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8" xfId="0" applyFont="1" applyBorder="1" applyAlignment="1">
      <alignment vertical="center"/>
    </xf>
    <xf numFmtId="0" fontId="4" fillId="0" borderId="10" xfId="0" applyFont="1" applyBorder="1" applyAlignment="1">
      <alignment vertical="center"/>
    </xf>
    <xf numFmtId="0" fontId="78" fillId="0" borderId="5" xfId="0" applyFont="1" applyBorder="1"/>
    <xf numFmtId="200" fontId="12" fillId="0" borderId="0" xfId="0" applyNumberFormat="1" applyFont="1" applyAlignment="1">
      <alignment horizontal="right"/>
    </xf>
    <xf numFmtId="182" fontId="12" fillId="0" borderId="0" xfId="0" applyNumberFormat="1" applyFont="1" applyAlignment="1">
      <alignment horizontal="right"/>
    </xf>
    <xf numFmtId="0" fontId="86" fillId="0" borderId="0" xfId="0" applyFont="1" applyAlignment="1">
      <alignment horizontal="center"/>
    </xf>
    <xf numFmtId="0" fontId="87" fillId="0" borderId="0" xfId="0" applyFont="1" applyAlignment="1">
      <alignment horizontal="center"/>
    </xf>
    <xf numFmtId="0" fontId="23" fillId="0" borderId="0" xfId="0" applyFont="1" applyAlignment="1">
      <alignment horizontal="left"/>
    </xf>
    <xf numFmtId="0" fontId="62" fillId="0" borderId="0" xfId="0" applyFont="1"/>
    <xf numFmtId="0" fontId="12" fillId="0" borderId="0" xfId="1" applyNumberFormat="1" applyFont="1"/>
    <xf numFmtId="0" fontId="61" fillId="0" borderId="0" xfId="0" applyFont="1" applyAlignment="1">
      <alignment horizontal="left"/>
    </xf>
    <xf numFmtId="169" fontId="61" fillId="0" borderId="0" xfId="0" applyNumberFormat="1" applyFont="1" applyAlignment="1">
      <alignment horizontal="right"/>
    </xf>
    <xf numFmtId="0" fontId="61" fillId="0" borderId="0" xfId="0" applyFont="1" applyAlignment="1">
      <alignment horizontal="right"/>
    </xf>
    <xf numFmtId="43" fontId="62" fillId="0" borderId="0" xfId="0" applyNumberFormat="1" applyFont="1" applyAlignment="1">
      <alignment horizontal="right"/>
    </xf>
    <xf numFmtId="0" fontId="62" fillId="0" borderId="0" xfId="0" applyFont="1" applyAlignment="1">
      <alignment horizontal="right"/>
    </xf>
    <xf numFmtId="0" fontId="61" fillId="0" borderId="0" xfId="0" quotePrefix="1" applyFont="1" applyAlignment="1">
      <alignment horizontal="left"/>
    </xf>
    <xf numFmtId="1" fontId="62" fillId="0" borderId="0" xfId="0" applyNumberFormat="1" applyFont="1" applyAlignment="1">
      <alignment horizontal="right"/>
    </xf>
    <xf numFmtId="0" fontId="0" fillId="17" borderId="11" xfId="0" applyFill="1" applyBorder="1" applyAlignment="1">
      <alignment horizontal="center"/>
    </xf>
    <xf numFmtId="0" fontId="5" fillId="17" borderId="0" xfId="0" applyFont="1" applyFill="1"/>
    <xf numFmtId="165" fontId="0" fillId="17" borderId="0" xfId="0" applyNumberFormat="1" applyFill="1"/>
    <xf numFmtId="43" fontId="12" fillId="17" borderId="0" xfId="1" applyFont="1" applyFill="1"/>
    <xf numFmtId="0" fontId="0" fillId="17" borderId="11" xfId="0" applyFill="1" applyBorder="1"/>
    <xf numFmtId="43" fontId="3" fillId="17" borderId="5" xfId="0" applyNumberFormat="1" applyFont="1" applyFill="1" applyBorder="1"/>
    <xf numFmtId="43" fontId="3" fillId="17" borderId="0" xfId="1" applyFont="1" applyFill="1"/>
    <xf numFmtId="0" fontId="0" fillId="17" borderId="0" xfId="0" applyFill="1"/>
    <xf numFmtId="0" fontId="4" fillId="17" borderId="5" xfId="0" applyFont="1" applyFill="1" applyBorder="1"/>
    <xf numFmtId="9" fontId="12" fillId="17" borderId="0" xfId="5" applyFont="1" applyFill="1"/>
    <xf numFmtId="43" fontId="0" fillId="17" borderId="0" xfId="0" applyNumberFormat="1" applyFill="1"/>
    <xf numFmtId="177" fontId="0" fillId="17" borderId="0" xfId="0" applyNumberFormat="1" applyFill="1"/>
    <xf numFmtId="177" fontId="0" fillId="17" borderId="6" xfId="0" applyNumberFormat="1" applyFill="1" applyBorder="1"/>
    <xf numFmtId="9" fontId="3" fillId="17" borderId="0" xfId="5" applyFont="1" applyFill="1"/>
    <xf numFmtId="0" fontId="0" fillId="17" borderId="5" xfId="0" applyFill="1" applyBorder="1" applyAlignment="1">
      <alignment horizontal="center"/>
    </xf>
    <xf numFmtId="0" fontId="5" fillId="17" borderId="5" xfId="0" applyFont="1" applyFill="1" applyBorder="1"/>
    <xf numFmtId="0" fontId="0" fillId="17" borderId="5" xfId="0" applyFill="1" applyBorder="1"/>
    <xf numFmtId="9" fontId="4" fillId="17" borderId="0" xfId="5" applyFont="1" applyFill="1"/>
    <xf numFmtId="0" fontId="87" fillId="0" borderId="6" xfId="0" applyFont="1" applyBorder="1" applyAlignment="1">
      <alignment horizontal="center"/>
    </xf>
    <xf numFmtId="178" fontId="4" fillId="0" borderId="6" xfId="0" applyNumberFormat="1" applyFont="1" applyBorder="1" applyAlignment="1">
      <alignment horizontal="center"/>
    </xf>
    <xf numFmtId="0" fontId="78" fillId="0" borderId="6" xfId="0" applyFont="1" applyBorder="1" applyAlignment="1">
      <alignment horizontal="center"/>
    </xf>
    <xf numFmtId="22" fontId="0" fillId="0" borderId="0" xfId="0" applyNumberFormat="1"/>
    <xf numFmtId="169" fontId="61" fillId="0" borderId="0" xfId="0" applyNumberFormat="1" applyFont="1"/>
    <xf numFmtId="1" fontId="61" fillId="0" borderId="0" xfId="0" applyNumberFormat="1" applyFont="1"/>
    <xf numFmtId="201" fontId="12" fillId="0" borderId="0" xfId="0" applyNumberFormat="1" applyFont="1" applyAlignment="1">
      <alignment horizontal="center"/>
    </xf>
    <xf numFmtId="201" fontId="12" fillId="0" borderId="6" xfId="0" applyNumberFormat="1" applyFont="1" applyBorder="1" applyAlignment="1">
      <alignment horizontal="center"/>
    </xf>
    <xf numFmtId="167" fontId="0" fillId="0" borderId="0" xfId="0" applyNumberFormat="1" applyAlignment="1">
      <alignment horizontal="left"/>
    </xf>
    <xf numFmtId="184" fontId="0" fillId="0" borderId="0" xfId="0" applyNumberFormat="1" applyAlignment="1">
      <alignment horizontal="left"/>
    </xf>
    <xf numFmtId="202" fontId="12" fillId="0" borderId="0" xfId="0" applyNumberFormat="1" applyFont="1" applyAlignment="1">
      <alignment horizontal="right"/>
    </xf>
    <xf numFmtId="203" fontId="12" fillId="0" borderId="0" xfId="0" applyNumberFormat="1" applyFont="1" applyAlignment="1">
      <alignment horizontal="center"/>
    </xf>
    <xf numFmtId="49" fontId="5" fillId="18" borderId="0" xfId="0" applyNumberFormat="1" applyFont="1" applyFill="1" applyAlignment="1">
      <alignment horizontal="center"/>
    </xf>
    <xf numFmtId="0" fontId="5" fillId="18" borderId="24" xfId="0" applyFont="1" applyFill="1" applyBorder="1" applyAlignment="1">
      <alignment horizontal="center"/>
    </xf>
    <xf numFmtId="0" fontId="5" fillId="18" borderId="25" xfId="0" applyFont="1" applyFill="1" applyBorder="1" applyAlignment="1">
      <alignment horizontal="center"/>
    </xf>
    <xf numFmtId="49" fontId="78" fillId="0" borderId="24" xfId="0" applyNumberFormat="1" applyFont="1" applyBorder="1" applyAlignment="1">
      <alignment horizontal="center"/>
    </xf>
    <xf numFmtId="203" fontId="61" fillId="0" borderId="0" xfId="0" applyNumberFormat="1" applyFont="1" applyAlignment="1">
      <alignment horizontal="center"/>
    </xf>
    <xf numFmtId="0" fontId="5" fillId="18" borderId="0" xfId="0" applyFont="1" applyFill="1" applyAlignment="1">
      <alignment horizontal="center"/>
    </xf>
    <xf numFmtId="0" fontId="5" fillId="18" borderId="20" xfId="0" applyFont="1" applyFill="1" applyBorder="1" applyAlignment="1">
      <alignment horizontal="center"/>
    </xf>
    <xf numFmtId="0" fontId="63" fillId="0" borderId="16" xfId="0" applyFont="1" applyBorder="1"/>
    <xf numFmtId="0" fontId="62" fillId="0" borderId="16" xfId="0" applyFont="1" applyBorder="1"/>
    <xf numFmtId="0" fontId="61" fillId="0" borderId="16" xfId="0" applyFont="1" applyBorder="1" applyAlignment="1">
      <alignment horizontal="center"/>
    </xf>
    <xf numFmtId="0" fontId="3" fillId="0" borderId="16" xfId="0" applyFont="1" applyBorder="1" applyAlignment="1">
      <alignment horizontal="center"/>
    </xf>
    <xf numFmtId="203" fontId="12" fillId="0" borderId="16" xfId="0" applyNumberFormat="1" applyFont="1" applyBorder="1" applyAlignment="1">
      <alignment horizontal="center"/>
    </xf>
    <xf numFmtId="183" fontId="12" fillId="0" borderId="16" xfId="0" applyNumberFormat="1" applyFont="1" applyBorder="1" applyAlignment="1">
      <alignment horizontal="center"/>
    </xf>
    <xf numFmtId="183" fontId="0" fillId="0" borderId="37" xfId="0" applyNumberFormat="1" applyBorder="1"/>
    <xf numFmtId="0" fontId="0" fillId="19" borderId="12" xfId="0" applyFill="1" applyBorder="1"/>
    <xf numFmtId="49" fontId="82" fillId="19" borderId="13" xfId="0" applyNumberFormat="1" applyFont="1" applyFill="1" applyBorder="1" applyAlignment="1">
      <alignment horizontal="center"/>
    </xf>
    <xf numFmtId="0" fontId="0" fillId="19" borderId="13" xfId="0" applyFill="1" applyBorder="1"/>
    <xf numFmtId="177" fontId="5" fillId="19" borderId="13" xfId="0" applyNumberFormat="1" applyFont="1" applyFill="1" applyBorder="1" applyAlignment="1">
      <alignment horizontal="center"/>
    </xf>
    <xf numFmtId="0" fontId="5" fillId="19" borderId="13" xfId="0" applyFont="1" applyFill="1" applyBorder="1" applyAlignment="1">
      <alignment horizontal="center"/>
    </xf>
    <xf numFmtId="0" fontId="27" fillId="19" borderId="13" xfId="0" applyFont="1" applyFill="1" applyBorder="1" applyAlignment="1">
      <alignment horizontal="center"/>
    </xf>
    <xf numFmtId="49" fontId="5" fillId="19" borderId="12" xfId="0" applyNumberFormat="1" applyFont="1" applyFill="1" applyBorder="1"/>
    <xf numFmtId="49" fontId="5" fillId="19" borderId="13" xfId="0" applyNumberFormat="1" applyFont="1" applyFill="1" applyBorder="1"/>
    <xf numFmtId="49" fontId="89" fillId="19" borderId="13" xfId="0" applyNumberFormat="1" applyFont="1" applyFill="1" applyBorder="1" applyAlignment="1">
      <alignment horizontal="center"/>
    </xf>
    <xf numFmtId="0" fontId="0" fillId="19" borderId="16" xfId="0" applyFill="1" applyBorder="1"/>
    <xf numFmtId="0" fontId="77" fillId="19" borderId="0" xfId="0" applyFont="1" applyFill="1"/>
    <xf numFmtId="0" fontId="0" fillId="19" borderId="0" xfId="0" applyFill="1"/>
    <xf numFmtId="177" fontId="5" fillId="19" borderId="0" xfId="0" applyNumberFormat="1" applyFont="1" applyFill="1" applyAlignment="1">
      <alignment horizontal="center"/>
    </xf>
    <xf numFmtId="0" fontId="5" fillId="19" borderId="0" xfId="0" applyFont="1" applyFill="1" applyAlignment="1">
      <alignment horizontal="center"/>
    </xf>
    <xf numFmtId="0" fontId="8" fillId="19" borderId="0" xfId="0" applyFont="1" applyFill="1"/>
    <xf numFmtId="49" fontId="5" fillId="19" borderId="16" xfId="0" applyNumberFormat="1" applyFont="1" applyFill="1" applyBorder="1" applyAlignment="1">
      <alignment horizontal="center"/>
    </xf>
    <xf numFmtId="49" fontId="5" fillId="19" borderId="0" xfId="0" applyNumberFormat="1" applyFont="1" applyFill="1" applyAlignment="1">
      <alignment horizontal="center"/>
    </xf>
    <xf numFmtId="0" fontId="88" fillId="19" borderId="0" xfId="0" applyFont="1" applyFill="1" applyAlignment="1">
      <alignment horizontal="center"/>
    </xf>
    <xf numFmtId="0" fontId="5" fillId="19" borderId="16" xfId="0" applyFont="1" applyFill="1" applyBorder="1" applyAlignment="1">
      <alignment horizontal="center"/>
    </xf>
    <xf numFmtId="0" fontId="5" fillId="19" borderId="19" xfId="0" applyFont="1" applyFill="1" applyBorder="1" applyAlignment="1">
      <alignment horizontal="center"/>
    </xf>
    <xf numFmtId="0" fontId="82" fillId="19" borderId="20" xfId="0" applyFont="1" applyFill="1" applyBorder="1" applyAlignment="1">
      <alignment horizontal="center"/>
    </xf>
    <xf numFmtId="0" fontId="5" fillId="19" borderId="20" xfId="0" applyFont="1" applyFill="1" applyBorder="1" applyAlignment="1">
      <alignment horizontal="center"/>
    </xf>
    <xf numFmtId="177" fontId="5" fillId="19" borderId="20" xfId="0" applyNumberFormat="1" applyFont="1" applyFill="1" applyBorder="1" applyAlignment="1">
      <alignment horizontal="center"/>
    </xf>
    <xf numFmtId="0" fontId="88" fillId="19" borderId="20" xfId="0" applyFont="1" applyFill="1" applyBorder="1" applyAlignment="1">
      <alignment horizontal="center"/>
    </xf>
    <xf numFmtId="49" fontId="5" fillId="18" borderId="24" xfId="0" applyNumberFormat="1" applyFont="1" applyFill="1" applyBorder="1" applyAlignment="1">
      <alignment horizontal="center"/>
    </xf>
    <xf numFmtId="0" fontId="0" fillId="18" borderId="24" xfId="0" applyFill="1" applyBorder="1"/>
    <xf numFmtId="183" fontId="12" fillId="18" borderId="24" xfId="0" applyNumberFormat="1" applyFont="1" applyFill="1" applyBorder="1"/>
    <xf numFmtId="183" fontId="0" fillId="18" borderId="29" xfId="0" applyNumberFormat="1" applyFill="1" applyBorder="1"/>
    <xf numFmtId="0" fontId="0" fillId="18" borderId="29" xfId="0" applyFill="1" applyBorder="1"/>
    <xf numFmtId="170" fontId="12" fillId="0" borderId="16" xfId="5" applyNumberFormat="1" applyFont="1" applyBorder="1" applyAlignment="1">
      <alignment horizontal="center"/>
    </xf>
    <xf numFmtId="2" fontId="0" fillId="0" borderId="24" xfId="0" applyNumberFormat="1" applyBorder="1"/>
    <xf numFmtId="0" fontId="0" fillId="0" borderId="29" xfId="0" applyBorder="1"/>
    <xf numFmtId="49" fontId="90" fillId="18" borderId="36" xfId="0" applyNumberFormat="1" applyFont="1" applyFill="1" applyBorder="1" applyAlignment="1">
      <alignment horizontal="center"/>
    </xf>
    <xf numFmtId="191" fontId="0" fillId="18" borderId="24" xfId="0" applyNumberFormat="1" applyFill="1" applyBorder="1" applyAlignment="1">
      <alignment horizontal="center"/>
    </xf>
    <xf numFmtId="0" fontId="80" fillId="0" borderId="94" xfId="0" applyFont="1" applyBorder="1" applyAlignment="1">
      <alignment horizontal="center"/>
    </xf>
    <xf numFmtId="3" fontId="0" fillId="0" borderId="105" xfId="1" applyNumberFormat="1" applyFont="1" applyBorder="1" applyAlignment="1">
      <alignment horizontal="right"/>
    </xf>
    <xf numFmtId="0" fontId="0" fillId="0" borderId="11" xfId="0" applyBorder="1" applyAlignment="1">
      <alignment horizontal="right"/>
    </xf>
    <xf numFmtId="3" fontId="61" fillId="0" borderId="11" xfId="0" applyNumberFormat="1" applyFont="1" applyBorder="1"/>
    <xf numFmtId="3" fontId="61" fillId="0" borderId="10" xfId="0" applyNumberFormat="1" applyFont="1" applyBorder="1"/>
    <xf numFmtId="0" fontId="22" fillId="0" borderId="5" xfId="0" applyFont="1" applyBorder="1" applyAlignment="1">
      <alignment horizontal="left"/>
    </xf>
    <xf numFmtId="0" fontId="0" fillId="6" borderId="6" xfId="0" applyFill="1" applyBorder="1" applyAlignment="1">
      <alignment horizontal="right"/>
    </xf>
    <xf numFmtId="186" fontId="83" fillId="0" borderId="11" xfId="0" applyNumberFormat="1" applyFont="1" applyBorder="1" applyAlignment="1">
      <alignment horizontal="left"/>
    </xf>
    <xf numFmtId="49" fontId="5" fillId="0" borderId="9" xfId="0" quotePrefix="1" applyNumberFormat="1" applyFont="1" applyBorder="1" applyAlignment="1">
      <alignment horizontal="center"/>
    </xf>
    <xf numFmtId="49" fontId="5" fillId="0" borderId="4" xfId="0" quotePrefix="1" applyNumberFormat="1" applyFont="1" applyBorder="1" applyAlignment="1">
      <alignment horizontal="center"/>
    </xf>
    <xf numFmtId="43" fontId="85" fillId="0" borderId="0" xfId="0" applyNumberFormat="1" applyFont="1"/>
    <xf numFmtId="0" fontId="61" fillId="6" borderId="11" xfId="0" applyFont="1" applyFill="1" applyBorder="1"/>
    <xf numFmtId="191" fontId="5" fillId="0" borderId="11" xfId="1" applyNumberFormat="1" applyFont="1" applyBorder="1" applyAlignment="1">
      <alignment horizontal="center"/>
    </xf>
    <xf numFmtId="167" fontId="4" fillId="0" borderId="0" xfId="1" applyNumberFormat="1" applyFont="1" applyAlignment="1">
      <alignment horizontal="center"/>
    </xf>
    <xf numFmtId="1" fontId="3" fillId="0" borderId="0" xfId="0" applyNumberFormat="1" applyFont="1" applyAlignment="1">
      <alignment horizontal="center"/>
    </xf>
    <xf numFmtId="1" fontId="5" fillId="0" borderId="16" xfId="0" applyNumberFormat="1" applyFont="1" applyBorder="1" applyAlignment="1">
      <alignment horizontal="center"/>
    </xf>
    <xf numFmtId="0" fontId="61" fillId="6" borderId="5" xfId="0" applyFont="1" applyFill="1" applyBorder="1"/>
    <xf numFmtId="9" fontId="61" fillId="6" borderId="6" xfId="5" applyFont="1" applyFill="1" applyBorder="1"/>
    <xf numFmtId="9" fontId="4" fillId="15" borderId="6" xfId="5" applyFont="1" applyFill="1" applyBorder="1"/>
    <xf numFmtId="0" fontId="80" fillId="0" borderId="5" xfId="0" applyFont="1" applyBorder="1"/>
    <xf numFmtId="0" fontId="0" fillId="16" borderId="0" xfId="0" applyFill="1"/>
    <xf numFmtId="0" fontId="78" fillId="6" borderId="0" xfId="0" applyFont="1" applyFill="1" applyAlignment="1">
      <alignment horizontal="center"/>
    </xf>
    <xf numFmtId="1" fontId="61" fillId="17" borderId="0" xfId="0" applyNumberFormat="1" applyFont="1" applyFill="1"/>
    <xf numFmtId="9" fontId="85" fillId="17" borderId="0" xfId="5" applyFont="1" applyFill="1"/>
    <xf numFmtId="0" fontId="85" fillId="17" borderId="0" xfId="0" applyFont="1" applyFill="1"/>
    <xf numFmtId="0" fontId="61" fillId="6" borderId="0" xfId="0" applyFont="1" applyFill="1" applyAlignment="1">
      <alignment horizontal="center"/>
    </xf>
    <xf numFmtId="0" fontId="61" fillId="17" borderId="0" xfId="0" applyFont="1" applyFill="1"/>
    <xf numFmtId="0" fontId="0" fillId="17" borderId="0" xfId="0" applyFill="1" applyAlignment="1">
      <alignment horizontal="center"/>
    </xf>
    <xf numFmtId="9" fontId="0" fillId="17" borderId="0" xfId="5" applyFont="1" applyFill="1"/>
    <xf numFmtId="0" fontId="97" fillId="0" borderId="0" xfId="0" applyFont="1"/>
    <xf numFmtId="169" fontId="85" fillId="0" borderId="0" xfId="0" applyNumberFormat="1" applyFont="1"/>
    <xf numFmtId="0" fontId="85" fillId="0" borderId="0" xfId="0" applyFont="1"/>
    <xf numFmtId="2" fontId="61" fillId="6" borderId="0" xfId="0" applyNumberFormat="1" applyFont="1" applyFill="1" applyAlignment="1">
      <alignment horizontal="right"/>
    </xf>
    <xf numFmtId="2" fontId="97" fillId="0" borderId="0" xfId="0" applyNumberFormat="1" applyFont="1"/>
    <xf numFmtId="0" fontId="1" fillId="0" borderId="0" xfId="17"/>
    <xf numFmtId="22" fontId="1" fillId="0" borderId="0" xfId="17" applyNumberFormat="1"/>
    <xf numFmtId="0" fontId="61" fillId="6" borderId="0" xfId="0" applyFont="1" applyFill="1"/>
    <xf numFmtId="0" fontId="61" fillId="19" borderId="0" xfId="0" applyFont="1" applyFill="1" applyAlignment="1">
      <alignment horizontal="left"/>
    </xf>
    <xf numFmtId="0" fontId="1" fillId="0" borderId="0" xfId="18"/>
    <xf numFmtId="22" fontId="1" fillId="0" borderId="0" xfId="18" applyNumberFormat="1"/>
    <xf numFmtId="0" fontId="61" fillId="19" borderId="0" xfId="0" applyFont="1" applyFill="1"/>
    <xf numFmtId="0" fontId="0" fillId="21" borderId="0" xfId="0" applyFill="1"/>
    <xf numFmtId="169" fontId="0" fillId="21" borderId="0" xfId="0" applyNumberFormat="1" applyFill="1" applyAlignment="1">
      <alignment horizontal="center"/>
    </xf>
    <xf numFmtId="0" fontId="98" fillId="0" borderId="0" xfId="0" applyFont="1"/>
    <xf numFmtId="37" fontId="5" fillId="14" borderId="8" xfId="1" applyNumberFormat="1" applyFont="1" applyFill="1" applyBorder="1" applyAlignment="1">
      <alignment horizontal="center"/>
    </xf>
    <xf numFmtId="169" fontId="3" fillId="0" borderId="2" xfId="0" applyNumberFormat="1" applyFont="1" applyBorder="1" applyAlignment="1">
      <alignment horizontal="center"/>
    </xf>
    <xf numFmtId="169" fontId="3" fillId="0" borderId="3" xfId="0" applyNumberFormat="1" applyFont="1" applyBorder="1" applyAlignment="1">
      <alignment horizontal="center"/>
    </xf>
    <xf numFmtId="169" fontId="3" fillId="0" borderId="4" xfId="0" applyNumberFormat="1" applyFont="1" applyBorder="1" applyAlignment="1">
      <alignment horizontal="center"/>
    </xf>
    <xf numFmtId="169" fontId="3" fillId="0" borderId="5" xfId="0" applyNumberFormat="1" applyFont="1" applyBorder="1" applyAlignment="1">
      <alignment horizontal="center"/>
    </xf>
    <xf numFmtId="169" fontId="3" fillId="0" borderId="0" xfId="0" applyNumberFormat="1" applyFont="1" applyAlignment="1">
      <alignment horizontal="center"/>
    </xf>
    <xf numFmtId="169" fontId="3" fillId="0" borderId="6" xfId="0" applyNumberFormat="1" applyFont="1" applyBorder="1" applyAlignment="1">
      <alignment horizontal="center"/>
    </xf>
    <xf numFmtId="169" fontId="3" fillId="0" borderId="7" xfId="0" applyNumberFormat="1" applyFont="1" applyBorder="1" applyAlignment="1">
      <alignment horizontal="center"/>
    </xf>
    <xf numFmtId="169" fontId="3" fillId="0" borderId="1" xfId="0" applyNumberFormat="1" applyFont="1" applyBorder="1" applyAlignment="1">
      <alignment horizontal="center"/>
    </xf>
    <xf numFmtId="169" fontId="3" fillId="0" borderId="8" xfId="0" applyNumberFormat="1" applyFont="1" applyBorder="1" applyAlignment="1">
      <alignment horizontal="center"/>
    </xf>
    <xf numFmtId="3" fontId="99" fillId="0" borderId="26" xfId="0" applyNumberFormat="1" applyFont="1" applyBorder="1" applyAlignment="1">
      <alignment horizontal="center"/>
    </xf>
    <xf numFmtId="3" fontId="99" fillId="0" borderId="27" xfId="0" applyNumberFormat="1" applyFont="1" applyBorder="1" applyAlignment="1">
      <alignment horizontal="center"/>
    </xf>
    <xf numFmtId="3" fontId="99" fillId="0" borderId="28" xfId="0" applyNumberFormat="1" applyFont="1" applyBorder="1" applyAlignment="1">
      <alignment horizontal="center"/>
    </xf>
    <xf numFmtId="0" fontId="100" fillId="0" borderId="0" xfId="0" applyFont="1"/>
    <xf numFmtId="9" fontId="99" fillId="0" borderId="27" xfId="5" applyFont="1" applyBorder="1" applyAlignment="1">
      <alignment horizontal="center"/>
    </xf>
    <xf numFmtId="0" fontId="88" fillId="0" borderId="1" xfId="0" applyFont="1" applyBorder="1" applyAlignment="1">
      <alignment horizontal="center"/>
    </xf>
    <xf numFmtId="191" fontId="5" fillId="0" borderId="7" xfId="1" applyNumberFormat="1" applyFont="1" applyBorder="1" applyAlignment="1">
      <alignment horizontal="center"/>
    </xf>
    <xf numFmtId="191" fontId="5" fillId="0" borderId="1" xfId="1" applyNumberFormat="1" applyFont="1" applyBorder="1" applyAlignment="1">
      <alignment horizontal="center"/>
    </xf>
    <xf numFmtId="191" fontId="5" fillId="0" borderId="8" xfId="1" applyNumberFormat="1" applyFont="1" applyBorder="1" applyAlignment="1">
      <alignment horizontal="center"/>
    </xf>
    <xf numFmtId="37" fontId="5" fillId="14" borderId="7" xfId="1" applyNumberFormat="1" applyFont="1" applyFill="1" applyBorder="1" applyAlignment="1">
      <alignment horizontal="center"/>
    </xf>
    <xf numFmtId="37" fontId="5" fillId="14" borderId="1" xfId="1" applyNumberFormat="1" applyFont="1" applyFill="1" applyBorder="1" applyAlignment="1">
      <alignment horizontal="center"/>
    </xf>
    <xf numFmtId="0" fontId="101" fillId="0" borderId="0" xfId="0" applyFont="1"/>
    <xf numFmtId="179" fontId="12" fillId="0" borderId="4" xfId="0" applyNumberFormat="1" applyFont="1" applyBorder="1" applyAlignment="1">
      <alignment horizontal="center"/>
    </xf>
    <xf numFmtId="3" fontId="5" fillId="0" borderId="28" xfId="0" applyNumberFormat="1" applyFont="1" applyBorder="1" applyAlignment="1">
      <alignment horizontal="center"/>
    </xf>
    <xf numFmtId="0" fontId="87" fillId="0" borderId="5" xfId="0" applyFont="1" applyBorder="1" applyAlignment="1">
      <alignment horizontal="center"/>
    </xf>
    <xf numFmtId="0" fontId="0" fillId="6" borderId="16" xfId="0" applyFill="1" applyBorder="1"/>
    <xf numFmtId="0" fontId="0" fillId="6" borderId="24" xfId="0" applyFill="1" applyBorder="1"/>
    <xf numFmtId="179" fontId="12" fillId="6" borderId="0" xfId="0" applyNumberFormat="1" applyFont="1" applyFill="1" applyAlignment="1">
      <alignment horizontal="center"/>
    </xf>
    <xf numFmtId="0" fontId="53" fillId="6" borderId="0" xfId="0" applyFont="1" applyFill="1"/>
    <xf numFmtId="0" fontId="88" fillId="6" borderId="16" xfId="0" applyFont="1" applyFill="1" applyBorder="1"/>
    <xf numFmtId="181" fontId="0" fillId="0" borderId="0" xfId="0" applyNumberFormat="1" applyAlignment="1">
      <alignment horizontal="right"/>
    </xf>
    <xf numFmtId="202" fontId="61" fillId="0" borderId="0" xfId="0" applyNumberFormat="1" applyFont="1" applyAlignment="1">
      <alignment horizontal="right"/>
    </xf>
    <xf numFmtId="0" fontId="0" fillId="0" borderId="0" xfId="0" applyAlignment="1">
      <alignment horizontal="left" indent="1"/>
    </xf>
    <xf numFmtId="49" fontId="87" fillId="19" borderId="13" xfId="0" applyNumberFormat="1" applyFont="1" applyFill="1" applyBorder="1" applyAlignment="1">
      <alignment horizontal="center"/>
    </xf>
    <xf numFmtId="43" fontId="61" fillId="17" borderId="5" xfId="0" applyNumberFormat="1" applyFont="1" applyFill="1" applyBorder="1"/>
    <xf numFmtId="49" fontId="99" fillId="15" borderId="3" xfId="0" applyNumberFormat="1" applyFont="1" applyFill="1" applyBorder="1" applyAlignment="1">
      <alignment horizontal="center"/>
    </xf>
    <xf numFmtId="0" fontId="99" fillId="15" borderId="3" xfId="0" applyFont="1" applyFill="1" applyBorder="1" applyAlignment="1">
      <alignment horizontal="center"/>
    </xf>
    <xf numFmtId="14" fontId="99" fillId="15" borderId="0" xfId="0" applyNumberFormat="1" applyFont="1" applyFill="1" applyAlignment="1">
      <alignment horizontal="center"/>
    </xf>
    <xf numFmtId="19" fontId="99" fillId="15" borderId="0" xfId="0" applyNumberFormat="1" applyFont="1" applyFill="1" applyAlignment="1">
      <alignment horizontal="center"/>
    </xf>
    <xf numFmtId="0" fontId="84" fillId="0" borderId="96" xfId="0" applyFont="1" applyBorder="1" applyAlignment="1">
      <alignment horizontal="center"/>
    </xf>
    <xf numFmtId="0" fontId="84" fillId="0" borderId="107" xfId="0" applyFont="1" applyBorder="1" applyAlignment="1">
      <alignment horizontal="center"/>
    </xf>
    <xf numFmtId="0" fontId="84" fillId="0" borderId="107" xfId="0" applyFont="1" applyBorder="1"/>
    <xf numFmtId="0" fontId="78" fillId="0" borderId="0" xfId="0" applyFont="1" applyAlignment="1">
      <alignment horizontal="center"/>
    </xf>
    <xf numFmtId="0" fontId="84" fillId="0" borderId="97" xfId="0" applyFont="1" applyBorder="1" applyAlignment="1">
      <alignment horizontal="center"/>
    </xf>
    <xf numFmtId="0" fontId="84" fillId="0" borderId="0" xfId="0" applyFont="1" applyAlignment="1">
      <alignment horizontal="center"/>
    </xf>
    <xf numFmtId="0" fontId="84" fillId="0" borderId="108" xfId="0" applyFont="1" applyBorder="1" applyAlignment="1">
      <alignment horizontal="center"/>
    </xf>
    <xf numFmtId="0" fontId="84" fillId="0" borderId="98" xfId="0" applyFont="1" applyBorder="1" applyAlignment="1">
      <alignment horizontal="center"/>
    </xf>
    <xf numFmtId="0" fontId="84" fillId="0" borderId="109" xfId="0" applyFont="1" applyBorder="1" applyAlignment="1">
      <alignment horizontal="center"/>
    </xf>
    <xf numFmtId="0" fontId="83" fillId="0" borderId="109" xfId="0" applyFont="1" applyBorder="1" applyAlignment="1">
      <alignment horizontal="center"/>
    </xf>
    <xf numFmtId="0" fontId="84" fillId="0" borderId="109" xfId="0" applyFont="1" applyBorder="1" applyAlignment="1">
      <alignment horizontal="right"/>
    </xf>
    <xf numFmtId="0" fontId="84" fillId="0" borderId="110" xfId="0" applyFont="1" applyBorder="1" applyAlignment="1">
      <alignment horizontal="right"/>
    </xf>
    <xf numFmtId="0" fontId="84" fillId="0" borderId="5" xfId="0" applyFont="1" applyBorder="1"/>
    <xf numFmtId="0" fontId="83" fillId="0" borderId="6" xfId="0" applyFont="1" applyBorder="1"/>
    <xf numFmtId="173" fontId="83" fillId="0" borderId="0" xfId="0" applyNumberFormat="1" applyFont="1"/>
    <xf numFmtId="0" fontId="88" fillId="19" borderId="5" xfId="0" applyFont="1" applyFill="1" applyBorder="1"/>
    <xf numFmtId="0" fontId="88" fillId="19" borderId="0" xfId="0" applyFont="1" applyFill="1"/>
    <xf numFmtId="178" fontId="4" fillId="0" borderId="0" xfId="0" applyNumberFormat="1" applyFont="1" applyAlignment="1">
      <alignment horizontal="center"/>
    </xf>
    <xf numFmtId="0" fontId="61" fillId="0" borderId="5" xfId="0" applyFont="1" applyBorder="1" applyAlignment="1">
      <alignment horizontal="left"/>
    </xf>
    <xf numFmtId="169" fontId="61" fillId="0" borderId="0" xfId="0" applyNumberFormat="1" applyFont="1" applyAlignment="1">
      <alignment horizontal="center"/>
    </xf>
    <xf numFmtId="182" fontId="61" fillId="0" borderId="0" xfId="0" applyNumberFormat="1" applyFont="1"/>
    <xf numFmtId="191" fontId="83" fillId="0" borderId="0" xfId="1" applyNumberFormat="1" applyFont="1" applyAlignment="1">
      <alignment horizontal="center"/>
    </xf>
    <xf numFmtId="191" fontId="83" fillId="0" borderId="6" xfId="1" applyNumberFormat="1" applyFont="1" applyBorder="1" applyAlignment="1">
      <alignment horizontal="center"/>
    </xf>
    <xf numFmtId="182" fontId="85" fillId="0" borderId="0" xfId="0" applyNumberFormat="1" applyFont="1"/>
    <xf numFmtId="2" fontId="61" fillId="0" borderId="0" xfId="0" applyNumberFormat="1" applyFont="1" applyAlignment="1">
      <alignment horizontal="center"/>
    </xf>
    <xf numFmtId="2" fontId="61" fillId="0" borderId="6" xfId="0" applyNumberFormat="1" applyFont="1" applyBorder="1" applyAlignment="1">
      <alignment horizontal="center"/>
    </xf>
    <xf numFmtId="178" fontId="0" fillId="19" borderId="0" xfId="0" applyNumberFormat="1" applyFill="1" applyAlignment="1">
      <alignment horizontal="center"/>
    </xf>
    <xf numFmtId="0" fontId="83" fillId="19" borderId="5" xfId="0" applyFont="1" applyFill="1" applyBorder="1" applyAlignment="1">
      <alignment horizontal="left"/>
    </xf>
    <xf numFmtId="0" fontId="84" fillId="19" borderId="0" xfId="0" applyFont="1" applyFill="1"/>
    <xf numFmtId="0" fontId="80" fillId="0" borderId="5" xfId="0" applyFont="1" applyBorder="1" applyAlignment="1">
      <alignment horizontal="left" indent="1"/>
    </xf>
    <xf numFmtId="164" fontId="61" fillId="0" borderId="0" xfId="0" applyNumberFormat="1" applyFont="1" applyAlignment="1">
      <alignment horizontal="center"/>
    </xf>
    <xf numFmtId="0" fontId="83" fillId="0" borderId="5" xfId="0" applyFont="1" applyBorder="1"/>
    <xf numFmtId="0" fontId="61" fillId="0" borderId="7" xfId="0" applyFont="1" applyBorder="1"/>
    <xf numFmtId="0" fontId="61" fillId="0" borderId="1" xfId="0" applyFont="1" applyBorder="1" applyAlignment="1">
      <alignment horizontal="left"/>
    </xf>
    <xf numFmtId="0" fontId="83" fillId="0" borderId="1" xfId="0" applyFont="1" applyBorder="1"/>
    <xf numFmtId="0" fontId="83" fillId="0" borderId="8" xfId="0" applyFont="1" applyBorder="1"/>
    <xf numFmtId="0" fontId="88" fillId="0" borderId="0" xfId="0" applyFont="1"/>
    <xf numFmtId="0" fontId="83" fillId="0" borderId="96" xfId="0" applyFont="1" applyBorder="1"/>
    <xf numFmtId="49" fontId="103" fillId="0" borderId="107" xfId="0" applyNumberFormat="1" applyFont="1" applyBorder="1" applyAlignment="1">
      <alignment horizontal="center"/>
    </xf>
    <xf numFmtId="0" fontId="83" fillId="0" borderId="107" xfId="0" applyFont="1" applyBorder="1"/>
    <xf numFmtId="177" fontId="84" fillId="0" borderId="107" xfId="0" applyNumberFormat="1" applyFont="1" applyBorder="1" applyAlignment="1">
      <alignment horizontal="center"/>
    </xf>
    <xf numFmtId="0" fontId="104" fillId="0" borderId="107" xfId="0" applyFont="1" applyBorder="1" applyAlignment="1">
      <alignment horizontal="center"/>
    </xf>
    <xf numFmtId="49" fontId="84" fillId="0" borderId="107" xfId="0" applyNumberFormat="1" applyFont="1" applyBorder="1" applyAlignment="1">
      <alignment horizontal="center"/>
    </xf>
    <xf numFmtId="0" fontId="83" fillId="0" borderId="97" xfId="0" applyFont="1" applyBorder="1"/>
    <xf numFmtId="0" fontId="105" fillId="0" borderId="0" xfId="0" applyFont="1"/>
    <xf numFmtId="177" fontId="84" fillId="0" borderId="0" xfId="0" applyNumberFormat="1" applyFont="1" applyAlignment="1">
      <alignment horizontal="center"/>
    </xf>
    <xf numFmtId="0" fontId="106" fillId="0" borderId="0" xfId="0" applyFont="1"/>
    <xf numFmtId="49" fontId="84" fillId="0" borderId="0" xfId="0" applyNumberFormat="1" applyFont="1" applyAlignment="1">
      <alignment horizontal="center"/>
    </xf>
    <xf numFmtId="0" fontId="78" fillId="0" borderId="97" xfId="0" applyFont="1" applyBorder="1"/>
    <xf numFmtId="0" fontId="78" fillId="0" borderId="0" xfId="0" applyFont="1"/>
    <xf numFmtId="0" fontId="103" fillId="0" borderId="0" xfId="0" applyFont="1" applyAlignment="1">
      <alignment horizontal="center"/>
    </xf>
    <xf numFmtId="0" fontId="104" fillId="0" borderId="0" xfId="0" applyFont="1" applyAlignment="1">
      <alignment horizontal="center"/>
    </xf>
    <xf numFmtId="0" fontId="78" fillId="0" borderId="97" xfId="0" applyFont="1" applyBorder="1" applyAlignment="1">
      <alignment horizontal="center"/>
    </xf>
    <xf numFmtId="0" fontId="78" fillId="0" borderId="108" xfId="0" applyFont="1" applyBorder="1" applyAlignment="1">
      <alignment horizontal="center"/>
    </xf>
    <xf numFmtId="0" fontId="103" fillId="0" borderId="109" xfId="0" applyFont="1" applyBorder="1" applyAlignment="1">
      <alignment horizontal="center"/>
    </xf>
    <xf numFmtId="177" fontId="84" fillId="0" borderId="109" xfId="0" applyNumberFormat="1" applyFont="1" applyBorder="1" applyAlignment="1">
      <alignment horizontal="center"/>
    </xf>
    <xf numFmtId="0" fontId="104" fillId="0" borderId="109" xfId="0" applyFont="1" applyBorder="1" applyAlignment="1">
      <alignment horizontal="center"/>
    </xf>
    <xf numFmtId="0" fontId="78" fillId="0" borderId="98" xfId="0" applyFont="1" applyBorder="1" applyAlignment="1">
      <alignment horizontal="center"/>
    </xf>
    <xf numFmtId="0" fontId="78" fillId="0" borderId="109" xfId="0" applyFont="1" applyBorder="1" applyAlignment="1">
      <alignment horizontal="center"/>
    </xf>
    <xf numFmtId="183" fontId="85" fillId="0" borderId="98" xfId="0" applyNumberFormat="1" applyFont="1" applyBorder="1" applyAlignment="1">
      <alignment horizontal="center"/>
    </xf>
    <xf numFmtId="183" fontId="85" fillId="0" borderId="109" xfId="0" applyNumberFormat="1" applyFont="1" applyBorder="1" applyAlignment="1">
      <alignment horizontal="center"/>
    </xf>
    <xf numFmtId="183" fontId="61" fillId="0" borderId="109" xfId="0" applyNumberFormat="1" applyFont="1" applyBorder="1" applyAlignment="1">
      <alignment horizontal="center"/>
    </xf>
    <xf numFmtId="183" fontId="85" fillId="0" borderId="110" xfId="0" applyNumberFormat="1" applyFont="1" applyBorder="1" applyAlignment="1">
      <alignment horizontal="center"/>
    </xf>
    <xf numFmtId="0" fontId="84" fillId="0" borderId="110" xfId="0" applyFont="1" applyBorder="1" applyAlignment="1">
      <alignment horizontal="center"/>
    </xf>
    <xf numFmtId="0" fontId="0" fillId="0" borderId="108" xfId="0" applyBorder="1"/>
    <xf numFmtId="0" fontId="0" fillId="14" borderId="0" xfId="0" applyFill="1"/>
    <xf numFmtId="0" fontId="107" fillId="14" borderId="5" xfId="0" applyFont="1" applyFill="1" applyBorder="1" applyAlignment="1">
      <alignment horizontal="left"/>
    </xf>
    <xf numFmtId="0" fontId="85" fillId="14" borderId="0" xfId="0" applyFont="1" applyFill="1" applyAlignment="1">
      <alignment horizontal="center"/>
    </xf>
    <xf numFmtId="181" fontId="85" fillId="14" borderId="0" xfId="0" applyNumberFormat="1" applyFont="1" applyFill="1" applyAlignment="1">
      <alignment horizontal="right"/>
    </xf>
    <xf numFmtId="0" fontId="85" fillId="14" borderId="0" xfId="0" applyFont="1" applyFill="1" applyAlignment="1">
      <alignment horizontal="left" indent="1"/>
    </xf>
    <xf numFmtId="183" fontId="85" fillId="14" borderId="0" xfId="0" applyNumberFormat="1" applyFont="1" applyFill="1" applyAlignment="1">
      <alignment horizontal="right"/>
    </xf>
    <xf numFmtId="185" fontId="85" fillId="14" borderId="0" xfId="0" applyNumberFormat="1" applyFont="1" applyFill="1" applyAlignment="1">
      <alignment horizontal="right"/>
    </xf>
    <xf numFmtId="183" fontId="85" fillId="14" borderId="0" xfId="0" applyNumberFormat="1" applyFont="1" applyFill="1"/>
    <xf numFmtId="183" fontId="80" fillId="14" borderId="0" xfId="0" applyNumberFormat="1" applyFont="1" applyFill="1"/>
    <xf numFmtId="2" fontId="85" fillId="14" borderId="11" xfId="0" applyNumberFormat="1" applyFont="1" applyFill="1" applyBorder="1" applyAlignment="1">
      <alignment horizontal="center"/>
    </xf>
    <xf numFmtId="207" fontId="85" fillId="14" borderId="0" xfId="0" applyNumberFormat="1" applyFont="1" applyFill="1" applyAlignment="1">
      <alignment horizontal="center"/>
    </xf>
    <xf numFmtId="203" fontId="85" fillId="14" borderId="0" xfId="0" applyNumberFormat="1" applyFont="1" applyFill="1" applyAlignment="1">
      <alignment horizontal="center"/>
    </xf>
    <xf numFmtId="183" fontId="85" fillId="14" borderId="5" xfId="0" applyNumberFormat="1" applyFont="1" applyFill="1" applyBorder="1" applyAlignment="1">
      <alignment horizontal="center"/>
    </xf>
    <xf numFmtId="183" fontId="85" fillId="14" borderId="0" xfId="0" applyNumberFormat="1" applyFont="1" applyFill="1" applyAlignment="1">
      <alignment horizontal="center"/>
    </xf>
    <xf numFmtId="183" fontId="61" fillId="14" borderId="0" xfId="0" applyNumberFormat="1" applyFont="1" applyFill="1" applyAlignment="1">
      <alignment horizontal="center"/>
    </xf>
    <xf numFmtId="183" fontId="85" fillId="14" borderId="108" xfId="0" applyNumberFormat="1" applyFont="1" applyFill="1" applyBorder="1" applyAlignment="1">
      <alignment horizontal="center"/>
    </xf>
    <xf numFmtId="183" fontId="12" fillId="14" borderId="0" xfId="0" applyNumberFormat="1" applyFont="1" applyFill="1" applyAlignment="1">
      <alignment horizontal="center"/>
    </xf>
    <xf numFmtId="179" fontId="12" fillId="14" borderId="5" xfId="0" applyNumberFormat="1" applyFont="1" applyFill="1" applyBorder="1" applyAlignment="1">
      <alignment horizontal="center"/>
    </xf>
    <xf numFmtId="179" fontId="12" fillId="14" borderId="0" xfId="0" applyNumberFormat="1" applyFont="1" applyFill="1" applyAlignment="1">
      <alignment horizontal="center"/>
    </xf>
    <xf numFmtId="179" fontId="12" fillId="14" borderId="6" xfId="0" applyNumberFormat="1" applyFont="1" applyFill="1" applyBorder="1" applyAlignment="1">
      <alignment horizontal="center"/>
    </xf>
    <xf numFmtId="0" fontId="78" fillId="19" borderId="5" xfId="0" applyFont="1" applyFill="1" applyBorder="1"/>
    <xf numFmtId="0" fontId="83" fillId="19" borderId="0" xfId="0" applyFont="1" applyFill="1"/>
    <xf numFmtId="0" fontId="80" fillId="19" borderId="0" xfId="0" applyFont="1" applyFill="1"/>
    <xf numFmtId="0" fontId="83" fillId="19" borderId="11" xfId="0" applyFont="1" applyFill="1" applyBorder="1"/>
    <xf numFmtId="0" fontId="78" fillId="19" borderId="97" xfId="0" applyFont="1" applyFill="1" applyBorder="1" applyAlignment="1">
      <alignment horizontal="center"/>
    </xf>
    <xf numFmtId="0" fontId="78" fillId="19" borderId="0" xfId="0" applyFont="1" applyFill="1" applyAlignment="1">
      <alignment horizontal="center"/>
    </xf>
    <xf numFmtId="0" fontId="83" fillId="19" borderId="5" xfId="0" applyFont="1" applyFill="1" applyBorder="1"/>
    <xf numFmtId="0" fontId="83" fillId="19" borderId="108" xfId="0" applyFont="1" applyFill="1" applyBorder="1"/>
    <xf numFmtId="179" fontId="12" fillId="19" borderId="5" xfId="0" applyNumberFormat="1" applyFont="1" applyFill="1" applyBorder="1" applyAlignment="1">
      <alignment horizontal="center"/>
    </xf>
    <xf numFmtId="179" fontId="12" fillId="19" borderId="0" xfId="0" applyNumberFormat="1" applyFont="1" applyFill="1" applyAlignment="1">
      <alignment horizontal="center"/>
    </xf>
    <xf numFmtId="179" fontId="12" fillId="19" borderId="6" xfId="0" applyNumberFormat="1" applyFont="1" applyFill="1" applyBorder="1" applyAlignment="1">
      <alignment horizontal="center"/>
    </xf>
    <xf numFmtId="0" fontId="83" fillId="0" borderId="108" xfId="0" applyFont="1" applyBorder="1"/>
    <xf numFmtId="179" fontId="85" fillId="0" borderId="5" xfId="0" applyNumberFormat="1" applyFont="1" applyBorder="1" applyAlignment="1">
      <alignment horizontal="center"/>
    </xf>
    <xf numFmtId="179" fontId="85" fillId="0" borderId="0" xfId="0" applyNumberFormat="1" applyFont="1" applyAlignment="1">
      <alignment horizontal="center"/>
    </xf>
    <xf numFmtId="179" fontId="85" fillId="0" borderId="6" xfId="0" applyNumberFormat="1" applyFont="1" applyBorder="1" applyAlignment="1">
      <alignment horizontal="center"/>
    </xf>
    <xf numFmtId="1" fontId="61" fillId="0" borderId="5" xfId="0" applyNumberFormat="1" applyFont="1" applyBorder="1"/>
    <xf numFmtId="173" fontId="83" fillId="0" borderId="6" xfId="0" applyNumberFormat="1" applyFont="1" applyBorder="1"/>
    <xf numFmtId="0" fontId="90" fillId="0" borderId="5" xfId="0" applyFont="1" applyBorder="1"/>
    <xf numFmtId="0" fontId="85" fillId="0" borderId="0" xfId="0" applyFont="1" applyAlignment="1">
      <alignment horizontal="center"/>
    </xf>
    <xf numFmtId="181" fontId="85" fillId="0" borderId="0" xfId="0" applyNumberFormat="1" applyFont="1" applyAlignment="1">
      <alignment horizontal="right"/>
    </xf>
    <xf numFmtId="183" fontId="85" fillId="0" borderId="0" xfId="0" applyNumberFormat="1" applyFont="1" applyAlignment="1">
      <alignment horizontal="right"/>
    </xf>
    <xf numFmtId="185" fontId="85" fillId="0" borderId="0" xfId="0" applyNumberFormat="1" applyFont="1" applyAlignment="1">
      <alignment horizontal="right"/>
    </xf>
    <xf numFmtId="183" fontId="85" fillId="0" borderId="0" xfId="0" applyNumberFormat="1" applyFont="1"/>
    <xf numFmtId="183" fontId="80" fillId="0" borderId="0" xfId="0" applyNumberFormat="1" applyFont="1"/>
    <xf numFmtId="2" fontId="85" fillId="0" borderId="11" xfId="0" applyNumberFormat="1" applyFont="1" applyBorder="1" applyAlignment="1">
      <alignment horizontal="center"/>
    </xf>
    <xf numFmtId="173" fontId="108" fillId="0" borderId="0" xfId="0" applyNumberFormat="1" applyFont="1" applyAlignment="1">
      <alignment horizontal="center"/>
    </xf>
    <xf numFmtId="183" fontId="80" fillId="0" borderId="5" xfId="0" applyNumberFormat="1" applyFont="1" applyBorder="1" applyAlignment="1">
      <alignment horizontal="center"/>
    </xf>
    <xf numFmtId="183" fontId="80" fillId="0" borderId="0" xfId="0" applyNumberFormat="1" applyFont="1" applyAlignment="1">
      <alignment horizontal="center"/>
    </xf>
    <xf numFmtId="183" fontId="85" fillId="0" borderId="5" xfId="0" applyNumberFormat="1" applyFont="1" applyBorder="1" applyAlignment="1">
      <alignment horizontal="center"/>
    </xf>
    <xf numFmtId="183" fontId="85" fillId="0" borderId="0" xfId="0" applyNumberFormat="1" applyFont="1" applyAlignment="1">
      <alignment horizontal="center"/>
    </xf>
    <xf numFmtId="183" fontId="61" fillId="0" borderId="0" xfId="0" applyNumberFormat="1" applyFont="1" applyAlignment="1">
      <alignment horizontal="center"/>
    </xf>
    <xf numFmtId="183" fontId="85" fillId="0" borderId="108" xfId="0" applyNumberFormat="1" applyFont="1" applyBorder="1" applyAlignment="1">
      <alignment horizontal="center"/>
    </xf>
    <xf numFmtId="0" fontId="85" fillId="0" borderId="0" xfId="0" applyFont="1" applyAlignment="1">
      <alignment horizontal="left" indent="1"/>
    </xf>
    <xf numFmtId="173" fontId="85" fillId="0" borderId="0" xfId="0" applyNumberFormat="1" applyFont="1" applyAlignment="1">
      <alignment horizontal="center"/>
    </xf>
    <xf numFmtId="203" fontId="85" fillId="0" borderId="11" xfId="0" applyNumberFormat="1" applyFont="1" applyBorder="1"/>
    <xf numFmtId="173" fontId="85" fillId="0" borderId="0" xfId="0" applyNumberFormat="1" applyFont="1"/>
    <xf numFmtId="0" fontId="85" fillId="0" borderId="1" xfId="0" applyFont="1" applyBorder="1" applyAlignment="1">
      <alignment horizontal="center"/>
    </xf>
    <xf numFmtId="181" fontId="85" fillId="0" borderId="1" xfId="0" applyNumberFormat="1" applyFont="1" applyBorder="1" applyAlignment="1">
      <alignment horizontal="right"/>
    </xf>
    <xf numFmtId="0" fontId="85" fillId="0" borderId="1" xfId="0" applyFont="1" applyBorder="1" applyAlignment="1">
      <alignment horizontal="left" indent="1"/>
    </xf>
    <xf numFmtId="183" fontId="85" fillId="0" borderId="1" xfId="0" applyNumberFormat="1" applyFont="1" applyBorder="1" applyAlignment="1">
      <alignment horizontal="right"/>
    </xf>
    <xf numFmtId="185" fontId="85" fillId="0" borderId="1" xfId="0" applyNumberFormat="1" applyFont="1" applyBorder="1" applyAlignment="1">
      <alignment horizontal="right"/>
    </xf>
    <xf numFmtId="183" fontId="85" fillId="0" borderId="1" xfId="0" applyNumberFormat="1" applyFont="1" applyBorder="1"/>
    <xf numFmtId="183" fontId="80" fillId="0" borderId="1" xfId="0" applyNumberFormat="1" applyFont="1" applyBorder="1"/>
    <xf numFmtId="2" fontId="85" fillId="0" borderId="10" xfId="0" applyNumberFormat="1" applyFont="1" applyBorder="1" applyAlignment="1">
      <alignment horizontal="center"/>
    </xf>
    <xf numFmtId="207" fontId="85" fillId="0" borderId="1" xfId="0" applyNumberFormat="1" applyFont="1" applyBorder="1" applyAlignment="1">
      <alignment horizontal="center"/>
    </xf>
    <xf numFmtId="203" fontId="85" fillId="0" borderId="1" xfId="0" applyNumberFormat="1" applyFont="1" applyBorder="1" applyAlignment="1">
      <alignment horizontal="center"/>
    </xf>
    <xf numFmtId="183" fontId="85" fillId="0" borderId="7" xfId="0" applyNumberFormat="1" applyFont="1" applyBorder="1" applyAlignment="1">
      <alignment horizontal="center"/>
    </xf>
    <xf numFmtId="183" fontId="85" fillId="0" borderId="1" xfId="0" applyNumberFormat="1" applyFont="1" applyBorder="1" applyAlignment="1">
      <alignment horizontal="center"/>
    </xf>
    <xf numFmtId="179" fontId="0" fillId="22" borderId="0" xfId="0" applyNumberFormat="1" applyFill="1" applyAlignment="1">
      <alignment horizontal="center"/>
    </xf>
    <xf numFmtId="0" fontId="0" fillId="22" borderId="0" xfId="0" applyFill="1"/>
    <xf numFmtId="0" fontId="83" fillId="22" borderId="0" xfId="0" applyFont="1" applyFill="1" applyAlignment="1">
      <alignment horizontal="center"/>
    </xf>
    <xf numFmtId="181" fontId="83" fillId="22" borderId="0" xfId="0" applyNumberFormat="1" applyFont="1" applyFill="1" applyAlignment="1">
      <alignment horizontal="right"/>
    </xf>
    <xf numFmtId="0" fontId="83" fillId="22" borderId="0" xfId="0" applyFont="1" applyFill="1" applyAlignment="1">
      <alignment horizontal="left" indent="1"/>
    </xf>
    <xf numFmtId="183" fontId="83" fillId="22" borderId="0" xfId="0" applyNumberFormat="1" applyFont="1" applyFill="1" applyAlignment="1">
      <alignment horizontal="right"/>
    </xf>
    <xf numFmtId="185" fontId="83" fillId="22" borderId="0" xfId="0" applyNumberFormat="1" applyFont="1" applyFill="1" applyAlignment="1">
      <alignment horizontal="right"/>
    </xf>
    <xf numFmtId="183" fontId="83" fillId="22" borderId="0" xfId="0" applyNumberFormat="1" applyFont="1" applyFill="1"/>
    <xf numFmtId="2" fontId="83" fillId="22" borderId="11" xfId="0" applyNumberFormat="1" applyFont="1" applyFill="1" applyBorder="1" applyAlignment="1">
      <alignment horizontal="center"/>
    </xf>
    <xf numFmtId="207" fontId="83" fillId="22" borderId="0" xfId="0" applyNumberFormat="1" applyFont="1" applyFill="1" applyAlignment="1">
      <alignment horizontal="center"/>
    </xf>
    <xf numFmtId="203" fontId="83" fillId="22" borderId="0" xfId="0" applyNumberFormat="1" applyFont="1" applyFill="1" applyAlignment="1">
      <alignment horizontal="center"/>
    </xf>
    <xf numFmtId="183" fontId="83" fillId="22" borderId="5" xfId="0" applyNumberFormat="1" applyFont="1" applyFill="1" applyBorder="1" applyAlignment="1">
      <alignment horizontal="center"/>
    </xf>
    <xf numFmtId="183" fontId="83" fillId="22" borderId="0" xfId="0" applyNumberFormat="1" applyFont="1" applyFill="1" applyAlignment="1">
      <alignment horizontal="center"/>
    </xf>
    <xf numFmtId="183" fontId="83" fillId="22" borderId="108" xfId="0" applyNumberFormat="1" applyFont="1" applyFill="1" applyBorder="1" applyAlignment="1">
      <alignment horizontal="center"/>
    </xf>
    <xf numFmtId="179" fontId="83" fillId="22" borderId="5" xfId="0" applyNumberFormat="1" applyFont="1" applyFill="1" applyBorder="1" applyAlignment="1">
      <alignment horizontal="center"/>
    </xf>
    <xf numFmtId="179" fontId="83" fillId="22" borderId="0" xfId="0" applyNumberFormat="1" applyFont="1" applyFill="1" applyAlignment="1">
      <alignment horizontal="center"/>
    </xf>
    <xf numFmtId="179" fontId="83" fillId="22" borderId="6" xfId="0" applyNumberFormat="1" applyFont="1" applyFill="1" applyBorder="1" applyAlignment="1">
      <alignment horizontal="center"/>
    </xf>
    <xf numFmtId="0" fontId="78" fillId="0" borderId="5" xfId="0" applyFont="1" applyBorder="1" applyAlignment="1">
      <alignment horizontal="center"/>
    </xf>
    <xf numFmtId="0" fontId="83" fillId="22" borderId="5" xfId="0" applyFont="1" applyFill="1" applyBorder="1" applyAlignment="1">
      <alignment horizontal="center"/>
    </xf>
    <xf numFmtId="0" fontId="83" fillId="22" borderId="108" xfId="0" applyFont="1" applyFill="1" applyBorder="1" applyAlignment="1">
      <alignment horizontal="center"/>
    </xf>
    <xf numFmtId="0" fontId="83" fillId="9" borderId="5" xfId="0" applyFont="1" applyFill="1" applyBorder="1" applyAlignment="1">
      <alignment horizontal="center"/>
    </xf>
    <xf numFmtId="0" fontId="83" fillId="9" borderId="0" xfId="0" applyFont="1" applyFill="1" applyAlignment="1">
      <alignment horizontal="center"/>
    </xf>
    <xf numFmtId="0" fontId="83" fillId="9" borderId="108" xfId="0" applyFont="1" applyFill="1" applyBorder="1" applyAlignment="1">
      <alignment horizontal="center"/>
    </xf>
    <xf numFmtId="0" fontId="85" fillId="19" borderId="0" xfId="0" applyFont="1" applyFill="1" applyAlignment="1">
      <alignment horizontal="left" indent="1"/>
    </xf>
    <xf numFmtId="0" fontId="83" fillId="19" borderId="5" xfId="0" applyFont="1" applyFill="1" applyBorder="1" applyAlignment="1">
      <alignment horizontal="center"/>
    </xf>
    <xf numFmtId="0" fontId="83" fillId="19" borderId="0" xfId="0" applyFont="1" applyFill="1" applyAlignment="1">
      <alignment horizontal="center"/>
    </xf>
    <xf numFmtId="0" fontId="83" fillId="19" borderId="108" xfId="0" applyFont="1" applyFill="1" applyBorder="1" applyAlignment="1">
      <alignment horizontal="center"/>
    </xf>
    <xf numFmtId="179" fontId="12" fillId="0" borderId="1" xfId="0" applyNumberFormat="1" applyFont="1" applyBorder="1" applyAlignment="1">
      <alignment horizontal="center"/>
    </xf>
    <xf numFmtId="0" fontId="78" fillId="0" borderId="7" xfId="0" applyFont="1" applyBorder="1" applyAlignment="1">
      <alignment horizontal="left"/>
    </xf>
    <xf numFmtId="179" fontId="83" fillId="0" borderId="7" xfId="0" applyNumberFormat="1" applyFont="1" applyBorder="1"/>
    <xf numFmtId="179" fontId="83" fillId="0" borderId="1" xfId="0" applyNumberFormat="1" applyFont="1" applyBorder="1"/>
    <xf numFmtId="179" fontId="83" fillId="0" borderId="8" xfId="0" applyNumberFormat="1" applyFont="1" applyBorder="1"/>
    <xf numFmtId="0" fontId="83" fillId="0" borderId="5" xfId="0" applyFont="1" applyBorder="1" applyAlignment="1">
      <alignment horizontal="center"/>
    </xf>
    <xf numFmtId="0" fontId="83" fillId="0" borderId="0" xfId="0" applyFont="1" applyAlignment="1">
      <alignment horizontal="center"/>
    </xf>
    <xf numFmtId="181" fontId="83" fillId="0" borderId="0" xfId="0" applyNumberFormat="1" applyFont="1" applyAlignment="1">
      <alignment horizontal="right"/>
    </xf>
    <xf numFmtId="0" fontId="83" fillId="0" borderId="0" xfId="0" applyFont="1" applyAlignment="1">
      <alignment horizontal="left" indent="1"/>
    </xf>
    <xf numFmtId="183" fontId="83" fillId="0" borderId="0" xfId="0" applyNumberFormat="1" applyFont="1" applyAlignment="1">
      <alignment horizontal="right"/>
    </xf>
    <xf numFmtId="185" fontId="83" fillId="0" borderId="0" xfId="0" applyNumberFormat="1" applyFont="1" applyAlignment="1">
      <alignment horizontal="right"/>
    </xf>
    <xf numFmtId="183" fontId="83" fillId="0" borderId="0" xfId="0" applyNumberFormat="1" applyFont="1"/>
    <xf numFmtId="203" fontId="83" fillId="0" borderId="11" xfId="0" applyNumberFormat="1" applyFont="1" applyBorder="1"/>
    <xf numFmtId="203" fontId="83" fillId="0" borderId="0" xfId="0" applyNumberFormat="1" applyFont="1"/>
    <xf numFmtId="183" fontId="83" fillId="0" borderId="5" xfId="0" applyNumberFormat="1" applyFont="1" applyBorder="1" applyAlignment="1">
      <alignment horizontal="center"/>
    </xf>
    <xf numFmtId="183" fontId="83" fillId="0" borderId="0" xfId="0" applyNumberFormat="1" applyFont="1" applyAlignment="1">
      <alignment horizontal="center"/>
    </xf>
    <xf numFmtId="183" fontId="83" fillId="0" borderId="108" xfId="0" applyNumberFormat="1" applyFont="1" applyBorder="1" applyAlignment="1">
      <alignment horizontal="center"/>
    </xf>
    <xf numFmtId="179" fontId="0" fillId="0" borderId="5" xfId="0" applyNumberFormat="1" applyBorder="1" applyAlignment="1">
      <alignment horizontal="center"/>
    </xf>
    <xf numFmtId="179" fontId="0" fillId="0" borderId="0" xfId="0" applyNumberFormat="1" applyAlignment="1">
      <alignment horizontal="center"/>
    </xf>
    <xf numFmtId="179" fontId="0" fillId="0" borderId="6" xfId="0" applyNumberFormat="1" applyBorder="1" applyAlignment="1">
      <alignment horizontal="center"/>
    </xf>
    <xf numFmtId="0" fontId="109" fillId="22" borderId="5" xfId="0" applyFont="1" applyFill="1" applyBorder="1" applyAlignment="1">
      <alignment horizontal="left"/>
    </xf>
    <xf numFmtId="179" fontId="0" fillId="22" borderId="5" xfId="0" applyNumberFormat="1" applyFill="1" applyBorder="1" applyAlignment="1">
      <alignment horizontal="center"/>
    </xf>
    <xf numFmtId="179" fontId="0" fillId="22" borderId="6" xfId="0" applyNumberFormat="1" applyFill="1" applyBorder="1" applyAlignment="1">
      <alignment horizontal="center"/>
    </xf>
    <xf numFmtId="0" fontId="0" fillId="9" borderId="0" xfId="0" applyFill="1"/>
    <xf numFmtId="0" fontId="109" fillId="9" borderId="5" xfId="0" applyFont="1" applyFill="1" applyBorder="1" applyAlignment="1">
      <alignment horizontal="left"/>
    </xf>
    <xf numFmtId="181" fontId="83" fillId="9" borderId="0" xfId="0" applyNumberFormat="1" applyFont="1" applyFill="1" applyAlignment="1">
      <alignment horizontal="right"/>
    </xf>
    <xf numFmtId="0" fontId="83" fillId="9" borderId="0" xfId="0" applyFont="1" applyFill="1" applyAlignment="1">
      <alignment horizontal="left" indent="1"/>
    </xf>
    <xf numFmtId="183" fontId="83" fillId="9" borderId="0" xfId="0" applyNumberFormat="1" applyFont="1" applyFill="1" applyAlignment="1">
      <alignment horizontal="right"/>
    </xf>
    <xf numFmtId="185" fontId="83" fillId="9" borderId="0" xfId="0" applyNumberFormat="1" applyFont="1" applyFill="1" applyAlignment="1">
      <alignment horizontal="right"/>
    </xf>
    <xf numFmtId="183" fontId="83" fillId="9" borderId="0" xfId="0" applyNumberFormat="1" applyFont="1" applyFill="1"/>
    <xf numFmtId="2" fontId="83" fillId="9" borderId="11" xfId="0" applyNumberFormat="1" applyFont="1" applyFill="1" applyBorder="1" applyAlignment="1">
      <alignment horizontal="center"/>
    </xf>
    <xf numFmtId="207" fontId="83" fillId="9" borderId="0" xfId="0" applyNumberFormat="1" applyFont="1" applyFill="1" applyAlignment="1">
      <alignment horizontal="center"/>
    </xf>
    <xf numFmtId="203" fontId="83" fillId="9" borderId="0" xfId="0" applyNumberFormat="1" applyFont="1" applyFill="1" applyAlignment="1">
      <alignment horizontal="center"/>
    </xf>
    <xf numFmtId="183" fontId="83" fillId="9" borderId="0" xfId="0" applyNumberFormat="1" applyFont="1" applyFill="1" applyAlignment="1">
      <alignment horizontal="center"/>
    </xf>
    <xf numFmtId="179" fontId="0" fillId="9" borderId="5" xfId="0" applyNumberFormat="1" applyFill="1" applyBorder="1" applyAlignment="1">
      <alignment horizontal="center"/>
    </xf>
    <xf numFmtId="179" fontId="0" fillId="9" borderId="0" xfId="0" applyNumberFormat="1" applyFill="1" applyAlignment="1">
      <alignment horizontal="center"/>
    </xf>
    <xf numFmtId="179" fontId="0" fillId="9" borderId="6" xfId="0" applyNumberFormat="1" applyFill="1" applyBorder="1" applyAlignment="1">
      <alignment horizontal="center"/>
    </xf>
    <xf numFmtId="0" fontId="84" fillId="19" borderId="5" xfId="0" applyFont="1" applyFill="1" applyBorder="1" applyAlignment="1">
      <alignment horizontal="left"/>
    </xf>
    <xf numFmtId="181" fontId="83" fillId="19" borderId="0" xfId="0" applyNumberFormat="1" applyFont="1" applyFill="1" applyAlignment="1">
      <alignment horizontal="right"/>
    </xf>
    <xf numFmtId="183" fontId="83" fillId="19" borderId="0" xfId="0" applyNumberFormat="1" applyFont="1" applyFill="1" applyAlignment="1">
      <alignment horizontal="right"/>
    </xf>
    <xf numFmtId="185" fontId="83" fillId="19" borderId="0" xfId="0" applyNumberFormat="1" applyFont="1" applyFill="1" applyAlignment="1">
      <alignment horizontal="right"/>
    </xf>
    <xf numFmtId="183" fontId="83" fillId="19" borderId="0" xfId="0" applyNumberFormat="1" applyFont="1" applyFill="1"/>
    <xf numFmtId="2" fontId="83" fillId="19" borderId="11" xfId="0" applyNumberFormat="1" applyFont="1" applyFill="1" applyBorder="1" applyAlignment="1">
      <alignment horizontal="center"/>
    </xf>
    <xf numFmtId="207" fontId="83" fillId="19" borderId="0" xfId="0" applyNumberFormat="1" applyFont="1" applyFill="1" applyAlignment="1">
      <alignment horizontal="center"/>
    </xf>
    <xf numFmtId="203" fontId="83" fillId="19" borderId="0" xfId="0" applyNumberFormat="1" applyFont="1" applyFill="1" applyAlignment="1">
      <alignment horizontal="center"/>
    </xf>
    <xf numFmtId="183" fontId="83" fillId="19" borderId="0" xfId="0" applyNumberFormat="1" applyFont="1" applyFill="1" applyAlignment="1">
      <alignment horizontal="center"/>
    </xf>
    <xf numFmtId="179" fontId="0" fillId="19" borderId="5" xfId="0" applyNumberFormat="1" applyFill="1" applyBorder="1" applyAlignment="1">
      <alignment horizontal="center"/>
    </xf>
    <xf numFmtId="179" fontId="0" fillId="19" borderId="0" xfId="0" applyNumberFormat="1" applyFill="1" applyAlignment="1">
      <alignment horizontal="center"/>
    </xf>
    <xf numFmtId="179" fontId="0" fillId="19" borderId="6" xfId="0" applyNumberFormat="1" applyFill="1" applyBorder="1" applyAlignment="1">
      <alignment horizontal="center"/>
    </xf>
    <xf numFmtId="179" fontId="83" fillId="0" borderId="111" xfId="0" applyNumberFormat="1" applyFont="1" applyBorder="1"/>
    <xf numFmtId="0" fontId="83" fillId="0" borderId="3" xfId="0" applyFont="1" applyBorder="1"/>
    <xf numFmtId="183" fontId="83" fillId="0" borderId="3" xfId="0" applyNumberFormat="1" applyFont="1" applyBorder="1"/>
    <xf numFmtId="183" fontId="80" fillId="0" borderId="3" xfId="0" applyNumberFormat="1" applyFont="1" applyBorder="1"/>
    <xf numFmtId="203" fontId="85" fillId="0" borderId="3" xfId="0" applyNumberFormat="1" applyFont="1" applyBorder="1"/>
    <xf numFmtId="0" fontId="61" fillId="0" borderId="3" xfId="0" applyFont="1" applyBorder="1" applyAlignment="1">
      <alignment horizontal="center"/>
    </xf>
    <xf numFmtId="179" fontId="83" fillId="0" borderId="3" xfId="0" applyNumberFormat="1" applyFont="1" applyBorder="1"/>
    <xf numFmtId="203" fontId="85" fillId="0" borderId="0" xfId="0" applyNumberFormat="1" applyFont="1"/>
    <xf numFmtId="179" fontId="83" fillId="0" borderId="0" xfId="0" applyNumberFormat="1" applyFont="1"/>
    <xf numFmtId="0" fontId="83" fillId="0" borderId="0" xfId="0" applyFont="1" applyAlignment="1">
      <alignment horizontal="right"/>
    </xf>
    <xf numFmtId="0" fontId="83" fillId="0" borderId="0" xfId="0" applyFont="1" applyAlignment="1">
      <alignment horizontal="right" vertical="top"/>
    </xf>
    <xf numFmtId="0" fontId="85" fillId="0" borderId="0" xfId="0" applyFont="1" applyAlignment="1">
      <alignment vertical="top"/>
    </xf>
    <xf numFmtId="0" fontId="80" fillId="0" borderId="0" xfId="0" applyFont="1" applyAlignment="1">
      <alignment vertical="top"/>
    </xf>
    <xf numFmtId="0" fontId="111" fillId="22" borderId="5" xfId="0" applyFont="1" applyFill="1" applyBorder="1" applyAlignment="1">
      <alignment horizontal="left"/>
    </xf>
    <xf numFmtId="208" fontId="85" fillId="19" borderId="5" xfId="0" applyNumberFormat="1" applyFont="1" applyFill="1" applyBorder="1" applyAlignment="1">
      <alignment horizontal="center"/>
    </xf>
    <xf numFmtId="208" fontId="85" fillId="19" borderId="0" xfId="0" applyNumberFormat="1" applyFont="1" applyFill="1" applyAlignment="1">
      <alignment horizontal="center"/>
    </xf>
    <xf numFmtId="208" fontId="88" fillId="6" borderId="5" xfId="0" applyNumberFormat="1" applyFont="1" applyFill="1" applyBorder="1" applyAlignment="1">
      <alignment horizontal="center"/>
    </xf>
    <xf numFmtId="208" fontId="88" fillId="6" borderId="0" xfId="0" applyNumberFormat="1" applyFont="1" applyFill="1" applyAlignment="1">
      <alignment horizontal="center"/>
    </xf>
    <xf numFmtId="39" fontId="88" fillId="6" borderId="0" xfId="0" applyNumberFormat="1" applyFont="1" applyFill="1" applyAlignment="1">
      <alignment horizontal="center"/>
    </xf>
    <xf numFmtId="183" fontId="88" fillId="6" borderId="0" xfId="0" applyNumberFormat="1" applyFont="1" applyFill="1" applyAlignment="1">
      <alignment horizontal="center"/>
    </xf>
    <xf numFmtId="0" fontId="80" fillId="6" borderId="0" xfId="0" applyFont="1" applyFill="1"/>
    <xf numFmtId="0" fontId="80" fillId="6" borderId="0" xfId="0" applyFont="1" applyFill="1" applyAlignment="1">
      <alignment horizontal="right"/>
    </xf>
    <xf numFmtId="0" fontId="83" fillId="6" borderId="0" xfId="0" applyFont="1" applyFill="1"/>
    <xf numFmtId="173" fontId="80" fillId="6" borderId="0" xfId="0" applyNumberFormat="1" applyFont="1" applyFill="1" applyAlignment="1">
      <alignment horizontal="left"/>
    </xf>
    <xf numFmtId="183" fontId="0" fillId="0" borderId="5" xfId="0" applyNumberFormat="1" applyBorder="1" applyAlignment="1">
      <alignment horizontal="center"/>
    </xf>
    <xf numFmtId="183" fontId="0" fillId="0" borderId="0" xfId="0" applyNumberFormat="1" applyAlignment="1">
      <alignment horizontal="center"/>
    </xf>
    <xf numFmtId="0" fontId="7" fillId="0" borderId="5" xfId="0" applyFont="1" applyBorder="1"/>
    <xf numFmtId="49" fontId="103" fillId="0" borderId="101" xfId="0" applyNumberFormat="1" applyFont="1" applyBorder="1" applyAlignment="1">
      <alignment horizontal="center"/>
    </xf>
    <xf numFmtId="49" fontId="103" fillId="0" borderId="96" xfId="0" applyNumberFormat="1" applyFont="1" applyBorder="1" applyAlignment="1">
      <alignment horizontal="center"/>
    </xf>
    <xf numFmtId="0" fontId="83" fillId="0" borderId="112" xfId="0" applyFont="1" applyBorder="1"/>
    <xf numFmtId="0" fontId="78" fillId="0" borderId="112" xfId="0" applyFont="1" applyBorder="1" applyAlignment="1">
      <alignment horizontal="center"/>
    </xf>
    <xf numFmtId="49" fontId="88" fillId="0" borderId="108" xfId="0" applyNumberFormat="1" applyFont="1" applyBorder="1" applyAlignment="1">
      <alignment horizontal="center"/>
    </xf>
    <xf numFmtId="0" fontId="88" fillId="0" borderId="108" xfId="0" applyFont="1" applyBorder="1" applyAlignment="1">
      <alignment horizontal="center"/>
    </xf>
    <xf numFmtId="0" fontId="88" fillId="0" borderId="110" xfId="0" applyFont="1" applyBorder="1" applyAlignment="1">
      <alignment horizontal="center"/>
    </xf>
    <xf numFmtId="49" fontId="103" fillId="0" borderId="99" xfId="0" applyNumberFormat="1" applyFont="1" applyBorder="1" applyAlignment="1">
      <alignment horizontal="center"/>
    </xf>
    <xf numFmtId="0" fontId="80" fillId="6" borderId="0" xfId="0" applyFont="1" applyFill="1" applyAlignment="1">
      <alignment horizontal="left" indent="1"/>
    </xf>
    <xf numFmtId="208" fontId="80" fillId="18" borderId="5" xfId="0" applyNumberFormat="1" applyFont="1" applyFill="1" applyBorder="1" applyAlignment="1">
      <alignment horizontal="center"/>
    </xf>
    <xf numFmtId="208" fontId="80" fillId="18" borderId="0" xfId="0" applyNumberFormat="1" applyFont="1" applyFill="1" applyAlignment="1">
      <alignment horizontal="center"/>
    </xf>
    <xf numFmtId="43" fontId="0" fillId="0" borderId="10" xfId="0" applyNumberFormat="1" applyBorder="1"/>
    <xf numFmtId="3" fontId="3" fillId="0" borderId="11" xfId="1" applyNumberFormat="1" applyFont="1" applyBorder="1"/>
    <xf numFmtId="180" fontId="61" fillId="0" borderId="0" xfId="1" applyNumberFormat="1" applyFont="1" applyAlignment="1">
      <alignment horizontal="right"/>
    </xf>
    <xf numFmtId="165" fontId="61" fillId="0" borderId="0" xfId="1" applyNumberFormat="1" applyFont="1"/>
    <xf numFmtId="167" fontId="61" fillId="0" borderId="0" xfId="1" applyNumberFormat="1" applyFont="1"/>
    <xf numFmtId="0" fontId="114" fillId="0" borderId="0" xfId="0" applyFont="1"/>
    <xf numFmtId="0" fontId="0" fillId="0" borderId="0" xfId="0" applyAlignment="1">
      <alignment horizontal="center"/>
    </xf>
    <xf numFmtId="0" fontId="0" fillId="0" borderId="6" xfId="0" applyBorder="1" applyAlignment="1">
      <alignment horizontal="center"/>
    </xf>
    <xf numFmtId="0" fontId="0" fillId="0" borderId="8" xfId="0" applyBorder="1"/>
    <xf numFmtId="0" fontId="5" fillId="0" borderId="9" xfId="0" applyFont="1" applyBorder="1" applyAlignment="1">
      <alignment horizontal="center"/>
    </xf>
    <xf numFmtId="0" fontId="5" fillId="0" borderId="0" xfId="0" applyFont="1" applyAlignment="1">
      <alignment horizontal="center"/>
    </xf>
    <xf numFmtId="0" fontId="5" fillId="0" borderId="7" xfId="0" applyFont="1" applyBorder="1" applyAlignment="1">
      <alignment horizontal="center"/>
    </xf>
    <xf numFmtId="0" fontId="5" fillId="0" borderId="1" xfId="0" applyFont="1" applyBorder="1" applyAlignment="1">
      <alignment horizontal="center"/>
    </xf>
    <xf numFmtId="0" fontId="5" fillId="0" borderId="8"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0" fillId="0" borderId="0" xfId="0"/>
    <xf numFmtId="0" fontId="78" fillId="0" borderId="48" xfId="0" applyFont="1" applyBorder="1" applyAlignment="1">
      <alignment horizontal="center" wrapText="1"/>
    </xf>
    <xf numFmtId="0" fontId="78" fillId="0" borderId="9" xfId="0" applyFont="1" applyBorder="1" applyAlignment="1">
      <alignment horizontal="center"/>
    </xf>
    <xf numFmtId="0" fontId="88" fillId="0" borderId="10" xfId="0" quotePrefix="1" applyFont="1" applyBorder="1" applyAlignment="1">
      <alignment horizontal="center"/>
    </xf>
    <xf numFmtId="0" fontId="5" fillId="0" borderId="96" xfId="0" applyFont="1" applyBorder="1" applyAlignment="1">
      <alignment horizontal="center" wrapText="1"/>
    </xf>
    <xf numFmtId="0" fontId="5" fillId="0" borderId="28" xfId="0" applyFont="1" applyBorder="1" applyAlignment="1">
      <alignment horizontal="center" wrapText="1"/>
    </xf>
    <xf numFmtId="0" fontId="5" fillId="0" borderId="48" xfId="0" applyFont="1" applyBorder="1" applyAlignment="1">
      <alignment horizontal="center" wrapText="1"/>
    </xf>
    <xf numFmtId="0" fontId="88" fillId="0" borderId="48" xfId="0" applyFont="1" applyBorder="1" applyAlignment="1">
      <alignment horizontal="center" wrapText="1"/>
    </xf>
    <xf numFmtId="0" fontId="88" fillId="0" borderId="9" xfId="0" applyFont="1" applyBorder="1" applyAlignment="1">
      <alignment horizontal="center"/>
    </xf>
    <xf numFmtId="0" fontId="61" fillId="0" borderId="11" xfId="0" applyFont="1" applyFill="1" applyBorder="1" applyAlignment="1">
      <alignment horizontal="center"/>
    </xf>
    <xf numFmtId="186" fontId="61" fillId="0" borderId="11" xfId="1" applyNumberFormat="1" applyFont="1" applyBorder="1" applyAlignment="1">
      <alignment horizontal="right"/>
    </xf>
    <xf numFmtId="0" fontId="0" fillId="0" borderId="0" xfId="0" applyBorder="1"/>
    <xf numFmtId="183" fontId="0" fillId="0" borderId="11" xfId="0" applyNumberFormat="1" applyBorder="1"/>
    <xf numFmtId="3" fontId="0" fillId="0" borderId="5" xfId="0" applyNumberFormat="1" applyBorder="1"/>
    <xf numFmtId="3" fontId="0" fillId="0" borderId="0" xfId="0" applyNumberFormat="1" applyBorder="1"/>
    <xf numFmtId="3" fontId="0" fillId="0" borderId="6" xfId="0" applyNumberFormat="1" applyBorder="1"/>
    <xf numFmtId="3" fontId="85" fillId="0" borderId="5" xfId="0" applyNumberFormat="1" applyFont="1" applyBorder="1"/>
    <xf numFmtId="3" fontId="85" fillId="0" borderId="0" xfId="0" applyNumberFormat="1" applyFont="1" applyBorder="1"/>
    <xf numFmtId="3" fontId="85" fillId="0" borderId="6" xfId="0" applyNumberFormat="1" applyFont="1" applyBorder="1"/>
    <xf numFmtId="0" fontId="0" fillId="0" borderId="5" xfId="0" applyFill="1" applyBorder="1"/>
    <xf numFmtId="0" fontId="0" fillId="0" borderId="0" xfId="0" applyFill="1"/>
    <xf numFmtId="0" fontId="0" fillId="0" borderId="6" xfId="0" applyFill="1" applyBorder="1"/>
    <xf numFmtId="0" fontId="5" fillId="0" borderId="5" xfId="0" applyFont="1" applyFill="1" applyBorder="1" applyAlignment="1">
      <alignment horizontal="center"/>
    </xf>
    <xf numFmtId="0" fontId="5" fillId="0" borderId="0" xfId="0" applyFont="1" applyFill="1" applyAlignment="1">
      <alignment horizontal="center"/>
    </xf>
    <xf numFmtId="0" fontId="5" fillId="0" borderId="6" xfId="0" applyFont="1" applyFill="1" applyBorder="1" applyAlignment="1">
      <alignment horizontal="center"/>
    </xf>
    <xf numFmtId="37" fontId="5" fillId="0" borderId="7" xfId="1" applyNumberFormat="1" applyFont="1" applyFill="1" applyBorder="1" applyAlignment="1">
      <alignment horizontal="center"/>
    </xf>
    <xf numFmtId="37" fontId="5" fillId="0" borderId="1" xfId="1" applyNumberFormat="1" applyFont="1" applyFill="1" applyBorder="1" applyAlignment="1">
      <alignment horizontal="center"/>
    </xf>
    <xf numFmtId="37" fontId="5" fillId="0" borderId="8" xfId="1" applyNumberFormat="1" applyFont="1" applyFill="1" applyBorder="1" applyAlignment="1">
      <alignment horizontal="center"/>
    </xf>
    <xf numFmtId="0" fontId="5" fillId="19" borderId="0" xfId="0" applyFont="1" applyFill="1"/>
    <xf numFmtId="0" fontId="0" fillId="19" borderId="0" xfId="0" applyFont="1" applyFill="1"/>
    <xf numFmtId="0" fontId="0" fillId="19" borderId="2" xfId="0" applyFont="1" applyFill="1" applyBorder="1"/>
    <xf numFmtId="0" fontId="5" fillId="19" borderId="3" xfId="0" applyFont="1" applyFill="1" applyBorder="1" applyAlignment="1">
      <alignment horizontal="center"/>
    </xf>
    <xf numFmtId="0" fontId="5" fillId="19" borderId="4" xfId="0" applyFont="1" applyFill="1" applyBorder="1" applyAlignment="1">
      <alignment horizontal="center"/>
    </xf>
    <xf numFmtId="0" fontId="0" fillId="19" borderId="5" xfId="0" applyFont="1" applyFill="1" applyBorder="1"/>
    <xf numFmtId="0" fontId="5" fillId="19" borderId="7" xfId="0" applyFont="1" applyFill="1" applyBorder="1"/>
    <xf numFmtId="0" fontId="5" fillId="19" borderId="1" xfId="0" applyFont="1" applyFill="1" applyBorder="1" applyAlignment="1">
      <alignment horizontal="center"/>
    </xf>
    <xf numFmtId="9" fontId="5" fillId="19" borderId="1" xfId="5" applyFont="1" applyFill="1" applyBorder="1" applyAlignment="1">
      <alignment horizontal="center"/>
    </xf>
    <xf numFmtId="170" fontId="5" fillId="19" borderId="1" xfId="5" applyNumberFormat="1" applyFont="1" applyFill="1" applyBorder="1" applyAlignment="1">
      <alignment horizontal="center"/>
    </xf>
    <xf numFmtId="10" fontId="5" fillId="19" borderId="1" xfId="5" applyNumberFormat="1" applyFont="1" applyFill="1" applyBorder="1" applyAlignment="1">
      <alignment horizontal="center"/>
    </xf>
    <xf numFmtId="171" fontId="5" fillId="19" borderId="1" xfId="5" applyNumberFormat="1" applyFont="1" applyFill="1" applyBorder="1" applyAlignment="1">
      <alignment horizontal="center"/>
    </xf>
    <xf numFmtId="192" fontId="5" fillId="19" borderId="8" xfId="5" applyNumberFormat="1" applyFont="1" applyFill="1" applyBorder="1" applyAlignment="1">
      <alignment horizontal="center"/>
    </xf>
    <xf numFmtId="174" fontId="83" fillId="0" borderId="0" xfId="0" applyNumberFormat="1" applyFont="1"/>
    <xf numFmtId="0" fontId="5" fillId="0" borderId="0" xfId="0" applyFont="1" applyAlignment="1">
      <alignment horizontal="center"/>
    </xf>
    <xf numFmtId="49" fontId="27" fillId="2" borderId="0" xfId="0" applyNumberFormat="1" applyFont="1" applyFill="1" applyAlignment="1">
      <alignment horizontal="center"/>
    </xf>
    <xf numFmtId="0" fontId="5" fillId="0" borderId="1" xfId="0" applyFont="1" applyBorder="1" applyAlignment="1">
      <alignment horizontal="center"/>
    </xf>
    <xf numFmtId="49" fontId="27" fillId="0" borderId="3" xfId="0" applyNumberFormat="1" applyFont="1" applyBorder="1" applyAlignment="1">
      <alignment horizontal="center"/>
    </xf>
    <xf numFmtId="0" fontId="0" fillId="0" borderId="0" xfId="0"/>
    <xf numFmtId="0" fontId="117" fillId="0" borderId="0" xfId="0" applyFont="1" applyFill="1" applyAlignment="1">
      <alignment horizontal="center"/>
    </xf>
    <xf numFmtId="202" fontId="4" fillId="0" borderId="0" xfId="0" applyNumberFormat="1" applyFont="1" applyAlignment="1">
      <alignment horizontal="right"/>
    </xf>
    <xf numFmtId="202" fontId="0" fillId="0" borderId="1" xfId="0" applyNumberFormat="1" applyBorder="1"/>
    <xf numFmtId="0" fontId="5" fillId="0" borderId="4" xfId="0" applyFont="1" applyBorder="1" applyAlignment="1">
      <alignment horizontal="center"/>
    </xf>
    <xf numFmtId="0" fontId="22" fillId="0" borderId="2" xfId="0" applyFont="1" applyFill="1" applyBorder="1"/>
    <xf numFmtId="0" fontId="0" fillId="0" borderId="3" xfId="0" applyFill="1" applyBorder="1"/>
    <xf numFmtId="0" fontId="0" fillId="0" borderId="4" xfId="0" applyFill="1" applyBorder="1" applyAlignment="1">
      <alignment horizontal="right"/>
    </xf>
    <xf numFmtId="43" fontId="61" fillId="0" borderId="9" xfId="1" applyFont="1" applyFill="1" applyBorder="1"/>
    <xf numFmtId="43" fontId="61" fillId="0" borderId="5" xfId="1" applyFont="1" applyBorder="1" applyAlignment="1">
      <alignment horizontal="center"/>
    </xf>
    <xf numFmtId="0" fontId="26" fillId="0" borderId="5" xfId="0" applyFont="1" applyBorder="1" applyAlignment="1">
      <alignment horizontal="center"/>
    </xf>
    <xf numFmtId="0" fontId="26" fillId="0" borderId="6" xfId="0" applyFont="1" applyBorder="1" applyAlignment="1">
      <alignment horizontal="center"/>
    </xf>
    <xf numFmtId="0" fontId="27" fillId="0" borderId="26" xfId="0" applyFont="1" applyBorder="1" applyAlignment="1">
      <alignment horizontal="center"/>
    </xf>
    <xf numFmtId="0" fontId="27" fillId="0" borderId="28" xfId="0" applyFont="1" applyBorder="1" applyAlignment="1">
      <alignment horizontal="center"/>
    </xf>
    <xf numFmtId="0" fontId="27" fillId="0" borderId="2" xfId="0" applyFont="1" applyBorder="1" applyAlignment="1">
      <alignment horizontal="center"/>
    </xf>
    <xf numFmtId="0" fontId="27" fillId="0" borderId="4" xfId="0" applyFont="1" applyBorder="1" applyAlignment="1">
      <alignment horizontal="center"/>
    </xf>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2" xfId="0" applyFont="1" applyBorder="1" applyAlignment="1">
      <alignment horizontal="center"/>
    </xf>
    <xf numFmtId="0" fontId="26" fillId="0" borderId="3" xfId="0" applyFont="1" applyBorder="1" applyAlignment="1">
      <alignment horizontal="center"/>
    </xf>
    <xf numFmtId="0" fontId="26" fillId="0" borderId="4" xfId="0" applyFont="1" applyBorder="1" applyAlignment="1">
      <alignment horizontal="center"/>
    </xf>
    <xf numFmtId="0" fontId="0" fillId="0" borderId="0" xfId="0" applyAlignment="1">
      <alignment horizontal="center"/>
    </xf>
    <xf numFmtId="0" fontId="0" fillId="0" borderId="6" xfId="0" applyBorder="1" applyAlignment="1">
      <alignment horizontal="center"/>
    </xf>
    <xf numFmtId="0" fontId="27" fillId="0" borderId="7" xfId="0" applyFont="1" applyBorder="1" applyAlignment="1">
      <alignment horizontal="center"/>
    </xf>
    <xf numFmtId="0" fontId="27" fillId="0" borderId="8" xfId="0" applyFont="1" applyBorder="1" applyAlignment="1">
      <alignment horizontal="center"/>
    </xf>
    <xf numFmtId="0" fontId="9" fillId="0" borderId="26" xfId="0" applyFont="1" applyBorder="1" applyAlignment="1">
      <alignment horizontal="center"/>
    </xf>
    <xf numFmtId="0" fontId="9" fillId="0" borderId="28" xfId="0" applyFont="1" applyBorder="1" applyAlignment="1">
      <alignment horizontal="center"/>
    </xf>
    <xf numFmtId="0" fontId="9" fillId="0" borderId="2" xfId="0" applyFont="1" applyBorder="1" applyAlignment="1">
      <alignment horizontal="center"/>
    </xf>
    <xf numFmtId="0" fontId="9"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0" fillId="0" borderId="5" xfId="0" applyBorder="1" applyAlignment="1">
      <alignment horizontal="center"/>
    </xf>
    <xf numFmtId="0" fontId="0" fillId="0" borderId="47" xfId="0" applyBorder="1" applyAlignment="1">
      <alignment horizontal="center"/>
    </xf>
    <xf numFmtId="0" fontId="0" fillId="0" borderId="84" xfId="0" applyBorder="1"/>
    <xf numFmtId="0" fontId="0" fillId="0" borderId="7" xfId="0" applyBorder="1" applyAlignment="1">
      <alignment horizontal="center"/>
    </xf>
    <xf numFmtId="0" fontId="0" fillId="0" borderId="8" xfId="0" applyBorder="1"/>
    <xf numFmtId="168" fontId="0" fillId="0" borderId="0" xfId="0" applyNumberFormat="1" applyAlignment="1">
      <alignment horizontal="left"/>
    </xf>
    <xf numFmtId="0" fontId="0" fillId="0" borderId="84" xfId="0" applyBorder="1" applyAlignment="1">
      <alignment horizontal="center"/>
    </xf>
    <xf numFmtId="0" fontId="23" fillId="0" borderId="0" xfId="0" applyFont="1" applyAlignment="1">
      <alignment horizontal="center"/>
    </xf>
    <xf numFmtId="0" fontId="25" fillId="0" borderId="0" xfId="0" applyFont="1" applyAlignment="1">
      <alignment horizontal="center"/>
    </xf>
    <xf numFmtId="0" fontId="30" fillId="0" borderId="0" xfId="0" applyFont="1" applyAlignment="1">
      <alignment horizontal="center"/>
    </xf>
    <xf numFmtId="0" fontId="85" fillId="0" borderId="11" xfId="0" applyFont="1" applyBorder="1" applyAlignment="1">
      <alignment horizontal="center" vertical="top" wrapText="1"/>
    </xf>
    <xf numFmtId="0" fontId="83" fillId="0" borderId="11" xfId="0" applyFont="1" applyBorder="1" applyAlignment="1">
      <alignment horizontal="center" vertical="top" wrapText="1"/>
    </xf>
    <xf numFmtId="0" fontId="12" fillId="0" borderId="11" xfId="0" applyFont="1" applyBorder="1" applyAlignment="1">
      <alignment horizontal="center" vertical="top" wrapText="1"/>
    </xf>
    <xf numFmtId="0" fontId="0" fillId="0" borderId="11" xfId="0" applyBorder="1" applyAlignment="1">
      <alignment horizontal="center" vertical="top" wrapText="1"/>
    </xf>
    <xf numFmtId="0" fontId="0" fillId="0" borderId="2" xfId="0" applyBorder="1" applyAlignment="1">
      <alignment horizontal="center"/>
    </xf>
    <xf numFmtId="0" fontId="0" fillId="0" borderId="4" xfId="0" applyBorder="1" applyAlignment="1">
      <alignment horizontal="center"/>
    </xf>
    <xf numFmtId="0" fontId="5" fillId="0" borderId="2" xfId="0" applyFont="1" applyBorder="1" applyAlignment="1">
      <alignment horizontal="center"/>
    </xf>
    <xf numFmtId="0" fontId="5" fillId="0" borderId="4" xfId="0" applyFont="1" applyBorder="1" applyAlignment="1">
      <alignment horizontal="center"/>
    </xf>
    <xf numFmtId="0" fontId="5" fillId="0" borderId="96" xfId="0" applyFont="1" applyBorder="1" applyAlignment="1">
      <alignment horizontal="center" wrapText="1"/>
    </xf>
    <xf numFmtId="0" fontId="5" fillId="0" borderId="99" xfId="0" applyFont="1" applyBorder="1" applyAlignment="1">
      <alignment horizontal="center" wrapText="1"/>
    </xf>
    <xf numFmtId="0" fontId="115" fillId="0" borderId="11" xfId="0" applyFont="1" applyBorder="1" applyAlignment="1">
      <alignment horizontal="center" wrapText="1"/>
    </xf>
    <xf numFmtId="0" fontId="5" fillId="0" borderId="9" xfId="0" applyFont="1" applyBorder="1" applyAlignment="1">
      <alignment horizontal="center" wrapText="1"/>
    </xf>
    <xf numFmtId="0" fontId="5" fillId="0" borderId="26" xfId="0" applyFont="1" applyBorder="1" applyAlignment="1">
      <alignment horizontal="center" wrapText="1"/>
    </xf>
    <xf numFmtId="0" fontId="5" fillId="0" borderId="27" xfId="0" applyFont="1" applyBorder="1" applyAlignment="1">
      <alignment horizontal="center" wrapText="1"/>
    </xf>
    <xf numFmtId="0" fontId="5" fillId="0" borderId="28" xfId="0" applyFont="1" applyBorder="1" applyAlignment="1">
      <alignment horizontal="center" wrapText="1"/>
    </xf>
    <xf numFmtId="0" fontId="82" fillId="0" borderId="9" xfId="0" applyFont="1" applyBorder="1" applyAlignment="1">
      <alignment textRotation="90"/>
    </xf>
    <xf numFmtId="0" fontId="82" fillId="0" borderId="11" xfId="0" applyFont="1" applyBorder="1" applyAlignment="1">
      <alignment textRotation="90"/>
    </xf>
    <xf numFmtId="0" fontId="82" fillId="0" borderId="10" xfId="0" applyFont="1" applyBorder="1" applyAlignment="1">
      <alignment textRotation="90"/>
    </xf>
    <xf numFmtId="0" fontId="5" fillId="0" borderId="5" xfId="0" applyFont="1" applyBorder="1" applyAlignment="1">
      <alignment horizontal="center"/>
    </xf>
    <xf numFmtId="0" fontId="5" fillId="0" borderId="0" xfId="0" applyFont="1" applyAlignment="1">
      <alignment horizontal="center"/>
    </xf>
    <xf numFmtId="0" fontId="5" fillId="0" borderId="6" xfId="0" applyFont="1" applyBorder="1" applyAlignment="1">
      <alignment horizontal="center"/>
    </xf>
    <xf numFmtId="0" fontId="22" fillId="0" borderId="1" xfId="0" applyFont="1" applyBorder="1" applyAlignment="1">
      <alignment horizontal="center"/>
    </xf>
    <xf numFmtId="49" fontId="27" fillId="0" borderId="0" xfId="0" applyNumberFormat="1" applyFont="1" applyAlignment="1">
      <alignment horizontal="center"/>
    </xf>
    <xf numFmtId="49" fontId="27" fillId="0" borderId="5" xfId="0" applyNumberFormat="1" applyFont="1" applyBorder="1" applyAlignment="1">
      <alignment horizontal="center"/>
    </xf>
    <xf numFmtId="49" fontId="27" fillId="0" borderId="6" xfId="0" applyNumberFormat="1" applyFont="1" applyBorder="1" applyAlignment="1">
      <alignment horizontal="center"/>
    </xf>
    <xf numFmtId="49" fontId="5" fillId="0" borderId="2" xfId="0" applyNumberFormat="1" applyFont="1" applyBorder="1" applyAlignment="1">
      <alignment horizontal="center"/>
    </xf>
    <xf numFmtId="49" fontId="5" fillId="0" borderId="3" xfId="0" applyNumberFormat="1" applyFont="1" applyBorder="1" applyAlignment="1">
      <alignment horizontal="center"/>
    </xf>
    <xf numFmtId="49" fontId="5" fillId="0" borderId="4" xfId="0" applyNumberFormat="1" applyFont="1" applyBorder="1" applyAlignment="1">
      <alignment horizontal="center"/>
    </xf>
    <xf numFmtId="168" fontId="0" fillId="0" borderId="0" xfId="0" applyNumberFormat="1" applyAlignment="1">
      <alignment horizontal="center"/>
    </xf>
    <xf numFmtId="19" fontId="0" fillId="0" borderId="0" xfId="0" applyNumberFormat="1" applyAlignment="1">
      <alignment horizontal="center"/>
    </xf>
    <xf numFmtId="49" fontId="27" fillId="2" borderId="0" xfId="0" applyNumberFormat="1" applyFont="1" applyFill="1" applyAlignment="1">
      <alignment horizontal="center"/>
    </xf>
    <xf numFmtId="0" fontId="27" fillId="2" borderId="0" xfId="0" applyFont="1" applyFill="1" applyAlignment="1">
      <alignment horizontal="center"/>
    </xf>
    <xf numFmtId="1" fontId="54" fillId="0" borderId="0" xfId="0" applyNumberFormat="1" applyFont="1" applyAlignment="1">
      <alignment horizontal="center"/>
    </xf>
    <xf numFmtId="0" fontId="54" fillId="0" borderId="0" xfId="0" applyFont="1" applyAlignment="1">
      <alignment horizontal="center"/>
    </xf>
    <xf numFmtId="0" fontId="5" fillId="0" borderId="7" xfId="0" applyFont="1" applyBorder="1" applyAlignment="1">
      <alignment horizontal="center"/>
    </xf>
    <xf numFmtId="0" fontId="5" fillId="0" borderId="1" xfId="0" applyFont="1" applyBorder="1" applyAlignment="1">
      <alignment horizontal="center"/>
    </xf>
    <xf numFmtId="0" fontId="5" fillId="0" borderId="8" xfId="0" applyFont="1" applyBorder="1" applyAlignment="1">
      <alignment horizontal="center"/>
    </xf>
    <xf numFmtId="49" fontId="27" fillId="0" borderId="2" xfId="0" applyNumberFormat="1" applyFont="1" applyBorder="1" applyAlignment="1">
      <alignment horizontal="center"/>
    </xf>
    <xf numFmtId="49" fontId="27" fillId="0" borderId="3" xfId="0" applyNumberFormat="1" applyFont="1" applyBorder="1" applyAlignment="1">
      <alignment horizontal="center"/>
    </xf>
    <xf numFmtId="49" fontId="27" fillId="0" borderId="4" xfId="0" applyNumberFormat="1" applyFont="1" applyBorder="1" applyAlignment="1">
      <alignment horizontal="center"/>
    </xf>
    <xf numFmtId="49" fontId="5" fillId="0" borderId="2" xfId="0" quotePrefix="1" applyNumberFormat="1" applyFont="1" applyBorder="1" applyAlignment="1">
      <alignment horizontal="center"/>
    </xf>
    <xf numFmtId="49" fontId="5" fillId="0" borderId="3" xfId="0" quotePrefix="1" applyNumberFormat="1" applyFont="1" applyBorder="1" applyAlignment="1">
      <alignment horizontal="center"/>
    </xf>
    <xf numFmtId="49" fontId="5" fillId="0" borderId="4" xfId="0" quotePrefix="1" applyNumberFormat="1" applyFont="1" applyBorder="1" applyAlignment="1">
      <alignment horizontal="center"/>
    </xf>
    <xf numFmtId="0" fontId="22" fillId="10" borderId="2" xfId="0" applyFont="1" applyFill="1" applyBorder="1" applyAlignment="1">
      <alignment horizontal="center"/>
    </xf>
    <xf numFmtId="0" fontId="22" fillId="10" borderId="3" xfId="0" applyFont="1" applyFill="1" applyBorder="1" applyAlignment="1">
      <alignment horizontal="center"/>
    </xf>
    <xf numFmtId="0" fontId="22" fillId="10" borderId="4" xfId="0" applyFont="1" applyFill="1" applyBorder="1" applyAlignment="1">
      <alignment horizontal="center"/>
    </xf>
    <xf numFmtId="0" fontId="22" fillId="11" borderId="2" xfId="0" applyFont="1" applyFill="1" applyBorder="1" applyAlignment="1">
      <alignment horizontal="center"/>
    </xf>
    <xf numFmtId="0" fontId="22" fillId="11" borderId="3" xfId="0" applyFont="1" applyFill="1" applyBorder="1" applyAlignment="1">
      <alignment horizontal="center"/>
    </xf>
    <xf numFmtId="0" fontId="22" fillId="11" borderId="4" xfId="0" applyFont="1" applyFill="1" applyBorder="1" applyAlignment="1">
      <alignment horizontal="center"/>
    </xf>
    <xf numFmtId="0" fontId="22" fillId="0" borderId="0" xfId="0" applyFont="1" applyAlignment="1">
      <alignment horizontal="center"/>
    </xf>
    <xf numFmtId="0" fontId="22" fillId="13" borderId="2" xfId="0" applyFont="1" applyFill="1" applyBorder="1" applyAlignment="1">
      <alignment horizontal="center"/>
    </xf>
    <xf numFmtId="0" fontId="22" fillId="13" borderId="3" xfId="0" applyFont="1" applyFill="1" applyBorder="1" applyAlignment="1">
      <alignment horizontal="center"/>
    </xf>
    <xf numFmtId="0" fontId="22" fillId="13" borderId="4" xfId="0" applyFont="1" applyFill="1" applyBorder="1" applyAlignment="1">
      <alignment horizontal="center"/>
    </xf>
    <xf numFmtId="0" fontId="5" fillId="11" borderId="26" xfId="0" applyFont="1" applyFill="1" applyBorder="1" applyAlignment="1">
      <alignment horizontal="center"/>
    </xf>
    <xf numFmtId="0" fontId="5" fillId="11" borderId="27" xfId="0" applyFont="1" applyFill="1" applyBorder="1" applyAlignment="1">
      <alignment horizontal="center"/>
    </xf>
    <xf numFmtId="0" fontId="5" fillId="11" borderId="28" xfId="0" applyFont="1" applyFill="1" applyBorder="1" applyAlignment="1">
      <alignment horizontal="center"/>
    </xf>
    <xf numFmtId="0" fontId="22" fillId="7" borderId="2" xfId="0" applyFont="1" applyFill="1" applyBorder="1" applyAlignment="1">
      <alignment horizontal="center"/>
    </xf>
    <xf numFmtId="0" fontId="22" fillId="7" borderId="3" xfId="0" applyFont="1" applyFill="1" applyBorder="1" applyAlignment="1">
      <alignment horizontal="center"/>
    </xf>
    <xf numFmtId="0" fontId="22" fillId="7" borderId="4" xfId="0" applyFont="1" applyFill="1" applyBorder="1" applyAlignment="1">
      <alignment horizontal="center"/>
    </xf>
    <xf numFmtId="0" fontId="5" fillId="0" borderId="26" xfId="0" applyFont="1" applyBorder="1" applyAlignment="1">
      <alignment horizontal="center"/>
    </xf>
    <xf numFmtId="0" fontId="5" fillId="0" borderId="27" xfId="0" applyFont="1" applyBorder="1" applyAlignment="1">
      <alignment horizontal="center"/>
    </xf>
    <xf numFmtId="0" fontId="5" fillId="8" borderId="2" xfId="0" applyFont="1" applyFill="1" applyBorder="1" applyAlignment="1">
      <alignment horizontal="center"/>
    </xf>
    <xf numFmtId="0" fontId="5" fillId="8" borderId="3" xfId="0" applyFont="1" applyFill="1" applyBorder="1" applyAlignment="1">
      <alignment horizontal="center"/>
    </xf>
    <xf numFmtId="0" fontId="5" fillId="9" borderId="2" xfId="0" applyFont="1" applyFill="1" applyBorder="1" applyAlignment="1">
      <alignment horizontal="center"/>
    </xf>
    <xf numFmtId="0" fontId="5" fillId="9" borderId="3" xfId="0" applyFont="1" applyFill="1" applyBorder="1" applyAlignment="1">
      <alignment horizontal="center"/>
    </xf>
    <xf numFmtId="0" fontId="5" fillId="0" borderId="3" xfId="0" applyFont="1" applyBorder="1" applyAlignment="1">
      <alignment horizontal="center"/>
    </xf>
    <xf numFmtId="0" fontId="5" fillId="13" borderId="26" xfId="0" applyFont="1" applyFill="1" applyBorder="1" applyAlignment="1">
      <alignment horizontal="center"/>
    </xf>
    <xf numFmtId="0" fontId="5" fillId="13" borderId="27" xfId="0" applyFont="1" applyFill="1" applyBorder="1" applyAlignment="1">
      <alignment horizontal="center"/>
    </xf>
    <xf numFmtId="0" fontId="5" fillId="13" borderId="28" xfId="0" applyFont="1" applyFill="1" applyBorder="1" applyAlignment="1">
      <alignment horizontal="center"/>
    </xf>
    <xf numFmtId="49" fontId="61" fillId="0" borderId="2" xfId="0" applyNumberFormat="1" applyFont="1" applyBorder="1" applyAlignment="1">
      <alignment horizontal="center" textRotation="90" wrapText="1"/>
    </xf>
    <xf numFmtId="49" fontId="0" fillId="0" borderId="5" xfId="0" applyNumberFormat="1" applyBorder="1" applyAlignment="1">
      <alignment horizontal="center" textRotation="90" wrapText="1"/>
    </xf>
    <xf numFmtId="49" fontId="0" fillId="0" borderId="7" xfId="0" applyNumberFormat="1" applyBorder="1" applyAlignment="1">
      <alignment horizontal="center" textRotation="90" wrapText="1"/>
    </xf>
    <xf numFmtId="43" fontId="5" fillId="9" borderId="26" xfId="1" applyFont="1" applyFill="1" applyBorder="1" applyAlignment="1">
      <alignment horizontal="center"/>
    </xf>
    <xf numFmtId="43" fontId="5" fillId="9" borderId="27" xfId="1" applyFont="1" applyFill="1" applyBorder="1" applyAlignment="1">
      <alignment horizontal="center"/>
    </xf>
    <xf numFmtId="0" fontId="5" fillId="8" borderId="26" xfId="0" applyFont="1" applyFill="1" applyBorder="1" applyAlignment="1">
      <alignment horizontal="center"/>
    </xf>
    <xf numFmtId="0" fontId="5" fillId="8" borderId="27" xfId="0" applyFont="1" applyFill="1" applyBorder="1" applyAlignment="1">
      <alignment horizontal="center"/>
    </xf>
    <xf numFmtId="0" fontId="5" fillId="7" borderId="26" xfId="0" applyFont="1" applyFill="1" applyBorder="1" applyAlignment="1">
      <alignment horizontal="center"/>
    </xf>
    <xf numFmtId="0" fontId="5" fillId="7" borderId="27" xfId="0" applyFont="1" applyFill="1" applyBorder="1" applyAlignment="1">
      <alignment horizontal="center"/>
    </xf>
    <xf numFmtId="0" fontId="5" fillId="7" borderId="28" xfId="0" applyFont="1" applyFill="1" applyBorder="1" applyAlignment="1">
      <alignment horizontal="center"/>
    </xf>
    <xf numFmtId="0" fontId="5" fillId="10" borderId="26" xfId="0" applyFont="1" applyFill="1" applyBorder="1" applyAlignment="1">
      <alignment horizontal="center"/>
    </xf>
    <xf numFmtId="0" fontId="5" fillId="10" borderId="27" xfId="0" applyFont="1" applyFill="1" applyBorder="1" applyAlignment="1">
      <alignment horizontal="center"/>
    </xf>
    <xf numFmtId="0" fontId="5" fillId="10" borderId="28" xfId="0" applyFont="1" applyFill="1" applyBorder="1" applyAlignment="1">
      <alignment horizontal="center"/>
    </xf>
    <xf numFmtId="0" fontId="25" fillId="19" borderId="102" xfId="0" applyFont="1" applyFill="1" applyBorder="1" applyAlignment="1">
      <alignment horizontal="center"/>
    </xf>
    <xf numFmtId="0" fontId="25" fillId="19" borderId="103" xfId="0" applyFont="1" applyFill="1" applyBorder="1" applyAlignment="1">
      <alignment horizontal="center"/>
    </xf>
    <xf numFmtId="0" fontId="25" fillId="19" borderId="104" xfId="0" applyFont="1" applyFill="1" applyBorder="1" applyAlignment="1">
      <alignment horizontal="center"/>
    </xf>
    <xf numFmtId="0" fontId="5" fillId="0" borderId="102" xfId="0" applyFont="1" applyBorder="1" applyAlignment="1">
      <alignment horizontal="center"/>
    </xf>
    <xf numFmtId="0" fontId="5" fillId="0" borderId="104" xfId="0" applyFont="1" applyBorder="1" applyAlignment="1">
      <alignment horizontal="center"/>
    </xf>
    <xf numFmtId="0" fontId="5" fillId="19" borderId="0" xfId="0" applyFont="1" applyFill="1" applyAlignment="1">
      <alignment horizontal="center"/>
    </xf>
    <xf numFmtId="0" fontId="5" fillId="19" borderId="6" xfId="0" applyFont="1" applyFill="1" applyBorder="1" applyAlignment="1">
      <alignment horizontal="center"/>
    </xf>
    <xf numFmtId="11" fontId="9" fillId="0" borderId="5" xfId="0" applyNumberFormat="1" applyFont="1" applyBorder="1" applyAlignment="1">
      <alignment horizontal="center"/>
    </xf>
    <xf numFmtId="11" fontId="9" fillId="0" borderId="0" xfId="0" applyNumberFormat="1" applyFont="1" applyAlignment="1">
      <alignment horizontal="center"/>
    </xf>
    <xf numFmtId="11" fontId="9" fillId="0" borderId="6" xfId="0" applyNumberFormat="1" applyFont="1" applyBorder="1" applyAlignment="1">
      <alignment horizontal="center"/>
    </xf>
    <xf numFmtId="0" fontId="86" fillId="0" borderId="0" xfId="0" applyFont="1" applyAlignment="1">
      <alignment horizontal="center"/>
    </xf>
    <xf numFmtId="0" fontId="0" fillId="0" borderId="3" xfId="0" applyBorder="1" applyAlignment="1">
      <alignment horizontal="center"/>
    </xf>
    <xf numFmtId="0" fontId="87" fillId="0" borderId="5" xfId="0" applyFont="1" applyBorder="1" applyAlignment="1">
      <alignment horizontal="center"/>
    </xf>
    <xf numFmtId="0" fontId="87" fillId="0" borderId="0" xfId="0" applyFont="1" applyAlignment="1">
      <alignment horizontal="center"/>
    </xf>
    <xf numFmtId="0" fontId="87" fillId="0" borderId="6" xfId="0" applyFont="1" applyBorder="1" applyAlignment="1">
      <alignment horizontal="center"/>
    </xf>
    <xf numFmtId="0" fontId="38" fillId="12" borderId="0" xfId="0" applyFont="1" applyFill="1" applyAlignment="1">
      <alignment horizontal="center"/>
    </xf>
    <xf numFmtId="0" fontId="38" fillId="12" borderId="0" xfId="0" applyFont="1" applyFill="1" applyAlignment="1">
      <alignment vertical="center" wrapText="1"/>
    </xf>
    <xf numFmtId="0" fontId="38" fillId="12" borderId="0" xfId="0" applyFont="1" applyFill="1"/>
    <xf numFmtId="0" fontId="38" fillId="0" borderId="5" xfId="0" applyFont="1" applyBorder="1" applyAlignment="1">
      <alignment horizontal="center"/>
    </xf>
    <xf numFmtId="0" fontId="38" fillId="0" borderId="6" xfId="0" applyFont="1" applyBorder="1" applyAlignment="1">
      <alignment horizontal="center"/>
    </xf>
    <xf numFmtId="0" fontId="84" fillId="0" borderId="107" xfId="0" applyFont="1" applyBorder="1" applyAlignment="1">
      <alignment horizontal="center"/>
    </xf>
    <xf numFmtId="0" fontId="84" fillId="0" borderId="99" xfId="0" applyFont="1" applyBorder="1" applyAlignment="1">
      <alignment horizontal="center"/>
    </xf>
    <xf numFmtId="0" fontId="84" fillId="19" borderId="0" xfId="0" applyFont="1" applyFill="1" applyAlignment="1">
      <alignment horizontal="center"/>
    </xf>
    <xf numFmtId="0" fontId="84" fillId="19" borderId="6" xfId="0" applyFont="1" applyFill="1" applyBorder="1" applyAlignment="1">
      <alignment horizontal="center"/>
    </xf>
    <xf numFmtId="0" fontId="61" fillId="0" borderId="0" xfId="0" applyFont="1" applyAlignment="1">
      <alignment horizontal="left" wrapText="1"/>
    </xf>
    <xf numFmtId="196" fontId="66" fillId="0" borderId="26" xfId="0" applyNumberFormat="1" applyFont="1" applyBorder="1" applyAlignment="1">
      <alignment horizontal="center"/>
    </xf>
    <xf numFmtId="196" fontId="66" fillId="0" borderId="27" xfId="0" applyNumberFormat="1" applyFont="1" applyBorder="1" applyAlignment="1">
      <alignment horizontal="center"/>
    </xf>
    <xf numFmtId="196" fontId="66" fillId="0" borderId="28" xfId="0" applyNumberFormat="1" applyFont="1" applyBorder="1" applyAlignment="1">
      <alignment horizontal="center"/>
    </xf>
    <xf numFmtId="0" fontId="38" fillId="0" borderId="5" xfId="0" applyFont="1" applyBorder="1" applyAlignment="1">
      <alignment horizontal="center" wrapText="1"/>
    </xf>
    <xf numFmtId="0" fontId="38" fillId="0" borderId="0" xfId="0" applyFont="1" applyAlignment="1">
      <alignment horizontal="center"/>
    </xf>
    <xf numFmtId="0" fontId="38" fillId="0" borderId="7" xfId="0" applyFont="1" applyBorder="1" applyAlignment="1">
      <alignment horizontal="center"/>
    </xf>
    <xf numFmtId="0" fontId="38" fillId="0" borderId="1" xfId="0" applyFont="1" applyBorder="1" applyAlignment="1">
      <alignment horizontal="center"/>
    </xf>
    <xf numFmtId="0" fontId="38" fillId="0" borderId="8" xfId="0" applyFont="1" applyBorder="1" applyAlignment="1">
      <alignment horizontal="center"/>
    </xf>
    <xf numFmtId="1" fontId="66" fillId="0" borderId="38" xfId="0" applyNumberFormat="1" applyFont="1" applyBorder="1" applyAlignment="1">
      <alignment horizontal="center"/>
    </xf>
    <xf numFmtId="1" fontId="66" fillId="0" borderId="40" xfId="0" applyNumberFormat="1" applyFont="1" applyBorder="1" applyAlignment="1">
      <alignment horizontal="center"/>
    </xf>
    <xf numFmtId="0" fontId="5" fillId="0" borderId="21" xfId="0" applyFont="1" applyBorder="1" applyAlignment="1">
      <alignment horizontal="center"/>
    </xf>
    <xf numFmtId="0" fontId="5" fillId="0" borderId="20" xfId="0" applyFont="1" applyBorder="1" applyAlignment="1">
      <alignment horizontal="center"/>
    </xf>
    <xf numFmtId="0" fontId="5" fillId="0" borderId="22" xfId="0" applyFont="1" applyBorder="1" applyAlignment="1">
      <alignment horizontal="center"/>
    </xf>
    <xf numFmtId="49" fontId="5" fillId="0" borderId="47" xfId="0" applyNumberFormat="1" applyFont="1" applyBorder="1" applyAlignment="1">
      <alignment horizontal="center"/>
    </xf>
    <xf numFmtId="49" fontId="5" fillId="0" borderId="13" xfId="0" applyNumberFormat="1" applyFont="1" applyBorder="1" applyAlignment="1">
      <alignment horizontal="center"/>
    </xf>
    <xf numFmtId="49" fontId="5" fillId="0" borderId="36" xfId="0" applyNumberFormat="1" applyFont="1" applyBorder="1" applyAlignment="1">
      <alignment horizontal="center"/>
    </xf>
    <xf numFmtId="0" fontId="5" fillId="0" borderId="24" xfId="0" applyFont="1" applyBorder="1" applyAlignment="1">
      <alignment horizontal="center"/>
    </xf>
    <xf numFmtId="49" fontId="5" fillId="0" borderId="84" xfId="0" applyNumberFormat="1" applyFont="1" applyBorder="1" applyAlignment="1">
      <alignment horizontal="center"/>
    </xf>
    <xf numFmtId="49" fontId="78" fillId="0" borderId="96" xfId="0" applyNumberFormat="1" applyFont="1" applyBorder="1" applyAlignment="1">
      <alignment horizontal="center"/>
    </xf>
    <xf numFmtId="49" fontId="78" fillId="0" borderId="107" xfId="0" applyNumberFormat="1" applyFont="1" applyBorder="1" applyAlignment="1">
      <alignment horizontal="center"/>
    </xf>
    <xf numFmtId="0" fontId="78" fillId="0" borderId="96" xfId="0" applyFont="1" applyBorder="1" applyAlignment="1">
      <alignment horizontal="center"/>
    </xf>
    <xf numFmtId="0" fontId="78" fillId="0" borderId="107" xfId="0" applyFont="1" applyBorder="1" applyAlignment="1">
      <alignment horizontal="center"/>
    </xf>
    <xf numFmtId="0" fontId="78" fillId="0" borderId="99" xfId="0" applyFont="1" applyBorder="1" applyAlignment="1">
      <alignment horizontal="center"/>
    </xf>
    <xf numFmtId="49" fontId="84" fillId="0" borderId="96" xfId="0" applyNumberFormat="1" applyFont="1" applyBorder="1" applyAlignment="1">
      <alignment horizontal="center"/>
    </xf>
    <xf numFmtId="49" fontId="84" fillId="0" borderId="107" xfId="0" applyNumberFormat="1" applyFont="1" applyBorder="1" applyAlignment="1">
      <alignment horizontal="center"/>
    </xf>
    <xf numFmtId="49" fontId="84" fillId="0" borderId="99" xfId="0" applyNumberFormat="1" applyFont="1" applyBorder="1" applyAlignment="1">
      <alignment horizontal="center"/>
    </xf>
    <xf numFmtId="0" fontId="78" fillId="0" borderId="97" xfId="0" applyFont="1" applyBorder="1" applyAlignment="1">
      <alignment horizontal="center"/>
    </xf>
    <xf numFmtId="0" fontId="78" fillId="0" borderId="0" xfId="0" applyFont="1" applyAlignment="1">
      <alignment horizontal="center"/>
    </xf>
    <xf numFmtId="0" fontId="78" fillId="0" borderId="108" xfId="0" applyFont="1" applyBorder="1" applyAlignment="1">
      <alignment horizontal="center"/>
    </xf>
    <xf numFmtId="0" fontId="84" fillId="0" borderId="97" xfId="0" applyFont="1" applyBorder="1" applyAlignment="1">
      <alignment horizontal="center"/>
    </xf>
    <xf numFmtId="0" fontId="84" fillId="0" borderId="0" xfId="0" applyFont="1" applyAlignment="1">
      <alignment horizontal="center"/>
    </xf>
    <xf numFmtId="0" fontId="84" fillId="0" borderId="108" xfId="0" applyFont="1" applyBorder="1" applyAlignment="1">
      <alignment horizontal="center"/>
    </xf>
    <xf numFmtId="0" fontId="61" fillId="0" borderId="3" xfId="0" applyFont="1" applyBorder="1" applyAlignment="1">
      <alignment horizontal="center"/>
    </xf>
    <xf numFmtId="0" fontId="26" fillId="0" borderId="0" xfId="0" applyFont="1" applyAlignment="1">
      <alignment horizontal="center"/>
    </xf>
    <xf numFmtId="0" fontId="9" fillId="0" borderId="13" xfId="0" quotePrefix="1" applyFont="1" applyBorder="1" applyAlignment="1">
      <alignment horizontal="center"/>
    </xf>
    <xf numFmtId="0" fontId="49" fillId="4" borderId="26" xfId="2" applyFont="1" applyFill="1" applyBorder="1" applyAlignment="1">
      <alignment horizontal="left" vertical="top" wrapText="1"/>
    </xf>
    <xf numFmtId="0" fontId="49" fillId="4" borderId="27" xfId="2" applyFont="1" applyFill="1" applyBorder="1" applyAlignment="1">
      <alignment horizontal="left" vertical="top" wrapText="1"/>
    </xf>
    <xf numFmtId="0" fontId="31" fillId="4" borderId="27" xfId="0" applyFont="1" applyFill="1" applyBorder="1" applyAlignment="1">
      <alignment wrapText="1"/>
    </xf>
    <xf numFmtId="0" fontId="10" fillId="0" borderId="26" xfId="2" applyFont="1" applyBorder="1" applyAlignment="1">
      <alignment horizontal="center"/>
    </xf>
    <xf numFmtId="0" fontId="10" fillId="0" borderId="28" xfId="2" applyFont="1" applyBorder="1" applyAlignment="1">
      <alignment horizontal="center"/>
    </xf>
    <xf numFmtId="0" fontId="0" fillId="0" borderId="0" xfId="0"/>
    <xf numFmtId="0" fontId="10" fillId="0" borderId="3" xfId="2" applyFont="1" applyBorder="1" applyAlignment="1">
      <alignment horizontal="center"/>
    </xf>
    <xf numFmtId="0" fontId="31" fillId="4" borderId="27" xfId="0" applyFont="1" applyFill="1" applyBorder="1" applyAlignment="1">
      <alignment horizontal="left" vertical="top" wrapText="1"/>
    </xf>
    <xf numFmtId="0" fontId="31" fillId="4" borderId="28" xfId="0" applyFont="1" applyFill="1" applyBorder="1" applyAlignment="1">
      <alignment horizontal="left" vertical="top" wrapText="1"/>
    </xf>
    <xf numFmtId="0" fontId="31" fillId="4" borderId="28" xfId="0" applyFont="1" applyFill="1" applyBorder="1" applyAlignment="1">
      <alignment wrapText="1"/>
    </xf>
    <xf numFmtId="0" fontId="5" fillId="0" borderId="16" xfId="0" applyFont="1" applyBorder="1" applyAlignment="1">
      <alignment horizontal="center"/>
    </xf>
    <xf numFmtId="0" fontId="80" fillId="0" borderId="0" xfId="0" applyFont="1" applyAlignment="1">
      <alignment horizontal="center"/>
    </xf>
    <xf numFmtId="0" fontId="9" fillId="0" borderId="3" xfId="0" applyFont="1" applyBorder="1" applyAlignment="1">
      <alignment horizontal="center"/>
    </xf>
    <xf numFmtId="0" fontId="0" fillId="0" borderId="1" xfId="0" applyBorder="1" applyAlignment="1">
      <alignment horizontal="left"/>
    </xf>
  </cellXfs>
  <cellStyles count="20">
    <cellStyle name="Comma" xfId="1" builtinId="3"/>
    <cellStyle name="Comma 2" xfId="6" xr:uid="{00000000-0005-0000-0000-000001000000}"/>
    <cellStyle name="Comma0" xfId="9" xr:uid="{00000000-0005-0000-0000-000002000000}"/>
    <cellStyle name="Currency0" xfId="10" xr:uid="{00000000-0005-0000-0000-000003000000}"/>
    <cellStyle name="Date" xfId="11" xr:uid="{00000000-0005-0000-0000-000004000000}"/>
    <cellStyle name="Fixed" xfId="12" xr:uid="{00000000-0005-0000-0000-000005000000}"/>
    <cellStyle name="Heading 1 2" xfId="13" xr:uid="{00000000-0005-0000-0000-000006000000}"/>
    <cellStyle name="Heading 2 2" xfId="14" xr:uid="{00000000-0005-0000-0000-000007000000}"/>
    <cellStyle name="Normal" xfId="0" builtinId="0"/>
    <cellStyle name="Normal 2" xfId="16" xr:uid="{00000000-0005-0000-0000-000009000000}"/>
    <cellStyle name="Normal 2 2" xfId="17" xr:uid="{00000000-0005-0000-0000-00000A000000}"/>
    <cellStyle name="Normal 3" xfId="8" xr:uid="{00000000-0005-0000-0000-00000B000000}"/>
    <cellStyle name="Normal 4" xfId="18" xr:uid="{00000000-0005-0000-0000-00000C000000}"/>
    <cellStyle name="Normal_Project Forms - Environmental" xfId="2" xr:uid="{00000000-0005-0000-0000-00000D000000}"/>
    <cellStyle name="Normal_Vent TestPlan2" xfId="3" xr:uid="{00000000-0005-0000-0000-00000E000000}"/>
    <cellStyle name="Normal_Vent TestPlan4" xfId="4" xr:uid="{00000000-0005-0000-0000-00000F000000}"/>
    <cellStyle name="Note 2" xfId="19" xr:uid="{00000000-0005-0000-0000-000010000000}"/>
    <cellStyle name="Percent" xfId="5" builtinId="5"/>
    <cellStyle name="Percent 2" xfId="7" xr:uid="{00000000-0005-0000-0000-000012000000}"/>
    <cellStyle name="Total 2" xfId="15" xr:uid="{00000000-0005-0000-0000-000013000000}"/>
  </cellStyles>
  <dxfs count="866">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lor rgb="FFFF0000"/>
      </font>
    </dxf>
    <dxf>
      <font>
        <color rgb="FFFF0000"/>
      </font>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ill>
        <patternFill>
          <bgColor theme="9" tint="0.39994506668294322"/>
        </patternFill>
      </fill>
    </dxf>
    <dxf>
      <numFmt numFmtId="170" formatCode="0.0%"/>
    </dxf>
    <dxf>
      <font>
        <condense val="0"/>
        <extend val="0"/>
        <color indexed="53"/>
      </font>
    </dxf>
    <dxf>
      <font>
        <condense val="0"/>
        <extend val="0"/>
        <color indexed="53"/>
      </font>
    </dxf>
    <dxf>
      <font>
        <condense val="0"/>
        <extend val="0"/>
        <color indexed="53"/>
      </font>
    </dxf>
    <dxf>
      <font>
        <condense val="0"/>
        <extend val="0"/>
        <color indexed="9"/>
      </font>
      <fill>
        <patternFill>
          <bgColor indexed="8"/>
        </patternFill>
      </fill>
    </dxf>
    <dxf>
      <font>
        <condense val="0"/>
        <extend val="0"/>
        <color indexed="53"/>
      </font>
    </dxf>
    <dxf>
      <font>
        <condense val="0"/>
        <extend val="0"/>
        <color indexed="53"/>
      </font>
    </dxf>
    <dxf>
      <font>
        <condense val="0"/>
        <extend val="0"/>
        <color indexed="9"/>
      </font>
      <fill>
        <patternFill>
          <bgColor indexed="8"/>
        </patternFill>
      </fill>
    </dxf>
    <dxf>
      <font>
        <condense val="0"/>
        <extend val="0"/>
        <color auto="1"/>
      </font>
      <fill>
        <patternFill>
          <bgColor indexed="15"/>
        </patternFill>
      </fill>
    </dxf>
    <dxf>
      <font>
        <condense val="0"/>
        <extend val="0"/>
        <color indexed="9"/>
      </font>
      <fill>
        <patternFill>
          <bgColor indexed="10"/>
        </patternFill>
      </fill>
    </dxf>
    <dxf>
      <font>
        <condense val="0"/>
        <extend val="0"/>
        <color auto="1"/>
      </font>
      <fill>
        <patternFill patternType="none">
          <bgColor indexed="65"/>
        </patternFill>
      </fill>
    </dxf>
    <dxf>
      <font>
        <condense val="0"/>
        <extend val="0"/>
        <color indexed="9"/>
      </font>
      <fill>
        <patternFill>
          <bgColor indexed="8"/>
        </patternFill>
      </fill>
    </dxf>
    <dxf>
      <font>
        <condense val="0"/>
        <extend val="0"/>
        <color indexed="9"/>
      </font>
      <fill>
        <patternFill>
          <bgColor indexed="10"/>
        </patternFill>
      </fill>
    </dxf>
    <dxf>
      <font>
        <condense val="0"/>
        <extend val="0"/>
        <color indexed="9"/>
      </font>
      <fill>
        <patternFill patternType="solid">
          <bgColor indexed="14"/>
        </patternFill>
      </fill>
    </dxf>
    <dxf>
      <font>
        <condense val="0"/>
        <extend val="0"/>
        <color indexed="9"/>
      </font>
      <fill>
        <patternFill>
          <bgColor indexed="10"/>
        </patternFill>
      </fill>
    </dxf>
    <dxf>
      <font>
        <condense val="0"/>
        <extend val="0"/>
        <color auto="1"/>
      </font>
      <fill>
        <patternFill patternType="none">
          <bgColor indexed="65"/>
        </patternFill>
      </fill>
    </dxf>
    <dxf>
      <font>
        <condense val="0"/>
        <extend val="0"/>
        <color auto="1"/>
      </font>
      <fill>
        <patternFill>
          <bgColor indexed="10"/>
        </patternFill>
      </fill>
    </dxf>
  </dxfs>
  <tableStyles count="0" defaultTableStyle="TableStyleMedium9" defaultPivotStyle="PivotStyleLight16"/>
  <colors>
    <mruColors>
      <color rgb="FF0000FF"/>
      <color rgb="FFFF00FF"/>
      <color rgb="FF0F5A87"/>
      <color rgb="FF000000"/>
      <color rgb="FF00CC00"/>
      <color rgb="FF2C31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externalLink" Target="externalLinks/externalLink1.xml"/><Relationship Id="rId89"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externalLink" Target="externalLinks/externalLink4.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connections" Target="connection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externalLink" Target="externalLinks/externalLink2.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externalLink" Target="externalLinks/externalLink5.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3.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53325883007005"/>
          <c:y val="5.103676210620095E-2"/>
          <c:w val="0.8537058872459844"/>
          <c:h val="0.79425961027775227"/>
        </c:manualLayout>
      </c:layout>
      <c:scatterChart>
        <c:scatterStyle val="lineMarker"/>
        <c:varyColors val="0"/>
        <c:ser>
          <c:idx val="0"/>
          <c:order val="0"/>
          <c:spPr>
            <a:ln w="25400">
              <a:solidFill>
                <a:srgbClr val="000080"/>
              </a:solidFill>
              <a:prstDash val="solid"/>
            </a:ln>
          </c:spPr>
          <c:marker>
            <c:symbol val="diamond"/>
            <c:size val="12"/>
            <c:spPr>
              <a:solidFill>
                <a:srgbClr val="000080"/>
              </a:solidFill>
              <a:ln>
                <a:solidFill>
                  <a:srgbClr val="000080"/>
                </a:solidFill>
                <a:prstDash val="solid"/>
              </a:ln>
            </c:spPr>
          </c:marker>
          <c:xVal>
            <c:numRef>
              <c:f>'1% Wind'!$O$71:$S$71</c:f>
              <c:numCache>
                <c:formatCode>0.0</c:formatCode>
                <c:ptCount val="5"/>
                <c:pt idx="0">
                  <c:v>0</c:v>
                </c:pt>
                <c:pt idx="1">
                  <c:v>4</c:v>
                </c:pt>
                <c:pt idx="2">
                  <c:v>8</c:v>
                </c:pt>
                <c:pt idx="3">
                  <c:v>12</c:v>
                </c:pt>
                <c:pt idx="4">
                  <c:v>16</c:v>
                </c:pt>
              </c:numCache>
            </c:numRef>
          </c:xVal>
          <c:yVal>
            <c:numRef>
              <c:f>'1% Wind'!$O$73:$S$73</c:f>
              <c:numCache>
                <c:formatCode>0.00</c:formatCode>
                <c:ptCount val="5"/>
                <c:pt idx="0">
                  <c:v>#N/A</c:v>
                </c:pt>
                <c:pt idx="1">
                  <c:v>#N/A</c:v>
                </c:pt>
                <c:pt idx="2">
                  <c:v>#N/A</c:v>
                </c:pt>
                <c:pt idx="3">
                  <c:v>#N/A</c:v>
                </c:pt>
                <c:pt idx="4" formatCode="0.0">
                  <c:v>#N/A</c:v>
                </c:pt>
              </c:numCache>
            </c:numRef>
          </c:yVal>
          <c:smooth val="0"/>
          <c:extLst>
            <c:ext xmlns:c16="http://schemas.microsoft.com/office/drawing/2014/chart" uri="{C3380CC4-5D6E-409C-BE32-E72D297353CC}">
              <c16:uniqueId val="{00000000-4682-43F1-91BD-0DB950594443}"/>
            </c:ext>
          </c:extLst>
        </c:ser>
        <c:ser>
          <c:idx val="1"/>
          <c:order val="1"/>
          <c:spPr>
            <a:ln w="38100">
              <a:solidFill>
                <a:srgbClr val="000000"/>
              </a:solidFill>
              <a:prstDash val="solid"/>
            </a:ln>
          </c:spPr>
          <c:marker>
            <c:symbol val="none"/>
          </c:marker>
          <c:xVal>
            <c:numRef>
              <c:f>'1% Wind'!$O$71:$S$71</c:f>
              <c:numCache>
                <c:formatCode>0.0</c:formatCode>
                <c:ptCount val="5"/>
                <c:pt idx="0">
                  <c:v>0</c:v>
                </c:pt>
                <c:pt idx="1">
                  <c:v>4</c:v>
                </c:pt>
                <c:pt idx="2">
                  <c:v>8</c:v>
                </c:pt>
                <c:pt idx="3">
                  <c:v>12</c:v>
                </c:pt>
                <c:pt idx="4">
                  <c:v>16</c:v>
                </c:pt>
              </c:numCache>
            </c:numRef>
          </c:xVal>
          <c:yVal>
            <c:numRef>
              <c:f>'1% Wind'!$O$74:$S$74</c:f>
              <c:numCache>
                <c:formatCode>General</c:formatCode>
                <c:ptCount val="5"/>
                <c:pt idx="2">
                  <c:v>1</c:v>
                </c:pt>
                <c:pt idx="3">
                  <c:v>1</c:v>
                </c:pt>
              </c:numCache>
            </c:numRef>
          </c:yVal>
          <c:smooth val="0"/>
          <c:extLst>
            <c:ext xmlns:c16="http://schemas.microsoft.com/office/drawing/2014/chart" uri="{C3380CC4-5D6E-409C-BE32-E72D297353CC}">
              <c16:uniqueId val="{00000001-4682-43F1-91BD-0DB950594443}"/>
            </c:ext>
          </c:extLst>
        </c:ser>
        <c:dLbls>
          <c:showLegendKey val="0"/>
          <c:showVal val="0"/>
          <c:showCatName val="0"/>
          <c:showSerName val="0"/>
          <c:showPercent val="0"/>
          <c:showBubbleSize val="0"/>
        </c:dLbls>
        <c:axId val="313986432"/>
        <c:axId val="315418112"/>
      </c:scatterChart>
      <c:valAx>
        <c:axId val="313986432"/>
        <c:scaling>
          <c:orientation val="minMax"/>
          <c:max val="16"/>
        </c:scaling>
        <c:delete val="0"/>
        <c:axPos val="b"/>
        <c:majorGridlines>
          <c:spPr>
            <a:ln w="12700">
              <a:solidFill>
                <a:srgbClr val="000000"/>
              </a:solidFill>
              <a:prstDash val="sysDash"/>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Wind Speed (m/s)</a:t>
                </a:r>
              </a:p>
            </c:rich>
          </c:tx>
          <c:layout>
            <c:manualLayout>
              <c:xMode val="edge"/>
              <c:yMode val="edge"/>
              <c:x val="0.46968258900264992"/>
              <c:y val="0.9202566904017380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315418112"/>
        <c:crossesAt val="0.01"/>
        <c:crossBetween val="midCat"/>
      </c:valAx>
      <c:valAx>
        <c:axId val="315418112"/>
        <c:scaling>
          <c:logBase val="10"/>
          <c:orientation val="minMax"/>
          <c:max val="100"/>
          <c:min val="0.01"/>
        </c:scaling>
        <c:delete val="0"/>
        <c:axPos val="l"/>
        <c:majorGridlines>
          <c:spPr>
            <a:ln w="12700">
              <a:solidFill>
                <a:srgbClr val="000000"/>
              </a:solidFill>
              <a:prstDash val="solid"/>
            </a:ln>
          </c:spPr>
        </c:majorGridlines>
        <c:minorGridlines>
          <c:spPr>
            <a:ln w="12700">
              <a:solidFill>
                <a:srgbClr val="000000"/>
              </a:solidFill>
              <a:prstDash val="sysDash"/>
            </a:ln>
          </c:spPr>
        </c:minorGridlines>
        <c:title>
          <c:tx>
            <c:rich>
              <a:bodyPr/>
              <a:lstStyle/>
              <a:p>
                <a:pPr>
                  <a:defRPr sz="1400" b="1" i="0" u="none" strike="noStrike" baseline="0">
                    <a:solidFill>
                      <a:srgbClr val="000000"/>
                    </a:solidFill>
                    <a:latin typeface="Times New Roman"/>
                    <a:ea typeface="Times New Roman"/>
                    <a:cs typeface="Times New Roman"/>
                  </a:defRPr>
                </a:pPr>
                <a:r>
                  <a:rPr lang="en-US"/>
                  <a:t>Time Exceeded (%)</a:t>
                </a:r>
              </a:p>
            </c:rich>
          </c:tx>
          <c:layout>
            <c:manualLayout>
              <c:xMode val="edge"/>
              <c:yMode val="edge"/>
              <c:x val="1.5399422521655439E-2"/>
              <c:y val="0.315789976013763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313986432"/>
        <c:crosses val="autoZero"/>
        <c:crossBetween val="midCat"/>
      </c:valAx>
      <c:spPr>
        <a:noFill/>
        <a:ln w="25400">
          <a:solidFill>
            <a:srgbClr val="000000"/>
          </a:solidFill>
          <a:prstDash val="solid"/>
        </a:ln>
      </c:spPr>
    </c:plotArea>
    <c:plotVisOnly val="1"/>
    <c:dispBlanksAs val="gap"/>
    <c:showDLblsOverMax val="0"/>
  </c:chart>
  <c:spPr>
    <a:solidFill>
      <a:srgbClr val="FFFFFF"/>
    </a:solidFill>
    <a:ln w="9525">
      <a:noFill/>
    </a:ln>
  </c:spPr>
  <c:txPr>
    <a:bodyPr/>
    <a:lstStyle/>
    <a:p>
      <a:pPr>
        <a:defRPr sz="2175"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Predicted</a:t>
            </a:r>
            <a:r>
              <a:rPr lang="en-US" baseline="0"/>
              <a:t> vs Measured</a:t>
            </a:r>
            <a:endParaRPr lang="en-US"/>
          </a:p>
        </c:rich>
      </c:tx>
      <c:overlay val="0"/>
    </c:title>
    <c:autoTitleDeleted val="0"/>
    <c:plotArea>
      <c:layout/>
      <c:scatterChart>
        <c:scatterStyle val="lineMarker"/>
        <c:varyColors val="0"/>
        <c:ser>
          <c:idx val="0"/>
          <c:order val="0"/>
          <c:tx>
            <c:v>Data</c:v>
          </c:tx>
          <c:spPr>
            <a:ln w="28575">
              <a:noFill/>
            </a:ln>
          </c:spPr>
          <c:xVal>
            <c:numRef>
              <c:f>'ASHRAE SCREENING TOOL'!$J$17:$J$50</c:f>
              <c:numCache>
                <c:formatCode>_(* #,##0_______);_(* \(#,##0_______);_(* #,##0_______);_(@_)</c:formatCode>
                <c:ptCount val="34"/>
                <c:pt idx="0">
                  <c:v>0</c:v>
                </c:pt>
                <c:pt idx="1">
                  <c:v>0</c:v>
                </c:pt>
                <c:pt idx="2">
                  <c:v>0</c:v>
                </c:pt>
                <c:pt idx="3">
                  <c:v>0</c:v>
                </c:pt>
                <c:pt idx="4">
                  <c:v>0</c:v>
                </c:pt>
                <c:pt idx="5">
                  <c:v>0</c:v>
                </c:pt>
                <c:pt idx="6">
                  <c:v>0</c:v>
                </c:pt>
                <c:pt idx="7">
                  <c:v>0</c:v>
                </c:pt>
                <c:pt idx="8">
                  <c:v>0</c:v>
                </c:pt>
                <c:pt idx="9">
                  <c:v>0</c:v>
                </c:pt>
                <c:pt idx="15">
                  <c:v>0</c:v>
                </c:pt>
                <c:pt idx="16">
                  <c:v>0</c:v>
                </c:pt>
                <c:pt idx="17">
                  <c:v>0</c:v>
                </c:pt>
                <c:pt idx="18">
                  <c:v>0</c:v>
                </c:pt>
                <c:pt idx="19">
                  <c:v>0</c:v>
                </c:pt>
                <c:pt idx="20">
                  <c:v>0</c:v>
                </c:pt>
                <c:pt idx="21">
                  <c:v>0</c:v>
                </c:pt>
                <c:pt idx="22">
                  <c:v>0</c:v>
                </c:pt>
                <c:pt idx="23">
                  <c:v>0</c:v>
                </c:pt>
                <c:pt idx="24">
                  <c:v>0</c:v>
                </c:pt>
              </c:numCache>
            </c:numRef>
          </c:xVal>
          <c:yVal>
            <c:numRef>
              <c:f>'ASHRAE SCREENING TOOL'!$CS$17:$CS$50</c:f>
              <c:numCache>
                <c:formatCode>_(* #,##0_);_(* \(#,##0\);_(* "-"??_);_(@_)</c:formatCode>
                <c:ptCount val="34"/>
                <c:pt idx="0">
                  <c:v>4796.8716024855066</c:v>
                </c:pt>
                <c:pt idx="1">
                  <c:v>2998.1307030653898</c:v>
                </c:pt>
                <c:pt idx="2">
                  <c:v>2133.1905132306429</c:v>
                </c:pt>
                <c:pt idx="3">
                  <c:v>894.77012614025477</c:v>
                </c:pt>
                <c:pt idx="4">
                  <c:v>575.8729316638636</c:v>
                </c:pt>
                <c:pt idx="5">
                  <c:v>1144.4877407186282</c:v>
                </c:pt>
                <c:pt idx="6">
                  <c:v>763.7807459533924</c:v>
                </c:pt>
                <c:pt idx="7">
                  <c:v>1711.2042386942981</c:v>
                </c:pt>
                <c:pt idx="8">
                  <c:v>1244.9192276302183</c:v>
                </c:pt>
                <c:pt idx="9">
                  <c:v>1193.9379312666738</c:v>
                </c:pt>
                <c:pt idx="15">
                  <c:v>4796.8716024855066</c:v>
                </c:pt>
                <c:pt idx="16">
                  <c:v>2998.1307030653898</c:v>
                </c:pt>
                <c:pt idx="17">
                  <c:v>2133.1905132306429</c:v>
                </c:pt>
                <c:pt idx="18">
                  <c:v>894.77012614025477</c:v>
                </c:pt>
                <c:pt idx="19">
                  <c:v>575.8729316638636</c:v>
                </c:pt>
                <c:pt idx="20">
                  <c:v>1144.4877407186282</c:v>
                </c:pt>
                <c:pt idx="21">
                  <c:v>763.7807459533924</c:v>
                </c:pt>
                <c:pt idx="22">
                  <c:v>1711.2042386942981</c:v>
                </c:pt>
                <c:pt idx="23">
                  <c:v>1244.9192276302183</c:v>
                </c:pt>
                <c:pt idx="24">
                  <c:v>1193.9379312666738</c:v>
                </c:pt>
              </c:numCache>
            </c:numRef>
          </c:yVal>
          <c:smooth val="0"/>
          <c:extLst>
            <c:ext xmlns:c16="http://schemas.microsoft.com/office/drawing/2014/chart" uri="{C3380CC4-5D6E-409C-BE32-E72D297353CC}">
              <c16:uniqueId val="{00000000-16A6-491C-9282-DCFAD4C4B218}"/>
            </c:ext>
          </c:extLst>
        </c:ser>
        <c:ser>
          <c:idx val="1"/>
          <c:order val="1"/>
          <c:tx>
            <c:v>'1:1</c:v>
          </c:tx>
          <c:spPr>
            <a:ln w="12700">
              <a:solidFill>
                <a:schemeClr val="tx1"/>
              </a:solidFill>
            </a:ln>
          </c:spPr>
          <c:xVal>
            <c:numRef>
              <c:f>'ASHRAE SCREENING TOOL'!$J$17:$J$50</c:f>
              <c:numCache>
                <c:formatCode>_(* #,##0_______);_(* \(#,##0_______);_(* #,##0_______);_(@_)</c:formatCode>
                <c:ptCount val="34"/>
                <c:pt idx="0">
                  <c:v>0</c:v>
                </c:pt>
                <c:pt idx="1">
                  <c:v>0</c:v>
                </c:pt>
                <c:pt idx="2">
                  <c:v>0</c:v>
                </c:pt>
                <c:pt idx="3">
                  <c:v>0</c:v>
                </c:pt>
                <c:pt idx="4">
                  <c:v>0</c:v>
                </c:pt>
                <c:pt idx="5">
                  <c:v>0</c:v>
                </c:pt>
                <c:pt idx="6">
                  <c:v>0</c:v>
                </c:pt>
                <c:pt idx="7">
                  <c:v>0</c:v>
                </c:pt>
                <c:pt idx="8">
                  <c:v>0</c:v>
                </c:pt>
                <c:pt idx="9">
                  <c:v>0</c:v>
                </c:pt>
                <c:pt idx="15">
                  <c:v>0</c:v>
                </c:pt>
                <c:pt idx="16">
                  <c:v>0</c:v>
                </c:pt>
                <c:pt idx="17">
                  <c:v>0</c:v>
                </c:pt>
                <c:pt idx="18">
                  <c:v>0</c:v>
                </c:pt>
                <c:pt idx="19">
                  <c:v>0</c:v>
                </c:pt>
                <c:pt idx="20">
                  <c:v>0</c:v>
                </c:pt>
                <c:pt idx="21">
                  <c:v>0</c:v>
                </c:pt>
                <c:pt idx="22">
                  <c:v>0</c:v>
                </c:pt>
                <c:pt idx="23">
                  <c:v>0</c:v>
                </c:pt>
                <c:pt idx="24">
                  <c:v>0</c:v>
                </c:pt>
              </c:numCache>
            </c:numRef>
          </c:xVal>
          <c:yVal>
            <c:numRef>
              <c:f>'ASHRAE SCREENING TOOL'!$J$17:$J$50</c:f>
              <c:numCache>
                <c:formatCode>_(* #,##0_______);_(* \(#,##0_______);_(* #,##0_______);_(@_)</c:formatCode>
                <c:ptCount val="34"/>
                <c:pt idx="0">
                  <c:v>0</c:v>
                </c:pt>
                <c:pt idx="1">
                  <c:v>0</c:v>
                </c:pt>
                <c:pt idx="2">
                  <c:v>0</c:v>
                </c:pt>
                <c:pt idx="3">
                  <c:v>0</c:v>
                </c:pt>
                <c:pt idx="4">
                  <c:v>0</c:v>
                </c:pt>
                <c:pt idx="5">
                  <c:v>0</c:v>
                </c:pt>
                <c:pt idx="6">
                  <c:v>0</c:v>
                </c:pt>
                <c:pt idx="7">
                  <c:v>0</c:v>
                </c:pt>
                <c:pt idx="8">
                  <c:v>0</c:v>
                </c:pt>
                <c:pt idx="9">
                  <c:v>0</c:v>
                </c:pt>
                <c:pt idx="15">
                  <c:v>0</c:v>
                </c:pt>
                <c:pt idx="16">
                  <c:v>0</c:v>
                </c:pt>
                <c:pt idx="17">
                  <c:v>0</c:v>
                </c:pt>
                <c:pt idx="18">
                  <c:v>0</c:v>
                </c:pt>
                <c:pt idx="19">
                  <c:v>0</c:v>
                </c:pt>
                <c:pt idx="20">
                  <c:v>0</c:v>
                </c:pt>
                <c:pt idx="21">
                  <c:v>0</c:v>
                </c:pt>
                <c:pt idx="22">
                  <c:v>0</c:v>
                </c:pt>
                <c:pt idx="23">
                  <c:v>0</c:v>
                </c:pt>
                <c:pt idx="24">
                  <c:v>0</c:v>
                </c:pt>
              </c:numCache>
            </c:numRef>
          </c:yVal>
          <c:smooth val="0"/>
          <c:extLst>
            <c:ext xmlns:c16="http://schemas.microsoft.com/office/drawing/2014/chart" uri="{C3380CC4-5D6E-409C-BE32-E72D297353CC}">
              <c16:uniqueId val="{00000001-16A6-491C-9282-DCFAD4C4B218}"/>
            </c:ext>
          </c:extLst>
        </c:ser>
        <c:dLbls>
          <c:showLegendKey val="0"/>
          <c:showVal val="0"/>
          <c:showCatName val="0"/>
          <c:showSerName val="0"/>
          <c:showPercent val="0"/>
          <c:showBubbleSize val="0"/>
        </c:dLbls>
        <c:axId val="128922368"/>
        <c:axId val="128924288"/>
      </c:scatterChart>
      <c:valAx>
        <c:axId val="128922368"/>
        <c:scaling>
          <c:orientation val="minMax"/>
        </c:scaling>
        <c:delete val="0"/>
        <c:axPos val="b"/>
        <c:title>
          <c:tx>
            <c:rich>
              <a:bodyPr/>
              <a:lstStyle/>
              <a:p>
                <a:pPr>
                  <a:defRPr sz="1200"/>
                </a:pPr>
                <a:r>
                  <a:rPr lang="en-US" sz="1200"/>
                  <a:t>Measured Concentration</a:t>
                </a:r>
              </a:p>
            </c:rich>
          </c:tx>
          <c:overlay val="0"/>
        </c:title>
        <c:numFmt formatCode="_(* #,##0_______);_(* \(#,##0_______);_(* #,##0_______);_(@_)" sourceLinked="1"/>
        <c:majorTickMark val="none"/>
        <c:minorTickMark val="none"/>
        <c:tickLblPos val="nextTo"/>
        <c:crossAx val="128924288"/>
        <c:crosses val="autoZero"/>
        <c:crossBetween val="midCat"/>
      </c:valAx>
      <c:valAx>
        <c:axId val="128924288"/>
        <c:scaling>
          <c:orientation val="minMax"/>
        </c:scaling>
        <c:delete val="0"/>
        <c:axPos val="l"/>
        <c:majorGridlines/>
        <c:title>
          <c:tx>
            <c:rich>
              <a:bodyPr/>
              <a:lstStyle/>
              <a:p>
                <a:pPr>
                  <a:defRPr sz="1200"/>
                </a:pPr>
                <a:r>
                  <a:rPr lang="en-US" sz="1200"/>
                  <a:t>Predicted Concentration</a:t>
                </a:r>
              </a:p>
            </c:rich>
          </c:tx>
          <c:overlay val="0"/>
        </c:title>
        <c:numFmt formatCode="_(* #,##0_);_(* \(#,##0\);_(* &quot;-&quot;_);_(@_)" sourceLinked="0"/>
        <c:majorTickMark val="none"/>
        <c:minorTickMark val="none"/>
        <c:tickLblPos val="nextTo"/>
        <c:crossAx val="12892236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111A 20ft BSL2-2</a:t>
            </a:r>
          </a:p>
        </c:rich>
      </c:tx>
      <c:overlay val="0"/>
    </c:title>
    <c:autoTitleDeleted val="0"/>
    <c:plotArea>
      <c:layout/>
      <c:scatterChart>
        <c:scatterStyle val="lineMarker"/>
        <c:varyColors val="0"/>
        <c:ser>
          <c:idx val="6"/>
          <c:order val="6"/>
          <c:spPr>
            <a:ln w="28575">
              <a:noFill/>
            </a:ln>
          </c:spPr>
          <c:xVal>
            <c:numRef>
              <c:f>'fit and interpolation'!$H$116:$H$123</c:f>
              <c:numCache>
                <c:formatCode>General</c:formatCode>
                <c:ptCount val="8"/>
                <c:pt idx="0">
                  <c:v>14.1</c:v>
                </c:pt>
                <c:pt idx="1">
                  <c:v>16.8</c:v>
                </c:pt>
                <c:pt idx="2">
                  <c:v>20</c:v>
                </c:pt>
              </c:numCache>
            </c:numRef>
          </c:xVal>
          <c:yVal>
            <c:numRef>
              <c:f>'fit and interpolation'!$I$116:$I$123</c:f>
              <c:numCache>
                <c:formatCode>General</c:formatCode>
                <c:ptCount val="8"/>
                <c:pt idx="0">
                  <c:v>102</c:v>
                </c:pt>
                <c:pt idx="1">
                  <c:v>124</c:v>
                </c:pt>
                <c:pt idx="2">
                  <c:v>193</c:v>
                </c:pt>
              </c:numCache>
            </c:numRef>
          </c:yVal>
          <c:smooth val="0"/>
          <c:extLst>
            <c:ext xmlns:c16="http://schemas.microsoft.com/office/drawing/2014/chart" uri="{C3380CC4-5D6E-409C-BE32-E72D297353CC}">
              <c16:uniqueId val="{00000000-8C82-4619-A0E1-EE28F825AF8F}"/>
            </c:ext>
          </c:extLst>
        </c:ser>
        <c:ser>
          <c:idx val="7"/>
          <c:order val="7"/>
          <c:spPr>
            <a:ln w="28575">
              <a:noFill/>
            </a:ln>
          </c:spPr>
          <c:xVal>
            <c:numRef>
              <c:f>'fit and interpolation'!$H$127</c:f>
              <c:numCache>
                <c:formatCode>General</c:formatCode>
                <c:ptCount val="1"/>
                <c:pt idx="0">
                  <c:v>10.7</c:v>
                </c:pt>
              </c:numCache>
            </c:numRef>
          </c:xVal>
          <c:yVal>
            <c:numRef>
              <c:f>'fit and interpolation'!$I$127</c:f>
              <c:numCache>
                <c:formatCode>0.0</c:formatCode>
                <c:ptCount val="1"/>
                <c:pt idx="0">
                  <c:v>75.06795303533319</c:v>
                </c:pt>
              </c:numCache>
            </c:numRef>
          </c:yVal>
          <c:smooth val="0"/>
          <c:extLst>
            <c:ext xmlns:c16="http://schemas.microsoft.com/office/drawing/2014/chart" uri="{C3380CC4-5D6E-409C-BE32-E72D297353CC}">
              <c16:uniqueId val="{00000001-8C82-4619-A0E1-EE28F825AF8F}"/>
            </c:ext>
          </c:extLst>
        </c:ser>
        <c:ser>
          <c:idx val="0"/>
          <c:order val="0"/>
          <c:spPr>
            <a:ln w="28575">
              <a:noFill/>
            </a:ln>
          </c:spPr>
          <c:xVal>
            <c:numRef>
              <c:f>'fit and interpolation'!$H$116:$H$123</c:f>
              <c:numCache>
                <c:formatCode>General</c:formatCode>
                <c:ptCount val="8"/>
                <c:pt idx="0">
                  <c:v>14.1</c:v>
                </c:pt>
                <c:pt idx="1">
                  <c:v>16.8</c:v>
                </c:pt>
                <c:pt idx="2">
                  <c:v>20</c:v>
                </c:pt>
              </c:numCache>
            </c:numRef>
          </c:xVal>
          <c:yVal>
            <c:numRef>
              <c:f>'fit and interpolation'!$I$116:$I$123</c:f>
              <c:numCache>
                <c:formatCode>General</c:formatCode>
                <c:ptCount val="8"/>
                <c:pt idx="0">
                  <c:v>102</c:v>
                </c:pt>
                <c:pt idx="1">
                  <c:v>124</c:v>
                </c:pt>
                <c:pt idx="2">
                  <c:v>193</c:v>
                </c:pt>
              </c:numCache>
            </c:numRef>
          </c:yVal>
          <c:smooth val="0"/>
          <c:extLst>
            <c:ext xmlns:c16="http://schemas.microsoft.com/office/drawing/2014/chart" uri="{C3380CC4-5D6E-409C-BE32-E72D297353CC}">
              <c16:uniqueId val="{00000002-8C82-4619-A0E1-EE28F825AF8F}"/>
            </c:ext>
          </c:extLst>
        </c:ser>
        <c:ser>
          <c:idx val="1"/>
          <c:order val="1"/>
          <c:spPr>
            <a:ln w="28575">
              <a:noFill/>
            </a:ln>
          </c:spPr>
          <c:xVal>
            <c:numRef>
              <c:f>'fit and interpolation'!$H$127</c:f>
              <c:numCache>
                <c:formatCode>General</c:formatCode>
                <c:ptCount val="1"/>
                <c:pt idx="0">
                  <c:v>10.7</c:v>
                </c:pt>
              </c:numCache>
            </c:numRef>
          </c:xVal>
          <c:yVal>
            <c:numRef>
              <c:f>'fit and interpolation'!$I$127</c:f>
              <c:numCache>
                <c:formatCode>0.0</c:formatCode>
                <c:ptCount val="1"/>
                <c:pt idx="0">
                  <c:v>75.06795303533319</c:v>
                </c:pt>
              </c:numCache>
            </c:numRef>
          </c:yVal>
          <c:smooth val="0"/>
          <c:extLst>
            <c:ext xmlns:c16="http://schemas.microsoft.com/office/drawing/2014/chart" uri="{C3380CC4-5D6E-409C-BE32-E72D297353CC}">
              <c16:uniqueId val="{00000003-8C82-4619-A0E1-EE28F825AF8F}"/>
            </c:ext>
          </c:extLst>
        </c:ser>
        <c:ser>
          <c:idx val="2"/>
          <c:order val="2"/>
          <c:spPr>
            <a:ln w="28575">
              <a:solidFill>
                <a:srgbClr val="FF00FF"/>
              </a:solidFill>
            </a:ln>
          </c:spPr>
          <c:marker>
            <c:symbol val="none"/>
          </c:marker>
          <c:xVal>
            <c:numRef>
              <c:f>'fit and interpolation'!$W$117:$W$130</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interpolation'!$X$117:$X$130</c:f>
              <c:numCache>
                <c:formatCode>0.0</c:formatCode>
                <c:ptCount val="14"/>
                <c:pt idx="0">
                  <c:v>2.0425483710531174E-194</c:v>
                </c:pt>
                <c:pt idx="1">
                  <c:v>2.0570318508016435E-42</c:v>
                </c:pt>
                <c:pt idx="2">
                  <c:v>7.1360741622859795E-16</c:v>
                </c:pt>
                <c:pt idx="3">
                  <c:v>3.9780264913064022E-7</c:v>
                </c:pt>
                <c:pt idx="4">
                  <c:v>2.510408447235042E-3</c:v>
                </c:pt>
                <c:pt idx="5">
                  <c:v>2.5895023104232604</c:v>
                </c:pt>
                <c:pt idx="6">
                  <c:v>29.826767789193724</c:v>
                </c:pt>
                <c:pt idx="7">
                  <c:v>83.589116766787328</c:v>
                </c:pt>
                <c:pt idx="8">
                  <c:v>134.32525747266615</c:v>
                </c:pt>
                <c:pt idx="9">
                  <c:v>167.97267208584438</c:v>
                </c:pt>
                <c:pt idx="10">
                  <c:v>190.04446861902903</c:v>
                </c:pt>
                <c:pt idx="11">
                  <c:v>192.45372241447438</c:v>
                </c:pt>
                <c:pt idx="12">
                  <c:v>186.4136197075226</c:v>
                </c:pt>
                <c:pt idx="13">
                  <c:v>171.10848984954126</c:v>
                </c:pt>
              </c:numCache>
            </c:numRef>
          </c:yVal>
          <c:smooth val="0"/>
          <c:extLst>
            <c:ext xmlns:c16="http://schemas.microsoft.com/office/drawing/2014/chart" uri="{C3380CC4-5D6E-409C-BE32-E72D297353CC}">
              <c16:uniqueId val="{00000004-8C82-4619-A0E1-EE28F825AF8F}"/>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5-8C82-4619-A0E1-EE28F825AF8F}"/>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6-8C82-4619-A0E1-EE28F825AF8F}"/>
            </c:ext>
          </c:extLst>
        </c:ser>
        <c:ser>
          <c:idx val="5"/>
          <c:order val="5"/>
          <c:spPr>
            <a:ln w="28575">
              <a:solidFill>
                <a:schemeClr val="accent6">
                  <a:lumMod val="75000"/>
                </a:schemeClr>
              </a:solidFill>
            </a:ln>
          </c:spPr>
          <c:marker>
            <c:symbol val="none"/>
          </c:marker>
          <c:xVal>
            <c:numRef>
              <c:f>'fit and interpolation'!$Z$117:$Z$130</c:f>
              <c:numCache>
                <c:formatCode>0.0</c:formatCode>
                <c:ptCount val="14"/>
                <c:pt idx="0">
                  <c:v>0.48780487804878059</c:v>
                </c:pt>
                <c:pt idx="1">
                  <c:v>0.97560975609756118</c:v>
                </c:pt>
                <c:pt idx="2">
                  <c:v>1.4634146341463419</c:v>
                </c:pt>
                <c:pt idx="3">
                  <c:v>1.9512195121951224</c:v>
                </c:pt>
                <c:pt idx="4">
                  <c:v>2.4390243902439028</c:v>
                </c:pt>
                <c:pt idx="5">
                  <c:v>3.4146341463414638</c:v>
                </c:pt>
                <c:pt idx="6">
                  <c:v>4.3902439024390256</c:v>
                </c:pt>
                <c:pt idx="7">
                  <c:v>5.3658536585365857</c:v>
                </c:pt>
                <c:pt idx="8">
                  <c:v>6.3414634146341475</c:v>
                </c:pt>
                <c:pt idx="9">
                  <c:v>7.3170731707317085</c:v>
                </c:pt>
                <c:pt idx="10">
                  <c:v>8.7804878048780513</c:v>
                </c:pt>
                <c:pt idx="11">
                  <c:v>10.24390243902439</c:v>
                </c:pt>
                <c:pt idx="12">
                  <c:v>11.707317073170735</c:v>
                </c:pt>
                <c:pt idx="13">
                  <c:v>14.146341463414638</c:v>
                </c:pt>
              </c:numCache>
            </c:numRef>
          </c:xVal>
          <c:yVal>
            <c:numRef>
              <c:f>'fit and interpolation'!$AA$117:$AA$130</c:f>
              <c:numCache>
                <c:formatCode>0.0</c:formatCode>
                <c:ptCount val="14"/>
                <c:pt idx="0">
                  <c:v>4.1872241606588901E-194</c:v>
                </c:pt>
                <c:pt idx="1">
                  <c:v>4.2169152941433689E-42</c:v>
                </c:pt>
                <c:pt idx="2">
                  <c:v>1.4628952032686257E-15</c:v>
                </c:pt>
                <c:pt idx="3">
                  <c:v>8.1549543071781236E-7</c:v>
                </c:pt>
                <c:pt idx="4">
                  <c:v>5.1463373168318359E-3</c:v>
                </c:pt>
                <c:pt idx="5">
                  <c:v>5.3084797363676834</c:v>
                </c:pt>
                <c:pt idx="6">
                  <c:v>61.144873967847126</c:v>
                </c:pt>
                <c:pt idx="7">
                  <c:v>171.35768937191401</c:v>
                </c:pt>
                <c:pt idx="8">
                  <c:v>275.3667778189656</c:v>
                </c:pt>
                <c:pt idx="9">
                  <c:v>344.34397777598093</c:v>
                </c:pt>
                <c:pt idx="10">
                  <c:v>389.59116066900947</c:v>
                </c:pt>
                <c:pt idx="11">
                  <c:v>394.53013094967247</c:v>
                </c:pt>
                <c:pt idx="12">
                  <c:v>382.1479204004213</c:v>
                </c:pt>
                <c:pt idx="13">
                  <c:v>350.77240419155953</c:v>
                </c:pt>
              </c:numCache>
            </c:numRef>
          </c:yVal>
          <c:smooth val="0"/>
          <c:extLst>
            <c:ext xmlns:c16="http://schemas.microsoft.com/office/drawing/2014/chart" uri="{C3380CC4-5D6E-409C-BE32-E72D297353CC}">
              <c16:uniqueId val="{00000007-8C82-4619-A0E1-EE28F825AF8F}"/>
            </c:ext>
          </c:extLst>
        </c:ser>
        <c:dLbls>
          <c:showLegendKey val="0"/>
          <c:showVal val="0"/>
          <c:showCatName val="0"/>
          <c:showSerName val="0"/>
          <c:showPercent val="0"/>
          <c:showBubbleSize val="0"/>
        </c:dLbls>
        <c:axId val="133601920"/>
        <c:axId val="133616384"/>
      </c:scatterChart>
      <c:valAx>
        <c:axId val="133601920"/>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3616384"/>
        <c:crosses val="autoZero"/>
        <c:crossBetween val="midCat"/>
      </c:valAx>
      <c:valAx>
        <c:axId val="133616384"/>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3601920"/>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102A 10ft BSL2-2</a:t>
            </a:r>
          </a:p>
        </c:rich>
      </c:tx>
      <c:overlay val="0"/>
    </c:title>
    <c:autoTitleDeleted val="0"/>
    <c:plotArea>
      <c:layout/>
      <c:scatterChart>
        <c:scatterStyle val="lineMarker"/>
        <c:varyColors val="0"/>
        <c:ser>
          <c:idx val="0"/>
          <c:order val="0"/>
          <c:spPr>
            <a:ln w="28575">
              <a:noFill/>
            </a:ln>
          </c:spPr>
          <c:xVal>
            <c:numRef>
              <c:f>'fit and interpolation'!$H$41:$H$48</c:f>
              <c:numCache>
                <c:formatCode>General</c:formatCode>
                <c:ptCount val="8"/>
                <c:pt idx="0">
                  <c:v>10</c:v>
                </c:pt>
                <c:pt idx="1">
                  <c:v>11.9</c:v>
                </c:pt>
                <c:pt idx="2">
                  <c:v>14.1</c:v>
                </c:pt>
                <c:pt idx="3">
                  <c:v>16.8</c:v>
                </c:pt>
                <c:pt idx="4">
                  <c:v>16.8</c:v>
                </c:pt>
                <c:pt idx="5">
                  <c:v>20</c:v>
                </c:pt>
                <c:pt idx="6">
                  <c:v>20</c:v>
                </c:pt>
              </c:numCache>
            </c:numRef>
          </c:xVal>
          <c:yVal>
            <c:numRef>
              <c:f>'fit and interpolation'!$I$41:$I$48</c:f>
              <c:numCache>
                <c:formatCode>General</c:formatCode>
                <c:ptCount val="8"/>
                <c:pt idx="0">
                  <c:v>374</c:v>
                </c:pt>
                <c:pt idx="1">
                  <c:v>429</c:v>
                </c:pt>
                <c:pt idx="2">
                  <c:v>459</c:v>
                </c:pt>
                <c:pt idx="3">
                  <c:v>488</c:v>
                </c:pt>
                <c:pt idx="4">
                  <c:v>623</c:v>
                </c:pt>
                <c:pt idx="5">
                  <c:v>564</c:v>
                </c:pt>
                <c:pt idx="6">
                  <c:v>658</c:v>
                </c:pt>
              </c:numCache>
            </c:numRef>
          </c:yVal>
          <c:smooth val="0"/>
          <c:extLst>
            <c:ext xmlns:c16="http://schemas.microsoft.com/office/drawing/2014/chart" uri="{C3380CC4-5D6E-409C-BE32-E72D297353CC}">
              <c16:uniqueId val="{00000000-16B6-462D-A58B-F8D66DE39CBB}"/>
            </c:ext>
          </c:extLst>
        </c:ser>
        <c:ser>
          <c:idx val="1"/>
          <c:order val="1"/>
          <c:spPr>
            <a:ln w="28575">
              <a:noFill/>
            </a:ln>
          </c:spPr>
          <c:xVal>
            <c:numRef>
              <c:f>'fit and interpolation'!$H$52</c:f>
              <c:numCache>
                <c:formatCode>General</c:formatCode>
                <c:ptCount val="1"/>
                <c:pt idx="0">
                  <c:v>10.7</c:v>
                </c:pt>
              </c:numCache>
            </c:numRef>
          </c:xVal>
          <c:yVal>
            <c:numRef>
              <c:f>'fit and interpolation'!$I$52</c:f>
              <c:numCache>
                <c:formatCode>General</c:formatCode>
                <c:ptCount val="1"/>
                <c:pt idx="0">
                  <c:v>496</c:v>
                </c:pt>
              </c:numCache>
            </c:numRef>
          </c:yVal>
          <c:smooth val="0"/>
          <c:extLst>
            <c:ext xmlns:c16="http://schemas.microsoft.com/office/drawing/2014/chart" uri="{C3380CC4-5D6E-409C-BE32-E72D297353CC}">
              <c16:uniqueId val="{00000001-16B6-462D-A58B-F8D66DE39CBB}"/>
            </c:ext>
          </c:extLst>
        </c:ser>
        <c:ser>
          <c:idx val="2"/>
          <c:order val="2"/>
          <c:spPr>
            <a:ln w="28575">
              <a:solidFill>
                <a:srgbClr val="FF00FF"/>
              </a:solidFill>
            </a:ln>
          </c:spPr>
          <c:marker>
            <c:symbol val="none"/>
          </c:marker>
          <c:xVal>
            <c:numRef>
              <c:f>'fit and interpolation'!$W$42:$W$55</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interpolation'!$X$42:$X$55</c:f>
              <c:numCache>
                <c:formatCode>0.0</c:formatCode>
                <c:ptCount val="14"/>
                <c:pt idx="0">
                  <c:v>1.0607435653950082E-56</c:v>
                </c:pt>
                <c:pt idx="1">
                  <c:v>4.2318572134754008E-11</c:v>
                </c:pt>
                <c:pt idx="2">
                  <c:v>3.8778991222013213E-3</c:v>
                </c:pt>
                <c:pt idx="3">
                  <c:v>1.6310189322464625</c:v>
                </c:pt>
                <c:pt idx="4">
                  <c:v>22.515521849076229</c:v>
                </c:pt>
                <c:pt idx="5">
                  <c:v>180.51927962333326</c:v>
                </c:pt>
                <c:pt idx="6">
                  <c:v>375.78596757460923</c:v>
                </c:pt>
                <c:pt idx="7">
                  <c:v>511.92179717145399</c:v>
                </c:pt>
                <c:pt idx="8">
                  <c:v>590.20924152168402</c:v>
                </c:pt>
                <c:pt idx="9">
                  <c:v>631.14666277781294</c:v>
                </c:pt>
                <c:pt idx="10">
                  <c:v>654.96074444596718</c:v>
                </c:pt>
                <c:pt idx="11">
                  <c:v>657.44071401583676</c:v>
                </c:pt>
                <c:pt idx="12">
                  <c:v>651.18140848606777</c:v>
                </c:pt>
                <c:pt idx="13">
                  <c:v>634.65859860588125</c:v>
                </c:pt>
              </c:numCache>
            </c:numRef>
          </c:yVal>
          <c:smooth val="0"/>
          <c:extLst>
            <c:ext xmlns:c16="http://schemas.microsoft.com/office/drawing/2014/chart" uri="{C3380CC4-5D6E-409C-BE32-E72D297353CC}">
              <c16:uniqueId val="{00000002-16B6-462D-A58B-F8D66DE39CBB}"/>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3-16B6-462D-A58B-F8D66DE39CBB}"/>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4-16B6-462D-A58B-F8D66DE39CBB}"/>
            </c:ext>
          </c:extLst>
        </c:ser>
        <c:ser>
          <c:idx val="5"/>
          <c:order val="5"/>
          <c:spPr>
            <a:ln w="28575">
              <a:solidFill>
                <a:schemeClr val="accent6">
                  <a:lumMod val="75000"/>
                </a:schemeClr>
              </a:solidFill>
            </a:ln>
          </c:spPr>
          <c:marker>
            <c:symbol val="none"/>
          </c:marker>
          <c:xVal>
            <c:numRef>
              <c:f>'fit and interpolation'!$Z$42:$Z$55</c:f>
              <c:numCache>
                <c:formatCode>0.0</c:formatCode>
                <c:ptCount val="14"/>
                <c:pt idx="0">
                  <c:v>1.0869565217391304</c:v>
                </c:pt>
                <c:pt idx="1">
                  <c:v>2.1739130434782608</c:v>
                </c:pt>
                <c:pt idx="2">
                  <c:v>3.2608695652173911</c:v>
                </c:pt>
                <c:pt idx="3">
                  <c:v>4.3478260869565215</c:v>
                </c:pt>
                <c:pt idx="4">
                  <c:v>5.4347826086956514</c:v>
                </c:pt>
                <c:pt idx="5">
                  <c:v>7.6086956521739122</c:v>
                </c:pt>
                <c:pt idx="6">
                  <c:v>9.7826086956521721</c:v>
                </c:pt>
                <c:pt idx="7">
                  <c:v>11.956521739130432</c:v>
                </c:pt>
                <c:pt idx="8">
                  <c:v>14.130434782608695</c:v>
                </c:pt>
                <c:pt idx="9">
                  <c:v>16.304347826086953</c:v>
                </c:pt>
                <c:pt idx="10">
                  <c:v>19.565217391304344</c:v>
                </c:pt>
                <c:pt idx="11">
                  <c:v>22.826086956521735</c:v>
                </c:pt>
                <c:pt idx="12">
                  <c:v>26.086956521739129</c:v>
                </c:pt>
                <c:pt idx="13">
                  <c:v>31.521739130434781</c:v>
                </c:pt>
              </c:numCache>
            </c:numRef>
          </c:xVal>
          <c:yVal>
            <c:numRef>
              <c:f>'fit and interpolation'!$AA$42:$AA$55</c:f>
              <c:numCache>
                <c:formatCode>0.0</c:formatCode>
                <c:ptCount val="14"/>
                <c:pt idx="0">
                  <c:v>9.7588408016340758E-57</c:v>
                </c:pt>
                <c:pt idx="1">
                  <c:v>3.8933086363973693E-11</c:v>
                </c:pt>
                <c:pt idx="2">
                  <c:v>3.5676671924252156E-3</c:v>
                </c:pt>
                <c:pt idx="3">
                  <c:v>1.5005374176667456</c:v>
                </c:pt>
                <c:pt idx="4">
                  <c:v>20.714280101150131</c:v>
                </c:pt>
                <c:pt idx="5">
                  <c:v>166.07773725346661</c:v>
                </c:pt>
                <c:pt idx="6">
                  <c:v>345.72309016864051</c:v>
                </c:pt>
                <c:pt idx="7">
                  <c:v>470.96805339773766</c:v>
                </c:pt>
                <c:pt idx="8">
                  <c:v>542.99250219994929</c:v>
                </c:pt>
                <c:pt idx="9">
                  <c:v>580.65492975558789</c:v>
                </c:pt>
                <c:pt idx="10">
                  <c:v>602.56388489028984</c:v>
                </c:pt>
                <c:pt idx="11">
                  <c:v>604.84545689456979</c:v>
                </c:pt>
                <c:pt idx="12">
                  <c:v>599.08689580718237</c:v>
                </c:pt>
                <c:pt idx="13">
                  <c:v>583.88591071741075</c:v>
                </c:pt>
              </c:numCache>
            </c:numRef>
          </c:yVal>
          <c:smooth val="0"/>
          <c:extLst>
            <c:ext xmlns:c16="http://schemas.microsoft.com/office/drawing/2014/chart" uri="{C3380CC4-5D6E-409C-BE32-E72D297353CC}">
              <c16:uniqueId val="{00000005-16B6-462D-A58B-F8D66DE39CBB}"/>
            </c:ext>
          </c:extLst>
        </c:ser>
        <c:dLbls>
          <c:showLegendKey val="0"/>
          <c:showVal val="0"/>
          <c:showCatName val="0"/>
          <c:showSerName val="0"/>
          <c:showPercent val="0"/>
          <c:showBubbleSize val="0"/>
        </c:dLbls>
        <c:axId val="133655552"/>
        <c:axId val="133661824"/>
      </c:scatterChart>
      <c:valAx>
        <c:axId val="133655552"/>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3661824"/>
        <c:crosses val="autoZero"/>
        <c:crossBetween val="midCat"/>
      </c:valAx>
      <c:valAx>
        <c:axId val="133661824"/>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3655552"/>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122A 20ft BSL2-1</a:t>
            </a:r>
          </a:p>
        </c:rich>
      </c:tx>
      <c:overlay val="0"/>
    </c:title>
    <c:autoTitleDeleted val="0"/>
    <c:plotArea>
      <c:layout/>
      <c:scatterChart>
        <c:scatterStyle val="lineMarker"/>
        <c:varyColors val="0"/>
        <c:ser>
          <c:idx val="0"/>
          <c:order val="0"/>
          <c:spPr>
            <a:ln w="28575">
              <a:noFill/>
            </a:ln>
          </c:spPr>
          <c:xVal>
            <c:numRef>
              <c:f>'fit and interpolation'!$H$141:$H$148</c:f>
              <c:numCache>
                <c:formatCode>General</c:formatCode>
                <c:ptCount val="8"/>
                <c:pt idx="0">
                  <c:v>14.1</c:v>
                </c:pt>
                <c:pt idx="1">
                  <c:v>16.8</c:v>
                </c:pt>
                <c:pt idx="2">
                  <c:v>20</c:v>
                </c:pt>
              </c:numCache>
            </c:numRef>
          </c:xVal>
          <c:yVal>
            <c:numRef>
              <c:f>'fit and interpolation'!$I$141:$I$148</c:f>
              <c:numCache>
                <c:formatCode>General</c:formatCode>
                <c:ptCount val="8"/>
                <c:pt idx="0">
                  <c:v>153</c:v>
                </c:pt>
                <c:pt idx="1">
                  <c:v>175</c:v>
                </c:pt>
                <c:pt idx="2">
                  <c:v>242</c:v>
                </c:pt>
              </c:numCache>
            </c:numRef>
          </c:yVal>
          <c:smooth val="0"/>
          <c:extLst>
            <c:ext xmlns:c16="http://schemas.microsoft.com/office/drawing/2014/chart" uri="{C3380CC4-5D6E-409C-BE32-E72D297353CC}">
              <c16:uniqueId val="{00000000-FD95-4B9F-84F9-DC7D03D752D4}"/>
            </c:ext>
          </c:extLst>
        </c:ser>
        <c:ser>
          <c:idx val="1"/>
          <c:order val="1"/>
          <c:spPr>
            <a:ln w="28575">
              <a:noFill/>
            </a:ln>
          </c:spPr>
          <c:xVal>
            <c:numRef>
              <c:f>'fit and interpolation'!$H$152</c:f>
              <c:numCache>
                <c:formatCode>General</c:formatCode>
                <c:ptCount val="1"/>
                <c:pt idx="0">
                  <c:v>10.7</c:v>
                </c:pt>
              </c:numCache>
            </c:numRef>
          </c:xVal>
          <c:yVal>
            <c:numRef>
              <c:f>'fit and interpolation'!$I$152</c:f>
              <c:numCache>
                <c:formatCode>0.0</c:formatCode>
                <c:ptCount val="1"/>
                <c:pt idx="0">
                  <c:v>189.31658193237507</c:v>
                </c:pt>
              </c:numCache>
            </c:numRef>
          </c:yVal>
          <c:smooth val="0"/>
          <c:extLst>
            <c:ext xmlns:c16="http://schemas.microsoft.com/office/drawing/2014/chart" uri="{C3380CC4-5D6E-409C-BE32-E72D297353CC}">
              <c16:uniqueId val="{00000001-FD95-4B9F-84F9-DC7D03D752D4}"/>
            </c:ext>
          </c:extLst>
        </c:ser>
        <c:ser>
          <c:idx val="2"/>
          <c:order val="2"/>
          <c:spPr>
            <a:ln w="28575">
              <a:solidFill>
                <a:srgbClr val="FF00FF"/>
              </a:solidFill>
            </a:ln>
          </c:spPr>
          <c:marker>
            <c:symbol val="none"/>
          </c:marker>
          <c:xVal>
            <c:numRef>
              <c:f>'fit and interpolation'!$W$142:$W$155</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interpolation'!$X$142:$X$155</c:f>
              <c:numCache>
                <c:formatCode>0.0</c:formatCode>
                <c:ptCount val="14"/>
                <c:pt idx="0">
                  <c:v>2.6928693092837932E-49</c:v>
                </c:pt>
                <c:pt idx="1">
                  <c:v>8.9333249114233589E-10</c:v>
                </c:pt>
                <c:pt idx="2">
                  <c:v>7.1034593233282083E-3</c:v>
                </c:pt>
                <c:pt idx="3">
                  <c:v>1.3350085898241055</c:v>
                </c:pt>
                <c:pt idx="4">
                  <c:v>12.986855442880682</c:v>
                </c:pt>
                <c:pt idx="5">
                  <c:v>78.887229566176657</c:v>
                </c:pt>
                <c:pt idx="6">
                  <c:v>148.92516016615983</c:v>
                </c:pt>
                <c:pt idx="7">
                  <c:v>194.68361285052239</c:v>
                </c:pt>
                <c:pt idx="8">
                  <c:v>220.23759853629903</c:v>
                </c:pt>
                <c:pt idx="9">
                  <c:v>233.41701435819908</c:v>
                </c:pt>
                <c:pt idx="10">
                  <c:v>241.03095771204147</c:v>
                </c:pt>
                <c:pt idx="11">
                  <c:v>241.82172102923147</c:v>
                </c:pt>
                <c:pt idx="12">
                  <c:v>239.82510976190736</c:v>
                </c:pt>
                <c:pt idx="13">
                  <c:v>234.54224120943559</c:v>
                </c:pt>
              </c:numCache>
            </c:numRef>
          </c:yVal>
          <c:smooth val="0"/>
          <c:extLst>
            <c:ext xmlns:c16="http://schemas.microsoft.com/office/drawing/2014/chart" uri="{C3380CC4-5D6E-409C-BE32-E72D297353CC}">
              <c16:uniqueId val="{00000002-FD95-4B9F-84F9-DC7D03D752D4}"/>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3-FD95-4B9F-84F9-DC7D03D752D4}"/>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4-FD95-4B9F-84F9-DC7D03D752D4}"/>
            </c:ext>
          </c:extLst>
        </c:ser>
        <c:ser>
          <c:idx val="5"/>
          <c:order val="5"/>
          <c:spPr>
            <a:ln w="28575">
              <a:solidFill>
                <a:schemeClr val="accent6">
                  <a:lumMod val="75000"/>
                </a:schemeClr>
              </a:solidFill>
            </a:ln>
          </c:spPr>
          <c:marker>
            <c:symbol val="none"/>
          </c:marker>
          <c:xVal>
            <c:numRef>
              <c:f>'fit and interpolation'!$Z$142:$Z$155</c:f>
              <c:numCache>
                <c:formatCode>0.0</c:formatCode>
                <c:ptCount val="14"/>
                <c:pt idx="0">
                  <c:v>0.60606060606060608</c:v>
                </c:pt>
                <c:pt idx="1">
                  <c:v>1.2121212121212122</c:v>
                </c:pt>
                <c:pt idx="2">
                  <c:v>1.8181818181818181</c:v>
                </c:pt>
                <c:pt idx="3">
                  <c:v>2.4242424242424243</c:v>
                </c:pt>
                <c:pt idx="4">
                  <c:v>3.0303030303030307</c:v>
                </c:pt>
                <c:pt idx="5">
                  <c:v>4.2424242424242422</c:v>
                </c:pt>
                <c:pt idx="6">
                  <c:v>5.454545454545455</c:v>
                </c:pt>
                <c:pt idx="7">
                  <c:v>6.6666666666666679</c:v>
                </c:pt>
                <c:pt idx="8">
                  <c:v>7.8787878787878789</c:v>
                </c:pt>
                <c:pt idx="9">
                  <c:v>9.0909090909090917</c:v>
                </c:pt>
                <c:pt idx="10">
                  <c:v>10.90909090909091</c:v>
                </c:pt>
                <c:pt idx="11">
                  <c:v>12.727272727272727</c:v>
                </c:pt>
                <c:pt idx="12">
                  <c:v>14.545454545454545</c:v>
                </c:pt>
                <c:pt idx="13">
                  <c:v>17.575757575757578</c:v>
                </c:pt>
              </c:numCache>
            </c:numRef>
          </c:xVal>
          <c:yVal>
            <c:numRef>
              <c:f>'fit and interpolation'!$AA$142:$AA$155</c:f>
              <c:numCache>
                <c:formatCode>0.0</c:formatCode>
                <c:ptCount val="14"/>
                <c:pt idx="0">
                  <c:v>4.4432343603182582E-49</c:v>
                </c:pt>
                <c:pt idx="1">
                  <c:v>1.4739986103848541E-9</c:v>
                </c:pt>
                <c:pt idx="2">
                  <c:v>1.1720707883491542E-2</c:v>
                </c:pt>
                <c:pt idx="3">
                  <c:v>2.2027641732097738</c:v>
                </c:pt>
                <c:pt idx="4">
                  <c:v>21.428311480753123</c:v>
                </c:pt>
                <c:pt idx="5">
                  <c:v>130.16392878419148</c:v>
                </c:pt>
                <c:pt idx="6">
                  <c:v>245.72651427416369</c:v>
                </c:pt>
                <c:pt idx="7">
                  <c:v>321.22796120336193</c:v>
                </c:pt>
                <c:pt idx="8">
                  <c:v>363.39203758489339</c:v>
                </c:pt>
                <c:pt idx="9">
                  <c:v>385.13807369102847</c:v>
                </c:pt>
                <c:pt idx="10">
                  <c:v>397.70108022486841</c:v>
                </c:pt>
                <c:pt idx="11">
                  <c:v>399.00583969823191</c:v>
                </c:pt>
                <c:pt idx="12">
                  <c:v>395.71143110714712</c:v>
                </c:pt>
                <c:pt idx="13">
                  <c:v>386.99469799556869</c:v>
                </c:pt>
              </c:numCache>
            </c:numRef>
          </c:yVal>
          <c:smooth val="0"/>
          <c:extLst>
            <c:ext xmlns:c16="http://schemas.microsoft.com/office/drawing/2014/chart" uri="{C3380CC4-5D6E-409C-BE32-E72D297353CC}">
              <c16:uniqueId val="{00000005-FD95-4B9F-84F9-DC7D03D752D4}"/>
            </c:ext>
          </c:extLst>
        </c:ser>
        <c:dLbls>
          <c:showLegendKey val="0"/>
          <c:showVal val="0"/>
          <c:showCatName val="0"/>
          <c:showSerName val="0"/>
          <c:showPercent val="0"/>
          <c:showBubbleSize val="0"/>
        </c:dLbls>
        <c:axId val="132985984"/>
        <c:axId val="132987904"/>
      </c:scatterChart>
      <c:valAx>
        <c:axId val="132985984"/>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2987904"/>
        <c:crosses val="autoZero"/>
        <c:crossBetween val="midCat"/>
      </c:valAx>
      <c:valAx>
        <c:axId val="132987904"/>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2985984"/>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122A 20ft BSL2-3</a:t>
            </a:r>
          </a:p>
        </c:rich>
      </c:tx>
      <c:overlay val="0"/>
    </c:title>
    <c:autoTitleDeleted val="0"/>
    <c:plotArea>
      <c:layout/>
      <c:scatterChart>
        <c:scatterStyle val="lineMarker"/>
        <c:varyColors val="0"/>
        <c:ser>
          <c:idx val="0"/>
          <c:order val="0"/>
          <c:spPr>
            <a:ln w="28575">
              <a:noFill/>
            </a:ln>
          </c:spPr>
          <c:xVal>
            <c:numRef>
              <c:f>'fit and interpolation'!$H$170:$H$177</c:f>
              <c:numCache>
                <c:formatCode>General</c:formatCode>
                <c:ptCount val="8"/>
                <c:pt idx="0">
                  <c:v>14.1</c:v>
                </c:pt>
                <c:pt idx="1">
                  <c:v>16.8</c:v>
                </c:pt>
                <c:pt idx="2">
                  <c:v>20</c:v>
                </c:pt>
              </c:numCache>
            </c:numRef>
          </c:xVal>
          <c:yVal>
            <c:numRef>
              <c:f>'fit and interpolation'!$I$170:$I$177</c:f>
              <c:numCache>
                <c:formatCode>General</c:formatCode>
                <c:ptCount val="8"/>
                <c:pt idx="0">
                  <c:v>176</c:v>
                </c:pt>
                <c:pt idx="1">
                  <c:v>209</c:v>
                </c:pt>
                <c:pt idx="2">
                  <c:v>271</c:v>
                </c:pt>
              </c:numCache>
            </c:numRef>
          </c:yVal>
          <c:smooth val="0"/>
          <c:extLst>
            <c:ext xmlns:c16="http://schemas.microsoft.com/office/drawing/2014/chart" uri="{C3380CC4-5D6E-409C-BE32-E72D297353CC}">
              <c16:uniqueId val="{00000000-9246-48E0-ABE2-B3AC8883A603}"/>
            </c:ext>
          </c:extLst>
        </c:ser>
        <c:ser>
          <c:idx val="1"/>
          <c:order val="1"/>
          <c:spPr>
            <a:ln w="28575">
              <a:noFill/>
            </a:ln>
          </c:spPr>
          <c:xVal>
            <c:numRef>
              <c:f>'fit and interpolation'!$H$181</c:f>
              <c:numCache>
                <c:formatCode>General</c:formatCode>
                <c:ptCount val="1"/>
                <c:pt idx="0">
                  <c:v>10.7</c:v>
                </c:pt>
              </c:numCache>
            </c:numRef>
          </c:xVal>
          <c:yVal>
            <c:numRef>
              <c:f>'fit and interpolation'!$I$181</c:f>
              <c:numCache>
                <c:formatCode>0.0</c:formatCode>
                <c:ptCount val="1"/>
                <c:pt idx="0">
                  <c:v>57.597124864464035</c:v>
                </c:pt>
              </c:numCache>
            </c:numRef>
          </c:yVal>
          <c:smooth val="0"/>
          <c:extLst>
            <c:ext xmlns:c16="http://schemas.microsoft.com/office/drawing/2014/chart" uri="{C3380CC4-5D6E-409C-BE32-E72D297353CC}">
              <c16:uniqueId val="{00000001-9246-48E0-ABE2-B3AC8883A603}"/>
            </c:ext>
          </c:extLst>
        </c:ser>
        <c:ser>
          <c:idx val="2"/>
          <c:order val="2"/>
          <c:spPr>
            <a:ln w="28575">
              <a:solidFill>
                <a:srgbClr val="FF00FF"/>
              </a:solidFill>
            </a:ln>
          </c:spPr>
          <c:marker>
            <c:symbol val="none"/>
          </c:marker>
          <c:xVal>
            <c:numRef>
              <c:f>'fit and interpolation'!$W$171:$W$184</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interpolation'!$X$171:$X$184</c:f>
              <c:numCache>
                <c:formatCode>0.0</c:formatCode>
                <c:ptCount val="14"/>
                <c:pt idx="0">
                  <c:v>0</c:v>
                </c:pt>
                <c:pt idx="1">
                  <c:v>2.0814719890474779E-70</c:v>
                </c:pt>
                <c:pt idx="2">
                  <c:v>6.987609812639263E-27</c:v>
                </c:pt>
                <c:pt idx="3">
                  <c:v>1.5420920010351195E-12</c:v>
                </c:pt>
                <c:pt idx="4">
                  <c:v>2.6316982989755445E-6</c:v>
                </c:pt>
                <c:pt idx="5">
                  <c:v>0.2303191455817796</c:v>
                </c:pt>
                <c:pt idx="6">
                  <c:v>12.676794810607401</c:v>
                </c:pt>
                <c:pt idx="7">
                  <c:v>68.703817906922907</c:v>
                </c:pt>
                <c:pt idx="8">
                  <c:v>149.56635232886899</c:v>
                </c:pt>
                <c:pt idx="9">
                  <c:v>215.79762411504737</c:v>
                </c:pt>
                <c:pt idx="10">
                  <c:v>264.22742189982267</c:v>
                </c:pt>
                <c:pt idx="11">
                  <c:v>269.74317289310608</c:v>
                </c:pt>
                <c:pt idx="12">
                  <c:v>255.9992145818625</c:v>
                </c:pt>
                <c:pt idx="13">
                  <c:v>222.44398147603175</c:v>
                </c:pt>
              </c:numCache>
            </c:numRef>
          </c:yVal>
          <c:smooth val="0"/>
          <c:extLst>
            <c:ext xmlns:c16="http://schemas.microsoft.com/office/drawing/2014/chart" uri="{C3380CC4-5D6E-409C-BE32-E72D297353CC}">
              <c16:uniqueId val="{00000002-9246-48E0-ABE2-B3AC8883A603}"/>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3-9246-48E0-ABE2-B3AC8883A603}"/>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4-9246-48E0-ABE2-B3AC8883A603}"/>
            </c:ext>
          </c:extLst>
        </c:ser>
        <c:ser>
          <c:idx val="5"/>
          <c:order val="5"/>
          <c:spPr>
            <a:ln w="28575">
              <a:solidFill>
                <a:schemeClr val="accent6">
                  <a:lumMod val="75000"/>
                </a:schemeClr>
              </a:solidFill>
            </a:ln>
          </c:spPr>
          <c:marker>
            <c:symbol val="none"/>
          </c:marker>
          <c:xVal>
            <c:numRef>
              <c:f>'fit and interpolation'!$Z$171:$Z$184</c:f>
              <c:numCache>
                <c:formatCode>0.0</c:formatCode>
                <c:ptCount val="14"/>
                <c:pt idx="0">
                  <c:v>0.63291139240506322</c:v>
                </c:pt>
                <c:pt idx="1">
                  <c:v>1.2658227848101264</c:v>
                </c:pt>
                <c:pt idx="2">
                  <c:v>1.89873417721519</c:v>
                </c:pt>
                <c:pt idx="3">
                  <c:v>2.5316455696202529</c:v>
                </c:pt>
                <c:pt idx="4">
                  <c:v>3.164556962025316</c:v>
                </c:pt>
                <c:pt idx="5">
                  <c:v>4.4303797468354427</c:v>
                </c:pt>
                <c:pt idx="6">
                  <c:v>5.6962025316455698</c:v>
                </c:pt>
                <c:pt idx="7">
                  <c:v>6.962025316455696</c:v>
                </c:pt>
                <c:pt idx="8">
                  <c:v>8.2278481012658222</c:v>
                </c:pt>
                <c:pt idx="9">
                  <c:v>9.4936708860759484</c:v>
                </c:pt>
                <c:pt idx="10">
                  <c:v>11.39240506329114</c:v>
                </c:pt>
                <c:pt idx="11">
                  <c:v>13.291139240506329</c:v>
                </c:pt>
                <c:pt idx="12">
                  <c:v>15.18987341772152</c:v>
                </c:pt>
                <c:pt idx="13">
                  <c:v>18.354430379746834</c:v>
                </c:pt>
              </c:numCache>
            </c:numRef>
          </c:xVal>
          <c:yVal>
            <c:numRef>
              <c:f>'fit and interpolation'!$AA$171:$AA$184</c:f>
              <c:numCache>
                <c:formatCode>0.0</c:formatCode>
                <c:ptCount val="14"/>
                <c:pt idx="0">
                  <c:v>0</c:v>
                </c:pt>
                <c:pt idx="1">
                  <c:v>3.2887257426950154E-70</c:v>
                </c:pt>
                <c:pt idx="2">
                  <c:v>1.1040423503970036E-26</c:v>
                </c:pt>
                <c:pt idx="3">
                  <c:v>2.4365053616354891E-12</c:v>
                </c:pt>
                <c:pt idx="4">
                  <c:v>4.1580833123813601E-6</c:v>
                </c:pt>
                <c:pt idx="5">
                  <c:v>0.36390425001921178</c:v>
                </c:pt>
                <c:pt idx="6">
                  <c:v>20.029335800759693</c:v>
                </c:pt>
                <c:pt idx="7">
                  <c:v>108.55203229293819</c:v>
                </c:pt>
                <c:pt idx="8">
                  <c:v>236.31483667961302</c:v>
                </c:pt>
                <c:pt idx="9">
                  <c:v>340.96024610177489</c:v>
                </c:pt>
                <c:pt idx="10">
                  <c:v>417.47932660171983</c:v>
                </c:pt>
                <c:pt idx="11">
                  <c:v>426.19421317110761</c:v>
                </c:pt>
                <c:pt idx="12">
                  <c:v>404.47875903934278</c:v>
                </c:pt>
                <c:pt idx="13">
                  <c:v>351.46149073213019</c:v>
                </c:pt>
              </c:numCache>
            </c:numRef>
          </c:yVal>
          <c:smooth val="0"/>
          <c:extLst>
            <c:ext xmlns:c16="http://schemas.microsoft.com/office/drawing/2014/chart" uri="{C3380CC4-5D6E-409C-BE32-E72D297353CC}">
              <c16:uniqueId val="{00000005-9246-48E0-ABE2-B3AC8883A603}"/>
            </c:ext>
          </c:extLst>
        </c:ser>
        <c:dLbls>
          <c:showLegendKey val="0"/>
          <c:showVal val="0"/>
          <c:showCatName val="0"/>
          <c:showSerName val="0"/>
          <c:showPercent val="0"/>
          <c:showBubbleSize val="0"/>
        </c:dLbls>
        <c:axId val="133037056"/>
        <c:axId val="134022272"/>
      </c:scatterChart>
      <c:valAx>
        <c:axId val="133037056"/>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4022272"/>
        <c:crosses val="autoZero"/>
        <c:crossBetween val="midCat"/>
      </c:valAx>
      <c:valAx>
        <c:axId val="134022272"/>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3037056"/>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109A 15ft BSL2-2</a:t>
            </a:r>
          </a:p>
        </c:rich>
      </c:tx>
      <c:overlay val="0"/>
    </c:title>
    <c:autoTitleDeleted val="0"/>
    <c:plotArea>
      <c:layout/>
      <c:scatterChart>
        <c:scatterStyle val="lineMarker"/>
        <c:varyColors val="0"/>
        <c:ser>
          <c:idx val="0"/>
          <c:order val="0"/>
          <c:spPr>
            <a:ln w="28575">
              <a:noFill/>
            </a:ln>
          </c:spPr>
          <c:xVal>
            <c:numRef>
              <c:f>'fit and interpolation'!$H$79:$H$86</c:f>
              <c:numCache>
                <c:formatCode>General</c:formatCode>
                <c:ptCount val="8"/>
                <c:pt idx="0">
                  <c:v>10</c:v>
                </c:pt>
                <c:pt idx="1">
                  <c:v>14.1</c:v>
                </c:pt>
                <c:pt idx="2">
                  <c:v>20</c:v>
                </c:pt>
              </c:numCache>
            </c:numRef>
          </c:xVal>
          <c:yVal>
            <c:numRef>
              <c:f>'fit and interpolation'!$I$79:$I$86</c:f>
              <c:numCache>
                <c:formatCode>General</c:formatCode>
                <c:ptCount val="8"/>
                <c:pt idx="0">
                  <c:v>201</c:v>
                </c:pt>
                <c:pt idx="1">
                  <c:v>297</c:v>
                </c:pt>
                <c:pt idx="2">
                  <c:v>440</c:v>
                </c:pt>
              </c:numCache>
            </c:numRef>
          </c:yVal>
          <c:smooth val="0"/>
          <c:extLst>
            <c:ext xmlns:c16="http://schemas.microsoft.com/office/drawing/2014/chart" uri="{C3380CC4-5D6E-409C-BE32-E72D297353CC}">
              <c16:uniqueId val="{00000000-23B4-4C3E-85A2-6E4F37F5F964}"/>
            </c:ext>
          </c:extLst>
        </c:ser>
        <c:ser>
          <c:idx val="1"/>
          <c:order val="1"/>
          <c:spPr>
            <a:ln w="28575">
              <a:noFill/>
            </a:ln>
          </c:spPr>
          <c:xVal>
            <c:numRef>
              <c:f>'fit and interpolation'!$H$90</c:f>
              <c:numCache>
                <c:formatCode>General</c:formatCode>
                <c:ptCount val="1"/>
                <c:pt idx="0">
                  <c:v>10.7</c:v>
                </c:pt>
              </c:numCache>
            </c:numRef>
          </c:xVal>
          <c:yVal>
            <c:numRef>
              <c:f>'fit and interpolation'!$I$90</c:f>
              <c:numCache>
                <c:formatCode>0.0</c:formatCode>
                <c:ptCount val="1"/>
                <c:pt idx="0">
                  <c:v>344.21196714977282</c:v>
                </c:pt>
              </c:numCache>
            </c:numRef>
          </c:yVal>
          <c:smooth val="0"/>
          <c:extLst>
            <c:ext xmlns:c16="http://schemas.microsoft.com/office/drawing/2014/chart" uri="{C3380CC4-5D6E-409C-BE32-E72D297353CC}">
              <c16:uniqueId val="{00000001-23B4-4C3E-85A2-6E4F37F5F964}"/>
            </c:ext>
          </c:extLst>
        </c:ser>
        <c:ser>
          <c:idx val="2"/>
          <c:order val="2"/>
          <c:spPr>
            <a:ln w="28575">
              <a:solidFill>
                <a:srgbClr val="FF00FF"/>
              </a:solidFill>
            </a:ln>
          </c:spPr>
          <c:marker>
            <c:symbol val="none"/>
          </c:marker>
          <c:xVal>
            <c:numRef>
              <c:f>'fit and interpolation'!$W$80:$W$93</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interpolation'!$X$80:$X$93</c:f>
              <c:numCache>
                <c:formatCode>0.0</c:formatCode>
                <c:ptCount val="14"/>
                <c:pt idx="0">
                  <c:v>4.8961260168796245E-49</c:v>
                </c:pt>
                <c:pt idx="1">
                  <c:v>1.6242408929860654E-9</c:v>
                </c:pt>
                <c:pt idx="2">
                  <c:v>1.2915380587869469E-2</c:v>
                </c:pt>
                <c:pt idx="3">
                  <c:v>2.4272883451347371</c:v>
                </c:pt>
                <c:pt idx="4">
                  <c:v>23.612464441601237</c:v>
                </c:pt>
                <c:pt idx="5">
                  <c:v>143.43132648395755</c:v>
                </c:pt>
                <c:pt idx="6">
                  <c:v>270.77301848392693</c:v>
                </c:pt>
                <c:pt idx="7">
                  <c:v>353.97020518276798</c:v>
                </c:pt>
                <c:pt idx="8">
                  <c:v>400.43199733872552</c:v>
                </c:pt>
                <c:pt idx="9">
                  <c:v>424.39457156036195</c:v>
                </c:pt>
                <c:pt idx="10">
                  <c:v>438.23810493098449</c:v>
                </c:pt>
                <c:pt idx="11">
                  <c:v>439.67585641678448</c:v>
                </c:pt>
                <c:pt idx="12">
                  <c:v>436.04565411255885</c:v>
                </c:pt>
                <c:pt idx="13">
                  <c:v>426.44043856261015</c:v>
                </c:pt>
              </c:numCache>
            </c:numRef>
          </c:yVal>
          <c:smooth val="0"/>
          <c:extLst>
            <c:ext xmlns:c16="http://schemas.microsoft.com/office/drawing/2014/chart" uri="{C3380CC4-5D6E-409C-BE32-E72D297353CC}">
              <c16:uniqueId val="{00000002-23B4-4C3E-85A2-6E4F37F5F964}"/>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3-23B4-4C3E-85A2-6E4F37F5F964}"/>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4-23B4-4C3E-85A2-6E4F37F5F964}"/>
            </c:ext>
          </c:extLst>
        </c:ser>
        <c:ser>
          <c:idx val="5"/>
          <c:order val="5"/>
          <c:spPr>
            <a:ln w="28575">
              <a:solidFill>
                <a:schemeClr val="accent6">
                  <a:lumMod val="75000"/>
                </a:schemeClr>
              </a:solidFill>
            </a:ln>
          </c:spPr>
          <c:marker>
            <c:symbol val="none"/>
          </c:marker>
          <c:xVal>
            <c:numRef>
              <c:f>'fit and interpolation'!$Z$80:$Z$93</c:f>
              <c:numCache>
                <c:formatCode>0.0</c:formatCode>
                <c:ptCount val="14"/>
                <c:pt idx="0">
                  <c:v>0.92592592592592582</c:v>
                </c:pt>
                <c:pt idx="1">
                  <c:v>1.8518518518518516</c:v>
                </c:pt>
                <c:pt idx="2">
                  <c:v>2.7777777777777772</c:v>
                </c:pt>
                <c:pt idx="3">
                  <c:v>3.7037037037037033</c:v>
                </c:pt>
                <c:pt idx="4">
                  <c:v>4.6296296296296298</c:v>
                </c:pt>
                <c:pt idx="5">
                  <c:v>6.4814814814814801</c:v>
                </c:pt>
                <c:pt idx="6">
                  <c:v>8.3333333333333321</c:v>
                </c:pt>
                <c:pt idx="7">
                  <c:v>10.185185185185183</c:v>
                </c:pt>
                <c:pt idx="8">
                  <c:v>12.037037037037035</c:v>
                </c:pt>
                <c:pt idx="9">
                  <c:v>13.888888888888888</c:v>
                </c:pt>
                <c:pt idx="10">
                  <c:v>16.666666666666664</c:v>
                </c:pt>
                <c:pt idx="11">
                  <c:v>19.444444444444443</c:v>
                </c:pt>
                <c:pt idx="12">
                  <c:v>22.222222222222218</c:v>
                </c:pt>
                <c:pt idx="13">
                  <c:v>26.851851851851848</c:v>
                </c:pt>
              </c:numCache>
            </c:numRef>
          </c:xVal>
          <c:yVal>
            <c:numRef>
              <c:f>'fit and interpolation'!$AA$80:$AA$93</c:f>
              <c:numCache>
                <c:formatCode>0.0</c:formatCode>
                <c:ptCount val="14"/>
                <c:pt idx="0">
                  <c:v>5.2878160982299951E-49</c:v>
                </c:pt>
                <c:pt idx="1">
                  <c:v>1.7541801644249507E-9</c:v>
                </c:pt>
                <c:pt idx="2">
                  <c:v>1.3948611034899028E-2</c:v>
                </c:pt>
                <c:pt idx="3">
                  <c:v>2.6214714127455161</c:v>
                </c:pt>
                <c:pt idx="4">
                  <c:v>25.501461596929339</c:v>
                </c:pt>
                <c:pt idx="5">
                  <c:v>154.90583260267417</c:v>
                </c:pt>
                <c:pt idx="6">
                  <c:v>292.4348599626411</c:v>
                </c:pt>
                <c:pt idx="7">
                  <c:v>382.28782159738944</c:v>
                </c:pt>
                <c:pt idx="8">
                  <c:v>432.46655712582361</c:v>
                </c:pt>
                <c:pt idx="9">
                  <c:v>458.34613728519093</c:v>
                </c:pt>
                <c:pt idx="10">
                  <c:v>473.29715332546328</c:v>
                </c:pt>
                <c:pt idx="11">
                  <c:v>474.84992493012726</c:v>
                </c:pt>
                <c:pt idx="12">
                  <c:v>470.9293064415636</c:v>
                </c:pt>
                <c:pt idx="13">
                  <c:v>460.55567364761902</c:v>
                </c:pt>
              </c:numCache>
            </c:numRef>
          </c:yVal>
          <c:smooth val="0"/>
          <c:extLst>
            <c:ext xmlns:c16="http://schemas.microsoft.com/office/drawing/2014/chart" uri="{C3380CC4-5D6E-409C-BE32-E72D297353CC}">
              <c16:uniqueId val="{00000005-23B4-4C3E-85A2-6E4F37F5F964}"/>
            </c:ext>
          </c:extLst>
        </c:ser>
        <c:dLbls>
          <c:showLegendKey val="0"/>
          <c:showVal val="0"/>
          <c:showCatName val="0"/>
          <c:showSerName val="0"/>
          <c:showPercent val="0"/>
          <c:showBubbleSize val="0"/>
        </c:dLbls>
        <c:axId val="134083712"/>
        <c:axId val="134085632"/>
      </c:scatterChart>
      <c:valAx>
        <c:axId val="134083712"/>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4085632"/>
        <c:crosses val="autoZero"/>
        <c:crossBetween val="midCat"/>
      </c:valAx>
      <c:valAx>
        <c:axId val="134085632"/>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4083712"/>
        <c:crosses val="autoZero"/>
        <c:crossBetween val="midCat"/>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2"/>
          <c:order val="0"/>
          <c:tx>
            <c:v>Original Run</c:v>
          </c:tx>
          <c:spPr>
            <a:ln w="28575">
              <a:solidFill>
                <a:srgbClr val="FF00FF"/>
              </a:solidFill>
            </a:ln>
          </c:spPr>
          <c:marker>
            <c:symbol val="none"/>
          </c:marker>
          <c:xVal>
            <c:numRef>
              <c:f>'fit and interpolation - V2'!$B$34:$B$47</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 - V2'!$C$34:$C$47</c:f>
              <c:numCache>
                <c:formatCode>0.0</c:formatCode>
                <c:ptCount val="14"/>
                <c:pt idx="0">
                  <c:v>0</c:v>
                </c:pt>
                <c:pt idx="1">
                  <c:v>3.3783754462470071E-234</c:v>
                </c:pt>
                <c:pt idx="2">
                  <c:v>1.5160123539673895E-95</c:v>
                </c:pt>
                <c:pt idx="3">
                  <c:v>7.7125126391375146E-49</c:v>
                </c:pt>
                <c:pt idx="4">
                  <c:v>4.7081513212088387E-28</c:v>
                </c:pt>
                <c:pt idx="5">
                  <c:v>6.0328098308861008E-11</c:v>
                </c:pt>
                <c:pt idx="6">
                  <c:v>1.6633147776155859E-4</c:v>
                </c:pt>
                <c:pt idx="7">
                  <c:v>0.1513609184593839</c:v>
                </c:pt>
                <c:pt idx="8">
                  <c:v>5.1218867084110951</c:v>
                </c:pt>
                <c:pt idx="9">
                  <c:v>36.395202335520636</c:v>
                </c:pt>
                <c:pt idx="10">
                  <c:v>168.21085851367161</c:v>
                </c:pt>
                <c:pt idx="11">
                  <c:v>344.02165176058662</c:v>
                </c:pt>
                <c:pt idx="12">
                  <c:v>478.49196698247965</c:v>
                </c:pt>
                <c:pt idx="13">
                  <c:v>562.79300508834001</c:v>
                </c:pt>
              </c:numCache>
            </c:numRef>
          </c:yVal>
          <c:smooth val="0"/>
          <c:extLst>
            <c:ext xmlns:c16="http://schemas.microsoft.com/office/drawing/2014/chart" uri="{C3380CC4-5D6E-409C-BE32-E72D297353CC}">
              <c16:uniqueId val="{00000000-1E3A-4253-9A9A-C796A74C73A2}"/>
            </c:ext>
          </c:extLst>
        </c:ser>
        <c:ser>
          <c:idx val="3"/>
          <c:order val="1"/>
          <c:tx>
            <c:v>Criterion</c:v>
          </c:tx>
          <c:spPr>
            <a:ln w="22225">
              <a:solidFill>
                <a:srgbClr val="92D050"/>
              </a:solidFill>
            </a:ln>
          </c:spPr>
          <c:marker>
            <c:symbol val="none"/>
          </c:marker>
          <c:xVal>
            <c:numRef>
              <c:f>'fit and interpolation - V2'!$M$26:$M$27</c:f>
              <c:numCache>
                <c:formatCode>General</c:formatCode>
                <c:ptCount val="2"/>
                <c:pt idx="0">
                  <c:v>0</c:v>
                </c:pt>
                <c:pt idx="1">
                  <c:v>30</c:v>
                </c:pt>
              </c:numCache>
            </c:numRef>
          </c:xVal>
          <c:yVal>
            <c:numRef>
              <c:f>'fit and interpolation - V2'!$N$26:$N$27</c:f>
              <c:numCache>
                <c:formatCode>General</c:formatCode>
                <c:ptCount val="2"/>
                <c:pt idx="0">
                  <c:v>400</c:v>
                </c:pt>
                <c:pt idx="1">
                  <c:v>400</c:v>
                </c:pt>
              </c:numCache>
            </c:numRef>
          </c:yVal>
          <c:smooth val="0"/>
          <c:extLst>
            <c:ext xmlns:c16="http://schemas.microsoft.com/office/drawing/2014/chart" uri="{C3380CC4-5D6E-409C-BE32-E72D297353CC}">
              <c16:uniqueId val="{00000001-1E3A-4253-9A9A-C796A74C73A2}"/>
            </c:ext>
          </c:extLst>
        </c:ser>
        <c:ser>
          <c:idx val="4"/>
          <c:order val="2"/>
          <c:tx>
            <c:v>1% WS</c:v>
          </c:tx>
          <c:spPr>
            <a:ln w="22225">
              <a:solidFill>
                <a:srgbClr val="00B0F0"/>
              </a:solidFill>
            </a:ln>
          </c:spPr>
          <c:marker>
            <c:symbol val="none"/>
          </c:marker>
          <c:xVal>
            <c:numRef>
              <c:f>'fit and interpolation - V2'!$P$26:$P$27</c:f>
              <c:numCache>
                <c:formatCode>General</c:formatCode>
                <c:ptCount val="2"/>
                <c:pt idx="0">
                  <c:v>14.9</c:v>
                </c:pt>
                <c:pt idx="1">
                  <c:v>14.9</c:v>
                </c:pt>
              </c:numCache>
            </c:numRef>
          </c:xVal>
          <c:yVal>
            <c:numRef>
              <c:f>'fit and interpolation - V2'!$Q$26:$Q$27</c:f>
              <c:numCache>
                <c:formatCode>General</c:formatCode>
                <c:ptCount val="2"/>
                <c:pt idx="0">
                  <c:v>0</c:v>
                </c:pt>
                <c:pt idx="1">
                  <c:v>1000</c:v>
                </c:pt>
              </c:numCache>
            </c:numRef>
          </c:yVal>
          <c:smooth val="0"/>
          <c:extLst>
            <c:ext xmlns:c16="http://schemas.microsoft.com/office/drawing/2014/chart" uri="{C3380CC4-5D6E-409C-BE32-E72D297353CC}">
              <c16:uniqueId val="{00000002-1E3A-4253-9A9A-C796A74C73A2}"/>
            </c:ext>
          </c:extLst>
        </c:ser>
        <c:ser>
          <c:idx val="5"/>
          <c:order val="3"/>
          <c:tx>
            <c:v>Post-Processed</c:v>
          </c:tx>
          <c:spPr>
            <a:ln w="28575">
              <a:solidFill>
                <a:schemeClr val="accent6">
                  <a:lumMod val="75000"/>
                </a:schemeClr>
              </a:solidFill>
            </a:ln>
          </c:spPr>
          <c:marker>
            <c:symbol val="none"/>
          </c:marker>
          <c:xVal>
            <c:numRef>
              <c:f>'fit and interpolation - V2'!$E$34:$E$47</c:f>
              <c:numCache>
                <c:formatCode>0.0</c:formatCode>
                <c:ptCount val="14"/>
                <c:pt idx="0">
                  <c:v>0.7407407407407407</c:v>
                </c:pt>
                <c:pt idx="1">
                  <c:v>1.4814814814814814</c:v>
                </c:pt>
                <c:pt idx="2">
                  <c:v>2.2222222222222219</c:v>
                </c:pt>
                <c:pt idx="3">
                  <c:v>2.9629629629629628</c:v>
                </c:pt>
                <c:pt idx="4">
                  <c:v>3.7037037037037033</c:v>
                </c:pt>
                <c:pt idx="5">
                  <c:v>5.1851851851851851</c:v>
                </c:pt>
                <c:pt idx="6">
                  <c:v>6.6666666666666661</c:v>
                </c:pt>
                <c:pt idx="7">
                  <c:v>8.148148148148147</c:v>
                </c:pt>
                <c:pt idx="8">
                  <c:v>9.6296296296296298</c:v>
                </c:pt>
                <c:pt idx="9">
                  <c:v>11.111111111111111</c:v>
                </c:pt>
                <c:pt idx="10">
                  <c:v>13.333333333333332</c:v>
                </c:pt>
                <c:pt idx="11">
                  <c:v>15.555555555555555</c:v>
                </c:pt>
                <c:pt idx="12">
                  <c:v>17.777777777777775</c:v>
                </c:pt>
                <c:pt idx="13">
                  <c:v>21.481481481481481</c:v>
                </c:pt>
              </c:numCache>
            </c:numRef>
          </c:xVal>
          <c:yVal>
            <c:numRef>
              <c:f>'fit and interpolation - V2'!$F$34:$F$47</c:f>
              <c:numCache>
                <c:formatCode>0.0</c:formatCode>
                <c:ptCount val="14"/>
                <c:pt idx="0">
                  <c:v>0</c:v>
                </c:pt>
                <c:pt idx="1">
                  <c:v>4.5608068524334597E-234</c:v>
                </c:pt>
                <c:pt idx="2">
                  <c:v>2.0466166778558019E-95</c:v>
                </c:pt>
                <c:pt idx="3">
                  <c:v>1.0411892062835645E-48</c:v>
                </c:pt>
                <c:pt idx="4">
                  <c:v>6.3560042836319329E-28</c:v>
                </c:pt>
                <c:pt idx="5">
                  <c:v>8.1442932716962368E-11</c:v>
                </c:pt>
                <c:pt idx="6">
                  <c:v>2.2454749497810412E-4</c:v>
                </c:pt>
                <c:pt idx="7">
                  <c:v>0.20433723992016828</c:v>
                </c:pt>
                <c:pt idx="8">
                  <c:v>6.914547056355004</c:v>
                </c:pt>
                <c:pt idx="9">
                  <c:v>49.133523152952861</c:v>
                </c:pt>
                <c:pt idx="10">
                  <c:v>227.08465899345669</c:v>
                </c:pt>
                <c:pt idx="11">
                  <c:v>464.42922987679196</c:v>
                </c:pt>
                <c:pt idx="12">
                  <c:v>645.96415542634747</c:v>
                </c:pt>
                <c:pt idx="13">
                  <c:v>759.77055686925905</c:v>
                </c:pt>
              </c:numCache>
            </c:numRef>
          </c:yVal>
          <c:smooth val="0"/>
          <c:extLst>
            <c:ext xmlns:c16="http://schemas.microsoft.com/office/drawing/2014/chart" uri="{C3380CC4-5D6E-409C-BE32-E72D297353CC}">
              <c16:uniqueId val="{00000003-1E3A-4253-9A9A-C796A74C73A2}"/>
            </c:ext>
          </c:extLst>
        </c:ser>
        <c:dLbls>
          <c:showLegendKey val="0"/>
          <c:showVal val="0"/>
          <c:showCatName val="0"/>
          <c:showSerName val="0"/>
          <c:showPercent val="0"/>
          <c:showBubbleSize val="0"/>
        </c:dLbls>
        <c:axId val="358341632"/>
        <c:axId val="358347904"/>
      </c:scatterChart>
      <c:valAx>
        <c:axId val="358341632"/>
        <c:scaling>
          <c:orientation val="minMax"/>
        </c:scaling>
        <c:delete val="0"/>
        <c:axPos val="b"/>
        <c:title>
          <c:tx>
            <c:rich>
              <a:bodyPr/>
              <a:lstStyle/>
              <a:p>
                <a:pPr>
                  <a:defRPr/>
                </a:pPr>
                <a:r>
                  <a:rPr lang="en-US"/>
                  <a:t>Wind Speed (m/s)</a:t>
                </a:r>
              </a:p>
            </c:rich>
          </c:tx>
          <c:overlay val="0"/>
        </c:title>
        <c:numFmt formatCode="General" sourceLinked="1"/>
        <c:majorTickMark val="none"/>
        <c:minorTickMark val="none"/>
        <c:tickLblPos val="nextTo"/>
        <c:crossAx val="358347904"/>
        <c:crosses val="autoZero"/>
        <c:crossBetween val="midCat"/>
      </c:valAx>
      <c:valAx>
        <c:axId val="358347904"/>
        <c:scaling>
          <c:orientation val="minMax"/>
          <c:max val="1000"/>
          <c:min val="0"/>
        </c:scaling>
        <c:delete val="0"/>
        <c:axPos val="l"/>
        <c:majorGridlines/>
        <c:title>
          <c:tx>
            <c:rich>
              <a:bodyPr rot="-5400000" vert="horz"/>
              <a:lstStyle/>
              <a:p>
                <a:pPr>
                  <a:defRPr/>
                </a:pPr>
                <a:r>
                  <a:rPr lang="en-US"/>
                  <a:t>Concentration</a:t>
                </a:r>
              </a:p>
            </c:rich>
          </c:tx>
          <c:overlay val="0"/>
        </c:title>
        <c:numFmt formatCode="0.0" sourceLinked="1"/>
        <c:majorTickMark val="none"/>
        <c:minorTickMark val="none"/>
        <c:tickLblPos val="nextTo"/>
        <c:crossAx val="3583416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2"/>
          <c:order val="0"/>
          <c:spPr>
            <a:ln w="28575">
              <a:solidFill>
                <a:srgbClr val="FF00FF"/>
              </a:solidFill>
            </a:ln>
          </c:spPr>
          <c:marker>
            <c:symbol val="none"/>
          </c:marker>
          <c:xVal>
            <c:numRef>
              <c:f>'fit and interpolation - V2'!$B$62:$B$75</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 - V2'!$C$62:$C$75</c:f>
              <c:numCache>
                <c:formatCode>0.0</c:formatCode>
                <c:ptCount val="14"/>
                <c:pt idx="0">
                  <c:v>0</c:v>
                </c:pt>
                <c:pt idx="1">
                  <c:v>1.1156475104069822E-268</c:v>
                </c:pt>
                <c:pt idx="2">
                  <c:v>1.0361597616057171E-108</c:v>
                </c:pt>
                <c:pt idx="3">
                  <c:v>4.117462362800256E-55</c:v>
                </c:pt>
                <c:pt idx="4">
                  <c:v>2.1430502994760176E-31</c:v>
                </c:pt>
                <c:pt idx="5">
                  <c:v>4.8040531822619116E-12</c:v>
                </c:pt>
                <c:pt idx="6">
                  <c:v>7.2130759119582748E-5</c:v>
                </c:pt>
                <c:pt idx="7">
                  <c:v>0.12470688868046703</c:v>
                </c:pt>
                <c:pt idx="8">
                  <c:v>5.3933226179324256</c:v>
                </c:pt>
                <c:pt idx="9">
                  <c:v>41.368510599550987</c:v>
                </c:pt>
                <c:pt idx="10">
                  <c:v>188.16417942672129</c:v>
                </c:pt>
                <c:pt idx="11">
                  <c:v>357.26300902038366</c:v>
                </c:pt>
                <c:pt idx="12">
                  <c:v>454.07229096228065</c:v>
                </c:pt>
                <c:pt idx="13">
                  <c:v>460.56516857381428</c:v>
                </c:pt>
              </c:numCache>
            </c:numRef>
          </c:yVal>
          <c:smooth val="0"/>
          <c:extLst>
            <c:ext xmlns:c16="http://schemas.microsoft.com/office/drawing/2014/chart" uri="{C3380CC4-5D6E-409C-BE32-E72D297353CC}">
              <c16:uniqueId val="{00000000-9F73-4D88-BD2C-19C06C2DE14D}"/>
            </c:ext>
          </c:extLst>
        </c:ser>
        <c:ser>
          <c:idx val="3"/>
          <c:order val="1"/>
          <c:tx>
            <c:v>Criterion</c:v>
          </c:tx>
          <c:spPr>
            <a:ln w="22225">
              <a:solidFill>
                <a:srgbClr val="92D050"/>
              </a:solidFill>
            </a:ln>
          </c:spPr>
          <c:marker>
            <c:symbol val="none"/>
          </c:marker>
          <c:xVal>
            <c:numRef>
              <c:f>'fit and interpolation - V2'!$M$26:$M$27</c:f>
              <c:numCache>
                <c:formatCode>General</c:formatCode>
                <c:ptCount val="2"/>
                <c:pt idx="0">
                  <c:v>0</c:v>
                </c:pt>
                <c:pt idx="1">
                  <c:v>30</c:v>
                </c:pt>
              </c:numCache>
            </c:numRef>
          </c:xVal>
          <c:yVal>
            <c:numRef>
              <c:f>'fit and interpolation - V2'!$N$26:$N$27</c:f>
              <c:numCache>
                <c:formatCode>General</c:formatCode>
                <c:ptCount val="2"/>
                <c:pt idx="0">
                  <c:v>400</c:v>
                </c:pt>
                <c:pt idx="1">
                  <c:v>400</c:v>
                </c:pt>
              </c:numCache>
            </c:numRef>
          </c:yVal>
          <c:smooth val="0"/>
          <c:extLst>
            <c:ext xmlns:c16="http://schemas.microsoft.com/office/drawing/2014/chart" uri="{C3380CC4-5D6E-409C-BE32-E72D297353CC}">
              <c16:uniqueId val="{00000001-9F73-4D88-BD2C-19C06C2DE14D}"/>
            </c:ext>
          </c:extLst>
        </c:ser>
        <c:ser>
          <c:idx val="4"/>
          <c:order val="2"/>
          <c:tx>
            <c:v>1% WS</c:v>
          </c:tx>
          <c:spPr>
            <a:ln w="22225">
              <a:solidFill>
                <a:srgbClr val="00B0F0"/>
              </a:solidFill>
            </a:ln>
          </c:spPr>
          <c:marker>
            <c:symbol val="none"/>
          </c:marker>
          <c:xVal>
            <c:numRef>
              <c:f>'fit and interpolation - V2'!$P$26:$P$27</c:f>
              <c:numCache>
                <c:formatCode>General</c:formatCode>
                <c:ptCount val="2"/>
                <c:pt idx="0">
                  <c:v>14.9</c:v>
                </c:pt>
                <c:pt idx="1">
                  <c:v>14.9</c:v>
                </c:pt>
              </c:numCache>
            </c:numRef>
          </c:xVal>
          <c:yVal>
            <c:numRef>
              <c:f>'fit and interpolation - V2'!$Q$26:$Q$27</c:f>
              <c:numCache>
                <c:formatCode>General</c:formatCode>
                <c:ptCount val="2"/>
                <c:pt idx="0">
                  <c:v>0</c:v>
                </c:pt>
                <c:pt idx="1">
                  <c:v>1000</c:v>
                </c:pt>
              </c:numCache>
            </c:numRef>
          </c:yVal>
          <c:smooth val="0"/>
          <c:extLst>
            <c:ext xmlns:c16="http://schemas.microsoft.com/office/drawing/2014/chart" uri="{C3380CC4-5D6E-409C-BE32-E72D297353CC}">
              <c16:uniqueId val="{00000002-9F73-4D88-BD2C-19C06C2DE14D}"/>
            </c:ext>
          </c:extLst>
        </c:ser>
        <c:ser>
          <c:idx val="5"/>
          <c:order val="3"/>
          <c:spPr>
            <a:ln w="28575">
              <a:solidFill>
                <a:schemeClr val="accent6">
                  <a:lumMod val="75000"/>
                </a:schemeClr>
              </a:solidFill>
            </a:ln>
          </c:spPr>
          <c:marker>
            <c:symbol val="none"/>
          </c:marker>
          <c:xVal>
            <c:numRef>
              <c:f>'fit and interpolation - V2'!$E$62:$E$75</c:f>
              <c:numCache>
                <c:formatCode>0.0</c:formatCode>
                <c:ptCount val="14"/>
                <c:pt idx="0">
                  <c:v>0.7407407407407407</c:v>
                </c:pt>
                <c:pt idx="1">
                  <c:v>1.4814814814814814</c:v>
                </c:pt>
                <c:pt idx="2">
                  <c:v>2.2222222222222219</c:v>
                </c:pt>
                <c:pt idx="3">
                  <c:v>2.9629629629629628</c:v>
                </c:pt>
                <c:pt idx="4">
                  <c:v>3.7037037037037033</c:v>
                </c:pt>
                <c:pt idx="5">
                  <c:v>5.1851851851851851</c:v>
                </c:pt>
                <c:pt idx="6">
                  <c:v>6.6666666666666661</c:v>
                </c:pt>
                <c:pt idx="7">
                  <c:v>8.148148148148147</c:v>
                </c:pt>
                <c:pt idx="8">
                  <c:v>9.6296296296296298</c:v>
                </c:pt>
                <c:pt idx="9">
                  <c:v>11.111111111111111</c:v>
                </c:pt>
                <c:pt idx="10">
                  <c:v>13.333333333333332</c:v>
                </c:pt>
                <c:pt idx="11">
                  <c:v>15.555555555555555</c:v>
                </c:pt>
                <c:pt idx="12">
                  <c:v>17.777777777777775</c:v>
                </c:pt>
                <c:pt idx="13">
                  <c:v>21.481481481481481</c:v>
                </c:pt>
              </c:numCache>
            </c:numRef>
          </c:xVal>
          <c:yVal>
            <c:numRef>
              <c:f>'fit and interpolation - V2'!$F$62:$F$75</c:f>
              <c:numCache>
                <c:formatCode>0.0</c:formatCode>
                <c:ptCount val="14"/>
                <c:pt idx="0">
                  <c:v>0</c:v>
                </c:pt>
                <c:pt idx="1">
                  <c:v>1.9775745425843402E-277</c:v>
                </c:pt>
                <c:pt idx="2">
                  <c:v>2.2616639482540036E-112</c:v>
                </c:pt>
                <c:pt idx="3">
                  <c:v>5.0042171752581115E-57</c:v>
                </c:pt>
                <c:pt idx="4">
                  <c:v>1.6118489590001181E-32</c:v>
                </c:pt>
                <c:pt idx="5">
                  <c:v>1.6889467902199314E-12</c:v>
                </c:pt>
                <c:pt idx="6">
                  <c:v>4.6548120526704477E-5</c:v>
                </c:pt>
                <c:pt idx="7">
                  <c:v>0.10795789600372836</c:v>
                </c:pt>
                <c:pt idx="8">
                  <c:v>5.4852586284804916</c:v>
                </c:pt>
                <c:pt idx="9">
                  <c:v>46.321769617478836</c:v>
                </c:pt>
                <c:pt idx="10">
                  <c:v>228.97967845845298</c:v>
                </c:pt>
                <c:pt idx="11">
                  <c:v>455.26514475041466</c:v>
                </c:pt>
                <c:pt idx="12">
                  <c:v>594.62207891121034</c:v>
                </c:pt>
                <c:pt idx="13">
                  <c:v>618.12297256113948</c:v>
                </c:pt>
              </c:numCache>
            </c:numRef>
          </c:yVal>
          <c:smooth val="0"/>
          <c:extLst>
            <c:ext xmlns:c16="http://schemas.microsoft.com/office/drawing/2014/chart" uri="{C3380CC4-5D6E-409C-BE32-E72D297353CC}">
              <c16:uniqueId val="{00000003-9F73-4D88-BD2C-19C06C2DE14D}"/>
            </c:ext>
          </c:extLst>
        </c:ser>
        <c:dLbls>
          <c:showLegendKey val="0"/>
          <c:showVal val="0"/>
          <c:showCatName val="0"/>
          <c:showSerName val="0"/>
          <c:showPercent val="0"/>
          <c:showBubbleSize val="0"/>
        </c:dLbls>
        <c:axId val="319494016"/>
        <c:axId val="319541248"/>
      </c:scatterChart>
      <c:valAx>
        <c:axId val="319494016"/>
        <c:scaling>
          <c:orientation val="minMax"/>
        </c:scaling>
        <c:delete val="0"/>
        <c:axPos val="b"/>
        <c:title>
          <c:tx>
            <c:rich>
              <a:bodyPr/>
              <a:lstStyle/>
              <a:p>
                <a:pPr>
                  <a:defRPr/>
                </a:pPr>
                <a:r>
                  <a:rPr lang="en-US"/>
                  <a:t>Wind Speed (m/s)</a:t>
                </a:r>
              </a:p>
            </c:rich>
          </c:tx>
          <c:overlay val="0"/>
        </c:title>
        <c:numFmt formatCode="General" sourceLinked="1"/>
        <c:majorTickMark val="none"/>
        <c:minorTickMark val="none"/>
        <c:tickLblPos val="nextTo"/>
        <c:crossAx val="319541248"/>
        <c:crosses val="autoZero"/>
        <c:crossBetween val="midCat"/>
      </c:valAx>
      <c:valAx>
        <c:axId val="319541248"/>
        <c:scaling>
          <c:orientation val="minMax"/>
          <c:max val="1000"/>
          <c:min val="0"/>
        </c:scaling>
        <c:delete val="0"/>
        <c:axPos val="l"/>
        <c:majorGridlines/>
        <c:title>
          <c:tx>
            <c:rich>
              <a:bodyPr rot="-5400000" vert="horz"/>
              <a:lstStyle/>
              <a:p>
                <a:pPr>
                  <a:defRPr/>
                </a:pPr>
                <a:r>
                  <a:rPr lang="en-US"/>
                  <a:t>Concentration</a:t>
                </a:r>
              </a:p>
            </c:rich>
          </c:tx>
          <c:overlay val="0"/>
        </c:title>
        <c:numFmt formatCode="0.0" sourceLinked="1"/>
        <c:majorTickMark val="none"/>
        <c:minorTickMark val="none"/>
        <c:tickLblPos val="nextTo"/>
        <c:crossAx val="31949401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chart" Target="../charts/chart2.xml"/><Relationship Id="rId5" Type="http://schemas.openxmlformats.org/officeDocument/2006/relationships/image" Target="../media/image8.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12</xdr:col>
      <xdr:colOff>0</xdr:colOff>
      <xdr:row>8</xdr:row>
      <xdr:rowOff>19050</xdr:rowOff>
    </xdr:from>
    <xdr:to>
      <xdr:col>22</xdr:col>
      <xdr:colOff>19050</xdr:colOff>
      <xdr:row>37</xdr:row>
      <xdr:rowOff>190500</xdr:rowOff>
    </xdr:to>
    <xdr:graphicFrame macro="">
      <xdr:nvGraphicFramePr>
        <xdr:cNvPr id="8230" name="Chart 1">
          <a:extLst>
            <a:ext uri="{FF2B5EF4-FFF2-40B4-BE49-F238E27FC236}">
              <a16:creationId xmlns:a16="http://schemas.microsoft.com/office/drawing/2014/main" id="{00000000-0008-0000-0300-000026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0.76152</cdr:x>
      <cdr:y>0.40733</cdr:y>
    </cdr:from>
    <cdr:to>
      <cdr:x>0.85093</cdr:x>
      <cdr:y>0.44533</cdr:y>
    </cdr:to>
    <cdr:sp macro="" textlink="'1% Wind'!$O$78">
      <cdr:nvSpPr>
        <cdr:cNvPr id="9217" name="Text Box 1"/>
        <cdr:cNvSpPr txBox="1">
          <a:spLocks xmlns:a="http://schemas.openxmlformats.org/drawingml/2006/main" noChangeArrowheads="1" noTextEdit="1"/>
        </cdr:cNvSpPr>
      </cdr:nvSpPr>
      <cdr:spPr bwMode="auto">
        <a:xfrm xmlns:a="http://schemas.openxmlformats.org/drawingml/2006/main">
          <a:off x="7558123" y="2470150"/>
          <a:ext cx="887378" cy="230422"/>
        </a:xfrm>
        <a:prstGeom xmlns:a="http://schemas.openxmlformats.org/drawingml/2006/main" prst="rect">
          <a:avLst/>
        </a:prstGeom>
        <a:solidFill xmlns:a="http://schemas.openxmlformats.org/drawingml/2006/main">
          <a:srgbClr val="FFFFFF"/>
        </a:solidFill>
        <a:ln xmlns:a="http://schemas.openxmlformats.org/drawingml/2006/main" w="0">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fld id="{4B6226D7-2933-4EC4-9596-8D012F38CBD6}" type="TxLink">
            <a:rPr lang="en-US" b="1">
              <a:latin typeface="Times New Roman" pitchFamily="18" charset="0"/>
              <a:cs typeface="Times New Roman" pitchFamily="18" charset="0"/>
            </a:rPr>
            <a:pPr/>
            <a:t>#VALUE!</a:t>
          </a:fld>
          <a:endParaRPr lang="en-US" b="1">
            <a:latin typeface="Times New Roman" pitchFamily="18" charset="0"/>
            <a:cs typeface="Times New Roman"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31</xdr:col>
      <xdr:colOff>609600</xdr:colOff>
      <xdr:row>42</xdr:row>
      <xdr:rowOff>76200</xdr:rowOff>
    </xdr:from>
    <xdr:to>
      <xdr:col>43</xdr:col>
      <xdr:colOff>54930</xdr:colOff>
      <xdr:row>82</xdr:row>
      <xdr:rowOff>49050</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44193279" y="9886950"/>
          <a:ext cx="8099472" cy="9239314"/>
          <a:chOff x="24561800" y="6908800"/>
          <a:chExt cx="7158724" cy="6014721"/>
        </a:xfrm>
      </xdr:grpSpPr>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4561800" y="6908800"/>
            <a:ext cx="7158724" cy="6014721"/>
          </a:xfrm>
          <a:prstGeom prst="rect">
            <a:avLst/>
          </a:prstGeom>
        </xdr:spPr>
      </xdr:pic>
      <xdr:sp macro="" textlink="">
        <xdr:nvSpPr>
          <xdr:cNvPr id="4" name="Rectangle 3">
            <a:extLst>
              <a:ext uri="{FF2B5EF4-FFF2-40B4-BE49-F238E27FC236}">
                <a16:creationId xmlns:a16="http://schemas.microsoft.com/office/drawing/2014/main" id="{00000000-0008-0000-0500-000004000000}"/>
              </a:ext>
            </a:extLst>
          </xdr:cNvPr>
          <xdr:cNvSpPr/>
        </xdr:nvSpPr>
        <xdr:spPr bwMode="auto">
          <a:xfrm>
            <a:off x="28486100" y="7721600"/>
            <a:ext cx="668961" cy="2086968"/>
          </a:xfrm>
          <a:prstGeom prst="rect">
            <a:avLst/>
          </a:prstGeom>
          <a:noFill/>
          <a:ln w="38100" cap="flat" cmpd="sng" algn="ctr">
            <a:solidFill>
              <a:srgbClr val="92D050"/>
            </a:solidFill>
            <a:prstDash val="solid"/>
            <a:round/>
            <a:headEnd type="none" w="med" len="med"/>
            <a:tailEnd type="none" w="med" len="med"/>
          </a:ln>
          <a:effectLst/>
        </xdr:spPr>
        <xdr:txBody>
          <a:bodyPr vertOverflow="clip" wrap="square" lIns="18288" tIns="0" rIns="0" bIns="0" rtlCol="0" anchor="ctr" upright="1"/>
          <a:lstStyle/>
          <a:p>
            <a:pPr algn="l"/>
            <a:endParaRPr lang="en-US" sz="1100">
              <a:solidFill>
                <a:sysClr val="windowText" lastClr="000000"/>
              </a:solidFill>
            </a:endParaRPr>
          </a:p>
        </xdr:txBody>
      </xdr:sp>
      <xdr:sp macro="" textlink="">
        <xdr:nvSpPr>
          <xdr:cNvPr id="5" name="Rectangle 4">
            <a:extLst>
              <a:ext uri="{FF2B5EF4-FFF2-40B4-BE49-F238E27FC236}">
                <a16:creationId xmlns:a16="http://schemas.microsoft.com/office/drawing/2014/main" id="{00000000-0008-0000-0500-000005000000}"/>
              </a:ext>
            </a:extLst>
          </xdr:cNvPr>
          <xdr:cNvSpPr/>
        </xdr:nvSpPr>
        <xdr:spPr bwMode="auto">
          <a:xfrm>
            <a:off x="26327100" y="7708900"/>
            <a:ext cx="668961" cy="2086968"/>
          </a:xfrm>
          <a:prstGeom prst="rect">
            <a:avLst/>
          </a:prstGeom>
          <a:noFill/>
          <a:ln w="38100" cap="flat" cmpd="sng" algn="ctr">
            <a:solidFill>
              <a:srgbClr val="92D050"/>
            </a:solidFill>
            <a:prstDash val="solid"/>
            <a:round/>
            <a:headEnd type="none" w="med" len="med"/>
            <a:tailEnd type="none" w="med" len="med"/>
          </a:ln>
          <a:effectLst/>
        </xdr:spPr>
        <xdr:txBody>
          <a:bodyPr vertOverflow="clip" wrap="square" lIns="18288" tIns="0" rIns="0" bIns="0" rtlCol="0" anchor="ctr" upright="1"/>
          <a:lstStyle/>
          <a:p>
            <a:pPr algn="l"/>
            <a:endParaRPr lang="en-US" sz="1100">
              <a:solidFill>
                <a:sysClr val="windowText" lastClr="000000"/>
              </a:solidFill>
            </a:endParaRPr>
          </a:p>
        </xdr:txBody>
      </xdr:sp>
    </xdr:grpSp>
    <xdr:clientData/>
  </xdr:twoCellAnchor>
  <xdr:twoCellAnchor editAs="oneCell">
    <xdr:from>
      <xdr:col>31</xdr:col>
      <xdr:colOff>612320</xdr:colOff>
      <xdr:row>82</xdr:row>
      <xdr:rowOff>54429</xdr:rowOff>
    </xdr:from>
    <xdr:to>
      <xdr:col>43</xdr:col>
      <xdr:colOff>50015</xdr:colOff>
      <xdr:row>106</xdr:row>
      <xdr:rowOff>108858</xdr:rowOff>
    </xdr:to>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95999" y="19131643"/>
          <a:ext cx="8091837" cy="51162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122465</xdr:colOff>
      <xdr:row>70</xdr:row>
      <xdr:rowOff>122463</xdr:rowOff>
    </xdr:from>
    <xdr:to>
      <xdr:col>50</xdr:col>
      <xdr:colOff>388536</xdr:colOff>
      <xdr:row>103</xdr:row>
      <xdr:rowOff>169189</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stretch>
          <a:fillRect/>
        </a:stretch>
      </xdr:blipFill>
      <xdr:spPr>
        <a:xfrm>
          <a:off x="52360286" y="16505463"/>
          <a:ext cx="5028571" cy="71904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7</xdr:row>
          <xdr:rowOff>0</xdr:rowOff>
        </xdr:from>
        <xdr:to>
          <xdr:col>11</xdr:col>
          <xdr:colOff>342900</xdr:colOff>
          <xdr:row>10</xdr:row>
          <xdr:rowOff>180975</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D00-0000022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Write fcal.inp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457206</xdr:colOff>
      <xdr:row>92</xdr:row>
      <xdr:rowOff>77675</xdr:rowOff>
    </xdr:from>
    <xdr:to>
      <xdr:col>4</xdr:col>
      <xdr:colOff>337392</xdr:colOff>
      <xdr:row>96</xdr:row>
      <xdr:rowOff>69781</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137563" y="18855532"/>
          <a:ext cx="1975686" cy="808535"/>
        </a:xfrm>
        <a:prstGeom prst="rect">
          <a:avLst/>
        </a:prstGeom>
      </xdr:spPr>
    </xdr:pic>
    <xdr:clientData/>
  </xdr:twoCellAnchor>
  <xdr:twoCellAnchor editAs="oneCell">
    <xdr:from>
      <xdr:col>1</xdr:col>
      <xdr:colOff>425373</xdr:colOff>
      <xdr:row>99</xdr:row>
      <xdr:rowOff>99610</xdr:rowOff>
    </xdr:from>
    <xdr:to>
      <xdr:col>9</xdr:col>
      <xdr:colOff>966436</xdr:colOff>
      <xdr:row>105</xdr:row>
      <xdr:rowOff>57319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1105730" y="20306217"/>
          <a:ext cx="7929742" cy="1182352"/>
        </a:xfrm>
        <a:prstGeom prst="rect">
          <a:avLst/>
        </a:prstGeom>
      </xdr:spPr>
    </xdr:pic>
    <xdr:clientData/>
  </xdr:twoCellAnchor>
  <xdr:twoCellAnchor editAs="oneCell">
    <xdr:from>
      <xdr:col>1</xdr:col>
      <xdr:colOff>450278</xdr:colOff>
      <xdr:row>96</xdr:row>
      <xdr:rowOff>107280</xdr:rowOff>
    </xdr:from>
    <xdr:to>
      <xdr:col>4</xdr:col>
      <xdr:colOff>206655</xdr:colOff>
      <xdr:row>98</xdr:row>
      <xdr:rowOff>141285</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3"/>
        <a:stretch>
          <a:fillRect/>
        </a:stretch>
      </xdr:blipFill>
      <xdr:spPr>
        <a:xfrm>
          <a:off x="1130635" y="19701566"/>
          <a:ext cx="1851877" cy="442219"/>
        </a:xfrm>
        <a:prstGeom prst="rect">
          <a:avLst/>
        </a:prstGeom>
      </xdr:spPr>
    </xdr:pic>
    <xdr:clientData/>
  </xdr:twoCellAnchor>
  <xdr:twoCellAnchor editAs="oneCell">
    <xdr:from>
      <xdr:col>1</xdr:col>
      <xdr:colOff>416384</xdr:colOff>
      <xdr:row>105</xdr:row>
      <xdr:rowOff>179439</xdr:rowOff>
    </xdr:from>
    <xdr:to>
      <xdr:col>6</xdr:col>
      <xdr:colOff>1544275</xdr:colOff>
      <xdr:row>109</xdr:row>
      <xdr:rowOff>102082</xdr:rowOff>
    </xdr:to>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4"/>
        <a:stretch>
          <a:fillRect/>
        </a:stretch>
      </xdr:blipFill>
      <xdr:spPr>
        <a:xfrm>
          <a:off x="1096741" y="21610689"/>
          <a:ext cx="4774605" cy="739072"/>
        </a:xfrm>
        <a:prstGeom prst="rect">
          <a:avLst/>
        </a:prstGeom>
      </xdr:spPr>
    </xdr:pic>
    <xdr:clientData/>
  </xdr:twoCellAnchor>
  <xdr:twoCellAnchor editAs="oneCell">
    <xdr:from>
      <xdr:col>1</xdr:col>
      <xdr:colOff>478236</xdr:colOff>
      <xdr:row>110</xdr:row>
      <xdr:rowOff>3454</xdr:rowOff>
    </xdr:from>
    <xdr:to>
      <xdr:col>3</xdr:col>
      <xdr:colOff>328849</xdr:colOff>
      <xdr:row>113</xdr:row>
      <xdr:rowOff>171961</xdr:rowOff>
    </xdr:to>
    <xdr:pic>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5"/>
        <a:stretch>
          <a:fillRect/>
        </a:stretch>
      </xdr:blipFill>
      <xdr:spPr>
        <a:xfrm>
          <a:off x="1158593" y="22455240"/>
          <a:ext cx="1265756" cy="780828"/>
        </a:xfrm>
        <a:prstGeom prst="rect">
          <a:avLst/>
        </a:prstGeom>
      </xdr:spPr>
    </xdr:pic>
    <xdr:clientData/>
  </xdr:twoCellAnchor>
  <xdr:twoCellAnchor>
    <xdr:from>
      <xdr:col>1</xdr:col>
      <xdr:colOff>336176</xdr:colOff>
      <xdr:row>57</xdr:row>
      <xdr:rowOff>81398</xdr:rowOff>
    </xdr:from>
    <xdr:to>
      <xdr:col>13</xdr:col>
      <xdr:colOff>884464</xdr:colOff>
      <xdr:row>90</xdr:row>
      <xdr:rowOff>122464</xdr:rowOff>
    </xdr:to>
    <xdr:graphicFrame macro="">
      <xdr:nvGraphicFramePr>
        <xdr:cNvPr id="8" name="Chart 7">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0.60357</cdr:x>
      <cdr:y>0.78658</cdr:y>
    </cdr:from>
    <cdr:to>
      <cdr:x>0.84557</cdr:x>
      <cdr:y>0.90907</cdr:y>
    </cdr:to>
    <cdr:sp macro="" textlink="">
      <cdr:nvSpPr>
        <cdr:cNvPr id="2" name="TextBox 6"/>
        <cdr:cNvSpPr txBox="1"/>
      </cdr:nvSpPr>
      <cdr:spPr>
        <a:xfrm xmlns:a="http://schemas.openxmlformats.org/drawingml/2006/main">
          <a:off x="7262585" y="5330371"/>
          <a:ext cx="2911929" cy="830035"/>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400" b="1">
              <a:solidFill>
                <a:srgbClr val="FF0000"/>
              </a:solidFill>
            </a:rPr>
            <a:t>ASHRAE Predicted concentration</a:t>
          </a:r>
          <a:r>
            <a:rPr lang="en-US" sz="1400" b="1" baseline="0">
              <a:solidFill>
                <a:srgbClr val="FF0000"/>
              </a:solidFill>
            </a:rPr>
            <a:t> is NOT conservative</a:t>
          </a:r>
        </a:p>
        <a:p xmlns:a="http://schemas.openxmlformats.org/drawingml/2006/main">
          <a:pPr algn="ctr"/>
          <a:r>
            <a:rPr lang="en-US" sz="1100" b="1" baseline="0"/>
            <a:t>Measured Conc. &gt; Predicted Conc.</a:t>
          </a:r>
          <a:endParaRPr lang="en-US" sz="1100" b="1"/>
        </a:p>
      </cdr:txBody>
    </cdr:sp>
  </cdr:relSizeAnchor>
  <cdr:relSizeAnchor xmlns:cdr="http://schemas.openxmlformats.org/drawingml/2006/chartDrawing">
    <cdr:from>
      <cdr:x>0.06981</cdr:x>
      <cdr:y>0.07175</cdr:y>
    </cdr:from>
    <cdr:to>
      <cdr:x>0.28241</cdr:x>
      <cdr:y>0.19424</cdr:y>
    </cdr:to>
    <cdr:sp macro="" textlink="">
      <cdr:nvSpPr>
        <cdr:cNvPr id="3" name="TextBox 8"/>
        <cdr:cNvSpPr txBox="1"/>
      </cdr:nvSpPr>
      <cdr:spPr>
        <a:xfrm xmlns:a="http://schemas.openxmlformats.org/drawingml/2006/main">
          <a:off x="840014" y="486229"/>
          <a:ext cx="2558143" cy="830035"/>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400" b="1">
              <a:solidFill>
                <a:srgbClr val="FF0000"/>
              </a:solidFill>
            </a:rPr>
            <a:t>ASHRAE Predicted concentration</a:t>
          </a:r>
          <a:r>
            <a:rPr lang="en-US" sz="1400" b="1" baseline="0">
              <a:solidFill>
                <a:srgbClr val="FF0000"/>
              </a:solidFill>
            </a:rPr>
            <a:t> is conservative</a:t>
          </a:r>
        </a:p>
        <a:p xmlns:a="http://schemas.openxmlformats.org/drawingml/2006/main">
          <a:pPr algn="ctr"/>
          <a:r>
            <a:rPr lang="en-US" sz="1100" b="1" baseline="0"/>
            <a:t>Measured Conc. &lt; Predicted Conc.</a:t>
          </a:r>
          <a:endParaRPr lang="en-US" sz="1100" b="1"/>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5</xdr:row>
          <xdr:rowOff>190500</xdr:rowOff>
        </xdr:from>
        <xdr:to>
          <xdr:col>4</xdr:col>
          <xdr:colOff>495300</xdr:colOff>
          <xdr:row>9</xdr:row>
          <xdr:rowOff>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F00-000001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imes New Roman"/>
                  <a:cs typeface="Times New Roman"/>
                </a:rPr>
                <a:t>Create RTP Input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xdr:row>
          <xdr:rowOff>190500</xdr:rowOff>
        </xdr:from>
        <xdr:to>
          <xdr:col>5</xdr:col>
          <xdr:colOff>66675</xdr:colOff>
          <xdr:row>9</xdr:row>
          <xdr:rowOff>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F00-000002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imes New Roman"/>
                  <a:cs typeface="Times New Roman"/>
                </a:rPr>
                <a:t>Create RTP Input File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11</xdr:col>
      <xdr:colOff>444501</xdr:colOff>
      <xdr:row>10</xdr:row>
      <xdr:rowOff>190500</xdr:rowOff>
    </xdr:from>
    <xdr:to>
      <xdr:col>23</xdr:col>
      <xdr:colOff>270957</xdr:colOff>
      <xdr:row>32</xdr:row>
      <xdr:rowOff>152400</xdr:rowOff>
    </xdr:to>
    <xdr:pic>
      <xdr:nvPicPr>
        <xdr:cNvPr id="2" name="Picture 1" descr="Machine generated alternative text:&#10;Table 1. Formaldehyde Exposure Limits &#10;Source &#10;OSHA &#10;NIOSH &#10;ACGIH &#10;Sources: &#10;8-HourTWA &#10;Exposure Limit &#10;(ppmv) &#10;0.75 &#10;(action level: 0 5) &#10;0.016 &#10;0.3 &#10;Short Term &#10;Exposure Limit &#10;(15 minute, ppmv) &#10;2.0 &#10;0.1 &#10;2.0 &#10;Odor Threshold &#10;(ppmv) &#10;0.8 &#10;https://www.cdc.gov/niosh/idlh/50000.html &#10;https://www.osha.gov/dts/chemicalsampling/data/CH_242600.html ">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45701" y="2438400"/>
          <a:ext cx="8170356" cy="440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215900</xdr:colOff>
      <xdr:row>6</xdr:row>
      <xdr:rowOff>25400</xdr:rowOff>
    </xdr:from>
    <xdr:to>
      <xdr:col>22</xdr:col>
      <xdr:colOff>497976</xdr:colOff>
      <xdr:row>10</xdr:row>
      <xdr:rowOff>88900</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stretch>
          <a:fillRect/>
        </a:stretch>
      </xdr:blipFill>
      <xdr:spPr>
        <a:xfrm>
          <a:off x="10512425" y="1435100"/>
          <a:ext cx="7235326" cy="901700"/>
        </a:xfrm>
        <a:prstGeom prst="rect">
          <a:avLst/>
        </a:prstGeom>
      </xdr:spPr>
    </xdr:pic>
    <xdr:clientData/>
  </xdr:twoCellAnchor>
  <xdr:twoCellAnchor editAs="oneCell">
    <xdr:from>
      <xdr:col>12</xdr:col>
      <xdr:colOff>152400</xdr:colOff>
      <xdr:row>3</xdr:row>
      <xdr:rowOff>177800</xdr:rowOff>
    </xdr:from>
    <xdr:to>
      <xdr:col>23</xdr:col>
      <xdr:colOff>240328</xdr:colOff>
      <xdr:row>5</xdr:row>
      <xdr:rowOff>114257</xdr:rowOff>
    </xdr:to>
    <xdr:pic>
      <xdr:nvPicPr>
        <xdr:cNvPr id="4" name="Picture 3">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3"/>
        <a:stretch>
          <a:fillRect/>
        </a:stretch>
      </xdr:blipFill>
      <xdr:spPr>
        <a:xfrm>
          <a:off x="10448925" y="949325"/>
          <a:ext cx="7736503" cy="336507"/>
        </a:xfrm>
        <a:prstGeom prst="rect">
          <a:avLst/>
        </a:prstGeom>
      </xdr:spPr>
    </xdr:pic>
    <xdr:clientData/>
  </xdr:twoCellAnchor>
  <xdr:twoCellAnchor editAs="oneCell">
    <xdr:from>
      <xdr:col>11</xdr:col>
      <xdr:colOff>431800</xdr:colOff>
      <xdr:row>33</xdr:row>
      <xdr:rowOff>63500</xdr:rowOff>
    </xdr:from>
    <xdr:to>
      <xdr:col>19</xdr:col>
      <xdr:colOff>110467</xdr:colOff>
      <xdr:row>73</xdr:row>
      <xdr:rowOff>173595</xdr:rowOff>
    </xdr:to>
    <xdr:pic>
      <xdr:nvPicPr>
        <xdr:cNvPr id="5" name="Picture 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4"/>
        <a:stretch>
          <a:fillRect/>
        </a:stretch>
      </xdr:blipFill>
      <xdr:spPr>
        <a:xfrm>
          <a:off x="10033000" y="6950075"/>
          <a:ext cx="5241267" cy="8111095"/>
        </a:xfrm>
        <a:prstGeom prst="rect">
          <a:avLst/>
        </a:prstGeom>
      </xdr:spPr>
    </xdr:pic>
    <xdr:clientData/>
  </xdr:twoCellAnchor>
  <xdr:twoCellAnchor editAs="oneCell">
    <xdr:from>
      <xdr:col>19</xdr:col>
      <xdr:colOff>266700</xdr:colOff>
      <xdr:row>33</xdr:row>
      <xdr:rowOff>50800</xdr:rowOff>
    </xdr:from>
    <xdr:to>
      <xdr:col>39</xdr:col>
      <xdr:colOff>307009</xdr:colOff>
      <xdr:row>72</xdr:row>
      <xdr:rowOff>105668</xdr:rowOff>
    </xdr:to>
    <xdr:pic>
      <xdr:nvPicPr>
        <xdr:cNvPr id="6" name="Picture 5">
          <a:extLst>
            <a:ext uri="{FF2B5EF4-FFF2-40B4-BE49-F238E27FC236}">
              <a16:creationId xmlns:a16="http://schemas.microsoft.com/office/drawing/2014/main" id="{00000000-0008-0000-1800-000006000000}"/>
            </a:ext>
          </a:extLst>
        </xdr:cNvPr>
        <xdr:cNvPicPr>
          <a:picLocks noChangeAspect="1"/>
        </xdr:cNvPicPr>
      </xdr:nvPicPr>
      <xdr:blipFill>
        <a:blip xmlns:r="http://schemas.openxmlformats.org/officeDocument/2006/relationships" r:embed="rId5"/>
        <a:stretch>
          <a:fillRect/>
        </a:stretch>
      </xdr:blipFill>
      <xdr:spPr>
        <a:xfrm>
          <a:off x="16497300" y="7023100"/>
          <a:ext cx="14010309" cy="797966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12</xdr:col>
      <xdr:colOff>457200</xdr:colOff>
      <xdr:row>0</xdr:row>
      <xdr:rowOff>44450</xdr:rowOff>
    </xdr:from>
    <xdr:ext cx="4984228" cy="1447800"/>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stretch>
          <a:fillRect/>
        </a:stretch>
      </xdr:blipFill>
      <xdr:spPr>
        <a:xfrm>
          <a:off x="6638925" y="44450"/>
          <a:ext cx="4984228" cy="1447800"/>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10</xdr:col>
      <xdr:colOff>457200</xdr:colOff>
      <xdr:row>112</xdr:row>
      <xdr:rowOff>9525</xdr:rowOff>
    </xdr:from>
    <xdr:to>
      <xdr:col>18</xdr:col>
      <xdr:colOff>381000</xdr:colOff>
      <xdr:row>130</xdr:row>
      <xdr:rowOff>66675</xdr:rowOff>
    </xdr:to>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609600</xdr:colOff>
      <xdr:row>46</xdr:row>
      <xdr:rowOff>0</xdr:rowOff>
    </xdr:from>
    <xdr:to>
      <xdr:col>18</xdr:col>
      <xdr:colOff>533400</xdr:colOff>
      <xdr:row>64</xdr:row>
      <xdr:rowOff>57150</xdr:rowOff>
    </xdr:to>
    <xdr:graphicFrame macro="">
      <xdr:nvGraphicFramePr>
        <xdr:cNvPr id="3" name="Chart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457200</xdr:colOff>
      <xdr:row>137</xdr:row>
      <xdr:rowOff>9525</xdr:rowOff>
    </xdr:from>
    <xdr:to>
      <xdr:col>18</xdr:col>
      <xdr:colOff>381000</xdr:colOff>
      <xdr:row>155</xdr:row>
      <xdr:rowOff>66675</xdr:rowOff>
    </xdr:to>
    <xdr:graphicFrame macro="">
      <xdr:nvGraphicFramePr>
        <xdr:cNvPr id="4" name="Chart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457200</xdr:colOff>
      <xdr:row>166</xdr:row>
      <xdr:rowOff>9525</xdr:rowOff>
    </xdr:from>
    <xdr:to>
      <xdr:col>18</xdr:col>
      <xdr:colOff>381000</xdr:colOff>
      <xdr:row>184</xdr:row>
      <xdr:rowOff>66675</xdr:rowOff>
    </xdr:to>
    <xdr:graphicFrame macro="">
      <xdr:nvGraphicFramePr>
        <xdr:cNvPr id="5" name="Chart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457200</xdr:colOff>
      <xdr:row>75</xdr:row>
      <xdr:rowOff>9525</xdr:rowOff>
    </xdr:from>
    <xdr:to>
      <xdr:col>18</xdr:col>
      <xdr:colOff>381000</xdr:colOff>
      <xdr:row>93</xdr:row>
      <xdr:rowOff>66675</xdr:rowOff>
    </xdr:to>
    <xdr:graphicFrame macro="">
      <xdr:nvGraphicFramePr>
        <xdr:cNvPr id="6" name="Chart 5">
          <a:extLst>
            <a:ext uri="{FF2B5EF4-FFF2-40B4-BE49-F238E27FC236}">
              <a16:creationId xmlns:a16="http://schemas.microsoft.com/office/drawing/2014/main" id="{00000000-0008-0000-1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9525</xdr:colOff>
      <xdr:row>28</xdr:row>
      <xdr:rowOff>123825</xdr:rowOff>
    </xdr:from>
    <xdr:to>
      <xdr:col>14</xdr:col>
      <xdr:colOff>619125</xdr:colOff>
      <xdr:row>46</xdr:row>
      <xdr:rowOff>180975</xdr:rowOff>
    </xdr:to>
    <xdr:graphicFrame macro="">
      <xdr:nvGraphicFramePr>
        <xdr:cNvPr id="3" name="Chart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56</xdr:row>
      <xdr:rowOff>123825</xdr:rowOff>
    </xdr:from>
    <xdr:to>
      <xdr:col>14</xdr:col>
      <xdr:colOff>619125</xdr:colOff>
      <xdr:row>74</xdr:row>
      <xdr:rowOff>180975</xdr:rowOff>
    </xdr:to>
    <xdr:graphicFrame macro="">
      <xdr:nvGraphicFramePr>
        <xdr:cNvPr id="7" name="Chart 6">
          <a:extLst>
            <a:ext uri="{FF2B5EF4-FFF2-40B4-BE49-F238E27FC236}">
              <a16:creationId xmlns:a16="http://schemas.microsoft.com/office/drawing/2014/main" id="{00000000-0008-0000-1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hunder\Active\7463%20-%20Fluids%20Lab,%20Schlumberger\Project%20Management\7463%20Vent_Test_Plan_v14_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ppwind\files\Lab%20Management\Flecks%20Stuff\Equipment%20-%20Wind%20Tunnels\MFC\Flowcal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hunder\Active\7619%20-%20Texas%20A&amp;M%20University%20Veterinary%20Medical%20Diagnostic%20Laboratory\Project%20Management\7619%20Vent_Test_Plan_v14_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hunder\Active\7463%20-%20Fluids%20Lab,%20Schlumberger\Project%20Management\7463%20ProjectBookmarks_v12_01-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15141_ProjectBookmarks_v12_0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Log"/>
      <sheetName val="Stack Summary"/>
      <sheetName val="QA"/>
      <sheetName val="1% Wind"/>
      <sheetName val="Receptors"/>
      <sheetName val="Combustion Criteria"/>
      <sheetName val="Design Criteria Summary"/>
      <sheetName val="Dilution Criteria"/>
      <sheetName val="Test Plan &amp; Results"/>
      <sheetName val="Hydrogen"/>
      <sheetName val="manual fits"/>
      <sheetName val="interpolation"/>
      <sheetName val="Flow Settings"/>
      <sheetName val="Flow Vis Settings"/>
      <sheetName val="Air Intake Flow Settings"/>
      <sheetName val="Flow Input File"/>
      <sheetName val="Flow Cal Input File"/>
      <sheetName val="Results Summary ISO"/>
      <sheetName val="Results Summary OSHA"/>
      <sheetName val="Results Summary Multiple"/>
      <sheetName val="Vis Plan WT2&amp;3"/>
      <sheetName val="Probabilities"/>
      <sheetName val="Video Script"/>
      <sheetName val="Sample Calcs"/>
      <sheetName val="AA"/>
      <sheetName val="AB"/>
      <sheetName val="AC"/>
      <sheetName val="AD"/>
      <sheetName val="AE"/>
      <sheetName val="AF"/>
      <sheetName val="AG"/>
      <sheetName val="AH"/>
      <sheetName val="AI"/>
      <sheetName val="AJ"/>
      <sheetName val="AK"/>
      <sheetName val="AL"/>
      <sheetName val="BA"/>
      <sheetName val="BB"/>
      <sheetName val="BC"/>
      <sheetName val="BD"/>
      <sheetName val="BE"/>
      <sheetName val="BF"/>
      <sheetName val="BG"/>
      <sheetName val="BH"/>
      <sheetName val="BI"/>
      <sheetName val="BJ"/>
      <sheetName val="BK"/>
      <sheetName val="BL"/>
      <sheetName val="BM"/>
      <sheetName val="BN"/>
      <sheetName val="CA"/>
      <sheetName val="DA"/>
      <sheetName val="1"/>
      <sheetName val="2"/>
      <sheetName val="3"/>
      <sheetName val="4"/>
      <sheetName val="5"/>
      <sheetName val="6"/>
      <sheetName val="7"/>
      <sheetName val="8"/>
      <sheetName val="9"/>
      <sheetName val="10"/>
      <sheetName val="Brass and Gas"/>
      <sheetName val="Instructions"/>
      <sheetName val="ProjectDescription"/>
      <sheetName val="Scope of Work"/>
      <sheetName val="SiteAnemModelParam"/>
      <sheetName val="Notebook Labels"/>
      <sheetName val="Updates"/>
    </sheetNames>
    <sheetDataSet>
      <sheetData sheetId="0"/>
      <sheetData sheetId="1">
        <row r="1">
          <cell r="D1" t="str">
            <v>Schlumberger</v>
          </cell>
        </row>
        <row r="2">
          <cell r="D2" t="str">
            <v>Fluids Lab</v>
          </cell>
        </row>
        <row r="3">
          <cell r="D3" t="str">
            <v>7463</v>
          </cell>
        </row>
        <row r="23">
          <cell r="J23">
            <v>16000</v>
          </cell>
          <cell r="K23">
            <v>3000.0000000000105</v>
          </cell>
        </row>
        <row r="24">
          <cell r="J24">
            <v>16000</v>
          </cell>
          <cell r="K24">
            <v>3000.0000000000105</v>
          </cell>
        </row>
        <row r="25">
          <cell r="J25">
            <v>16000</v>
          </cell>
          <cell r="K25">
            <v>3000.0000000000105</v>
          </cell>
        </row>
        <row r="26">
          <cell r="J26">
            <v>10000</v>
          </cell>
          <cell r="K26">
            <v>3000.0000000000023</v>
          </cell>
        </row>
        <row r="27">
          <cell r="J27">
            <v>3000</v>
          </cell>
          <cell r="K27">
            <v>3000.0000000000005</v>
          </cell>
        </row>
        <row r="28">
          <cell r="J28">
            <v>2090</v>
          </cell>
          <cell r="K28">
            <v>549.80798522654766</v>
          </cell>
        </row>
        <row r="29">
          <cell r="J29">
            <v>380</v>
          </cell>
          <cell r="K29">
            <v>252.83665222785632</v>
          </cell>
        </row>
        <row r="30">
          <cell r="J30">
            <v>1700</v>
          </cell>
          <cell r="K30">
            <v>12467.561622046713</v>
          </cell>
        </row>
        <row r="31">
          <cell r="J31">
            <v>0</v>
          </cell>
          <cell r="K31">
            <v>0</v>
          </cell>
        </row>
        <row r="32">
          <cell r="J32">
            <v>0</v>
          </cell>
          <cell r="K32">
            <v>0</v>
          </cell>
        </row>
        <row r="33">
          <cell r="J33">
            <v>11600</v>
          </cell>
          <cell r="K33">
            <v>2363.1325950284618</v>
          </cell>
        </row>
        <row r="34">
          <cell r="J34">
            <v>1113</v>
          </cell>
          <cell r="K34">
            <v>2519.3166458493088</v>
          </cell>
        </row>
        <row r="35">
          <cell r="J35">
            <v>1380</v>
          </cell>
          <cell r="K35">
            <v>2530.1816232977153</v>
          </cell>
        </row>
        <row r="36">
          <cell r="J36">
            <v>15000</v>
          </cell>
          <cell r="K36">
            <v>2999.5225284268354</v>
          </cell>
        </row>
        <row r="37">
          <cell r="J37">
            <v>10000</v>
          </cell>
          <cell r="K37">
            <v>3000.3759655367207</v>
          </cell>
        </row>
        <row r="38">
          <cell r="J38">
            <v>55000</v>
          </cell>
          <cell r="K38">
            <v>3000.224723799362</v>
          </cell>
        </row>
        <row r="39">
          <cell r="J39">
            <v>55000</v>
          </cell>
          <cell r="K39">
            <v>3000.224723799362</v>
          </cell>
        </row>
        <row r="40">
          <cell r="J40">
            <v>55000</v>
          </cell>
          <cell r="K40">
            <v>3000.224723799362</v>
          </cell>
        </row>
        <row r="41">
          <cell r="J41">
            <v>25000</v>
          </cell>
          <cell r="K41">
            <v>3000.491403347798</v>
          </cell>
        </row>
        <row r="42">
          <cell r="J42">
            <v>25000</v>
          </cell>
          <cell r="K42">
            <v>3000.491403347798</v>
          </cell>
        </row>
        <row r="43">
          <cell r="J43">
            <v>10000</v>
          </cell>
          <cell r="K43">
            <v>3000.3759655367207</v>
          </cell>
        </row>
        <row r="44">
          <cell r="J44">
            <v>10000</v>
          </cell>
          <cell r="K44">
            <v>3000.3759655367207</v>
          </cell>
        </row>
        <row r="45">
          <cell r="J45">
            <v>200</v>
          </cell>
          <cell r="K45">
            <v>1018.5916357881301</v>
          </cell>
        </row>
        <row r="46">
          <cell r="J46">
            <v>13019</v>
          </cell>
          <cell r="K46">
            <v>12178.510260911326</v>
          </cell>
        </row>
        <row r="47">
          <cell r="J47">
            <v>0</v>
          </cell>
          <cell r="K47">
            <v>0</v>
          </cell>
        </row>
        <row r="48">
          <cell r="J48">
            <v>0</v>
          </cell>
          <cell r="K48">
            <v>0</v>
          </cell>
        </row>
        <row r="49">
          <cell r="J49">
            <v>27500</v>
          </cell>
          <cell r="K49">
            <v>3000.1538282075935</v>
          </cell>
        </row>
        <row r="50">
          <cell r="J50">
            <v>27500</v>
          </cell>
          <cell r="K50">
            <v>3000.1538282075935</v>
          </cell>
        </row>
        <row r="51">
          <cell r="J51">
            <v>15000</v>
          </cell>
          <cell r="K51">
            <v>2999.5225284268354</v>
          </cell>
        </row>
        <row r="52">
          <cell r="J52">
            <v>15000</v>
          </cell>
          <cell r="K52">
            <v>2999.5225284268354</v>
          </cell>
        </row>
        <row r="53">
          <cell r="J53">
            <v>10000</v>
          </cell>
          <cell r="K53">
            <v>3000.3759655367207</v>
          </cell>
        </row>
        <row r="54">
          <cell r="J54">
            <v>55000</v>
          </cell>
          <cell r="K54">
            <v>3000.224723799362</v>
          </cell>
        </row>
        <row r="55">
          <cell r="J55">
            <v>55000</v>
          </cell>
          <cell r="K55">
            <v>3000.224723799362</v>
          </cell>
        </row>
        <row r="56">
          <cell r="J56">
            <v>55000</v>
          </cell>
          <cell r="K56">
            <v>3000.224723799362</v>
          </cell>
        </row>
        <row r="57">
          <cell r="J57">
            <v>25000</v>
          </cell>
          <cell r="K57">
            <v>3000.491403347798</v>
          </cell>
        </row>
        <row r="58">
          <cell r="J58">
            <v>25000</v>
          </cell>
          <cell r="K58">
            <v>3000.491403347798</v>
          </cell>
        </row>
        <row r="59">
          <cell r="J59">
            <v>10000</v>
          </cell>
          <cell r="K59">
            <v>3000.3759655367207</v>
          </cell>
        </row>
        <row r="60">
          <cell r="J60">
            <v>10000</v>
          </cell>
          <cell r="K60">
            <v>3000.3759655367207</v>
          </cell>
        </row>
        <row r="61">
          <cell r="J61">
            <v>200</v>
          </cell>
          <cell r="K61">
            <v>1018.5916357881301</v>
          </cell>
        </row>
        <row r="62">
          <cell r="J62">
            <v>13019</v>
          </cell>
          <cell r="K62">
            <v>12178.510260911326</v>
          </cell>
        </row>
        <row r="63">
          <cell r="J63">
            <v>0</v>
          </cell>
          <cell r="K63">
            <v>0</v>
          </cell>
        </row>
        <row r="64">
          <cell r="J64">
            <v>0</v>
          </cell>
          <cell r="K64">
            <v>0</v>
          </cell>
        </row>
        <row r="65">
          <cell r="J65">
            <v>100</v>
          </cell>
          <cell r="K65">
            <v>2037.1832715762603</v>
          </cell>
        </row>
        <row r="66">
          <cell r="J66">
            <v>100</v>
          </cell>
          <cell r="K66">
            <v>509.29581789406507</v>
          </cell>
        </row>
        <row r="67">
          <cell r="J67">
            <v>100</v>
          </cell>
          <cell r="K67">
            <v>509.29581789406507</v>
          </cell>
        </row>
        <row r="68">
          <cell r="J68">
            <v>200</v>
          </cell>
          <cell r="K68">
            <v>1018.5916357881301</v>
          </cell>
        </row>
        <row r="69">
          <cell r="J69">
            <v>2150</v>
          </cell>
          <cell r="K69">
            <v>10949.860084722399</v>
          </cell>
        </row>
        <row r="70">
          <cell r="J70">
            <v>4647</v>
          </cell>
          <cell r="K70">
            <v>13312.674369864679</v>
          </cell>
        </row>
        <row r="71">
          <cell r="J71">
            <v>6561</v>
          </cell>
          <cell r="K71">
            <v>12029.363500330659</v>
          </cell>
        </row>
        <row r="72">
          <cell r="J72">
            <v>8651</v>
          </cell>
          <cell r="K72">
            <v>11014.795301503893</v>
          </cell>
        </row>
        <row r="73">
          <cell r="J73">
            <v>10335</v>
          </cell>
          <cell r="K73">
            <v>13158.930694837907</v>
          </cell>
        </row>
        <row r="74">
          <cell r="J74">
            <v>13019</v>
          </cell>
          <cell r="K74">
            <v>12178.510260911326</v>
          </cell>
        </row>
        <row r="75">
          <cell r="J75">
            <v>14721</v>
          </cell>
          <cell r="K75">
            <v>13770.631350401383</v>
          </cell>
        </row>
        <row r="76">
          <cell r="J76">
            <v>16038</v>
          </cell>
          <cell r="K76">
            <v>11486.371397885179</v>
          </cell>
        </row>
        <row r="77">
          <cell r="J77">
            <v>1275.8964033124832</v>
          </cell>
          <cell r="K77">
            <v>913.79348757158505</v>
          </cell>
        </row>
        <row r="78">
          <cell r="J78">
            <v>1701.1952044166446</v>
          </cell>
          <cell r="K78">
            <v>962.67955892315138</v>
          </cell>
        </row>
        <row r="79">
          <cell r="J79">
            <v>2410.026539590247</v>
          </cell>
          <cell r="K79">
            <v>1104.6747938643164</v>
          </cell>
        </row>
        <row r="80">
          <cell r="J80">
            <v>3572.7613993716895</v>
          </cell>
          <cell r="K80">
            <v>1353.4158637438136</v>
          </cell>
        </row>
        <row r="81">
          <cell r="J81">
            <v>4820.3674168014131</v>
          </cell>
          <cell r="K81">
            <v>1534.3706038061109</v>
          </cell>
        </row>
        <row r="82">
          <cell r="J82">
            <v>5954.4975530791771</v>
          </cell>
          <cell r="K82">
            <v>1392.5207302547458</v>
          </cell>
        </row>
        <row r="83">
          <cell r="J83">
            <v>92354.166666666672</v>
          </cell>
          <cell r="K83">
            <v>999.99999999999989</v>
          </cell>
        </row>
        <row r="84">
          <cell r="J84">
            <v>24483.696913132942</v>
          </cell>
          <cell r="K84">
            <v>999.99999999999977</v>
          </cell>
        </row>
        <row r="85">
          <cell r="J85">
            <v>16498.815585258893</v>
          </cell>
          <cell r="K85">
            <v>999.99999999999989</v>
          </cell>
        </row>
        <row r="86">
          <cell r="J86">
            <v>67200.6303556942</v>
          </cell>
          <cell r="K86">
            <v>1000.0000000000005</v>
          </cell>
        </row>
        <row r="87">
          <cell r="J87">
            <v>100880.03076527225</v>
          </cell>
          <cell r="K87">
            <v>1000</v>
          </cell>
        </row>
        <row r="88">
          <cell r="J88">
            <v>139626.34015954638</v>
          </cell>
          <cell r="K88">
            <v>1000</v>
          </cell>
        </row>
        <row r="89">
          <cell r="J89">
            <v>0</v>
          </cell>
          <cell r="K89">
            <v>0</v>
          </cell>
        </row>
        <row r="90">
          <cell r="J90">
            <v>0</v>
          </cell>
          <cell r="K90">
            <v>0</v>
          </cell>
        </row>
        <row r="91">
          <cell r="J91">
            <v>100000</v>
          </cell>
          <cell r="K91">
            <v>615.44752279520048</v>
          </cell>
        </row>
        <row r="92">
          <cell r="J92">
            <v>200000</v>
          </cell>
          <cell r="K92">
            <v>1230.895045590401</v>
          </cell>
        </row>
        <row r="93">
          <cell r="J93">
            <v>400000</v>
          </cell>
          <cell r="K93">
            <v>2461.7900911808019</v>
          </cell>
        </row>
        <row r="94">
          <cell r="J94">
            <v>0</v>
          </cell>
          <cell r="K94">
            <v>0</v>
          </cell>
        </row>
        <row r="98">
          <cell r="E98">
            <v>180</v>
          </cell>
        </row>
        <row r="99">
          <cell r="E99">
            <v>30.487804878048781</v>
          </cell>
        </row>
        <row r="100">
          <cell r="E100">
            <v>9.7560975609756095</v>
          </cell>
        </row>
        <row r="101">
          <cell r="E101">
            <v>294.26111111111106</v>
          </cell>
        </row>
        <row r="103">
          <cell r="E103">
            <v>10</v>
          </cell>
        </row>
        <row r="104">
          <cell r="E104">
            <v>0.03</v>
          </cell>
        </row>
        <row r="105">
          <cell r="E105">
            <v>10</v>
          </cell>
        </row>
        <row r="106">
          <cell r="E106">
            <v>0.37</v>
          </cell>
        </row>
        <row r="107">
          <cell r="E107">
            <v>11.3</v>
          </cell>
        </row>
        <row r="117">
          <cell r="B117" t="str">
            <v>AA</v>
          </cell>
          <cell r="D117" t="str">
            <v>Laborarory Exhaust</v>
          </cell>
          <cell r="E117" t="str">
            <v>LEF-R-1</v>
          </cell>
          <cell r="F117">
            <v>3.0487804878048781</v>
          </cell>
          <cell r="G117">
            <v>0.79447562911043756</v>
          </cell>
          <cell r="H117">
            <v>294.26111111111106</v>
          </cell>
          <cell r="I117">
            <v>9.2176038586406914</v>
          </cell>
          <cell r="J117">
            <v>7.5569613518859775</v>
          </cell>
          <cell r="K117">
            <v>15.243902439024446</v>
          </cell>
          <cell r="L117" t="str">
            <v>Vertical</v>
          </cell>
          <cell r="M117">
            <v>9.7560975609756095</v>
          </cell>
          <cell r="N117" t="str">
            <v>Main Roof</v>
          </cell>
          <cell r="R117">
            <v>1</v>
          </cell>
          <cell r="T117">
            <v>4.0011382113821137</v>
          </cell>
          <cell r="U117">
            <v>0.97430000000000005</v>
          </cell>
          <cell r="AB117">
            <v>6</v>
          </cell>
          <cell r="AG117" t="e">
            <v>#N/A</v>
          </cell>
          <cell r="AI117">
            <v>0.1875</v>
          </cell>
        </row>
        <row r="118">
          <cell r="B118" t="str">
            <v>AB</v>
          </cell>
          <cell r="D118" t="str">
            <v>Laborarory Exhaust</v>
          </cell>
          <cell r="E118" t="str">
            <v>LEF-R-2</v>
          </cell>
          <cell r="F118">
            <v>3.0487804878048781</v>
          </cell>
          <cell r="G118">
            <v>0.79447562911043756</v>
          </cell>
          <cell r="H118">
            <v>294.26111111111106</v>
          </cell>
          <cell r="I118">
            <v>9.2176038586406914</v>
          </cell>
          <cell r="J118">
            <v>7.5569613518859775</v>
          </cell>
          <cell r="K118">
            <v>15.243902439024446</v>
          </cell>
          <cell r="L118" t="str">
            <v>Vertical</v>
          </cell>
          <cell r="M118">
            <v>9.7560975609756095</v>
          </cell>
          <cell r="N118" t="str">
            <v>Main Roof</v>
          </cell>
          <cell r="R118">
            <v>1</v>
          </cell>
          <cell r="T118">
            <v>4.0011382113821137</v>
          </cell>
          <cell r="U118">
            <v>0.97430000000000005</v>
          </cell>
          <cell r="AB118">
            <v>6</v>
          </cell>
          <cell r="AG118" t="e">
            <v>#N/A</v>
          </cell>
          <cell r="AI118">
            <v>0.1875</v>
          </cell>
        </row>
        <row r="119">
          <cell r="B119" t="str">
            <v>AC</v>
          </cell>
          <cell r="D119" t="str">
            <v>Laborarory Exhaust</v>
          </cell>
          <cell r="E119" t="str">
            <v>LEF-R-3</v>
          </cell>
          <cell r="F119">
            <v>3.0487804878048781</v>
          </cell>
          <cell r="G119">
            <v>0.79447562911043756</v>
          </cell>
          <cell r="H119">
            <v>294.26111111111106</v>
          </cell>
          <cell r="I119">
            <v>9.2176038586406914</v>
          </cell>
          <cell r="J119">
            <v>7.5569613518859775</v>
          </cell>
          <cell r="K119">
            <v>15.243902439024446</v>
          </cell>
          <cell r="L119" t="str">
            <v>Vertical</v>
          </cell>
          <cell r="M119">
            <v>9.7560975609756095</v>
          </cell>
          <cell r="N119" t="str">
            <v>Main Roof</v>
          </cell>
          <cell r="R119">
            <v>1</v>
          </cell>
          <cell r="T119">
            <v>4.0011382113821137</v>
          </cell>
          <cell r="U119">
            <v>0.97430000000000005</v>
          </cell>
          <cell r="AB119">
            <v>6</v>
          </cell>
          <cell r="AG119" t="e">
            <v>#N/A</v>
          </cell>
          <cell r="AI119">
            <v>0.1875</v>
          </cell>
        </row>
        <row r="120">
          <cell r="B120" t="str">
            <v>AD</v>
          </cell>
          <cell r="D120" t="str">
            <v>High Pile Storage</v>
          </cell>
          <cell r="E120" t="str">
            <v>LEF-R-4,5</v>
          </cell>
          <cell r="F120">
            <v>3.0487804878048781</v>
          </cell>
          <cell r="G120">
            <v>0.62808813337103975</v>
          </cell>
          <cell r="H120">
            <v>294.26111111111106</v>
          </cell>
          <cell r="I120">
            <v>5.7610024116504333</v>
          </cell>
          <cell r="J120">
            <v>4.7231008449287364</v>
          </cell>
          <cell r="K120">
            <v>15.243902439024403</v>
          </cell>
          <cell r="L120" t="str">
            <v>Vertical</v>
          </cell>
          <cell r="M120">
            <v>9.7560975609756095</v>
          </cell>
          <cell r="N120" t="str">
            <v>Main Roof</v>
          </cell>
          <cell r="R120">
            <v>1</v>
          </cell>
          <cell r="T120">
            <v>4.0011382113821137</v>
          </cell>
          <cell r="U120">
            <v>0.97430000000000005</v>
          </cell>
          <cell r="AB120">
            <v>4</v>
          </cell>
          <cell r="AG120" t="e">
            <v>#N/A</v>
          </cell>
          <cell r="AI120">
            <v>0.125</v>
          </cell>
        </row>
        <row r="121">
          <cell r="B121" t="str">
            <v>AE</v>
          </cell>
          <cell r="D121" t="str">
            <v>H2S Purge Exhaust</v>
          </cell>
          <cell r="E121" t="str">
            <v>LEF-R-6,7</v>
          </cell>
          <cell r="F121">
            <v>3.0487804878048781</v>
          </cell>
          <cell r="G121">
            <v>0.3440180387486319</v>
          </cell>
          <cell r="H121">
            <v>294.26111111111106</v>
          </cell>
          <cell r="I121">
            <v>1.7283007234951298</v>
          </cell>
          <cell r="J121">
            <v>1.4169302534786208</v>
          </cell>
          <cell r="K121">
            <v>15.243902439024394</v>
          </cell>
          <cell r="L121" t="str">
            <v>Vertical</v>
          </cell>
          <cell r="M121">
            <v>9.7560975609756095</v>
          </cell>
          <cell r="N121" t="str">
            <v>Main Roof</v>
          </cell>
          <cell r="R121">
            <v>1</v>
          </cell>
          <cell r="T121">
            <v>4.0011382113821137</v>
          </cell>
          <cell r="U121">
            <v>0.97430000000000005</v>
          </cell>
          <cell r="AB121">
            <v>3</v>
          </cell>
          <cell r="AG121" t="e">
            <v>#N/A</v>
          </cell>
          <cell r="AI121">
            <v>9.375E-2</v>
          </cell>
        </row>
        <row r="122">
          <cell r="B122" t="str">
            <v>AF</v>
          </cell>
          <cell r="D122" t="str">
            <v>Large Gas Storage Exhaust</v>
          </cell>
          <cell r="E122" t="str">
            <v>GEF-R-1</v>
          </cell>
          <cell r="F122">
            <v>0.72726117886178865</v>
          </cell>
          <cell r="G122">
            <v>0.6707317073170731</v>
          </cell>
          <cell r="H122">
            <v>294.26111111111106</v>
          </cell>
          <cell r="I122">
            <v>1.2040495040349404</v>
          </cell>
          <cell r="J122">
            <v>0.98712807659010582</v>
          </cell>
          <cell r="K122">
            <v>2.7937397623300186</v>
          </cell>
          <cell r="L122" t="str">
            <v>upblast</v>
          </cell>
          <cell r="M122">
            <v>9.7560975609756095</v>
          </cell>
          <cell r="N122" t="str">
            <v>Main Roof</v>
          </cell>
          <cell r="R122">
            <v>1</v>
          </cell>
          <cell r="T122">
            <v>4.0011382113821137</v>
          </cell>
          <cell r="U122">
            <v>0.97430000000000005</v>
          </cell>
          <cell r="AB122">
            <v>5</v>
          </cell>
          <cell r="AG122" t="e">
            <v>#N/A</v>
          </cell>
          <cell r="AI122">
            <v>0.15625</v>
          </cell>
        </row>
        <row r="123">
          <cell r="B123" t="str">
            <v>AG</v>
          </cell>
          <cell r="D123" t="str">
            <v>Small Gas Storage Exhaust</v>
          </cell>
          <cell r="E123" t="str">
            <v>GEF-R-2</v>
          </cell>
          <cell r="F123">
            <v>0.41603150406504064</v>
          </cell>
          <cell r="G123">
            <v>0.42174796747967486</v>
          </cell>
          <cell r="H123">
            <v>294.26111111111106</v>
          </cell>
          <cell r="I123">
            <v>0.21891809164271644</v>
          </cell>
          <cell r="J123">
            <v>0.17947783210729198</v>
          </cell>
          <cell r="K123">
            <v>1.2847390865236603</v>
          </cell>
          <cell r="L123" t="str">
            <v>upblast</v>
          </cell>
          <cell r="M123">
            <v>9.7560975609756095</v>
          </cell>
          <cell r="N123" t="str">
            <v>Main Roof</v>
          </cell>
          <cell r="R123">
            <v>1</v>
          </cell>
          <cell r="T123">
            <v>4.0011382113821137</v>
          </cell>
          <cell r="U123">
            <v>0.97430000000000005</v>
          </cell>
          <cell r="AB123">
            <v>3</v>
          </cell>
          <cell r="AG123" t="e">
            <v>#N/A</v>
          </cell>
          <cell r="AI123">
            <v>9.375E-2</v>
          </cell>
        </row>
        <row r="124">
          <cell r="B124" t="str">
            <v>AH</v>
          </cell>
          <cell r="D124" t="str">
            <v>150 kW Diesel Generator</v>
          </cell>
          <cell r="E124" t="str">
            <v>DG</v>
          </cell>
          <cell r="F124">
            <v>1.8292682926829269</v>
          </cell>
          <cell r="G124">
            <v>0.12703252032520326</v>
          </cell>
          <cell r="H124">
            <v>708.70555555555552</v>
          </cell>
          <cell r="I124">
            <v>0.40664366572421579</v>
          </cell>
          <cell r="J124">
            <v>0.8029271436378852</v>
          </cell>
          <cell r="K124">
            <v>63.351431006334927</v>
          </cell>
          <cell r="L124" t="str">
            <v>Vertical</v>
          </cell>
          <cell r="M124">
            <v>0</v>
          </cell>
          <cell r="N124" t="str">
            <v>Local Grade</v>
          </cell>
          <cell r="R124">
            <v>1</v>
          </cell>
          <cell r="T124">
            <v>4.0011382113821137</v>
          </cell>
          <cell r="U124">
            <v>0.97430000000000005</v>
          </cell>
          <cell r="AB124">
            <v>3</v>
          </cell>
          <cell r="AG124" t="e">
            <v>#N/A</v>
          </cell>
          <cell r="AI124">
            <v>9.375E-2</v>
          </cell>
        </row>
        <row r="125">
          <cell r="B125">
            <v>0</v>
          </cell>
          <cell r="D125">
            <v>0</v>
          </cell>
          <cell r="E125">
            <v>0</v>
          </cell>
          <cell r="F125">
            <v>0</v>
          </cell>
          <cell r="G125">
            <v>0</v>
          </cell>
          <cell r="H125">
            <v>0</v>
          </cell>
          <cell r="I125">
            <v>0</v>
          </cell>
          <cell r="J125">
            <v>0</v>
          </cell>
          <cell r="K125">
            <v>0</v>
          </cell>
          <cell r="L125">
            <v>0</v>
          </cell>
          <cell r="M125">
            <v>0</v>
          </cell>
          <cell r="N125">
            <v>0</v>
          </cell>
          <cell r="R125">
            <v>0</v>
          </cell>
          <cell r="T125">
            <v>0</v>
          </cell>
          <cell r="U125">
            <v>0</v>
          </cell>
          <cell r="AB125">
            <v>0</v>
          </cell>
          <cell r="AG125">
            <v>0</v>
          </cell>
          <cell r="AI125">
            <v>0</v>
          </cell>
        </row>
        <row r="126">
          <cell r="B126" t="str">
            <v>Existing Sources</v>
          </cell>
          <cell r="D126">
            <v>0</v>
          </cell>
          <cell r="E126">
            <v>0</v>
          </cell>
          <cell r="F126">
            <v>0</v>
          </cell>
          <cell r="G126">
            <v>0</v>
          </cell>
          <cell r="H126">
            <v>0</v>
          </cell>
          <cell r="I126">
            <v>0</v>
          </cell>
          <cell r="J126">
            <v>0</v>
          </cell>
          <cell r="K126">
            <v>0</v>
          </cell>
          <cell r="L126">
            <v>0</v>
          </cell>
          <cell r="M126">
            <v>0</v>
          </cell>
          <cell r="N126">
            <v>0</v>
          </cell>
          <cell r="R126">
            <v>0</v>
          </cell>
          <cell r="T126">
            <v>0</v>
          </cell>
          <cell r="U126">
            <v>0</v>
          </cell>
          <cell r="AB126">
            <v>0</v>
          </cell>
          <cell r="AG126">
            <v>0</v>
          </cell>
          <cell r="AI126">
            <v>0</v>
          </cell>
        </row>
        <row r="127">
          <cell r="B127" t="str">
            <v>BA</v>
          </cell>
          <cell r="D127" t="str">
            <v>Laboratory Exhaust</v>
          </cell>
          <cell r="E127" t="str">
            <v>LEF-1A,B</v>
          </cell>
          <cell r="F127">
            <v>3.6585365853658538</v>
          </cell>
          <cell r="G127">
            <v>0.76219512195121952</v>
          </cell>
          <cell r="H127">
            <v>294.26111111111106</v>
          </cell>
          <cell r="I127">
            <v>6.6827627975145019</v>
          </cell>
          <cell r="J127">
            <v>5.478796980117334</v>
          </cell>
          <cell r="K127">
            <v>12.007787576364136</v>
          </cell>
          <cell r="L127" t="str">
            <v>Vertical</v>
          </cell>
          <cell r="M127">
            <v>9.7560975609756095</v>
          </cell>
          <cell r="N127" t="str">
            <v>Main Roof</v>
          </cell>
          <cell r="R127">
            <v>1</v>
          </cell>
          <cell r="T127">
            <v>4.0011382113821137</v>
          </cell>
          <cell r="U127">
            <v>0.97430000000000005</v>
          </cell>
          <cell r="AB127">
            <v>5</v>
          </cell>
          <cell r="AG127" t="e">
            <v>#N/A</v>
          </cell>
          <cell r="AI127">
            <v>0.15625</v>
          </cell>
        </row>
        <row r="128">
          <cell r="B128" t="str">
            <v>BB</v>
          </cell>
          <cell r="D128" t="str">
            <v>Laboratory Exhaust</v>
          </cell>
          <cell r="E128" t="str">
            <v>LEF-2</v>
          </cell>
          <cell r="F128">
            <v>3.0487804878048781</v>
          </cell>
          <cell r="G128">
            <v>0.22865853658536586</v>
          </cell>
          <cell r="H128">
            <v>294.26111111111106</v>
          </cell>
          <cell r="I128">
            <v>0.64119956841669312</v>
          </cell>
          <cell r="J128">
            <v>0.52568112404056833</v>
          </cell>
          <cell r="K128">
            <v>12.801405720779009</v>
          </cell>
          <cell r="L128" t="str">
            <v>Vertical</v>
          </cell>
          <cell r="M128">
            <v>9.7560975609756095</v>
          </cell>
          <cell r="N128" t="str">
            <v>Main Roof</v>
          </cell>
          <cell r="R128">
            <v>1</v>
          </cell>
          <cell r="T128">
            <v>4.0011382113821137</v>
          </cell>
          <cell r="U128">
            <v>0.97430000000000005</v>
          </cell>
          <cell r="AB128">
            <v>3</v>
          </cell>
          <cell r="AG128" t="e">
            <v>#N/A</v>
          </cell>
          <cell r="AI128">
            <v>9.375E-2</v>
          </cell>
        </row>
        <row r="129">
          <cell r="B129" t="str">
            <v>BC</v>
          </cell>
          <cell r="D129" t="str">
            <v>Laboratory Exhaust</v>
          </cell>
          <cell r="E129" t="str">
            <v>LEF-3</v>
          </cell>
          <cell r="F129">
            <v>3.0487804878048781</v>
          </cell>
          <cell r="G129">
            <v>0.25406504065040653</v>
          </cell>
          <cell r="H129">
            <v>294.26111111111106</v>
          </cell>
          <cell r="I129">
            <v>0.79501833280775969</v>
          </cell>
          <cell r="J129">
            <v>0.65178791660016555</v>
          </cell>
          <cell r="K129">
            <v>12.856613939520912</v>
          </cell>
          <cell r="L129" t="str">
            <v>Vertical</v>
          </cell>
          <cell r="M129">
            <v>9.7560975609756095</v>
          </cell>
          <cell r="N129" t="str">
            <v>Main Roof</v>
          </cell>
          <cell r="R129">
            <v>1</v>
          </cell>
          <cell r="T129">
            <v>4.0011382113821137</v>
          </cell>
          <cell r="U129">
            <v>0.97430000000000005</v>
          </cell>
          <cell r="AB129">
            <v>3</v>
          </cell>
          <cell r="AG129" t="e">
            <v>#N/A</v>
          </cell>
          <cell r="AI129">
            <v>9.375E-2</v>
          </cell>
        </row>
        <row r="130">
          <cell r="B130">
            <v>0</v>
          </cell>
          <cell r="D130">
            <v>0</v>
          </cell>
          <cell r="E130">
            <v>0</v>
          </cell>
          <cell r="F130">
            <v>0</v>
          </cell>
          <cell r="G130">
            <v>0</v>
          </cell>
          <cell r="H130">
            <v>0</v>
          </cell>
          <cell r="I130">
            <v>0</v>
          </cell>
          <cell r="J130">
            <v>0</v>
          </cell>
          <cell r="K130">
            <v>0</v>
          </cell>
          <cell r="L130">
            <v>0</v>
          </cell>
          <cell r="M130">
            <v>0</v>
          </cell>
          <cell r="N130">
            <v>0</v>
          </cell>
          <cell r="R130">
            <v>0</v>
          </cell>
          <cell r="T130">
            <v>0</v>
          </cell>
          <cell r="U130">
            <v>0</v>
          </cell>
          <cell r="AB130">
            <v>0</v>
          </cell>
          <cell r="AG130">
            <v>0</v>
          </cell>
          <cell r="AI130">
            <v>0</v>
          </cell>
        </row>
        <row r="145">
          <cell r="E145">
            <v>1</v>
          </cell>
        </row>
        <row r="146">
          <cell r="E146">
            <v>600</v>
          </cell>
        </row>
        <row r="147">
          <cell r="E147">
            <v>5000</v>
          </cell>
        </row>
        <row r="148">
          <cell r="E148">
            <v>20</v>
          </cell>
        </row>
      </sheetData>
      <sheetData sheetId="2"/>
      <sheetData sheetId="3"/>
      <sheetData sheetId="4">
        <row r="15">
          <cell r="B15">
            <v>1</v>
          </cell>
          <cell r="C15" t="str">
            <v>Existing Rooftop AI</v>
          </cell>
          <cell r="E15" t="str">
            <v>No</v>
          </cell>
        </row>
        <row r="16">
          <cell r="B16">
            <v>2</v>
          </cell>
          <cell r="C16" t="str">
            <v>Existing Rooftop AI</v>
          </cell>
          <cell r="E16" t="str">
            <v>No</v>
          </cell>
        </row>
        <row r="17">
          <cell r="B17">
            <v>3</v>
          </cell>
          <cell r="C17" t="str">
            <v>Existing Rooftop AI</v>
          </cell>
          <cell r="E17" t="str">
            <v>No</v>
          </cell>
        </row>
        <row r="18">
          <cell r="B18">
            <v>4</v>
          </cell>
          <cell r="C18" t="str">
            <v>Existing Rooftop AI</v>
          </cell>
          <cell r="E18" t="str">
            <v>No</v>
          </cell>
        </row>
        <row r="19">
          <cell r="B19">
            <v>5</v>
          </cell>
          <cell r="C19" t="str">
            <v>Existing Rooftop AI</v>
          </cell>
          <cell r="E19" t="str">
            <v>No</v>
          </cell>
        </row>
        <row r="20">
          <cell r="B20">
            <v>6</v>
          </cell>
          <cell r="C20" t="str">
            <v>Existing Rooftop AI</v>
          </cell>
          <cell r="E20" t="str">
            <v>No</v>
          </cell>
        </row>
        <row r="21">
          <cell r="B21">
            <v>7</v>
          </cell>
          <cell r="C21" t="str">
            <v>AHU-1</v>
          </cell>
          <cell r="E21" t="str">
            <v>No</v>
          </cell>
        </row>
        <row r="22">
          <cell r="B22">
            <v>8</v>
          </cell>
          <cell r="C22" t="str">
            <v>AHU-2</v>
          </cell>
          <cell r="E22" t="str">
            <v>No</v>
          </cell>
        </row>
        <row r="23">
          <cell r="B23">
            <v>9</v>
          </cell>
          <cell r="C23" t="str">
            <v>AHU-3</v>
          </cell>
          <cell r="E23" t="str">
            <v>No</v>
          </cell>
        </row>
        <row r="24">
          <cell r="B24">
            <v>10</v>
          </cell>
          <cell r="C24" t="str">
            <v>Neighboring Roof AI</v>
          </cell>
          <cell r="E24" t="str">
            <v>No</v>
          </cell>
        </row>
        <row r="25">
          <cell r="B25">
            <v>11</v>
          </cell>
          <cell r="C25" t="str">
            <v>Neighboring Roof AI</v>
          </cell>
          <cell r="E25" t="str">
            <v>No</v>
          </cell>
        </row>
        <row r="26">
          <cell r="B26">
            <v>12</v>
          </cell>
          <cell r="C26" t="str">
            <v>Neighboring Roof AI</v>
          </cell>
          <cell r="E26" t="str">
            <v>No</v>
          </cell>
        </row>
        <row r="27">
          <cell r="B27">
            <v>13</v>
          </cell>
          <cell r="C27" t="str">
            <v>Existing Rooftop AI</v>
          </cell>
          <cell r="E27" t="str">
            <v>No</v>
          </cell>
        </row>
        <row r="28">
          <cell r="B28">
            <v>14</v>
          </cell>
          <cell r="C28" t="str">
            <v>Existing Rooftop AI</v>
          </cell>
          <cell r="E28" t="str">
            <v>No</v>
          </cell>
        </row>
        <row r="29">
          <cell r="B29">
            <v>15</v>
          </cell>
          <cell r="C29" t="str">
            <v>Existing Rooftop AI</v>
          </cell>
          <cell r="E29" t="str">
            <v>No</v>
          </cell>
        </row>
        <row r="30">
          <cell r="B30">
            <v>16</v>
          </cell>
          <cell r="C30" t="str">
            <v>Existing Rooftop AI</v>
          </cell>
          <cell r="E30" t="str">
            <v>No</v>
          </cell>
        </row>
        <row r="31">
          <cell r="B31">
            <v>17</v>
          </cell>
          <cell r="C31" t="str">
            <v>Existing Rooftop AI</v>
          </cell>
          <cell r="E31" t="str">
            <v>No</v>
          </cell>
        </row>
        <row r="32">
          <cell r="B32">
            <v>18</v>
          </cell>
          <cell r="C32" t="str">
            <v>Existing Rooftop AI</v>
          </cell>
          <cell r="E32" t="str">
            <v>No</v>
          </cell>
        </row>
        <row r="33">
          <cell r="B33">
            <v>19</v>
          </cell>
          <cell r="C33" t="str">
            <v>Receptor 19</v>
          </cell>
          <cell r="E33" t="str">
            <v>No</v>
          </cell>
        </row>
        <row r="34">
          <cell r="B34">
            <v>20</v>
          </cell>
          <cell r="C34" t="str">
            <v>Receptor 20</v>
          </cell>
          <cell r="E34" t="str">
            <v>No</v>
          </cell>
        </row>
        <row r="35">
          <cell r="B35">
            <v>21</v>
          </cell>
          <cell r="C35" t="str">
            <v>Receptor 21</v>
          </cell>
          <cell r="E35" t="str">
            <v>No</v>
          </cell>
        </row>
        <row r="36">
          <cell r="B36">
            <v>22</v>
          </cell>
          <cell r="C36" t="str">
            <v>Receptor 22</v>
          </cell>
          <cell r="E36" t="str">
            <v>No</v>
          </cell>
        </row>
        <row r="37">
          <cell r="B37">
            <v>23</v>
          </cell>
          <cell r="C37" t="str">
            <v>Receptor 23</v>
          </cell>
          <cell r="E37" t="str">
            <v>No</v>
          </cell>
        </row>
        <row r="38">
          <cell r="B38">
            <v>24</v>
          </cell>
          <cell r="C38" t="str">
            <v>Receptor 24</v>
          </cell>
          <cell r="E38" t="str">
            <v>No</v>
          </cell>
        </row>
        <row r="39">
          <cell r="B39">
            <v>25</v>
          </cell>
          <cell r="C39" t="str">
            <v>Receptor 25</v>
          </cell>
          <cell r="E39" t="str">
            <v>No</v>
          </cell>
        </row>
        <row r="40">
          <cell r="B40">
            <v>26</v>
          </cell>
          <cell r="C40" t="str">
            <v>Receptor 26</v>
          </cell>
          <cell r="E40" t="str">
            <v>No</v>
          </cell>
        </row>
        <row r="41">
          <cell r="B41">
            <v>27</v>
          </cell>
          <cell r="C41" t="str">
            <v>Receptor 27</v>
          </cell>
          <cell r="E41" t="str">
            <v>No</v>
          </cell>
        </row>
        <row r="42">
          <cell r="B42">
            <v>28</v>
          </cell>
          <cell r="C42" t="str">
            <v>Receptor 28</v>
          </cell>
          <cell r="E42" t="str">
            <v>No</v>
          </cell>
        </row>
        <row r="43">
          <cell r="B43">
            <v>29</v>
          </cell>
          <cell r="C43" t="str">
            <v>Receptor 29</v>
          </cell>
          <cell r="E43" t="str">
            <v>No</v>
          </cell>
        </row>
        <row r="44">
          <cell r="B44">
            <v>30</v>
          </cell>
          <cell r="C44" t="str">
            <v>Receptor 30</v>
          </cell>
          <cell r="E44" t="str">
            <v>No</v>
          </cell>
        </row>
        <row r="45">
          <cell r="B45">
            <v>31</v>
          </cell>
          <cell r="C45" t="str">
            <v>Receptor 31</v>
          </cell>
          <cell r="E45" t="str">
            <v>No</v>
          </cell>
        </row>
        <row r="46">
          <cell r="B46">
            <v>32</v>
          </cell>
          <cell r="C46" t="str">
            <v>Receptor 32</v>
          </cell>
          <cell r="E46" t="str">
            <v>No</v>
          </cell>
        </row>
        <row r="47">
          <cell r="B47">
            <v>33</v>
          </cell>
          <cell r="C47" t="str">
            <v>Receptor 33</v>
          </cell>
          <cell r="E47" t="str">
            <v>No</v>
          </cell>
        </row>
        <row r="48">
          <cell r="B48">
            <v>34</v>
          </cell>
          <cell r="C48" t="str">
            <v>Receptor 34</v>
          </cell>
          <cell r="E48" t="str">
            <v>No</v>
          </cell>
        </row>
        <row r="49">
          <cell r="B49">
            <v>35</v>
          </cell>
          <cell r="C49" t="str">
            <v>Receptor 35</v>
          </cell>
          <cell r="E49" t="str">
            <v>No</v>
          </cell>
        </row>
        <row r="50">
          <cell r="B50">
            <v>36</v>
          </cell>
          <cell r="C50" t="str">
            <v>Receptor 36</v>
          </cell>
          <cell r="E50" t="str">
            <v>No</v>
          </cell>
        </row>
        <row r="51">
          <cell r="B51">
            <v>37</v>
          </cell>
          <cell r="C51" t="str">
            <v>Receptor 37</v>
          </cell>
          <cell r="E51" t="str">
            <v>No</v>
          </cell>
        </row>
        <row r="52">
          <cell r="B52">
            <v>38</v>
          </cell>
          <cell r="C52" t="str">
            <v>Receptor 38</v>
          </cell>
          <cell r="E52" t="str">
            <v>No</v>
          </cell>
        </row>
        <row r="54">
          <cell r="B54" t="str">
            <v>WCR1</v>
          </cell>
          <cell r="C54" t="str">
            <v>Worst Case Receptor 1</v>
          </cell>
          <cell r="E54" t="str">
            <v>TBD</v>
          </cell>
        </row>
        <row r="55">
          <cell r="B55" t="str">
            <v>WCR2</v>
          </cell>
          <cell r="C55" t="str">
            <v>Worst Case Receptor 2</v>
          </cell>
          <cell r="E55" t="str">
            <v>TBD</v>
          </cell>
        </row>
        <row r="56">
          <cell r="B56" t="str">
            <v>WCR3</v>
          </cell>
          <cell r="C56" t="str">
            <v>Worst Case Receptor 3</v>
          </cell>
          <cell r="E56" t="str">
            <v>TBD</v>
          </cell>
        </row>
        <row r="57">
          <cell r="B57" t="str">
            <v>WCR4</v>
          </cell>
          <cell r="C57" t="str">
            <v>Worst Case Receptor 4</v>
          </cell>
          <cell r="E57" t="str">
            <v>TBD</v>
          </cell>
        </row>
        <row r="58">
          <cell r="B58" t="str">
            <v>WCR5</v>
          </cell>
          <cell r="C58" t="str">
            <v>Worst Case Receptor 5</v>
          </cell>
          <cell r="E58" t="str">
            <v>TBD</v>
          </cell>
        </row>
        <row r="59">
          <cell r="B59" t="str">
            <v>TBD</v>
          </cell>
          <cell r="C59" t="str">
            <v>To Be Determined</v>
          </cell>
          <cell r="E59" t="str">
            <v>TBD</v>
          </cell>
        </row>
      </sheetData>
      <sheetData sheetId="5">
        <row r="25">
          <cell r="F25" t="str">
            <v>AH</v>
          </cell>
          <cell r="G25" t="str">
            <v>DF</v>
          </cell>
          <cell r="H25" t="str">
            <v>DG</v>
          </cell>
          <cell r="I25" t="str">
            <v>DG</v>
          </cell>
          <cell r="J25" t="str">
            <v>BP</v>
          </cell>
          <cell r="K25" t="str">
            <v>BQ</v>
          </cell>
          <cell r="L25" t="str">
            <v>BR</v>
          </cell>
          <cell r="M25" t="str">
            <v>CF</v>
          </cell>
          <cell r="N25" t="str">
            <v>CF</v>
          </cell>
          <cell r="O25" t="str">
            <v>CF</v>
          </cell>
          <cell r="P25" t="str">
            <v>CD</v>
          </cell>
          <cell r="Q25" t="str">
            <v>CD</v>
          </cell>
          <cell r="R25" t="str">
            <v>CD</v>
          </cell>
          <cell r="S25" t="str">
            <v>BO</v>
          </cell>
          <cell r="T25" t="str">
            <v>BO</v>
          </cell>
          <cell r="AB25">
            <v>0</v>
          </cell>
          <cell r="AC25">
            <v>0</v>
          </cell>
          <cell r="AD25">
            <v>2</v>
          </cell>
          <cell r="AE25">
            <v>2001</v>
          </cell>
          <cell r="AF25">
            <v>6.4</v>
          </cell>
          <cell r="AG25" t="e">
            <v>#N/A</v>
          </cell>
          <cell r="AH25">
            <v>3.5</v>
          </cell>
          <cell r="AI25">
            <v>0.2</v>
          </cell>
        </row>
        <row r="61">
          <cell r="F61">
            <v>14400</v>
          </cell>
          <cell r="G61">
            <v>675</v>
          </cell>
          <cell r="H61">
            <v>295.89041095890411</v>
          </cell>
          <cell r="I61">
            <v>546.83544303797464</v>
          </cell>
          <cell r="J61">
            <v>1309090.909090908</v>
          </cell>
          <cell r="K61">
            <v>1309090.909090908</v>
          </cell>
          <cell r="L61">
            <v>654545.45454545459</v>
          </cell>
          <cell r="M61">
            <v>21531.338874313809</v>
          </cell>
          <cell r="N61">
            <v>46787.627593200908</v>
          </cell>
          <cell r="O61">
            <v>125324.00248178816</v>
          </cell>
          <cell r="P61">
            <v>4613.8583302101024</v>
          </cell>
          <cell r="Q61">
            <v>10025.920198543052</v>
          </cell>
          <cell r="R61">
            <v>26855.143388954606</v>
          </cell>
          <cell r="S61">
            <v>224415.58441558442</v>
          </cell>
          <cell r="T61">
            <v>439.99999999999989</v>
          </cell>
        </row>
        <row r="62">
          <cell r="F62">
            <v>72000</v>
          </cell>
          <cell r="G62">
            <v>3375</v>
          </cell>
          <cell r="H62">
            <v>1479.4520547945206</v>
          </cell>
          <cell r="I62">
            <v>2734.1772151898731</v>
          </cell>
          <cell r="J62">
            <v>6545454.5454545394</v>
          </cell>
          <cell r="K62">
            <v>6545454.5454545394</v>
          </cell>
          <cell r="L62">
            <v>3272727.2727272729</v>
          </cell>
          <cell r="M62">
            <v>107656.69437156906</v>
          </cell>
          <cell r="N62">
            <v>233938.13796600455</v>
          </cell>
          <cell r="O62">
            <v>626620.01240894082</v>
          </cell>
          <cell r="P62">
            <v>23069.291651050513</v>
          </cell>
          <cell r="Q62">
            <v>50129.600992715263</v>
          </cell>
          <cell r="R62">
            <v>134275.71694477304</v>
          </cell>
          <cell r="S62">
            <v>1122077.9220779222</v>
          </cell>
          <cell r="T62">
            <v>2199.9999999999995</v>
          </cell>
        </row>
        <row r="70">
          <cell r="F70">
            <v>622.72150588235263</v>
          </cell>
          <cell r="G70" t="e">
            <v>#N/A</v>
          </cell>
          <cell r="H70" t="e">
            <v>#N/A</v>
          </cell>
          <cell r="I70" t="e">
            <v>#N/A</v>
          </cell>
          <cell r="J70" t="e">
            <v>#N/A</v>
          </cell>
          <cell r="K70" t="e">
            <v>#N/A</v>
          </cell>
          <cell r="L70" t="e">
            <v>#N/A</v>
          </cell>
          <cell r="M70">
            <v>23576.816067373624</v>
          </cell>
          <cell r="N70">
            <v>51232.452214555</v>
          </cell>
          <cell r="O70">
            <v>137229.78271755803</v>
          </cell>
          <cell r="P70">
            <v>5052.1748715800632</v>
          </cell>
          <cell r="Q70">
            <v>10978.382617404643</v>
          </cell>
          <cell r="R70">
            <v>29406.382010905294</v>
          </cell>
          <cell r="S70">
            <v>245735.06493506493</v>
          </cell>
          <cell r="T70">
            <v>481.79999999999995</v>
          </cell>
        </row>
      </sheetData>
      <sheetData sheetId="6">
        <row r="43">
          <cell r="C43">
            <v>1</v>
          </cell>
          <cell r="D43" t="str">
            <v>ANSI/AIHA Z9.5 "as manufactured" fume hood containment criterion</v>
          </cell>
        </row>
        <row r="44">
          <cell r="C44">
            <v>2</v>
          </cell>
          <cell r="D44" t="str">
            <v>ANSI/AIHA Z9.5 "as installed" fume hood containment criterion</v>
          </cell>
        </row>
        <row r="45">
          <cell r="C45">
            <v>3</v>
          </cell>
          <cell r="D45" t="str">
            <v>"Fair" generic stack category (lowest recommended by CPP)</v>
          </cell>
        </row>
        <row r="46">
          <cell r="C46">
            <v>4</v>
          </cell>
          <cell r="D46" t="str">
            <v>ASHRAE (2003) example criterion for an accidental spill in a fume hood</v>
          </cell>
        </row>
        <row r="47">
          <cell r="C47">
            <v>5</v>
          </cell>
          <cell r="D47" t="str">
            <v>20% of fume hood critera which assumes limited chemical usage</v>
          </cell>
        </row>
        <row r="48">
          <cell r="C48">
            <v>6</v>
          </cell>
          <cell r="D48" t="str">
            <v>Annual average exposure limit adjusted to 60 min</v>
          </cell>
        </row>
        <row r="49">
          <cell r="C49">
            <v>7</v>
          </cell>
          <cell r="D49" t="str">
            <v>Most conservative criterion based on average annual inhalation values</v>
          </cell>
        </row>
        <row r="50">
          <cell r="C50">
            <v>8</v>
          </cell>
          <cell r="D50" t="str">
            <v>1:300 recommended dilution for kitchen exhaust</v>
          </cell>
        </row>
        <row r="51">
          <cell r="C51">
            <v>9</v>
          </cell>
          <cell r="D51" t="str">
            <v>1:100 minimum recommended dilution for kitchen exhaust</v>
          </cell>
        </row>
        <row r="52">
          <cell r="C52">
            <v>10</v>
          </cell>
          <cell r="D52" t="str">
            <v>1:100 recommended dilution for a vivarium</v>
          </cell>
        </row>
        <row r="53">
          <cell r="C53">
            <v>11</v>
          </cell>
          <cell r="D53" t="str">
            <v>3% opacity (1:33 dilution) for smoke alarm activation</v>
          </cell>
        </row>
        <row r="54">
          <cell r="C54">
            <v>12</v>
          </cell>
          <cell r="D54" t="str">
            <v>0.001% PPD TB conversions for intubation without HEPA filter</v>
          </cell>
        </row>
        <row r="55">
          <cell r="C55">
            <v>13</v>
          </cell>
          <cell r="D55" t="str">
            <v>0.001% PPD TB conversions for intubation with HEPA filter</v>
          </cell>
        </row>
        <row r="56">
          <cell r="C56">
            <v>14</v>
          </cell>
          <cell r="D56" t="str">
            <v>Health limit associated with NO2 emissions</v>
          </cell>
        </row>
        <row r="57">
          <cell r="C57">
            <v>15</v>
          </cell>
          <cell r="D57" t="str">
            <v>1:2000 odor dilution threshold for diesel exhaust</v>
          </cell>
        </row>
        <row r="58">
          <cell r="C58">
            <v>16</v>
          </cell>
          <cell r="D58" t="str">
            <v>1:400 odor dilution threshold for filtered diesel exhaust</v>
          </cell>
        </row>
        <row r="59">
          <cell r="C59">
            <v>17</v>
          </cell>
          <cell r="D59" t="str">
            <v>Odor threshold associated with NO2</v>
          </cell>
        </row>
        <row r="60">
          <cell r="C60">
            <v>18</v>
          </cell>
          <cell r="D60" t="str">
            <v>Odor threshold associated with NO</v>
          </cell>
        </row>
        <row r="61">
          <cell r="C61">
            <v>19</v>
          </cell>
          <cell r="D61" t="str">
            <v>Odor threshold associated with SO2</v>
          </cell>
        </row>
        <row r="62">
          <cell r="C62">
            <v>20</v>
          </cell>
          <cell r="D62" t="str">
            <v>1:10 dilution based on estimated glutaraldehyde emissions</v>
          </cell>
        </row>
        <row r="63">
          <cell r="C63">
            <v>21</v>
          </cell>
          <cell r="D63" t="str">
            <v>1:500 odor dilution threshold for turbine engine exhaust</v>
          </cell>
        </row>
        <row r="64">
          <cell r="C64">
            <v>22</v>
          </cell>
          <cell r="D64" t="str">
            <v>1:XX dilution ratio associated with an obscuration of 3% per meter</v>
          </cell>
        </row>
        <row r="65">
          <cell r="C65">
            <v>23</v>
          </cell>
          <cell r="D65" t="str">
            <v>1:XX dilution ratio associated with a visibility target of 26 ft (8 m)</v>
          </cell>
        </row>
        <row r="66">
          <cell r="C66">
            <v>24</v>
          </cell>
        </row>
        <row r="67">
          <cell r="C67">
            <v>25</v>
          </cell>
        </row>
        <row r="68">
          <cell r="C68">
            <v>26</v>
          </cell>
        </row>
        <row r="69">
          <cell r="C69">
            <v>27</v>
          </cell>
        </row>
        <row r="70">
          <cell r="C70">
            <v>28</v>
          </cell>
        </row>
        <row r="71">
          <cell r="C71">
            <v>29</v>
          </cell>
        </row>
        <row r="72">
          <cell r="C72">
            <v>30</v>
          </cell>
        </row>
        <row r="73">
          <cell r="C73">
            <v>31</v>
          </cell>
        </row>
        <row r="74">
          <cell r="C74">
            <v>32</v>
          </cell>
        </row>
        <row r="75">
          <cell r="C75">
            <v>33</v>
          </cell>
        </row>
        <row r="76">
          <cell r="C76">
            <v>34</v>
          </cell>
        </row>
        <row r="77">
          <cell r="C77">
            <v>35</v>
          </cell>
        </row>
        <row r="78">
          <cell r="C78">
            <v>36</v>
          </cell>
        </row>
        <row r="79">
          <cell r="C79">
            <v>37</v>
          </cell>
        </row>
        <row r="80">
          <cell r="C80">
            <v>38</v>
          </cell>
        </row>
        <row r="81">
          <cell r="C81">
            <v>39</v>
          </cell>
        </row>
        <row r="82">
          <cell r="C82">
            <v>40</v>
          </cell>
        </row>
        <row r="83">
          <cell r="C83">
            <v>41</v>
          </cell>
        </row>
        <row r="84">
          <cell r="C84">
            <v>42</v>
          </cell>
        </row>
        <row r="85">
          <cell r="C85">
            <v>43</v>
          </cell>
        </row>
        <row r="86">
          <cell r="C86">
            <v>44</v>
          </cell>
        </row>
        <row r="87">
          <cell r="C87">
            <v>45</v>
          </cell>
        </row>
        <row r="88">
          <cell r="C88">
            <v>46</v>
          </cell>
        </row>
        <row r="89">
          <cell r="C89">
            <v>47</v>
          </cell>
        </row>
        <row r="90">
          <cell r="C90">
            <v>48</v>
          </cell>
        </row>
        <row r="91">
          <cell r="C91">
            <v>49</v>
          </cell>
        </row>
        <row r="92">
          <cell r="C92">
            <v>50</v>
          </cell>
        </row>
        <row r="93">
          <cell r="C93">
            <v>51</v>
          </cell>
        </row>
        <row r="94">
          <cell r="C94">
            <v>52</v>
          </cell>
        </row>
        <row r="95">
          <cell r="C95">
            <v>53</v>
          </cell>
        </row>
        <row r="96">
          <cell r="C96">
            <v>54</v>
          </cell>
        </row>
        <row r="97">
          <cell r="C97">
            <v>55</v>
          </cell>
        </row>
        <row r="98">
          <cell r="C98">
            <v>56</v>
          </cell>
        </row>
        <row r="99">
          <cell r="C99">
            <v>57</v>
          </cell>
        </row>
        <row r="100">
          <cell r="C100">
            <v>58</v>
          </cell>
        </row>
        <row r="101">
          <cell r="C101">
            <v>59</v>
          </cell>
        </row>
        <row r="102">
          <cell r="C102">
            <v>60</v>
          </cell>
        </row>
        <row r="103">
          <cell r="C103">
            <v>61</v>
          </cell>
        </row>
        <row r="104">
          <cell r="C104">
            <v>62</v>
          </cell>
        </row>
        <row r="105">
          <cell r="C105">
            <v>63</v>
          </cell>
        </row>
        <row r="106">
          <cell r="C106">
            <v>64</v>
          </cell>
        </row>
        <row r="107">
          <cell r="C107">
            <v>65</v>
          </cell>
        </row>
        <row r="108">
          <cell r="C108">
            <v>66</v>
          </cell>
        </row>
        <row r="109">
          <cell r="C109">
            <v>67</v>
          </cell>
        </row>
        <row r="110">
          <cell r="C110">
            <v>68</v>
          </cell>
        </row>
        <row r="111">
          <cell r="C111">
            <v>69</v>
          </cell>
        </row>
        <row r="112">
          <cell r="C112">
            <v>70</v>
          </cell>
        </row>
        <row r="113">
          <cell r="C113">
            <v>71</v>
          </cell>
        </row>
        <row r="114">
          <cell r="C114">
            <v>72</v>
          </cell>
        </row>
        <row r="115">
          <cell r="C115">
            <v>73</v>
          </cell>
        </row>
        <row r="116">
          <cell r="C116">
            <v>74</v>
          </cell>
        </row>
        <row r="117">
          <cell r="C117">
            <v>75</v>
          </cell>
        </row>
        <row r="118">
          <cell r="C118">
            <v>76</v>
          </cell>
        </row>
        <row r="119">
          <cell r="C119">
            <v>77</v>
          </cell>
        </row>
        <row r="120">
          <cell r="C120">
            <v>78</v>
          </cell>
        </row>
        <row r="121">
          <cell r="C121">
            <v>79</v>
          </cell>
        </row>
        <row r="122">
          <cell r="C122">
            <v>80</v>
          </cell>
        </row>
        <row r="123">
          <cell r="C123">
            <v>81</v>
          </cell>
        </row>
        <row r="124">
          <cell r="C124">
            <v>82</v>
          </cell>
        </row>
        <row r="125">
          <cell r="C125">
            <v>83</v>
          </cell>
        </row>
        <row r="126">
          <cell r="C126">
            <v>84</v>
          </cell>
        </row>
        <row r="127">
          <cell r="C127">
            <v>85</v>
          </cell>
        </row>
        <row r="128">
          <cell r="C128">
            <v>86</v>
          </cell>
        </row>
        <row r="129">
          <cell r="C129">
            <v>87</v>
          </cell>
        </row>
        <row r="130">
          <cell r="C130">
            <v>88</v>
          </cell>
        </row>
        <row r="131">
          <cell r="C131">
            <v>89</v>
          </cell>
        </row>
        <row r="132">
          <cell r="C132">
            <v>90</v>
          </cell>
        </row>
        <row r="133">
          <cell r="C133">
            <v>91</v>
          </cell>
        </row>
        <row r="134">
          <cell r="C134">
            <v>92</v>
          </cell>
        </row>
        <row r="135">
          <cell r="C135">
            <v>93</v>
          </cell>
        </row>
        <row r="136">
          <cell r="C136">
            <v>94</v>
          </cell>
        </row>
        <row r="137">
          <cell r="C137">
            <v>95</v>
          </cell>
        </row>
        <row r="138">
          <cell r="C138">
            <v>96</v>
          </cell>
        </row>
        <row r="139">
          <cell r="C139">
            <v>97</v>
          </cell>
        </row>
        <row r="140">
          <cell r="C140">
            <v>98</v>
          </cell>
        </row>
        <row r="141">
          <cell r="C141">
            <v>99</v>
          </cell>
        </row>
        <row r="142">
          <cell r="C142">
            <v>100</v>
          </cell>
        </row>
        <row r="143">
          <cell r="C143">
            <v>101</v>
          </cell>
        </row>
        <row r="144">
          <cell r="C144">
            <v>102</v>
          </cell>
        </row>
      </sheetData>
      <sheetData sheetId="7"/>
      <sheetData sheetId="8">
        <row r="21">
          <cell r="E21" t="str">
            <v>101*</v>
          </cell>
          <cell r="F21" t="str">
            <v>AB</v>
          </cell>
          <cell r="G21" t="str">
            <v>LEF-R-2</v>
          </cell>
          <cell r="H21">
            <v>10</v>
          </cell>
          <cell r="I21">
            <v>0.66666666666666663</v>
          </cell>
          <cell r="J21">
            <v>2</v>
          </cell>
          <cell r="K21" t="str">
            <v xml:space="preserve"> - Existing Rooftop AI</v>
          </cell>
          <cell r="L21" t="str">
            <v>No</v>
          </cell>
          <cell r="P21">
            <v>175</v>
          </cell>
          <cell r="Q21">
            <v>11.3</v>
          </cell>
          <cell r="T21">
            <v>370</v>
          </cell>
          <cell r="V21">
            <v>400</v>
          </cell>
          <cell r="W21">
            <v>0</v>
          </cell>
          <cell r="Y21">
            <v>0</v>
          </cell>
        </row>
        <row r="22">
          <cell r="E22">
            <v>102</v>
          </cell>
          <cell r="F22" t="str">
            <v>AB</v>
          </cell>
          <cell r="G22" t="str">
            <v>LEF-R-2</v>
          </cell>
          <cell r="H22">
            <v>10</v>
          </cell>
          <cell r="I22">
            <v>0.66666666666666663</v>
          </cell>
          <cell r="J22">
            <v>4</v>
          </cell>
          <cell r="K22" t="str">
            <v xml:space="preserve"> - Existing Rooftop AI</v>
          </cell>
          <cell r="L22" t="str">
            <v>No</v>
          </cell>
          <cell r="P22">
            <v>190</v>
          </cell>
          <cell r="Q22">
            <v>14.3</v>
          </cell>
          <cell r="T22">
            <v>288</v>
          </cell>
          <cell r="V22">
            <v>400</v>
          </cell>
          <cell r="W22">
            <v>0</v>
          </cell>
          <cell r="Y22">
            <v>0</v>
          </cell>
        </row>
        <row r="23">
          <cell r="E23">
            <v>103</v>
          </cell>
          <cell r="F23" t="str">
            <v>AB</v>
          </cell>
          <cell r="G23" t="str">
            <v>LEF-R-2</v>
          </cell>
          <cell r="H23">
            <v>10</v>
          </cell>
          <cell r="I23">
            <v>0.66666666666666663</v>
          </cell>
          <cell r="J23">
            <v>6</v>
          </cell>
          <cell r="K23" t="str">
            <v xml:space="preserve"> - Existing Rooftop AI</v>
          </cell>
          <cell r="L23" t="str">
            <v>No</v>
          </cell>
          <cell r="P23">
            <v>190</v>
          </cell>
          <cell r="Q23">
            <v>14.3</v>
          </cell>
          <cell r="T23">
            <v>391</v>
          </cell>
          <cell r="V23">
            <v>400</v>
          </cell>
          <cell r="W23">
            <v>0</v>
          </cell>
          <cell r="Y23">
            <v>0</v>
          </cell>
        </row>
        <row r="24">
          <cell r="E24">
            <v>104</v>
          </cell>
          <cell r="F24" t="str">
            <v>AB</v>
          </cell>
          <cell r="G24" t="str">
            <v>LEF-R-2</v>
          </cell>
          <cell r="H24">
            <v>10</v>
          </cell>
          <cell r="I24">
            <v>0.66666666666666663</v>
          </cell>
          <cell r="J24">
            <v>7</v>
          </cell>
          <cell r="K24" t="str">
            <v xml:space="preserve"> - AHU-1</v>
          </cell>
          <cell r="L24" t="str">
            <v>No</v>
          </cell>
          <cell r="P24">
            <v>190</v>
          </cell>
          <cell r="Q24">
            <v>14.3</v>
          </cell>
          <cell r="T24">
            <v>8</v>
          </cell>
          <cell r="V24">
            <v>400</v>
          </cell>
          <cell r="W24">
            <v>0</v>
          </cell>
          <cell r="Y24">
            <v>0</v>
          </cell>
        </row>
        <row r="25">
          <cell r="E25">
            <v>105</v>
          </cell>
          <cell r="F25" t="str">
            <v>AB</v>
          </cell>
          <cell r="G25" t="str">
            <v>LEF-R-2</v>
          </cell>
          <cell r="H25">
            <v>10</v>
          </cell>
          <cell r="I25">
            <v>0.66666666666666663</v>
          </cell>
          <cell r="J25">
            <v>8</v>
          </cell>
          <cell r="K25" t="str">
            <v xml:space="preserve"> - AHU-2</v>
          </cell>
          <cell r="L25" t="str">
            <v>No</v>
          </cell>
          <cell r="P25">
            <v>260</v>
          </cell>
          <cell r="Q25">
            <v>10.6</v>
          </cell>
          <cell r="T25">
            <v>25</v>
          </cell>
          <cell r="V25">
            <v>400</v>
          </cell>
          <cell r="W25">
            <v>0</v>
          </cell>
          <cell r="Y25">
            <v>0</v>
          </cell>
        </row>
        <row r="26">
          <cell r="E26">
            <v>106</v>
          </cell>
          <cell r="F26" t="str">
            <v>AB</v>
          </cell>
          <cell r="G26" t="str">
            <v>LEF-R-2</v>
          </cell>
          <cell r="H26">
            <v>10</v>
          </cell>
          <cell r="I26">
            <v>0.66666666666666663</v>
          </cell>
          <cell r="J26">
            <v>9</v>
          </cell>
          <cell r="K26" t="str">
            <v xml:space="preserve"> - AHU-3</v>
          </cell>
          <cell r="L26" t="str">
            <v>No</v>
          </cell>
          <cell r="P26">
            <v>260</v>
          </cell>
          <cell r="Q26">
            <v>10.6</v>
          </cell>
          <cell r="T26">
            <v>28</v>
          </cell>
          <cell r="V26">
            <v>400</v>
          </cell>
          <cell r="W26">
            <v>0</v>
          </cell>
          <cell r="Y26">
            <v>0</v>
          </cell>
        </row>
        <row r="27">
          <cell r="E27">
            <v>107</v>
          </cell>
          <cell r="F27" t="str">
            <v>AB</v>
          </cell>
          <cell r="G27" t="str">
            <v>LEF-R-2</v>
          </cell>
          <cell r="H27">
            <v>10</v>
          </cell>
          <cell r="I27">
            <v>0.66666666666666663</v>
          </cell>
          <cell r="J27">
            <v>10</v>
          </cell>
          <cell r="K27" t="str">
            <v xml:space="preserve"> - Neighboring Roof AI</v>
          </cell>
          <cell r="L27" t="str">
            <v>No</v>
          </cell>
          <cell r="P27">
            <v>175</v>
          </cell>
          <cell r="Q27">
            <v>5.9</v>
          </cell>
          <cell r="T27">
            <v>84</v>
          </cell>
          <cell r="V27">
            <v>400</v>
          </cell>
          <cell r="W27">
            <v>0</v>
          </cell>
          <cell r="Y27">
            <v>0</v>
          </cell>
        </row>
        <row r="28">
          <cell r="E28">
            <v>108</v>
          </cell>
          <cell r="F28" t="str">
            <v>AB</v>
          </cell>
          <cell r="G28" t="str">
            <v>LEF-R-2</v>
          </cell>
          <cell r="H28">
            <v>10</v>
          </cell>
          <cell r="I28">
            <v>0.66666666666666663</v>
          </cell>
          <cell r="J28">
            <v>11</v>
          </cell>
          <cell r="K28" t="str">
            <v xml:space="preserve"> - Neighboring Roof AI</v>
          </cell>
          <cell r="L28" t="str">
            <v>No</v>
          </cell>
          <cell r="P28">
            <v>215</v>
          </cell>
          <cell r="Q28">
            <v>4.4000000000000004</v>
          </cell>
          <cell r="T28">
            <v>122</v>
          </cell>
          <cell r="V28">
            <v>400</v>
          </cell>
          <cell r="W28">
            <v>0</v>
          </cell>
          <cell r="Y28">
            <v>0</v>
          </cell>
        </row>
        <row r="29">
          <cell r="E29">
            <v>109</v>
          </cell>
          <cell r="F29" t="str">
            <v>AB</v>
          </cell>
          <cell r="G29" t="str">
            <v>LEF-R-2</v>
          </cell>
          <cell r="H29">
            <v>10</v>
          </cell>
          <cell r="I29">
            <v>0.66666666666666663</v>
          </cell>
          <cell r="J29">
            <v>12</v>
          </cell>
          <cell r="K29" t="str">
            <v xml:space="preserve"> - Neighboring Roof AI</v>
          </cell>
          <cell r="L29" t="str">
            <v>No</v>
          </cell>
          <cell r="P29">
            <v>5</v>
          </cell>
          <cell r="Q29">
            <v>10.6</v>
          </cell>
          <cell r="T29">
            <v>132</v>
          </cell>
          <cell r="V29">
            <v>400</v>
          </cell>
          <cell r="W29">
            <v>0</v>
          </cell>
          <cell r="Y29">
            <v>0</v>
          </cell>
        </row>
        <row r="30">
          <cell r="E30" t="str">
            <v>110*</v>
          </cell>
          <cell r="F30" t="str">
            <v>AB</v>
          </cell>
          <cell r="G30" t="str">
            <v>LEF-R-2</v>
          </cell>
          <cell r="H30">
            <v>10</v>
          </cell>
          <cell r="I30">
            <v>0.66666666666666663</v>
          </cell>
          <cell r="J30">
            <v>14</v>
          </cell>
          <cell r="K30" t="str">
            <v xml:space="preserve"> - Existing Rooftop AI</v>
          </cell>
          <cell r="L30" t="str">
            <v>No</v>
          </cell>
          <cell r="P30">
            <v>310</v>
          </cell>
          <cell r="Q30">
            <v>11.3</v>
          </cell>
          <cell r="T30">
            <v>450</v>
          </cell>
          <cell r="V30">
            <v>400</v>
          </cell>
          <cell r="W30">
            <v>0</v>
          </cell>
          <cell r="Y30">
            <v>0</v>
          </cell>
        </row>
        <row r="31">
          <cell r="E31">
            <v>111</v>
          </cell>
          <cell r="F31" t="str">
            <v>AB</v>
          </cell>
          <cell r="G31" t="str">
            <v>LEF-R-2</v>
          </cell>
          <cell r="H31">
            <v>10</v>
          </cell>
          <cell r="I31">
            <v>0.66666666666666663</v>
          </cell>
          <cell r="J31">
            <v>18</v>
          </cell>
          <cell r="K31" t="str">
            <v xml:space="preserve"> - Existing Rooftop AI</v>
          </cell>
          <cell r="L31" t="str">
            <v>No</v>
          </cell>
          <cell r="P31">
            <v>170</v>
          </cell>
          <cell r="Q31">
            <v>28.6</v>
          </cell>
          <cell r="T31">
            <v>383</v>
          </cell>
          <cell r="V31">
            <v>400</v>
          </cell>
          <cell r="W31">
            <v>0</v>
          </cell>
          <cell r="Y31">
            <v>0</v>
          </cell>
        </row>
        <row r="32">
          <cell r="E32" t="str">
            <v>112*</v>
          </cell>
          <cell r="F32" t="str">
            <v>AB</v>
          </cell>
          <cell r="G32" t="str">
            <v>LEF-R-2</v>
          </cell>
          <cell r="H32">
            <v>10</v>
          </cell>
          <cell r="I32">
            <v>0.66666666666666663</v>
          </cell>
          <cell r="J32">
            <v>15</v>
          </cell>
          <cell r="K32" t="str">
            <v xml:space="preserve"> - Existing Rooftop AI</v>
          </cell>
          <cell r="L32" t="str">
            <v>No</v>
          </cell>
          <cell r="P32">
            <v>100</v>
          </cell>
          <cell r="Q32">
            <v>11.3</v>
          </cell>
          <cell r="T32">
            <v>785</v>
          </cell>
          <cell r="V32">
            <v>400</v>
          </cell>
          <cell r="W32">
            <v>0</v>
          </cell>
          <cell r="Y32">
            <v>0</v>
          </cell>
        </row>
        <row r="33">
          <cell r="E33" t="str">
            <v>113*</v>
          </cell>
          <cell r="F33" t="str">
            <v>AB</v>
          </cell>
          <cell r="G33" t="str">
            <v>LEF-R-2</v>
          </cell>
          <cell r="H33">
            <v>10</v>
          </cell>
          <cell r="I33">
            <v>0.66666666666666663</v>
          </cell>
          <cell r="J33">
            <v>16</v>
          </cell>
          <cell r="K33" t="str">
            <v xml:space="preserve"> - Existing Rooftop AI</v>
          </cell>
          <cell r="L33" t="str">
            <v>No</v>
          </cell>
          <cell r="P33">
            <v>130</v>
          </cell>
          <cell r="Q33">
            <v>11.3</v>
          </cell>
          <cell r="T33">
            <v>370</v>
          </cell>
          <cell r="V33">
            <v>400</v>
          </cell>
          <cell r="W33">
            <v>0</v>
          </cell>
          <cell r="Y33">
            <v>0</v>
          </cell>
        </row>
        <row r="34">
          <cell r="E34">
            <v>0</v>
          </cell>
          <cell r="F34">
            <v>0</v>
          </cell>
          <cell r="G34">
            <v>0</v>
          </cell>
          <cell r="H34">
            <v>0</v>
          </cell>
          <cell r="I34">
            <v>0</v>
          </cell>
          <cell r="J34">
            <v>0</v>
          </cell>
          <cell r="K34">
            <v>0</v>
          </cell>
          <cell r="L34">
            <v>0</v>
          </cell>
          <cell r="P34">
            <v>0</v>
          </cell>
          <cell r="Q34">
            <v>0</v>
          </cell>
          <cell r="T34">
            <v>0</v>
          </cell>
          <cell r="V34">
            <v>0</v>
          </cell>
          <cell r="W34">
            <v>0</v>
          </cell>
          <cell r="Y34">
            <v>0</v>
          </cell>
        </row>
        <row r="35">
          <cell r="E35" t="str">
            <v>Interpolation of results for 10 and 15ft stack heights</v>
          </cell>
          <cell r="F35">
            <v>0</v>
          </cell>
          <cell r="G35">
            <v>0</v>
          </cell>
          <cell r="H35">
            <v>0</v>
          </cell>
          <cell r="I35">
            <v>0</v>
          </cell>
          <cell r="J35">
            <v>0</v>
          </cell>
          <cell r="K35">
            <v>0</v>
          </cell>
          <cell r="L35">
            <v>0</v>
          </cell>
          <cell r="P35">
            <v>0</v>
          </cell>
          <cell r="Q35">
            <v>0</v>
          </cell>
          <cell r="T35">
            <v>0</v>
          </cell>
          <cell r="V35">
            <v>0</v>
          </cell>
          <cell r="W35">
            <v>0</v>
          </cell>
          <cell r="Y35">
            <v>0</v>
          </cell>
        </row>
        <row r="36">
          <cell r="E36" t="str">
            <v>Source Base Height:  32 ft (Main Roof)</v>
          </cell>
          <cell r="F36">
            <v>0</v>
          </cell>
          <cell r="G36">
            <v>0</v>
          </cell>
          <cell r="H36">
            <v>0</v>
          </cell>
          <cell r="I36">
            <v>0</v>
          </cell>
          <cell r="J36">
            <v>0</v>
          </cell>
          <cell r="K36">
            <v>0</v>
          </cell>
          <cell r="L36">
            <v>0</v>
          </cell>
          <cell r="P36">
            <v>0</v>
          </cell>
          <cell r="Q36">
            <v>0</v>
          </cell>
          <cell r="T36">
            <v>0</v>
          </cell>
          <cell r="V36">
            <v>0</v>
          </cell>
          <cell r="W36">
            <v>0</v>
          </cell>
          <cell r="Y36">
            <v>0</v>
          </cell>
        </row>
        <row r="37">
          <cell r="E37" t="str">
            <v>(16000 cfm @ 3000 fpm)</v>
          </cell>
          <cell r="F37">
            <v>0</v>
          </cell>
          <cell r="G37">
            <v>0</v>
          </cell>
          <cell r="H37">
            <v>0</v>
          </cell>
          <cell r="I37">
            <v>0</v>
          </cell>
          <cell r="J37">
            <v>0</v>
          </cell>
          <cell r="K37">
            <v>0</v>
          </cell>
          <cell r="L37">
            <v>0</v>
          </cell>
          <cell r="P37">
            <v>0</v>
          </cell>
          <cell r="Q37">
            <v>0</v>
          </cell>
          <cell r="T37">
            <v>0</v>
          </cell>
          <cell r="V37" t="str">
            <v>ASHRAE</v>
          </cell>
          <cell r="W37">
            <v>0</v>
          </cell>
          <cell r="Y37">
            <v>0</v>
          </cell>
        </row>
        <row r="38">
          <cell r="E38">
            <v>0</v>
          </cell>
          <cell r="F38" t="str">
            <v>AB</v>
          </cell>
          <cell r="G38" t="str">
            <v>LEF-R-2</v>
          </cell>
          <cell r="H38">
            <v>12</v>
          </cell>
          <cell r="I38">
            <v>0.8</v>
          </cell>
          <cell r="J38">
            <v>15</v>
          </cell>
          <cell r="K38" t="str">
            <v xml:space="preserve"> - Existing Rooftop AI</v>
          </cell>
          <cell r="L38" t="str">
            <v>No</v>
          </cell>
          <cell r="P38">
            <v>100</v>
          </cell>
          <cell r="Q38">
            <v>11.3</v>
          </cell>
          <cell r="T38">
            <v>657</v>
          </cell>
          <cell r="V38">
            <v>400</v>
          </cell>
          <cell r="W38">
            <v>0</v>
          </cell>
          <cell r="Y38">
            <v>0</v>
          </cell>
        </row>
        <row r="39">
          <cell r="E39">
            <v>0</v>
          </cell>
          <cell r="F39">
            <v>0</v>
          </cell>
          <cell r="G39">
            <v>0</v>
          </cell>
          <cell r="H39">
            <v>0</v>
          </cell>
          <cell r="I39">
            <v>0</v>
          </cell>
          <cell r="J39">
            <v>0</v>
          </cell>
          <cell r="K39">
            <v>0</v>
          </cell>
          <cell r="L39">
            <v>0</v>
          </cell>
          <cell r="P39">
            <v>0</v>
          </cell>
          <cell r="Q39">
            <v>0</v>
          </cell>
          <cell r="T39">
            <v>0</v>
          </cell>
          <cell r="V39">
            <v>0</v>
          </cell>
          <cell r="W39">
            <v>0</v>
          </cell>
          <cell r="Y39">
            <v>0</v>
          </cell>
        </row>
        <row r="40">
          <cell r="E40" t="str">
            <v>Stack height tests</v>
          </cell>
          <cell r="F40">
            <v>0</v>
          </cell>
          <cell r="G40">
            <v>0</v>
          </cell>
          <cell r="H40">
            <v>0</v>
          </cell>
          <cell r="I40">
            <v>0</v>
          </cell>
          <cell r="J40">
            <v>0</v>
          </cell>
          <cell r="K40">
            <v>0</v>
          </cell>
          <cell r="L40">
            <v>0</v>
          </cell>
          <cell r="P40">
            <v>0</v>
          </cell>
          <cell r="Q40">
            <v>0</v>
          </cell>
          <cell r="T40">
            <v>0</v>
          </cell>
          <cell r="V40">
            <v>0</v>
          </cell>
          <cell r="W40">
            <v>0</v>
          </cell>
          <cell r="Y40">
            <v>0</v>
          </cell>
        </row>
        <row r="41">
          <cell r="E41" t="str">
            <v>Source Base Height:  32 ft (Main Roof)</v>
          </cell>
          <cell r="F41">
            <v>0</v>
          </cell>
          <cell r="G41">
            <v>0</v>
          </cell>
          <cell r="H41">
            <v>0</v>
          </cell>
          <cell r="I41">
            <v>0</v>
          </cell>
          <cell r="J41">
            <v>0</v>
          </cell>
          <cell r="K41">
            <v>0</v>
          </cell>
          <cell r="L41">
            <v>0</v>
          </cell>
          <cell r="P41">
            <v>0</v>
          </cell>
          <cell r="Q41">
            <v>0</v>
          </cell>
          <cell r="T41">
            <v>0</v>
          </cell>
          <cell r="V41">
            <v>0</v>
          </cell>
          <cell r="W41">
            <v>0</v>
          </cell>
          <cell r="Y41">
            <v>0</v>
          </cell>
        </row>
        <row r="42">
          <cell r="E42" t="str">
            <v>(16000 cfm @ 3000 fpm)</v>
          </cell>
          <cell r="F42">
            <v>0</v>
          </cell>
          <cell r="G42">
            <v>0</v>
          </cell>
          <cell r="H42">
            <v>0</v>
          </cell>
          <cell r="I42">
            <v>0</v>
          </cell>
          <cell r="J42">
            <v>0</v>
          </cell>
          <cell r="K42">
            <v>0</v>
          </cell>
          <cell r="L42">
            <v>0</v>
          </cell>
          <cell r="P42">
            <v>0</v>
          </cell>
          <cell r="Q42">
            <v>0</v>
          </cell>
          <cell r="T42">
            <v>0</v>
          </cell>
          <cell r="V42" t="str">
            <v>ASHRAE</v>
          </cell>
          <cell r="W42">
            <v>0</v>
          </cell>
          <cell r="Y42">
            <v>0</v>
          </cell>
        </row>
        <row r="43">
          <cell r="E43">
            <v>121</v>
          </cell>
          <cell r="F43" t="str">
            <v>AB</v>
          </cell>
          <cell r="G43" t="str">
            <v>LEF-R-2</v>
          </cell>
          <cell r="H43">
            <v>15</v>
          </cell>
          <cell r="I43">
            <v>1</v>
          </cell>
          <cell r="J43">
            <v>1</v>
          </cell>
          <cell r="K43" t="str">
            <v xml:space="preserve"> - Existing Rooftop AI</v>
          </cell>
          <cell r="L43" t="str">
            <v>No</v>
          </cell>
          <cell r="P43">
            <v>165</v>
          </cell>
          <cell r="Q43">
            <v>14.3</v>
          </cell>
          <cell r="T43">
            <v>202</v>
          </cell>
          <cell r="V43">
            <v>400</v>
          </cell>
          <cell r="W43">
            <v>0</v>
          </cell>
          <cell r="Y43">
            <v>0</v>
          </cell>
        </row>
        <row r="44">
          <cell r="E44">
            <v>122</v>
          </cell>
          <cell r="F44" t="str">
            <v>AB</v>
          </cell>
          <cell r="G44" t="str">
            <v>LEF-R-2</v>
          </cell>
          <cell r="H44">
            <v>15</v>
          </cell>
          <cell r="I44">
            <v>1</v>
          </cell>
          <cell r="J44">
            <v>2</v>
          </cell>
          <cell r="K44" t="str">
            <v xml:space="preserve"> - Existing Rooftop AI</v>
          </cell>
          <cell r="L44" t="str">
            <v>No</v>
          </cell>
          <cell r="P44">
            <v>185</v>
          </cell>
          <cell r="Q44">
            <v>14.3</v>
          </cell>
          <cell r="T44">
            <v>214</v>
          </cell>
          <cell r="V44">
            <v>400</v>
          </cell>
          <cell r="W44">
            <v>0</v>
          </cell>
          <cell r="Y44">
            <v>0</v>
          </cell>
        </row>
        <row r="45">
          <cell r="E45">
            <v>123</v>
          </cell>
          <cell r="F45" t="str">
            <v>AB</v>
          </cell>
          <cell r="G45" t="str">
            <v>LEF-R-2</v>
          </cell>
          <cell r="H45">
            <v>15</v>
          </cell>
          <cell r="I45">
            <v>1</v>
          </cell>
          <cell r="J45">
            <v>6</v>
          </cell>
          <cell r="K45" t="str">
            <v xml:space="preserve"> - Existing Rooftop AI</v>
          </cell>
          <cell r="L45" t="str">
            <v>No</v>
          </cell>
          <cell r="P45">
            <v>190</v>
          </cell>
          <cell r="Q45">
            <v>14.3</v>
          </cell>
          <cell r="T45">
            <v>213</v>
          </cell>
          <cell r="V45">
            <v>400</v>
          </cell>
          <cell r="W45">
            <v>0</v>
          </cell>
          <cell r="Y45">
            <v>0</v>
          </cell>
        </row>
        <row r="46">
          <cell r="E46">
            <v>124</v>
          </cell>
          <cell r="F46" t="str">
            <v>AB</v>
          </cell>
          <cell r="G46" t="str">
            <v>LEF-R-2</v>
          </cell>
          <cell r="H46">
            <v>15</v>
          </cell>
          <cell r="I46">
            <v>1</v>
          </cell>
          <cell r="J46">
            <v>14</v>
          </cell>
          <cell r="K46" t="str">
            <v xml:space="preserve"> - Existing Rooftop AI</v>
          </cell>
          <cell r="L46" t="str">
            <v>No</v>
          </cell>
          <cell r="P46">
            <v>305</v>
          </cell>
          <cell r="Q46">
            <v>14.3</v>
          </cell>
          <cell r="T46">
            <v>364</v>
          </cell>
          <cell r="V46">
            <v>400</v>
          </cell>
          <cell r="W46">
            <v>0</v>
          </cell>
          <cell r="Y46">
            <v>0</v>
          </cell>
        </row>
        <row r="47">
          <cell r="E47" t="str">
            <v>125*</v>
          </cell>
          <cell r="F47" t="str">
            <v>AB</v>
          </cell>
          <cell r="G47" t="str">
            <v>LEF-R-2</v>
          </cell>
          <cell r="H47">
            <v>15</v>
          </cell>
          <cell r="I47">
            <v>1</v>
          </cell>
          <cell r="J47">
            <v>15</v>
          </cell>
          <cell r="K47" t="str">
            <v xml:space="preserve"> - Existing Rooftop AI</v>
          </cell>
          <cell r="L47" t="str">
            <v>No</v>
          </cell>
          <cell r="P47">
            <v>100</v>
          </cell>
          <cell r="Q47">
            <v>11.3</v>
          </cell>
          <cell r="T47">
            <v>465</v>
          </cell>
          <cell r="V47">
            <v>400</v>
          </cell>
          <cell r="W47">
            <v>0</v>
          </cell>
          <cell r="Y47">
            <v>0</v>
          </cell>
        </row>
        <row r="48">
          <cell r="E48">
            <v>126</v>
          </cell>
          <cell r="F48" t="str">
            <v>AB</v>
          </cell>
          <cell r="G48" t="str">
            <v>LEF-R-2</v>
          </cell>
          <cell r="H48">
            <v>15</v>
          </cell>
          <cell r="I48">
            <v>1</v>
          </cell>
          <cell r="J48">
            <v>16</v>
          </cell>
          <cell r="K48" t="str">
            <v xml:space="preserve"> - Existing Rooftop AI</v>
          </cell>
          <cell r="L48" t="str">
            <v>No</v>
          </cell>
          <cell r="P48">
            <v>100</v>
          </cell>
          <cell r="Q48">
            <v>18</v>
          </cell>
          <cell r="T48">
            <v>219</v>
          </cell>
          <cell r="V48">
            <v>400</v>
          </cell>
          <cell r="W48">
            <v>0</v>
          </cell>
          <cell r="Y48">
            <v>0</v>
          </cell>
        </row>
        <row r="49">
          <cell r="E49">
            <v>0</v>
          </cell>
          <cell r="F49">
            <v>0</v>
          </cell>
          <cell r="G49">
            <v>0</v>
          </cell>
          <cell r="H49">
            <v>0</v>
          </cell>
          <cell r="I49">
            <v>0</v>
          </cell>
          <cell r="J49">
            <v>0</v>
          </cell>
          <cell r="K49">
            <v>0</v>
          </cell>
          <cell r="L49">
            <v>0</v>
          </cell>
          <cell r="P49">
            <v>0</v>
          </cell>
          <cell r="Q49">
            <v>0</v>
          </cell>
          <cell r="T49">
            <v>0</v>
          </cell>
          <cell r="V49">
            <v>0</v>
          </cell>
          <cell r="W49">
            <v>0</v>
          </cell>
          <cell r="Y49">
            <v>0</v>
          </cell>
        </row>
        <row r="50">
          <cell r="E50" t="str">
            <v>Stack height tests</v>
          </cell>
          <cell r="F50">
            <v>0</v>
          </cell>
          <cell r="G50">
            <v>0</v>
          </cell>
          <cell r="H50">
            <v>0</v>
          </cell>
          <cell r="I50">
            <v>0</v>
          </cell>
          <cell r="J50">
            <v>0</v>
          </cell>
          <cell r="K50">
            <v>0</v>
          </cell>
          <cell r="L50">
            <v>0</v>
          </cell>
          <cell r="P50">
            <v>0</v>
          </cell>
          <cell r="Q50">
            <v>0</v>
          </cell>
          <cell r="T50">
            <v>0</v>
          </cell>
          <cell r="V50">
            <v>0</v>
          </cell>
          <cell r="W50">
            <v>0</v>
          </cell>
          <cell r="Y50">
            <v>0</v>
          </cell>
        </row>
        <row r="51">
          <cell r="E51" t="str">
            <v>Source Base Height:  32 ft (Main Roof)</v>
          </cell>
          <cell r="F51">
            <v>0</v>
          </cell>
          <cell r="G51">
            <v>0</v>
          </cell>
          <cell r="H51">
            <v>0</v>
          </cell>
          <cell r="I51">
            <v>0</v>
          </cell>
          <cell r="J51">
            <v>0</v>
          </cell>
          <cell r="K51">
            <v>0</v>
          </cell>
          <cell r="L51">
            <v>0</v>
          </cell>
          <cell r="P51">
            <v>0</v>
          </cell>
          <cell r="Q51">
            <v>0</v>
          </cell>
          <cell r="T51">
            <v>0</v>
          </cell>
          <cell r="V51">
            <v>0</v>
          </cell>
          <cell r="W51">
            <v>0</v>
          </cell>
          <cell r="Y51">
            <v>0</v>
          </cell>
        </row>
        <row r="52">
          <cell r="E52" t="str">
            <v>(16000 cfm @ 3000 fpm)</v>
          </cell>
          <cell r="F52">
            <v>0</v>
          </cell>
          <cell r="G52">
            <v>0</v>
          </cell>
          <cell r="H52">
            <v>0</v>
          </cell>
          <cell r="I52">
            <v>0</v>
          </cell>
          <cell r="J52">
            <v>0</v>
          </cell>
          <cell r="K52">
            <v>0</v>
          </cell>
          <cell r="L52">
            <v>0</v>
          </cell>
          <cell r="P52">
            <v>0</v>
          </cell>
          <cell r="Q52">
            <v>0</v>
          </cell>
          <cell r="T52">
            <v>0</v>
          </cell>
          <cell r="V52" t="str">
            <v>ASHRAE</v>
          </cell>
          <cell r="W52">
            <v>0</v>
          </cell>
          <cell r="Y52">
            <v>0</v>
          </cell>
        </row>
        <row r="53">
          <cell r="E53">
            <v>131</v>
          </cell>
          <cell r="F53" t="str">
            <v>AB</v>
          </cell>
          <cell r="G53" t="str">
            <v>LEF-R-2</v>
          </cell>
          <cell r="H53">
            <v>20</v>
          </cell>
          <cell r="I53">
            <v>1.3333333333333333</v>
          </cell>
          <cell r="J53">
            <v>1</v>
          </cell>
          <cell r="K53" t="str">
            <v xml:space="preserve"> - Existing Rooftop AI</v>
          </cell>
          <cell r="L53" t="str">
            <v>No</v>
          </cell>
          <cell r="P53">
            <v>165</v>
          </cell>
          <cell r="Q53">
            <v>14.3</v>
          </cell>
          <cell r="T53">
            <v>149</v>
          </cell>
          <cell r="V53">
            <v>400</v>
          </cell>
          <cell r="W53">
            <v>0</v>
          </cell>
          <cell r="Y53">
            <v>0</v>
          </cell>
        </row>
        <row r="54">
          <cell r="E54">
            <v>132</v>
          </cell>
          <cell r="F54" t="str">
            <v>AB</v>
          </cell>
          <cell r="G54" t="str">
            <v>LEF-R-2</v>
          </cell>
          <cell r="H54">
            <v>20</v>
          </cell>
          <cell r="I54">
            <v>1.3333333333333333</v>
          </cell>
          <cell r="J54">
            <v>2</v>
          </cell>
          <cell r="K54" t="str">
            <v xml:space="preserve"> - Existing Rooftop AI</v>
          </cell>
          <cell r="L54" t="str">
            <v>No</v>
          </cell>
          <cell r="P54">
            <v>185</v>
          </cell>
          <cell r="Q54">
            <v>14.3</v>
          </cell>
          <cell r="T54">
            <v>158</v>
          </cell>
          <cell r="V54">
            <v>400</v>
          </cell>
          <cell r="W54">
            <v>0</v>
          </cell>
          <cell r="Y54">
            <v>0</v>
          </cell>
        </row>
        <row r="55">
          <cell r="E55">
            <v>133</v>
          </cell>
          <cell r="F55" t="str">
            <v>AB</v>
          </cell>
          <cell r="G55" t="str">
            <v>LEF-R-2</v>
          </cell>
          <cell r="H55">
            <v>20</v>
          </cell>
          <cell r="I55">
            <v>1.3333333333333333</v>
          </cell>
          <cell r="J55">
            <v>6</v>
          </cell>
          <cell r="K55" t="str">
            <v xml:space="preserve"> - Existing Rooftop AI</v>
          </cell>
          <cell r="L55" t="str">
            <v>No</v>
          </cell>
          <cell r="P55">
            <v>185</v>
          </cell>
          <cell r="Q55">
            <v>22.7</v>
          </cell>
          <cell r="T55">
            <v>151</v>
          </cell>
          <cell r="V55">
            <v>400</v>
          </cell>
          <cell r="W55">
            <v>0</v>
          </cell>
          <cell r="Y55">
            <v>0</v>
          </cell>
        </row>
        <row r="56">
          <cell r="E56">
            <v>134</v>
          </cell>
          <cell r="F56" t="str">
            <v>AB</v>
          </cell>
          <cell r="G56" t="str">
            <v>LEF-R-2</v>
          </cell>
          <cell r="H56">
            <v>20</v>
          </cell>
          <cell r="I56">
            <v>1.3333333333333333</v>
          </cell>
          <cell r="J56">
            <v>14</v>
          </cell>
          <cell r="K56" t="str">
            <v xml:space="preserve"> - Existing Rooftop AI</v>
          </cell>
          <cell r="L56" t="str">
            <v>No</v>
          </cell>
          <cell r="P56">
            <v>300</v>
          </cell>
          <cell r="Q56">
            <v>28.6</v>
          </cell>
          <cell r="T56">
            <v>155</v>
          </cell>
          <cell r="V56">
            <v>400</v>
          </cell>
          <cell r="W56">
            <v>0</v>
          </cell>
          <cell r="Y56">
            <v>0</v>
          </cell>
        </row>
        <row r="57">
          <cell r="E57">
            <v>135</v>
          </cell>
          <cell r="F57" t="str">
            <v>AB</v>
          </cell>
          <cell r="G57" t="str">
            <v>LEF-R-2</v>
          </cell>
          <cell r="H57">
            <v>20</v>
          </cell>
          <cell r="I57">
            <v>1.3333333333333333</v>
          </cell>
          <cell r="J57">
            <v>15</v>
          </cell>
          <cell r="K57" t="str">
            <v xml:space="preserve"> - Existing Rooftop AI</v>
          </cell>
          <cell r="L57" t="str">
            <v>No</v>
          </cell>
          <cell r="P57">
            <v>105</v>
          </cell>
          <cell r="Q57">
            <v>28.6</v>
          </cell>
          <cell r="T57">
            <v>258</v>
          </cell>
          <cell r="V57">
            <v>400</v>
          </cell>
          <cell r="W57">
            <v>0</v>
          </cell>
          <cell r="Y57">
            <v>0</v>
          </cell>
        </row>
        <row r="58">
          <cell r="E58">
            <v>0</v>
          </cell>
          <cell r="F58">
            <v>0</v>
          </cell>
          <cell r="G58">
            <v>0</v>
          </cell>
          <cell r="H58">
            <v>0</v>
          </cell>
          <cell r="I58">
            <v>0</v>
          </cell>
          <cell r="J58">
            <v>0</v>
          </cell>
          <cell r="K58">
            <v>0</v>
          </cell>
          <cell r="L58">
            <v>0</v>
          </cell>
          <cell r="P58">
            <v>0</v>
          </cell>
          <cell r="Q58">
            <v>0</v>
          </cell>
          <cell r="T58">
            <v>0</v>
          </cell>
          <cell r="V58">
            <v>0</v>
          </cell>
          <cell r="W58">
            <v>0</v>
          </cell>
          <cell r="Y58">
            <v>0</v>
          </cell>
        </row>
        <row r="59">
          <cell r="E59" t="str">
            <v>Confirmation tests</v>
          </cell>
          <cell r="F59">
            <v>0</v>
          </cell>
          <cell r="G59">
            <v>0</v>
          </cell>
          <cell r="H59">
            <v>0</v>
          </cell>
          <cell r="I59">
            <v>0</v>
          </cell>
          <cell r="J59">
            <v>0</v>
          </cell>
          <cell r="K59">
            <v>0</v>
          </cell>
          <cell r="L59">
            <v>0</v>
          </cell>
          <cell r="P59">
            <v>0</v>
          </cell>
          <cell r="Q59">
            <v>0</v>
          </cell>
          <cell r="T59">
            <v>0</v>
          </cell>
          <cell r="V59">
            <v>0</v>
          </cell>
          <cell r="W59">
            <v>0</v>
          </cell>
          <cell r="Y59">
            <v>0</v>
          </cell>
        </row>
        <row r="60">
          <cell r="E60" t="str">
            <v>Source Base Height:  32 ft (Main Roof)</v>
          </cell>
          <cell r="F60">
            <v>0</v>
          </cell>
          <cell r="G60">
            <v>0</v>
          </cell>
          <cell r="H60">
            <v>0</v>
          </cell>
          <cell r="I60">
            <v>0</v>
          </cell>
          <cell r="J60">
            <v>0</v>
          </cell>
          <cell r="K60">
            <v>0</v>
          </cell>
          <cell r="L60">
            <v>0</v>
          </cell>
          <cell r="P60">
            <v>0</v>
          </cell>
          <cell r="Q60">
            <v>0</v>
          </cell>
          <cell r="T60">
            <v>0</v>
          </cell>
          <cell r="V60">
            <v>0</v>
          </cell>
          <cell r="W60">
            <v>0</v>
          </cell>
          <cell r="Y60">
            <v>0</v>
          </cell>
        </row>
        <row r="61">
          <cell r="E61" t="str">
            <v>(16000 cfm @ 3000 fpm)</v>
          </cell>
          <cell r="F61">
            <v>0</v>
          </cell>
          <cell r="G61">
            <v>0</v>
          </cell>
          <cell r="H61">
            <v>0</v>
          </cell>
          <cell r="I61">
            <v>0</v>
          </cell>
          <cell r="J61">
            <v>0</v>
          </cell>
          <cell r="K61">
            <v>0</v>
          </cell>
          <cell r="L61">
            <v>0</v>
          </cell>
          <cell r="P61">
            <v>0</v>
          </cell>
          <cell r="Q61">
            <v>0</v>
          </cell>
          <cell r="T61">
            <v>0</v>
          </cell>
          <cell r="V61" t="str">
            <v>ASHRAE</v>
          </cell>
          <cell r="W61">
            <v>0</v>
          </cell>
          <cell r="Y61">
            <v>0</v>
          </cell>
        </row>
        <row r="62">
          <cell r="E62">
            <v>161</v>
          </cell>
          <cell r="F62" t="str">
            <v>AA</v>
          </cell>
          <cell r="G62" t="str">
            <v>LEF-R-1</v>
          </cell>
          <cell r="H62">
            <v>15</v>
          </cell>
          <cell r="I62">
            <v>1</v>
          </cell>
          <cell r="J62">
            <v>1</v>
          </cell>
          <cell r="K62" t="str">
            <v xml:space="preserve"> - Existing Rooftop AI</v>
          </cell>
          <cell r="L62" t="str">
            <v>No</v>
          </cell>
          <cell r="P62">
            <v>160</v>
          </cell>
          <cell r="Q62">
            <v>10.6</v>
          </cell>
          <cell r="T62">
            <v>264</v>
          </cell>
          <cell r="V62">
            <v>400</v>
          </cell>
          <cell r="W62">
            <v>0</v>
          </cell>
          <cell r="Y62">
            <v>0</v>
          </cell>
        </row>
        <row r="63">
          <cell r="E63">
            <v>162</v>
          </cell>
          <cell r="F63" t="str">
            <v>AA</v>
          </cell>
          <cell r="G63" t="str">
            <v>LEF-R-1</v>
          </cell>
          <cell r="H63">
            <v>15</v>
          </cell>
          <cell r="I63">
            <v>1</v>
          </cell>
          <cell r="J63">
            <v>6</v>
          </cell>
          <cell r="K63" t="str">
            <v xml:space="preserve"> - Existing Rooftop AI</v>
          </cell>
          <cell r="L63" t="str">
            <v>No</v>
          </cell>
          <cell r="P63">
            <v>175</v>
          </cell>
          <cell r="Q63">
            <v>14.3</v>
          </cell>
          <cell r="T63">
            <v>286</v>
          </cell>
          <cell r="V63">
            <v>400</v>
          </cell>
          <cell r="W63">
            <v>0</v>
          </cell>
          <cell r="Y63">
            <v>0</v>
          </cell>
        </row>
        <row r="64">
          <cell r="E64">
            <v>0</v>
          </cell>
          <cell r="F64">
            <v>0</v>
          </cell>
          <cell r="G64">
            <v>0</v>
          </cell>
          <cell r="H64">
            <v>0</v>
          </cell>
          <cell r="I64">
            <v>0</v>
          </cell>
          <cell r="J64">
            <v>0</v>
          </cell>
          <cell r="K64">
            <v>0</v>
          </cell>
          <cell r="L64">
            <v>0</v>
          </cell>
          <cell r="P64">
            <v>0</v>
          </cell>
          <cell r="Q64">
            <v>0</v>
          </cell>
          <cell r="T64">
            <v>0</v>
          </cell>
          <cell r="V64">
            <v>0</v>
          </cell>
          <cell r="W64">
            <v>0</v>
          </cell>
          <cell r="Y64">
            <v>0</v>
          </cell>
        </row>
        <row r="65">
          <cell r="E65">
            <v>163</v>
          </cell>
          <cell r="F65" t="str">
            <v>AA</v>
          </cell>
          <cell r="G65" t="str">
            <v>LEF-R-1</v>
          </cell>
          <cell r="H65">
            <v>20</v>
          </cell>
          <cell r="I65">
            <v>1.3333333333333333</v>
          </cell>
          <cell r="J65">
            <v>14</v>
          </cell>
          <cell r="K65" t="str">
            <v xml:space="preserve"> - Existing Rooftop AI</v>
          </cell>
          <cell r="L65" t="str">
            <v>No</v>
          </cell>
          <cell r="P65">
            <v>70</v>
          </cell>
          <cell r="Q65">
            <v>28.6</v>
          </cell>
          <cell r="T65">
            <v>25</v>
          </cell>
          <cell r="V65">
            <v>400</v>
          </cell>
          <cell r="W65">
            <v>0</v>
          </cell>
          <cell r="Y65">
            <v>0</v>
          </cell>
        </row>
        <row r="66">
          <cell r="E66">
            <v>164</v>
          </cell>
          <cell r="F66" t="str">
            <v>AA</v>
          </cell>
          <cell r="G66" t="str">
            <v>LEF-R-1</v>
          </cell>
          <cell r="H66">
            <v>20</v>
          </cell>
          <cell r="I66">
            <v>1.3333333333333333</v>
          </cell>
          <cell r="J66">
            <v>15</v>
          </cell>
          <cell r="K66" t="str">
            <v xml:space="preserve"> - Existing Rooftop AI</v>
          </cell>
          <cell r="L66" t="str">
            <v>No</v>
          </cell>
          <cell r="P66">
            <v>105</v>
          </cell>
          <cell r="Q66">
            <v>28.6</v>
          </cell>
          <cell r="T66">
            <v>251</v>
          </cell>
          <cell r="V66">
            <v>400</v>
          </cell>
          <cell r="W66">
            <v>0</v>
          </cell>
          <cell r="Y66">
            <v>0</v>
          </cell>
        </row>
        <row r="67">
          <cell r="E67">
            <v>0</v>
          </cell>
          <cell r="F67">
            <v>0</v>
          </cell>
          <cell r="G67">
            <v>0</v>
          </cell>
          <cell r="H67">
            <v>0</v>
          </cell>
          <cell r="I67">
            <v>0</v>
          </cell>
          <cell r="J67">
            <v>0</v>
          </cell>
          <cell r="K67">
            <v>0</v>
          </cell>
          <cell r="L67">
            <v>0</v>
          </cell>
          <cell r="P67">
            <v>0</v>
          </cell>
          <cell r="Q67">
            <v>0</v>
          </cell>
          <cell r="T67">
            <v>0</v>
          </cell>
          <cell r="V67">
            <v>0</v>
          </cell>
          <cell r="W67">
            <v>0</v>
          </cell>
          <cell r="Y67">
            <v>0</v>
          </cell>
        </row>
        <row r="68">
          <cell r="E68" t="str">
            <v>Confirmation tests</v>
          </cell>
          <cell r="F68">
            <v>0</v>
          </cell>
          <cell r="G68">
            <v>0</v>
          </cell>
          <cell r="H68">
            <v>0</v>
          </cell>
          <cell r="I68">
            <v>0</v>
          </cell>
          <cell r="J68">
            <v>0</v>
          </cell>
          <cell r="K68">
            <v>0</v>
          </cell>
          <cell r="L68">
            <v>0</v>
          </cell>
          <cell r="P68">
            <v>0</v>
          </cell>
          <cell r="Q68">
            <v>0</v>
          </cell>
          <cell r="T68">
            <v>0</v>
          </cell>
          <cell r="V68">
            <v>0</v>
          </cell>
          <cell r="W68">
            <v>0</v>
          </cell>
          <cell r="Y68">
            <v>0</v>
          </cell>
        </row>
        <row r="69">
          <cell r="E69" t="str">
            <v>Source Base Height:  32 ft (Main Roof)</v>
          </cell>
          <cell r="F69">
            <v>0</v>
          </cell>
          <cell r="G69">
            <v>0</v>
          </cell>
          <cell r="H69">
            <v>0</v>
          </cell>
          <cell r="I69">
            <v>0</v>
          </cell>
          <cell r="J69">
            <v>0</v>
          </cell>
          <cell r="K69">
            <v>0</v>
          </cell>
          <cell r="L69">
            <v>0</v>
          </cell>
          <cell r="P69">
            <v>0</v>
          </cell>
          <cell r="Q69">
            <v>0</v>
          </cell>
          <cell r="T69">
            <v>0</v>
          </cell>
          <cell r="V69">
            <v>0</v>
          </cell>
          <cell r="W69">
            <v>0</v>
          </cell>
          <cell r="Y69">
            <v>0</v>
          </cell>
        </row>
        <row r="70">
          <cell r="E70" t="str">
            <v>(16000 cfm @ 3000 fpm)</v>
          </cell>
          <cell r="F70">
            <v>0</v>
          </cell>
          <cell r="G70">
            <v>0</v>
          </cell>
          <cell r="H70">
            <v>0</v>
          </cell>
          <cell r="I70">
            <v>0</v>
          </cell>
          <cell r="J70">
            <v>0</v>
          </cell>
          <cell r="K70">
            <v>0</v>
          </cell>
          <cell r="L70">
            <v>0</v>
          </cell>
          <cell r="P70">
            <v>0</v>
          </cell>
          <cell r="Q70">
            <v>0</v>
          </cell>
          <cell r="T70">
            <v>0</v>
          </cell>
          <cell r="V70" t="str">
            <v>ASHRAE</v>
          </cell>
          <cell r="W70">
            <v>0</v>
          </cell>
          <cell r="Y70">
            <v>0</v>
          </cell>
        </row>
        <row r="71">
          <cell r="E71">
            <v>181</v>
          </cell>
          <cell r="F71" t="str">
            <v>AC</v>
          </cell>
          <cell r="G71" t="str">
            <v>LEF-R-3</v>
          </cell>
          <cell r="H71">
            <v>15</v>
          </cell>
          <cell r="I71">
            <v>1</v>
          </cell>
          <cell r="J71">
            <v>1</v>
          </cell>
          <cell r="K71" t="str">
            <v xml:space="preserve"> - Existing Rooftop AI</v>
          </cell>
          <cell r="L71" t="str">
            <v>No</v>
          </cell>
          <cell r="P71">
            <v>175</v>
          </cell>
          <cell r="Q71">
            <v>14.3</v>
          </cell>
          <cell r="T71">
            <v>213</v>
          </cell>
          <cell r="V71">
            <v>400</v>
          </cell>
          <cell r="W71">
            <v>0</v>
          </cell>
          <cell r="Y71">
            <v>0</v>
          </cell>
        </row>
        <row r="72">
          <cell r="E72">
            <v>182</v>
          </cell>
          <cell r="F72" t="str">
            <v>AC</v>
          </cell>
          <cell r="G72" t="str">
            <v>LEF-R-3</v>
          </cell>
          <cell r="H72">
            <v>15</v>
          </cell>
          <cell r="I72">
            <v>1</v>
          </cell>
          <cell r="J72">
            <v>6</v>
          </cell>
          <cell r="K72" t="str">
            <v xml:space="preserve"> - Existing Rooftop AI</v>
          </cell>
          <cell r="L72" t="str">
            <v>No</v>
          </cell>
          <cell r="P72">
            <v>195</v>
          </cell>
          <cell r="Q72">
            <v>14.3</v>
          </cell>
          <cell r="T72">
            <v>321</v>
          </cell>
          <cell r="V72">
            <v>400</v>
          </cell>
          <cell r="W72">
            <v>0</v>
          </cell>
          <cell r="Y72">
            <v>0</v>
          </cell>
        </row>
        <row r="73">
          <cell r="E73">
            <v>0</v>
          </cell>
          <cell r="F73">
            <v>0</v>
          </cell>
          <cell r="G73">
            <v>0</v>
          </cell>
          <cell r="H73">
            <v>0</v>
          </cell>
          <cell r="I73">
            <v>0</v>
          </cell>
          <cell r="J73">
            <v>0</v>
          </cell>
          <cell r="K73">
            <v>0</v>
          </cell>
          <cell r="L73">
            <v>0</v>
          </cell>
          <cell r="P73">
            <v>0</v>
          </cell>
          <cell r="Q73">
            <v>0</v>
          </cell>
          <cell r="T73">
            <v>0</v>
          </cell>
          <cell r="V73">
            <v>0</v>
          </cell>
          <cell r="W73">
            <v>0</v>
          </cell>
          <cell r="Y73">
            <v>0</v>
          </cell>
        </row>
        <row r="74">
          <cell r="E74">
            <v>183</v>
          </cell>
          <cell r="F74" t="str">
            <v>AC</v>
          </cell>
          <cell r="G74" t="str">
            <v>LEF-R-3</v>
          </cell>
          <cell r="H74">
            <v>20</v>
          </cell>
          <cell r="I74">
            <v>1.3333333333333333</v>
          </cell>
          <cell r="J74">
            <v>14</v>
          </cell>
          <cell r="K74" t="str">
            <v xml:space="preserve"> - Existing Rooftop AI</v>
          </cell>
          <cell r="L74" t="str">
            <v>No</v>
          </cell>
          <cell r="P74">
            <v>290</v>
          </cell>
          <cell r="Q74">
            <v>10.6</v>
          </cell>
          <cell r="T74">
            <v>365</v>
          </cell>
          <cell r="V74">
            <v>400</v>
          </cell>
          <cell r="W74">
            <v>0</v>
          </cell>
          <cell r="Y74">
            <v>0</v>
          </cell>
        </row>
        <row r="75">
          <cell r="E75">
            <v>0</v>
          </cell>
          <cell r="F75">
            <v>0</v>
          </cell>
          <cell r="G75">
            <v>0</v>
          </cell>
          <cell r="H75">
            <v>0</v>
          </cell>
          <cell r="I75">
            <v>0</v>
          </cell>
          <cell r="J75">
            <v>0</v>
          </cell>
          <cell r="K75">
            <v>0</v>
          </cell>
          <cell r="L75">
            <v>0</v>
          </cell>
          <cell r="P75">
            <v>0</v>
          </cell>
          <cell r="Q75">
            <v>0</v>
          </cell>
          <cell r="T75">
            <v>0</v>
          </cell>
          <cell r="V75">
            <v>0</v>
          </cell>
          <cell r="W75">
            <v>0</v>
          </cell>
          <cell r="Y75">
            <v>0</v>
          </cell>
        </row>
        <row r="76">
          <cell r="E76" t="str">
            <v>150 kW Diesel Generator</v>
          </cell>
          <cell r="F76">
            <v>0</v>
          </cell>
          <cell r="G76">
            <v>0</v>
          </cell>
          <cell r="H76">
            <v>0</v>
          </cell>
          <cell r="I76">
            <v>0</v>
          </cell>
          <cell r="J76">
            <v>0</v>
          </cell>
          <cell r="K76">
            <v>0</v>
          </cell>
          <cell r="L76">
            <v>0</v>
          </cell>
          <cell r="P76">
            <v>0</v>
          </cell>
          <cell r="Q76">
            <v>0</v>
          </cell>
          <cell r="T76">
            <v>0</v>
          </cell>
          <cell r="V76">
            <v>0</v>
          </cell>
          <cell r="W76">
            <v>0</v>
          </cell>
          <cell r="Y76">
            <v>0</v>
          </cell>
        </row>
        <row r="77">
          <cell r="E77" t="str">
            <v>Exploratory tests</v>
          </cell>
          <cell r="F77">
            <v>0</v>
          </cell>
          <cell r="G77">
            <v>0</v>
          </cell>
          <cell r="H77">
            <v>0</v>
          </cell>
          <cell r="I77">
            <v>0</v>
          </cell>
          <cell r="J77">
            <v>0</v>
          </cell>
          <cell r="K77">
            <v>0</v>
          </cell>
          <cell r="L77">
            <v>0</v>
          </cell>
          <cell r="P77">
            <v>0</v>
          </cell>
          <cell r="Q77">
            <v>0</v>
          </cell>
          <cell r="T77">
            <v>0</v>
          </cell>
          <cell r="V77">
            <v>0</v>
          </cell>
          <cell r="W77">
            <v>0</v>
          </cell>
          <cell r="Y77">
            <v>0</v>
          </cell>
        </row>
        <row r="78">
          <cell r="E78" t="str">
            <v>Source Base Height:  0 ft (Local Grade)</v>
          </cell>
          <cell r="F78">
            <v>0</v>
          </cell>
          <cell r="G78">
            <v>0</v>
          </cell>
          <cell r="H78">
            <v>0</v>
          </cell>
          <cell r="I78">
            <v>0</v>
          </cell>
          <cell r="J78">
            <v>0</v>
          </cell>
          <cell r="K78">
            <v>0</v>
          </cell>
          <cell r="L78">
            <v>0</v>
          </cell>
          <cell r="P78">
            <v>0</v>
          </cell>
          <cell r="Q78">
            <v>0</v>
          </cell>
          <cell r="T78">
            <v>0</v>
          </cell>
          <cell r="V78" t="str">
            <v>Health</v>
          </cell>
          <cell r="W78" t="str">
            <v>Health</v>
          </cell>
          <cell r="Y78" t="str">
            <v>Odor</v>
          </cell>
        </row>
        <row r="79">
          <cell r="E79" t="str">
            <v>(1700 cfm @ 12468 fpm)</v>
          </cell>
          <cell r="F79">
            <v>0</v>
          </cell>
          <cell r="G79">
            <v>0</v>
          </cell>
          <cell r="H79">
            <v>0</v>
          </cell>
          <cell r="I79">
            <v>0</v>
          </cell>
          <cell r="J79">
            <v>0</v>
          </cell>
          <cell r="K79">
            <v>0</v>
          </cell>
          <cell r="L79">
            <v>0</v>
          </cell>
          <cell r="P79">
            <v>0</v>
          </cell>
          <cell r="Q79">
            <v>0</v>
          </cell>
          <cell r="T79">
            <v>0</v>
          </cell>
          <cell r="V79" t="str">
            <v>(NIOSH)</v>
          </cell>
          <cell r="W79" t="str">
            <v>(OSHA)</v>
          </cell>
          <cell r="Y79" t="str">
            <v>(filtered)</v>
          </cell>
        </row>
        <row r="80">
          <cell r="E80">
            <v>201</v>
          </cell>
          <cell r="F80" t="str">
            <v>AH</v>
          </cell>
          <cell r="G80" t="str">
            <v>DG</v>
          </cell>
          <cell r="H80">
            <v>6</v>
          </cell>
          <cell r="I80">
            <v>0.4</v>
          </cell>
          <cell r="J80">
            <v>5</v>
          </cell>
          <cell r="K80" t="str">
            <v xml:space="preserve"> - Existing Rooftop AI</v>
          </cell>
          <cell r="L80" t="str">
            <v>No</v>
          </cell>
          <cell r="P80">
            <v>90</v>
          </cell>
          <cell r="Q80">
            <v>1.8</v>
          </cell>
          <cell r="T80">
            <v>5438</v>
          </cell>
          <cell r="V80">
            <v>14400</v>
          </cell>
          <cell r="W80">
            <v>72000</v>
          </cell>
          <cell r="Y80">
            <v>3113.6075294117632</v>
          </cell>
        </row>
        <row r="81">
          <cell r="E81">
            <v>202</v>
          </cell>
          <cell r="F81" t="str">
            <v>AH</v>
          </cell>
          <cell r="G81" t="str">
            <v>DG</v>
          </cell>
          <cell r="H81">
            <v>6</v>
          </cell>
          <cell r="I81">
            <v>0.4</v>
          </cell>
          <cell r="J81">
            <v>7</v>
          </cell>
          <cell r="K81" t="str">
            <v xml:space="preserve"> - AHU-1</v>
          </cell>
          <cell r="L81" t="str">
            <v>No</v>
          </cell>
          <cell r="P81">
            <v>170</v>
          </cell>
          <cell r="Q81">
            <v>2.4</v>
          </cell>
          <cell r="T81">
            <v>1688</v>
          </cell>
          <cell r="V81">
            <v>14400</v>
          </cell>
          <cell r="W81">
            <v>72000</v>
          </cell>
          <cell r="Y81">
            <v>3113.6075294117632</v>
          </cell>
        </row>
        <row r="82">
          <cell r="E82">
            <v>203</v>
          </cell>
          <cell r="F82" t="str">
            <v>AH</v>
          </cell>
          <cell r="G82" t="str">
            <v>DG</v>
          </cell>
          <cell r="H82">
            <v>6</v>
          </cell>
          <cell r="I82">
            <v>0.4</v>
          </cell>
          <cell r="J82">
            <v>9</v>
          </cell>
          <cell r="K82" t="str">
            <v xml:space="preserve"> - AHU-3</v>
          </cell>
          <cell r="L82" t="str">
            <v>No</v>
          </cell>
          <cell r="P82">
            <v>25</v>
          </cell>
          <cell r="Q82">
            <v>3.3</v>
          </cell>
          <cell r="T82">
            <v>552</v>
          </cell>
          <cell r="V82">
            <v>14400</v>
          </cell>
          <cell r="W82">
            <v>72000</v>
          </cell>
          <cell r="Y82">
            <v>3113.6075294117632</v>
          </cell>
        </row>
        <row r="83">
          <cell r="E83">
            <v>204</v>
          </cell>
          <cell r="F83" t="str">
            <v>AH</v>
          </cell>
          <cell r="G83" t="str">
            <v>DG</v>
          </cell>
          <cell r="H83">
            <v>6</v>
          </cell>
          <cell r="I83">
            <v>0.4</v>
          </cell>
          <cell r="J83">
            <v>11</v>
          </cell>
          <cell r="K83" t="str">
            <v xml:space="preserve"> - Neighboring Roof AI</v>
          </cell>
          <cell r="L83" t="str">
            <v>No</v>
          </cell>
          <cell r="P83">
            <v>220</v>
          </cell>
          <cell r="Q83">
            <v>1.3</v>
          </cell>
          <cell r="T83">
            <v>749</v>
          </cell>
          <cell r="V83">
            <v>14400</v>
          </cell>
          <cell r="W83">
            <v>72000</v>
          </cell>
          <cell r="Y83">
            <v>3113.6075294117632</v>
          </cell>
        </row>
        <row r="84">
          <cell r="E84" t="str">
            <v>Stack height tests</v>
          </cell>
          <cell r="F84">
            <v>0</v>
          </cell>
          <cell r="G84">
            <v>0</v>
          </cell>
          <cell r="H84">
            <v>0</v>
          </cell>
          <cell r="I84">
            <v>0</v>
          </cell>
          <cell r="J84">
            <v>0</v>
          </cell>
          <cell r="K84">
            <v>0</v>
          </cell>
          <cell r="L84">
            <v>0</v>
          </cell>
          <cell r="P84">
            <v>0</v>
          </cell>
          <cell r="Q84">
            <v>0</v>
          </cell>
          <cell r="T84">
            <v>0</v>
          </cell>
          <cell r="V84">
            <v>0</v>
          </cell>
          <cell r="W84">
            <v>0</v>
          </cell>
          <cell r="Y84">
            <v>0</v>
          </cell>
        </row>
        <row r="85">
          <cell r="E85" t="str">
            <v>Source Base Height:  0 ft (Local Grade)</v>
          </cell>
          <cell r="F85">
            <v>0</v>
          </cell>
          <cell r="G85">
            <v>0</v>
          </cell>
          <cell r="H85">
            <v>0</v>
          </cell>
          <cell r="I85">
            <v>0</v>
          </cell>
          <cell r="J85">
            <v>0</v>
          </cell>
          <cell r="K85">
            <v>0</v>
          </cell>
          <cell r="L85">
            <v>0</v>
          </cell>
          <cell r="P85">
            <v>0</v>
          </cell>
          <cell r="Q85">
            <v>0</v>
          </cell>
          <cell r="T85">
            <v>0</v>
          </cell>
          <cell r="V85">
            <v>0</v>
          </cell>
          <cell r="W85">
            <v>0</v>
          </cell>
          <cell r="Y85">
            <v>0</v>
          </cell>
        </row>
        <row r="86">
          <cell r="E86" t="str">
            <v>(1700 cfm @ 12468 fpm)</v>
          </cell>
          <cell r="F86">
            <v>0</v>
          </cell>
          <cell r="G86">
            <v>0</v>
          </cell>
          <cell r="H86">
            <v>0</v>
          </cell>
          <cell r="I86">
            <v>0</v>
          </cell>
          <cell r="J86">
            <v>0</v>
          </cell>
          <cell r="K86">
            <v>0</v>
          </cell>
          <cell r="L86">
            <v>0</v>
          </cell>
          <cell r="P86">
            <v>0</v>
          </cell>
          <cell r="Q86">
            <v>0</v>
          </cell>
          <cell r="T86">
            <v>0</v>
          </cell>
          <cell r="V86">
            <v>0</v>
          </cell>
          <cell r="W86">
            <v>0</v>
          </cell>
          <cell r="Y86">
            <v>0</v>
          </cell>
        </row>
        <row r="87">
          <cell r="E87">
            <v>211</v>
          </cell>
          <cell r="F87" t="str">
            <v>AH</v>
          </cell>
          <cell r="G87" t="str">
            <v>DG</v>
          </cell>
          <cell r="H87">
            <v>30</v>
          </cell>
          <cell r="I87">
            <v>2</v>
          </cell>
          <cell r="J87">
            <v>5</v>
          </cell>
          <cell r="K87" t="str">
            <v xml:space="preserve"> - Existing Rooftop AI</v>
          </cell>
          <cell r="L87" t="str">
            <v>No</v>
          </cell>
          <cell r="P87">
            <v>90</v>
          </cell>
          <cell r="Q87">
            <v>10.6</v>
          </cell>
          <cell r="T87">
            <v>1519</v>
          </cell>
          <cell r="V87">
            <v>14400</v>
          </cell>
          <cell r="W87">
            <v>72000</v>
          </cell>
          <cell r="Y87">
            <v>3113.6075294117632</v>
          </cell>
        </row>
        <row r="88">
          <cell r="E88">
            <v>212</v>
          </cell>
          <cell r="F88" t="str">
            <v>AH</v>
          </cell>
          <cell r="G88" t="str">
            <v>DG</v>
          </cell>
          <cell r="H88">
            <v>30</v>
          </cell>
          <cell r="I88">
            <v>2</v>
          </cell>
          <cell r="J88">
            <v>7</v>
          </cell>
          <cell r="K88" t="str">
            <v xml:space="preserve"> - AHU-1</v>
          </cell>
          <cell r="L88" t="str">
            <v>No</v>
          </cell>
          <cell r="P88">
            <v>205</v>
          </cell>
          <cell r="Q88">
            <v>4.4000000000000004</v>
          </cell>
          <cell r="T88">
            <v>478</v>
          </cell>
          <cell r="V88">
            <v>14400</v>
          </cell>
          <cell r="W88">
            <v>72000</v>
          </cell>
          <cell r="Y88">
            <v>3113.6075294117632</v>
          </cell>
        </row>
        <row r="89">
          <cell r="E89">
            <v>213</v>
          </cell>
          <cell r="F89" t="str">
            <v>AH</v>
          </cell>
          <cell r="G89" t="str">
            <v>DG</v>
          </cell>
          <cell r="H89">
            <v>30</v>
          </cell>
          <cell r="I89">
            <v>2</v>
          </cell>
          <cell r="J89">
            <v>11</v>
          </cell>
          <cell r="K89" t="str">
            <v xml:space="preserve"> - Neighboring Roof AI</v>
          </cell>
          <cell r="L89" t="str">
            <v>No</v>
          </cell>
          <cell r="P89">
            <v>215</v>
          </cell>
          <cell r="Q89">
            <v>1.8</v>
          </cell>
          <cell r="T89">
            <v>622</v>
          </cell>
          <cell r="V89">
            <v>14400</v>
          </cell>
          <cell r="W89">
            <v>72000</v>
          </cell>
          <cell r="Y89">
            <v>3113.6075294117632</v>
          </cell>
        </row>
        <row r="90">
          <cell r="E90">
            <v>0</v>
          </cell>
          <cell r="F90">
            <v>0</v>
          </cell>
          <cell r="G90">
            <v>0</v>
          </cell>
          <cell r="H90">
            <v>0</v>
          </cell>
          <cell r="I90">
            <v>0</v>
          </cell>
          <cell r="J90">
            <v>0</v>
          </cell>
          <cell r="K90">
            <v>0</v>
          </cell>
          <cell r="L90">
            <v>0</v>
          </cell>
          <cell r="P90">
            <v>0</v>
          </cell>
          <cell r="Q90">
            <v>0</v>
          </cell>
          <cell r="T90">
            <v>0</v>
          </cell>
          <cell r="V90">
            <v>0</v>
          </cell>
          <cell r="W90">
            <v>0</v>
          </cell>
          <cell r="Y90">
            <v>0</v>
          </cell>
        </row>
        <row r="91">
          <cell r="E91" t="str">
            <v>High Pile Storage</v>
          </cell>
          <cell r="F91">
            <v>0</v>
          </cell>
          <cell r="G91">
            <v>0</v>
          </cell>
          <cell r="H91">
            <v>0</v>
          </cell>
          <cell r="I91">
            <v>0</v>
          </cell>
          <cell r="J91">
            <v>0</v>
          </cell>
          <cell r="K91">
            <v>0</v>
          </cell>
          <cell r="L91">
            <v>0</v>
          </cell>
          <cell r="P91">
            <v>0</v>
          </cell>
          <cell r="Q91">
            <v>0</v>
          </cell>
          <cell r="T91">
            <v>0</v>
          </cell>
          <cell r="V91">
            <v>0</v>
          </cell>
          <cell r="W91">
            <v>0</v>
          </cell>
          <cell r="Y91">
            <v>0</v>
          </cell>
        </row>
        <row r="92">
          <cell r="E92" t="str">
            <v>exploratory tests</v>
          </cell>
          <cell r="F92">
            <v>0</v>
          </cell>
          <cell r="G92">
            <v>0</v>
          </cell>
          <cell r="H92">
            <v>0</v>
          </cell>
          <cell r="I92">
            <v>0</v>
          </cell>
          <cell r="J92">
            <v>0</v>
          </cell>
          <cell r="K92">
            <v>0</v>
          </cell>
          <cell r="L92">
            <v>0</v>
          </cell>
          <cell r="P92">
            <v>0</v>
          </cell>
          <cell r="Q92">
            <v>0</v>
          </cell>
          <cell r="T92">
            <v>0</v>
          </cell>
          <cell r="V92" t="str">
            <v>Health</v>
          </cell>
          <cell r="W92">
            <v>0</v>
          </cell>
          <cell r="Y92">
            <v>0</v>
          </cell>
        </row>
        <row r="93">
          <cell r="E93" t="str">
            <v>Source Base Height:  32 ft (Main Roof)</v>
          </cell>
          <cell r="F93">
            <v>0</v>
          </cell>
          <cell r="G93">
            <v>0</v>
          </cell>
          <cell r="H93">
            <v>0</v>
          </cell>
          <cell r="I93">
            <v>0</v>
          </cell>
          <cell r="J93">
            <v>0</v>
          </cell>
          <cell r="K93">
            <v>0</v>
          </cell>
          <cell r="L93">
            <v>0</v>
          </cell>
          <cell r="P93">
            <v>0</v>
          </cell>
          <cell r="Q93">
            <v>0</v>
          </cell>
          <cell r="T93">
            <v>0</v>
          </cell>
          <cell r="V93">
            <v>0</v>
          </cell>
          <cell r="W93">
            <v>0</v>
          </cell>
          <cell r="Y93">
            <v>0</v>
          </cell>
        </row>
        <row r="94">
          <cell r="E94" t="str">
            <v>(10000 cfm @ 3000 fpm)</v>
          </cell>
          <cell r="F94">
            <v>0</v>
          </cell>
          <cell r="G94">
            <v>0</v>
          </cell>
          <cell r="H94">
            <v>0</v>
          </cell>
          <cell r="I94">
            <v>0</v>
          </cell>
          <cell r="J94">
            <v>0</v>
          </cell>
          <cell r="K94">
            <v>0</v>
          </cell>
          <cell r="L94">
            <v>0</v>
          </cell>
          <cell r="P94">
            <v>0</v>
          </cell>
          <cell r="Q94">
            <v>0</v>
          </cell>
          <cell r="T94">
            <v>0</v>
          </cell>
          <cell r="V94" t="str">
            <v>Health/Odor</v>
          </cell>
          <cell r="W94">
            <v>0</v>
          </cell>
          <cell r="Y94">
            <v>0</v>
          </cell>
        </row>
        <row r="95">
          <cell r="E95">
            <v>221</v>
          </cell>
          <cell r="F95" t="str">
            <v>AD</v>
          </cell>
          <cell r="G95" t="str">
            <v>LEF-R-4,5</v>
          </cell>
          <cell r="H95">
            <v>10</v>
          </cell>
          <cell r="I95">
            <v>0.66666666666666663</v>
          </cell>
          <cell r="J95">
            <v>1</v>
          </cell>
          <cell r="K95" t="str">
            <v xml:space="preserve"> - Existing Rooftop AI</v>
          </cell>
          <cell r="L95" t="str">
            <v>No</v>
          </cell>
          <cell r="P95">
            <v>175</v>
          </cell>
          <cell r="Q95">
            <v>10.6</v>
          </cell>
          <cell r="T95">
            <v>321</v>
          </cell>
          <cell r="V95">
            <v>1500</v>
          </cell>
          <cell r="W95">
            <v>0</v>
          </cell>
          <cell r="Y95">
            <v>0</v>
          </cell>
        </row>
        <row r="96">
          <cell r="E96">
            <v>222</v>
          </cell>
          <cell r="F96" t="str">
            <v>AD</v>
          </cell>
          <cell r="G96" t="str">
            <v>LEF-R-4,5</v>
          </cell>
          <cell r="H96">
            <v>10</v>
          </cell>
          <cell r="I96">
            <v>0.66666666666666663</v>
          </cell>
          <cell r="J96">
            <v>3</v>
          </cell>
          <cell r="K96" t="str">
            <v xml:space="preserve"> - Existing Rooftop AI</v>
          </cell>
          <cell r="L96" t="str">
            <v>No</v>
          </cell>
          <cell r="P96">
            <v>165</v>
          </cell>
          <cell r="Q96">
            <v>10.6</v>
          </cell>
          <cell r="T96">
            <v>280</v>
          </cell>
          <cell r="V96">
            <v>1500</v>
          </cell>
          <cell r="W96">
            <v>0</v>
          </cell>
          <cell r="Y96">
            <v>0</v>
          </cell>
        </row>
        <row r="97">
          <cell r="E97">
            <v>223</v>
          </cell>
          <cell r="F97" t="str">
            <v>AD</v>
          </cell>
          <cell r="G97" t="str">
            <v>LEF-R-4,5</v>
          </cell>
          <cell r="H97">
            <v>10</v>
          </cell>
          <cell r="I97">
            <v>0.66666666666666663</v>
          </cell>
          <cell r="J97">
            <v>6</v>
          </cell>
          <cell r="K97" t="str">
            <v xml:space="preserve"> - Existing Rooftop AI</v>
          </cell>
          <cell r="L97" t="str">
            <v>No</v>
          </cell>
          <cell r="P97">
            <v>205</v>
          </cell>
          <cell r="Q97">
            <v>7.9</v>
          </cell>
          <cell r="T97">
            <v>492</v>
          </cell>
          <cell r="V97">
            <v>1500</v>
          </cell>
          <cell r="W97">
            <v>0</v>
          </cell>
          <cell r="Y97">
            <v>0</v>
          </cell>
        </row>
        <row r="98">
          <cell r="E98">
            <v>224</v>
          </cell>
          <cell r="F98" t="str">
            <v>AD</v>
          </cell>
          <cell r="G98" t="str">
            <v>LEF-R-4,5</v>
          </cell>
          <cell r="H98">
            <v>10</v>
          </cell>
          <cell r="I98">
            <v>0.66666666666666663</v>
          </cell>
          <cell r="J98">
            <v>13</v>
          </cell>
          <cell r="K98" t="str">
            <v xml:space="preserve"> - Existing Rooftop AI</v>
          </cell>
          <cell r="L98" t="str">
            <v>No</v>
          </cell>
          <cell r="P98">
            <v>5</v>
          </cell>
          <cell r="Q98">
            <v>14.3</v>
          </cell>
          <cell r="T98">
            <v>135</v>
          </cell>
          <cell r="V98">
            <v>1500</v>
          </cell>
          <cell r="W98">
            <v>0</v>
          </cell>
          <cell r="Y98">
            <v>0</v>
          </cell>
        </row>
        <row r="99">
          <cell r="E99">
            <v>0</v>
          </cell>
          <cell r="F99">
            <v>0</v>
          </cell>
          <cell r="G99">
            <v>0</v>
          </cell>
          <cell r="H99">
            <v>0</v>
          </cell>
          <cell r="I99">
            <v>0</v>
          </cell>
          <cell r="J99">
            <v>0</v>
          </cell>
          <cell r="K99">
            <v>0</v>
          </cell>
          <cell r="L99">
            <v>0</v>
          </cell>
          <cell r="P99">
            <v>0</v>
          </cell>
          <cell r="Q99">
            <v>0</v>
          </cell>
          <cell r="T99">
            <v>0</v>
          </cell>
          <cell r="V99">
            <v>0</v>
          </cell>
          <cell r="W99">
            <v>0</v>
          </cell>
          <cell r="Y99">
            <v>0</v>
          </cell>
        </row>
        <row r="100">
          <cell r="E100" t="str">
            <v>H2S Purge Exhaust</v>
          </cell>
          <cell r="F100">
            <v>0</v>
          </cell>
          <cell r="G100">
            <v>0</v>
          </cell>
          <cell r="H100">
            <v>0</v>
          </cell>
          <cell r="I100">
            <v>0</v>
          </cell>
          <cell r="J100">
            <v>0</v>
          </cell>
          <cell r="K100">
            <v>0</v>
          </cell>
          <cell r="L100">
            <v>0</v>
          </cell>
          <cell r="P100">
            <v>0</v>
          </cell>
          <cell r="Q100">
            <v>0</v>
          </cell>
          <cell r="T100">
            <v>0</v>
          </cell>
          <cell r="V100">
            <v>0</v>
          </cell>
          <cell r="W100">
            <v>0</v>
          </cell>
          <cell r="Y100">
            <v>0</v>
          </cell>
        </row>
        <row r="101">
          <cell r="E101" t="str">
            <v>exploratory tests</v>
          </cell>
          <cell r="F101">
            <v>0</v>
          </cell>
          <cell r="G101">
            <v>0</v>
          </cell>
          <cell r="H101">
            <v>0</v>
          </cell>
          <cell r="I101">
            <v>0</v>
          </cell>
          <cell r="J101">
            <v>0</v>
          </cell>
          <cell r="K101">
            <v>0</v>
          </cell>
          <cell r="L101">
            <v>0</v>
          </cell>
          <cell r="P101">
            <v>0</v>
          </cell>
          <cell r="Q101">
            <v>0</v>
          </cell>
          <cell r="T101">
            <v>0</v>
          </cell>
          <cell r="V101">
            <v>0</v>
          </cell>
          <cell r="W101">
            <v>0</v>
          </cell>
          <cell r="Y101">
            <v>0</v>
          </cell>
        </row>
        <row r="102">
          <cell r="E102" t="str">
            <v>Source Base Height:  32 ft (Main Roof)</v>
          </cell>
          <cell r="F102">
            <v>0</v>
          </cell>
          <cell r="G102">
            <v>0</v>
          </cell>
          <cell r="H102">
            <v>0</v>
          </cell>
          <cell r="I102">
            <v>0</v>
          </cell>
          <cell r="J102">
            <v>0</v>
          </cell>
          <cell r="K102">
            <v>0</v>
          </cell>
          <cell r="L102">
            <v>0</v>
          </cell>
          <cell r="P102">
            <v>0</v>
          </cell>
          <cell r="Q102">
            <v>0</v>
          </cell>
          <cell r="T102">
            <v>0</v>
          </cell>
          <cell r="V102" t="str">
            <v>H2S</v>
          </cell>
          <cell r="W102">
            <v>0</v>
          </cell>
          <cell r="Y102">
            <v>0</v>
          </cell>
        </row>
        <row r="103">
          <cell r="E103" t="str">
            <v>(3000 cfm @ 3000 fpm)</v>
          </cell>
          <cell r="F103">
            <v>0</v>
          </cell>
          <cell r="G103">
            <v>0</v>
          </cell>
          <cell r="H103">
            <v>0</v>
          </cell>
          <cell r="I103">
            <v>0</v>
          </cell>
          <cell r="J103">
            <v>0</v>
          </cell>
          <cell r="K103">
            <v>0</v>
          </cell>
          <cell r="L103">
            <v>0</v>
          </cell>
          <cell r="P103">
            <v>0</v>
          </cell>
          <cell r="Q103">
            <v>0</v>
          </cell>
          <cell r="T103">
            <v>0</v>
          </cell>
          <cell r="V103" t="str">
            <v>Health/Odor</v>
          </cell>
          <cell r="W103">
            <v>0</v>
          </cell>
          <cell r="Y103">
            <v>0</v>
          </cell>
        </row>
        <row r="104">
          <cell r="E104">
            <v>241</v>
          </cell>
          <cell r="F104" t="str">
            <v>AE</v>
          </cell>
          <cell r="G104" t="str">
            <v>LEF-R-6,7</v>
          </cell>
          <cell r="H104">
            <v>10</v>
          </cell>
          <cell r="I104">
            <v>0.66666666666666663</v>
          </cell>
          <cell r="J104">
            <v>2</v>
          </cell>
          <cell r="K104" t="str">
            <v xml:space="preserve"> - Existing Rooftop AI</v>
          </cell>
          <cell r="L104" t="str">
            <v>No</v>
          </cell>
          <cell r="P104">
            <v>185</v>
          </cell>
          <cell r="Q104">
            <v>4.4000000000000004</v>
          </cell>
          <cell r="T104">
            <v>681</v>
          </cell>
          <cell r="V104">
            <v>774.36946148602522</v>
          </cell>
          <cell r="W104">
            <v>0</v>
          </cell>
          <cell r="Y104">
            <v>0</v>
          </cell>
        </row>
        <row r="105">
          <cell r="E105">
            <v>242</v>
          </cell>
          <cell r="F105" t="str">
            <v>AE</v>
          </cell>
          <cell r="G105" t="str">
            <v>LEF-R-6,7</v>
          </cell>
          <cell r="H105">
            <v>10</v>
          </cell>
          <cell r="I105">
            <v>0.66666666666666663</v>
          </cell>
          <cell r="J105">
            <v>4</v>
          </cell>
          <cell r="K105" t="str">
            <v xml:space="preserve"> - Existing Rooftop AI</v>
          </cell>
          <cell r="L105" t="str">
            <v>No</v>
          </cell>
          <cell r="P105">
            <v>170</v>
          </cell>
          <cell r="Q105">
            <v>5.9</v>
          </cell>
          <cell r="T105">
            <v>584</v>
          </cell>
          <cell r="V105">
            <v>774.36946148602522</v>
          </cell>
          <cell r="W105">
            <v>0</v>
          </cell>
          <cell r="Y105">
            <v>0</v>
          </cell>
        </row>
        <row r="106">
          <cell r="E106">
            <v>243</v>
          </cell>
          <cell r="F106" t="str">
            <v>AE</v>
          </cell>
          <cell r="G106" t="str">
            <v>LEF-R-6,7</v>
          </cell>
          <cell r="H106">
            <v>10</v>
          </cell>
          <cell r="I106">
            <v>0.66666666666666663</v>
          </cell>
          <cell r="J106">
            <v>6</v>
          </cell>
          <cell r="K106" t="str">
            <v xml:space="preserve"> - Existing Rooftop AI</v>
          </cell>
          <cell r="L106" t="str">
            <v>No</v>
          </cell>
          <cell r="P106">
            <v>190</v>
          </cell>
          <cell r="Q106">
            <v>5.9</v>
          </cell>
          <cell r="T106">
            <v>769</v>
          </cell>
          <cell r="V106">
            <v>774.36946148602522</v>
          </cell>
          <cell r="W106">
            <v>0</v>
          </cell>
          <cell r="Y106">
            <v>0</v>
          </cell>
        </row>
        <row r="107">
          <cell r="E107">
            <v>244</v>
          </cell>
          <cell r="F107" t="str">
            <v>AE</v>
          </cell>
          <cell r="G107" t="str">
            <v>LEF-R-6,7</v>
          </cell>
          <cell r="H107">
            <v>10</v>
          </cell>
          <cell r="I107">
            <v>0.66666666666666663</v>
          </cell>
          <cell r="J107">
            <v>14</v>
          </cell>
          <cell r="K107" t="str">
            <v xml:space="preserve"> - Existing Rooftop AI</v>
          </cell>
          <cell r="L107" t="str">
            <v>No</v>
          </cell>
          <cell r="P107">
            <v>330</v>
          </cell>
          <cell r="Q107">
            <v>14.3</v>
          </cell>
          <cell r="T107">
            <v>553</v>
          </cell>
          <cell r="V107">
            <v>774.36946148602522</v>
          </cell>
          <cell r="W107">
            <v>0</v>
          </cell>
          <cell r="Y107">
            <v>0</v>
          </cell>
        </row>
        <row r="108">
          <cell r="E108">
            <v>0</v>
          </cell>
          <cell r="F108">
            <v>0</v>
          </cell>
          <cell r="G108">
            <v>0</v>
          </cell>
          <cell r="H108">
            <v>0</v>
          </cell>
          <cell r="I108">
            <v>0</v>
          </cell>
          <cell r="J108">
            <v>0</v>
          </cell>
          <cell r="K108">
            <v>0</v>
          </cell>
          <cell r="L108">
            <v>0</v>
          </cell>
          <cell r="P108">
            <v>0</v>
          </cell>
          <cell r="Q108">
            <v>0</v>
          </cell>
          <cell r="T108">
            <v>0</v>
          </cell>
          <cell r="V108">
            <v>0</v>
          </cell>
          <cell r="W108">
            <v>0</v>
          </cell>
          <cell r="Y108">
            <v>0</v>
          </cell>
        </row>
        <row r="109">
          <cell r="E109" t="str">
            <v>Large Gas Storage Exhaust</v>
          </cell>
          <cell r="F109">
            <v>0</v>
          </cell>
          <cell r="G109">
            <v>0</v>
          </cell>
          <cell r="H109">
            <v>0</v>
          </cell>
          <cell r="I109">
            <v>0</v>
          </cell>
          <cell r="J109">
            <v>0</v>
          </cell>
          <cell r="K109">
            <v>0</v>
          </cell>
          <cell r="L109">
            <v>0</v>
          </cell>
          <cell r="P109">
            <v>0</v>
          </cell>
          <cell r="Q109">
            <v>0</v>
          </cell>
          <cell r="T109">
            <v>0</v>
          </cell>
          <cell r="V109">
            <v>0</v>
          </cell>
          <cell r="W109">
            <v>0</v>
          </cell>
          <cell r="Y109">
            <v>0</v>
          </cell>
        </row>
        <row r="110">
          <cell r="E110" t="str">
            <v>exploratory tests</v>
          </cell>
          <cell r="F110">
            <v>0</v>
          </cell>
          <cell r="G110">
            <v>0</v>
          </cell>
          <cell r="H110">
            <v>0</v>
          </cell>
          <cell r="I110">
            <v>0</v>
          </cell>
          <cell r="J110">
            <v>0</v>
          </cell>
          <cell r="K110">
            <v>0</v>
          </cell>
          <cell r="L110">
            <v>0</v>
          </cell>
          <cell r="P110">
            <v>0</v>
          </cell>
          <cell r="Q110">
            <v>0</v>
          </cell>
          <cell r="T110">
            <v>0</v>
          </cell>
          <cell r="V110">
            <v>0</v>
          </cell>
          <cell r="W110">
            <v>0</v>
          </cell>
          <cell r="Y110">
            <v>0</v>
          </cell>
        </row>
        <row r="111">
          <cell r="E111" t="str">
            <v>Source Base Height:  32 ft (Main Roof)</v>
          </cell>
          <cell r="F111">
            <v>0</v>
          </cell>
          <cell r="G111">
            <v>0</v>
          </cell>
          <cell r="H111">
            <v>0</v>
          </cell>
          <cell r="I111">
            <v>0</v>
          </cell>
          <cell r="J111">
            <v>0</v>
          </cell>
          <cell r="K111">
            <v>0</v>
          </cell>
          <cell r="L111">
            <v>0</v>
          </cell>
          <cell r="P111">
            <v>0</v>
          </cell>
          <cell r="Q111">
            <v>0</v>
          </cell>
          <cell r="T111">
            <v>0</v>
          </cell>
          <cell r="V111">
            <v>0</v>
          </cell>
          <cell r="W111">
            <v>0</v>
          </cell>
          <cell r="Y111">
            <v>0</v>
          </cell>
        </row>
        <row r="112">
          <cell r="E112" t="str">
            <v>(2090 cfm @ 550 fpm)</v>
          </cell>
          <cell r="F112">
            <v>0</v>
          </cell>
          <cell r="G112">
            <v>0</v>
          </cell>
          <cell r="H112">
            <v>0</v>
          </cell>
          <cell r="I112">
            <v>0</v>
          </cell>
          <cell r="J112">
            <v>0</v>
          </cell>
          <cell r="K112">
            <v>0</v>
          </cell>
          <cell r="L112">
            <v>0</v>
          </cell>
          <cell r="P112">
            <v>0</v>
          </cell>
          <cell r="Q112">
            <v>0</v>
          </cell>
          <cell r="T112">
            <v>0</v>
          </cell>
          <cell r="V112" t="str">
            <v>Health/Odor</v>
          </cell>
          <cell r="W112">
            <v>0</v>
          </cell>
          <cell r="Y112">
            <v>0</v>
          </cell>
        </row>
        <row r="113">
          <cell r="E113">
            <v>261</v>
          </cell>
          <cell r="F113" t="str">
            <v>AF</v>
          </cell>
          <cell r="G113" t="str">
            <v>GEF-R-1</v>
          </cell>
          <cell r="H113">
            <v>2.3854166666666665</v>
          </cell>
          <cell r="I113">
            <v>0.15902777777777777</v>
          </cell>
          <cell r="J113">
            <v>4</v>
          </cell>
          <cell r="K113" t="str">
            <v xml:space="preserve"> - Existing Rooftop AI</v>
          </cell>
          <cell r="L113" t="str">
            <v>No</v>
          </cell>
          <cell r="P113">
            <v>145</v>
          </cell>
          <cell r="Q113">
            <v>1.8</v>
          </cell>
          <cell r="T113">
            <v>4551</v>
          </cell>
          <cell r="V113">
            <v>20260.795406698559</v>
          </cell>
          <cell r="W113">
            <v>0</v>
          </cell>
          <cell r="Y113">
            <v>0</v>
          </cell>
        </row>
        <row r="114">
          <cell r="E114">
            <v>262</v>
          </cell>
          <cell r="F114" t="str">
            <v>AF</v>
          </cell>
          <cell r="G114" t="str">
            <v>GEF-R-1</v>
          </cell>
          <cell r="H114">
            <v>2.3854166666666665</v>
          </cell>
          <cell r="I114">
            <v>0.15902777777777777</v>
          </cell>
          <cell r="J114">
            <v>6</v>
          </cell>
          <cell r="K114" t="str">
            <v xml:space="preserve"> - Existing Rooftop AI</v>
          </cell>
          <cell r="L114" t="str">
            <v>No</v>
          </cell>
          <cell r="P114">
            <v>175</v>
          </cell>
          <cell r="Q114">
            <v>1.8</v>
          </cell>
          <cell r="T114">
            <v>3736</v>
          </cell>
          <cell r="V114">
            <v>20260.795406698559</v>
          </cell>
          <cell r="W114">
            <v>0</v>
          </cell>
          <cell r="Y114">
            <v>0</v>
          </cell>
        </row>
        <row r="115">
          <cell r="E115">
            <v>263</v>
          </cell>
          <cell r="F115" t="str">
            <v>AF</v>
          </cell>
          <cell r="G115" t="str">
            <v>GEF-R-1</v>
          </cell>
          <cell r="H115">
            <v>2.3854166666666665</v>
          </cell>
          <cell r="I115">
            <v>0.15902777777777777</v>
          </cell>
          <cell r="J115">
            <v>16</v>
          </cell>
          <cell r="K115" t="str">
            <v xml:space="preserve"> - Existing Rooftop AI</v>
          </cell>
          <cell r="L115" t="str">
            <v>No</v>
          </cell>
          <cell r="P115">
            <v>95</v>
          </cell>
          <cell r="Q115">
            <v>1.8</v>
          </cell>
          <cell r="T115">
            <v>8615</v>
          </cell>
          <cell r="V115">
            <v>20260.795406698559</v>
          </cell>
          <cell r="W115">
            <v>0</v>
          </cell>
          <cell r="Y115">
            <v>0</v>
          </cell>
        </row>
        <row r="116">
          <cell r="E116">
            <v>0</v>
          </cell>
          <cell r="F116">
            <v>0</v>
          </cell>
          <cell r="G116">
            <v>0</v>
          </cell>
          <cell r="H116">
            <v>0</v>
          </cell>
          <cell r="I116">
            <v>0</v>
          </cell>
          <cell r="J116">
            <v>0</v>
          </cell>
          <cell r="K116">
            <v>0</v>
          </cell>
          <cell r="L116">
            <v>0</v>
          </cell>
          <cell r="P116">
            <v>0</v>
          </cell>
          <cell r="Q116">
            <v>0</v>
          </cell>
          <cell r="T116">
            <v>0</v>
          </cell>
          <cell r="V116">
            <v>0</v>
          </cell>
          <cell r="W116">
            <v>0</v>
          </cell>
          <cell r="Y116">
            <v>0</v>
          </cell>
        </row>
        <row r="117">
          <cell r="E117" t="str">
            <v>Small Gas Storage Exhaust</v>
          </cell>
          <cell r="F117">
            <v>0</v>
          </cell>
          <cell r="G117">
            <v>0</v>
          </cell>
          <cell r="H117">
            <v>0</v>
          </cell>
          <cell r="I117">
            <v>0</v>
          </cell>
          <cell r="J117">
            <v>0</v>
          </cell>
          <cell r="K117">
            <v>0</v>
          </cell>
          <cell r="L117">
            <v>0</v>
          </cell>
          <cell r="P117">
            <v>0</v>
          </cell>
          <cell r="Q117">
            <v>0</v>
          </cell>
          <cell r="T117">
            <v>0</v>
          </cell>
          <cell r="V117">
            <v>0</v>
          </cell>
          <cell r="W117">
            <v>0</v>
          </cell>
          <cell r="Y117">
            <v>0</v>
          </cell>
        </row>
        <row r="118">
          <cell r="E118" t="str">
            <v>exploratory tests</v>
          </cell>
          <cell r="F118">
            <v>0</v>
          </cell>
          <cell r="G118">
            <v>0</v>
          </cell>
          <cell r="H118">
            <v>0</v>
          </cell>
          <cell r="I118">
            <v>0</v>
          </cell>
          <cell r="J118">
            <v>0</v>
          </cell>
          <cell r="K118">
            <v>0</v>
          </cell>
          <cell r="L118">
            <v>0</v>
          </cell>
          <cell r="P118">
            <v>0</v>
          </cell>
          <cell r="Q118">
            <v>0</v>
          </cell>
          <cell r="T118">
            <v>0</v>
          </cell>
          <cell r="V118">
            <v>0</v>
          </cell>
          <cell r="W118">
            <v>0</v>
          </cell>
          <cell r="Y118">
            <v>0</v>
          </cell>
        </row>
        <row r="119">
          <cell r="E119" t="str">
            <v>Source Base Height:  32 ft (Main Roof)</v>
          </cell>
          <cell r="F119">
            <v>0</v>
          </cell>
          <cell r="G119">
            <v>0</v>
          </cell>
          <cell r="H119">
            <v>0</v>
          </cell>
          <cell r="I119">
            <v>0</v>
          </cell>
          <cell r="J119">
            <v>0</v>
          </cell>
          <cell r="K119">
            <v>0</v>
          </cell>
          <cell r="L119">
            <v>0</v>
          </cell>
          <cell r="P119">
            <v>0</v>
          </cell>
          <cell r="Q119">
            <v>0</v>
          </cell>
          <cell r="T119">
            <v>0</v>
          </cell>
          <cell r="V119">
            <v>0</v>
          </cell>
          <cell r="W119">
            <v>0</v>
          </cell>
          <cell r="Y119">
            <v>0</v>
          </cell>
        </row>
        <row r="120">
          <cell r="E120" t="str">
            <v>(380 cfm @ 253 fpm)</v>
          </cell>
          <cell r="F120">
            <v>0</v>
          </cell>
          <cell r="G120">
            <v>0</v>
          </cell>
          <cell r="H120">
            <v>0</v>
          </cell>
          <cell r="I120">
            <v>0</v>
          </cell>
          <cell r="J120">
            <v>0</v>
          </cell>
          <cell r="K120">
            <v>0</v>
          </cell>
          <cell r="L120">
            <v>0</v>
          </cell>
          <cell r="P120">
            <v>0</v>
          </cell>
          <cell r="Q120">
            <v>0</v>
          </cell>
          <cell r="T120">
            <v>0</v>
          </cell>
          <cell r="V120" t="str">
            <v>Flammability</v>
          </cell>
          <cell r="W120">
            <v>0</v>
          </cell>
          <cell r="Y120">
            <v>0</v>
          </cell>
        </row>
        <row r="121">
          <cell r="E121">
            <v>281</v>
          </cell>
          <cell r="F121" t="str">
            <v>AG</v>
          </cell>
          <cell r="G121" t="str">
            <v>GEF-R-2</v>
          </cell>
          <cell r="H121">
            <v>1.3645833333333333</v>
          </cell>
          <cell r="I121">
            <v>9.0972222222222218E-2</v>
          </cell>
          <cell r="J121">
            <v>6</v>
          </cell>
          <cell r="K121" t="str">
            <v xml:space="preserve"> - Existing Rooftop AI</v>
          </cell>
          <cell r="L121" t="str">
            <v>No</v>
          </cell>
          <cell r="P121">
            <v>185</v>
          </cell>
          <cell r="Q121">
            <v>1</v>
          </cell>
          <cell r="T121">
            <v>3840</v>
          </cell>
          <cell r="V121">
            <v>221077.78829671594</v>
          </cell>
          <cell r="W121">
            <v>0</v>
          </cell>
          <cell r="Y121">
            <v>0</v>
          </cell>
        </row>
        <row r="122">
          <cell r="E122">
            <v>282</v>
          </cell>
          <cell r="F122" t="str">
            <v>AG</v>
          </cell>
          <cell r="G122" t="str">
            <v>GEF-R-2</v>
          </cell>
          <cell r="H122">
            <v>1.3645833333333333</v>
          </cell>
          <cell r="I122">
            <v>9.0972222222222218E-2</v>
          </cell>
          <cell r="J122">
            <v>16</v>
          </cell>
          <cell r="K122" t="str">
            <v xml:space="preserve"> - Existing Rooftop AI</v>
          </cell>
          <cell r="L122" t="str">
            <v>No</v>
          </cell>
          <cell r="P122">
            <v>170</v>
          </cell>
          <cell r="Q122">
            <v>1</v>
          </cell>
          <cell r="T122">
            <v>9918</v>
          </cell>
          <cell r="V122">
            <v>221077.78829671594</v>
          </cell>
          <cell r="W122">
            <v>0</v>
          </cell>
          <cell r="Y122">
            <v>0</v>
          </cell>
        </row>
        <row r="123">
          <cell r="E123">
            <v>283</v>
          </cell>
          <cell r="F123" t="str">
            <v>AG</v>
          </cell>
          <cell r="G123" t="str">
            <v>GEF-R-2</v>
          </cell>
          <cell r="H123">
            <v>1.3645833333333333</v>
          </cell>
          <cell r="I123">
            <v>9.0972222222222218E-2</v>
          </cell>
          <cell r="J123">
            <v>18</v>
          </cell>
          <cell r="K123" t="str">
            <v xml:space="preserve"> - Existing Rooftop AI</v>
          </cell>
          <cell r="L123" t="str">
            <v>No</v>
          </cell>
          <cell r="P123">
            <v>175</v>
          </cell>
          <cell r="Q123">
            <v>1</v>
          </cell>
          <cell r="T123">
            <v>5846</v>
          </cell>
          <cell r="V123">
            <v>221077.78829671594</v>
          </cell>
          <cell r="W123">
            <v>0</v>
          </cell>
          <cell r="Y123">
            <v>0</v>
          </cell>
        </row>
        <row r="124">
          <cell r="E124">
            <v>284</v>
          </cell>
          <cell r="F124" t="str">
            <v>AG</v>
          </cell>
          <cell r="G124" t="str">
            <v>GEF-R-2</v>
          </cell>
          <cell r="H124">
            <v>1.3645833333333333</v>
          </cell>
          <cell r="I124">
            <v>9.0972222222222218E-2</v>
          </cell>
          <cell r="J124">
            <v>13</v>
          </cell>
          <cell r="K124" t="str">
            <v xml:space="preserve"> - Existing Rooftop AI</v>
          </cell>
          <cell r="L124" t="str">
            <v>No</v>
          </cell>
          <cell r="P124">
            <v>105</v>
          </cell>
          <cell r="Q124">
            <v>1</v>
          </cell>
          <cell r="T124">
            <v>3293</v>
          </cell>
          <cell r="V124">
            <v>221077.78829671594</v>
          </cell>
          <cell r="W124">
            <v>0</v>
          </cell>
          <cell r="Y124">
            <v>0</v>
          </cell>
        </row>
        <row r="125">
          <cell r="E125">
            <v>0</v>
          </cell>
          <cell r="F125">
            <v>0</v>
          </cell>
          <cell r="G125">
            <v>0</v>
          </cell>
          <cell r="H125">
            <v>0</v>
          </cell>
          <cell r="I125">
            <v>0</v>
          </cell>
          <cell r="J125">
            <v>0</v>
          </cell>
          <cell r="K125">
            <v>0</v>
          </cell>
          <cell r="L125">
            <v>0</v>
          </cell>
          <cell r="P125">
            <v>0</v>
          </cell>
          <cell r="Q125">
            <v>0</v>
          </cell>
          <cell r="T125">
            <v>0</v>
          </cell>
          <cell r="V125">
            <v>0</v>
          </cell>
          <cell r="W125">
            <v>0</v>
          </cell>
          <cell r="Y125">
            <v>0</v>
          </cell>
        </row>
        <row r="126">
          <cell r="E126" t="str">
            <v>Existing Sources</v>
          </cell>
          <cell r="F126">
            <v>0</v>
          </cell>
          <cell r="G126">
            <v>0</v>
          </cell>
          <cell r="H126">
            <v>0</v>
          </cell>
          <cell r="I126">
            <v>0</v>
          </cell>
          <cell r="J126">
            <v>0</v>
          </cell>
          <cell r="K126">
            <v>0</v>
          </cell>
          <cell r="L126">
            <v>0</v>
          </cell>
          <cell r="P126">
            <v>0</v>
          </cell>
          <cell r="Q126">
            <v>0</v>
          </cell>
          <cell r="T126">
            <v>0</v>
          </cell>
          <cell r="V126">
            <v>0</v>
          </cell>
          <cell r="W126">
            <v>0</v>
          </cell>
          <cell r="Y126">
            <v>0</v>
          </cell>
        </row>
        <row r="127">
          <cell r="E127" t="str">
            <v>Laboratory Exhaust</v>
          </cell>
          <cell r="F127">
            <v>0</v>
          </cell>
          <cell r="G127">
            <v>0</v>
          </cell>
          <cell r="H127">
            <v>0</v>
          </cell>
          <cell r="I127">
            <v>0</v>
          </cell>
          <cell r="J127">
            <v>0</v>
          </cell>
          <cell r="K127">
            <v>0</v>
          </cell>
          <cell r="L127">
            <v>0</v>
          </cell>
          <cell r="P127">
            <v>0</v>
          </cell>
          <cell r="Q127">
            <v>0</v>
          </cell>
          <cell r="T127">
            <v>0</v>
          </cell>
          <cell r="V127">
            <v>0</v>
          </cell>
          <cell r="W127">
            <v>0</v>
          </cell>
          <cell r="Y127">
            <v>0</v>
          </cell>
        </row>
        <row r="128">
          <cell r="E128" t="str">
            <v>Exploratory tests</v>
          </cell>
          <cell r="F128">
            <v>0</v>
          </cell>
          <cell r="G128">
            <v>0</v>
          </cell>
          <cell r="H128">
            <v>0</v>
          </cell>
          <cell r="I128">
            <v>0</v>
          </cell>
          <cell r="J128">
            <v>0</v>
          </cell>
          <cell r="K128">
            <v>0</v>
          </cell>
          <cell r="L128">
            <v>0</v>
          </cell>
          <cell r="P128">
            <v>0</v>
          </cell>
          <cell r="Q128">
            <v>0</v>
          </cell>
          <cell r="T128">
            <v>0</v>
          </cell>
          <cell r="V128">
            <v>0</v>
          </cell>
          <cell r="W128">
            <v>0</v>
          </cell>
          <cell r="Y128">
            <v>0</v>
          </cell>
        </row>
        <row r="129">
          <cell r="E129" t="str">
            <v>Source Base Height:  32 ft (Main Roof)</v>
          </cell>
          <cell r="F129">
            <v>0</v>
          </cell>
          <cell r="G129">
            <v>0</v>
          </cell>
          <cell r="H129">
            <v>0</v>
          </cell>
          <cell r="I129">
            <v>0</v>
          </cell>
          <cell r="J129">
            <v>0</v>
          </cell>
          <cell r="K129">
            <v>0</v>
          </cell>
          <cell r="L129">
            <v>0</v>
          </cell>
          <cell r="P129">
            <v>0</v>
          </cell>
          <cell r="Q129">
            <v>0</v>
          </cell>
          <cell r="T129">
            <v>0</v>
          </cell>
          <cell r="V129">
            <v>0</v>
          </cell>
          <cell r="W129">
            <v>0</v>
          </cell>
          <cell r="Y129">
            <v>0</v>
          </cell>
        </row>
        <row r="130">
          <cell r="E130" t="str">
            <v>(11600 cfm @ 2363 fpm)</v>
          </cell>
          <cell r="F130">
            <v>0</v>
          </cell>
          <cell r="G130">
            <v>0</v>
          </cell>
          <cell r="H130">
            <v>0</v>
          </cell>
          <cell r="I130">
            <v>0</v>
          </cell>
          <cell r="J130">
            <v>0</v>
          </cell>
          <cell r="K130">
            <v>0</v>
          </cell>
          <cell r="L130">
            <v>0</v>
          </cell>
          <cell r="P130">
            <v>0</v>
          </cell>
          <cell r="Q130">
            <v>0</v>
          </cell>
          <cell r="T130">
            <v>0</v>
          </cell>
          <cell r="V130" t="str">
            <v>ASHRAE</v>
          </cell>
          <cell r="W130" t="str">
            <v>"as mfg"</v>
          </cell>
          <cell r="Y130">
            <v>0</v>
          </cell>
        </row>
        <row r="131">
          <cell r="E131">
            <v>301</v>
          </cell>
          <cell r="F131" t="str">
            <v>BA</v>
          </cell>
          <cell r="G131" t="str">
            <v>LEF-1A,B</v>
          </cell>
          <cell r="H131">
            <v>12</v>
          </cell>
          <cell r="I131">
            <v>0.8</v>
          </cell>
          <cell r="J131">
            <v>5</v>
          </cell>
          <cell r="K131" t="str">
            <v xml:space="preserve"> - Existing Rooftop AI</v>
          </cell>
          <cell r="L131" t="str">
            <v>No</v>
          </cell>
          <cell r="P131">
            <v>355</v>
          </cell>
          <cell r="Q131">
            <v>10.6</v>
          </cell>
          <cell r="T131">
            <v>431</v>
          </cell>
          <cell r="V131">
            <v>400</v>
          </cell>
          <cell r="W131">
            <v>750</v>
          </cell>
          <cell r="Y131">
            <v>0</v>
          </cell>
        </row>
        <row r="132">
          <cell r="E132">
            <v>302</v>
          </cell>
          <cell r="F132" t="str">
            <v>BA</v>
          </cell>
          <cell r="G132" t="str">
            <v>LEF-1A,B</v>
          </cell>
          <cell r="H132">
            <v>12</v>
          </cell>
          <cell r="I132">
            <v>0.8</v>
          </cell>
          <cell r="J132">
            <v>9</v>
          </cell>
          <cell r="K132" t="str">
            <v xml:space="preserve"> - AHU-3</v>
          </cell>
          <cell r="L132" t="str">
            <v>No</v>
          </cell>
          <cell r="P132">
            <v>325</v>
          </cell>
          <cell r="Q132">
            <v>10.6</v>
          </cell>
          <cell r="T132">
            <v>16</v>
          </cell>
          <cell r="V132">
            <v>400</v>
          </cell>
          <cell r="W132">
            <v>750</v>
          </cell>
          <cell r="Y132">
            <v>0</v>
          </cell>
        </row>
        <row r="133">
          <cell r="E133">
            <v>303</v>
          </cell>
          <cell r="F133" t="str">
            <v>BA</v>
          </cell>
          <cell r="G133" t="str">
            <v>LEF-1A,B</v>
          </cell>
          <cell r="H133">
            <v>12</v>
          </cell>
          <cell r="I133">
            <v>0.8</v>
          </cell>
          <cell r="J133">
            <v>14</v>
          </cell>
          <cell r="K133" t="str">
            <v xml:space="preserve"> - Existing Rooftop AI</v>
          </cell>
          <cell r="L133" t="str">
            <v>No</v>
          </cell>
          <cell r="P133">
            <v>0</v>
          </cell>
          <cell r="Q133">
            <v>7.9</v>
          </cell>
          <cell r="T133">
            <v>418</v>
          </cell>
          <cell r="V133">
            <v>400</v>
          </cell>
          <cell r="W133">
            <v>750</v>
          </cell>
          <cell r="Y133">
            <v>0</v>
          </cell>
        </row>
        <row r="134">
          <cell r="E134">
            <v>304</v>
          </cell>
          <cell r="F134" t="str">
            <v>BA</v>
          </cell>
          <cell r="G134" t="str">
            <v>LEF-1A,B</v>
          </cell>
          <cell r="H134">
            <v>12</v>
          </cell>
          <cell r="I134">
            <v>0.8</v>
          </cell>
          <cell r="J134">
            <v>17</v>
          </cell>
          <cell r="K134" t="str">
            <v xml:space="preserve"> - Existing Rooftop AI</v>
          </cell>
          <cell r="L134" t="str">
            <v>No</v>
          </cell>
          <cell r="P134">
            <v>0</v>
          </cell>
          <cell r="Q134">
            <v>7.9</v>
          </cell>
          <cell r="T134">
            <v>496</v>
          </cell>
          <cell r="V134">
            <v>400</v>
          </cell>
          <cell r="W134">
            <v>750</v>
          </cell>
          <cell r="Y134">
            <v>0</v>
          </cell>
        </row>
        <row r="135">
          <cell r="E135">
            <v>305</v>
          </cell>
          <cell r="F135" t="str">
            <v>BA</v>
          </cell>
          <cell r="G135" t="str">
            <v>LEF-1A,B</v>
          </cell>
          <cell r="H135">
            <v>12</v>
          </cell>
          <cell r="I135">
            <v>0.8</v>
          </cell>
          <cell r="J135">
            <v>18</v>
          </cell>
          <cell r="K135" t="str">
            <v xml:space="preserve"> - Existing Rooftop AI</v>
          </cell>
          <cell r="L135" t="str">
            <v>No</v>
          </cell>
          <cell r="P135">
            <v>20</v>
          </cell>
          <cell r="Q135">
            <v>10.6</v>
          </cell>
          <cell r="T135">
            <v>359</v>
          </cell>
          <cell r="V135">
            <v>400</v>
          </cell>
          <cell r="W135">
            <v>750</v>
          </cell>
          <cell r="Y135">
            <v>0</v>
          </cell>
        </row>
        <row r="136">
          <cell r="E136">
            <v>0</v>
          </cell>
          <cell r="F136">
            <v>0</v>
          </cell>
          <cell r="G136">
            <v>0</v>
          </cell>
          <cell r="H136">
            <v>0</v>
          </cell>
          <cell r="I136">
            <v>0</v>
          </cell>
          <cell r="J136">
            <v>0</v>
          </cell>
          <cell r="K136">
            <v>0</v>
          </cell>
          <cell r="L136">
            <v>0</v>
          </cell>
          <cell r="P136">
            <v>0</v>
          </cell>
          <cell r="Q136">
            <v>0</v>
          </cell>
          <cell r="T136">
            <v>0</v>
          </cell>
          <cell r="V136">
            <v>0</v>
          </cell>
          <cell r="W136">
            <v>0</v>
          </cell>
          <cell r="Y136">
            <v>0</v>
          </cell>
        </row>
        <row r="137">
          <cell r="E137" t="str">
            <v>Laboratory Exhaust</v>
          </cell>
          <cell r="F137">
            <v>0</v>
          </cell>
          <cell r="G137">
            <v>0</v>
          </cell>
          <cell r="H137">
            <v>0</v>
          </cell>
          <cell r="I137">
            <v>0</v>
          </cell>
          <cell r="J137">
            <v>0</v>
          </cell>
          <cell r="K137">
            <v>0</v>
          </cell>
          <cell r="L137">
            <v>0</v>
          </cell>
          <cell r="P137">
            <v>0</v>
          </cell>
          <cell r="Q137">
            <v>0</v>
          </cell>
          <cell r="T137">
            <v>0</v>
          </cell>
          <cell r="V137">
            <v>0</v>
          </cell>
          <cell r="W137">
            <v>0</v>
          </cell>
          <cell r="Y137">
            <v>0</v>
          </cell>
        </row>
        <row r="138">
          <cell r="E138" t="str">
            <v>Source Base Height:  32 ft (Main Roof)</v>
          </cell>
          <cell r="F138">
            <v>0</v>
          </cell>
          <cell r="G138">
            <v>0</v>
          </cell>
          <cell r="H138">
            <v>0</v>
          </cell>
          <cell r="I138">
            <v>0</v>
          </cell>
          <cell r="J138">
            <v>0</v>
          </cell>
          <cell r="K138">
            <v>0</v>
          </cell>
          <cell r="L138">
            <v>0</v>
          </cell>
          <cell r="P138">
            <v>0</v>
          </cell>
          <cell r="Q138">
            <v>0</v>
          </cell>
          <cell r="T138">
            <v>0</v>
          </cell>
          <cell r="V138">
            <v>0</v>
          </cell>
          <cell r="W138">
            <v>0</v>
          </cell>
          <cell r="Y138">
            <v>0</v>
          </cell>
        </row>
        <row r="139">
          <cell r="E139" t="str">
            <v>(1113 cfm @ 2519 fpm)</v>
          </cell>
          <cell r="F139">
            <v>0</v>
          </cell>
          <cell r="G139">
            <v>0</v>
          </cell>
          <cell r="H139">
            <v>0</v>
          </cell>
          <cell r="I139">
            <v>0</v>
          </cell>
          <cell r="J139">
            <v>0</v>
          </cell>
          <cell r="K139">
            <v>0</v>
          </cell>
          <cell r="L139">
            <v>0</v>
          </cell>
          <cell r="P139">
            <v>0</v>
          </cell>
          <cell r="Q139">
            <v>0</v>
          </cell>
          <cell r="T139">
            <v>0</v>
          </cell>
          <cell r="V139" t="str">
            <v>ASHRAE</v>
          </cell>
          <cell r="W139" t="str">
            <v>"as mfg"</v>
          </cell>
          <cell r="Y139">
            <v>0</v>
          </cell>
        </row>
        <row r="140">
          <cell r="E140">
            <v>321</v>
          </cell>
          <cell r="F140" t="str">
            <v>BB</v>
          </cell>
          <cell r="G140" t="str">
            <v>LEF-2</v>
          </cell>
          <cell r="H140">
            <v>10</v>
          </cell>
          <cell r="I140">
            <v>0.66666666666666663</v>
          </cell>
          <cell r="J140">
            <v>2</v>
          </cell>
          <cell r="K140" t="str">
            <v xml:space="preserve"> - Existing Rooftop AI</v>
          </cell>
          <cell r="L140" t="str">
            <v>No</v>
          </cell>
          <cell r="P140">
            <v>260</v>
          </cell>
          <cell r="Q140">
            <v>2.4</v>
          </cell>
          <cell r="T140">
            <v>2846</v>
          </cell>
          <cell r="V140">
            <v>400</v>
          </cell>
          <cell r="W140">
            <v>750</v>
          </cell>
          <cell r="Y140">
            <v>0</v>
          </cell>
        </row>
        <row r="141">
          <cell r="E141">
            <v>322</v>
          </cell>
          <cell r="F141" t="str">
            <v>BB</v>
          </cell>
          <cell r="G141" t="str">
            <v>LEF-2</v>
          </cell>
          <cell r="H141">
            <v>10</v>
          </cell>
          <cell r="I141">
            <v>0.66666666666666663</v>
          </cell>
          <cell r="J141">
            <v>4</v>
          </cell>
          <cell r="K141" t="str">
            <v xml:space="preserve"> - Existing Rooftop AI</v>
          </cell>
          <cell r="L141" t="str">
            <v>No</v>
          </cell>
          <cell r="P141">
            <v>340</v>
          </cell>
          <cell r="Q141">
            <v>4.4000000000000004</v>
          </cell>
          <cell r="T141">
            <v>1636</v>
          </cell>
          <cell r="V141">
            <v>400</v>
          </cell>
          <cell r="W141">
            <v>750</v>
          </cell>
          <cell r="Y141">
            <v>0</v>
          </cell>
        </row>
        <row r="142">
          <cell r="E142">
            <v>323</v>
          </cell>
          <cell r="F142" t="str">
            <v>BB</v>
          </cell>
          <cell r="G142" t="str">
            <v>LEF-2</v>
          </cell>
          <cell r="H142">
            <v>10</v>
          </cell>
          <cell r="I142">
            <v>0.66666666666666663</v>
          </cell>
          <cell r="J142">
            <v>13</v>
          </cell>
          <cell r="K142" t="str">
            <v xml:space="preserve"> - Existing Rooftop AI</v>
          </cell>
          <cell r="L142" t="str">
            <v>No</v>
          </cell>
          <cell r="P142">
            <v>355</v>
          </cell>
          <cell r="Q142">
            <v>1.8</v>
          </cell>
          <cell r="T142">
            <v>1368</v>
          </cell>
          <cell r="V142">
            <v>400</v>
          </cell>
          <cell r="W142">
            <v>750</v>
          </cell>
          <cell r="Y142">
            <v>0</v>
          </cell>
        </row>
        <row r="143">
          <cell r="E143">
            <v>324</v>
          </cell>
          <cell r="F143" t="str">
            <v>BB</v>
          </cell>
          <cell r="G143" t="str">
            <v>LEF-2</v>
          </cell>
          <cell r="H143">
            <v>10</v>
          </cell>
          <cell r="I143">
            <v>0.66666666666666663</v>
          </cell>
          <cell r="J143">
            <v>16</v>
          </cell>
          <cell r="K143" t="str">
            <v xml:space="preserve"> - Existing Rooftop AI</v>
          </cell>
          <cell r="L143" t="str">
            <v>No</v>
          </cell>
          <cell r="P143">
            <v>355</v>
          </cell>
          <cell r="Q143">
            <v>1.8</v>
          </cell>
          <cell r="T143">
            <v>1075</v>
          </cell>
          <cell r="V143">
            <v>400</v>
          </cell>
          <cell r="W143">
            <v>750</v>
          </cell>
          <cell r="Y143">
            <v>0</v>
          </cell>
        </row>
        <row r="144">
          <cell r="E144">
            <v>0</v>
          </cell>
          <cell r="F144">
            <v>0</v>
          </cell>
          <cell r="G144">
            <v>0</v>
          </cell>
          <cell r="H144">
            <v>0</v>
          </cell>
          <cell r="I144">
            <v>0</v>
          </cell>
          <cell r="J144">
            <v>0</v>
          </cell>
          <cell r="K144">
            <v>0</v>
          </cell>
          <cell r="L144">
            <v>0</v>
          </cell>
          <cell r="P144">
            <v>0</v>
          </cell>
          <cell r="Q144">
            <v>0</v>
          </cell>
          <cell r="T144">
            <v>0</v>
          </cell>
          <cell r="V144">
            <v>0</v>
          </cell>
          <cell r="W144">
            <v>0</v>
          </cell>
          <cell r="Y144">
            <v>0</v>
          </cell>
        </row>
        <row r="145">
          <cell r="E145" t="str">
            <v>Laboratory Exhaust</v>
          </cell>
          <cell r="F145">
            <v>0</v>
          </cell>
          <cell r="G145">
            <v>0</v>
          </cell>
          <cell r="H145">
            <v>0</v>
          </cell>
          <cell r="I145">
            <v>0</v>
          </cell>
          <cell r="J145">
            <v>0</v>
          </cell>
          <cell r="K145">
            <v>0</v>
          </cell>
          <cell r="L145">
            <v>0</v>
          </cell>
          <cell r="P145">
            <v>0</v>
          </cell>
          <cell r="Q145">
            <v>0</v>
          </cell>
          <cell r="T145">
            <v>0</v>
          </cell>
          <cell r="V145">
            <v>0</v>
          </cell>
          <cell r="W145">
            <v>0</v>
          </cell>
          <cell r="Y145">
            <v>0</v>
          </cell>
        </row>
        <row r="146">
          <cell r="E146" t="str">
            <v>Source Base Height:  32 ft (Main Roof)</v>
          </cell>
          <cell r="F146">
            <v>0</v>
          </cell>
          <cell r="G146">
            <v>0</v>
          </cell>
          <cell r="H146">
            <v>0</v>
          </cell>
          <cell r="I146">
            <v>0</v>
          </cell>
          <cell r="J146">
            <v>0</v>
          </cell>
          <cell r="K146">
            <v>0</v>
          </cell>
          <cell r="L146">
            <v>0</v>
          </cell>
          <cell r="P146">
            <v>0</v>
          </cell>
          <cell r="Q146">
            <v>0</v>
          </cell>
          <cell r="T146">
            <v>0</v>
          </cell>
          <cell r="V146">
            <v>0</v>
          </cell>
          <cell r="W146">
            <v>0</v>
          </cell>
          <cell r="Y146">
            <v>0</v>
          </cell>
        </row>
        <row r="147">
          <cell r="E147" t="str">
            <v>(1380 cfm @ 2530 fpm)</v>
          </cell>
          <cell r="F147">
            <v>0</v>
          </cell>
          <cell r="G147">
            <v>0</v>
          </cell>
          <cell r="H147">
            <v>0</v>
          </cell>
          <cell r="I147">
            <v>0</v>
          </cell>
          <cell r="J147">
            <v>0</v>
          </cell>
          <cell r="K147">
            <v>0</v>
          </cell>
          <cell r="L147">
            <v>0</v>
          </cell>
          <cell r="P147">
            <v>0</v>
          </cell>
          <cell r="Q147">
            <v>0</v>
          </cell>
          <cell r="T147">
            <v>0</v>
          </cell>
          <cell r="V147" t="str">
            <v>ASHRAE</v>
          </cell>
          <cell r="W147" t="str">
            <v>"as mfg"</v>
          </cell>
          <cell r="Y147">
            <v>0</v>
          </cell>
        </row>
        <row r="148">
          <cell r="E148" t="str">
            <v>341*</v>
          </cell>
          <cell r="F148" t="str">
            <v>BC</v>
          </cell>
          <cell r="G148" t="str">
            <v>LEF-3</v>
          </cell>
          <cell r="H148">
            <v>10</v>
          </cell>
          <cell r="I148">
            <v>0.66666666666666663</v>
          </cell>
          <cell r="J148">
            <v>4</v>
          </cell>
          <cell r="K148" t="str">
            <v xml:space="preserve"> - Existing Rooftop AI</v>
          </cell>
          <cell r="L148" t="str">
            <v>No</v>
          </cell>
          <cell r="P148">
            <v>10</v>
          </cell>
          <cell r="Q148">
            <v>11.3</v>
          </cell>
          <cell r="T148">
            <v>650</v>
          </cell>
          <cell r="V148">
            <v>400</v>
          </cell>
          <cell r="W148">
            <v>750</v>
          </cell>
          <cell r="Y148">
            <v>0</v>
          </cell>
        </row>
        <row r="149">
          <cell r="E149">
            <v>342</v>
          </cell>
          <cell r="F149" t="str">
            <v>BC</v>
          </cell>
          <cell r="G149" t="str">
            <v>LEF-3</v>
          </cell>
          <cell r="H149">
            <v>10</v>
          </cell>
          <cell r="I149">
            <v>0.66666666666666663</v>
          </cell>
          <cell r="J149">
            <v>16</v>
          </cell>
          <cell r="K149" t="str">
            <v xml:space="preserve"> - Existing Rooftop AI</v>
          </cell>
          <cell r="L149" t="str">
            <v>No</v>
          </cell>
          <cell r="P149">
            <v>5</v>
          </cell>
          <cell r="Q149">
            <v>2.4</v>
          </cell>
          <cell r="T149">
            <v>1266</v>
          </cell>
          <cell r="V149">
            <v>400</v>
          </cell>
          <cell r="W149">
            <v>750</v>
          </cell>
          <cell r="Y149">
            <v>0</v>
          </cell>
        </row>
        <row r="150">
          <cell r="E150">
            <v>343</v>
          </cell>
          <cell r="F150" t="str">
            <v>BC</v>
          </cell>
          <cell r="G150" t="str">
            <v>LEF-3</v>
          </cell>
          <cell r="H150">
            <v>10</v>
          </cell>
          <cell r="I150">
            <v>0.66666666666666663</v>
          </cell>
          <cell r="J150">
            <v>18</v>
          </cell>
          <cell r="K150" t="str">
            <v xml:space="preserve"> - Existing Rooftop AI</v>
          </cell>
          <cell r="L150" t="str">
            <v>No</v>
          </cell>
          <cell r="P150">
            <v>5</v>
          </cell>
          <cell r="Q150">
            <v>3.3</v>
          </cell>
          <cell r="T150">
            <v>1202</v>
          </cell>
          <cell r="V150">
            <v>400</v>
          </cell>
          <cell r="W150">
            <v>750</v>
          </cell>
          <cell r="Y150">
            <v>0</v>
          </cell>
        </row>
        <row r="151">
          <cell r="E151">
            <v>0</v>
          </cell>
          <cell r="F151">
            <v>0</v>
          </cell>
          <cell r="G151">
            <v>0</v>
          </cell>
          <cell r="H151">
            <v>0</v>
          </cell>
          <cell r="I151">
            <v>0</v>
          </cell>
          <cell r="J151">
            <v>0</v>
          </cell>
          <cell r="K151">
            <v>0</v>
          </cell>
          <cell r="L151">
            <v>0</v>
          </cell>
          <cell r="P151">
            <v>0</v>
          </cell>
          <cell r="Q151">
            <v>0</v>
          </cell>
          <cell r="T151">
            <v>0</v>
          </cell>
          <cell r="V151">
            <v>0</v>
          </cell>
          <cell r="W151">
            <v>0</v>
          </cell>
          <cell r="Y151">
            <v>0</v>
          </cell>
        </row>
      </sheetData>
      <sheetData sheetId="9"/>
      <sheetData sheetId="10"/>
      <sheetData sheetId="11">
        <row r="1">
          <cell r="M1">
            <v>0</v>
          </cell>
        </row>
      </sheetData>
      <sheetData sheetId="12">
        <row r="6">
          <cell r="B6" t="str">
            <v>WT2</v>
          </cell>
        </row>
        <row r="22">
          <cell r="A22" t="str">
            <v>AA</v>
          </cell>
          <cell r="B22" t="str">
            <v>LEF-R-1</v>
          </cell>
          <cell r="C22">
            <v>31.270560761786818</v>
          </cell>
          <cell r="D22">
            <v>11.3</v>
          </cell>
          <cell r="E22" t="e">
            <v>#REF!</v>
          </cell>
          <cell r="F22" t="e">
            <v>#REF!</v>
          </cell>
          <cell r="G22">
            <v>4.0011382113821137</v>
          </cell>
          <cell r="H22">
            <v>67.326460568937506</v>
          </cell>
          <cell r="I22">
            <v>0.97430000000000005</v>
          </cell>
        </row>
        <row r="23">
          <cell r="A23">
            <v>0</v>
          </cell>
          <cell r="B23">
            <v>0</v>
          </cell>
          <cell r="C23">
            <v>0</v>
          </cell>
          <cell r="D23">
            <v>28.6</v>
          </cell>
          <cell r="E23">
            <v>0</v>
          </cell>
          <cell r="F23">
            <v>0</v>
          </cell>
          <cell r="G23">
            <v>4.0011382113821137</v>
          </cell>
          <cell r="H23">
            <v>26.601014140873911</v>
          </cell>
        </row>
        <row r="24">
          <cell r="A24">
            <v>0</v>
          </cell>
          <cell r="B24">
            <v>0</v>
          </cell>
          <cell r="C24">
            <v>0</v>
          </cell>
          <cell r="D24">
            <v>22.7</v>
          </cell>
          <cell r="E24">
            <v>0</v>
          </cell>
          <cell r="F24">
            <v>0</v>
          </cell>
          <cell r="G24">
            <v>4.0011382113821137</v>
          </cell>
          <cell r="H24">
            <v>33.514934115814711</v>
          </cell>
        </row>
        <row r="25">
          <cell r="A25">
            <v>0</v>
          </cell>
          <cell r="B25">
            <v>0</v>
          </cell>
          <cell r="C25">
            <v>0</v>
          </cell>
          <cell r="D25">
            <v>18</v>
          </cell>
          <cell r="E25">
            <v>0</v>
          </cell>
          <cell r="F25">
            <v>0</v>
          </cell>
          <cell r="G25">
            <v>4.0011382113821137</v>
          </cell>
          <cell r="H25">
            <v>42.266055801610776</v>
          </cell>
        </row>
        <row r="26">
          <cell r="A26">
            <v>0</v>
          </cell>
          <cell r="B26">
            <v>0</v>
          </cell>
          <cell r="C26">
            <v>0</v>
          </cell>
          <cell r="D26">
            <v>14.3</v>
          </cell>
          <cell r="E26">
            <v>0</v>
          </cell>
          <cell r="F26">
            <v>0</v>
          </cell>
          <cell r="G26">
            <v>4.0011382113821137</v>
          </cell>
          <cell r="H26">
            <v>53.202028281747829</v>
          </cell>
        </row>
        <row r="27">
          <cell r="A27">
            <v>0</v>
          </cell>
          <cell r="B27">
            <v>0</v>
          </cell>
          <cell r="C27">
            <v>0</v>
          </cell>
          <cell r="D27">
            <v>10.6</v>
          </cell>
          <cell r="E27">
            <v>0</v>
          </cell>
          <cell r="F27">
            <v>0</v>
          </cell>
          <cell r="G27">
            <v>4.0011382113821137</v>
          </cell>
          <cell r="H27">
            <v>71.772547587640943</v>
          </cell>
        </row>
        <row r="28">
          <cell r="A28">
            <v>0</v>
          </cell>
          <cell r="B28">
            <v>0</v>
          </cell>
          <cell r="C28">
            <v>0</v>
          </cell>
          <cell r="D28">
            <v>7.9</v>
          </cell>
          <cell r="E28">
            <v>0</v>
          </cell>
          <cell r="F28">
            <v>0</v>
          </cell>
          <cell r="G28">
            <v>4.0011382113821137</v>
          </cell>
          <cell r="H28">
            <v>96.302405623923278</v>
          </cell>
        </row>
        <row r="29">
          <cell r="A29">
            <v>0</v>
          </cell>
          <cell r="B29">
            <v>0</v>
          </cell>
          <cell r="C29">
            <v>0</v>
          </cell>
          <cell r="D29">
            <v>5.9</v>
          </cell>
          <cell r="E29">
            <v>0</v>
          </cell>
          <cell r="F29">
            <v>0</v>
          </cell>
          <cell r="G29">
            <v>4.0011382113821137</v>
          </cell>
          <cell r="H29">
            <v>128.94728888627014</v>
          </cell>
        </row>
        <row r="30">
          <cell r="A30">
            <v>0</v>
          </cell>
          <cell r="B30">
            <v>0</v>
          </cell>
          <cell r="C30">
            <v>0</v>
          </cell>
          <cell r="D30">
            <v>4.4000000000000004</v>
          </cell>
          <cell r="E30">
            <v>0</v>
          </cell>
          <cell r="F30">
            <v>0</v>
          </cell>
          <cell r="G30">
            <v>4.0011382113821137</v>
          </cell>
          <cell r="H30">
            <v>172.90659191568042</v>
          </cell>
        </row>
        <row r="31">
          <cell r="A31">
            <v>0</v>
          </cell>
          <cell r="B31">
            <v>0</v>
          </cell>
          <cell r="C31">
            <v>0</v>
          </cell>
          <cell r="D31">
            <v>3.3</v>
          </cell>
          <cell r="E31">
            <v>0</v>
          </cell>
          <cell r="F31">
            <v>0</v>
          </cell>
          <cell r="G31">
            <v>4.0011382113821137</v>
          </cell>
          <cell r="H31">
            <v>230.54212255424059</v>
          </cell>
        </row>
        <row r="32">
          <cell r="A32">
            <v>0</v>
          </cell>
          <cell r="B32">
            <v>0</v>
          </cell>
          <cell r="C32">
            <v>0</v>
          </cell>
          <cell r="D32">
            <v>2.4</v>
          </cell>
          <cell r="E32">
            <v>0</v>
          </cell>
          <cell r="F32">
            <v>0</v>
          </cell>
          <cell r="G32">
            <v>4.0011382113821137</v>
          </cell>
          <cell r="H32">
            <v>316.99541851208079</v>
          </cell>
        </row>
        <row r="33">
          <cell r="A33">
            <v>0</v>
          </cell>
          <cell r="B33">
            <v>0</v>
          </cell>
          <cell r="C33">
            <v>0</v>
          </cell>
          <cell r="D33">
            <v>1.8</v>
          </cell>
          <cell r="E33">
            <v>0</v>
          </cell>
          <cell r="F33">
            <v>0</v>
          </cell>
          <cell r="G33">
            <v>4.0011382113821137</v>
          </cell>
          <cell r="H33">
            <v>422.6605580161077</v>
          </cell>
        </row>
        <row r="34">
          <cell r="A34">
            <v>0</v>
          </cell>
          <cell r="B34">
            <v>0</v>
          </cell>
          <cell r="C34">
            <v>0</v>
          </cell>
          <cell r="D34">
            <v>1.3</v>
          </cell>
          <cell r="E34">
            <v>0</v>
          </cell>
          <cell r="F34">
            <v>0</v>
          </cell>
          <cell r="G34">
            <v>4.0011382113821137</v>
          </cell>
          <cell r="H34">
            <v>585.22231109922598</v>
          </cell>
        </row>
        <row r="35">
          <cell r="A35">
            <v>0</v>
          </cell>
          <cell r="B35">
            <v>0</v>
          </cell>
          <cell r="C35">
            <v>0</v>
          </cell>
          <cell r="D35">
            <v>1</v>
          </cell>
          <cell r="E35">
            <v>0</v>
          </cell>
          <cell r="F35">
            <v>0</v>
          </cell>
          <cell r="G35">
            <v>4.0011382113821137</v>
          </cell>
          <cell r="H35">
            <v>760.78900442899385</v>
          </cell>
        </row>
        <row r="36">
          <cell r="A36">
            <v>0</v>
          </cell>
          <cell r="B36">
            <v>0</v>
          </cell>
          <cell r="C36">
            <v>0</v>
          </cell>
          <cell r="D36">
            <v>1</v>
          </cell>
          <cell r="E36">
            <v>0</v>
          </cell>
          <cell r="F36">
            <v>0</v>
          </cell>
          <cell r="G36">
            <v>4.0011382113821137</v>
          </cell>
          <cell r="H36">
            <v>760.78900442899385</v>
          </cell>
        </row>
        <row r="37">
          <cell r="A37">
            <v>0</v>
          </cell>
          <cell r="B37">
            <v>0</v>
          </cell>
          <cell r="C37">
            <v>0</v>
          </cell>
          <cell r="D37">
            <v>1</v>
          </cell>
          <cell r="E37">
            <v>0</v>
          </cell>
          <cell r="F37">
            <v>0</v>
          </cell>
          <cell r="G37">
            <v>4.0011382113821137</v>
          </cell>
          <cell r="H37">
            <v>760.78900442899385</v>
          </cell>
        </row>
        <row r="38">
          <cell r="A38">
            <v>0</v>
          </cell>
          <cell r="B38">
            <v>0</v>
          </cell>
          <cell r="C38">
            <v>0</v>
          </cell>
          <cell r="E38">
            <v>0</v>
          </cell>
          <cell r="F38">
            <v>0</v>
          </cell>
          <cell r="G38">
            <v>0</v>
          </cell>
        </row>
        <row r="39">
          <cell r="A39" t="str">
            <v>AB</v>
          </cell>
          <cell r="B39" t="str">
            <v>LEF-R-2</v>
          </cell>
          <cell r="C39">
            <v>31.270560761786818</v>
          </cell>
          <cell r="D39">
            <v>11.3</v>
          </cell>
          <cell r="E39" t="e">
            <v>#REF!</v>
          </cell>
          <cell r="F39" t="e">
            <v>#REF!</v>
          </cell>
          <cell r="G39">
            <v>4.0011382113821137</v>
          </cell>
          <cell r="H39">
            <v>67.326460568937506</v>
          </cell>
          <cell r="I39">
            <v>0.97430000000000005</v>
          </cell>
        </row>
        <row r="40">
          <cell r="A40">
            <v>0</v>
          </cell>
          <cell r="B40">
            <v>0</v>
          </cell>
          <cell r="C40">
            <v>0</v>
          </cell>
          <cell r="D40">
            <v>28.6</v>
          </cell>
          <cell r="E40">
            <v>0</v>
          </cell>
          <cell r="F40">
            <v>0</v>
          </cell>
          <cell r="G40">
            <v>4.0011382113821137</v>
          </cell>
          <cell r="H40">
            <v>26.601014140873911</v>
          </cell>
        </row>
        <row r="41">
          <cell r="A41">
            <v>0</v>
          </cell>
          <cell r="B41">
            <v>0</v>
          </cell>
          <cell r="C41">
            <v>0</v>
          </cell>
          <cell r="D41">
            <v>22.7</v>
          </cell>
          <cell r="E41">
            <v>0</v>
          </cell>
          <cell r="F41">
            <v>0</v>
          </cell>
          <cell r="G41">
            <v>4.0011382113821137</v>
          </cell>
          <cell r="H41">
            <v>33.514934115814711</v>
          </cell>
        </row>
        <row r="42">
          <cell r="A42">
            <v>0</v>
          </cell>
          <cell r="B42">
            <v>0</v>
          </cell>
          <cell r="C42">
            <v>0</v>
          </cell>
          <cell r="D42">
            <v>18</v>
          </cell>
          <cell r="E42">
            <v>0</v>
          </cell>
          <cell r="F42">
            <v>0</v>
          </cell>
          <cell r="G42">
            <v>4.0011382113821137</v>
          </cell>
          <cell r="H42">
            <v>42.266055801610776</v>
          </cell>
        </row>
        <row r="43">
          <cell r="A43">
            <v>0</v>
          </cell>
          <cell r="B43">
            <v>0</v>
          </cell>
          <cell r="C43">
            <v>0</v>
          </cell>
          <cell r="D43">
            <v>14.3</v>
          </cell>
          <cell r="E43">
            <v>0</v>
          </cell>
          <cell r="F43">
            <v>0</v>
          </cell>
          <cell r="G43">
            <v>4.0011382113821137</v>
          </cell>
          <cell r="H43">
            <v>53.202028281747829</v>
          </cell>
        </row>
        <row r="44">
          <cell r="A44">
            <v>0</v>
          </cell>
          <cell r="B44">
            <v>0</v>
          </cell>
          <cell r="C44">
            <v>0</v>
          </cell>
          <cell r="D44">
            <v>10.6</v>
          </cell>
          <cell r="E44">
            <v>0</v>
          </cell>
          <cell r="F44">
            <v>0</v>
          </cell>
          <cell r="G44">
            <v>4.0011382113821137</v>
          </cell>
          <cell r="H44">
            <v>71.772547587640943</v>
          </cell>
        </row>
        <row r="45">
          <cell r="A45">
            <v>0</v>
          </cell>
          <cell r="B45">
            <v>0</v>
          </cell>
          <cell r="C45">
            <v>0</v>
          </cell>
          <cell r="D45">
            <v>7.9</v>
          </cell>
          <cell r="E45">
            <v>0</v>
          </cell>
          <cell r="F45">
            <v>0</v>
          </cell>
          <cell r="G45">
            <v>4.0011382113821137</v>
          </cell>
          <cell r="H45">
            <v>96.302405623923278</v>
          </cell>
        </row>
        <row r="46">
          <cell r="A46">
            <v>0</v>
          </cell>
          <cell r="B46">
            <v>0</v>
          </cell>
          <cell r="C46">
            <v>0</v>
          </cell>
          <cell r="D46">
            <v>5.9</v>
          </cell>
          <cell r="E46">
            <v>0</v>
          </cell>
          <cell r="F46">
            <v>0</v>
          </cell>
          <cell r="G46">
            <v>4.0011382113821137</v>
          </cell>
          <cell r="H46">
            <v>128.94728888627014</v>
          </cell>
        </row>
        <row r="47">
          <cell r="A47">
            <v>0</v>
          </cell>
          <cell r="B47">
            <v>0</v>
          </cell>
          <cell r="C47">
            <v>0</v>
          </cell>
          <cell r="D47">
            <v>4.4000000000000004</v>
          </cell>
          <cell r="E47">
            <v>0</v>
          </cell>
          <cell r="F47">
            <v>0</v>
          </cell>
          <cell r="G47">
            <v>4.0011382113821137</v>
          </cell>
          <cell r="H47">
            <v>172.90659191568042</v>
          </cell>
        </row>
        <row r="48">
          <cell r="A48">
            <v>0</v>
          </cell>
          <cell r="B48">
            <v>0</v>
          </cell>
          <cell r="C48">
            <v>0</v>
          </cell>
          <cell r="D48">
            <v>3.3</v>
          </cell>
          <cell r="E48">
            <v>0</v>
          </cell>
          <cell r="F48">
            <v>0</v>
          </cell>
          <cell r="G48">
            <v>4.0011382113821137</v>
          </cell>
          <cell r="H48">
            <v>230.54212255424059</v>
          </cell>
        </row>
        <row r="49">
          <cell r="A49">
            <v>0</v>
          </cell>
          <cell r="B49">
            <v>0</v>
          </cell>
          <cell r="C49">
            <v>0</v>
          </cell>
          <cell r="D49">
            <v>2.4</v>
          </cell>
          <cell r="E49">
            <v>0</v>
          </cell>
          <cell r="F49">
            <v>0</v>
          </cell>
          <cell r="G49">
            <v>4.0011382113821137</v>
          </cell>
          <cell r="H49">
            <v>316.99541851208079</v>
          </cell>
        </row>
        <row r="50">
          <cell r="A50">
            <v>0</v>
          </cell>
          <cell r="B50">
            <v>0</v>
          </cell>
          <cell r="C50">
            <v>0</v>
          </cell>
          <cell r="D50">
            <v>1.8</v>
          </cell>
          <cell r="E50">
            <v>0</v>
          </cell>
          <cell r="F50">
            <v>0</v>
          </cell>
          <cell r="G50">
            <v>4.0011382113821137</v>
          </cell>
          <cell r="H50">
            <v>422.6605580161077</v>
          </cell>
        </row>
        <row r="51">
          <cell r="A51">
            <v>0</v>
          </cell>
          <cell r="B51">
            <v>0</v>
          </cell>
          <cell r="C51">
            <v>0</v>
          </cell>
          <cell r="D51">
            <v>1.3</v>
          </cell>
          <cell r="E51">
            <v>0</v>
          </cell>
          <cell r="F51">
            <v>0</v>
          </cell>
          <cell r="G51">
            <v>4.0011382113821137</v>
          </cell>
          <cell r="H51">
            <v>585.22231109922598</v>
          </cell>
        </row>
        <row r="52">
          <cell r="A52">
            <v>0</v>
          </cell>
          <cell r="B52">
            <v>0</v>
          </cell>
          <cell r="C52">
            <v>0</v>
          </cell>
          <cell r="D52">
            <v>1</v>
          </cell>
          <cell r="E52">
            <v>0</v>
          </cell>
          <cell r="F52">
            <v>0</v>
          </cell>
          <cell r="G52">
            <v>4.0011382113821137</v>
          </cell>
          <cell r="H52">
            <v>760.78900442899385</v>
          </cell>
        </row>
        <row r="53">
          <cell r="A53">
            <v>0</v>
          </cell>
          <cell r="B53">
            <v>0</v>
          </cell>
          <cell r="C53">
            <v>0</v>
          </cell>
          <cell r="D53">
            <v>1</v>
          </cell>
          <cell r="E53">
            <v>0</v>
          </cell>
          <cell r="F53">
            <v>0</v>
          </cell>
          <cell r="G53">
            <v>4.0011382113821137</v>
          </cell>
          <cell r="H53">
            <v>760.78900442899385</v>
          </cell>
        </row>
        <row r="54">
          <cell r="A54">
            <v>0</v>
          </cell>
          <cell r="B54">
            <v>0</v>
          </cell>
          <cell r="C54">
            <v>0</v>
          </cell>
          <cell r="D54">
            <v>1</v>
          </cell>
          <cell r="E54">
            <v>0</v>
          </cell>
          <cell r="F54">
            <v>0</v>
          </cell>
          <cell r="G54">
            <v>4.0011382113821137</v>
          </cell>
          <cell r="H54">
            <v>760.78900442899385</v>
          </cell>
        </row>
        <row r="55">
          <cell r="A55">
            <v>0</v>
          </cell>
          <cell r="B55">
            <v>0</v>
          </cell>
          <cell r="C55">
            <v>0</v>
          </cell>
          <cell r="E55">
            <v>0</v>
          </cell>
          <cell r="F55">
            <v>0</v>
          </cell>
          <cell r="G55">
            <v>0</v>
          </cell>
        </row>
        <row r="56">
          <cell r="A56" t="str">
            <v>AC</v>
          </cell>
          <cell r="B56" t="str">
            <v>LEF-R-3</v>
          </cell>
          <cell r="C56">
            <v>31.270560761786818</v>
          </cell>
          <cell r="D56">
            <v>11.3</v>
          </cell>
          <cell r="E56" t="e">
            <v>#REF!</v>
          </cell>
          <cell r="F56" t="e">
            <v>#REF!</v>
          </cell>
          <cell r="G56">
            <v>4.0011382113821137</v>
          </cell>
          <cell r="H56">
            <v>67.326460568937506</v>
          </cell>
          <cell r="I56">
            <v>0.97430000000000005</v>
          </cell>
        </row>
        <row r="57">
          <cell r="A57">
            <v>0</v>
          </cell>
          <cell r="B57">
            <v>0</v>
          </cell>
          <cell r="C57">
            <v>0</v>
          </cell>
          <cell r="D57">
            <v>28.6</v>
          </cell>
          <cell r="E57">
            <v>0</v>
          </cell>
          <cell r="F57">
            <v>0</v>
          </cell>
          <cell r="G57">
            <v>4.0011382113821137</v>
          </cell>
          <cell r="H57">
            <v>26.601014140873911</v>
          </cell>
        </row>
        <row r="58">
          <cell r="A58">
            <v>0</v>
          </cell>
          <cell r="B58">
            <v>0</v>
          </cell>
          <cell r="C58">
            <v>0</v>
          </cell>
          <cell r="D58">
            <v>22.7</v>
          </cell>
          <cell r="E58">
            <v>0</v>
          </cell>
          <cell r="F58">
            <v>0</v>
          </cell>
          <cell r="G58">
            <v>4.0011382113821137</v>
          </cell>
          <cell r="H58">
            <v>33.514934115814711</v>
          </cell>
        </row>
        <row r="59">
          <cell r="A59">
            <v>0</v>
          </cell>
          <cell r="B59">
            <v>0</v>
          </cell>
          <cell r="C59">
            <v>0</v>
          </cell>
          <cell r="D59">
            <v>18</v>
          </cell>
          <cell r="E59">
            <v>0</v>
          </cell>
          <cell r="F59">
            <v>0</v>
          </cell>
          <cell r="G59">
            <v>4.0011382113821137</v>
          </cell>
          <cell r="H59">
            <v>42.266055801610776</v>
          </cell>
        </row>
        <row r="60">
          <cell r="A60">
            <v>0</v>
          </cell>
          <cell r="B60">
            <v>0</v>
          </cell>
          <cell r="C60">
            <v>0</v>
          </cell>
          <cell r="D60">
            <v>14.3</v>
          </cell>
          <cell r="E60">
            <v>0</v>
          </cell>
          <cell r="F60">
            <v>0</v>
          </cell>
          <cell r="G60">
            <v>4.0011382113821137</v>
          </cell>
          <cell r="H60">
            <v>53.202028281747829</v>
          </cell>
        </row>
        <row r="61">
          <cell r="A61">
            <v>0</v>
          </cell>
          <cell r="B61">
            <v>0</v>
          </cell>
          <cell r="C61">
            <v>0</v>
          </cell>
          <cell r="D61">
            <v>10.6</v>
          </cell>
          <cell r="E61">
            <v>0</v>
          </cell>
          <cell r="F61">
            <v>0</v>
          </cell>
          <cell r="G61">
            <v>4.0011382113821137</v>
          </cell>
          <cell r="H61">
            <v>71.772547587640943</v>
          </cell>
        </row>
        <row r="62">
          <cell r="A62">
            <v>0</v>
          </cell>
          <cell r="B62">
            <v>0</v>
          </cell>
          <cell r="C62">
            <v>0</v>
          </cell>
          <cell r="D62">
            <v>7.9</v>
          </cell>
          <cell r="E62">
            <v>0</v>
          </cell>
          <cell r="F62">
            <v>0</v>
          </cell>
          <cell r="G62">
            <v>4.0011382113821137</v>
          </cell>
          <cell r="H62">
            <v>96.302405623923278</v>
          </cell>
        </row>
        <row r="63">
          <cell r="A63">
            <v>0</v>
          </cell>
          <cell r="B63">
            <v>0</v>
          </cell>
          <cell r="C63">
            <v>0</v>
          </cell>
          <cell r="D63">
            <v>5.9</v>
          </cell>
          <cell r="E63">
            <v>0</v>
          </cell>
          <cell r="F63">
            <v>0</v>
          </cell>
          <cell r="G63">
            <v>4.0011382113821137</v>
          </cell>
          <cell r="H63">
            <v>128.94728888627014</v>
          </cell>
        </row>
        <row r="64">
          <cell r="A64">
            <v>0</v>
          </cell>
          <cell r="B64">
            <v>0</v>
          </cell>
          <cell r="C64">
            <v>0</v>
          </cell>
          <cell r="D64">
            <v>4.4000000000000004</v>
          </cell>
          <cell r="E64">
            <v>0</v>
          </cell>
          <cell r="F64">
            <v>0</v>
          </cell>
          <cell r="G64">
            <v>4.0011382113821137</v>
          </cell>
          <cell r="H64">
            <v>172.90659191568042</v>
          </cell>
        </row>
        <row r="65">
          <cell r="A65">
            <v>0</v>
          </cell>
          <cell r="B65">
            <v>0</v>
          </cell>
          <cell r="C65">
            <v>0</v>
          </cell>
          <cell r="D65">
            <v>3.3</v>
          </cell>
          <cell r="E65">
            <v>0</v>
          </cell>
          <cell r="F65">
            <v>0</v>
          </cell>
          <cell r="G65">
            <v>4.0011382113821137</v>
          </cell>
          <cell r="H65">
            <v>230.54212255424059</v>
          </cell>
        </row>
        <row r="66">
          <cell r="A66">
            <v>0</v>
          </cell>
          <cell r="B66">
            <v>0</v>
          </cell>
          <cell r="C66">
            <v>0</v>
          </cell>
          <cell r="D66">
            <v>2.4</v>
          </cell>
          <cell r="E66">
            <v>0</v>
          </cell>
          <cell r="F66">
            <v>0</v>
          </cell>
          <cell r="G66">
            <v>4.0011382113821137</v>
          </cell>
          <cell r="H66">
            <v>316.99541851208079</v>
          </cell>
        </row>
        <row r="67">
          <cell r="A67">
            <v>0</v>
          </cell>
          <cell r="B67">
            <v>0</v>
          </cell>
          <cell r="C67">
            <v>0</v>
          </cell>
          <cell r="D67">
            <v>1.8</v>
          </cell>
          <cell r="E67">
            <v>0</v>
          </cell>
          <cell r="F67">
            <v>0</v>
          </cell>
          <cell r="G67">
            <v>4.0011382113821137</v>
          </cell>
          <cell r="H67">
            <v>422.6605580161077</v>
          </cell>
        </row>
        <row r="68">
          <cell r="A68">
            <v>0</v>
          </cell>
          <cell r="B68">
            <v>0</v>
          </cell>
          <cell r="C68">
            <v>0</v>
          </cell>
          <cell r="D68">
            <v>1.3</v>
          </cell>
          <cell r="E68">
            <v>0</v>
          </cell>
          <cell r="F68">
            <v>0</v>
          </cell>
          <cell r="G68">
            <v>4.0011382113821137</v>
          </cell>
          <cell r="H68">
            <v>585.22231109922598</v>
          </cell>
        </row>
        <row r="69">
          <cell r="A69">
            <v>0</v>
          </cell>
          <cell r="B69">
            <v>0</v>
          </cell>
          <cell r="C69">
            <v>0</v>
          </cell>
          <cell r="D69">
            <v>1</v>
          </cell>
          <cell r="E69">
            <v>0</v>
          </cell>
          <cell r="F69">
            <v>0</v>
          </cell>
          <cell r="G69">
            <v>4.0011382113821137</v>
          </cell>
          <cell r="H69">
            <v>760.78900442899385</v>
          </cell>
        </row>
        <row r="70">
          <cell r="A70">
            <v>0</v>
          </cell>
          <cell r="B70">
            <v>0</v>
          </cell>
          <cell r="C70">
            <v>0</v>
          </cell>
          <cell r="D70">
            <v>1</v>
          </cell>
          <cell r="E70">
            <v>0</v>
          </cell>
          <cell r="F70">
            <v>0</v>
          </cell>
          <cell r="G70">
            <v>4.0011382113821137</v>
          </cell>
          <cell r="H70">
            <v>760.78900442899385</v>
          </cell>
        </row>
        <row r="71">
          <cell r="A71">
            <v>0</v>
          </cell>
          <cell r="B71">
            <v>0</v>
          </cell>
          <cell r="C71">
            <v>0</v>
          </cell>
          <cell r="D71">
            <v>1</v>
          </cell>
          <cell r="E71">
            <v>0</v>
          </cell>
          <cell r="F71">
            <v>0</v>
          </cell>
          <cell r="G71">
            <v>4.0011382113821137</v>
          </cell>
          <cell r="H71">
            <v>760.78900442899385</v>
          </cell>
        </row>
        <row r="72">
          <cell r="A72">
            <v>0</v>
          </cell>
          <cell r="B72">
            <v>0</v>
          </cell>
          <cell r="C72">
            <v>0</v>
          </cell>
          <cell r="E72">
            <v>0</v>
          </cell>
          <cell r="F72">
            <v>0</v>
          </cell>
          <cell r="G72">
            <v>0</v>
          </cell>
        </row>
        <row r="73">
          <cell r="A73" t="str">
            <v>AD</v>
          </cell>
          <cell r="B73" t="str">
            <v>LEF-R-4,5</v>
          </cell>
          <cell r="C73">
            <v>24.721548929484126</v>
          </cell>
          <cell r="D73">
            <v>11.3</v>
          </cell>
          <cell r="E73" t="e">
            <v>#REF!</v>
          </cell>
          <cell r="F73" t="e">
            <v>#REF!</v>
          </cell>
          <cell r="G73">
            <v>4.0011382113821137</v>
          </cell>
          <cell r="H73">
            <v>35.484160365893004</v>
          </cell>
          <cell r="I73">
            <v>0.97430000000000005</v>
          </cell>
        </row>
        <row r="74">
          <cell r="A74">
            <v>0</v>
          </cell>
          <cell r="B74">
            <v>0</v>
          </cell>
          <cell r="C74">
            <v>0</v>
          </cell>
          <cell r="D74">
            <v>28.6</v>
          </cell>
          <cell r="E74">
            <v>0</v>
          </cell>
          <cell r="F74">
            <v>0</v>
          </cell>
          <cell r="G74">
            <v>4.0011382113821137</v>
          </cell>
          <cell r="H74">
            <v>0.1</v>
          </cell>
        </row>
        <row r="75">
          <cell r="A75">
            <v>0</v>
          </cell>
          <cell r="B75">
            <v>0</v>
          </cell>
          <cell r="C75">
            <v>0</v>
          </cell>
          <cell r="D75">
            <v>22.7</v>
          </cell>
          <cell r="E75">
            <v>0</v>
          </cell>
          <cell r="F75">
            <v>0</v>
          </cell>
          <cell r="G75">
            <v>4.0011382113821137</v>
          </cell>
          <cell r="H75">
            <v>0.1</v>
          </cell>
        </row>
        <row r="76">
          <cell r="A76">
            <v>0</v>
          </cell>
          <cell r="B76">
            <v>0</v>
          </cell>
          <cell r="C76">
            <v>0</v>
          </cell>
          <cell r="D76">
            <v>18</v>
          </cell>
          <cell r="E76">
            <v>0</v>
          </cell>
          <cell r="F76">
            <v>0</v>
          </cell>
          <cell r="G76">
            <v>4.0011382113821137</v>
          </cell>
          <cell r="H76">
            <v>0.1</v>
          </cell>
        </row>
        <row r="77">
          <cell r="A77">
            <v>0</v>
          </cell>
          <cell r="B77">
            <v>0</v>
          </cell>
          <cell r="C77">
            <v>0</v>
          </cell>
          <cell r="D77">
            <v>14.3</v>
          </cell>
          <cell r="E77">
            <v>0</v>
          </cell>
          <cell r="F77">
            <v>0</v>
          </cell>
          <cell r="G77">
            <v>4.0011382113821137</v>
          </cell>
          <cell r="H77">
            <v>35.484160365893004</v>
          </cell>
        </row>
        <row r="78">
          <cell r="A78">
            <v>0</v>
          </cell>
          <cell r="B78">
            <v>0</v>
          </cell>
          <cell r="C78">
            <v>0</v>
          </cell>
          <cell r="D78">
            <v>10.6</v>
          </cell>
          <cell r="E78">
            <v>0</v>
          </cell>
          <cell r="F78">
            <v>0</v>
          </cell>
          <cell r="G78">
            <v>4.0011382113821137</v>
          </cell>
          <cell r="H78">
            <v>47.870140870968868</v>
          </cell>
        </row>
        <row r="79">
          <cell r="A79">
            <v>0</v>
          </cell>
          <cell r="B79">
            <v>0</v>
          </cell>
          <cell r="C79">
            <v>0</v>
          </cell>
          <cell r="D79">
            <v>7.9</v>
          </cell>
          <cell r="E79">
            <v>0</v>
          </cell>
          <cell r="F79">
            <v>0</v>
          </cell>
          <cell r="G79">
            <v>4.0011382113821137</v>
          </cell>
          <cell r="H79">
            <v>64.230821928135441</v>
          </cell>
        </row>
        <row r="80">
          <cell r="A80">
            <v>0</v>
          </cell>
          <cell r="B80">
            <v>0</v>
          </cell>
          <cell r="C80">
            <v>0</v>
          </cell>
          <cell r="D80">
            <v>5.9</v>
          </cell>
          <cell r="E80">
            <v>0</v>
          </cell>
          <cell r="F80">
            <v>0</v>
          </cell>
          <cell r="G80">
            <v>4.0011382113821137</v>
          </cell>
          <cell r="H80">
            <v>86.003981903774573</v>
          </cell>
        </row>
        <row r="81">
          <cell r="A81">
            <v>0</v>
          </cell>
          <cell r="B81">
            <v>0</v>
          </cell>
          <cell r="C81">
            <v>0</v>
          </cell>
          <cell r="D81">
            <v>4.4000000000000004</v>
          </cell>
          <cell r="E81">
            <v>0</v>
          </cell>
          <cell r="F81">
            <v>0</v>
          </cell>
          <cell r="G81">
            <v>4.0011382113821137</v>
          </cell>
          <cell r="H81">
            <v>115.32352118915226</v>
          </cell>
        </row>
        <row r="82">
          <cell r="A82">
            <v>0</v>
          </cell>
          <cell r="B82">
            <v>0</v>
          </cell>
          <cell r="C82">
            <v>0</v>
          </cell>
          <cell r="D82">
            <v>3.3</v>
          </cell>
          <cell r="E82">
            <v>0</v>
          </cell>
          <cell r="F82">
            <v>0</v>
          </cell>
          <cell r="G82">
            <v>4.0011382113821137</v>
          </cell>
          <cell r="H82">
            <v>153.76469491886971</v>
          </cell>
        </row>
        <row r="83">
          <cell r="A83">
            <v>0</v>
          </cell>
          <cell r="B83">
            <v>0</v>
          </cell>
          <cell r="C83">
            <v>0</v>
          </cell>
          <cell r="D83">
            <v>2.4</v>
          </cell>
          <cell r="E83">
            <v>0</v>
          </cell>
          <cell r="F83">
            <v>0</v>
          </cell>
          <cell r="G83">
            <v>4.0011382113821137</v>
          </cell>
          <cell r="H83">
            <v>211.42645551344586</v>
          </cell>
        </row>
        <row r="84">
          <cell r="A84">
            <v>0</v>
          </cell>
          <cell r="B84">
            <v>0</v>
          </cell>
          <cell r="C84">
            <v>0</v>
          </cell>
          <cell r="D84">
            <v>1.8</v>
          </cell>
          <cell r="E84">
            <v>0</v>
          </cell>
          <cell r="F84">
            <v>0</v>
          </cell>
          <cell r="G84">
            <v>4.0011382113821137</v>
          </cell>
          <cell r="H84">
            <v>281.90194068459448</v>
          </cell>
        </row>
        <row r="85">
          <cell r="A85">
            <v>0</v>
          </cell>
          <cell r="B85">
            <v>0</v>
          </cell>
          <cell r="C85">
            <v>0</v>
          </cell>
          <cell r="D85">
            <v>1.3</v>
          </cell>
          <cell r="E85">
            <v>0</v>
          </cell>
          <cell r="F85">
            <v>0</v>
          </cell>
          <cell r="G85">
            <v>4.0011382113821137</v>
          </cell>
          <cell r="H85">
            <v>390.32576402482312</v>
          </cell>
        </row>
        <row r="86">
          <cell r="A86">
            <v>0</v>
          </cell>
          <cell r="B86">
            <v>0</v>
          </cell>
          <cell r="C86">
            <v>0</v>
          </cell>
          <cell r="D86">
            <v>1</v>
          </cell>
          <cell r="E86">
            <v>0</v>
          </cell>
          <cell r="F86">
            <v>0</v>
          </cell>
          <cell r="G86">
            <v>4.0011382113821137</v>
          </cell>
          <cell r="H86">
            <v>507.42349323227006</v>
          </cell>
        </row>
        <row r="87">
          <cell r="A87">
            <v>0</v>
          </cell>
          <cell r="B87">
            <v>0</v>
          </cell>
          <cell r="C87">
            <v>0</v>
          </cell>
          <cell r="D87">
            <v>1</v>
          </cell>
          <cell r="E87">
            <v>0</v>
          </cell>
          <cell r="F87">
            <v>0</v>
          </cell>
          <cell r="G87">
            <v>4.0011382113821137</v>
          </cell>
          <cell r="H87">
            <v>507.42349323227006</v>
          </cell>
        </row>
        <row r="88">
          <cell r="A88">
            <v>0</v>
          </cell>
          <cell r="B88">
            <v>0</v>
          </cell>
          <cell r="C88">
            <v>0</v>
          </cell>
          <cell r="D88">
            <v>1</v>
          </cell>
          <cell r="E88">
            <v>0</v>
          </cell>
          <cell r="F88">
            <v>0</v>
          </cell>
          <cell r="G88">
            <v>4.0011382113821137</v>
          </cell>
          <cell r="H88">
            <v>507.42349323227006</v>
          </cell>
        </row>
        <row r="89">
          <cell r="A89">
            <v>0</v>
          </cell>
          <cell r="B89">
            <v>0</v>
          </cell>
          <cell r="C89">
            <v>0</v>
          </cell>
          <cell r="E89">
            <v>0</v>
          </cell>
          <cell r="F89">
            <v>0</v>
          </cell>
          <cell r="G89">
            <v>0</v>
          </cell>
        </row>
        <row r="90">
          <cell r="A90" t="str">
            <v>AE</v>
          </cell>
          <cell r="B90" t="str">
            <v>LEF-R-6,7</v>
          </cell>
          <cell r="C90">
            <v>13.540550005146152</v>
          </cell>
          <cell r="D90">
            <v>11.3</v>
          </cell>
          <cell r="E90" t="e">
            <v>#REF!</v>
          </cell>
          <cell r="F90" t="e">
            <v>#REF!</v>
          </cell>
          <cell r="G90">
            <v>4.0011382113821137</v>
          </cell>
          <cell r="H90">
            <v>14.576606299897774</v>
          </cell>
          <cell r="I90">
            <v>0.97430000000000005</v>
          </cell>
        </row>
        <row r="91">
          <cell r="A91">
            <v>0</v>
          </cell>
          <cell r="B91">
            <v>0</v>
          </cell>
          <cell r="C91">
            <v>0</v>
          </cell>
          <cell r="D91">
            <v>28.6</v>
          </cell>
          <cell r="E91">
            <v>0</v>
          </cell>
          <cell r="F91">
            <v>0</v>
          </cell>
          <cell r="G91">
            <v>4.0011382113821137</v>
          </cell>
          <cell r="H91">
            <v>0.1</v>
          </cell>
        </row>
        <row r="92">
          <cell r="A92">
            <v>0</v>
          </cell>
          <cell r="B92">
            <v>0</v>
          </cell>
          <cell r="C92">
            <v>0</v>
          </cell>
          <cell r="D92">
            <v>22.7</v>
          </cell>
          <cell r="E92">
            <v>0</v>
          </cell>
          <cell r="F92">
            <v>0</v>
          </cell>
          <cell r="G92">
            <v>4.0011382113821137</v>
          </cell>
          <cell r="H92">
            <v>0.1</v>
          </cell>
        </row>
        <row r="93">
          <cell r="A93">
            <v>0</v>
          </cell>
          <cell r="B93">
            <v>0</v>
          </cell>
          <cell r="C93">
            <v>0</v>
          </cell>
          <cell r="D93">
            <v>18</v>
          </cell>
          <cell r="E93">
            <v>0</v>
          </cell>
          <cell r="F93">
            <v>0</v>
          </cell>
          <cell r="G93">
            <v>4.0011382113821137</v>
          </cell>
          <cell r="H93">
            <v>0.1</v>
          </cell>
        </row>
        <row r="94">
          <cell r="A94">
            <v>0</v>
          </cell>
          <cell r="B94">
            <v>0</v>
          </cell>
          <cell r="C94">
            <v>0</v>
          </cell>
          <cell r="D94">
            <v>14.3</v>
          </cell>
          <cell r="E94">
            <v>0</v>
          </cell>
          <cell r="F94">
            <v>0</v>
          </cell>
          <cell r="G94">
            <v>4.0011382113821137</v>
          </cell>
          <cell r="H94">
            <v>14.576606299897774</v>
          </cell>
        </row>
        <row r="95">
          <cell r="A95">
            <v>0</v>
          </cell>
          <cell r="B95">
            <v>0</v>
          </cell>
          <cell r="C95">
            <v>0</v>
          </cell>
          <cell r="D95">
            <v>10.6</v>
          </cell>
          <cell r="E95">
            <v>0</v>
          </cell>
          <cell r="F95">
            <v>0</v>
          </cell>
          <cell r="G95">
            <v>4.0011382113821137</v>
          </cell>
          <cell r="H95">
            <v>19.664666989484733</v>
          </cell>
        </row>
        <row r="96">
          <cell r="A96">
            <v>0</v>
          </cell>
          <cell r="B96">
            <v>0</v>
          </cell>
          <cell r="C96">
            <v>0</v>
          </cell>
          <cell r="D96">
            <v>7.9</v>
          </cell>
          <cell r="E96">
            <v>0</v>
          </cell>
          <cell r="F96">
            <v>0</v>
          </cell>
          <cell r="G96">
            <v>4.0011382113821137</v>
          </cell>
          <cell r="H96">
            <v>26.38550254285293</v>
          </cell>
        </row>
        <row r="97">
          <cell r="A97">
            <v>0</v>
          </cell>
          <cell r="B97">
            <v>0</v>
          </cell>
          <cell r="C97">
            <v>0</v>
          </cell>
          <cell r="D97">
            <v>5.9</v>
          </cell>
          <cell r="E97">
            <v>0</v>
          </cell>
          <cell r="F97">
            <v>0</v>
          </cell>
          <cell r="G97">
            <v>4.0011382113821137</v>
          </cell>
          <cell r="H97">
            <v>35.329740692972564</v>
          </cell>
        </row>
        <row r="98">
          <cell r="A98">
            <v>0</v>
          </cell>
          <cell r="B98">
            <v>0</v>
          </cell>
          <cell r="C98">
            <v>0</v>
          </cell>
          <cell r="D98">
            <v>4.4000000000000004</v>
          </cell>
          <cell r="E98">
            <v>0</v>
          </cell>
          <cell r="F98">
            <v>0</v>
          </cell>
          <cell r="G98">
            <v>4.0011382113821137</v>
          </cell>
          <cell r="H98">
            <v>47.37397047466775</v>
          </cell>
        </row>
        <row r="99">
          <cell r="A99">
            <v>0</v>
          </cell>
          <cell r="B99">
            <v>0</v>
          </cell>
          <cell r="C99">
            <v>0</v>
          </cell>
          <cell r="D99">
            <v>3.3</v>
          </cell>
          <cell r="E99">
            <v>0</v>
          </cell>
          <cell r="F99">
            <v>0</v>
          </cell>
          <cell r="G99">
            <v>4.0011382113821137</v>
          </cell>
          <cell r="H99">
            <v>63.165293966223672</v>
          </cell>
        </row>
        <row r="100">
          <cell r="A100">
            <v>0</v>
          </cell>
          <cell r="B100">
            <v>0</v>
          </cell>
          <cell r="C100">
            <v>0</v>
          </cell>
          <cell r="D100">
            <v>2.4</v>
          </cell>
          <cell r="E100">
            <v>0</v>
          </cell>
          <cell r="F100">
            <v>0</v>
          </cell>
          <cell r="G100">
            <v>4.0011382113821137</v>
          </cell>
          <cell r="H100">
            <v>86.852279203557543</v>
          </cell>
        </row>
        <row r="101">
          <cell r="A101">
            <v>0</v>
          </cell>
          <cell r="B101">
            <v>0</v>
          </cell>
          <cell r="C101">
            <v>0</v>
          </cell>
          <cell r="D101">
            <v>1.8</v>
          </cell>
          <cell r="E101">
            <v>0</v>
          </cell>
          <cell r="F101">
            <v>0</v>
          </cell>
          <cell r="G101">
            <v>4.0011382113821137</v>
          </cell>
          <cell r="H101">
            <v>115.80303893807672</v>
          </cell>
        </row>
        <row r="102">
          <cell r="A102">
            <v>0</v>
          </cell>
          <cell r="B102">
            <v>0</v>
          </cell>
          <cell r="C102">
            <v>0</v>
          </cell>
          <cell r="D102">
            <v>1.3</v>
          </cell>
          <cell r="E102">
            <v>0</v>
          </cell>
          <cell r="F102">
            <v>0</v>
          </cell>
          <cell r="G102">
            <v>4.0011382113821137</v>
          </cell>
          <cell r="H102">
            <v>160.34266929887545</v>
          </cell>
        </row>
        <row r="103">
          <cell r="A103">
            <v>0</v>
          </cell>
          <cell r="B103">
            <v>0</v>
          </cell>
          <cell r="C103">
            <v>0</v>
          </cell>
          <cell r="D103">
            <v>1</v>
          </cell>
          <cell r="E103">
            <v>0</v>
          </cell>
          <cell r="F103">
            <v>0</v>
          </cell>
          <cell r="G103">
            <v>4.0011382113821137</v>
          </cell>
          <cell r="H103">
            <v>208.44547008853809</v>
          </cell>
        </row>
        <row r="104">
          <cell r="A104">
            <v>0</v>
          </cell>
          <cell r="B104">
            <v>0</v>
          </cell>
          <cell r="C104">
            <v>0</v>
          </cell>
          <cell r="D104">
            <v>1</v>
          </cell>
          <cell r="E104">
            <v>0</v>
          </cell>
          <cell r="F104">
            <v>0</v>
          </cell>
          <cell r="G104">
            <v>4.0011382113821137</v>
          </cell>
          <cell r="H104">
            <v>208.44547008853809</v>
          </cell>
        </row>
        <row r="105">
          <cell r="A105">
            <v>0</v>
          </cell>
          <cell r="B105">
            <v>0</v>
          </cell>
          <cell r="C105">
            <v>0</v>
          </cell>
          <cell r="D105">
            <v>1</v>
          </cell>
          <cell r="E105">
            <v>0</v>
          </cell>
          <cell r="F105">
            <v>0</v>
          </cell>
          <cell r="G105">
            <v>4.0011382113821137</v>
          </cell>
          <cell r="H105">
            <v>208.44547008853809</v>
          </cell>
        </row>
        <row r="106">
          <cell r="A106">
            <v>0</v>
          </cell>
          <cell r="B106">
            <v>0</v>
          </cell>
          <cell r="C106">
            <v>0</v>
          </cell>
          <cell r="E106">
            <v>0</v>
          </cell>
          <cell r="F106">
            <v>0</v>
          </cell>
          <cell r="G106">
            <v>0</v>
          </cell>
        </row>
        <row r="107">
          <cell r="A107" t="str">
            <v>AF</v>
          </cell>
          <cell r="B107" t="str">
            <v>GEF-R-1</v>
          </cell>
          <cell r="C107">
            <v>26.4</v>
          </cell>
          <cell r="D107">
            <v>11.3</v>
          </cell>
          <cell r="E107" t="e">
            <v>#REF!</v>
          </cell>
          <cell r="F107" t="e">
            <v>#REF!</v>
          </cell>
          <cell r="G107">
            <v>4.0011382113821137</v>
          </cell>
          <cell r="H107">
            <v>8.6808566288721991</v>
          </cell>
          <cell r="I107">
            <v>0.97430000000000005</v>
          </cell>
        </row>
        <row r="108">
          <cell r="A108">
            <v>0</v>
          </cell>
          <cell r="B108">
            <v>0</v>
          </cell>
          <cell r="C108">
            <v>0</v>
          </cell>
          <cell r="D108">
            <v>28.6</v>
          </cell>
          <cell r="E108">
            <v>0</v>
          </cell>
          <cell r="F108">
            <v>0</v>
          </cell>
          <cell r="G108">
            <v>4.0011382113821137</v>
          </cell>
          <cell r="H108">
            <v>0.1</v>
          </cell>
        </row>
        <row r="109">
          <cell r="A109">
            <v>0</v>
          </cell>
          <cell r="B109">
            <v>0</v>
          </cell>
          <cell r="C109">
            <v>0</v>
          </cell>
          <cell r="D109">
            <v>22.7</v>
          </cell>
          <cell r="E109">
            <v>0</v>
          </cell>
          <cell r="F109">
            <v>0</v>
          </cell>
          <cell r="G109">
            <v>4.0011382113821137</v>
          </cell>
          <cell r="H109">
            <v>0.1</v>
          </cell>
        </row>
        <row r="110">
          <cell r="A110">
            <v>0</v>
          </cell>
          <cell r="B110">
            <v>0</v>
          </cell>
          <cell r="C110">
            <v>0</v>
          </cell>
          <cell r="D110">
            <v>18</v>
          </cell>
          <cell r="E110">
            <v>0</v>
          </cell>
          <cell r="F110">
            <v>0</v>
          </cell>
          <cell r="G110">
            <v>4.0011382113821137</v>
          </cell>
          <cell r="H110">
            <v>0.1</v>
          </cell>
        </row>
        <row r="111">
          <cell r="A111">
            <v>0</v>
          </cell>
          <cell r="B111">
            <v>0</v>
          </cell>
          <cell r="C111">
            <v>0</v>
          </cell>
          <cell r="D111">
            <v>14.3</v>
          </cell>
          <cell r="E111">
            <v>0</v>
          </cell>
          <cell r="F111">
            <v>0</v>
          </cell>
          <cell r="G111">
            <v>4.0011382113821137</v>
          </cell>
          <cell r="H111">
            <v>8.6808566288721991</v>
          </cell>
        </row>
        <row r="112">
          <cell r="A112">
            <v>0</v>
          </cell>
          <cell r="B112">
            <v>0</v>
          </cell>
          <cell r="C112">
            <v>0</v>
          </cell>
          <cell r="D112">
            <v>10.6</v>
          </cell>
          <cell r="E112">
            <v>0</v>
          </cell>
          <cell r="F112">
            <v>0</v>
          </cell>
          <cell r="G112">
            <v>4.0011382113821137</v>
          </cell>
          <cell r="H112">
            <v>11.71096696159174</v>
          </cell>
        </row>
        <row r="113">
          <cell r="A113">
            <v>0</v>
          </cell>
          <cell r="B113">
            <v>0</v>
          </cell>
          <cell r="C113">
            <v>0</v>
          </cell>
          <cell r="D113">
            <v>7.9</v>
          </cell>
          <cell r="E113">
            <v>0</v>
          </cell>
          <cell r="F113">
            <v>0</v>
          </cell>
          <cell r="G113">
            <v>4.0011382113821137</v>
          </cell>
          <cell r="H113">
            <v>15.713449340869929</v>
          </cell>
        </row>
        <row r="114">
          <cell r="A114">
            <v>0</v>
          </cell>
          <cell r="B114">
            <v>0</v>
          </cell>
          <cell r="C114">
            <v>0</v>
          </cell>
          <cell r="D114">
            <v>5.9</v>
          </cell>
          <cell r="E114">
            <v>0</v>
          </cell>
          <cell r="F114">
            <v>0</v>
          </cell>
          <cell r="G114">
            <v>4.0011382113821137</v>
          </cell>
          <cell r="H114">
            <v>21.040042337774988</v>
          </cell>
        </row>
        <row r="115">
          <cell r="A115">
            <v>0</v>
          </cell>
          <cell r="B115">
            <v>0</v>
          </cell>
          <cell r="C115">
            <v>0</v>
          </cell>
          <cell r="D115">
            <v>4.4000000000000004</v>
          </cell>
          <cell r="E115">
            <v>0</v>
          </cell>
          <cell r="F115">
            <v>0</v>
          </cell>
          <cell r="G115">
            <v>4.0011382113821137</v>
          </cell>
          <cell r="H115">
            <v>28.212784043834642</v>
          </cell>
        </row>
        <row r="116">
          <cell r="A116">
            <v>0</v>
          </cell>
          <cell r="B116">
            <v>0</v>
          </cell>
          <cell r="C116">
            <v>0</v>
          </cell>
          <cell r="D116">
            <v>3.3</v>
          </cell>
          <cell r="E116">
            <v>0</v>
          </cell>
          <cell r="F116">
            <v>0</v>
          </cell>
          <cell r="G116">
            <v>4.0011382113821137</v>
          </cell>
          <cell r="H116">
            <v>37.617045391779527</v>
          </cell>
        </row>
        <row r="117">
          <cell r="A117">
            <v>0</v>
          </cell>
          <cell r="B117">
            <v>0</v>
          </cell>
          <cell r="C117">
            <v>0</v>
          </cell>
          <cell r="D117">
            <v>2.4</v>
          </cell>
          <cell r="E117">
            <v>0</v>
          </cell>
          <cell r="F117">
            <v>0</v>
          </cell>
          <cell r="G117">
            <v>4.0011382113821137</v>
          </cell>
          <cell r="H117">
            <v>51.72343741369685</v>
          </cell>
        </row>
        <row r="118">
          <cell r="A118">
            <v>0</v>
          </cell>
          <cell r="B118">
            <v>0</v>
          </cell>
          <cell r="C118">
            <v>0</v>
          </cell>
          <cell r="D118">
            <v>1.8</v>
          </cell>
          <cell r="E118">
            <v>0</v>
          </cell>
          <cell r="F118">
            <v>0</v>
          </cell>
          <cell r="G118">
            <v>4.0011382113821137</v>
          </cell>
          <cell r="H118">
            <v>68.964583218262462</v>
          </cell>
        </row>
        <row r="119">
          <cell r="A119">
            <v>0</v>
          </cell>
          <cell r="B119">
            <v>0</v>
          </cell>
          <cell r="C119">
            <v>0</v>
          </cell>
          <cell r="D119">
            <v>1.3</v>
          </cell>
          <cell r="E119">
            <v>0</v>
          </cell>
          <cell r="F119">
            <v>0</v>
          </cell>
          <cell r="G119">
            <v>4.0011382113821137</v>
          </cell>
          <cell r="H119">
            <v>95.489422917594169</v>
          </cell>
        </row>
        <row r="120">
          <cell r="A120">
            <v>0</v>
          </cell>
          <cell r="B120">
            <v>0</v>
          </cell>
          <cell r="C120">
            <v>0</v>
          </cell>
          <cell r="D120">
            <v>1</v>
          </cell>
          <cell r="E120">
            <v>0</v>
          </cell>
          <cell r="F120">
            <v>0</v>
          </cell>
          <cell r="G120">
            <v>4.0011382113821137</v>
          </cell>
          <cell r="H120">
            <v>124.13624979287242</v>
          </cell>
        </row>
        <row r="121">
          <cell r="A121">
            <v>0</v>
          </cell>
          <cell r="B121">
            <v>0</v>
          </cell>
          <cell r="C121">
            <v>0</v>
          </cell>
          <cell r="D121">
            <v>1</v>
          </cell>
          <cell r="E121">
            <v>0</v>
          </cell>
          <cell r="F121">
            <v>0</v>
          </cell>
          <cell r="G121">
            <v>4.0011382113821137</v>
          </cell>
          <cell r="H121">
            <v>124.13624979287242</v>
          </cell>
        </row>
        <row r="122">
          <cell r="A122">
            <v>0</v>
          </cell>
          <cell r="B122">
            <v>0</v>
          </cell>
          <cell r="C122">
            <v>0</v>
          </cell>
          <cell r="D122">
            <v>1</v>
          </cell>
          <cell r="E122">
            <v>0</v>
          </cell>
          <cell r="F122">
            <v>0</v>
          </cell>
          <cell r="G122">
            <v>4.0011382113821137</v>
          </cell>
          <cell r="H122">
            <v>124.13624979287242</v>
          </cell>
        </row>
        <row r="123">
          <cell r="A123">
            <v>0</v>
          </cell>
          <cell r="B123">
            <v>0</v>
          </cell>
          <cell r="C123">
            <v>0</v>
          </cell>
          <cell r="E123">
            <v>0</v>
          </cell>
          <cell r="F123">
            <v>0</v>
          </cell>
          <cell r="G123">
            <v>0</v>
          </cell>
        </row>
        <row r="124">
          <cell r="A124" t="str">
            <v>AG</v>
          </cell>
          <cell r="B124" t="str">
            <v>GEF-R-2</v>
          </cell>
          <cell r="C124">
            <v>16.600000000000001</v>
          </cell>
          <cell r="D124">
            <v>11.3</v>
          </cell>
          <cell r="E124" t="e">
            <v>#REF!</v>
          </cell>
          <cell r="F124" t="e">
            <v>#REF!</v>
          </cell>
          <cell r="G124">
            <v>4.0011382113821137</v>
          </cell>
          <cell r="H124">
            <v>1.5060763307922846</v>
          </cell>
          <cell r="I124">
            <v>0.97430000000000005</v>
          </cell>
        </row>
        <row r="125">
          <cell r="A125">
            <v>0</v>
          </cell>
          <cell r="B125">
            <v>0</v>
          </cell>
          <cell r="C125">
            <v>0</v>
          </cell>
          <cell r="D125">
            <v>28.6</v>
          </cell>
          <cell r="E125">
            <v>0</v>
          </cell>
          <cell r="F125">
            <v>0</v>
          </cell>
          <cell r="G125">
            <v>4.0011382113821137</v>
          </cell>
          <cell r="H125">
            <v>0.1</v>
          </cell>
        </row>
        <row r="126">
          <cell r="A126">
            <v>0</v>
          </cell>
          <cell r="B126">
            <v>0</v>
          </cell>
          <cell r="C126">
            <v>0</v>
          </cell>
          <cell r="D126">
            <v>22.7</v>
          </cell>
          <cell r="E126">
            <v>0</v>
          </cell>
          <cell r="F126">
            <v>0</v>
          </cell>
          <cell r="G126">
            <v>4.0011382113821137</v>
          </cell>
          <cell r="H126">
            <v>0.1</v>
          </cell>
        </row>
        <row r="127">
          <cell r="A127">
            <v>0</v>
          </cell>
          <cell r="B127">
            <v>0</v>
          </cell>
          <cell r="C127">
            <v>0</v>
          </cell>
          <cell r="D127">
            <v>18</v>
          </cell>
          <cell r="E127">
            <v>0</v>
          </cell>
          <cell r="F127">
            <v>0</v>
          </cell>
          <cell r="G127">
            <v>4.0011382113821137</v>
          </cell>
          <cell r="H127">
            <v>0.1</v>
          </cell>
        </row>
        <row r="128">
          <cell r="A128">
            <v>0</v>
          </cell>
          <cell r="B128">
            <v>0</v>
          </cell>
          <cell r="C128">
            <v>0</v>
          </cell>
          <cell r="D128">
            <v>14.3</v>
          </cell>
          <cell r="E128">
            <v>0</v>
          </cell>
          <cell r="F128">
            <v>0</v>
          </cell>
          <cell r="G128">
            <v>4.0011382113821137</v>
          </cell>
          <cell r="H128">
            <v>1.5060763307922846</v>
          </cell>
        </row>
        <row r="129">
          <cell r="A129">
            <v>0</v>
          </cell>
          <cell r="B129">
            <v>0</v>
          </cell>
          <cell r="C129">
            <v>0</v>
          </cell>
          <cell r="D129">
            <v>10.6</v>
          </cell>
          <cell r="E129">
            <v>0</v>
          </cell>
          <cell r="F129">
            <v>0</v>
          </cell>
          <cell r="G129">
            <v>4.0011382113821137</v>
          </cell>
          <cell r="H129">
            <v>2.0317822198424218</v>
          </cell>
        </row>
        <row r="130">
          <cell r="A130">
            <v>0</v>
          </cell>
          <cell r="B130">
            <v>0</v>
          </cell>
          <cell r="C130">
            <v>0</v>
          </cell>
          <cell r="D130">
            <v>7.9</v>
          </cell>
          <cell r="E130">
            <v>0</v>
          </cell>
          <cell r="F130">
            <v>0</v>
          </cell>
          <cell r="G130">
            <v>4.0011382113821137</v>
          </cell>
          <cell r="H130">
            <v>2.7261888013075528</v>
          </cell>
        </row>
        <row r="131">
          <cell r="A131">
            <v>0</v>
          </cell>
          <cell r="B131">
            <v>0</v>
          </cell>
          <cell r="C131">
            <v>0</v>
          </cell>
          <cell r="D131">
            <v>5.9</v>
          </cell>
          <cell r="E131">
            <v>0</v>
          </cell>
          <cell r="F131">
            <v>0</v>
          </cell>
          <cell r="G131">
            <v>4.0011382113821137</v>
          </cell>
          <cell r="H131">
            <v>3.6503205983609606</v>
          </cell>
        </row>
        <row r="132">
          <cell r="A132">
            <v>0</v>
          </cell>
          <cell r="B132">
            <v>0</v>
          </cell>
          <cell r="C132">
            <v>0</v>
          </cell>
          <cell r="D132">
            <v>4.4000000000000004</v>
          </cell>
          <cell r="E132">
            <v>0</v>
          </cell>
          <cell r="F132">
            <v>0</v>
          </cell>
          <cell r="G132">
            <v>4.0011382113821137</v>
          </cell>
          <cell r="H132">
            <v>4.8947480750749239</v>
          </cell>
        </row>
        <row r="133">
          <cell r="A133">
            <v>0</v>
          </cell>
          <cell r="B133">
            <v>0</v>
          </cell>
          <cell r="C133">
            <v>0</v>
          </cell>
          <cell r="D133">
            <v>3.3</v>
          </cell>
          <cell r="E133">
            <v>0</v>
          </cell>
          <cell r="F133">
            <v>0</v>
          </cell>
          <cell r="G133">
            <v>4.0011382113821137</v>
          </cell>
          <cell r="H133">
            <v>6.5263307667665655</v>
          </cell>
        </row>
        <row r="134">
          <cell r="A134">
            <v>0</v>
          </cell>
          <cell r="B134">
            <v>0</v>
          </cell>
          <cell r="C134">
            <v>0</v>
          </cell>
          <cell r="D134">
            <v>2.4</v>
          </cell>
          <cell r="E134">
            <v>0</v>
          </cell>
          <cell r="F134">
            <v>0</v>
          </cell>
          <cell r="G134">
            <v>4.0011382113821137</v>
          </cell>
          <cell r="H134">
            <v>8.9737048043040275</v>
          </cell>
        </row>
        <row r="135">
          <cell r="A135">
            <v>0</v>
          </cell>
          <cell r="B135">
            <v>0</v>
          </cell>
          <cell r="C135">
            <v>0</v>
          </cell>
          <cell r="D135">
            <v>1.8</v>
          </cell>
          <cell r="E135">
            <v>0</v>
          </cell>
          <cell r="F135">
            <v>0</v>
          </cell>
          <cell r="G135">
            <v>4.0011382113821137</v>
          </cell>
          <cell r="H135">
            <v>11.964939739072037</v>
          </cell>
        </row>
        <row r="136">
          <cell r="A136">
            <v>0</v>
          </cell>
          <cell r="B136">
            <v>0</v>
          </cell>
          <cell r="C136">
            <v>0</v>
          </cell>
          <cell r="D136">
            <v>1.3</v>
          </cell>
          <cell r="E136">
            <v>0</v>
          </cell>
          <cell r="F136">
            <v>0</v>
          </cell>
          <cell r="G136">
            <v>4.0011382113821137</v>
          </cell>
          <cell r="H136">
            <v>16.566839638715127</v>
          </cell>
        </row>
        <row r="137">
          <cell r="A137">
            <v>0</v>
          </cell>
          <cell r="B137">
            <v>0</v>
          </cell>
          <cell r="C137">
            <v>0</v>
          </cell>
          <cell r="D137">
            <v>1</v>
          </cell>
          <cell r="E137">
            <v>0</v>
          </cell>
          <cell r="F137">
            <v>0</v>
          </cell>
          <cell r="G137">
            <v>4.0011382113821137</v>
          </cell>
          <cell r="H137">
            <v>21.536891530329665</v>
          </cell>
        </row>
        <row r="138">
          <cell r="A138">
            <v>0</v>
          </cell>
          <cell r="B138">
            <v>0</v>
          </cell>
          <cell r="C138">
            <v>0</v>
          </cell>
          <cell r="D138">
            <v>1</v>
          </cell>
          <cell r="E138">
            <v>0</v>
          </cell>
          <cell r="F138">
            <v>0</v>
          </cell>
          <cell r="G138">
            <v>4.0011382113821137</v>
          </cell>
          <cell r="H138">
            <v>21.536891530329665</v>
          </cell>
        </row>
        <row r="139">
          <cell r="A139">
            <v>0</v>
          </cell>
          <cell r="B139">
            <v>0</v>
          </cell>
          <cell r="C139">
            <v>0</v>
          </cell>
          <cell r="D139">
            <v>1</v>
          </cell>
          <cell r="E139">
            <v>0</v>
          </cell>
          <cell r="F139">
            <v>0</v>
          </cell>
          <cell r="G139">
            <v>4.0011382113821137</v>
          </cell>
          <cell r="H139">
            <v>21.536891530329665</v>
          </cell>
        </row>
        <row r="140">
          <cell r="A140">
            <v>0</v>
          </cell>
          <cell r="B140">
            <v>0</v>
          </cell>
          <cell r="C140">
            <v>0</v>
          </cell>
          <cell r="E140">
            <v>0</v>
          </cell>
          <cell r="F140">
            <v>0</v>
          </cell>
          <cell r="G140">
            <v>0</v>
          </cell>
        </row>
        <row r="141">
          <cell r="A141" t="str">
            <v>AH</v>
          </cell>
          <cell r="B141" t="str">
            <v>DG</v>
          </cell>
          <cell r="C141">
            <v>5</v>
          </cell>
          <cell r="D141">
            <v>11.3</v>
          </cell>
          <cell r="E141" t="e">
            <v>#REF!</v>
          </cell>
          <cell r="F141" t="e">
            <v>#REF!</v>
          </cell>
          <cell r="G141">
            <v>4.0011382113821137</v>
          </cell>
          <cell r="H141">
            <v>14.41397977680252</v>
          </cell>
          <cell r="I141">
            <v>0.97430000000000005</v>
          </cell>
        </row>
        <row r="142">
          <cell r="A142">
            <v>0</v>
          </cell>
          <cell r="B142">
            <v>0</v>
          </cell>
          <cell r="C142">
            <v>0</v>
          </cell>
          <cell r="D142">
            <v>28.6</v>
          </cell>
          <cell r="E142">
            <v>0</v>
          </cell>
          <cell r="F142">
            <v>0</v>
          </cell>
          <cell r="G142">
            <v>4.0011382113821137</v>
          </cell>
          <cell r="H142">
            <v>0.1</v>
          </cell>
        </row>
        <row r="143">
          <cell r="A143">
            <v>0</v>
          </cell>
          <cell r="B143">
            <v>0</v>
          </cell>
          <cell r="C143">
            <v>0</v>
          </cell>
          <cell r="D143">
            <v>22.7</v>
          </cell>
          <cell r="E143">
            <v>0</v>
          </cell>
          <cell r="F143">
            <v>0</v>
          </cell>
          <cell r="G143">
            <v>4.0011382113821137</v>
          </cell>
          <cell r="H143">
            <v>0.1</v>
          </cell>
        </row>
        <row r="144">
          <cell r="A144">
            <v>0</v>
          </cell>
          <cell r="B144">
            <v>0</v>
          </cell>
          <cell r="C144">
            <v>0</v>
          </cell>
          <cell r="D144">
            <v>18</v>
          </cell>
          <cell r="E144">
            <v>0</v>
          </cell>
          <cell r="F144">
            <v>0</v>
          </cell>
          <cell r="G144">
            <v>4.0011382113821137</v>
          </cell>
          <cell r="H144">
            <v>0.1</v>
          </cell>
        </row>
        <row r="145">
          <cell r="A145">
            <v>0</v>
          </cell>
          <cell r="B145">
            <v>0</v>
          </cell>
          <cell r="C145">
            <v>0</v>
          </cell>
          <cell r="D145">
            <v>14.3</v>
          </cell>
          <cell r="E145">
            <v>0</v>
          </cell>
          <cell r="F145">
            <v>0</v>
          </cell>
          <cell r="G145">
            <v>4.0011382113821137</v>
          </cell>
          <cell r="H145">
            <v>14.41397977680252</v>
          </cell>
        </row>
        <row r="146">
          <cell r="A146">
            <v>0</v>
          </cell>
          <cell r="B146">
            <v>0</v>
          </cell>
          <cell r="C146">
            <v>0</v>
          </cell>
          <cell r="D146">
            <v>10.6</v>
          </cell>
          <cell r="E146">
            <v>0</v>
          </cell>
          <cell r="F146">
            <v>0</v>
          </cell>
          <cell r="G146">
            <v>4.0011382113821137</v>
          </cell>
          <cell r="H146">
            <v>19.445274604554346</v>
          </cell>
        </row>
        <row r="147">
          <cell r="A147">
            <v>0</v>
          </cell>
          <cell r="B147">
            <v>0</v>
          </cell>
          <cell r="C147">
            <v>0</v>
          </cell>
          <cell r="D147">
            <v>7.9</v>
          </cell>
          <cell r="E147">
            <v>0</v>
          </cell>
          <cell r="F147">
            <v>0</v>
          </cell>
          <cell r="G147">
            <v>4.0011382113821137</v>
          </cell>
          <cell r="H147">
            <v>26.091127950414688</v>
          </cell>
        </row>
        <row r="148">
          <cell r="A148">
            <v>0</v>
          </cell>
          <cell r="B148">
            <v>0</v>
          </cell>
          <cell r="C148">
            <v>0</v>
          </cell>
          <cell r="D148">
            <v>5.9</v>
          </cell>
          <cell r="E148">
            <v>0</v>
          </cell>
          <cell r="F148">
            <v>0</v>
          </cell>
          <cell r="G148">
            <v>4.0011382113821137</v>
          </cell>
          <cell r="H148">
            <v>34.935578103097633</v>
          </cell>
        </row>
        <row r="149">
          <cell r="A149">
            <v>0</v>
          </cell>
          <cell r="B149">
            <v>0</v>
          </cell>
          <cell r="C149">
            <v>0</v>
          </cell>
          <cell r="D149">
            <v>4.4000000000000004</v>
          </cell>
          <cell r="E149">
            <v>0</v>
          </cell>
          <cell r="F149">
            <v>0</v>
          </cell>
          <cell r="G149">
            <v>4.0011382113821137</v>
          </cell>
          <cell r="H149">
            <v>46.845434274608188</v>
          </cell>
        </row>
        <row r="150">
          <cell r="A150">
            <v>0</v>
          </cell>
          <cell r="B150">
            <v>0</v>
          </cell>
          <cell r="C150">
            <v>0</v>
          </cell>
          <cell r="D150">
            <v>3.3</v>
          </cell>
          <cell r="E150">
            <v>0</v>
          </cell>
          <cell r="F150">
            <v>0</v>
          </cell>
          <cell r="G150">
            <v>4.0011382113821137</v>
          </cell>
          <cell r="H150">
            <v>62.460579032810926</v>
          </cell>
        </row>
        <row r="151">
          <cell r="A151">
            <v>0</v>
          </cell>
          <cell r="B151">
            <v>0</v>
          </cell>
          <cell r="C151">
            <v>0</v>
          </cell>
          <cell r="D151">
            <v>2.4</v>
          </cell>
          <cell r="E151">
            <v>0</v>
          </cell>
          <cell r="F151">
            <v>0</v>
          </cell>
          <cell r="G151">
            <v>4.0011382113821137</v>
          </cell>
          <cell r="H151">
            <v>85.883296170115017</v>
          </cell>
        </row>
        <row r="152">
          <cell r="A152">
            <v>0</v>
          </cell>
          <cell r="B152">
            <v>0</v>
          </cell>
          <cell r="C152">
            <v>0</v>
          </cell>
          <cell r="D152">
            <v>1.8</v>
          </cell>
          <cell r="E152">
            <v>0</v>
          </cell>
          <cell r="F152">
            <v>0</v>
          </cell>
          <cell r="G152">
            <v>4.0011382113821137</v>
          </cell>
          <cell r="H152">
            <v>114.51106156015335</v>
          </cell>
        </row>
        <row r="153">
          <cell r="A153">
            <v>0</v>
          </cell>
          <cell r="B153">
            <v>0</v>
          </cell>
          <cell r="C153">
            <v>0</v>
          </cell>
          <cell r="D153">
            <v>1.3</v>
          </cell>
          <cell r="E153">
            <v>0</v>
          </cell>
          <cell r="F153">
            <v>0</v>
          </cell>
          <cell r="G153">
            <v>4.0011382113821137</v>
          </cell>
          <cell r="H153">
            <v>158.55377754482771</v>
          </cell>
        </row>
        <row r="154">
          <cell r="A154">
            <v>0</v>
          </cell>
          <cell r="B154">
            <v>0</v>
          </cell>
          <cell r="C154">
            <v>0</v>
          </cell>
          <cell r="D154">
            <v>1</v>
          </cell>
          <cell r="E154">
            <v>0</v>
          </cell>
          <cell r="F154">
            <v>0</v>
          </cell>
          <cell r="G154">
            <v>4.0011382113821137</v>
          </cell>
          <cell r="H154">
            <v>206.11991080827602</v>
          </cell>
        </row>
        <row r="155">
          <cell r="A155">
            <v>0</v>
          </cell>
          <cell r="B155">
            <v>0</v>
          </cell>
          <cell r="C155">
            <v>0</v>
          </cell>
          <cell r="D155">
            <v>1</v>
          </cell>
          <cell r="E155">
            <v>0</v>
          </cell>
          <cell r="F155">
            <v>0</v>
          </cell>
          <cell r="G155">
            <v>4.0011382113821137</v>
          </cell>
          <cell r="H155">
            <v>206.11991080827602</v>
          </cell>
        </row>
        <row r="156">
          <cell r="A156">
            <v>0</v>
          </cell>
          <cell r="B156">
            <v>0</v>
          </cell>
          <cell r="C156">
            <v>0</v>
          </cell>
          <cell r="D156">
            <v>1</v>
          </cell>
          <cell r="E156">
            <v>0</v>
          </cell>
          <cell r="F156">
            <v>0</v>
          </cell>
          <cell r="G156">
            <v>4.0011382113821137</v>
          </cell>
          <cell r="H156">
            <v>206.11991080827602</v>
          </cell>
        </row>
        <row r="157">
          <cell r="A157">
            <v>0</v>
          </cell>
          <cell r="B157">
            <v>0</v>
          </cell>
          <cell r="C157">
            <v>0</v>
          </cell>
          <cell r="E157">
            <v>0</v>
          </cell>
          <cell r="F157">
            <v>0</v>
          </cell>
          <cell r="G157">
            <v>0</v>
          </cell>
        </row>
        <row r="158">
          <cell r="A158" t="str">
            <v>BA</v>
          </cell>
          <cell r="B158" t="str">
            <v>LEF-1A,B</v>
          </cell>
          <cell r="C158">
            <v>30</v>
          </cell>
          <cell r="D158">
            <v>11.3</v>
          </cell>
          <cell r="E158" t="e">
            <v>#REF!</v>
          </cell>
          <cell r="F158" t="e">
            <v>#REF!</v>
          </cell>
          <cell r="G158">
            <v>4.0011382113821137</v>
          </cell>
          <cell r="H158">
            <v>42.399131324175798</v>
          </cell>
          <cell r="I158">
            <v>0.97430000000000005</v>
          </cell>
        </row>
        <row r="159">
          <cell r="A159">
            <v>0</v>
          </cell>
          <cell r="B159">
            <v>0</v>
          </cell>
          <cell r="C159">
            <v>0</v>
          </cell>
          <cell r="D159">
            <v>28.6</v>
          </cell>
          <cell r="E159">
            <v>0</v>
          </cell>
          <cell r="F159">
            <v>0</v>
          </cell>
          <cell r="G159">
            <v>4.0011382113821137</v>
          </cell>
          <cell r="H159">
            <v>0.1</v>
          </cell>
        </row>
        <row r="160">
          <cell r="A160">
            <v>0</v>
          </cell>
          <cell r="B160">
            <v>0</v>
          </cell>
          <cell r="C160">
            <v>0</v>
          </cell>
          <cell r="D160">
            <v>22.7</v>
          </cell>
          <cell r="E160">
            <v>0</v>
          </cell>
          <cell r="F160">
            <v>0</v>
          </cell>
          <cell r="G160">
            <v>4.0011382113821137</v>
          </cell>
          <cell r="H160">
            <v>0.1</v>
          </cell>
        </row>
        <row r="161">
          <cell r="A161">
            <v>0</v>
          </cell>
          <cell r="B161">
            <v>0</v>
          </cell>
          <cell r="C161">
            <v>0</v>
          </cell>
          <cell r="D161">
            <v>18</v>
          </cell>
          <cell r="E161">
            <v>0</v>
          </cell>
          <cell r="F161">
            <v>0</v>
          </cell>
          <cell r="G161">
            <v>4.0011382113821137</v>
          </cell>
          <cell r="H161">
            <v>0.1</v>
          </cell>
        </row>
        <row r="162">
          <cell r="A162">
            <v>0</v>
          </cell>
          <cell r="B162">
            <v>0</v>
          </cell>
          <cell r="C162">
            <v>0</v>
          </cell>
          <cell r="D162">
            <v>14.3</v>
          </cell>
          <cell r="E162">
            <v>0</v>
          </cell>
          <cell r="F162">
            <v>0</v>
          </cell>
          <cell r="G162">
            <v>4.0011382113821137</v>
          </cell>
          <cell r="H162">
            <v>42.399131324175798</v>
          </cell>
        </row>
        <row r="163">
          <cell r="A163">
            <v>0</v>
          </cell>
          <cell r="B163">
            <v>0</v>
          </cell>
          <cell r="C163">
            <v>0</v>
          </cell>
          <cell r="D163">
            <v>10.6</v>
          </cell>
          <cell r="E163">
            <v>0</v>
          </cell>
          <cell r="F163">
            <v>0</v>
          </cell>
          <cell r="G163">
            <v>4.0011382113821137</v>
          </cell>
          <cell r="H163">
            <v>57.198828107142823</v>
          </cell>
        </row>
        <row r="164">
          <cell r="A164">
            <v>0</v>
          </cell>
          <cell r="B164">
            <v>0</v>
          </cell>
          <cell r="C164">
            <v>0</v>
          </cell>
          <cell r="D164">
            <v>7.9</v>
          </cell>
          <cell r="E164">
            <v>0</v>
          </cell>
          <cell r="F164">
            <v>0</v>
          </cell>
          <cell r="G164">
            <v>4.0011382113821137</v>
          </cell>
          <cell r="H164">
            <v>76.747794675406823</v>
          </cell>
        </row>
        <row r="165">
          <cell r="A165">
            <v>0</v>
          </cell>
          <cell r="B165">
            <v>0</v>
          </cell>
          <cell r="C165">
            <v>0</v>
          </cell>
          <cell r="D165">
            <v>5.9</v>
          </cell>
          <cell r="E165">
            <v>0</v>
          </cell>
          <cell r="F165">
            <v>0</v>
          </cell>
          <cell r="G165">
            <v>4.0011382113821137</v>
          </cell>
          <cell r="H165">
            <v>102.7639962602905</v>
          </cell>
        </row>
        <row r="166">
          <cell r="A166">
            <v>0</v>
          </cell>
          <cell r="B166">
            <v>0</v>
          </cell>
          <cell r="C166">
            <v>0</v>
          </cell>
          <cell r="D166">
            <v>4.4000000000000004</v>
          </cell>
          <cell r="E166">
            <v>0</v>
          </cell>
          <cell r="F166">
            <v>0</v>
          </cell>
          <cell r="G166">
            <v>4.0011382113821137</v>
          </cell>
          <cell r="H166">
            <v>137.79717680357135</v>
          </cell>
        </row>
        <row r="167">
          <cell r="A167">
            <v>0</v>
          </cell>
          <cell r="B167">
            <v>0</v>
          </cell>
          <cell r="C167">
            <v>0</v>
          </cell>
          <cell r="D167">
            <v>3.3</v>
          </cell>
          <cell r="E167">
            <v>0</v>
          </cell>
          <cell r="F167">
            <v>0</v>
          </cell>
          <cell r="G167">
            <v>4.0011382113821137</v>
          </cell>
          <cell r="H167">
            <v>183.72956907142847</v>
          </cell>
        </row>
        <row r="168">
          <cell r="A168">
            <v>0</v>
          </cell>
          <cell r="B168">
            <v>0</v>
          </cell>
          <cell r="C168">
            <v>0</v>
          </cell>
          <cell r="D168">
            <v>2.4</v>
          </cell>
          <cell r="E168">
            <v>0</v>
          </cell>
          <cell r="F168">
            <v>0</v>
          </cell>
          <cell r="G168">
            <v>4.0011382113821137</v>
          </cell>
          <cell r="H168">
            <v>252.62815747321415</v>
          </cell>
        </row>
        <row r="169">
          <cell r="A169">
            <v>0</v>
          </cell>
          <cell r="B169">
            <v>0</v>
          </cell>
          <cell r="C169">
            <v>0</v>
          </cell>
          <cell r="D169">
            <v>1.8</v>
          </cell>
          <cell r="E169">
            <v>0</v>
          </cell>
          <cell r="F169">
            <v>0</v>
          </cell>
          <cell r="G169">
            <v>4.0011382113821137</v>
          </cell>
          <cell r="H169">
            <v>336.83754329761882</v>
          </cell>
        </row>
        <row r="170">
          <cell r="A170">
            <v>0</v>
          </cell>
          <cell r="B170">
            <v>0</v>
          </cell>
          <cell r="C170">
            <v>0</v>
          </cell>
          <cell r="D170">
            <v>1.3</v>
          </cell>
          <cell r="E170">
            <v>0</v>
          </cell>
          <cell r="F170">
            <v>0</v>
          </cell>
          <cell r="G170">
            <v>4.0011382113821137</v>
          </cell>
          <cell r="H170">
            <v>466.39044456593376</v>
          </cell>
        </row>
        <row r="171">
          <cell r="A171">
            <v>0</v>
          </cell>
          <cell r="B171">
            <v>0</v>
          </cell>
          <cell r="C171">
            <v>0</v>
          </cell>
          <cell r="D171">
            <v>1</v>
          </cell>
          <cell r="E171">
            <v>0</v>
          </cell>
          <cell r="F171">
            <v>0</v>
          </cell>
          <cell r="G171">
            <v>4.0011382113821137</v>
          </cell>
          <cell r="H171">
            <v>606.30757793571388</v>
          </cell>
        </row>
        <row r="172">
          <cell r="A172">
            <v>0</v>
          </cell>
          <cell r="B172">
            <v>0</v>
          </cell>
          <cell r="C172">
            <v>0</v>
          </cell>
          <cell r="D172">
            <v>1</v>
          </cell>
          <cell r="E172">
            <v>0</v>
          </cell>
          <cell r="F172">
            <v>0</v>
          </cell>
          <cell r="G172">
            <v>4.0011382113821137</v>
          </cell>
          <cell r="H172">
            <v>606.30757793571388</v>
          </cell>
        </row>
        <row r="173">
          <cell r="A173">
            <v>0</v>
          </cell>
          <cell r="B173">
            <v>0</v>
          </cell>
          <cell r="C173">
            <v>0</v>
          </cell>
          <cell r="D173">
            <v>1</v>
          </cell>
          <cell r="E173">
            <v>0</v>
          </cell>
          <cell r="F173">
            <v>0</v>
          </cell>
          <cell r="G173">
            <v>4.0011382113821137</v>
          </cell>
          <cell r="H173">
            <v>606.30757793571388</v>
          </cell>
        </row>
        <row r="174">
          <cell r="A174">
            <v>0</v>
          </cell>
          <cell r="B174">
            <v>0</v>
          </cell>
          <cell r="C174">
            <v>0</v>
          </cell>
          <cell r="E174">
            <v>0</v>
          </cell>
          <cell r="F174">
            <v>0</v>
          </cell>
          <cell r="G174">
            <v>0</v>
          </cell>
        </row>
        <row r="175">
          <cell r="A175" t="str">
            <v>BB</v>
          </cell>
          <cell r="B175" t="str">
            <v>LEF-2</v>
          </cell>
          <cell r="C175">
            <v>9</v>
          </cell>
          <cell r="D175">
            <v>11.3</v>
          </cell>
          <cell r="E175" t="e">
            <v>#REF!</v>
          </cell>
          <cell r="F175" t="e">
            <v>#REF!</v>
          </cell>
          <cell r="G175">
            <v>4.0011382113821137</v>
          </cell>
          <cell r="H175">
            <v>8.1362470972082175</v>
          </cell>
          <cell r="I175">
            <v>0.97430000000000005</v>
          </cell>
        </row>
        <row r="176">
          <cell r="A176">
            <v>0</v>
          </cell>
          <cell r="B176">
            <v>0</v>
          </cell>
          <cell r="C176">
            <v>0</v>
          </cell>
          <cell r="D176">
            <v>28.6</v>
          </cell>
          <cell r="E176">
            <v>0</v>
          </cell>
          <cell r="F176">
            <v>0</v>
          </cell>
          <cell r="G176">
            <v>4.0011382113821137</v>
          </cell>
          <cell r="H176">
            <v>0.1</v>
          </cell>
        </row>
        <row r="177">
          <cell r="A177">
            <v>0</v>
          </cell>
          <cell r="B177">
            <v>0</v>
          </cell>
          <cell r="C177">
            <v>0</v>
          </cell>
          <cell r="D177">
            <v>22.7</v>
          </cell>
          <cell r="E177">
            <v>0</v>
          </cell>
          <cell r="F177">
            <v>0</v>
          </cell>
          <cell r="G177">
            <v>4.0011382113821137</v>
          </cell>
          <cell r="H177">
            <v>0.1</v>
          </cell>
        </row>
        <row r="178">
          <cell r="A178">
            <v>0</v>
          </cell>
          <cell r="B178">
            <v>0</v>
          </cell>
          <cell r="C178">
            <v>0</v>
          </cell>
          <cell r="D178">
            <v>18</v>
          </cell>
          <cell r="E178">
            <v>0</v>
          </cell>
          <cell r="F178">
            <v>0</v>
          </cell>
          <cell r="G178">
            <v>4.0011382113821137</v>
          </cell>
          <cell r="H178">
            <v>0.1</v>
          </cell>
        </row>
        <row r="179">
          <cell r="A179">
            <v>0</v>
          </cell>
          <cell r="B179">
            <v>0</v>
          </cell>
          <cell r="C179">
            <v>0</v>
          </cell>
          <cell r="D179">
            <v>14.3</v>
          </cell>
          <cell r="E179">
            <v>0</v>
          </cell>
          <cell r="F179">
            <v>0</v>
          </cell>
          <cell r="G179">
            <v>4.0011382113821137</v>
          </cell>
          <cell r="H179">
            <v>8.1362470972082175</v>
          </cell>
        </row>
        <row r="180">
          <cell r="A180">
            <v>0</v>
          </cell>
          <cell r="B180">
            <v>0</v>
          </cell>
          <cell r="C180">
            <v>0</v>
          </cell>
          <cell r="D180">
            <v>10.6</v>
          </cell>
          <cell r="E180">
            <v>0</v>
          </cell>
          <cell r="F180">
            <v>0</v>
          </cell>
          <cell r="G180">
            <v>4.0011382113821137</v>
          </cell>
          <cell r="H180">
            <v>10.976257876422407</v>
          </cell>
        </row>
        <row r="181">
          <cell r="A181">
            <v>0</v>
          </cell>
          <cell r="B181">
            <v>0</v>
          </cell>
          <cell r="C181">
            <v>0</v>
          </cell>
          <cell r="D181">
            <v>7.9</v>
          </cell>
          <cell r="E181">
            <v>0</v>
          </cell>
          <cell r="F181">
            <v>0</v>
          </cell>
          <cell r="G181">
            <v>4.0011382113821137</v>
          </cell>
          <cell r="H181">
            <v>14.727637150642721</v>
          </cell>
        </row>
        <row r="182">
          <cell r="A182">
            <v>0</v>
          </cell>
          <cell r="B182">
            <v>0</v>
          </cell>
          <cell r="C182">
            <v>0</v>
          </cell>
          <cell r="D182">
            <v>5.9</v>
          </cell>
          <cell r="E182">
            <v>0</v>
          </cell>
          <cell r="F182">
            <v>0</v>
          </cell>
          <cell r="G182">
            <v>4.0011382113821137</v>
          </cell>
          <cell r="H182">
            <v>19.720056523741949</v>
          </cell>
        </row>
        <row r="183">
          <cell r="A183">
            <v>0</v>
          </cell>
          <cell r="B183">
            <v>0</v>
          </cell>
          <cell r="C183">
            <v>0</v>
          </cell>
          <cell r="D183">
            <v>4.4000000000000004</v>
          </cell>
          <cell r="E183">
            <v>0</v>
          </cell>
          <cell r="F183">
            <v>0</v>
          </cell>
          <cell r="G183">
            <v>4.0011382113821137</v>
          </cell>
          <cell r="H183">
            <v>26.442803065926704</v>
          </cell>
        </row>
        <row r="184">
          <cell r="A184">
            <v>0</v>
          </cell>
          <cell r="B184">
            <v>0</v>
          </cell>
          <cell r="C184">
            <v>0</v>
          </cell>
          <cell r="D184">
            <v>3.3</v>
          </cell>
          <cell r="E184">
            <v>0</v>
          </cell>
          <cell r="F184">
            <v>0</v>
          </cell>
          <cell r="G184">
            <v>4.0011382113821137</v>
          </cell>
          <cell r="H184">
            <v>35.257070754568943</v>
          </cell>
        </row>
        <row r="185">
          <cell r="A185">
            <v>0</v>
          </cell>
          <cell r="B185">
            <v>0</v>
          </cell>
          <cell r="C185">
            <v>0</v>
          </cell>
          <cell r="D185">
            <v>2.4</v>
          </cell>
          <cell r="E185">
            <v>0</v>
          </cell>
          <cell r="F185">
            <v>0</v>
          </cell>
          <cell r="G185">
            <v>4.0011382113821137</v>
          </cell>
          <cell r="H185">
            <v>48.478472287532298</v>
          </cell>
        </row>
        <row r="186">
          <cell r="A186">
            <v>0</v>
          </cell>
          <cell r="B186">
            <v>0</v>
          </cell>
          <cell r="C186">
            <v>0</v>
          </cell>
          <cell r="D186">
            <v>1.8</v>
          </cell>
          <cell r="E186">
            <v>0</v>
          </cell>
          <cell r="F186">
            <v>0</v>
          </cell>
          <cell r="G186">
            <v>4.0011382113821137</v>
          </cell>
          <cell r="H186">
            <v>64.637963050043055</v>
          </cell>
        </row>
        <row r="187">
          <cell r="A187">
            <v>0</v>
          </cell>
          <cell r="B187">
            <v>0</v>
          </cell>
          <cell r="C187">
            <v>0</v>
          </cell>
          <cell r="D187">
            <v>1.3</v>
          </cell>
          <cell r="E187">
            <v>0</v>
          </cell>
          <cell r="F187">
            <v>0</v>
          </cell>
          <cell r="G187">
            <v>4.0011382113821137</v>
          </cell>
          <cell r="H187">
            <v>89.498718069290376</v>
          </cell>
        </row>
        <row r="188">
          <cell r="A188">
            <v>0</v>
          </cell>
          <cell r="B188">
            <v>0</v>
          </cell>
          <cell r="C188">
            <v>0</v>
          </cell>
          <cell r="D188">
            <v>1</v>
          </cell>
          <cell r="E188">
            <v>0</v>
          </cell>
          <cell r="F188">
            <v>0</v>
          </cell>
          <cell r="G188">
            <v>4.0011382113821137</v>
          </cell>
          <cell r="H188">
            <v>116.34833349007749</v>
          </cell>
        </row>
        <row r="189">
          <cell r="A189">
            <v>0</v>
          </cell>
          <cell r="B189">
            <v>0</v>
          </cell>
          <cell r="C189">
            <v>0</v>
          </cell>
          <cell r="D189">
            <v>1</v>
          </cell>
          <cell r="E189">
            <v>0</v>
          </cell>
          <cell r="F189">
            <v>0</v>
          </cell>
          <cell r="G189">
            <v>4.0011382113821137</v>
          </cell>
          <cell r="H189">
            <v>116.34833349007749</v>
          </cell>
        </row>
        <row r="190">
          <cell r="A190">
            <v>0</v>
          </cell>
          <cell r="B190">
            <v>0</v>
          </cell>
          <cell r="C190">
            <v>0</v>
          </cell>
          <cell r="D190">
            <v>1</v>
          </cell>
          <cell r="E190">
            <v>0</v>
          </cell>
          <cell r="F190">
            <v>0</v>
          </cell>
          <cell r="G190">
            <v>4.0011382113821137</v>
          </cell>
          <cell r="H190">
            <v>116.34833349007749</v>
          </cell>
        </row>
        <row r="191">
          <cell r="A191">
            <v>0</v>
          </cell>
          <cell r="B191">
            <v>0</v>
          </cell>
          <cell r="C191">
            <v>0</v>
          </cell>
          <cell r="E191">
            <v>0</v>
          </cell>
          <cell r="F191">
            <v>0</v>
          </cell>
          <cell r="G191">
            <v>0</v>
          </cell>
        </row>
        <row r="192">
          <cell r="A192" t="str">
            <v>BC</v>
          </cell>
          <cell r="B192" t="str">
            <v>LEF-3</v>
          </cell>
          <cell r="C192">
            <v>10</v>
          </cell>
          <cell r="D192">
            <v>11.3</v>
          </cell>
          <cell r="E192" t="e">
            <v>#REF!</v>
          </cell>
          <cell r="F192" t="e">
            <v>#REF!</v>
          </cell>
          <cell r="G192">
            <v>4.0011382113821137</v>
          </cell>
          <cell r="H192">
            <v>9.0792622594183339</v>
          </cell>
          <cell r="I192">
            <v>0.97430000000000005</v>
          </cell>
        </row>
        <row r="193">
          <cell r="A193">
            <v>0</v>
          </cell>
          <cell r="B193">
            <v>0</v>
          </cell>
          <cell r="C193">
            <v>0</v>
          </cell>
          <cell r="D193">
            <v>28.6</v>
          </cell>
          <cell r="E193">
            <v>0</v>
          </cell>
          <cell r="F193">
            <v>0</v>
          </cell>
          <cell r="G193">
            <v>4.0011382113821137</v>
          </cell>
          <cell r="H193">
            <v>0.1</v>
          </cell>
        </row>
        <row r="194">
          <cell r="A194">
            <v>0</v>
          </cell>
          <cell r="B194">
            <v>0</v>
          </cell>
          <cell r="C194">
            <v>0</v>
          </cell>
          <cell r="D194">
            <v>22.7</v>
          </cell>
          <cell r="E194">
            <v>0</v>
          </cell>
          <cell r="F194">
            <v>0</v>
          </cell>
          <cell r="G194">
            <v>4.0011382113821137</v>
          </cell>
          <cell r="H194">
            <v>0.1</v>
          </cell>
        </row>
        <row r="195">
          <cell r="A195">
            <v>0</v>
          </cell>
          <cell r="B195">
            <v>0</v>
          </cell>
          <cell r="C195">
            <v>0</v>
          </cell>
          <cell r="D195">
            <v>18</v>
          </cell>
          <cell r="E195">
            <v>0</v>
          </cell>
          <cell r="F195">
            <v>0</v>
          </cell>
          <cell r="G195">
            <v>4.0011382113821137</v>
          </cell>
          <cell r="H195">
            <v>0.1</v>
          </cell>
        </row>
        <row r="196">
          <cell r="A196">
            <v>0</v>
          </cell>
          <cell r="B196">
            <v>0</v>
          </cell>
          <cell r="C196">
            <v>0</v>
          </cell>
          <cell r="D196">
            <v>14.3</v>
          </cell>
          <cell r="E196">
            <v>0</v>
          </cell>
          <cell r="F196">
            <v>0</v>
          </cell>
          <cell r="G196">
            <v>4.0011382113821137</v>
          </cell>
          <cell r="H196">
            <v>9.0792622594183339</v>
          </cell>
        </row>
        <row r="197">
          <cell r="A197">
            <v>0</v>
          </cell>
          <cell r="B197">
            <v>0</v>
          </cell>
          <cell r="C197">
            <v>0</v>
          </cell>
          <cell r="D197">
            <v>10.6</v>
          </cell>
          <cell r="E197">
            <v>0</v>
          </cell>
          <cell r="F197">
            <v>0</v>
          </cell>
          <cell r="G197">
            <v>4.0011382113821137</v>
          </cell>
          <cell r="H197">
            <v>12.248438708460583</v>
          </cell>
        </row>
        <row r="198">
          <cell r="A198">
            <v>0</v>
          </cell>
          <cell r="B198">
            <v>0</v>
          </cell>
          <cell r="C198">
            <v>0</v>
          </cell>
          <cell r="D198">
            <v>7.9</v>
          </cell>
          <cell r="E198">
            <v>0</v>
          </cell>
          <cell r="F198">
            <v>0</v>
          </cell>
          <cell r="G198">
            <v>4.0011382113821137</v>
          </cell>
          <cell r="H198">
            <v>16.434613963250907</v>
          </cell>
        </row>
        <row r="199">
          <cell r="A199">
            <v>0</v>
          </cell>
          <cell r="B199">
            <v>0</v>
          </cell>
          <cell r="C199">
            <v>0</v>
          </cell>
          <cell r="D199">
            <v>5.9</v>
          </cell>
          <cell r="E199">
            <v>0</v>
          </cell>
          <cell r="F199">
            <v>0</v>
          </cell>
          <cell r="G199">
            <v>4.0011382113821137</v>
          </cell>
          <cell r="H199">
            <v>22.005669544013926</v>
          </cell>
        </row>
        <row r="200">
          <cell r="A200">
            <v>0</v>
          </cell>
          <cell r="B200">
            <v>0</v>
          </cell>
          <cell r="C200">
            <v>0</v>
          </cell>
          <cell r="D200">
            <v>4.4000000000000004</v>
          </cell>
          <cell r="E200">
            <v>0</v>
          </cell>
          <cell r="F200">
            <v>0</v>
          </cell>
          <cell r="G200">
            <v>4.0011382113821137</v>
          </cell>
          <cell r="H200">
            <v>29.507602343109582</v>
          </cell>
        </row>
        <row r="201">
          <cell r="A201">
            <v>0</v>
          </cell>
          <cell r="B201">
            <v>0</v>
          </cell>
          <cell r="C201">
            <v>0</v>
          </cell>
          <cell r="D201">
            <v>3.3</v>
          </cell>
          <cell r="E201">
            <v>0</v>
          </cell>
          <cell r="F201">
            <v>0</v>
          </cell>
          <cell r="G201">
            <v>4.0011382113821137</v>
          </cell>
          <cell r="H201">
            <v>39.343469790812783</v>
          </cell>
        </row>
        <row r="202">
          <cell r="A202">
            <v>0</v>
          </cell>
          <cell r="B202">
            <v>0</v>
          </cell>
          <cell r="C202">
            <v>0</v>
          </cell>
          <cell r="D202">
            <v>2.4</v>
          </cell>
          <cell r="E202">
            <v>0</v>
          </cell>
          <cell r="F202">
            <v>0</v>
          </cell>
          <cell r="G202">
            <v>4.0011382113821137</v>
          </cell>
          <cell r="H202">
            <v>54.097270962367574</v>
          </cell>
        </row>
        <row r="203">
          <cell r="A203">
            <v>0</v>
          </cell>
          <cell r="B203">
            <v>0</v>
          </cell>
          <cell r="C203">
            <v>0</v>
          </cell>
          <cell r="D203">
            <v>1.8</v>
          </cell>
          <cell r="E203">
            <v>0</v>
          </cell>
          <cell r="F203">
            <v>0</v>
          </cell>
          <cell r="G203">
            <v>4.0011382113821137</v>
          </cell>
          <cell r="H203">
            <v>72.129694616490099</v>
          </cell>
        </row>
        <row r="204">
          <cell r="A204">
            <v>0</v>
          </cell>
          <cell r="B204">
            <v>0</v>
          </cell>
          <cell r="C204">
            <v>0</v>
          </cell>
          <cell r="D204">
            <v>1.3</v>
          </cell>
          <cell r="E204">
            <v>0</v>
          </cell>
          <cell r="F204">
            <v>0</v>
          </cell>
          <cell r="G204">
            <v>4.0011382113821137</v>
          </cell>
          <cell r="H204">
            <v>99.871884853601671</v>
          </cell>
        </row>
        <row r="205">
          <cell r="A205">
            <v>0</v>
          </cell>
          <cell r="B205">
            <v>0</v>
          </cell>
          <cell r="C205">
            <v>0</v>
          </cell>
          <cell r="D205">
            <v>1</v>
          </cell>
          <cell r="E205">
            <v>0</v>
          </cell>
          <cell r="F205">
            <v>0</v>
          </cell>
          <cell r="G205">
            <v>4.0011382113821137</v>
          </cell>
          <cell r="H205">
            <v>129.83345030968218</v>
          </cell>
        </row>
        <row r="206">
          <cell r="A206">
            <v>0</v>
          </cell>
          <cell r="B206">
            <v>0</v>
          </cell>
          <cell r="C206">
            <v>0</v>
          </cell>
          <cell r="D206">
            <v>1</v>
          </cell>
          <cell r="E206">
            <v>0</v>
          </cell>
          <cell r="F206">
            <v>0</v>
          </cell>
          <cell r="G206">
            <v>4.0011382113821137</v>
          </cell>
          <cell r="H206">
            <v>129.83345030968218</v>
          </cell>
        </row>
        <row r="207">
          <cell r="A207">
            <v>0</v>
          </cell>
          <cell r="B207">
            <v>0</v>
          </cell>
          <cell r="C207">
            <v>0</v>
          </cell>
          <cell r="D207">
            <v>1</v>
          </cell>
          <cell r="E207">
            <v>0</v>
          </cell>
          <cell r="F207">
            <v>0</v>
          </cell>
          <cell r="G207">
            <v>4.0011382113821137</v>
          </cell>
          <cell r="H207">
            <v>129.83345030968218</v>
          </cell>
        </row>
        <row r="208">
          <cell r="A208">
            <v>0</v>
          </cell>
          <cell r="B208">
            <v>0</v>
          </cell>
          <cell r="C208">
            <v>0</v>
          </cell>
          <cell r="E208">
            <v>0</v>
          </cell>
          <cell r="F208">
            <v>0</v>
          </cell>
          <cell r="G208">
            <v>0</v>
          </cell>
        </row>
        <row r="209">
          <cell r="A209" t="str">
            <v>BD</v>
          </cell>
          <cell r="B209" t="e">
            <v>#N/A</v>
          </cell>
          <cell r="C209" t="e">
            <v>#N/A</v>
          </cell>
          <cell r="D209">
            <v>11.3</v>
          </cell>
          <cell r="E209" t="e">
            <v>#REF!</v>
          </cell>
          <cell r="F209" t="e">
            <v>#REF!</v>
          </cell>
          <cell r="G209" t="e">
            <v>#N/A</v>
          </cell>
          <cell r="H209" t="e">
            <v>#N/A</v>
          </cell>
          <cell r="I209" t="e">
            <v>#N/A</v>
          </cell>
        </row>
        <row r="210">
          <cell r="A210">
            <v>0</v>
          </cell>
          <cell r="B210">
            <v>0</v>
          </cell>
          <cell r="C210">
            <v>0</v>
          </cell>
          <cell r="D210">
            <v>28.6</v>
          </cell>
          <cell r="E210">
            <v>0</v>
          </cell>
          <cell r="F210">
            <v>0</v>
          </cell>
          <cell r="G210" t="e">
            <v>#N/A</v>
          </cell>
          <cell r="H210" t="e">
            <v>#N/A</v>
          </cell>
        </row>
        <row r="211">
          <cell r="A211">
            <v>0</v>
          </cell>
          <cell r="B211">
            <v>0</v>
          </cell>
          <cell r="C211">
            <v>0</v>
          </cell>
          <cell r="D211">
            <v>22.7</v>
          </cell>
          <cell r="E211">
            <v>0</v>
          </cell>
          <cell r="F211">
            <v>0</v>
          </cell>
          <cell r="G211" t="e">
            <v>#N/A</v>
          </cell>
          <cell r="H211" t="e">
            <v>#N/A</v>
          </cell>
        </row>
        <row r="212">
          <cell r="A212">
            <v>0</v>
          </cell>
          <cell r="B212">
            <v>0</v>
          </cell>
          <cell r="C212">
            <v>0</v>
          </cell>
          <cell r="D212">
            <v>18</v>
          </cell>
          <cell r="E212">
            <v>0</v>
          </cell>
          <cell r="F212">
            <v>0</v>
          </cell>
          <cell r="G212" t="e">
            <v>#N/A</v>
          </cell>
          <cell r="H212" t="e">
            <v>#N/A</v>
          </cell>
        </row>
        <row r="213">
          <cell r="A213">
            <v>0</v>
          </cell>
          <cell r="B213">
            <v>0</v>
          </cell>
          <cell r="C213">
            <v>0</v>
          </cell>
          <cell r="D213">
            <v>14.3</v>
          </cell>
          <cell r="E213">
            <v>0</v>
          </cell>
          <cell r="F213">
            <v>0</v>
          </cell>
          <cell r="G213" t="e">
            <v>#N/A</v>
          </cell>
          <cell r="H213" t="e">
            <v>#N/A</v>
          </cell>
        </row>
        <row r="214">
          <cell r="A214">
            <v>0</v>
          </cell>
          <cell r="B214">
            <v>0</v>
          </cell>
          <cell r="C214">
            <v>0</v>
          </cell>
          <cell r="D214">
            <v>10.6</v>
          </cell>
          <cell r="E214">
            <v>0</v>
          </cell>
          <cell r="F214">
            <v>0</v>
          </cell>
          <cell r="G214" t="e">
            <v>#N/A</v>
          </cell>
          <cell r="H214" t="e">
            <v>#N/A</v>
          </cell>
        </row>
        <row r="215">
          <cell r="A215">
            <v>0</v>
          </cell>
          <cell r="B215">
            <v>0</v>
          </cell>
          <cell r="C215">
            <v>0</v>
          </cell>
          <cell r="D215">
            <v>7.9</v>
          </cell>
          <cell r="E215">
            <v>0</v>
          </cell>
          <cell r="F215">
            <v>0</v>
          </cell>
          <cell r="G215" t="e">
            <v>#N/A</v>
          </cell>
          <cell r="H215" t="e">
            <v>#N/A</v>
          </cell>
        </row>
        <row r="216">
          <cell r="A216">
            <v>0</v>
          </cell>
          <cell r="B216">
            <v>0</v>
          </cell>
          <cell r="C216">
            <v>0</v>
          </cell>
          <cell r="D216">
            <v>5.9</v>
          </cell>
          <cell r="E216">
            <v>0</v>
          </cell>
          <cell r="F216">
            <v>0</v>
          </cell>
          <cell r="G216" t="e">
            <v>#N/A</v>
          </cell>
          <cell r="H216" t="e">
            <v>#N/A</v>
          </cell>
        </row>
        <row r="217">
          <cell r="A217">
            <v>0</v>
          </cell>
          <cell r="B217">
            <v>0</v>
          </cell>
          <cell r="C217">
            <v>0</v>
          </cell>
          <cell r="D217">
            <v>4.4000000000000004</v>
          </cell>
          <cell r="E217">
            <v>0</v>
          </cell>
          <cell r="F217">
            <v>0</v>
          </cell>
          <cell r="G217" t="e">
            <v>#N/A</v>
          </cell>
          <cell r="H217" t="e">
            <v>#N/A</v>
          </cell>
        </row>
        <row r="218">
          <cell r="A218">
            <v>0</v>
          </cell>
          <cell r="B218">
            <v>0</v>
          </cell>
          <cell r="C218">
            <v>0</v>
          </cell>
          <cell r="D218">
            <v>3.3</v>
          </cell>
          <cell r="E218">
            <v>0</v>
          </cell>
          <cell r="F218">
            <v>0</v>
          </cell>
          <cell r="G218" t="e">
            <v>#N/A</v>
          </cell>
          <cell r="H218" t="e">
            <v>#N/A</v>
          </cell>
        </row>
        <row r="219">
          <cell r="A219">
            <v>0</v>
          </cell>
          <cell r="B219">
            <v>0</v>
          </cell>
          <cell r="C219">
            <v>0</v>
          </cell>
          <cell r="D219">
            <v>2.4</v>
          </cell>
          <cell r="E219">
            <v>0</v>
          </cell>
          <cell r="F219">
            <v>0</v>
          </cell>
          <cell r="G219" t="e">
            <v>#N/A</v>
          </cell>
          <cell r="H219" t="e">
            <v>#N/A</v>
          </cell>
        </row>
        <row r="220">
          <cell r="A220">
            <v>0</v>
          </cell>
          <cell r="B220">
            <v>0</v>
          </cell>
          <cell r="C220">
            <v>0</v>
          </cell>
          <cell r="D220">
            <v>1.8</v>
          </cell>
          <cell r="E220">
            <v>0</v>
          </cell>
          <cell r="F220">
            <v>0</v>
          </cell>
          <cell r="G220" t="e">
            <v>#N/A</v>
          </cell>
          <cell r="H220" t="e">
            <v>#N/A</v>
          </cell>
        </row>
        <row r="221">
          <cell r="A221">
            <v>0</v>
          </cell>
          <cell r="B221">
            <v>0</v>
          </cell>
          <cell r="C221">
            <v>0</v>
          </cell>
          <cell r="D221">
            <v>1.3</v>
          </cell>
          <cell r="E221">
            <v>0</v>
          </cell>
          <cell r="F221">
            <v>0</v>
          </cell>
          <cell r="G221" t="e">
            <v>#N/A</v>
          </cell>
          <cell r="H221" t="e">
            <v>#N/A</v>
          </cell>
        </row>
        <row r="222">
          <cell r="A222">
            <v>0</v>
          </cell>
          <cell r="B222">
            <v>0</v>
          </cell>
          <cell r="C222">
            <v>0</v>
          </cell>
          <cell r="D222">
            <v>1</v>
          </cell>
          <cell r="E222">
            <v>0</v>
          </cell>
          <cell r="F222">
            <v>0</v>
          </cell>
          <cell r="G222" t="e">
            <v>#N/A</v>
          </cell>
          <cell r="H222" t="e">
            <v>#N/A</v>
          </cell>
        </row>
        <row r="223">
          <cell r="A223">
            <v>0</v>
          </cell>
          <cell r="B223">
            <v>0</v>
          </cell>
          <cell r="C223">
            <v>0</v>
          </cell>
          <cell r="D223">
            <v>1</v>
          </cell>
          <cell r="E223">
            <v>0</v>
          </cell>
          <cell r="F223">
            <v>0</v>
          </cell>
          <cell r="G223" t="e">
            <v>#N/A</v>
          </cell>
          <cell r="H223" t="e">
            <v>#N/A</v>
          </cell>
        </row>
        <row r="224">
          <cell r="A224">
            <v>0</v>
          </cell>
          <cell r="B224">
            <v>0</v>
          </cell>
          <cell r="C224">
            <v>0</v>
          </cell>
          <cell r="D224">
            <v>1</v>
          </cell>
          <cell r="E224">
            <v>0</v>
          </cell>
          <cell r="F224">
            <v>0</v>
          </cell>
          <cell r="G224" t="e">
            <v>#N/A</v>
          </cell>
          <cell r="H224" t="e">
            <v>#N/A</v>
          </cell>
        </row>
        <row r="225">
          <cell r="A225">
            <v>0</v>
          </cell>
          <cell r="B225">
            <v>0</v>
          </cell>
          <cell r="C225">
            <v>0</v>
          </cell>
          <cell r="E225">
            <v>0</v>
          </cell>
          <cell r="F225">
            <v>0</v>
          </cell>
          <cell r="G225">
            <v>0</v>
          </cell>
        </row>
        <row r="226">
          <cell r="A226" t="str">
            <v>BE</v>
          </cell>
          <cell r="B226" t="e">
            <v>#N/A</v>
          </cell>
          <cell r="C226" t="e">
            <v>#N/A</v>
          </cell>
          <cell r="D226">
            <v>11.3</v>
          </cell>
          <cell r="E226" t="e">
            <v>#REF!</v>
          </cell>
          <cell r="F226" t="e">
            <v>#REF!</v>
          </cell>
          <cell r="G226" t="e">
            <v>#N/A</v>
          </cell>
          <cell r="H226" t="e">
            <v>#N/A</v>
          </cell>
          <cell r="I226" t="e">
            <v>#N/A</v>
          </cell>
        </row>
        <row r="227">
          <cell r="A227">
            <v>0</v>
          </cell>
          <cell r="B227">
            <v>0</v>
          </cell>
          <cell r="C227">
            <v>0</v>
          </cell>
          <cell r="D227">
            <v>28.6</v>
          </cell>
          <cell r="E227">
            <v>0</v>
          </cell>
          <cell r="F227">
            <v>0</v>
          </cell>
          <cell r="G227" t="e">
            <v>#N/A</v>
          </cell>
          <cell r="H227" t="e">
            <v>#N/A</v>
          </cell>
        </row>
        <row r="228">
          <cell r="A228">
            <v>0</v>
          </cell>
          <cell r="B228">
            <v>0</v>
          </cell>
          <cell r="C228">
            <v>0</v>
          </cell>
          <cell r="D228">
            <v>22.7</v>
          </cell>
          <cell r="E228">
            <v>0</v>
          </cell>
          <cell r="F228">
            <v>0</v>
          </cell>
          <cell r="G228" t="e">
            <v>#N/A</v>
          </cell>
          <cell r="H228" t="e">
            <v>#N/A</v>
          </cell>
        </row>
        <row r="229">
          <cell r="A229">
            <v>0</v>
          </cell>
          <cell r="B229">
            <v>0</v>
          </cell>
          <cell r="C229">
            <v>0</v>
          </cell>
          <cell r="D229">
            <v>18</v>
          </cell>
          <cell r="E229">
            <v>0</v>
          </cell>
          <cell r="F229">
            <v>0</v>
          </cell>
          <cell r="G229" t="e">
            <v>#N/A</v>
          </cell>
          <cell r="H229" t="e">
            <v>#N/A</v>
          </cell>
        </row>
        <row r="230">
          <cell r="A230">
            <v>0</v>
          </cell>
          <cell r="B230">
            <v>0</v>
          </cell>
          <cell r="C230">
            <v>0</v>
          </cell>
          <cell r="D230">
            <v>14.3</v>
          </cell>
          <cell r="E230">
            <v>0</v>
          </cell>
          <cell r="F230">
            <v>0</v>
          </cell>
          <cell r="G230" t="e">
            <v>#N/A</v>
          </cell>
          <cell r="H230" t="e">
            <v>#N/A</v>
          </cell>
        </row>
        <row r="231">
          <cell r="A231">
            <v>0</v>
          </cell>
          <cell r="B231">
            <v>0</v>
          </cell>
          <cell r="C231">
            <v>0</v>
          </cell>
          <cell r="D231">
            <v>10.6</v>
          </cell>
          <cell r="E231">
            <v>0</v>
          </cell>
          <cell r="F231">
            <v>0</v>
          </cell>
          <cell r="G231" t="e">
            <v>#N/A</v>
          </cell>
          <cell r="H231" t="e">
            <v>#N/A</v>
          </cell>
        </row>
        <row r="232">
          <cell r="A232">
            <v>0</v>
          </cell>
          <cell r="B232">
            <v>0</v>
          </cell>
          <cell r="C232">
            <v>0</v>
          </cell>
          <cell r="D232">
            <v>7.9</v>
          </cell>
          <cell r="E232">
            <v>0</v>
          </cell>
          <cell r="F232">
            <v>0</v>
          </cell>
          <cell r="G232" t="e">
            <v>#N/A</v>
          </cell>
          <cell r="H232" t="e">
            <v>#N/A</v>
          </cell>
        </row>
        <row r="233">
          <cell r="A233">
            <v>0</v>
          </cell>
          <cell r="B233">
            <v>0</v>
          </cell>
          <cell r="C233">
            <v>0</v>
          </cell>
          <cell r="D233">
            <v>5.9</v>
          </cell>
          <cell r="E233">
            <v>0</v>
          </cell>
          <cell r="F233">
            <v>0</v>
          </cell>
          <cell r="G233" t="e">
            <v>#N/A</v>
          </cell>
          <cell r="H233" t="e">
            <v>#N/A</v>
          </cell>
        </row>
        <row r="234">
          <cell r="A234">
            <v>0</v>
          </cell>
          <cell r="B234">
            <v>0</v>
          </cell>
          <cell r="C234">
            <v>0</v>
          </cell>
          <cell r="D234">
            <v>4.4000000000000004</v>
          </cell>
          <cell r="E234">
            <v>0</v>
          </cell>
          <cell r="F234">
            <v>0</v>
          </cell>
          <cell r="G234" t="e">
            <v>#N/A</v>
          </cell>
          <cell r="H234" t="e">
            <v>#N/A</v>
          </cell>
        </row>
        <row r="235">
          <cell r="A235">
            <v>0</v>
          </cell>
          <cell r="B235">
            <v>0</v>
          </cell>
          <cell r="C235">
            <v>0</v>
          </cell>
          <cell r="D235">
            <v>3.3</v>
          </cell>
          <cell r="E235">
            <v>0</v>
          </cell>
          <cell r="F235">
            <v>0</v>
          </cell>
          <cell r="G235" t="e">
            <v>#N/A</v>
          </cell>
          <cell r="H235" t="e">
            <v>#N/A</v>
          </cell>
        </row>
        <row r="236">
          <cell r="A236">
            <v>0</v>
          </cell>
          <cell r="B236">
            <v>0</v>
          </cell>
          <cell r="C236">
            <v>0</v>
          </cell>
          <cell r="D236">
            <v>2.4</v>
          </cell>
          <cell r="E236">
            <v>0</v>
          </cell>
          <cell r="F236">
            <v>0</v>
          </cell>
          <cell r="G236" t="e">
            <v>#N/A</v>
          </cell>
          <cell r="H236" t="e">
            <v>#N/A</v>
          </cell>
        </row>
        <row r="237">
          <cell r="A237">
            <v>0</v>
          </cell>
          <cell r="B237">
            <v>0</v>
          </cell>
          <cell r="C237">
            <v>0</v>
          </cell>
          <cell r="D237">
            <v>1.8</v>
          </cell>
          <cell r="E237">
            <v>0</v>
          </cell>
          <cell r="F237">
            <v>0</v>
          </cell>
          <cell r="G237" t="e">
            <v>#N/A</v>
          </cell>
          <cell r="H237" t="e">
            <v>#N/A</v>
          </cell>
        </row>
        <row r="238">
          <cell r="A238">
            <v>0</v>
          </cell>
          <cell r="B238">
            <v>0</v>
          </cell>
          <cell r="C238">
            <v>0</v>
          </cell>
          <cell r="D238">
            <v>1.3</v>
          </cell>
          <cell r="E238">
            <v>0</v>
          </cell>
          <cell r="F238">
            <v>0</v>
          </cell>
          <cell r="G238" t="e">
            <v>#N/A</v>
          </cell>
          <cell r="H238" t="e">
            <v>#N/A</v>
          </cell>
        </row>
        <row r="239">
          <cell r="A239">
            <v>0</v>
          </cell>
          <cell r="B239">
            <v>0</v>
          </cell>
          <cell r="C239">
            <v>0</v>
          </cell>
          <cell r="D239">
            <v>1</v>
          </cell>
          <cell r="E239">
            <v>0</v>
          </cell>
          <cell r="F239">
            <v>0</v>
          </cell>
          <cell r="G239" t="e">
            <v>#N/A</v>
          </cell>
          <cell r="H239" t="e">
            <v>#N/A</v>
          </cell>
        </row>
        <row r="240">
          <cell r="A240">
            <v>0</v>
          </cell>
          <cell r="B240">
            <v>0</v>
          </cell>
          <cell r="C240">
            <v>0</v>
          </cell>
          <cell r="D240">
            <v>1</v>
          </cell>
          <cell r="E240">
            <v>0</v>
          </cell>
          <cell r="F240">
            <v>0</v>
          </cell>
          <cell r="G240" t="e">
            <v>#N/A</v>
          </cell>
          <cell r="H240" t="e">
            <v>#N/A</v>
          </cell>
        </row>
        <row r="241">
          <cell r="A241">
            <v>0</v>
          </cell>
          <cell r="B241">
            <v>0</v>
          </cell>
          <cell r="C241">
            <v>0</v>
          </cell>
          <cell r="D241">
            <v>1</v>
          </cell>
          <cell r="E241">
            <v>0</v>
          </cell>
          <cell r="F241">
            <v>0</v>
          </cell>
          <cell r="G241" t="e">
            <v>#N/A</v>
          </cell>
          <cell r="H241" t="e">
            <v>#N/A</v>
          </cell>
        </row>
        <row r="242">
          <cell r="A242">
            <v>0</v>
          </cell>
          <cell r="B242">
            <v>0</v>
          </cell>
          <cell r="C242">
            <v>0</v>
          </cell>
          <cell r="E242">
            <v>0</v>
          </cell>
          <cell r="F242">
            <v>0</v>
          </cell>
          <cell r="G242">
            <v>0</v>
          </cell>
        </row>
        <row r="243">
          <cell r="A243" t="str">
            <v>BF</v>
          </cell>
          <cell r="B243" t="e">
            <v>#N/A</v>
          </cell>
          <cell r="C243" t="e">
            <v>#N/A</v>
          </cell>
          <cell r="D243">
            <v>11.3</v>
          </cell>
          <cell r="E243" t="e">
            <v>#REF!</v>
          </cell>
          <cell r="F243" t="e">
            <v>#REF!</v>
          </cell>
          <cell r="G243" t="e">
            <v>#N/A</v>
          </cell>
          <cell r="H243" t="e">
            <v>#N/A</v>
          </cell>
          <cell r="I243" t="e">
            <v>#N/A</v>
          </cell>
        </row>
        <row r="244">
          <cell r="A244">
            <v>0</v>
          </cell>
          <cell r="B244">
            <v>0</v>
          </cell>
          <cell r="C244">
            <v>0</v>
          </cell>
          <cell r="D244">
            <v>28.6</v>
          </cell>
          <cell r="E244">
            <v>0</v>
          </cell>
          <cell r="F244">
            <v>0</v>
          </cell>
          <cell r="G244" t="e">
            <v>#N/A</v>
          </cell>
          <cell r="H244" t="e">
            <v>#N/A</v>
          </cell>
        </row>
        <row r="245">
          <cell r="A245">
            <v>0</v>
          </cell>
          <cell r="B245">
            <v>0</v>
          </cell>
          <cell r="C245">
            <v>0</v>
          </cell>
          <cell r="D245">
            <v>22.7</v>
          </cell>
          <cell r="E245">
            <v>0</v>
          </cell>
          <cell r="F245">
            <v>0</v>
          </cell>
          <cell r="G245" t="e">
            <v>#N/A</v>
          </cell>
          <cell r="H245" t="e">
            <v>#N/A</v>
          </cell>
        </row>
        <row r="246">
          <cell r="A246">
            <v>0</v>
          </cell>
          <cell r="B246">
            <v>0</v>
          </cell>
          <cell r="C246">
            <v>0</v>
          </cell>
          <cell r="D246">
            <v>18</v>
          </cell>
          <cell r="E246">
            <v>0</v>
          </cell>
          <cell r="F246">
            <v>0</v>
          </cell>
          <cell r="G246" t="e">
            <v>#N/A</v>
          </cell>
          <cell r="H246" t="e">
            <v>#N/A</v>
          </cell>
        </row>
        <row r="247">
          <cell r="A247">
            <v>0</v>
          </cell>
          <cell r="B247">
            <v>0</v>
          </cell>
          <cell r="C247">
            <v>0</v>
          </cell>
          <cell r="D247">
            <v>14.3</v>
          </cell>
          <cell r="E247">
            <v>0</v>
          </cell>
          <cell r="F247">
            <v>0</v>
          </cell>
          <cell r="G247" t="e">
            <v>#N/A</v>
          </cell>
          <cell r="H247" t="e">
            <v>#N/A</v>
          </cell>
        </row>
        <row r="248">
          <cell r="A248">
            <v>0</v>
          </cell>
          <cell r="B248">
            <v>0</v>
          </cell>
          <cell r="C248">
            <v>0</v>
          </cell>
          <cell r="D248">
            <v>10.6</v>
          </cell>
          <cell r="E248">
            <v>0</v>
          </cell>
          <cell r="F248">
            <v>0</v>
          </cell>
          <cell r="G248" t="e">
            <v>#N/A</v>
          </cell>
          <cell r="H248" t="e">
            <v>#N/A</v>
          </cell>
        </row>
        <row r="249">
          <cell r="A249">
            <v>0</v>
          </cell>
          <cell r="B249">
            <v>0</v>
          </cell>
          <cell r="C249">
            <v>0</v>
          </cell>
          <cell r="D249">
            <v>7.9</v>
          </cell>
          <cell r="E249">
            <v>0</v>
          </cell>
          <cell r="F249">
            <v>0</v>
          </cell>
          <cell r="G249" t="e">
            <v>#N/A</v>
          </cell>
          <cell r="H249" t="e">
            <v>#N/A</v>
          </cell>
        </row>
        <row r="250">
          <cell r="A250">
            <v>0</v>
          </cell>
          <cell r="B250">
            <v>0</v>
          </cell>
          <cell r="C250">
            <v>0</v>
          </cell>
          <cell r="D250">
            <v>5.9</v>
          </cell>
          <cell r="E250">
            <v>0</v>
          </cell>
          <cell r="F250">
            <v>0</v>
          </cell>
          <cell r="G250" t="e">
            <v>#N/A</v>
          </cell>
          <cell r="H250" t="e">
            <v>#N/A</v>
          </cell>
        </row>
        <row r="251">
          <cell r="A251">
            <v>0</v>
          </cell>
          <cell r="B251">
            <v>0</v>
          </cell>
          <cell r="C251">
            <v>0</v>
          </cell>
          <cell r="D251">
            <v>4.4000000000000004</v>
          </cell>
          <cell r="E251">
            <v>0</v>
          </cell>
          <cell r="F251">
            <v>0</v>
          </cell>
          <cell r="G251" t="e">
            <v>#N/A</v>
          </cell>
          <cell r="H251" t="e">
            <v>#N/A</v>
          </cell>
        </row>
        <row r="252">
          <cell r="A252">
            <v>0</v>
          </cell>
          <cell r="B252">
            <v>0</v>
          </cell>
          <cell r="C252">
            <v>0</v>
          </cell>
          <cell r="D252">
            <v>3.3</v>
          </cell>
          <cell r="E252">
            <v>0</v>
          </cell>
          <cell r="F252">
            <v>0</v>
          </cell>
          <cell r="G252" t="e">
            <v>#N/A</v>
          </cell>
          <cell r="H252" t="e">
            <v>#N/A</v>
          </cell>
        </row>
        <row r="253">
          <cell r="A253">
            <v>0</v>
          </cell>
          <cell r="B253">
            <v>0</v>
          </cell>
          <cell r="C253">
            <v>0</v>
          </cell>
          <cell r="D253">
            <v>2.4</v>
          </cell>
          <cell r="E253">
            <v>0</v>
          </cell>
          <cell r="F253">
            <v>0</v>
          </cell>
          <cell r="G253" t="e">
            <v>#N/A</v>
          </cell>
          <cell r="H253" t="e">
            <v>#N/A</v>
          </cell>
        </row>
        <row r="254">
          <cell r="A254">
            <v>0</v>
          </cell>
          <cell r="B254">
            <v>0</v>
          </cell>
          <cell r="C254">
            <v>0</v>
          </cell>
          <cell r="D254">
            <v>1.8</v>
          </cell>
          <cell r="E254">
            <v>0</v>
          </cell>
          <cell r="F254">
            <v>0</v>
          </cell>
          <cell r="G254" t="e">
            <v>#N/A</v>
          </cell>
          <cell r="H254" t="e">
            <v>#N/A</v>
          </cell>
        </row>
        <row r="255">
          <cell r="A255">
            <v>0</v>
          </cell>
          <cell r="B255">
            <v>0</v>
          </cell>
          <cell r="C255">
            <v>0</v>
          </cell>
          <cell r="D255">
            <v>1.3</v>
          </cell>
          <cell r="E255">
            <v>0</v>
          </cell>
          <cell r="F255">
            <v>0</v>
          </cell>
          <cell r="G255" t="e">
            <v>#N/A</v>
          </cell>
          <cell r="H255" t="e">
            <v>#N/A</v>
          </cell>
        </row>
        <row r="256">
          <cell r="A256">
            <v>0</v>
          </cell>
          <cell r="B256">
            <v>0</v>
          </cell>
          <cell r="C256">
            <v>0</v>
          </cell>
          <cell r="D256">
            <v>1</v>
          </cell>
          <cell r="E256">
            <v>0</v>
          </cell>
          <cell r="F256">
            <v>0</v>
          </cell>
          <cell r="G256" t="e">
            <v>#N/A</v>
          </cell>
          <cell r="H256" t="e">
            <v>#N/A</v>
          </cell>
        </row>
        <row r="257">
          <cell r="A257">
            <v>0</v>
          </cell>
          <cell r="B257">
            <v>0</v>
          </cell>
          <cell r="C257">
            <v>0</v>
          </cell>
          <cell r="D257">
            <v>1</v>
          </cell>
          <cell r="E257">
            <v>0</v>
          </cell>
          <cell r="F257">
            <v>0</v>
          </cell>
          <cell r="G257" t="e">
            <v>#N/A</v>
          </cell>
          <cell r="H257" t="e">
            <v>#N/A</v>
          </cell>
        </row>
        <row r="258">
          <cell r="A258">
            <v>0</v>
          </cell>
          <cell r="B258">
            <v>0</v>
          </cell>
          <cell r="C258">
            <v>0</v>
          </cell>
          <cell r="D258">
            <v>1</v>
          </cell>
          <cell r="E258">
            <v>0</v>
          </cell>
          <cell r="F258">
            <v>0</v>
          </cell>
          <cell r="G258" t="e">
            <v>#N/A</v>
          </cell>
          <cell r="H258" t="e">
            <v>#N/A</v>
          </cell>
        </row>
        <row r="259">
          <cell r="A259">
            <v>0</v>
          </cell>
          <cell r="B259">
            <v>0</v>
          </cell>
          <cell r="C259">
            <v>0</v>
          </cell>
          <cell r="E259">
            <v>0</v>
          </cell>
          <cell r="F259">
            <v>0</v>
          </cell>
          <cell r="G259">
            <v>0</v>
          </cell>
        </row>
        <row r="260">
          <cell r="A260" t="str">
            <v>BG</v>
          </cell>
          <cell r="B260" t="e">
            <v>#N/A</v>
          </cell>
          <cell r="C260" t="e">
            <v>#N/A</v>
          </cell>
          <cell r="D260">
            <v>11.3</v>
          </cell>
          <cell r="E260" t="e">
            <v>#REF!</v>
          </cell>
          <cell r="F260" t="e">
            <v>#REF!</v>
          </cell>
          <cell r="G260" t="e">
            <v>#N/A</v>
          </cell>
          <cell r="H260" t="e">
            <v>#N/A</v>
          </cell>
          <cell r="I260" t="e">
            <v>#N/A</v>
          </cell>
        </row>
        <row r="261">
          <cell r="A261">
            <v>0</v>
          </cell>
          <cell r="B261">
            <v>0</v>
          </cell>
          <cell r="C261">
            <v>0</v>
          </cell>
          <cell r="D261">
            <v>28.6</v>
          </cell>
          <cell r="E261">
            <v>0</v>
          </cell>
          <cell r="F261">
            <v>0</v>
          </cell>
          <cell r="G261" t="e">
            <v>#N/A</v>
          </cell>
          <cell r="H261" t="e">
            <v>#N/A</v>
          </cell>
        </row>
        <row r="262">
          <cell r="A262">
            <v>0</v>
          </cell>
          <cell r="B262">
            <v>0</v>
          </cell>
          <cell r="C262">
            <v>0</v>
          </cell>
          <cell r="D262">
            <v>22.7</v>
          </cell>
          <cell r="E262">
            <v>0</v>
          </cell>
          <cell r="F262">
            <v>0</v>
          </cell>
          <cell r="G262" t="e">
            <v>#N/A</v>
          </cell>
          <cell r="H262" t="e">
            <v>#N/A</v>
          </cell>
        </row>
        <row r="263">
          <cell r="A263">
            <v>0</v>
          </cell>
          <cell r="B263">
            <v>0</v>
          </cell>
          <cell r="C263">
            <v>0</v>
          </cell>
          <cell r="D263">
            <v>18</v>
          </cell>
          <cell r="E263">
            <v>0</v>
          </cell>
          <cell r="F263">
            <v>0</v>
          </cell>
          <cell r="G263" t="e">
            <v>#N/A</v>
          </cell>
          <cell r="H263" t="e">
            <v>#N/A</v>
          </cell>
        </row>
        <row r="264">
          <cell r="A264">
            <v>0</v>
          </cell>
          <cell r="B264">
            <v>0</v>
          </cell>
          <cell r="C264">
            <v>0</v>
          </cell>
          <cell r="D264">
            <v>14.3</v>
          </cell>
          <cell r="E264">
            <v>0</v>
          </cell>
          <cell r="F264">
            <v>0</v>
          </cell>
          <cell r="G264" t="e">
            <v>#N/A</v>
          </cell>
          <cell r="H264" t="e">
            <v>#N/A</v>
          </cell>
        </row>
        <row r="265">
          <cell r="A265">
            <v>0</v>
          </cell>
          <cell r="B265">
            <v>0</v>
          </cell>
          <cell r="C265">
            <v>0</v>
          </cell>
          <cell r="D265">
            <v>10.6</v>
          </cell>
          <cell r="E265">
            <v>0</v>
          </cell>
          <cell r="F265">
            <v>0</v>
          </cell>
          <cell r="G265" t="e">
            <v>#N/A</v>
          </cell>
          <cell r="H265" t="e">
            <v>#N/A</v>
          </cell>
        </row>
        <row r="266">
          <cell r="A266">
            <v>0</v>
          </cell>
          <cell r="B266">
            <v>0</v>
          </cell>
          <cell r="C266">
            <v>0</v>
          </cell>
          <cell r="D266">
            <v>7.9</v>
          </cell>
          <cell r="E266">
            <v>0</v>
          </cell>
          <cell r="F266">
            <v>0</v>
          </cell>
          <cell r="G266" t="e">
            <v>#N/A</v>
          </cell>
          <cell r="H266" t="e">
            <v>#N/A</v>
          </cell>
        </row>
        <row r="267">
          <cell r="A267">
            <v>0</v>
          </cell>
          <cell r="B267">
            <v>0</v>
          </cell>
          <cell r="C267">
            <v>0</v>
          </cell>
          <cell r="D267">
            <v>5.9</v>
          </cell>
          <cell r="E267">
            <v>0</v>
          </cell>
          <cell r="F267">
            <v>0</v>
          </cell>
          <cell r="G267" t="e">
            <v>#N/A</v>
          </cell>
          <cell r="H267" t="e">
            <v>#N/A</v>
          </cell>
        </row>
        <row r="268">
          <cell r="A268">
            <v>0</v>
          </cell>
          <cell r="B268">
            <v>0</v>
          </cell>
          <cell r="C268">
            <v>0</v>
          </cell>
          <cell r="D268">
            <v>4.4000000000000004</v>
          </cell>
          <cell r="E268">
            <v>0</v>
          </cell>
          <cell r="F268">
            <v>0</v>
          </cell>
          <cell r="G268" t="e">
            <v>#N/A</v>
          </cell>
          <cell r="H268" t="e">
            <v>#N/A</v>
          </cell>
        </row>
        <row r="269">
          <cell r="A269">
            <v>0</v>
          </cell>
          <cell r="B269">
            <v>0</v>
          </cell>
          <cell r="C269">
            <v>0</v>
          </cell>
          <cell r="D269">
            <v>3.3</v>
          </cell>
          <cell r="E269">
            <v>0</v>
          </cell>
          <cell r="F269">
            <v>0</v>
          </cell>
          <cell r="G269" t="e">
            <v>#N/A</v>
          </cell>
          <cell r="H269" t="e">
            <v>#N/A</v>
          </cell>
        </row>
        <row r="270">
          <cell r="A270">
            <v>0</v>
          </cell>
          <cell r="B270">
            <v>0</v>
          </cell>
          <cell r="C270">
            <v>0</v>
          </cell>
          <cell r="D270">
            <v>2.4</v>
          </cell>
          <cell r="E270">
            <v>0</v>
          </cell>
          <cell r="F270">
            <v>0</v>
          </cell>
          <cell r="G270" t="e">
            <v>#N/A</v>
          </cell>
          <cell r="H270" t="e">
            <v>#N/A</v>
          </cell>
        </row>
        <row r="271">
          <cell r="A271">
            <v>0</v>
          </cell>
          <cell r="B271">
            <v>0</v>
          </cell>
          <cell r="C271">
            <v>0</v>
          </cell>
          <cell r="D271">
            <v>1.8</v>
          </cell>
          <cell r="E271">
            <v>0</v>
          </cell>
          <cell r="F271">
            <v>0</v>
          </cell>
          <cell r="G271" t="e">
            <v>#N/A</v>
          </cell>
          <cell r="H271" t="e">
            <v>#N/A</v>
          </cell>
        </row>
        <row r="272">
          <cell r="A272">
            <v>0</v>
          </cell>
          <cell r="B272">
            <v>0</v>
          </cell>
          <cell r="C272">
            <v>0</v>
          </cell>
          <cell r="D272">
            <v>1.3</v>
          </cell>
          <cell r="E272">
            <v>0</v>
          </cell>
          <cell r="F272">
            <v>0</v>
          </cell>
          <cell r="G272" t="e">
            <v>#N/A</v>
          </cell>
          <cell r="H272" t="e">
            <v>#N/A</v>
          </cell>
        </row>
        <row r="273">
          <cell r="A273">
            <v>0</v>
          </cell>
          <cell r="B273">
            <v>0</v>
          </cell>
          <cell r="C273">
            <v>0</v>
          </cell>
          <cell r="D273">
            <v>1</v>
          </cell>
          <cell r="E273">
            <v>0</v>
          </cell>
          <cell r="F273">
            <v>0</v>
          </cell>
          <cell r="G273" t="e">
            <v>#N/A</v>
          </cell>
          <cell r="H273" t="e">
            <v>#N/A</v>
          </cell>
        </row>
        <row r="274">
          <cell r="A274">
            <v>0</v>
          </cell>
          <cell r="B274">
            <v>0</v>
          </cell>
          <cell r="C274">
            <v>0</v>
          </cell>
          <cell r="D274">
            <v>1</v>
          </cell>
          <cell r="E274">
            <v>0</v>
          </cell>
          <cell r="F274">
            <v>0</v>
          </cell>
          <cell r="G274" t="e">
            <v>#N/A</v>
          </cell>
          <cell r="H274" t="e">
            <v>#N/A</v>
          </cell>
        </row>
        <row r="275">
          <cell r="A275">
            <v>0</v>
          </cell>
          <cell r="B275">
            <v>0</v>
          </cell>
          <cell r="C275">
            <v>0</v>
          </cell>
          <cell r="D275">
            <v>1</v>
          </cell>
          <cell r="E275">
            <v>0</v>
          </cell>
          <cell r="F275">
            <v>0</v>
          </cell>
          <cell r="G275" t="e">
            <v>#N/A</v>
          </cell>
          <cell r="H275" t="e">
            <v>#N/A</v>
          </cell>
        </row>
        <row r="276">
          <cell r="A276">
            <v>0</v>
          </cell>
          <cell r="B276">
            <v>0</v>
          </cell>
          <cell r="C276">
            <v>0</v>
          </cell>
          <cell r="E276">
            <v>0</v>
          </cell>
          <cell r="F276">
            <v>0</v>
          </cell>
          <cell r="G276">
            <v>0</v>
          </cell>
        </row>
        <row r="277">
          <cell r="A277" t="str">
            <v>BH</v>
          </cell>
          <cell r="B277" t="e">
            <v>#N/A</v>
          </cell>
          <cell r="C277" t="e">
            <v>#N/A</v>
          </cell>
          <cell r="D277">
            <v>11.3</v>
          </cell>
          <cell r="E277" t="e">
            <v>#REF!</v>
          </cell>
          <cell r="F277" t="e">
            <v>#REF!</v>
          </cell>
          <cell r="G277" t="e">
            <v>#N/A</v>
          </cell>
          <cell r="H277" t="e">
            <v>#N/A</v>
          </cell>
          <cell r="I277" t="e">
            <v>#N/A</v>
          </cell>
        </row>
        <row r="278">
          <cell r="A278">
            <v>0</v>
          </cell>
          <cell r="B278">
            <v>0</v>
          </cell>
          <cell r="C278">
            <v>0</v>
          </cell>
          <cell r="D278">
            <v>28.6</v>
          </cell>
          <cell r="E278">
            <v>0</v>
          </cell>
          <cell r="F278">
            <v>0</v>
          </cell>
          <cell r="G278" t="e">
            <v>#N/A</v>
          </cell>
          <cell r="H278" t="e">
            <v>#N/A</v>
          </cell>
        </row>
        <row r="279">
          <cell r="A279">
            <v>0</v>
          </cell>
          <cell r="B279">
            <v>0</v>
          </cell>
          <cell r="C279">
            <v>0</v>
          </cell>
          <cell r="D279">
            <v>22.7</v>
          </cell>
          <cell r="E279">
            <v>0</v>
          </cell>
          <cell r="F279">
            <v>0</v>
          </cell>
          <cell r="G279" t="e">
            <v>#N/A</v>
          </cell>
          <cell r="H279" t="e">
            <v>#N/A</v>
          </cell>
        </row>
        <row r="280">
          <cell r="A280">
            <v>0</v>
          </cell>
          <cell r="B280">
            <v>0</v>
          </cell>
          <cell r="C280">
            <v>0</v>
          </cell>
          <cell r="D280">
            <v>18</v>
          </cell>
          <cell r="E280">
            <v>0</v>
          </cell>
          <cell r="F280">
            <v>0</v>
          </cell>
          <cell r="G280" t="e">
            <v>#N/A</v>
          </cell>
          <cell r="H280" t="e">
            <v>#N/A</v>
          </cell>
        </row>
        <row r="281">
          <cell r="A281">
            <v>0</v>
          </cell>
          <cell r="B281">
            <v>0</v>
          </cell>
          <cell r="C281">
            <v>0</v>
          </cell>
          <cell r="D281">
            <v>14.3</v>
          </cell>
          <cell r="E281">
            <v>0</v>
          </cell>
          <cell r="F281">
            <v>0</v>
          </cell>
          <cell r="G281" t="e">
            <v>#N/A</v>
          </cell>
          <cell r="H281" t="e">
            <v>#N/A</v>
          </cell>
        </row>
        <row r="282">
          <cell r="A282">
            <v>0</v>
          </cell>
          <cell r="B282">
            <v>0</v>
          </cell>
          <cell r="C282">
            <v>0</v>
          </cell>
          <cell r="D282">
            <v>10.6</v>
          </cell>
          <cell r="E282">
            <v>0</v>
          </cell>
          <cell r="F282">
            <v>0</v>
          </cell>
          <cell r="G282" t="e">
            <v>#N/A</v>
          </cell>
          <cell r="H282" t="e">
            <v>#N/A</v>
          </cell>
        </row>
        <row r="283">
          <cell r="A283">
            <v>0</v>
          </cell>
          <cell r="B283">
            <v>0</v>
          </cell>
          <cell r="C283">
            <v>0</v>
          </cell>
          <cell r="D283">
            <v>7.9</v>
          </cell>
          <cell r="E283">
            <v>0</v>
          </cell>
          <cell r="F283">
            <v>0</v>
          </cell>
          <cell r="G283" t="e">
            <v>#N/A</v>
          </cell>
          <cell r="H283" t="e">
            <v>#N/A</v>
          </cell>
        </row>
        <row r="284">
          <cell r="A284">
            <v>0</v>
          </cell>
          <cell r="B284">
            <v>0</v>
          </cell>
          <cell r="C284">
            <v>0</v>
          </cell>
          <cell r="D284">
            <v>5.9</v>
          </cell>
          <cell r="E284">
            <v>0</v>
          </cell>
          <cell r="F284">
            <v>0</v>
          </cell>
          <cell r="G284" t="e">
            <v>#N/A</v>
          </cell>
          <cell r="H284" t="e">
            <v>#N/A</v>
          </cell>
        </row>
        <row r="285">
          <cell r="A285">
            <v>0</v>
          </cell>
          <cell r="B285">
            <v>0</v>
          </cell>
          <cell r="C285">
            <v>0</v>
          </cell>
          <cell r="D285">
            <v>4.4000000000000004</v>
          </cell>
          <cell r="E285">
            <v>0</v>
          </cell>
          <cell r="F285">
            <v>0</v>
          </cell>
          <cell r="G285" t="e">
            <v>#N/A</v>
          </cell>
          <cell r="H285" t="e">
            <v>#N/A</v>
          </cell>
        </row>
        <row r="286">
          <cell r="A286">
            <v>0</v>
          </cell>
          <cell r="B286">
            <v>0</v>
          </cell>
          <cell r="C286">
            <v>0</v>
          </cell>
          <cell r="D286">
            <v>3.3</v>
          </cell>
          <cell r="E286">
            <v>0</v>
          </cell>
          <cell r="F286">
            <v>0</v>
          </cell>
          <cell r="G286" t="e">
            <v>#N/A</v>
          </cell>
          <cell r="H286" t="e">
            <v>#N/A</v>
          </cell>
        </row>
        <row r="287">
          <cell r="A287">
            <v>0</v>
          </cell>
          <cell r="B287">
            <v>0</v>
          </cell>
          <cell r="C287">
            <v>0</v>
          </cell>
          <cell r="D287">
            <v>2.4</v>
          </cell>
          <cell r="E287">
            <v>0</v>
          </cell>
          <cell r="F287">
            <v>0</v>
          </cell>
          <cell r="G287" t="e">
            <v>#N/A</v>
          </cell>
          <cell r="H287" t="e">
            <v>#N/A</v>
          </cell>
        </row>
        <row r="288">
          <cell r="A288">
            <v>0</v>
          </cell>
          <cell r="B288">
            <v>0</v>
          </cell>
          <cell r="C288">
            <v>0</v>
          </cell>
          <cell r="D288">
            <v>1.8</v>
          </cell>
          <cell r="E288">
            <v>0</v>
          </cell>
          <cell r="F288">
            <v>0</v>
          </cell>
          <cell r="G288" t="e">
            <v>#N/A</v>
          </cell>
          <cell r="H288" t="e">
            <v>#N/A</v>
          </cell>
        </row>
        <row r="289">
          <cell r="A289">
            <v>0</v>
          </cell>
          <cell r="B289">
            <v>0</v>
          </cell>
          <cell r="C289">
            <v>0</v>
          </cell>
          <cell r="D289">
            <v>1.3</v>
          </cell>
          <cell r="E289">
            <v>0</v>
          </cell>
          <cell r="F289">
            <v>0</v>
          </cell>
          <cell r="G289" t="e">
            <v>#N/A</v>
          </cell>
          <cell r="H289" t="e">
            <v>#N/A</v>
          </cell>
        </row>
        <row r="290">
          <cell r="A290">
            <v>0</v>
          </cell>
          <cell r="B290">
            <v>0</v>
          </cell>
          <cell r="C290">
            <v>0</v>
          </cell>
          <cell r="D290">
            <v>1</v>
          </cell>
          <cell r="E290">
            <v>0</v>
          </cell>
          <cell r="F290">
            <v>0</v>
          </cell>
          <cell r="G290" t="e">
            <v>#N/A</v>
          </cell>
          <cell r="H290" t="e">
            <v>#N/A</v>
          </cell>
        </row>
        <row r="291">
          <cell r="A291">
            <v>0</v>
          </cell>
          <cell r="B291">
            <v>0</v>
          </cell>
          <cell r="C291">
            <v>0</v>
          </cell>
          <cell r="D291">
            <v>1</v>
          </cell>
          <cell r="E291">
            <v>0</v>
          </cell>
          <cell r="F291">
            <v>0</v>
          </cell>
          <cell r="G291" t="e">
            <v>#N/A</v>
          </cell>
          <cell r="H291" t="e">
            <v>#N/A</v>
          </cell>
        </row>
        <row r="292">
          <cell r="A292">
            <v>0</v>
          </cell>
          <cell r="B292">
            <v>0</v>
          </cell>
          <cell r="C292">
            <v>0</v>
          </cell>
          <cell r="D292">
            <v>1</v>
          </cell>
          <cell r="E292">
            <v>0</v>
          </cell>
          <cell r="F292">
            <v>0</v>
          </cell>
          <cell r="G292" t="e">
            <v>#N/A</v>
          </cell>
          <cell r="H292" t="e">
            <v>#N/A</v>
          </cell>
        </row>
        <row r="293">
          <cell r="A293">
            <v>0</v>
          </cell>
          <cell r="B293">
            <v>0</v>
          </cell>
          <cell r="C293">
            <v>0</v>
          </cell>
          <cell r="E293">
            <v>0</v>
          </cell>
          <cell r="F293">
            <v>0</v>
          </cell>
          <cell r="G293">
            <v>0</v>
          </cell>
        </row>
        <row r="294">
          <cell r="A294" t="str">
            <v>BI</v>
          </cell>
          <cell r="B294" t="e">
            <v>#N/A</v>
          </cell>
          <cell r="C294" t="e">
            <v>#N/A</v>
          </cell>
          <cell r="D294">
            <v>11.3</v>
          </cell>
          <cell r="E294" t="e">
            <v>#REF!</v>
          </cell>
          <cell r="F294" t="e">
            <v>#REF!</v>
          </cell>
          <cell r="G294" t="e">
            <v>#N/A</v>
          </cell>
          <cell r="H294" t="e">
            <v>#N/A</v>
          </cell>
          <cell r="I294" t="e">
            <v>#N/A</v>
          </cell>
        </row>
        <row r="295">
          <cell r="A295">
            <v>0</v>
          </cell>
          <cell r="B295">
            <v>0</v>
          </cell>
          <cell r="C295">
            <v>0</v>
          </cell>
          <cell r="D295">
            <v>28.6</v>
          </cell>
          <cell r="E295">
            <v>0</v>
          </cell>
          <cell r="F295">
            <v>0</v>
          </cell>
          <cell r="G295" t="e">
            <v>#N/A</v>
          </cell>
          <cell r="H295" t="e">
            <v>#N/A</v>
          </cell>
        </row>
        <row r="296">
          <cell r="A296">
            <v>0</v>
          </cell>
          <cell r="B296">
            <v>0</v>
          </cell>
          <cell r="C296">
            <v>0</v>
          </cell>
          <cell r="D296">
            <v>22.7</v>
          </cell>
          <cell r="E296">
            <v>0</v>
          </cell>
          <cell r="F296">
            <v>0</v>
          </cell>
          <cell r="G296" t="e">
            <v>#N/A</v>
          </cell>
          <cell r="H296" t="e">
            <v>#N/A</v>
          </cell>
        </row>
        <row r="297">
          <cell r="A297">
            <v>0</v>
          </cell>
          <cell r="B297">
            <v>0</v>
          </cell>
          <cell r="C297">
            <v>0</v>
          </cell>
          <cell r="D297">
            <v>18</v>
          </cell>
          <cell r="E297">
            <v>0</v>
          </cell>
          <cell r="F297">
            <v>0</v>
          </cell>
          <cell r="G297" t="e">
            <v>#N/A</v>
          </cell>
          <cell r="H297" t="e">
            <v>#N/A</v>
          </cell>
        </row>
        <row r="298">
          <cell r="A298">
            <v>0</v>
          </cell>
          <cell r="B298">
            <v>0</v>
          </cell>
          <cell r="C298">
            <v>0</v>
          </cell>
          <cell r="D298">
            <v>14.3</v>
          </cell>
          <cell r="E298">
            <v>0</v>
          </cell>
          <cell r="F298">
            <v>0</v>
          </cell>
          <cell r="G298" t="e">
            <v>#N/A</v>
          </cell>
          <cell r="H298" t="e">
            <v>#N/A</v>
          </cell>
        </row>
        <row r="299">
          <cell r="A299">
            <v>0</v>
          </cell>
          <cell r="B299">
            <v>0</v>
          </cell>
          <cell r="C299">
            <v>0</v>
          </cell>
          <cell r="D299">
            <v>10.6</v>
          </cell>
          <cell r="E299">
            <v>0</v>
          </cell>
          <cell r="F299">
            <v>0</v>
          </cell>
          <cell r="G299" t="e">
            <v>#N/A</v>
          </cell>
          <cell r="H299" t="e">
            <v>#N/A</v>
          </cell>
        </row>
        <row r="300">
          <cell r="A300">
            <v>0</v>
          </cell>
          <cell r="B300">
            <v>0</v>
          </cell>
          <cell r="C300">
            <v>0</v>
          </cell>
          <cell r="D300">
            <v>7.9</v>
          </cell>
          <cell r="E300">
            <v>0</v>
          </cell>
          <cell r="F300">
            <v>0</v>
          </cell>
          <cell r="G300" t="e">
            <v>#N/A</v>
          </cell>
          <cell r="H300" t="e">
            <v>#N/A</v>
          </cell>
        </row>
        <row r="301">
          <cell r="A301">
            <v>0</v>
          </cell>
          <cell r="B301">
            <v>0</v>
          </cell>
          <cell r="C301">
            <v>0</v>
          </cell>
          <cell r="D301">
            <v>5.9</v>
          </cell>
          <cell r="E301">
            <v>0</v>
          </cell>
          <cell r="F301">
            <v>0</v>
          </cell>
          <cell r="G301" t="e">
            <v>#N/A</v>
          </cell>
          <cell r="H301" t="e">
            <v>#N/A</v>
          </cell>
        </row>
        <row r="302">
          <cell r="A302">
            <v>0</v>
          </cell>
          <cell r="B302">
            <v>0</v>
          </cell>
          <cell r="C302">
            <v>0</v>
          </cell>
          <cell r="D302">
            <v>4.4000000000000004</v>
          </cell>
          <cell r="E302">
            <v>0</v>
          </cell>
          <cell r="F302">
            <v>0</v>
          </cell>
          <cell r="G302" t="e">
            <v>#N/A</v>
          </cell>
          <cell r="H302" t="e">
            <v>#N/A</v>
          </cell>
        </row>
        <row r="303">
          <cell r="A303">
            <v>0</v>
          </cell>
          <cell r="B303">
            <v>0</v>
          </cell>
          <cell r="C303">
            <v>0</v>
          </cell>
          <cell r="D303">
            <v>3.3</v>
          </cell>
          <cell r="E303">
            <v>0</v>
          </cell>
          <cell r="F303">
            <v>0</v>
          </cell>
          <cell r="G303" t="e">
            <v>#N/A</v>
          </cell>
          <cell r="H303" t="e">
            <v>#N/A</v>
          </cell>
        </row>
        <row r="304">
          <cell r="A304">
            <v>0</v>
          </cell>
          <cell r="B304">
            <v>0</v>
          </cell>
          <cell r="C304">
            <v>0</v>
          </cell>
          <cell r="D304">
            <v>2.4</v>
          </cell>
          <cell r="E304">
            <v>0</v>
          </cell>
          <cell r="F304">
            <v>0</v>
          </cell>
          <cell r="G304" t="e">
            <v>#N/A</v>
          </cell>
          <cell r="H304" t="e">
            <v>#N/A</v>
          </cell>
        </row>
        <row r="305">
          <cell r="A305">
            <v>0</v>
          </cell>
          <cell r="B305">
            <v>0</v>
          </cell>
          <cell r="C305">
            <v>0</v>
          </cell>
          <cell r="D305">
            <v>1.8</v>
          </cell>
          <cell r="E305">
            <v>0</v>
          </cell>
          <cell r="F305">
            <v>0</v>
          </cell>
          <cell r="G305" t="e">
            <v>#N/A</v>
          </cell>
          <cell r="H305" t="e">
            <v>#N/A</v>
          </cell>
        </row>
        <row r="306">
          <cell r="A306">
            <v>0</v>
          </cell>
          <cell r="B306">
            <v>0</v>
          </cell>
          <cell r="C306">
            <v>0</v>
          </cell>
          <cell r="D306">
            <v>1.3</v>
          </cell>
          <cell r="E306">
            <v>0</v>
          </cell>
          <cell r="F306">
            <v>0</v>
          </cell>
          <cell r="G306" t="e">
            <v>#N/A</v>
          </cell>
          <cell r="H306" t="e">
            <v>#N/A</v>
          </cell>
        </row>
        <row r="307">
          <cell r="A307">
            <v>0</v>
          </cell>
          <cell r="B307">
            <v>0</v>
          </cell>
          <cell r="C307">
            <v>0</v>
          </cell>
          <cell r="D307">
            <v>1</v>
          </cell>
          <cell r="E307">
            <v>0</v>
          </cell>
          <cell r="F307">
            <v>0</v>
          </cell>
          <cell r="G307" t="e">
            <v>#N/A</v>
          </cell>
          <cell r="H307" t="e">
            <v>#N/A</v>
          </cell>
        </row>
        <row r="308">
          <cell r="A308">
            <v>0</v>
          </cell>
          <cell r="B308">
            <v>0</v>
          </cell>
          <cell r="C308">
            <v>0</v>
          </cell>
          <cell r="D308">
            <v>1</v>
          </cell>
          <cell r="E308">
            <v>0</v>
          </cell>
          <cell r="F308">
            <v>0</v>
          </cell>
          <cell r="G308" t="e">
            <v>#N/A</v>
          </cell>
          <cell r="H308" t="e">
            <v>#N/A</v>
          </cell>
        </row>
        <row r="309">
          <cell r="A309">
            <v>0</v>
          </cell>
          <cell r="B309">
            <v>0</v>
          </cell>
          <cell r="C309">
            <v>0</v>
          </cell>
          <cell r="D309">
            <v>1</v>
          </cell>
          <cell r="E309">
            <v>0</v>
          </cell>
          <cell r="F309">
            <v>0</v>
          </cell>
          <cell r="G309" t="e">
            <v>#N/A</v>
          </cell>
          <cell r="H309" t="e">
            <v>#N/A</v>
          </cell>
        </row>
        <row r="310">
          <cell r="A310">
            <v>0</v>
          </cell>
          <cell r="B310">
            <v>0</v>
          </cell>
          <cell r="C310">
            <v>0</v>
          </cell>
          <cell r="E310">
            <v>0</v>
          </cell>
          <cell r="F310">
            <v>0</v>
          </cell>
          <cell r="G310">
            <v>0</v>
          </cell>
        </row>
        <row r="311">
          <cell r="A311" t="str">
            <v>BJ</v>
          </cell>
          <cell r="B311" t="e">
            <v>#N/A</v>
          </cell>
          <cell r="C311" t="e">
            <v>#N/A</v>
          </cell>
          <cell r="D311">
            <v>11.3</v>
          </cell>
          <cell r="E311" t="e">
            <v>#REF!</v>
          </cell>
          <cell r="F311" t="e">
            <v>#REF!</v>
          </cell>
          <cell r="G311" t="e">
            <v>#N/A</v>
          </cell>
          <cell r="H311" t="e">
            <v>#N/A</v>
          </cell>
          <cell r="I311" t="e">
            <v>#N/A</v>
          </cell>
        </row>
        <row r="312">
          <cell r="A312">
            <v>0</v>
          </cell>
          <cell r="B312">
            <v>0</v>
          </cell>
          <cell r="C312">
            <v>0</v>
          </cell>
          <cell r="D312">
            <v>28.6</v>
          </cell>
          <cell r="E312">
            <v>0</v>
          </cell>
          <cell r="F312">
            <v>0</v>
          </cell>
          <cell r="G312" t="e">
            <v>#N/A</v>
          </cell>
          <cell r="H312" t="e">
            <v>#N/A</v>
          </cell>
        </row>
        <row r="313">
          <cell r="A313">
            <v>0</v>
          </cell>
          <cell r="B313">
            <v>0</v>
          </cell>
          <cell r="C313">
            <v>0</v>
          </cell>
          <cell r="D313">
            <v>22.7</v>
          </cell>
          <cell r="E313">
            <v>0</v>
          </cell>
          <cell r="F313">
            <v>0</v>
          </cell>
          <cell r="G313" t="e">
            <v>#N/A</v>
          </cell>
          <cell r="H313" t="e">
            <v>#N/A</v>
          </cell>
        </row>
        <row r="314">
          <cell r="A314">
            <v>0</v>
          </cell>
          <cell r="B314">
            <v>0</v>
          </cell>
          <cell r="C314">
            <v>0</v>
          </cell>
          <cell r="D314">
            <v>18</v>
          </cell>
          <cell r="E314">
            <v>0</v>
          </cell>
          <cell r="F314">
            <v>0</v>
          </cell>
          <cell r="G314" t="e">
            <v>#N/A</v>
          </cell>
          <cell r="H314" t="e">
            <v>#N/A</v>
          </cell>
        </row>
        <row r="315">
          <cell r="A315">
            <v>0</v>
          </cell>
          <cell r="B315">
            <v>0</v>
          </cell>
          <cell r="C315">
            <v>0</v>
          </cell>
          <cell r="D315">
            <v>14.3</v>
          </cell>
          <cell r="E315">
            <v>0</v>
          </cell>
          <cell r="F315">
            <v>0</v>
          </cell>
          <cell r="G315" t="e">
            <v>#N/A</v>
          </cell>
          <cell r="H315" t="e">
            <v>#N/A</v>
          </cell>
        </row>
        <row r="316">
          <cell r="A316">
            <v>0</v>
          </cell>
          <cell r="B316">
            <v>0</v>
          </cell>
          <cell r="C316">
            <v>0</v>
          </cell>
          <cell r="D316">
            <v>10.6</v>
          </cell>
          <cell r="E316">
            <v>0</v>
          </cell>
          <cell r="F316">
            <v>0</v>
          </cell>
          <cell r="G316" t="e">
            <v>#N/A</v>
          </cell>
          <cell r="H316" t="e">
            <v>#N/A</v>
          </cell>
        </row>
        <row r="317">
          <cell r="A317">
            <v>0</v>
          </cell>
          <cell r="B317">
            <v>0</v>
          </cell>
          <cell r="C317">
            <v>0</v>
          </cell>
          <cell r="D317">
            <v>7.9</v>
          </cell>
          <cell r="E317">
            <v>0</v>
          </cell>
          <cell r="F317">
            <v>0</v>
          </cell>
          <cell r="G317" t="e">
            <v>#N/A</v>
          </cell>
          <cell r="H317" t="e">
            <v>#N/A</v>
          </cell>
        </row>
        <row r="318">
          <cell r="A318">
            <v>0</v>
          </cell>
          <cell r="B318">
            <v>0</v>
          </cell>
          <cell r="C318">
            <v>0</v>
          </cell>
          <cell r="D318">
            <v>5.9</v>
          </cell>
          <cell r="E318">
            <v>0</v>
          </cell>
          <cell r="F318">
            <v>0</v>
          </cell>
          <cell r="G318" t="e">
            <v>#N/A</v>
          </cell>
          <cell r="H318" t="e">
            <v>#N/A</v>
          </cell>
        </row>
        <row r="319">
          <cell r="A319">
            <v>0</v>
          </cell>
          <cell r="B319">
            <v>0</v>
          </cell>
          <cell r="C319">
            <v>0</v>
          </cell>
          <cell r="D319">
            <v>4.4000000000000004</v>
          </cell>
          <cell r="E319">
            <v>0</v>
          </cell>
          <cell r="F319">
            <v>0</v>
          </cell>
          <cell r="G319" t="e">
            <v>#N/A</v>
          </cell>
          <cell r="H319" t="e">
            <v>#N/A</v>
          </cell>
        </row>
        <row r="320">
          <cell r="A320">
            <v>0</v>
          </cell>
          <cell r="B320">
            <v>0</v>
          </cell>
          <cell r="C320">
            <v>0</v>
          </cell>
          <cell r="D320">
            <v>3.3</v>
          </cell>
          <cell r="E320">
            <v>0</v>
          </cell>
          <cell r="F320">
            <v>0</v>
          </cell>
          <cell r="G320" t="e">
            <v>#N/A</v>
          </cell>
          <cell r="H320" t="e">
            <v>#N/A</v>
          </cell>
        </row>
        <row r="321">
          <cell r="A321">
            <v>0</v>
          </cell>
          <cell r="B321">
            <v>0</v>
          </cell>
          <cell r="C321">
            <v>0</v>
          </cell>
          <cell r="D321">
            <v>2.4</v>
          </cell>
          <cell r="E321">
            <v>0</v>
          </cell>
          <cell r="F321">
            <v>0</v>
          </cell>
          <cell r="G321" t="e">
            <v>#N/A</v>
          </cell>
          <cell r="H321" t="e">
            <v>#N/A</v>
          </cell>
        </row>
        <row r="322">
          <cell r="A322">
            <v>0</v>
          </cell>
          <cell r="B322">
            <v>0</v>
          </cell>
          <cell r="C322">
            <v>0</v>
          </cell>
          <cell r="D322">
            <v>1.8</v>
          </cell>
          <cell r="E322">
            <v>0</v>
          </cell>
          <cell r="F322">
            <v>0</v>
          </cell>
          <cell r="G322" t="e">
            <v>#N/A</v>
          </cell>
          <cell r="H322" t="e">
            <v>#N/A</v>
          </cell>
        </row>
        <row r="323">
          <cell r="A323">
            <v>0</v>
          </cell>
          <cell r="B323">
            <v>0</v>
          </cell>
          <cell r="C323">
            <v>0</v>
          </cell>
          <cell r="D323">
            <v>1.3</v>
          </cell>
          <cell r="E323">
            <v>0</v>
          </cell>
          <cell r="F323">
            <v>0</v>
          </cell>
          <cell r="G323" t="e">
            <v>#N/A</v>
          </cell>
          <cell r="H323" t="e">
            <v>#N/A</v>
          </cell>
        </row>
        <row r="324">
          <cell r="A324">
            <v>0</v>
          </cell>
          <cell r="B324">
            <v>0</v>
          </cell>
          <cell r="C324">
            <v>0</v>
          </cell>
          <cell r="D324">
            <v>1</v>
          </cell>
          <cell r="E324">
            <v>0</v>
          </cell>
          <cell r="F324">
            <v>0</v>
          </cell>
          <cell r="G324" t="e">
            <v>#N/A</v>
          </cell>
          <cell r="H324" t="e">
            <v>#N/A</v>
          </cell>
        </row>
        <row r="325">
          <cell r="A325">
            <v>0</v>
          </cell>
          <cell r="B325">
            <v>0</v>
          </cell>
          <cell r="C325">
            <v>0</v>
          </cell>
          <cell r="D325">
            <v>1</v>
          </cell>
          <cell r="E325">
            <v>0</v>
          </cell>
          <cell r="F325">
            <v>0</v>
          </cell>
          <cell r="G325" t="e">
            <v>#N/A</v>
          </cell>
          <cell r="H325" t="e">
            <v>#N/A</v>
          </cell>
        </row>
        <row r="326">
          <cell r="A326">
            <v>0</v>
          </cell>
          <cell r="B326">
            <v>0</v>
          </cell>
          <cell r="C326">
            <v>0</v>
          </cell>
          <cell r="D326">
            <v>1</v>
          </cell>
          <cell r="E326">
            <v>0</v>
          </cell>
          <cell r="F326">
            <v>0</v>
          </cell>
          <cell r="G326" t="e">
            <v>#N/A</v>
          </cell>
          <cell r="H326" t="e">
            <v>#N/A</v>
          </cell>
        </row>
        <row r="327">
          <cell r="A327">
            <v>0</v>
          </cell>
          <cell r="B327">
            <v>0</v>
          </cell>
          <cell r="C327">
            <v>0</v>
          </cell>
          <cell r="E327">
            <v>0</v>
          </cell>
          <cell r="F327">
            <v>0</v>
          </cell>
          <cell r="G327">
            <v>0</v>
          </cell>
        </row>
        <row r="328">
          <cell r="A328" t="str">
            <v>BK</v>
          </cell>
          <cell r="B328" t="e">
            <v>#N/A</v>
          </cell>
          <cell r="C328" t="e">
            <v>#N/A</v>
          </cell>
          <cell r="D328">
            <v>11.3</v>
          </cell>
          <cell r="E328" t="e">
            <v>#REF!</v>
          </cell>
          <cell r="F328" t="e">
            <v>#REF!</v>
          </cell>
          <cell r="G328" t="e">
            <v>#N/A</v>
          </cell>
          <cell r="H328" t="e">
            <v>#N/A</v>
          </cell>
          <cell r="I328" t="e">
            <v>#N/A</v>
          </cell>
        </row>
        <row r="329">
          <cell r="A329">
            <v>0</v>
          </cell>
          <cell r="B329">
            <v>0</v>
          </cell>
          <cell r="C329">
            <v>0</v>
          </cell>
          <cell r="D329">
            <v>28.6</v>
          </cell>
          <cell r="E329">
            <v>0</v>
          </cell>
          <cell r="F329">
            <v>0</v>
          </cell>
          <cell r="G329" t="e">
            <v>#N/A</v>
          </cell>
          <cell r="H329" t="e">
            <v>#N/A</v>
          </cell>
        </row>
        <row r="330">
          <cell r="A330">
            <v>0</v>
          </cell>
          <cell r="B330">
            <v>0</v>
          </cell>
          <cell r="C330">
            <v>0</v>
          </cell>
          <cell r="D330">
            <v>22.7</v>
          </cell>
          <cell r="E330">
            <v>0</v>
          </cell>
          <cell r="F330">
            <v>0</v>
          </cell>
          <cell r="G330" t="e">
            <v>#N/A</v>
          </cell>
          <cell r="H330" t="e">
            <v>#N/A</v>
          </cell>
        </row>
        <row r="331">
          <cell r="A331">
            <v>0</v>
          </cell>
          <cell r="B331">
            <v>0</v>
          </cell>
          <cell r="C331">
            <v>0</v>
          </cell>
          <cell r="D331">
            <v>18</v>
          </cell>
          <cell r="E331">
            <v>0</v>
          </cell>
          <cell r="F331">
            <v>0</v>
          </cell>
          <cell r="G331" t="e">
            <v>#N/A</v>
          </cell>
          <cell r="H331" t="e">
            <v>#N/A</v>
          </cell>
        </row>
        <row r="332">
          <cell r="A332">
            <v>0</v>
          </cell>
          <cell r="B332">
            <v>0</v>
          </cell>
          <cell r="C332">
            <v>0</v>
          </cell>
          <cell r="D332">
            <v>14.3</v>
          </cell>
          <cell r="E332">
            <v>0</v>
          </cell>
          <cell r="F332">
            <v>0</v>
          </cell>
          <cell r="G332" t="e">
            <v>#N/A</v>
          </cell>
          <cell r="H332" t="e">
            <v>#N/A</v>
          </cell>
        </row>
        <row r="333">
          <cell r="A333">
            <v>0</v>
          </cell>
          <cell r="B333">
            <v>0</v>
          </cell>
          <cell r="C333">
            <v>0</v>
          </cell>
          <cell r="D333">
            <v>10.6</v>
          </cell>
          <cell r="E333">
            <v>0</v>
          </cell>
          <cell r="F333">
            <v>0</v>
          </cell>
          <cell r="G333" t="e">
            <v>#N/A</v>
          </cell>
          <cell r="H333" t="e">
            <v>#N/A</v>
          </cell>
        </row>
        <row r="334">
          <cell r="A334">
            <v>0</v>
          </cell>
          <cell r="B334">
            <v>0</v>
          </cell>
          <cell r="C334">
            <v>0</v>
          </cell>
          <cell r="D334">
            <v>7.9</v>
          </cell>
          <cell r="E334">
            <v>0</v>
          </cell>
          <cell r="F334">
            <v>0</v>
          </cell>
          <cell r="G334" t="e">
            <v>#N/A</v>
          </cell>
          <cell r="H334" t="e">
            <v>#N/A</v>
          </cell>
        </row>
        <row r="335">
          <cell r="A335">
            <v>0</v>
          </cell>
          <cell r="B335">
            <v>0</v>
          </cell>
          <cell r="C335">
            <v>0</v>
          </cell>
          <cell r="D335">
            <v>5.9</v>
          </cell>
          <cell r="E335">
            <v>0</v>
          </cell>
          <cell r="F335">
            <v>0</v>
          </cell>
          <cell r="G335" t="e">
            <v>#N/A</v>
          </cell>
          <cell r="H335" t="e">
            <v>#N/A</v>
          </cell>
        </row>
        <row r="336">
          <cell r="A336">
            <v>0</v>
          </cell>
          <cell r="B336">
            <v>0</v>
          </cell>
          <cell r="C336">
            <v>0</v>
          </cell>
          <cell r="D336">
            <v>4.4000000000000004</v>
          </cell>
          <cell r="E336">
            <v>0</v>
          </cell>
          <cell r="F336">
            <v>0</v>
          </cell>
          <cell r="G336" t="e">
            <v>#N/A</v>
          </cell>
          <cell r="H336" t="e">
            <v>#N/A</v>
          </cell>
        </row>
        <row r="337">
          <cell r="A337">
            <v>0</v>
          </cell>
          <cell r="B337">
            <v>0</v>
          </cell>
          <cell r="C337">
            <v>0</v>
          </cell>
          <cell r="D337">
            <v>3.3</v>
          </cell>
          <cell r="E337">
            <v>0</v>
          </cell>
          <cell r="F337">
            <v>0</v>
          </cell>
          <cell r="G337" t="e">
            <v>#N/A</v>
          </cell>
          <cell r="H337" t="e">
            <v>#N/A</v>
          </cell>
        </row>
        <row r="338">
          <cell r="A338">
            <v>0</v>
          </cell>
          <cell r="B338">
            <v>0</v>
          </cell>
          <cell r="C338">
            <v>0</v>
          </cell>
          <cell r="D338">
            <v>2.4</v>
          </cell>
          <cell r="E338">
            <v>0</v>
          </cell>
          <cell r="F338">
            <v>0</v>
          </cell>
          <cell r="G338" t="e">
            <v>#N/A</v>
          </cell>
          <cell r="H338" t="e">
            <v>#N/A</v>
          </cell>
        </row>
        <row r="339">
          <cell r="A339">
            <v>0</v>
          </cell>
          <cell r="B339">
            <v>0</v>
          </cell>
          <cell r="C339">
            <v>0</v>
          </cell>
          <cell r="D339">
            <v>1.8</v>
          </cell>
          <cell r="E339">
            <v>0</v>
          </cell>
          <cell r="F339">
            <v>0</v>
          </cell>
          <cell r="G339" t="e">
            <v>#N/A</v>
          </cell>
          <cell r="H339" t="e">
            <v>#N/A</v>
          </cell>
        </row>
        <row r="340">
          <cell r="A340">
            <v>0</v>
          </cell>
          <cell r="B340">
            <v>0</v>
          </cell>
          <cell r="C340">
            <v>0</v>
          </cell>
          <cell r="D340">
            <v>1.3</v>
          </cell>
          <cell r="E340">
            <v>0</v>
          </cell>
          <cell r="F340">
            <v>0</v>
          </cell>
          <cell r="G340" t="e">
            <v>#N/A</v>
          </cell>
          <cell r="H340" t="e">
            <v>#N/A</v>
          </cell>
        </row>
        <row r="341">
          <cell r="A341">
            <v>0</v>
          </cell>
          <cell r="B341">
            <v>0</v>
          </cell>
          <cell r="C341">
            <v>0</v>
          </cell>
          <cell r="D341">
            <v>1</v>
          </cell>
          <cell r="E341">
            <v>0</v>
          </cell>
          <cell r="F341">
            <v>0</v>
          </cell>
          <cell r="G341" t="e">
            <v>#N/A</v>
          </cell>
          <cell r="H341" t="e">
            <v>#N/A</v>
          </cell>
        </row>
        <row r="342">
          <cell r="A342">
            <v>0</v>
          </cell>
          <cell r="B342">
            <v>0</v>
          </cell>
          <cell r="C342">
            <v>0</v>
          </cell>
          <cell r="D342">
            <v>1</v>
          </cell>
          <cell r="E342">
            <v>0</v>
          </cell>
          <cell r="F342">
            <v>0</v>
          </cell>
          <cell r="G342" t="e">
            <v>#N/A</v>
          </cell>
          <cell r="H342" t="e">
            <v>#N/A</v>
          </cell>
        </row>
        <row r="343">
          <cell r="A343">
            <v>0</v>
          </cell>
          <cell r="B343">
            <v>0</v>
          </cell>
          <cell r="C343">
            <v>0</v>
          </cell>
          <cell r="D343">
            <v>1</v>
          </cell>
          <cell r="E343">
            <v>0</v>
          </cell>
          <cell r="F343">
            <v>0</v>
          </cell>
          <cell r="G343" t="e">
            <v>#N/A</v>
          </cell>
          <cell r="H343" t="e">
            <v>#N/A</v>
          </cell>
        </row>
        <row r="344">
          <cell r="A344">
            <v>0</v>
          </cell>
          <cell r="B344">
            <v>0</v>
          </cell>
          <cell r="C344">
            <v>0</v>
          </cell>
          <cell r="E344">
            <v>0</v>
          </cell>
          <cell r="F344">
            <v>0</v>
          </cell>
          <cell r="G344">
            <v>0</v>
          </cell>
        </row>
        <row r="345">
          <cell r="A345" t="str">
            <v>BL</v>
          </cell>
          <cell r="B345" t="e">
            <v>#N/A</v>
          </cell>
          <cell r="C345" t="e">
            <v>#N/A</v>
          </cell>
          <cell r="D345">
            <v>11.3</v>
          </cell>
          <cell r="E345" t="e">
            <v>#REF!</v>
          </cell>
          <cell r="F345" t="e">
            <v>#REF!</v>
          </cell>
          <cell r="G345" t="e">
            <v>#N/A</v>
          </cell>
          <cell r="H345" t="e">
            <v>#N/A</v>
          </cell>
          <cell r="I345" t="e">
            <v>#N/A</v>
          </cell>
        </row>
        <row r="346">
          <cell r="A346">
            <v>0</v>
          </cell>
          <cell r="B346">
            <v>0</v>
          </cell>
          <cell r="C346">
            <v>0</v>
          </cell>
          <cell r="D346">
            <v>28.6</v>
          </cell>
          <cell r="E346">
            <v>0</v>
          </cell>
          <cell r="F346">
            <v>0</v>
          </cell>
          <cell r="G346" t="e">
            <v>#N/A</v>
          </cell>
          <cell r="H346" t="e">
            <v>#N/A</v>
          </cell>
        </row>
        <row r="347">
          <cell r="A347">
            <v>0</v>
          </cell>
          <cell r="B347">
            <v>0</v>
          </cell>
          <cell r="C347">
            <v>0</v>
          </cell>
          <cell r="D347">
            <v>22.7</v>
          </cell>
          <cell r="E347">
            <v>0</v>
          </cell>
          <cell r="F347">
            <v>0</v>
          </cell>
          <cell r="G347" t="e">
            <v>#N/A</v>
          </cell>
          <cell r="H347" t="e">
            <v>#N/A</v>
          </cell>
        </row>
        <row r="348">
          <cell r="A348">
            <v>0</v>
          </cell>
          <cell r="B348">
            <v>0</v>
          </cell>
          <cell r="C348">
            <v>0</v>
          </cell>
          <cell r="D348">
            <v>18</v>
          </cell>
          <cell r="E348">
            <v>0</v>
          </cell>
          <cell r="F348">
            <v>0</v>
          </cell>
          <cell r="G348" t="e">
            <v>#N/A</v>
          </cell>
          <cell r="H348" t="e">
            <v>#N/A</v>
          </cell>
        </row>
        <row r="349">
          <cell r="A349">
            <v>0</v>
          </cell>
          <cell r="B349">
            <v>0</v>
          </cell>
          <cell r="C349">
            <v>0</v>
          </cell>
          <cell r="D349">
            <v>14.3</v>
          </cell>
          <cell r="E349">
            <v>0</v>
          </cell>
          <cell r="F349">
            <v>0</v>
          </cell>
          <cell r="G349" t="e">
            <v>#N/A</v>
          </cell>
          <cell r="H349" t="e">
            <v>#N/A</v>
          </cell>
        </row>
        <row r="350">
          <cell r="A350">
            <v>0</v>
          </cell>
          <cell r="B350">
            <v>0</v>
          </cell>
          <cell r="C350">
            <v>0</v>
          </cell>
          <cell r="D350">
            <v>10.6</v>
          </cell>
          <cell r="E350">
            <v>0</v>
          </cell>
          <cell r="F350">
            <v>0</v>
          </cell>
          <cell r="G350" t="e">
            <v>#N/A</v>
          </cell>
          <cell r="H350" t="e">
            <v>#N/A</v>
          </cell>
        </row>
        <row r="351">
          <cell r="A351">
            <v>0</v>
          </cell>
          <cell r="B351">
            <v>0</v>
          </cell>
          <cell r="C351">
            <v>0</v>
          </cell>
          <cell r="D351">
            <v>7.9</v>
          </cell>
          <cell r="E351">
            <v>0</v>
          </cell>
          <cell r="F351">
            <v>0</v>
          </cell>
          <cell r="G351" t="e">
            <v>#N/A</v>
          </cell>
          <cell r="H351" t="e">
            <v>#N/A</v>
          </cell>
        </row>
        <row r="352">
          <cell r="A352">
            <v>0</v>
          </cell>
          <cell r="B352">
            <v>0</v>
          </cell>
          <cell r="C352">
            <v>0</v>
          </cell>
          <cell r="D352">
            <v>5.9</v>
          </cell>
          <cell r="E352">
            <v>0</v>
          </cell>
          <cell r="F352">
            <v>0</v>
          </cell>
          <cell r="G352" t="e">
            <v>#N/A</v>
          </cell>
          <cell r="H352" t="e">
            <v>#N/A</v>
          </cell>
        </row>
        <row r="353">
          <cell r="A353">
            <v>0</v>
          </cell>
          <cell r="B353">
            <v>0</v>
          </cell>
          <cell r="C353">
            <v>0</v>
          </cell>
          <cell r="D353">
            <v>4.4000000000000004</v>
          </cell>
          <cell r="E353">
            <v>0</v>
          </cell>
          <cell r="F353">
            <v>0</v>
          </cell>
          <cell r="G353" t="e">
            <v>#N/A</v>
          </cell>
          <cell r="H353" t="e">
            <v>#N/A</v>
          </cell>
        </row>
        <row r="354">
          <cell r="A354">
            <v>0</v>
          </cell>
          <cell r="B354">
            <v>0</v>
          </cell>
          <cell r="C354">
            <v>0</v>
          </cell>
          <cell r="D354">
            <v>3.3</v>
          </cell>
          <cell r="E354">
            <v>0</v>
          </cell>
          <cell r="F354">
            <v>0</v>
          </cell>
          <cell r="G354" t="e">
            <v>#N/A</v>
          </cell>
          <cell r="H354" t="e">
            <v>#N/A</v>
          </cell>
        </row>
        <row r="355">
          <cell r="A355">
            <v>0</v>
          </cell>
          <cell r="B355">
            <v>0</v>
          </cell>
          <cell r="C355">
            <v>0</v>
          </cell>
          <cell r="D355">
            <v>2.4</v>
          </cell>
          <cell r="E355">
            <v>0</v>
          </cell>
          <cell r="F355">
            <v>0</v>
          </cell>
          <cell r="G355" t="e">
            <v>#N/A</v>
          </cell>
          <cell r="H355" t="e">
            <v>#N/A</v>
          </cell>
        </row>
        <row r="356">
          <cell r="A356">
            <v>0</v>
          </cell>
          <cell r="B356">
            <v>0</v>
          </cell>
          <cell r="C356">
            <v>0</v>
          </cell>
          <cell r="D356">
            <v>1.8</v>
          </cell>
          <cell r="E356">
            <v>0</v>
          </cell>
          <cell r="F356">
            <v>0</v>
          </cell>
          <cell r="G356" t="e">
            <v>#N/A</v>
          </cell>
          <cell r="H356" t="e">
            <v>#N/A</v>
          </cell>
        </row>
        <row r="357">
          <cell r="A357">
            <v>0</v>
          </cell>
          <cell r="B357">
            <v>0</v>
          </cell>
          <cell r="C357">
            <v>0</v>
          </cell>
          <cell r="D357">
            <v>1.3</v>
          </cell>
          <cell r="E357">
            <v>0</v>
          </cell>
          <cell r="F357">
            <v>0</v>
          </cell>
          <cell r="G357" t="e">
            <v>#N/A</v>
          </cell>
          <cell r="H357" t="e">
            <v>#N/A</v>
          </cell>
        </row>
        <row r="358">
          <cell r="A358">
            <v>0</v>
          </cell>
          <cell r="B358">
            <v>0</v>
          </cell>
          <cell r="C358">
            <v>0</v>
          </cell>
          <cell r="D358">
            <v>1</v>
          </cell>
          <cell r="E358">
            <v>0</v>
          </cell>
          <cell r="F358">
            <v>0</v>
          </cell>
          <cell r="G358" t="e">
            <v>#N/A</v>
          </cell>
          <cell r="H358" t="e">
            <v>#N/A</v>
          </cell>
        </row>
        <row r="359">
          <cell r="A359">
            <v>0</v>
          </cell>
          <cell r="B359">
            <v>0</v>
          </cell>
          <cell r="C359">
            <v>0</v>
          </cell>
          <cell r="D359">
            <v>1</v>
          </cell>
          <cell r="E359">
            <v>0</v>
          </cell>
          <cell r="F359">
            <v>0</v>
          </cell>
          <cell r="G359" t="e">
            <v>#N/A</v>
          </cell>
          <cell r="H359" t="e">
            <v>#N/A</v>
          </cell>
        </row>
        <row r="360">
          <cell r="A360">
            <v>0</v>
          </cell>
          <cell r="B360">
            <v>0</v>
          </cell>
          <cell r="C360">
            <v>0</v>
          </cell>
          <cell r="D360">
            <v>1</v>
          </cell>
          <cell r="E360">
            <v>0</v>
          </cell>
          <cell r="F360">
            <v>0</v>
          </cell>
          <cell r="G360" t="e">
            <v>#N/A</v>
          </cell>
          <cell r="H360" t="e">
            <v>#N/A</v>
          </cell>
        </row>
        <row r="361">
          <cell r="A361">
            <v>0</v>
          </cell>
          <cell r="B361">
            <v>0</v>
          </cell>
          <cell r="C361">
            <v>0</v>
          </cell>
          <cell r="E361">
            <v>0</v>
          </cell>
          <cell r="F361">
            <v>0</v>
          </cell>
          <cell r="G361">
            <v>0</v>
          </cell>
        </row>
        <row r="362">
          <cell r="A362" t="str">
            <v>BM</v>
          </cell>
          <cell r="B362" t="e">
            <v>#N/A</v>
          </cell>
          <cell r="C362" t="e">
            <v>#N/A</v>
          </cell>
          <cell r="D362">
            <v>11.3</v>
          </cell>
          <cell r="E362" t="e">
            <v>#REF!</v>
          </cell>
          <cell r="F362" t="e">
            <v>#REF!</v>
          </cell>
          <cell r="G362" t="e">
            <v>#N/A</v>
          </cell>
          <cell r="H362" t="e">
            <v>#N/A</v>
          </cell>
          <cell r="I362" t="e">
            <v>#N/A</v>
          </cell>
        </row>
        <row r="363">
          <cell r="A363">
            <v>0</v>
          </cell>
          <cell r="B363">
            <v>0</v>
          </cell>
          <cell r="C363">
            <v>0</v>
          </cell>
          <cell r="D363">
            <v>28.6</v>
          </cell>
          <cell r="E363">
            <v>0</v>
          </cell>
          <cell r="F363">
            <v>0</v>
          </cell>
          <cell r="G363" t="e">
            <v>#N/A</v>
          </cell>
          <cell r="H363" t="e">
            <v>#N/A</v>
          </cell>
        </row>
        <row r="364">
          <cell r="A364">
            <v>0</v>
          </cell>
          <cell r="B364">
            <v>0</v>
          </cell>
          <cell r="C364">
            <v>0</v>
          </cell>
          <cell r="D364">
            <v>22.7</v>
          </cell>
          <cell r="E364">
            <v>0</v>
          </cell>
          <cell r="F364">
            <v>0</v>
          </cell>
          <cell r="G364" t="e">
            <v>#N/A</v>
          </cell>
          <cell r="H364" t="e">
            <v>#N/A</v>
          </cell>
        </row>
        <row r="365">
          <cell r="A365">
            <v>0</v>
          </cell>
          <cell r="B365">
            <v>0</v>
          </cell>
          <cell r="C365">
            <v>0</v>
          </cell>
          <cell r="D365">
            <v>18</v>
          </cell>
          <cell r="E365">
            <v>0</v>
          </cell>
          <cell r="F365">
            <v>0</v>
          </cell>
          <cell r="G365" t="e">
            <v>#N/A</v>
          </cell>
          <cell r="H365" t="e">
            <v>#N/A</v>
          </cell>
        </row>
        <row r="366">
          <cell r="A366">
            <v>0</v>
          </cell>
          <cell r="B366">
            <v>0</v>
          </cell>
          <cell r="C366">
            <v>0</v>
          </cell>
          <cell r="D366">
            <v>14.3</v>
          </cell>
          <cell r="E366">
            <v>0</v>
          </cell>
          <cell r="F366">
            <v>0</v>
          </cell>
          <cell r="G366" t="e">
            <v>#N/A</v>
          </cell>
          <cell r="H366" t="e">
            <v>#N/A</v>
          </cell>
        </row>
        <row r="367">
          <cell r="A367">
            <v>0</v>
          </cell>
          <cell r="B367">
            <v>0</v>
          </cell>
          <cell r="C367">
            <v>0</v>
          </cell>
          <cell r="D367">
            <v>10.6</v>
          </cell>
          <cell r="E367">
            <v>0</v>
          </cell>
          <cell r="F367">
            <v>0</v>
          </cell>
          <cell r="G367" t="e">
            <v>#N/A</v>
          </cell>
          <cell r="H367" t="e">
            <v>#N/A</v>
          </cell>
        </row>
        <row r="368">
          <cell r="A368">
            <v>0</v>
          </cell>
          <cell r="B368">
            <v>0</v>
          </cell>
          <cell r="C368">
            <v>0</v>
          </cell>
          <cell r="D368">
            <v>7.9</v>
          </cell>
          <cell r="E368">
            <v>0</v>
          </cell>
          <cell r="F368">
            <v>0</v>
          </cell>
          <cell r="G368" t="e">
            <v>#N/A</v>
          </cell>
          <cell r="H368" t="e">
            <v>#N/A</v>
          </cell>
        </row>
        <row r="369">
          <cell r="A369">
            <v>0</v>
          </cell>
          <cell r="B369">
            <v>0</v>
          </cell>
          <cell r="C369">
            <v>0</v>
          </cell>
          <cell r="D369">
            <v>5.9</v>
          </cell>
          <cell r="E369">
            <v>0</v>
          </cell>
          <cell r="F369">
            <v>0</v>
          </cell>
          <cell r="G369" t="e">
            <v>#N/A</v>
          </cell>
          <cell r="H369" t="e">
            <v>#N/A</v>
          </cell>
        </row>
        <row r="370">
          <cell r="A370">
            <v>0</v>
          </cell>
          <cell r="B370">
            <v>0</v>
          </cell>
          <cell r="C370">
            <v>0</v>
          </cell>
          <cell r="D370">
            <v>4.4000000000000004</v>
          </cell>
          <cell r="E370">
            <v>0</v>
          </cell>
          <cell r="F370">
            <v>0</v>
          </cell>
          <cell r="G370" t="e">
            <v>#N/A</v>
          </cell>
          <cell r="H370" t="e">
            <v>#N/A</v>
          </cell>
        </row>
        <row r="371">
          <cell r="A371">
            <v>0</v>
          </cell>
          <cell r="B371">
            <v>0</v>
          </cell>
          <cell r="C371">
            <v>0</v>
          </cell>
          <cell r="D371">
            <v>3.3</v>
          </cell>
          <cell r="E371">
            <v>0</v>
          </cell>
          <cell r="F371">
            <v>0</v>
          </cell>
          <cell r="G371" t="e">
            <v>#N/A</v>
          </cell>
          <cell r="H371" t="e">
            <v>#N/A</v>
          </cell>
        </row>
        <row r="372">
          <cell r="A372">
            <v>0</v>
          </cell>
          <cell r="B372">
            <v>0</v>
          </cell>
          <cell r="C372">
            <v>0</v>
          </cell>
          <cell r="D372">
            <v>2.4</v>
          </cell>
          <cell r="E372">
            <v>0</v>
          </cell>
          <cell r="F372">
            <v>0</v>
          </cell>
          <cell r="G372" t="e">
            <v>#N/A</v>
          </cell>
          <cell r="H372" t="e">
            <v>#N/A</v>
          </cell>
        </row>
        <row r="373">
          <cell r="A373">
            <v>0</v>
          </cell>
          <cell r="B373">
            <v>0</v>
          </cell>
          <cell r="C373">
            <v>0</v>
          </cell>
          <cell r="D373">
            <v>1.8</v>
          </cell>
          <cell r="E373">
            <v>0</v>
          </cell>
          <cell r="F373">
            <v>0</v>
          </cell>
          <cell r="G373" t="e">
            <v>#N/A</v>
          </cell>
          <cell r="H373" t="e">
            <v>#N/A</v>
          </cell>
        </row>
        <row r="374">
          <cell r="A374">
            <v>0</v>
          </cell>
          <cell r="B374">
            <v>0</v>
          </cell>
          <cell r="C374">
            <v>0</v>
          </cell>
          <cell r="D374">
            <v>1.3</v>
          </cell>
          <cell r="E374">
            <v>0</v>
          </cell>
          <cell r="F374">
            <v>0</v>
          </cell>
          <cell r="G374" t="e">
            <v>#N/A</v>
          </cell>
          <cell r="H374" t="e">
            <v>#N/A</v>
          </cell>
        </row>
        <row r="375">
          <cell r="A375">
            <v>0</v>
          </cell>
          <cell r="B375">
            <v>0</v>
          </cell>
          <cell r="C375">
            <v>0</v>
          </cell>
          <cell r="D375">
            <v>1</v>
          </cell>
          <cell r="E375">
            <v>0</v>
          </cell>
          <cell r="F375">
            <v>0</v>
          </cell>
          <cell r="G375" t="e">
            <v>#N/A</v>
          </cell>
          <cell r="H375" t="e">
            <v>#N/A</v>
          </cell>
        </row>
        <row r="376">
          <cell r="A376">
            <v>0</v>
          </cell>
          <cell r="B376">
            <v>0</v>
          </cell>
          <cell r="C376">
            <v>0</v>
          </cell>
          <cell r="D376">
            <v>1</v>
          </cell>
          <cell r="E376">
            <v>0</v>
          </cell>
          <cell r="F376">
            <v>0</v>
          </cell>
          <cell r="G376" t="e">
            <v>#N/A</v>
          </cell>
          <cell r="H376" t="e">
            <v>#N/A</v>
          </cell>
        </row>
        <row r="377">
          <cell r="A377">
            <v>0</v>
          </cell>
          <cell r="B377">
            <v>0</v>
          </cell>
          <cell r="C377">
            <v>0</v>
          </cell>
          <cell r="D377">
            <v>1</v>
          </cell>
          <cell r="E377">
            <v>0</v>
          </cell>
          <cell r="F377">
            <v>0</v>
          </cell>
          <cell r="G377" t="e">
            <v>#N/A</v>
          </cell>
          <cell r="H377" t="e">
            <v>#N/A</v>
          </cell>
        </row>
        <row r="378">
          <cell r="A378">
            <v>0</v>
          </cell>
          <cell r="B378">
            <v>0</v>
          </cell>
          <cell r="C378">
            <v>0</v>
          </cell>
          <cell r="E378">
            <v>0</v>
          </cell>
          <cell r="F378">
            <v>0</v>
          </cell>
          <cell r="G378">
            <v>0</v>
          </cell>
        </row>
        <row r="379">
          <cell r="A379" t="str">
            <v>BN</v>
          </cell>
          <cell r="B379" t="e">
            <v>#N/A</v>
          </cell>
          <cell r="C379" t="e">
            <v>#N/A</v>
          </cell>
          <cell r="D379">
            <v>11.3</v>
          </cell>
          <cell r="E379" t="e">
            <v>#REF!</v>
          </cell>
          <cell r="F379" t="e">
            <v>#REF!</v>
          </cell>
          <cell r="G379" t="e">
            <v>#N/A</v>
          </cell>
          <cell r="H379" t="e">
            <v>#N/A</v>
          </cell>
          <cell r="I379" t="e">
            <v>#N/A</v>
          </cell>
        </row>
        <row r="380">
          <cell r="A380">
            <v>0</v>
          </cell>
          <cell r="B380">
            <v>0</v>
          </cell>
          <cell r="C380">
            <v>0</v>
          </cell>
          <cell r="D380">
            <v>28.6</v>
          </cell>
          <cell r="E380">
            <v>0</v>
          </cell>
          <cell r="F380">
            <v>0</v>
          </cell>
          <cell r="G380" t="e">
            <v>#N/A</v>
          </cell>
          <cell r="H380" t="e">
            <v>#N/A</v>
          </cell>
        </row>
        <row r="381">
          <cell r="A381">
            <v>0</v>
          </cell>
          <cell r="B381">
            <v>0</v>
          </cell>
          <cell r="C381">
            <v>0</v>
          </cell>
          <cell r="D381">
            <v>22.7</v>
          </cell>
          <cell r="E381">
            <v>0</v>
          </cell>
          <cell r="F381">
            <v>0</v>
          </cell>
          <cell r="G381" t="e">
            <v>#N/A</v>
          </cell>
          <cell r="H381" t="e">
            <v>#N/A</v>
          </cell>
        </row>
        <row r="382">
          <cell r="A382">
            <v>0</v>
          </cell>
          <cell r="B382">
            <v>0</v>
          </cell>
          <cell r="C382">
            <v>0</v>
          </cell>
          <cell r="D382">
            <v>18</v>
          </cell>
          <cell r="E382">
            <v>0</v>
          </cell>
          <cell r="F382">
            <v>0</v>
          </cell>
          <cell r="G382" t="e">
            <v>#N/A</v>
          </cell>
          <cell r="H382" t="e">
            <v>#N/A</v>
          </cell>
        </row>
        <row r="383">
          <cell r="A383">
            <v>0</v>
          </cell>
          <cell r="B383">
            <v>0</v>
          </cell>
          <cell r="C383">
            <v>0</v>
          </cell>
          <cell r="D383">
            <v>14.3</v>
          </cell>
          <cell r="E383">
            <v>0</v>
          </cell>
          <cell r="F383">
            <v>0</v>
          </cell>
          <cell r="G383" t="e">
            <v>#N/A</v>
          </cell>
          <cell r="H383" t="e">
            <v>#N/A</v>
          </cell>
        </row>
        <row r="384">
          <cell r="A384">
            <v>0</v>
          </cell>
          <cell r="B384">
            <v>0</v>
          </cell>
          <cell r="C384">
            <v>0</v>
          </cell>
          <cell r="D384">
            <v>10.6</v>
          </cell>
          <cell r="E384">
            <v>0</v>
          </cell>
          <cell r="F384">
            <v>0</v>
          </cell>
          <cell r="G384" t="e">
            <v>#N/A</v>
          </cell>
          <cell r="H384" t="e">
            <v>#N/A</v>
          </cell>
        </row>
        <row r="385">
          <cell r="A385">
            <v>0</v>
          </cell>
          <cell r="B385">
            <v>0</v>
          </cell>
          <cell r="C385">
            <v>0</v>
          </cell>
          <cell r="D385">
            <v>7.9</v>
          </cell>
          <cell r="E385">
            <v>0</v>
          </cell>
          <cell r="F385">
            <v>0</v>
          </cell>
          <cell r="G385" t="e">
            <v>#N/A</v>
          </cell>
          <cell r="H385" t="e">
            <v>#N/A</v>
          </cell>
        </row>
        <row r="386">
          <cell r="A386">
            <v>0</v>
          </cell>
          <cell r="B386">
            <v>0</v>
          </cell>
          <cell r="C386">
            <v>0</v>
          </cell>
          <cell r="D386">
            <v>5.9</v>
          </cell>
          <cell r="E386">
            <v>0</v>
          </cell>
          <cell r="F386">
            <v>0</v>
          </cell>
          <cell r="G386" t="e">
            <v>#N/A</v>
          </cell>
          <cell r="H386" t="e">
            <v>#N/A</v>
          </cell>
        </row>
        <row r="387">
          <cell r="A387">
            <v>0</v>
          </cell>
          <cell r="B387">
            <v>0</v>
          </cell>
          <cell r="C387">
            <v>0</v>
          </cell>
          <cell r="D387">
            <v>4.4000000000000004</v>
          </cell>
          <cell r="E387">
            <v>0</v>
          </cell>
          <cell r="F387">
            <v>0</v>
          </cell>
          <cell r="G387" t="e">
            <v>#N/A</v>
          </cell>
          <cell r="H387" t="e">
            <v>#N/A</v>
          </cell>
        </row>
        <row r="388">
          <cell r="A388">
            <v>0</v>
          </cell>
          <cell r="B388">
            <v>0</v>
          </cell>
          <cell r="C388">
            <v>0</v>
          </cell>
          <cell r="D388">
            <v>3.3</v>
          </cell>
          <cell r="E388">
            <v>0</v>
          </cell>
          <cell r="F388">
            <v>0</v>
          </cell>
          <cell r="G388" t="e">
            <v>#N/A</v>
          </cell>
          <cell r="H388" t="e">
            <v>#N/A</v>
          </cell>
        </row>
        <row r="389">
          <cell r="A389">
            <v>0</v>
          </cell>
          <cell r="B389">
            <v>0</v>
          </cell>
          <cell r="C389">
            <v>0</v>
          </cell>
          <cell r="D389">
            <v>2.4</v>
          </cell>
          <cell r="E389">
            <v>0</v>
          </cell>
          <cell r="F389">
            <v>0</v>
          </cell>
          <cell r="G389" t="e">
            <v>#N/A</v>
          </cell>
          <cell r="H389" t="e">
            <v>#N/A</v>
          </cell>
        </row>
        <row r="390">
          <cell r="A390">
            <v>0</v>
          </cell>
          <cell r="B390">
            <v>0</v>
          </cell>
          <cell r="C390">
            <v>0</v>
          </cell>
          <cell r="D390">
            <v>1.8</v>
          </cell>
          <cell r="E390">
            <v>0</v>
          </cell>
          <cell r="F390">
            <v>0</v>
          </cell>
          <cell r="G390" t="e">
            <v>#N/A</v>
          </cell>
          <cell r="H390" t="e">
            <v>#N/A</v>
          </cell>
        </row>
        <row r="391">
          <cell r="A391">
            <v>0</v>
          </cell>
          <cell r="B391">
            <v>0</v>
          </cell>
          <cell r="C391">
            <v>0</v>
          </cell>
          <cell r="D391">
            <v>1.3</v>
          </cell>
          <cell r="E391">
            <v>0</v>
          </cell>
          <cell r="F391">
            <v>0</v>
          </cell>
          <cell r="G391" t="e">
            <v>#N/A</v>
          </cell>
          <cell r="H391" t="e">
            <v>#N/A</v>
          </cell>
        </row>
        <row r="392">
          <cell r="A392">
            <v>0</v>
          </cell>
          <cell r="B392">
            <v>0</v>
          </cell>
          <cell r="C392">
            <v>0</v>
          </cell>
          <cell r="D392">
            <v>1</v>
          </cell>
          <cell r="E392">
            <v>0</v>
          </cell>
          <cell r="F392">
            <v>0</v>
          </cell>
          <cell r="G392" t="e">
            <v>#N/A</v>
          </cell>
          <cell r="H392" t="e">
            <v>#N/A</v>
          </cell>
        </row>
        <row r="393">
          <cell r="A393">
            <v>0</v>
          </cell>
          <cell r="B393">
            <v>0</v>
          </cell>
          <cell r="C393">
            <v>0</v>
          </cell>
          <cell r="D393">
            <v>1</v>
          </cell>
          <cell r="E393">
            <v>0</v>
          </cell>
          <cell r="F393">
            <v>0</v>
          </cell>
          <cell r="G393" t="e">
            <v>#N/A</v>
          </cell>
          <cell r="H393" t="e">
            <v>#N/A</v>
          </cell>
        </row>
        <row r="394">
          <cell r="A394">
            <v>0</v>
          </cell>
          <cell r="B394">
            <v>0</v>
          </cell>
          <cell r="C394">
            <v>0</v>
          </cell>
          <cell r="D394">
            <v>1</v>
          </cell>
          <cell r="E394">
            <v>0</v>
          </cell>
          <cell r="F394">
            <v>0</v>
          </cell>
          <cell r="G394" t="e">
            <v>#N/A</v>
          </cell>
          <cell r="H394" t="e">
            <v>#N/A</v>
          </cell>
        </row>
        <row r="395">
          <cell r="A395">
            <v>0</v>
          </cell>
          <cell r="B395">
            <v>0</v>
          </cell>
          <cell r="C395">
            <v>0</v>
          </cell>
          <cell r="E395">
            <v>0</v>
          </cell>
          <cell r="F395">
            <v>0</v>
          </cell>
          <cell r="G395">
            <v>0</v>
          </cell>
        </row>
        <row r="396">
          <cell r="A396" t="str">
            <v>BO</v>
          </cell>
          <cell r="B396" t="e">
            <v>#N/A</v>
          </cell>
          <cell r="C396" t="e">
            <v>#N/A</v>
          </cell>
          <cell r="D396">
            <v>11.3</v>
          </cell>
          <cell r="E396" t="e">
            <v>#REF!</v>
          </cell>
          <cell r="F396" t="e">
            <v>#REF!</v>
          </cell>
          <cell r="G396" t="e">
            <v>#REF!</v>
          </cell>
          <cell r="H396" t="e">
            <v>#REF!</v>
          </cell>
          <cell r="I396" t="e">
            <v>#REF!</v>
          </cell>
        </row>
        <row r="397">
          <cell r="A397">
            <v>0</v>
          </cell>
          <cell r="B397">
            <v>0</v>
          </cell>
          <cell r="C397">
            <v>0</v>
          </cell>
          <cell r="D397">
            <v>28.6</v>
          </cell>
          <cell r="E397">
            <v>0</v>
          </cell>
          <cell r="F397">
            <v>0</v>
          </cell>
          <cell r="G397" t="e">
            <v>#REF!</v>
          </cell>
          <cell r="H397" t="e">
            <v>#REF!</v>
          </cell>
        </row>
        <row r="398">
          <cell r="A398">
            <v>0</v>
          </cell>
          <cell r="B398">
            <v>0</v>
          </cell>
          <cell r="C398">
            <v>0</v>
          </cell>
          <cell r="D398">
            <v>22.7</v>
          </cell>
          <cell r="E398">
            <v>0</v>
          </cell>
          <cell r="F398">
            <v>0</v>
          </cell>
          <cell r="G398" t="e">
            <v>#REF!</v>
          </cell>
          <cell r="H398" t="e">
            <v>#REF!</v>
          </cell>
        </row>
        <row r="399">
          <cell r="A399">
            <v>0</v>
          </cell>
          <cell r="B399">
            <v>0</v>
          </cell>
          <cell r="C399">
            <v>0</v>
          </cell>
          <cell r="D399">
            <v>18</v>
          </cell>
          <cell r="E399">
            <v>0</v>
          </cell>
          <cell r="F399">
            <v>0</v>
          </cell>
          <cell r="G399" t="e">
            <v>#REF!</v>
          </cell>
          <cell r="H399" t="e">
            <v>#REF!</v>
          </cell>
        </row>
        <row r="400">
          <cell r="A400">
            <v>0</v>
          </cell>
          <cell r="B400">
            <v>0</v>
          </cell>
          <cell r="C400">
            <v>0</v>
          </cell>
          <cell r="D400">
            <v>14.3</v>
          </cell>
          <cell r="E400">
            <v>0</v>
          </cell>
          <cell r="F400">
            <v>0</v>
          </cell>
          <cell r="G400" t="e">
            <v>#REF!</v>
          </cell>
          <cell r="H400" t="e">
            <v>#REF!</v>
          </cell>
        </row>
        <row r="401">
          <cell r="A401">
            <v>0</v>
          </cell>
          <cell r="B401">
            <v>0</v>
          </cell>
          <cell r="C401">
            <v>0</v>
          </cell>
          <cell r="D401">
            <v>10.6</v>
          </cell>
          <cell r="E401">
            <v>0</v>
          </cell>
          <cell r="F401">
            <v>0</v>
          </cell>
          <cell r="G401" t="e">
            <v>#REF!</v>
          </cell>
          <cell r="H401" t="e">
            <v>#REF!</v>
          </cell>
        </row>
        <row r="402">
          <cell r="A402">
            <v>0</v>
          </cell>
          <cell r="B402">
            <v>0</v>
          </cell>
          <cell r="C402">
            <v>0</v>
          </cell>
          <cell r="D402">
            <v>7.9</v>
          </cell>
          <cell r="E402">
            <v>0</v>
          </cell>
          <cell r="F402">
            <v>0</v>
          </cell>
          <cell r="G402" t="e">
            <v>#REF!</v>
          </cell>
          <cell r="H402" t="e">
            <v>#REF!</v>
          </cell>
        </row>
        <row r="403">
          <cell r="A403">
            <v>0</v>
          </cell>
          <cell r="B403">
            <v>0</v>
          </cell>
          <cell r="C403">
            <v>0</v>
          </cell>
          <cell r="D403">
            <v>5.9</v>
          </cell>
          <cell r="E403">
            <v>0</v>
          </cell>
          <cell r="F403">
            <v>0</v>
          </cell>
          <cell r="G403" t="e">
            <v>#REF!</v>
          </cell>
          <cell r="H403" t="e">
            <v>#REF!</v>
          </cell>
        </row>
        <row r="404">
          <cell r="A404">
            <v>0</v>
          </cell>
          <cell r="B404">
            <v>0</v>
          </cell>
          <cell r="C404">
            <v>0</v>
          </cell>
          <cell r="D404">
            <v>4.4000000000000004</v>
          </cell>
          <cell r="E404">
            <v>0</v>
          </cell>
          <cell r="F404">
            <v>0</v>
          </cell>
          <cell r="G404" t="e">
            <v>#REF!</v>
          </cell>
          <cell r="H404" t="e">
            <v>#REF!</v>
          </cell>
        </row>
        <row r="405">
          <cell r="A405">
            <v>0</v>
          </cell>
          <cell r="B405">
            <v>0</v>
          </cell>
          <cell r="C405">
            <v>0</v>
          </cell>
          <cell r="D405">
            <v>3.3</v>
          </cell>
          <cell r="E405">
            <v>0</v>
          </cell>
          <cell r="F405">
            <v>0</v>
          </cell>
          <cell r="G405" t="e">
            <v>#REF!</v>
          </cell>
          <cell r="H405" t="e">
            <v>#REF!</v>
          </cell>
        </row>
        <row r="406">
          <cell r="A406">
            <v>0</v>
          </cell>
          <cell r="B406">
            <v>0</v>
          </cell>
          <cell r="C406">
            <v>0</v>
          </cell>
          <cell r="D406">
            <v>2.4</v>
          </cell>
          <cell r="E406">
            <v>0</v>
          </cell>
          <cell r="F406">
            <v>0</v>
          </cell>
          <cell r="G406" t="e">
            <v>#REF!</v>
          </cell>
          <cell r="H406" t="e">
            <v>#REF!</v>
          </cell>
        </row>
        <row r="407">
          <cell r="A407">
            <v>0</v>
          </cell>
          <cell r="B407">
            <v>0</v>
          </cell>
          <cell r="C407">
            <v>0</v>
          </cell>
          <cell r="D407">
            <v>1.8</v>
          </cell>
          <cell r="E407">
            <v>0</v>
          </cell>
          <cell r="F407">
            <v>0</v>
          </cell>
          <cell r="G407" t="e">
            <v>#REF!</v>
          </cell>
          <cell r="H407" t="e">
            <v>#REF!</v>
          </cell>
        </row>
        <row r="408">
          <cell r="A408">
            <v>0</v>
          </cell>
          <cell r="B408">
            <v>0</v>
          </cell>
          <cell r="C408">
            <v>0</v>
          </cell>
          <cell r="D408">
            <v>1.3</v>
          </cell>
          <cell r="E408">
            <v>0</v>
          </cell>
          <cell r="F408">
            <v>0</v>
          </cell>
          <cell r="G408" t="e">
            <v>#REF!</v>
          </cell>
          <cell r="H408" t="e">
            <v>#REF!</v>
          </cell>
        </row>
        <row r="409">
          <cell r="A409">
            <v>0</v>
          </cell>
          <cell r="B409">
            <v>0</v>
          </cell>
          <cell r="C409">
            <v>0</v>
          </cell>
          <cell r="D409">
            <v>1</v>
          </cell>
          <cell r="E409">
            <v>0</v>
          </cell>
          <cell r="F409">
            <v>0</v>
          </cell>
          <cell r="G409" t="e">
            <v>#REF!</v>
          </cell>
          <cell r="H409" t="e">
            <v>#REF!</v>
          </cell>
        </row>
        <row r="410">
          <cell r="A410">
            <v>0</v>
          </cell>
          <cell r="B410">
            <v>0</v>
          </cell>
          <cell r="C410">
            <v>0</v>
          </cell>
          <cell r="D410">
            <v>1</v>
          </cell>
          <cell r="E410">
            <v>0</v>
          </cell>
          <cell r="F410">
            <v>0</v>
          </cell>
          <cell r="G410" t="e">
            <v>#REF!</v>
          </cell>
          <cell r="H410" t="e">
            <v>#REF!</v>
          </cell>
        </row>
        <row r="411">
          <cell r="A411">
            <v>0</v>
          </cell>
          <cell r="B411">
            <v>0</v>
          </cell>
          <cell r="C411">
            <v>0</v>
          </cell>
          <cell r="D411">
            <v>1</v>
          </cell>
          <cell r="E411">
            <v>0</v>
          </cell>
          <cell r="F411">
            <v>0</v>
          </cell>
          <cell r="G411" t="e">
            <v>#REF!</v>
          </cell>
          <cell r="H411" t="e">
            <v>#REF!</v>
          </cell>
        </row>
        <row r="412">
          <cell r="A412">
            <v>0</v>
          </cell>
          <cell r="B412">
            <v>0</v>
          </cell>
          <cell r="C412">
            <v>0</v>
          </cell>
          <cell r="E412">
            <v>0</v>
          </cell>
          <cell r="F412">
            <v>0</v>
          </cell>
          <cell r="G412">
            <v>0</v>
          </cell>
        </row>
        <row r="413">
          <cell r="A413" t="str">
            <v>BP</v>
          </cell>
          <cell r="B413" t="e">
            <v>#N/A</v>
          </cell>
          <cell r="C413" t="e">
            <v>#N/A</v>
          </cell>
          <cell r="D413">
            <v>11.3</v>
          </cell>
          <cell r="E413" t="e">
            <v>#REF!</v>
          </cell>
          <cell r="F413" t="e">
            <v>#REF!</v>
          </cell>
          <cell r="G413" t="e">
            <v>#REF!</v>
          </cell>
          <cell r="H413" t="e">
            <v>#REF!</v>
          </cell>
          <cell r="I413" t="e">
            <v>#REF!</v>
          </cell>
        </row>
        <row r="414">
          <cell r="A414">
            <v>0</v>
          </cell>
          <cell r="B414">
            <v>0</v>
          </cell>
          <cell r="C414">
            <v>0</v>
          </cell>
          <cell r="D414">
            <v>28.6</v>
          </cell>
          <cell r="E414">
            <v>0</v>
          </cell>
          <cell r="F414">
            <v>0</v>
          </cell>
          <cell r="G414" t="e">
            <v>#REF!</v>
          </cell>
          <cell r="H414" t="e">
            <v>#REF!</v>
          </cell>
        </row>
        <row r="415">
          <cell r="A415">
            <v>0</v>
          </cell>
          <cell r="B415">
            <v>0</v>
          </cell>
          <cell r="C415">
            <v>0</v>
          </cell>
          <cell r="D415">
            <v>22.7</v>
          </cell>
          <cell r="E415">
            <v>0</v>
          </cell>
          <cell r="F415">
            <v>0</v>
          </cell>
          <cell r="G415" t="e">
            <v>#REF!</v>
          </cell>
          <cell r="H415" t="e">
            <v>#REF!</v>
          </cell>
        </row>
        <row r="416">
          <cell r="A416">
            <v>0</v>
          </cell>
          <cell r="B416">
            <v>0</v>
          </cell>
          <cell r="C416">
            <v>0</v>
          </cell>
          <cell r="D416">
            <v>18</v>
          </cell>
          <cell r="E416">
            <v>0</v>
          </cell>
          <cell r="F416">
            <v>0</v>
          </cell>
          <cell r="G416" t="e">
            <v>#REF!</v>
          </cell>
          <cell r="H416" t="e">
            <v>#REF!</v>
          </cell>
        </row>
        <row r="417">
          <cell r="A417">
            <v>0</v>
          </cell>
          <cell r="B417">
            <v>0</v>
          </cell>
          <cell r="C417">
            <v>0</v>
          </cell>
          <cell r="D417">
            <v>14.3</v>
          </cell>
          <cell r="E417">
            <v>0</v>
          </cell>
          <cell r="F417">
            <v>0</v>
          </cell>
          <cell r="G417" t="e">
            <v>#REF!</v>
          </cell>
          <cell r="H417" t="e">
            <v>#REF!</v>
          </cell>
        </row>
        <row r="418">
          <cell r="A418">
            <v>0</v>
          </cell>
          <cell r="B418">
            <v>0</v>
          </cell>
          <cell r="C418">
            <v>0</v>
          </cell>
          <cell r="D418">
            <v>10.6</v>
          </cell>
          <cell r="E418">
            <v>0</v>
          </cell>
          <cell r="F418">
            <v>0</v>
          </cell>
          <cell r="G418" t="e">
            <v>#REF!</v>
          </cell>
          <cell r="H418" t="e">
            <v>#REF!</v>
          </cell>
        </row>
        <row r="419">
          <cell r="A419">
            <v>0</v>
          </cell>
          <cell r="B419">
            <v>0</v>
          </cell>
          <cell r="C419">
            <v>0</v>
          </cell>
          <cell r="D419">
            <v>7.9</v>
          </cell>
          <cell r="E419">
            <v>0</v>
          </cell>
          <cell r="F419">
            <v>0</v>
          </cell>
          <cell r="G419" t="e">
            <v>#REF!</v>
          </cell>
          <cell r="H419" t="e">
            <v>#REF!</v>
          </cell>
        </row>
        <row r="420">
          <cell r="A420">
            <v>0</v>
          </cell>
          <cell r="B420">
            <v>0</v>
          </cell>
          <cell r="C420">
            <v>0</v>
          </cell>
          <cell r="D420">
            <v>5.9</v>
          </cell>
          <cell r="E420">
            <v>0</v>
          </cell>
          <cell r="F420">
            <v>0</v>
          </cell>
          <cell r="G420" t="e">
            <v>#REF!</v>
          </cell>
          <cell r="H420" t="e">
            <v>#REF!</v>
          </cell>
        </row>
        <row r="421">
          <cell r="A421">
            <v>0</v>
          </cell>
          <cell r="B421">
            <v>0</v>
          </cell>
          <cell r="C421">
            <v>0</v>
          </cell>
          <cell r="D421">
            <v>4.4000000000000004</v>
          </cell>
          <cell r="E421">
            <v>0</v>
          </cell>
          <cell r="F421">
            <v>0</v>
          </cell>
          <cell r="G421" t="e">
            <v>#REF!</v>
          </cell>
          <cell r="H421" t="e">
            <v>#REF!</v>
          </cell>
        </row>
        <row r="422">
          <cell r="A422">
            <v>0</v>
          </cell>
          <cell r="B422">
            <v>0</v>
          </cell>
          <cell r="C422">
            <v>0</v>
          </cell>
          <cell r="D422">
            <v>3.3</v>
          </cell>
          <cell r="E422">
            <v>0</v>
          </cell>
          <cell r="F422">
            <v>0</v>
          </cell>
          <cell r="G422" t="e">
            <v>#REF!</v>
          </cell>
          <cell r="H422" t="e">
            <v>#REF!</v>
          </cell>
        </row>
        <row r="423">
          <cell r="A423">
            <v>0</v>
          </cell>
          <cell r="B423">
            <v>0</v>
          </cell>
          <cell r="C423">
            <v>0</v>
          </cell>
          <cell r="D423">
            <v>2.4</v>
          </cell>
          <cell r="E423">
            <v>0</v>
          </cell>
          <cell r="F423">
            <v>0</v>
          </cell>
          <cell r="G423" t="e">
            <v>#REF!</v>
          </cell>
          <cell r="H423" t="e">
            <v>#REF!</v>
          </cell>
        </row>
        <row r="424">
          <cell r="A424">
            <v>0</v>
          </cell>
          <cell r="B424">
            <v>0</v>
          </cell>
          <cell r="C424">
            <v>0</v>
          </cell>
          <cell r="D424">
            <v>1.8</v>
          </cell>
          <cell r="E424">
            <v>0</v>
          </cell>
          <cell r="F424">
            <v>0</v>
          </cell>
          <cell r="G424" t="e">
            <v>#REF!</v>
          </cell>
          <cell r="H424" t="e">
            <v>#REF!</v>
          </cell>
        </row>
        <row r="425">
          <cell r="A425">
            <v>0</v>
          </cell>
          <cell r="B425">
            <v>0</v>
          </cell>
          <cell r="C425">
            <v>0</v>
          </cell>
          <cell r="D425">
            <v>1.3</v>
          </cell>
          <cell r="E425">
            <v>0</v>
          </cell>
          <cell r="F425">
            <v>0</v>
          </cell>
          <cell r="G425" t="e">
            <v>#REF!</v>
          </cell>
          <cell r="H425" t="e">
            <v>#REF!</v>
          </cell>
        </row>
        <row r="426">
          <cell r="A426">
            <v>0</v>
          </cell>
          <cell r="B426">
            <v>0</v>
          </cell>
          <cell r="C426">
            <v>0</v>
          </cell>
          <cell r="D426">
            <v>1</v>
          </cell>
          <cell r="E426">
            <v>0</v>
          </cell>
          <cell r="F426">
            <v>0</v>
          </cell>
          <cell r="G426" t="e">
            <v>#REF!</v>
          </cell>
          <cell r="H426" t="e">
            <v>#REF!</v>
          </cell>
        </row>
        <row r="427">
          <cell r="A427">
            <v>0</v>
          </cell>
          <cell r="B427">
            <v>0</v>
          </cell>
          <cell r="C427">
            <v>0</v>
          </cell>
          <cell r="D427">
            <v>1</v>
          </cell>
          <cell r="E427">
            <v>0</v>
          </cell>
          <cell r="F427">
            <v>0</v>
          </cell>
          <cell r="G427" t="e">
            <v>#REF!</v>
          </cell>
          <cell r="H427" t="e">
            <v>#REF!</v>
          </cell>
        </row>
        <row r="428">
          <cell r="A428">
            <v>0</v>
          </cell>
          <cell r="B428">
            <v>0</v>
          </cell>
          <cell r="C428">
            <v>0</v>
          </cell>
          <cell r="D428">
            <v>1</v>
          </cell>
          <cell r="E428">
            <v>0</v>
          </cell>
          <cell r="F428">
            <v>0</v>
          </cell>
          <cell r="G428" t="e">
            <v>#REF!</v>
          </cell>
          <cell r="H428" t="e">
            <v>#REF!</v>
          </cell>
        </row>
        <row r="429">
          <cell r="A429">
            <v>0</v>
          </cell>
          <cell r="B429">
            <v>0</v>
          </cell>
          <cell r="C429">
            <v>0</v>
          </cell>
          <cell r="E429">
            <v>0</v>
          </cell>
          <cell r="F429">
            <v>0</v>
          </cell>
          <cell r="G429">
            <v>0</v>
          </cell>
        </row>
        <row r="430">
          <cell r="A430" t="str">
            <v>BQ</v>
          </cell>
          <cell r="B430" t="e">
            <v>#N/A</v>
          </cell>
          <cell r="C430" t="e">
            <v>#N/A</v>
          </cell>
          <cell r="D430">
            <v>11.3</v>
          </cell>
          <cell r="E430" t="e">
            <v>#REF!</v>
          </cell>
          <cell r="F430" t="e">
            <v>#REF!</v>
          </cell>
          <cell r="G430" t="e">
            <v>#REF!</v>
          </cell>
          <cell r="H430" t="e">
            <v>#REF!</v>
          </cell>
          <cell r="I430" t="e">
            <v>#REF!</v>
          </cell>
        </row>
        <row r="431">
          <cell r="A431">
            <v>0</v>
          </cell>
          <cell r="B431">
            <v>0</v>
          </cell>
          <cell r="C431">
            <v>0</v>
          </cell>
          <cell r="D431">
            <v>28.6</v>
          </cell>
          <cell r="E431">
            <v>0</v>
          </cell>
          <cell r="F431">
            <v>0</v>
          </cell>
          <cell r="G431" t="e">
            <v>#REF!</v>
          </cell>
          <cell r="H431" t="e">
            <v>#REF!</v>
          </cell>
        </row>
        <row r="432">
          <cell r="A432">
            <v>0</v>
          </cell>
          <cell r="B432">
            <v>0</v>
          </cell>
          <cell r="C432">
            <v>0</v>
          </cell>
          <cell r="D432">
            <v>22.7</v>
          </cell>
          <cell r="E432">
            <v>0</v>
          </cell>
          <cell r="F432">
            <v>0</v>
          </cell>
          <cell r="G432" t="e">
            <v>#REF!</v>
          </cell>
          <cell r="H432" t="e">
            <v>#REF!</v>
          </cell>
        </row>
        <row r="433">
          <cell r="A433">
            <v>0</v>
          </cell>
          <cell r="B433">
            <v>0</v>
          </cell>
          <cell r="C433">
            <v>0</v>
          </cell>
          <cell r="D433">
            <v>18</v>
          </cell>
          <cell r="E433">
            <v>0</v>
          </cell>
          <cell r="F433">
            <v>0</v>
          </cell>
          <cell r="G433" t="e">
            <v>#REF!</v>
          </cell>
          <cell r="H433" t="e">
            <v>#REF!</v>
          </cell>
        </row>
        <row r="434">
          <cell r="A434">
            <v>0</v>
          </cell>
          <cell r="B434">
            <v>0</v>
          </cell>
          <cell r="C434">
            <v>0</v>
          </cell>
          <cell r="D434">
            <v>14.3</v>
          </cell>
          <cell r="E434">
            <v>0</v>
          </cell>
          <cell r="F434">
            <v>0</v>
          </cell>
          <cell r="G434" t="e">
            <v>#REF!</v>
          </cell>
          <cell r="H434" t="e">
            <v>#REF!</v>
          </cell>
        </row>
        <row r="435">
          <cell r="A435">
            <v>0</v>
          </cell>
          <cell r="B435">
            <v>0</v>
          </cell>
          <cell r="C435">
            <v>0</v>
          </cell>
          <cell r="D435">
            <v>10.6</v>
          </cell>
          <cell r="E435">
            <v>0</v>
          </cell>
          <cell r="F435">
            <v>0</v>
          </cell>
          <cell r="G435" t="e">
            <v>#REF!</v>
          </cell>
          <cell r="H435" t="e">
            <v>#REF!</v>
          </cell>
        </row>
        <row r="436">
          <cell r="A436">
            <v>0</v>
          </cell>
          <cell r="B436">
            <v>0</v>
          </cell>
          <cell r="C436">
            <v>0</v>
          </cell>
          <cell r="D436">
            <v>7.9</v>
          </cell>
          <cell r="E436">
            <v>0</v>
          </cell>
          <cell r="F436">
            <v>0</v>
          </cell>
          <cell r="G436" t="e">
            <v>#REF!</v>
          </cell>
          <cell r="H436" t="e">
            <v>#REF!</v>
          </cell>
        </row>
        <row r="437">
          <cell r="A437">
            <v>0</v>
          </cell>
          <cell r="B437">
            <v>0</v>
          </cell>
          <cell r="C437">
            <v>0</v>
          </cell>
          <cell r="D437">
            <v>5.9</v>
          </cell>
          <cell r="E437">
            <v>0</v>
          </cell>
          <cell r="F437">
            <v>0</v>
          </cell>
          <cell r="G437" t="e">
            <v>#REF!</v>
          </cell>
          <cell r="H437" t="e">
            <v>#REF!</v>
          </cell>
        </row>
        <row r="438">
          <cell r="A438">
            <v>0</v>
          </cell>
          <cell r="B438">
            <v>0</v>
          </cell>
          <cell r="C438">
            <v>0</v>
          </cell>
          <cell r="D438">
            <v>4.4000000000000004</v>
          </cell>
          <cell r="E438">
            <v>0</v>
          </cell>
          <cell r="F438">
            <v>0</v>
          </cell>
          <cell r="G438" t="e">
            <v>#REF!</v>
          </cell>
          <cell r="H438" t="e">
            <v>#REF!</v>
          </cell>
        </row>
        <row r="439">
          <cell r="A439">
            <v>0</v>
          </cell>
          <cell r="B439">
            <v>0</v>
          </cell>
          <cell r="C439">
            <v>0</v>
          </cell>
          <cell r="D439">
            <v>3.3</v>
          </cell>
          <cell r="E439">
            <v>0</v>
          </cell>
          <cell r="F439">
            <v>0</v>
          </cell>
          <cell r="G439" t="e">
            <v>#REF!</v>
          </cell>
          <cell r="H439" t="e">
            <v>#REF!</v>
          </cell>
        </row>
        <row r="440">
          <cell r="A440">
            <v>0</v>
          </cell>
          <cell r="B440">
            <v>0</v>
          </cell>
          <cell r="C440">
            <v>0</v>
          </cell>
          <cell r="D440">
            <v>2.4</v>
          </cell>
          <cell r="E440">
            <v>0</v>
          </cell>
          <cell r="F440">
            <v>0</v>
          </cell>
          <cell r="G440" t="e">
            <v>#REF!</v>
          </cell>
          <cell r="H440" t="e">
            <v>#REF!</v>
          </cell>
        </row>
        <row r="441">
          <cell r="A441">
            <v>0</v>
          </cell>
          <cell r="B441">
            <v>0</v>
          </cell>
          <cell r="C441">
            <v>0</v>
          </cell>
          <cell r="D441">
            <v>1.8</v>
          </cell>
          <cell r="E441">
            <v>0</v>
          </cell>
          <cell r="F441">
            <v>0</v>
          </cell>
          <cell r="G441" t="e">
            <v>#REF!</v>
          </cell>
          <cell r="H441" t="e">
            <v>#REF!</v>
          </cell>
        </row>
        <row r="442">
          <cell r="A442">
            <v>0</v>
          </cell>
          <cell r="B442">
            <v>0</v>
          </cell>
          <cell r="C442">
            <v>0</v>
          </cell>
          <cell r="D442">
            <v>1.3</v>
          </cell>
          <cell r="E442">
            <v>0</v>
          </cell>
          <cell r="F442">
            <v>0</v>
          </cell>
          <cell r="G442" t="e">
            <v>#REF!</v>
          </cell>
          <cell r="H442" t="e">
            <v>#REF!</v>
          </cell>
        </row>
        <row r="443">
          <cell r="A443">
            <v>0</v>
          </cell>
          <cell r="B443">
            <v>0</v>
          </cell>
          <cell r="C443">
            <v>0</v>
          </cell>
          <cell r="D443">
            <v>1</v>
          </cell>
          <cell r="E443">
            <v>0</v>
          </cell>
          <cell r="F443">
            <v>0</v>
          </cell>
          <cell r="G443" t="e">
            <v>#REF!</v>
          </cell>
          <cell r="H443" t="e">
            <v>#REF!</v>
          </cell>
        </row>
        <row r="444">
          <cell r="A444">
            <v>0</v>
          </cell>
          <cell r="B444">
            <v>0</v>
          </cell>
          <cell r="C444">
            <v>0</v>
          </cell>
          <cell r="D444">
            <v>1</v>
          </cell>
          <cell r="E444">
            <v>0</v>
          </cell>
          <cell r="F444">
            <v>0</v>
          </cell>
          <cell r="G444" t="e">
            <v>#REF!</v>
          </cell>
          <cell r="H444" t="e">
            <v>#REF!</v>
          </cell>
        </row>
        <row r="445">
          <cell r="A445">
            <v>0</v>
          </cell>
          <cell r="B445">
            <v>0</v>
          </cell>
          <cell r="C445">
            <v>0</v>
          </cell>
          <cell r="D445">
            <v>1</v>
          </cell>
          <cell r="E445">
            <v>0</v>
          </cell>
          <cell r="F445">
            <v>0</v>
          </cell>
          <cell r="G445" t="e">
            <v>#REF!</v>
          </cell>
          <cell r="H445" t="e">
            <v>#REF!</v>
          </cell>
        </row>
        <row r="446">
          <cell r="A446">
            <v>0</v>
          </cell>
          <cell r="B446">
            <v>0</v>
          </cell>
          <cell r="C446">
            <v>0</v>
          </cell>
          <cell r="E446">
            <v>0</v>
          </cell>
          <cell r="F446">
            <v>0</v>
          </cell>
          <cell r="G446">
            <v>0</v>
          </cell>
        </row>
        <row r="447">
          <cell r="A447" t="str">
            <v>BR</v>
          </cell>
          <cell r="B447" t="e">
            <v>#N/A</v>
          </cell>
          <cell r="C447" t="e">
            <v>#N/A</v>
          </cell>
          <cell r="D447">
            <v>11.3</v>
          </cell>
          <cell r="E447" t="e">
            <v>#REF!</v>
          </cell>
          <cell r="F447" t="e">
            <v>#REF!</v>
          </cell>
          <cell r="G447" t="e">
            <v>#REF!</v>
          </cell>
          <cell r="H447" t="e">
            <v>#REF!</v>
          </cell>
          <cell r="I447" t="e">
            <v>#REF!</v>
          </cell>
        </row>
        <row r="448">
          <cell r="A448">
            <v>0</v>
          </cell>
          <cell r="B448">
            <v>0</v>
          </cell>
          <cell r="C448">
            <v>0</v>
          </cell>
          <cell r="D448">
            <v>28.6</v>
          </cell>
          <cell r="E448">
            <v>0</v>
          </cell>
          <cell r="F448">
            <v>0</v>
          </cell>
          <cell r="G448" t="e">
            <v>#REF!</v>
          </cell>
          <cell r="H448" t="e">
            <v>#REF!</v>
          </cell>
        </row>
        <row r="449">
          <cell r="A449">
            <v>0</v>
          </cell>
          <cell r="B449">
            <v>0</v>
          </cell>
          <cell r="C449">
            <v>0</v>
          </cell>
          <cell r="D449">
            <v>22.7</v>
          </cell>
          <cell r="E449">
            <v>0</v>
          </cell>
          <cell r="F449">
            <v>0</v>
          </cell>
          <cell r="G449" t="e">
            <v>#REF!</v>
          </cell>
          <cell r="H449" t="e">
            <v>#REF!</v>
          </cell>
        </row>
        <row r="450">
          <cell r="A450">
            <v>0</v>
          </cell>
          <cell r="B450">
            <v>0</v>
          </cell>
          <cell r="C450">
            <v>0</v>
          </cell>
          <cell r="D450">
            <v>18</v>
          </cell>
          <cell r="E450">
            <v>0</v>
          </cell>
          <cell r="F450">
            <v>0</v>
          </cell>
          <cell r="G450" t="e">
            <v>#REF!</v>
          </cell>
          <cell r="H450" t="e">
            <v>#REF!</v>
          </cell>
        </row>
        <row r="451">
          <cell r="A451">
            <v>0</v>
          </cell>
          <cell r="B451">
            <v>0</v>
          </cell>
          <cell r="C451">
            <v>0</v>
          </cell>
          <cell r="D451">
            <v>14.3</v>
          </cell>
          <cell r="E451">
            <v>0</v>
          </cell>
          <cell r="F451">
            <v>0</v>
          </cell>
          <cell r="G451" t="e">
            <v>#REF!</v>
          </cell>
          <cell r="H451" t="e">
            <v>#REF!</v>
          </cell>
        </row>
        <row r="452">
          <cell r="A452">
            <v>0</v>
          </cell>
          <cell r="B452">
            <v>0</v>
          </cell>
          <cell r="C452">
            <v>0</v>
          </cell>
          <cell r="D452">
            <v>10.6</v>
          </cell>
          <cell r="E452">
            <v>0</v>
          </cell>
          <cell r="F452">
            <v>0</v>
          </cell>
          <cell r="G452" t="e">
            <v>#REF!</v>
          </cell>
          <cell r="H452" t="e">
            <v>#REF!</v>
          </cell>
        </row>
        <row r="453">
          <cell r="A453">
            <v>0</v>
          </cell>
          <cell r="B453">
            <v>0</v>
          </cell>
          <cell r="C453">
            <v>0</v>
          </cell>
          <cell r="D453">
            <v>7.9</v>
          </cell>
          <cell r="E453">
            <v>0</v>
          </cell>
          <cell r="F453">
            <v>0</v>
          </cell>
          <cell r="G453" t="e">
            <v>#REF!</v>
          </cell>
          <cell r="H453" t="e">
            <v>#REF!</v>
          </cell>
        </row>
        <row r="454">
          <cell r="A454">
            <v>0</v>
          </cell>
          <cell r="B454">
            <v>0</v>
          </cell>
          <cell r="C454">
            <v>0</v>
          </cell>
          <cell r="D454">
            <v>5.9</v>
          </cell>
          <cell r="E454">
            <v>0</v>
          </cell>
          <cell r="F454">
            <v>0</v>
          </cell>
          <cell r="G454" t="e">
            <v>#REF!</v>
          </cell>
          <cell r="H454" t="e">
            <v>#REF!</v>
          </cell>
        </row>
        <row r="455">
          <cell r="A455">
            <v>0</v>
          </cell>
          <cell r="B455">
            <v>0</v>
          </cell>
          <cell r="C455">
            <v>0</v>
          </cell>
          <cell r="D455">
            <v>4.4000000000000004</v>
          </cell>
          <cell r="E455">
            <v>0</v>
          </cell>
          <cell r="F455">
            <v>0</v>
          </cell>
          <cell r="G455" t="e">
            <v>#REF!</v>
          </cell>
          <cell r="H455" t="e">
            <v>#REF!</v>
          </cell>
        </row>
        <row r="456">
          <cell r="A456">
            <v>0</v>
          </cell>
          <cell r="B456">
            <v>0</v>
          </cell>
          <cell r="C456">
            <v>0</v>
          </cell>
          <cell r="D456">
            <v>3.3</v>
          </cell>
          <cell r="E456">
            <v>0</v>
          </cell>
          <cell r="F456">
            <v>0</v>
          </cell>
          <cell r="G456" t="e">
            <v>#REF!</v>
          </cell>
          <cell r="H456" t="e">
            <v>#REF!</v>
          </cell>
        </row>
        <row r="457">
          <cell r="A457">
            <v>0</v>
          </cell>
          <cell r="B457">
            <v>0</v>
          </cell>
          <cell r="C457">
            <v>0</v>
          </cell>
          <cell r="D457">
            <v>2.4</v>
          </cell>
          <cell r="E457">
            <v>0</v>
          </cell>
          <cell r="F457">
            <v>0</v>
          </cell>
          <cell r="G457" t="e">
            <v>#REF!</v>
          </cell>
          <cell r="H457" t="e">
            <v>#REF!</v>
          </cell>
        </row>
        <row r="458">
          <cell r="A458">
            <v>0</v>
          </cell>
          <cell r="B458">
            <v>0</v>
          </cell>
          <cell r="C458">
            <v>0</v>
          </cell>
          <cell r="D458">
            <v>1.8</v>
          </cell>
          <cell r="E458">
            <v>0</v>
          </cell>
          <cell r="F458">
            <v>0</v>
          </cell>
          <cell r="G458" t="e">
            <v>#REF!</v>
          </cell>
          <cell r="H458" t="e">
            <v>#REF!</v>
          </cell>
        </row>
        <row r="459">
          <cell r="A459">
            <v>0</v>
          </cell>
          <cell r="B459">
            <v>0</v>
          </cell>
          <cell r="C459">
            <v>0</v>
          </cell>
          <cell r="D459">
            <v>1.3</v>
          </cell>
          <cell r="E459">
            <v>0</v>
          </cell>
          <cell r="F459">
            <v>0</v>
          </cell>
          <cell r="G459" t="e">
            <v>#REF!</v>
          </cell>
          <cell r="H459" t="e">
            <v>#REF!</v>
          </cell>
        </row>
        <row r="460">
          <cell r="A460">
            <v>0</v>
          </cell>
          <cell r="B460">
            <v>0</v>
          </cell>
          <cell r="C460">
            <v>0</v>
          </cell>
          <cell r="D460">
            <v>1</v>
          </cell>
          <cell r="E460">
            <v>0</v>
          </cell>
          <cell r="F460">
            <v>0</v>
          </cell>
          <cell r="G460" t="e">
            <v>#REF!</v>
          </cell>
          <cell r="H460" t="e">
            <v>#REF!</v>
          </cell>
        </row>
        <row r="461">
          <cell r="A461">
            <v>0</v>
          </cell>
          <cell r="B461">
            <v>0</v>
          </cell>
          <cell r="C461">
            <v>0</v>
          </cell>
          <cell r="D461">
            <v>1</v>
          </cell>
          <cell r="E461">
            <v>0</v>
          </cell>
          <cell r="F461">
            <v>0</v>
          </cell>
          <cell r="G461" t="e">
            <v>#REF!</v>
          </cell>
          <cell r="H461" t="e">
            <v>#REF!</v>
          </cell>
        </row>
        <row r="462">
          <cell r="A462">
            <v>0</v>
          </cell>
          <cell r="B462">
            <v>0</v>
          </cell>
          <cell r="C462">
            <v>0</v>
          </cell>
          <cell r="D462">
            <v>1</v>
          </cell>
          <cell r="E462">
            <v>0</v>
          </cell>
          <cell r="F462">
            <v>0</v>
          </cell>
          <cell r="G462" t="e">
            <v>#REF!</v>
          </cell>
          <cell r="H462" t="e">
            <v>#REF!</v>
          </cell>
        </row>
        <row r="463">
          <cell r="A463">
            <v>0</v>
          </cell>
          <cell r="B463">
            <v>0</v>
          </cell>
          <cell r="C463">
            <v>0</v>
          </cell>
          <cell r="E463">
            <v>0</v>
          </cell>
          <cell r="F463">
            <v>0</v>
          </cell>
          <cell r="G463">
            <v>0</v>
          </cell>
        </row>
        <row r="464">
          <cell r="A464" t="str">
            <v>BS</v>
          </cell>
          <cell r="B464" t="e">
            <v>#N/A</v>
          </cell>
          <cell r="C464" t="e">
            <v>#N/A</v>
          </cell>
          <cell r="D464">
            <v>11.3</v>
          </cell>
          <cell r="E464" t="e">
            <v>#REF!</v>
          </cell>
          <cell r="F464" t="e">
            <v>#REF!</v>
          </cell>
          <cell r="G464" t="e">
            <v>#REF!</v>
          </cell>
          <cell r="H464" t="e">
            <v>#REF!</v>
          </cell>
          <cell r="I464" t="e">
            <v>#REF!</v>
          </cell>
        </row>
        <row r="465">
          <cell r="A465">
            <v>0</v>
          </cell>
          <cell r="B465">
            <v>0</v>
          </cell>
          <cell r="C465">
            <v>0</v>
          </cell>
          <cell r="D465">
            <v>28.6</v>
          </cell>
          <cell r="E465">
            <v>0</v>
          </cell>
          <cell r="F465">
            <v>0</v>
          </cell>
          <cell r="G465" t="e">
            <v>#REF!</v>
          </cell>
          <cell r="H465" t="e">
            <v>#REF!</v>
          </cell>
        </row>
        <row r="466">
          <cell r="A466">
            <v>0</v>
          </cell>
          <cell r="B466">
            <v>0</v>
          </cell>
          <cell r="C466">
            <v>0</v>
          </cell>
          <cell r="D466">
            <v>22.7</v>
          </cell>
          <cell r="E466">
            <v>0</v>
          </cell>
          <cell r="F466">
            <v>0</v>
          </cell>
          <cell r="G466" t="e">
            <v>#REF!</v>
          </cell>
          <cell r="H466" t="e">
            <v>#REF!</v>
          </cell>
        </row>
        <row r="467">
          <cell r="A467">
            <v>0</v>
          </cell>
          <cell r="B467">
            <v>0</v>
          </cell>
          <cell r="C467">
            <v>0</v>
          </cell>
          <cell r="D467">
            <v>18</v>
          </cell>
          <cell r="E467">
            <v>0</v>
          </cell>
          <cell r="F467">
            <v>0</v>
          </cell>
          <cell r="G467" t="e">
            <v>#REF!</v>
          </cell>
          <cell r="H467" t="e">
            <v>#REF!</v>
          </cell>
        </row>
        <row r="468">
          <cell r="A468">
            <v>0</v>
          </cell>
          <cell r="B468">
            <v>0</v>
          </cell>
          <cell r="C468">
            <v>0</v>
          </cell>
          <cell r="D468">
            <v>14.3</v>
          </cell>
          <cell r="E468">
            <v>0</v>
          </cell>
          <cell r="F468">
            <v>0</v>
          </cell>
          <cell r="G468" t="e">
            <v>#REF!</v>
          </cell>
          <cell r="H468" t="e">
            <v>#REF!</v>
          </cell>
        </row>
        <row r="469">
          <cell r="A469">
            <v>0</v>
          </cell>
          <cell r="B469">
            <v>0</v>
          </cell>
          <cell r="C469">
            <v>0</v>
          </cell>
          <cell r="D469">
            <v>10.6</v>
          </cell>
          <cell r="E469">
            <v>0</v>
          </cell>
          <cell r="F469">
            <v>0</v>
          </cell>
          <cell r="G469" t="e">
            <v>#REF!</v>
          </cell>
          <cell r="H469" t="e">
            <v>#REF!</v>
          </cell>
        </row>
        <row r="470">
          <cell r="A470">
            <v>0</v>
          </cell>
          <cell r="B470">
            <v>0</v>
          </cell>
          <cell r="C470">
            <v>0</v>
          </cell>
          <cell r="D470">
            <v>7.9</v>
          </cell>
          <cell r="E470">
            <v>0</v>
          </cell>
          <cell r="F470">
            <v>0</v>
          </cell>
          <cell r="G470" t="e">
            <v>#REF!</v>
          </cell>
          <cell r="H470" t="e">
            <v>#REF!</v>
          </cell>
        </row>
        <row r="471">
          <cell r="A471">
            <v>0</v>
          </cell>
          <cell r="B471">
            <v>0</v>
          </cell>
          <cell r="C471">
            <v>0</v>
          </cell>
          <cell r="D471">
            <v>5.9</v>
          </cell>
          <cell r="E471">
            <v>0</v>
          </cell>
          <cell r="F471">
            <v>0</v>
          </cell>
          <cell r="G471" t="e">
            <v>#REF!</v>
          </cell>
          <cell r="H471" t="e">
            <v>#REF!</v>
          </cell>
        </row>
        <row r="472">
          <cell r="A472">
            <v>0</v>
          </cell>
          <cell r="B472">
            <v>0</v>
          </cell>
          <cell r="C472">
            <v>0</v>
          </cell>
          <cell r="D472">
            <v>4.4000000000000004</v>
          </cell>
          <cell r="E472">
            <v>0</v>
          </cell>
          <cell r="F472">
            <v>0</v>
          </cell>
          <cell r="G472" t="e">
            <v>#REF!</v>
          </cell>
          <cell r="H472" t="e">
            <v>#REF!</v>
          </cell>
        </row>
        <row r="473">
          <cell r="A473">
            <v>0</v>
          </cell>
          <cell r="B473">
            <v>0</v>
          </cell>
          <cell r="C473">
            <v>0</v>
          </cell>
          <cell r="D473">
            <v>3.3</v>
          </cell>
          <cell r="E473">
            <v>0</v>
          </cell>
          <cell r="F473">
            <v>0</v>
          </cell>
          <cell r="G473" t="e">
            <v>#REF!</v>
          </cell>
          <cell r="H473" t="e">
            <v>#REF!</v>
          </cell>
        </row>
        <row r="474">
          <cell r="A474">
            <v>0</v>
          </cell>
          <cell r="B474">
            <v>0</v>
          </cell>
          <cell r="C474">
            <v>0</v>
          </cell>
          <cell r="D474">
            <v>2.4</v>
          </cell>
          <cell r="E474">
            <v>0</v>
          </cell>
          <cell r="F474">
            <v>0</v>
          </cell>
          <cell r="G474" t="e">
            <v>#REF!</v>
          </cell>
          <cell r="H474" t="e">
            <v>#REF!</v>
          </cell>
        </row>
        <row r="475">
          <cell r="A475">
            <v>0</v>
          </cell>
          <cell r="B475">
            <v>0</v>
          </cell>
          <cell r="C475">
            <v>0</v>
          </cell>
          <cell r="D475">
            <v>1.8</v>
          </cell>
          <cell r="E475">
            <v>0</v>
          </cell>
          <cell r="F475">
            <v>0</v>
          </cell>
          <cell r="G475" t="e">
            <v>#REF!</v>
          </cell>
          <cell r="H475" t="e">
            <v>#REF!</v>
          </cell>
        </row>
        <row r="476">
          <cell r="A476">
            <v>0</v>
          </cell>
          <cell r="B476">
            <v>0</v>
          </cell>
          <cell r="C476">
            <v>0</v>
          </cell>
          <cell r="D476">
            <v>1.3</v>
          </cell>
          <cell r="E476">
            <v>0</v>
          </cell>
          <cell r="F476">
            <v>0</v>
          </cell>
          <cell r="G476" t="e">
            <v>#REF!</v>
          </cell>
          <cell r="H476" t="e">
            <v>#REF!</v>
          </cell>
        </row>
        <row r="477">
          <cell r="A477">
            <v>0</v>
          </cell>
          <cell r="B477">
            <v>0</v>
          </cell>
          <cell r="C477">
            <v>0</v>
          </cell>
          <cell r="D477">
            <v>1</v>
          </cell>
          <cell r="E477">
            <v>0</v>
          </cell>
          <cell r="F477">
            <v>0</v>
          </cell>
          <cell r="G477" t="e">
            <v>#REF!</v>
          </cell>
          <cell r="H477" t="e">
            <v>#REF!</v>
          </cell>
        </row>
        <row r="478">
          <cell r="A478">
            <v>0</v>
          </cell>
          <cell r="B478">
            <v>0</v>
          </cell>
          <cell r="C478">
            <v>0</v>
          </cell>
          <cell r="D478">
            <v>1</v>
          </cell>
          <cell r="E478">
            <v>0</v>
          </cell>
          <cell r="F478">
            <v>0</v>
          </cell>
          <cell r="G478" t="e">
            <v>#REF!</v>
          </cell>
          <cell r="H478" t="e">
            <v>#REF!</v>
          </cell>
        </row>
        <row r="479">
          <cell r="A479">
            <v>0</v>
          </cell>
          <cell r="B479">
            <v>0</v>
          </cell>
          <cell r="C479">
            <v>0</v>
          </cell>
          <cell r="D479">
            <v>1</v>
          </cell>
          <cell r="E479">
            <v>0</v>
          </cell>
          <cell r="F479">
            <v>0</v>
          </cell>
          <cell r="G479" t="e">
            <v>#REF!</v>
          </cell>
          <cell r="H479" t="e">
            <v>#REF!</v>
          </cell>
        </row>
        <row r="480">
          <cell r="A480">
            <v>0</v>
          </cell>
          <cell r="B480">
            <v>0</v>
          </cell>
          <cell r="C480">
            <v>0</v>
          </cell>
          <cell r="E480">
            <v>0</v>
          </cell>
          <cell r="F480">
            <v>0</v>
          </cell>
          <cell r="G480">
            <v>0</v>
          </cell>
        </row>
        <row r="481">
          <cell r="A481" t="str">
            <v>BT</v>
          </cell>
          <cell r="B481" t="e">
            <v>#N/A</v>
          </cell>
          <cell r="C481" t="e">
            <v>#N/A</v>
          </cell>
          <cell r="D481">
            <v>11.3</v>
          </cell>
          <cell r="E481" t="e">
            <v>#REF!</v>
          </cell>
          <cell r="F481" t="e">
            <v>#REF!</v>
          </cell>
          <cell r="G481" t="e">
            <v>#REF!</v>
          </cell>
          <cell r="H481" t="e">
            <v>#REF!</v>
          </cell>
          <cell r="I481" t="e">
            <v>#REF!</v>
          </cell>
        </row>
        <row r="482">
          <cell r="A482">
            <v>0</v>
          </cell>
          <cell r="B482">
            <v>0</v>
          </cell>
          <cell r="C482">
            <v>0</v>
          </cell>
          <cell r="D482">
            <v>28.6</v>
          </cell>
          <cell r="E482">
            <v>0</v>
          </cell>
          <cell r="F482">
            <v>0</v>
          </cell>
          <cell r="G482" t="e">
            <v>#REF!</v>
          </cell>
          <cell r="H482" t="e">
            <v>#REF!</v>
          </cell>
        </row>
        <row r="483">
          <cell r="A483">
            <v>0</v>
          </cell>
          <cell r="B483">
            <v>0</v>
          </cell>
          <cell r="C483">
            <v>0</v>
          </cell>
          <cell r="D483">
            <v>22.7</v>
          </cell>
          <cell r="E483">
            <v>0</v>
          </cell>
          <cell r="F483">
            <v>0</v>
          </cell>
          <cell r="G483" t="e">
            <v>#REF!</v>
          </cell>
          <cell r="H483" t="e">
            <v>#REF!</v>
          </cell>
        </row>
        <row r="484">
          <cell r="A484">
            <v>0</v>
          </cell>
          <cell r="B484">
            <v>0</v>
          </cell>
          <cell r="C484">
            <v>0</v>
          </cell>
          <cell r="D484">
            <v>18</v>
          </cell>
          <cell r="E484">
            <v>0</v>
          </cell>
          <cell r="F484">
            <v>0</v>
          </cell>
          <cell r="G484" t="e">
            <v>#REF!</v>
          </cell>
          <cell r="H484" t="e">
            <v>#REF!</v>
          </cell>
        </row>
        <row r="485">
          <cell r="A485">
            <v>0</v>
          </cell>
          <cell r="B485">
            <v>0</v>
          </cell>
          <cell r="C485">
            <v>0</v>
          </cell>
          <cell r="D485">
            <v>14.3</v>
          </cell>
          <cell r="E485">
            <v>0</v>
          </cell>
          <cell r="F485">
            <v>0</v>
          </cell>
          <cell r="G485" t="e">
            <v>#REF!</v>
          </cell>
          <cell r="H485" t="e">
            <v>#REF!</v>
          </cell>
        </row>
        <row r="486">
          <cell r="A486">
            <v>0</v>
          </cell>
          <cell r="B486">
            <v>0</v>
          </cell>
          <cell r="C486">
            <v>0</v>
          </cell>
          <cell r="D486">
            <v>10.6</v>
          </cell>
          <cell r="E486">
            <v>0</v>
          </cell>
          <cell r="F486">
            <v>0</v>
          </cell>
          <cell r="G486" t="e">
            <v>#REF!</v>
          </cell>
          <cell r="H486" t="e">
            <v>#REF!</v>
          </cell>
        </row>
        <row r="487">
          <cell r="A487">
            <v>0</v>
          </cell>
          <cell r="B487">
            <v>0</v>
          </cell>
          <cell r="C487">
            <v>0</v>
          </cell>
          <cell r="D487">
            <v>7.9</v>
          </cell>
          <cell r="E487">
            <v>0</v>
          </cell>
          <cell r="F487">
            <v>0</v>
          </cell>
          <cell r="G487" t="e">
            <v>#REF!</v>
          </cell>
          <cell r="H487" t="e">
            <v>#REF!</v>
          </cell>
        </row>
        <row r="488">
          <cell r="A488">
            <v>0</v>
          </cell>
          <cell r="B488">
            <v>0</v>
          </cell>
          <cell r="C488">
            <v>0</v>
          </cell>
          <cell r="D488">
            <v>5.9</v>
          </cell>
          <cell r="E488">
            <v>0</v>
          </cell>
          <cell r="F488">
            <v>0</v>
          </cell>
          <cell r="G488" t="e">
            <v>#REF!</v>
          </cell>
          <cell r="H488" t="e">
            <v>#REF!</v>
          </cell>
        </row>
        <row r="489">
          <cell r="A489">
            <v>0</v>
          </cell>
          <cell r="B489">
            <v>0</v>
          </cell>
          <cell r="C489">
            <v>0</v>
          </cell>
          <cell r="D489">
            <v>4.4000000000000004</v>
          </cell>
          <cell r="E489">
            <v>0</v>
          </cell>
          <cell r="F489">
            <v>0</v>
          </cell>
          <cell r="G489" t="e">
            <v>#REF!</v>
          </cell>
          <cell r="H489" t="e">
            <v>#REF!</v>
          </cell>
        </row>
        <row r="490">
          <cell r="A490">
            <v>0</v>
          </cell>
          <cell r="B490">
            <v>0</v>
          </cell>
          <cell r="C490">
            <v>0</v>
          </cell>
          <cell r="D490">
            <v>3.3</v>
          </cell>
          <cell r="E490">
            <v>0</v>
          </cell>
          <cell r="F490">
            <v>0</v>
          </cell>
          <cell r="G490" t="e">
            <v>#REF!</v>
          </cell>
          <cell r="H490" t="e">
            <v>#REF!</v>
          </cell>
        </row>
        <row r="491">
          <cell r="A491">
            <v>0</v>
          </cell>
          <cell r="B491">
            <v>0</v>
          </cell>
          <cell r="C491">
            <v>0</v>
          </cell>
          <cell r="D491">
            <v>2.4</v>
          </cell>
          <cell r="E491">
            <v>0</v>
          </cell>
          <cell r="F491">
            <v>0</v>
          </cell>
          <cell r="G491" t="e">
            <v>#REF!</v>
          </cell>
          <cell r="H491" t="e">
            <v>#REF!</v>
          </cell>
        </row>
        <row r="492">
          <cell r="A492">
            <v>0</v>
          </cell>
          <cell r="B492">
            <v>0</v>
          </cell>
          <cell r="C492">
            <v>0</v>
          </cell>
          <cell r="D492">
            <v>1.8</v>
          </cell>
          <cell r="E492">
            <v>0</v>
          </cell>
          <cell r="F492">
            <v>0</v>
          </cell>
          <cell r="G492" t="e">
            <v>#REF!</v>
          </cell>
          <cell r="H492" t="e">
            <v>#REF!</v>
          </cell>
        </row>
        <row r="493">
          <cell r="A493">
            <v>0</v>
          </cell>
          <cell r="B493">
            <v>0</v>
          </cell>
          <cell r="C493">
            <v>0</v>
          </cell>
          <cell r="D493">
            <v>1.3</v>
          </cell>
          <cell r="E493">
            <v>0</v>
          </cell>
          <cell r="F493">
            <v>0</v>
          </cell>
          <cell r="G493" t="e">
            <v>#REF!</v>
          </cell>
          <cell r="H493" t="e">
            <v>#REF!</v>
          </cell>
        </row>
        <row r="494">
          <cell r="A494">
            <v>0</v>
          </cell>
          <cell r="B494">
            <v>0</v>
          </cell>
          <cell r="C494">
            <v>0</v>
          </cell>
          <cell r="D494">
            <v>1</v>
          </cell>
          <cell r="E494">
            <v>0</v>
          </cell>
          <cell r="F494">
            <v>0</v>
          </cell>
          <cell r="G494" t="e">
            <v>#REF!</v>
          </cell>
          <cell r="H494" t="e">
            <v>#REF!</v>
          </cell>
        </row>
        <row r="495">
          <cell r="A495">
            <v>0</v>
          </cell>
          <cell r="B495">
            <v>0</v>
          </cell>
          <cell r="C495">
            <v>0</v>
          </cell>
          <cell r="D495">
            <v>1</v>
          </cell>
          <cell r="E495">
            <v>0</v>
          </cell>
          <cell r="F495">
            <v>0</v>
          </cell>
          <cell r="G495" t="e">
            <v>#REF!</v>
          </cell>
          <cell r="H495" t="e">
            <v>#REF!</v>
          </cell>
        </row>
        <row r="496">
          <cell r="A496">
            <v>0</v>
          </cell>
          <cell r="B496">
            <v>0</v>
          </cell>
          <cell r="C496">
            <v>0</v>
          </cell>
          <cell r="D496">
            <v>1</v>
          </cell>
          <cell r="E496">
            <v>0</v>
          </cell>
          <cell r="F496">
            <v>0</v>
          </cell>
          <cell r="G496" t="e">
            <v>#REF!</v>
          </cell>
          <cell r="H496" t="e">
            <v>#REF!</v>
          </cell>
        </row>
        <row r="497">
          <cell r="A497">
            <v>0</v>
          </cell>
          <cell r="B497">
            <v>0</v>
          </cell>
          <cell r="C497">
            <v>0</v>
          </cell>
          <cell r="E497">
            <v>0</v>
          </cell>
          <cell r="F497">
            <v>0</v>
          </cell>
          <cell r="G497">
            <v>0</v>
          </cell>
        </row>
        <row r="498">
          <cell r="A498" t="str">
            <v>BU</v>
          </cell>
          <cell r="B498" t="e">
            <v>#N/A</v>
          </cell>
          <cell r="C498" t="e">
            <v>#N/A</v>
          </cell>
          <cell r="D498">
            <v>11.3</v>
          </cell>
          <cell r="E498" t="e">
            <v>#REF!</v>
          </cell>
          <cell r="F498" t="e">
            <v>#REF!</v>
          </cell>
          <cell r="G498" t="e">
            <v>#REF!</v>
          </cell>
          <cell r="H498" t="e">
            <v>#REF!</v>
          </cell>
          <cell r="I498" t="e">
            <v>#REF!</v>
          </cell>
        </row>
        <row r="499">
          <cell r="A499">
            <v>0</v>
          </cell>
          <cell r="B499">
            <v>0</v>
          </cell>
          <cell r="C499">
            <v>0</v>
          </cell>
          <cell r="D499">
            <v>28.6</v>
          </cell>
          <cell r="E499">
            <v>0</v>
          </cell>
          <cell r="F499">
            <v>0</v>
          </cell>
          <cell r="G499" t="e">
            <v>#REF!</v>
          </cell>
          <cell r="H499" t="e">
            <v>#REF!</v>
          </cell>
        </row>
        <row r="500">
          <cell r="A500">
            <v>0</v>
          </cell>
          <cell r="B500">
            <v>0</v>
          </cell>
          <cell r="C500">
            <v>0</v>
          </cell>
          <cell r="D500">
            <v>22.7</v>
          </cell>
          <cell r="E500">
            <v>0</v>
          </cell>
          <cell r="F500">
            <v>0</v>
          </cell>
          <cell r="G500" t="e">
            <v>#REF!</v>
          </cell>
          <cell r="H500" t="e">
            <v>#REF!</v>
          </cell>
        </row>
        <row r="501">
          <cell r="A501">
            <v>0</v>
          </cell>
          <cell r="B501">
            <v>0</v>
          </cell>
          <cell r="C501">
            <v>0</v>
          </cell>
          <cell r="D501">
            <v>18</v>
          </cell>
          <cell r="E501">
            <v>0</v>
          </cell>
          <cell r="F501">
            <v>0</v>
          </cell>
          <cell r="G501" t="e">
            <v>#REF!</v>
          </cell>
          <cell r="H501" t="e">
            <v>#REF!</v>
          </cell>
        </row>
        <row r="502">
          <cell r="A502">
            <v>0</v>
          </cell>
          <cell r="B502">
            <v>0</v>
          </cell>
          <cell r="C502">
            <v>0</v>
          </cell>
          <cell r="D502">
            <v>14.3</v>
          </cell>
          <cell r="E502">
            <v>0</v>
          </cell>
          <cell r="F502">
            <v>0</v>
          </cell>
          <cell r="G502" t="e">
            <v>#REF!</v>
          </cell>
          <cell r="H502" t="e">
            <v>#REF!</v>
          </cell>
        </row>
        <row r="503">
          <cell r="A503">
            <v>0</v>
          </cell>
          <cell r="B503">
            <v>0</v>
          </cell>
          <cell r="C503">
            <v>0</v>
          </cell>
          <cell r="D503">
            <v>10.6</v>
          </cell>
          <cell r="E503">
            <v>0</v>
          </cell>
          <cell r="F503">
            <v>0</v>
          </cell>
          <cell r="G503" t="e">
            <v>#REF!</v>
          </cell>
          <cell r="H503" t="e">
            <v>#REF!</v>
          </cell>
        </row>
        <row r="504">
          <cell r="A504">
            <v>0</v>
          </cell>
          <cell r="B504">
            <v>0</v>
          </cell>
          <cell r="C504">
            <v>0</v>
          </cell>
          <cell r="D504">
            <v>7.9</v>
          </cell>
          <cell r="E504">
            <v>0</v>
          </cell>
          <cell r="F504">
            <v>0</v>
          </cell>
          <cell r="G504" t="e">
            <v>#REF!</v>
          </cell>
          <cell r="H504" t="e">
            <v>#REF!</v>
          </cell>
        </row>
        <row r="505">
          <cell r="A505">
            <v>0</v>
          </cell>
          <cell r="B505">
            <v>0</v>
          </cell>
          <cell r="C505">
            <v>0</v>
          </cell>
          <cell r="D505">
            <v>5.9</v>
          </cell>
          <cell r="E505">
            <v>0</v>
          </cell>
          <cell r="F505">
            <v>0</v>
          </cell>
          <cell r="G505" t="e">
            <v>#REF!</v>
          </cell>
          <cell r="H505" t="e">
            <v>#REF!</v>
          </cell>
        </row>
        <row r="506">
          <cell r="A506">
            <v>0</v>
          </cell>
          <cell r="B506">
            <v>0</v>
          </cell>
          <cell r="C506">
            <v>0</v>
          </cell>
          <cell r="D506">
            <v>4.4000000000000004</v>
          </cell>
          <cell r="E506">
            <v>0</v>
          </cell>
          <cell r="F506">
            <v>0</v>
          </cell>
          <cell r="G506" t="e">
            <v>#REF!</v>
          </cell>
          <cell r="H506" t="e">
            <v>#REF!</v>
          </cell>
        </row>
        <row r="507">
          <cell r="A507">
            <v>0</v>
          </cell>
          <cell r="B507">
            <v>0</v>
          </cell>
          <cell r="C507">
            <v>0</v>
          </cell>
          <cell r="D507">
            <v>3.3</v>
          </cell>
          <cell r="E507">
            <v>0</v>
          </cell>
          <cell r="F507">
            <v>0</v>
          </cell>
          <cell r="G507" t="e">
            <v>#REF!</v>
          </cell>
          <cell r="H507" t="e">
            <v>#REF!</v>
          </cell>
        </row>
        <row r="508">
          <cell r="A508">
            <v>0</v>
          </cell>
          <cell r="B508">
            <v>0</v>
          </cell>
          <cell r="C508">
            <v>0</v>
          </cell>
          <cell r="D508">
            <v>2.4</v>
          </cell>
          <cell r="E508">
            <v>0</v>
          </cell>
          <cell r="F508">
            <v>0</v>
          </cell>
          <cell r="G508" t="e">
            <v>#REF!</v>
          </cell>
          <cell r="H508" t="e">
            <v>#REF!</v>
          </cell>
        </row>
        <row r="509">
          <cell r="A509">
            <v>0</v>
          </cell>
          <cell r="B509">
            <v>0</v>
          </cell>
          <cell r="C509">
            <v>0</v>
          </cell>
          <cell r="D509">
            <v>1.8</v>
          </cell>
          <cell r="E509">
            <v>0</v>
          </cell>
          <cell r="F509">
            <v>0</v>
          </cell>
          <cell r="G509" t="e">
            <v>#REF!</v>
          </cell>
          <cell r="H509" t="e">
            <v>#REF!</v>
          </cell>
        </row>
        <row r="510">
          <cell r="A510">
            <v>0</v>
          </cell>
          <cell r="B510">
            <v>0</v>
          </cell>
          <cell r="C510">
            <v>0</v>
          </cell>
          <cell r="D510">
            <v>1.3</v>
          </cell>
          <cell r="E510">
            <v>0</v>
          </cell>
          <cell r="F510">
            <v>0</v>
          </cell>
          <cell r="G510" t="e">
            <v>#REF!</v>
          </cell>
          <cell r="H510" t="e">
            <v>#REF!</v>
          </cell>
        </row>
        <row r="511">
          <cell r="A511">
            <v>0</v>
          </cell>
          <cell r="B511">
            <v>0</v>
          </cell>
          <cell r="C511">
            <v>0</v>
          </cell>
          <cell r="D511">
            <v>1</v>
          </cell>
          <cell r="E511">
            <v>0</v>
          </cell>
          <cell r="F511">
            <v>0</v>
          </cell>
          <cell r="G511" t="e">
            <v>#REF!</v>
          </cell>
          <cell r="H511" t="e">
            <v>#REF!</v>
          </cell>
        </row>
        <row r="512">
          <cell r="A512">
            <v>0</v>
          </cell>
          <cell r="B512">
            <v>0</v>
          </cell>
          <cell r="C512">
            <v>0</v>
          </cell>
          <cell r="D512">
            <v>1</v>
          </cell>
          <cell r="E512">
            <v>0</v>
          </cell>
          <cell r="F512">
            <v>0</v>
          </cell>
          <cell r="G512" t="e">
            <v>#REF!</v>
          </cell>
          <cell r="H512" t="e">
            <v>#REF!</v>
          </cell>
        </row>
        <row r="513">
          <cell r="A513">
            <v>0</v>
          </cell>
          <cell r="B513">
            <v>0</v>
          </cell>
          <cell r="C513">
            <v>0</v>
          </cell>
          <cell r="D513">
            <v>1</v>
          </cell>
          <cell r="E513">
            <v>0</v>
          </cell>
          <cell r="F513">
            <v>0</v>
          </cell>
          <cell r="G513" t="e">
            <v>#REF!</v>
          </cell>
          <cell r="H513" t="e">
            <v>#REF!</v>
          </cell>
        </row>
        <row r="514">
          <cell r="A514">
            <v>0</v>
          </cell>
          <cell r="B514">
            <v>0</v>
          </cell>
          <cell r="C514">
            <v>0</v>
          </cell>
          <cell r="E514">
            <v>0</v>
          </cell>
          <cell r="F514">
            <v>0</v>
          </cell>
          <cell r="G514">
            <v>0</v>
          </cell>
        </row>
        <row r="515">
          <cell r="A515" t="str">
            <v>BV</v>
          </cell>
          <cell r="B515" t="e">
            <v>#N/A</v>
          </cell>
          <cell r="C515" t="e">
            <v>#N/A</v>
          </cell>
          <cell r="D515">
            <v>11.3</v>
          </cell>
          <cell r="E515" t="e">
            <v>#REF!</v>
          </cell>
          <cell r="F515" t="e">
            <v>#REF!</v>
          </cell>
          <cell r="G515" t="e">
            <v>#REF!</v>
          </cell>
          <cell r="H515" t="e">
            <v>#REF!</v>
          </cell>
          <cell r="I515" t="e">
            <v>#REF!</v>
          </cell>
        </row>
        <row r="516">
          <cell r="A516">
            <v>0</v>
          </cell>
          <cell r="B516">
            <v>0</v>
          </cell>
          <cell r="C516">
            <v>0</v>
          </cell>
          <cell r="D516">
            <v>28.6</v>
          </cell>
          <cell r="E516">
            <v>0</v>
          </cell>
          <cell r="F516">
            <v>0</v>
          </cell>
          <cell r="G516" t="e">
            <v>#REF!</v>
          </cell>
          <cell r="H516" t="e">
            <v>#REF!</v>
          </cell>
        </row>
        <row r="517">
          <cell r="A517">
            <v>0</v>
          </cell>
          <cell r="B517">
            <v>0</v>
          </cell>
          <cell r="C517">
            <v>0</v>
          </cell>
          <cell r="D517">
            <v>22.7</v>
          </cell>
          <cell r="E517">
            <v>0</v>
          </cell>
          <cell r="F517">
            <v>0</v>
          </cell>
          <cell r="G517" t="e">
            <v>#REF!</v>
          </cell>
          <cell r="H517" t="e">
            <v>#REF!</v>
          </cell>
        </row>
        <row r="518">
          <cell r="A518">
            <v>0</v>
          </cell>
          <cell r="B518">
            <v>0</v>
          </cell>
          <cell r="C518">
            <v>0</v>
          </cell>
          <cell r="D518">
            <v>18</v>
          </cell>
          <cell r="E518">
            <v>0</v>
          </cell>
          <cell r="F518">
            <v>0</v>
          </cell>
          <cell r="G518" t="e">
            <v>#REF!</v>
          </cell>
          <cell r="H518" t="e">
            <v>#REF!</v>
          </cell>
        </row>
        <row r="519">
          <cell r="A519">
            <v>0</v>
          </cell>
          <cell r="B519">
            <v>0</v>
          </cell>
          <cell r="C519">
            <v>0</v>
          </cell>
          <cell r="D519">
            <v>14.3</v>
          </cell>
          <cell r="E519">
            <v>0</v>
          </cell>
          <cell r="F519">
            <v>0</v>
          </cell>
          <cell r="G519" t="e">
            <v>#REF!</v>
          </cell>
          <cell r="H519" t="e">
            <v>#REF!</v>
          </cell>
        </row>
        <row r="520">
          <cell r="A520">
            <v>0</v>
          </cell>
          <cell r="B520">
            <v>0</v>
          </cell>
          <cell r="C520">
            <v>0</v>
          </cell>
          <cell r="D520">
            <v>10.6</v>
          </cell>
          <cell r="E520">
            <v>0</v>
          </cell>
          <cell r="F520">
            <v>0</v>
          </cell>
          <cell r="G520" t="e">
            <v>#REF!</v>
          </cell>
          <cell r="H520" t="e">
            <v>#REF!</v>
          </cell>
        </row>
        <row r="521">
          <cell r="A521">
            <v>0</v>
          </cell>
          <cell r="B521">
            <v>0</v>
          </cell>
          <cell r="C521">
            <v>0</v>
          </cell>
          <cell r="D521">
            <v>7.9</v>
          </cell>
          <cell r="E521">
            <v>0</v>
          </cell>
          <cell r="F521">
            <v>0</v>
          </cell>
          <cell r="G521" t="e">
            <v>#REF!</v>
          </cell>
          <cell r="H521" t="e">
            <v>#REF!</v>
          </cell>
        </row>
        <row r="522">
          <cell r="A522">
            <v>0</v>
          </cell>
          <cell r="B522">
            <v>0</v>
          </cell>
          <cell r="C522">
            <v>0</v>
          </cell>
          <cell r="D522">
            <v>5.9</v>
          </cell>
          <cell r="E522">
            <v>0</v>
          </cell>
          <cell r="F522">
            <v>0</v>
          </cell>
          <cell r="G522" t="e">
            <v>#REF!</v>
          </cell>
          <cell r="H522" t="e">
            <v>#REF!</v>
          </cell>
        </row>
        <row r="523">
          <cell r="A523">
            <v>0</v>
          </cell>
          <cell r="B523">
            <v>0</v>
          </cell>
          <cell r="C523">
            <v>0</v>
          </cell>
          <cell r="D523">
            <v>4.4000000000000004</v>
          </cell>
          <cell r="E523">
            <v>0</v>
          </cell>
          <cell r="F523">
            <v>0</v>
          </cell>
          <cell r="G523" t="e">
            <v>#REF!</v>
          </cell>
          <cell r="H523" t="e">
            <v>#REF!</v>
          </cell>
        </row>
        <row r="524">
          <cell r="A524">
            <v>0</v>
          </cell>
          <cell r="B524">
            <v>0</v>
          </cell>
          <cell r="C524">
            <v>0</v>
          </cell>
          <cell r="D524">
            <v>3.3</v>
          </cell>
          <cell r="E524">
            <v>0</v>
          </cell>
          <cell r="F524">
            <v>0</v>
          </cell>
          <cell r="G524" t="e">
            <v>#REF!</v>
          </cell>
          <cell r="H524" t="e">
            <v>#REF!</v>
          </cell>
        </row>
        <row r="525">
          <cell r="A525">
            <v>0</v>
          </cell>
          <cell r="B525">
            <v>0</v>
          </cell>
          <cell r="C525">
            <v>0</v>
          </cell>
          <cell r="D525">
            <v>2.4</v>
          </cell>
          <cell r="E525">
            <v>0</v>
          </cell>
          <cell r="F525">
            <v>0</v>
          </cell>
          <cell r="G525" t="e">
            <v>#REF!</v>
          </cell>
          <cell r="H525" t="e">
            <v>#REF!</v>
          </cell>
        </row>
        <row r="526">
          <cell r="A526">
            <v>0</v>
          </cell>
          <cell r="B526">
            <v>0</v>
          </cell>
          <cell r="C526">
            <v>0</v>
          </cell>
          <cell r="D526">
            <v>1.8</v>
          </cell>
          <cell r="E526">
            <v>0</v>
          </cell>
          <cell r="F526">
            <v>0</v>
          </cell>
          <cell r="G526" t="e">
            <v>#REF!</v>
          </cell>
          <cell r="H526" t="e">
            <v>#REF!</v>
          </cell>
        </row>
        <row r="527">
          <cell r="A527">
            <v>0</v>
          </cell>
          <cell r="B527">
            <v>0</v>
          </cell>
          <cell r="C527">
            <v>0</v>
          </cell>
          <cell r="D527">
            <v>1.3</v>
          </cell>
          <cell r="E527">
            <v>0</v>
          </cell>
          <cell r="F527">
            <v>0</v>
          </cell>
          <cell r="G527" t="e">
            <v>#REF!</v>
          </cell>
          <cell r="H527" t="e">
            <v>#REF!</v>
          </cell>
        </row>
        <row r="528">
          <cell r="A528">
            <v>0</v>
          </cell>
          <cell r="B528">
            <v>0</v>
          </cell>
          <cell r="C528">
            <v>0</v>
          </cell>
          <cell r="D528">
            <v>1</v>
          </cell>
          <cell r="E528">
            <v>0</v>
          </cell>
          <cell r="F528">
            <v>0</v>
          </cell>
          <cell r="G528" t="e">
            <v>#REF!</v>
          </cell>
          <cell r="H528" t="e">
            <v>#REF!</v>
          </cell>
        </row>
        <row r="529">
          <cell r="A529">
            <v>0</v>
          </cell>
          <cell r="B529">
            <v>0</v>
          </cell>
          <cell r="C529">
            <v>0</v>
          </cell>
          <cell r="D529">
            <v>1</v>
          </cell>
          <cell r="E529">
            <v>0</v>
          </cell>
          <cell r="F529">
            <v>0</v>
          </cell>
          <cell r="G529" t="e">
            <v>#REF!</v>
          </cell>
          <cell r="H529" t="e">
            <v>#REF!</v>
          </cell>
        </row>
        <row r="530">
          <cell r="A530">
            <v>0</v>
          </cell>
          <cell r="B530">
            <v>0</v>
          </cell>
          <cell r="C530">
            <v>0</v>
          </cell>
          <cell r="D530">
            <v>1</v>
          </cell>
          <cell r="E530">
            <v>0</v>
          </cell>
          <cell r="F530">
            <v>0</v>
          </cell>
          <cell r="G530" t="e">
            <v>#REF!</v>
          </cell>
          <cell r="H530" t="e">
            <v>#REF!</v>
          </cell>
        </row>
        <row r="531">
          <cell r="A531">
            <v>0</v>
          </cell>
          <cell r="B531">
            <v>0</v>
          </cell>
          <cell r="C531">
            <v>0</v>
          </cell>
          <cell r="E531">
            <v>0</v>
          </cell>
          <cell r="F531">
            <v>0</v>
          </cell>
          <cell r="G531">
            <v>0</v>
          </cell>
        </row>
        <row r="532">
          <cell r="A532" t="str">
            <v>BW</v>
          </cell>
          <cell r="B532" t="e">
            <v>#N/A</v>
          </cell>
          <cell r="C532" t="e">
            <v>#N/A</v>
          </cell>
          <cell r="D532">
            <v>11.3</v>
          </cell>
          <cell r="E532" t="e">
            <v>#REF!</v>
          </cell>
          <cell r="F532" t="e">
            <v>#REF!</v>
          </cell>
          <cell r="G532" t="e">
            <v>#REF!</v>
          </cell>
          <cell r="H532" t="e">
            <v>#REF!</v>
          </cell>
          <cell r="I532" t="e">
            <v>#REF!</v>
          </cell>
        </row>
        <row r="533">
          <cell r="A533">
            <v>0</v>
          </cell>
          <cell r="B533">
            <v>0</v>
          </cell>
          <cell r="C533">
            <v>0</v>
          </cell>
          <cell r="D533">
            <v>28.6</v>
          </cell>
          <cell r="E533">
            <v>0</v>
          </cell>
          <cell r="F533">
            <v>0</v>
          </cell>
          <cell r="G533" t="e">
            <v>#REF!</v>
          </cell>
          <cell r="H533" t="e">
            <v>#REF!</v>
          </cell>
        </row>
        <row r="534">
          <cell r="A534">
            <v>0</v>
          </cell>
          <cell r="B534">
            <v>0</v>
          </cell>
          <cell r="C534">
            <v>0</v>
          </cell>
          <cell r="D534">
            <v>22.7</v>
          </cell>
          <cell r="E534">
            <v>0</v>
          </cell>
          <cell r="F534">
            <v>0</v>
          </cell>
          <cell r="G534" t="e">
            <v>#REF!</v>
          </cell>
          <cell r="H534" t="e">
            <v>#REF!</v>
          </cell>
        </row>
        <row r="535">
          <cell r="A535">
            <v>0</v>
          </cell>
          <cell r="B535">
            <v>0</v>
          </cell>
          <cell r="C535">
            <v>0</v>
          </cell>
          <cell r="D535">
            <v>18</v>
          </cell>
          <cell r="E535">
            <v>0</v>
          </cell>
          <cell r="F535">
            <v>0</v>
          </cell>
          <cell r="G535" t="e">
            <v>#REF!</v>
          </cell>
          <cell r="H535" t="e">
            <v>#REF!</v>
          </cell>
        </row>
        <row r="536">
          <cell r="A536">
            <v>0</v>
          </cell>
          <cell r="B536">
            <v>0</v>
          </cell>
          <cell r="C536">
            <v>0</v>
          </cell>
          <cell r="D536">
            <v>14.3</v>
          </cell>
          <cell r="E536">
            <v>0</v>
          </cell>
          <cell r="F536">
            <v>0</v>
          </cell>
          <cell r="G536" t="e">
            <v>#REF!</v>
          </cell>
          <cell r="H536" t="e">
            <v>#REF!</v>
          </cell>
        </row>
        <row r="537">
          <cell r="A537">
            <v>0</v>
          </cell>
          <cell r="B537">
            <v>0</v>
          </cell>
          <cell r="C537">
            <v>0</v>
          </cell>
          <cell r="D537">
            <v>10.6</v>
          </cell>
          <cell r="E537">
            <v>0</v>
          </cell>
          <cell r="F537">
            <v>0</v>
          </cell>
          <cell r="G537" t="e">
            <v>#REF!</v>
          </cell>
          <cell r="H537" t="e">
            <v>#REF!</v>
          </cell>
        </row>
        <row r="538">
          <cell r="A538">
            <v>0</v>
          </cell>
          <cell r="B538">
            <v>0</v>
          </cell>
          <cell r="C538">
            <v>0</v>
          </cell>
          <cell r="D538">
            <v>7.9</v>
          </cell>
          <cell r="E538">
            <v>0</v>
          </cell>
          <cell r="F538">
            <v>0</v>
          </cell>
          <cell r="G538" t="e">
            <v>#REF!</v>
          </cell>
          <cell r="H538" t="e">
            <v>#REF!</v>
          </cell>
        </row>
        <row r="539">
          <cell r="A539">
            <v>0</v>
          </cell>
          <cell r="B539">
            <v>0</v>
          </cell>
          <cell r="C539">
            <v>0</v>
          </cell>
          <cell r="D539">
            <v>5.9</v>
          </cell>
          <cell r="E539">
            <v>0</v>
          </cell>
          <cell r="F539">
            <v>0</v>
          </cell>
          <cell r="G539" t="e">
            <v>#REF!</v>
          </cell>
          <cell r="H539" t="e">
            <v>#REF!</v>
          </cell>
        </row>
        <row r="540">
          <cell r="A540">
            <v>0</v>
          </cell>
          <cell r="B540">
            <v>0</v>
          </cell>
          <cell r="C540">
            <v>0</v>
          </cell>
          <cell r="D540">
            <v>4.4000000000000004</v>
          </cell>
          <cell r="E540">
            <v>0</v>
          </cell>
          <cell r="F540">
            <v>0</v>
          </cell>
          <cell r="G540" t="e">
            <v>#REF!</v>
          </cell>
          <cell r="H540" t="e">
            <v>#REF!</v>
          </cell>
        </row>
        <row r="541">
          <cell r="A541">
            <v>0</v>
          </cell>
          <cell r="B541">
            <v>0</v>
          </cell>
          <cell r="C541">
            <v>0</v>
          </cell>
          <cell r="D541">
            <v>3.3</v>
          </cell>
          <cell r="E541">
            <v>0</v>
          </cell>
          <cell r="F541">
            <v>0</v>
          </cell>
          <cell r="G541" t="e">
            <v>#REF!</v>
          </cell>
          <cell r="H541" t="e">
            <v>#REF!</v>
          </cell>
        </row>
        <row r="542">
          <cell r="A542">
            <v>0</v>
          </cell>
          <cell r="B542">
            <v>0</v>
          </cell>
          <cell r="C542">
            <v>0</v>
          </cell>
          <cell r="D542">
            <v>2.4</v>
          </cell>
          <cell r="E542">
            <v>0</v>
          </cell>
          <cell r="F542">
            <v>0</v>
          </cell>
          <cell r="G542" t="e">
            <v>#REF!</v>
          </cell>
          <cell r="H542" t="e">
            <v>#REF!</v>
          </cell>
        </row>
        <row r="543">
          <cell r="A543">
            <v>0</v>
          </cell>
          <cell r="B543">
            <v>0</v>
          </cell>
          <cell r="C543">
            <v>0</v>
          </cell>
          <cell r="D543">
            <v>1.8</v>
          </cell>
          <cell r="E543">
            <v>0</v>
          </cell>
          <cell r="F543">
            <v>0</v>
          </cell>
          <cell r="G543" t="e">
            <v>#REF!</v>
          </cell>
          <cell r="H543" t="e">
            <v>#REF!</v>
          </cell>
        </row>
        <row r="544">
          <cell r="A544">
            <v>0</v>
          </cell>
          <cell r="B544">
            <v>0</v>
          </cell>
          <cell r="C544">
            <v>0</v>
          </cell>
          <cell r="D544">
            <v>1.3</v>
          </cell>
          <cell r="E544">
            <v>0</v>
          </cell>
          <cell r="F544">
            <v>0</v>
          </cell>
          <cell r="G544" t="e">
            <v>#REF!</v>
          </cell>
          <cell r="H544" t="e">
            <v>#REF!</v>
          </cell>
        </row>
        <row r="545">
          <cell r="A545">
            <v>0</v>
          </cell>
          <cell r="B545">
            <v>0</v>
          </cell>
          <cell r="C545">
            <v>0</v>
          </cell>
          <cell r="D545">
            <v>1</v>
          </cell>
          <cell r="E545">
            <v>0</v>
          </cell>
          <cell r="F545">
            <v>0</v>
          </cell>
          <cell r="G545" t="e">
            <v>#REF!</v>
          </cell>
          <cell r="H545" t="e">
            <v>#REF!</v>
          </cell>
        </row>
        <row r="546">
          <cell r="A546">
            <v>0</v>
          </cell>
          <cell r="B546">
            <v>0</v>
          </cell>
          <cell r="C546">
            <v>0</v>
          </cell>
          <cell r="D546">
            <v>1</v>
          </cell>
          <cell r="E546">
            <v>0</v>
          </cell>
          <cell r="F546">
            <v>0</v>
          </cell>
          <cell r="G546" t="e">
            <v>#REF!</v>
          </cell>
          <cell r="H546" t="e">
            <v>#REF!</v>
          </cell>
        </row>
        <row r="547">
          <cell r="A547">
            <v>0</v>
          </cell>
          <cell r="B547">
            <v>0</v>
          </cell>
          <cell r="C547">
            <v>0</v>
          </cell>
          <cell r="D547">
            <v>1</v>
          </cell>
          <cell r="E547">
            <v>0</v>
          </cell>
          <cell r="F547">
            <v>0</v>
          </cell>
          <cell r="G547" t="e">
            <v>#REF!</v>
          </cell>
          <cell r="H547" t="e">
            <v>#REF!</v>
          </cell>
        </row>
        <row r="548">
          <cell r="A548">
            <v>0</v>
          </cell>
          <cell r="B548">
            <v>0</v>
          </cell>
          <cell r="C548">
            <v>0</v>
          </cell>
          <cell r="E548">
            <v>0</v>
          </cell>
          <cell r="F548">
            <v>0</v>
          </cell>
          <cell r="G548">
            <v>0</v>
          </cell>
        </row>
        <row r="549">
          <cell r="A549" t="str">
            <v>BX</v>
          </cell>
          <cell r="B549" t="e">
            <v>#N/A</v>
          </cell>
          <cell r="C549" t="e">
            <v>#N/A</v>
          </cell>
          <cell r="D549">
            <v>11.3</v>
          </cell>
          <cell r="E549" t="e">
            <v>#REF!</v>
          </cell>
          <cell r="F549" t="e">
            <v>#REF!</v>
          </cell>
          <cell r="G549" t="e">
            <v>#REF!</v>
          </cell>
          <cell r="H549" t="e">
            <v>#REF!</v>
          </cell>
          <cell r="I549" t="e">
            <v>#REF!</v>
          </cell>
        </row>
        <row r="550">
          <cell r="A550">
            <v>0</v>
          </cell>
          <cell r="B550">
            <v>0</v>
          </cell>
          <cell r="C550">
            <v>0</v>
          </cell>
          <cell r="D550">
            <v>28.6</v>
          </cell>
          <cell r="E550">
            <v>0</v>
          </cell>
          <cell r="F550">
            <v>0</v>
          </cell>
          <cell r="G550" t="e">
            <v>#REF!</v>
          </cell>
          <cell r="H550" t="e">
            <v>#REF!</v>
          </cell>
        </row>
        <row r="551">
          <cell r="A551">
            <v>0</v>
          </cell>
          <cell r="B551">
            <v>0</v>
          </cell>
          <cell r="C551">
            <v>0</v>
          </cell>
          <cell r="D551">
            <v>22.7</v>
          </cell>
          <cell r="E551">
            <v>0</v>
          </cell>
          <cell r="F551">
            <v>0</v>
          </cell>
          <cell r="G551" t="e">
            <v>#REF!</v>
          </cell>
          <cell r="H551" t="e">
            <v>#REF!</v>
          </cell>
        </row>
        <row r="552">
          <cell r="A552">
            <v>0</v>
          </cell>
          <cell r="B552">
            <v>0</v>
          </cell>
          <cell r="C552">
            <v>0</v>
          </cell>
          <cell r="D552">
            <v>18</v>
          </cell>
          <cell r="E552">
            <v>0</v>
          </cell>
          <cell r="F552">
            <v>0</v>
          </cell>
          <cell r="G552" t="e">
            <v>#REF!</v>
          </cell>
          <cell r="H552" t="e">
            <v>#REF!</v>
          </cell>
        </row>
        <row r="553">
          <cell r="A553">
            <v>0</v>
          </cell>
          <cell r="B553">
            <v>0</v>
          </cell>
          <cell r="C553">
            <v>0</v>
          </cell>
          <cell r="D553">
            <v>14.3</v>
          </cell>
          <cell r="E553">
            <v>0</v>
          </cell>
          <cell r="F553">
            <v>0</v>
          </cell>
          <cell r="G553" t="e">
            <v>#REF!</v>
          </cell>
          <cell r="H553" t="e">
            <v>#REF!</v>
          </cell>
        </row>
        <row r="554">
          <cell r="A554">
            <v>0</v>
          </cell>
          <cell r="B554">
            <v>0</v>
          </cell>
          <cell r="C554">
            <v>0</v>
          </cell>
          <cell r="D554">
            <v>10.6</v>
          </cell>
          <cell r="E554">
            <v>0</v>
          </cell>
          <cell r="F554">
            <v>0</v>
          </cell>
          <cell r="G554" t="e">
            <v>#REF!</v>
          </cell>
          <cell r="H554" t="e">
            <v>#REF!</v>
          </cell>
        </row>
        <row r="555">
          <cell r="A555">
            <v>0</v>
          </cell>
          <cell r="B555">
            <v>0</v>
          </cell>
          <cell r="C555">
            <v>0</v>
          </cell>
          <cell r="D555">
            <v>7.9</v>
          </cell>
          <cell r="E555">
            <v>0</v>
          </cell>
          <cell r="F555">
            <v>0</v>
          </cell>
          <cell r="G555" t="e">
            <v>#REF!</v>
          </cell>
          <cell r="H555" t="e">
            <v>#REF!</v>
          </cell>
        </row>
        <row r="556">
          <cell r="A556">
            <v>0</v>
          </cell>
          <cell r="B556">
            <v>0</v>
          </cell>
          <cell r="C556">
            <v>0</v>
          </cell>
          <cell r="D556">
            <v>5.9</v>
          </cell>
          <cell r="E556">
            <v>0</v>
          </cell>
          <cell r="F556">
            <v>0</v>
          </cell>
          <cell r="G556" t="e">
            <v>#REF!</v>
          </cell>
          <cell r="H556" t="e">
            <v>#REF!</v>
          </cell>
        </row>
        <row r="557">
          <cell r="A557">
            <v>0</v>
          </cell>
          <cell r="B557">
            <v>0</v>
          </cell>
          <cell r="C557">
            <v>0</v>
          </cell>
          <cell r="D557">
            <v>4.4000000000000004</v>
          </cell>
          <cell r="E557">
            <v>0</v>
          </cell>
          <cell r="F557">
            <v>0</v>
          </cell>
          <cell r="G557" t="e">
            <v>#REF!</v>
          </cell>
          <cell r="H557" t="e">
            <v>#REF!</v>
          </cell>
        </row>
        <row r="558">
          <cell r="A558">
            <v>0</v>
          </cell>
          <cell r="B558">
            <v>0</v>
          </cell>
          <cell r="C558">
            <v>0</v>
          </cell>
          <cell r="D558">
            <v>3.3</v>
          </cell>
          <cell r="E558">
            <v>0</v>
          </cell>
          <cell r="F558">
            <v>0</v>
          </cell>
          <cell r="G558" t="e">
            <v>#REF!</v>
          </cell>
          <cell r="H558" t="e">
            <v>#REF!</v>
          </cell>
        </row>
        <row r="559">
          <cell r="A559">
            <v>0</v>
          </cell>
          <cell r="B559">
            <v>0</v>
          </cell>
          <cell r="C559">
            <v>0</v>
          </cell>
          <cell r="D559">
            <v>2.4</v>
          </cell>
          <cell r="E559">
            <v>0</v>
          </cell>
          <cell r="F559">
            <v>0</v>
          </cell>
          <cell r="G559" t="e">
            <v>#REF!</v>
          </cell>
          <cell r="H559" t="e">
            <v>#REF!</v>
          </cell>
        </row>
        <row r="560">
          <cell r="A560">
            <v>0</v>
          </cell>
          <cell r="B560">
            <v>0</v>
          </cell>
          <cell r="C560">
            <v>0</v>
          </cell>
          <cell r="D560">
            <v>1.8</v>
          </cell>
          <cell r="E560">
            <v>0</v>
          </cell>
          <cell r="F560">
            <v>0</v>
          </cell>
          <cell r="G560" t="e">
            <v>#REF!</v>
          </cell>
          <cell r="H560" t="e">
            <v>#REF!</v>
          </cell>
        </row>
        <row r="561">
          <cell r="A561">
            <v>0</v>
          </cell>
          <cell r="B561">
            <v>0</v>
          </cell>
          <cell r="C561">
            <v>0</v>
          </cell>
          <cell r="D561">
            <v>1.3</v>
          </cell>
          <cell r="E561">
            <v>0</v>
          </cell>
          <cell r="F561">
            <v>0</v>
          </cell>
          <cell r="G561" t="e">
            <v>#REF!</v>
          </cell>
          <cell r="H561" t="e">
            <v>#REF!</v>
          </cell>
        </row>
        <row r="562">
          <cell r="A562">
            <v>0</v>
          </cell>
          <cell r="B562">
            <v>0</v>
          </cell>
          <cell r="C562">
            <v>0</v>
          </cell>
          <cell r="D562">
            <v>1</v>
          </cell>
          <cell r="E562">
            <v>0</v>
          </cell>
          <cell r="F562">
            <v>0</v>
          </cell>
          <cell r="G562" t="e">
            <v>#REF!</v>
          </cell>
          <cell r="H562" t="e">
            <v>#REF!</v>
          </cell>
        </row>
        <row r="563">
          <cell r="A563">
            <v>0</v>
          </cell>
          <cell r="B563">
            <v>0</v>
          </cell>
          <cell r="C563">
            <v>0</v>
          </cell>
          <cell r="D563">
            <v>1</v>
          </cell>
          <cell r="E563">
            <v>0</v>
          </cell>
          <cell r="F563">
            <v>0</v>
          </cell>
          <cell r="G563" t="e">
            <v>#REF!</v>
          </cell>
          <cell r="H563" t="e">
            <v>#REF!</v>
          </cell>
        </row>
        <row r="564">
          <cell r="A564">
            <v>0</v>
          </cell>
          <cell r="B564">
            <v>0</v>
          </cell>
          <cell r="C564">
            <v>0</v>
          </cell>
          <cell r="D564">
            <v>1</v>
          </cell>
          <cell r="E564">
            <v>0</v>
          </cell>
          <cell r="F564">
            <v>0</v>
          </cell>
          <cell r="G564" t="e">
            <v>#REF!</v>
          </cell>
          <cell r="H564" t="e">
            <v>#REF!</v>
          </cell>
        </row>
        <row r="565">
          <cell r="A565">
            <v>0</v>
          </cell>
          <cell r="B565">
            <v>0</v>
          </cell>
          <cell r="C565">
            <v>0</v>
          </cell>
          <cell r="E565">
            <v>0</v>
          </cell>
          <cell r="F565">
            <v>0</v>
          </cell>
          <cell r="G565">
            <v>0</v>
          </cell>
        </row>
        <row r="566">
          <cell r="A566" t="str">
            <v>BY</v>
          </cell>
          <cell r="B566" t="e">
            <v>#N/A</v>
          </cell>
          <cell r="C566" t="e">
            <v>#N/A</v>
          </cell>
          <cell r="D566">
            <v>11.3</v>
          </cell>
          <cell r="E566" t="e">
            <v>#REF!</v>
          </cell>
          <cell r="F566" t="e">
            <v>#REF!</v>
          </cell>
          <cell r="G566" t="e">
            <v>#REF!</v>
          </cell>
          <cell r="H566" t="e">
            <v>#REF!</v>
          </cell>
          <cell r="I566" t="e">
            <v>#REF!</v>
          </cell>
        </row>
        <row r="567">
          <cell r="A567">
            <v>0</v>
          </cell>
          <cell r="B567">
            <v>0</v>
          </cell>
          <cell r="C567">
            <v>0</v>
          </cell>
          <cell r="D567">
            <v>28.6</v>
          </cell>
          <cell r="E567">
            <v>0</v>
          </cell>
          <cell r="F567">
            <v>0</v>
          </cell>
          <cell r="G567" t="e">
            <v>#REF!</v>
          </cell>
          <cell r="H567" t="e">
            <v>#REF!</v>
          </cell>
        </row>
        <row r="568">
          <cell r="A568">
            <v>0</v>
          </cell>
          <cell r="B568">
            <v>0</v>
          </cell>
          <cell r="C568">
            <v>0</v>
          </cell>
          <cell r="D568">
            <v>22.7</v>
          </cell>
          <cell r="E568">
            <v>0</v>
          </cell>
          <cell r="F568">
            <v>0</v>
          </cell>
          <cell r="G568" t="e">
            <v>#REF!</v>
          </cell>
          <cell r="H568" t="e">
            <v>#REF!</v>
          </cell>
        </row>
        <row r="569">
          <cell r="A569">
            <v>0</v>
          </cell>
          <cell r="B569">
            <v>0</v>
          </cell>
          <cell r="C569">
            <v>0</v>
          </cell>
          <cell r="D569">
            <v>18</v>
          </cell>
          <cell r="E569">
            <v>0</v>
          </cell>
          <cell r="F569">
            <v>0</v>
          </cell>
          <cell r="G569" t="e">
            <v>#REF!</v>
          </cell>
          <cell r="H569" t="e">
            <v>#REF!</v>
          </cell>
        </row>
        <row r="570">
          <cell r="A570">
            <v>0</v>
          </cell>
          <cell r="B570">
            <v>0</v>
          </cell>
          <cell r="C570">
            <v>0</v>
          </cell>
          <cell r="D570">
            <v>14.3</v>
          </cell>
          <cell r="E570">
            <v>0</v>
          </cell>
          <cell r="F570">
            <v>0</v>
          </cell>
          <cell r="G570" t="e">
            <v>#REF!</v>
          </cell>
          <cell r="H570" t="e">
            <v>#REF!</v>
          </cell>
        </row>
        <row r="571">
          <cell r="A571">
            <v>0</v>
          </cell>
          <cell r="B571">
            <v>0</v>
          </cell>
          <cell r="C571">
            <v>0</v>
          </cell>
          <cell r="D571">
            <v>10.6</v>
          </cell>
          <cell r="E571">
            <v>0</v>
          </cell>
          <cell r="F571">
            <v>0</v>
          </cell>
          <cell r="G571" t="e">
            <v>#REF!</v>
          </cell>
          <cell r="H571" t="e">
            <v>#REF!</v>
          </cell>
        </row>
        <row r="572">
          <cell r="A572">
            <v>0</v>
          </cell>
          <cell r="B572">
            <v>0</v>
          </cell>
          <cell r="C572">
            <v>0</v>
          </cell>
          <cell r="D572">
            <v>7.9</v>
          </cell>
          <cell r="E572">
            <v>0</v>
          </cell>
          <cell r="F572">
            <v>0</v>
          </cell>
          <cell r="G572" t="e">
            <v>#REF!</v>
          </cell>
          <cell r="H572" t="e">
            <v>#REF!</v>
          </cell>
        </row>
        <row r="573">
          <cell r="A573">
            <v>0</v>
          </cell>
          <cell r="B573">
            <v>0</v>
          </cell>
          <cell r="C573">
            <v>0</v>
          </cell>
          <cell r="D573">
            <v>5.9</v>
          </cell>
          <cell r="E573">
            <v>0</v>
          </cell>
          <cell r="F573">
            <v>0</v>
          </cell>
          <cell r="G573" t="e">
            <v>#REF!</v>
          </cell>
          <cell r="H573" t="e">
            <v>#REF!</v>
          </cell>
        </row>
        <row r="574">
          <cell r="A574">
            <v>0</v>
          </cell>
          <cell r="B574">
            <v>0</v>
          </cell>
          <cell r="C574">
            <v>0</v>
          </cell>
          <cell r="D574">
            <v>4.4000000000000004</v>
          </cell>
          <cell r="E574">
            <v>0</v>
          </cell>
          <cell r="F574">
            <v>0</v>
          </cell>
          <cell r="G574" t="e">
            <v>#REF!</v>
          </cell>
          <cell r="H574" t="e">
            <v>#REF!</v>
          </cell>
        </row>
        <row r="575">
          <cell r="A575">
            <v>0</v>
          </cell>
          <cell r="B575">
            <v>0</v>
          </cell>
          <cell r="C575">
            <v>0</v>
          </cell>
          <cell r="D575">
            <v>3.3</v>
          </cell>
          <cell r="E575">
            <v>0</v>
          </cell>
          <cell r="F575">
            <v>0</v>
          </cell>
          <cell r="G575" t="e">
            <v>#REF!</v>
          </cell>
          <cell r="H575" t="e">
            <v>#REF!</v>
          </cell>
        </row>
        <row r="576">
          <cell r="A576">
            <v>0</v>
          </cell>
          <cell r="B576">
            <v>0</v>
          </cell>
          <cell r="C576">
            <v>0</v>
          </cell>
          <cell r="D576">
            <v>2.4</v>
          </cell>
          <cell r="E576">
            <v>0</v>
          </cell>
          <cell r="F576">
            <v>0</v>
          </cell>
          <cell r="G576" t="e">
            <v>#REF!</v>
          </cell>
          <cell r="H576" t="e">
            <v>#REF!</v>
          </cell>
        </row>
        <row r="577">
          <cell r="A577">
            <v>0</v>
          </cell>
          <cell r="B577">
            <v>0</v>
          </cell>
          <cell r="C577">
            <v>0</v>
          </cell>
          <cell r="D577">
            <v>1.8</v>
          </cell>
          <cell r="E577">
            <v>0</v>
          </cell>
          <cell r="F577">
            <v>0</v>
          </cell>
          <cell r="G577" t="e">
            <v>#REF!</v>
          </cell>
          <cell r="H577" t="e">
            <v>#REF!</v>
          </cell>
        </row>
        <row r="578">
          <cell r="A578">
            <v>0</v>
          </cell>
          <cell r="B578">
            <v>0</v>
          </cell>
          <cell r="C578">
            <v>0</v>
          </cell>
          <cell r="D578">
            <v>1.3</v>
          </cell>
          <cell r="E578">
            <v>0</v>
          </cell>
          <cell r="F578">
            <v>0</v>
          </cell>
          <cell r="G578" t="e">
            <v>#REF!</v>
          </cell>
          <cell r="H578" t="e">
            <v>#REF!</v>
          </cell>
        </row>
        <row r="579">
          <cell r="A579">
            <v>0</v>
          </cell>
          <cell r="B579">
            <v>0</v>
          </cell>
          <cell r="C579">
            <v>0</v>
          </cell>
          <cell r="D579">
            <v>1</v>
          </cell>
          <cell r="E579">
            <v>0</v>
          </cell>
          <cell r="F579">
            <v>0</v>
          </cell>
          <cell r="G579" t="e">
            <v>#REF!</v>
          </cell>
          <cell r="H579" t="e">
            <v>#REF!</v>
          </cell>
        </row>
        <row r="580">
          <cell r="A580">
            <v>0</v>
          </cell>
          <cell r="B580">
            <v>0</v>
          </cell>
          <cell r="C580">
            <v>0</v>
          </cell>
          <cell r="D580">
            <v>1</v>
          </cell>
          <cell r="E580">
            <v>0</v>
          </cell>
          <cell r="F580">
            <v>0</v>
          </cell>
          <cell r="G580" t="e">
            <v>#REF!</v>
          </cell>
          <cell r="H580" t="e">
            <v>#REF!</v>
          </cell>
        </row>
        <row r="581">
          <cell r="A581">
            <v>0</v>
          </cell>
          <cell r="B581">
            <v>0</v>
          </cell>
          <cell r="C581">
            <v>0</v>
          </cell>
          <cell r="D581">
            <v>1</v>
          </cell>
          <cell r="E581">
            <v>0</v>
          </cell>
          <cell r="F581">
            <v>0</v>
          </cell>
          <cell r="G581" t="e">
            <v>#REF!</v>
          </cell>
          <cell r="H581" t="e">
            <v>#REF!</v>
          </cell>
        </row>
        <row r="582">
          <cell r="A582">
            <v>0</v>
          </cell>
          <cell r="B582">
            <v>0</v>
          </cell>
          <cell r="C582">
            <v>0</v>
          </cell>
          <cell r="E582">
            <v>0</v>
          </cell>
          <cell r="F582">
            <v>0</v>
          </cell>
          <cell r="G582">
            <v>0</v>
          </cell>
        </row>
        <row r="583">
          <cell r="A583" t="str">
            <v>BZ</v>
          </cell>
          <cell r="B583" t="e">
            <v>#N/A</v>
          </cell>
          <cell r="C583" t="e">
            <v>#N/A</v>
          </cell>
          <cell r="D583">
            <v>11.3</v>
          </cell>
          <cell r="E583" t="e">
            <v>#REF!</v>
          </cell>
          <cell r="F583" t="e">
            <v>#REF!</v>
          </cell>
          <cell r="G583" t="e">
            <v>#REF!</v>
          </cell>
          <cell r="H583" t="e">
            <v>#REF!</v>
          </cell>
          <cell r="I583" t="e">
            <v>#REF!</v>
          </cell>
        </row>
        <row r="584">
          <cell r="A584">
            <v>0</v>
          </cell>
          <cell r="B584">
            <v>0</v>
          </cell>
          <cell r="C584">
            <v>0</v>
          </cell>
          <cell r="D584">
            <v>28.6</v>
          </cell>
          <cell r="E584">
            <v>0</v>
          </cell>
          <cell r="F584">
            <v>0</v>
          </cell>
          <cell r="G584" t="e">
            <v>#REF!</v>
          </cell>
          <cell r="H584" t="e">
            <v>#REF!</v>
          </cell>
        </row>
        <row r="585">
          <cell r="A585">
            <v>0</v>
          </cell>
          <cell r="B585">
            <v>0</v>
          </cell>
          <cell r="C585">
            <v>0</v>
          </cell>
          <cell r="D585">
            <v>22.7</v>
          </cell>
          <cell r="E585">
            <v>0</v>
          </cell>
          <cell r="F585">
            <v>0</v>
          </cell>
          <cell r="G585" t="e">
            <v>#REF!</v>
          </cell>
          <cell r="H585" t="e">
            <v>#REF!</v>
          </cell>
        </row>
        <row r="586">
          <cell r="A586">
            <v>0</v>
          </cell>
          <cell r="B586">
            <v>0</v>
          </cell>
          <cell r="C586">
            <v>0</v>
          </cell>
          <cell r="D586">
            <v>18</v>
          </cell>
          <cell r="E586">
            <v>0</v>
          </cell>
          <cell r="F586">
            <v>0</v>
          </cell>
          <cell r="G586" t="e">
            <v>#REF!</v>
          </cell>
          <cell r="H586" t="e">
            <v>#REF!</v>
          </cell>
        </row>
        <row r="587">
          <cell r="A587">
            <v>0</v>
          </cell>
          <cell r="B587">
            <v>0</v>
          </cell>
          <cell r="C587">
            <v>0</v>
          </cell>
          <cell r="D587">
            <v>14.3</v>
          </cell>
          <cell r="E587">
            <v>0</v>
          </cell>
          <cell r="F587">
            <v>0</v>
          </cell>
          <cell r="G587" t="e">
            <v>#REF!</v>
          </cell>
          <cell r="H587" t="e">
            <v>#REF!</v>
          </cell>
        </row>
        <row r="588">
          <cell r="A588">
            <v>0</v>
          </cell>
          <cell r="B588">
            <v>0</v>
          </cell>
          <cell r="C588">
            <v>0</v>
          </cell>
          <cell r="D588">
            <v>10.6</v>
          </cell>
          <cell r="E588">
            <v>0</v>
          </cell>
          <cell r="F588">
            <v>0</v>
          </cell>
          <cell r="G588" t="e">
            <v>#REF!</v>
          </cell>
          <cell r="H588" t="e">
            <v>#REF!</v>
          </cell>
        </row>
        <row r="589">
          <cell r="A589">
            <v>0</v>
          </cell>
          <cell r="B589">
            <v>0</v>
          </cell>
          <cell r="C589">
            <v>0</v>
          </cell>
          <cell r="D589">
            <v>7.9</v>
          </cell>
          <cell r="E589">
            <v>0</v>
          </cell>
          <cell r="F589">
            <v>0</v>
          </cell>
          <cell r="G589" t="e">
            <v>#REF!</v>
          </cell>
          <cell r="H589" t="e">
            <v>#REF!</v>
          </cell>
        </row>
        <row r="590">
          <cell r="A590">
            <v>0</v>
          </cell>
          <cell r="B590">
            <v>0</v>
          </cell>
          <cell r="C590">
            <v>0</v>
          </cell>
          <cell r="D590">
            <v>5.9</v>
          </cell>
          <cell r="E590">
            <v>0</v>
          </cell>
          <cell r="F590">
            <v>0</v>
          </cell>
          <cell r="G590" t="e">
            <v>#REF!</v>
          </cell>
          <cell r="H590" t="e">
            <v>#REF!</v>
          </cell>
        </row>
        <row r="591">
          <cell r="A591">
            <v>0</v>
          </cell>
          <cell r="B591">
            <v>0</v>
          </cell>
          <cell r="C591">
            <v>0</v>
          </cell>
          <cell r="D591">
            <v>4.4000000000000004</v>
          </cell>
          <cell r="E591">
            <v>0</v>
          </cell>
          <cell r="F591">
            <v>0</v>
          </cell>
          <cell r="G591" t="e">
            <v>#REF!</v>
          </cell>
          <cell r="H591" t="e">
            <v>#REF!</v>
          </cell>
        </row>
        <row r="592">
          <cell r="A592">
            <v>0</v>
          </cell>
          <cell r="B592">
            <v>0</v>
          </cell>
          <cell r="C592">
            <v>0</v>
          </cell>
          <cell r="D592">
            <v>3.3</v>
          </cell>
          <cell r="E592">
            <v>0</v>
          </cell>
          <cell r="F592">
            <v>0</v>
          </cell>
          <cell r="G592" t="e">
            <v>#REF!</v>
          </cell>
          <cell r="H592" t="e">
            <v>#REF!</v>
          </cell>
        </row>
        <row r="593">
          <cell r="A593">
            <v>0</v>
          </cell>
          <cell r="B593">
            <v>0</v>
          </cell>
          <cell r="C593">
            <v>0</v>
          </cell>
          <cell r="D593">
            <v>2.4</v>
          </cell>
          <cell r="E593">
            <v>0</v>
          </cell>
          <cell r="F593">
            <v>0</v>
          </cell>
          <cell r="G593" t="e">
            <v>#REF!</v>
          </cell>
          <cell r="H593" t="e">
            <v>#REF!</v>
          </cell>
        </row>
        <row r="594">
          <cell r="A594">
            <v>0</v>
          </cell>
          <cell r="B594">
            <v>0</v>
          </cell>
          <cell r="C594">
            <v>0</v>
          </cell>
          <cell r="D594">
            <v>1.8</v>
          </cell>
          <cell r="E594">
            <v>0</v>
          </cell>
          <cell r="F594">
            <v>0</v>
          </cell>
          <cell r="G594" t="e">
            <v>#REF!</v>
          </cell>
          <cell r="H594" t="e">
            <v>#REF!</v>
          </cell>
        </row>
        <row r="595">
          <cell r="A595">
            <v>0</v>
          </cell>
          <cell r="B595">
            <v>0</v>
          </cell>
          <cell r="C595">
            <v>0</v>
          </cell>
          <cell r="D595">
            <v>1.3</v>
          </cell>
          <cell r="E595">
            <v>0</v>
          </cell>
          <cell r="F595">
            <v>0</v>
          </cell>
          <cell r="G595" t="e">
            <v>#REF!</v>
          </cell>
          <cell r="H595" t="e">
            <v>#REF!</v>
          </cell>
        </row>
        <row r="596">
          <cell r="A596">
            <v>0</v>
          </cell>
          <cell r="B596">
            <v>0</v>
          </cell>
          <cell r="C596">
            <v>0</v>
          </cell>
          <cell r="D596">
            <v>1</v>
          </cell>
          <cell r="E596">
            <v>0</v>
          </cell>
          <cell r="F596">
            <v>0</v>
          </cell>
          <cell r="G596" t="e">
            <v>#REF!</v>
          </cell>
          <cell r="H596" t="e">
            <v>#REF!</v>
          </cell>
        </row>
        <row r="597">
          <cell r="A597">
            <v>0</v>
          </cell>
          <cell r="B597">
            <v>0</v>
          </cell>
          <cell r="C597">
            <v>0</v>
          </cell>
          <cell r="D597">
            <v>1</v>
          </cell>
          <cell r="E597">
            <v>0</v>
          </cell>
          <cell r="F597">
            <v>0</v>
          </cell>
          <cell r="G597" t="e">
            <v>#REF!</v>
          </cell>
          <cell r="H597" t="e">
            <v>#REF!</v>
          </cell>
        </row>
        <row r="598">
          <cell r="A598">
            <v>0</v>
          </cell>
          <cell r="B598">
            <v>0</v>
          </cell>
          <cell r="C598">
            <v>0</v>
          </cell>
          <cell r="D598">
            <v>1</v>
          </cell>
          <cell r="E598">
            <v>0</v>
          </cell>
          <cell r="F598">
            <v>0</v>
          </cell>
          <cell r="G598" t="e">
            <v>#REF!</v>
          </cell>
          <cell r="H598" t="e">
            <v>#REF!</v>
          </cell>
        </row>
        <row r="599">
          <cell r="A599">
            <v>0</v>
          </cell>
          <cell r="B599">
            <v>0</v>
          </cell>
          <cell r="C599">
            <v>0</v>
          </cell>
          <cell r="E599">
            <v>0</v>
          </cell>
          <cell r="F599">
            <v>0</v>
          </cell>
          <cell r="G599">
            <v>0</v>
          </cell>
        </row>
        <row r="600">
          <cell r="A600" t="str">
            <v>CA</v>
          </cell>
          <cell r="B600" t="e">
            <v>#N/A</v>
          </cell>
          <cell r="C600" t="e">
            <v>#N/A</v>
          </cell>
          <cell r="D600">
            <v>11.3</v>
          </cell>
          <cell r="E600" t="e">
            <v>#REF!</v>
          </cell>
          <cell r="F600" t="e">
            <v>#REF!</v>
          </cell>
          <cell r="G600" t="e">
            <v>#N/A</v>
          </cell>
          <cell r="H600" t="e">
            <v>#N/A</v>
          </cell>
          <cell r="I600" t="e">
            <v>#N/A</v>
          </cell>
        </row>
        <row r="601">
          <cell r="A601">
            <v>0</v>
          </cell>
          <cell r="B601">
            <v>0</v>
          </cell>
          <cell r="C601">
            <v>0</v>
          </cell>
          <cell r="D601">
            <v>28.6</v>
          </cell>
          <cell r="E601">
            <v>0</v>
          </cell>
          <cell r="F601">
            <v>0</v>
          </cell>
          <cell r="G601" t="e">
            <v>#N/A</v>
          </cell>
          <cell r="H601" t="e">
            <v>#N/A</v>
          </cell>
        </row>
        <row r="602">
          <cell r="A602">
            <v>0</v>
          </cell>
          <cell r="B602">
            <v>0</v>
          </cell>
          <cell r="C602">
            <v>0</v>
          </cell>
          <cell r="D602">
            <v>22.7</v>
          </cell>
          <cell r="E602">
            <v>0</v>
          </cell>
          <cell r="F602">
            <v>0</v>
          </cell>
          <cell r="G602" t="e">
            <v>#N/A</v>
          </cell>
          <cell r="H602" t="e">
            <v>#N/A</v>
          </cell>
        </row>
        <row r="603">
          <cell r="A603">
            <v>0</v>
          </cell>
          <cell r="B603">
            <v>0</v>
          </cell>
          <cell r="C603">
            <v>0</v>
          </cell>
          <cell r="D603">
            <v>18</v>
          </cell>
          <cell r="E603">
            <v>0</v>
          </cell>
          <cell r="F603">
            <v>0</v>
          </cell>
          <cell r="G603" t="e">
            <v>#N/A</v>
          </cell>
          <cell r="H603" t="e">
            <v>#N/A</v>
          </cell>
        </row>
        <row r="604">
          <cell r="A604">
            <v>0</v>
          </cell>
          <cell r="B604">
            <v>0</v>
          </cell>
          <cell r="C604">
            <v>0</v>
          </cell>
          <cell r="D604">
            <v>14.3</v>
          </cell>
          <cell r="E604">
            <v>0</v>
          </cell>
          <cell r="F604">
            <v>0</v>
          </cell>
          <cell r="G604" t="e">
            <v>#N/A</v>
          </cell>
          <cell r="H604" t="e">
            <v>#N/A</v>
          </cell>
        </row>
        <row r="605">
          <cell r="A605">
            <v>0</v>
          </cell>
          <cell r="B605">
            <v>0</v>
          </cell>
          <cell r="C605">
            <v>0</v>
          </cell>
          <cell r="D605">
            <v>10.6</v>
          </cell>
          <cell r="E605">
            <v>0</v>
          </cell>
          <cell r="F605">
            <v>0</v>
          </cell>
          <cell r="G605" t="e">
            <v>#N/A</v>
          </cell>
          <cell r="H605" t="e">
            <v>#N/A</v>
          </cell>
        </row>
        <row r="606">
          <cell r="A606">
            <v>0</v>
          </cell>
          <cell r="B606">
            <v>0</v>
          </cell>
          <cell r="C606">
            <v>0</v>
          </cell>
          <cell r="D606">
            <v>7.9</v>
          </cell>
          <cell r="E606">
            <v>0</v>
          </cell>
          <cell r="F606">
            <v>0</v>
          </cell>
          <cell r="G606" t="e">
            <v>#N/A</v>
          </cell>
          <cell r="H606" t="e">
            <v>#N/A</v>
          </cell>
        </row>
        <row r="607">
          <cell r="A607">
            <v>0</v>
          </cell>
          <cell r="B607">
            <v>0</v>
          </cell>
          <cell r="C607">
            <v>0</v>
          </cell>
          <cell r="D607">
            <v>5.9</v>
          </cell>
          <cell r="E607">
            <v>0</v>
          </cell>
          <cell r="F607">
            <v>0</v>
          </cell>
          <cell r="G607" t="e">
            <v>#N/A</v>
          </cell>
          <cell r="H607" t="e">
            <v>#N/A</v>
          </cell>
        </row>
        <row r="608">
          <cell r="A608">
            <v>0</v>
          </cell>
          <cell r="B608">
            <v>0</v>
          </cell>
          <cell r="C608">
            <v>0</v>
          </cell>
          <cell r="D608">
            <v>4.4000000000000004</v>
          </cell>
          <cell r="E608">
            <v>0</v>
          </cell>
          <cell r="F608">
            <v>0</v>
          </cell>
          <cell r="G608" t="e">
            <v>#N/A</v>
          </cell>
          <cell r="H608" t="e">
            <v>#N/A</v>
          </cell>
        </row>
        <row r="609">
          <cell r="A609">
            <v>0</v>
          </cell>
          <cell r="B609">
            <v>0</v>
          </cell>
          <cell r="C609">
            <v>0</v>
          </cell>
          <cell r="D609">
            <v>3.3</v>
          </cell>
          <cell r="E609">
            <v>0</v>
          </cell>
          <cell r="F609">
            <v>0</v>
          </cell>
          <cell r="G609" t="e">
            <v>#N/A</v>
          </cell>
          <cell r="H609" t="e">
            <v>#N/A</v>
          </cell>
        </row>
        <row r="610">
          <cell r="A610">
            <v>0</v>
          </cell>
          <cell r="B610">
            <v>0</v>
          </cell>
          <cell r="C610">
            <v>0</v>
          </cell>
          <cell r="D610">
            <v>2.4</v>
          </cell>
          <cell r="E610">
            <v>0</v>
          </cell>
          <cell r="F610">
            <v>0</v>
          </cell>
          <cell r="G610" t="e">
            <v>#N/A</v>
          </cell>
          <cell r="H610" t="e">
            <v>#N/A</v>
          </cell>
        </row>
        <row r="611">
          <cell r="A611">
            <v>0</v>
          </cell>
          <cell r="B611">
            <v>0</v>
          </cell>
          <cell r="C611">
            <v>0</v>
          </cell>
          <cell r="D611">
            <v>1.8</v>
          </cell>
          <cell r="E611">
            <v>0</v>
          </cell>
          <cell r="F611">
            <v>0</v>
          </cell>
          <cell r="G611" t="e">
            <v>#N/A</v>
          </cell>
          <cell r="H611" t="e">
            <v>#N/A</v>
          </cell>
        </row>
        <row r="612">
          <cell r="A612">
            <v>0</v>
          </cell>
          <cell r="B612">
            <v>0</v>
          </cell>
          <cell r="C612">
            <v>0</v>
          </cell>
          <cell r="D612">
            <v>1.3</v>
          </cell>
          <cell r="E612">
            <v>0</v>
          </cell>
          <cell r="F612">
            <v>0</v>
          </cell>
          <cell r="G612" t="e">
            <v>#N/A</v>
          </cell>
          <cell r="H612" t="e">
            <v>#N/A</v>
          </cell>
        </row>
        <row r="613">
          <cell r="A613">
            <v>0</v>
          </cell>
          <cell r="B613">
            <v>0</v>
          </cell>
          <cell r="C613">
            <v>0</v>
          </cell>
          <cell r="D613">
            <v>1</v>
          </cell>
          <cell r="E613">
            <v>0</v>
          </cell>
          <cell r="F613">
            <v>0</v>
          </cell>
          <cell r="G613" t="e">
            <v>#N/A</v>
          </cell>
          <cell r="H613" t="e">
            <v>#N/A</v>
          </cell>
        </row>
        <row r="614">
          <cell r="A614">
            <v>0</v>
          </cell>
          <cell r="B614">
            <v>0</v>
          </cell>
          <cell r="C614">
            <v>0</v>
          </cell>
          <cell r="D614">
            <v>1</v>
          </cell>
          <cell r="E614">
            <v>0</v>
          </cell>
          <cell r="F614">
            <v>0</v>
          </cell>
          <cell r="G614" t="e">
            <v>#N/A</v>
          </cell>
          <cell r="H614" t="e">
            <v>#N/A</v>
          </cell>
        </row>
        <row r="615">
          <cell r="A615">
            <v>0</v>
          </cell>
          <cell r="B615">
            <v>0</v>
          </cell>
          <cell r="C615">
            <v>0</v>
          </cell>
          <cell r="D615">
            <v>1</v>
          </cell>
          <cell r="E615">
            <v>0</v>
          </cell>
          <cell r="F615">
            <v>0</v>
          </cell>
          <cell r="G615" t="e">
            <v>#N/A</v>
          </cell>
          <cell r="H615" t="e">
            <v>#N/A</v>
          </cell>
        </row>
        <row r="616">
          <cell r="A616">
            <v>0</v>
          </cell>
          <cell r="B616">
            <v>0</v>
          </cell>
          <cell r="C616">
            <v>0</v>
          </cell>
          <cell r="E616">
            <v>0</v>
          </cell>
          <cell r="F616">
            <v>0</v>
          </cell>
          <cell r="G616">
            <v>0</v>
          </cell>
        </row>
        <row r="617">
          <cell r="A617" t="str">
            <v>CB</v>
          </cell>
          <cell r="B617" t="e">
            <v>#N/A</v>
          </cell>
          <cell r="C617" t="e">
            <v>#N/A</v>
          </cell>
          <cell r="D617">
            <v>11.3</v>
          </cell>
          <cell r="E617" t="e">
            <v>#REF!</v>
          </cell>
          <cell r="F617" t="e">
            <v>#REF!</v>
          </cell>
          <cell r="G617" t="e">
            <v>#REF!</v>
          </cell>
          <cell r="H617" t="e">
            <v>#REF!</v>
          </cell>
          <cell r="I617" t="e">
            <v>#REF!</v>
          </cell>
        </row>
        <row r="618">
          <cell r="A618">
            <v>0</v>
          </cell>
          <cell r="B618">
            <v>0</v>
          </cell>
          <cell r="C618">
            <v>0</v>
          </cell>
          <cell r="D618">
            <v>28.6</v>
          </cell>
          <cell r="E618">
            <v>0</v>
          </cell>
          <cell r="F618">
            <v>0</v>
          </cell>
          <cell r="G618" t="e">
            <v>#REF!</v>
          </cell>
          <cell r="H618" t="e">
            <v>#REF!</v>
          </cell>
        </row>
        <row r="619">
          <cell r="A619">
            <v>0</v>
          </cell>
          <cell r="B619">
            <v>0</v>
          </cell>
          <cell r="C619">
            <v>0</v>
          </cell>
          <cell r="D619">
            <v>22.7</v>
          </cell>
          <cell r="E619">
            <v>0</v>
          </cell>
          <cell r="F619">
            <v>0</v>
          </cell>
          <cell r="G619" t="e">
            <v>#REF!</v>
          </cell>
          <cell r="H619" t="e">
            <v>#REF!</v>
          </cell>
        </row>
        <row r="620">
          <cell r="A620">
            <v>0</v>
          </cell>
          <cell r="B620">
            <v>0</v>
          </cell>
          <cell r="C620">
            <v>0</v>
          </cell>
          <cell r="D620">
            <v>18</v>
          </cell>
          <cell r="E620">
            <v>0</v>
          </cell>
          <cell r="F620">
            <v>0</v>
          </cell>
          <cell r="G620" t="e">
            <v>#REF!</v>
          </cell>
          <cell r="H620" t="e">
            <v>#REF!</v>
          </cell>
        </row>
        <row r="621">
          <cell r="A621">
            <v>0</v>
          </cell>
          <cell r="B621">
            <v>0</v>
          </cell>
          <cell r="C621">
            <v>0</v>
          </cell>
          <cell r="D621">
            <v>14.3</v>
          </cell>
          <cell r="E621">
            <v>0</v>
          </cell>
          <cell r="F621">
            <v>0</v>
          </cell>
          <cell r="G621" t="e">
            <v>#REF!</v>
          </cell>
          <cell r="H621" t="e">
            <v>#REF!</v>
          </cell>
        </row>
        <row r="622">
          <cell r="A622">
            <v>0</v>
          </cell>
          <cell r="B622">
            <v>0</v>
          </cell>
          <cell r="C622">
            <v>0</v>
          </cell>
          <cell r="D622">
            <v>10.6</v>
          </cell>
          <cell r="E622">
            <v>0</v>
          </cell>
          <cell r="F622">
            <v>0</v>
          </cell>
          <cell r="G622" t="e">
            <v>#REF!</v>
          </cell>
          <cell r="H622" t="e">
            <v>#REF!</v>
          </cell>
        </row>
        <row r="623">
          <cell r="A623">
            <v>0</v>
          </cell>
          <cell r="B623">
            <v>0</v>
          </cell>
          <cell r="C623">
            <v>0</v>
          </cell>
          <cell r="D623">
            <v>7.9</v>
          </cell>
          <cell r="E623">
            <v>0</v>
          </cell>
          <cell r="F623">
            <v>0</v>
          </cell>
          <cell r="G623" t="e">
            <v>#REF!</v>
          </cell>
          <cell r="H623" t="e">
            <v>#REF!</v>
          </cell>
        </row>
        <row r="624">
          <cell r="A624">
            <v>0</v>
          </cell>
          <cell r="B624">
            <v>0</v>
          </cell>
          <cell r="C624">
            <v>0</v>
          </cell>
          <cell r="D624">
            <v>5.9</v>
          </cell>
          <cell r="E624">
            <v>0</v>
          </cell>
          <cell r="F624">
            <v>0</v>
          </cell>
          <cell r="G624" t="e">
            <v>#REF!</v>
          </cell>
          <cell r="H624" t="e">
            <v>#REF!</v>
          </cell>
        </row>
        <row r="625">
          <cell r="A625">
            <v>0</v>
          </cell>
          <cell r="B625">
            <v>0</v>
          </cell>
          <cell r="C625">
            <v>0</v>
          </cell>
          <cell r="D625">
            <v>4.4000000000000004</v>
          </cell>
          <cell r="E625">
            <v>0</v>
          </cell>
          <cell r="F625">
            <v>0</v>
          </cell>
          <cell r="G625" t="e">
            <v>#REF!</v>
          </cell>
          <cell r="H625" t="e">
            <v>#REF!</v>
          </cell>
        </row>
        <row r="626">
          <cell r="A626">
            <v>0</v>
          </cell>
          <cell r="B626">
            <v>0</v>
          </cell>
          <cell r="C626">
            <v>0</v>
          </cell>
          <cell r="D626">
            <v>3.3</v>
          </cell>
          <cell r="E626">
            <v>0</v>
          </cell>
          <cell r="F626">
            <v>0</v>
          </cell>
          <cell r="G626" t="e">
            <v>#REF!</v>
          </cell>
          <cell r="H626" t="e">
            <v>#REF!</v>
          </cell>
        </row>
        <row r="627">
          <cell r="A627">
            <v>0</v>
          </cell>
          <cell r="B627">
            <v>0</v>
          </cell>
          <cell r="C627">
            <v>0</v>
          </cell>
          <cell r="D627">
            <v>2.4</v>
          </cell>
          <cell r="E627">
            <v>0</v>
          </cell>
          <cell r="F627">
            <v>0</v>
          </cell>
          <cell r="G627" t="e">
            <v>#REF!</v>
          </cell>
          <cell r="H627" t="e">
            <v>#REF!</v>
          </cell>
        </row>
        <row r="628">
          <cell r="A628">
            <v>0</v>
          </cell>
          <cell r="B628">
            <v>0</v>
          </cell>
          <cell r="C628">
            <v>0</v>
          </cell>
          <cell r="D628">
            <v>1.8</v>
          </cell>
          <cell r="E628">
            <v>0</v>
          </cell>
          <cell r="F628">
            <v>0</v>
          </cell>
          <cell r="G628" t="e">
            <v>#REF!</v>
          </cell>
          <cell r="H628" t="e">
            <v>#REF!</v>
          </cell>
        </row>
        <row r="629">
          <cell r="A629">
            <v>0</v>
          </cell>
          <cell r="B629">
            <v>0</v>
          </cell>
          <cell r="C629">
            <v>0</v>
          </cell>
          <cell r="D629">
            <v>1.3</v>
          </cell>
          <cell r="E629">
            <v>0</v>
          </cell>
          <cell r="F629">
            <v>0</v>
          </cell>
          <cell r="G629" t="e">
            <v>#REF!</v>
          </cell>
          <cell r="H629" t="e">
            <v>#REF!</v>
          </cell>
        </row>
        <row r="630">
          <cell r="A630">
            <v>0</v>
          </cell>
          <cell r="B630">
            <v>0</v>
          </cell>
          <cell r="C630">
            <v>0</v>
          </cell>
          <cell r="D630">
            <v>1</v>
          </cell>
          <cell r="E630">
            <v>0</v>
          </cell>
          <cell r="F630">
            <v>0</v>
          </cell>
          <cell r="G630" t="e">
            <v>#REF!</v>
          </cell>
          <cell r="H630" t="e">
            <v>#REF!</v>
          </cell>
        </row>
        <row r="631">
          <cell r="A631">
            <v>0</v>
          </cell>
          <cell r="B631">
            <v>0</v>
          </cell>
          <cell r="C631">
            <v>0</v>
          </cell>
          <cell r="D631">
            <v>1</v>
          </cell>
          <cell r="E631">
            <v>0</v>
          </cell>
          <cell r="F631">
            <v>0</v>
          </cell>
          <cell r="G631" t="e">
            <v>#REF!</v>
          </cell>
          <cell r="H631" t="e">
            <v>#REF!</v>
          </cell>
        </row>
        <row r="632">
          <cell r="A632">
            <v>0</v>
          </cell>
          <cell r="B632">
            <v>0</v>
          </cell>
          <cell r="C632">
            <v>0</v>
          </cell>
          <cell r="D632">
            <v>1</v>
          </cell>
          <cell r="E632">
            <v>0</v>
          </cell>
          <cell r="F632">
            <v>0</v>
          </cell>
          <cell r="G632" t="e">
            <v>#REF!</v>
          </cell>
          <cell r="H632" t="e">
            <v>#REF!</v>
          </cell>
        </row>
        <row r="633">
          <cell r="A633">
            <v>0</v>
          </cell>
          <cell r="B633">
            <v>0</v>
          </cell>
          <cell r="C633">
            <v>0</v>
          </cell>
          <cell r="E633">
            <v>0</v>
          </cell>
          <cell r="F633">
            <v>0</v>
          </cell>
          <cell r="G633">
            <v>0</v>
          </cell>
        </row>
        <row r="634">
          <cell r="A634" t="str">
            <v>CC</v>
          </cell>
          <cell r="B634" t="e">
            <v>#N/A</v>
          </cell>
          <cell r="C634" t="e">
            <v>#N/A</v>
          </cell>
          <cell r="D634">
            <v>11.3</v>
          </cell>
          <cell r="E634" t="e">
            <v>#REF!</v>
          </cell>
          <cell r="F634" t="e">
            <v>#REF!</v>
          </cell>
          <cell r="G634" t="e">
            <v>#REF!</v>
          </cell>
          <cell r="H634" t="e">
            <v>#REF!</v>
          </cell>
          <cell r="I634" t="e">
            <v>#REF!</v>
          </cell>
        </row>
        <row r="635">
          <cell r="A635">
            <v>0</v>
          </cell>
          <cell r="B635">
            <v>0</v>
          </cell>
          <cell r="C635">
            <v>0</v>
          </cell>
          <cell r="D635">
            <v>28.6</v>
          </cell>
          <cell r="E635">
            <v>0</v>
          </cell>
          <cell r="F635">
            <v>0</v>
          </cell>
          <cell r="G635" t="e">
            <v>#REF!</v>
          </cell>
          <cell r="H635" t="e">
            <v>#REF!</v>
          </cell>
        </row>
        <row r="636">
          <cell r="A636">
            <v>0</v>
          </cell>
          <cell r="B636">
            <v>0</v>
          </cell>
          <cell r="C636">
            <v>0</v>
          </cell>
          <cell r="D636">
            <v>22.7</v>
          </cell>
          <cell r="E636">
            <v>0</v>
          </cell>
          <cell r="F636">
            <v>0</v>
          </cell>
          <cell r="G636" t="e">
            <v>#REF!</v>
          </cell>
          <cell r="H636" t="e">
            <v>#REF!</v>
          </cell>
        </row>
        <row r="637">
          <cell r="A637">
            <v>0</v>
          </cell>
          <cell r="B637">
            <v>0</v>
          </cell>
          <cell r="C637">
            <v>0</v>
          </cell>
          <cell r="D637">
            <v>18</v>
          </cell>
          <cell r="E637">
            <v>0</v>
          </cell>
          <cell r="F637">
            <v>0</v>
          </cell>
          <cell r="G637" t="e">
            <v>#REF!</v>
          </cell>
          <cell r="H637" t="e">
            <v>#REF!</v>
          </cell>
        </row>
        <row r="638">
          <cell r="A638">
            <v>0</v>
          </cell>
          <cell r="B638">
            <v>0</v>
          </cell>
          <cell r="C638">
            <v>0</v>
          </cell>
          <cell r="D638">
            <v>14.3</v>
          </cell>
          <cell r="E638">
            <v>0</v>
          </cell>
          <cell r="F638">
            <v>0</v>
          </cell>
          <cell r="G638" t="e">
            <v>#REF!</v>
          </cell>
          <cell r="H638" t="e">
            <v>#REF!</v>
          </cell>
        </row>
        <row r="639">
          <cell r="A639">
            <v>0</v>
          </cell>
          <cell r="B639">
            <v>0</v>
          </cell>
          <cell r="C639">
            <v>0</v>
          </cell>
          <cell r="D639">
            <v>10.6</v>
          </cell>
          <cell r="E639">
            <v>0</v>
          </cell>
          <cell r="F639">
            <v>0</v>
          </cell>
          <cell r="G639" t="e">
            <v>#REF!</v>
          </cell>
          <cell r="H639" t="e">
            <v>#REF!</v>
          </cell>
        </row>
        <row r="640">
          <cell r="A640">
            <v>0</v>
          </cell>
          <cell r="B640">
            <v>0</v>
          </cell>
          <cell r="C640">
            <v>0</v>
          </cell>
          <cell r="D640">
            <v>7.9</v>
          </cell>
          <cell r="E640">
            <v>0</v>
          </cell>
          <cell r="F640">
            <v>0</v>
          </cell>
          <cell r="G640" t="e">
            <v>#REF!</v>
          </cell>
          <cell r="H640" t="e">
            <v>#REF!</v>
          </cell>
        </row>
        <row r="641">
          <cell r="A641">
            <v>0</v>
          </cell>
          <cell r="B641">
            <v>0</v>
          </cell>
          <cell r="C641">
            <v>0</v>
          </cell>
          <cell r="D641">
            <v>5.9</v>
          </cell>
          <cell r="E641">
            <v>0</v>
          </cell>
          <cell r="F641">
            <v>0</v>
          </cell>
          <cell r="G641" t="e">
            <v>#REF!</v>
          </cell>
          <cell r="H641" t="e">
            <v>#REF!</v>
          </cell>
        </row>
        <row r="642">
          <cell r="A642">
            <v>0</v>
          </cell>
          <cell r="B642">
            <v>0</v>
          </cell>
          <cell r="C642">
            <v>0</v>
          </cell>
          <cell r="D642">
            <v>4.4000000000000004</v>
          </cell>
          <cell r="E642">
            <v>0</v>
          </cell>
          <cell r="F642">
            <v>0</v>
          </cell>
          <cell r="G642" t="e">
            <v>#REF!</v>
          </cell>
          <cell r="H642" t="e">
            <v>#REF!</v>
          </cell>
        </row>
        <row r="643">
          <cell r="A643">
            <v>0</v>
          </cell>
          <cell r="B643">
            <v>0</v>
          </cell>
          <cell r="C643">
            <v>0</v>
          </cell>
          <cell r="D643">
            <v>3.3</v>
          </cell>
          <cell r="E643">
            <v>0</v>
          </cell>
          <cell r="F643">
            <v>0</v>
          </cell>
          <cell r="G643" t="e">
            <v>#REF!</v>
          </cell>
          <cell r="H643" t="e">
            <v>#REF!</v>
          </cell>
        </row>
        <row r="644">
          <cell r="A644">
            <v>0</v>
          </cell>
          <cell r="B644">
            <v>0</v>
          </cell>
          <cell r="C644">
            <v>0</v>
          </cell>
          <cell r="D644">
            <v>2.4</v>
          </cell>
          <cell r="E644">
            <v>0</v>
          </cell>
          <cell r="F644">
            <v>0</v>
          </cell>
          <cell r="G644" t="e">
            <v>#REF!</v>
          </cell>
          <cell r="H644" t="e">
            <v>#REF!</v>
          </cell>
        </row>
        <row r="645">
          <cell r="A645">
            <v>0</v>
          </cell>
          <cell r="B645">
            <v>0</v>
          </cell>
          <cell r="C645">
            <v>0</v>
          </cell>
          <cell r="D645">
            <v>1.8</v>
          </cell>
          <cell r="E645">
            <v>0</v>
          </cell>
          <cell r="F645">
            <v>0</v>
          </cell>
          <cell r="G645" t="e">
            <v>#REF!</v>
          </cell>
          <cell r="H645" t="e">
            <v>#REF!</v>
          </cell>
        </row>
        <row r="646">
          <cell r="A646">
            <v>0</v>
          </cell>
          <cell r="B646">
            <v>0</v>
          </cell>
          <cell r="C646">
            <v>0</v>
          </cell>
          <cell r="D646">
            <v>1.3</v>
          </cell>
          <cell r="E646">
            <v>0</v>
          </cell>
          <cell r="F646">
            <v>0</v>
          </cell>
          <cell r="G646" t="e">
            <v>#REF!</v>
          </cell>
          <cell r="H646" t="e">
            <v>#REF!</v>
          </cell>
        </row>
        <row r="647">
          <cell r="A647">
            <v>0</v>
          </cell>
          <cell r="B647">
            <v>0</v>
          </cell>
          <cell r="C647">
            <v>0</v>
          </cell>
          <cell r="D647">
            <v>1</v>
          </cell>
          <cell r="E647">
            <v>0</v>
          </cell>
          <cell r="F647">
            <v>0</v>
          </cell>
          <cell r="G647" t="e">
            <v>#REF!</v>
          </cell>
          <cell r="H647" t="e">
            <v>#REF!</v>
          </cell>
        </row>
        <row r="648">
          <cell r="A648">
            <v>0</v>
          </cell>
          <cell r="B648">
            <v>0</v>
          </cell>
          <cell r="C648">
            <v>0</v>
          </cell>
          <cell r="D648">
            <v>1</v>
          </cell>
          <cell r="E648">
            <v>0</v>
          </cell>
          <cell r="F648">
            <v>0</v>
          </cell>
          <cell r="G648" t="e">
            <v>#REF!</v>
          </cell>
          <cell r="H648" t="e">
            <v>#REF!</v>
          </cell>
        </row>
        <row r="649">
          <cell r="A649">
            <v>0</v>
          </cell>
          <cell r="B649">
            <v>0</v>
          </cell>
          <cell r="C649">
            <v>0</v>
          </cell>
          <cell r="D649">
            <v>1</v>
          </cell>
          <cell r="E649">
            <v>0</v>
          </cell>
          <cell r="F649">
            <v>0</v>
          </cell>
          <cell r="G649" t="e">
            <v>#REF!</v>
          </cell>
          <cell r="H649" t="e">
            <v>#REF!</v>
          </cell>
        </row>
        <row r="650">
          <cell r="A650">
            <v>0</v>
          </cell>
          <cell r="B650">
            <v>0</v>
          </cell>
          <cell r="C650">
            <v>0</v>
          </cell>
          <cell r="E650">
            <v>0</v>
          </cell>
          <cell r="F650">
            <v>0</v>
          </cell>
          <cell r="G650">
            <v>0</v>
          </cell>
        </row>
        <row r="651">
          <cell r="A651" t="str">
            <v>CD</v>
          </cell>
          <cell r="B651" t="e">
            <v>#N/A</v>
          </cell>
          <cell r="C651" t="e">
            <v>#N/A</v>
          </cell>
          <cell r="D651">
            <v>11.3</v>
          </cell>
          <cell r="E651" t="e">
            <v>#REF!</v>
          </cell>
          <cell r="F651" t="e">
            <v>#REF!</v>
          </cell>
          <cell r="G651" t="e">
            <v>#REF!</v>
          </cell>
          <cell r="H651" t="e">
            <v>#REF!</v>
          </cell>
          <cell r="I651" t="e">
            <v>#REF!</v>
          </cell>
        </row>
        <row r="652">
          <cell r="A652">
            <v>0</v>
          </cell>
          <cell r="B652">
            <v>0</v>
          </cell>
          <cell r="C652">
            <v>0</v>
          </cell>
          <cell r="D652">
            <v>28.6</v>
          </cell>
          <cell r="E652">
            <v>0</v>
          </cell>
          <cell r="F652">
            <v>0</v>
          </cell>
          <cell r="G652" t="e">
            <v>#REF!</v>
          </cell>
          <cell r="H652" t="e">
            <v>#REF!</v>
          </cell>
        </row>
        <row r="653">
          <cell r="A653">
            <v>0</v>
          </cell>
          <cell r="B653">
            <v>0</v>
          </cell>
          <cell r="C653">
            <v>0</v>
          </cell>
          <cell r="D653">
            <v>22.7</v>
          </cell>
          <cell r="E653">
            <v>0</v>
          </cell>
          <cell r="F653">
            <v>0</v>
          </cell>
          <cell r="G653" t="e">
            <v>#REF!</v>
          </cell>
          <cell r="H653" t="e">
            <v>#REF!</v>
          </cell>
        </row>
        <row r="654">
          <cell r="A654">
            <v>0</v>
          </cell>
          <cell r="B654">
            <v>0</v>
          </cell>
          <cell r="C654">
            <v>0</v>
          </cell>
          <cell r="D654">
            <v>18</v>
          </cell>
          <cell r="E654">
            <v>0</v>
          </cell>
          <cell r="F654">
            <v>0</v>
          </cell>
          <cell r="G654" t="e">
            <v>#REF!</v>
          </cell>
          <cell r="H654" t="e">
            <v>#REF!</v>
          </cell>
        </row>
        <row r="655">
          <cell r="A655">
            <v>0</v>
          </cell>
          <cell r="B655">
            <v>0</v>
          </cell>
          <cell r="C655">
            <v>0</v>
          </cell>
          <cell r="D655">
            <v>14.3</v>
          </cell>
          <cell r="E655">
            <v>0</v>
          </cell>
          <cell r="F655">
            <v>0</v>
          </cell>
          <cell r="G655" t="e">
            <v>#REF!</v>
          </cell>
          <cell r="H655" t="e">
            <v>#REF!</v>
          </cell>
        </row>
        <row r="656">
          <cell r="A656">
            <v>0</v>
          </cell>
          <cell r="B656">
            <v>0</v>
          </cell>
          <cell r="C656">
            <v>0</v>
          </cell>
          <cell r="D656">
            <v>10.6</v>
          </cell>
          <cell r="E656">
            <v>0</v>
          </cell>
          <cell r="F656">
            <v>0</v>
          </cell>
          <cell r="G656" t="e">
            <v>#REF!</v>
          </cell>
          <cell r="H656" t="e">
            <v>#REF!</v>
          </cell>
        </row>
        <row r="657">
          <cell r="A657">
            <v>0</v>
          </cell>
          <cell r="B657">
            <v>0</v>
          </cell>
          <cell r="C657">
            <v>0</v>
          </cell>
          <cell r="D657">
            <v>7.9</v>
          </cell>
          <cell r="E657">
            <v>0</v>
          </cell>
          <cell r="F657">
            <v>0</v>
          </cell>
          <cell r="G657" t="e">
            <v>#REF!</v>
          </cell>
          <cell r="H657" t="e">
            <v>#REF!</v>
          </cell>
        </row>
        <row r="658">
          <cell r="A658">
            <v>0</v>
          </cell>
          <cell r="B658">
            <v>0</v>
          </cell>
          <cell r="C658">
            <v>0</v>
          </cell>
          <cell r="D658">
            <v>5.9</v>
          </cell>
          <cell r="E658">
            <v>0</v>
          </cell>
          <cell r="F658">
            <v>0</v>
          </cell>
          <cell r="G658" t="e">
            <v>#REF!</v>
          </cell>
          <cell r="H658" t="e">
            <v>#REF!</v>
          </cell>
        </row>
        <row r="659">
          <cell r="A659">
            <v>0</v>
          </cell>
          <cell r="B659">
            <v>0</v>
          </cell>
          <cell r="C659">
            <v>0</v>
          </cell>
          <cell r="D659">
            <v>4.4000000000000004</v>
          </cell>
          <cell r="E659">
            <v>0</v>
          </cell>
          <cell r="F659">
            <v>0</v>
          </cell>
          <cell r="G659" t="e">
            <v>#REF!</v>
          </cell>
          <cell r="H659" t="e">
            <v>#REF!</v>
          </cell>
        </row>
        <row r="660">
          <cell r="A660">
            <v>0</v>
          </cell>
          <cell r="B660">
            <v>0</v>
          </cell>
          <cell r="C660">
            <v>0</v>
          </cell>
          <cell r="D660">
            <v>3.3</v>
          </cell>
          <cell r="E660">
            <v>0</v>
          </cell>
          <cell r="F660">
            <v>0</v>
          </cell>
          <cell r="G660" t="e">
            <v>#REF!</v>
          </cell>
          <cell r="H660" t="e">
            <v>#REF!</v>
          </cell>
        </row>
        <row r="661">
          <cell r="A661">
            <v>0</v>
          </cell>
          <cell r="B661">
            <v>0</v>
          </cell>
          <cell r="C661">
            <v>0</v>
          </cell>
          <cell r="D661">
            <v>2.4</v>
          </cell>
          <cell r="E661">
            <v>0</v>
          </cell>
          <cell r="F661">
            <v>0</v>
          </cell>
          <cell r="G661" t="e">
            <v>#REF!</v>
          </cell>
          <cell r="H661" t="e">
            <v>#REF!</v>
          </cell>
        </row>
        <row r="662">
          <cell r="A662">
            <v>0</v>
          </cell>
          <cell r="B662">
            <v>0</v>
          </cell>
          <cell r="C662">
            <v>0</v>
          </cell>
          <cell r="D662">
            <v>1.8</v>
          </cell>
          <cell r="E662">
            <v>0</v>
          </cell>
          <cell r="F662">
            <v>0</v>
          </cell>
          <cell r="G662" t="e">
            <v>#REF!</v>
          </cell>
          <cell r="H662" t="e">
            <v>#REF!</v>
          </cell>
        </row>
        <row r="663">
          <cell r="A663">
            <v>0</v>
          </cell>
          <cell r="B663">
            <v>0</v>
          </cell>
          <cell r="C663">
            <v>0</v>
          </cell>
          <cell r="D663">
            <v>1.3</v>
          </cell>
          <cell r="E663">
            <v>0</v>
          </cell>
          <cell r="F663">
            <v>0</v>
          </cell>
          <cell r="G663" t="e">
            <v>#REF!</v>
          </cell>
          <cell r="H663" t="e">
            <v>#REF!</v>
          </cell>
        </row>
        <row r="664">
          <cell r="A664">
            <v>0</v>
          </cell>
          <cell r="B664">
            <v>0</v>
          </cell>
          <cell r="C664">
            <v>0</v>
          </cell>
          <cell r="D664">
            <v>1</v>
          </cell>
          <cell r="E664">
            <v>0</v>
          </cell>
          <cell r="F664">
            <v>0</v>
          </cell>
          <cell r="G664" t="e">
            <v>#REF!</v>
          </cell>
          <cell r="H664" t="e">
            <v>#REF!</v>
          </cell>
        </row>
        <row r="665">
          <cell r="A665">
            <v>0</v>
          </cell>
          <cell r="B665">
            <v>0</v>
          </cell>
          <cell r="C665">
            <v>0</v>
          </cell>
          <cell r="D665">
            <v>1</v>
          </cell>
          <cell r="E665">
            <v>0</v>
          </cell>
          <cell r="F665">
            <v>0</v>
          </cell>
          <cell r="G665" t="e">
            <v>#REF!</v>
          </cell>
          <cell r="H665" t="e">
            <v>#REF!</v>
          </cell>
        </row>
        <row r="666">
          <cell r="A666">
            <v>0</v>
          </cell>
          <cell r="B666">
            <v>0</v>
          </cell>
          <cell r="C666">
            <v>0</v>
          </cell>
          <cell r="D666">
            <v>1</v>
          </cell>
          <cell r="E666">
            <v>0</v>
          </cell>
          <cell r="F666">
            <v>0</v>
          </cell>
          <cell r="G666" t="e">
            <v>#REF!</v>
          </cell>
          <cell r="H666" t="e">
            <v>#REF!</v>
          </cell>
        </row>
        <row r="667">
          <cell r="A667">
            <v>0</v>
          </cell>
          <cell r="B667">
            <v>0</v>
          </cell>
          <cell r="C667">
            <v>0</v>
          </cell>
          <cell r="E667">
            <v>0</v>
          </cell>
          <cell r="F667">
            <v>0</v>
          </cell>
          <cell r="G667">
            <v>0</v>
          </cell>
        </row>
        <row r="668">
          <cell r="A668" t="str">
            <v>CE</v>
          </cell>
          <cell r="B668" t="e">
            <v>#N/A</v>
          </cell>
          <cell r="C668" t="e">
            <v>#N/A</v>
          </cell>
          <cell r="D668">
            <v>11.3</v>
          </cell>
          <cell r="E668" t="e">
            <v>#REF!</v>
          </cell>
          <cell r="F668" t="e">
            <v>#REF!</v>
          </cell>
          <cell r="G668" t="e">
            <v>#REF!</v>
          </cell>
          <cell r="H668" t="e">
            <v>#REF!</v>
          </cell>
          <cell r="I668" t="e">
            <v>#REF!</v>
          </cell>
        </row>
        <row r="669">
          <cell r="A669">
            <v>0</v>
          </cell>
          <cell r="B669">
            <v>0</v>
          </cell>
          <cell r="C669">
            <v>0</v>
          </cell>
          <cell r="D669">
            <v>28.6</v>
          </cell>
          <cell r="E669">
            <v>0</v>
          </cell>
          <cell r="F669">
            <v>0</v>
          </cell>
          <cell r="G669" t="e">
            <v>#REF!</v>
          </cell>
          <cell r="H669" t="e">
            <v>#REF!</v>
          </cell>
        </row>
        <row r="670">
          <cell r="A670">
            <v>0</v>
          </cell>
          <cell r="B670">
            <v>0</v>
          </cell>
          <cell r="C670">
            <v>0</v>
          </cell>
          <cell r="D670">
            <v>22.7</v>
          </cell>
          <cell r="E670">
            <v>0</v>
          </cell>
          <cell r="F670">
            <v>0</v>
          </cell>
          <cell r="G670" t="e">
            <v>#REF!</v>
          </cell>
          <cell r="H670" t="e">
            <v>#REF!</v>
          </cell>
        </row>
        <row r="671">
          <cell r="A671">
            <v>0</v>
          </cell>
          <cell r="B671">
            <v>0</v>
          </cell>
          <cell r="C671">
            <v>0</v>
          </cell>
          <cell r="D671">
            <v>18</v>
          </cell>
          <cell r="E671">
            <v>0</v>
          </cell>
          <cell r="F671">
            <v>0</v>
          </cell>
          <cell r="G671" t="e">
            <v>#REF!</v>
          </cell>
          <cell r="H671" t="e">
            <v>#REF!</v>
          </cell>
        </row>
        <row r="672">
          <cell r="A672">
            <v>0</v>
          </cell>
          <cell r="B672">
            <v>0</v>
          </cell>
          <cell r="C672">
            <v>0</v>
          </cell>
          <cell r="D672">
            <v>14.3</v>
          </cell>
          <cell r="E672">
            <v>0</v>
          </cell>
          <cell r="F672">
            <v>0</v>
          </cell>
          <cell r="G672" t="e">
            <v>#REF!</v>
          </cell>
          <cell r="H672" t="e">
            <v>#REF!</v>
          </cell>
        </row>
        <row r="673">
          <cell r="A673">
            <v>0</v>
          </cell>
          <cell r="B673">
            <v>0</v>
          </cell>
          <cell r="C673">
            <v>0</v>
          </cell>
          <cell r="D673">
            <v>10.6</v>
          </cell>
          <cell r="E673">
            <v>0</v>
          </cell>
          <cell r="F673">
            <v>0</v>
          </cell>
          <cell r="G673" t="e">
            <v>#REF!</v>
          </cell>
          <cell r="H673" t="e">
            <v>#REF!</v>
          </cell>
        </row>
        <row r="674">
          <cell r="A674">
            <v>0</v>
          </cell>
          <cell r="B674">
            <v>0</v>
          </cell>
          <cell r="C674">
            <v>0</v>
          </cell>
          <cell r="D674">
            <v>7.9</v>
          </cell>
          <cell r="E674">
            <v>0</v>
          </cell>
          <cell r="F674">
            <v>0</v>
          </cell>
          <cell r="G674" t="e">
            <v>#REF!</v>
          </cell>
          <cell r="H674" t="e">
            <v>#REF!</v>
          </cell>
        </row>
        <row r="675">
          <cell r="A675">
            <v>0</v>
          </cell>
          <cell r="B675">
            <v>0</v>
          </cell>
          <cell r="C675">
            <v>0</v>
          </cell>
          <cell r="D675">
            <v>5.9</v>
          </cell>
          <cell r="E675">
            <v>0</v>
          </cell>
          <cell r="F675">
            <v>0</v>
          </cell>
          <cell r="G675" t="e">
            <v>#REF!</v>
          </cell>
          <cell r="H675" t="e">
            <v>#REF!</v>
          </cell>
        </row>
        <row r="676">
          <cell r="A676">
            <v>0</v>
          </cell>
          <cell r="B676">
            <v>0</v>
          </cell>
          <cell r="C676">
            <v>0</v>
          </cell>
          <cell r="D676">
            <v>4.4000000000000004</v>
          </cell>
          <cell r="E676">
            <v>0</v>
          </cell>
          <cell r="F676">
            <v>0</v>
          </cell>
          <cell r="G676" t="e">
            <v>#REF!</v>
          </cell>
          <cell r="H676" t="e">
            <v>#REF!</v>
          </cell>
        </row>
        <row r="677">
          <cell r="A677">
            <v>0</v>
          </cell>
          <cell r="B677">
            <v>0</v>
          </cell>
          <cell r="C677">
            <v>0</v>
          </cell>
          <cell r="D677">
            <v>3.3</v>
          </cell>
          <cell r="E677">
            <v>0</v>
          </cell>
          <cell r="F677">
            <v>0</v>
          </cell>
          <cell r="G677" t="e">
            <v>#REF!</v>
          </cell>
          <cell r="H677" t="e">
            <v>#REF!</v>
          </cell>
        </row>
        <row r="678">
          <cell r="A678">
            <v>0</v>
          </cell>
          <cell r="B678">
            <v>0</v>
          </cell>
          <cell r="C678">
            <v>0</v>
          </cell>
          <cell r="D678">
            <v>2.4</v>
          </cell>
          <cell r="E678">
            <v>0</v>
          </cell>
          <cell r="F678">
            <v>0</v>
          </cell>
          <cell r="G678" t="e">
            <v>#REF!</v>
          </cell>
          <cell r="H678" t="e">
            <v>#REF!</v>
          </cell>
        </row>
        <row r="679">
          <cell r="A679">
            <v>0</v>
          </cell>
          <cell r="B679">
            <v>0</v>
          </cell>
          <cell r="C679">
            <v>0</v>
          </cell>
          <cell r="D679">
            <v>1.8</v>
          </cell>
          <cell r="E679">
            <v>0</v>
          </cell>
          <cell r="F679">
            <v>0</v>
          </cell>
          <cell r="G679" t="e">
            <v>#REF!</v>
          </cell>
          <cell r="H679" t="e">
            <v>#REF!</v>
          </cell>
        </row>
        <row r="680">
          <cell r="A680">
            <v>0</v>
          </cell>
          <cell r="B680">
            <v>0</v>
          </cell>
          <cell r="C680">
            <v>0</v>
          </cell>
          <cell r="D680">
            <v>1.3</v>
          </cell>
          <cell r="E680">
            <v>0</v>
          </cell>
          <cell r="F680">
            <v>0</v>
          </cell>
          <cell r="G680" t="e">
            <v>#REF!</v>
          </cell>
          <cell r="H680" t="e">
            <v>#REF!</v>
          </cell>
        </row>
        <row r="681">
          <cell r="A681">
            <v>0</v>
          </cell>
          <cell r="B681">
            <v>0</v>
          </cell>
          <cell r="C681">
            <v>0</v>
          </cell>
          <cell r="D681">
            <v>1</v>
          </cell>
          <cell r="E681">
            <v>0</v>
          </cell>
          <cell r="F681">
            <v>0</v>
          </cell>
          <cell r="G681" t="e">
            <v>#REF!</v>
          </cell>
          <cell r="H681" t="e">
            <v>#REF!</v>
          </cell>
        </row>
        <row r="682">
          <cell r="A682">
            <v>0</v>
          </cell>
          <cell r="B682">
            <v>0</v>
          </cell>
          <cell r="C682">
            <v>0</v>
          </cell>
          <cell r="D682">
            <v>1</v>
          </cell>
          <cell r="E682">
            <v>0</v>
          </cell>
          <cell r="F682">
            <v>0</v>
          </cell>
          <cell r="G682" t="e">
            <v>#REF!</v>
          </cell>
          <cell r="H682" t="e">
            <v>#REF!</v>
          </cell>
        </row>
        <row r="683">
          <cell r="A683">
            <v>0</v>
          </cell>
          <cell r="B683">
            <v>0</v>
          </cell>
          <cell r="C683">
            <v>0</v>
          </cell>
          <cell r="D683">
            <v>1</v>
          </cell>
          <cell r="E683">
            <v>0</v>
          </cell>
          <cell r="F683">
            <v>0</v>
          </cell>
          <cell r="G683" t="e">
            <v>#REF!</v>
          </cell>
          <cell r="H683" t="e">
            <v>#REF!</v>
          </cell>
        </row>
        <row r="684">
          <cell r="A684">
            <v>0</v>
          </cell>
          <cell r="B684">
            <v>0</v>
          </cell>
          <cell r="C684">
            <v>0</v>
          </cell>
          <cell r="E684">
            <v>0</v>
          </cell>
          <cell r="F684">
            <v>0</v>
          </cell>
          <cell r="G684">
            <v>0</v>
          </cell>
        </row>
        <row r="685">
          <cell r="A685" t="str">
            <v>CF</v>
          </cell>
          <cell r="B685" t="e">
            <v>#N/A</v>
          </cell>
          <cell r="C685" t="e">
            <v>#N/A</v>
          </cell>
          <cell r="D685">
            <v>11.3</v>
          </cell>
          <cell r="E685" t="e">
            <v>#REF!</v>
          </cell>
          <cell r="F685" t="e">
            <v>#REF!</v>
          </cell>
          <cell r="G685" t="e">
            <v>#REF!</v>
          </cell>
          <cell r="H685" t="e">
            <v>#REF!</v>
          </cell>
          <cell r="I685" t="e">
            <v>#REF!</v>
          </cell>
        </row>
        <row r="686">
          <cell r="A686">
            <v>0</v>
          </cell>
          <cell r="B686">
            <v>0</v>
          </cell>
          <cell r="C686">
            <v>0</v>
          </cell>
          <cell r="D686">
            <v>28.6</v>
          </cell>
          <cell r="E686">
            <v>0</v>
          </cell>
          <cell r="F686">
            <v>0</v>
          </cell>
          <cell r="G686" t="e">
            <v>#REF!</v>
          </cell>
          <cell r="H686" t="e">
            <v>#REF!</v>
          </cell>
        </row>
        <row r="687">
          <cell r="A687">
            <v>0</v>
          </cell>
          <cell r="B687">
            <v>0</v>
          </cell>
          <cell r="C687">
            <v>0</v>
          </cell>
          <cell r="D687">
            <v>22.7</v>
          </cell>
          <cell r="E687">
            <v>0</v>
          </cell>
          <cell r="F687">
            <v>0</v>
          </cell>
          <cell r="G687" t="e">
            <v>#REF!</v>
          </cell>
          <cell r="H687" t="e">
            <v>#REF!</v>
          </cell>
        </row>
        <row r="688">
          <cell r="A688">
            <v>0</v>
          </cell>
          <cell r="B688">
            <v>0</v>
          </cell>
          <cell r="C688">
            <v>0</v>
          </cell>
          <cell r="D688">
            <v>18</v>
          </cell>
          <cell r="E688">
            <v>0</v>
          </cell>
          <cell r="F688">
            <v>0</v>
          </cell>
          <cell r="G688" t="e">
            <v>#REF!</v>
          </cell>
          <cell r="H688" t="e">
            <v>#REF!</v>
          </cell>
        </row>
        <row r="689">
          <cell r="A689">
            <v>0</v>
          </cell>
          <cell r="B689">
            <v>0</v>
          </cell>
          <cell r="C689">
            <v>0</v>
          </cell>
          <cell r="D689">
            <v>14.3</v>
          </cell>
          <cell r="E689">
            <v>0</v>
          </cell>
          <cell r="F689">
            <v>0</v>
          </cell>
          <cell r="G689" t="e">
            <v>#REF!</v>
          </cell>
          <cell r="H689" t="e">
            <v>#REF!</v>
          </cell>
        </row>
        <row r="690">
          <cell r="A690">
            <v>0</v>
          </cell>
          <cell r="B690">
            <v>0</v>
          </cell>
          <cell r="C690">
            <v>0</v>
          </cell>
          <cell r="D690">
            <v>10.6</v>
          </cell>
          <cell r="E690">
            <v>0</v>
          </cell>
          <cell r="F690">
            <v>0</v>
          </cell>
          <cell r="G690" t="e">
            <v>#REF!</v>
          </cell>
          <cell r="H690" t="e">
            <v>#REF!</v>
          </cell>
        </row>
        <row r="691">
          <cell r="A691">
            <v>0</v>
          </cell>
          <cell r="B691">
            <v>0</v>
          </cell>
          <cell r="C691">
            <v>0</v>
          </cell>
          <cell r="D691">
            <v>7.9</v>
          </cell>
          <cell r="E691">
            <v>0</v>
          </cell>
          <cell r="F691">
            <v>0</v>
          </cell>
          <cell r="G691" t="e">
            <v>#REF!</v>
          </cell>
          <cell r="H691" t="e">
            <v>#REF!</v>
          </cell>
        </row>
        <row r="692">
          <cell r="A692">
            <v>0</v>
          </cell>
          <cell r="B692">
            <v>0</v>
          </cell>
          <cell r="C692">
            <v>0</v>
          </cell>
          <cell r="D692">
            <v>5.9</v>
          </cell>
          <cell r="E692">
            <v>0</v>
          </cell>
          <cell r="F692">
            <v>0</v>
          </cell>
          <cell r="G692" t="e">
            <v>#REF!</v>
          </cell>
          <cell r="H692" t="e">
            <v>#REF!</v>
          </cell>
        </row>
        <row r="693">
          <cell r="A693">
            <v>0</v>
          </cell>
          <cell r="B693">
            <v>0</v>
          </cell>
          <cell r="C693">
            <v>0</v>
          </cell>
          <cell r="D693">
            <v>4.4000000000000004</v>
          </cell>
          <cell r="E693">
            <v>0</v>
          </cell>
          <cell r="F693">
            <v>0</v>
          </cell>
          <cell r="G693" t="e">
            <v>#REF!</v>
          </cell>
          <cell r="H693" t="e">
            <v>#REF!</v>
          </cell>
        </row>
        <row r="694">
          <cell r="A694">
            <v>0</v>
          </cell>
          <cell r="B694">
            <v>0</v>
          </cell>
          <cell r="C694">
            <v>0</v>
          </cell>
          <cell r="D694">
            <v>3.3</v>
          </cell>
          <cell r="E694">
            <v>0</v>
          </cell>
          <cell r="F694">
            <v>0</v>
          </cell>
          <cell r="G694" t="e">
            <v>#REF!</v>
          </cell>
          <cell r="H694" t="e">
            <v>#REF!</v>
          </cell>
        </row>
        <row r="695">
          <cell r="A695">
            <v>0</v>
          </cell>
          <cell r="B695">
            <v>0</v>
          </cell>
          <cell r="C695">
            <v>0</v>
          </cell>
          <cell r="D695">
            <v>2.4</v>
          </cell>
          <cell r="E695">
            <v>0</v>
          </cell>
          <cell r="F695">
            <v>0</v>
          </cell>
          <cell r="G695" t="e">
            <v>#REF!</v>
          </cell>
          <cell r="H695" t="e">
            <v>#REF!</v>
          </cell>
        </row>
        <row r="696">
          <cell r="A696">
            <v>0</v>
          </cell>
          <cell r="B696">
            <v>0</v>
          </cell>
          <cell r="C696">
            <v>0</v>
          </cell>
          <cell r="D696">
            <v>1.8</v>
          </cell>
          <cell r="E696">
            <v>0</v>
          </cell>
          <cell r="F696">
            <v>0</v>
          </cell>
          <cell r="G696" t="e">
            <v>#REF!</v>
          </cell>
          <cell r="H696" t="e">
            <v>#REF!</v>
          </cell>
        </row>
        <row r="697">
          <cell r="A697">
            <v>0</v>
          </cell>
          <cell r="B697">
            <v>0</v>
          </cell>
          <cell r="C697">
            <v>0</v>
          </cell>
          <cell r="D697">
            <v>1.3</v>
          </cell>
          <cell r="E697">
            <v>0</v>
          </cell>
          <cell r="F697">
            <v>0</v>
          </cell>
          <cell r="G697" t="e">
            <v>#REF!</v>
          </cell>
          <cell r="H697" t="e">
            <v>#REF!</v>
          </cell>
        </row>
        <row r="698">
          <cell r="A698">
            <v>0</v>
          </cell>
          <cell r="B698">
            <v>0</v>
          </cell>
          <cell r="C698">
            <v>0</v>
          </cell>
          <cell r="D698">
            <v>1</v>
          </cell>
          <cell r="E698">
            <v>0</v>
          </cell>
          <cell r="F698">
            <v>0</v>
          </cell>
          <cell r="G698" t="e">
            <v>#REF!</v>
          </cell>
          <cell r="H698" t="e">
            <v>#REF!</v>
          </cell>
        </row>
        <row r="699">
          <cell r="A699">
            <v>0</v>
          </cell>
          <cell r="B699">
            <v>0</v>
          </cell>
          <cell r="C699">
            <v>0</v>
          </cell>
          <cell r="D699">
            <v>1</v>
          </cell>
          <cell r="E699">
            <v>0</v>
          </cell>
          <cell r="F699">
            <v>0</v>
          </cell>
          <cell r="G699" t="e">
            <v>#REF!</v>
          </cell>
          <cell r="H699" t="e">
            <v>#REF!</v>
          </cell>
        </row>
        <row r="700">
          <cell r="A700">
            <v>0</v>
          </cell>
          <cell r="B700">
            <v>0</v>
          </cell>
          <cell r="C700">
            <v>0</v>
          </cell>
          <cell r="D700">
            <v>1</v>
          </cell>
          <cell r="E700">
            <v>0</v>
          </cell>
          <cell r="F700">
            <v>0</v>
          </cell>
          <cell r="G700" t="e">
            <v>#REF!</v>
          </cell>
          <cell r="H700" t="e">
            <v>#REF!</v>
          </cell>
        </row>
        <row r="701">
          <cell r="A701">
            <v>0</v>
          </cell>
          <cell r="B701">
            <v>0</v>
          </cell>
          <cell r="C701">
            <v>0</v>
          </cell>
          <cell r="E701">
            <v>0</v>
          </cell>
          <cell r="F701">
            <v>0</v>
          </cell>
          <cell r="G701">
            <v>0</v>
          </cell>
        </row>
        <row r="702">
          <cell r="A702" t="str">
            <v>CG</v>
          </cell>
          <cell r="B702" t="e">
            <v>#N/A</v>
          </cell>
          <cell r="C702" t="e">
            <v>#N/A</v>
          </cell>
          <cell r="D702">
            <v>11.3</v>
          </cell>
          <cell r="E702" t="e">
            <v>#REF!</v>
          </cell>
          <cell r="F702" t="e">
            <v>#REF!</v>
          </cell>
          <cell r="G702" t="e">
            <v>#REF!</v>
          </cell>
          <cell r="H702" t="e">
            <v>#REF!</v>
          </cell>
          <cell r="I702" t="e">
            <v>#REF!</v>
          </cell>
        </row>
        <row r="703">
          <cell r="A703">
            <v>0</v>
          </cell>
          <cell r="B703">
            <v>0</v>
          </cell>
          <cell r="C703">
            <v>0</v>
          </cell>
          <cell r="D703">
            <v>28.6</v>
          </cell>
          <cell r="E703">
            <v>0</v>
          </cell>
          <cell r="F703">
            <v>0</v>
          </cell>
          <cell r="G703" t="e">
            <v>#REF!</v>
          </cell>
          <cell r="H703" t="e">
            <v>#REF!</v>
          </cell>
        </row>
        <row r="704">
          <cell r="A704">
            <v>0</v>
          </cell>
          <cell r="B704">
            <v>0</v>
          </cell>
          <cell r="C704">
            <v>0</v>
          </cell>
          <cell r="D704">
            <v>22.7</v>
          </cell>
          <cell r="E704">
            <v>0</v>
          </cell>
          <cell r="F704">
            <v>0</v>
          </cell>
          <cell r="G704" t="e">
            <v>#REF!</v>
          </cell>
          <cell r="H704" t="e">
            <v>#REF!</v>
          </cell>
        </row>
        <row r="705">
          <cell r="A705">
            <v>0</v>
          </cell>
          <cell r="B705">
            <v>0</v>
          </cell>
          <cell r="C705">
            <v>0</v>
          </cell>
          <cell r="D705">
            <v>18</v>
          </cell>
          <cell r="E705">
            <v>0</v>
          </cell>
          <cell r="F705">
            <v>0</v>
          </cell>
          <cell r="G705" t="e">
            <v>#REF!</v>
          </cell>
          <cell r="H705" t="e">
            <v>#REF!</v>
          </cell>
        </row>
        <row r="706">
          <cell r="A706">
            <v>0</v>
          </cell>
          <cell r="B706">
            <v>0</v>
          </cell>
          <cell r="C706">
            <v>0</v>
          </cell>
          <cell r="D706">
            <v>14.3</v>
          </cell>
          <cell r="E706">
            <v>0</v>
          </cell>
          <cell r="F706">
            <v>0</v>
          </cell>
          <cell r="G706" t="e">
            <v>#REF!</v>
          </cell>
          <cell r="H706" t="e">
            <v>#REF!</v>
          </cell>
        </row>
        <row r="707">
          <cell r="A707">
            <v>0</v>
          </cell>
          <cell r="B707">
            <v>0</v>
          </cell>
          <cell r="C707">
            <v>0</v>
          </cell>
          <cell r="D707">
            <v>10.6</v>
          </cell>
          <cell r="E707">
            <v>0</v>
          </cell>
          <cell r="F707">
            <v>0</v>
          </cell>
          <cell r="G707" t="e">
            <v>#REF!</v>
          </cell>
          <cell r="H707" t="e">
            <v>#REF!</v>
          </cell>
        </row>
        <row r="708">
          <cell r="A708">
            <v>0</v>
          </cell>
          <cell r="B708">
            <v>0</v>
          </cell>
          <cell r="C708">
            <v>0</v>
          </cell>
          <cell r="D708">
            <v>7.9</v>
          </cell>
          <cell r="E708">
            <v>0</v>
          </cell>
          <cell r="F708">
            <v>0</v>
          </cell>
          <cell r="G708" t="e">
            <v>#REF!</v>
          </cell>
          <cell r="H708" t="e">
            <v>#REF!</v>
          </cell>
        </row>
        <row r="709">
          <cell r="A709">
            <v>0</v>
          </cell>
          <cell r="B709">
            <v>0</v>
          </cell>
          <cell r="C709">
            <v>0</v>
          </cell>
          <cell r="D709">
            <v>5.9</v>
          </cell>
          <cell r="E709">
            <v>0</v>
          </cell>
          <cell r="F709">
            <v>0</v>
          </cell>
          <cell r="G709" t="e">
            <v>#REF!</v>
          </cell>
          <cell r="H709" t="e">
            <v>#REF!</v>
          </cell>
        </row>
        <row r="710">
          <cell r="A710">
            <v>0</v>
          </cell>
          <cell r="B710">
            <v>0</v>
          </cell>
          <cell r="C710">
            <v>0</v>
          </cell>
          <cell r="D710">
            <v>4.4000000000000004</v>
          </cell>
          <cell r="E710">
            <v>0</v>
          </cell>
          <cell r="F710">
            <v>0</v>
          </cell>
          <cell r="G710" t="e">
            <v>#REF!</v>
          </cell>
          <cell r="H710" t="e">
            <v>#REF!</v>
          </cell>
        </row>
        <row r="711">
          <cell r="A711">
            <v>0</v>
          </cell>
          <cell r="B711">
            <v>0</v>
          </cell>
          <cell r="C711">
            <v>0</v>
          </cell>
          <cell r="D711">
            <v>3.3</v>
          </cell>
          <cell r="E711">
            <v>0</v>
          </cell>
          <cell r="F711">
            <v>0</v>
          </cell>
          <cell r="G711" t="e">
            <v>#REF!</v>
          </cell>
          <cell r="H711" t="e">
            <v>#REF!</v>
          </cell>
        </row>
        <row r="712">
          <cell r="A712">
            <v>0</v>
          </cell>
          <cell r="B712">
            <v>0</v>
          </cell>
          <cell r="C712">
            <v>0</v>
          </cell>
          <cell r="D712">
            <v>2.4</v>
          </cell>
          <cell r="E712">
            <v>0</v>
          </cell>
          <cell r="F712">
            <v>0</v>
          </cell>
          <cell r="G712" t="e">
            <v>#REF!</v>
          </cell>
          <cell r="H712" t="e">
            <v>#REF!</v>
          </cell>
        </row>
        <row r="713">
          <cell r="A713">
            <v>0</v>
          </cell>
          <cell r="B713">
            <v>0</v>
          </cell>
          <cell r="C713">
            <v>0</v>
          </cell>
          <cell r="D713">
            <v>1.8</v>
          </cell>
          <cell r="E713">
            <v>0</v>
          </cell>
          <cell r="F713">
            <v>0</v>
          </cell>
          <cell r="G713" t="e">
            <v>#REF!</v>
          </cell>
          <cell r="H713" t="e">
            <v>#REF!</v>
          </cell>
        </row>
        <row r="714">
          <cell r="A714">
            <v>0</v>
          </cell>
          <cell r="B714">
            <v>0</v>
          </cell>
          <cell r="C714">
            <v>0</v>
          </cell>
          <cell r="D714">
            <v>1.3</v>
          </cell>
          <cell r="E714">
            <v>0</v>
          </cell>
          <cell r="F714">
            <v>0</v>
          </cell>
          <cell r="G714" t="e">
            <v>#REF!</v>
          </cell>
          <cell r="H714" t="e">
            <v>#REF!</v>
          </cell>
        </row>
        <row r="715">
          <cell r="A715">
            <v>0</v>
          </cell>
          <cell r="B715">
            <v>0</v>
          </cell>
          <cell r="C715">
            <v>0</v>
          </cell>
          <cell r="D715">
            <v>1</v>
          </cell>
          <cell r="E715">
            <v>0</v>
          </cell>
          <cell r="F715">
            <v>0</v>
          </cell>
          <cell r="G715" t="e">
            <v>#REF!</v>
          </cell>
          <cell r="H715" t="e">
            <v>#REF!</v>
          </cell>
        </row>
        <row r="716">
          <cell r="A716">
            <v>0</v>
          </cell>
          <cell r="B716">
            <v>0</v>
          </cell>
          <cell r="C716">
            <v>0</v>
          </cell>
          <cell r="D716">
            <v>1</v>
          </cell>
          <cell r="E716">
            <v>0</v>
          </cell>
          <cell r="F716">
            <v>0</v>
          </cell>
          <cell r="G716" t="e">
            <v>#REF!</v>
          </cell>
          <cell r="H716" t="e">
            <v>#REF!</v>
          </cell>
        </row>
        <row r="717">
          <cell r="A717">
            <v>0</v>
          </cell>
          <cell r="B717">
            <v>0</v>
          </cell>
          <cell r="C717">
            <v>0</v>
          </cell>
          <cell r="D717">
            <v>1</v>
          </cell>
          <cell r="E717">
            <v>0</v>
          </cell>
          <cell r="F717">
            <v>0</v>
          </cell>
          <cell r="G717" t="e">
            <v>#REF!</v>
          </cell>
          <cell r="H717" t="e">
            <v>#REF!</v>
          </cell>
        </row>
        <row r="718">
          <cell r="A718">
            <v>0</v>
          </cell>
          <cell r="B718">
            <v>0</v>
          </cell>
          <cell r="C718">
            <v>0</v>
          </cell>
          <cell r="E718">
            <v>0</v>
          </cell>
          <cell r="F718">
            <v>0</v>
          </cell>
          <cell r="G718">
            <v>0</v>
          </cell>
        </row>
        <row r="719">
          <cell r="A719" t="str">
            <v>CH</v>
          </cell>
          <cell r="B719" t="e">
            <v>#N/A</v>
          </cell>
          <cell r="C719" t="e">
            <v>#N/A</v>
          </cell>
          <cell r="D719">
            <v>11.3</v>
          </cell>
          <cell r="E719" t="e">
            <v>#REF!</v>
          </cell>
          <cell r="F719" t="e">
            <v>#REF!</v>
          </cell>
          <cell r="G719" t="e">
            <v>#REF!</v>
          </cell>
          <cell r="H719" t="e">
            <v>#REF!</v>
          </cell>
          <cell r="I719" t="e">
            <v>#REF!</v>
          </cell>
        </row>
        <row r="720">
          <cell r="A720">
            <v>0</v>
          </cell>
          <cell r="B720">
            <v>0</v>
          </cell>
          <cell r="C720">
            <v>0</v>
          </cell>
          <cell r="D720">
            <v>28.6</v>
          </cell>
          <cell r="E720">
            <v>0</v>
          </cell>
          <cell r="F720">
            <v>0</v>
          </cell>
          <cell r="G720" t="e">
            <v>#REF!</v>
          </cell>
          <cell r="H720" t="e">
            <v>#REF!</v>
          </cell>
        </row>
        <row r="721">
          <cell r="A721">
            <v>0</v>
          </cell>
          <cell r="B721">
            <v>0</v>
          </cell>
          <cell r="C721">
            <v>0</v>
          </cell>
          <cell r="D721">
            <v>22.7</v>
          </cell>
          <cell r="E721">
            <v>0</v>
          </cell>
          <cell r="F721">
            <v>0</v>
          </cell>
          <cell r="G721" t="e">
            <v>#REF!</v>
          </cell>
          <cell r="H721" t="e">
            <v>#REF!</v>
          </cell>
        </row>
        <row r="722">
          <cell r="A722">
            <v>0</v>
          </cell>
          <cell r="B722">
            <v>0</v>
          </cell>
          <cell r="C722">
            <v>0</v>
          </cell>
          <cell r="D722">
            <v>18</v>
          </cell>
          <cell r="E722">
            <v>0</v>
          </cell>
          <cell r="F722">
            <v>0</v>
          </cell>
          <cell r="G722" t="e">
            <v>#REF!</v>
          </cell>
          <cell r="H722" t="e">
            <v>#REF!</v>
          </cell>
        </row>
        <row r="723">
          <cell r="A723">
            <v>0</v>
          </cell>
          <cell r="B723">
            <v>0</v>
          </cell>
          <cell r="C723">
            <v>0</v>
          </cell>
          <cell r="D723">
            <v>14.3</v>
          </cell>
          <cell r="E723">
            <v>0</v>
          </cell>
          <cell r="F723">
            <v>0</v>
          </cell>
          <cell r="G723" t="e">
            <v>#REF!</v>
          </cell>
          <cell r="H723" t="e">
            <v>#REF!</v>
          </cell>
        </row>
        <row r="724">
          <cell r="A724">
            <v>0</v>
          </cell>
          <cell r="B724">
            <v>0</v>
          </cell>
          <cell r="C724">
            <v>0</v>
          </cell>
          <cell r="D724">
            <v>10.6</v>
          </cell>
          <cell r="E724">
            <v>0</v>
          </cell>
          <cell r="F724">
            <v>0</v>
          </cell>
          <cell r="G724" t="e">
            <v>#REF!</v>
          </cell>
          <cell r="H724" t="e">
            <v>#REF!</v>
          </cell>
        </row>
        <row r="725">
          <cell r="A725">
            <v>0</v>
          </cell>
          <cell r="B725">
            <v>0</v>
          </cell>
          <cell r="C725">
            <v>0</v>
          </cell>
          <cell r="D725">
            <v>7.9</v>
          </cell>
          <cell r="E725">
            <v>0</v>
          </cell>
          <cell r="F725">
            <v>0</v>
          </cell>
          <cell r="G725" t="e">
            <v>#REF!</v>
          </cell>
          <cell r="H725" t="e">
            <v>#REF!</v>
          </cell>
        </row>
        <row r="726">
          <cell r="A726">
            <v>0</v>
          </cell>
          <cell r="B726">
            <v>0</v>
          </cell>
          <cell r="C726">
            <v>0</v>
          </cell>
          <cell r="D726">
            <v>5.9</v>
          </cell>
          <cell r="E726">
            <v>0</v>
          </cell>
          <cell r="F726">
            <v>0</v>
          </cell>
          <cell r="G726" t="e">
            <v>#REF!</v>
          </cell>
          <cell r="H726" t="e">
            <v>#REF!</v>
          </cell>
        </row>
        <row r="727">
          <cell r="A727">
            <v>0</v>
          </cell>
          <cell r="B727">
            <v>0</v>
          </cell>
          <cell r="C727">
            <v>0</v>
          </cell>
          <cell r="D727">
            <v>4.4000000000000004</v>
          </cell>
          <cell r="E727">
            <v>0</v>
          </cell>
          <cell r="F727">
            <v>0</v>
          </cell>
          <cell r="G727" t="e">
            <v>#REF!</v>
          </cell>
          <cell r="H727" t="e">
            <v>#REF!</v>
          </cell>
        </row>
        <row r="728">
          <cell r="A728">
            <v>0</v>
          </cell>
          <cell r="B728">
            <v>0</v>
          </cell>
          <cell r="C728">
            <v>0</v>
          </cell>
          <cell r="D728">
            <v>3.3</v>
          </cell>
          <cell r="E728">
            <v>0</v>
          </cell>
          <cell r="F728">
            <v>0</v>
          </cell>
          <cell r="G728" t="e">
            <v>#REF!</v>
          </cell>
          <cell r="H728" t="e">
            <v>#REF!</v>
          </cell>
        </row>
        <row r="729">
          <cell r="A729">
            <v>0</v>
          </cell>
          <cell r="B729">
            <v>0</v>
          </cell>
          <cell r="C729">
            <v>0</v>
          </cell>
          <cell r="D729">
            <v>2.4</v>
          </cell>
          <cell r="E729">
            <v>0</v>
          </cell>
          <cell r="F729">
            <v>0</v>
          </cell>
          <cell r="G729" t="e">
            <v>#REF!</v>
          </cell>
          <cell r="H729" t="e">
            <v>#REF!</v>
          </cell>
        </row>
        <row r="730">
          <cell r="A730">
            <v>0</v>
          </cell>
          <cell r="B730">
            <v>0</v>
          </cell>
          <cell r="C730">
            <v>0</v>
          </cell>
          <cell r="D730">
            <v>1.8</v>
          </cell>
          <cell r="E730">
            <v>0</v>
          </cell>
          <cell r="F730">
            <v>0</v>
          </cell>
          <cell r="G730" t="e">
            <v>#REF!</v>
          </cell>
          <cell r="H730" t="e">
            <v>#REF!</v>
          </cell>
        </row>
        <row r="731">
          <cell r="A731">
            <v>0</v>
          </cell>
          <cell r="B731">
            <v>0</v>
          </cell>
          <cell r="C731">
            <v>0</v>
          </cell>
          <cell r="D731">
            <v>1.3</v>
          </cell>
          <cell r="E731">
            <v>0</v>
          </cell>
          <cell r="F731">
            <v>0</v>
          </cell>
          <cell r="G731" t="e">
            <v>#REF!</v>
          </cell>
          <cell r="H731" t="e">
            <v>#REF!</v>
          </cell>
        </row>
        <row r="732">
          <cell r="A732">
            <v>0</v>
          </cell>
          <cell r="B732">
            <v>0</v>
          </cell>
          <cell r="C732">
            <v>0</v>
          </cell>
          <cell r="D732">
            <v>1</v>
          </cell>
          <cell r="E732">
            <v>0</v>
          </cell>
          <cell r="F732">
            <v>0</v>
          </cell>
          <cell r="G732" t="e">
            <v>#REF!</v>
          </cell>
          <cell r="H732" t="e">
            <v>#REF!</v>
          </cell>
        </row>
        <row r="733">
          <cell r="A733">
            <v>0</v>
          </cell>
          <cell r="B733">
            <v>0</v>
          </cell>
          <cell r="C733">
            <v>0</v>
          </cell>
          <cell r="D733">
            <v>1</v>
          </cell>
          <cell r="E733">
            <v>0</v>
          </cell>
          <cell r="F733">
            <v>0</v>
          </cell>
          <cell r="G733" t="e">
            <v>#REF!</v>
          </cell>
          <cell r="H733" t="e">
            <v>#REF!</v>
          </cell>
        </row>
        <row r="734">
          <cell r="A734">
            <v>0</v>
          </cell>
          <cell r="B734">
            <v>0</v>
          </cell>
          <cell r="C734">
            <v>0</v>
          </cell>
          <cell r="D734">
            <v>1</v>
          </cell>
          <cell r="E734">
            <v>0</v>
          </cell>
          <cell r="F734">
            <v>0</v>
          </cell>
          <cell r="G734" t="e">
            <v>#REF!</v>
          </cell>
          <cell r="H734" t="e">
            <v>#REF!</v>
          </cell>
        </row>
        <row r="735">
          <cell r="A735">
            <v>0</v>
          </cell>
          <cell r="B735">
            <v>0</v>
          </cell>
          <cell r="C735">
            <v>0</v>
          </cell>
          <cell r="E735">
            <v>0</v>
          </cell>
          <cell r="F735">
            <v>0</v>
          </cell>
          <cell r="G735">
            <v>0</v>
          </cell>
        </row>
        <row r="736">
          <cell r="A736" t="str">
            <v>CI</v>
          </cell>
          <cell r="B736" t="e">
            <v>#N/A</v>
          </cell>
          <cell r="C736" t="e">
            <v>#N/A</v>
          </cell>
          <cell r="D736">
            <v>11.3</v>
          </cell>
          <cell r="E736" t="e">
            <v>#REF!</v>
          </cell>
          <cell r="F736" t="e">
            <v>#REF!</v>
          </cell>
          <cell r="G736" t="e">
            <v>#REF!</v>
          </cell>
          <cell r="H736" t="e">
            <v>#REF!</v>
          </cell>
          <cell r="I736" t="e">
            <v>#REF!</v>
          </cell>
        </row>
        <row r="737">
          <cell r="A737">
            <v>0</v>
          </cell>
          <cell r="B737">
            <v>0</v>
          </cell>
          <cell r="C737">
            <v>0</v>
          </cell>
          <cell r="D737">
            <v>28.6</v>
          </cell>
          <cell r="E737">
            <v>0</v>
          </cell>
          <cell r="F737">
            <v>0</v>
          </cell>
          <cell r="G737" t="e">
            <v>#REF!</v>
          </cell>
          <cell r="H737" t="e">
            <v>#REF!</v>
          </cell>
        </row>
        <row r="738">
          <cell r="A738">
            <v>0</v>
          </cell>
          <cell r="B738">
            <v>0</v>
          </cell>
          <cell r="C738">
            <v>0</v>
          </cell>
          <cell r="D738">
            <v>22.7</v>
          </cell>
          <cell r="E738">
            <v>0</v>
          </cell>
          <cell r="F738">
            <v>0</v>
          </cell>
          <cell r="G738" t="e">
            <v>#REF!</v>
          </cell>
          <cell r="H738" t="e">
            <v>#REF!</v>
          </cell>
        </row>
        <row r="739">
          <cell r="A739">
            <v>0</v>
          </cell>
          <cell r="B739">
            <v>0</v>
          </cell>
          <cell r="C739">
            <v>0</v>
          </cell>
          <cell r="D739">
            <v>18</v>
          </cell>
          <cell r="E739">
            <v>0</v>
          </cell>
          <cell r="F739">
            <v>0</v>
          </cell>
          <cell r="G739" t="e">
            <v>#REF!</v>
          </cell>
          <cell r="H739" t="e">
            <v>#REF!</v>
          </cell>
        </row>
        <row r="740">
          <cell r="A740">
            <v>0</v>
          </cell>
          <cell r="B740">
            <v>0</v>
          </cell>
          <cell r="C740">
            <v>0</v>
          </cell>
          <cell r="D740">
            <v>14.3</v>
          </cell>
          <cell r="E740">
            <v>0</v>
          </cell>
          <cell r="F740">
            <v>0</v>
          </cell>
          <cell r="G740" t="e">
            <v>#REF!</v>
          </cell>
          <cell r="H740" t="e">
            <v>#REF!</v>
          </cell>
        </row>
        <row r="741">
          <cell r="A741">
            <v>0</v>
          </cell>
          <cell r="B741">
            <v>0</v>
          </cell>
          <cell r="C741">
            <v>0</v>
          </cell>
          <cell r="D741">
            <v>10.6</v>
          </cell>
          <cell r="E741">
            <v>0</v>
          </cell>
          <cell r="F741">
            <v>0</v>
          </cell>
          <cell r="G741" t="e">
            <v>#REF!</v>
          </cell>
          <cell r="H741" t="e">
            <v>#REF!</v>
          </cell>
        </row>
        <row r="742">
          <cell r="A742">
            <v>0</v>
          </cell>
          <cell r="B742">
            <v>0</v>
          </cell>
          <cell r="C742">
            <v>0</v>
          </cell>
          <cell r="D742">
            <v>7.9</v>
          </cell>
          <cell r="E742">
            <v>0</v>
          </cell>
          <cell r="F742">
            <v>0</v>
          </cell>
          <cell r="G742" t="e">
            <v>#REF!</v>
          </cell>
          <cell r="H742" t="e">
            <v>#REF!</v>
          </cell>
        </row>
        <row r="743">
          <cell r="A743">
            <v>0</v>
          </cell>
          <cell r="B743">
            <v>0</v>
          </cell>
          <cell r="C743">
            <v>0</v>
          </cell>
          <cell r="D743">
            <v>5.9</v>
          </cell>
          <cell r="E743">
            <v>0</v>
          </cell>
          <cell r="F743">
            <v>0</v>
          </cell>
          <cell r="G743" t="e">
            <v>#REF!</v>
          </cell>
          <cell r="H743" t="e">
            <v>#REF!</v>
          </cell>
        </row>
        <row r="744">
          <cell r="A744">
            <v>0</v>
          </cell>
          <cell r="B744">
            <v>0</v>
          </cell>
          <cell r="C744">
            <v>0</v>
          </cell>
          <cell r="D744">
            <v>4.4000000000000004</v>
          </cell>
          <cell r="E744">
            <v>0</v>
          </cell>
          <cell r="F744">
            <v>0</v>
          </cell>
          <cell r="G744" t="e">
            <v>#REF!</v>
          </cell>
          <cell r="H744" t="e">
            <v>#REF!</v>
          </cell>
        </row>
        <row r="745">
          <cell r="A745">
            <v>0</v>
          </cell>
          <cell r="B745">
            <v>0</v>
          </cell>
          <cell r="C745">
            <v>0</v>
          </cell>
          <cell r="D745">
            <v>3.3</v>
          </cell>
          <cell r="E745">
            <v>0</v>
          </cell>
          <cell r="F745">
            <v>0</v>
          </cell>
          <cell r="G745" t="e">
            <v>#REF!</v>
          </cell>
          <cell r="H745" t="e">
            <v>#REF!</v>
          </cell>
        </row>
        <row r="746">
          <cell r="A746">
            <v>0</v>
          </cell>
          <cell r="B746">
            <v>0</v>
          </cell>
          <cell r="C746">
            <v>0</v>
          </cell>
          <cell r="D746">
            <v>2.4</v>
          </cell>
          <cell r="E746">
            <v>0</v>
          </cell>
          <cell r="F746">
            <v>0</v>
          </cell>
          <cell r="G746" t="e">
            <v>#REF!</v>
          </cell>
          <cell r="H746" t="e">
            <v>#REF!</v>
          </cell>
        </row>
        <row r="747">
          <cell r="A747">
            <v>0</v>
          </cell>
          <cell r="B747">
            <v>0</v>
          </cell>
          <cell r="C747">
            <v>0</v>
          </cell>
          <cell r="D747">
            <v>1.8</v>
          </cell>
          <cell r="E747">
            <v>0</v>
          </cell>
          <cell r="F747">
            <v>0</v>
          </cell>
          <cell r="G747" t="e">
            <v>#REF!</v>
          </cell>
          <cell r="H747" t="e">
            <v>#REF!</v>
          </cell>
        </row>
        <row r="748">
          <cell r="A748">
            <v>0</v>
          </cell>
          <cell r="B748">
            <v>0</v>
          </cell>
          <cell r="C748">
            <v>0</v>
          </cell>
          <cell r="D748">
            <v>1.3</v>
          </cell>
          <cell r="E748">
            <v>0</v>
          </cell>
          <cell r="F748">
            <v>0</v>
          </cell>
          <cell r="G748" t="e">
            <v>#REF!</v>
          </cell>
          <cell r="H748" t="e">
            <v>#REF!</v>
          </cell>
        </row>
        <row r="749">
          <cell r="A749">
            <v>0</v>
          </cell>
          <cell r="B749">
            <v>0</v>
          </cell>
          <cell r="C749">
            <v>0</v>
          </cell>
          <cell r="D749">
            <v>1</v>
          </cell>
          <cell r="E749">
            <v>0</v>
          </cell>
          <cell r="F749">
            <v>0</v>
          </cell>
          <cell r="G749" t="e">
            <v>#REF!</v>
          </cell>
          <cell r="H749" t="e">
            <v>#REF!</v>
          </cell>
        </row>
        <row r="750">
          <cell r="A750">
            <v>0</v>
          </cell>
          <cell r="B750">
            <v>0</v>
          </cell>
          <cell r="C750">
            <v>0</v>
          </cell>
          <cell r="D750">
            <v>1</v>
          </cell>
          <cell r="E750">
            <v>0</v>
          </cell>
          <cell r="F750">
            <v>0</v>
          </cell>
          <cell r="G750" t="e">
            <v>#REF!</v>
          </cell>
          <cell r="H750" t="e">
            <v>#REF!</v>
          </cell>
        </row>
        <row r="751">
          <cell r="A751">
            <v>0</v>
          </cell>
          <cell r="B751">
            <v>0</v>
          </cell>
          <cell r="C751">
            <v>0</v>
          </cell>
          <cell r="D751">
            <v>1</v>
          </cell>
          <cell r="E751">
            <v>0</v>
          </cell>
          <cell r="F751">
            <v>0</v>
          </cell>
          <cell r="G751" t="e">
            <v>#REF!</v>
          </cell>
          <cell r="H751" t="e">
            <v>#REF!</v>
          </cell>
        </row>
        <row r="752">
          <cell r="A752">
            <v>0</v>
          </cell>
          <cell r="B752">
            <v>0</v>
          </cell>
          <cell r="C752">
            <v>0</v>
          </cell>
          <cell r="E752">
            <v>0</v>
          </cell>
          <cell r="F752">
            <v>0</v>
          </cell>
          <cell r="G752">
            <v>0</v>
          </cell>
        </row>
        <row r="753">
          <cell r="A753" t="str">
            <v>CJ</v>
          </cell>
          <cell r="B753" t="e">
            <v>#N/A</v>
          </cell>
          <cell r="C753" t="e">
            <v>#N/A</v>
          </cell>
          <cell r="D753">
            <v>11.3</v>
          </cell>
          <cell r="E753" t="e">
            <v>#REF!</v>
          </cell>
          <cell r="F753" t="e">
            <v>#REF!</v>
          </cell>
          <cell r="G753" t="e">
            <v>#REF!</v>
          </cell>
          <cell r="H753" t="e">
            <v>#REF!</v>
          </cell>
          <cell r="I753" t="e">
            <v>#REF!</v>
          </cell>
        </row>
        <row r="754">
          <cell r="A754">
            <v>0</v>
          </cell>
          <cell r="B754">
            <v>0</v>
          </cell>
          <cell r="C754">
            <v>0</v>
          </cell>
          <cell r="D754">
            <v>28.6</v>
          </cell>
          <cell r="E754">
            <v>0</v>
          </cell>
          <cell r="F754">
            <v>0</v>
          </cell>
          <cell r="G754" t="e">
            <v>#REF!</v>
          </cell>
          <cell r="H754" t="e">
            <v>#REF!</v>
          </cell>
        </row>
        <row r="755">
          <cell r="A755">
            <v>0</v>
          </cell>
          <cell r="B755">
            <v>0</v>
          </cell>
          <cell r="C755">
            <v>0</v>
          </cell>
          <cell r="D755">
            <v>22.7</v>
          </cell>
          <cell r="E755">
            <v>0</v>
          </cell>
          <cell r="F755">
            <v>0</v>
          </cell>
          <cell r="G755" t="e">
            <v>#REF!</v>
          </cell>
          <cell r="H755" t="e">
            <v>#REF!</v>
          </cell>
        </row>
        <row r="756">
          <cell r="A756">
            <v>0</v>
          </cell>
          <cell r="B756">
            <v>0</v>
          </cell>
          <cell r="C756">
            <v>0</v>
          </cell>
          <cell r="D756">
            <v>18</v>
          </cell>
          <cell r="E756">
            <v>0</v>
          </cell>
          <cell r="F756">
            <v>0</v>
          </cell>
          <cell r="G756" t="e">
            <v>#REF!</v>
          </cell>
          <cell r="H756" t="e">
            <v>#REF!</v>
          </cell>
        </row>
        <row r="757">
          <cell r="A757">
            <v>0</v>
          </cell>
          <cell r="B757">
            <v>0</v>
          </cell>
          <cell r="C757">
            <v>0</v>
          </cell>
          <cell r="D757">
            <v>14.3</v>
          </cell>
          <cell r="E757">
            <v>0</v>
          </cell>
          <cell r="F757">
            <v>0</v>
          </cell>
          <cell r="G757" t="e">
            <v>#REF!</v>
          </cell>
          <cell r="H757" t="e">
            <v>#REF!</v>
          </cell>
        </row>
        <row r="758">
          <cell r="A758">
            <v>0</v>
          </cell>
          <cell r="B758">
            <v>0</v>
          </cell>
          <cell r="C758">
            <v>0</v>
          </cell>
          <cell r="D758">
            <v>10.6</v>
          </cell>
          <cell r="E758">
            <v>0</v>
          </cell>
          <cell r="F758">
            <v>0</v>
          </cell>
          <cell r="G758" t="e">
            <v>#REF!</v>
          </cell>
          <cell r="H758" t="e">
            <v>#REF!</v>
          </cell>
        </row>
        <row r="759">
          <cell r="A759">
            <v>0</v>
          </cell>
          <cell r="B759">
            <v>0</v>
          </cell>
          <cell r="C759">
            <v>0</v>
          </cell>
          <cell r="D759">
            <v>7.9</v>
          </cell>
          <cell r="E759">
            <v>0</v>
          </cell>
          <cell r="F759">
            <v>0</v>
          </cell>
          <cell r="G759" t="e">
            <v>#REF!</v>
          </cell>
          <cell r="H759" t="e">
            <v>#REF!</v>
          </cell>
        </row>
        <row r="760">
          <cell r="A760">
            <v>0</v>
          </cell>
          <cell r="B760">
            <v>0</v>
          </cell>
          <cell r="C760">
            <v>0</v>
          </cell>
          <cell r="D760">
            <v>5.9</v>
          </cell>
          <cell r="E760">
            <v>0</v>
          </cell>
          <cell r="F760">
            <v>0</v>
          </cell>
          <cell r="G760" t="e">
            <v>#REF!</v>
          </cell>
          <cell r="H760" t="e">
            <v>#REF!</v>
          </cell>
        </row>
        <row r="761">
          <cell r="A761">
            <v>0</v>
          </cell>
          <cell r="B761">
            <v>0</v>
          </cell>
          <cell r="C761">
            <v>0</v>
          </cell>
          <cell r="D761">
            <v>4.4000000000000004</v>
          </cell>
          <cell r="E761">
            <v>0</v>
          </cell>
          <cell r="F761">
            <v>0</v>
          </cell>
          <cell r="G761" t="e">
            <v>#REF!</v>
          </cell>
          <cell r="H761" t="e">
            <v>#REF!</v>
          </cell>
        </row>
        <row r="762">
          <cell r="A762">
            <v>0</v>
          </cell>
          <cell r="B762">
            <v>0</v>
          </cell>
          <cell r="C762">
            <v>0</v>
          </cell>
          <cell r="D762">
            <v>3.3</v>
          </cell>
          <cell r="E762">
            <v>0</v>
          </cell>
          <cell r="F762">
            <v>0</v>
          </cell>
          <cell r="G762" t="e">
            <v>#REF!</v>
          </cell>
          <cell r="H762" t="e">
            <v>#REF!</v>
          </cell>
        </row>
        <row r="763">
          <cell r="A763">
            <v>0</v>
          </cell>
          <cell r="B763">
            <v>0</v>
          </cell>
          <cell r="C763">
            <v>0</v>
          </cell>
          <cell r="D763">
            <v>2.4</v>
          </cell>
          <cell r="E763">
            <v>0</v>
          </cell>
          <cell r="F763">
            <v>0</v>
          </cell>
          <cell r="G763" t="e">
            <v>#REF!</v>
          </cell>
          <cell r="H763" t="e">
            <v>#REF!</v>
          </cell>
        </row>
        <row r="764">
          <cell r="A764">
            <v>0</v>
          </cell>
          <cell r="B764">
            <v>0</v>
          </cell>
          <cell r="C764">
            <v>0</v>
          </cell>
          <cell r="D764">
            <v>1.8</v>
          </cell>
          <cell r="E764">
            <v>0</v>
          </cell>
          <cell r="F764">
            <v>0</v>
          </cell>
          <cell r="G764" t="e">
            <v>#REF!</v>
          </cell>
          <cell r="H764" t="e">
            <v>#REF!</v>
          </cell>
        </row>
        <row r="765">
          <cell r="A765">
            <v>0</v>
          </cell>
          <cell r="B765">
            <v>0</v>
          </cell>
          <cell r="C765">
            <v>0</v>
          </cell>
          <cell r="D765">
            <v>1.3</v>
          </cell>
          <cell r="E765">
            <v>0</v>
          </cell>
          <cell r="F765">
            <v>0</v>
          </cell>
          <cell r="G765" t="e">
            <v>#REF!</v>
          </cell>
          <cell r="H765" t="e">
            <v>#REF!</v>
          </cell>
        </row>
        <row r="766">
          <cell r="A766">
            <v>0</v>
          </cell>
          <cell r="B766">
            <v>0</v>
          </cell>
          <cell r="C766">
            <v>0</v>
          </cell>
          <cell r="D766">
            <v>1</v>
          </cell>
          <cell r="E766">
            <v>0</v>
          </cell>
          <cell r="F766">
            <v>0</v>
          </cell>
          <cell r="G766" t="e">
            <v>#REF!</v>
          </cell>
          <cell r="H766" t="e">
            <v>#REF!</v>
          </cell>
        </row>
        <row r="767">
          <cell r="A767">
            <v>0</v>
          </cell>
          <cell r="B767">
            <v>0</v>
          </cell>
          <cell r="C767">
            <v>0</v>
          </cell>
          <cell r="D767">
            <v>1</v>
          </cell>
          <cell r="E767">
            <v>0</v>
          </cell>
          <cell r="F767">
            <v>0</v>
          </cell>
          <cell r="G767" t="e">
            <v>#REF!</v>
          </cell>
          <cell r="H767" t="e">
            <v>#REF!</v>
          </cell>
        </row>
        <row r="768">
          <cell r="A768">
            <v>0</v>
          </cell>
          <cell r="B768">
            <v>0</v>
          </cell>
          <cell r="C768">
            <v>0</v>
          </cell>
          <cell r="D768">
            <v>1</v>
          </cell>
          <cell r="E768">
            <v>0</v>
          </cell>
          <cell r="F768">
            <v>0</v>
          </cell>
          <cell r="G768" t="e">
            <v>#REF!</v>
          </cell>
          <cell r="H768" t="e">
            <v>#REF!</v>
          </cell>
        </row>
        <row r="769">
          <cell r="A769">
            <v>0</v>
          </cell>
          <cell r="B769">
            <v>0</v>
          </cell>
          <cell r="C769">
            <v>0</v>
          </cell>
          <cell r="E769">
            <v>0</v>
          </cell>
          <cell r="F769">
            <v>0</v>
          </cell>
          <cell r="G769">
            <v>0</v>
          </cell>
        </row>
        <row r="770">
          <cell r="A770" t="str">
            <v>CK</v>
          </cell>
          <cell r="B770" t="e">
            <v>#N/A</v>
          </cell>
          <cell r="C770" t="e">
            <v>#N/A</v>
          </cell>
          <cell r="D770">
            <v>11.3</v>
          </cell>
          <cell r="E770" t="e">
            <v>#REF!</v>
          </cell>
          <cell r="F770" t="e">
            <v>#REF!</v>
          </cell>
          <cell r="G770" t="e">
            <v>#REF!</v>
          </cell>
          <cell r="H770" t="e">
            <v>#REF!</v>
          </cell>
          <cell r="I770" t="e">
            <v>#REF!</v>
          </cell>
        </row>
        <row r="771">
          <cell r="A771">
            <v>0</v>
          </cell>
          <cell r="B771">
            <v>0</v>
          </cell>
          <cell r="C771">
            <v>0</v>
          </cell>
          <cell r="D771">
            <v>28.6</v>
          </cell>
          <cell r="E771">
            <v>0</v>
          </cell>
          <cell r="F771">
            <v>0</v>
          </cell>
          <cell r="G771" t="e">
            <v>#REF!</v>
          </cell>
          <cell r="H771" t="e">
            <v>#REF!</v>
          </cell>
        </row>
        <row r="772">
          <cell r="A772">
            <v>0</v>
          </cell>
          <cell r="B772">
            <v>0</v>
          </cell>
          <cell r="C772">
            <v>0</v>
          </cell>
          <cell r="D772">
            <v>22.7</v>
          </cell>
          <cell r="E772">
            <v>0</v>
          </cell>
          <cell r="F772">
            <v>0</v>
          </cell>
          <cell r="G772" t="e">
            <v>#REF!</v>
          </cell>
          <cell r="H772" t="e">
            <v>#REF!</v>
          </cell>
        </row>
        <row r="773">
          <cell r="A773">
            <v>0</v>
          </cell>
          <cell r="B773">
            <v>0</v>
          </cell>
          <cell r="C773">
            <v>0</v>
          </cell>
          <cell r="D773">
            <v>18</v>
          </cell>
          <cell r="E773">
            <v>0</v>
          </cell>
          <cell r="F773">
            <v>0</v>
          </cell>
          <cell r="G773" t="e">
            <v>#REF!</v>
          </cell>
          <cell r="H773" t="e">
            <v>#REF!</v>
          </cell>
        </row>
        <row r="774">
          <cell r="A774">
            <v>0</v>
          </cell>
          <cell r="B774">
            <v>0</v>
          </cell>
          <cell r="C774">
            <v>0</v>
          </cell>
          <cell r="D774">
            <v>14.3</v>
          </cell>
          <cell r="E774">
            <v>0</v>
          </cell>
          <cell r="F774">
            <v>0</v>
          </cell>
          <cell r="G774" t="e">
            <v>#REF!</v>
          </cell>
          <cell r="H774" t="e">
            <v>#REF!</v>
          </cell>
        </row>
        <row r="775">
          <cell r="A775">
            <v>0</v>
          </cell>
          <cell r="B775">
            <v>0</v>
          </cell>
          <cell r="C775">
            <v>0</v>
          </cell>
          <cell r="D775">
            <v>10.6</v>
          </cell>
          <cell r="E775">
            <v>0</v>
          </cell>
          <cell r="F775">
            <v>0</v>
          </cell>
          <cell r="G775" t="e">
            <v>#REF!</v>
          </cell>
          <cell r="H775" t="e">
            <v>#REF!</v>
          </cell>
        </row>
        <row r="776">
          <cell r="A776">
            <v>0</v>
          </cell>
          <cell r="B776">
            <v>0</v>
          </cell>
          <cell r="C776">
            <v>0</v>
          </cell>
          <cell r="D776">
            <v>7.9</v>
          </cell>
          <cell r="E776">
            <v>0</v>
          </cell>
          <cell r="F776">
            <v>0</v>
          </cell>
          <cell r="G776" t="e">
            <v>#REF!</v>
          </cell>
          <cell r="H776" t="e">
            <v>#REF!</v>
          </cell>
        </row>
        <row r="777">
          <cell r="A777">
            <v>0</v>
          </cell>
          <cell r="B777">
            <v>0</v>
          </cell>
          <cell r="C777">
            <v>0</v>
          </cell>
          <cell r="D777">
            <v>5.9</v>
          </cell>
          <cell r="E777">
            <v>0</v>
          </cell>
          <cell r="F777">
            <v>0</v>
          </cell>
          <cell r="G777" t="e">
            <v>#REF!</v>
          </cell>
          <cell r="H777" t="e">
            <v>#REF!</v>
          </cell>
        </row>
        <row r="778">
          <cell r="A778">
            <v>0</v>
          </cell>
          <cell r="B778">
            <v>0</v>
          </cell>
          <cell r="C778">
            <v>0</v>
          </cell>
          <cell r="D778">
            <v>4.4000000000000004</v>
          </cell>
          <cell r="E778">
            <v>0</v>
          </cell>
          <cell r="F778">
            <v>0</v>
          </cell>
          <cell r="G778" t="e">
            <v>#REF!</v>
          </cell>
          <cell r="H778" t="e">
            <v>#REF!</v>
          </cell>
        </row>
        <row r="779">
          <cell r="A779">
            <v>0</v>
          </cell>
          <cell r="B779">
            <v>0</v>
          </cell>
          <cell r="C779">
            <v>0</v>
          </cell>
          <cell r="D779">
            <v>3.3</v>
          </cell>
          <cell r="E779">
            <v>0</v>
          </cell>
          <cell r="F779">
            <v>0</v>
          </cell>
          <cell r="G779" t="e">
            <v>#REF!</v>
          </cell>
          <cell r="H779" t="e">
            <v>#REF!</v>
          </cell>
        </row>
        <row r="780">
          <cell r="A780">
            <v>0</v>
          </cell>
          <cell r="B780">
            <v>0</v>
          </cell>
          <cell r="C780">
            <v>0</v>
          </cell>
          <cell r="D780">
            <v>2.4</v>
          </cell>
          <cell r="E780">
            <v>0</v>
          </cell>
          <cell r="F780">
            <v>0</v>
          </cell>
          <cell r="G780" t="e">
            <v>#REF!</v>
          </cell>
          <cell r="H780" t="e">
            <v>#REF!</v>
          </cell>
        </row>
        <row r="781">
          <cell r="A781">
            <v>0</v>
          </cell>
          <cell r="B781">
            <v>0</v>
          </cell>
          <cell r="C781">
            <v>0</v>
          </cell>
          <cell r="D781">
            <v>1.8</v>
          </cell>
          <cell r="E781">
            <v>0</v>
          </cell>
          <cell r="F781">
            <v>0</v>
          </cell>
          <cell r="G781" t="e">
            <v>#REF!</v>
          </cell>
          <cell r="H781" t="e">
            <v>#REF!</v>
          </cell>
        </row>
        <row r="782">
          <cell r="A782">
            <v>0</v>
          </cell>
          <cell r="B782">
            <v>0</v>
          </cell>
          <cell r="C782">
            <v>0</v>
          </cell>
          <cell r="D782">
            <v>1.3</v>
          </cell>
          <cell r="E782">
            <v>0</v>
          </cell>
          <cell r="F782">
            <v>0</v>
          </cell>
          <cell r="G782" t="e">
            <v>#REF!</v>
          </cell>
          <cell r="H782" t="e">
            <v>#REF!</v>
          </cell>
        </row>
        <row r="783">
          <cell r="A783">
            <v>0</v>
          </cell>
          <cell r="B783">
            <v>0</v>
          </cell>
          <cell r="C783">
            <v>0</v>
          </cell>
          <cell r="D783">
            <v>1</v>
          </cell>
          <cell r="E783">
            <v>0</v>
          </cell>
          <cell r="F783">
            <v>0</v>
          </cell>
          <cell r="G783" t="e">
            <v>#REF!</v>
          </cell>
          <cell r="H783" t="e">
            <v>#REF!</v>
          </cell>
        </row>
        <row r="784">
          <cell r="A784">
            <v>0</v>
          </cell>
          <cell r="B784">
            <v>0</v>
          </cell>
          <cell r="C784">
            <v>0</v>
          </cell>
          <cell r="D784">
            <v>1</v>
          </cell>
          <cell r="E784">
            <v>0</v>
          </cell>
          <cell r="F784">
            <v>0</v>
          </cell>
          <cell r="G784" t="e">
            <v>#REF!</v>
          </cell>
          <cell r="H784" t="e">
            <v>#REF!</v>
          </cell>
        </row>
        <row r="785">
          <cell r="A785">
            <v>0</v>
          </cell>
          <cell r="B785">
            <v>0</v>
          </cell>
          <cell r="C785">
            <v>0</v>
          </cell>
          <cell r="D785">
            <v>1</v>
          </cell>
          <cell r="E785">
            <v>0</v>
          </cell>
          <cell r="F785">
            <v>0</v>
          </cell>
          <cell r="G785" t="e">
            <v>#REF!</v>
          </cell>
          <cell r="H785" t="e">
            <v>#REF!</v>
          </cell>
        </row>
        <row r="786">
          <cell r="A786">
            <v>0</v>
          </cell>
          <cell r="B786">
            <v>0</v>
          </cell>
          <cell r="C786">
            <v>0</v>
          </cell>
          <cell r="E786">
            <v>0</v>
          </cell>
          <cell r="F786">
            <v>0</v>
          </cell>
          <cell r="G786">
            <v>0</v>
          </cell>
        </row>
        <row r="787">
          <cell r="A787" t="str">
            <v>CL</v>
          </cell>
          <cell r="B787" t="e">
            <v>#N/A</v>
          </cell>
          <cell r="C787" t="e">
            <v>#N/A</v>
          </cell>
          <cell r="D787">
            <v>11.3</v>
          </cell>
          <cell r="E787" t="e">
            <v>#REF!</v>
          </cell>
          <cell r="F787" t="e">
            <v>#REF!</v>
          </cell>
          <cell r="G787" t="e">
            <v>#REF!</v>
          </cell>
          <cell r="H787" t="e">
            <v>#REF!</v>
          </cell>
          <cell r="I787" t="e">
            <v>#REF!</v>
          </cell>
        </row>
        <row r="788">
          <cell r="A788">
            <v>0</v>
          </cell>
          <cell r="B788">
            <v>0</v>
          </cell>
          <cell r="C788">
            <v>0</v>
          </cell>
          <cell r="D788">
            <v>28.6</v>
          </cell>
          <cell r="E788">
            <v>0</v>
          </cell>
          <cell r="F788">
            <v>0</v>
          </cell>
          <cell r="G788" t="e">
            <v>#REF!</v>
          </cell>
          <cell r="H788" t="e">
            <v>#REF!</v>
          </cell>
        </row>
        <row r="789">
          <cell r="A789">
            <v>0</v>
          </cell>
          <cell r="B789">
            <v>0</v>
          </cell>
          <cell r="C789">
            <v>0</v>
          </cell>
          <cell r="D789">
            <v>22.7</v>
          </cell>
          <cell r="E789">
            <v>0</v>
          </cell>
          <cell r="F789">
            <v>0</v>
          </cell>
          <cell r="G789" t="e">
            <v>#REF!</v>
          </cell>
          <cell r="H789" t="e">
            <v>#REF!</v>
          </cell>
        </row>
        <row r="790">
          <cell r="A790">
            <v>0</v>
          </cell>
          <cell r="B790">
            <v>0</v>
          </cell>
          <cell r="C790">
            <v>0</v>
          </cell>
          <cell r="D790">
            <v>18</v>
          </cell>
          <cell r="E790">
            <v>0</v>
          </cell>
          <cell r="F790">
            <v>0</v>
          </cell>
          <cell r="G790" t="e">
            <v>#REF!</v>
          </cell>
          <cell r="H790" t="e">
            <v>#REF!</v>
          </cell>
        </row>
        <row r="791">
          <cell r="A791">
            <v>0</v>
          </cell>
          <cell r="B791">
            <v>0</v>
          </cell>
          <cell r="C791">
            <v>0</v>
          </cell>
          <cell r="D791">
            <v>14.3</v>
          </cell>
          <cell r="E791">
            <v>0</v>
          </cell>
          <cell r="F791">
            <v>0</v>
          </cell>
          <cell r="G791" t="e">
            <v>#REF!</v>
          </cell>
          <cell r="H791" t="e">
            <v>#REF!</v>
          </cell>
        </row>
        <row r="792">
          <cell r="A792">
            <v>0</v>
          </cell>
          <cell r="B792">
            <v>0</v>
          </cell>
          <cell r="C792">
            <v>0</v>
          </cell>
          <cell r="D792">
            <v>10.6</v>
          </cell>
          <cell r="E792">
            <v>0</v>
          </cell>
          <cell r="F792">
            <v>0</v>
          </cell>
          <cell r="G792" t="e">
            <v>#REF!</v>
          </cell>
          <cell r="H792" t="e">
            <v>#REF!</v>
          </cell>
        </row>
        <row r="793">
          <cell r="A793">
            <v>0</v>
          </cell>
          <cell r="B793">
            <v>0</v>
          </cell>
          <cell r="C793">
            <v>0</v>
          </cell>
          <cell r="D793">
            <v>7.9</v>
          </cell>
          <cell r="E793">
            <v>0</v>
          </cell>
          <cell r="F793">
            <v>0</v>
          </cell>
          <cell r="G793" t="e">
            <v>#REF!</v>
          </cell>
          <cell r="H793" t="e">
            <v>#REF!</v>
          </cell>
        </row>
        <row r="794">
          <cell r="A794">
            <v>0</v>
          </cell>
          <cell r="B794">
            <v>0</v>
          </cell>
          <cell r="C794">
            <v>0</v>
          </cell>
          <cell r="D794">
            <v>5.9</v>
          </cell>
          <cell r="E794">
            <v>0</v>
          </cell>
          <cell r="F794">
            <v>0</v>
          </cell>
          <cell r="G794" t="e">
            <v>#REF!</v>
          </cell>
          <cell r="H794" t="e">
            <v>#REF!</v>
          </cell>
        </row>
        <row r="795">
          <cell r="A795">
            <v>0</v>
          </cell>
          <cell r="B795">
            <v>0</v>
          </cell>
          <cell r="C795">
            <v>0</v>
          </cell>
          <cell r="D795">
            <v>4.4000000000000004</v>
          </cell>
          <cell r="E795">
            <v>0</v>
          </cell>
          <cell r="F795">
            <v>0</v>
          </cell>
          <cell r="G795" t="e">
            <v>#REF!</v>
          </cell>
          <cell r="H795" t="e">
            <v>#REF!</v>
          </cell>
        </row>
        <row r="796">
          <cell r="A796">
            <v>0</v>
          </cell>
          <cell r="B796">
            <v>0</v>
          </cell>
          <cell r="C796">
            <v>0</v>
          </cell>
          <cell r="D796">
            <v>3.3</v>
          </cell>
          <cell r="E796">
            <v>0</v>
          </cell>
          <cell r="F796">
            <v>0</v>
          </cell>
          <cell r="G796" t="e">
            <v>#REF!</v>
          </cell>
          <cell r="H796" t="e">
            <v>#REF!</v>
          </cell>
        </row>
        <row r="797">
          <cell r="A797">
            <v>0</v>
          </cell>
          <cell r="B797">
            <v>0</v>
          </cell>
          <cell r="C797">
            <v>0</v>
          </cell>
          <cell r="D797">
            <v>2.4</v>
          </cell>
          <cell r="E797">
            <v>0</v>
          </cell>
          <cell r="F797">
            <v>0</v>
          </cell>
          <cell r="G797" t="e">
            <v>#REF!</v>
          </cell>
          <cell r="H797" t="e">
            <v>#REF!</v>
          </cell>
        </row>
        <row r="798">
          <cell r="A798">
            <v>0</v>
          </cell>
          <cell r="B798">
            <v>0</v>
          </cell>
          <cell r="C798">
            <v>0</v>
          </cell>
          <cell r="D798">
            <v>1.8</v>
          </cell>
          <cell r="E798">
            <v>0</v>
          </cell>
          <cell r="F798">
            <v>0</v>
          </cell>
          <cell r="G798" t="e">
            <v>#REF!</v>
          </cell>
          <cell r="H798" t="e">
            <v>#REF!</v>
          </cell>
        </row>
        <row r="799">
          <cell r="A799">
            <v>0</v>
          </cell>
          <cell r="B799">
            <v>0</v>
          </cell>
          <cell r="C799">
            <v>0</v>
          </cell>
          <cell r="D799">
            <v>1.3</v>
          </cell>
          <cell r="E799">
            <v>0</v>
          </cell>
          <cell r="F799">
            <v>0</v>
          </cell>
          <cell r="G799" t="e">
            <v>#REF!</v>
          </cell>
          <cell r="H799" t="e">
            <v>#REF!</v>
          </cell>
        </row>
        <row r="800">
          <cell r="A800">
            <v>0</v>
          </cell>
          <cell r="B800">
            <v>0</v>
          </cell>
          <cell r="C800">
            <v>0</v>
          </cell>
          <cell r="D800">
            <v>1</v>
          </cell>
          <cell r="E800">
            <v>0</v>
          </cell>
          <cell r="F800">
            <v>0</v>
          </cell>
          <cell r="G800" t="e">
            <v>#REF!</v>
          </cell>
          <cell r="H800" t="e">
            <v>#REF!</v>
          </cell>
        </row>
        <row r="801">
          <cell r="A801">
            <v>0</v>
          </cell>
          <cell r="B801">
            <v>0</v>
          </cell>
          <cell r="C801">
            <v>0</v>
          </cell>
          <cell r="D801">
            <v>1</v>
          </cell>
          <cell r="E801">
            <v>0</v>
          </cell>
          <cell r="F801">
            <v>0</v>
          </cell>
          <cell r="G801" t="e">
            <v>#REF!</v>
          </cell>
          <cell r="H801" t="e">
            <v>#REF!</v>
          </cell>
        </row>
        <row r="802">
          <cell r="A802">
            <v>0</v>
          </cell>
          <cell r="B802">
            <v>0</v>
          </cell>
          <cell r="C802">
            <v>0</v>
          </cell>
          <cell r="D802">
            <v>1</v>
          </cell>
          <cell r="E802">
            <v>0</v>
          </cell>
          <cell r="F802">
            <v>0</v>
          </cell>
          <cell r="G802" t="e">
            <v>#REF!</v>
          </cell>
          <cell r="H802" t="e">
            <v>#REF!</v>
          </cell>
        </row>
        <row r="803">
          <cell r="A803">
            <v>0</v>
          </cell>
          <cell r="B803">
            <v>0</v>
          </cell>
          <cell r="C803">
            <v>0</v>
          </cell>
          <cell r="E803">
            <v>0</v>
          </cell>
          <cell r="F803">
            <v>0</v>
          </cell>
          <cell r="G803">
            <v>0</v>
          </cell>
        </row>
        <row r="804">
          <cell r="A804" t="str">
            <v>CM</v>
          </cell>
          <cell r="B804" t="e">
            <v>#N/A</v>
          </cell>
          <cell r="C804" t="e">
            <v>#N/A</v>
          </cell>
          <cell r="D804">
            <v>11.3</v>
          </cell>
          <cell r="E804" t="e">
            <v>#REF!</v>
          </cell>
          <cell r="F804" t="e">
            <v>#REF!</v>
          </cell>
          <cell r="G804" t="e">
            <v>#REF!</v>
          </cell>
          <cell r="H804" t="e">
            <v>#REF!</v>
          </cell>
          <cell r="I804" t="e">
            <v>#REF!</v>
          </cell>
        </row>
        <row r="805">
          <cell r="A805">
            <v>0</v>
          </cell>
          <cell r="B805">
            <v>0</v>
          </cell>
          <cell r="C805">
            <v>0</v>
          </cell>
          <cell r="D805">
            <v>28.6</v>
          </cell>
          <cell r="E805">
            <v>0</v>
          </cell>
          <cell r="F805">
            <v>0</v>
          </cell>
          <cell r="G805" t="e">
            <v>#REF!</v>
          </cell>
          <cell r="H805" t="e">
            <v>#REF!</v>
          </cell>
        </row>
        <row r="806">
          <cell r="A806">
            <v>0</v>
          </cell>
          <cell r="B806">
            <v>0</v>
          </cell>
          <cell r="C806">
            <v>0</v>
          </cell>
          <cell r="D806">
            <v>22.7</v>
          </cell>
          <cell r="E806">
            <v>0</v>
          </cell>
          <cell r="F806">
            <v>0</v>
          </cell>
          <cell r="G806" t="e">
            <v>#REF!</v>
          </cell>
          <cell r="H806" t="e">
            <v>#REF!</v>
          </cell>
        </row>
        <row r="807">
          <cell r="A807">
            <v>0</v>
          </cell>
          <cell r="B807">
            <v>0</v>
          </cell>
          <cell r="C807">
            <v>0</v>
          </cell>
          <cell r="D807">
            <v>18</v>
          </cell>
          <cell r="E807">
            <v>0</v>
          </cell>
          <cell r="F807">
            <v>0</v>
          </cell>
          <cell r="G807" t="e">
            <v>#REF!</v>
          </cell>
          <cell r="H807" t="e">
            <v>#REF!</v>
          </cell>
        </row>
        <row r="808">
          <cell r="A808">
            <v>0</v>
          </cell>
          <cell r="B808">
            <v>0</v>
          </cell>
          <cell r="C808">
            <v>0</v>
          </cell>
          <cell r="D808">
            <v>14.3</v>
          </cell>
          <cell r="E808">
            <v>0</v>
          </cell>
          <cell r="F808">
            <v>0</v>
          </cell>
          <cell r="G808" t="e">
            <v>#REF!</v>
          </cell>
          <cell r="H808" t="e">
            <v>#REF!</v>
          </cell>
        </row>
        <row r="809">
          <cell r="A809">
            <v>0</v>
          </cell>
          <cell r="B809">
            <v>0</v>
          </cell>
          <cell r="C809">
            <v>0</v>
          </cell>
          <cell r="D809">
            <v>10.6</v>
          </cell>
          <cell r="E809">
            <v>0</v>
          </cell>
          <cell r="F809">
            <v>0</v>
          </cell>
          <cell r="G809" t="e">
            <v>#REF!</v>
          </cell>
          <cell r="H809" t="e">
            <v>#REF!</v>
          </cell>
        </row>
        <row r="810">
          <cell r="A810">
            <v>0</v>
          </cell>
          <cell r="B810">
            <v>0</v>
          </cell>
          <cell r="C810">
            <v>0</v>
          </cell>
          <cell r="D810">
            <v>7.9</v>
          </cell>
          <cell r="E810">
            <v>0</v>
          </cell>
          <cell r="F810">
            <v>0</v>
          </cell>
          <cell r="G810" t="e">
            <v>#REF!</v>
          </cell>
          <cell r="H810" t="e">
            <v>#REF!</v>
          </cell>
        </row>
        <row r="811">
          <cell r="A811">
            <v>0</v>
          </cell>
          <cell r="B811">
            <v>0</v>
          </cell>
          <cell r="C811">
            <v>0</v>
          </cell>
          <cell r="D811">
            <v>5.9</v>
          </cell>
          <cell r="E811">
            <v>0</v>
          </cell>
          <cell r="F811">
            <v>0</v>
          </cell>
          <cell r="G811" t="e">
            <v>#REF!</v>
          </cell>
          <cell r="H811" t="e">
            <v>#REF!</v>
          </cell>
        </row>
        <row r="812">
          <cell r="A812">
            <v>0</v>
          </cell>
          <cell r="B812">
            <v>0</v>
          </cell>
          <cell r="C812">
            <v>0</v>
          </cell>
          <cell r="D812">
            <v>4.4000000000000004</v>
          </cell>
          <cell r="E812">
            <v>0</v>
          </cell>
          <cell r="F812">
            <v>0</v>
          </cell>
          <cell r="G812" t="e">
            <v>#REF!</v>
          </cell>
          <cell r="H812" t="e">
            <v>#REF!</v>
          </cell>
        </row>
        <row r="813">
          <cell r="A813">
            <v>0</v>
          </cell>
          <cell r="B813">
            <v>0</v>
          </cell>
          <cell r="C813">
            <v>0</v>
          </cell>
          <cell r="D813">
            <v>3.3</v>
          </cell>
          <cell r="E813">
            <v>0</v>
          </cell>
          <cell r="F813">
            <v>0</v>
          </cell>
          <cell r="G813" t="e">
            <v>#REF!</v>
          </cell>
          <cell r="H813" t="e">
            <v>#REF!</v>
          </cell>
        </row>
        <row r="814">
          <cell r="A814">
            <v>0</v>
          </cell>
          <cell r="B814">
            <v>0</v>
          </cell>
          <cell r="C814">
            <v>0</v>
          </cell>
          <cell r="D814">
            <v>2.4</v>
          </cell>
          <cell r="E814">
            <v>0</v>
          </cell>
          <cell r="F814">
            <v>0</v>
          </cell>
          <cell r="G814" t="e">
            <v>#REF!</v>
          </cell>
          <cell r="H814" t="e">
            <v>#REF!</v>
          </cell>
        </row>
        <row r="815">
          <cell r="A815">
            <v>0</v>
          </cell>
          <cell r="B815">
            <v>0</v>
          </cell>
          <cell r="C815">
            <v>0</v>
          </cell>
          <cell r="D815">
            <v>1.8</v>
          </cell>
          <cell r="E815">
            <v>0</v>
          </cell>
          <cell r="F815">
            <v>0</v>
          </cell>
          <cell r="G815" t="e">
            <v>#REF!</v>
          </cell>
          <cell r="H815" t="e">
            <v>#REF!</v>
          </cell>
        </row>
        <row r="816">
          <cell r="A816">
            <v>0</v>
          </cell>
          <cell r="B816">
            <v>0</v>
          </cell>
          <cell r="C816">
            <v>0</v>
          </cell>
          <cell r="D816">
            <v>1.3</v>
          </cell>
          <cell r="E816">
            <v>0</v>
          </cell>
          <cell r="F816">
            <v>0</v>
          </cell>
          <cell r="G816" t="e">
            <v>#REF!</v>
          </cell>
          <cell r="H816" t="e">
            <v>#REF!</v>
          </cell>
        </row>
        <row r="817">
          <cell r="A817">
            <v>0</v>
          </cell>
          <cell r="B817">
            <v>0</v>
          </cell>
          <cell r="C817">
            <v>0</v>
          </cell>
          <cell r="D817">
            <v>1</v>
          </cell>
          <cell r="E817">
            <v>0</v>
          </cell>
          <cell r="F817">
            <v>0</v>
          </cell>
          <cell r="G817" t="e">
            <v>#REF!</v>
          </cell>
          <cell r="H817" t="e">
            <v>#REF!</v>
          </cell>
        </row>
        <row r="818">
          <cell r="A818">
            <v>0</v>
          </cell>
          <cell r="B818">
            <v>0</v>
          </cell>
          <cell r="C818">
            <v>0</v>
          </cell>
          <cell r="D818">
            <v>1</v>
          </cell>
          <cell r="E818">
            <v>0</v>
          </cell>
          <cell r="F818">
            <v>0</v>
          </cell>
          <cell r="G818" t="e">
            <v>#REF!</v>
          </cell>
          <cell r="H818" t="e">
            <v>#REF!</v>
          </cell>
        </row>
        <row r="819">
          <cell r="A819">
            <v>0</v>
          </cell>
          <cell r="B819">
            <v>0</v>
          </cell>
          <cell r="C819">
            <v>0</v>
          </cell>
          <cell r="D819">
            <v>1</v>
          </cell>
          <cell r="E819">
            <v>0</v>
          </cell>
          <cell r="F819">
            <v>0</v>
          </cell>
          <cell r="G819" t="e">
            <v>#REF!</v>
          </cell>
          <cell r="H819" t="e">
            <v>#REF!</v>
          </cell>
        </row>
        <row r="820">
          <cell r="A820">
            <v>0</v>
          </cell>
          <cell r="B820">
            <v>0</v>
          </cell>
          <cell r="C820">
            <v>0</v>
          </cell>
          <cell r="E820">
            <v>0</v>
          </cell>
          <cell r="F820">
            <v>0</v>
          </cell>
          <cell r="G820">
            <v>0</v>
          </cell>
        </row>
        <row r="821">
          <cell r="A821" t="str">
            <v>CN</v>
          </cell>
          <cell r="B821" t="e">
            <v>#N/A</v>
          </cell>
          <cell r="C821" t="e">
            <v>#N/A</v>
          </cell>
          <cell r="D821">
            <v>11.3</v>
          </cell>
          <cell r="E821" t="e">
            <v>#REF!</v>
          </cell>
          <cell r="F821" t="e">
            <v>#REF!</v>
          </cell>
          <cell r="G821" t="e">
            <v>#REF!</v>
          </cell>
          <cell r="H821" t="e">
            <v>#REF!</v>
          </cell>
          <cell r="I821" t="e">
            <v>#REF!</v>
          </cell>
        </row>
        <row r="822">
          <cell r="A822">
            <v>0</v>
          </cell>
          <cell r="B822">
            <v>0</v>
          </cell>
          <cell r="C822">
            <v>0</v>
          </cell>
          <cell r="D822">
            <v>28.6</v>
          </cell>
          <cell r="E822">
            <v>0</v>
          </cell>
          <cell r="F822">
            <v>0</v>
          </cell>
          <cell r="G822" t="e">
            <v>#REF!</v>
          </cell>
          <cell r="H822" t="e">
            <v>#REF!</v>
          </cell>
        </row>
        <row r="823">
          <cell r="A823">
            <v>0</v>
          </cell>
          <cell r="B823">
            <v>0</v>
          </cell>
          <cell r="C823">
            <v>0</v>
          </cell>
          <cell r="D823">
            <v>22.7</v>
          </cell>
          <cell r="E823">
            <v>0</v>
          </cell>
          <cell r="F823">
            <v>0</v>
          </cell>
          <cell r="G823" t="e">
            <v>#REF!</v>
          </cell>
          <cell r="H823" t="e">
            <v>#REF!</v>
          </cell>
        </row>
        <row r="824">
          <cell r="A824">
            <v>0</v>
          </cell>
          <cell r="B824">
            <v>0</v>
          </cell>
          <cell r="C824">
            <v>0</v>
          </cell>
          <cell r="D824">
            <v>18</v>
          </cell>
          <cell r="E824">
            <v>0</v>
          </cell>
          <cell r="F824">
            <v>0</v>
          </cell>
          <cell r="G824" t="e">
            <v>#REF!</v>
          </cell>
          <cell r="H824" t="e">
            <v>#REF!</v>
          </cell>
        </row>
        <row r="825">
          <cell r="A825">
            <v>0</v>
          </cell>
          <cell r="B825">
            <v>0</v>
          </cell>
          <cell r="C825">
            <v>0</v>
          </cell>
          <cell r="D825">
            <v>14.3</v>
          </cell>
          <cell r="E825">
            <v>0</v>
          </cell>
          <cell r="F825">
            <v>0</v>
          </cell>
          <cell r="G825" t="e">
            <v>#REF!</v>
          </cell>
          <cell r="H825" t="e">
            <v>#REF!</v>
          </cell>
        </row>
        <row r="826">
          <cell r="A826">
            <v>0</v>
          </cell>
          <cell r="B826">
            <v>0</v>
          </cell>
          <cell r="C826">
            <v>0</v>
          </cell>
          <cell r="D826">
            <v>10.6</v>
          </cell>
          <cell r="E826">
            <v>0</v>
          </cell>
          <cell r="F826">
            <v>0</v>
          </cell>
          <cell r="G826" t="e">
            <v>#REF!</v>
          </cell>
          <cell r="H826" t="e">
            <v>#REF!</v>
          </cell>
        </row>
        <row r="827">
          <cell r="A827">
            <v>0</v>
          </cell>
          <cell r="B827">
            <v>0</v>
          </cell>
          <cell r="C827">
            <v>0</v>
          </cell>
          <cell r="D827">
            <v>7.9</v>
          </cell>
          <cell r="E827">
            <v>0</v>
          </cell>
          <cell r="F827">
            <v>0</v>
          </cell>
          <cell r="G827" t="e">
            <v>#REF!</v>
          </cell>
          <cell r="H827" t="e">
            <v>#REF!</v>
          </cell>
        </row>
        <row r="828">
          <cell r="A828">
            <v>0</v>
          </cell>
          <cell r="B828">
            <v>0</v>
          </cell>
          <cell r="C828">
            <v>0</v>
          </cell>
          <cell r="D828">
            <v>5.9</v>
          </cell>
          <cell r="E828">
            <v>0</v>
          </cell>
          <cell r="F828">
            <v>0</v>
          </cell>
          <cell r="G828" t="e">
            <v>#REF!</v>
          </cell>
          <cell r="H828" t="e">
            <v>#REF!</v>
          </cell>
        </row>
        <row r="829">
          <cell r="A829">
            <v>0</v>
          </cell>
          <cell r="B829">
            <v>0</v>
          </cell>
          <cell r="C829">
            <v>0</v>
          </cell>
          <cell r="D829">
            <v>4.4000000000000004</v>
          </cell>
          <cell r="E829">
            <v>0</v>
          </cell>
          <cell r="F829">
            <v>0</v>
          </cell>
          <cell r="G829" t="e">
            <v>#REF!</v>
          </cell>
          <cell r="H829" t="e">
            <v>#REF!</v>
          </cell>
        </row>
        <row r="830">
          <cell r="A830">
            <v>0</v>
          </cell>
          <cell r="B830">
            <v>0</v>
          </cell>
          <cell r="C830">
            <v>0</v>
          </cell>
          <cell r="D830">
            <v>3.3</v>
          </cell>
          <cell r="E830">
            <v>0</v>
          </cell>
          <cell r="F830">
            <v>0</v>
          </cell>
          <cell r="G830" t="e">
            <v>#REF!</v>
          </cell>
          <cell r="H830" t="e">
            <v>#REF!</v>
          </cell>
        </row>
        <row r="831">
          <cell r="A831">
            <v>0</v>
          </cell>
          <cell r="B831">
            <v>0</v>
          </cell>
          <cell r="C831">
            <v>0</v>
          </cell>
          <cell r="D831">
            <v>2.4</v>
          </cell>
          <cell r="E831">
            <v>0</v>
          </cell>
          <cell r="F831">
            <v>0</v>
          </cell>
          <cell r="G831" t="e">
            <v>#REF!</v>
          </cell>
          <cell r="H831" t="e">
            <v>#REF!</v>
          </cell>
        </row>
        <row r="832">
          <cell r="A832">
            <v>0</v>
          </cell>
          <cell r="B832">
            <v>0</v>
          </cell>
          <cell r="C832">
            <v>0</v>
          </cell>
          <cell r="D832">
            <v>1.8</v>
          </cell>
          <cell r="E832">
            <v>0</v>
          </cell>
          <cell r="F832">
            <v>0</v>
          </cell>
          <cell r="G832" t="e">
            <v>#REF!</v>
          </cell>
          <cell r="H832" t="e">
            <v>#REF!</v>
          </cell>
        </row>
        <row r="833">
          <cell r="A833">
            <v>0</v>
          </cell>
          <cell r="B833">
            <v>0</v>
          </cell>
          <cell r="C833">
            <v>0</v>
          </cell>
          <cell r="D833">
            <v>1.3</v>
          </cell>
          <cell r="E833">
            <v>0</v>
          </cell>
          <cell r="F833">
            <v>0</v>
          </cell>
          <cell r="G833" t="e">
            <v>#REF!</v>
          </cell>
          <cell r="H833" t="e">
            <v>#REF!</v>
          </cell>
        </row>
        <row r="834">
          <cell r="A834">
            <v>0</v>
          </cell>
          <cell r="B834">
            <v>0</v>
          </cell>
          <cell r="C834">
            <v>0</v>
          </cell>
          <cell r="D834">
            <v>1</v>
          </cell>
          <cell r="E834">
            <v>0</v>
          </cell>
          <cell r="F834">
            <v>0</v>
          </cell>
          <cell r="G834" t="e">
            <v>#REF!</v>
          </cell>
          <cell r="H834" t="e">
            <v>#REF!</v>
          </cell>
        </row>
        <row r="835">
          <cell r="A835">
            <v>0</v>
          </cell>
          <cell r="B835">
            <v>0</v>
          </cell>
          <cell r="C835">
            <v>0</v>
          </cell>
          <cell r="D835">
            <v>1</v>
          </cell>
          <cell r="E835">
            <v>0</v>
          </cell>
          <cell r="F835">
            <v>0</v>
          </cell>
          <cell r="G835" t="e">
            <v>#REF!</v>
          </cell>
          <cell r="H835" t="e">
            <v>#REF!</v>
          </cell>
        </row>
        <row r="836">
          <cell r="A836">
            <v>0</v>
          </cell>
          <cell r="B836">
            <v>0</v>
          </cell>
          <cell r="C836">
            <v>0</v>
          </cell>
          <cell r="D836">
            <v>1</v>
          </cell>
          <cell r="E836">
            <v>0</v>
          </cell>
          <cell r="F836">
            <v>0</v>
          </cell>
          <cell r="G836" t="e">
            <v>#REF!</v>
          </cell>
          <cell r="H836" t="e">
            <v>#REF!</v>
          </cell>
        </row>
        <row r="837">
          <cell r="A837">
            <v>0</v>
          </cell>
          <cell r="B837">
            <v>0</v>
          </cell>
          <cell r="C837">
            <v>0</v>
          </cell>
          <cell r="E837">
            <v>0</v>
          </cell>
          <cell r="F837">
            <v>0</v>
          </cell>
          <cell r="G837">
            <v>0</v>
          </cell>
        </row>
        <row r="838">
          <cell r="A838" t="str">
            <v>CO</v>
          </cell>
          <cell r="B838" t="e">
            <v>#N/A</v>
          </cell>
          <cell r="C838" t="e">
            <v>#N/A</v>
          </cell>
          <cell r="D838">
            <v>11.3</v>
          </cell>
          <cell r="E838" t="e">
            <v>#REF!</v>
          </cell>
          <cell r="F838" t="e">
            <v>#REF!</v>
          </cell>
          <cell r="G838" t="e">
            <v>#REF!</v>
          </cell>
          <cell r="H838" t="e">
            <v>#REF!</v>
          </cell>
          <cell r="I838" t="e">
            <v>#REF!</v>
          </cell>
        </row>
        <row r="839">
          <cell r="A839">
            <v>0</v>
          </cell>
          <cell r="B839">
            <v>0</v>
          </cell>
          <cell r="C839">
            <v>0</v>
          </cell>
          <cell r="D839">
            <v>28.6</v>
          </cell>
          <cell r="E839">
            <v>0</v>
          </cell>
          <cell r="F839">
            <v>0</v>
          </cell>
          <cell r="G839" t="e">
            <v>#REF!</v>
          </cell>
          <cell r="H839" t="e">
            <v>#REF!</v>
          </cell>
        </row>
        <row r="840">
          <cell r="A840">
            <v>0</v>
          </cell>
          <cell r="B840">
            <v>0</v>
          </cell>
          <cell r="C840">
            <v>0</v>
          </cell>
          <cell r="D840">
            <v>22.7</v>
          </cell>
          <cell r="E840">
            <v>0</v>
          </cell>
          <cell r="F840">
            <v>0</v>
          </cell>
          <cell r="G840" t="e">
            <v>#REF!</v>
          </cell>
          <cell r="H840" t="e">
            <v>#REF!</v>
          </cell>
        </row>
        <row r="841">
          <cell r="A841">
            <v>0</v>
          </cell>
          <cell r="B841">
            <v>0</v>
          </cell>
          <cell r="C841">
            <v>0</v>
          </cell>
          <cell r="D841">
            <v>18</v>
          </cell>
          <cell r="E841">
            <v>0</v>
          </cell>
          <cell r="F841">
            <v>0</v>
          </cell>
          <cell r="G841" t="e">
            <v>#REF!</v>
          </cell>
          <cell r="H841" t="e">
            <v>#REF!</v>
          </cell>
        </row>
        <row r="842">
          <cell r="A842">
            <v>0</v>
          </cell>
          <cell r="B842">
            <v>0</v>
          </cell>
          <cell r="C842">
            <v>0</v>
          </cell>
          <cell r="D842">
            <v>14.3</v>
          </cell>
          <cell r="E842">
            <v>0</v>
          </cell>
          <cell r="F842">
            <v>0</v>
          </cell>
          <cell r="G842" t="e">
            <v>#REF!</v>
          </cell>
          <cell r="H842" t="e">
            <v>#REF!</v>
          </cell>
        </row>
        <row r="843">
          <cell r="A843">
            <v>0</v>
          </cell>
          <cell r="B843">
            <v>0</v>
          </cell>
          <cell r="C843">
            <v>0</v>
          </cell>
          <cell r="D843">
            <v>10.6</v>
          </cell>
          <cell r="E843">
            <v>0</v>
          </cell>
          <cell r="F843">
            <v>0</v>
          </cell>
          <cell r="G843" t="e">
            <v>#REF!</v>
          </cell>
          <cell r="H843" t="e">
            <v>#REF!</v>
          </cell>
        </row>
        <row r="844">
          <cell r="A844">
            <v>0</v>
          </cell>
          <cell r="B844">
            <v>0</v>
          </cell>
          <cell r="C844">
            <v>0</v>
          </cell>
          <cell r="D844">
            <v>7.9</v>
          </cell>
          <cell r="E844">
            <v>0</v>
          </cell>
          <cell r="F844">
            <v>0</v>
          </cell>
          <cell r="G844" t="e">
            <v>#REF!</v>
          </cell>
          <cell r="H844" t="e">
            <v>#REF!</v>
          </cell>
        </row>
        <row r="845">
          <cell r="A845">
            <v>0</v>
          </cell>
          <cell r="B845">
            <v>0</v>
          </cell>
          <cell r="C845">
            <v>0</v>
          </cell>
          <cell r="D845">
            <v>5.9</v>
          </cell>
          <cell r="E845">
            <v>0</v>
          </cell>
          <cell r="F845">
            <v>0</v>
          </cell>
          <cell r="G845" t="e">
            <v>#REF!</v>
          </cell>
          <cell r="H845" t="e">
            <v>#REF!</v>
          </cell>
        </row>
        <row r="846">
          <cell r="A846">
            <v>0</v>
          </cell>
          <cell r="B846">
            <v>0</v>
          </cell>
          <cell r="C846">
            <v>0</v>
          </cell>
          <cell r="D846">
            <v>4.4000000000000004</v>
          </cell>
          <cell r="E846">
            <v>0</v>
          </cell>
          <cell r="F846">
            <v>0</v>
          </cell>
          <cell r="G846" t="e">
            <v>#REF!</v>
          </cell>
          <cell r="H846" t="e">
            <v>#REF!</v>
          </cell>
        </row>
        <row r="847">
          <cell r="A847">
            <v>0</v>
          </cell>
          <cell r="B847">
            <v>0</v>
          </cell>
          <cell r="C847">
            <v>0</v>
          </cell>
          <cell r="D847">
            <v>3.3</v>
          </cell>
          <cell r="E847">
            <v>0</v>
          </cell>
          <cell r="F847">
            <v>0</v>
          </cell>
          <cell r="G847" t="e">
            <v>#REF!</v>
          </cell>
          <cell r="H847" t="e">
            <v>#REF!</v>
          </cell>
        </row>
        <row r="848">
          <cell r="A848">
            <v>0</v>
          </cell>
          <cell r="B848">
            <v>0</v>
          </cell>
          <cell r="C848">
            <v>0</v>
          </cell>
          <cell r="D848">
            <v>2.4</v>
          </cell>
          <cell r="E848">
            <v>0</v>
          </cell>
          <cell r="F848">
            <v>0</v>
          </cell>
          <cell r="G848" t="e">
            <v>#REF!</v>
          </cell>
          <cell r="H848" t="e">
            <v>#REF!</v>
          </cell>
        </row>
        <row r="849">
          <cell r="A849">
            <v>0</v>
          </cell>
          <cell r="B849">
            <v>0</v>
          </cell>
          <cell r="C849">
            <v>0</v>
          </cell>
          <cell r="D849">
            <v>1.8</v>
          </cell>
          <cell r="E849">
            <v>0</v>
          </cell>
          <cell r="F849">
            <v>0</v>
          </cell>
          <cell r="G849" t="e">
            <v>#REF!</v>
          </cell>
          <cell r="H849" t="e">
            <v>#REF!</v>
          </cell>
        </row>
        <row r="850">
          <cell r="A850">
            <v>0</v>
          </cell>
          <cell r="B850">
            <v>0</v>
          </cell>
          <cell r="C850">
            <v>0</v>
          </cell>
          <cell r="D850">
            <v>1.3</v>
          </cell>
          <cell r="E850">
            <v>0</v>
          </cell>
          <cell r="F850">
            <v>0</v>
          </cell>
          <cell r="G850" t="e">
            <v>#REF!</v>
          </cell>
          <cell r="H850" t="e">
            <v>#REF!</v>
          </cell>
        </row>
        <row r="851">
          <cell r="A851">
            <v>0</v>
          </cell>
          <cell r="B851">
            <v>0</v>
          </cell>
          <cell r="C851">
            <v>0</v>
          </cell>
          <cell r="D851">
            <v>1</v>
          </cell>
          <cell r="E851">
            <v>0</v>
          </cell>
          <cell r="F851">
            <v>0</v>
          </cell>
          <cell r="G851" t="e">
            <v>#REF!</v>
          </cell>
          <cell r="H851" t="e">
            <v>#REF!</v>
          </cell>
        </row>
        <row r="852">
          <cell r="A852">
            <v>0</v>
          </cell>
          <cell r="B852">
            <v>0</v>
          </cell>
          <cell r="C852">
            <v>0</v>
          </cell>
          <cell r="D852">
            <v>1</v>
          </cell>
          <cell r="E852">
            <v>0</v>
          </cell>
          <cell r="F852">
            <v>0</v>
          </cell>
          <cell r="G852" t="e">
            <v>#REF!</v>
          </cell>
          <cell r="H852" t="e">
            <v>#REF!</v>
          </cell>
        </row>
        <row r="853">
          <cell r="A853">
            <v>0</v>
          </cell>
          <cell r="B853">
            <v>0</v>
          </cell>
          <cell r="C853">
            <v>0</v>
          </cell>
          <cell r="D853">
            <v>1</v>
          </cell>
          <cell r="E853">
            <v>0</v>
          </cell>
          <cell r="F853">
            <v>0</v>
          </cell>
          <cell r="G853" t="e">
            <v>#REF!</v>
          </cell>
          <cell r="H853" t="e">
            <v>#REF!</v>
          </cell>
        </row>
        <row r="854">
          <cell r="A854">
            <v>0</v>
          </cell>
          <cell r="B854">
            <v>0</v>
          </cell>
          <cell r="C854">
            <v>0</v>
          </cell>
          <cell r="E854">
            <v>0</v>
          </cell>
          <cell r="F854">
            <v>0</v>
          </cell>
          <cell r="G854">
            <v>0</v>
          </cell>
        </row>
        <row r="855">
          <cell r="A855" t="str">
            <v>CP</v>
          </cell>
          <cell r="B855" t="e">
            <v>#N/A</v>
          </cell>
          <cell r="C855" t="e">
            <v>#N/A</v>
          </cell>
          <cell r="D855">
            <v>11.3</v>
          </cell>
          <cell r="E855" t="e">
            <v>#REF!</v>
          </cell>
          <cell r="F855" t="e">
            <v>#REF!</v>
          </cell>
          <cell r="G855" t="e">
            <v>#REF!</v>
          </cell>
          <cell r="H855" t="e">
            <v>#REF!</v>
          </cell>
          <cell r="I855" t="e">
            <v>#REF!</v>
          </cell>
        </row>
        <row r="856">
          <cell r="A856">
            <v>0</v>
          </cell>
          <cell r="B856">
            <v>0</v>
          </cell>
          <cell r="C856">
            <v>0</v>
          </cell>
          <cell r="D856">
            <v>28.6</v>
          </cell>
          <cell r="E856">
            <v>0</v>
          </cell>
          <cell r="F856">
            <v>0</v>
          </cell>
          <cell r="G856" t="e">
            <v>#REF!</v>
          </cell>
          <cell r="H856" t="e">
            <v>#REF!</v>
          </cell>
        </row>
        <row r="857">
          <cell r="A857">
            <v>0</v>
          </cell>
          <cell r="B857">
            <v>0</v>
          </cell>
          <cell r="C857">
            <v>0</v>
          </cell>
          <cell r="D857">
            <v>22.7</v>
          </cell>
          <cell r="E857">
            <v>0</v>
          </cell>
          <cell r="F857">
            <v>0</v>
          </cell>
          <cell r="G857" t="e">
            <v>#REF!</v>
          </cell>
          <cell r="H857" t="e">
            <v>#REF!</v>
          </cell>
        </row>
        <row r="858">
          <cell r="A858">
            <v>0</v>
          </cell>
          <cell r="B858">
            <v>0</v>
          </cell>
          <cell r="C858">
            <v>0</v>
          </cell>
          <cell r="D858">
            <v>18</v>
          </cell>
          <cell r="E858">
            <v>0</v>
          </cell>
          <cell r="F858">
            <v>0</v>
          </cell>
          <cell r="G858" t="e">
            <v>#REF!</v>
          </cell>
          <cell r="H858" t="e">
            <v>#REF!</v>
          </cell>
        </row>
        <row r="859">
          <cell r="A859">
            <v>0</v>
          </cell>
          <cell r="B859">
            <v>0</v>
          </cell>
          <cell r="C859">
            <v>0</v>
          </cell>
          <cell r="D859">
            <v>14.3</v>
          </cell>
          <cell r="E859">
            <v>0</v>
          </cell>
          <cell r="F859">
            <v>0</v>
          </cell>
          <cell r="G859" t="e">
            <v>#REF!</v>
          </cell>
          <cell r="H859" t="e">
            <v>#REF!</v>
          </cell>
        </row>
        <row r="860">
          <cell r="A860">
            <v>0</v>
          </cell>
          <cell r="B860">
            <v>0</v>
          </cell>
          <cell r="C860">
            <v>0</v>
          </cell>
          <cell r="D860">
            <v>10.6</v>
          </cell>
          <cell r="E860">
            <v>0</v>
          </cell>
          <cell r="F860">
            <v>0</v>
          </cell>
          <cell r="G860" t="e">
            <v>#REF!</v>
          </cell>
          <cell r="H860" t="e">
            <v>#REF!</v>
          </cell>
        </row>
        <row r="861">
          <cell r="A861">
            <v>0</v>
          </cell>
          <cell r="B861">
            <v>0</v>
          </cell>
          <cell r="C861">
            <v>0</v>
          </cell>
          <cell r="D861">
            <v>7.9</v>
          </cell>
          <cell r="E861">
            <v>0</v>
          </cell>
          <cell r="F861">
            <v>0</v>
          </cell>
          <cell r="G861" t="e">
            <v>#REF!</v>
          </cell>
          <cell r="H861" t="e">
            <v>#REF!</v>
          </cell>
        </row>
        <row r="862">
          <cell r="A862">
            <v>0</v>
          </cell>
          <cell r="B862">
            <v>0</v>
          </cell>
          <cell r="C862">
            <v>0</v>
          </cell>
          <cell r="D862">
            <v>5.9</v>
          </cell>
          <cell r="E862">
            <v>0</v>
          </cell>
          <cell r="F862">
            <v>0</v>
          </cell>
          <cell r="G862" t="e">
            <v>#REF!</v>
          </cell>
          <cell r="H862" t="e">
            <v>#REF!</v>
          </cell>
        </row>
        <row r="863">
          <cell r="A863">
            <v>0</v>
          </cell>
          <cell r="B863">
            <v>0</v>
          </cell>
          <cell r="C863">
            <v>0</v>
          </cell>
          <cell r="D863">
            <v>4.4000000000000004</v>
          </cell>
          <cell r="E863">
            <v>0</v>
          </cell>
          <cell r="F863">
            <v>0</v>
          </cell>
          <cell r="G863" t="e">
            <v>#REF!</v>
          </cell>
          <cell r="H863" t="e">
            <v>#REF!</v>
          </cell>
        </row>
        <row r="864">
          <cell r="A864">
            <v>0</v>
          </cell>
          <cell r="B864">
            <v>0</v>
          </cell>
          <cell r="C864">
            <v>0</v>
          </cell>
          <cell r="D864">
            <v>3.3</v>
          </cell>
          <cell r="E864">
            <v>0</v>
          </cell>
          <cell r="F864">
            <v>0</v>
          </cell>
          <cell r="G864" t="e">
            <v>#REF!</v>
          </cell>
          <cell r="H864" t="e">
            <v>#REF!</v>
          </cell>
        </row>
        <row r="865">
          <cell r="A865">
            <v>0</v>
          </cell>
          <cell r="B865">
            <v>0</v>
          </cell>
          <cell r="C865">
            <v>0</v>
          </cell>
          <cell r="D865">
            <v>2.4</v>
          </cell>
          <cell r="E865">
            <v>0</v>
          </cell>
          <cell r="F865">
            <v>0</v>
          </cell>
          <cell r="G865" t="e">
            <v>#REF!</v>
          </cell>
          <cell r="H865" t="e">
            <v>#REF!</v>
          </cell>
        </row>
        <row r="866">
          <cell r="A866">
            <v>0</v>
          </cell>
          <cell r="B866">
            <v>0</v>
          </cell>
          <cell r="C866">
            <v>0</v>
          </cell>
          <cell r="D866">
            <v>1.8</v>
          </cell>
          <cell r="E866">
            <v>0</v>
          </cell>
          <cell r="F866">
            <v>0</v>
          </cell>
          <cell r="G866" t="e">
            <v>#REF!</v>
          </cell>
          <cell r="H866" t="e">
            <v>#REF!</v>
          </cell>
        </row>
        <row r="867">
          <cell r="A867">
            <v>0</v>
          </cell>
          <cell r="B867">
            <v>0</v>
          </cell>
          <cell r="C867">
            <v>0</v>
          </cell>
          <cell r="D867">
            <v>1.3</v>
          </cell>
          <cell r="E867">
            <v>0</v>
          </cell>
          <cell r="F867">
            <v>0</v>
          </cell>
          <cell r="G867" t="e">
            <v>#REF!</v>
          </cell>
          <cell r="H867" t="e">
            <v>#REF!</v>
          </cell>
        </row>
        <row r="868">
          <cell r="A868">
            <v>0</v>
          </cell>
          <cell r="B868">
            <v>0</v>
          </cell>
          <cell r="C868">
            <v>0</v>
          </cell>
          <cell r="D868">
            <v>1</v>
          </cell>
          <cell r="E868">
            <v>0</v>
          </cell>
          <cell r="F868">
            <v>0</v>
          </cell>
          <cell r="G868" t="e">
            <v>#REF!</v>
          </cell>
          <cell r="H868" t="e">
            <v>#REF!</v>
          </cell>
        </row>
        <row r="869">
          <cell r="A869">
            <v>0</v>
          </cell>
          <cell r="B869">
            <v>0</v>
          </cell>
          <cell r="C869">
            <v>0</v>
          </cell>
          <cell r="D869">
            <v>1</v>
          </cell>
          <cell r="E869">
            <v>0</v>
          </cell>
          <cell r="F869">
            <v>0</v>
          </cell>
          <cell r="G869" t="e">
            <v>#REF!</v>
          </cell>
          <cell r="H869" t="e">
            <v>#REF!</v>
          </cell>
        </row>
        <row r="870">
          <cell r="A870">
            <v>0</v>
          </cell>
          <cell r="B870">
            <v>0</v>
          </cell>
          <cell r="C870">
            <v>0</v>
          </cell>
          <cell r="D870">
            <v>1</v>
          </cell>
          <cell r="E870">
            <v>0</v>
          </cell>
          <cell r="F870">
            <v>0</v>
          </cell>
          <cell r="G870" t="e">
            <v>#REF!</v>
          </cell>
          <cell r="H870" t="e">
            <v>#REF!</v>
          </cell>
        </row>
        <row r="871">
          <cell r="A871">
            <v>0</v>
          </cell>
          <cell r="B871">
            <v>0</v>
          </cell>
          <cell r="C871">
            <v>0</v>
          </cell>
          <cell r="E871">
            <v>0</v>
          </cell>
          <cell r="F871">
            <v>0</v>
          </cell>
          <cell r="G871">
            <v>0</v>
          </cell>
        </row>
        <row r="872">
          <cell r="A872" t="str">
            <v>CQ</v>
          </cell>
          <cell r="B872" t="e">
            <v>#N/A</v>
          </cell>
          <cell r="C872" t="e">
            <v>#N/A</v>
          </cell>
          <cell r="D872">
            <v>11.3</v>
          </cell>
          <cell r="E872" t="e">
            <v>#REF!</v>
          </cell>
          <cell r="F872" t="e">
            <v>#REF!</v>
          </cell>
          <cell r="G872" t="e">
            <v>#REF!</v>
          </cell>
          <cell r="H872" t="e">
            <v>#REF!</v>
          </cell>
          <cell r="I872" t="e">
            <v>#REF!</v>
          </cell>
        </row>
        <row r="873">
          <cell r="A873">
            <v>0</v>
          </cell>
          <cell r="B873">
            <v>0</v>
          </cell>
          <cell r="C873">
            <v>0</v>
          </cell>
          <cell r="D873">
            <v>28.6</v>
          </cell>
          <cell r="E873">
            <v>0</v>
          </cell>
          <cell r="F873">
            <v>0</v>
          </cell>
          <cell r="G873" t="e">
            <v>#REF!</v>
          </cell>
          <cell r="H873" t="e">
            <v>#REF!</v>
          </cell>
        </row>
        <row r="874">
          <cell r="A874">
            <v>0</v>
          </cell>
          <cell r="B874">
            <v>0</v>
          </cell>
          <cell r="C874">
            <v>0</v>
          </cell>
          <cell r="D874">
            <v>22.7</v>
          </cell>
          <cell r="E874">
            <v>0</v>
          </cell>
          <cell r="F874">
            <v>0</v>
          </cell>
          <cell r="G874" t="e">
            <v>#REF!</v>
          </cell>
          <cell r="H874" t="e">
            <v>#REF!</v>
          </cell>
        </row>
        <row r="875">
          <cell r="A875">
            <v>0</v>
          </cell>
          <cell r="B875">
            <v>0</v>
          </cell>
          <cell r="C875">
            <v>0</v>
          </cell>
          <cell r="D875">
            <v>18</v>
          </cell>
          <cell r="E875">
            <v>0</v>
          </cell>
          <cell r="F875">
            <v>0</v>
          </cell>
          <cell r="G875" t="e">
            <v>#REF!</v>
          </cell>
          <cell r="H875" t="e">
            <v>#REF!</v>
          </cell>
        </row>
        <row r="876">
          <cell r="A876">
            <v>0</v>
          </cell>
          <cell r="B876">
            <v>0</v>
          </cell>
          <cell r="C876">
            <v>0</v>
          </cell>
          <cell r="D876">
            <v>14.3</v>
          </cell>
          <cell r="E876">
            <v>0</v>
          </cell>
          <cell r="F876">
            <v>0</v>
          </cell>
          <cell r="G876" t="e">
            <v>#REF!</v>
          </cell>
          <cell r="H876" t="e">
            <v>#REF!</v>
          </cell>
        </row>
        <row r="877">
          <cell r="A877">
            <v>0</v>
          </cell>
          <cell r="B877">
            <v>0</v>
          </cell>
          <cell r="C877">
            <v>0</v>
          </cell>
          <cell r="D877">
            <v>10.6</v>
          </cell>
          <cell r="E877">
            <v>0</v>
          </cell>
          <cell r="F877">
            <v>0</v>
          </cell>
          <cell r="G877" t="e">
            <v>#REF!</v>
          </cell>
          <cell r="H877" t="e">
            <v>#REF!</v>
          </cell>
        </row>
        <row r="878">
          <cell r="A878">
            <v>0</v>
          </cell>
          <cell r="B878">
            <v>0</v>
          </cell>
          <cell r="C878">
            <v>0</v>
          </cell>
          <cell r="D878">
            <v>7.9</v>
          </cell>
          <cell r="E878">
            <v>0</v>
          </cell>
          <cell r="F878">
            <v>0</v>
          </cell>
          <cell r="G878" t="e">
            <v>#REF!</v>
          </cell>
          <cell r="H878" t="e">
            <v>#REF!</v>
          </cell>
        </row>
        <row r="879">
          <cell r="A879">
            <v>0</v>
          </cell>
          <cell r="B879">
            <v>0</v>
          </cell>
          <cell r="C879">
            <v>0</v>
          </cell>
          <cell r="D879">
            <v>5.9</v>
          </cell>
          <cell r="E879">
            <v>0</v>
          </cell>
          <cell r="F879">
            <v>0</v>
          </cell>
          <cell r="G879" t="e">
            <v>#REF!</v>
          </cell>
          <cell r="H879" t="e">
            <v>#REF!</v>
          </cell>
        </row>
        <row r="880">
          <cell r="A880">
            <v>0</v>
          </cell>
          <cell r="B880">
            <v>0</v>
          </cell>
          <cell r="C880">
            <v>0</v>
          </cell>
          <cell r="D880">
            <v>4.4000000000000004</v>
          </cell>
          <cell r="E880">
            <v>0</v>
          </cell>
          <cell r="F880">
            <v>0</v>
          </cell>
          <cell r="G880" t="e">
            <v>#REF!</v>
          </cell>
          <cell r="H880" t="e">
            <v>#REF!</v>
          </cell>
        </row>
        <row r="881">
          <cell r="A881">
            <v>0</v>
          </cell>
          <cell r="B881">
            <v>0</v>
          </cell>
          <cell r="C881">
            <v>0</v>
          </cell>
          <cell r="D881">
            <v>3.3</v>
          </cell>
          <cell r="E881">
            <v>0</v>
          </cell>
          <cell r="F881">
            <v>0</v>
          </cell>
          <cell r="G881" t="e">
            <v>#REF!</v>
          </cell>
          <cell r="H881" t="e">
            <v>#REF!</v>
          </cell>
        </row>
        <row r="882">
          <cell r="A882">
            <v>0</v>
          </cell>
          <cell r="B882">
            <v>0</v>
          </cell>
          <cell r="C882">
            <v>0</v>
          </cell>
          <cell r="D882">
            <v>2.4</v>
          </cell>
          <cell r="E882">
            <v>0</v>
          </cell>
          <cell r="F882">
            <v>0</v>
          </cell>
          <cell r="G882" t="e">
            <v>#REF!</v>
          </cell>
          <cell r="H882" t="e">
            <v>#REF!</v>
          </cell>
        </row>
        <row r="883">
          <cell r="A883">
            <v>0</v>
          </cell>
          <cell r="B883">
            <v>0</v>
          </cell>
          <cell r="C883">
            <v>0</v>
          </cell>
          <cell r="D883">
            <v>1.8</v>
          </cell>
          <cell r="E883">
            <v>0</v>
          </cell>
          <cell r="F883">
            <v>0</v>
          </cell>
          <cell r="G883" t="e">
            <v>#REF!</v>
          </cell>
          <cell r="H883" t="e">
            <v>#REF!</v>
          </cell>
        </row>
        <row r="884">
          <cell r="A884">
            <v>0</v>
          </cell>
          <cell r="B884">
            <v>0</v>
          </cell>
          <cell r="C884">
            <v>0</v>
          </cell>
          <cell r="D884">
            <v>1.3</v>
          </cell>
          <cell r="E884">
            <v>0</v>
          </cell>
          <cell r="F884">
            <v>0</v>
          </cell>
          <cell r="G884" t="e">
            <v>#REF!</v>
          </cell>
          <cell r="H884" t="e">
            <v>#REF!</v>
          </cell>
        </row>
        <row r="885">
          <cell r="A885">
            <v>0</v>
          </cell>
          <cell r="B885">
            <v>0</v>
          </cell>
          <cell r="C885">
            <v>0</v>
          </cell>
          <cell r="D885">
            <v>1</v>
          </cell>
          <cell r="E885">
            <v>0</v>
          </cell>
          <cell r="F885">
            <v>0</v>
          </cell>
          <cell r="G885" t="e">
            <v>#REF!</v>
          </cell>
          <cell r="H885" t="e">
            <v>#REF!</v>
          </cell>
        </row>
        <row r="886">
          <cell r="A886">
            <v>0</v>
          </cell>
          <cell r="B886">
            <v>0</v>
          </cell>
          <cell r="C886">
            <v>0</v>
          </cell>
          <cell r="D886">
            <v>1</v>
          </cell>
          <cell r="E886">
            <v>0</v>
          </cell>
          <cell r="F886">
            <v>0</v>
          </cell>
          <cell r="G886" t="e">
            <v>#REF!</v>
          </cell>
          <cell r="H886" t="e">
            <v>#REF!</v>
          </cell>
        </row>
        <row r="887">
          <cell r="A887">
            <v>0</v>
          </cell>
          <cell r="B887">
            <v>0</v>
          </cell>
          <cell r="C887">
            <v>0</v>
          </cell>
          <cell r="D887">
            <v>1</v>
          </cell>
          <cell r="E887">
            <v>0</v>
          </cell>
          <cell r="F887">
            <v>0</v>
          </cell>
          <cell r="G887" t="e">
            <v>#REF!</v>
          </cell>
          <cell r="H887" t="e">
            <v>#REF!</v>
          </cell>
        </row>
        <row r="888">
          <cell r="A888">
            <v>0</v>
          </cell>
          <cell r="B888">
            <v>0</v>
          </cell>
          <cell r="C888">
            <v>0</v>
          </cell>
          <cell r="E888">
            <v>0</v>
          </cell>
          <cell r="F888">
            <v>0</v>
          </cell>
          <cell r="G888">
            <v>0</v>
          </cell>
        </row>
        <row r="889">
          <cell r="A889" t="str">
            <v>CR</v>
          </cell>
          <cell r="B889" t="e">
            <v>#N/A</v>
          </cell>
          <cell r="C889" t="e">
            <v>#N/A</v>
          </cell>
          <cell r="D889">
            <v>11.3</v>
          </cell>
          <cell r="E889" t="e">
            <v>#REF!</v>
          </cell>
          <cell r="F889" t="e">
            <v>#REF!</v>
          </cell>
          <cell r="G889" t="e">
            <v>#REF!</v>
          </cell>
          <cell r="H889" t="e">
            <v>#REF!</v>
          </cell>
          <cell r="I889" t="e">
            <v>#REF!</v>
          </cell>
        </row>
        <row r="890">
          <cell r="A890">
            <v>0</v>
          </cell>
          <cell r="B890">
            <v>0</v>
          </cell>
          <cell r="C890">
            <v>0</v>
          </cell>
          <cell r="D890">
            <v>28.6</v>
          </cell>
          <cell r="E890">
            <v>0</v>
          </cell>
          <cell r="F890">
            <v>0</v>
          </cell>
          <cell r="G890" t="e">
            <v>#REF!</v>
          </cell>
          <cell r="H890" t="e">
            <v>#REF!</v>
          </cell>
        </row>
        <row r="891">
          <cell r="A891">
            <v>0</v>
          </cell>
          <cell r="B891">
            <v>0</v>
          </cell>
          <cell r="C891">
            <v>0</v>
          </cell>
          <cell r="D891">
            <v>22.7</v>
          </cell>
          <cell r="E891">
            <v>0</v>
          </cell>
          <cell r="F891">
            <v>0</v>
          </cell>
          <cell r="G891" t="e">
            <v>#REF!</v>
          </cell>
          <cell r="H891" t="e">
            <v>#REF!</v>
          </cell>
        </row>
        <row r="892">
          <cell r="A892">
            <v>0</v>
          </cell>
          <cell r="B892">
            <v>0</v>
          </cell>
          <cell r="C892">
            <v>0</v>
          </cell>
          <cell r="D892">
            <v>18</v>
          </cell>
          <cell r="E892">
            <v>0</v>
          </cell>
          <cell r="F892">
            <v>0</v>
          </cell>
          <cell r="G892" t="e">
            <v>#REF!</v>
          </cell>
          <cell r="H892" t="e">
            <v>#REF!</v>
          </cell>
        </row>
        <row r="893">
          <cell r="A893">
            <v>0</v>
          </cell>
          <cell r="B893">
            <v>0</v>
          </cell>
          <cell r="C893">
            <v>0</v>
          </cell>
          <cell r="D893">
            <v>14.3</v>
          </cell>
          <cell r="E893">
            <v>0</v>
          </cell>
          <cell r="F893">
            <v>0</v>
          </cell>
          <cell r="G893" t="e">
            <v>#REF!</v>
          </cell>
          <cell r="H893" t="e">
            <v>#REF!</v>
          </cell>
        </row>
        <row r="894">
          <cell r="A894">
            <v>0</v>
          </cell>
          <cell r="B894">
            <v>0</v>
          </cell>
          <cell r="C894">
            <v>0</v>
          </cell>
          <cell r="D894">
            <v>10.6</v>
          </cell>
          <cell r="E894">
            <v>0</v>
          </cell>
          <cell r="F894">
            <v>0</v>
          </cell>
          <cell r="G894" t="e">
            <v>#REF!</v>
          </cell>
          <cell r="H894" t="e">
            <v>#REF!</v>
          </cell>
        </row>
        <row r="895">
          <cell r="A895">
            <v>0</v>
          </cell>
          <cell r="B895">
            <v>0</v>
          </cell>
          <cell r="C895">
            <v>0</v>
          </cell>
          <cell r="D895">
            <v>7.9</v>
          </cell>
          <cell r="E895">
            <v>0</v>
          </cell>
          <cell r="F895">
            <v>0</v>
          </cell>
          <cell r="G895" t="e">
            <v>#REF!</v>
          </cell>
          <cell r="H895" t="e">
            <v>#REF!</v>
          </cell>
        </row>
        <row r="896">
          <cell r="A896">
            <v>0</v>
          </cell>
          <cell r="B896">
            <v>0</v>
          </cell>
          <cell r="C896">
            <v>0</v>
          </cell>
          <cell r="D896">
            <v>5.9</v>
          </cell>
          <cell r="E896">
            <v>0</v>
          </cell>
          <cell r="F896">
            <v>0</v>
          </cell>
          <cell r="G896" t="e">
            <v>#REF!</v>
          </cell>
          <cell r="H896" t="e">
            <v>#REF!</v>
          </cell>
        </row>
        <row r="897">
          <cell r="A897">
            <v>0</v>
          </cell>
          <cell r="B897">
            <v>0</v>
          </cell>
          <cell r="C897">
            <v>0</v>
          </cell>
          <cell r="D897">
            <v>4.4000000000000004</v>
          </cell>
          <cell r="E897">
            <v>0</v>
          </cell>
          <cell r="F897">
            <v>0</v>
          </cell>
          <cell r="G897" t="e">
            <v>#REF!</v>
          </cell>
          <cell r="H897" t="e">
            <v>#REF!</v>
          </cell>
        </row>
        <row r="898">
          <cell r="A898">
            <v>0</v>
          </cell>
          <cell r="B898">
            <v>0</v>
          </cell>
          <cell r="C898">
            <v>0</v>
          </cell>
          <cell r="D898">
            <v>3.3</v>
          </cell>
          <cell r="E898">
            <v>0</v>
          </cell>
          <cell r="F898">
            <v>0</v>
          </cell>
          <cell r="G898" t="e">
            <v>#REF!</v>
          </cell>
          <cell r="H898" t="e">
            <v>#REF!</v>
          </cell>
        </row>
        <row r="899">
          <cell r="A899">
            <v>0</v>
          </cell>
          <cell r="B899">
            <v>0</v>
          </cell>
          <cell r="C899">
            <v>0</v>
          </cell>
          <cell r="D899">
            <v>2.4</v>
          </cell>
          <cell r="E899">
            <v>0</v>
          </cell>
          <cell r="F899">
            <v>0</v>
          </cell>
          <cell r="G899" t="e">
            <v>#REF!</v>
          </cell>
          <cell r="H899" t="e">
            <v>#REF!</v>
          </cell>
        </row>
        <row r="900">
          <cell r="A900">
            <v>0</v>
          </cell>
          <cell r="B900">
            <v>0</v>
          </cell>
          <cell r="C900">
            <v>0</v>
          </cell>
          <cell r="D900">
            <v>1.8</v>
          </cell>
          <cell r="E900">
            <v>0</v>
          </cell>
          <cell r="F900">
            <v>0</v>
          </cell>
          <cell r="G900" t="e">
            <v>#REF!</v>
          </cell>
          <cell r="H900" t="e">
            <v>#REF!</v>
          </cell>
        </row>
        <row r="901">
          <cell r="A901">
            <v>0</v>
          </cell>
          <cell r="B901">
            <v>0</v>
          </cell>
          <cell r="C901">
            <v>0</v>
          </cell>
          <cell r="D901">
            <v>1.3</v>
          </cell>
          <cell r="E901">
            <v>0</v>
          </cell>
          <cell r="F901">
            <v>0</v>
          </cell>
          <cell r="G901" t="e">
            <v>#REF!</v>
          </cell>
          <cell r="H901" t="e">
            <v>#REF!</v>
          </cell>
        </row>
        <row r="902">
          <cell r="A902">
            <v>0</v>
          </cell>
          <cell r="B902">
            <v>0</v>
          </cell>
          <cell r="C902">
            <v>0</v>
          </cell>
          <cell r="D902">
            <v>1</v>
          </cell>
          <cell r="E902">
            <v>0</v>
          </cell>
          <cell r="F902">
            <v>0</v>
          </cell>
          <cell r="G902" t="e">
            <v>#REF!</v>
          </cell>
          <cell r="H902" t="e">
            <v>#REF!</v>
          </cell>
        </row>
        <row r="903">
          <cell r="A903">
            <v>0</v>
          </cell>
          <cell r="B903">
            <v>0</v>
          </cell>
          <cell r="C903">
            <v>0</v>
          </cell>
          <cell r="D903">
            <v>1</v>
          </cell>
          <cell r="E903">
            <v>0</v>
          </cell>
          <cell r="F903">
            <v>0</v>
          </cell>
          <cell r="G903" t="e">
            <v>#REF!</v>
          </cell>
          <cell r="H903" t="e">
            <v>#REF!</v>
          </cell>
        </row>
        <row r="904">
          <cell r="A904">
            <v>0</v>
          </cell>
          <cell r="B904">
            <v>0</v>
          </cell>
          <cell r="C904">
            <v>0</v>
          </cell>
          <cell r="D904">
            <v>1</v>
          </cell>
          <cell r="E904">
            <v>0</v>
          </cell>
          <cell r="F904">
            <v>0</v>
          </cell>
          <cell r="G904" t="e">
            <v>#REF!</v>
          </cell>
          <cell r="H904" t="e">
            <v>#REF!</v>
          </cell>
          <cell r="I904">
            <v>0</v>
          </cell>
        </row>
      </sheetData>
      <sheetData sheetId="13"/>
      <sheetData sheetId="14"/>
      <sheetData sheetId="15"/>
      <sheetData sheetId="16"/>
      <sheetData sheetId="17"/>
      <sheetData sheetId="18"/>
      <sheetData sheetId="19"/>
      <sheetData sheetId="20">
        <row r="29">
          <cell r="B29">
            <v>1</v>
          </cell>
          <cell r="C29">
            <v>101</v>
          </cell>
          <cell r="E29" t="e">
            <v>#N/A</v>
          </cell>
          <cell r="F29" t="e">
            <v>#N/A</v>
          </cell>
          <cell r="H29" t="e">
            <v>#N/A</v>
          </cell>
          <cell r="I29" t="e">
            <v>#N/A</v>
          </cell>
          <cell r="J29" t="e">
            <v>#N/A</v>
          </cell>
          <cell r="K29" t="e">
            <v>#N/A</v>
          </cell>
          <cell r="X29" t="e">
            <v>#N/A</v>
          </cell>
          <cell r="Y29" t="e">
            <v>#N/A</v>
          </cell>
        </row>
        <row r="30">
          <cell r="B30">
            <v>2</v>
          </cell>
          <cell r="C30">
            <v>102</v>
          </cell>
          <cell r="E30" t="str">
            <v>LEF-R-2</v>
          </cell>
          <cell r="F30">
            <v>10</v>
          </cell>
          <cell r="H30">
            <v>4</v>
          </cell>
          <cell r="I30">
            <v>190</v>
          </cell>
          <cell r="J30">
            <v>14.3</v>
          </cell>
          <cell r="K30">
            <v>288</v>
          </cell>
          <cell r="X30">
            <v>400</v>
          </cell>
          <cell r="Y30">
            <v>0</v>
          </cell>
        </row>
        <row r="31">
          <cell r="B31">
            <v>3</v>
          </cell>
          <cell r="C31">
            <v>103</v>
          </cell>
          <cell r="E31" t="str">
            <v>LEF-R-2</v>
          </cell>
          <cell r="F31">
            <v>10</v>
          </cell>
          <cell r="H31">
            <v>6</v>
          </cell>
          <cell r="I31">
            <v>190</v>
          </cell>
          <cell r="J31">
            <v>14.3</v>
          </cell>
          <cell r="K31">
            <v>391</v>
          </cell>
          <cell r="X31">
            <v>400</v>
          </cell>
          <cell r="Y31">
            <v>0</v>
          </cell>
        </row>
        <row r="32">
          <cell r="B32">
            <v>4</v>
          </cell>
          <cell r="C32">
            <v>104</v>
          </cell>
          <cell r="E32" t="str">
            <v>LEF-R-2</v>
          </cell>
          <cell r="F32">
            <v>10</v>
          </cell>
          <cell r="H32">
            <v>7</v>
          </cell>
          <cell r="I32">
            <v>190</v>
          </cell>
          <cell r="J32">
            <v>14.3</v>
          </cell>
          <cell r="K32">
            <v>8</v>
          </cell>
          <cell r="X32">
            <v>400</v>
          </cell>
          <cell r="Y32">
            <v>0</v>
          </cell>
        </row>
        <row r="33">
          <cell r="B33">
            <v>5</v>
          </cell>
          <cell r="C33">
            <v>105</v>
          </cell>
          <cell r="E33" t="str">
            <v>LEF-R-2</v>
          </cell>
          <cell r="F33">
            <v>10</v>
          </cell>
          <cell r="H33">
            <v>8</v>
          </cell>
          <cell r="I33">
            <v>260</v>
          </cell>
          <cell r="J33">
            <v>10.6</v>
          </cell>
          <cell r="K33">
            <v>25</v>
          </cell>
          <cell r="X33">
            <v>400</v>
          </cell>
          <cell r="Y33">
            <v>0</v>
          </cell>
        </row>
        <row r="34">
          <cell r="B34">
            <v>6</v>
          </cell>
          <cell r="C34">
            <v>101</v>
          </cell>
          <cell r="E34" t="e">
            <v>#N/A</v>
          </cell>
          <cell r="F34" t="e">
            <v>#N/A</v>
          </cell>
          <cell r="H34" t="e">
            <v>#N/A</v>
          </cell>
          <cell r="I34" t="e">
            <v>#N/A</v>
          </cell>
          <cell r="J34" t="e">
            <v>#N/A</v>
          </cell>
          <cell r="K34" t="e">
            <v>#N/A</v>
          </cell>
          <cell r="X34" t="e">
            <v>#N/A</v>
          </cell>
          <cell r="Y34" t="e">
            <v>#N/A</v>
          </cell>
        </row>
        <row r="35">
          <cell r="B35">
            <v>7</v>
          </cell>
          <cell r="C35">
            <v>101</v>
          </cell>
          <cell r="E35" t="e">
            <v>#N/A</v>
          </cell>
          <cell r="F35" t="e">
            <v>#N/A</v>
          </cell>
          <cell r="H35" t="e">
            <v>#N/A</v>
          </cell>
          <cell r="I35" t="e">
            <v>#N/A</v>
          </cell>
          <cell r="J35" t="e">
            <v>#N/A</v>
          </cell>
          <cell r="K35" t="e">
            <v>#N/A</v>
          </cell>
          <cell r="X35" t="e">
            <v>#N/A</v>
          </cell>
          <cell r="Y35" t="e">
            <v>#N/A</v>
          </cell>
        </row>
        <row r="36">
          <cell r="B36">
            <v>8</v>
          </cell>
          <cell r="C36">
            <v>101</v>
          </cell>
          <cell r="E36" t="e">
            <v>#N/A</v>
          </cell>
          <cell r="F36" t="e">
            <v>#N/A</v>
          </cell>
          <cell r="H36" t="e">
            <v>#N/A</v>
          </cell>
          <cell r="I36" t="e">
            <v>#N/A</v>
          </cell>
          <cell r="J36" t="e">
            <v>#N/A</v>
          </cell>
          <cell r="K36" t="e">
            <v>#N/A</v>
          </cell>
          <cell r="X36" t="e">
            <v>#N/A</v>
          </cell>
          <cell r="Y36" t="e">
            <v>#N/A</v>
          </cell>
        </row>
        <row r="37">
          <cell r="B37">
            <v>9</v>
          </cell>
          <cell r="C37">
            <v>101</v>
          </cell>
          <cell r="E37" t="e">
            <v>#N/A</v>
          </cell>
          <cell r="F37" t="e">
            <v>#N/A</v>
          </cell>
          <cell r="H37" t="e">
            <v>#N/A</v>
          </cell>
          <cell r="I37" t="e">
            <v>#N/A</v>
          </cell>
          <cell r="J37" t="e">
            <v>#N/A</v>
          </cell>
          <cell r="K37" t="e">
            <v>#N/A</v>
          </cell>
          <cell r="X37" t="e">
            <v>#N/A</v>
          </cell>
          <cell r="Y37" t="e">
            <v>#N/A</v>
          </cell>
        </row>
        <row r="38">
          <cell r="B38">
            <v>10</v>
          </cell>
          <cell r="C38">
            <v>101</v>
          </cell>
          <cell r="E38" t="e">
            <v>#N/A</v>
          </cell>
          <cell r="F38" t="e">
            <v>#N/A</v>
          </cell>
          <cell r="H38" t="e">
            <v>#N/A</v>
          </cell>
          <cell r="I38" t="e">
            <v>#N/A</v>
          </cell>
          <cell r="J38" t="e">
            <v>#N/A</v>
          </cell>
          <cell r="K38" t="e">
            <v>#N/A</v>
          </cell>
          <cell r="X38" t="e">
            <v>#N/A</v>
          </cell>
          <cell r="Y38" t="e">
            <v>#N/A</v>
          </cell>
        </row>
        <row r="39">
          <cell r="B39">
            <v>11</v>
          </cell>
          <cell r="C39">
            <v>101</v>
          </cell>
          <cell r="E39" t="e">
            <v>#N/A</v>
          </cell>
          <cell r="F39" t="e">
            <v>#N/A</v>
          </cell>
          <cell r="H39" t="e">
            <v>#N/A</v>
          </cell>
          <cell r="I39" t="e">
            <v>#N/A</v>
          </cell>
          <cell r="J39" t="e">
            <v>#N/A</v>
          </cell>
          <cell r="K39" t="e">
            <v>#N/A</v>
          </cell>
          <cell r="X39" t="e">
            <v>#N/A</v>
          </cell>
          <cell r="Y39" t="e">
            <v>#N/A</v>
          </cell>
        </row>
        <row r="40">
          <cell r="B40">
            <v>12</v>
          </cell>
          <cell r="C40">
            <v>101</v>
          </cell>
          <cell r="E40" t="e">
            <v>#N/A</v>
          </cell>
          <cell r="F40" t="e">
            <v>#N/A</v>
          </cell>
          <cell r="H40" t="e">
            <v>#N/A</v>
          </cell>
          <cell r="I40" t="e">
            <v>#N/A</v>
          </cell>
          <cell r="J40" t="e">
            <v>#N/A</v>
          </cell>
          <cell r="K40" t="e">
            <v>#N/A</v>
          </cell>
          <cell r="X40" t="e">
            <v>#N/A</v>
          </cell>
          <cell r="Y40" t="e">
            <v>#N/A</v>
          </cell>
        </row>
        <row r="41">
          <cell r="B41">
            <v>13</v>
          </cell>
          <cell r="C41">
            <v>101</v>
          </cell>
          <cell r="E41" t="e">
            <v>#N/A</v>
          </cell>
          <cell r="F41" t="e">
            <v>#N/A</v>
          </cell>
          <cell r="H41" t="e">
            <v>#N/A</v>
          </cell>
          <cell r="I41" t="e">
            <v>#N/A</v>
          </cell>
          <cell r="J41" t="e">
            <v>#N/A</v>
          </cell>
          <cell r="K41" t="e">
            <v>#N/A</v>
          </cell>
          <cell r="X41" t="e">
            <v>#N/A</v>
          </cell>
          <cell r="Y41" t="e">
            <v>#N/A</v>
          </cell>
        </row>
        <row r="42">
          <cell r="B42">
            <v>14</v>
          </cell>
          <cell r="C42">
            <v>101</v>
          </cell>
          <cell r="E42" t="e">
            <v>#N/A</v>
          </cell>
          <cell r="F42" t="e">
            <v>#N/A</v>
          </cell>
          <cell r="H42" t="e">
            <v>#N/A</v>
          </cell>
          <cell r="I42" t="e">
            <v>#N/A</v>
          </cell>
          <cell r="J42" t="e">
            <v>#N/A</v>
          </cell>
          <cell r="K42" t="e">
            <v>#N/A</v>
          </cell>
          <cell r="X42" t="e">
            <v>#N/A</v>
          </cell>
          <cell r="Y42" t="e">
            <v>#N/A</v>
          </cell>
        </row>
        <row r="43">
          <cell r="B43">
            <v>15</v>
          </cell>
          <cell r="C43">
            <v>101</v>
          </cell>
          <cell r="E43" t="e">
            <v>#N/A</v>
          </cell>
          <cell r="F43" t="e">
            <v>#N/A</v>
          </cell>
          <cell r="H43" t="e">
            <v>#N/A</v>
          </cell>
          <cell r="I43" t="e">
            <v>#N/A</v>
          </cell>
          <cell r="J43" t="e">
            <v>#N/A</v>
          </cell>
          <cell r="K43" t="e">
            <v>#N/A</v>
          </cell>
          <cell r="X43" t="e">
            <v>#N/A</v>
          </cell>
          <cell r="Y43" t="e">
            <v>#N/A</v>
          </cell>
        </row>
        <row r="44">
          <cell r="B44">
            <v>0</v>
          </cell>
          <cell r="C44">
            <v>0</v>
          </cell>
          <cell r="E44">
            <v>0</v>
          </cell>
          <cell r="F44">
            <v>0</v>
          </cell>
          <cell r="H44">
            <v>0</v>
          </cell>
          <cell r="I44">
            <v>0</v>
          </cell>
          <cell r="J44">
            <v>0</v>
          </cell>
          <cell r="K44">
            <v>0</v>
          </cell>
          <cell r="X44">
            <v>0</v>
          </cell>
          <cell r="Y44">
            <v>0</v>
          </cell>
        </row>
        <row r="45">
          <cell r="B45">
            <v>0</v>
          </cell>
          <cell r="C45">
            <v>0</v>
          </cell>
          <cell r="E45">
            <v>0</v>
          </cell>
          <cell r="F45">
            <v>0</v>
          </cell>
          <cell r="H45">
            <v>0</v>
          </cell>
          <cell r="I45">
            <v>0</v>
          </cell>
          <cell r="J45">
            <v>0</v>
          </cell>
          <cell r="K45">
            <v>0</v>
          </cell>
          <cell r="X45">
            <v>0</v>
          </cell>
          <cell r="Y45">
            <v>0</v>
          </cell>
        </row>
        <row r="46">
          <cell r="B46">
            <v>0</v>
          </cell>
          <cell r="C46">
            <v>0</v>
          </cell>
          <cell r="E46">
            <v>0</v>
          </cell>
          <cell r="F46">
            <v>0</v>
          </cell>
          <cell r="H46">
            <v>0</v>
          </cell>
          <cell r="I46">
            <v>0</v>
          </cell>
          <cell r="J46">
            <v>0</v>
          </cell>
          <cell r="K46">
            <v>0</v>
          </cell>
          <cell r="X46">
            <v>0</v>
          </cell>
          <cell r="Y46">
            <v>0</v>
          </cell>
        </row>
        <row r="47">
          <cell r="B47">
            <v>0</v>
          </cell>
          <cell r="C47">
            <v>0</v>
          </cell>
          <cell r="E47">
            <v>0</v>
          </cell>
          <cell r="F47">
            <v>0</v>
          </cell>
          <cell r="H47">
            <v>0</v>
          </cell>
          <cell r="I47">
            <v>0</v>
          </cell>
          <cell r="J47">
            <v>0</v>
          </cell>
          <cell r="K47">
            <v>0</v>
          </cell>
          <cell r="X47">
            <v>0</v>
          </cell>
          <cell r="Y47">
            <v>0</v>
          </cell>
        </row>
        <row r="48">
          <cell r="B48" t="str">
            <v>POST- REVIEW RE-RUNS</v>
          </cell>
          <cell r="C48">
            <v>0</v>
          </cell>
          <cell r="E48">
            <v>0</v>
          </cell>
          <cell r="F48">
            <v>0</v>
          </cell>
          <cell r="H48">
            <v>0</v>
          </cell>
          <cell r="I48">
            <v>0</v>
          </cell>
          <cell r="J48">
            <v>0</v>
          </cell>
          <cell r="K48">
            <v>0</v>
          </cell>
          <cell r="X48">
            <v>0</v>
          </cell>
          <cell r="Y48">
            <v>0</v>
          </cell>
        </row>
        <row r="49">
          <cell r="B49">
            <v>0</v>
          </cell>
          <cell r="C49">
            <v>0</v>
          </cell>
          <cell r="E49">
            <v>0</v>
          </cell>
          <cell r="F49">
            <v>0</v>
          </cell>
          <cell r="H49">
            <v>0</v>
          </cell>
          <cell r="I49">
            <v>0</v>
          </cell>
          <cell r="J49">
            <v>0</v>
          </cell>
          <cell r="K49">
            <v>0</v>
          </cell>
          <cell r="X49">
            <v>0</v>
          </cell>
          <cell r="Y49">
            <v>0</v>
          </cell>
        </row>
        <row r="50">
          <cell r="B50">
            <v>0</v>
          </cell>
          <cell r="C50">
            <v>0</v>
          </cell>
          <cell r="E50">
            <v>0</v>
          </cell>
          <cell r="F50">
            <v>0</v>
          </cell>
          <cell r="H50">
            <v>0</v>
          </cell>
          <cell r="I50">
            <v>0</v>
          </cell>
          <cell r="J50">
            <v>0</v>
          </cell>
          <cell r="K50">
            <v>0</v>
          </cell>
          <cell r="X50">
            <v>0</v>
          </cell>
          <cell r="Y50">
            <v>0</v>
          </cell>
        </row>
        <row r="51">
          <cell r="B51">
            <v>0</v>
          </cell>
          <cell r="C51">
            <v>0</v>
          </cell>
          <cell r="E51">
            <v>0</v>
          </cell>
          <cell r="F51">
            <v>0</v>
          </cell>
          <cell r="H51">
            <v>0</v>
          </cell>
          <cell r="I51">
            <v>0</v>
          </cell>
          <cell r="J51">
            <v>0</v>
          </cell>
          <cell r="K51">
            <v>0</v>
          </cell>
          <cell r="X51">
            <v>0</v>
          </cell>
          <cell r="Y51">
            <v>0</v>
          </cell>
        </row>
        <row r="52">
          <cell r="B52">
            <v>0</v>
          </cell>
          <cell r="C52">
            <v>0</v>
          </cell>
          <cell r="E52">
            <v>0</v>
          </cell>
          <cell r="F52">
            <v>0</v>
          </cell>
          <cell r="H52">
            <v>0</v>
          </cell>
          <cell r="I52">
            <v>0</v>
          </cell>
          <cell r="J52">
            <v>0</v>
          </cell>
          <cell r="K52">
            <v>0</v>
          </cell>
          <cell r="X52">
            <v>0</v>
          </cell>
          <cell r="Y52">
            <v>0</v>
          </cell>
        </row>
        <row r="63">
          <cell r="B63">
            <v>1</v>
          </cell>
          <cell r="C63">
            <v>1</v>
          </cell>
          <cell r="E63">
            <v>22.5</v>
          </cell>
          <cell r="G63" t="str">
            <v>Relatively low mean wind speed and peak gusts for  this site.</v>
          </cell>
        </row>
        <row r="64">
          <cell r="B64">
            <v>2</v>
          </cell>
          <cell r="C64">
            <v>2</v>
          </cell>
          <cell r="E64">
            <v>247.5</v>
          </cell>
          <cell r="G64" t="str">
            <v>Relatively low mean wind speed and peak gusts for  this site.</v>
          </cell>
        </row>
        <row r="65">
          <cell r="B65">
            <v>3</v>
          </cell>
          <cell r="C65">
            <v>10</v>
          </cell>
          <cell r="E65">
            <v>247.5</v>
          </cell>
          <cell r="G65" t="str">
            <v>Relatively low mean wind speed and peak gusts for  this site.</v>
          </cell>
        </row>
        <row r="66">
          <cell r="B66">
            <v>4</v>
          </cell>
          <cell r="C66">
            <v>10</v>
          </cell>
          <cell r="E66">
            <v>247.5</v>
          </cell>
          <cell r="G66" t="str">
            <v>Relatively low mean wind speed and peak gusts for  this site.</v>
          </cell>
        </row>
        <row r="67">
          <cell r="B67">
            <v>5</v>
          </cell>
          <cell r="C67">
            <v>10</v>
          </cell>
          <cell r="E67">
            <v>247.5</v>
          </cell>
          <cell r="G67" t="str">
            <v>Relatively low mean wind speed and peak gusts for  this site.</v>
          </cell>
        </row>
        <row r="68">
          <cell r="B68">
            <v>6</v>
          </cell>
          <cell r="C68">
            <v>10</v>
          </cell>
          <cell r="E68">
            <v>247.5</v>
          </cell>
          <cell r="G68" t="str">
            <v>Relatively low mean wind speed and peak gusts for  this site.</v>
          </cell>
        </row>
        <row r="69">
          <cell r="B69">
            <v>7</v>
          </cell>
          <cell r="C69">
            <v>10</v>
          </cell>
          <cell r="E69">
            <v>247.5</v>
          </cell>
          <cell r="G69" t="str">
            <v>Relatively low mean wind speed and peak gusts for  this site.</v>
          </cell>
        </row>
        <row r="70">
          <cell r="B70">
            <v>8</v>
          </cell>
          <cell r="C70">
            <v>10</v>
          </cell>
          <cell r="E70">
            <v>247.5</v>
          </cell>
          <cell r="G70" t="str">
            <v>Relatively low mean wind speed and peak gusts for  this site.</v>
          </cell>
        </row>
        <row r="71">
          <cell r="B71">
            <v>9</v>
          </cell>
          <cell r="C71">
            <v>10</v>
          </cell>
          <cell r="E71">
            <v>247.5</v>
          </cell>
          <cell r="G71" t="str">
            <v>Relatively low mean wind speed and peak gusts for  this site.</v>
          </cell>
        </row>
        <row r="72">
          <cell r="B72">
            <v>10</v>
          </cell>
          <cell r="C72">
            <v>10</v>
          </cell>
          <cell r="E72">
            <v>247.5</v>
          </cell>
          <cell r="G72" t="str">
            <v>Relatively low mean wind speed and peak gusts for  this site.</v>
          </cell>
        </row>
        <row r="73">
          <cell r="B73">
            <v>11</v>
          </cell>
          <cell r="C73">
            <v>10</v>
          </cell>
          <cell r="E73">
            <v>247.5</v>
          </cell>
          <cell r="G73" t="str">
            <v>Relatively low mean wind speed and peak gusts for  this site.</v>
          </cell>
        </row>
        <row r="74">
          <cell r="B74">
            <v>12</v>
          </cell>
          <cell r="C74">
            <v>10</v>
          </cell>
          <cell r="E74">
            <v>247.5</v>
          </cell>
          <cell r="G74" t="str">
            <v>Relatively low mean wind speed and peak gusts for  this site.</v>
          </cell>
        </row>
        <row r="75">
          <cell r="B75">
            <v>13</v>
          </cell>
          <cell r="C75">
            <v>10</v>
          </cell>
          <cell r="E75">
            <v>247.5</v>
          </cell>
          <cell r="G75" t="str">
            <v>Relatively low mean wind speed and peak gusts for  this site.</v>
          </cell>
        </row>
        <row r="76">
          <cell r="B76">
            <v>0</v>
          </cell>
          <cell r="C76">
            <v>0</v>
          </cell>
          <cell r="E76">
            <v>0</v>
          </cell>
          <cell r="G76">
            <v>0</v>
          </cell>
        </row>
      </sheetData>
      <sheetData sheetId="21">
        <row r="12">
          <cell r="C12" t="str">
            <v>101400</v>
          </cell>
          <cell r="J12">
            <v>3.8999999999999999E-5</v>
          </cell>
          <cell r="L12">
            <v>3.8999999999999999E-5</v>
          </cell>
        </row>
        <row r="13">
          <cell r="C13" t="str">
            <v>110400</v>
          </cell>
          <cell r="J13">
            <v>1.9580000000000001E-3</v>
          </cell>
          <cell r="L13">
            <v>1.9580000000000001E-3</v>
          </cell>
        </row>
        <row r="14">
          <cell r="C14" t="str">
            <v>112400</v>
          </cell>
          <cell r="J14">
            <v>7.2040000000000003E-3</v>
          </cell>
          <cell r="L14">
            <v>7.2040000000000003E-3</v>
          </cell>
        </row>
        <row r="15">
          <cell r="C15" t="str">
            <v>113400</v>
          </cell>
          <cell r="J15">
            <v>1.0250000000000001E-3</v>
          </cell>
          <cell r="L15">
            <v>1.0250000000000001E-3</v>
          </cell>
        </row>
        <row r="16">
          <cell r="C16" t="str">
            <v>124400</v>
          </cell>
          <cell r="J16">
            <v>3.9999999999999998E-6</v>
          </cell>
          <cell r="L16">
            <v>3.9999999999999998E-6</v>
          </cell>
        </row>
        <row r="17">
          <cell r="C17" t="str">
            <v>125400</v>
          </cell>
          <cell r="J17">
            <v>1.9889999999999999E-3</v>
          </cell>
          <cell r="L17">
            <v>1.9889999999999999E-3</v>
          </cell>
        </row>
        <row r="18">
          <cell r="C18" t="str">
            <v>201400</v>
          </cell>
          <cell r="J18">
            <v>7.8122999999999998E-2</v>
          </cell>
          <cell r="L18">
            <v>7.8122999999999998E-2</v>
          </cell>
        </row>
        <row r="19">
          <cell r="C19" t="str">
            <v>202400</v>
          </cell>
          <cell r="J19">
            <v>0.27914600000000001</v>
          </cell>
          <cell r="L19">
            <v>0.27914600000000001</v>
          </cell>
        </row>
        <row r="20">
          <cell r="C20" t="str">
            <v>204400</v>
          </cell>
          <cell r="J20">
            <v>3.0760000000000002E-3</v>
          </cell>
          <cell r="L20">
            <v>3.0760000000000002E-3</v>
          </cell>
        </row>
        <row r="21">
          <cell r="C21" t="str">
            <v>211400</v>
          </cell>
          <cell r="J21">
            <v>7.8587000000000004E-2</v>
          </cell>
          <cell r="L21">
            <v>7.8587000000000004E-2</v>
          </cell>
        </row>
        <row r="22">
          <cell r="C22" t="str">
            <v>223400</v>
          </cell>
          <cell r="J22">
            <v>3.908E-3</v>
          </cell>
          <cell r="L22">
            <v>3.908E-3</v>
          </cell>
        </row>
        <row r="23">
          <cell r="C23" t="str">
            <v>241400</v>
          </cell>
          <cell r="J23">
            <v>5.2108000000000002E-2</v>
          </cell>
          <cell r="L23">
            <v>5.2108000000000002E-2</v>
          </cell>
        </row>
        <row r="24">
          <cell r="C24" t="str">
            <v>242400</v>
          </cell>
          <cell r="J24">
            <v>7.1282999999999999E-2</v>
          </cell>
          <cell r="L24">
            <v>7.1282999999999999E-2</v>
          </cell>
        </row>
        <row r="25">
          <cell r="C25" t="str">
            <v>243400</v>
          </cell>
          <cell r="J25">
            <v>5.1303000000000001E-2</v>
          </cell>
          <cell r="L25">
            <v>5.1303000000000001E-2</v>
          </cell>
        </row>
        <row r="26">
          <cell r="C26" t="str">
            <v>244400</v>
          </cell>
          <cell r="J26">
            <v>3.2166E-2</v>
          </cell>
          <cell r="L26">
            <v>3.2166E-2</v>
          </cell>
        </row>
        <row r="27">
          <cell r="C27" t="str">
            <v>261400</v>
          </cell>
          <cell r="J27">
            <v>0.29858000000000001</v>
          </cell>
          <cell r="L27">
            <v>0.29858000000000001</v>
          </cell>
        </row>
        <row r="28">
          <cell r="C28" t="str">
            <v>262400</v>
          </cell>
          <cell r="J28">
            <v>0.28916999999999998</v>
          </cell>
          <cell r="L28">
            <v>0.28916999999999998</v>
          </cell>
        </row>
        <row r="29">
          <cell r="C29" t="str">
            <v>263400</v>
          </cell>
          <cell r="J29">
            <v>0.161797</v>
          </cell>
          <cell r="L29">
            <v>0.161797</v>
          </cell>
        </row>
        <row r="30">
          <cell r="C30" t="str">
            <v>281400</v>
          </cell>
          <cell r="J30">
            <v>8.8228000000000001E-2</v>
          </cell>
          <cell r="L30">
            <v>8.8228000000000001E-2</v>
          </cell>
        </row>
        <row r="31">
          <cell r="C31" t="str">
            <v>282400</v>
          </cell>
          <cell r="J31">
            <v>0.14310400000000001</v>
          </cell>
          <cell r="L31">
            <v>0.28496500000000002</v>
          </cell>
        </row>
        <row r="32">
          <cell r="C32" t="str">
            <v>282400</v>
          </cell>
          <cell r="J32">
            <v>0.14186099999999999</v>
          </cell>
          <cell r="L32" t="e">
            <v>#N/A</v>
          </cell>
        </row>
        <row r="33">
          <cell r="C33" t="str">
            <v>283400</v>
          </cell>
          <cell r="J33">
            <v>0.1658</v>
          </cell>
          <cell r="L33">
            <v>0.1658</v>
          </cell>
        </row>
        <row r="34">
          <cell r="C34" t="str">
            <v>284400</v>
          </cell>
          <cell r="J34">
            <v>9.0452000000000005E-2</v>
          </cell>
          <cell r="L34">
            <v>9.0452000000000005E-2</v>
          </cell>
        </row>
        <row r="35">
          <cell r="C35" t="str">
            <v>301400</v>
          </cell>
          <cell r="J35">
            <v>1.738E-3</v>
          </cell>
          <cell r="L35">
            <v>1.738E-3</v>
          </cell>
        </row>
        <row r="36">
          <cell r="C36" t="str">
            <v>303400</v>
          </cell>
          <cell r="J36">
            <v>5.9360000000000003E-3</v>
          </cell>
          <cell r="L36">
            <v>5.9360000000000003E-3</v>
          </cell>
        </row>
        <row r="37">
          <cell r="C37" t="str">
            <v>304400</v>
          </cell>
          <cell r="J37">
            <v>1.2086E-2</v>
          </cell>
          <cell r="L37">
            <v>1.2086E-2</v>
          </cell>
        </row>
        <row r="38">
          <cell r="C38" t="str">
            <v>321400</v>
          </cell>
          <cell r="J38">
            <v>3.3127999999999998E-2</v>
          </cell>
          <cell r="L38">
            <v>3.3127999999999998E-2</v>
          </cell>
        </row>
        <row r="39">
          <cell r="C39" t="str">
            <v>322400</v>
          </cell>
          <cell r="J39">
            <v>5.4504999999999998E-2</v>
          </cell>
          <cell r="L39">
            <v>5.4504999999999998E-2</v>
          </cell>
        </row>
        <row r="40">
          <cell r="C40" t="str">
            <v>323400</v>
          </cell>
          <cell r="J40">
            <v>4.0826000000000001E-2</v>
          </cell>
          <cell r="L40">
            <v>4.0826000000000001E-2</v>
          </cell>
        </row>
        <row r="41">
          <cell r="C41" t="str">
            <v>324400</v>
          </cell>
          <cell r="J41">
            <v>6.6804000000000002E-2</v>
          </cell>
          <cell r="L41">
            <v>6.6804000000000002E-2</v>
          </cell>
        </row>
        <row r="42">
          <cell r="C42" t="str">
            <v>341400</v>
          </cell>
          <cell r="J42">
            <v>5.3489999999999996E-3</v>
          </cell>
          <cell r="L42">
            <v>5.3489999999999996E-3</v>
          </cell>
        </row>
        <row r="43">
          <cell r="C43" t="str">
            <v>342400</v>
          </cell>
          <cell r="J43">
            <v>3.9643999999999999E-2</v>
          </cell>
          <cell r="L43">
            <v>3.9643999999999999E-2</v>
          </cell>
        </row>
        <row r="44">
          <cell r="C44" t="str">
            <v>343400</v>
          </cell>
          <cell r="J44">
            <v>4.9840000000000002E-2</v>
          </cell>
          <cell r="L44">
            <v>4.9840000000000002E-2</v>
          </cell>
        </row>
        <row r="45">
          <cell r="C45" t="str">
            <v>101623</v>
          </cell>
          <cell r="J45">
            <v>0</v>
          </cell>
          <cell r="L45">
            <v>0</v>
          </cell>
        </row>
        <row r="46">
          <cell r="C46" t="str">
            <v>110623</v>
          </cell>
          <cell r="J46">
            <v>1.1900000000000001E-4</v>
          </cell>
          <cell r="L46">
            <v>1.1900000000000001E-4</v>
          </cell>
        </row>
        <row r="47">
          <cell r="C47" t="str">
            <v>112623</v>
          </cell>
          <cell r="J47">
            <v>2.2160000000000001E-3</v>
          </cell>
          <cell r="L47">
            <v>2.2160000000000001E-3</v>
          </cell>
        </row>
        <row r="48">
          <cell r="C48" t="str">
            <v>113623</v>
          </cell>
          <cell r="J48">
            <v>9.9999999999999995E-7</v>
          </cell>
          <cell r="L48">
            <v>9.9999999999999995E-7</v>
          </cell>
        </row>
        <row r="49">
          <cell r="C49" t="str">
            <v>124623</v>
          </cell>
          <cell r="J49">
            <v>0</v>
          </cell>
          <cell r="L49">
            <v>0</v>
          </cell>
        </row>
        <row r="50">
          <cell r="C50" t="str">
            <v>125623</v>
          </cell>
          <cell r="J50">
            <v>0</v>
          </cell>
          <cell r="L50">
            <v>0</v>
          </cell>
        </row>
        <row r="51">
          <cell r="C51" t="str">
            <v>201623</v>
          </cell>
          <cell r="J51">
            <v>6.9298999999999999E-2</v>
          </cell>
          <cell r="L51">
            <v>6.9298999999999999E-2</v>
          </cell>
        </row>
        <row r="52">
          <cell r="C52" t="str">
            <v>202623</v>
          </cell>
          <cell r="J52">
            <v>0.18318000000000001</v>
          </cell>
          <cell r="L52">
            <v>0.18318000000000001</v>
          </cell>
        </row>
        <row r="53">
          <cell r="C53" t="str">
            <v>204623</v>
          </cell>
          <cell r="J53">
            <v>1.0430000000000001E-3</v>
          </cell>
          <cell r="L53">
            <v>1.0430000000000001E-3</v>
          </cell>
        </row>
        <row r="54">
          <cell r="C54" t="str">
            <v>211623</v>
          </cell>
          <cell r="J54">
            <v>5.9901000000000003E-2</v>
          </cell>
          <cell r="L54">
            <v>5.9901000000000003E-2</v>
          </cell>
        </row>
        <row r="55">
          <cell r="C55" t="str">
            <v>223623</v>
          </cell>
          <cell r="J55">
            <v>0</v>
          </cell>
          <cell r="L55">
            <v>0</v>
          </cell>
        </row>
        <row r="56">
          <cell r="C56" t="str">
            <v>241623</v>
          </cell>
          <cell r="J56">
            <v>1.4759E-2</v>
          </cell>
          <cell r="L56">
            <v>1.4759E-2</v>
          </cell>
        </row>
        <row r="57">
          <cell r="C57" t="str">
            <v>242623</v>
          </cell>
          <cell r="J57">
            <v>7.5180000000000004E-3</v>
          </cell>
          <cell r="L57">
            <v>7.5180000000000004E-3</v>
          </cell>
        </row>
        <row r="58">
          <cell r="C58" t="str">
            <v>243623</v>
          </cell>
          <cell r="J58">
            <v>2.7126000000000001E-2</v>
          </cell>
          <cell r="L58">
            <v>2.7126000000000001E-2</v>
          </cell>
        </row>
        <row r="59">
          <cell r="C59" t="str">
            <v>244623</v>
          </cell>
          <cell r="J59">
            <v>0</v>
          </cell>
          <cell r="L59">
            <v>0</v>
          </cell>
        </row>
        <row r="60">
          <cell r="C60" t="str">
            <v>261623</v>
          </cell>
          <cell r="J60">
            <v>0.264677</v>
          </cell>
          <cell r="L60">
            <v>0.264677</v>
          </cell>
        </row>
        <row r="61">
          <cell r="C61" t="str">
            <v>262623</v>
          </cell>
          <cell r="J61">
            <v>0.259745</v>
          </cell>
          <cell r="L61">
            <v>0.259745</v>
          </cell>
        </row>
        <row r="62">
          <cell r="C62" t="str">
            <v>263623</v>
          </cell>
          <cell r="J62">
            <v>0.14715700000000001</v>
          </cell>
          <cell r="L62">
            <v>0.14715700000000001</v>
          </cell>
        </row>
        <row r="63">
          <cell r="C63" t="str">
            <v>281623</v>
          </cell>
          <cell r="J63">
            <v>5.8438999999999998E-2</v>
          </cell>
          <cell r="L63">
            <v>5.8438999999999998E-2</v>
          </cell>
        </row>
        <row r="64">
          <cell r="C64" t="str">
            <v>282623</v>
          </cell>
          <cell r="J64">
            <v>0.132801</v>
          </cell>
          <cell r="L64">
            <v>0.263295</v>
          </cell>
        </row>
        <row r="65">
          <cell r="C65" t="str">
            <v>282623</v>
          </cell>
          <cell r="J65">
            <v>0.130494</v>
          </cell>
          <cell r="L65" t="e">
            <v>#N/A</v>
          </cell>
        </row>
        <row r="66">
          <cell r="C66" t="str">
            <v>283623</v>
          </cell>
          <cell r="J66">
            <v>0.13602400000000001</v>
          </cell>
          <cell r="L66">
            <v>0.13602400000000001</v>
          </cell>
        </row>
        <row r="67">
          <cell r="C67" t="str">
            <v>284623</v>
          </cell>
          <cell r="J67">
            <v>5.0416999999999997E-2</v>
          </cell>
          <cell r="L67">
            <v>5.0416999999999997E-2</v>
          </cell>
        </row>
        <row r="68">
          <cell r="C68" t="str">
            <v>301623</v>
          </cell>
          <cell r="J68">
            <v>0</v>
          </cell>
          <cell r="L68">
            <v>0</v>
          </cell>
        </row>
        <row r="69">
          <cell r="C69" t="str">
            <v>303623</v>
          </cell>
          <cell r="J69">
            <v>0</v>
          </cell>
          <cell r="L69">
            <v>0</v>
          </cell>
        </row>
        <row r="70">
          <cell r="C70" t="str">
            <v>304623</v>
          </cell>
          <cell r="J70">
            <v>0</v>
          </cell>
          <cell r="L70">
            <v>0</v>
          </cell>
        </row>
        <row r="71">
          <cell r="C71" t="str">
            <v>321623</v>
          </cell>
          <cell r="J71">
            <v>2.7629000000000001E-2</v>
          </cell>
          <cell r="L71">
            <v>2.7629000000000001E-2</v>
          </cell>
        </row>
        <row r="72">
          <cell r="C72" t="str">
            <v>322623</v>
          </cell>
          <cell r="J72">
            <v>4.2543999999999998E-2</v>
          </cell>
          <cell r="L72">
            <v>4.2543999999999998E-2</v>
          </cell>
        </row>
        <row r="73">
          <cell r="C73" t="str">
            <v>323623</v>
          </cell>
          <cell r="J73">
            <v>2.4579E-2</v>
          </cell>
          <cell r="L73">
            <v>2.4579E-2</v>
          </cell>
        </row>
        <row r="74">
          <cell r="C74" t="str">
            <v>324623</v>
          </cell>
          <cell r="J74">
            <v>3.1628999999999997E-2</v>
          </cell>
          <cell r="L74">
            <v>3.1628999999999997E-2</v>
          </cell>
        </row>
        <row r="75">
          <cell r="C75" t="str">
            <v>341623</v>
          </cell>
          <cell r="J75">
            <v>2.6319999999999998E-3</v>
          </cell>
          <cell r="L75">
            <v>2.6319999999999998E-3</v>
          </cell>
        </row>
        <row r="76">
          <cell r="C76" t="str">
            <v>342623</v>
          </cell>
          <cell r="J76">
            <v>2.2341E-2</v>
          </cell>
          <cell r="L76">
            <v>2.2341E-2</v>
          </cell>
        </row>
        <row r="77">
          <cell r="C77" t="str">
            <v>343623</v>
          </cell>
          <cell r="J77">
            <v>3.2306000000000001E-2</v>
          </cell>
          <cell r="L77">
            <v>3.2306000000000001E-2</v>
          </cell>
        </row>
        <row r="78">
          <cell r="C78" t="str">
            <v>1013114</v>
          </cell>
          <cell r="J78">
            <v>0</v>
          </cell>
          <cell r="L78">
            <v>0</v>
          </cell>
        </row>
        <row r="79">
          <cell r="C79" t="str">
            <v>1103114</v>
          </cell>
          <cell r="J79">
            <v>0</v>
          </cell>
          <cell r="L79">
            <v>0</v>
          </cell>
        </row>
        <row r="80">
          <cell r="C80" t="str">
            <v>1123114</v>
          </cell>
          <cell r="J80">
            <v>0</v>
          </cell>
          <cell r="L80">
            <v>0</v>
          </cell>
        </row>
        <row r="81">
          <cell r="C81" t="str">
            <v>1133114</v>
          </cell>
          <cell r="J81">
            <v>0</v>
          </cell>
          <cell r="L81">
            <v>0</v>
          </cell>
        </row>
        <row r="82">
          <cell r="C82" t="str">
            <v>1243114</v>
          </cell>
          <cell r="J82">
            <v>0</v>
          </cell>
          <cell r="L82">
            <v>0</v>
          </cell>
        </row>
        <row r="83">
          <cell r="C83" t="str">
            <v>1253114</v>
          </cell>
          <cell r="J83">
            <v>0</v>
          </cell>
          <cell r="L83">
            <v>0</v>
          </cell>
        </row>
        <row r="84">
          <cell r="C84" t="str">
            <v>2013114</v>
          </cell>
          <cell r="J84">
            <v>9.8689999999999993E-3</v>
          </cell>
          <cell r="L84">
            <v>9.8689999999999993E-3</v>
          </cell>
        </row>
        <row r="85">
          <cell r="C85" t="str">
            <v>2023114</v>
          </cell>
          <cell r="J85">
            <v>0</v>
          </cell>
          <cell r="L85">
            <v>0</v>
          </cell>
        </row>
        <row r="86">
          <cell r="C86" t="str">
            <v>2043114</v>
          </cell>
          <cell r="J86">
            <v>0</v>
          </cell>
          <cell r="L86">
            <v>0</v>
          </cell>
        </row>
        <row r="87">
          <cell r="C87" t="str">
            <v>2113114</v>
          </cell>
          <cell r="J87">
            <v>0</v>
          </cell>
          <cell r="L87">
            <v>0</v>
          </cell>
        </row>
        <row r="88">
          <cell r="C88" t="str">
            <v>2233114</v>
          </cell>
          <cell r="J88">
            <v>0</v>
          </cell>
          <cell r="L88">
            <v>0</v>
          </cell>
        </row>
        <row r="89">
          <cell r="C89" t="str">
            <v>2413114</v>
          </cell>
          <cell r="J89">
            <v>0</v>
          </cell>
          <cell r="L89">
            <v>0</v>
          </cell>
        </row>
        <row r="90">
          <cell r="C90" t="str">
            <v>2423114</v>
          </cell>
          <cell r="J90">
            <v>0</v>
          </cell>
          <cell r="L90">
            <v>0</v>
          </cell>
        </row>
        <row r="91">
          <cell r="C91" t="str">
            <v>2433114</v>
          </cell>
          <cell r="J91">
            <v>0</v>
          </cell>
          <cell r="L91">
            <v>0</v>
          </cell>
        </row>
        <row r="92">
          <cell r="C92" t="str">
            <v>2443114</v>
          </cell>
          <cell r="J92">
            <v>0</v>
          </cell>
          <cell r="L92">
            <v>0</v>
          </cell>
        </row>
        <row r="93">
          <cell r="C93" t="str">
            <v>2613114</v>
          </cell>
          <cell r="J93">
            <v>2.0140999999999999E-2</v>
          </cell>
          <cell r="L93">
            <v>2.0140999999999999E-2</v>
          </cell>
        </row>
        <row r="94">
          <cell r="C94" t="str">
            <v>2623114</v>
          </cell>
          <cell r="J94">
            <v>1.8780999999999999E-2</v>
          </cell>
          <cell r="L94">
            <v>1.8780999999999999E-2</v>
          </cell>
        </row>
        <row r="95">
          <cell r="C95" t="str">
            <v>2633114</v>
          </cell>
          <cell r="J95">
            <v>6.6694000000000003E-2</v>
          </cell>
          <cell r="L95">
            <v>6.6694000000000003E-2</v>
          </cell>
        </row>
        <row r="96">
          <cell r="C96" t="str">
            <v>2813114</v>
          </cell>
          <cell r="J96">
            <v>3.088E-3</v>
          </cell>
          <cell r="L96">
            <v>3.088E-3</v>
          </cell>
        </row>
        <row r="97">
          <cell r="C97" t="str">
            <v>2823114</v>
          </cell>
          <cell r="J97">
            <v>0</v>
          </cell>
          <cell r="L97">
            <v>3.653E-2</v>
          </cell>
        </row>
        <row r="98">
          <cell r="C98" t="str">
            <v>2823114</v>
          </cell>
          <cell r="J98">
            <v>3.653E-2</v>
          </cell>
          <cell r="L98" t="e">
            <v>#N/A</v>
          </cell>
        </row>
        <row r="99">
          <cell r="C99" t="str">
            <v>2833114</v>
          </cell>
          <cell r="J99">
            <v>1.6018999999999999E-2</v>
          </cell>
          <cell r="L99">
            <v>1.6018999999999999E-2</v>
          </cell>
        </row>
        <row r="100">
          <cell r="C100" t="str">
            <v>2843114</v>
          </cell>
          <cell r="J100">
            <v>5.2899999999999996E-4</v>
          </cell>
          <cell r="L100">
            <v>5.2899999999999996E-4</v>
          </cell>
        </row>
        <row r="101">
          <cell r="C101" t="str">
            <v>3013114</v>
          </cell>
          <cell r="J101">
            <v>0</v>
          </cell>
          <cell r="L101">
            <v>0</v>
          </cell>
        </row>
        <row r="102">
          <cell r="C102" t="str">
            <v>3033114</v>
          </cell>
          <cell r="J102">
            <v>0</v>
          </cell>
          <cell r="L102">
            <v>0</v>
          </cell>
        </row>
        <row r="103">
          <cell r="C103" t="str">
            <v>3043114</v>
          </cell>
          <cell r="J103">
            <v>0</v>
          </cell>
          <cell r="L103">
            <v>0</v>
          </cell>
        </row>
        <row r="104">
          <cell r="C104" t="str">
            <v>3213114</v>
          </cell>
          <cell r="J104">
            <v>0</v>
          </cell>
          <cell r="L104">
            <v>0</v>
          </cell>
        </row>
        <row r="105">
          <cell r="C105" t="str">
            <v>3223114</v>
          </cell>
          <cell r="J105">
            <v>0</v>
          </cell>
          <cell r="L105">
            <v>0</v>
          </cell>
        </row>
        <row r="106">
          <cell r="C106" t="str">
            <v>3233114</v>
          </cell>
          <cell r="J106">
            <v>0</v>
          </cell>
          <cell r="L106">
            <v>0</v>
          </cell>
        </row>
        <row r="107">
          <cell r="C107" t="str">
            <v>3243114</v>
          </cell>
          <cell r="J107">
            <v>0</v>
          </cell>
          <cell r="L107">
            <v>0</v>
          </cell>
        </row>
        <row r="108">
          <cell r="C108" t="str">
            <v>3413114</v>
          </cell>
          <cell r="J108">
            <v>0</v>
          </cell>
          <cell r="L108">
            <v>0</v>
          </cell>
        </row>
        <row r="109">
          <cell r="C109" t="str">
            <v>3423114</v>
          </cell>
          <cell r="J109">
            <v>0</v>
          </cell>
          <cell r="L109">
            <v>0</v>
          </cell>
        </row>
        <row r="110">
          <cell r="C110" t="str">
            <v>3433114</v>
          </cell>
          <cell r="J110">
            <v>0</v>
          </cell>
          <cell r="L110">
            <v>0</v>
          </cell>
        </row>
        <row r="111">
          <cell r="C111" t="str">
            <v>101750</v>
          </cell>
          <cell r="J111">
            <v>0</v>
          </cell>
          <cell r="L111">
            <v>0</v>
          </cell>
        </row>
        <row r="112">
          <cell r="C112" t="str">
            <v>110750</v>
          </cell>
          <cell r="J112">
            <v>0</v>
          </cell>
          <cell r="L112">
            <v>0</v>
          </cell>
        </row>
        <row r="113">
          <cell r="C113" t="str">
            <v>112750</v>
          </cell>
          <cell r="J113">
            <v>8.9099999999999997E-4</v>
          </cell>
          <cell r="L113">
            <v>8.9099999999999997E-4</v>
          </cell>
        </row>
        <row r="114">
          <cell r="C114" t="str">
            <v>113750</v>
          </cell>
          <cell r="J114">
            <v>0</v>
          </cell>
          <cell r="L114">
            <v>0</v>
          </cell>
        </row>
        <row r="115">
          <cell r="C115" t="str">
            <v>124750</v>
          </cell>
          <cell r="J115">
            <v>0</v>
          </cell>
          <cell r="L115">
            <v>0</v>
          </cell>
        </row>
        <row r="116">
          <cell r="C116" t="str">
            <v>125750</v>
          </cell>
          <cell r="J116">
            <v>0</v>
          </cell>
          <cell r="L116">
            <v>0</v>
          </cell>
        </row>
        <row r="117">
          <cell r="C117" t="str">
            <v>201750</v>
          </cell>
          <cell r="J117">
            <v>6.3058000000000003E-2</v>
          </cell>
          <cell r="L117">
            <v>6.3058000000000003E-2</v>
          </cell>
        </row>
        <row r="118">
          <cell r="C118" t="str">
            <v>202750</v>
          </cell>
          <cell r="J118">
            <v>0.143681</v>
          </cell>
          <cell r="L118">
            <v>0.143681</v>
          </cell>
        </row>
        <row r="119">
          <cell r="C119" t="str">
            <v>204750</v>
          </cell>
          <cell r="J119">
            <v>1.94E-4</v>
          </cell>
          <cell r="L119">
            <v>1.94E-4</v>
          </cell>
        </row>
        <row r="120">
          <cell r="C120" t="str">
            <v>211750</v>
          </cell>
          <cell r="J120">
            <v>4.7676000000000003E-2</v>
          </cell>
          <cell r="L120">
            <v>4.7676000000000003E-2</v>
          </cell>
        </row>
        <row r="121">
          <cell r="C121" t="str">
            <v>223750</v>
          </cell>
          <cell r="J121">
            <v>0</v>
          </cell>
          <cell r="L121">
            <v>0</v>
          </cell>
        </row>
        <row r="122">
          <cell r="C122" t="str">
            <v>241750</v>
          </cell>
          <cell r="J122">
            <v>0</v>
          </cell>
          <cell r="L122">
            <v>0</v>
          </cell>
        </row>
        <row r="123">
          <cell r="C123" t="str">
            <v>242750</v>
          </cell>
          <cell r="J123">
            <v>0</v>
          </cell>
          <cell r="L123">
            <v>0</v>
          </cell>
        </row>
        <row r="124">
          <cell r="C124" t="str">
            <v>243750</v>
          </cell>
          <cell r="J124">
            <v>1.7277000000000001E-2</v>
          </cell>
          <cell r="L124">
            <v>1.7277000000000001E-2</v>
          </cell>
        </row>
        <row r="125">
          <cell r="C125" t="str">
            <v>244750</v>
          </cell>
          <cell r="J125">
            <v>0</v>
          </cell>
          <cell r="L125">
            <v>0</v>
          </cell>
        </row>
        <row r="126">
          <cell r="C126" t="str">
            <v>261750</v>
          </cell>
          <cell r="J126">
            <v>0.248223</v>
          </cell>
          <cell r="L126">
            <v>0.248223</v>
          </cell>
        </row>
        <row r="127">
          <cell r="C127" t="str">
            <v>262750</v>
          </cell>
          <cell r="J127">
            <v>0.24424399999999999</v>
          </cell>
          <cell r="L127">
            <v>0.24424399999999999</v>
          </cell>
        </row>
        <row r="128">
          <cell r="C128" t="str">
            <v>263750</v>
          </cell>
          <cell r="J128">
            <v>0.13597899999999999</v>
          </cell>
          <cell r="L128">
            <v>0.13597899999999999</v>
          </cell>
        </row>
        <row r="129">
          <cell r="C129" t="str">
            <v>281750</v>
          </cell>
          <cell r="J129">
            <v>4.4734999999999997E-2</v>
          </cell>
          <cell r="L129">
            <v>4.4734999999999997E-2</v>
          </cell>
        </row>
        <row r="130">
          <cell r="C130" t="str">
            <v>282750</v>
          </cell>
          <cell r="J130">
            <v>0.117271</v>
          </cell>
          <cell r="L130">
            <v>0.24555500000000002</v>
          </cell>
        </row>
        <row r="131">
          <cell r="C131" t="str">
            <v>282750</v>
          </cell>
          <cell r="J131">
            <v>0.12828400000000001</v>
          </cell>
          <cell r="L131" t="e">
            <v>#N/A</v>
          </cell>
        </row>
        <row r="132">
          <cell r="C132" t="str">
            <v>283750</v>
          </cell>
          <cell r="J132">
            <v>0.12728900000000001</v>
          </cell>
          <cell r="L132">
            <v>0.12728900000000001</v>
          </cell>
        </row>
        <row r="133">
          <cell r="C133" t="str">
            <v>284750</v>
          </cell>
          <cell r="J133">
            <v>3.3183999999999998E-2</v>
          </cell>
          <cell r="L133">
            <v>3.3183999999999998E-2</v>
          </cell>
        </row>
        <row r="134">
          <cell r="C134" t="str">
            <v>301750</v>
          </cell>
          <cell r="J134">
            <v>0</v>
          </cell>
          <cell r="L134">
            <v>0</v>
          </cell>
        </row>
        <row r="135">
          <cell r="C135" t="str">
            <v>303750</v>
          </cell>
          <cell r="J135">
            <v>0</v>
          </cell>
          <cell r="L135">
            <v>0</v>
          </cell>
        </row>
        <row r="136">
          <cell r="C136" t="str">
            <v>304750</v>
          </cell>
          <cell r="J136">
            <v>0</v>
          </cell>
          <cell r="L136">
            <v>0</v>
          </cell>
        </row>
        <row r="137">
          <cell r="C137" t="str">
            <v>321750</v>
          </cell>
          <cell r="J137">
            <v>2.5472999999999999E-2</v>
          </cell>
          <cell r="L137">
            <v>2.5472999999999999E-2</v>
          </cell>
        </row>
        <row r="138">
          <cell r="C138" t="str">
            <v>322750</v>
          </cell>
          <cell r="J138">
            <v>3.2764000000000001E-2</v>
          </cell>
          <cell r="L138">
            <v>3.2764000000000001E-2</v>
          </cell>
        </row>
        <row r="139">
          <cell r="C139" t="str">
            <v>323750</v>
          </cell>
          <cell r="J139">
            <v>1.7513999999999998E-2</v>
          </cell>
          <cell r="L139">
            <v>1.7513999999999998E-2</v>
          </cell>
        </row>
        <row r="140">
          <cell r="C140" t="str">
            <v>324750</v>
          </cell>
          <cell r="J140">
            <v>1.9984999999999999E-2</v>
          </cell>
          <cell r="L140">
            <v>1.9984999999999999E-2</v>
          </cell>
        </row>
        <row r="141">
          <cell r="C141" t="str">
            <v>341750</v>
          </cell>
          <cell r="J141">
            <v>1.5169999999999999E-3</v>
          </cell>
          <cell r="L141">
            <v>1.5169999999999999E-3</v>
          </cell>
        </row>
        <row r="142">
          <cell r="C142" t="str">
            <v>342750</v>
          </cell>
          <cell r="J142">
            <v>1.6903999999999999E-2</v>
          </cell>
          <cell r="L142">
            <v>1.6903999999999999E-2</v>
          </cell>
        </row>
        <row r="143">
          <cell r="C143" t="str">
            <v>343750</v>
          </cell>
          <cell r="J143">
            <v>2.8851999999999999E-2</v>
          </cell>
          <cell r="L143">
            <v>2.8851999999999999E-2</v>
          </cell>
        </row>
        <row r="144">
          <cell r="C144" t="str">
            <v>1011500</v>
          </cell>
          <cell r="J144">
            <v>0</v>
          </cell>
          <cell r="L144">
            <v>0</v>
          </cell>
        </row>
        <row r="145">
          <cell r="C145" t="str">
            <v>1101500</v>
          </cell>
          <cell r="J145">
            <v>0</v>
          </cell>
          <cell r="L145">
            <v>0</v>
          </cell>
        </row>
        <row r="146">
          <cell r="C146" t="str">
            <v>1121500</v>
          </cell>
          <cell r="J146">
            <v>0</v>
          </cell>
          <cell r="L146">
            <v>0</v>
          </cell>
        </row>
        <row r="147">
          <cell r="C147" t="str">
            <v>1131500</v>
          </cell>
          <cell r="J147">
            <v>0</v>
          </cell>
          <cell r="L147">
            <v>0</v>
          </cell>
        </row>
        <row r="148">
          <cell r="C148" t="str">
            <v>1241500</v>
          </cell>
          <cell r="J148">
            <v>0</v>
          </cell>
          <cell r="L148">
            <v>0</v>
          </cell>
        </row>
        <row r="149">
          <cell r="C149" t="str">
            <v>1251500</v>
          </cell>
          <cell r="J149">
            <v>0</v>
          </cell>
          <cell r="L149">
            <v>0</v>
          </cell>
        </row>
        <row r="150">
          <cell r="C150" t="str">
            <v>2011500</v>
          </cell>
          <cell r="J150">
            <v>4.1237000000000003E-2</v>
          </cell>
          <cell r="L150">
            <v>4.1237000000000003E-2</v>
          </cell>
        </row>
        <row r="151">
          <cell r="C151" t="str">
            <v>2021500</v>
          </cell>
          <cell r="J151">
            <v>2.5411E-2</v>
          </cell>
          <cell r="L151">
            <v>2.5411E-2</v>
          </cell>
        </row>
        <row r="152">
          <cell r="C152" t="str">
            <v>2041500</v>
          </cell>
          <cell r="J152">
            <v>0</v>
          </cell>
          <cell r="L152">
            <v>0</v>
          </cell>
        </row>
        <row r="153">
          <cell r="C153" t="str">
            <v>2111500</v>
          </cell>
          <cell r="J153">
            <v>6.9849999999999999E-3</v>
          </cell>
          <cell r="L153">
            <v>6.9849999999999999E-3</v>
          </cell>
        </row>
        <row r="154">
          <cell r="C154" t="str">
            <v>2231500</v>
          </cell>
          <cell r="J154">
            <v>0</v>
          </cell>
          <cell r="L154">
            <v>0</v>
          </cell>
        </row>
        <row r="155">
          <cell r="C155" t="str">
            <v>2411500</v>
          </cell>
          <cell r="J155">
            <v>0</v>
          </cell>
          <cell r="L155">
            <v>0</v>
          </cell>
        </row>
        <row r="156">
          <cell r="C156" t="str">
            <v>2421500</v>
          </cell>
          <cell r="J156">
            <v>0</v>
          </cell>
          <cell r="L156">
            <v>0</v>
          </cell>
        </row>
        <row r="157">
          <cell r="C157" t="str">
            <v>2431500</v>
          </cell>
          <cell r="J157">
            <v>0</v>
          </cell>
          <cell r="L157">
            <v>0</v>
          </cell>
        </row>
        <row r="158">
          <cell r="C158" t="str">
            <v>2441500</v>
          </cell>
          <cell r="J158">
            <v>0</v>
          </cell>
          <cell r="L158">
            <v>0</v>
          </cell>
        </row>
        <row r="159">
          <cell r="C159" t="str">
            <v>2611500</v>
          </cell>
          <cell r="J159">
            <v>0.142178</v>
          </cell>
          <cell r="L159">
            <v>0.142178</v>
          </cell>
        </row>
        <row r="160">
          <cell r="C160" t="str">
            <v>2621500</v>
          </cell>
          <cell r="J160">
            <v>0.14932999999999999</v>
          </cell>
          <cell r="L160">
            <v>0.14932999999999999</v>
          </cell>
        </row>
        <row r="161">
          <cell r="C161" t="str">
            <v>2631500</v>
          </cell>
          <cell r="J161">
            <v>0.10720300000000001</v>
          </cell>
          <cell r="L161">
            <v>0.10720300000000001</v>
          </cell>
        </row>
        <row r="162">
          <cell r="C162" t="str">
            <v>2811500</v>
          </cell>
          <cell r="J162">
            <v>1.3468000000000001E-2</v>
          </cell>
          <cell r="L162">
            <v>1.3468000000000001E-2</v>
          </cell>
        </row>
        <row r="163">
          <cell r="C163" t="str">
            <v>2821500</v>
          </cell>
          <cell r="J163">
            <v>6.6294000000000006E-2</v>
          </cell>
          <cell r="L163">
            <v>0.15577200000000002</v>
          </cell>
        </row>
        <row r="164">
          <cell r="C164" t="str">
            <v>2821500</v>
          </cell>
          <cell r="J164">
            <v>8.9478000000000002E-2</v>
          </cell>
          <cell r="L164" t="e">
            <v>#N/A</v>
          </cell>
        </row>
        <row r="165">
          <cell r="C165" t="str">
            <v>2831500</v>
          </cell>
          <cell r="J165">
            <v>8.5445999999999994E-2</v>
          </cell>
          <cell r="L165">
            <v>8.5445999999999994E-2</v>
          </cell>
        </row>
        <row r="166">
          <cell r="C166" t="str">
            <v>2841500</v>
          </cell>
          <cell r="J166">
            <v>6.5259999999999997E-3</v>
          </cell>
          <cell r="L166">
            <v>6.5259999999999997E-3</v>
          </cell>
        </row>
        <row r="167">
          <cell r="C167" t="str">
            <v>3011500</v>
          </cell>
          <cell r="J167">
            <v>0</v>
          </cell>
          <cell r="L167">
            <v>0</v>
          </cell>
        </row>
        <row r="168">
          <cell r="C168" t="str">
            <v>3031500</v>
          </cell>
          <cell r="J168">
            <v>0</v>
          </cell>
          <cell r="L168">
            <v>0</v>
          </cell>
        </row>
        <row r="169">
          <cell r="C169" t="str">
            <v>3041500</v>
          </cell>
          <cell r="J169">
            <v>0</v>
          </cell>
          <cell r="L169">
            <v>0</v>
          </cell>
        </row>
        <row r="170">
          <cell r="C170" t="str">
            <v>3211500</v>
          </cell>
          <cell r="J170">
            <v>1.3861E-2</v>
          </cell>
          <cell r="L170">
            <v>1.3861E-2</v>
          </cell>
        </row>
        <row r="171">
          <cell r="C171" t="str">
            <v>3221500</v>
          </cell>
          <cell r="J171">
            <v>8.9460000000000008E-3</v>
          </cell>
          <cell r="L171">
            <v>8.9460000000000008E-3</v>
          </cell>
        </row>
        <row r="172">
          <cell r="C172" t="str">
            <v>3231500</v>
          </cell>
          <cell r="J172">
            <v>0</v>
          </cell>
          <cell r="L172">
            <v>0</v>
          </cell>
        </row>
        <row r="173">
          <cell r="C173" t="str">
            <v>3241500</v>
          </cell>
          <cell r="J173">
            <v>0</v>
          </cell>
          <cell r="L173">
            <v>0</v>
          </cell>
        </row>
        <row r="174">
          <cell r="C174" t="str">
            <v>3411500</v>
          </cell>
          <cell r="J174">
            <v>0</v>
          </cell>
          <cell r="L174">
            <v>0</v>
          </cell>
        </row>
        <row r="175">
          <cell r="C175" t="str">
            <v>3421500</v>
          </cell>
          <cell r="J175">
            <v>0</v>
          </cell>
          <cell r="L175">
            <v>0</v>
          </cell>
        </row>
        <row r="176">
          <cell r="C176" t="str">
            <v>3431500</v>
          </cell>
          <cell r="J176">
            <v>0</v>
          </cell>
          <cell r="L176">
            <v>0</v>
          </cell>
        </row>
        <row r="177">
          <cell r="C177">
            <v>0</v>
          </cell>
          <cell r="L177">
            <v>0</v>
          </cell>
        </row>
        <row r="178">
          <cell r="C178">
            <v>0</v>
          </cell>
          <cell r="L178" t="e">
            <v>#N/A</v>
          </cell>
        </row>
        <row r="179">
          <cell r="C179">
            <v>0</v>
          </cell>
          <cell r="L179" t="e">
            <v>#N/A</v>
          </cell>
        </row>
        <row r="180">
          <cell r="C180">
            <v>0</v>
          </cell>
          <cell r="L180" t="e">
            <v>#N/A</v>
          </cell>
        </row>
        <row r="181">
          <cell r="C181">
            <v>0</v>
          </cell>
          <cell r="L181" t="e">
            <v>#N/A</v>
          </cell>
        </row>
        <row r="182">
          <cell r="C182">
            <v>0</v>
          </cell>
          <cell r="L182" t="e">
            <v>#N/A</v>
          </cell>
        </row>
        <row r="183">
          <cell r="C183">
            <v>0</v>
          </cell>
          <cell r="L183" t="e">
            <v>#N/A</v>
          </cell>
        </row>
        <row r="184">
          <cell r="C184">
            <v>0</v>
          </cell>
          <cell r="L184" t="e">
            <v>#N/A</v>
          </cell>
        </row>
        <row r="185">
          <cell r="C185">
            <v>0</v>
          </cell>
          <cell r="L185" t="e">
            <v>#N/A</v>
          </cell>
        </row>
        <row r="186">
          <cell r="C186">
            <v>0</v>
          </cell>
          <cell r="L186" t="e">
            <v>#N/A</v>
          </cell>
        </row>
        <row r="187">
          <cell r="C187">
            <v>0</v>
          </cell>
          <cell r="L187" t="e">
            <v>#N/A</v>
          </cell>
        </row>
        <row r="188">
          <cell r="C188">
            <v>0</v>
          </cell>
          <cell r="L188" t="e">
            <v>#N/A</v>
          </cell>
        </row>
        <row r="189">
          <cell r="C189">
            <v>0</v>
          </cell>
          <cell r="L189" t="e">
            <v>#N/A</v>
          </cell>
        </row>
        <row r="190">
          <cell r="C190">
            <v>0</v>
          </cell>
          <cell r="L190" t="e">
            <v>#N/A</v>
          </cell>
        </row>
        <row r="191">
          <cell r="C191">
            <v>0</v>
          </cell>
          <cell r="L191" t="e">
            <v>#N/A</v>
          </cell>
        </row>
        <row r="192">
          <cell r="C192">
            <v>0</v>
          </cell>
          <cell r="L192" t="e">
            <v>#N/A</v>
          </cell>
        </row>
        <row r="193">
          <cell r="C193">
            <v>0</v>
          </cell>
          <cell r="L193" t="e">
            <v>#N/A</v>
          </cell>
        </row>
        <row r="194">
          <cell r="C194">
            <v>0</v>
          </cell>
          <cell r="L194" t="e">
            <v>#N/A</v>
          </cell>
        </row>
        <row r="195">
          <cell r="C195">
            <v>0</v>
          </cell>
          <cell r="L195" t="e">
            <v>#N/A</v>
          </cell>
        </row>
        <row r="196">
          <cell r="C196">
            <v>0</v>
          </cell>
          <cell r="L196" t="e">
            <v>#N/A</v>
          </cell>
        </row>
        <row r="197">
          <cell r="C197">
            <v>0</v>
          </cell>
          <cell r="L197" t="e">
            <v>#N/A</v>
          </cell>
        </row>
        <row r="198">
          <cell r="C198">
            <v>0</v>
          </cell>
          <cell r="L198" t="e">
            <v>#N/A</v>
          </cell>
        </row>
        <row r="199">
          <cell r="C199">
            <v>0</v>
          </cell>
          <cell r="L199" t="e">
            <v>#N/A</v>
          </cell>
        </row>
        <row r="200">
          <cell r="C200">
            <v>0</v>
          </cell>
          <cell r="L200" t="e">
            <v>#N/A</v>
          </cell>
        </row>
        <row r="201">
          <cell r="C201">
            <v>0</v>
          </cell>
          <cell r="L201" t="e">
            <v>#N/A</v>
          </cell>
        </row>
        <row r="202">
          <cell r="C202">
            <v>0</v>
          </cell>
          <cell r="L202" t="e">
            <v>#N/A</v>
          </cell>
        </row>
        <row r="203">
          <cell r="C203">
            <v>0</v>
          </cell>
          <cell r="L203" t="e">
            <v>#N/A</v>
          </cell>
        </row>
        <row r="204">
          <cell r="C204">
            <v>0</v>
          </cell>
          <cell r="L204" t="e">
            <v>#N/A</v>
          </cell>
        </row>
        <row r="205">
          <cell r="C205">
            <v>0</v>
          </cell>
          <cell r="L205" t="e">
            <v>#N/A</v>
          </cell>
        </row>
        <row r="206">
          <cell r="C206">
            <v>0</v>
          </cell>
          <cell r="L206" t="e">
            <v>#N/A</v>
          </cell>
        </row>
        <row r="207">
          <cell r="C207">
            <v>0</v>
          </cell>
          <cell r="L207" t="e">
            <v>#N/A</v>
          </cell>
        </row>
        <row r="208">
          <cell r="C208">
            <v>0</v>
          </cell>
          <cell r="L208" t="e">
            <v>#N/A</v>
          </cell>
        </row>
        <row r="209">
          <cell r="C209">
            <v>0</v>
          </cell>
          <cell r="L209" t="e">
            <v>#N/A</v>
          </cell>
        </row>
        <row r="210">
          <cell r="C210">
            <v>0</v>
          </cell>
          <cell r="L210" t="e">
            <v>#N/A</v>
          </cell>
        </row>
        <row r="211">
          <cell r="C211">
            <v>0</v>
          </cell>
          <cell r="L211" t="e">
            <v>#N/A</v>
          </cell>
        </row>
        <row r="212">
          <cell r="C212">
            <v>0</v>
          </cell>
          <cell r="L212" t="e">
            <v>#N/A</v>
          </cell>
        </row>
        <row r="213">
          <cell r="C213">
            <v>0</v>
          </cell>
          <cell r="L213" t="e">
            <v>#N/A</v>
          </cell>
        </row>
        <row r="214">
          <cell r="C214">
            <v>0</v>
          </cell>
          <cell r="L214" t="e">
            <v>#N/A</v>
          </cell>
        </row>
        <row r="215">
          <cell r="C215">
            <v>0</v>
          </cell>
          <cell r="L215" t="e">
            <v>#N/A</v>
          </cell>
        </row>
        <row r="216">
          <cell r="C216">
            <v>0</v>
          </cell>
          <cell r="L216" t="e">
            <v>#N/A</v>
          </cell>
        </row>
        <row r="217">
          <cell r="C217">
            <v>0</v>
          </cell>
          <cell r="L217" t="e">
            <v>#N/A</v>
          </cell>
        </row>
        <row r="218">
          <cell r="C218">
            <v>0</v>
          </cell>
          <cell r="L218" t="e">
            <v>#N/A</v>
          </cell>
        </row>
        <row r="219">
          <cell r="C219">
            <v>0</v>
          </cell>
          <cell r="L219" t="e">
            <v>#N/A</v>
          </cell>
        </row>
        <row r="220">
          <cell r="C220">
            <v>0</v>
          </cell>
          <cell r="L220" t="e">
            <v>#N/A</v>
          </cell>
        </row>
        <row r="221">
          <cell r="C221">
            <v>0</v>
          </cell>
          <cell r="L221" t="e">
            <v>#N/A</v>
          </cell>
        </row>
        <row r="222">
          <cell r="C222">
            <v>0</v>
          </cell>
          <cell r="L222" t="e">
            <v>#N/A</v>
          </cell>
        </row>
        <row r="223">
          <cell r="C223">
            <v>0</v>
          </cell>
          <cell r="L223" t="e">
            <v>#N/A</v>
          </cell>
        </row>
        <row r="224">
          <cell r="C224">
            <v>0</v>
          </cell>
          <cell r="L224" t="e">
            <v>#N/A</v>
          </cell>
        </row>
        <row r="225">
          <cell r="C225">
            <v>0</v>
          </cell>
          <cell r="L225" t="e">
            <v>#N/A</v>
          </cell>
        </row>
        <row r="226">
          <cell r="C226">
            <v>0</v>
          </cell>
          <cell r="L226" t="e">
            <v>#N/A</v>
          </cell>
        </row>
        <row r="227">
          <cell r="C227">
            <v>0</v>
          </cell>
          <cell r="L227" t="e">
            <v>#N/A</v>
          </cell>
        </row>
        <row r="228">
          <cell r="C228">
            <v>0</v>
          </cell>
          <cell r="L228" t="e">
            <v>#N/A</v>
          </cell>
        </row>
        <row r="229">
          <cell r="C229">
            <v>0</v>
          </cell>
          <cell r="L229" t="e">
            <v>#N/A</v>
          </cell>
        </row>
        <row r="230">
          <cell r="C230">
            <v>0</v>
          </cell>
          <cell r="L230" t="e">
            <v>#N/A</v>
          </cell>
        </row>
        <row r="231">
          <cell r="C231">
            <v>0</v>
          </cell>
          <cell r="L231" t="e">
            <v>#N/A</v>
          </cell>
        </row>
        <row r="232">
          <cell r="C232">
            <v>0</v>
          </cell>
          <cell r="L232" t="e">
            <v>#N/A</v>
          </cell>
        </row>
        <row r="233">
          <cell r="C233">
            <v>0</v>
          </cell>
          <cell r="L233" t="e">
            <v>#N/A</v>
          </cell>
        </row>
        <row r="234">
          <cell r="C234">
            <v>0</v>
          </cell>
          <cell r="L234" t="e">
            <v>#N/A</v>
          </cell>
        </row>
        <row r="235">
          <cell r="C235">
            <v>0</v>
          </cell>
          <cell r="L235" t="e">
            <v>#N/A</v>
          </cell>
        </row>
        <row r="236">
          <cell r="C236">
            <v>0</v>
          </cell>
          <cell r="L236" t="e">
            <v>#N/A</v>
          </cell>
        </row>
        <row r="237">
          <cell r="C237">
            <v>0</v>
          </cell>
          <cell r="L237" t="e">
            <v>#N/A</v>
          </cell>
        </row>
        <row r="238">
          <cell r="C238">
            <v>0</v>
          </cell>
          <cell r="L238" t="e">
            <v>#N/A</v>
          </cell>
        </row>
        <row r="239">
          <cell r="C239">
            <v>0</v>
          </cell>
          <cell r="L239" t="e">
            <v>#N/A</v>
          </cell>
        </row>
        <row r="240">
          <cell r="C240">
            <v>0</v>
          </cell>
          <cell r="L240" t="e">
            <v>#N/A</v>
          </cell>
        </row>
        <row r="241">
          <cell r="C241">
            <v>0</v>
          </cell>
          <cell r="L241" t="e">
            <v>#N/A</v>
          </cell>
        </row>
        <row r="242">
          <cell r="C242">
            <v>0</v>
          </cell>
          <cell r="L242" t="e">
            <v>#N/A</v>
          </cell>
        </row>
        <row r="243">
          <cell r="C243">
            <v>0</v>
          </cell>
          <cell r="L243" t="e">
            <v>#N/A</v>
          </cell>
        </row>
        <row r="244">
          <cell r="C244">
            <v>0</v>
          </cell>
          <cell r="L244" t="e">
            <v>#N/A</v>
          </cell>
        </row>
        <row r="245">
          <cell r="C245">
            <v>0</v>
          </cell>
          <cell r="L245" t="e">
            <v>#N/A</v>
          </cell>
        </row>
        <row r="246">
          <cell r="C246">
            <v>0</v>
          </cell>
          <cell r="L246" t="e">
            <v>#N/A</v>
          </cell>
        </row>
        <row r="247">
          <cell r="C247">
            <v>0</v>
          </cell>
          <cell r="L247" t="e">
            <v>#N/A</v>
          </cell>
        </row>
        <row r="248">
          <cell r="C248">
            <v>0</v>
          </cell>
          <cell r="L248" t="e">
            <v>#N/A</v>
          </cell>
        </row>
        <row r="249">
          <cell r="C249">
            <v>0</v>
          </cell>
          <cell r="L249" t="e">
            <v>#N/A</v>
          </cell>
        </row>
        <row r="250">
          <cell r="C250">
            <v>0</v>
          </cell>
          <cell r="L250" t="e">
            <v>#N/A</v>
          </cell>
        </row>
        <row r="251">
          <cell r="C251">
            <v>0</v>
          </cell>
          <cell r="L251" t="e">
            <v>#N/A</v>
          </cell>
        </row>
        <row r="252">
          <cell r="C252">
            <v>0</v>
          </cell>
          <cell r="L252" t="e">
            <v>#N/A</v>
          </cell>
        </row>
        <row r="253">
          <cell r="C253">
            <v>0</v>
          </cell>
          <cell r="L253" t="e">
            <v>#N/A</v>
          </cell>
        </row>
        <row r="254">
          <cell r="C254">
            <v>0</v>
          </cell>
          <cell r="L254" t="e">
            <v>#N/A</v>
          </cell>
        </row>
        <row r="255">
          <cell r="C255">
            <v>0</v>
          </cell>
          <cell r="L255" t="e">
            <v>#N/A</v>
          </cell>
        </row>
        <row r="256">
          <cell r="C256">
            <v>0</v>
          </cell>
          <cell r="L256" t="e">
            <v>#N/A</v>
          </cell>
        </row>
        <row r="257">
          <cell r="C257">
            <v>0</v>
          </cell>
          <cell r="L257" t="e">
            <v>#N/A</v>
          </cell>
        </row>
        <row r="258">
          <cell r="C258">
            <v>0</v>
          </cell>
          <cell r="L258" t="e">
            <v>#N/A</v>
          </cell>
        </row>
        <row r="259">
          <cell r="C259">
            <v>0</v>
          </cell>
          <cell r="L259" t="e">
            <v>#N/A</v>
          </cell>
        </row>
        <row r="260">
          <cell r="C260">
            <v>0</v>
          </cell>
          <cell r="L260" t="e">
            <v>#N/A</v>
          </cell>
        </row>
        <row r="261">
          <cell r="C261">
            <v>0</v>
          </cell>
          <cell r="L261" t="e">
            <v>#N/A</v>
          </cell>
        </row>
        <row r="262">
          <cell r="C262">
            <v>0</v>
          </cell>
          <cell r="L262" t="e">
            <v>#N/A</v>
          </cell>
        </row>
        <row r="263">
          <cell r="C263">
            <v>0</v>
          </cell>
          <cell r="L263" t="e">
            <v>#N/A</v>
          </cell>
        </row>
        <row r="264">
          <cell r="C264">
            <v>0</v>
          </cell>
          <cell r="L264" t="e">
            <v>#N/A</v>
          </cell>
        </row>
        <row r="265">
          <cell r="C265">
            <v>0</v>
          </cell>
          <cell r="L265" t="e">
            <v>#N/A</v>
          </cell>
        </row>
        <row r="266">
          <cell r="C266">
            <v>0</v>
          </cell>
          <cell r="L266" t="e">
            <v>#N/A</v>
          </cell>
        </row>
        <row r="267">
          <cell r="C267">
            <v>0</v>
          </cell>
          <cell r="L267" t="e">
            <v>#N/A</v>
          </cell>
        </row>
        <row r="268">
          <cell r="C268">
            <v>0</v>
          </cell>
          <cell r="L268" t="e">
            <v>#N/A</v>
          </cell>
        </row>
        <row r="269">
          <cell r="C269">
            <v>0</v>
          </cell>
          <cell r="L269" t="e">
            <v>#N/A</v>
          </cell>
        </row>
        <row r="270">
          <cell r="C270">
            <v>0</v>
          </cell>
          <cell r="L270" t="e">
            <v>#N/A</v>
          </cell>
        </row>
        <row r="271">
          <cell r="C271">
            <v>0</v>
          </cell>
          <cell r="L271" t="e">
            <v>#N/A</v>
          </cell>
        </row>
        <row r="272">
          <cell r="C272">
            <v>0</v>
          </cell>
          <cell r="L272" t="e">
            <v>#N/A</v>
          </cell>
        </row>
        <row r="273">
          <cell r="C273">
            <v>0</v>
          </cell>
          <cell r="L273" t="e">
            <v>#N/A</v>
          </cell>
        </row>
        <row r="274">
          <cell r="C274">
            <v>0</v>
          </cell>
          <cell r="L274" t="e">
            <v>#N/A</v>
          </cell>
        </row>
        <row r="275">
          <cell r="C275">
            <v>0</v>
          </cell>
          <cell r="L275" t="e">
            <v>#N/A</v>
          </cell>
        </row>
        <row r="276">
          <cell r="C276">
            <v>0</v>
          </cell>
          <cell r="L276" t="e">
            <v>#N/A</v>
          </cell>
        </row>
        <row r="277">
          <cell r="C277">
            <v>0</v>
          </cell>
          <cell r="L277" t="e">
            <v>#N/A</v>
          </cell>
        </row>
        <row r="278">
          <cell r="C278">
            <v>0</v>
          </cell>
          <cell r="L278" t="e">
            <v>#N/A</v>
          </cell>
        </row>
        <row r="279">
          <cell r="C279">
            <v>0</v>
          </cell>
          <cell r="L279" t="e">
            <v>#N/A</v>
          </cell>
        </row>
        <row r="280">
          <cell r="C280">
            <v>0</v>
          </cell>
          <cell r="L280" t="e">
            <v>#N/A</v>
          </cell>
        </row>
        <row r="281">
          <cell r="C281">
            <v>0</v>
          </cell>
          <cell r="L281" t="e">
            <v>#N/A</v>
          </cell>
        </row>
        <row r="282">
          <cell r="C282">
            <v>0</v>
          </cell>
          <cell r="L282" t="e">
            <v>#N/A</v>
          </cell>
        </row>
        <row r="283">
          <cell r="C283">
            <v>0</v>
          </cell>
          <cell r="L283" t="e">
            <v>#N/A</v>
          </cell>
        </row>
        <row r="284">
          <cell r="C284">
            <v>0</v>
          </cell>
          <cell r="L284" t="e">
            <v>#N/A</v>
          </cell>
        </row>
        <row r="285">
          <cell r="C285">
            <v>0</v>
          </cell>
          <cell r="L285" t="e">
            <v>#N/A</v>
          </cell>
        </row>
        <row r="286">
          <cell r="C286">
            <v>0</v>
          </cell>
          <cell r="L286" t="e">
            <v>#N/A</v>
          </cell>
        </row>
        <row r="287">
          <cell r="C287">
            <v>0</v>
          </cell>
          <cell r="L287" t="e">
            <v>#N/A</v>
          </cell>
        </row>
        <row r="288">
          <cell r="C288">
            <v>0</v>
          </cell>
          <cell r="L288" t="e">
            <v>#N/A</v>
          </cell>
        </row>
        <row r="289">
          <cell r="C289">
            <v>0</v>
          </cell>
          <cell r="L289" t="e">
            <v>#N/A</v>
          </cell>
        </row>
        <row r="290">
          <cell r="C290">
            <v>0</v>
          </cell>
          <cell r="L290" t="e">
            <v>#N/A</v>
          </cell>
        </row>
        <row r="291">
          <cell r="C291">
            <v>0</v>
          </cell>
          <cell r="L291" t="e">
            <v>#N/A</v>
          </cell>
        </row>
        <row r="292">
          <cell r="C292">
            <v>0</v>
          </cell>
          <cell r="L292" t="e">
            <v>#N/A</v>
          </cell>
        </row>
        <row r="293">
          <cell r="C293">
            <v>0</v>
          </cell>
          <cell r="L293" t="e">
            <v>#N/A</v>
          </cell>
        </row>
        <row r="294">
          <cell r="C294">
            <v>0</v>
          </cell>
          <cell r="L294" t="e">
            <v>#N/A</v>
          </cell>
        </row>
        <row r="295">
          <cell r="C295">
            <v>0</v>
          </cell>
          <cell r="L295" t="e">
            <v>#N/A</v>
          </cell>
        </row>
        <row r="296">
          <cell r="C296">
            <v>0</v>
          </cell>
          <cell r="L296" t="e">
            <v>#N/A</v>
          </cell>
        </row>
        <row r="297">
          <cell r="C297">
            <v>0</v>
          </cell>
          <cell r="L297" t="e">
            <v>#N/A</v>
          </cell>
        </row>
        <row r="298">
          <cell r="C298">
            <v>0</v>
          </cell>
          <cell r="L298" t="e">
            <v>#N/A</v>
          </cell>
        </row>
        <row r="299">
          <cell r="C299">
            <v>0</v>
          </cell>
          <cell r="L299" t="e">
            <v>#N/A</v>
          </cell>
        </row>
        <row r="300">
          <cell r="C300">
            <v>0</v>
          </cell>
          <cell r="L300" t="e">
            <v>#N/A</v>
          </cell>
        </row>
        <row r="301">
          <cell r="C301">
            <v>0</v>
          </cell>
          <cell r="L301" t="e">
            <v>#N/A</v>
          </cell>
        </row>
        <row r="302">
          <cell r="C302">
            <v>0</v>
          </cell>
          <cell r="L302" t="e">
            <v>#N/A</v>
          </cell>
        </row>
        <row r="303">
          <cell r="C303">
            <v>0</v>
          </cell>
          <cell r="L303" t="e">
            <v>#N/A</v>
          </cell>
        </row>
        <row r="304">
          <cell r="C304">
            <v>0</v>
          </cell>
          <cell r="L304" t="e">
            <v>#N/A</v>
          </cell>
        </row>
        <row r="305">
          <cell r="C305">
            <v>0</v>
          </cell>
          <cell r="L305" t="e">
            <v>#N/A</v>
          </cell>
        </row>
        <row r="306">
          <cell r="C306">
            <v>0</v>
          </cell>
          <cell r="L306" t="e">
            <v>#N/A</v>
          </cell>
        </row>
        <row r="307">
          <cell r="C307">
            <v>0</v>
          </cell>
          <cell r="L307" t="e">
            <v>#N/A</v>
          </cell>
        </row>
        <row r="308">
          <cell r="C308">
            <v>0</v>
          </cell>
          <cell r="L308" t="e">
            <v>#N/A</v>
          </cell>
        </row>
        <row r="309">
          <cell r="C309">
            <v>0</v>
          </cell>
          <cell r="L309" t="e">
            <v>#N/A</v>
          </cell>
        </row>
        <row r="310">
          <cell r="C310">
            <v>0</v>
          </cell>
          <cell r="L310" t="e">
            <v>#N/A</v>
          </cell>
        </row>
        <row r="311">
          <cell r="C311">
            <v>0</v>
          </cell>
          <cell r="L311" t="e">
            <v>#N/A</v>
          </cell>
        </row>
        <row r="312">
          <cell r="C312">
            <v>0</v>
          </cell>
          <cell r="L312" t="e">
            <v>#N/A</v>
          </cell>
        </row>
        <row r="313">
          <cell r="C313">
            <v>0</v>
          </cell>
          <cell r="L313" t="e">
            <v>#N/A</v>
          </cell>
        </row>
        <row r="314">
          <cell r="C314">
            <v>0</v>
          </cell>
          <cell r="L314" t="e">
            <v>#N/A</v>
          </cell>
        </row>
        <row r="315">
          <cell r="C315">
            <v>0</v>
          </cell>
          <cell r="L315" t="e">
            <v>#N/A</v>
          </cell>
        </row>
        <row r="316">
          <cell r="C316">
            <v>0</v>
          </cell>
          <cell r="L316" t="e">
            <v>#N/A</v>
          </cell>
        </row>
        <row r="317">
          <cell r="C317">
            <v>0</v>
          </cell>
          <cell r="L317" t="e">
            <v>#N/A</v>
          </cell>
        </row>
        <row r="318">
          <cell r="C318">
            <v>0</v>
          </cell>
          <cell r="L318" t="e">
            <v>#N/A</v>
          </cell>
        </row>
        <row r="319">
          <cell r="C319">
            <v>0</v>
          </cell>
          <cell r="L319" t="e">
            <v>#N/A</v>
          </cell>
        </row>
        <row r="320">
          <cell r="C320">
            <v>0</v>
          </cell>
          <cell r="L320" t="e">
            <v>#N/A</v>
          </cell>
        </row>
        <row r="321">
          <cell r="C321">
            <v>0</v>
          </cell>
          <cell r="L321" t="e">
            <v>#N/A</v>
          </cell>
        </row>
        <row r="322">
          <cell r="C322">
            <v>0</v>
          </cell>
          <cell r="L322" t="e">
            <v>#N/A</v>
          </cell>
        </row>
        <row r="323">
          <cell r="C323">
            <v>0</v>
          </cell>
          <cell r="L323" t="e">
            <v>#N/A</v>
          </cell>
        </row>
        <row r="324">
          <cell r="C324">
            <v>0</v>
          </cell>
          <cell r="L324" t="e">
            <v>#N/A</v>
          </cell>
        </row>
        <row r="325">
          <cell r="C325">
            <v>0</v>
          </cell>
          <cell r="L325" t="e">
            <v>#N/A</v>
          </cell>
        </row>
        <row r="326">
          <cell r="C326">
            <v>0</v>
          </cell>
          <cell r="L326" t="e">
            <v>#N/A</v>
          </cell>
        </row>
        <row r="327">
          <cell r="C327">
            <v>0</v>
          </cell>
          <cell r="L327" t="e">
            <v>#N/A</v>
          </cell>
        </row>
        <row r="328">
          <cell r="C328">
            <v>0</v>
          </cell>
          <cell r="L328" t="e">
            <v>#N/A</v>
          </cell>
        </row>
        <row r="329">
          <cell r="C329">
            <v>0</v>
          </cell>
          <cell r="L329" t="e">
            <v>#N/A</v>
          </cell>
        </row>
        <row r="330">
          <cell r="C330">
            <v>0</v>
          </cell>
          <cell r="L330" t="e">
            <v>#N/A</v>
          </cell>
        </row>
        <row r="331">
          <cell r="C331">
            <v>0</v>
          </cell>
          <cell r="L331" t="e">
            <v>#N/A</v>
          </cell>
        </row>
        <row r="332">
          <cell r="C332">
            <v>0</v>
          </cell>
          <cell r="L332" t="e">
            <v>#N/A</v>
          </cell>
        </row>
        <row r="333">
          <cell r="C333">
            <v>0</v>
          </cell>
          <cell r="L333" t="e">
            <v>#N/A</v>
          </cell>
        </row>
        <row r="334">
          <cell r="C334">
            <v>0</v>
          </cell>
          <cell r="L334" t="e">
            <v>#N/A</v>
          </cell>
        </row>
        <row r="335">
          <cell r="C335">
            <v>0</v>
          </cell>
          <cell r="L335" t="e">
            <v>#N/A</v>
          </cell>
        </row>
        <row r="336">
          <cell r="C336">
            <v>0</v>
          </cell>
          <cell r="L336" t="e">
            <v>#N/A</v>
          </cell>
        </row>
        <row r="337">
          <cell r="C337">
            <v>0</v>
          </cell>
          <cell r="L337" t="e">
            <v>#N/A</v>
          </cell>
        </row>
        <row r="338">
          <cell r="C338">
            <v>0</v>
          </cell>
          <cell r="L338" t="e">
            <v>#N/A</v>
          </cell>
        </row>
        <row r="339">
          <cell r="C339">
            <v>0</v>
          </cell>
          <cell r="L339" t="e">
            <v>#N/A</v>
          </cell>
        </row>
        <row r="340">
          <cell r="C340">
            <v>0</v>
          </cell>
          <cell r="L340" t="e">
            <v>#N/A</v>
          </cell>
        </row>
        <row r="341">
          <cell r="C341">
            <v>0</v>
          </cell>
          <cell r="L341" t="e">
            <v>#N/A</v>
          </cell>
        </row>
        <row r="342">
          <cell r="C342">
            <v>0</v>
          </cell>
          <cell r="L342" t="e">
            <v>#N/A</v>
          </cell>
        </row>
        <row r="343">
          <cell r="C343">
            <v>0</v>
          </cell>
          <cell r="L343" t="e">
            <v>#N/A</v>
          </cell>
        </row>
        <row r="344">
          <cell r="C344">
            <v>0</v>
          </cell>
          <cell r="L344" t="e">
            <v>#N/A</v>
          </cell>
        </row>
        <row r="345">
          <cell r="C345">
            <v>0</v>
          </cell>
          <cell r="L345" t="e">
            <v>#N/A</v>
          </cell>
        </row>
        <row r="346">
          <cell r="C346">
            <v>0</v>
          </cell>
          <cell r="L346" t="e">
            <v>#N/A</v>
          </cell>
        </row>
        <row r="347">
          <cell r="C347">
            <v>0</v>
          </cell>
          <cell r="L347" t="e">
            <v>#N/A</v>
          </cell>
        </row>
        <row r="348">
          <cell r="C348">
            <v>0</v>
          </cell>
          <cell r="L348" t="e">
            <v>#N/A</v>
          </cell>
        </row>
        <row r="349">
          <cell r="C349">
            <v>0</v>
          </cell>
          <cell r="L349" t="e">
            <v>#N/A</v>
          </cell>
        </row>
        <row r="350">
          <cell r="C350">
            <v>0</v>
          </cell>
          <cell r="L350" t="e">
            <v>#N/A</v>
          </cell>
        </row>
        <row r="351">
          <cell r="C351">
            <v>0</v>
          </cell>
          <cell r="L351" t="e">
            <v>#N/A</v>
          </cell>
        </row>
        <row r="352">
          <cell r="C352">
            <v>0</v>
          </cell>
          <cell r="L352" t="e">
            <v>#N/A</v>
          </cell>
        </row>
        <row r="353">
          <cell r="C353">
            <v>0</v>
          </cell>
          <cell r="L353" t="e">
            <v>#N/A</v>
          </cell>
        </row>
        <row r="354">
          <cell r="C354">
            <v>0</v>
          </cell>
          <cell r="L354" t="e">
            <v>#N/A</v>
          </cell>
        </row>
        <row r="355">
          <cell r="C355">
            <v>0</v>
          </cell>
          <cell r="L355" t="e">
            <v>#N/A</v>
          </cell>
        </row>
        <row r="356">
          <cell r="C356">
            <v>0</v>
          </cell>
          <cell r="L356" t="e">
            <v>#N/A</v>
          </cell>
        </row>
        <row r="357">
          <cell r="C357">
            <v>0</v>
          </cell>
          <cell r="L357" t="e">
            <v>#N/A</v>
          </cell>
        </row>
        <row r="358">
          <cell r="C358">
            <v>0</v>
          </cell>
          <cell r="L358" t="e">
            <v>#N/A</v>
          </cell>
        </row>
        <row r="359">
          <cell r="C359">
            <v>0</v>
          </cell>
          <cell r="L359" t="e">
            <v>#N/A</v>
          </cell>
        </row>
        <row r="360">
          <cell r="C360">
            <v>0</v>
          </cell>
          <cell r="L360" t="e">
            <v>#N/A</v>
          </cell>
        </row>
        <row r="361">
          <cell r="C361">
            <v>0</v>
          </cell>
          <cell r="L361" t="e">
            <v>#N/A</v>
          </cell>
        </row>
        <row r="362">
          <cell r="C362">
            <v>0</v>
          </cell>
          <cell r="L362" t="e">
            <v>#N/A</v>
          </cell>
        </row>
        <row r="363">
          <cell r="C363">
            <v>0</v>
          </cell>
          <cell r="L363" t="e">
            <v>#N/A</v>
          </cell>
        </row>
        <row r="364">
          <cell r="C364">
            <v>0</v>
          </cell>
          <cell r="L364" t="e">
            <v>#N/A</v>
          </cell>
        </row>
        <row r="365">
          <cell r="C365">
            <v>0</v>
          </cell>
          <cell r="L365" t="e">
            <v>#N/A</v>
          </cell>
        </row>
        <row r="366">
          <cell r="C366">
            <v>0</v>
          </cell>
          <cell r="L366" t="e">
            <v>#N/A</v>
          </cell>
        </row>
        <row r="367">
          <cell r="C367">
            <v>0</v>
          </cell>
          <cell r="L367" t="e">
            <v>#N/A</v>
          </cell>
        </row>
        <row r="368">
          <cell r="C368">
            <v>0</v>
          </cell>
          <cell r="L368" t="e">
            <v>#N/A</v>
          </cell>
        </row>
        <row r="369">
          <cell r="C369">
            <v>0</v>
          </cell>
          <cell r="L369" t="e">
            <v>#N/A</v>
          </cell>
        </row>
        <row r="370">
          <cell r="C370">
            <v>0</v>
          </cell>
          <cell r="L370" t="e">
            <v>#N/A</v>
          </cell>
        </row>
        <row r="371">
          <cell r="C371">
            <v>0</v>
          </cell>
          <cell r="L371" t="e">
            <v>#N/A</v>
          </cell>
        </row>
        <row r="372">
          <cell r="C372">
            <v>0</v>
          </cell>
          <cell r="L372" t="e">
            <v>#N/A</v>
          </cell>
        </row>
        <row r="373">
          <cell r="C373">
            <v>0</v>
          </cell>
          <cell r="L373" t="e">
            <v>#N/A</v>
          </cell>
        </row>
        <row r="374">
          <cell r="C374">
            <v>0</v>
          </cell>
          <cell r="L374" t="e">
            <v>#N/A</v>
          </cell>
        </row>
        <row r="375">
          <cell r="C375">
            <v>0</v>
          </cell>
          <cell r="L375" t="e">
            <v>#N/A</v>
          </cell>
        </row>
        <row r="376">
          <cell r="C376">
            <v>0</v>
          </cell>
          <cell r="L376" t="e">
            <v>#N/A</v>
          </cell>
        </row>
        <row r="377">
          <cell r="C377">
            <v>0</v>
          </cell>
          <cell r="L377" t="e">
            <v>#N/A</v>
          </cell>
        </row>
        <row r="378">
          <cell r="C378">
            <v>0</v>
          </cell>
          <cell r="L378" t="e">
            <v>#N/A</v>
          </cell>
        </row>
        <row r="379">
          <cell r="C379">
            <v>0</v>
          </cell>
          <cell r="L379" t="e">
            <v>#N/A</v>
          </cell>
        </row>
        <row r="380">
          <cell r="C380">
            <v>0</v>
          </cell>
          <cell r="L380" t="e">
            <v>#N/A</v>
          </cell>
        </row>
        <row r="381">
          <cell r="C381">
            <v>0</v>
          </cell>
          <cell r="L381" t="e">
            <v>#N/A</v>
          </cell>
        </row>
        <row r="382">
          <cell r="C382">
            <v>0</v>
          </cell>
          <cell r="L382" t="e">
            <v>#N/A</v>
          </cell>
        </row>
        <row r="383">
          <cell r="C383">
            <v>0</v>
          </cell>
          <cell r="L383" t="e">
            <v>#N/A</v>
          </cell>
        </row>
        <row r="384">
          <cell r="C384">
            <v>0</v>
          </cell>
          <cell r="L384" t="e">
            <v>#N/A</v>
          </cell>
        </row>
        <row r="385">
          <cell r="C385">
            <v>0</v>
          </cell>
          <cell r="L385" t="e">
            <v>#N/A</v>
          </cell>
        </row>
        <row r="386">
          <cell r="C386">
            <v>0</v>
          </cell>
          <cell r="L386" t="e">
            <v>#N/A</v>
          </cell>
        </row>
        <row r="387">
          <cell r="C387">
            <v>0</v>
          </cell>
          <cell r="L387" t="e">
            <v>#N/A</v>
          </cell>
        </row>
        <row r="388">
          <cell r="C388">
            <v>0</v>
          </cell>
          <cell r="L388" t="e">
            <v>#N/A</v>
          </cell>
        </row>
        <row r="389">
          <cell r="C389">
            <v>0</v>
          </cell>
          <cell r="L389" t="e">
            <v>#N/A</v>
          </cell>
        </row>
        <row r="390">
          <cell r="C390">
            <v>0</v>
          </cell>
          <cell r="L390" t="e">
            <v>#N/A</v>
          </cell>
        </row>
        <row r="391">
          <cell r="C391">
            <v>0</v>
          </cell>
          <cell r="L391" t="e">
            <v>#N/A</v>
          </cell>
        </row>
        <row r="392">
          <cell r="C392">
            <v>0</v>
          </cell>
          <cell r="L392" t="e">
            <v>#N/A</v>
          </cell>
        </row>
        <row r="393">
          <cell r="C393">
            <v>0</v>
          </cell>
          <cell r="L393" t="e">
            <v>#N/A</v>
          </cell>
        </row>
        <row r="394">
          <cell r="C394">
            <v>0</v>
          </cell>
          <cell r="L394" t="e">
            <v>#N/A</v>
          </cell>
        </row>
        <row r="395">
          <cell r="C395">
            <v>0</v>
          </cell>
          <cell r="L395" t="e">
            <v>#N/A</v>
          </cell>
        </row>
        <row r="396">
          <cell r="C396">
            <v>0</v>
          </cell>
          <cell r="L396" t="e">
            <v>#N/A</v>
          </cell>
        </row>
        <row r="397">
          <cell r="C397">
            <v>0</v>
          </cell>
          <cell r="L397" t="e">
            <v>#N/A</v>
          </cell>
        </row>
        <row r="398">
          <cell r="C398">
            <v>0</v>
          </cell>
          <cell r="L398" t="e">
            <v>#N/A</v>
          </cell>
        </row>
        <row r="399">
          <cell r="C399">
            <v>0</v>
          </cell>
          <cell r="L399" t="e">
            <v>#N/A</v>
          </cell>
        </row>
        <row r="400">
          <cell r="C400">
            <v>0</v>
          </cell>
          <cell r="L400" t="e">
            <v>#N/A</v>
          </cell>
        </row>
        <row r="401">
          <cell r="C401">
            <v>0</v>
          </cell>
          <cell r="L401" t="e">
            <v>#N/A</v>
          </cell>
        </row>
        <row r="402">
          <cell r="C402">
            <v>0</v>
          </cell>
          <cell r="L402" t="e">
            <v>#N/A</v>
          </cell>
        </row>
        <row r="403">
          <cell r="C403">
            <v>0</v>
          </cell>
          <cell r="L403" t="e">
            <v>#N/A</v>
          </cell>
        </row>
        <row r="404">
          <cell r="C404">
            <v>0</v>
          </cell>
          <cell r="L404" t="e">
            <v>#N/A</v>
          </cell>
        </row>
        <row r="405">
          <cell r="C405">
            <v>0</v>
          </cell>
          <cell r="L405" t="e">
            <v>#N/A</v>
          </cell>
        </row>
        <row r="406">
          <cell r="C406">
            <v>0</v>
          </cell>
          <cell r="L406" t="e">
            <v>#N/A</v>
          </cell>
        </row>
        <row r="407">
          <cell r="C407">
            <v>0</v>
          </cell>
          <cell r="L407" t="e">
            <v>#N/A</v>
          </cell>
        </row>
        <row r="408">
          <cell r="C408">
            <v>0</v>
          </cell>
          <cell r="L408" t="e">
            <v>#N/A</v>
          </cell>
        </row>
        <row r="409">
          <cell r="C409">
            <v>0</v>
          </cell>
          <cell r="L409" t="e">
            <v>#N/A</v>
          </cell>
        </row>
        <row r="410">
          <cell r="C410">
            <v>0</v>
          </cell>
          <cell r="L410" t="e">
            <v>#N/A</v>
          </cell>
        </row>
        <row r="411">
          <cell r="C411">
            <v>0</v>
          </cell>
          <cell r="L411" t="e">
            <v>#N/A</v>
          </cell>
        </row>
        <row r="412">
          <cell r="C412">
            <v>0</v>
          </cell>
          <cell r="L412" t="e">
            <v>#N/A</v>
          </cell>
        </row>
        <row r="413">
          <cell r="C413">
            <v>0</v>
          </cell>
          <cell r="L413" t="e">
            <v>#N/A</v>
          </cell>
        </row>
        <row r="414">
          <cell r="C414">
            <v>0</v>
          </cell>
          <cell r="L414" t="e">
            <v>#N/A</v>
          </cell>
        </row>
        <row r="415">
          <cell r="C415">
            <v>0</v>
          </cell>
          <cell r="L415" t="e">
            <v>#N/A</v>
          </cell>
        </row>
        <row r="416">
          <cell r="C416">
            <v>0</v>
          </cell>
          <cell r="L416" t="e">
            <v>#N/A</v>
          </cell>
        </row>
        <row r="417">
          <cell r="C417">
            <v>0</v>
          </cell>
          <cell r="L417" t="e">
            <v>#N/A</v>
          </cell>
        </row>
        <row r="418">
          <cell r="C418">
            <v>0</v>
          </cell>
          <cell r="L418" t="e">
            <v>#N/A</v>
          </cell>
        </row>
        <row r="419">
          <cell r="C419">
            <v>0</v>
          </cell>
          <cell r="L419" t="e">
            <v>#N/A</v>
          </cell>
        </row>
        <row r="420">
          <cell r="C420">
            <v>0</v>
          </cell>
          <cell r="L420" t="e">
            <v>#N/A</v>
          </cell>
        </row>
        <row r="421">
          <cell r="C421">
            <v>0</v>
          </cell>
          <cell r="L421" t="e">
            <v>#N/A</v>
          </cell>
        </row>
        <row r="422">
          <cell r="C422">
            <v>0</v>
          </cell>
          <cell r="L422" t="e">
            <v>#N/A</v>
          </cell>
        </row>
        <row r="423">
          <cell r="C423">
            <v>0</v>
          </cell>
          <cell r="L423" t="e">
            <v>#N/A</v>
          </cell>
        </row>
        <row r="424">
          <cell r="C424">
            <v>0</v>
          </cell>
          <cell r="L424" t="e">
            <v>#N/A</v>
          </cell>
        </row>
        <row r="425">
          <cell r="C425">
            <v>0</v>
          </cell>
          <cell r="L425" t="e">
            <v>#N/A</v>
          </cell>
        </row>
        <row r="426">
          <cell r="C426">
            <v>0</v>
          </cell>
          <cell r="L426" t="e">
            <v>#N/A</v>
          </cell>
        </row>
        <row r="427">
          <cell r="C427">
            <v>0</v>
          </cell>
          <cell r="L427" t="e">
            <v>#N/A</v>
          </cell>
        </row>
        <row r="428">
          <cell r="C428">
            <v>0</v>
          </cell>
          <cell r="L428" t="e">
            <v>#N/A</v>
          </cell>
        </row>
        <row r="429">
          <cell r="C429">
            <v>0</v>
          </cell>
          <cell r="L429" t="e">
            <v>#N/A</v>
          </cell>
        </row>
        <row r="430">
          <cell r="C430">
            <v>0</v>
          </cell>
          <cell r="L430" t="e">
            <v>#N/A</v>
          </cell>
        </row>
        <row r="431">
          <cell r="C431">
            <v>0</v>
          </cell>
          <cell r="L431" t="e">
            <v>#N/A</v>
          </cell>
        </row>
        <row r="432">
          <cell r="C432">
            <v>0</v>
          </cell>
          <cell r="L432" t="e">
            <v>#N/A</v>
          </cell>
        </row>
        <row r="433">
          <cell r="C433">
            <v>0</v>
          </cell>
          <cell r="L433" t="e">
            <v>#N/A</v>
          </cell>
        </row>
        <row r="434">
          <cell r="C434">
            <v>0</v>
          </cell>
          <cell r="L434" t="e">
            <v>#N/A</v>
          </cell>
        </row>
        <row r="435">
          <cell r="C435">
            <v>0</v>
          </cell>
          <cell r="L435" t="e">
            <v>#N/A</v>
          </cell>
        </row>
        <row r="436">
          <cell r="C436">
            <v>0</v>
          </cell>
          <cell r="L436" t="e">
            <v>#N/A</v>
          </cell>
        </row>
        <row r="437">
          <cell r="C437">
            <v>0</v>
          </cell>
          <cell r="L437" t="e">
            <v>#N/A</v>
          </cell>
        </row>
        <row r="438">
          <cell r="C438">
            <v>0</v>
          </cell>
          <cell r="L438" t="e">
            <v>#N/A</v>
          </cell>
        </row>
        <row r="439">
          <cell r="C439">
            <v>0</v>
          </cell>
          <cell r="L439" t="e">
            <v>#N/A</v>
          </cell>
        </row>
        <row r="440">
          <cell r="C440">
            <v>0</v>
          </cell>
          <cell r="L440" t="e">
            <v>#N/A</v>
          </cell>
        </row>
        <row r="441">
          <cell r="C441">
            <v>0</v>
          </cell>
          <cell r="L441" t="e">
            <v>#N/A</v>
          </cell>
        </row>
        <row r="442">
          <cell r="C442">
            <v>0</v>
          </cell>
          <cell r="L442" t="e">
            <v>#N/A</v>
          </cell>
        </row>
        <row r="443">
          <cell r="C443">
            <v>0</v>
          </cell>
          <cell r="L443" t="e">
            <v>#N/A</v>
          </cell>
        </row>
        <row r="444">
          <cell r="C444">
            <v>0</v>
          </cell>
          <cell r="L444" t="e">
            <v>#N/A</v>
          </cell>
        </row>
        <row r="445">
          <cell r="C445">
            <v>0</v>
          </cell>
          <cell r="L445" t="e">
            <v>#N/A</v>
          </cell>
        </row>
        <row r="446">
          <cell r="C446">
            <v>0</v>
          </cell>
          <cell r="L446" t="e">
            <v>#N/A</v>
          </cell>
        </row>
        <row r="447">
          <cell r="C447">
            <v>0</v>
          </cell>
          <cell r="L447" t="e">
            <v>#N/A</v>
          </cell>
        </row>
        <row r="448">
          <cell r="C448">
            <v>0</v>
          </cell>
          <cell r="L448" t="e">
            <v>#N/A</v>
          </cell>
        </row>
        <row r="449">
          <cell r="C449">
            <v>0</v>
          </cell>
          <cell r="L449" t="e">
            <v>#N/A</v>
          </cell>
        </row>
        <row r="450">
          <cell r="C450">
            <v>0</v>
          </cell>
          <cell r="L450" t="e">
            <v>#N/A</v>
          </cell>
        </row>
        <row r="451">
          <cell r="C451">
            <v>0</v>
          </cell>
          <cell r="L451" t="e">
            <v>#N/A</v>
          </cell>
        </row>
        <row r="452">
          <cell r="C452">
            <v>0</v>
          </cell>
          <cell r="L452" t="e">
            <v>#N/A</v>
          </cell>
        </row>
        <row r="453">
          <cell r="C453">
            <v>0</v>
          </cell>
          <cell r="L453" t="e">
            <v>#N/A</v>
          </cell>
        </row>
        <row r="454">
          <cell r="C454">
            <v>0</v>
          </cell>
          <cell r="L454" t="e">
            <v>#N/A</v>
          </cell>
        </row>
        <row r="455">
          <cell r="C455">
            <v>0</v>
          </cell>
          <cell r="L455" t="e">
            <v>#N/A</v>
          </cell>
        </row>
        <row r="456">
          <cell r="C456">
            <v>0</v>
          </cell>
          <cell r="L456" t="e">
            <v>#N/A</v>
          </cell>
        </row>
        <row r="457">
          <cell r="C457">
            <v>0</v>
          </cell>
          <cell r="L457" t="e">
            <v>#N/A</v>
          </cell>
        </row>
        <row r="458">
          <cell r="C458">
            <v>0</v>
          </cell>
          <cell r="L458" t="e">
            <v>#N/A</v>
          </cell>
        </row>
        <row r="459">
          <cell r="C459">
            <v>0</v>
          </cell>
          <cell r="L459" t="e">
            <v>#N/A</v>
          </cell>
        </row>
        <row r="460">
          <cell r="C460">
            <v>0</v>
          </cell>
          <cell r="L460" t="e">
            <v>#N/A</v>
          </cell>
        </row>
        <row r="461">
          <cell r="C461">
            <v>0</v>
          </cell>
          <cell r="L461" t="e">
            <v>#N/A</v>
          </cell>
        </row>
        <row r="462">
          <cell r="C462">
            <v>0</v>
          </cell>
          <cell r="L462" t="e">
            <v>#N/A</v>
          </cell>
        </row>
        <row r="463">
          <cell r="C463">
            <v>0</v>
          </cell>
          <cell r="L463" t="e">
            <v>#N/A</v>
          </cell>
        </row>
        <row r="464">
          <cell r="C464">
            <v>0</v>
          </cell>
          <cell r="L464" t="e">
            <v>#N/A</v>
          </cell>
        </row>
        <row r="465">
          <cell r="C465">
            <v>0</v>
          </cell>
          <cell r="L465" t="e">
            <v>#N/A</v>
          </cell>
        </row>
        <row r="466">
          <cell r="C466">
            <v>0</v>
          </cell>
          <cell r="L466" t="e">
            <v>#N/A</v>
          </cell>
        </row>
        <row r="467">
          <cell r="C467">
            <v>0</v>
          </cell>
          <cell r="L467" t="e">
            <v>#N/A</v>
          </cell>
        </row>
        <row r="468">
          <cell r="C468">
            <v>0</v>
          </cell>
          <cell r="L468" t="e">
            <v>#N/A</v>
          </cell>
        </row>
        <row r="469">
          <cell r="C469">
            <v>0</v>
          </cell>
          <cell r="L469" t="e">
            <v>#N/A</v>
          </cell>
        </row>
        <row r="470">
          <cell r="C470">
            <v>0</v>
          </cell>
          <cell r="L470" t="e">
            <v>#N/A</v>
          </cell>
        </row>
        <row r="471">
          <cell r="C471">
            <v>0</v>
          </cell>
          <cell r="L471" t="e">
            <v>#N/A</v>
          </cell>
        </row>
        <row r="472">
          <cell r="C472">
            <v>0</v>
          </cell>
          <cell r="L472" t="e">
            <v>#N/A</v>
          </cell>
        </row>
        <row r="473">
          <cell r="C473">
            <v>0</v>
          </cell>
          <cell r="L473" t="e">
            <v>#N/A</v>
          </cell>
        </row>
        <row r="474">
          <cell r="C474">
            <v>0</v>
          </cell>
          <cell r="L474" t="e">
            <v>#N/A</v>
          </cell>
        </row>
        <row r="475">
          <cell r="C475">
            <v>0</v>
          </cell>
          <cell r="L475" t="e">
            <v>#N/A</v>
          </cell>
        </row>
        <row r="476">
          <cell r="C476">
            <v>0</v>
          </cell>
          <cell r="L476" t="e">
            <v>#N/A</v>
          </cell>
        </row>
        <row r="477">
          <cell r="C477">
            <v>0</v>
          </cell>
          <cell r="L477" t="e">
            <v>#N/A</v>
          </cell>
        </row>
        <row r="478">
          <cell r="C478">
            <v>0</v>
          </cell>
          <cell r="L478" t="e">
            <v>#N/A</v>
          </cell>
        </row>
        <row r="479">
          <cell r="C479">
            <v>0</v>
          </cell>
          <cell r="L479" t="e">
            <v>#N/A</v>
          </cell>
        </row>
        <row r="480">
          <cell r="C480">
            <v>0</v>
          </cell>
          <cell r="L480" t="e">
            <v>#N/A</v>
          </cell>
        </row>
        <row r="481">
          <cell r="C481">
            <v>0</v>
          </cell>
          <cell r="L481" t="e">
            <v>#N/A</v>
          </cell>
        </row>
        <row r="482">
          <cell r="C482">
            <v>0</v>
          </cell>
          <cell r="L482" t="e">
            <v>#N/A</v>
          </cell>
        </row>
        <row r="483">
          <cell r="C483">
            <v>0</v>
          </cell>
          <cell r="L483" t="e">
            <v>#N/A</v>
          </cell>
        </row>
        <row r="484">
          <cell r="C484">
            <v>0</v>
          </cell>
          <cell r="L484" t="e">
            <v>#N/A</v>
          </cell>
        </row>
        <row r="485">
          <cell r="C485">
            <v>0</v>
          </cell>
          <cell r="L485" t="e">
            <v>#N/A</v>
          </cell>
        </row>
        <row r="486">
          <cell r="C486">
            <v>0</v>
          </cell>
          <cell r="L486" t="e">
            <v>#N/A</v>
          </cell>
        </row>
        <row r="487">
          <cell r="C487">
            <v>0</v>
          </cell>
          <cell r="L487" t="e">
            <v>#N/A</v>
          </cell>
        </row>
        <row r="488">
          <cell r="C488">
            <v>0</v>
          </cell>
          <cell r="L488" t="e">
            <v>#N/A</v>
          </cell>
        </row>
        <row r="489">
          <cell r="C489">
            <v>0</v>
          </cell>
          <cell r="L489" t="e">
            <v>#N/A</v>
          </cell>
        </row>
        <row r="490">
          <cell r="C490">
            <v>0</v>
          </cell>
          <cell r="L490" t="e">
            <v>#N/A</v>
          </cell>
        </row>
        <row r="491">
          <cell r="C491">
            <v>0</v>
          </cell>
          <cell r="L491" t="e">
            <v>#N/A</v>
          </cell>
        </row>
        <row r="492">
          <cell r="C492">
            <v>0</v>
          </cell>
          <cell r="L492" t="e">
            <v>#N/A</v>
          </cell>
        </row>
        <row r="493">
          <cell r="C493">
            <v>0</v>
          </cell>
          <cell r="L493" t="e">
            <v>#N/A</v>
          </cell>
        </row>
        <row r="494">
          <cell r="C494">
            <v>0</v>
          </cell>
          <cell r="L494" t="e">
            <v>#N/A</v>
          </cell>
        </row>
        <row r="495">
          <cell r="C495">
            <v>0</v>
          </cell>
          <cell r="L495" t="e">
            <v>#N/A</v>
          </cell>
        </row>
        <row r="496">
          <cell r="C496">
            <v>0</v>
          </cell>
          <cell r="L496" t="e">
            <v>#N/A</v>
          </cell>
        </row>
        <row r="497">
          <cell r="C497">
            <v>0</v>
          </cell>
          <cell r="L497" t="e">
            <v>#N/A</v>
          </cell>
        </row>
        <row r="498">
          <cell r="C498">
            <v>0</v>
          </cell>
          <cell r="L498" t="e">
            <v>#N/A</v>
          </cell>
        </row>
        <row r="499">
          <cell r="C499">
            <v>0</v>
          </cell>
          <cell r="L499" t="e">
            <v>#N/A</v>
          </cell>
        </row>
        <row r="500">
          <cell r="C500">
            <v>0</v>
          </cell>
          <cell r="L500" t="e">
            <v>#N/A</v>
          </cell>
        </row>
        <row r="501">
          <cell r="C501">
            <v>0</v>
          </cell>
          <cell r="L501" t="e">
            <v>#N/A</v>
          </cell>
        </row>
        <row r="502">
          <cell r="C502">
            <v>0</v>
          </cell>
          <cell r="L502" t="e">
            <v>#N/A</v>
          </cell>
        </row>
        <row r="503">
          <cell r="C503">
            <v>0</v>
          </cell>
          <cell r="L503" t="e">
            <v>#N/A</v>
          </cell>
        </row>
        <row r="504">
          <cell r="C504">
            <v>0</v>
          </cell>
          <cell r="L504" t="e">
            <v>#N/A</v>
          </cell>
        </row>
        <row r="505">
          <cell r="C505">
            <v>0</v>
          </cell>
          <cell r="L505" t="e">
            <v>#N/A</v>
          </cell>
        </row>
        <row r="506">
          <cell r="C506">
            <v>0</v>
          </cell>
          <cell r="L506" t="e">
            <v>#N/A</v>
          </cell>
        </row>
        <row r="507">
          <cell r="C507">
            <v>0</v>
          </cell>
          <cell r="L507" t="e">
            <v>#N/A</v>
          </cell>
        </row>
        <row r="508">
          <cell r="C508">
            <v>0</v>
          </cell>
          <cell r="L508" t="e">
            <v>#N/A</v>
          </cell>
        </row>
        <row r="509">
          <cell r="C509">
            <v>0</v>
          </cell>
          <cell r="L509" t="e">
            <v>#N/A</v>
          </cell>
        </row>
        <row r="510">
          <cell r="C510">
            <v>0</v>
          </cell>
          <cell r="L510" t="e">
            <v>#N/A</v>
          </cell>
        </row>
        <row r="511">
          <cell r="C511">
            <v>0</v>
          </cell>
          <cell r="L511" t="e">
            <v>#N/A</v>
          </cell>
        </row>
        <row r="512">
          <cell r="C512">
            <v>0</v>
          </cell>
          <cell r="L512" t="e">
            <v>#N/A</v>
          </cell>
        </row>
        <row r="513">
          <cell r="C513">
            <v>0</v>
          </cell>
          <cell r="L513" t="e">
            <v>#N/A</v>
          </cell>
        </row>
        <row r="514">
          <cell r="C514">
            <v>0</v>
          </cell>
          <cell r="L514" t="e">
            <v>#N/A</v>
          </cell>
        </row>
        <row r="515">
          <cell r="C515">
            <v>0</v>
          </cell>
          <cell r="L515" t="e">
            <v>#N/A</v>
          </cell>
        </row>
        <row r="516">
          <cell r="C516">
            <v>0</v>
          </cell>
          <cell r="L516" t="e">
            <v>#N/A</v>
          </cell>
        </row>
        <row r="517">
          <cell r="C517">
            <v>0</v>
          </cell>
          <cell r="L517" t="e">
            <v>#N/A</v>
          </cell>
        </row>
        <row r="518">
          <cell r="C518">
            <v>0</v>
          </cell>
          <cell r="L518" t="e">
            <v>#N/A</v>
          </cell>
        </row>
        <row r="519">
          <cell r="C519">
            <v>0</v>
          </cell>
          <cell r="L519" t="e">
            <v>#N/A</v>
          </cell>
        </row>
        <row r="520">
          <cell r="C520">
            <v>0</v>
          </cell>
          <cell r="L520" t="e">
            <v>#N/A</v>
          </cell>
        </row>
        <row r="521">
          <cell r="C521">
            <v>0</v>
          </cell>
          <cell r="L521" t="e">
            <v>#N/A</v>
          </cell>
        </row>
        <row r="522">
          <cell r="C522">
            <v>0</v>
          </cell>
          <cell r="L522" t="e">
            <v>#N/A</v>
          </cell>
        </row>
        <row r="523">
          <cell r="C523">
            <v>0</v>
          </cell>
          <cell r="L523" t="e">
            <v>#N/A</v>
          </cell>
        </row>
        <row r="524">
          <cell r="C524">
            <v>0</v>
          </cell>
          <cell r="L524" t="e">
            <v>#N/A</v>
          </cell>
        </row>
        <row r="525">
          <cell r="C525">
            <v>0</v>
          </cell>
          <cell r="L525" t="e">
            <v>#N/A</v>
          </cell>
        </row>
        <row r="526">
          <cell r="C526">
            <v>0</v>
          </cell>
          <cell r="L526" t="e">
            <v>#N/A</v>
          </cell>
        </row>
        <row r="527">
          <cell r="C527">
            <v>0</v>
          </cell>
          <cell r="L527" t="e">
            <v>#N/A</v>
          </cell>
        </row>
        <row r="528">
          <cell r="C528">
            <v>0</v>
          </cell>
          <cell r="L528" t="e">
            <v>#N/A</v>
          </cell>
        </row>
        <row r="529">
          <cell r="C529">
            <v>0</v>
          </cell>
          <cell r="L529" t="e">
            <v>#N/A</v>
          </cell>
        </row>
        <row r="530">
          <cell r="C530">
            <v>0</v>
          </cell>
          <cell r="L530" t="e">
            <v>#N/A</v>
          </cell>
        </row>
        <row r="531">
          <cell r="C531">
            <v>0</v>
          </cell>
          <cell r="L531" t="e">
            <v>#N/A</v>
          </cell>
        </row>
        <row r="532">
          <cell r="C532">
            <v>0</v>
          </cell>
          <cell r="L532" t="e">
            <v>#N/A</v>
          </cell>
        </row>
        <row r="533">
          <cell r="C533">
            <v>0</v>
          </cell>
          <cell r="L533" t="e">
            <v>#N/A</v>
          </cell>
        </row>
        <row r="534">
          <cell r="C534">
            <v>0</v>
          </cell>
          <cell r="L534" t="e">
            <v>#N/A</v>
          </cell>
        </row>
        <row r="535">
          <cell r="C535">
            <v>0</v>
          </cell>
          <cell r="L535" t="e">
            <v>#N/A</v>
          </cell>
        </row>
        <row r="536">
          <cell r="C536">
            <v>0</v>
          </cell>
          <cell r="L536" t="e">
            <v>#N/A</v>
          </cell>
        </row>
        <row r="537">
          <cell r="C537">
            <v>0</v>
          </cell>
          <cell r="L537" t="e">
            <v>#N/A</v>
          </cell>
        </row>
        <row r="538">
          <cell r="C538">
            <v>0</v>
          </cell>
          <cell r="L538" t="e">
            <v>#N/A</v>
          </cell>
        </row>
        <row r="539">
          <cell r="C539">
            <v>0</v>
          </cell>
          <cell r="L539" t="e">
            <v>#N/A</v>
          </cell>
        </row>
        <row r="540">
          <cell r="C540">
            <v>0</v>
          </cell>
          <cell r="L540" t="e">
            <v>#N/A</v>
          </cell>
        </row>
        <row r="541">
          <cell r="C541">
            <v>0</v>
          </cell>
          <cell r="L541" t="e">
            <v>#N/A</v>
          </cell>
        </row>
        <row r="542">
          <cell r="C542">
            <v>0</v>
          </cell>
          <cell r="L542" t="e">
            <v>#N/A</v>
          </cell>
        </row>
        <row r="543">
          <cell r="C543">
            <v>0</v>
          </cell>
          <cell r="L543" t="e">
            <v>#N/A</v>
          </cell>
        </row>
        <row r="544">
          <cell r="C544">
            <v>0</v>
          </cell>
          <cell r="L544" t="e">
            <v>#N/A</v>
          </cell>
        </row>
        <row r="545">
          <cell r="C545">
            <v>0</v>
          </cell>
          <cell r="L545" t="e">
            <v>#N/A</v>
          </cell>
        </row>
        <row r="546">
          <cell r="C546">
            <v>0</v>
          </cell>
          <cell r="L546" t="e">
            <v>#N/A</v>
          </cell>
        </row>
        <row r="547">
          <cell r="C547">
            <v>0</v>
          </cell>
          <cell r="L547" t="e">
            <v>#N/A</v>
          </cell>
        </row>
        <row r="548">
          <cell r="C548">
            <v>0</v>
          </cell>
          <cell r="L548" t="e">
            <v>#N/A</v>
          </cell>
        </row>
        <row r="549">
          <cell r="C549">
            <v>0</v>
          </cell>
          <cell r="L549" t="e">
            <v>#N/A</v>
          </cell>
        </row>
        <row r="550">
          <cell r="C550">
            <v>0</v>
          </cell>
          <cell r="L550" t="e">
            <v>#N/A</v>
          </cell>
        </row>
        <row r="551">
          <cell r="C551">
            <v>0</v>
          </cell>
          <cell r="L551" t="e">
            <v>#N/A</v>
          </cell>
        </row>
        <row r="552">
          <cell r="C552">
            <v>0</v>
          </cell>
          <cell r="L552" t="e">
            <v>#N/A</v>
          </cell>
        </row>
        <row r="553">
          <cell r="C553">
            <v>0</v>
          </cell>
          <cell r="L553" t="e">
            <v>#N/A</v>
          </cell>
        </row>
        <row r="554">
          <cell r="C554">
            <v>0</v>
          </cell>
          <cell r="L554" t="e">
            <v>#N/A</v>
          </cell>
        </row>
        <row r="555">
          <cell r="C555">
            <v>0</v>
          </cell>
          <cell r="L555" t="e">
            <v>#N/A</v>
          </cell>
        </row>
        <row r="556">
          <cell r="C556">
            <v>0</v>
          </cell>
          <cell r="L556" t="e">
            <v>#N/A</v>
          </cell>
        </row>
        <row r="557">
          <cell r="C557">
            <v>0</v>
          </cell>
          <cell r="L557" t="e">
            <v>#N/A</v>
          </cell>
        </row>
        <row r="558">
          <cell r="C558">
            <v>0</v>
          </cell>
          <cell r="L558" t="e">
            <v>#N/A</v>
          </cell>
        </row>
        <row r="559">
          <cell r="C559">
            <v>0</v>
          </cell>
          <cell r="L559" t="e">
            <v>#N/A</v>
          </cell>
        </row>
        <row r="560">
          <cell r="C560">
            <v>0</v>
          </cell>
          <cell r="L560" t="e">
            <v>#N/A</v>
          </cell>
        </row>
        <row r="561">
          <cell r="C561">
            <v>0</v>
          </cell>
          <cell r="L561" t="e">
            <v>#N/A</v>
          </cell>
        </row>
        <row r="562">
          <cell r="C562">
            <v>0</v>
          </cell>
          <cell r="L562" t="e">
            <v>#N/A</v>
          </cell>
        </row>
        <row r="563">
          <cell r="C563">
            <v>0</v>
          </cell>
          <cell r="L563" t="e">
            <v>#N/A</v>
          </cell>
        </row>
        <row r="564">
          <cell r="C564">
            <v>0</v>
          </cell>
          <cell r="L564" t="e">
            <v>#N/A</v>
          </cell>
        </row>
        <row r="565">
          <cell r="C565">
            <v>0</v>
          </cell>
          <cell r="L565" t="e">
            <v>#N/A</v>
          </cell>
        </row>
        <row r="566">
          <cell r="C566">
            <v>0</v>
          </cell>
          <cell r="L566" t="e">
            <v>#N/A</v>
          </cell>
        </row>
        <row r="567">
          <cell r="C567">
            <v>0</v>
          </cell>
          <cell r="L567" t="e">
            <v>#N/A</v>
          </cell>
        </row>
        <row r="568">
          <cell r="C568">
            <v>0</v>
          </cell>
          <cell r="L568" t="e">
            <v>#N/A</v>
          </cell>
        </row>
        <row r="569">
          <cell r="C569">
            <v>0</v>
          </cell>
          <cell r="L569" t="e">
            <v>#N/A</v>
          </cell>
        </row>
        <row r="570">
          <cell r="C570">
            <v>0</v>
          </cell>
          <cell r="L570" t="e">
            <v>#N/A</v>
          </cell>
        </row>
        <row r="571">
          <cell r="C571">
            <v>0</v>
          </cell>
          <cell r="L571" t="e">
            <v>#N/A</v>
          </cell>
        </row>
        <row r="572">
          <cell r="C572">
            <v>0</v>
          </cell>
          <cell r="L572" t="e">
            <v>#N/A</v>
          </cell>
        </row>
        <row r="573">
          <cell r="C573">
            <v>0</v>
          </cell>
          <cell r="L573" t="e">
            <v>#N/A</v>
          </cell>
        </row>
        <row r="574">
          <cell r="C574">
            <v>0</v>
          </cell>
          <cell r="L574" t="e">
            <v>#N/A</v>
          </cell>
        </row>
        <row r="575">
          <cell r="C575">
            <v>0</v>
          </cell>
          <cell r="L575" t="e">
            <v>#N/A</v>
          </cell>
        </row>
        <row r="576">
          <cell r="C576">
            <v>0</v>
          </cell>
          <cell r="L576" t="e">
            <v>#N/A</v>
          </cell>
        </row>
        <row r="577">
          <cell r="C577">
            <v>0</v>
          </cell>
          <cell r="L577" t="e">
            <v>#N/A</v>
          </cell>
        </row>
        <row r="578">
          <cell r="C578">
            <v>0</v>
          </cell>
          <cell r="L578" t="e">
            <v>#N/A</v>
          </cell>
        </row>
        <row r="579">
          <cell r="C579">
            <v>0</v>
          </cell>
          <cell r="L579" t="e">
            <v>#N/A</v>
          </cell>
        </row>
        <row r="580">
          <cell r="C580">
            <v>0</v>
          </cell>
          <cell r="L580" t="e">
            <v>#N/A</v>
          </cell>
        </row>
        <row r="581">
          <cell r="C581">
            <v>0</v>
          </cell>
          <cell r="L581" t="e">
            <v>#N/A</v>
          </cell>
        </row>
        <row r="582">
          <cell r="C582">
            <v>0</v>
          </cell>
          <cell r="L582" t="e">
            <v>#N/A</v>
          </cell>
        </row>
        <row r="583">
          <cell r="C583">
            <v>0</v>
          </cell>
          <cell r="L583" t="e">
            <v>#N/A</v>
          </cell>
        </row>
        <row r="584">
          <cell r="C584">
            <v>0</v>
          </cell>
          <cell r="L584" t="e">
            <v>#N/A</v>
          </cell>
        </row>
        <row r="585">
          <cell r="C585">
            <v>0</v>
          </cell>
          <cell r="L585" t="e">
            <v>#N/A</v>
          </cell>
        </row>
        <row r="586">
          <cell r="C586">
            <v>0</v>
          </cell>
          <cell r="L586" t="e">
            <v>#N/A</v>
          </cell>
        </row>
        <row r="587">
          <cell r="C587">
            <v>0</v>
          </cell>
          <cell r="L587" t="e">
            <v>#N/A</v>
          </cell>
        </row>
        <row r="588">
          <cell r="C588">
            <v>0</v>
          </cell>
          <cell r="L588" t="e">
            <v>#N/A</v>
          </cell>
        </row>
        <row r="589">
          <cell r="C589">
            <v>0</v>
          </cell>
          <cell r="L589" t="e">
            <v>#N/A</v>
          </cell>
        </row>
        <row r="590">
          <cell r="C590">
            <v>0</v>
          </cell>
          <cell r="L590" t="e">
            <v>#N/A</v>
          </cell>
        </row>
        <row r="591">
          <cell r="C591">
            <v>0</v>
          </cell>
          <cell r="L591" t="e">
            <v>#N/A</v>
          </cell>
        </row>
        <row r="592">
          <cell r="C592">
            <v>0</v>
          </cell>
          <cell r="L592" t="e">
            <v>#N/A</v>
          </cell>
        </row>
        <row r="593">
          <cell r="C593">
            <v>0</v>
          </cell>
          <cell r="L593" t="e">
            <v>#N/A</v>
          </cell>
        </row>
        <row r="594">
          <cell r="C594">
            <v>0</v>
          </cell>
          <cell r="L594" t="e">
            <v>#N/A</v>
          </cell>
        </row>
        <row r="595">
          <cell r="C595">
            <v>0</v>
          </cell>
          <cell r="L595" t="e">
            <v>#N/A</v>
          </cell>
        </row>
        <row r="596">
          <cell r="C596">
            <v>0</v>
          </cell>
          <cell r="L596" t="e">
            <v>#N/A</v>
          </cell>
        </row>
        <row r="597">
          <cell r="C597">
            <v>0</v>
          </cell>
          <cell r="L597" t="e">
            <v>#N/A</v>
          </cell>
        </row>
        <row r="598">
          <cell r="C598">
            <v>0</v>
          </cell>
          <cell r="L598" t="e">
            <v>#N/A</v>
          </cell>
        </row>
        <row r="599">
          <cell r="C599">
            <v>0</v>
          </cell>
          <cell r="L599" t="e">
            <v>#N/A</v>
          </cell>
        </row>
        <row r="600">
          <cell r="C600">
            <v>0</v>
          </cell>
          <cell r="L600" t="e">
            <v>#N/A</v>
          </cell>
        </row>
        <row r="601">
          <cell r="C601">
            <v>0</v>
          </cell>
          <cell r="L601" t="e">
            <v>#N/A</v>
          </cell>
        </row>
        <row r="602">
          <cell r="C602">
            <v>0</v>
          </cell>
          <cell r="L602" t="e">
            <v>#N/A</v>
          </cell>
        </row>
        <row r="603">
          <cell r="C603">
            <v>0</v>
          </cell>
          <cell r="L603" t="e">
            <v>#N/A</v>
          </cell>
        </row>
        <row r="604">
          <cell r="C604">
            <v>0</v>
          </cell>
          <cell r="L604" t="e">
            <v>#N/A</v>
          </cell>
        </row>
        <row r="605">
          <cell r="C605">
            <v>0</v>
          </cell>
          <cell r="L605" t="e">
            <v>#N/A</v>
          </cell>
        </row>
        <row r="606">
          <cell r="C606">
            <v>0</v>
          </cell>
          <cell r="L606" t="e">
            <v>#N/A</v>
          </cell>
        </row>
        <row r="607">
          <cell r="C607">
            <v>0</v>
          </cell>
          <cell r="L607" t="e">
            <v>#N/A</v>
          </cell>
        </row>
        <row r="608">
          <cell r="C608">
            <v>0</v>
          </cell>
          <cell r="L608" t="e">
            <v>#N/A</v>
          </cell>
        </row>
        <row r="609">
          <cell r="C609">
            <v>0</v>
          </cell>
          <cell r="L609" t="e">
            <v>#N/A</v>
          </cell>
        </row>
        <row r="610">
          <cell r="C610">
            <v>0</v>
          </cell>
          <cell r="L610" t="e">
            <v>#N/A</v>
          </cell>
        </row>
        <row r="611">
          <cell r="C611">
            <v>0</v>
          </cell>
          <cell r="L611" t="e">
            <v>#N/A</v>
          </cell>
        </row>
        <row r="612">
          <cell r="C612">
            <v>0</v>
          </cell>
          <cell r="L612" t="e">
            <v>#N/A</v>
          </cell>
        </row>
        <row r="613">
          <cell r="C613">
            <v>0</v>
          </cell>
          <cell r="L613" t="e">
            <v>#N/A</v>
          </cell>
        </row>
        <row r="614">
          <cell r="C614">
            <v>0</v>
          </cell>
          <cell r="L614" t="e">
            <v>#N/A</v>
          </cell>
        </row>
        <row r="615">
          <cell r="C615">
            <v>0</v>
          </cell>
          <cell r="L615" t="e">
            <v>#N/A</v>
          </cell>
        </row>
        <row r="616">
          <cell r="C616">
            <v>0</v>
          </cell>
          <cell r="L616" t="e">
            <v>#N/A</v>
          </cell>
        </row>
        <row r="617">
          <cell r="C617">
            <v>0</v>
          </cell>
          <cell r="L617" t="e">
            <v>#N/A</v>
          </cell>
        </row>
        <row r="618">
          <cell r="C618">
            <v>0</v>
          </cell>
          <cell r="L618" t="e">
            <v>#N/A</v>
          </cell>
        </row>
        <row r="619">
          <cell r="C619">
            <v>0</v>
          </cell>
          <cell r="L619" t="e">
            <v>#N/A</v>
          </cell>
        </row>
        <row r="620">
          <cell r="C620">
            <v>0</v>
          </cell>
          <cell r="L620" t="e">
            <v>#N/A</v>
          </cell>
        </row>
        <row r="621">
          <cell r="C621">
            <v>0</v>
          </cell>
          <cell r="L621" t="e">
            <v>#N/A</v>
          </cell>
        </row>
        <row r="622">
          <cell r="C622">
            <v>0</v>
          </cell>
          <cell r="L622" t="e">
            <v>#N/A</v>
          </cell>
        </row>
        <row r="623">
          <cell r="C623">
            <v>0</v>
          </cell>
          <cell r="L623" t="e">
            <v>#N/A</v>
          </cell>
        </row>
        <row r="624">
          <cell r="C624">
            <v>0</v>
          </cell>
          <cell r="L624" t="e">
            <v>#N/A</v>
          </cell>
        </row>
        <row r="625">
          <cell r="C625">
            <v>0</v>
          </cell>
          <cell r="L625" t="e">
            <v>#N/A</v>
          </cell>
        </row>
        <row r="626">
          <cell r="C626">
            <v>0</v>
          </cell>
          <cell r="L626" t="e">
            <v>#N/A</v>
          </cell>
        </row>
        <row r="627">
          <cell r="C627">
            <v>0</v>
          </cell>
          <cell r="L627" t="e">
            <v>#N/A</v>
          </cell>
        </row>
        <row r="628">
          <cell r="C628">
            <v>0</v>
          </cell>
          <cell r="L628" t="e">
            <v>#N/A</v>
          </cell>
        </row>
        <row r="629">
          <cell r="C629">
            <v>0</v>
          </cell>
          <cell r="L629" t="e">
            <v>#N/A</v>
          </cell>
        </row>
        <row r="630">
          <cell r="C630">
            <v>0</v>
          </cell>
          <cell r="L630" t="e">
            <v>#N/A</v>
          </cell>
        </row>
        <row r="631">
          <cell r="C631">
            <v>0</v>
          </cell>
          <cell r="L631" t="e">
            <v>#N/A</v>
          </cell>
        </row>
        <row r="632">
          <cell r="C632">
            <v>0</v>
          </cell>
          <cell r="L632" t="e">
            <v>#N/A</v>
          </cell>
        </row>
        <row r="633">
          <cell r="C633">
            <v>0</v>
          </cell>
          <cell r="L633" t="e">
            <v>#N/A</v>
          </cell>
        </row>
        <row r="634">
          <cell r="C634">
            <v>0</v>
          </cell>
          <cell r="L634" t="e">
            <v>#N/A</v>
          </cell>
        </row>
        <row r="635">
          <cell r="C635">
            <v>0</v>
          </cell>
          <cell r="L635" t="e">
            <v>#N/A</v>
          </cell>
        </row>
        <row r="636">
          <cell r="C636">
            <v>0</v>
          </cell>
          <cell r="L636" t="e">
            <v>#N/A</v>
          </cell>
        </row>
        <row r="637">
          <cell r="C637">
            <v>0</v>
          </cell>
          <cell r="L637" t="e">
            <v>#N/A</v>
          </cell>
        </row>
        <row r="638">
          <cell r="C638">
            <v>0</v>
          </cell>
          <cell r="L638" t="e">
            <v>#N/A</v>
          </cell>
        </row>
        <row r="639">
          <cell r="C639">
            <v>0</v>
          </cell>
          <cell r="L639" t="e">
            <v>#N/A</v>
          </cell>
        </row>
        <row r="640">
          <cell r="C640">
            <v>0</v>
          </cell>
          <cell r="L640" t="e">
            <v>#N/A</v>
          </cell>
        </row>
        <row r="641">
          <cell r="C641">
            <v>0</v>
          </cell>
          <cell r="L641" t="e">
            <v>#N/A</v>
          </cell>
        </row>
        <row r="642">
          <cell r="C642">
            <v>0</v>
          </cell>
          <cell r="L642" t="e">
            <v>#N/A</v>
          </cell>
        </row>
        <row r="643">
          <cell r="C643">
            <v>0</v>
          </cell>
          <cell r="L643" t="e">
            <v>#N/A</v>
          </cell>
        </row>
        <row r="644">
          <cell r="C644">
            <v>0</v>
          </cell>
          <cell r="L644" t="e">
            <v>#N/A</v>
          </cell>
        </row>
        <row r="645">
          <cell r="C645">
            <v>0</v>
          </cell>
          <cell r="L645" t="e">
            <v>#N/A</v>
          </cell>
        </row>
        <row r="646">
          <cell r="C646">
            <v>0</v>
          </cell>
          <cell r="L646" t="e">
            <v>#N/A</v>
          </cell>
        </row>
        <row r="647">
          <cell r="C647">
            <v>0</v>
          </cell>
          <cell r="L647" t="e">
            <v>#N/A</v>
          </cell>
        </row>
        <row r="648">
          <cell r="C648">
            <v>0</v>
          </cell>
          <cell r="L648" t="e">
            <v>#N/A</v>
          </cell>
        </row>
        <row r="649">
          <cell r="C649">
            <v>0</v>
          </cell>
          <cell r="L649" t="e">
            <v>#N/A</v>
          </cell>
        </row>
        <row r="650">
          <cell r="C650">
            <v>0</v>
          </cell>
          <cell r="L650" t="e">
            <v>#N/A</v>
          </cell>
        </row>
        <row r="651">
          <cell r="C651">
            <v>0</v>
          </cell>
          <cell r="L651" t="e">
            <v>#N/A</v>
          </cell>
        </row>
        <row r="652">
          <cell r="C652">
            <v>0</v>
          </cell>
          <cell r="L652" t="e">
            <v>#N/A</v>
          </cell>
        </row>
        <row r="653">
          <cell r="C653">
            <v>0</v>
          </cell>
          <cell r="L653" t="e">
            <v>#N/A</v>
          </cell>
        </row>
        <row r="654">
          <cell r="C654">
            <v>0</v>
          </cell>
          <cell r="L654" t="e">
            <v>#N/A</v>
          </cell>
        </row>
        <row r="655">
          <cell r="C655">
            <v>0</v>
          </cell>
          <cell r="L655" t="e">
            <v>#N/A</v>
          </cell>
        </row>
        <row r="656">
          <cell r="C656">
            <v>0</v>
          </cell>
          <cell r="L656" t="e">
            <v>#N/A</v>
          </cell>
        </row>
        <row r="657">
          <cell r="C657">
            <v>0</v>
          </cell>
          <cell r="L657" t="e">
            <v>#N/A</v>
          </cell>
        </row>
        <row r="658">
          <cell r="C658">
            <v>0</v>
          </cell>
          <cell r="L658" t="e">
            <v>#N/A</v>
          </cell>
        </row>
        <row r="659">
          <cell r="C659">
            <v>0</v>
          </cell>
          <cell r="L659" t="e">
            <v>#N/A</v>
          </cell>
        </row>
        <row r="660">
          <cell r="C660">
            <v>0</v>
          </cell>
          <cell r="L660" t="e">
            <v>#N/A</v>
          </cell>
        </row>
        <row r="661">
          <cell r="C661">
            <v>0</v>
          </cell>
          <cell r="L661" t="e">
            <v>#N/A</v>
          </cell>
        </row>
        <row r="662">
          <cell r="C662">
            <v>0</v>
          </cell>
          <cell r="L662" t="e">
            <v>#N/A</v>
          </cell>
        </row>
        <row r="663">
          <cell r="C663">
            <v>0</v>
          </cell>
          <cell r="L663" t="e">
            <v>#N/A</v>
          </cell>
        </row>
        <row r="664">
          <cell r="C664">
            <v>0</v>
          </cell>
          <cell r="L664" t="e">
            <v>#N/A</v>
          </cell>
        </row>
        <row r="665">
          <cell r="C665">
            <v>0</v>
          </cell>
          <cell r="L665" t="e">
            <v>#N/A</v>
          </cell>
        </row>
        <row r="666">
          <cell r="C666">
            <v>0</v>
          </cell>
          <cell r="L666" t="e">
            <v>#N/A</v>
          </cell>
        </row>
        <row r="667">
          <cell r="C667">
            <v>0</v>
          </cell>
          <cell r="L667" t="e">
            <v>#N/A</v>
          </cell>
        </row>
        <row r="668">
          <cell r="C668">
            <v>0</v>
          </cell>
          <cell r="L668" t="e">
            <v>#N/A</v>
          </cell>
        </row>
        <row r="669">
          <cell r="C669">
            <v>0</v>
          </cell>
          <cell r="L669" t="e">
            <v>#N/A</v>
          </cell>
        </row>
        <row r="670">
          <cell r="C670">
            <v>0</v>
          </cell>
          <cell r="L670" t="e">
            <v>#N/A</v>
          </cell>
        </row>
        <row r="671">
          <cell r="C671">
            <v>0</v>
          </cell>
          <cell r="L671" t="e">
            <v>#N/A</v>
          </cell>
        </row>
        <row r="672">
          <cell r="C672">
            <v>0</v>
          </cell>
          <cell r="L672" t="e">
            <v>#N/A</v>
          </cell>
        </row>
        <row r="673">
          <cell r="C673">
            <v>0</v>
          </cell>
          <cell r="L673" t="e">
            <v>#N/A</v>
          </cell>
        </row>
        <row r="674">
          <cell r="C674">
            <v>0</v>
          </cell>
          <cell r="L674" t="e">
            <v>#N/A</v>
          </cell>
        </row>
        <row r="675">
          <cell r="C675">
            <v>0</v>
          </cell>
          <cell r="L675" t="e">
            <v>#N/A</v>
          </cell>
        </row>
        <row r="676">
          <cell r="C676">
            <v>0</v>
          </cell>
          <cell r="L676" t="e">
            <v>#N/A</v>
          </cell>
        </row>
        <row r="677">
          <cell r="C677">
            <v>0</v>
          </cell>
          <cell r="L677" t="e">
            <v>#N/A</v>
          </cell>
        </row>
        <row r="678">
          <cell r="C678">
            <v>0</v>
          </cell>
          <cell r="L678" t="e">
            <v>#N/A</v>
          </cell>
        </row>
        <row r="679">
          <cell r="C679">
            <v>0</v>
          </cell>
          <cell r="L679" t="e">
            <v>#N/A</v>
          </cell>
        </row>
        <row r="680">
          <cell r="C680">
            <v>0</v>
          </cell>
          <cell r="L680" t="e">
            <v>#N/A</v>
          </cell>
        </row>
        <row r="681">
          <cell r="C681">
            <v>0</v>
          </cell>
          <cell r="L681" t="e">
            <v>#N/A</v>
          </cell>
        </row>
        <row r="682">
          <cell r="C682">
            <v>0</v>
          </cell>
          <cell r="L682" t="e">
            <v>#N/A</v>
          </cell>
        </row>
        <row r="683">
          <cell r="C683">
            <v>0</v>
          </cell>
          <cell r="L683" t="e">
            <v>#N/A</v>
          </cell>
        </row>
        <row r="684">
          <cell r="C684">
            <v>0</v>
          </cell>
          <cell r="L684" t="e">
            <v>#N/A</v>
          </cell>
        </row>
        <row r="685">
          <cell r="C685">
            <v>0</v>
          </cell>
          <cell r="L685" t="e">
            <v>#N/A</v>
          </cell>
        </row>
        <row r="686">
          <cell r="C686">
            <v>0</v>
          </cell>
          <cell r="L686" t="e">
            <v>#N/A</v>
          </cell>
        </row>
        <row r="687">
          <cell r="C687">
            <v>0</v>
          </cell>
          <cell r="L687" t="e">
            <v>#N/A</v>
          </cell>
        </row>
        <row r="688">
          <cell r="C688">
            <v>0</v>
          </cell>
          <cell r="L688" t="e">
            <v>#N/A</v>
          </cell>
        </row>
        <row r="689">
          <cell r="C689">
            <v>0</v>
          </cell>
          <cell r="L689" t="e">
            <v>#N/A</v>
          </cell>
        </row>
        <row r="690">
          <cell r="C690">
            <v>0</v>
          </cell>
          <cell r="L690" t="e">
            <v>#N/A</v>
          </cell>
        </row>
        <row r="691">
          <cell r="C691">
            <v>0</v>
          </cell>
          <cell r="L691" t="e">
            <v>#N/A</v>
          </cell>
        </row>
        <row r="692">
          <cell r="C692">
            <v>0</v>
          </cell>
          <cell r="L692" t="e">
            <v>#N/A</v>
          </cell>
        </row>
        <row r="693">
          <cell r="C693">
            <v>0</v>
          </cell>
          <cell r="L693" t="e">
            <v>#N/A</v>
          </cell>
        </row>
        <row r="694">
          <cell r="C694">
            <v>0</v>
          </cell>
          <cell r="L694" t="e">
            <v>#N/A</v>
          </cell>
        </row>
        <row r="695">
          <cell r="C695">
            <v>0</v>
          </cell>
          <cell r="L695" t="e">
            <v>#N/A</v>
          </cell>
        </row>
        <row r="696">
          <cell r="C696">
            <v>0</v>
          </cell>
          <cell r="L696" t="e">
            <v>#N/A</v>
          </cell>
        </row>
        <row r="697">
          <cell r="C697">
            <v>0</v>
          </cell>
          <cell r="L697" t="e">
            <v>#N/A</v>
          </cell>
        </row>
        <row r="698">
          <cell r="C698">
            <v>0</v>
          </cell>
          <cell r="L698" t="e">
            <v>#N/A</v>
          </cell>
        </row>
        <row r="699">
          <cell r="C699">
            <v>0</v>
          </cell>
          <cell r="L699" t="e">
            <v>#N/A</v>
          </cell>
        </row>
        <row r="700">
          <cell r="C700">
            <v>0</v>
          </cell>
          <cell r="L700" t="e">
            <v>#N/A</v>
          </cell>
        </row>
        <row r="701">
          <cell r="C701">
            <v>0</v>
          </cell>
          <cell r="L701" t="e">
            <v>#N/A</v>
          </cell>
        </row>
        <row r="702">
          <cell r="C702">
            <v>0</v>
          </cell>
          <cell r="L702" t="e">
            <v>#N/A</v>
          </cell>
        </row>
        <row r="703">
          <cell r="C703">
            <v>0</v>
          </cell>
          <cell r="L703" t="e">
            <v>#N/A</v>
          </cell>
        </row>
        <row r="704">
          <cell r="C704">
            <v>0</v>
          </cell>
          <cell r="L704" t="e">
            <v>#N/A</v>
          </cell>
        </row>
        <row r="705">
          <cell r="C705">
            <v>0</v>
          </cell>
          <cell r="L705" t="e">
            <v>#N/A</v>
          </cell>
        </row>
        <row r="706">
          <cell r="C706">
            <v>0</v>
          </cell>
          <cell r="L706" t="e">
            <v>#N/A</v>
          </cell>
        </row>
        <row r="707">
          <cell r="C707">
            <v>0</v>
          </cell>
          <cell r="L707" t="e">
            <v>#N/A</v>
          </cell>
        </row>
        <row r="708">
          <cell r="C708">
            <v>0</v>
          </cell>
          <cell r="L708" t="e">
            <v>#N/A</v>
          </cell>
        </row>
        <row r="709">
          <cell r="C709">
            <v>0</v>
          </cell>
          <cell r="L709" t="e">
            <v>#N/A</v>
          </cell>
        </row>
        <row r="710">
          <cell r="C710">
            <v>0</v>
          </cell>
          <cell r="L710" t="e">
            <v>#N/A</v>
          </cell>
        </row>
        <row r="711">
          <cell r="C711">
            <v>0</v>
          </cell>
          <cell r="L711" t="e">
            <v>#N/A</v>
          </cell>
        </row>
        <row r="712">
          <cell r="C712">
            <v>0</v>
          </cell>
          <cell r="L712" t="e">
            <v>#N/A</v>
          </cell>
        </row>
        <row r="713">
          <cell r="C713">
            <v>0</v>
          </cell>
          <cell r="L713" t="e">
            <v>#N/A</v>
          </cell>
        </row>
        <row r="714">
          <cell r="C714">
            <v>0</v>
          </cell>
          <cell r="L714" t="e">
            <v>#N/A</v>
          </cell>
        </row>
        <row r="715">
          <cell r="C715">
            <v>0</v>
          </cell>
          <cell r="L715" t="e">
            <v>#N/A</v>
          </cell>
        </row>
        <row r="716">
          <cell r="C716">
            <v>0</v>
          </cell>
          <cell r="L716" t="e">
            <v>#N/A</v>
          </cell>
        </row>
        <row r="717">
          <cell r="C717">
            <v>0</v>
          </cell>
          <cell r="L717" t="e">
            <v>#N/A</v>
          </cell>
        </row>
        <row r="718">
          <cell r="C718">
            <v>0</v>
          </cell>
          <cell r="L718" t="e">
            <v>#N/A</v>
          </cell>
        </row>
        <row r="719">
          <cell r="C719">
            <v>0</v>
          </cell>
          <cell r="L719" t="e">
            <v>#N/A</v>
          </cell>
        </row>
        <row r="720">
          <cell r="C720">
            <v>0</v>
          </cell>
          <cell r="L720" t="e">
            <v>#N/A</v>
          </cell>
        </row>
        <row r="721">
          <cell r="C721">
            <v>0</v>
          </cell>
          <cell r="L721" t="e">
            <v>#N/A</v>
          </cell>
        </row>
        <row r="722">
          <cell r="C722">
            <v>0</v>
          </cell>
          <cell r="L722" t="e">
            <v>#N/A</v>
          </cell>
        </row>
        <row r="723">
          <cell r="C723">
            <v>0</v>
          </cell>
          <cell r="L723" t="e">
            <v>#N/A</v>
          </cell>
        </row>
        <row r="724">
          <cell r="C724">
            <v>0</v>
          </cell>
          <cell r="L724" t="e">
            <v>#N/A</v>
          </cell>
        </row>
        <row r="725">
          <cell r="C725">
            <v>0</v>
          </cell>
          <cell r="L725" t="e">
            <v>#N/A</v>
          </cell>
        </row>
        <row r="726">
          <cell r="C726">
            <v>0</v>
          </cell>
          <cell r="L726" t="e">
            <v>#N/A</v>
          </cell>
        </row>
        <row r="727">
          <cell r="C727">
            <v>0</v>
          </cell>
          <cell r="L727" t="e">
            <v>#N/A</v>
          </cell>
        </row>
        <row r="728">
          <cell r="C728">
            <v>0</v>
          </cell>
          <cell r="L728" t="e">
            <v>#N/A</v>
          </cell>
        </row>
        <row r="729">
          <cell r="C729">
            <v>0</v>
          </cell>
          <cell r="L729" t="e">
            <v>#N/A</v>
          </cell>
        </row>
        <row r="730">
          <cell r="C730">
            <v>0</v>
          </cell>
          <cell r="L730" t="e">
            <v>#N/A</v>
          </cell>
        </row>
        <row r="731">
          <cell r="C731">
            <v>0</v>
          </cell>
          <cell r="L731" t="e">
            <v>#N/A</v>
          </cell>
        </row>
        <row r="732">
          <cell r="C732">
            <v>0</v>
          </cell>
          <cell r="L732" t="e">
            <v>#N/A</v>
          </cell>
        </row>
        <row r="733">
          <cell r="C733">
            <v>0</v>
          </cell>
          <cell r="L733" t="e">
            <v>#N/A</v>
          </cell>
        </row>
        <row r="734">
          <cell r="C734">
            <v>0</v>
          </cell>
          <cell r="L734" t="e">
            <v>#N/A</v>
          </cell>
        </row>
        <row r="735">
          <cell r="C735">
            <v>0</v>
          </cell>
          <cell r="L735" t="e">
            <v>#N/A</v>
          </cell>
        </row>
        <row r="736">
          <cell r="C736">
            <v>0</v>
          </cell>
          <cell r="L736" t="e">
            <v>#N/A</v>
          </cell>
        </row>
        <row r="737">
          <cell r="C737">
            <v>0</v>
          </cell>
          <cell r="L737" t="e">
            <v>#N/A</v>
          </cell>
        </row>
        <row r="738">
          <cell r="C738">
            <v>0</v>
          </cell>
          <cell r="L738" t="e">
            <v>#N/A</v>
          </cell>
        </row>
        <row r="739">
          <cell r="C739">
            <v>0</v>
          </cell>
          <cell r="L739" t="e">
            <v>#N/A</v>
          </cell>
        </row>
        <row r="740">
          <cell r="C740">
            <v>0</v>
          </cell>
          <cell r="L740" t="e">
            <v>#N/A</v>
          </cell>
        </row>
        <row r="741">
          <cell r="C741">
            <v>0</v>
          </cell>
          <cell r="L741" t="e">
            <v>#N/A</v>
          </cell>
        </row>
        <row r="742">
          <cell r="C742">
            <v>0</v>
          </cell>
          <cell r="L742" t="e">
            <v>#N/A</v>
          </cell>
        </row>
        <row r="743">
          <cell r="C743">
            <v>0</v>
          </cell>
          <cell r="L743" t="e">
            <v>#N/A</v>
          </cell>
        </row>
        <row r="744">
          <cell r="C744">
            <v>0</v>
          </cell>
          <cell r="L744" t="e">
            <v>#N/A</v>
          </cell>
        </row>
        <row r="745">
          <cell r="C745">
            <v>0</v>
          </cell>
          <cell r="L745" t="e">
            <v>#N/A</v>
          </cell>
        </row>
        <row r="746">
          <cell r="C746">
            <v>0</v>
          </cell>
          <cell r="L746" t="e">
            <v>#N/A</v>
          </cell>
        </row>
        <row r="747">
          <cell r="C747">
            <v>0</v>
          </cell>
          <cell r="L747" t="e">
            <v>#N/A</v>
          </cell>
        </row>
        <row r="748">
          <cell r="C748">
            <v>0</v>
          </cell>
          <cell r="L748" t="e">
            <v>#N/A</v>
          </cell>
        </row>
        <row r="749">
          <cell r="C749">
            <v>0</v>
          </cell>
          <cell r="L749" t="e">
            <v>#N/A</v>
          </cell>
        </row>
        <row r="750">
          <cell r="C750">
            <v>0</v>
          </cell>
          <cell r="L750" t="e">
            <v>#N/A</v>
          </cell>
        </row>
        <row r="751">
          <cell r="C751">
            <v>0</v>
          </cell>
          <cell r="L751" t="e">
            <v>#N/A</v>
          </cell>
        </row>
        <row r="752">
          <cell r="C752">
            <v>0</v>
          </cell>
          <cell r="L752" t="e">
            <v>#N/A</v>
          </cell>
        </row>
        <row r="753">
          <cell r="C753">
            <v>0</v>
          </cell>
          <cell r="L753" t="e">
            <v>#N/A</v>
          </cell>
        </row>
        <row r="754">
          <cell r="C754">
            <v>0</v>
          </cell>
          <cell r="L754" t="e">
            <v>#N/A</v>
          </cell>
        </row>
        <row r="755">
          <cell r="C755">
            <v>0</v>
          </cell>
          <cell r="L755" t="e">
            <v>#N/A</v>
          </cell>
        </row>
        <row r="756">
          <cell r="C756">
            <v>0</v>
          </cell>
          <cell r="L756" t="e">
            <v>#N/A</v>
          </cell>
        </row>
        <row r="757">
          <cell r="C757">
            <v>0</v>
          </cell>
          <cell r="L757" t="e">
            <v>#N/A</v>
          </cell>
        </row>
        <row r="758">
          <cell r="C758">
            <v>0</v>
          </cell>
          <cell r="L758" t="e">
            <v>#N/A</v>
          </cell>
        </row>
        <row r="759">
          <cell r="C759">
            <v>0</v>
          </cell>
          <cell r="L759" t="e">
            <v>#N/A</v>
          </cell>
        </row>
        <row r="760">
          <cell r="C760">
            <v>0</v>
          </cell>
          <cell r="L760" t="e">
            <v>#N/A</v>
          </cell>
        </row>
        <row r="761">
          <cell r="C761">
            <v>0</v>
          </cell>
          <cell r="L761" t="e">
            <v>#N/A</v>
          </cell>
        </row>
        <row r="762">
          <cell r="C762">
            <v>0</v>
          </cell>
          <cell r="L762" t="e">
            <v>#N/A</v>
          </cell>
        </row>
        <row r="763">
          <cell r="C763">
            <v>0</v>
          </cell>
          <cell r="L763" t="e">
            <v>#N/A</v>
          </cell>
        </row>
        <row r="764">
          <cell r="C764">
            <v>0</v>
          </cell>
          <cell r="L764" t="e">
            <v>#N/A</v>
          </cell>
        </row>
        <row r="765">
          <cell r="C765">
            <v>0</v>
          </cell>
          <cell r="L765" t="e">
            <v>#N/A</v>
          </cell>
        </row>
        <row r="766">
          <cell r="C766">
            <v>0</v>
          </cell>
          <cell r="L766" t="e">
            <v>#N/A</v>
          </cell>
        </row>
        <row r="767">
          <cell r="C767">
            <v>0</v>
          </cell>
          <cell r="L767" t="e">
            <v>#N/A</v>
          </cell>
        </row>
        <row r="768">
          <cell r="C768">
            <v>0</v>
          </cell>
          <cell r="L768" t="e">
            <v>#N/A</v>
          </cell>
        </row>
        <row r="769">
          <cell r="C769">
            <v>0</v>
          </cell>
          <cell r="L769" t="e">
            <v>#N/A</v>
          </cell>
        </row>
        <row r="770">
          <cell r="C770">
            <v>0</v>
          </cell>
          <cell r="L770" t="e">
            <v>#N/A</v>
          </cell>
        </row>
        <row r="771">
          <cell r="C771">
            <v>0</v>
          </cell>
          <cell r="L771" t="e">
            <v>#N/A</v>
          </cell>
        </row>
        <row r="772">
          <cell r="C772">
            <v>0</v>
          </cell>
          <cell r="L772" t="e">
            <v>#N/A</v>
          </cell>
        </row>
        <row r="773">
          <cell r="C773">
            <v>0</v>
          </cell>
          <cell r="L773" t="e">
            <v>#N/A</v>
          </cell>
        </row>
        <row r="774">
          <cell r="C774">
            <v>0</v>
          </cell>
          <cell r="L774" t="e">
            <v>#N/A</v>
          </cell>
        </row>
        <row r="775">
          <cell r="C775">
            <v>0</v>
          </cell>
          <cell r="L775" t="e">
            <v>#N/A</v>
          </cell>
        </row>
        <row r="776">
          <cell r="C776">
            <v>0</v>
          </cell>
          <cell r="L776" t="e">
            <v>#N/A</v>
          </cell>
        </row>
        <row r="777">
          <cell r="C777">
            <v>0</v>
          </cell>
          <cell r="L777" t="e">
            <v>#N/A</v>
          </cell>
        </row>
        <row r="778">
          <cell r="C778">
            <v>0</v>
          </cell>
          <cell r="L778" t="e">
            <v>#N/A</v>
          </cell>
        </row>
        <row r="779">
          <cell r="C779">
            <v>0</v>
          </cell>
          <cell r="L779" t="e">
            <v>#N/A</v>
          </cell>
        </row>
        <row r="780">
          <cell r="C780">
            <v>0</v>
          </cell>
          <cell r="L780" t="e">
            <v>#N/A</v>
          </cell>
        </row>
        <row r="781">
          <cell r="C781">
            <v>0</v>
          </cell>
          <cell r="L781" t="e">
            <v>#N/A</v>
          </cell>
        </row>
        <row r="782">
          <cell r="C782">
            <v>0</v>
          </cell>
          <cell r="L782" t="e">
            <v>#N/A</v>
          </cell>
        </row>
        <row r="783">
          <cell r="C783">
            <v>0</v>
          </cell>
          <cell r="L783" t="e">
            <v>#N/A</v>
          </cell>
        </row>
        <row r="784">
          <cell r="C784">
            <v>0</v>
          </cell>
          <cell r="L784" t="e">
            <v>#N/A</v>
          </cell>
        </row>
        <row r="785">
          <cell r="C785">
            <v>0</v>
          </cell>
          <cell r="L785" t="e">
            <v>#N/A</v>
          </cell>
        </row>
        <row r="786">
          <cell r="C786">
            <v>0</v>
          </cell>
          <cell r="L786" t="e">
            <v>#N/A</v>
          </cell>
        </row>
        <row r="787">
          <cell r="C787">
            <v>0</v>
          </cell>
          <cell r="L787" t="e">
            <v>#N/A</v>
          </cell>
        </row>
        <row r="788">
          <cell r="C788">
            <v>0</v>
          </cell>
          <cell r="L788" t="e">
            <v>#N/A</v>
          </cell>
        </row>
        <row r="789">
          <cell r="C789">
            <v>0</v>
          </cell>
          <cell r="L789" t="e">
            <v>#N/A</v>
          </cell>
        </row>
        <row r="790">
          <cell r="C790">
            <v>0</v>
          </cell>
          <cell r="L790" t="e">
            <v>#N/A</v>
          </cell>
        </row>
        <row r="791">
          <cell r="C791">
            <v>0</v>
          </cell>
          <cell r="L791" t="e">
            <v>#N/A</v>
          </cell>
        </row>
        <row r="792">
          <cell r="C792">
            <v>0</v>
          </cell>
          <cell r="L792" t="e">
            <v>#N/A</v>
          </cell>
        </row>
        <row r="793">
          <cell r="C793">
            <v>0</v>
          </cell>
          <cell r="L793" t="e">
            <v>#N/A</v>
          </cell>
        </row>
        <row r="794">
          <cell r="C794">
            <v>0</v>
          </cell>
          <cell r="L794" t="e">
            <v>#N/A</v>
          </cell>
        </row>
        <row r="795">
          <cell r="C795">
            <v>0</v>
          </cell>
          <cell r="L795" t="e">
            <v>#N/A</v>
          </cell>
        </row>
        <row r="796">
          <cell r="C796">
            <v>0</v>
          </cell>
          <cell r="L796" t="e">
            <v>#N/A</v>
          </cell>
        </row>
        <row r="797">
          <cell r="C797">
            <v>0</v>
          </cell>
          <cell r="L797" t="e">
            <v>#N/A</v>
          </cell>
        </row>
        <row r="798">
          <cell r="C798">
            <v>0</v>
          </cell>
          <cell r="L798" t="e">
            <v>#N/A</v>
          </cell>
        </row>
        <row r="799">
          <cell r="C799">
            <v>0</v>
          </cell>
          <cell r="L799" t="e">
            <v>#N/A</v>
          </cell>
        </row>
        <row r="800">
          <cell r="C800">
            <v>0</v>
          </cell>
          <cell r="L800" t="e">
            <v>#N/A</v>
          </cell>
        </row>
        <row r="801">
          <cell r="C801">
            <v>0</v>
          </cell>
          <cell r="L801" t="e">
            <v>#N/A</v>
          </cell>
        </row>
        <row r="802">
          <cell r="C802">
            <v>0</v>
          </cell>
          <cell r="L802" t="e">
            <v>#N/A</v>
          </cell>
        </row>
        <row r="803">
          <cell r="C803">
            <v>0</v>
          </cell>
          <cell r="L803" t="e">
            <v>#N/A</v>
          </cell>
        </row>
        <row r="804">
          <cell r="C804">
            <v>0</v>
          </cell>
          <cell r="L804" t="e">
            <v>#N/A</v>
          </cell>
        </row>
        <row r="805">
          <cell r="C805">
            <v>0</v>
          </cell>
          <cell r="L805" t="e">
            <v>#N/A</v>
          </cell>
        </row>
        <row r="806">
          <cell r="C806">
            <v>0</v>
          </cell>
          <cell r="L806" t="e">
            <v>#N/A</v>
          </cell>
        </row>
        <row r="807">
          <cell r="C807">
            <v>0</v>
          </cell>
          <cell r="L807" t="e">
            <v>#N/A</v>
          </cell>
        </row>
        <row r="808">
          <cell r="C808">
            <v>0</v>
          </cell>
          <cell r="L808" t="e">
            <v>#N/A</v>
          </cell>
        </row>
        <row r="809">
          <cell r="C809">
            <v>0</v>
          </cell>
          <cell r="L809" t="e">
            <v>#N/A</v>
          </cell>
        </row>
        <row r="810">
          <cell r="C810">
            <v>0</v>
          </cell>
          <cell r="L810" t="e">
            <v>#N/A</v>
          </cell>
        </row>
        <row r="811">
          <cell r="C811">
            <v>0</v>
          </cell>
          <cell r="L811" t="e">
            <v>#N/A</v>
          </cell>
        </row>
        <row r="812">
          <cell r="C812">
            <v>0</v>
          </cell>
          <cell r="L812" t="e">
            <v>#N/A</v>
          </cell>
        </row>
        <row r="813">
          <cell r="C813">
            <v>0</v>
          </cell>
          <cell r="L813" t="e">
            <v>#N/A</v>
          </cell>
        </row>
        <row r="814">
          <cell r="C814">
            <v>0</v>
          </cell>
          <cell r="L814" t="e">
            <v>#N/A</v>
          </cell>
        </row>
        <row r="815">
          <cell r="C815">
            <v>0</v>
          </cell>
          <cell r="L815" t="e">
            <v>#N/A</v>
          </cell>
        </row>
        <row r="816">
          <cell r="C816">
            <v>0</v>
          </cell>
          <cell r="L816" t="e">
            <v>#N/A</v>
          </cell>
        </row>
        <row r="817">
          <cell r="C817">
            <v>0</v>
          </cell>
          <cell r="L817" t="e">
            <v>#N/A</v>
          </cell>
        </row>
        <row r="818">
          <cell r="C818">
            <v>0</v>
          </cell>
          <cell r="L818" t="e">
            <v>#N/A</v>
          </cell>
        </row>
        <row r="819">
          <cell r="C819">
            <v>0</v>
          </cell>
          <cell r="L819" t="e">
            <v>#N/A</v>
          </cell>
        </row>
        <row r="820">
          <cell r="C820">
            <v>0</v>
          </cell>
          <cell r="L820" t="e">
            <v>#N/A</v>
          </cell>
        </row>
        <row r="821">
          <cell r="C821">
            <v>0</v>
          </cell>
          <cell r="L821" t="e">
            <v>#N/A</v>
          </cell>
        </row>
        <row r="822">
          <cell r="C822">
            <v>0</v>
          </cell>
          <cell r="L822" t="e">
            <v>#N/A</v>
          </cell>
        </row>
        <row r="823">
          <cell r="C823">
            <v>0</v>
          </cell>
          <cell r="L823" t="e">
            <v>#N/A</v>
          </cell>
        </row>
        <row r="824">
          <cell r="C824">
            <v>0</v>
          </cell>
          <cell r="L824" t="e">
            <v>#N/A</v>
          </cell>
        </row>
        <row r="825">
          <cell r="C825">
            <v>0</v>
          </cell>
          <cell r="L825" t="e">
            <v>#N/A</v>
          </cell>
        </row>
        <row r="826">
          <cell r="C826">
            <v>0</v>
          </cell>
          <cell r="L826" t="e">
            <v>#N/A</v>
          </cell>
        </row>
        <row r="827">
          <cell r="C827">
            <v>0</v>
          </cell>
          <cell r="L827" t="e">
            <v>#N/A</v>
          </cell>
        </row>
        <row r="828">
          <cell r="C828">
            <v>0</v>
          </cell>
          <cell r="L828" t="e">
            <v>#N/A</v>
          </cell>
        </row>
        <row r="829">
          <cell r="C829">
            <v>0</v>
          </cell>
          <cell r="L829" t="e">
            <v>#N/A</v>
          </cell>
        </row>
        <row r="830">
          <cell r="C830">
            <v>0</v>
          </cell>
          <cell r="L830" t="e">
            <v>#N/A</v>
          </cell>
        </row>
        <row r="831">
          <cell r="C831">
            <v>0</v>
          </cell>
          <cell r="L831" t="e">
            <v>#N/A</v>
          </cell>
        </row>
        <row r="832">
          <cell r="C832">
            <v>0</v>
          </cell>
          <cell r="L832" t="e">
            <v>#N/A</v>
          </cell>
        </row>
        <row r="833">
          <cell r="C833">
            <v>0</v>
          </cell>
          <cell r="L833" t="e">
            <v>#N/A</v>
          </cell>
        </row>
        <row r="834">
          <cell r="C834">
            <v>0</v>
          </cell>
          <cell r="L834" t="e">
            <v>#N/A</v>
          </cell>
        </row>
        <row r="835">
          <cell r="C835">
            <v>0</v>
          </cell>
          <cell r="L835" t="e">
            <v>#N/A</v>
          </cell>
        </row>
        <row r="836">
          <cell r="C836">
            <v>0</v>
          </cell>
          <cell r="L836" t="e">
            <v>#N/A</v>
          </cell>
        </row>
        <row r="837">
          <cell r="C837">
            <v>0</v>
          </cell>
          <cell r="L837" t="e">
            <v>#N/A</v>
          </cell>
        </row>
        <row r="838">
          <cell r="C838">
            <v>0</v>
          </cell>
          <cell r="L838" t="e">
            <v>#N/A</v>
          </cell>
        </row>
        <row r="839">
          <cell r="C839">
            <v>0</v>
          </cell>
          <cell r="L839" t="e">
            <v>#N/A</v>
          </cell>
        </row>
        <row r="840">
          <cell r="C840">
            <v>0</v>
          </cell>
          <cell r="L840" t="e">
            <v>#N/A</v>
          </cell>
        </row>
        <row r="841">
          <cell r="C841">
            <v>0</v>
          </cell>
          <cell r="L841" t="e">
            <v>#N/A</v>
          </cell>
        </row>
        <row r="842">
          <cell r="C842">
            <v>0</v>
          </cell>
          <cell r="L842" t="e">
            <v>#N/A</v>
          </cell>
        </row>
        <row r="843">
          <cell r="C843">
            <v>0</v>
          </cell>
          <cell r="L843" t="e">
            <v>#N/A</v>
          </cell>
        </row>
        <row r="844">
          <cell r="C844">
            <v>0</v>
          </cell>
          <cell r="L844" t="e">
            <v>#N/A</v>
          </cell>
        </row>
        <row r="845">
          <cell r="C845">
            <v>0</v>
          </cell>
          <cell r="L845" t="e">
            <v>#N/A</v>
          </cell>
        </row>
        <row r="846">
          <cell r="C846">
            <v>0</v>
          </cell>
          <cell r="L846" t="e">
            <v>#N/A</v>
          </cell>
        </row>
        <row r="847">
          <cell r="C847">
            <v>0</v>
          </cell>
          <cell r="L847" t="e">
            <v>#N/A</v>
          </cell>
        </row>
        <row r="848">
          <cell r="C848">
            <v>0</v>
          </cell>
          <cell r="L848" t="e">
            <v>#N/A</v>
          </cell>
        </row>
        <row r="849">
          <cell r="C849">
            <v>0</v>
          </cell>
          <cell r="L849" t="e">
            <v>#N/A</v>
          </cell>
        </row>
        <row r="850">
          <cell r="C850">
            <v>0</v>
          </cell>
          <cell r="L850" t="e">
            <v>#N/A</v>
          </cell>
        </row>
        <row r="851">
          <cell r="C851">
            <v>0</v>
          </cell>
          <cell r="L851" t="e">
            <v>#N/A</v>
          </cell>
        </row>
        <row r="852">
          <cell r="C852">
            <v>0</v>
          </cell>
          <cell r="L852" t="e">
            <v>#N/A</v>
          </cell>
        </row>
        <row r="853">
          <cell r="C853">
            <v>0</v>
          </cell>
          <cell r="L853" t="e">
            <v>#N/A</v>
          </cell>
        </row>
        <row r="854">
          <cell r="C854">
            <v>0</v>
          </cell>
          <cell r="L854" t="e">
            <v>#N/A</v>
          </cell>
        </row>
        <row r="855">
          <cell r="C855">
            <v>0</v>
          </cell>
          <cell r="L855" t="e">
            <v>#N/A</v>
          </cell>
        </row>
        <row r="856">
          <cell r="C856">
            <v>0</v>
          </cell>
          <cell r="L856" t="e">
            <v>#N/A</v>
          </cell>
        </row>
        <row r="857">
          <cell r="C857">
            <v>0</v>
          </cell>
          <cell r="L857" t="e">
            <v>#N/A</v>
          </cell>
        </row>
        <row r="858">
          <cell r="C858">
            <v>0</v>
          </cell>
          <cell r="L858" t="e">
            <v>#N/A</v>
          </cell>
        </row>
        <row r="859">
          <cell r="C859">
            <v>0</v>
          </cell>
          <cell r="L859" t="e">
            <v>#N/A</v>
          </cell>
        </row>
        <row r="860">
          <cell r="C860">
            <v>0</v>
          </cell>
          <cell r="L860" t="e">
            <v>#N/A</v>
          </cell>
        </row>
        <row r="861">
          <cell r="C861">
            <v>0</v>
          </cell>
          <cell r="L861" t="e">
            <v>#N/A</v>
          </cell>
        </row>
        <row r="862">
          <cell r="C862">
            <v>0</v>
          </cell>
          <cell r="L862" t="e">
            <v>#N/A</v>
          </cell>
        </row>
        <row r="863">
          <cell r="C863">
            <v>0</v>
          </cell>
          <cell r="L863" t="e">
            <v>#N/A</v>
          </cell>
        </row>
        <row r="864">
          <cell r="C864">
            <v>0</v>
          </cell>
          <cell r="L864" t="e">
            <v>#N/A</v>
          </cell>
        </row>
        <row r="865">
          <cell r="C865">
            <v>0</v>
          </cell>
          <cell r="L865" t="e">
            <v>#N/A</v>
          </cell>
        </row>
        <row r="866">
          <cell r="C866">
            <v>0</v>
          </cell>
          <cell r="L866" t="e">
            <v>#N/A</v>
          </cell>
        </row>
        <row r="867">
          <cell r="C867">
            <v>0</v>
          </cell>
          <cell r="L867" t="e">
            <v>#N/A</v>
          </cell>
        </row>
        <row r="868">
          <cell r="C868">
            <v>0</v>
          </cell>
          <cell r="L868" t="e">
            <v>#N/A</v>
          </cell>
        </row>
        <row r="869">
          <cell r="C869">
            <v>0</v>
          </cell>
          <cell r="L869" t="e">
            <v>#N/A</v>
          </cell>
        </row>
        <row r="870">
          <cell r="C870">
            <v>0</v>
          </cell>
          <cell r="L870" t="e">
            <v>#N/A</v>
          </cell>
        </row>
        <row r="871">
          <cell r="C871">
            <v>0</v>
          </cell>
          <cell r="L871" t="e">
            <v>#N/A</v>
          </cell>
        </row>
        <row r="872">
          <cell r="C872">
            <v>0</v>
          </cell>
          <cell r="L872" t="e">
            <v>#N/A</v>
          </cell>
        </row>
        <row r="873">
          <cell r="C873">
            <v>0</v>
          </cell>
          <cell r="L873" t="e">
            <v>#N/A</v>
          </cell>
        </row>
        <row r="874">
          <cell r="C874">
            <v>0</v>
          </cell>
          <cell r="L874" t="e">
            <v>#N/A</v>
          </cell>
        </row>
        <row r="875">
          <cell r="C875">
            <v>0</v>
          </cell>
          <cell r="L875" t="e">
            <v>#N/A</v>
          </cell>
        </row>
        <row r="876">
          <cell r="C876">
            <v>0</v>
          </cell>
          <cell r="L876" t="e">
            <v>#N/A</v>
          </cell>
        </row>
        <row r="877">
          <cell r="C877">
            <v>0</v>
          </cell>
          <cell r="L877" t="e">
            <v>#N/A</v>
          </cell>
        </row>
        <row r="878">
          <cell r="C878">
            <v>0</v>
          </cell>
          <cell r="L878" t="e">
            <v>#N/A</v>
          </cell>
        </row>
        <row r="879">
          <cell r="C879">
            <v>0</v>
          </cell>
          <cell r="L879" t="e">
            <v>#N/A</v>
          </cell>
        </row>
        <row r="880">
          <cell r="C880">
            <v>0</v>
          </cell>
          <cell r="L880" t="e">
            <v>#N/A</v>
          </cell>
        </row>
        <row r="881">
          <cell r="C881">
            <v>0</v>
          </cell>
          <cell r="L881" t="e">
            <v>#N/A</v>
          </cell>
        </row>
        <row r="882">
          <cell r="C882">
            <v>0</v>
          </cell>
          <cell r="L882" t="e">
            <v>#N/A</v>
          </cell>
        </row>
        <row r="883">
          <cell r="C883">
            <v>0</v>
          </cell>
          <cell r="L883" t="e">
            <v>#N/A</v>
          </cell>
        </row>
        <row r="884">
          <cell r="C884">
            <v>0</v>
          </cell>
          <cell r="L884" t="e">
            <v>#N/A</v>
          </cell>
        </row>
        <row r="885">
          <cell r="C885">
            <v>0</v>
          </cell>
          <cell r="L885" t="e">
            <v>#N/A</v>
          </cell>
        </row>
        <row r="886">
          <cell r="C886">
            <v>0</v>
          </cell>
          <cell r="L886" t="e">
            <v>#N/A</v>
          </cell>
        </row>
        <row r="887">
          <cell r="C887">
            <v>0</v>
          </cell>
          <cell r="L887" t="e">
            <v>#N/A</v>
          </cell>
        </row>
        <row r="888">
          <cell r="C888">
            <v>0</v>
          </cell>
          <cell r="L888" t="e">
            <v>#N/A</v>
          </cell>
        </row>
        <row r="889">
          <cell r="C889">
            <v>0</v>
          </cell>
          <cell r="L889" t="e">
            <v>#N/A</v>
          </cell>
        </row>
        <row r="890">
          <cell r="C890">
            <v>0</v>
          </cell>
          <cell r="L890" t="e">
            <v>#N/A</v>
          </cell>
        </row>
        <row r="891">
          <cell r="C891">
            <v>0</v>
          </cell>
          <cell r="L891" t="e">
            <v>#N/A</v>
          </cell>
        </row>
        <row r="892">
          <cell r="C892">
            <v>0</v>
          </cell>
          <cell r="L892" t="e">
            <v>#N/A</v>
          </cell>
        </row>
        <row r="893">
          <cell r="C893">
            <v>0</v>
          </cell>
          <cell r="L893" t="e">
            <v>#N/A</v>
          </cell>
        </row>
        <row r="894">
          <cell r="C894">
            <v>0</v>
          </cell>
          <cell r="L894" t="e">
            <v>#N/A</v>
          </cell>
        </row>
        <row r="895">
          <cell r="C895">
            <v>0</v>
          </cell>
          <cell r="L895" t="e">
            <v>#N/A</v>
          </cell>
        </row>
        <row r="896">
          <cell r="C896">
            <v>0</v>
          </cell>
          <cell r="L896" t="e">
            <v>#N/A</v>
          </cell>
        </row>
        <row r="897">
          <cell r="C897">
            <v>0</v>
          </cell>
          <cell r="L897" t="e">
            <v>#N/A</v>
          </cell>
        </row>
        <row r="898">
          <cell r="C898">
            <v>0</v>
          </cell>
          <cell r="L898" t="e">
            <v>#N/A</v>
          </cell>
        </row>
        <row r="899">
          <cell r="C899">
            <v>0</v>
          </cell>
          <cell r="L899" t="e">
            <v>#N/A</v>
          </cell>
        </row>
        <row r="900">
          <cell r="C900">
            <v>0</v>
          </cell>
          <cell r="L900" t="e">
            <v>#N/A</v>
          </cell>
        </row>
        <row r="901">
          <cell r="C901">
            <v>0</v>
          </cell>
          <cell r="L901" t="e">
            <v>#N/A</v>
          </cell>
        </row>
        <row r="902">
          <cell r="C902">
            <v>0</v>
          </cell>
          <cell r="L902" t="e">
            <v>#N/A</v>
          </cell>
        </row>
        <row r="903">
          <cell r="C903">
            <v>0</v>
          </cell>
          <cell r="L903" t="e">
            <v>#N/A</v>
          </cell>
        </row>
        <row r="904">
          <cell r="C904">
            <v>0</v>
          </cell>
          <cell r="L904" t="e">
            <v>#N/A</v>
          </cell>
        </row>
        <row r="905">
          <cell r="C905">
            <v>0</v>
          </cell>
          <cell r="L905" t="e">
            <v>#N/A</v>
          </cell>
        </row>
        <row r="906">
          <cell r="C906">
            <v>0</v>
          </cell>
          <cell r="L906" t="e">
            <v>#N/A</v>
          </cell>
        </row>
        <row r="907">
          <cell r="C907">
            <v>0</v>
          </cell>
          <cell r="L907" t="e">
            <v>#N/A</v>
          </cell>
        </row>
        <row r="908">
          <cell r="C908">
            <v>0</v>
          </cell>
          <cell r="L908" t="e">
            <v>#N/A</v>
          </cell>
        </row>
        <row r="909">
          <cell r="C909">
            <v>0</v>
          </cell>
          <cell r="L909" t="e">
            <v>#N/A</v>
          </cell>
        </row>
        <row r="910">
          <cell r="C910">
            <v>0</v>
          </cell>
          <cell r="L910" t="e">
            <v>#N/A</v>
          </cell>
        </row>
        <row r="911">
          <cell r="C911">
            <v>0</v>
          </cell>
          <cell r="L911" t="e">
            <v>#N/A</v>
          </cell>
        </row>
        <row r="912">
          <cell r="C912">
            <v>0</v>
          </cell>
          <cell r="L912" t="e">
            <v>#N/A</v>
          </cell>
        </row>
        <row r="913">
          <cell r="C913">
            <v>0</v>
          </cell>
          <cell r="L913" t="e">
            <v>#N/A</v>
          </cell>
        </row>
        <row r="914">
          <cell r="C914">
            <v>0</v>
          </cell>
          <cell r="L914" t="e">
            <v>#N/A</v>
          </cell>
        </row>
        <row r="915">
          <cell r="C915">
            <v>0</v>
          </cell>
          <cell r="L915" t="e">
            <v>#N/A</v>
          </cell>
        </row>
        <row r="916">
          <cell r="C916">
            <v>0</v>
          </cell>
          <cell r="L916" t="e">
            <v>#N/A</v>
          </cell>
        </row>
        <row r="917">
          <cell r="C917">
            <v>0</v>
          </cell>
          <cell r="L917" t="e">
            <v>#N/A</v>
          </cell>
        </row>
        <row r="918">
          <cell r="C918">
            <v>0</v>
          </cell>
          <cell r="L918" t="e">
            <v>#N/A</v>
          </cell>
        </row>
        <row r="919">
          <cell r="C919">
            <v>0</v>
          </cell>
          <cell r="L919" t="e">
            <v>#N/A</v>
          </cell>
        </row>
        <row r="920">
          <cell r="C920">
            <v>0</v>
          </cell>
          <cell r="L920" t="e">
            <v>#N/A</v>
          </cell>
        </row>
        <row r="921">
          <cell r="C921">
            <v>0</v>
          </cell>
          <cell r="L921" t="e">
            <v>#N/A</v>
          </cell>
        </row>
        <row r="922">
          <cell r="C922">
            <v>0</v>
          </cell>
          <cell r="L922" t="e">
            <v>#N/A</v>
          </cell>
        </row>
        <row r="923">
          <cell r="C923">
            <v>0</v>
          </cell>
          <cell r="L923" t="e">
            <v>#N/A</v>
          </cell>
        </row>
        <row r="924">
          <cell r="C924">
            <v>0</v>
          </cell>
          <cell r="L924" t="e">
            <v>#N/A</v>
          </cell>
        </row>
        <row r="925">
          <cell r="C925">
            <v>0</v>
          </cell>
          <cell r="L925" t="e">
            <v>#N/A</v>
          </cell>
        </row>
        <row r="926">
          <cell r="C926">
            <v>0</v>
          </cell>
          <cell r="L926" t="e">
            <v>#N/A</v>
          </cell>
        </row>
        <row r="927">
          <cell r="C927">
            <v>0</v>
          </cell>
          <cell r="L927" t="e">
            <v>#N/A</v>
          </cell>
        </row>
        <row r="928">
          <cell r="C928">
            <v>0</v>
          </cell>
          <cell r="L928" t="e">
            <v>#N/A</v>
          </cell>
        </row>
        <row r="929">
          <cell r="C929">
            <v>0</v>
          </cell>
          <cell r="L929" t="e">
            <v>#N/A</v>
          </cell>
        </row>
        <row r="930">
          <cell r="C930">
            <v>0</v>
          </cell>
          <cell r="L930" t="e">
            <v>#N/A</v>
          </cell>
        </row>
        <row r="931">
          <cell r="C931">
            <v>0</v>
          </cell>
          <cell r="L931" t="e">
            <v>#N/A</v>
          </cell>
        </row>
        <row r="932">
          <cell r="C932">
            <v>0</v>
          </cell>
          <cell r="L932" t="e">
            <v>#N/A</v>
          </cell>
        </row>
        <row r="933">
          <cell r="C933">
            <v>0</v>
          </cell>
          <cell r="L933" t="e">
            <v>#N/A</v>
          </cell>
        </row>
        <row r="934">
          <cell r="C934">
            <v>0</v>
          </cell>
          <cell r="L934" t="e">
            <v>#N/A</v>
          </cell>
        </row>
        <row r="935">
          <cell r="C935">
            <v>0</v>
          </cell>
          <cell r="L935" t="e">
            <v>#N/A</v>
          </cell>
        </row>
        <row r="936">
          <cell r="C936">
            <v>0</v>
          </cell>
          <cell r="L936" t="e">
            <v>#N/A</v>
          </cell>
        </row>
        <row r="937">
          <cell r="C937">
            <v>0</v>
          </cell>
          <cell r="L937" t="e">
            <v>#N/A</v>
          </cell>
        </row>
        <row r="938">
          <cell r="C938">
            <v>0</v>
          </cell>
          <cell r="L938" t="e">
            <v>#N/A</v>
          </cell>
        </row>
        <row r="939">
          <cell r="C939">
            <v>0</v>
          </cell>
          <cell r="L939" t="e">
            <v>#N/A</v>
          </cell>
        </row>
        <row r="940">
          <cell r="C940">
            <v>0</v>
          </cell>
          <cell r="L940" t="e">
            <v>#N/A</v>
          </cell>
        </row>
        <row r="941">
          <cell r="C941">
            <v>0</v>
          </cell>
          <cell r="L941" t="e">
            <v>#N/A</v>
          </cell>
        </row>
        <row r="942">
          <cell r="C942">
            <v>0</v>
          </cell>
          <cell r="L942" t="e">
            <v>#N/A</v>
          </cell>
        </row>
        <row r="943">
          <cell r="C943">
            <v>0</v>
          </cell>
          <cell r="L943" t="e">
            <v>#N/A</v>
          </cell>
        </row>
        <row r="944">
          <cell r="C944">
            <v>0</v>
          </cell>
          <cell r="L944" t="e">
            <v>#N/A</v>
          </cell>
        </row>
        <row r="945">
          <cell r="C945">
            <v>0</v>
          </cell>
          <cell r="L945" t="e">
            <v>#N/A</v>
          </cell>
        </row>
        <row r="946">
          <cell r="C946">
            <v>0</v>
          </cell>
          <cell r="L946" t="e">
            <v>#N/A</v>
          </cell>
        </row>
        <row r="947">
          <cell r="C947">
            <v>0</v>
          </cell>
          <cell r="L947" t="e">
            <v>#N/A</v>
          </cell>
        </row>
        <row r="948">
          <cell r="C948">
            <v>0</v>
          </cell>
          <cell r="L948" t="e">
            <v>#N/A</v>
          </cell>
        </row>
        <row r="949">
          <cell r="C949">
            <v>0</v>
          </cell>
          <cell r="L949" t="e">
            <v>#N/A</v>
          </cell>
        </row>
        <row r="950">
          <cell r="C950">
            <v>0</v>
          </cell>
          <cell r="L950" t="e">
            <v>#N/A</v>
          </cell>
        </row>
        <row r="951">
          <cell r="C951">
            <v>0</v>
          </cell>
          <cell r="L951" t="e">
            <v>#N/A</v>
          </cell>
        </row>
        <row r="952">
          <cell r="C952">
            <v>0</v>
          </cell>
          <cell r="L952" t="e">
            <v>#N/A</v>
          </cell>
        </row>
        <row r="953">
          <cell r="C953">
            <v>0</v>
          </cell>
          <cell r="L953" t="e">
            <v>#N/A</v>
          </cell>
        </row>
        <row r="954">
          <cell r="C954">
            <v>0</v>
          </cell>
          <cell r="L954" t="e">
            <v>#N/A</v>
          </cell>
        </row>
        <row r="955">
          <cell r="C955">
            <v>0</v>
          </cell>
          <cell r="L955" t="e">
            <v>#N/A</v>
          </cell>
        </row>
        <row r="956">
          <cell r="C956">
            <v>0</v>
          </cell>
          <cell r="L956" t="e">
            <v>#N/A</v>
          </cell>
        </row>
        <row r="957">
          <cell r="C957">
            <v>0</v>
          </cell>
          <cell r="L957" t="e">
            <v>#N/A</v>
          </cell>
        </row>
        <row r="958">
          <cell r="C958">
            <v>0</v>
          </cell>
          <cell r="L958" t="e">
            <v>#N/A</v>
          </cell>
        </row>
        <row r="959">
          <cell r="C959">
            <v>0</v>
          </cell>
          <cell r="L959" t="e">
            <v>#N/A</v>
          </cell>
        </row>
        <row r="960">
          <cell r="C960">
            <v>0</v>
          </cell>
          <cell r="L960" t="e">
            <v>#N/A</v>
          </cell>
        </row>
        <row r="961">
          <cell r="C961">
            <v>0</v>
          </cell>
          <cell r="L961" t="e">
            <v>#N/A</v>
          </cell>
        </row>
        <row r="962">
          <cell r="C962">
            <v>0</v>
          </cell>
          <cell r="L962" t="e">
            <v>#N/A</v>
          </cell>
        </row>
        <row r="963">
          <cell r="C963">
            <v>0</v>
          </cell>
          <cell r="L963" t="e">
            <v>#N/A</v>
          </cell>
        </row>
        <row r="964">
          <cell r="C964">
            <v>0</v>
          </cell>
          <cell r="L964" t="e">
            <v>#N/A</v>
          </cell>
        </row>
        <row r="965">
          <cell r="C965">
            <v>0</v>
          </cell>
          <cell r="L965" t="e">
            <v>#N/A</v>
          </cell>
        </row>
        <row r="966">
          <cell r="C966">
            <v>0</v>
          </cell>
          <cell r="L966" t="e">
            <v>#N/A</v>
          </cell>
        </row>
        <row r="967">
          <cell r="C967">
            <v>0</v>
          </cell>
          <cell r="L967" t="e">
            <v>#N/A</v>
          </cell>
        </row>
        <row r="968">
          <cell r="C968">
            <v>0</v>
          </cell>
          <cell r="L968" t="e">
            <v>#N/A</v>
          </cell>
        </row>
        <row r="969">
          <cell r="C969">
            <v>0</v>
          </cell>
          <cell r="L969" t="e">
            <v>#N/A</v>
          </cell>
        </row>
        <row r="970">
          <cell r="C970">
            <v>0</v>
          </cell>
          <cell r="L970" t="e">
            <v>#N/A</v>
          </cell>
        </row>
        <row r="971">
          <cell r="C971">
            <v>0</v>
          </cell>
          <cell r="L971" t="e">
            <v>#N/A</v>
          </cell>
        </row>
        <row r="972">
          <cell r="C972">
            <v>0</v>
          </cell>
          <cell r="L972" t="e">
            <v>#N/A</v>
          </cell>
        </row>
        <row r="973">
          <cell r="C973">
            <v>0</v>
          </cell>
          <cell r="L973" t="e">
            <v>#N/A</v>
          </cell>
        </row>
        <row r="974">
          <cell r="C974">
            <v>0</v>
          </cell>
          <cell r="L974" t="e">
            <v>#N/A</v>
          </cell>
        </row>
        <row r="975">
          <cell r="C975">
            <v>0</v>
          </cell>
          <cell r="L975" t="e">
            <v>#N/A</v>
          </cell>
        </row>
        <row r="976">
          <cell r="C976">
            <v>0</v>
          </cell>
          <cell r="L976" t="e">
            <v>#N/A</v>
          </cell>
        </row>
        <row r="977">
          <cell r="C977">
            <v>0</v>
          </cell>
          <cell r="L977" t="e">
            <v>#N/A</v>
          </cell>
        </row>
        <row r="978">
          <cell r="C978">
            <v>0</v>
          </cell>
          <cell r="L978" t="e">
            <v>#N/A</v>
          </cell>
        </row>
        <row r="979">
          <cell r="C979">
            <v>0</v>
          </cell>
          <cell r="L979" t="e">
            <v>#N/A</v>
          </cell>
        </row>
        <row r="980">
          <cell r="C980">
            <v>0</v>
          </cell>
          <cell r="L980" t="e">
            <v>#N/A</v>
          </cell>
        </row>
        <row r="981">
          <cell r="C981">
            <v>0</v>
          </cell>
          <cell r="L981" t="e">
            <v>#N/A</v>
          </cell>
        </row>
        <row r="982">
          <cell r="C982">
            <v>0</v>
          </cell>
          <cell r="L982" t="e">
            <v>#N/A</v>
          </cell>
        </row>
        <row r="983">
          <cell r="C983">
            <v>0</v>
          </cell>
          <cell r="L983" t="e">
            <v>#N/A</v>
          </cell>
        </row>
        <row r="984">
          <cell r="C984">
            <v>0</v>
          </cell>
          <cell r="L984" t="e">
            <v>#N/A</v>
          </cell>
        </row>
        <row r="985">
          <cell r="C985">
            <v>0</v>
          </cell>
          <cell r="L985" t="e">
            <v>#N/A</v>
          </cell>
        </row>
        <row r="986">
          <cell r="C986">
            <v>0</v>
          </cell>
          <cell r="L986" t="e">
            <v>#N/A</v>
          </cell>
        </row>
        <row r="987">
          <cell r="C987">
            <v>0</v>
          </cell>
          <cell r="L987" t="e">
            <v>#N/A</v>
          </cell>
        </row>
        <row r="988">
          <cell r="C988">
            <v>0</v>
          </cell>
          <cell r="L988" t="e">
            <v>#N/A</v>
          </cell>
        </row>
        <row r="989">
          <cell r="C989">
            <v>0</v>
          </cell>
          <cell r="L989" t="e">
            <v>#N/A</v>
          </cell>
        </row>
        <row r="990">
          <cell r="C990">
            <v>0</v>
          </cell>
          <cell r="L990" t="e">
            <v>#N/A</v>
          </cell>
        </row>
        <row r="991">
          <cell r="C991">
            <v>0</v>
          </cell>
          <cell r="L991" t="e">
            <v>#N/A</v>
          </cell>
        </row>
        <row r="992">
          <cell r="C992">
            <v>0</v>
          </cell>
          <cell r="L992" t="e">
            <v>#N/A</v>
          </cell>
        </row>
        <row r="993">
          <cell r="C993">
            <v>0</v>
          </cell>
          <cell r="L993" t="e">
            <v>#N/A</v>
          </cell>
        </row>
        <row r="994">
          <cell r="C994">
            <v>0</v>
          </cell>
          <cell r="L994" t="e">
            <v>#N/A</v>
          </cell>
        </row>
        <row r="995">
          <cell r="C995">
            <v>0</v>
          </cell>
          <cell r="L995" t="e">
            <v>#N/A</v>
          </cell>
        </row>
        <row r="996">
          <cell r="C996">
            <v>0</v>
          </cell>
          <cell r="L996" t="e">
            <v>#N/A</v>
          </cell>
        </row>
        <row r="997">
          <cell r="C997">
            <v>0</v>
          </cell>
          <cell r="L997" t="e">
            <v>#N/A</v>
          </cell>
        </row>
        <row r="998">
          <cell r="C998">
            <v>0</v>
          </cell>
          <cell r="L998" t="e">
            <v>#N/A</v>
          </cell>
        </row>
        <row r="999">
          <cell r="C999">
            <v>0</v>
          </cell>
          <cell r="L999" t="e">
            <v>#N/A</v>
          </cell>
        </row>
        <row r="1000">
          <cell r="C1000">
            <v>0</v>
          </cell>
          <cell r="L1000" t="e">
            <v>#N/A</v>
          </cell>
        </row>
        <row r="1001">
          <cell r="C1001">
            <v>0</v>
          </cell>
          <cell r="L1001" t="e">
            <v>#N/A</v>
          </cell>
        </row>
        <row r="1002">
          <cell r="C1002">
            <v>0</v>
          </cell>
          <cell r="L1002" t="e">
            <v>#N/A</v>
          </cell>
        </row>
        <row r="1003">
          <cell r="C1003">
            <v>0</v>
          </cell>
          <cell r="L1003" t="e">
            <v>#N/A</v>
          </cell>
        </row>
        <row r="1004">
          <cell r="C1004">
            <v>0</v>
          </cell>
          <cell r="L1004" t="e">
            <v>#N/A</v>
          </cell>
        </row>
        <row r="1005">
          <cell r="C1005">
            <v>0</v>
          </cell>
          <cell r="L1005" t="e">
            <v>#N/A</v>
          </cell>
        </row>
        <row r="1006">
          <cell r="C1006">
            <v>0</v>
          </cell>
          <cell r="L1006" t="e">
            <v>#N/A</v>
          </cell>
        </row>
        <row r="1007">
          <cell r="C1007">
            <v>0</v>
          </cell>
          <cell r="L1007" t="e">
            <v>#N/A</v>
          </cell>
        </row>
        <row r="1008">
          <cell r="C1008">
            <v>0</v>
          </cell>
          <cell r="L1008" t="e">
            <v>#N/A</v>
          </cell>
        </row>
        <row r="1009">
          <cell r="C1009">
            <v>0</v>
          </cell>
          <cell r="L1009" t="e">
            <v>#N/A</v>
          </cell>
        </row>
        <row r="1010">
          <cell r="C1010">
            <v>0</v>
          </cell>
          <cell r="L1010" t="e">
            <v>#N/A</v>
          </cell>
        </row>
        <row r="1011">
          <cell r="C1011">
            <v>0</v>
          </cell>
          <cell r="L1011" t="e">
            <v>#N/A</v>
          </cell>
        </row>
        <row r="1012">
          <cell r="C1012">
            <v>0</v>
          </cell>
          <cell r="L1012" t="e">
            <v>#N/A</v>
          </cell>
        </row>
        <row r="1013">
          <cell r="C1013">
            <v>0</v>
          </cell>
          <cell r="L1013" t="e">
            <v>#N/A</v>
          </cell>
        </row>
        <row r="1014">
          <cell r="C1014">
            <v>0</v>
          </cell>
          <cell r="L1014" t="e">
            <v>#N/A</v>
          </cell>
        </row>
        <row r="1015">
          <cell r="C1015">
            <v>0</v>
          </cell>
          <cell r="L1015" t="e">
            <v>#N/A</v>
          </cell>
        </row>
        <row r="1016">
          <cell r="C1016">
            <v>0</v>
          </cell>
          <cell r="L1016" t="e">
            <v>#N/A</v>
          </cell>
        </row>
        <row r="1017">
          <cell r="C1017">
            <v>0</v>
          </cell>
          <cell r="L1017" t="e">
            <v>#N/A</v>
          </cell>
        </row>
        <row r="1018">
          <cell r="C1018">
            <v>0</v>
          </cell>
          <cell r="L1018" t="e">
            <v>#N/A</v>
          </cell>
        </row>
        <row r="1019">
          <cell r="C1019">
            <v>0</v>
          </cell>
          <cell r="L1019" t="e">
            <v>#N/A</v>
          </cell>
        </row>
        <row r="1020">
          <cell r="C1020">
            <v>0</v>
          </cell>
          <cell r="L1020" t="e">
            <v>#N/A</v>
          </cell>
        </row>
        <row r="1021">
          <cell r="C1021">
            <v>0</v>
          </cell>
          <cell r="L1021" t="e">
            <v>#N/A</v>
          </cell>
        </row>
        <row r="1022">
          <cell r="C1022">
            <v>0</v>
          </cell>
          <cell r="L1022" t="e">
            <v>#N/A</v>
          </cell>
        </row>
        <row r="1023">
          <cell r="C1023">
            <v>0</v>
          </cell>
          <cell r="L1023" t="e">
            <v>#N/A</v>
          </cell>
        </row>
        <row r="1024">
          <cell r="C1024">
            <v>0</v>
          </cell>
          <cell r="L1024" t="e">
            <v>#N/A</v>
          </cell>
        </row>
        <row r="1025">
          <cell r="C1025">
            <v>0</v>
          </cell>
          <cell r="L1025" t="e">
            <v>#N/A</v>
          </cell>
        </row>
        <row r="1026">
          <cell r="C1026">
            <v>0</v>
          </cell>
          <cell r="L1026" t="e">
            <v>#N/A</v>
          </cell>
        </row>
        <row r="1027">
          <cell r="C1027">
            <v>0</v>
          </cell>
          <cell r="L1027" t="e">
            <v>#N/A</v>
          </cell>
        </row>
        <row r="1028">
          <cell r="C1028">
            <v>0</v>
          </cell>
          <cell r="L1028" t="e">
            <v>#N/A</v>
          </cell>
        </row>
        <row r="1029">
          <cell r="C1029">
            <v>0</v>
          </cell>
          <cell r="L1029" t="e">
            <v>#N/A</v>
          </cell>
        </row>
        <row r="1030">
          <cell r="C1030">
            <v>0</v>
          </cell>
          <cell r="L1030" t="e">
            <v>#N/A</v>
          </cell>
        </row>
        <row r="1031">
          <cell r="C1031">
            <v>0</v>
          </cell>
          <cell r="L1031" t="e">
            <v>#N/A</v>
          </cell>
        </row>
        <row r="1032">
          <cell r="C1032">
            <v>0</v>
          </cell>
          <cell r="L1032" t="e">
            <v>#N/A</v>
          </cell>
        </row>
        <row r="1033">
          <cell r="C1033">
            <v>0</v>
          </cell>
          <cell r="L1033" t="e">
            <v>#N/A</v>
          </cell>
        </row>
        <row r="1034">
          <cell r="C1034">
            <v>0</v>
          </cell>
          <cell r="L1034" t="e">
            <v>#N/A</v>
          </cell>
        </row>
        <row r="1035">
          <cell r="C1035">
            <v>0</v>
          </cell>
          <cell r="L1035" t="e">
            <v>#N/A</v>
          </cell>
        </row>
        <row r="1036">
          <cell r="C1036">
            <v>0</v>
          </cell>
          <cell r="L1036" t="e">
            <v>#N/A</v>
          </cell>
        </row>
        <row r="1037">
          <cell r="C1037">
            <v>0</v>
          </cell>
          <cell r="L1037" t="e">
            <v>#N/A</v>
          </cell>
        </row>
        <row r="1038">
          <cell r="C1038">
            <v>0</v>
          </cell>
          <cell r="L1038" t="e">
            <v>#N/A</v>
          </cell>
        </row>
        <row r="1039">
          <cell r="C1039">
            <v>0</v>
          </cell>
          <cell r="L1039" t="e">
            <v>#N/A</v>
          </cell>
        </row>
        <row r="1040">
          <cell r="C1040">
            <v>0</v>
          </cell>
          <cell r="L1040" t="e">
            <v>#N/A</v>
          </cell>
        </row>
        <row r="1041">
          <cell r="C1041">
            <v>0</v>
          </cell>
          <cell r="L1041" t="e">
            <v>#N/A</v>
          </cell>
        </row>
        <row r="1042">
          <cell r="C1042">
            <v>0</v>
          </cell>
          <cell r="L1042" t="e">
            <v>#N/A</v>
          </cell>
        </row>
        <row r="1043">
          <cell r="C1043">
            <v>0</v>
          </cell>
          <cell r="L1043" t="e">
            <v>#N/A</v>
          </cell>
        </row>
        <row r="1044">
          <cell r="C1044">
            <v>0</v>
          </cell>
          <cell r="L1044" t="e">
            <v>#N/A</v>
          </cell>
        </row>
        <row r="1045">
          <cell r="C1045">
            <v>0</v>
          </cell>
          <cell r="L1045" t="e">
            <v>#N/A</v>
          </cell>
        </row>
        <row r="1046">
          <cell r="C1046">
            <v>0</v>
          </cell>
          <cell r="L1046" t="e">
            <v>#N/A</v>
          </cell>
        </row>
        <row r="1047">
          <cell r="C1047">
            <v>0</v>
          </cell>
          <cell r="L1047" t="e">
            <v>#N/A</v>
          </cell>
        </row>
        <row r="1048">
          <cell r="C1048">
            <v>0</v>
          </cell>
          <cell r="L1048" t="e">
            <v>#N/A</v>
          </cell>
        </row>
        <row r="1049">
          <cell r="C1049">
            <v>0</v>
          </cell>
          <cell r="L1049" t="e">
            <v>#N/A</v>
          </cell>
        </row>
        <row r="1050">
          <cell r="C1050">
            <v>0</v>
          </cell>
          <cell r="L1050" t="e">
            <v>#N/A</v>
          </cell>
        </row>
        <row r="1051">
          <cell r="C1051">
            <v>0</v>
          </cell>
          <cell r="L1051" t="e">
            <v>#N/A</v>
          </cell>
        </row>
        <row r="1052">
          <cell r="C1052">
            <v>0</v>
          </cell>
          <cell r="L1052" t="e">
            <v>#N/A</v>
          </cell>
        </row>
        <row r="1053">
          <cell r="C1053">
            <v>0</v>
          </cell>
          <cell r="L1053" t="e">
            <v>#N/A</v>
          </cell>
        </row>
        <row r="1054">
          <cell r="C1054">
            <v>0</v>
          </cell>
          <cell r="L1054" t="e">
            <v>#N/A</v>
          </cell>
        </row>
        <row r="1055">
          <cell r="C1055">
            <v>0</v>
          </cell>
          <cell r="L1055" t="e">
            <v>#N/A</v>
          </cell>
        </row>
        <row r="1056">
          <cell r="C1056">
            <v>0</v>
          </cell>
          <cell r="L1056" t="e">
            <v>#N/A</v>
          </cell>
        </row>
        <row r="1057">
          <cell r="C1057">
            <v>0</v>
          </cell>
          <cell r="L1057" t="e">
            <v>#N/A</v>
          </cell>
        </row>
        <row r="1058">
          <cell r="C1058">
            <v>0</v>
          </cell>
          <cell r="L1058" t="e">
            <v>#N/A</v>
          </cell>
        </row>
        <row r="1059">
          <cell r="C1059">
            <v>0</v>
          </cell>
          <cell r="L1059" t="e">
            <v>#N/A</v>
          </cell>
        </row>
        <row r="1060">
          <cell r="C1060">
            <v>0</v>
          </cell>
          <cell r="L1060" t="e">
            <v>#N/A</v>
          </cell>
        </row>
        <row r="1061">
          <cell r="C1061">
            <v>0</v>
          </cell>
          <cell r="L1061" t="e">
            <v>#N/A</v>
          </cell>
        </row>
        <row r="1062">
          <cell r="C1062">
            <v>0</v>
          </cell>
          <cell r="L1062" t="e">
            <v>#N/A</v>
          </cell>
        </row>
        <row r="1063">
          <cell r="C1063">
            <v>0</v>
          </cell>
          <cell r="L1063" t="e">
            <v>#N/A</v>
          </cell>
        </row>
        <row r="1064">
          <cell r="C1064">
            <v>0</v>
          </cell>
          <cell r="L1064" t="e">
            <v>#N/A</v>
          </cell>
        </row>
        <row r="1065">
          <cell r="C1065">
            <v>0</v>
          </cell>
          <cell r="L1065" t="e">
            <v>#N/A</v>
          </cell>
        </row>
        <row r="1066">
          <cell r="C1066">
            <v>0</v>
          </cell>
          <cell r="L1066" t="e">
            <v>#N/A</v>
          </cell>
        </row>
        <row r="1067">
          <cell r="C1067">
            <v>0</v>
          </cell>
          <cell r="L1067" t="e">
            <v>#N/A</v>
          </cell>
        </row>
        <row r="1068">
          <cell r="C1068">
            <v>0</v>
          </cell>
          <cell r="L1068" t="e">
            <v>#N/A</v>
          </cell>
        </row>
        <row r="1069">
          <cell r="C1069">
            <v>0</v>
          </cell>
          <cell r="L1069" t="e">
            <v>#N/A</v>
          </cell>
        </row>
        <row r="1070">
          <cell r="C1070">
            <v>0</v>
          </cell>
          <cell r="L1070" t="e">
            <v>#N/A</v>
          </cell>
        </row>
        <row r="1071">
          <cell r="C1071">
            <v>0</v>
          </cell>
          <cell r="L1071" t="e">
            <v>#N/A</v>
          </cell>
        </row>
        <row r="1072">
          <cell r="C1072">
            <v>0</v>
          </cell>
          <cell r="L1072" t="e">
            <v>#N/A</v>
          </cell>
        </row>
        <row r="1073">
          <cell r="C1073">
            <v>0</v>
          </cell>
          <cell r="L1073" t="e">
            <v>#N/A</v>
          </cell>
        </row>
        <row r="1074">
          <cell r="C1074">
            <v>0</v>
          </cell>
          <cell r="L1074" t="e">
            <v>#N/A</v>
          </cell>
        </row>
        <row r="1075">
          <cell r="C1075">
            <v>0</v>
          </cell>
          <cell r="L1075" t="e">
            <v>#N/A</v>
          </cell>
        </row>
        <row r="1076">
          <cell r="C1076">
            <v>0</v>
          </cell>
          <cell r="L1076" t="e">
            <v>#N/A</v>
          </cell>
        </row>
        <row r="1077">
          <cell r="C1077">
            <v>0</v>
          </cell>
          <cell r="L1077" t="e">
            <v>#N/A</v>
          </cell>
        </row>
        <row r="1078">
          <cell r="C1078">
            <v>0</v>
          </cell>
          <cell r="L1078" t="e">
            <v>#N/A</v>
          </cell>
        </row>
        <row r="1079">
          <cell r="C1079">
            <v>0</v>
          </cell>
          <cell r="L1079" t="e">
            <v>#N/A</v>
          </cell>
        </row>
        <row r="1080">
          <cell r="C1080">
            <v>0</v>
          </cell>
          <cell r="L1080" t="e">
            <v>#N/A</v>
          </cell>
        </row>
        <row r="1081">
          <cell r="C1081">
            <v>0</v>
          </cell>
          <cell r="L1081" t="e">
            <v>#N/A</v>
          </cell>
        </row>
        <row r="1082">
          <cell r="C1082">
            <v>0</v>
          </cell>
          <cell r="L1082" t="e">
            <v>#N/A</v>
          </cell>
        </row>
        <row r="1083">
          <cell r="C1083">
            <v>0</v>
          </cell>
          <cell r="L1083" t="e">
            <v>#N/A</v>
          </cell>
        </row>
        <row r="1084">
          <cell r="C1084">
            <v>0</v>
          </cell>
          <cell r="L1084" t="e">
            <v>#N/A</v>
          </cell>
        </row>
        <row r="1085">
          <cell r="C1085">
            <v>0</v>
          </cell>
          <cell r="L1085" t="e">
            <v>#N/A</v>
          </cell>
        </row>
        <row r="1086">
          <cell r="C1086">
            <v>0</v>
          </cell>
          <cell r="L1086" t="e">
            <v>#N/A</v>
          </cell>
        </row>
        <row r="1087">
          <cell r="C1087">
            <v>0</v>
          </cell>
          <cell r="L1087" t="e">
            <v>#N/A</v>
          </cell>
        </row>
        <row r="1088">
          <cell r="C1088">
            <v>0</v>
          </cell>
          <cell r="L1088" t="e">
            <v>#N/A</v>
          </cell>
        </row>
        <row r="1089">
          <cell r="C1089">
            <v>0</v>
          </cell>
          <cell r="L1089" t="e">
            <v>#N/A</v>
          </cell>
        </row>
        <row r="1090">
          <cell r="C1090">
            <v>0</v>
          </cell>
          <cell r="L1090" t="e">
            <v>#N/A</v>
          </cell>
        </row>
        <row r="1091">
          <cell r="C1091">
            <v>0</v>
          </cell>
          <cell r="L1091" t="e">
            <v>#N/A</v>
          </cell>
        </row>
        <row r="1092">
          <cell r="C1092">
            <v>0</v>
          </cell>
          <cell r="L1092" t="e">
            <v>#N/A</v>
          </cell>
        </row>
        <row r="1093">
          <cell r="C1093">
            <v>0</v>
          </cell>
          <cell r="L1093" t="e">
            <v>#N/A</v>
          </cell>
        </row>
        <row r="1094">
          <cell r="C1094">
            <v>0</v>
          </cell>
          <cell r="L1094" t="e">
            <v>#N/A</v>
          </cell>
        </row>
        <row r="1095">
          <cell r="C1095">
            <v>0</v>
          </cell>
          <cell r="L1095" t="e">
            <v>#N/A</v>
          </cell>
        </row>
        <row r="1096">
          <cell r="C1096">
            <v>0</v>
          </cell>
          <cell r="L1096" t="e">
            <v>#N/A</v>
          </cell>
        </row>
        <row r="1097">
          <cell r="C1097">
            <v>0</v>
          </cell>
          <cell r="L1097" t="e">
            <v>#N/A</v>
          </cell>
        </row>
        <row r="1098">
          <cell r="C1098">
            <v>0</v>
          </cell>
          <cell r="L1098" t="e">
            <v>#N/A</v>
          </cell>
        </row>
        <row r="1099">
          <cell r="C1099">
            <v>0</v>
          </cell>
          <cell r="L1099" t="e">
            <v>#N/A</v>
          </cell>
        </row>
        <row r="1100">
          <cell r="C1100">
            <v>0</v>
          </cell>
          <cell r="L1100" t="e">
            <v>#N/A</v>
          </cell>
        </row>
        <row r="1101">
          <cell r="C1101">
            <v>0</v>
          </cell>
          <cell r="L1101" t="e">
            <v>#N/A</v>
          </cell>
        </row>
        <row r="1102">
          <cell r="C1102">
            <v>0</v>
          </cell>
          <cell r="L1102" t="e">
            <v>#N/A</v>
          </cell>
        </row>
        <row r="1103">
          <cell r="C1103">
            <v>0</v>
          </cell>
          <cell r="L1103" t="e">
            <v>#N/A</v>
          </cell>
        </row>
        <row r="1104">
          <cell r="C1104">
            <v>0</v>
          </cell>
          <cell r="L1104" t="e">
            <v>#N/A</v>
          </cell>
        </row>
        <row r="1105">
          <cell r="C1105">
            <v>0</v>
          </cell>
          <cell r="L1105" t="e">
            <v>#N/A</v>
          </cell>
        </row>
        <row r="1106">
          <cell r="C1106">
            <v>0</v>
          </cell>
          <cell r="L1106" t="e">
            <v>#N/A</v>
          </cell>
        </row>
        <row r="1107">
          <cell r="C1107">
            <v>0</v>
          </cell>
          <cell r="L1107" t="e">
            <v>#N/A</v>
          </cell>
        </row>
        <row r="1108">
          <cell r="C1108">
            <v>0</v>
          </cell>
          <cell r="L1108" t="e">
            <v>#N/A</v>
          </cell>
        </row>
        <row r="1109">
          <cell r="C1109">
            <v>0</v>
          </cell>
          <cell r="L1109" t="e">
            <v>#N/A</v>
          </cell>
        </row>
        <row r="1110">
          <cell r="C1110">
            <v>0</v>
          </cell>
          <cell r="L1110" t="e">
            <v>#N/A</v>
          </cell>
        </row>
        <row r="1111">
          <cell r="C1111">
            <v>0</v>
          </cell>
          <cell r="L1111" t="e">
            <v>#N/A</v>
          </cell>
        </row>
        <row r="1112">
          <cell r="C1112">
            <v>0</v>
          </cell>
          <cell r="L1112" t="e">
            <v>#N/A</v>
          </cell>
        </row>
        <row r="1113">
          <cell r="C1113">
            <v>0</v>
          </cell>
          <cell r="L1113" t="e">
            <v>#N/A</v>
          </cell>
        </row>
        <row r="1114">
          <cell r="C1114">
            <v>0</v>
          </cell>
          <cell r="L1114" t="e">
            <v>#N/A</v>
          </cell>
        </row>
        <row r="1115">
          <cell r="C1115">
            <v>0</v>
          </cell>
          <cell r="L1115" t="e">
            <v>#N/A</v>
          </cell>
        </row>
        <row r="1116">
          <cell r="C1116">
            <v>0</v>
          </cell>
          <cell r="L1116" t="e">
            <v>#N/A</v>
          </cell>
        </row>
        <row r="1117">
          <cell r="C1117">
            <v>0</v>
          </cell>
          <cell r="L1117" t="e">
            <v>#N/A</v>
          </cell>
        </row>
        <row r="1118">
          <cell r="C1118">
            <v>0</v>
          </cell>
          <cell r="L1118" t="e">
            <v>#N/A</v>
          </cell>
        </row>
        <row r="1119">
          <cell r="C1119">
            <v>0</v>
          </cell>
          <cell r="L1119" t="e">
            <v>#N/A</v>
          </cell>
        </row>
        <row r="1120">
          <cell r="C1120">
            <v>0</v>
          </cell>
          <cell r="L1120" t="e">
            <v>#N/A</v>
          </cell>
        </row>
        <row r="1121">
          <cell r="C1121">
            <v>0</v>
          </cell>
          <cell r="L1121" t="e">
            <v>#N/A</v>
          </cell>
        </row>
        <row r="1122">
          <cell r="C1122">
            <v>0</v>
          </cell>
          <cell r="L1122" t="e">
            <v>#N/A</v>
          </cell>
        </row>
        <row r="1123">
          <cell r="C1123">
            <v>0</v>
          </cell>
          <cell r="L1123" t="e">
            <v>#N/A</v>
          </cell>
        </row>
        <row r="1124">
          <cell r="C1124">
            <v>0</v>
          </cell>
          <cell r="L1124" t="e">
            <v>#N/A</v>
          </cell>
        </row>
        <row r="1125">
          <cell r="C1125">
            <v>0</v>
          </cell>
          <cell r="L1125" t="e">
            <v>#N/A</v>
          </cell>
        </row>
        <row r="1126">
          <cell r="C1126">
            <v>0</v>
          </cell>
          <cell r="L1126" t="e">
            <v>#N/A</v>
          </cell>
        </row>
        <row r="1127">
          <cell r="C1127">
            <v>0</v>
          </cell>
          <cell r="L1127" t="e">
            <v>#N/A</v>
          </cell>
        </row>
        <row r="1128">
          <cell r="C1128">
            <v>0</v>
          </cell>
          <cell r="L1128" t="e">
            <v>#N/A</v>
          </cell>
        </row>
        <row r="1129">
          <cell r="C1129">
            <v>0</v>
          </cell>
          <cell r="L1129" t="e">
            <v>#N/A</v>
          </cell>
        </row>
        <row r="1130">
          <cell r="C1130">
            <v>0</v>
          </cell>
          <cell r="L1130" t="e">
            <v>#N/A</v>
          </cell>
        </row>
        <row r="1131">
          <cell r="C1131">
            <v>0</v>
          </cell>
          <cell r="L1131" t="e">
            <v>#N/A</v>
          </cell>
        </row>
        <row r="1132">
          <cell r="C1132">
            <v>0</v>
          </cell>
          <cell r="L1132" t="e">
            <v>#N/A</v>
          </cell>
        </row>
        <row r="1133">
          <cell r="C1133">
            <v>0</v>
          </cell>
          <cell r="L1133" t="e">
            <v>#N/A</v>
          </cell>
        </row>
        <row r="1134">
          <cell r="C1134">
            <v>0</v>
          </cell>
          <cell r="L1134" t="e">
            <v>#N/A</v>
          </cell>
        </row>
        <row r="1135">
          <cell r="C1135">
            <v>0</v>
          </cell>
          <cell r="L1135" t="e">
            <v>#N/A</v>
          </cell>
        </row>
        <row r="1136">
          <cell r="C1136">
            <v>0</v>
          </cell>
          <cell r="L1136" t="e">
            <v>#N/A</v>
          </cell>
        </row>
        <row r="1137">
          <cell r="C1137">
            <v>0</v>
          </cell>
          <cell r="L1137" t="e">
            <v>#N/A</v>
          </cell>
        </row>
        <row r="1138">
          <cell r="C1138">
            <v>0</v>
          </cell>
          <cell r="L1138" t="e">
            <v>#N/A</v>
          </cell>
        </row>
        <row r="1139">
          <cell r="C1139">
            <v>0</v>
          </cell>
          <cell r="L1139" t="e">
            <v>#N/A</v>
          </cell>
        </row>
        <row r="1140">
          <cell r="C1140">
            <v>0</v>
          </cell>
          <cell r="L1140" t="e">
            <v>#N/A</v>
          </cell>
        </row>
        <row r="1141">
          <cell r="C1141">
            <v>0</v>
          </cell>
          <cell r="L1141" t="e">
            <v>#N/A</v>
          </cell>
        </row>
        <row r="1142">
          <cell r="C1142">
            <v>0</v>
          </cell>
          <cell r="L1142" t="e">
            <v>#N/A</v>
          </cell>
        </row>
        <row r="1143">
          <cell r="C1143">
            <v>0</v>
          </cell>
          <cell r="L1143" t="e">
            <v>#N/A</v>
          </cell>
        </row>
        <row r="1144">
          <cell r="C1144">
            <v>0</v>
          </cell>
          <cell r="L1144" t="e">
            <v>#N/A</v>
          </cell>
        </row>
        <row r="1145">
          <cell r="C1145">
            <v>0</v>
          </cell>
          <cell r="L1145" t="e">
            <v>#N/A</v>
          </cell>
        </row>
        <row r="1146">
          <cell r="C1146">
            <v>0</v>
          </cell>
          <cell r="L1146" t="e">
            <v>#N/A</v>
          </cell>
        </row>
        <row r="1147">
          <cell r="C1147">
            <v>0</v>
          </cell>
          <cell r="L1147" t="e">
            <v>#N/A</v>
          </cell>
        </row>
        <row r="1148">
          <cell r="C1148">
            <v>0</v>
          </cell>
          <cell r="L1148" t="e">
            <v>#N/A</v>
          </cell>
        </row>
        <row r="1149">
          <cell r="C1149">
            <v>0</v>
          </cell>
          <cell r="L1149" t="e">
            <v>#N/A</v>
          </cell>
        </row>
        <row r="1150">
          <cell r="C1150">
            <v>0</v>
          </cell>
          <cell r="L1150" t="e">
            <v>#N/A</v>
          </cell>
        </row>
        <row r="1151">
          <cell r="C1151">
            <v>0</v>
          </cell>
          <cell r="L1151" t="e">
            <v>#N/A</v>
          </cell>
        </row>
        <row r="1152">
          <cell r="C1152">
            <v>0</v>
          </cell>
          <cell r="L1152" t="e">
            <v>#N/A</v>
          </cell>
        </row>
        <row r="1153">
          <cell r="C1153">
            <v>0</v>
          </cell>
          <cell r="L1153" t="e">
            <v>#N/A</v>
          </cell>
        </row>
        <row r="1154">
          <cell r="C1154">
            <v>0</v>
          </cell>
          <cell r="L1154" t="e">
            <v>#N/A</v>
          </cell>
        </row>
        <row r="1155">
          <cell r="C1155">
            <v>0</v>
          </cell>
          <cell r="L1155" t="e">
            <v>#N/A</v>
          </cell>
        </row>
        <row r="1156">
          <cell r="C1156">
            <v>0</v>
          </cell>
          <cell r="L1156" t="e">
            <v>#N/A</v>
          </cell>
        </row>
        <row r="1157">
          <cell r="C1157">
            <v>0</v>
          </cell>
          <cell r="L1157" t="e">
            <v>#N/A</v>
          </cell>
        </row>
        <row r="1158">
          <cell r="C1158">
            <v>0</v>
          </cell>
          <cell r="L1158" t="e">
            <v>#N/A</v>
          </cell>
        </row>
        <row r="1159">
          <cell r="C1159">
            <v>0</v>
          </cell>
          <cell r="L1159" t="e">
            <v>#N/A</v>
          </cell>
        </row>
        <row r="1160">
          <cell r="C1160">
            <v>0</v>
          </cell>
          <cell r="L1160" t="e">
            <v>#N/A</v>
          </cell>
        </row>
        <row r="1161">
          <cell r="C1161">
            <v>0</v>
          </cell>
          <cell r="L1161" t="e">
            <v>#N/A</v>
          </cell>
        </row>
        <row r="1162">
          <cell r="C1162">
            <v>0</v>
          </cell>
          <cell r="L1162" t="e">
            <v>#N/A</v>
          </cell>
        </row>
        <row r="1163">
          <cell r="C1163">
            <v>0</v>
          </cell>
          <cell r="L1163" t="e">
            <v>#N/A</v>
          </cell>
        </row>
        <row r="1164">
          <cell r="C1164">
            <v>0</v>
          </cell>
          <cell r="L1164" t="e">
            <v>#N/A</v>
          </cell>
        </row>
        <row r="1165">
          <cell r="C1165">
            <v>0</v>
          </cell>
          <cell r="L1165" t="e">
            <v>#N/A</v>
          </cell>
        </row>
        <row r="1166">
          <cell r="C1166">
            <v>0</v>
          </cell>
          <cell r="L1166" t="e">
            <v>#N/A</v>
          </cell>
        </row>
        <row r="1167">
          <cell r="C1167">
            <v>0</v>
          </cell>
          <cell r="L1167" t="e">
            <v>#N/A</v>
          </cell>
        </row>
        <row r="1168">
          <cell r="C1168">
            <v>0</v>
          </cell>
          <cell r="L1168" t="e">
            <v>#N/A</v>
          </cell>
        </row>
        <row r="1169">
          <cell r="C1169">
            <v>0</v>
          </cell>
          <cell r="L1169" t="e">
            <v>#N/A</v>
          </cell>
        </row>
        <row r="1170">
          <cell r="C1170">
            <v>0</v>
          </cell>
          <cell r="L1170" t="e">
            <v>#N/A</v>
          </cell>
        </row>
        <row r="1171">
          <cell r="C1171">
            <v>0</v>
          </cell>
          <cell r="L1171" t="e">
            <v>#N/A</v>
          </cell>
        </row>
        <row r="1172">
          <cell r="C1172">
            <v>0</v>
          </cell>
          <cell r="L1172" t="e">
            <v>#N/A</v>
          </cell>
        </row>
        <row r="1173">
          <cell r="C1173">
            <v>0</v>
          </cell>
          <cell r="L1173" t="e">
            <v>#N/A</v>
          </cell>
        </row>
        <row r="1174">
          <cell r="C1174">
            <v>0</v>
          </cell>
          <cell r="L1174" t="e">
            <v>#N/A</v>
          </cell>
        </row>
        <row r="1175">
          <cell r="C1175">
            <v>0</v>
          </cell>
          <cell r="L1175" t="e">
            <v>#N/A</v>
          </cell>
        </row>
        <row r="1176">
          <cell r="C1176">
            <v>0</v>
          </cell>
          <cell r="L1176" t="e">
            <v>#N/A</v>
          </cell>
        </row>
        <row r="1177">
          <cell r="C1177">
            <v>0</v>
          </cell>
          <cell r="L1177" t="e">
            <v>#N/A</v>
          </cell>
        </row>
        <row r="1178">
          <cell r="C1178">
            <v>0</v>
          </cell>
          <cell r="L1178" t="e">
            <v>#N/A</v>
          </cell>
        </row>
        <row r="1179">
          <cell r="C1179">
            <v>0</v>
          </cell>
          <cell r="L1179" t="e">
            <v>#N/A</v>
          </cell>
        </row>
        <row r="1180">
          <cell r="C1180">
            <v>0</v>
          </cell>
          <cell r="L1180" t="e">
            <v>#N/A</v>
          </cell>
        </row>
        <row r="1181">
          <cell r="C1181">
            <v>0</v>
          </cell>
          <cell r="L1181" t="e">
            <v>#N/A</v>
          </cell>
        </row>
        <row r="1182">
          <cell r="C1182">
            <v>0</v>
          </cell>
          <cell r="L1182" t="e">
            <v>#N/A</v>
          </cell>
        </row>
        <row r="1183">
          <cell r="C1183">
            <v>0</v>
          </cell>
          <cell r="L1183" t="e">
            <v>#N/A</v>
          </cell>
        </row>
        <row r="1184">
          <cell r="C1184">
            <v>0</v>
          </cell>
          <cell r="L1184" t="e">
            <v>#N/A</v>
          </cell>
        </row>
        <row r="1185">
          <cell r="C1185">
            <v>0</v>
          </cell>
          <cell r="L1185" t="e">
            <v>#N/A</v>
          </cell>
        </row>
        <row r="1186">
          <cell r="C1186">
            <v>0</v>
          </cell>
          <cell r="L1186" t="e">
            <v>#N/A</v>
          </cell>
        </row>
        <row r="1187">
          <cell r="C1187">
            <v>0</v>
          </cell>
          <cell r="L1187" t="e">
            <v>#N/A</v>
          </cell>
        </row>
        <row r="1188">
          <cell r="C1188">
            <v>0</v>
          </cell>
          <cell r="L1188" t="e">
            <v>#N/A</v>
          </cell>
        </row>
        <row r="1189">
          <cell r="C1189">
            <v>0</v>
          </cell>
          <cell r="L1189" t="e">
            <v>#N/A</v>
          </cell>
        </row>
        <row r="1190">
          <cell r="C1190">
            <v>0</v>
          </cell>
          <cell r="L1190" t="e">
            <v>#N/A</v>
          </cell>
        </row>
        <row r="1191">
          <cell r="C1191">
            <v>0</v>
          </cell>
          <cell r="L1191" t="e">
            <v>#N/A</v>
          </cell>
        </row>
        <row r="1192">
          <cell r="C1192">
            <v>0</v>
          </cell>
          <cell r="L1192" t="e">
            <v>#N/A</v>
          </cell>
        </row>
        <row r="1193">
          <cell r="C1193">
            <v>0</v>
          </cell>
          <cell r="L1193" t="e">
            <v>#N/A</v>
          </cell>
        </row>
        <row r="1194">
          <cell r="C1194">
            <v>0</v>
          </cell>
          <cell r="L1194" t="e">
            <v>#N/A</v>
          </cell>
        </row>
        <row r="1195">
          <cell r="C1195">
            <v>0</v>
          </cell>
          <cell r="L1195" t="e">
            <v>#N/A</v>
          </cell>
        </row>
        <row r="1196">
          <cell r="C1196">
            <v>0</v>
          </cell>
          <cell r="L1196" t="e">
            <v>#N/A</v>
          </cell>
        </row>
        <row r="1197">
          <cell r="C1197">
            <v>0</v>
          </cell>
          <cell r="L1197" t="e">
            <v>#N/A</v>
          </cell>
        </row>
        <row r="1198">
          <cell r="C1198">
            <v>0</v>
          </cell>
          <cell r="L1198" t="e">
            <v>#N/A</v>
          </cell>
        </row>
        <row r="1199">
          <cell r="C1199">
            <v>0</v>
          </cell>
          <cell r="L1199" t="e">
            <v>#N/A</v>
          </cell>
        </row>
        <row r="1200">
          <cell r="C1200">
            <v>0</v>
          </cell>
          <cell r="L1200" t="e">
            <v>#N/A</v>
          </cell>
        </row>
        <row r="1201">
          <cell r="C1201">
            <v>0</v>
          </cell>
        </row>
        <row r="1202">
          <cell r="C1202">
            <v>0</v>
          </cell>
        </row>
        <row r="1203">
          <cell r="C1203">
            <v>0</v>
          </cell>
        </row>
        <row r="1204">
          <cell r="C1204">
            <v>0</v>
          </cell>
        </row>
        <row r="1205">
          <cell r="C1205">
            <v>0</v>
          </cell>
        </row>
        <row r="1206">
          <cell r="C1206">
            <v>0</v>
          </cell>
        </row>
        <row r="1207">
          <cell r="C1207">
            <v>0</v>
          </cell>
        </row>
        <row r="1208">
          <cell r="C1208">
            <v>0</v>
          </cell>
        </row>
        <row r="1209">
          <cell r="C1209">
            <v>0</v>
          </cell>
        </row>
        <row r="1210">
          <cell r="C1210">
            <v>0</v>
          </cell>
        </row>
        <row r="1211">
          <cell r="C1211">
            <v>0</v>
          </cell>
        </row>
        <row r="1212">
          <cell r="C1212">
            <v>0</v>
          </cell>
        </row>
        <row r="1213">
          <cell r="C1213">
            <v>0</v>
          </cell>
        </row>
        <row r="1214">
          <cell r="C1214">
            <v>0</v>
          </cell>
        </row>
        <row r="1215">
          <cell r="C1215">
            <v>0</v>
          </cell>
        </row>
        <row r="1216">
          <cell r="C1216">
            <v>0</v>
          </cell>
        </row>
        <row r="1217">
          <cell r="C1217">
            <v>0</v>
          </cell>
        </row>
        <row r="1218">
          <cell r="C1218">
            <v>0</v>
          </cell>
        </row>
        <row r="1219">
          <cell r="C1219">
            <v>0</v>
          </cell>
        </row>
        <row r="1220">
          <cell r="C1220">
            <v>0</v>
          </cell>
        </row>
        <row r="1221">
          <cell r="C1221">
            <v>0</v>
          </cell>
        </row>
        <row r="1222">
          <cell r="C1222">
            <v>0</v>
          </cell>
        </row>
        <row r="1223">
          <cell r="C1223">
            <v>0</v>
          </cell>
        </row>
        <row r="1224">
          <cell r="C1224">
            <v>0</v>
          </cell>
        </row>
        <row r="1225">
          <cell r="C1225">
            <v>0</v>
          </cell>
        </row>
        <row r="1226">
          <cell r="C1226">
            <v>0</v>
          </cell>
        </row>
        <row r="1227">
          <cell r="C1227">
            <v>0</v>
          </cell>
        </row>
        <row r="1228">
          <cell r="C1228">
            <v>0</v>
          </cell>
        </row>
        <row r="1229">
          <cell r="C1229">
            <v>0</v>
          </cell>
        </row>
        <row r="1230">
          <cell r="C1230">
            <v>0</v>
          </cell>
        </row>
        <row r="1231">
          <cell r="C1231">
            <v>0</v>
          </cell>
        </row>
        <row r="1232">
          <cell r="C1232">
            <v>0</v>
          </cell>
        </row>
        <row r="1233">
          <cell r="C1233">
            <v>0</v>
          </cell>
        </row>
        <row r="1234">
          <cell r="C1234">
            <v>0</v>
          </cell>
        </row>
        <row r="1235">
          <cell r="C1235">
            <v>0</v>
          </cell>
        </row>
        <row r="1236">
          <cell r="C1236">
            <v>0</v>
          </cell>
        </row>
        <row r="1237">
          <cell r="C1237">
            <v>0</v>
          </cell>
        </row>
        <row r="1238">
          <cell r="C1238">
            <v>0</v>
          </cell>
        </row>
        <row r="1239">
          <cell r="C1239">
            <v>0</v>
          </cell>
        </row>
        <row r="1240">
          <cell r="C1240">
            <v>0</v>
          </cell>
        </row>
        <row r="1241">
          <cell r="C1241">
            <v>0</v>
          </cell>
        </row>
        <row r="1242">
          <cell r="C1242">
            <v>0</v>
          </cell>
        </row>
        <row r="1243">
          <cell r="C1243">
            <v>0</v>
          </cell>
        </row>
        <row r="1244">
          <cell r="C1244">
            <v>0</v>
          </cell>
        </row>
        <row r="1245">
          <cell r="C1245">
            <v>0</v>
          </cell>
        </row>
        <row r="1246">
          <cell r="C1246">
            <v>0</v>
          </cell>
        </row>
        <row r="1247">
          <cell r="C1247">
            <v>0</v>
          </cell>
        </row>
        <row r="1248">
          <cell r="C1248">
            <v>0</v>
          </cell>
        </row>
        <row r="1249">
          <cell r="C1249">
            <v>0</v>
          </cell>
        </row>
        <row r="1250">
          <cell r="C1250">
            <v>0</v>
          </cell>
        </row>
        <row r="1251">
          <cell r="C1251">
            <v>0</v>
          </cell>
        </row>
        <row r="1252">
          <cell r="C1252">
            <v>0</v>
          </cell>
        </row>
        <row r="1253">
          <cell r="C1253">
            <v>0</v>
          </cell>
        </row>
        <row r="1254">
          <cell r="C1254">
            <v>0</v>
          </cell>
        </row>
        <row r="1255">
          <cell r="C1255">
            <v>0</v>
          </cell>
        </row>
        <row r="1256">
          <cell r="C1256">
            <v>0</v>
          </cell>
        </row>
        <row r="1257">
          <cell r="C1257">
            <v>0</v>
          </cell>
        </row>
        <row r="1258">
          <cell r="C1258">
            <v>0</v>
          </cell>
        </row>
        <row r="1259">
          <cell r="C1259">
            <v>0</v>
          </cell>
        </row>
        <row r="1260">
          <cell r="C1260">
            <v>0</v>
          </cell>
        </row>
        <row r="1261">
          <cell r="C1261">
            <v>0</v>
          </cell>
        </row>
        <row r="1262">
          <cell r="C1262">
            <v>0</v>
          </cell>
        </row>
        <row r="1263">
          <cell r="C1263">
            <v>0</v>
          </cell>
        </row>
        <row r="1264">
          <cell r="C1264">
            <v>0</v>
          </cell>
        </row>
        <row r="1265">
          <cell r="C1265">
            <v>0</v>
          </cell>
        </row>
        <row r="1266">
          <cell r="C1266">
            <v>0</v>
          </cell>
        </row>
        <row r="1267">
          <cell r="C1267">
            <v>0</v>
          </cell>
        </row>
        <row r="1268">
          <cell r="C1268">
            <v>0</v>
          </cell>
        </row>
        <row r="1269">
          <cell r="C1269">
            <v>0</v>
          </cell>
        </row>
        <row r="1270">
          <cell r="C1270">
            <v>0</v>
          </cell>
        </row>
        <row r="1271">
          <cell r="C1271">
            <v>0</v>
          </cell>
        </row>
        <row r="1272">
          <cell r="C1272">
            <v>0</v>
          </cell>
        </row>
        <row r="1273">
          <cell r="C1273">
            <v>0</v>
          </cell>
        </row>
        <row r="1274">
          <cell r="C1274">
            <v>0</v>
          </cell>
        </row>
        <row r="1275">
          <cell r="C1275">
            <v>0</v>
          </cell>
        </row>
        <row r="1276">
          <cell r="C1276">
            <v>0</v>
          </cell>
        </row>
        <row r="1277">
          <cell r="C1277">
            <v>0</v>
          </cell>
        </row>
        <row r="1278">
          <cell r="C1278">
            <v>0</v>
          </cell>
        </row>
        <row r="1279">
          <cell r="C1279">
            <v>0</v>
          </cell>
        </row>
        <row r="1280">
          <cell r="C1280">
            <v>0</v>
          </cell>
        </row>
        <row r="1281">
          <cell r="C1281">
            <v>0</v>
          </cell>
        </row>
        <row r="1282">
          <cell r="C1282">
            <v>0</v>
          </cell>
        </row>
        <row r="1283">
          <cell r="C1283">
            <v>0</v>
          </cell>
        </row>
        <row r="1284">
          <cell r="C1284">
            <v>0</v>
          </cell>
        </row>
        <row r="1285">
          <cell r="C1285">
            <v>0</v>
          </cell>
        </row>
        <row r="1286">
          <cell r="C1286">
            <v>0</v>
          </cell>
        </row>
        <row r="1287">
          <cell r="C1287">
            <v>0</v>
          </cell>
        </row>
        <row r="1288">
          <cell r="C1288">
            <v>0</v>
          </cell>
        </row>
        <row r="1289">
          <cell r="C1289">
            <v>0</v>
          </cell>
        </row>
        <row r="1290">
          <cell r="C1290">
            <v>0</v>
          </cell>
        </row>
        <row r="1291">
          <cell r="C1291">
            <v>0</v>
          </cell>
        </row>
        <row r="1292">
          <cell r="C1292">
            <v>0</v>
          </cell>
        </row>
        <row r="1293">
          <cell r="C1293">
            <v>0</v>
          </cell>
        </row>
        <row r="1294">
          <cell r="C1294">
            <v>0</v>
          </cell>
        </row>
        <row r="1295">
          <cell r="C1295">
            <v>0</v>
          </cell>
        </row>
        <row r="1296">
          <cell r="C1296">
            <v>0</v>
          </cell>
        </row>
        <row r="1297">
          <cell r="C1297">
            <v>0</v>
          </cell>
        </row>
        <row r="1298">
          <cell r="C1298">
            <v>0</v>
          </cell>
        </row>
        <row r="1299">
          <cell r="C1299">
            <v>0</v>
          </cell>
        </row>
        <row r="1300">
          <cell r="C1300">
            <v>0</v>
          </cell>
        </row>
        <row r="1301">
          <cell r="C1301">
            <v>0</v>
          </cell>
        </row>
        <row r="1302">
          <cell r="C1302">
            <v>0</v>
          </cell>
        </row>
        <row r="1303">
          <cell r="C1303">
            <v>0</v>
          </cell>
        </row>
        <row r="1304">
          <cell r="C1304">
            <v>0</v>
          </cell>
        </row>
        <row r="1305">
          <cell r="C1305">
            <v>0</v>
          </cell>
        </row>
        <row r="1306">
          <cell r="C1306">
            <v>0</v>
          </cell>
        </row>
        <row r="1307">
          <cell r="C1307">
            <v>0</v>
          </cell>
        </row>
        <row r="1308">
          <cell r="C1308">
            <v>0</v>
          </cell>
        </row>
        <row r="1309">
          <cell r="C1309">
            <v>0</v>
          </cell>
        </row>
        <row r="1310">
          <cell r="C1310">
            <v>0</v>
          </cell>
        </row>
        <row r="1311">
          <cell r="C1311">
            <v>0</v>
          </cell>
        </row>
        <row r="1312">
          <cell r="C1312">
            <v>0</v>
          </cell>
        </row>
        <row r="1313">
          <cell r="C1313">
            <v>0</v>
          </cell>
        </row>
        <row r="1314">
          <cell r="C1314">
            <v>0</v>
          </cell>
        </row>
        <row r="1315">
          <cell r="C1315">
            <v>0</v>
          </cell>
        </row>
        <row r="1316">
          <cell r="C1316">
            <v>0</v>
          </cell>
        </row>
        <row r="1317">
          <cell r="C1317">
            <v>0</v>
          </cell>
        </row>
        <row r="1318">
          <cell r="C1318">
            <v>0</v>
          </cell>
        </row>
        <row r="1319">
          <cell r="C1319">
            <v>0</v>
          </cell>
        </row>
        <row r="1320">
          <cell r="C1320">
            <v>0</v>
          </cell>
        </row>
        <row r="1321">
          <cell r="C1321">
            <v>0</v>
          </cell>
        </row>
        <row r="1322">
          <cell r="C1322">
            <v>0</v>
          </cell>
        </row>
        <row r="1323">
          <cell r="C1323">
            <v>0</v>
          </cell>
        </row>
        <row r="1324">
          <cell r="C1324">
            <v>0</v>
          </cell>
        </row>
        <row r="1325">
          <cell r="C1325">
            <v>0</v>
          </cell>
        </row>
        <row r="1326">
          <cell r="C1326">
            <v>0</v>
          </cell>
        </row>
        <row r="1327">
          <cell r="C1327">
            <v>0</v>
          </cell>
        </row>
        <row r="1328">
          <cell r="C1328">
            <v>0</v>
          </cell>
        </row>
        <row r="1329">
          <cell r="C1329">
            <v>0</v>
          </cell>
        </row>
        <row r="1330">
          <cell r="C1330">
            <v>0</v>
          </cell>
        </row>
        <row r="1331">
          <cell r="C1331">
            <v>0</v>
          </cell>
        </row>
        <row r="1332">
          <cell r="C1332">
            <v>0</v>
          </cell>
        </row>
        <row r="1333">
          <cell r="C1333">
            <v>0</v>
          </cell>
        </row>
        <row r="1334">
          <cell r="C1334">
            <v>0</v>
          </cell>
        </row>
        <row r="1335">
          <cell r="C1335">
            <v>0</v>
          </cell>
        </row>
        <row r="1336">
          <cell r="C1336">
            <v>0</v>
          </cell>
        </row>
        <row r="1337">
          <cell r="C1337">
            <v>0</v>
          </cell>
        </row>
        <row r="1338">
          <cell r="C1338">
            <v>0</v>
          </cell>
        </row>
        <row r="1339">
          <cell r="C1339">
            <v>0</v>
          </cell>
        </row>
        <row r="1340">
          <cell r="C1340">
            <v>0</v>
          </cell>
        </row>
        <row r="1341">
          <cell r="C1341">
            <v>0</v>
          </cell>
        </row>
        <row r="1342">
          <cell r="C1342">
            <v>0</v>
          </cell>
        </row>
        <row r="1343">
          <cell r="C1343">
            <v>0</v>
          </cell>
        </row>
        <row r="1344">
          <cell r="C1344">
            <v>0</v>
          </cell>
        </row>
        <row r="1345">
          <cell r="C1345">
            <v>0</v>
          </cell>
        </row>
        <row r="1346">
          <cell r="C1346">
            <v>0</v>
          </cell>
        </row>
        <row r="1347">
          <cell r="C1347">
            <v>0</v>
          </cell>
        </row>
        <row r="1348">
          <cell r="C1348">
            <v>0</v>
          </cell>
        </row>
        <row r="1349">
          <cell r="C1349">
            <v>0</v>
          </cell>
        </row>
        <row r="1350">
          <cell r="C1350">
            <v>0</v>
          </cell>
        </row>
        <row r="1351">
          <cell r="C1351">
            <v>0</v>
          </cell>
        </row>
        <row r="1352">
          <cell r="C1352">
            <v>0</v>
          </cell>
        </row>
        <row r="1353">
          <cell r="C1353">
            <v>0</v>
          </cell>
        </row>
        <row r="1354">
          <cell r="C1354">
            <v>0</v>
          </cell>
        </row>
        <row r="1355">
          <cell r="C1355">
            <v>0</v>
          </cell>
        </row>
        <row r="1356">
          <cell r="C1356">
            <v>0</v>
          </cell>
        </row>
        <row r="1357">
          <cell r="C1357">
            <v>0</v>
          </cell>
        </row>
        <row r="1358">
          <cell r="C1358">
            <v>0</v>
          </cell>
        </row>
        <row r="1359">
          <cell r="C1359">
            <v>0</v>
          </cell>
        </row>
        <row r="1360">
          <cell r="C1360">
            <v>0</v>
          </cell>
        </row>
        <row r="1361">
          <cell r="C1361">
            <v>0</v>
          </cell>
        </row>
        <row r="1362">
          <cell r="C1362">
            <v>0</v>
          </cell>
        </row>
        <row r="1363">
          <cell r="C1363">
            <v>0</v>
          </cell>
        </row>
        <row r="1364">
          <cell r="C1364">
            <v>0</v>
          </cell>
        </row>
        <row r="1365">
          <cell r="C1365">
            <v>0</v>
          </cell>
        </row>
        <row r="1366">
          <cell r="C1366">
            <v>0</v>
          </cell>
        </row>
        <row r="1367">
          <cell r="C1367">
            <v>0</v>
          </cell>
        </row>
        <row r="1368">
          <cell r="C1368">
            <v>0</v>
          </cell>
        </row>
        <row r="1369">
          <cell r="C1369">
            <v>0</v>
          </cell>
        </row>
        <row r="1370">
          <cell r="C1370">
            <v>0</v>
          </cell>
        </row>
        <row r="1371">
          <cell r="C1371">
            <v>0</v>
          </cell>
        </row>
        <row r="1372">
          <cell r="C1372">
            <v>0</v>
          </cell>
        </row>
        <row r="1373">
          <cell r="C1373">
            <v>0</v>
          </cell>
        </row>
        <row r="1374">
          <cell r="C1374">
            <v>0</v>
          </cell>
        </row>
        <row r="1375">
          <cell r="C1375">
            <v>0</v>
          </cell>
        </row>
        <row r="1376">
          <cell r="C1376">
            <v>0</v>
          </cell>
        </row>
        <row r="1377">
          <cell r="C1377">
            <v>0</v>
          </cell>
        </row>
        <row r="1378">
          <cell r="C1378">
            <v>0</v>
          </cell>
        </row>
        <row r="1379">
          <cell r="C1379">
            <v>0</v>
          </cell>
        </row>
        <row r="1380">
          <cell r="C1380">
            <v>0</v>
          </cell>
        </row>
        <row r="1381">
          <cell r="C1381">
            <v>0</v>
          </cell>
        </row>
        <row r="1382">
          <cell r="C1382">
            <v>0</v>
          </cell>
        </row>
        <row r="1383">
          <cell r="C1383">
            <v>0</v>
          </cell>
        </row>
        <row r="1384">
          <cell r="C1384">
            <v>0</v>
          </cell>
        </row>
        <row r="1385">
          <cell r="C1385">
            <v>0</v>
          </cell>
        </row>
        <row r="1386">
          <cell r="C1386">
            <v>0</v>
          </cell>
        </row>
        <row r="1387">
          <cell r="C1387">
            <v>0</v>
          </cell>
        </row>
        <row r="1388">
          <cell r="C1388">
            <v>0</v>
          </cell>
        </row>
        <row r="1389">
          <cell r="C1389">
            <v>0</v>
          </cell>
        </row>
        <row r="1390">
          <cell r="C1390">
            <v>0</v>
          </cell>
        </row>
        <row r="1391">
          <cell r="C1391">
            <v>0</v>
          </cell>
        </row>
        <row r="1392">
          <cell r="C1392">
            <v>0</v>
          </cell>
        </row>
        <row r="1393">
          <cell r="C1393">
            <v>0</v>
          </cell>
        </row>
        <row r="1394">
          <cell r="C1394">
            <v>0</v>
          </cell>
        </row>
        <row r="1395">
          <cell r="C1395">
            <v>0</v>
          </cell>
        </row>
        <row r="1396">
          <cell r="C1396">
            <v>0</v>
          </cell>
        </row>
        <row r="1397">
          <cell r="C1397">
            <v>0</v>
          </cell>
        </row>
        <row r="1398">
          <cell r="C1398">
            <v>0</v>
          </cell>
        </row>
        <row r="1399">
          <cell r="C1399">
            <v>0</v>
          </cell>
        </row>
        <row r="1400">
          <cell r="C1400">
            <v>0</v>
          </cell>
        </row>
        <row r="1401">
          <cell r="C1401">
            <v>0</v>
          </cell>
        </row>
        <row r="1402">
          <cell r="C1402">
            <v>0</v>
          </cell>
        </row>
        <row r="1403">
          <cell r="C1403">
            <v>0</v>
          </cell>
        </row>
        <row r="1404">
          <cell r="C1404">
            <v>0</v>
          </cell>
        </row>
        <row r="1405">
          <cell r="C1405">
            <v>0</v>
          </cell>
        </row>
        <row r="1406">
          <cell r="C1406">
            <v>0</v>
          </cell>
        </row>
        <row r="1407">
          <cell r="C1407">
            <v>0</v>
          </cell>
        </row>
        <row r="1408">
          <cell r="C1408">
            <v>0</v>
          </cell>
        </row>
        <row r="1409">
          <cell r="C1409">
            <v>0</v>
          </cell>
        </row>
        <row r="1410">
          <cell r="C1410">
            <v>0</v>
          </cell>
        </row>
        <row r="1411">
          <cell r="C1411">
            <v>0</v>
          </cell>
        </row>
        <row r="1412">
          <cell r="C1412">
            <v>0</v>
          </cell>
        </row>
        <row r="1413">
          <cell r="C1413">
            <v>0</v>
          </cell>
        </row>
        <row r="1414">
          <cell r="C1414">
            <v>0</v>
          </cell>
        </row>
        <row r="1415">
          <cell r="C1415">
            <v>0</v>
          </cell>
        </row>
        <row r="1416">
          <cell r="C1416">
            <v>0</v>
          </cell>
        </row>
        <row r="1417">
          <cell r="C1417">
            <v>0</v>
          </cell>
        </row>
        <row r="1418">
          <cell r="C1418">
            <v>0</v>
          </cell>
        </row>
        <row r="1419">
          <cell r="C1419">
            <v>0</v>
          </cell>
        </row>
        <row r="1420">
          <cell r="C1420">
            <v>0</v>
          </cell>
        </row>
        <row r="1421">
          <cell r="C1421">
            <v>0</v>
          </cell>
        </row>
        <row r="1422">
          <cell r="C1422">
            <v>0</v>
          </cell>
        </row>
        <row r="1423">
          <cell r="C1423">
            <v>0</v>
          </cell>
        </row>
        <row r="1424">
          <cell r="C1424">
            <v>0</v>
          </cell>
        </row>
        <row r="1425">
          <cell r="C1425">
            <v>0</v>
          </cell>
        </row>
        <row r="1426">
          <cell r="C1426">
            <v>0</v>
          </cell>
        </row>
        <row r="1427">
          <cell r="C1427">
            <v>0</v>
          </cell>
        </row>
        <row r="1428">
          <cell r="C1428">
            <v>0</v>
          </cell>
        </row>
        <row r="1429">
          <cell r="C1429">
            <v>0</v>
          </cell>
        </row>
        <row r="1430">
          <cell r="C1430">
            <v>0</v>
          </cell>
        </row>
        <row r="1431">
          <cell r="C1431">
            <v>0</v>
          </cell>
        </row>
        <row r="1432">
          <cell r="C1432">
            <v>0</v>
          </cell>
        </row>
        <row r="1433">
          <cell r="C1433">
            <v>0</v>
          </cell>
        </row>
        <row r="1434">
          <cell r="C1434">
            <v>0</v>
          </cell>
        </row>
        <row r="1435">
          <cell r="C1435">
            <v>0</v>
          </cell>
        </row>
        <row r="1436">
          <cell r="C1436">
            <v>0</v>
          </cell>
        </row>
        <row r="1437">
          <cell r="C1437">
            <v>0</v>
          </cell>
        </row>
        <row r="1438">
          <cell r="C1438">
            <v>0</v>
          </cell>
        </row>
        <row r="1439">
          <cell r="C1439">
            <v>0</v>
          </cell>
        </row>
        <row r="1440">
          <cell r="C1440">
            <v>0</v>
          </cell>
        </row>
        <row r="1441">
          <cell r="C1441">
            <v>0</v>
          </cell>
        </row>
        <row r="1442">
          <cell r="C1442">
            <v>0</v>
          </cell>
        </row>
        <row r="1443">
          <cell r="C1443">
            <v>0</v>
          </cell>
        </row>
        <row r="1444">
          <cell r="C1444">
            <v>0</v>
          </cell>
        </row>
        <row r="1445">
          <cell r="C1445">
            <v>0</v>
          </cell>
        </row>
        <row r="1446">
          <cell r="C1446">
            <v>0</v>
          </cell>
        </row>
        <row r="1447">
          <cell r="C1447">
            <v>0</v>
          </cell>
        </row>
        <row r="1448">
          <cell r="C1448">
            <v>0</v>
          </cell>
        </row>
        <row r="1449">
          <cell r="C1449">
            <v>0</v>
          </cell>
        </row>
        <row r="1450">
          <cell r="C1450">
            <v>0</v>
          </cell>
        </row>
        <row r="1451">
          <cell r="C1451">
            <v>0</v>
          </cell>
        </row>
        <row r="1452">
          <cell r="C1452">
            <v>0</v>
          </cell>
        </row>
        <row r="1453">
          <cell r="C1453">
            <v>0</v>
          </cell>
        </row>
        <row r="1454">
          <cell r="C1454">
            <v>0</v>
          </cell>
        </row>
        <row r="1455">
          <cell r="C1455">
            <v>0</v>
          </cell>
        </row>
        <row r="1456">
          <cell r="C1456">
            <v>0</v>
          </cell>
        </row>
        <row r="1457">
          <cell r="C1457">
            <v>0</v>
          </cell>
        </row>
        <row r="1458">
          <cell r="C1458">
            <v>0</v>
          </cell>
        </row>
        <row r="1459">
          <cell r="C1459">
            <v>0</v>
          </cell>
        </row>
        <row r="1460">
          <cell r="C1460">
            <v>0</v>
          </cell>
        </row>
        <row r="1461">
          <cell r="C1461">
            <v>0</v>
          </cell>
        </row>
        <row r="1462">
          <cell r="C1462">
            <v>0</v>
          </cell>
        </row>
        <row r="1463">
          <cell r="C1463">
            <v>0</v>
          </cell>
        </row>
        <row r="1464">
          <cell r="C1464">
            <v>0</v>
          </cell>
        </row>
        <row r="1465">
          <cell r="C1465">
            <v>0</v>
          </cell>
        </row>
        <row r="1466">
          <cell r="C1466">
            <v>0</v>
          </cell>
        </row>
        <row r="1467">
          <cell r="C1467">
            <v>0</v>
          </cell>
        </row>
        <row r="1468">
          <cell r="C1468">
            <v>0</v>
          </cell>
        </row>
        <row r="1469">
          <cell r="C1469">
            <v>0</v>
          </cell>
        </row>
        <row r="1470">
          <cell r="C1470">
            <v>0</v>
          </cell>
        </row>
        <row r="1471">
          <cell r="C1471">
            <v>0</v>
          </cell>
        </row>
        <row r="1472">
          <cell r="C1472">
            <v>0</v>
          </cell>
        </row>
        <row r="1473">
          <cell r="C1473">
            <v>0</v>
          </cell>
        </row>
        <row r="1474">
          <cell r="C1474">
            <v>0</v>
          </cell>
        </row>
        <row r="1475">
          <cell r="C1475">
            <v>0</v>
          </cell>
        </row>
        <row r="1476">
          <cell r="C1476">
            <v>0</v>
          </cell>
        </row>
        <row r="1477">
          <cell r="C1477">
            <v>0</v>
          </cell>
        </row>
        <row r="1478">
          <cell r="C1478">
            <v>0</v>
          </cell>
        </row>
        <row r="1479">
          <cell r="C1479">
            <v>0</v>
          </cell>
        </row>
        <row r="1480">
          <cell r="C1480">
            <v>0</v>
          </cell>
        </row>
        <row r="1481">
          <cell r="C1481">
            <v>0</v>
          </cell>
        </row>
        <row r="1482">
          <cell r="C1482">
            <v>0</v>
          </cell>
        </row>
        <row r="1483">
          <cell r="C1483">
            <v>0</v>
          </cell>
        </row>
        <row r="1484">
          <cell r="C1484">
            <v>0</v>
          </cell>
        </row>
        <row r="1485">
          <cell r="C1485">
            <v>0</v>
          </cell>
        </row>
        <row r="1486">
          <cell r="C1486">
            <v>0</v>
          </cell>
        </row>
        <row r="1487">
          <cell r="C1487">
            <v>0</v>
          </cell>
        </row>
        <row r="1488">
          <cell r="C1488">
            <v>0</v>
          </cell>
        </row>
        <row r="1489">
          <cell r="C1489">
            <v>0</v>
          </cell>
        </row>
        <row r="1490">
          <cell r="C1490">
            <v>0</v>
          </cell>
        </row>
        <row r="1491">
          <cell r="C1491">
            <v>0</v>
          </cell>
        </row>
        <row r="1492">
          <cell r="C1492">
            <v>0</v>
          </cell>
        </row>
        <row r="1493">
          <cell r="C1493">
            <v>0</v>
          </cell>
        </row>
        <row r="1494">
          <cell r="C1494">
            <v>0</v>
          </cell>
        </row>
        <row r="1495">
          <cell r="C1495">
            <v>0</v>
          </cell>
        </row>
        <row r="1496">
          <cell r="C1496">
            <v>0</v>
          </cell>
        </row>
        <row r="1497">
          <cell r="C1497">
            <v>0</v>
          </cell>
        </row>
        <row r="1498">
          <cell r="C1498">
            <v>0</v>
          </cell>
        </row>
        <row r="1499">
          <cell r="C1499">
            <v>0</v>
          </cell>
        </row>
        <row r="1500">
          <cell r="C1500">
            <v>0</v>
          </cell>
        </row>
        <row r="1501">
          <cell r="C1501">
            <v>0</v>
          </cell>
        </row>
        <row r="1502">
          <cell r="C1502">
            <v>0</v>
          </cell>
        </row>
        <row r="1503">
          <cell r="C1503">
            <v>0</v>
          </cell>
        </row>
        <row r="1504">
          <cell r="C1504">
            <v>0</v>
          </cell>
        </row>
        <row r="1505">
          <cell r="C1505">
            <v>0</v>
          </cell>
        </row>
        <row r="1506">
          <cell r="C1506">
            <v>0</v>
          </cell>
        </row>
        <row r="1507">
          <cell r="C1507">
            <v>0</v>
          </cell>
        </row>
        <row r="1508">
          <cell r="C1508">
            <v>0</v>
          </cell>
        </row>
        <row r="1509">
          <cell r="C1509">
            <v>0</v>
          </cell>
        </row>
        <row r="1510">
          <cell r="C1510">
            <v>0</v>
          </cell>
        </row>
        <row r="1511">
          <cell r="C1511">
            <v>0</v>
          </cell>
        </row>
        <row r="1512">
          <cell r="C1512">
            <v>0</v>
          </cell>
        </row>
        <row r="1513">
          <cell r="C1513">
            <v>0</v>
          </cell>
        </row>
        <row r="1514">
          <cell r="C1514">
            <v>0</v>
          </cell>
        </row>
        <row r="1515">
          <cell r="C1515">
            <v>0</v>
          </cell>
        </row>
        <row r="1516">
          <cell r="C1516">
            <v>0</v>
          </cell>
        </row>
        <row r="1517">
          <cell r="C1517">
            <v>0</v>
          </cell>
        </row>
        <row r="1518">
          <cell r="C1518">
            <v>0</v>
          </cell>
        </row>
        <row r="1519">
          <cell r="C1519">
            <v>0</v>
          </cell>
        </row>
        <row r="1520">
          <cell r="C1520">
            <v>0</v>
          </cell>
        </row>
        <row r="1521">
          <cell r="C1521">
            <v>0</v>
          </cell>
        </row>
        <row r="1522">
          <cell r="C1522">
            <v>0</v>
          </cell>
        </row>
        <row r="1523">
          <cell r="C1523">
            <v>0</v>
          </cell>
        </row>
        <row r="1524">
          <cell r="C1524">
            <v>0</v>
          </cell>
        </row>
        <row r="1525">
          <cell r="C1525">
            <v>0</v>
          </cell>
        </row>
        <row r="1526">
          <cell r="C1526">
            <v>0</v>
          </cell>
        </row>
        <row r="1527">
          <cell r="C1527">
            <v>0</v>
          </cell>
        </row>
        <row r="1528">
          <cell r="C1528">
            <v>0</v>
          </cell>
        </row>
        <row r="1529">
          <cell r="C1529">
            <v>0</v>
          </cell>
        </row>
        <row r="1530">
          <cell r="C1530">
            <v>0</v>
          </cell>
        </row>
        <row r="1531">
          <cell r="C1531">
            <v>0</v>
          </cell>
        </row>
        <row r="1532">
          <cell r="C1532">
            <v>0</v>
          </cell>
        </row>
        <row r="1533">
          <cell r="C1533">
            <v>0</v>
          </cell>
        </row>
        <row r="1534">
          <cell r="C1534">
            <v>0</v>
          </cell>
        </row>
        <row r="1535">
          <cell r="C1535">
            <v>0</v>
          </cell>
        </row>
        <row r="1536">
          <cell r="C1536">
            <v>0</v>
          </cell>
        </row>
        <row r="1537">
          <cell r="C1537">
            <v>0</v>
          </cell>
        </row>
        <row r="1538">
          <cell r="C1538">
            <v>0</v>
          </cell>
        </row>
        <row r="1539">
          <cell r="C1539">
            <v>0</v>
          </cell>
        </row>
        <row r="1540">
          <cell r="C1540">
            <v>0</v>
          </cell>
        </row>
        <row r="1541">
          <cell r="C1541">
            <v>0</v>
          </cell>
        </row>
        <row r="1542">
          <cell r="C1542">
            <v>0</v>
          </cell>
        </row>
        <row r="1543">
          <cell r="C1543">
            <v>0</v>
          </cell>
        </row>
        <row r="1544">
          <cell r="C1544">
            <v>0</v>
          </cell>
        </row>
        <row r="1545">
          <cell r="C1545">
            <v>0</v>
          </cell>
        </row>
        <row r="1546">
          <cell r="C1546">
            <v>0</v>
          </cell>
        </row>
        <row r="1547">
          <cell r="C1547">
            <v>0</v>
          </cell>
        </row>
        <row r="1548">
          <cell r="C1548">
            <v>0</v>
          </cell>
        </row>
        <row r="1549">
          <cell r="C1549">
            <v>0</v>
          </cell>
        </row>
        <row r="1550">
          <cell r="C1550">
            <v>0</v>
          </cell>
        </row>
        <row r="1551">
          <cell r="C1551">
            <v>0</v>
          </cell>
        </row>
        <row r="1552">
          <cell r="C1552">
            <v>0</v>
          </cell>
        </row>
        <row r="1553">
          <cell r="C1553">
            <v>0</v>
          </cell>
        </row>
        <row r="1554">
          <cell r="C1554">
            <v>0</v>
          </cell>
        </row>
        <row r="1555">
          <cell r="C1555">
            <v>0</v>
          </cell>
        </row>
        <row r="1556">
          <cell r="C1556">
            <v>0</v>
          </cell>
        </row>
        <row r="1557">
          <cell r="C1557">
            <v>0</v>
          </cell>
        </row>
        <row r="1558">
          <cell r="C1558">
            <v>0</v>
          </cell>
        </row>
        <row r="1559">
          <cell r="C1559">
            <v>0</v>
          </cell>
        </row>
        <row r="1560">
          <cell r="C1560">
            <v>0</v>
          </cell>
        </row>
        <row r="1561">
          <cell r="C1561">
            <v>0</v>
          </cell>
        </row>
        <row r="1562">
          <cell r="C1562">
            <v>0</v>
          </cell>
        </row>
        <row r="1563">
          <cell r="C1563">
            <v>0</v>
          </cell>
        </row>
        <row r="1564">
          <cell r="C1564">
            <v>0</v>
          </cell>
        </row>
        <row r="1565">
          <cell r="C1565">
            <v>0</v>
          </cell>
        </row>
        <row r="1566">
          <cell r="C1566">
            <v>0</v>
          </cell>
        </row>
        <row r="1567">
          <cell r="C1567">
            <v>0</v>
          </cell>
        </row>
        <row r="1568">
          <cell r="C1568">
            <v>0</v>
          </cell>
        </row>
        <row r="1569">
          <cell r="C1569">
            <v>0</v>
          </cell>
        </row>
        <row r="1570">
          <cell r="C1570">
            <v>0</v>
          </cell>
        </row>
        <row r="1571">
          <cell r="C1571">
            <v>0</v>
          </cell>
        </row>
        <row r="1572">
          <cell r="C1572">
            <v>0</v>
          </cell>
        </row>
        <row r="1573">
          <cell r="C1573">
            <v>0</v>
          </cell>
        </row>
        <row r="1574">
          <cell r="C1574">
            <v>0</v>
          </cell>
        </row>
        <row r="1575">
          <cell r="C1575">
            <v>0</v>
          </cell>
        </row>
        <row r="1576">
          <cell r="C1576">
            <v>0</v>
          </cell>
        </row>
        <row r="1577">
          <cell r="C1577">
            <v>0</v>
          </cell>
        </row>
        <row r="1578">
          <cell r="C1578">
            <v>0</v>
          </cell>
        </row>
        <row r="1579">
          <cell r="C1579">
            <v>0</v>
          </cell>
        </row>
        <row r="1580">
          <cell r="C1580">
            <v>0</v>
          </cell>
        </row>
        <row r="1581">
          <cell r="C1581">
            <v>0</v>
          </cell>
        </row>
        <row r="1582">
          <cell r="C1582">
            <v>0</v>
          </cell>
        </row>
        <row r="1583">
          <cell r="C1583">
            <v>0</v>
          </cell>
        </row>
        <row r="1584">
          <cell r="C1584">
            <v>0</v>
          </cell>
        </row>
        <row r="1585">
          <cell r="C1585">
            <v>0</v>
          </cell>
        </row>
        <row r="1586">
          <cell r="C1586">
            <v>0</v>
          </cell>
        </row>
        <row r="1587">
          <cell r="C1587">
            <v>0</v>
          </cell>
        </row>
        <row r="1588">
          <cell r="C1588">
            <v>0</v>
          </cell>
        </row>
        <row r="1589">
          <cell r="C1589">
            <v>0</v>
          </cell>
        </row>
        <row r="1590">
          <cell r="C1590">
            <v>0</v>
          </cell>
        </row>
        <row r="1591">
          <cell r="C1591">
            <v>0</v>
          </cell>
        </row>
        <row r="1592">
          <cell r="C1592">
            <v>0</v>
          </cell>
        </row>
        <row r="1593">
          <cell r="C1593">
            <v>0</v>
          </cell>
        </row>
        <row r="1594">
          <cell r="C1594">
            <v>0</v>
          </cell>
        </row>
        <row r="1595">
          <cell r="C1595">
            <v>0</v>
          </cell>
        </row>
        <row r="1596">
          <cell r="C1596">
            <v>0</v>
          </cell>
        </row>
        <row r="1597">
          <cell r="C1597">
            <v>0</v>
          </cell>
        </row>
        <row r="1598">
          <cell r="C1598">
            <v>0</v>
          </cell>
        </row>
        <row r="1599">
          <cell r="C1599">
            <v>0</v>
          </cell>
        </row>
        <row r="1600">
          <cell r="C1600">
            <v>0</v>
          </cell>
        </row>
        <row r="1601">
          <cell r="C1601">
            <v>0</v>
          </cell>
        </row>
        <row r="1602">
          <cell r="C1602">
            <v>0</v>
          </cell>
        </row>
        <row r="1603">
          <cell r="C1603">
            <v>0</v>
          </cell>
        </row>
        <row r="1604">
          <cell r="C1604">
            <v>0</v>
          </cell>
        </row>
        <row r="1605">
          <cell r="C1605">
            <v>0</v>
          </cell>
        </row>
        <row r="1606">
          <cell r="C1606">
            <v>0</v>
          </cell>
        </row>
        <row r="1607">
          <cell r="C1607">
            <v>0</v>
          </cell>
        </row>
        <row r="1608">
          <cell r="C1608">
            <v>0</v>
          </cell>
        </row>
        <row r="1609">
          <cell r="C1609">
            <v>0</v>
          </cell>
        </row>
        <row r="1610">
          <cell r="C1610">
            <v>0</v>
          </cell>
        </row>
        <row r="1611">
          <cell r="C1611">
            <v>0</v>
          </cell>
        </row>
        <row r="1612">
          <cell r="C1612">
            <v>0</v>
          </cell>
        </row>
        <row r="1613">
          <cell r="C1613">
            <v>0</v>
          </cell>
        </row>
        <row r="1614">
          <cell r="C1614">
            <v>0</v>
          </cell>
        </row>
        <row r="1615">
          <cell r="C1615">
            <v>0</v>
          </cell>
        </row>
        <row r="1616">
          <cell r="C1616">
            <v>0</v>
          </cell>
        </row>
        <row r="1617">
          <cell r="C1617">
            <v>0</v>
          </cell>
        </row>
        <row r="1618">
          <cell r="C1618">
            <v>0</v>
          </cell>
        </row>
        <row r="1619">
          <cell r="C1619">
            <v>0</v>
          </cell>
        </row>
        <row r="1620">
          <cell r="C1620">
            <v>0</v>
          </cell>
        </row>
        <row r="1621">
          <cell r="C1621">
            <v>0</v>
          </cell>
        </row>
        <row r="1622">
          <cell r="C1622">
            <v>0</v>
          </cell>
        </row>
        <row r="1623">
          <cell r="C1623">
            <v>0</v>
          </cell>
        </row>
        <row r="1624">
          <cell r="C1624">
            <v>0</v>
          </cell>
        </row>
        <row r="1625">
          <cell r="C1625">
            <v>0</v>
          </cell>
        </row>
        <row r="1626">
          <cell r="C1626">
            <v>0</v>
          </cell>
        </row>
        <row r="1627">
          <cell r="C1627">
            <v>0</v>
          </cell>
        </row>
        <row r="1628">
          <cell r="C1628">
            <v>0</v>
          </cell>
        </row>
        <row r="1629">
          <cell r="C1629">
            <v>0</v>
          </cell>
        </row>
        <row r="1630">
          <cell r="C1630">
            <v>0</v>
          </cell>
        </row>
        <row r="1631">
          <cell r="C1631">
            <v>0</v>
          </cell>
        </row>
        <row r="1632">
          <cell r="C1632">
            <v>0</v>
          </cell>
        </row>
        <row r="1633">
          <cell r="C1633">
            <v>0</v>
          </cell>
        </row>
        <row r="1634">
          <cell r="C1634">
            <v>0</v>
          </cell>
        </row>
        <row r="1635">
          <cell r="C1635">
            <v>0</v>
          </cell>
        </row>
        <row r="1636">
          <cell r="C1636">
            <v>0</v>
          </cell>
        </row>
        <row r="1637">
          <cell r="C1637">
            <v>0</v>
          </cell>
        </row>
        <row r="1638">
          <cell r="C1638">
            <v>0</v>
          </cell>
        </row>
        <row r="1639">
          <cell r="C1639">
            <v>0</v>
          </cell>
        </row>
        <row r="1640">
          <cell r="C1640">
            <v>0</v>
          </cell>
        </row>
        <row r="1641">
          <cell r="C1641">
            <v>0</v>
          </cell>
        </row>
        <row r="1642">
          <cell r="C1642">
            <v>0</v>
          </cell>
        </row>
        <row r="1643">
          <cell r="C1643">
            <v>0</v>
          </cell>
        </row>
        <row r="1644">
          <cell r="C1644">
            <v>0</v>
          </cell>
        </row>
        <row r="1645">
          <cell r="C1645">
            <v>0</v>
          </cell>
        </row>
        <row r="1646">
          <cell r="C1646">
            <v>0</v>
          </cell>
        </row>
        <row r="1647">
          <cell r="C1647">
            <v>0</v>
          </cell>
        </row>
        <row r="1648">
          <cell r="C1648">
            <v>0</v>
          </cell>
        </row>
        <row r="1649">
          <cell r="C1649">
            <v>0</v>
          </cell>
        </row>
        <row r="1650">
          <cell r="C1650">
            <v>0</v>
          </cell>
        </row>
        <row r="1651">
          <cell r="C1651">
            <v>0</v>
          </cell>
        </row>
        <row r="1652">
          <cell r="C1652">
            <v>0</v>
          </cell>
        </row>
        <row r="1653">
          <cell r="C1653">
            <v>0</v>
          </cell>
        </row>
        <row r="1654">
          <cell r="C1654">
            <v>0</v>
          </cell>
        </row>
        <row r="1655">
          <cell r="C1655">
            <v>0</v>
          </cell>
        </row>
        <row r="1656">
          <cell r="C1656">
            <v>0</v>
          </cell>
        </row>
        <row r="1657">
          <cell r="C1657">
            <v>0</v>
          </cell>
        </row>
        <row r="1658">
          <cell r="C1658">
            <v>0</v>
          </cell>
        </row>
        <row r="1659">
          <cell r="C1659">
            <v>0</v>
          </cell>
        </row>
        <row r="1660">
          <cell r="C1660">
            <v>0</v>
          </cell>
        </row>
        <row r="1661">
          <cell r="C1661">
            <v>0</v>
          </cell>
        </row>
        <row r="1662">
          <cell r="C1662">
            <v>0</v>
          </cell>
        </row>
        <row r="1663">
          <cell r="C1663">
            <v>0</v>
          </cell>
        </row>
        <row r="1664">
          <cell r="C1664">
            <v>0</v>
          </cell>
        </row>
        <row r="1665">
          <cell r="C1665">
            <v>0</v>
          </cell>
        </row>
        <row r="1666">
          <cell r="C1666">
            <v>0</v>
          </cell>
        </row>
        <row r="1667">
          <cell r="C1667">
            <v>0</v>
          </cell>
        </row>
        <row r="1668">
          <cell r="C1668">
            <v>0</v>
          </cell>
        </row>
        <row r="1669">
          <cell r="C1669">
            <v>0</v>
          </cell>
        </row>
        <row r="1670">
          <cell r="C1670">
            <v>0</v>
          </cell>
        </row>
        <row r="1671">
          <cell r="C1671">
            <v>0</v>
          </cell>
        </row>
        <row r="1672">
          <cell r="C1672">
            <v>0</v>
          </cell>
        </row>
        <row r="1673">
          <cell r="C1673">
            <v>0</v>
          </cell>
        </row>
        <row r="1674">
          <cell r="C1674">
            <v>0</v>
          </cell>
        </row>
        <row r="1675">
          <cell r="C1675">
            <v>0</v>
          </cell>
        </row>
        <row r="1676">
          <cell r="C1676">
            <v>0</v>
          </cell>
        </row>
        <row r="1677">
          <cell r="C1677">
            <v>0</v>
          </cell>
        </row>
        <row r="1678">
          <cell r="C1678">
            <v>0</v>
          </cell>
        </row>
        <row r="1679">
          <cell r="C1679">
            <v>0</v>
          </cell>
        </row>
        <row r="1680">
          <cell r="C1680">
            <v>0</v>
          </cell>
        </row>
        <row r="1681">
          <cell r="C1681">
            <v>0</v>
          </cell>
        </row>
        <row r="1682">
          <cell r="C1682">
            <v>0</v>
          </cell>
        </row>
        <row r="1683">
          <cell r="C1683">
            <v>0</v>
          </cell>
        </row>
        <row r="1684">
          <cell r="C1684">
            <v>0</v>
          </cell>
        </row>
        <row r="1685">
          <cell r="C1685">
            <v>0</v>
          </cell>
        </row>
        <row r="1686">
          <cell r="C1686">
            <v>0</v>
          </cell>
        </row>
        <row r="1687">
          <cell r="C1687">
            <v>0</v>
          </cell>
        </row>
        <row r="1688">
          <cell r="C1688">
            <v>0</v>
          </cell>
        </row>
        <row r="1689">
          <cell r="C1689">
            <v>0</v>
          </cell>
        </row>
        <row r="1690">
          <cell r="C1690">
            <v>0</v>
          </cell>
        </row>
        <row r="1691">
          <cell r="C1691">
            <v>0</v>
          </cell>
        </row>
        <row r="1692">
          <cell r="C1692">
            <v>0</v>
          </cell>
        </row>
        <row r="1693">
          <cell r="C1693">
            <v>0</v>
          </cell>
        </row>
        <row r="1694">
          <cell r="C1694">
            <v>0</v>
          </cell>
        </row>
        <row r="1695">
          <cell r="C1695">
            <v>0</v>
          </cell>
        </row>
        <row r="1696">
          <cell r="C1696">
            <v>0</v>
          </cell>
        </row>
        <row r="1697">
          <cell r="C1697">
            <v>0</v>
          </cell>
        </row>
        <row r="1698">
          <cell r="C1698">
            <v>0</v>
          </cell>
        </row>
        <row r="1699">
          <cell r="C1699">
            <v>0</v>
          </cell>
        </row>
        <row r="1700">
          <cell r="C1700">
            <v>0</v>
          </cell>
        </row>
        <row r="1701">
          <cell r="C1701">
            <v>0</v>
          </cell>
        </row>
        <row r="1702">
          <cell r="C1702">
            <v>0</v>
          </cell>
        </row>
        <row r="1703">
          <cell r="C1703">
            <v>0</v>
          </cell>
        </row>
        <row r="1704">
          <cell r="C1704">
            <v>0</v>
          </cell>
        </row>
        <row r="1705">
          <cell r="C1705">
            <v>0</v>
          </cell>
        </row>
        <row r="1706">
          <cell r="C1706">
            <v>0</v>
          </cell>
        </row>
        <row r="1707">
          <cell r="C1707">
            <v>0</v>
          </cell>
        </row>
        <row r="1708">
          <cell r="C1708">
            <v>0</v>
          </cell>
        </row>
        <row r="1709">
          <cell r="C1709">
            <v>0</v>
          </cell>
        </row>
        <row r="1710">
          <cell r="C1710">
            <v>0</v>
          </cell>
        </row>
        <row r="1711">
          <cell r="C1711">
            <v>0</v>
          </cell>
        </row>
        <row r="1712">
          <cell r="C1712">
            <v>0</v>
          </cell>
        </row>
        <row r="1713">
          <cell r="C1713">
            <v>0</v>
          </cell>
        </row>
        <row r="1714">
          <cell r="C1714">
            <v>0</v>
          </cell>
        </row>
        <row r="1715">
          <cell r="C1715">
            <v>0</v>
          </cell>
        </row>
        <row r="1716">
          <cell r="C1716">
            <v>0</v>
          </cell>
        </row>
        <row r="1717">
          <cell r="C1717">
            <v>0</v>
          </cell>
        </row>
        <row r="1718">
          <cell r="C1718">
            <v>0</v>
          </cell>
        </row>
        <row r="1719">
          <cell r="C1719">
            <v>0</v>
          </cell>
        </row>
        <row r="1720">
          <cell r="C1720">
            <v>0</v>
          </cell>
        </row>
        <row r="1721">
          <cell r="C1721">
            <v>0</v>
          </cell>
        </row>
        <row r="1722">
          <cell r="C1722">
            <v>0</v>
          </cell>
        </row>
        <row r="1723">
          <cell r="C1723">
            <v>0</v>
          </cell>
        </row>
        <row r="1724">
          <cell r="C1724">
            <v>0</v>
          </cell>
        </row>
        <row r="1725">
          <cell r="C1725">
            <v>0</v>
          </cell>
        </row>
        <row r="1726">
          <cell r="C1726">
            <v>0</v>
          </cell>
        </row>
        <row r="1727">
          <cell r="C1727">
            <v>0</v>
          </cell>
        </row>
        <row r="1728">
          <cell r="C1728">
            <v>0</v>
          </cell>
        </row>
        <row r="1729">
          <cell r="C1729">
            <v>0</v>
          </cell>
        </row>
        <row r="1730">
          <cell r="C1730">
            <v>0</v>
          </cell>
        </row>
        <row r="1731">
          <cell r="C1731">
            <v>0</v>
          </cell>
        </row>
        <row r="1732">
          <cell r="C1732">
            <v>0</v>
          </cell>
        </row>
        <row r="1733">
          <cell r="C1733">
            <v>0</v>
          </cell>
        </row>
        <row r="1734">
          <cell r="C1734">
            <v>0</v>
          </cell>
        </row>
        <row r="1735">
          <cell r="C1735">
            <v>0</v>
          </cell>
        </row>
        <row r="1736">
          <cell r="C1736">
            <v>0</v>
          </cell>
        </row>
        <row r="1737">
          <cell r="C1737">
            <v>0</v>
          </cell>
        </row>
        <row r="1738">
          <cell r="C1738">
            <v>0</v>
          </cell>
        </row>
        <row r="1739">
          <cell r="C1739">
            <v>0</v>
          </cell>
        </row>
        <row r="1740">
          <cell r="C1740">
            <v>0</v>
          </cell>
        </row>
        <row r="1741">
          <cell r="C1741">
            <v>0</v>
          </cell>
        </row>
        <row r="1742">
          <cell r="C1742">
            <v>0</v>
          </cell>
        </row>
        <row r="1743">
          <cell r="C1743">
            <v>0</v>
          </cell>
        </row>
        <row r="1744">
          <cell r="C1744">
            <v>0</v>
          </cell>
        </row>
        <row r="1745">
          <cell r="C1745">
            <v>0</v>
          </cell>
        </row>
        <row r="1746">
          <cell r="C1746">
            <v>0</v>
          </cell>
        </row>
        <row r="1747">
          <cell r="C1747">
            <v>0</v>
          </cell>
        </row>
        <row r="1748">
          <cell r="C1748">
            <v>0</v>
          </cell>
        </row>
        <row r="1749">
          <cell r="C1749">
            <v>0</v>
          </cell>
        </row>
        <row r="1750">
          <cell r="C1750">
            <v>0</v>
          </cell>
        </row>
        <row r="1751">
          <cell r="C1751">
            <v>0</v>
          </cell>
        </row>
        <row r="1752">
          <cell r="C1752">
            <v>0</v>
          </cell>
        </row>
        <row r="1753">
          <cell r="C1753">
            <v>0</v>
          </cell>
        </row>
        <row r="1754">
          <cell r="C1754">
            <v>0</v>
          </cell>
        </row>
        <row r="1755">
          <cell r="C1755">
            <v>0</v>
          </cell>
        </row>
        <row r="1756">
          <cell r="C1756">
            <v>0</v>
          </cell>
        </row>
        <row r="1757">
          <cell r="C1757">
            <v>0</v>
          </cell>
        </row>
        <row r="1758">
          <cell r="C1758">
            <v>0</v>
          </cell>
        </row>
        <row r="1759">
          <cell r="C1759">
            <v>0</v>
          </cell>
        </row>
        <row r="1760">
          <cell r="C1760">
            <v>0</v>
          </cell>
        </row>
        <row r="1761">
          <cell r="C1761">
            <v>0</v>
          </cell>
        </row>
        <row r="1762">
          <cell r="C1762">
            <v>0</v>
          </cell>
        </row>
        <row r="1763">
          <cell r="C1763">
            <v>0</v>
          </cell>
        </row>
        <row r="1764">
          <cell r="C1764">
            <v>0</v>
          </cell>
        </row>
        <row r="1765">
          <cell r="C1765">
            <v>0</v>
          </cell>
        </row>
        <row r="1766">
          <cell r="C1766">
            <v>0</v>
          </cell>
        </row>
        <row r="1767">
          <cell r="C1767">
            <v>0</v>
          </cell>
        </row>
        <row r="1768">
          <cell r="C1768">
            <v>0</v>
          </cell>
        </row>
        <row r="1769">
          <cell r="C1769">
            <v>0</v>
          </cell>
        </row>
        <row r="1770">
          <cell r="C1770">
            <v>0</v>
          </cell>
        </row>
        <row r="1771">
          <cell r="C1771">
            <v>0</v>
          </cell>
        </row>
        <row r="1772">
          <cell r="C1772">
            <v>0</v>
          </cell>
        </row>
        <row r="1773">
          <cell r="C1773">
            <v>0</v>
          </cell>
        </row>
        <row r="1774">
          <cell r="C1774">
            <v>0</v>
          </cell>
        </row>
        <row r="1775">
          <cell r="C1775">
            <v>0</v>
          </cell>
        </row>
        <row r="1776">
          <cell r="C1776">
            <v>0</v>
          </cell>
        </row>
        <row r="1777">
          <cell r="C1777">
            <v>0</v>
          </cell>
        </row>
        <row r="1778">
          <cell r="C1778">
            <v>0</v>
          </cell>
        </row>
        <row r="1779">
          <cell r="C1779">
            <v>0</v>
          </cell>
        </row>
        <row r="1780">
          <cell r="C1780">
            <v>0</v>
          </cell>
        </row>
        <row r="1781">
          <cell r="C1781">
            <v>0</v>
          </cell>
        </row>
        <row r="1782">
          <cell r="C1782">
            <v>0</v>
          </cell>
        </row>
        <row r="1783">
          <cell r="C1783">
            <v>0</v>
          </cell>
        </row>
        <row r="1784">
          <cell r="C1784">
            <v>0</v>
          </cell>
        </row>
        <row r="1785">
          <cell r="C1785">
            <v>0</v>
          </cell>
        </row>
        <row r="1786">
          <cell r="C1786">
            <v>0</v>
          </cell>
        </row>
        <row r="1787">
          <cell r="C1787">
            <v>0</v>
          </cell>
        </row>
        <row r="1788">
          <cell r="C1788">
            <v>0</v>
          </cell>
        </row>
        <row r="1789">
          <cell r="C1789">
            <v>0</v>
          </cell>
        </row>
        <row r="1790">
          <cell r="C1790">
            <v>0</v>
          </cell>
        </row>
        <row r="1791">
          <cell r="C1791">
            <v>0</v>
          </cell>
        </row>
        <row r="1792">
          <cell r="C1792">
            <v>0</v>
          </cell>
        </row>
        <row r="1793">
          <cell r="C1793">
            <v>0</v>
          </cell>
        </row>
        <row r="1794">
          <cell r="C1794">
            <v>0</v>
          </cell>
        </row>
        <row r="1795">
          <cell r="C1795">
            <v>0</v>
          </cell>
        </row>
        <row r="1796">
          <cell r="C1796">
            <v>0</v>
          </cell>
        </row>
        <row r="1797">
          <cell r="C1797">
            <v>0</v>
          </cell>
        </row>
        <row r="1798">
          <cell r="C1798">
            <v>0</v>
          </cell>
        </row>
        <row r="1799">
          <cell r="C1799">
            <v>0</v>
          </cell>
        </row>
        <row r="1800">
          <cell r="C1800">
            <v>0</v>
          </cell>
        </row>
        <row r="1801">
          <cell r="C1801">
            <v>0</v>
          </cell>
        </row>
        <row r="1802">
          <cell r="C1802">
            <v>0</v>
          </cell>
        </row>
        <row r="1803">
          <cell r="C1803">
            <v>0</v>
          </cell>
        </row>
        <row r="1804">
          <cell r="C1804">
            <v>0</v>
          </cell>
        </row>
        <row r="1805">
          <cell r="C1805">
            <v>0</v>
          </cell>
        </row>
        <row r="1806">
          <cell r="C1806">
            <v>0</v>
          </cell>
        </row>
        <row r="1807">
          <cell r="C1807">
            <v>0</v>
          </cell>
        </row>
        <row r="1808">
          <cell r="C1808">
            <v>0</v>
          </cell>
        </row>
        <row r="1809">
          <cell r="C1809">
            <v>0</v>
          </cell>
        </row>
        <row r="1810">
          <cell r="C1810">
            <v>0</v>
          </cell>
        </row>
        <row r="1811">
          <cell r="C1811">
            <v>0</v>
          </cell>
        </row>
        <row r="1812">
          <cell r="C1812">
            <v>0</v>
          </cell>
        </row>
        <row r="1813">
          <cell r="C1813">
            <v>0</v>
          </cell>
        </row>
        <row r="1814">
          <cell r="C1814">
            <v>0</v>
          </cell>
        </row>
        <row r="1815">
          <cell r="C1815">
            <v>0</v>
          </cell>
        </row>
        <row r="1816">
          <cell r="C1816">
            <v>0</v>
          </cell>
        </row>
        <row r="1817">
          <cell r="C1817">
            <v>0</v>
          </cell>
        </row>
        <row r="1818">
          <cell r="C1818">
            <v>0</v>
          </cell>
        </row>
        <row r="1819">
          <cell r="C1819">
            <v>0</v>
          </cell>
        </row>
        <row r="1820">
          <cell r="C1820">
            <v>0</v>
          </cell>
        </row>
        <row r="1821">
          <cell r="C1821">
            <v>0</v>
          </cell>
        </row>
        <row r="1822">
          <cell r="C1822">
            <v>0</v>
          </cell>
        </row>
        <row r="1823">
          <cell r="C1823">
            <v>0</v>
          </cell>
        </row>
        <row r="1824">
          <cell r="C1824">
            <v>0</v>
          </cell>
        </row>
        <row r="1825">
          <cell r="C1825">
            <v>0</v>
          </cell>
        </row>
        <row r="1826">
          <cell r="C1826">
            <v>0</v>
          </cell>
        </row>
        <row r="1827">
          <cell r="C1827">
            <v>0</v>
          </cell>
        </row>
        <row r="1828">
          <cell r="C1828">
            <v>0</v>
          </cell>
        </row>
        <row r="1829">
          <cell r="C1829">
            <v>0</v>
          </cell>
        </row>
        <row r="1830">
          <cell r="C1830">
            <v>0</v>
          </cell>
        </row>
        <row r="1831">
          <cell r="C1831">
            <v>0</v>
          </cell>
        </row>
        <row r="1832">
          <cell r="C1832">
            <v>0</v>
          </cell>
        </row>
        <row r="1833">
          <cell r="C1833">
            <v>0</v>
          </cell>
        </row>
        <row r="1834">
          <cell r="C1834">
            <v>0</v>
          </cell>
        </row>
        <row r="1835">
          <cell r="C1835">
            <v>0</v>
          </cell>
        </row>
        <row r="1836">
          <cell r="C1836">
            <v>0</v>
          </cell>
        </row>
        <row r="1837">
          <cell r="C1837">
            <v>0</v>
          </cell>
        </row>
        <row r="1838">
          <cell r="C1838">
            <v>0</v>
          </cell>
        </row>
        <row r="1839">
          <cell r="C1839">
            <v>0</v>
          </cell>
        </row>
        <row r="1840">
          <cell r="C1840">
            <v>0</v>
          </cell>
        </row>
        <row r="1841">
          <cell r="C1841">
            <v>0</v>
          </cell>
        </row>
        <row r="1842">
          <cell r="C1842">
            <v>0</v>
          </cell>
        </row>
        <row r="1843">
          <cell r="C1843">
            <v>0</v>
          </cell>
        </row>
        <row r="1844">
          <cell r="C1844">
            <v>0</v>
          </cell>
        </row>
        <row r="1845">
          <cell r="C1845">
            <v>0</v>
          </cell>
        </row>
        <row r="1846">
          <cell r="C1846">
            <v>0</v>
          </cell>
        </row>
        <row r="1847">
          <cell r="C1847">
            <v>0</v>
          </cell>
        </row>
        <row r="1848">
          <cell r="C1848">
            <v>0</v>
          </cell>
        </row>
        <row r="1849">
          <cell r="C1849">
            <v>0</v>
          </cell>
        </row>
        <row r="1850">
          <cell r="C1850">
            <v>0</v>
          </cell>
        </row>
        <row r="1851">
          <cell r="C1851">
            <v>0</v>
          </cell>
        </row>
        <row r="1852">
          <cell r="C1852">
            <v>0</v>
          </cell>
        </row>
        <row r="1853">
          <cell r="C1853">
            <v>0</v>
          </cell>
        </row>
        <row r="1854">
          <cell r="C1854">
            <v>0</v>
          </cell>
        </row>
        <row r="1855">
          <cell r="C1855">
            <v>0</v>
          </cell>
        </row>
        <row r="1856">
          <cell r="C1856">
            <v>0</v>
          </cell>
        </row>
        <row r="1857">
          <cell r="C1857">
            <v>0</v>
          </cell>
        </row>
        <row r="1858">
          <cell r="C1858">
            <v>0</v>
          </cell>
        </row>
        <row r="1859">
          <cell r="C1859">
            <v>0</v>
          </cell>
        </row>
        <row r="1860">
          <cell r="C1860">
            <v>0</v>
          </cell>
        </row>
        <row r="1861">
          <cell r="C1861">
            <v>0</v>
          </cell>
        </row>
        <row r="1862">
          <cell r="C1862">
            <v>0</v>
          </cell>
        </row>
        <row r="1863">
          <cell r="C1863">
            <v>0</v>
          </cell>
        </row>
        <row r="1864">
          <cell r="C1864">
            <v>0</v>
          </cell>
        </row>
        <row r="1865">
          <cell r="C1865">
            <v>0</v>
          </cell>
        </row>
        <row r="1866">
          <cell r="C1866">
            <v>0</v>
          </cell>
        </row>
        <row r="1867">
          <cell r="C1867">
            <v>0</v>
          </cell>
        </row>
        <row r="1868">
          <cell r="C1868">
            <v>0</v>
          </cell>
        </row>
        <row r="1869">
          <cell r="C1869">
            <v>0</v>
          </cell>
        </row>
        <row r="1870">
          <cell r="C1870">
            <v>0</v>
          </cell>
        </row>
        <row r="1871">
          <cell r="C1871">
            <v>0</v>
          </cell>
        </row>
        <row r="1872">
          <cell r="C1872">
            <v>0</v>
          </cell>
        </row>
        <row r="1873">
          <cell r="C1873">
            <v>0</v>
          </cell>
        </row>
        <row r="1874">
          <cell r="C1874">
            <v>0</v>
          </cell>
        </row>
        <row r="1875">
          <cell r="C1875">
            <v>0</v>
          </cell>
        </row>
        <row r="1876">
          <cell r="C1876">
            <v>0</v>
          </cell>
        </row>
        <row r="1877">
          <cell r="C1877">
            <v>0</v>
          </cell>
        </row>
        <row r="1878">
          <cell r="C1878">
            <v>0</v>
          </cell>
        </row>
        <row r="1879">
          <cell r="C1879">
            <v>0</v>
          </cell>
        </row>
        <row r="1880">
          <cell r="C1880">
            <v>0</v>
          </cell>
        </row>
        <row r="1881">
          <cell r="C1881">
            <v>0</v>
          </cell>
        </row>
        <row r="1882">
          <cell r="C1882">
            <v>0</v>
          </cell>
        </row>
        <row r="1883">
          <cell r="C1883">
            <v>0</v>
          </cell>
        </row>
        <row r="1884">
          <cell r="C1884">
            <v>0</v>
          </cell>
        </row>
        <row r="1885">
          <cell r="C1885">
            <v>0</v>
          </cell>
        </row>
        <row r="1886">
          <cell r="C1886">
            <v>0</v>
          </cell>
        </row>
        <row r="1887">
          <cell r="C1887">
            <v>0</v>
          </cell>
        </row>
        <row r="1888">
          <cell r="C1888">
            <v>0</v>
          </cell>
        </row>
        <row r="1889">
          <cell r="C1889">
            <v>0</v>
          </cell>
        </row>
        <row r="1890">
          <cell r="C1890">
            <v>0</v>
          </cell>
        </row>
        <row r="1891">
          <cell r="C1891">
            <v>0</v>
          </cell>
        </row>
        <row r="1892">
          <cell r="C1892">
            <v>0</v>
          </cell>
        </row>
        <row r="1893">
          <cell r="C1893">
            <v>0</v>
          </cell>
        </row>
        <row r="1894">
          <cell r="C1894">
            <v>0</v>
          </cell>
        </row>
        <row r="1895">
          <cell r="C1895">
            <v>0</v>
          </cell>
        </row>
        <row r="1896">
          <cell r="C1896">
            <v>0</v>
          </cell>
        </row>
        <row r="1897">
          <cell r="C1897">
            <v>0</v>
          </cell>
        </row>
        <row r="1898">
          <cell r="C1898">
            <v>0</v>
          </cell>
        </row>
        <row r="1899">
          <cell r="C1899">
            <v>0</v>
          </cell>
        </row>
        <row r="1900">
          <cell r="C1900">
            <v>0</v>
          </cell>
        </row>
        <row r="1901">
          <cell r="C1901">
            <v>0</v>
          </cell>
        </row>
        <row r="1902">
          <cell r="C1902">
            <v>0</v>
          </cell>
        </row>
        <row r="1903">
          <cell r="C1903">
            <v>0</v>
          </cell>
        </row>
        <row r="1904">
          <cell r="C1904">
            <v>0</v>
          </cell>
        </row>
        <row r="1905">
          <cell r="C1905">
            <v>0</v>
          </cell>
        </row>
        <row r="1906">
          <cell r="C1906">
            <v>0</v>
          </cell>
        </row>
        <row r="1907">
          <cell r="C1907">
            <v>0</v>
          </cell>
        </row>
        <row r="1908">
          <cell r="C1908">
            <v>0</v>
          </cell>
        </row>
        <row r="1909">
          <cell r="C1909">
            <v>0</v>
          </cell>
        </row>
        <row r="1910">
          <cell r="C1910">
            <v>0</v>
          </cell>
        </row>
        <row r="1911">
          <cell r="C1911">
            <v>0</v>
          </cell>
        </row>
        <row r="1912">
          <cell r="C1912">
            <v>0</v>
          </cell>
        </row>
        <row r="1913">
          <cell r="C1913">
            <v>0</v>
          </cell>
        </row>
        <row r="1914">
          <cell r="C1914">
            <v>0</v>
          </cell>
        </row>
        <row r="1915">
          <cell r="C1915">
            <v>0</v>
          </cell>
        </row>
        <row r="1916">
          <cell r="C1916">
            <v>0</v>
          </cell>
        </row>
        <row r="1917">
          <cell r="C1917">
            <v>0</v>
          </cell>
        </row>
        <row r="1918">
          <cell r="C1918">
            <v>0</v>
          </cell>
        </row>
        <row r="1919">
          <cell r="C1919">
            <v>0</v>
          </cell>
        </row>
        <row r="1920">
          <cell r="C1920">
            <v>0</v>
          </cell>
        </row>
        <row r="1921">
          <cell r="C1921">
            <v>0</v>
          </cell>
        </row>
        <row r="1922">
          <cell r="C1922">
            <v>0</v>
          </cell>
        </row>
        <row r="1923">
          <cell r="C1923">
            <v>0</v>
          </cell>
        </row>
        <row r="1924">
          <cell r="C1924">
            <v>0</v>
          </cell>
        </row>
        <row r="1925">
          <cell r="C1925">
            <v>0</v>
          </cell>
        </row>
        <row r="1926">
          <cell r="C1926">
            <v>0</v>
          </cell>
        </row>
        <row r="1927">
          <cell r="C1927">
            <v>0</v>
          </cell>
        </row>
        <row r="1928">
          <cell r="C1928">
            <v>0</v>
          </cell>
        </row>
        <row r="1929">
          <cell r="C1929">
            <v>0</v>
          </cell>
        </row>
        <row r="1930">
          <cell r="C1930">
            <v>0</v>
          </cell>
        </row>
        <row r="1931">
          <cell r="C1931">
            <v>0</v>
          </cell>
        </row>
        <row r="1932">
          <cell r="C1932">
            <v>0</v>
          </cell>
        </row>
        <row r="1933">
          <cell r="C1933">
            <v>0</v>
          </cell>
        </row>
        <row r="1934">
          <cell r="C1934">
            <v>0</v>
          </cell>
        </row>
        <row r="1935">
          <cell r="C1935">
            <v>0</v>
          </cell>
        </row>
        <row r="1936">
          <cell r="C1936">
            <v>0</v>
          </cell>
        </row>
        <row r="1937">
          <cell r="C1937">
            <v>0</v>
          </cell>
        </row>
        <row r="1938">
          <cell r="C1938">
            <v>0</v>
          </cell>
        </row>
        <row r="1939">
          <cell r="C1939">
            <v>0</v>
          </cell>
        </row>
        <row r="1940">
          <cell r="C1940">
            <v>0</v>
          </cell>
        </row>
        <row r="1941">
          <cell r="C1941">
            <v>0</v>
          </cell>
        </row>
        <row r="1942">
          <cell r="C1942">
            <v>0</v>
          </cell>
        </row>
        <row r="1943">
          <cell r="C1943">
            <v>0</v>
          </cell>
        </row>
        <row r="1944">
          <cell r="C1944">
            <v>0</v>
          </cell>
        </row>
        <row r="1945">
          <cell r="C1945">
            <v>0</v>
          </cell>
        </row>
        <row r="1946">
          <cell r="C1946">
            <v>0</v>
          </cell>
        </row>
        <row r="1947">
          <cell r="C1947">
            <v>0</v>
          </cell>
        </row>
        <row r="1948">
          <cell r="C1948">
            <v>0</v>
          </cell>
        </row>
        <row r="1949">
          <cell r="C1949">
            <v>0</v>
          </cell>
        </row>
        <row r="1950">
          <cell r="C1950">
            <v>0</v>
          </cell>
        </row>
        <row r="1951">
          <cell r="C1951">
            <v>0</v>
          </cell>
        </row>
        <row r="1952">
          <cell r="C1952">
            <v>0</v>
          </cell>
        </row>
        <row r="1953">
          <cell r="C1953">
            <v>0</v>
          </cell>
        </row>
        <row r="1954">
          <cell r="C1954">
            <v>0</v>
          </cell>
        </row>
        <row r="1955">
          <cell r="C1955">
            <v>0</v>
          </cell>
        </row>
        <row r="1956">
          <cell r="C1956">
            <v>0</v>
          </cell>
        </row>
        <row r="1957">
          <cell r="C1957">
            <v>0</v>
          </cell>
        </row>
        <row r="1958">
          <cell r="C1958">
            <v>0</v>
          </cell>
        </row>
        <row r="1959">
          <cell r="C1959">
            <v>0</v>
          </cell>
        </row>
        <row r="1960">
          <cell r="C1960">
            <v>0</v>
          </cell>
        </row>
        <row r="1961">
          <cell r="C1961">
            <v>0</v>
          </cell>
        </row>
        <row r="1962">
          <cell r="C1962">
            <v>0</v>
          </cell>
        </row>
        <row r="1963">
          <cell r="C1963">
            <v>0</v>
          </cell>
        </row>
        <row r="1964">
          <cell r="C1964">
            <v>0</v>
          </cell>
        </row>
        <row r="1965">
          <cell r="C1965">
            <v>0</v>
          </cell>
        </row>
        <row r="1966">
          <cell r="C1966">
            <v>0</v>
          </cell>
        </row>
        <row r="1967">
          <cell r="C1967">
            <v>0</v>
          </cell>
        </row>
        <row r="1968">
          <cell r="C1968">
            <v>0</v>
          </cell>
        </row>
        <row r="1969">
          <cell r="C1969">
            <v>0</v>
          </cell>
        </row>
        <row r="1970">
          <cell r="C1970">
            <v>0</v>
          </cell>
        </row>
        <row r="1971">
          <cell r="C1971">
            <v>0</v>
          </cell>
        </row>
        <row r="1972">
          <cell r="C1972">
            <v>0</v>
          </cell>
        </row>
        <row r="1973">
          <cell r="C1973">
            <v>0</v>
          </cell>
        </row>
        <row r="1974">
          <cell r="C1974">
            <v>0</v>
          </cell>
        </row>
        <row r="1975">
          <cell r="C1975">
            <v>0</v>
          </cell>
        </row>
        <row r="1976">
          <cell r="C1976">
            <v>0</v>
          </cell>
        </row>
        <row r="1977">
          <cell r="C1977">
            <v>0</v>
          </cell>
        </row>
        <row r="1978">
          <cell r="C1978">
            <v>0</v>
          </cell>
        </row>
        <row r="1979">
          <cell r="C1979">
            <v>0</v>
          </cell>
        </row>
        <row r="1980">
          <cell r="C1980">
            <v>0</v>
          </cell>
        </row>
        <row r="1981">
          <cell r="C1981">
            <v>0</v>
          </cell>
        </row>
        <row r="1982">
          <cell r="C1982">
            <v>0</v>
          </cell>
        </row>
        <row r="1983">
          <cell r="C1983">
            <v>0</v>
          </cell>
        </row>
        <row r="1984">
          <cell r="C1984">
            <v>0</v>
          </cell>
        </row>
        <row r="1985">
          <cell r="C1985">
            <v>0</v>
          </cell>
        </row>
        <row r="1986">
          <cell r="C1986">
            <v>0</v>
          </cell>
        </row>
        <row r="1987">
          <cell r="C1987">
            <v>0</v>
          </cell>
        </row>
        <row r="1988">
          <cell r="C1988">
            <v>0</v>
          </cell>
        </row>
        <row r="1989">
          <cell r="C1989">
            <v>0</v>
          </cell>
        </row>
        <row r="1990">
          <cell r="C1990">
            <v>0</v>
          </cell>
        </row>
        <row r="1991">
          <cell r="C1991">
            <v>0</v>
          </cell>
        </row>
        <row r="1992">
          <cell r="C1992">
            <v>0</v>
          </cell>
        </row>
        <row r="1993">
          <cell r="C1993">
            <v>0</v>
          </cell>
        </row>
        <row r="1994">
          <cell r="C1994">
            <v>0</v>
          </cell>
        </row>
        <row r="1995">
          <cell r="C1995">
            <v>0</v>
          </cell>
        </row>
        <row r="1996">
          <cell r="C1996">
            <v>0</v>
          </cell>
        </row>
        <row r="1997">
          <cell r="C1997">
            <v>0</v>
          </cell>
        </row>
        <row r="1998">
          <cell r="C1998">
            <v>0</v>
          </cell>
        </row>
        <row r="1999">
          <cell r="C1999">
            <v>0</v>
          </cell>
        </row>
        <row r="2000">
          <cell r="C2000">
            <v>0</v>
          </cell>
        </row>
        <row r="2001">
          <cell r="C2001">
            <v>0</v>
          </cell>
        </row>
        <row r="2002">
          <cell r="C2002">
            <v>0</v>
          </cell>
        </row>
        <row r="2003">
          <cell r="C2003">
            <v>0</v>
          </cell>
        </row>
        <row r="2004">
          <cell r="C2004">
            <v>0</v>
          </cell>
        </row>
        <row r="2005">
          <cell r="C2005">
            <v>0</v>
          </cell>
        </row>
        <row r="2006">
          <cell r="C2006">
            <v>0</v>
          </cell>
        </row>
        <row r="2007">
          <cell r="C2007">
            <v>0</v>
          </cell>
        </row>
        <row r="2008">
          <cell r="C2008">
            <v>0</v>
          </cell>
        </row>
        <row r="2009">
          <cell r="C2009">
            <v>0</v>
          </cell>
        </row>
        <row r="2010">
          <cell r="C2010">
            <v>0</v>
          </cell>
        </row>
        <row r="2011">
          <cell r="C2011">
            <v>0</v>
          </cell>
        </row>
        <row r="2012">
          <cell r="C2012">
            <v>0</v>
          </cell>
        </row>
        <row r="2013">
          <cell r="C2013">
            <v>0</v>
          </cell>
        </row>
        <row r="2014">
          <cell r="C2014">
            <v>0</v>
          </cell>
        </row>
        <row r="2015">
          <cell r="C2015">
            <v>0</v>
          </cell>
        </row>
        <row r="2016">
          <cell r="C2016">
            <v>0</v>
          </cell>
        </row>
        <row r="2017">
          <cell r="C2017">
            <v>0</v>
          </cell>
        </row>
        <row r="2018">
          <cell r="C2018">
            <v>0</v>
          </cell>
        </row>
        <row r="2019">
          <cell r="C2019">
            <v>0</v>
          </cell>
        </row>
        <row r="2020">
          <cell r="C2020">
            <v>0</v>
          </cell>
        </row>
        <row r="2021">
          <cell r="C2021">
            <v>0</v>
          </cell>
        </row>
        <row r="2022">
          <cell r="C2022">
            <v>0</v>
          </cell>
        </row>
        <row r="2023">
          <cell r="C2023">
            <v>0</v>
          </cell>
        </row>
        <row r="2024">
          <cell r="C2024">
            <v>0</v>
          </cell>
        </row>
        <row r="2025">
          <cell r="C2025">
            <v>0</v>
          </cell>
        </row>
        <row r="2026">
          <cell r="C2026">
            <v>0</v>
          </cell>
        </row>
        <row r="2027">
          <cell r="C2027">
            <v>0</v>
          </cell>
        </row>
        <row r="2028">
          <cell r="C2028">
            <v>0</v>
          </cell>
        </row>
        <row r="2029">
          <cell r="C2029">
            <v>0</v>
          </cell>
        </row>
        <row r="2030">
          <cell r="C2030">
            <v>0</v>
          </cell>
        </row>
        <row r="2031">
          <cell r="C2031">
            <v>0</v>
          </cell>
        </row>
        <row r="2032">
          <cell r="C2032">
            <v>0</v>
          </cell>
        </row>
        <row r="2033">
          <cell r="C2033">
            <v>0</v>
          </cell>
        </row>
        <row r="2034">
          <cell r="C2034">
            <v>0</v>
          </cell>
        </row>
        <row r="2035">
          <cell r="C2035">
            <v>0</v>
          </cell>
        </row>
        <row r="2036">
          <cell r="C2036">
            <v>0</v>
          </cell>
        </row>
        <row r="2037">
          <cell r="C2037">
            <v>0</v>
          </cell>
        </row>
        <row r="2038">
          <cell r="C2038">
            <v>0</v>
          </cell>
        </row>
        <row r="2039">
          <cell r="C2039">
            <v>0</v>
          </cell>
        </row>
        <row r="2040">
          <cell r="C2040">
            <v>0</v>
          </cell>
        </row>
        <row r="2041">
          <cell r="C2041">
            <v>0</v>
          </cell>
        </row>
        <row r="2042">
          <cell r="C2042">
            <v>0</v>
          </cell>
        </row>
        <row r="2043">
          <cell r="C2043">
            <v>0</v>
          </cell>
        </row>
        <row r="2044">
          <cell r="C2044">
            <v>0</v>
          </cell>
        </row>
        <row r="2045">
          <cell r="C2045">
            <v>0</v>
          </cell>
        </row>
        <row r="2046">
          <cell r="C2046">
            <v>0</v>
          </cell>
        </row>
        <row r="2047">
          <cell r="C2047">
            <v>0</v>
          </cell>
        </row>
        <row r="2048">
          <cell r="C2048">
            <v>0</v>
          </cell>
        </row>
        <row r="2049">
          <cell r="C2049">
            <v>0</v>
          </cell>
        </row>
        <row r="2050">
          <cell r="C2050">
            <v>0</v>
          </cell>
        </row>
        <row r="2051">
          <cell r="C2051">
            <v>0</v>
          </cell>
        </row>
        <row r="2052">
          <cell r="C2052">
            <v>0</v>
          </cell>
        </row>
        <row r="2053">
          <cell r="C2053">
            <v>0</v>
          </cell>
        </row>
        <row r="2054">
          <cell r="C2054">
            <v>0</v>
          </cell>
        </row>
        <row r="2055">
          <cell r="C2055">
            <v>0</v>
          </cell>
        </row>
        <row r="2056">
          <cell r="C2056">
            <v>0</v>
          </cell>
        </row>
        <row r="2057">
          <cell r="C2057">
            <v>0</v>
          </cell>
        </row>
        <row r="2058">
          <cell r="C2058">
            <v>0</v>
          </cell>
        </row>
        <row r="2059">
          <cell r="C2059">
            <v>0</v>
          </cell>
        </row>
        <row r="2060">
          <cell r="C2060">
            <v>0</v>
          </cell>
        </row>
        <row r="2061">
          <cell r="C2061">
            <v>0</v>
          </cell>
        </row>
        <row r="2062">
          <cell r="C2062">
            <v>0</v>
          </cell>
        </row>
        <row r="2063">
          <cell r="C2063">
            <v>0</v>
          </cell>
        </row>
        <row r="2064">
          <cell r="C2064">
            <v>0</v>
          </cell>
        </row>
        <row r="2065">
          <cell r="C2065">
            <v>0</v>
          </cell>
        </row>
        <row r="2066">
          <cell r="C2066">
            <v>0</v>
          </cell>
        </row>
        <row r="2067">
          <cell r="C2067">
            <v>0</v>
          </cell>
        </row>
        <row r="2068">
          <cell r="C2068">
            <v>0</v>
          </cell>
        </row>
        <row r="2069">
          <cell r="C2069">
            <v>0</v>
          </cell>
        </row>
        <row r="2070">
          <cell r="C2070">
            <v>0</v>
          </cell>
        </row>
        <row r="2071">
          <cell r="C2071">
            <v>0</v>
          </cell>
        </row>
        <row r="2072">
          <cell r="C2072">
            <v>0</v>
          </cell>
        </row>
        <row r="2073">
          <cell r="C2073">
            <v>0</v>
          </cell>
        </row>
        <row r="2074">
          <cell r="C2074">
            <v>0</v>
          </cell>
        </row>
        <row r="2075">
          <cell r="C2075">
            <v>0</v>
          </cell>
        </row>
        <row r="2076">
          <cell r="C2076">
            <v>0</v>
          </cell>
        </row>
        <row r="2077">
          <cell r="C2077">
            <v>0</v>
          </cell>
        </row>
        <row r="2078">
          <cell r="C2078">
            <v>0</v>
          </cell>
        </row>
        <row r="2079">
          <cell r="C2079">
            <v>0</v>
          </cell>
        </row>
        <row r="2080">
          <cell r="C2080">
            <v>0</v>
          </cell>
        </row>
        <row r="2081">
          <cell r="C2081">
            <v>0</v>
          </cell>
        </row>
        <row r="2082">
          <cell r="C2082">
            <v>0</v>
          </cell>
        </row>
        <row r="2083">
          <cell r="C2083">
            <v>0</v>
          </cell>
        </row>
        <row r="2084">
          <cell r="C2084">
            <v>0</v>
          </cell>
        </row>
        <row r="2085">
          <cell r="C2085">
            <v>0</v>
          </cell>
        </row>
        <row r="2086">
          <cell r="C2086">
            <v>0</v>
          </cell>
        </row>
        <row r="2087">
          <cell r="C2087">
            <v>0</v>
          </cell>
        </row>
        <row r="2088">
          <cell r="C2088">
            <v>0</v>
          </cell>
        </row>
        <row r="2089">
          <cell r="C2089">
            <v>0</v>
          </cell>
        </row>
        <row r="2090">
          <cell r="C2090">
            <v>0</v>
          </cell>
        </row>
        <row r="2091">
          <cell r="C2091">
            <v>0</v>
          </cell>
        </row>
        <row r="2092">
          <cell r="C2092">
            <v>0</v>
          </cell>
        </row>
        <row r="2093">
          <cell r="C2093">
            <v>0</v>
          </cell>
        </row>
        <row r="2094">
          <cell r="C2094">
            <v>0</v>
          </cell>
        </row>
        <row r="2095">
          <cell r="C2095">
            <v>0</v>
          </cell>
        </row>
        <row r="2096">
          <cell r="C2096">
            <v>0</v>
          </cell>
        </row>
        <row r="2097">
          <cell r="C2097">
            <v>0</v>
          </cell>
        </row>
        <row r="2098">
          <cell r="C2098">
            <v>0</v>
          </cell>
        </row>
        <row r="2099">
          <cell r="C2099">
            <v>0</v>
          </cell>
        </row>
        <row r="2100">
          <cell r="C2100">
            <v>0</v>
          </cell>
        </row>
        <row r="2101">
          <cell r="C2101">
            <v>0</v>
          </cell>
        </row>
        <row r="2102">
          <cell r="C2102">
            <v>0</v>
          </cell>
        </row>
        <row r="2103">
          <cell r="C2103">
            <v>0</v>
          </cell>
        </row>
        <row r="2104">
          <cell r="C2104">
            <v>0</v>
          </cell>
        </row>
        <row r="2105">
          <cell r="C2105">
            <v>0</v>
          </cell>
        </row>
        <row r="2106">
          <cell r="C2106">
            <v>0</v>
          </cell>
        </row>
        <row r="2107">
          <cell r="C2107">
            <v>0</v>
          </cell>
        </row>
        <row r="2108">
          <cell r="C2108">
            <v>0</v>
          </cell>
        </row>
        <row r="2109">
          <cell r="C2109">
            <v>0</v>
          </cell>
        </row>
        <row r="2110">
          <cell r="C2110">
            <v>0</v>
          </cell>
        </row>
        <row r="2111">
          <cell r="C2111">
            <v>0</v>
          </cell>
        </row>
        <row r="2112">
          <cell r="C2112">
            <v>0</v>
          </cell>
        </row>
        <row r="2113">
          <cell r="C2113">
            <v>0</v>
          </cell>
        </row>
        <row r="2114">
          <cell r="C2114">
            <v>0</v>
          </cell>
        </row>
        <row r="2115">
          <cell r="C2115">
            <v>0</v>
          </cell>
        </row>
        <row r="2116">
          <cell r="C2116">
            <v>0</v>
          </cell>
        </row>
        <row r="2117">
          <cell r="C2117">
            <v>0</v>
          </cell>
        </row>
        <row r="2118">
          <cell r="C2118">
            <v>0</v>
          </cell>
        </row>
        <row r="2119">
          <cell r="C2119">
            <v>0</v>
          </cell>
        </row>
        <row r="2120">
          <cell r="C2120">
            <v>0</v>
          </cell>
        </row>
        <row r="2121">
          <cell r="C2121">
            <v>0</v>
          </cell>
        </row>
        <row r="2122">
          <cell r="C2122">
            <v>0</v>
          </cell>
        </row>
        <row r="2123">
          <cell r="C2123">
            <v>0</v>
          </cell>
        </row>
        <row r="2124">
          <cell r="C2124">
            <v>0</v>
          </cell>
        </row>
        <row r="2125">
          <cell r="C2125">
            <v>0</v>
          </cell>
        </row>
        <row r="2126">
          <cell r="C2126">
            <v>0</v>
          </cell>
        </row>
        <row r="2127">
          <cell r="C2127">
            <v>0</v>
          </cell>
        </row>
        <row r="2128">
          <cell r="C2128">
            <v>0</v>
          </cell>
        </row>
        <row r="2129">
          <cell r="C2129">
            <v>0</v>
          </cell>
        </row>
        <row r="2130">
          <cell r="C2130">
            <v>0</v>
          </cell>
        </row>
        <row r="2131">
          <cell r="C2131">
            <v>0</v>
          </cell>
        </row>
        <row r="2132">
          <cell r="C2132">
            <v>0</v>
          </cell>
        </row>
        <row r="2133">
          <cell r="C2133">
            <v>0</v>
          </cell>
        </row>
        <row r="2134">
          <cell r="C2134">
            <v>0</v>
          </cell>
        </row>
        <row r="2135">
          <cell r="C2135">
            <v>0</v>
          </cell>
        </row>
        <row r="2136">
          <cell r="C2136">
            <v>0</v>
          </cell>
        </row>
        <row r="2137">
          <cell r="C2137">
            <v>0</v>
          </cell>
        </row>
        <row r="2138">
          <cell r="C2138">
            <v>0</v>
          </cell>
        </row>
        <row r="2139">
          <cell r="C2139">
            <v>0</v>
          </cell>
        </row>
        <row r="2140">
          <cell r="C2140">
            <v>0</v>
          </cell>
        </row>
        <row r="2141">
          <cell r="C2141">
            <v>0</v>
          </cell>
        </row>
        <row r="2142">
          <cell r="C2142">
            <v>0</v>
          </cell>
        </row>
        <row r="2143">
          <cell r="C2143">
            <v>0</v>
          </cell>
        </row>
        <row r="2144">
          <cell r="C2144">
            <v>0</v>
          </cell>
        </row>
        <row r="2145">
          <cell r="C2145">
            <v>0</v>
          </cell>
        </row>
        <row r="2146">
          <cell r="C2146">
            <v>0</v>
          </cell>
        </row>
        <row r="2147">
          <cell r="C2147">
            <v>0</v>
          </cell>
        </row>
        <row r="2148">
          <cell r="C2148">
            <v>0</v>
          </cell>
        </row>
        <row r="2149">
          <cell r="C2149">
            <v>0</v>
          </cell>
        </row>
        <row r="2150">
          <cell r="C2150">
            <v>0</v>
          </cell>
        </row>
        <row r="2151">
          <cell r="C2151">
            <v>0</v>
          </cell>
        </row>
        <row r="2152">
          <cell r="C2152">
            <v>0</v>
          </cell>
        </row>
        <row r="2153">
          <cell r="C2153">
            <v>0</v>
          </cell>
        </row>
        <row r="2154">
          <cell r="C2154">
            <v>0</v>
          </cell>
        </row>
        <row r="2155">
          <cell r="C2155">
            <v>0</v>
          </cell>
        </row>
        <row r="2156">
          <cell r="C2156">
            <v>0</v>
          </cell>
        </row>
        <row r="2157">
          <cell r="C2157">
            <v>0</v>
          </cell>
        </row>
        <row r="2158">
          <cell r="C2158">
            <v>0</v>
          </cell>
        </row>
        <row r="2159">
          <cell r="C2159">
            <v>0</v>
          </cell>
        </row>
        <row r="2160">
          <cell r="C2160">
            <v>0</v>
          </cell>
        </row>
        <row r="2161">
          <cell r="C2161">
            <v>0</v>
          </cell>
        </row>
        <row r="2162">
          <cell r="C2162">
            <v>0</v>
          </cell>
        </row>
        <row r="2163">
          <cell r="C2163">
            <v>0</v>
          </cell>
        </row>
        <row r="2164">
          <cell r="C2164">
            <v>0</v>
          </cell>
        </row>
        <row r="2165">
          <cell r="C2165">
            <v>0</v>
          </cell>
        </row>
        <row r="2166">
          <cell r="C2166">
            <v>0</v>
          </cell>
        </row>
        <row r="2167">
          <cell r="C2167">
            <v>0</v>
          </cell>
        </row>
        <row r="2168">
          <cell r="C2168">
            <v>0</v>
          </cell>
        </row>
        <row r="2169">
          <cell r="C2169">
            <v>0</v>
          </cell>
        </row>
        <row r="2170">
          <cell r="C2170">
            <v>0</v>
          </cell>
        </row>
        <row r="2171">
          <cell r="C2171">
            <v>0</v>
          </cell>
        </row>
        <row r="2172">
          <cell r="C2172">
            <v>0</v>
          </cell>
        </row>
        <row r="2173">
          <cell r="C2173">
            <v>0</v>
          </cell>
        </row>
        <row r="2174">
          <cell r="C2174">
            <v>0</v>
          </cell>
        </row>
        <row r="2175">
          <cell r="C2175">
            <v>0</v>
          </cell>
        </row>
        <row r="2176">
          <cell r="C2176">
            <v>0</v>
          </cell>
        </row>
        <row r="2177">
          <cell r="C2177">
            <v>0</v>
          </cell>
        </row>
        <row r="2178">
          <cell r="C2178">
            <v>0</v>
          </cell>
        </row>
        <row r="2179">
          <cell r="C2179">
            <v>0</v>
          </cell>
        </row>
        <row r="2180">
          <cell r="C2180">
            <v>0</v>
          </cell>
        </row>
        <row r="2181">
          <cell r="C2181">
            <v>0</v>
          </cell>
        </row>
        <row r="2182">
          <cell r="C2182">
            <v>0</v>
          </cell>
        </row>
        <row r="2183">
          <cell r="C2183">
            <v>0</v>
          </cell>
        </row>
        <row r="2184">
          <cell r="C2184">
            <v>0</v>
          </cell>
        </row>
        <row r="2185">
          <cell r="C2185">
            <v>0</v>
          </cell>
        </row>
        <row r="2186">
          <cell r="C2186">
            <v>0</v>
          </cell>
        </row>
        <row r="2187">
          <cell r="C2187">
            <v>0</v>
          </cell>
        </row>
        <row r="2188">
          <cell r="C2188">
            <v>0</v>
          </cell>
        </row>
        <row r="2189">
          <cell r="C2189">
            <v>0</v>
          </cell>
        </row>
        <row r="2190">
          <cell r="C2190">
            <v>0</v>
          </cell>
        </row>
        <row r="2191">
          <cell r="C2191">
            <v>0</v>
          </cell>
        </row>
        <row r="2192">
          <cell r="C2192">
            <v>0</v>
          </cell>
        </row>
        <row r="2193">
          <cell r="C2193">
            <v>0</v>
          </cell>
        </row>
        <row r="2194">
          <cell r="C2194">
            <v>0</v>
          </cell>
        </row>
        <row r="2195">
          <cell r="C2195">
            <v>0</v>
          </cell>
        </row>
        <row r="2196">
          <cell r="C2196">
            <v>0</v>
          </cell>
        </row>
        <row r="2197">
          <cell r="C2197">
            <v>0</v>
          </cell>
        </row>
        <row r="2198">
          <cell r="C2198">
            <v>0</v>
          </cell>
        </row>
        <row r="2199">
          <cell r="C2199">
            <v>0</v>
          </cell>
        </row>
        <row r="2200">
          <cell r="C2200">
            <v>0</v>
          </cell>
        </row>
        <row r="2201">
          <cell r="C2201">
            <v>0</v>
          </cell>
        </row>
        <row r="2202">
          <cell r="C2202">
            <v>0</v>
          </cell>
        </row>
        <row r="2203">
          <cell r="C2203">
            <v>0</v>
          </cell>
        </row>
        <row r="2204">
          <cell r="C2204">
            <v>0</v>
          </cell>
        </row>
        <row r="2205">
          <cell r="C2205">
            <v>0</v>
          </cell>
        </row>
        <row r="2206">
          <cell r="C2206">
            <v>0</v>
          </cell>
        </row>
        <row r="2207">
          <cell r="C2207">
            <v>0</v>
          </cell>
        </row>
        <row r="2208">
          <cell r="C2208">
            <v>0</v>
          </cell>
        </row>
        <row r="2209">
          <cell r="C2209">
            <v>0</v>
          </cell>
        </row>
        <row r="2210">
          <cell r="C2210">
            <v>0</v>
          </cell>
        </row>
        <row r="2211">
          <cell r="C2211">
            <v>0</v>
          </cell>
        </row>
        <row r="2212">
          <cell r="C2212">
            <v>0</v>
          </cell>
        </row>
        <row r="2213">
          <cell r="C2213">
            <v>0</v>
          </cell>
        </row>
        <row r="2214">
          <cell r="C2214">
            <v>0</v>
          </cell>
        </row>
        <row r="2215">
          <cell r="C2215">
            <v>0</v>
          </cell>
        </row>
        <row r="2216">
          <cell r="C2216">
            <v>0</v>
          </cell>
        </row>
        <row r="2217">
          <cell r="C2217">
            <v>0</v>
          </cell>
        </row>
        <row r="2218">
          <cell r="C2218">
            <v>0</v>
          </cell>
        </row>
        <row r="2219">
          <cell r="C2219">
            <v>0</v>
          </cell>
        </row>
        <row r="2220">
          <cell r="C2220">
            <v>0</v>
          </cell>
        </row>
        <row r="2221">
          <cell r="C2221">
            <v>0</v>
          </cell>
        </row>
        <row r="2222">
          <cell r="C2222">
            <v>0</v>
          </cell>
        </row>
        <row r="2223">
          <cell r="C2223">
            <v>0</v>
          </cell>
        </row>
        <row r="2224">
          <cell r="C2224">
            <v>0</v>
          </cell>
        </row>
        <row r="2225">
          <cell r="C2225">
            <v>0</v>
          </cell>
        </row>
        <row r="2226">
          <cell r="C2226">
            <v>0</v>
          </cell>
        </row>
        <row r="2227">
          <cell r="C2227">
            <v>0</v>
          </cell>
        </row>
        <row r="2228">
          <cell r="C2228">
            <v>0</v>
          </cell>
        </row>
        <row r="2229">
          <cell r="C2229">
            <v>0</v>
          </cell>
        </row>
        <row r="2230">
          <cell r="C2230">
            <v>0</v>
          </cell>
        </row>
        <row r="2231">
          <cell r="C2231">
            <v>0</v>
          </cell>
        </row>
        <row r="2232">
          <cell r="C2232">
            <v>0</v>
          </cell>
        </row>
        <row r="2233">
          <cell r="C2233">
            <v>0</v>
          </cell>
        </row>
        <row r="2234">
          <cell r="C2234">
            <v>0</v>
          </cell>
        </row>
        <row r="2235">
          <cell r="C2235">
            <v>0</v>
          </cell>
        </row>
        <row r="2236">
          <cell r="C2236">
            <v>0</v>
          </cell>
        </row>
        <row r="2237">
          <cell r="C2237">
            <v>0</v>
          </cell>
        </row>
        <row r="2238">
          <cell r="C2238">
            <v>0</v>
          </cell>
        </row>
        <row r="2239">
          <cell r="C2239">
            <v>0</v>
          </cell>
        </row>
        <row r="2240">
          <cell r="C2240">
            <v>0</v>
          </cell>
        </row>
        <row r="2241">
          <cell r="C2241">
            <v>0</v>
          </cell>
        </row>
        <row r="2242">
          <cell r="C2242">
            <v>0</v>
          </cell>
        </row>
        <row r="2243">
          <cell r="C2243">
            <v>0</v>
          </cell>
        </row>
        <row r="2244">
          <cell r="C2244">
            <v>0</v>
          </cell>
        </row>
        <row r="2245">
          <cell r="C2245">
            <v>0</v>
          </cell>
        </row>
        <row r="2246">
          <cell r="C2246">
            <v>0</v>
          </cell>
        </row>
        <row r="2247">
          <cell r="C2247">
            <v>0</v>
          </cell>
        </row>
        <row r="2248">
          <cell r="C2248">
            <v>0</v>
          </cell>
        </row>
        <row r="2249">
          <cell r="C2249">
            <v>0</v>
          </cell>
        </row>
        <row r="2250">
          <cell r="C2250">
            <v>0</v>
          </cell>
        </row>
        <row r="2251">
          <cell r="C2251">
            <v>0</v>
          </cell>
        </row>
        <row r="2252">
          <cell r="C2252">
            <v>0</v>
          </cell>
        </row>
        <row r="2253">
          <cell r="C2253">
            <v>0</v>
          </cell>
        </row>
        <row r="2254">
          <cell r="C2254">
            <v>0</v>
          </cell>
        </row>
        <row r="2255">
          <cell r="C2255">
            <v>0</v>
          </cell>
        </row>
        <row r="2256">
          <cell r="C2256">
            <v>0</v>
          </cell>
        </row>
        <row r="2257">
          <cell r="C2257">
            <v>0</v>
          </cell>
        </row>
        <row r="2258">
          <cell r="C2258">
            <v>0</v>
          </cell>
        </row>
        <row r="2259">
          <cell r="C2259">
            <v>0</v>
          </cell>
        </row>
        <row r="2260">
          <cell r="C2260">
            <v>0</v>
          </cell>
        </row>
        <row r="2261">
          <cell r="C2261">
            <v>0</v>
          </cell>
        </row>
        <row r="2262">
          <cell r="C2262">
            <v>0</v>
          </cell>
        </row>
        <row r="2263">
          <cell r="C2263">
            <v>0</v>
          </cell>
        </row>
        <row r="2264">
          <cell r="C2264">
            <v>0</v>
          </cell>
        </row>
        <row r="2265">
          <cell r="C2265">
            <v>0</v>
          </cell>
        </row>
        <row r="2266">
          <cell r="C2266">
            <v>0</v>
          </cell>
        </row>
        <row r="2267">
          <cell r="C2267">
            <v>0</v>
          </cell>
        </row>
        <row r="2268">
          <cell r="C2268">
            <v>0</v>
          </cell>
        </row>
        <row r="2269">
          <cell r="C2269">
            <v>0</v>
          </cell>
        </row>
        <row r="2270">
          <cell r="C2270">
            <v>0</v>
          </cell>
        </row>
        <row r="2271">
          <cell r="C2271">
            <v>0</v>
          </cell>
        </row>
        <row r="2272">
          <cell r="C2272">
            <v>0</v>
          </cell>
        </row>
        <row r="2273">
          <cell r="C2273">
            <v>0</v>
          </cell>
        </row>
        <row r="2274">
          <cell r="C2274">
            <v>0</v>
          </cell>
        </row>
        <row r="2275">
          <cell r="C2275">
            <v>0</v>
          </cell>
        </row>
        <row r="2276">
          <cell r="C2276">
            <v>0</v>
          </cell>
        </row>
        <row r="2277">
          <cell r="C2277">
            <v>0</v>
          </cell>
        </row>
        <row r="2278">
          <cell r="C2278">
            <v>0</v>
          </cell>
        </row>
        <row r="2279">
          <cell r="C2279">
            <v>0</v>
          </cell>
        </row>
        <row r="2280">
          <cell r="C2280">
            <v>0</v>
          </cell>
        </row>
        <row r="2281">
          <cell r="C2281">
            <v>0</v>
          </cell>
        </row>
        <row r="2282">
          <cell r="C2282">
            <v>0</v>
          </cell>
        </row>
        <row r="2283">
          <cell r="C2283">
            <v>0</v>
          </cell>
        </row>
        <row r="2284">
          <cell r="C2284">
            <v>0</v>
          </cell>
        </row>
        <row r="2285">
          <cell r="C2285">
            <v>0</v>
          </cell>
        </row>
        <row r="2286">
          <cell r="C2286">
            <v>0</v>
          </cell>
        </row>
        <row r="2287">
          <cell r="C2287">
            <v>0</v>
          </cell>
        </row>
        <row r="2288">
          <cell r="C2288">
            <v>0</v>
          </cell>
        </row>
        <row r="2289">
          <cell r="C2289">
            <v>0</v>
          </cell>
        </row>
        <row r="2290">
          <cell r="C2290">
            <v>0</v>
          </cell>
        </row>
        <row r="2291">
          <cell r="C2291">
            <v>0</v>
          </cell>
        </row>
        <row r="2292">
          <cell r="C2292">
            <v>0</v>
          </cell>
        </row>
        <row r="2293">
          <cell r="C2293">
            <v>0</v>
          </cell>
        </row>
        <row r="2294">
          <cell r="C2294">
            <v>0</v>
          </cell>
        </row>
        <row r="2295">
          <cell r="C2295">
            <v>0</v>
          </cell>
        </row>
        <row r="2296">
          <cell r="C2296">
            <v>0</v>
          </cell>
        </row>
        <row r="2297">
          <cell r="C2297">
            <v>0</v>
          </cell>
        </row>
        <row r="2298">
          <cell r="C2298">
            <v>0</v>
          </cell>
        </row>
        <row r="2299">
          <cell r="C2299">
            <v>0</v>
          </cell>
        </row>
        <row r="2300">
          <cell r="C2300">
            <v>0</v>
          </cell>
        </row>
        <row r="2301">
          <cell r="C2301">
            <v>0</v>
          </cell>
        </row>
        <row r="2302">
          <cell r="C2302">
            <v>0</v>
          </cell>
        </row>
        <row r="2303">
          <cell r="C2303">
            <v>0</v>
          </cell>
        </row>
        <row r="2304">
          <cell r="C2304">
            <v>0</v>
          </cell>
        </row>
        <row r="2305">
          <cell r="C2305">
            <v>0</v>
          </cell>
        </row>
        <row r="2306">
          <cell r="C2306">
            <v>0</v>
          </cell>
        </row>
        <row r="2307">
          <cell r="C2307">
            <v>0</v>
          </cell>
        </row>
        <row r="2308">
          <cell r="C2308">
            <v>0</v>
          </cell>
        </row>
        <row r="2309">
          <cell r="C2309">
            <v>0</v>
          </cell>
        </row>
        <row r="2310">
          <cell r="C2310">
            <v>0</v>
          </cell>
        </row>
        <row r="2311">
          <cell r="C2311">
            <v>0</v>
          </cell>
        </row>
        <row r="2312">
          <cell r="C2312">
            <v>0</v>
          </cell>
        </row>
        <row r="2313">
          <cell r="C2313">
            <v>0</v>
          </cell>
        </row>
        <row r="2314">
          <cell r="C2314">
            <v>0</v>
          </cell>
        </row>
        <row r="2315">
          <cell r="C2315">
            <v>0</v>
          </cell>
        </row>
        <row r="2316">
          <cell r="C2316">
            <v>0</v>
          </cell>
        </row>
        <row r="2317">
          <cell r="C2317">
            <v>0</v>
          </cell>
        </row>
        <row r="2318">
          <cell r="C2318">
            <v>0</v>
          </cell>
        </row>
        <row r="2319">
          <cell r="C2319">
            <v>0</v>
          </cell>
        </row>
        <row r="2320">
          <cell r="C2320">
            <v>0</v>
          </cell>
        </row>
        <row r="2321">
          <cell r="C2321">
            <v>0</v>
          </cell>
        </row>
        <row r="2322">
          <cell r="C2322">
            <v>0</v>
          </cell>
        </row>
        <row r="2323">
          <cell r="C2323">
            <v>0</v>
          </cell>
        </row>
        <row r="2324">
          <cell r="C2324">
            <v>0</v>
          </cell>
        </row>
        <row r="2325">
          <cell r="C2325">
            <v>0</v>
          </cell>
        </row>
        <row r="2326">
          <cell r="C2326">
            <v>0</v>
          </cell>
        </row>
        <row r="2327">
          <cell r="C2327">
            <v>0</v>
          </cell>
        </row>
        <row r="2328">
          <cell r="C2328">
            <v>0</v>
          </cell>
        </row>
        <row r="2329">
          <cell r="C2329">
            <v>0</v>
          </cell>
        </row>
        <row r="2330">
          <cell r="C2330">
            <v>0</v>
          </cell>
        </row>
        <row r="2331">
          <cell r="C2331">
            <v>0</v>
          </cell>
        </row>
        <row r="2332">
          <cell r="C2332">
            <v>0</v>
          </cell>
        </row>
        <row r="2333">
          <cell r="C2333">
            <v>0</v>
          </cell>
        </row>
        <row r="2334">
          <cell r="C2334">
            <v>0</v>
          </cell>
        </row>
        <row r="2335">
          <cell r="C2335">
            <v>0</v>
          </cell>
        </row>
        <row r="2336">
          <cell r="C2336">
            <v>0</v>
          </cell>
        </row>
        <row r="2337">
          <cell r="C2337">
            <v>0</v>
          </cell>
        </row>
        <row r="2338">
          <cell r="C2338">
            <v>0</v>
          </cell>
        </row>
        <row r="2339">
          <cell r="C2339">
            <v>0</v>
          </cell>
        </row>
        <row r="2340">
          <cell r="C2340">
            <v>0</v>
          </cell>
        </row>
        <row r="2341">
          <cell r="C2341">
            <v>0</v>
          </cell>
        </row>
        <row r="2342">
          <cell r="C2342">
            <v>0</v>
          </cell>
        </row>
        <row r="2343">
          <cell r="C2343">
            <v>0</v>
          </cell>
        </row>
        <row r="2344">
          <cell r="C2344">
            <v>0</v>
          </cell>
        </row>
        <row r="2345">
          <cell r="C2345">
            <v>0</v>
          </cell>
        </row>
        <row r="2346">
          <cell r="C2346">
            <v>0</v>
          </cell>
        </row>
        <row r="2347">
          <cell r="C2347">
            <v>0</v>
          </cell>
        </row>
        <row r="2348">
          <cell r="C2348">
            <v>0</v>
          </cell>
        </row>
        <row r="2349">
          <cell r="C2349">
            <v>0</v>
          </cell>
        </row>
        <row r="2350">
          <cell r="C2350">
            <v>0</v>
          </cell>
        </row>
        <row r="2351">
          <cell r="C2351">
            <v>0</v>
          </cell>
        </row>
        <row r="2352">
          <cell r="C2352">
            <v>0</v>
          </cell>
        </row>
        <row r="2353">
          <cell r="C2353">
            <v>0</v>
          </cell>
        </row>
        <row r="2354">
          <cell r="C2354">
            <v>0</v>
          </cell>
        </row>
        <row r="2355">
          <cell r="C2355">
            <v>0</v>
          </cell>
        </row>
        <row r="2356">
          <cell r="C2356">
            <v>0</v>
          </cell>
        </row>
        <row r="2357">
          <cell r="C2357">
            <v>0</v>
          </cell>
        </row>
        <row r="2358">
          <cell r="C2358">
            <v>0</v>
          </cell>
        </row>
        <row r="2359">
          <cell r="C2359">
            <v>0</v>
          </cell>
        </row>
        <row r="2360">
          <cell r="C2360">
            <v>0</v>
          </cell>
        </row>
        <row r="2361">
          <cell r="C2361">
            <v>0</v>
          </cell>
        </row>
        <row r="2362">
          <cell r="C2362">
            <v>0</v>
          </cell>
        </row>
        <row r="2363">
          <cell r="C2363">
            <v>0</v>
          </cell>
        </row>
        <row r="2364">
          <cell r="C2364">
            <v>0</v>
          </cell>
        </row>
        <row r="2365">
          <cell r="C2365">
            <v>0</v>
          </cell>
        </row>
        <row r="2366">
          <cell r="C2366">
            <v>0</v>
          </cell>
        </row>
        <row r="2367">
          <cell r="C2367">
            <v>0</v>
          </cell>
        </row>
        <row r="2368">
          <cell r="C2368">
            <v>0</v>
          </cell>
        </row>
        <row r="2369">
          <cell r="C2369">
            <v>0</v>
          </cell>
        </row>
        <row r="2370">
          <cell r="C2370">
            <v>0</v>
          </cell>
        </row>
        <row r="2371">
          <cell r="C2371">
            <v>0</v>
          </cell>
        </row>
        <row r="2372">
          <cell r="C2372">
            <v>0</v>
          </cell>
        </row>
        <row r="2373">
          <cell r="C2373">
            <v>0</v>
          </cell>
        </row>
        <row r="2374">
          <cell r="C2374">
            <v>0</v>
          </cell>
        </row>
        <row r="2375">
          <cell r="C2375">
            <v>0</v>
          </cell>
        </row>
        <row r="2376">
          <cell r="C2376">
            <v>0</v>
          </cell>
        </row>
        <row r="2377">
          <cell r="C2377">
            <v>0</v>
          </cell>
        </row>
        <row r="2378">
          <cell r="C2378">
            <v>0</v>
          </cell>
        </row>
        <row r="2379">
          <cell r="C2379">
            <v>0</v>
          </cell>
        </row>
        <row r="2380">
          <cell r="C2380">
            <v>0</v>
          </cell>
        </row>
        <row r="2381">
          <cell r="C2381">
            <v>0</v>
          </cell>
        </row>
        <row r="2382">
          <cell r="C2382">
            <v>0</v>
          </cell>
        </row>
        <row r="2383">
          <cell r="C2383">
            <v>0</v>
          </cell>
        </row>
        <row r="2384">
          <cell r="C2384">
            <v>0</v>
          </cell>
        </row>
        <row r="2385">
          <cell r="C2385">
            <v>0</v>
          </cell>
        </row>
        <row r="2386">
          <cell r="C2386">
            <v>0</v>
          </cell>
        </row>
        <row r="2387">
          <cell r="C2387">
            <v>0</v>
          </cell>
        </row>
        <row r="2388">
          <cell r="C2388">
            <v>0</v>
          </cell>
        </row>
        <row r="2389">
          <cell r="C2389">
            <v>0</v>
          </cell>
        </row>
        <row r="2390">
          <cell r="C2390">
            <v>0</v>
          </cell>
        </row>
        <row r="2391">
          <cell r="C2391">
            <v>0</v>
          </cell>
        </row>
        <row r="2392">
          <cell r="C2392">
            <v>0</v>
          </cell>
        </row>
        <row r="2393">
          <cell r="C2393">
            <v>0</v>
          </cell>
        </row>
        <row r="2394">
          <cell r="C2394">
            <v>0</v>
          </cell>
        </row>
        <row r="2395">
          <cell r="C2395">
            <v>0</v>
          </cell>
        </row>
        <row r="2396">
          <cell r="C2396">
            <v>0</v>
          </cell>
        </row>
        <row r="2397">
          <cell r="C2397">
            <v>0</v>
          </cell>
        </row>
        <row r="2398">
          <cell r="C2398">
            <v>0</v>
          </cell>
        </row>
        <row r="2399">
          <cell r="C2399">
            <v>0</v>
          </cell>
        </row>
        <row r="2400">
          <cell r="C2400">
            <v>0</v>
          </cell>
        </row>
        <row r="2401">
          <cell r="C2401">
            <v>0</v>
          </cell>
        </row>
        <row r="2402">
          <cell r="C2402">
            <v>0</v>
          </cell>
        </row>
        <row r="2403">
          <cell r="C2403">
            <v>0</v>
          </cell>
        </row>
        <row r="2404">
          <cell r="C2404">
            <v>0</v>
          </cell>
        </row>
        <row r="2405">
          <cell r="C2405">
            <v>0</v>
          </cell>
        </row>
        <row r="2406">
          <cell r="C2406">
            <v>0</v>
          </cell>
        </row>
        <row r="2407">
          <cell r="C2407">
            <v>0</v>
          </cell>
        </row>
        <row r="2408">
          <cell r="C2408">
            <v>0</v>
          </cell>
        </row>
        <row r="2409">
          <cell r="C2409">
            <v>0</v>
          </cell>
        </row>
        <row r="2410">
          <cell r="C2410">
            <v>0</v>
          </cell>
        </row>
        <row r="2411">
          <cell r="C2411">
            <v>0</v>
          </cell>
        </row>
        <row r="2412">
          <cell r="C2412">
            <v>0</v>
          </cell>
        </row>
        <row r="2413">
          <cell r="C2413">
            <v>0</v>
          </cell>
        </row>
        <row r="2414">
          <cell r="C2414">
            <v>0</v>
          </cell>
        </row>
        <row r="2415">
          <cell r="C2415">
            <v>0</v>
          </cell>
        </row>
        <row r="2416">
          <cell r="C2416">
            <v>0</v>
          </cell>
        </row>
        <row r="2417">
          <cell r="C2417">
            <v>0</v>
          </cell>
        </row>
        <row r="2418">
          <cell r="C2418">
            <v>0</v>
          </cell>
        </row>
        <row r="2419">
          <cell r="C2419">
            <v>0</v>
          </cell>
        </row>
        <row r="2420">
          <cell r="C2420">
            <v>0</v>
          </cell>
        </row>
        <row r="2421">
          <cell r="C2421">
            <v>0</v>
          </cell>
        </row>
        <row r="2422">
          <cell r="C2422">
            <v>0</v>
          </cell>
        </row>
        <row r="2423">
          <cell r="C2423">
            <v>0</v>
          </cell>
        </row>
        <row r="2424">
          <cell r="C2424">
            <v>0</v>
          </cell>
        </row>
        <row r="2425">
          <cell r="C2425">
            <v>0</v>
          </cell>
        </row>
        <row r="2426">
          <cell r="C2426">
            <v>0</v>
          </cell>
        </row>
        <row r="2427">
          <cell r="C2427">
            <v>0</v>
          </cell>
        </row>
        <row r="2428">
          <cell r="C2428">
            <v>0</v>
          </cell>
        </row>
        <row r="2429">
          <cell r="C2429">
            <v>0</v>
          </cell>
        </row>
        <row r="2430">
          <cell r="C2430">
            <v>0</v>
          </cell>
        </row>
        <row r="2431">
          <cell r="C2431">
            <v>0</v>
          </cell>
        </row>
        <row r="2432">
          <cell r="C2432">
            <v>0</v>
          </cell>
        </row>
        <row r="2433">
          <cell r="C2433">
            <v>0</v>
          </cell>
        </row>
        <row r="2434">
          <cell r="C2434">
            <v>0</v>
          </cell>
        </row>
        <row r="2435">
          <cell r="C2435">
            <v>0</v>
          </cell>
        </row>
        <row r="2436">
          <cell r="C2436">
            <v>0</v>
          </cell>
        </row>
        <row r="2437">
          <cell r="C2437">
            <v>0</v>
          </cell>
        </row>
        <row r="2438">
          <cell r="C2438">
            <v>0</v>
          </cell>
        </row>
        <row r="2439">
          <cell r="C2439">
            <v>0</v>
          </cell>
        </row>
        <row r="2440">
          <cell r="C2440">
            <v>0</v>
          </cell>
        </row>
        <row r="2441">
          <cell r="C2441">
            <v>0</v>
          </cell>
        </row>
        <row r="2442">
          <cell r="C2442">
            <v>0</v>
          </cell>
        </row>
        <row r="2443">
          <cell r="C2443">
            <v>0</v>
          </cell>
        </row>
        <row r="2444">
          <cell r="C2444">
            <v>0</v>
          </cell>
        </row>
        <row r="2445">
          <cell r="C2445">
            <v>0</v>
          </cell>
        </row>
        <row r="2446">
          <cell r="C2446">
            <v>0</v>
          </cell>
        </row>
        <row r="2447">
          <cell r="C2447">
            <v>0</v>
          </cell>
        </row>
        <row r="2448">
          <cell r="C2448">
            <v>0</v>
          </cell>
        </row>
        <row r="2449">
          <cell r="C2449">
            <v>0</v>
          </cell>
        </row>
        <row r="2450">
          <cell r="C2450">
            <v>0</v>
          </cell>
        </row>
        <row r="2451">
          <cell r="C2451">
            <v>0</v>
          </cell>
        </row>
        <row r="2452">
          <cell r="C2452">
            <v>0</v>
          </cell>
        </row>
        <row r="2453">
          <cell r="C2453">
            <v>0</v>
          </cell>
        </row>
        <row r="2454">
          <cell r="C2454">
            <v>0</v>
          </cell>
        </row>
        <row r="2455">
          <cell r="C2455">
            <v>0</v>
          </cell>
        </row>
        <row r="2456">
          <cell r="C2456">
            <v>0</v>
          </cell>
        </row>
        <row r="2457">
          <cell r="C2457">
            <v>0</v>
          </cell>
        </row>
        <row r="2458">
          <cell r="C2458">
            <v>0</v>
          </cell>
        </row>
        <row r="2459">
          <cell r="C2459">
            <v>0</v>
          </cell>
        </row>
        <row r="2460">
          <cell r="C2460">
            <v>0</v>
          </cell>
        </row>
        <row r="2461">
          <cell r="C2461">
            <v>0</v>
          </cell>
        </row>
        <row r="2462">
          <cell r="C2462">
            <v>0</v>
          </cell>
        </row>
        <row r="2463">
          <cell r="C2463">
            <v>0</v>
          </cell>
        </row>
        <row r="2464">
          <cell r="C2464">
            <v>0</v>
          </cell>
        </row>
        <row r="2465">
          <cell r="C2465">
            <v>0</v>
          </cell>
        </row>
        <row r="2466">
          <cell r="C2466">
            <v>0</v>
          </cell>
        </row>
        <row r="2467">
          <cell r="C2467">
            <v>0</v>
          </cell>
        </row>
        <row r="2468">
          <cell r="C2468">
            <v>0</v>
          </cell>
        </row>
        <row r="2469">
          <cell r="C2469">
            <v>0</v>
          </cell>
        </row>
        <row r="2470">
          <cell r="C2470">
            <v>0</v>
          </cell>
        </row>
        <row r="2471">
          <cell r="C2471">
            <v>0</v>
          </cell>
        </row>
        <row r="2472">
          <cell r="C2472">
            <v>0</v>
          </cell>
        </row>
        <row r="2473">
          <cell r="C2473">
            <v>0</v>
          </cell>
        </row>
        <row r="2474">
          <cell r="C2474">
            <v>0</v>
          </cell>
        </row>
        <row r="2475">
          <cell r="C2475">
            <v>0</v>
          </cell>
        </row>
        <row r="2476">
          <cell r="C2476">
            <v>0</v>
          </cell>
        </row>
        <row r="2477">
          <cell r="C2477">
            <v>0</v>
          </cell>
        </row>
        <row r="2478">
          <cell r="C2478">
            <v>0</v>
          </cell>
        </row>
        <row r="2479">
          <cell r="C2479">
            <v>0</v>
          </cell>
        </row>
        <row r="2480">
          <cell r="C2480">
            <v>0</v>
          </cell>
        </row>
        <row r="2481">
          <cell r="C2481">
            <v>0</v>
          </cell>
        </row>
        <row r="2482">
          <cell r="C2482">
            <v>0</v>
          </cell>
        </row>
        <row r="2483">
          <cell r="C2483">
            <v>0</v>
          </cell>
        </row>
        <row r="2484">
          <cell r="C2484">
            <v>0</v>
          </cell>
        </row>
        <row r="2485">
          <cell r="C2485">
            <v>0</v>
          </cell>
        </row>
        <row r="2486">
          <cell r="C2486">
            <v>0</v>
          </cell>
        </row>
        <row r="2487">
          <cell r="C2487">
            <v>0</v>
          </cell>
        </row>
        <row r="2488">
          <cell r="C2488">
            <v>0</v>
          </cell>
        </row>
        <row r="2489">
          <cell r="C2489">
            <v>0</v>
          </cell>
        </row>
        <row r="2490">
          <cell r="C2490">
            <v>0</v>
          </cell>
        </row>
        <row r="2491">
          <cell r="C2491">
            <v>0</v>
          </cell>
        </row>
        <row r="2492">
          <cell r="C2492">
            <v>0</v>
          </cell>
        </row>
        <row r="2493">
          <cell r="C2493">
            <v>0</v>
          </cell>
        </row>
        <row r="2494">
          <cell r="C2494">
            <v>0</v>
          </cell>
        </row>
        <row r="2495">
          <cell r="C2495">
            <v>0</v>
          </cell>
        </row>
        <row r="2496">
          <cell r="C2496">
            <v>0</v>
          </cell>
        </row>
        <row r="2497">
          <cell r="C2497">
            <v>0</v>
          </cell>
        </row>
        <row r="2498">
          <cell r="C2498">
            <v>0</v>
          </cell>
        </row>
        <row r="2499">
          <cell r="C2499">
            <v>0</v>
          </cell>
        </row>
        <row r="2500">
          <cell r="C2500">
            <v>0</v>
          </cell>
        </row>
        <row r="2501">
          <cell r="C2501">
            <v>0</v>
          </cell>
        </row>
        <row r="2502">
          <cell r="C2502">
            <v>0</v>
          </cell>
        </row>
        <row r="2503">
          <cell r="C2503">
            <v>0</v>
          </cell>
        </row>
        <row r="2504">
          <cell r="C2504">
            <v>0</v>
          </cell>
        </row>
        <row r="2505">
          <cell r="C2505">
            <v>0</v>
          </cell>
        </row>
        <row r="2506">
          <cell r="C2506">
            <v>0</v>
          </cell>
        </row>
        <row r="2507">
          <cell r="C2507">
            <v>0</v>
          </cell>
        </row>
        <row r="2508">
          <cell r="C2508">
            <v>0</v>
          </cell>
        </row>
        <row r="2509">
          <cell r="C2509">
            <v>0</v>
          </cell>
        </row>
        <row r="2510">
          <cell r="C2510">
            <v>0</v>
          </cell>
        </row>
        <row r="2511">
          <cell r="C2511">
            <v>0</v>
          </cell>
        </row>
        <row r="2512">
          <cell r="C2512">
            <v>0</v>
          </cell>
        </row>
        <row r="2513">
          <cell r="C2513">
            <v>0</v>
          </cell>
        </row>
        <row r="2514">
          <cell r="C2514">
            <v>0</v>
          </cell>
        </row>
        <row r="2515">
          <cell r="C2515">
            <v>0</v>
          </cell>
        </row>
        <row r="2516">
          <cell r="C2516">
            <v>0</v>
          </cell>
        </row>
        <row r="2517">
          <cell r="C2517">
            <v>0</v>
          </cell>
        </row>
        <row r="2518">
          <cell r="C2518">
            <v>0</v>
          </cell>
        </row>
        <row r="2519">
          <cell r="C2519">
            <v>0</v>
          </cell>
        </row>
        <row r="2520">
          <cell r="C2520">
            <v>0</v>
          </cell>
        </row>
        <row r="2521">
          <cell r="C2521">
            <v>0</v>
          </cell>
        </row>
        <row r="2522">
          <cell r="C2522">
            <v>0</v>
          </cell>
        </row>
        <row r="2523">
          <cell r="C2523">
            <v>0</v>
          </cell>
        </row>
        <row r="2524">
          <cell r="C2524">
            <v>0</v>
          </cell>
        </row>
        <row r="2525">
          <cell r="C2525">
            <v>0</v>
          </cell>
        </row>
        <row r="2526">
          <cell r="C2526">
            <v>0</v>
          </cell>
        </row>
        <row r="2527">
          <cell r="C2527">
            <v>0</v>
          </cell>
        </row>
        <row r="2528">
          <cell r="C2528">
            <v>0</v>
          </cell>
        </row>
        <row r="2529">
          <cell r="C2529">
            <v>0</v>
          </cell>
        </row>
        <row r="2530">
          <cell r="C2530">
            <v>0</v>
          </cell>
        </row>
        <row r="2531">
          <cell r="C2531">
            <v>0</v>
          </cell>
        </row>
        <row r="2532">
          <cell r="C2532">
            <v>0</v>
          </cell>
        </row>
        <row r="2533">
          <cell r="C2533">
            <v>0</v>
          </cell>
        </row>
        <row r="2534">
          <cell r="C2534">
            <v>0</v>
          </cell>
        </row>
        <row r="2535">
          <cell r="C2535">
            <v>0</v>
          </cell>
        </row>
        <row r="2536">
          <cell r="C2536">
            <v>0</v>
          </cell>
        </row>
        <row r="2537">
          <cell r="C2537">
            <v>0</v>
          </cell>
        </row>
        <row r="2538">
          <cell r="C2538">
            <v>0</v>
          </cell>
        </row>
        <row r="2539">
          <cell r="C2539">
            <v>0</v>
          </cell>
        </row>
        <row r="2540">
          <cell r="C2540">
            <v>0</v>
          </cell>
        </row>
        <row r="2541">
          <cell r="C2541">
            <v>0</v>
          </cell>
        </row>
        <row r="2542">
          <cell r="C2542">
            <v>0</v>
          </cell>
        </row>
        <row r="2543">
          <cell r="C2543">
            <v>0</v>
          </cell>
        </row>
        <row r="2544">
          <cell r="C2544">
            <v>0</v>
          </cell>
        </row>
        <row r="2545">
          <cell r="C2545">
            <v>0</v>
          </cell>
        </row>
        <row r="2546">
          <cell r="C2546">
            <v>0</v>
          </cell>
        </row>
        <row r="2547">
          <cell r="C2547">
            <v>0</v>
          </cell>
        </row>
        <row r="2548">
          <cell r="C2548">
            <v>0</v>
          </cell>
        </row>
        <row r="2549">
          <cell r="C2549">
            <v>0</v>
          </cell>
        </row>
        <row r="2550">
          <cell r="C2550">
            <v>0</v>
          </cell>
        </row>
        <row r="2551">
          <cell r="C2551">
            <v>0</v>
          </cell>
        </row>
        <row r="2552">
          <cell r="C2552">
            <v>0</v>
          </cell>
        </row>
        <row r="2553">
          <cell r="C2553">
            <v>0</v>
          </cell>
        </row>
        <row r="2554">
          <cell r="C2554">
            <v>0</v>
          </cell>
        </row>
        <row r="2555">
          <cell r="C2555">
            <v>0</v>
          </cell>
        </row>
        <row r="2556">
          <cell r="C2556">
            <v>0</v>
          </cell>
        </row>
        <row r="2557">
          <cell r="C2557">
            <v>0</v>
          </cell>
        </row>
        <row r="2558">
          <cell r="C2558">
            <v>0</v>
          </cell>
        </row>
        <row r="2559">
          <cell r="C2559">
            <v>0</v>
          </cell>
        </row>
        <row r="2560">
          <cell r="C2560">
            <v>0</v>
          </cell>
        </row>
        <row r="2561">
          <cell r="C2561">
            <v>0</v>
          </cell>
        </row>
        <row r="2562">
          <cell r="C2562">
            <v>0</v>
          </cell>
        </row>
        <row r="2563">
          <cell r="C2563">
            <v>0</v>
          </cell>
        </row>
        <row r="2564">
          <cell r="C2564">
            <v>0</v>
          </cell>
        </row>
        <row r="2565">
          <cell r="C2565">
            <v>0</v>
          </cell>
        </row>
        <row r="2566">
          <cell r="C2566">
            <v>0</v>
          </cell>
        </row>
        <row r="2567">
          <cell r="C2567">
            <v>0</v>
          </cell>
        </row>
        <row r="2568">
          <cell r="C2568">
            <v>0</v>
          </cell>
        </row>
        <row r="2569">
          <cell r="C2569">
            <v>0</v>
          </cell>
        </row>
        <row r="2570">
          <cell r="C2570">
            <v>0</v>
          </cell>
        </row>
        <row r="2571">
          <cell r="C2571">
            <v>0</v>
          </cell>
        </row>
        <row r="2572">
          <cell r="C2572">
            <v>0</v>
          </cell>
        </row>
        <row r="2573">
          <cell r="C2573">
            <v>0</v>
          </cell>
        </row>
        <row r="2574">
          <cell r="C2574">
            <v>0</v>
          </cell>
        </row>
        <row r="2575">
          <cell r="C2575">
            <v>0</v>
          </cell>
        </row>
        <row r="2576">
          <cell r="C2576">
            <v>0</v>
          </cell>
        </row>
        <row r="2577">
          <cell r="C2577">
            <v>0</v>
          </cell>
        </row>
        <row r="2578">
          <cell r="C2578">
            <v>0</v>
          </cell>
        </row>
        <row r="2579">
          <cell r="C2579">
            <v>0</v>
          </cell>
        </row>
        <row r="2580">
          <cell r="C2580">
            <v>0</v>
          </cell>
        </row>
        <row r="2581">
          <cell r="C2581">
            <v>0</v>
          </cell>
        </row>
        <row r="2582">
          <cell r="C2582">
            <v>0</v>
          </cell>
        </row>
        <row r="2583">
          <cell r="C2583">
            <v>0</v>
          </cell>
        </row>
        <row r="2584">
          <cell r="C2584">
            <v>0</v>
          </cell>
        </row>
        <row r="2585">
          <cell r="C2585">
            <v>0</v>
          </cell>
        </row>
        <row r="2586">
          <cell r="C2586">
            <v>0</v>
          </cell>
        </row>
        <row r="2587">
          <cell r="C2587">
            <v>0</v>
          </cell>
        </row>
        <row r="2588">
          <cell r="C2588">
            <v>0</v>
          </cell>
        </row>
        <row r="2589">
          <cell r="C2589">
            <v>0</v>
          </cell>
        </row>
        <row r="2590">
          <cell r="C2590">
            <v>0</v>
          </cell>
        </row>
        <row r="2591">
          <cell r="C2591">
            <v>0</v>
          </cell>
        </row>
        <row r="2592">
          <cell r="C2592">
            <v>0</v>
          </cell>
        </row>
        <row r="2593">
          <cell r="C2593">
            <v>0</v>
          </cell>
        </row>
        <row r="2594">
          <cell r="C2594">
            <v>0</v>
          </cell>
        </row>
        <row r="2595">
          <cell r="C2595">
            <v>0</v>
          </cell>
        </row>
        <row r="2596">
          <cell r="C2596">
            <v>0</v>
          </cell>
        </row>
        <row r="2597">
          <cell r="C2597">
            <v>0</v>
          </cell>
        </row>
        <row r="2598">
          <cell r="C2598">
            <v>0</v>
          </cell>
        </row>
        <row r="2599">
          <cell r="C2599">
            <v>0</v>
          </cell>
        </row>
        <row r="2600">
          <cell r="C2600">
            <v>0</v>
          </cell>
        </row>
        <row r="2601">
          <cell r="C2601">
            <v>0</v>
          </cell>
        </row>
        <row r="2602">
          <cell r="C2602">
            <v>0</v>
          </cell>
        </row>
        <row r="2603">
          <cell r="C2603">
            <v>0</v>
          </cell>
        </row>
        <row r="2604">
          <cell r="C2604">
            <v>0</v>
          </cell>
        </row>
        <row r="2605">
          <cell r="C2605">
            <v>0</v>
          </cell>
        </row>
        <row r="2606">
          <cell r="C2606">
            <v>0</v>
          </cell>
        </row>
        <row r="2607">
          <cell r="C2607">
            <v>0</v>
          </cell>
        </row>
        <row r="2608">
          <cell r="C2608">
            <v>0</v>
          </cell>
        </row>
        <row r="2609">
          <cell r="C2609">
            <v>0</v>
          </cell>
        </row>
        <row r="2610">
          <cell r="C2610">
            <v>0</v>
          </cell>
        </row>
        <row r="2611">
          <cell r="C2611">
            <v>0</v>
          </cell>
        </row>
        <row r="2612">
          <cell r="C2612">
            <v>0</v>
          </cell>
        </row>
        <row r="2613">
          <cell r="C2613">
            <v>0</v>
          </cell>
        </row>
        <row r="2614">
          <cell r="C2614">
            <v>0</v>
          </cell>
        </row>
        <row r="2615">
          <cell r="C2615">
            <v>0</v>
          </cell>
        </row>
        <row r="2616">
          <cell r="C2616">
            <v>0</v>
          </cell>
        </row>
        <row r="2617">
          <cell r="C2617">
            <v>0</v>
          </cell>
        </row>
        <row r="2618">
          <cell r="C2618">
            <v>0</v>
          </cell>
        </row>
        <row r="2619">
          <cell r="C2619">
            <v>0</v>
          </cell>
        </row>
        <row r="2620">
          <cell r="C2620">
            <v>0</v>
          </cell>
        </row>
        <row r="2621">
          <cell r="C2621">
            <v>0</v>
          </cell>
        </row>
        <row r="2622">
          <cell r="C2622">
            <v>0</v>
          </cell>
        </row>
        <row r="2623">
          <cell r="C2623">
            <v>0</v>
          </cell>
        </row>
        <row r="2624">
          <cell r="C2624">
            <v>0</v>
          </cell>
        </row>
        <row r="2625">
          <cell r="C2625">
            <v>0</v>
          </cell>
        </row>
        <row r="2626">
          <cell r="C2626">
            <v>0</v>
          </cell>
        </row>
        <row r="2627">
          <cell r="C2627">
            <v>0</v>
          </cell>
        </row>
        <row r="2628">
          <cell r="C2628">
            <v>0</v>
          </cell>
        </row>
        <row r="2629">
          <cell r="C2629">
            <v>0</v>
          </cell>
        </row>
        <row r="2630">
          <cell r="C2630">
            <v>0</v>
          </cell>
        </row>
        <row r="2631">
          <cell r="C2631">
            <v>0</v>
          </cell>
        </row>
        <row r="2632">
          <cell r="C2632">
            <v>0</v>
          </cell>
        </row>
        <row r="2633">
          <cell r="C2633">
            <v>0</v>
          </cell>
        </row>
        <row r="2634">
          <cell r="C2634">
            <v>0</v>
          </cell>
        </row>
        <row r="2635">
          <cell r="C2635">
            <v>0</v>
          </cell>
        </row>
        <row r="2636">
          <cell r="C2636">
            <v>0</v>
          </cell>
        </row>
        <row r="2637">
          <cell r="C2637">
            <v>0</v>
          </cell>
        </row>
        <row r="2638">
          <cell r="C2638">
            <v>0</v>
          </cell>
        </row>
        <row r="2639">
          <cell r="C2639">
            <v>0</v>
          </cell>
        </row>
        <row r="2640">
          <cell r="C2640">
            <v>0</v>
          </cell>
        </row>
        <row r="2641">
          <cell r="C2641">
            <v>0</v>
          </cell>
        </row>
        <row r="2642">
          <cell r="C2642">
            <v>0</v>
          </cell>
        </row>
        <row r="2643">
          <cell r="C2643">
            <v>0</v>
          </cell>
        </row>
        <row r="2644">
          <cell r="C2644">
            <v>0</v>
          </cell>
        </row>
        <row r="2645">
          <cell r="C2645">
            <v>0</v>
          </cell>
        </row>
        <row r="2646">
          <cell r="C2646">
            <v>0</v>
          </cell>
        </row>
        <row r="2647">
          <cell r="C2647">
            <v>0</v>
          </cell>
        </row>
        <row r="2648">
          <cell r="C2648">
            <v>0</v>
          </cell>
        </row>
        <row r="2649">
          <cell r="C2649">
            <v>0</v>
          </cell>
        </row>
        <row r="2650">
          <cell r="C2650">
            <v>0</v>
          </cell>
        </row>
        <row r="2651">
          <cell r="C2651">
            <v>0</v>
          </cell>
        </row>
        <row r="2652">
          <cell r="C2652">
            <v>0</v>
          </cell>
        </row>
        <row r="2653">
          <cell r="C2653">
            <v>0</v>
          </cell>
        </row>
        <row r="2654">
          <cell r="C2654">
            <v>0</v>
          </cell>
        </row>
        <row r="2655">
          <cell r="C2655">
            <v>0</v>
          </cell>
        </row>
        <row r="2656">
          <cell r="C2656">
            <v>0</v>
          </cell>
        </row>
        <row r="2657">
          <cell r="C2657">
            <v>0</v>
          </cell>
        </row>
        <row r="2658">
          <cell r="C2658">
            <v>0</v>
          </cell>
        </row>
        <row r="2659">
          <cell r="C2659">
            <v>0</v>
          </cell>
        </row>
        <row r="2660">
          <cell r="C2660">
            <v>0</v>
          </cell>
        </row>
        <row r="2661">
          <cell r="C2661">
            <v>0</v>
          </cell>
        </row>
        <row r="2662">
          <cell r="C2662">
            <v>0</v>
          </cell>
        </row>
        <row r="2663">
          <cell r="C2663">
            <v>0</v>
          </cell>
        </row>
        <row r="2664">
          <cell r="C2664">
            <v>0</v>
          </cell>
        </row>
        <row r="2665">
          <cell r="C2665">
            <v>0</v>
          </cell>
        </row>
        <row r="2666">
          <cell r="C2666">
            <v>0</v>
          </cell>
        </row>
        <row r="2667">
          <cell r="C2667">
            <v>0</v>
          </cell>
        </row>
        <row r="2668">
          <cell r="C2668">
            <v>0</v>
          </cell>
        </row>
        <row r="2669">
          <cell r="C2669">
            <v>0</v>
          </cell>
        </row>
        <row r="2670">
          <cell r="C2670">
            <v>0</v>
          </cell>
        </row>
        <row r="2671">
          <cell r="C2671">
            <v>0</v>
          </cell>
        </row>
        <row r="2672">
          <cell r="C2672">
            <v>0</v>
          </cell>
        </row>
        <row r="2673">
          <cell r="C2673">
            <v>0</v>
          </cell>
        </row>
        <row r="2674">
          <cell r="C2674">
            <v>0</v>
          </cell>
        </row>
        <row r="2675">
          <cell r="C2675">
            <v>0</v>
          </cell>
        </row>
        <row r="2676">
          <cell r="C2676">
            <v>0</v>
          </cell>
        </row>
        <row r="2677">
          <cell r="C2677">
            <v>0</v>
          </cell>
        </row>
        <row r="2678">
          <cell r="C2678">
            <v>0</v>
          </cell>
        </row>
        <row r="2679">
          <cell r="C2679">
            <v>0</v>
          </cell>
        </row>
        <row r="2680">
          <cell r="C2680">
            <v>0</v>
          </cell>
        </row>
        <row r="2681">
          <cell r="C2681">
            <v>0</v>
          </cell>
        </row>
        <row r="2682">
          <cell r="C2682">
            <v>0</v>
          </cell>
        </row>
        <row r="2683">
          <cell r="C2683">
            <v>0</v>
          </cell>
        </row>
        <row r="2684">
          <cell r="C2684">
            <v>0</v>
          </cell>
        </row>
        <row r="2685">
          <cell r="C2685">
            <v>0</v>
          </cell>
        </row>
        <row r="2686">
          <cell r="C2686">
            <v>0</v>
          </cell>
        </row>
        <row r="2687">
          <cell r="C2687">
            <v>0</v>
          </cell>
        </row>
        <row r="2688">
          <cell r="C2688">
            <v>0</v>
          </cell>
        </row>
        <row r="2689">
          <cell r="C2689">
            <v>0</v>
          </cell>
        </row>
        <row r="2690">
          <cell r="C2690">
            <v>0</v>
          </cell>
        </row>
        <row r="2691">
          <cell r="C2691">
            <v>0</v>
          </cell>
        </row>
        <row r="2692">
          <cell r="C2692">
            <v>0</v>
          </cell>
        </row>
        <row r="2693">
          <cell r="C2693">
            <v>0</v>
          </cell>
        </row>
        <row r="2694">
          <cell r="C2694">
            <v>0</v>
          </cell>
        </row>
        <row r="2695">
          <cell r="C2695">
            <v>0</v>
          </cell>
        </row>
        <row r="2696">
          <cell r="C2696">
            <v>0</v>
          </cell>
        </row>
        <row r="2697">
          <cell r="C2697">
            <v>0</v>
          </cell>
        </row>
        <row r="2698">
          <cell r="C2698">
            <v>0</v>
          </cell>
        </row>
        <row r="2699">
          <cell r="C2699">
            <v>0</v>
          </cell>
        </row>
        <row r="2700">
          <cell r="C2700">
            <v>0</v>
          </cell>
        </row>
        <row r="2701">
          <cell r="C2701">
            <v>0</v>
          </cell>
        </row>
        <row r="2702">
          <cell r="C2702">
            <v>0</v>
          </cell>
        </row>
        <row r="2703">
          <cell r="C2703">
            <v>0</v>
          </cell>
        </row>
        <row r="2704">
          <cell r="C2704">
            <v>0</v>
          </cell>
        </row>
        <row r="2705">
          <cell r="C2705">
            <v>0</v>
          </cell>
        </row>
        <row r="2706">
          <cell r="C2706">
            <v>0</v>
          </cell>
        </row>
        <row r="2707">
          <cell r="C2707">
            <v>0</v>
          </cell>
        </row>
        <row r="2708">
          <cell r="C2708">
            <v>0</v>
          </cell>
        </row>
        <row r="2709">
          <cell r="C2709">
            <v>0</v>
          </cell>
        </row>
        <row r="2710">
          <cell r="C2710">
            <v>0</v>
          </cell>
        </row>
        <row r="2711">
          <cell r="C2711">
            <v>0</v>
          </cell>
        </row>
        <row r="2712">
          <cell r="C2712">
            <v>0</v>
          </cell>
        </row>
        <row r="2713">
          <cell r="C2713">
            <v>0</v>
          </cell>
        </row>
        <row r="2714">
          <cell r="C2714">
            <v>0</v>
          </cell>
        </row>
        <row r="2715">
          <cell r="C2715">
            <v>0</v>
          </cell>
        </row>
        <row r="2716">
          <cell r="C2716">
            <v>0</v>
          </cell>
        </row>
        <row r="2717">
          <cell r="C2717">
            <v>0</v>
          </cell>
        </row>
        <row r="2718">
          <cell r="C2718">
            <v>0</v>
          </cell>
        </row>
        <row r="2719">
          <cell r="C2719">
            <v>0</v>
          </cell>
        </row>
        <row r="2720">
          <cell r="C2720">
            <v>0</v>
          </cell>
        </row>
        <row r="2721">
          <cell r="C2721">
            <v>0</v>
          </cell>
        </row>
        <row r="2722">
          <cell r="C2722">
            <v>0</v>
          </cell>
        </row>
        <row r="2723">
          <cell r="C2723">
            <v>0</v>
          </cell>
        </row>
        <row r="2724">
          <cell r="C2724">
            <v>0</v>
          </cell>
        </row>
        <row r="2725">
          <cell r="C2725">
            <v>0</v>
          </cell>
        </row>
        <row r="2726">
          <cell r="C2726">
            <v>0</v>
          </cell>
        </row>
        <row r="2727">
          <cell r="C2727">
            <v>0</v>
          </cell>
        </row>
        <row r="2728">
          <cell r="C2728">
            <v>0</v>
          </cell>
        </row>
        <row r="2729">
          <cell r="C2729">
            <v>0</v>
          </cell>
        </row>
        <row r="2730">
          <cell r="C2730">
            <v>0</v>
          </cell>
        </row>
        <row r="2731">
          <cell r="C2731">
            <v>0</v>
          </cell>
        </row>
        <row r="2732">
          <cell r="C2732">
            <v>0</v>
          </cell>
        </row>
        <row r="2733">
          <cell r="C2733">
            <v>0</v>
          </cell>
        </row>
        <row r="2734">
          <cell r="C2734">
            <v>0</v>
          </cell>
        </row>
        <row r="2735">
          <cell r="C2735">
            <v>0</v>
          </cell>
        </row>
        <row r="2736">
          <cell r="C2736">
            <v>0</v>
          </cell>
        </row>
        <row r="2737">
          <cell r="C2737">
            <v>0</v>
          </cell>
        </row>
        <row r="2738">
          <cell r="C2738">
            <v>0</v>
          </cell>
        </row>
        <row r="2739">
          <cell r="C2739">
            <v>0</v>
          </cell>
        </row>
        <row r="2740">
          <cell r="C2740">
            <v>0</v>
          </cell>
        </row>
        <row r="2741">
          <cell r="C2741">
            <v>0</v>
          </cell>
        </row>
        <row r="2742">
          <cell r="C2742">
            <v>0</v>
          </cell>
        </row>
        <row r="2743">
          <cell r="C2743">
            <v>0</v>
          </cell>
        </row>
        <row r="2744">
          <cell r="C2744">
            <v>0</v>
          </cell>
        </row>
        <row r="2745">
          <cell r="C2745">
            <v>0</v>
          </cell>
        </row>
        <row r="2746">
          <cell r="C2746">
            <v>0</v>
          </cell>
        </row>
        <row r="2747">
          <cell r="C2747">
            <v>0</v>
          </cell>
        </row>
        <row r="2748">
          <cell r="C2748">
            <v>0</v>
          </cell>
        </row>
        <row r="2749">
          <cell r="C2749">
            <v>0</v>
          </cell>
        </row>
        <row r="2750">
          <cell r="C2750">
            <v>0</v>
          </cell>
        </row>
        <row r="2751">
          <cell r="C2751">
            <v>0</v>
          </cell>
        </row>
        <row r="2752">
          <cell r="C2752">
            <v>0</v>
          </cell>
        </row>
        <row r="2753">
          <cell r="C2753">
            <v>0</v>
          </cell>
        </row>
        <row r="2754">
          <cell r="C2754">
            <v>0</v>
          </cell>
        </row>
        <row r="2755">
          <cell r="C2755">
            <v>0</v>
          </cell>
        </row>
        <row r="2756">
          <cell r="C2756">
            <v>0</v>
          </cell>
        </row>
        <row r="2757">
          <cell r="C2757">
            <v>0</v>
          </cell>
        </row>
        <row r="2758">
          <cell r="C2758">
            <v>0</v>
          </cell>
        </row>
        <row r="2759">
          <cell r="C2759">
            <v>0</v>
          </cell>
        </row>
        <row r="2760">
          <cell r="C2760">
            <v>0</v>
          </cell>
        </row>
        <row r="2761">
          <cell r="C2761">
            <v>0</v>
          </cell>
        </row>
        <row r="2762">
          <cell r="C2762">
            <v>0</v>
          </cell>
        </row>
        <row r="2763">
          <cell r="C2763">
            <v>0</v>
          </cell>
        </row>
        <row r="2764">
          <cell r="C2764">
            <v>0</v>
          </cell>
        </row>
        <row r="2765">
          <cell r="C2765">
            <v>0</v>
          </cell>
        </row>
        <row r="2766">
          <cell r="C2766">
            <v>0</v>
          </cell>
        </row>
        <row r="2767">
          <cell r="C2767">
            <v>0</v>
          </cell>
        </row>
        <row r="2768">
          <cell r="C2768">
            <v>0</v>
          </cell>
        </row>
        <row r="2769">
          <cell r="C2769">
            <v>0</v>
          </cell>
        </row>
        <row r="2770">
          <cell r="C2770">
            <v>0</v>
          </cell>
        </row>
        <row r="2771">
          <cell r="C2771">
            <v>0</v>
          </cell>
        </row>
        <row r="2772">
          <cell r="C2772">
            <v>0</v>
          </cell>
        </row>
        <row r="2773">
          <cell r="C2773">
            <v>0</v>
          </cell>
        </row>
        <row r="2774">
          <cell r="C2774">
            <v>0</v>
          </cell>
        </row>
        <row r="2775">
          <cell r="C2775">
            <v>0</v>
          </cell>
        </row>
        <row r="2776">
          <cell r="C2776">
            <v>0</v>
          </cell>
        </row>
        <row r="2777">
          <cell r="C2777">
            <v>0</v>
          </cell>
        </row>
        <row r="2778">
          <cell r="C2778">
            <v>0</v>
          </cell>
        </row>
        <row r="2779">
          <cell r="C2779">
            <v>0</v>
          </cell>
        </row>
        <row r="2780">
          <cell r="C2780">
            <v>0</v>
          </cell>
        </row>
        <row r="2781">
          <cell r="C2781">
            <v>0</v>
          </cell>
        </row>
        <row r="2782">
          <cell r="C2782">
            <v>0</v>
          </cell>
        </row>
        <row r="2783">
          <cell r="C2783">
            <v>0</v>
          </cell>
        </row>
        <row r="2784">
          <cell r="C2784">
            <v>0</v>
          </cell>
        </row>
        <row r="2785">
          <cell r="C2785">
            <v>0</v>
          </cell>
        </row>
        <row r="2786">
          <cell r="C2786">
            <v>0</v>
          </cell>
        </row>
        <row r="2787">
          <cell r="C2787">
            <v>0</v>
          </cell>
        </row>
        <row r="2788">
          <cell r="C2788">
            <v>0</v>
          </cell>
        </row>
        <row r="2789">
          <cell r="C2789">
            <v>0</v>
          </cell>
        </row>
        <row r="2790">
          <cell r="C2790">
            <v>0</v>
          </cell>
        </row>
        <row r="2791">
          <cell r="C2791">
            <v>0</v>
          </cell>
        </row>
        <row r="2792">
          <cell r="C2792">
            <v>0</v>
          </cell>
        </row>
        <row r="2793">
          <cell r="C2793">
            <v>0</v>
          </cell>
        </row>
        <row r="2794">
          <cell r="C2794">
            <v>0</v>
          </cell>
        </row>
        <row r="2795">
          <cell r="C2795">
            <v>0</v>
          </cell>
        </row>
        <row r="2796">
          <cell r="C2796">
            <v>0</v>
          </cell>
        </row>
        <row r="2797">
          <cell r="C2797">
            <v>0</v>
          </cell>
        </row>
        <row r="2798">
          <cell r="C2798">
            <v>0</v>
          </cell>
        </row>
        <row r="2799">
          <cell r="C2799">
            <v>0</v>
          </cell>
        </row>
        <row r="2800">
          <cell r="C2800">
            <v>0</v>
          </cell>
        </row>
        <row r="2801">
          <cell r="C2801">
            <v>0</v>
          </cell>
        </row>
        <row r="2802">
          <cell r="C2802">
            <v>0</v>
          </cell>
        </row>
        <row r="2803">
          <cell r="C2803">
            <v>0</v>
          </cell>
        </row>
        <row r="2804">
          <cell r="C2804">
            <v>0</v>
          </cell>
        </row>
        <row r="2805">
          <cell r="C2805">
            <v>0</v>
          </cell>
        </row>
        <row r="2806">
          <cell r="C2806">
            <v>0</v>
          </cell>
        </row>
        <row r="2807">
          <cell r="C2807">
            <v>0</v>
          </cell>
        </row>
        <row r="2808">
          <cell r="C2808">
            <v>0</v>
          </cell>
        </row>
        <row r="2809">
          <cell r="C2809">
            <v>0</v>
          </cell>
        </row>
        <row r="2810">
          <cell r="C2810">
            <v>0</v>
          </cell>
        </row>
        <row r="2811">
          <cell r="C2811">
            <v>0</v>
          </cell>
        </row>
        <row r="2812">
          <cell r="C2812">
            <v>0</v>
          </cell>
        </row>
        <row r="2813">
          <cell r="C2813">
            <v>0</v>
          </cell>
        </row>
        <row r="2814">
          <cell r="C2814">
            <v>0</v>
          </cell>
        </row>
        <row r="2815">
          <cell r="C2815">
            <v>0</v>
          </cell>
        </row>
        <row r="2816">
          <cell r="C2816">
            <v>0</v>
          </cell>
        </row>
        <row r="2817">
          <cell r="C2817">
            <v>0</v>
          </cell>
        </row>
        <row r="2818">
          <cell r="C2818">
            <v>0</v>
          </cell>
        </row>
        <row r="2819">
          <cell r="C2819">
            <v>0</v>
          </cell>
        </row>
        <row r="2820">
          <cell r="C2820">
            <v>0</v>
          </cell>
        </row>
        <row r="2821">
          <cell r="C2821">
            <v>0</v>
          </cell>
        </row>
        <row r="2822">
          <cell r="C2822">
            <v>0</v>
          </cell>
        </row>
        <row r="2823">
          <cell r="C2823">
            <v>0</v>
          </cell>
        </row>
        <row r="2824">
          <cell r="C2824">
            <v>0</v>
          </cell>
        </row>
        <row r="2825">
          <cell r="C2825">
            <v>0</v>
          </cell>
        </row>
        <row r="2826">
          <cell r="C2826">
            <v>0</v>
          </cell>
        </row>
        <row r="2827">
          <cell r="C2827">
            <v>0</v>
          </cell>
        </row>
        <row r="2828">
          <cell r="C2828">
            <v>0</v>
          </cell>
        </row>
        <row r="2829">
          <cell r="C2829">
            <v>0</v>
          </cell>
        </row>
        <row r="2830">
          <cell r="C2830">
            <v>0</v>
          </cell>
        </row>
        <row r="2831">
          <cell r="C2831">
            <v>0</v>
          </cell>
        </row>
        <row r="2832">
          <cell r="C2832">
            <v>0</v>
          </cell>
        </row>
        <row r="2833">
          <cell r="C2833">
            <v>0</v>
          </cell>
        </row>
        <row r="2834">
          <cell r="C2834">
            <v>0</v>
          </cell>
        </row>
        <row r="2835">
          <cell r="C2835">
            <v>0</v>
          </cell>
        </row>
        <row r="2836">
          <cell r="C2836">
            <v>0</v>
          </cell>
        </row>
        <row r="2837">
          <cell r="C2837">
            <v>0</v>
          </cell>
        </row>
        <row r="2838">
          <cell r="C2838">
            <v>0</v>
          </cell>
        </row>
        <row r="2839">
          <cell r="C2839">
            <v>0</v>
          </cell>
        </row>
        <row r="2840">
          <cell r="C2840">
            <v>0</v>
          </cell>
        </row>
        <row r="2841">
          <cell r="C2841">
            <v>0</v>
          </cell>
        </row>
        <row r="2842">
          <cell r="C2842">
            <v>0</v>
          </cell>
        </row>
        <row r="2843">
          <cell r="C2843">
            <v>0</v>
          </cell>
        </row>
        <row r="2844">
          <cell r="C2844">
            <v>0</v>
          </cell>
        </row>
        <row r="2845">
          <cell r="C2845">
            <v>0</v>
          </cell>
        </row>
        <row r="2846">
          <cell r="C2846">
            <v>0</v>
          </cell>
        </row>
        <row r="2847">
          <cell r="C2847">
            <v>0</v>
          </cell>
        </row>
        <row r="2848">
          <cell r="C2848">
            <v>0</v>
          </cell>
        </row>
        <row r="2849">
          <cell r="C2849">
            <v>0</v>
          </cell>
        </row>
        <row r="2850">
          <cell r="C2850">
            <v>0</v>
          </cell>
        </row>
        <row r="2851">
          <cell r="C2851">
            <v>0</v>
          </cell>
        </row>
        <row r="2852">
          <cell r="C2852">
            <v>0</v>
          </cell>
        </row>
        <row r="2853">
          <cell r="C2853">
            <v>0</v>
          </cell>
        </row>
        <row r="2854">
          <cell r="C2854">
            <v>0</v>
          </cell>
        </row>
        <row r="2855">
          <cell r="C2855">
            <v>0</v>
          </cell>
        </row>
        <row r="2856">
          <cell r="C2856">
            <v>0</v>
          </cell>
        </row>
        <row r="2857">
          <cell r="C2857">
            <v>0</v>
          </cell>
        </row>
        <row r="2858">
          <cell r="C2858">
            <v>0</v>
          </cell>
        </row>
        <row r="2859">
          <cell r="C2859">
            <v>0</v>
          </cell>
        </row>
        <row r="2860">
          <cell r="C2860">
            <v>0</v>
          </cell>
        </row>
        <row r="2861">
          <cell r="C2861">
            <v>0</v>
          </cell>
        </row>
        <row r="2862">
          <cell r="C2862">
            <v>0</v>
          </cell>
        </row>
        <row r="2863">
          <cell r="C2863">
            <v>0</v>
          </cell>
        </row>
        <row r="2864">
          <cell r="C2864">
            <v>0</v>
          </cell>
        </row>
        <row r="2865">
          <cell r="C2865">
            <v>0</v>
          </cell>
        </row>
        <row r="2866">
          <cell r="C2866">
            <v>0</v>
          </cell>
        </row>
        <row r="2867">
          <cell r="C2867">
            <v>0</v>
          </cell>
        </row>
        <row r="2868">
          <cell r="C2868">
            <v>0</v>
          </cell>
        </row>
        <row r="2869">
          <cell r="C2869">
            <v>0</v>
          </cell>
        </row>
        <row r="2870">
          <cell r="C2870">
            <v>0</v>
          </cell>
        </row>
        <row r="2871">
          <cell r="C2871">
            <v>0</v>
          </cell>
        </row>
        <row r="2872">
          <cell r="C2872">
            <v>0</v>
          </cell>
        </row>
        <row r="2873">
          <cell r="C2873">
            <v>0</v>
          </cell>
        </row>
        <row r="2874">
          <cell r="C2874">
            <v>0</v>
          </cell>
        </row>
        <row r="2875">
          <cell r="C2875">
            <v>0</v>
          </cell>
        </row>
        <row r="2876">
          <cell r="C2876">
            <v>0</v>
          </cell>
        </row>
        <row r="2877">
          <cell r="C2877">
            <v>0</v>
          </cell>
        </row>
        <row r="2878">
          <cell r="C2878">
            <v>0</v>
          </cell>
        </row>
        <row r="2879">
          <cell r="C2879">
            <v>0</v>
          </cell>
        </row>
        <row r="2880">
          <cell r="C2880">
            <v>0</v>
          </cell>
        </row>
        <row r="2881">
          <cell r="C2881">
            <v>0</v>
          </cell>
        </row>
        <row r="2882">
          <cell r="C2882">
            <v>0</v>
          </cell>
        </row>
        <row r="2883">
          <cell r="C2883">
            <v>0</v>
          </cell>
        </row>
        <row r="2884">
          <cell r="C2884">
            <v>0</v>
          </cell>
        </row>
        <row r="2885">
          <cell r="C2885">
            <v>0</v>
          </cell>
        </row>
        <row r="2886">
          <cell r="C2886">
            <v>0</v>
          </cell>
        </row>
        <row r="2887">
          <cell r="C2887">
            <v>0</v>
          </cell>
        </row>
        <row r="2888">
          <cell r="C2888">
            <v>0</v>
          </cell>
        </row>
        <row r="2889">
          <cell r="C2889">
            <v>0</v>
          </cell>
        </row>
        <row r="2890">
          <cell r="C2890">
            <v>0</v>
          </cell>
        </row>
        <row r="2891">
          <cell r="C2891">
            <v>0</v>
          </cell>
        </row>
        <row r="2892">
          <cell r="C2892">
            <v>0</v>
          </cell>
        </row>
        <row r="2893">
          <cell r="C2893">
            <v>0</v>
          </cell>
        </row>
        <row r="2894">
          <cell r="C2894">
            <v>0</v>
          </cell>
        </row>
        <row r="2895">
          <cell r="C2895">
            <v>0</v>
          </cell>
        </row>
        <row r="2896">
          <cell r="C2896">
            <v>0</v>
          </cell>
        </row>
        <row r="2897">
          <cell r="C2897">
            <v>0</v>
          </cell>
        </row>
        <row r="2898">
          <cell r="C2898">
            <v>0</v>
          </cell>
        </row>
        <row r="2899">
          <cell r="C2899">
            <v>0</v>
          </cell>
        </row>
        <row r="2900">
          <cell r="C2900">
            <v>0</v>
          </cell>
        </row>
        <row r="2901">
          <cell r="C2901">
            <v>0</v>
          </cell>
        </row>
        <row r="2902">
          <cell r="C2902">
            <v>0</v>
          </cell>
        </row>
        <row r="2903">
          <cell r="C2903">
            <v>0</v>
          </cell>
        </row>
        <row r="2904">
          <cell r="C2904">
            <v>0</v>
          </cell>
        </row>
        <row r="2905">
          <cell r="C2905">
            <v>0</v>
          </cell>
        </row>
        <row r="2906">
          <cell r="C2906">
            <v>0</v>
          </cell>
        </row>
        <row r="2907">
          <cell r="C2907">
            <v>0</v>
          </cell>
        </row>
        <row r="2908">
          <cell r="C2908">
            <v>0</v>
          </cell>
        </row>
        <row r="2909">
          <cell r="C2909">
            <v>0</v>
          </cell>
        </row>
        <row r="2910">
          <cell r="C2910">
            <v>0</v>
          </cell>
        </row>
        <row r="2911">
          <cell r="C2911">
            <v>0</v>
          </cell>
        </row>
        <row r="2912">
          <cell r="C2912">
            <v>0</v>
          </cell>
        </row>
        <row r="2913">
          <cell r="C2913">
            <v>0</v>
          </cell>
        </row>
        <row r="2914">
          <cell r="C2914">
            <v>0</v>
          </cell>
        </row>
        <row r="2915">
          <cell r="C2915">
            <v>0</v>
          </cell>
        </row>
        <row r="2916">
          <cell r="C2916">
            <v>0</v>
          </cell>
        </row>
        <row r="2917">
          <cell r="C2917">
            <v>0</v>
          </cell>
        </row>
        <row r="2918">
          <cell r="C2918">
            <v>0</v>
          </cell>
        </row>
        <row r="2919">
          <cell r="C2919">
            <v>0</v>
          </cell>
        </row>
        <row r="2920">
          <cell r="C2920">
            <v>0</v>
          </cell>
        </row>
        <row r="2921">
          <cell r="C2921">
            <v>0</v>
          </cell>
        </row>
        <row r="2922">
          <cell r="C2922">
            <v>0</v>
          </cell>
        </row>
        <row r="2923">
          <cell r="C2923">
            <v>0</v>
          </cell>
        </row>
        <row r="2924">
          <cell r="C2924">
            <v>0</v>
          </cell>
        </row>
        <row r="2925">
          <cell r="C2925">
            <v>0</v>
          </cell>
        </row>
        <row r="2926">
          <cell r="C2926">
            <v>0</v>
          </cell>
        </row>
        <row r="2927">
          <cell r="C2927">
            <v>0</v>
          </cell>
        </row>
        <row r="2928">
          <cell r="C2928">
            <v>0</v>
          </cell>
        </row>
        <row r="2929">
          <cell r="C2929">
            <v>0</v>
          </cell>
        </row>
        <row r="2930">
          <cell r="C2930">
            <v>0</v>
          </cell>
        </row>
        <row r="2931">
          <cell r="C2931">
            <v>0</v>
          </cell>
        </row>
        <row r="2932">
          <cell r="C2932">
            <v>0</v>
          </cell>
        </row>
        <row r="2933">
          <cell r="C2933">
            <v>0</v>
          </cell>
        </row>
        <row r="2934">
          <cell r="C2934">
            <v>0</v>
          </cell>
        </row>
        <row r="2935">
          <cell r="C2935">
            <v>0</v>
          </cell>
        </row>
        <row r="2936">
          <cell r="C2936">
            <v>0</v>
          </cell>
        </row>
        <row r="2937">
          <cell r="C2937">
            <v>0</v>
          </cell>
        </row>
        <row r="2938">
          <cell r="C2938">
            <v>0</v>
          </cell>
        </row>
        <row r="2939">
          <cell r="C2939">
            <v>0</v>
          </cell>
        </row>
        <row r="2940">
          <cell r="C2940">
            <v>0</v>
          </cell>
        </row>
        <row r="2941">
          <cell r="C2941">
            <v>0</v>
          </cell>
        </row>
        <row r="2942">
          <cell r="C2942">
            <v>0</v>
          </cell>
        </row>
        <row r="2943">
          <cell r="C2943">
            <v>0</v>
          </cell>
        </row>
        <row r="2944">
          <cell r="C2944">
            <v>0</v>
          </cell>
        </row>
        <row r="2945">
          <cell r="C2945">
            <v>0</v>
          </cell>
        </row>
        <row r="2946">
          <cell r="C2946">
            <v>0</v>
          </cell>
        </row>
        <row r="2947">
          <cell r="C2947">
            <v>0</v>
          </cell>
        </row>
        <row r="2948">
          <cell r="C2948">
            <v>0</v>
          </cell>
        </row>
        <row r="2949">
          <cell r="C2949">
            <v>0</v>
          </cell>
        </row>
        <row r="2950">
          <cell r="C2950">
            <v>0</v>
          </cell>
        </row>
        <row r="2951">
          <cell r="C2951">
            <v>0</v>
          </cell>
        </row>
        <row r="2952">
          <cell r="C2952">
            <v>0</v>
          </cell>
        </row>
        <row r="2953">
          <cell r="C2953">
            <v>0</v>
          </cell>
        </row>
        <row r="2954">
          <cell r="C2954">
            <v>0</v>
          </cell>
        </row>
        <row r="2955">
          <cell r="C2955">
            <v>0</v>
          </cell>
        </row>
        <row r="2956">
          <cell r="C2956">
            <v>0</v>
          </cell>
        </row>
        <row r="2957">
          <cell r="C2957">
            <v>0</v>
          </cell>
        </row>
        <row r="2958">
          <cell r="C2958">
            <v>0</v>
          </cell>
        </row>
        <row r="2959">
          <cell r="C2959">
            <v>0</v>
          </cell>
        </row>
        <row r="2960">
          <cell r="C2960">
            <v>0</v>
          </cell>
        </row>
        <row r="2961">
          <cell r="C2961">
            <v>0</v>
          </cell>
        </row>
        <row r="2962">
          <cell r="C2962">
            <v>0</v>
          </cell>
        </row>
        <row r="2963">
          <cell r="C2963">
            <v>0</v>
          </cell>
        </row>
        <row r="2964">
          <cell r="C2964">
            <v>0</v>
          </cell>
        </row>
        <row r="2965">
          <cell r="C2965">
            <v>0</v>
          </cell>
        </row>
        <row r="2966">
          <cell r="C2966">
            <v>0</v>
          </cell>
        </row>
        <row r="2967">
          <cell r="C2967">
            <v>0</v>
          </cell>
        </row>
        <row r="2968">
          <cell r="C2968">
            <v>0</v>
          </cell>
        </row>
        <row r="2969">
          <cell r="C2969">
            <v>0</v>
          </cell>
        </row>
        <row r="2970">
          <cell r="C2970">
            <v>0</v>
          </cell>
        </row>
        <row r="2971">
          <cell r="C2971">
            <v>0</v>
          </cell>
        </row>
        <row r="2972">
          <cell r="C2972">
            <v>0</v>
          </cell>
        </row>
        <row r="2973">
          <cell r="C2973">
            <v>0</v>
          </cell>
        </row>
        <row r="2974">
          <cell r="C2974">
            <v>0</v>
          </cell>
        </row>
        <row r="2975">
          <cell r="C2975">
            <v>0</v>
          </cell>
        </row>
        <row r="2976">
          <cell r="C2976">
            <v>0</v>
          </cell>
        </row>
        <row r="2977">
          <cell r="C2977">
            <v>0</v>
          </cell>
        </row>
        <row r="2978">
          <cell r="C2978">
            <v>0</v>
          </cell>
        </row>
        <row r="2979">
          <cell r="C2979">
            <v>0</v>
          </cell>
        </row>
        <row r="2980">
          <cell r="C2980">
            <v>0</v>
          </cell>
        </row>
        <row r="2981">
          <cell r="C2981">
            <v>0</v>
          </cell>
        </row>
        <row r="2982">
          <cell r="C2982">
            <v>0</v>
          </cell>
        </row>
        <row r="2983">
          <cell r="C2983">
            <v>0</v>
          </cell>
        </row>
        <row r="2984">
          <cell r="C2984">
            <v>0</v>
          </cell>
        </row>
        <row r="2985">
          <cell r="C2985">
            <v>0</v>
          </cell>
        </row>
        <row r="2986">
          <cell r="C2986">
            <v>0</v>
          </cell>
        </row>
        <row r="2987">
          <cell r="C2987">
            <v>0</v>
          </cell>
        </row>
        <row r="2988">
          <cell r="C2988">
            <v>0</v>
          </cell>
        </row>
        <row r="2989">
          <cell r="C2989">
            <v>0</v>
          </cell>
        </row>
        <row r="2990">
          <cell r="C2990">
            <v>0</v>
          </cell>
        </row>
        <row r="2991">
          <cell r="C2991">
            <v>0</v>
          </cell>
        </row>
        <row r="2992">
          <cell r="C2992">
            <v>0</v>
          </cell>
        </row>
        <row r="2993">
          <cell r="C2993">
            <v>0</v>
          </cell>
        </row>
        <row r="2994">
          <cell r="C2994">
            <v>0</v>
          </cell>
        </row>
        <row r="2995">
          <cell r="C2995">
            <v>0</v>
          </cell>
        </row>
        <row r="2996">
          <cell r="C2996">
            <v>0</v>
          </cell>
        </row>
        <row r="2997">
          <cell r="C2997">
            <v>0</v>
          </cell>
        </row>
        <row r="2998">
          <cell r="C2998">
            <v>0</v>
          </cell>
        </row>
        <row r="2999">
          <cell r="C2999">
            <v>0</v>
          </cell>
        </row>
        <row r="3000">
          <cell r="C3000">
            <v>0</v>
          </cell>
        </row>
        <row r="3001">
          <cell r="C3001">
            <v>0</v>
          </cell>
        </row>
        <row r="3002">
          <cell r="C3002">
            <v>0</v>
          </cell>
        </row>
        <row r="3003">
          <cell r="C3003">
            <v>0</v>
          </cell>
        </row>
        <row r="3004">
          <cell r="C3004">
            <v>0</v>
          </cell>
        </row>
        <row r="3005">
          <cell r="C3005">
            <v>0</v>
          </cell>
        </row>
        <row r="3006">
          <cell r="C3006">
            <v>0</v>
          </cell>
        </row>
        <row r="3007">
          <cell r="C3007">
            <v>0</v>
          </cell>
        </row>
        <row r="3008">
          <cell r="C3008">
            <v>0</v>
          </cell>
        </row>
        <row r="3009">
          <cell r="C3009">
            <v>0</v>
          </cell>
        </row>
        <row r="3010">
          <cell r="C3010">
            <v>0</v>
          </cell>
        </row>
        <row r="3011">
          <cell r="C3011">
            <v>0</v>
          </cell>
        </row>
        <row r="3012">
          <cell r="C3012">
            <v>0</v>
          </cell>
        </row>
        <row r="3013">
          <cell r="C3013">
            <v>0</v>
          </cell>
        </row>
        <row r="3014">
          <cell r="C3014">
            <v>0</v>
          </cell>
        </row>
        <row r="3015">
          <cell r="C3015">
            <v>0</v>
          </cell>
        </row>
        <row r="3016">
          <cell r="C3016">
            <v>0</v>
          </cell>
        </row>
        <row r="3017">
          <cell r="C3017">
            <v>0</v>
          </cell>
        </row>
        <row r="3018">
          <cell r="C3018">
            <v>0</v>
          </cell>
        </row>
        <row r="3019">
          <cell r="C3019">
            <v>0</v>
          </cell>
        </row>
        <row r="3020">
          <cell r="C3020">
            <v>0</v>
          </cell>
        </row>
        <row r="3021">
          <cell r="C3021">
            <v>0</v>
          </cell>
        </row>
        <row r="3022">
          <cell r="C3022">
            <v>0</v>
          </cell>
        </row>
        <row r="3023">
          <cell r="C3023">
            <v>0</v>
          </cell>
        </row>
        <row r="3024">
          <cell r="C3024">
            <v>0</v>
          </cell>
        </row>
        <row r="3025">
          <cell r="C3025">
            <v>0</v>
          </cell>
        </row>
        <row r="3026">
          <cell r="C3026">
            <v>0</v>
          </cell>
        </row>
        <row r="3027">
          <cell r="C3027">
            <v>0</v>
          </cell>
        </row>
        <row r="3028">
          <cell r="C3028">
            <v>0</v>
          </cell>
        </row>
        <row r="3029">
          <cell r="C3029">
            <v>0</v>
          </cell>
        </row>
        <row r="3030">
          <cell r="C3030">
            <v>0</v>
          </cell>
        </row>
        <row r="3031">
          <cell r="C3031">
            <v>0</v>
          </cell>
        </row>
        <row r="3032">
          <cell r="C3032">
            <v>0</v>
          </cell>
        </row>
        <row r="3033">
          <cell r="C3033">
            <v>0</v>
          </cell>
        </row>
        <row r="3034">
          <cell r="C3034">
            <v>0</v>
          </cell>
        </row>
        <row r="3035">
          <cell r="C3035">
            <v>0</v>
          </cell>
        </row>
        <row r="3036">
          <cell r="C3036">
            <v>0</v>
          </cell>
        </row>
        <row r="3037">
          <cell r="C3037">
            <v>0</v>
          </cell>
        </row>
        <row r="3038">
          <cell r="C3038">
            <v>0</v>
          </cell>
        </row>
        <row r="3039">
          <cell r="C3039">
            <v>0</v>
          </cell>
        </row>
        <row r="3040">
          <cell r="C3040">
            <v>0</v>
          </cell>
        </row>
        <row r="3041">
          <cell r="C3041">
            <v>0</v>
          </cell>
        </row>
        <row r="3042">
          <cell r="C3042">
            <v>0</v>
          </cell>
        </row>
        <row r="3043">
          <cell r="C3043">
            <v>0</v>
          </cell>
        </row>
        <row r="3044">
          <cell r="C3044">
            <v>0</v>
          </cell>
        </row>
        <row r="3045">
          <cell r="C3045">
            <v>0</v>
          </cell>
        </row>
        <row r="3046">
          <cell r="C3046">
            <v>0</v>
          </cell>
        </row>
        <row r="3047">
          <cell r="C3047">
            <v>0</v>
          </cell>
        </row>
        <row r="3048">
          <cell r="C3048">
            <v>0</v>
          </cell>
        </row>
        <row r="3049">
          <cell r="C3049">
            <v>0</v>
          </cell>
        </row>
        <row r="3050">
          <cell r="C3050">
            <v>0</v>
          </cell>
        </row>
        <row r="3051">
          <cell r="C3051">
            <v>0</v>
          </cell>
        </row>
        <row r="3052">
          <cell r="C3052">
            <v>0</v>
          </cell>
        </row>
        <row r="3053">
          <cell r="C3053">
            <v>0</v>
          </cell>
        </row>
        <row r="3054">
          <cell r="C3054">
            <v>0</v>
          </cell>
        </row>
        <row r="3055">
          <cell r="C3055">
            <v>0</v>
          </cell>
        </row>
        <row r="3056">
          <cell r="C3056">
            <v>0</v>
          </cell>
        </row>
        <row r="3057">
          <cell r="C3057">
            <v>0</v>
          </cell>
        </row>
        <row r="3058">
          <cell r="C3058">
            <v>0</v>
          </cell>
        </row>
        <row r="3059">
          <cell r="C3059">
            <v>0</v>
          </cell>
        </row>
        <row r="3060">
          <cell r="C3060">
            <v>0</v>
          </cell>
        </row>
        <row r="3061">
          <cell r="C3061">
            <v>0</v>
          </cell>
        </row>
        <row r="3062">
          <cell r="C3062">
            <v>0</v>
          </cell>
        </row>
        <row r="3063">
          <cell r="C3063">
            <v>0</v>
          </cell>
        </row>
        <row r="3064">
          <cell r="C3064">
            <v>0</v>
          </cell>
        </row>
        <row r="3065">
          <cell r="C3065">
            <v>0</v>
          </cell>
        </row>
        <row r="3066">
          <cell r="C3066">
            <v>0</v>
          </cell>
        </row>
        <row r="3067">
          <cell r="C3067">
            <v>0</v>
          </cell>
        </row>
        <row r="3068">
          <cell r="C3068">
            <v>0</v>
          </cell>
        </row>
        <row r="3069">
          <cell r="C3069">
            <v>0</v>
          </cell>
        </row>
        <row r="3070">
          <cell r="C3070">
            <v>0</v>
          </cell>
        </row>
        <row r="3071">
          <cell r="C3071">
            <v>0</v>
          </cell>
        </row>
        <row r="3072">
          <cell r="C3072">
            <v>0</v>
          </cell>
        </row>
        <row r="3073">
          <cell r="C3073">
            <v>0</v>
          </cell>
        </row>
        <row r="3074">
          <cell r="C3074">
            <v>0</v>
          </cell>
        </row>
        <row r="3075">
          <cell r="C3075">
            <v>0</v>
          </cell>
        </row>
        <row r="3076">
          <cell r="C3076">
            <v>0</v>
          </cell>
        </row>
        <row r="3077">
          <cell r="C3077">
            <v>0</v>
          </cell>
        </row>
        <row r="3078">
          <cell r="C3078">
            <v>0</v>
          </cell>
        </row>
        <row r="3079">
          <cell r="C3079">
            <v>0</v>
          </cell>
        </row>
        <row r="3080">
          <cell r="C3080">
            <v>0</v>
          </cell>
        </row>
        <row r="3081">
          <cell r="C3081">
            <v>0</v>
          </cell>
        </row>
        <row r="3082">
          <cell r="C3082">
            <v>0</v>
          </cell>
        </row>
        <row r="3083">
          <cell r="C3083">
            <v>0</v>
          </cell>
        </row>
        <row r="3084">
          <cell r="C3084">
            <v>0</v>
          </cell>
        </row>
        <row r="3085">
          <cell r="C3085">
            <v>0</v>
          </cell>
        </row>
        <row r="3086">
          <cell r="C3086">
            <v>0</v>
          </cell>
        </row>
        <row r="3087">
          <cell r="C3087">
            <v>0</v>
          </cell>
        </row>
        <row r="3088">
          <cell r="C3088">
            <v>0</v>
          </cell>
        </row>
        <row r="3089">
          <cell r="C3089">
            <v>0</v>
          </cell>
        </row>
        <row r="3090">
          <cell r="C3090">
            <v>0</v>
          </cell>
        </row>
        <row r="3091">
          <cell r="C3091">
            <v>0</v>
          </cell>
        </row>
        <row r="3092">
          <cell r="C3092">
            <v>0</v>
          </cell>
        </row>
        <row r="3093">
          <cell r="C3093">
            <v>0</v>
          </cell>
        </row>
        <row r="3094">
          <cell r="C3094">
            <v>0</v>
          </cell>
        </row>
        <row r="3095">
          <cell r="C3095">
            <v>0</v>
          </cell>
        </row>
        <row r="3096">
          <cell r="C3096">
            <v>0</v>
          </cell>
        </row>
        <row r="3097">
          <cell r="C3097">
            <v>0</v>
          </cell>
        </row>
        <row r="3098">
          <cell r="C3098">
            <v>0</v>
          </cell>
        </row>
        <row r="3099">
          <cell r="C3099">
            <v>0</v>
          </cell>
        </row>
        <row r="3100">
          <cell r="C3100">
            <v>0</v>
          </cell>
        </row>
        <row r="3101">
          <cell r="C3101">
            <v>0</v>
          </cell>
        </row>
        <row r="3102">
          <cell r="C3102">
            <v>0</v>
          </cell>
        </row>
        <row r="3103">
          <cell r="C3103">
            <v>0</v>
          </cell>
        </row>
        <row r="3104">
          <cell r="C3104">
            <v>0</v>
          </cell>
        </row>
        <row r="3105">
          <cell r="C3105">
            <v>0</v>
          </cell>
        </row>
        <row r="3106">
          <cell r="C3106">
            <v>0</v>
          </cell>
        </row>
        <row r="3107">
          <cell r="C3107">
            <v>0</v>
          </cell>
        </row>
        <row r="3108">
          <cell r="C3108">
            <v>0</v>
          </cell>
        </row>
        <row r="3109">
          <cell r="C3109">
            <v>0</v>
          </cell>
        </row>
        <row r="3110">
          <cell r="C3110">
            <v>0</v>
          </cell>
        </row>
        <row r="3111">
          <cell r="C3111">
            <v>0</v>
          </cell>
        </row>
        <row r="3112">
          <cell r="C3112">
            <v>0</v>
          </cell>
        </row>
        <row r="3113">
          <cell r="C3113">
            <v>0</v>
          </cell>
        </row>
        <row r="3114">
          <cell r="C3114">
            <v>0</v>
          </cell>
        </row>
        <row r="3115">
          <cell r="C3115">
            <v>0</v>
          </cell>
        </row>
        <row r="3116">
          <cell r="C3116">
            <v>0</v>
          </cell>
        </row>
        <row r="3117">
          <cell r="C3117">
            <v>0</v>
          </cell>
        </row>
        <row r="3118">
          <cell r="C3118">
            <v>0</v>
          </cell>
        </row>
        <row r="3119">
          <cell r="C3119">
            <v>0</v>
          </cell>
        </row>
        <row r="3120">
          <cell r="C3120">
            <v>0</v>
          </cell>
        </row>
        <row r="3121">
          <cell r="C3121">
            <v>0</v>
          </cell>
        </row>
        <row r="3122">
          <cell r="C3122">
            <v>0</v>
          </cell>
        </row>
        <row r="3123">
          <cell r="C3123">
            <v>0</v>
          </cell>
        </row>
        <row r="3124">
          <cell r="C3124">
            <v>0</v>
          </cell>
        </row>
        <row r="3125">
          <cell r="C3125">
            <v>0</v>
          </cell>
        </row>
        <row r="3126">
          <cell r="C3126">
            <v>0</v>
          </cell>
        </row>
        <row r="3127">
          <cell r="C3127">
            <v>0</v>
          </cell>
        </row>
        <row r="3128">
          <cell r="C3128">
            <v>0</v>
          </cell>
        </row>
        <row r="3129">
          <cell r="C3129">
            <v>0</v>
          </cell>
        </row>
        <row r="3130">
          <cell r="C3130">
            <v>0</v>
          </cell>
        </row>
        <row r="3131">
          <cell r="C3131">
            <v>0</v>
          </cell>
        </row>
        <row r="3132">
          <cell r="C3132">
            <v>0</v>
          </cell>
        </row>
        <row r="3133">
          <cell r="C3133">
            <v>0</v>
          </cell>
        </row>
        <row r="3134">
          <cell r="C3134">
            <v>0</v>
          </cell>
        </row>
        <row r="3135">
          <cell r="C3135">
            <v>0</v>
          </cell>
        </row>
        <row r="3136">
          <cell r="C3136">
            <v>0</v>
          </cell>
        </row>
        <row r="3137">
          <cell r="C3137">
            <v>0</v>
          </cell>
        </row>
        <row r="3138">
          <cell r="C3138">
            <v>0</v>
          </cell>
        </row>
        <row r="3139">
          <cell r="C3139">
            <v>0</v>
          </cell>
        </row>
        <row r="3140">
          <cell r="C3140">
            <v>0</v>
          </cell>
        </row>
        <row r="3141">
          <cell r="C3141">
            <v>0</v>
          </cell>
        </row>
        <row r="3142">
          <cell r="C3142">
            <v>0</v>
          </cell>
        </row>
        <row r="3143">
          <cell r="C3143">
            <v>0</v>
          </cell>
        </row>
        <row r="3144">
          <cell r="C3144">
            <v>0</v>
          </cell>
        </row>
        <row r="3145">
          <cell r="C3145">
            <v>0</v>
          </cell>
        </row>
        <row r="3146">
          <cell r="C3146">
            <v>0</v>
          </cell>
        </row>
        <row r="3147">
          <cell r="C3147">
            <v>0</v>
          </cell>
        </row>
        <row r="3148">
          <cell r="C3148">
            <v>0</v>
          </cell>
        </row>
        <row r="3149">
          <cell r="C3149">
            <v>0</v>
          </cell>
        </row>
        <row r="3150">
          <cell r="C3150">
            <v>0</v>
          </cell>
        </row>
        <row r="3151">
          <cell r="C3151">
            <v>0</v>
          </cell>
        </row>
        <row r="3152">
          <cell r="C3152">
            <v>0</v>
          </cell>
        </row>
        <row r="3153">
          <cell r="C3153">
            <v>0</v>
          </cell>
        </row>
        <row r="3154">
          <cell r="C3154">
            <v>0</v>
          </cell>
        </row>
        <row r="3155">
          <cell r="C3155">
            <v>0</v>
          </cell>
        </row>
        <row r="3156">
          <cell r="C3156">
            <v>0</v>
          </cell>
        </row>
        <row r="3157">
          <cell r="C3157">
            <v>0</v>
          </cell>
        </row>
        <row r="3158">
          <cell r="C3158">
            <v>0</v>
          </cell>
        </row>
        <row r="3159">
          <cell r="C3159">
            <v>0</v>
          </cell>
        </row>
        <row r="3160">
          <cell r="C3160">
            <v>0</v>
          </cell>
        </row>
        <row r="3161">
          <cell r="C3161">
            <v>0</v>
          </cell>
        </row>
        <row r="3162">
          <cell r="C3162">
            <v>0</v>
          </cell>
        </row>
        <row r="3163">
          <cell r="C3163">
            <v>0</v>
          </cell>
        </row>
        <row r="3164">
          <cell r="C3164">
            <v>0</v>
          </cell>
        </row>
        <row r="3165">
          <cell r="C3165">
            <v>0</v>
          </cell>
        </row>
        <row r="3166">
          <cell r="C3166">
            <v>0</v>
          </cell>
        </row>
        <row r="3167">
          <cell r="C3167">
            <v>0</v>
          </cell>
        </row>
        <row r="3168">
          <cell r="C3168">
            <v>0</v>
          </cell>
        </row>
        <row r="3169">
          <cell r="C3169">
            <v>0</v>
          </cell>
        </row>
        <row r="3170">
          <cell r="C3170">
            <v>0</v>
          </cell>
        </row>
        <row r="3171">
          <cell r="C3171">
            <v>0</v>
          </cell>
        </row>
        <row r="3172">
          <cell r="C3172">
            <v>0</v>
          </cell>
        </row>
        <row r="3173">
          <cell r="C3173">
            <v>0</v>
          </cell>
        </row>
        <row r="3174">
          <cell r="C3174">
            <v>0</v>
          </cell>
        </row>
        <row r="3175">
          <cell r="C3175">
            <v>0</v>
          </cell>
        </row>
        <row r="3176">
          <cell r="C3176">
            <v>0</v>
          </cell>
        </row>
        <row r="3177">
          <cell r="C3177">
            <v>0</v>
          </cell>
        </row>
        <row r="3178">
          <cell r="C3178">
            <v>0</v>
          </cell>
        </row>
        <row r="3179">
          <cell r="C3179">
            <v>0</v>
          </cell>
        </row>
        <row r="3180">
          <cell r="C3180">
            <v>0</v>
          </cell>
        </row>
        <row r="3181">
          <cell r="C3181">
            <v>0</v>
          </cell>
        </row>
        <row r="3182">
          <cell r="C3182">
            <v>0</v>
          </cell>
        </row>
        <row r="3183">
          <cell r="C3183">
            <v>0</v>
          </cell>
        </row>
        <row r="3184">
          <cell r="C3184">
            <v>0</v>
          </cell>
        </row>
        <row r="3185">
          <cell r="C3185">
            <v>0</v>
          </cell>
        </row>
        <row r="3186">
          <cell r="C3186">
            <v>0</v>
          </cell>
        </row>
        <row r="3187">
          <cell r="C3187">
            <v>0</v>
          </cell>
        </row>
        <row r="3188">
          <cell r="C3188">
            <v>0</v>
          </cell>
        </row>
        <row r="3189">
          <cell r="C3189">
            <v>0</v>
          </cell>
        </row>
        <row r="3190">
          <cell r="C3190">
            <v>0</v>
          </cell>
        </row>
        <row r="3191">
          <cell r="C3191">
            <v>0</v>
          </cell>
        </row>
        <row r="3192">
          <cell r="C3192">
            <v>0</v>
          </cell>
        </row>
        <row r="3193">
          <cell r="C3193">
            <v>0</v>
          </cell>
        </row>
        <row r="3194">
          <cell r="C3194">
            <v>0</v>
          </cell>
        </row>
        <row r="3195">
          <cell r="C3195">
            <v>0</v>
          </cell>
        </row>
        <row r="3196">
          <cell r="C3196">
            <v>0</v>
          </cell>
        </row>
        <row r="3197">
          <cell r="C3197">
            <v>0</v>
          </cell>
        </row>
        <row r="3198">
          <cell r="C3198">
            <v>0</v>
          </cell>
        </row>
        <row r="3199">
          <cell r="C3199">
            <v>0</v>
          </cell>
        </row>
        <row r="3200">
          <cell r="C3200">
            <v>0</v>
          </cell>
        </row>
        <row r="3201">
          <cell r="C3201">
            <v>0</v>
          </cell>
        </row>
        <row r="3202">
          <cell r="C3202">
            <v>0</v>
          </cell>
        </row>
        <row r="3203">
          <cell r="C3203">
            <v>0</v>
          </cell>
        </row>
        <row r="3204">
          <cell r="C3204">
            <v>0</v>
          </cell>
        </row>
        <row r="3205">
          <cell r="C3205">
            <v>0</v>
          </cell>
        </row>
        <row r="3206">
          <cell r="C3206">
            <v>0</v>
          </cell>
        </row>
        <row r="3207">
          <cell r="C3207">
            <v>0</v>
          </cell>
        </row>
        <row r="3208">
          <cell r="C3208">
            <v>0</v>
          </cell>
        </row>
        <row r="3209">
          <cell r="C3209">
            <v>0</v>
          </cell>
        </row>
        <row r="3210">
          <cell r="C3210">
            <v>0</v>
          </cell>
        </row>
        <row r="3211">
          <cell r="C3211">
            <v>0</v>
          </cell>
        </row>
        <row r="3212">
          <cell r="C3212">
            <v>0</v>
          </cell>
        </row>
        <row r="3213">
          <cell r="C3213">
            <v>0</v>
          </cell>
        </row>
        <row r="3214">
          <cell r="C3214">
            <v>0</v>
          </cell>
        </row>
        <row r="3215">
          <cell r="C3215">
            <v>0</v>
          </cell>
        </row>
        <row r="3216">
          <cell r="C3216">
            <v>0</v>
          </cell>
        </row>
        <row r="3217">
          <cell r="C3217">
            <v>0</v>
          </cell>
        </row>
        <row r="3218">
          <cell r="C3218">
            <v>0</v>
          </cell>
        </row>
        <row r="3219">
          <cell r="C3219">
            <v>0</v>
          </cell>
        </row>
        <row r="3220">
          <cell r="C3220">
            <v>0</v>
          </cell>
        </row>
        <row r="3221">
          <cell r="C3221">
            <v>0</v>
          </cell>
        </row>
        <row r="3222">
          <cell r="C3222">
            <v>0</v>
          </cell>
        </row>
        <row r="3223">
          <cell r="C3223">
            <v>0</v>
          </cell>
        </row>
        <row r="3224">
          <cell r="C3224">
            <v>0</v>
          </cell>
        </row>
        <row r="3225">
          <cell r="C3225">
            <v>0</v>
          </cell>
        </row>
        <row r="3226">
          <cell r="C3226">
            <v>0</v>
          </cell>
        </row>
        <row r="3227">
          <cell r="C3227">
            <v>0</v>
          </cell>
        </row>
        <row r="3228">
          <cell r="C3228">
            <v>0</v>
          </cell>
        </row>
        <row r="3229">
          <cell r="C3229">
            <v>0</v>
          </cell>
        </row>
        <row r="3230">
          <cell r="C3230">
            <v>0</v>
          </cell>
        </row>
        <row r="3231">
          <cell r="C3231">
            <v>0</v>
          </cell>
        </row>
        <row r="3232">
          <cell r="C3232">
            <v>0</v>
          </cell>
        </row>
        <row r="3233">
          <cell r="C3233">
            <v>0</v>
          </cell>
        </row>
        <row r="3234">
          <cell r="C3234">
            <v>0</v>
          </cell>
        </row>
        <row r="3235">
          <cell r="C3235">
            <v>0</v>
          </cell>
        </row>
        <row r="3236">
          <cell r="C3236">
            <v>0</v>
          </cell>
        </row>
        <row r="3237">
          <cell r="C3237">
            <v>0</v>
          </cell>
        </row>
        <row r="3238">
          <cell r="C3238">
            <v>0</v>
          </cell>
        </row>
        <row r="3239">
          <cell r="C3239">
            <v>0</v>
          </cell>
        </row>
        <row r="3240">
          <cell r="C3240">
            <v>0</v>
          </cell>
        </row>
        <row r="3241">
          <cell r="C3241">
            <v>0</v>
          </cell>
        </row>
        <row r="3242">
          <cell r="C3242">
            <v>0</v>
          </cell>
        </row>
        <row r="3243">
          <cell r="C3243">
            <v>0</v>
          </cell>
        </row>
        <row r="3244">
          <cell r="C3244">
            <v>0</v>
          </cell>
        </row>
        <row r="3245">
          <cell r="C3245">
            <v>0</v>
          </cell>
        </row>
        <row r="3246">
          <cell r="C3246">
            <v>0</v>
          </cell>
        </row>
        <row r="3247">
          <cell r="C3247">
            <v>0</v>
          </cell>
        </row>
        <row r="3248">
          <cell r="C3248">
            <v>0</v>
          </cell>
        </row>
        <row r="3249">
          <cell r="C3249">
            <v>0</v>
          </cell>
        </row>
        <row r="3250">
          <cell r="C3250">
            <v>0</v>
          </cell>
        </row>
        <row r="3251">
          <cell r="C3251">
            <v>0</v>
          </cell>
        </row>
        <row r="3252">
          <cell r="C3252">
            <v>0</v>
          </cell>
        </row>
        <row r="3253">
          <cell r="C3253">
            <v>0</v>
          </cell>
        </row>
        <row r="3254">
          <cell r="C3254">
            <v>0</v>
          </cell>
        </row>
        <row r="3255">
          <cell r="C3255">
            <v>0</v>
          </cell>
        </row>
        <row r="3256">
          <cell r="C3256">
            <v>0</v>
          </cell>
        </row>
        <row r="3257">
          <cell r="C3257">
            <v>0</v>
          </cell>
        </row>
        <row r="3258">
          <cell r="C3258">
            <v>0</v>
          </cell>
        </row>
        <row r="3259">
          <cell r="C3259">
            <v>0</v>
          </cell>
        </row>
        <row r="3260">
          <cell r="C3260">
            <v>0</v>
          </cell>
        </row>
        <row r="3261">
          <cell r="C3261">
            <v>0</v>
          </cell>
        </row>
        <row r="3262">
          <cell r="C3262">
            <v>0</v>
          </cell>
        </row>
        <row r="3263">
          <cell r="C3263">
            <v>0</v>
          </cell>
        </row>
        <row r="3264">
          <cell r="C3264">
            <v>0</v>
          </cell>
        </row>
        <row r="3265">
          <cell r="C3265">
            <v>0</v>
          </cell>
        </row>
        <row r="3266">
          <cell r="C3266">
            <v>0</v>
          </cell>
        </row>
        <row r="3267">
          <cell r="C3267">
            <v>0</v>
          </cell>
        </row>
        <row r="3268">
          <cell r="C3268">
            <v>0</v>
          </cell>
        </row>
        <row r="3269">
          <cell r="C3269">
            <v>0</v>
          </cell>
        </row>
        <row r="3270">
          <cell r="C3270">
            <v>0</v>
          </cell>
        </row>
        <row r="3271">
          <cell r="C3271">
            <v>0</v>
          </cell>
        </row>
        <row r="3272">
          <cell r="C3272">
            <v>0</v>
          </cell>
        </row>
        <row r="3273">
          <cell r="C3273">
            <v>0</v>
          </cell>
        </row>
        <row r="3274">
          <cell r="C3274">
            <v>0</v>
          </cell>
        </row>
        <row r="3275">
          <cell r="C3275">
            <v>0</v>
          </cell>
        </row>
        <row r="3276">
          <cell r="C3276">
            <v>0</v>
          </cell>
        </row>
        <row r="3277">
          <cell r="C3277">
            <v>0</v>
          </cell>
        </row>
        <row r="3278">
          <cell r="C3278">
            <v>0</v>
          </cell>
        </row>
        <row r="3279">
          <cell r="C3279">
            <v>0</v>
          </cell>
        </row>
        <row r="3280">
          <cell r="C3280">
            <v>0</v>
          </cell>
        </row>
        <row r="3281">
          <cell r="C3281">
            <v>0</v>
          </cell>
        </row>
        <row r="3282">
          <cell r="C3282">
            <v>0</v>
          </cell>
        </row>
        <row r="3283">
          <cell r="C3283">
            <v>0</v>
          </cell>
        </row>
        <row r="3284">
          <cell r="C3284">
            <v>0</v>
          </cell>
        </row>
        <row r="3285">
          <cell r="C3285">
            <v>0</v>
          </cell>
        </row>
        <row r="3286">
          <cell r="C3286">
            <v>0</v>
          </cell>
        </row>
        <row r="3287">
          <cell r="C3287">
            <v>0</v>
          </cell>
        </row>
        <row r="3288">
          <cell r="C3288">
            <v>0</v>
          </cell>
        </row>
        <row r="3289">
          <cell r="C3289">
            <v>0</v>
          </cell>
        </row>
        <row r="3290">
          <cell r="C3290">
            <v>0</v>
          </cell>
        </row>
        <row r="3291">
          <cell r="C3291">
            <v>0</v>
          </cell>
        </row>
        <row r="3292">
          <cell r="C3292">
            <v>0</v>
          </cell>
        </row>
        <row r="3293">
          <cell r="C3293">
            <v>0</v>
          </cell>
        </row>
        <row r="3294">
          <cell r="C3294">
            <v>0</v>
          </cell>
        </row>
        <row r="3295">
          <cell r="C3295">
            <v>0</v>
          </cell>
        </row>
        <row r="3296">
          <cell r="C3296">
            <v>0</v>
          </cell>
        </row>
        <row r="3297">
          <cell r="C3297">
            <v>0</v>
          </cell>
        </row>
        <row r="3298">
          <cell r="C3298">
            <v>0</v>
          </cell>
        </row>
        <row r="3299">
          <cell r="C3299">
            <v>0</v>
          </cell>
        </row>
        <row r="3300">
          <cell r="C3300">
            <v>0</v>
          </cell>
        </row>
        <row r="3301">
          <cell r="C3301">
            <v>0</v>
          </cell>
        </row>
        <row r="3302">
          <cell r="C3302">
            <v>0</v>
          </cell>
        </row>
        <row r="3303">
          <cell r="C3303">
            <v>0</v>
          </cell>
        </row>
        <row r="3304">
          <cell r="C3304">
            <v>0</v>
          </cell>
        </row>
        <row r="3305">
          <cell r="C3305">
            <v>0</v>
          </cell>
        </row>
        <row r="3306">
          <cell r="C3306">
            <v>0</v>
          </cell>
        </row>
        <row r="3307">
          <cell r="C3307">
            <v>0</v>
          </cell>
        </row>
        <row r="3308">
          <cell r="C3308">
            <v>0</v>
          </cell>
        </row>
        <row r="3309">
          <cell r="C3309">
            <v>0</v>
          </cell>
        </row>
        <row r="3310">
          <cell r="C3310">
            <v>0</v>
          </cell>
        </row>
        <row r="3311">
          <cell r="C3311">
            <v>0</v>
          </cell>
        </row>
        <row r="3312">
          <cell r="C3312">
            <v>0</v>
          </cell>
        </row>
        <row r="3313">
          <cell r="C3313">
            <v>0</v>
          </cell>
        </row>
        <row r="3314">
          <cell r="C3314">
            <v>0</v>
          </cell>
        </row>
        <row r="3315">
          <cell r="C3315">
            <v>0</v>
          </cell>
        </row>
        <row r="3316">
          <cell r="C3316">
            <v>0</v>
          </cell>
        </row>
        <row r="3317">
          <cell r="C3317">
            <v>0</v>
          </cell>
        </row>
        <row r="3318">
          <cell r="C3318">
            <v>0</v>
          </cell>
        </row>
        <row r="3319">
          <cell r="C3319">
            <v>0</v>
          </cell>
        </row>
        <row r="3320">
          <cell r="C3320">
            <v>0</v>
          </cell>
        </row>
        <row r="3321">
          <cell r="C3321">
            <v>0</v>
          </cell>
        </row>
        <row r="3322">
          <cell r="C3322">
            <v>0</v>
          </cell>
        </row>
        <row r="3323">
          <cell r="C3323">
            <v>0</v>
          </cell>
        </row>
        <row r="3324">
          <cell r="C3324">
            <v>0</v>
          </cell>
        </row>
        <row r="3325">
          <cell r="C3325">
            <v>0</v>
          </cell>
        </row>
        <row r="3326">
          <cell r="C3326">
            <v>0</v>
          </cell>
        </row>
        <row r="3327">
          <cell r="C3327">
            <v>0</v>
          </cell>
        </row>
        <row r="3328">
          <cell r="C3328">
            <v>0</v>
          </cell>
        </row>
        <row r="3329">
          <cell r="C3329">
            <v>0</v>
          </cell>
        </row>
        <row r="3330">
          <cell r="C3330">
            <v>0</v>
          </cell>
        </row>
        <row r="3331">
          <cell r="C3331">
            <v>0</v>
          </cell>
        </row>
        <row r="3332">
          <cell r="C3332">
            <v>0</v>
          </cell>
        </row>
        <row r="3333">
          <cell r="C3333">
            <v>0</v>
          </cell>
        </row>
        <row r="3334">
          <cell r="C3334">
            <v>0</v>
          </cell>
        </row>
        <row r="3335">
          <cell r="C3335">
            <v>0</v>
          </cell>
        </row>
        <row r="3336">
          <cell r="C3336">
            <v>0</v>
          </cell>
        </row>
        <row r="3337">
          <cell r="C3337">
            <v>0</v>
          </cell>
        </row>
        <row r="3338">
          <cell r="C3338">
            <v>0</v>
          </cell>
        </row>
        <row r="3339">
          <cell r="C3339">
            <v>0</v>
          </cell>
        </row>
        <row r="3340">
          <cell r="C3340">
            <v>0</v>
          </cell>
        </row>
        <row r="3341">
          <cell r="C3341">
            <v>0</v>
          </cell>
        </row>
        <row r="3342">
          <cell r="C3342">
            <v>0</v>
          </cell>
        </row>
        <row r="3343">
          <cell r="C3343">
            <v>0</v>
          </cell>
        </row>
        <row r="3344">
          <cell r="C3344">
            <v>0</v>
          </cell>
        </row>
        <row r="3345">
          <cell r="C3345">
            <v>0</v>
          </cell>
        </row>
        <row r="3346">
          <cell r="C3346">
            <v>0</v>
          </cell>
        </row>
        <row r="3347">
          <cell r="C3347">
            <v>0</v>
          </cell>
        </row>
        <row r="3348">
          <cell r="C3348">
            <v>0</v>
          </cell>
        </row>
        <row r="3349">
          <cell r="C3349">
            <v>0</v>
          </cell>
        </row>
        <row r="3350">
          <cell r="C3350">
            <v>0</v>
          </cell>
        </row>
        <row r="3351">
          <cell r="C3351">
            <v>0</v>
          </cell>
        </row>
        <row r="3352">
          <cell r="C3352">
            <v>0</v>
          </cell>
        </row>
        <row r="3353">
          <cell r="C3353">
            <v>0</v>
          </cell>
        </row>
        <row r="3354">
          <cell r="C3354">
            <v>0</v>
          </cell>
        </row>
        <row r="3355">
          <cell r="C3355">
            <v>0</v>
          </cell>
        </row>
        <row r="3356">
          <cell r="C3356">
            <v>0</v>
          </cell>
        </row>
        <row r="3357">
          <cell r="C3357">
            <v>0</v>
          </cell>
        </row>
        <row r="3358">
          <cell r="C3358">
            <v>0</v>
          </cell>
        </row>
        <row r="3359">
          <cell r="C3359">
            <v>0</v>
          </cell>
        </row>
        <row r="3360">
          <cell r="C3360">
            <v>0</v>
          </cell>
        </row>
        <row r="3361">
          <cell r="C3361">
            <v>0</v>
          </cell>
        </row>
        <row r="3362">
          <cell r="C3362">
            <v>0</v>
          </cell>
        </row>
        <row r="3363">
          <cell r="C3363">
            <v>0</v>
          </cell>
        </row>
        <row r="3364">
          <cell r="C3364">
            <v>0</v>
          </cell>
        </row>
        <row r="3365">
          <cell r="C3365">
            <v>0</v>
          </cell>
        </row>
        <row r="3366">
          <cell r="C3366">
            <v>0</v>
          </cell>
        </row>
        <row r="3367">
          <cell r="C3367">
            <v>0</v>
          </cell>
        </row>
        <row r="3368">
          <cell r="C3368">
            <v>0</v>
          </cell>
        </row>
        <row r="3369">
          <cell r="C3369">
            <v>0</v>
          </cell>
        </row>
        <row r="3370">
          <cell r="C3370">
            <v>0</v>
          </cell>
        </row>
        <row r="3371">
          <cell r="C3371">
            <v>0</v>
          </cell>
        </row>
        <row r="3372">
          <cell r="C3372">
            <v>0</v>
          </cell>
        </row>
        <row r="3373">
          <cell r="C3373">
            <v>0</v>
          </cell>
        </row>
        <row r="3374">
          <cell r="C3374">
            <v>0</v>
          </cell>
        </row>
        <row r="3375">
          <cell r="C3375">
            <v>0</v>
          </cell>
        </row>
        <row r="3376">
          <cell r="C3376">
            <v>0</v>
          </cell>
        </row>
        <row r="3377">
          <cell r="C3377">
            <v>0</v>
          </cell>
        </row>
        <row r="3378">
          <cell r="C3378">
            <v>0</v>
          </cell>
        </row>
        <row r="3379">
          <cell r="C3379">
            <v>0</v>
          </cell>
        </row>
        <row r="3380">
          <cell r="C3380">
            <v>0</v>
          </cell>
        </row>
        <row r="3381">
          <cell r="C3381">
            <v>0</v>
          </cell>
        </row>
        <row r="3382">
          <cell r="C3382">
            <v>0</v>
          </cell>
        </row>
        <row r="3383">
          <cell r="C3383">
            <v>0</v>
          </cell>
        </row>
        <row r="3384">
          <cell r="C3384">
            <v>0</v>
          </cell>
        </row>
        <row r="3385">
          <cell r="C3385">
            <v>0</v>
          </cell>
        </row>
        <row r="3386">
          <cell r="C3386">
            <v>0</v>
          </cell>
        </row>
        <row r="3387">
          <cell r="C3387">
            <v>0</v>
          </cell>
        </row>
        <row r="3388">
          <cell r="C3388">
            <v>0</v>
          </cell>
        </row>
        <row r="3389">
          <cell r="C3389">
            <v>0</v>
          </cell>
        </row>
        <row r="3390">
          <cell r="C3390">
            <v>0</v>
          </cell>
        </row>
        <row r="3391">
          <cell r="C3391">
            <v>0</v>
          </cell>
        </row>
        <row r="3392">
          <cell r="C3392">
            <v>0</v>
          </cell>
        </row>
        <row r="3393">
          <cell r="C3393">
            <v>0</v>
          </cell>
        </row>
        <row r="3394">
          <cell r="C3394">
            <v>0</v>
          </cell>
        </row>
        <row r="3395">
          <cell r="C3395">
            <v>0</v>
          </cell>
        </row>
        <row r="3396">
          <cell r="C3396">
            <v>0</v>
          </cell>
        </row>
        <row r="3397">
          <cell r="C3397">
            <v>0</v>
          </cell>
        </row>
        <row r="3398">
          <cell r="C3398">
            <v>0</v>
          </cell>
        </row>
        <row r="3399">
          <cell r="C3399">
            <v>0</v>
          </cell>
        </row>
        <row r="3400">
          <cell r="C3400">
            <v>0</v>
          </cell>
        </row>
        <row r="3401">
          <cell r="C3401">
            <v>0</v>
          </cell>
        </row>
        <row r="3402">
          <cell r="C3402">
            <v>0</v>
          </cell>
        </row>
        <row r="3403">
          <cell r="C3403">
            <v>0</v>
          </cell>
        </row>
        <row r="3404">
          <cell r="C3404">
            <v>0</v>
          </cell>
        </row>
        <row r="3405">
          <cell r="C3405">
            <v>0</v>
          </cell>
        </row>
        <row r="3406">
          <cell r="C3406">
            <v>0</v>
          </cell>
        </row>
        <row r="3407">
          <cell r="C3407">
            <v>0</v>
          </cell>
        </row>
        <row r="3408">
          <cell r="C3408">
            <v>0</v>
          </cell>
        </row>
        <row r="3409">
          <cell r="C3409">
            <v>0</v>
          </cell>
        </row>
        <row r="3410">
          <cell r="C3410">
            <v>0</v>
          </cell>
        </row>
        <row r="3411">
          <cell r="C3411">
            <v>0</v>
          </cell>
        </row>
        <row r="3412">
          <cell r="C3412">
            <v>0</v>
          </cell>
        </row>
        <row r="3413">
          <cell r="C3413">
            <v>0</v>
          </cell>
        </row>
        <row r="3414">
          <cell r="C3414">
            <v>0</v>
          </cell>
        </row>
        <row r="3415">
          <cell r="C3415">
            <v>0</v>
          </cell>
        </row>
        <row r="3416">
          <cell r="C3416">
            <v>0</v>
          </cell>
        </row>
        <row r="3417">
          <cell r="C3417">
            <v>0</v>
          </cell>
        </row>
        <row r="3418">
          <cell r="C3418">
            <v>0</v>
          </cell>
        </row>
        <row r="3419">
          <cell r="C3419">
            <v>0</v>
          </cell>
        </row>
        <row r="3420">
          <cell r="C3420">
            <v>0</v>
          </cell>
        </row>
        <row r="3421">
          <cell r="C3421">
            <v>0</v>
          </cell>
        </row>
        <row r="3422">
          <cell r="C3422">
            <v>0</v>
          </cell>
        </row>
        <row r="3423">
          <cell r="C3423">
            <v>0</v>
          </cell>
        </row>
        <row r="3424">
          <cell r="C3424">
            <v>0</v>
          </cell>
        </row>
        <row r="3425">
          <cell r="C3425">
            <v>0</v>
          </cell>
        </row>
        <row r="3426">
          <cell r="C3426">
            <v>0</v>
          </cell>
        </row>
        <row r="3427">
          <cell r="C3427">
            <v>0</v>
          </cell>
        </row>
        <row r="3428">
          <cell r="C3428">
            <v>0</v>
          </cell>
        </row>
        <row r="3429">
          <cell r="C3429">
            <v>0</v>
          </cell>
        </row>
        <row r="3430">
          <cell r="C3430">
            <v>0</v>
          </cell>
        </row>
        <row r="3431">
          <cell r="C3431">
            <v>0</v>
          </cell>
        </row>
        <row r="3432">
          <cell r="C3432">
            <v>0</v>
          </cell>
        </row>
        <row r="3433">
          <cell r="C3433">
            <v>0</v>
          </cell>
        </row>
        <row r="3434">
          <cell r="C3434">
            <v>0</v>
          </cell>
        </row>
        <row r="3435">
          <cell r="C3435">
            <v>0</v>
          </cell>
        </row>
        <row r="3436">
          <cell r="C3436">
            <v>0</v>
          </cell>
        </row>
        <row r="3437">
          <cell r="C3437">
            <v>0</v>
          </cell>
        </row>
        <row r="3438">
          <cell r="C3438">
            <v>0</v>
          </cell>
        </row>
        <row r="3439">
          <cell r="C3439">
            <v>0</v>
          </cell>
        </row>
        <row r="3440">
          <cell r="C3440">
            <v>0</v>
          </cell>
        </row>
        <row r="3441">
          <cell r="C3441">
            <v>0</v>
          </cell>
        </row>
        <row r="3442">
          <cell r="C3442">
            <v>0</v>
          </cell>
        </row>
        <row r="3443">
          <cell r="C3443">
            <v>0</v>
          </cell>
        </row>
        <row r="3444">
          <cell r="C3444">
            <v>0</v>
          </cell>
        </row>
        <row r="3445">
          <cell r="C3445">
            <v>0</v>
          </cell>
        </row>
        <row r="3446">
          <cell r="C3446">
            <v>0</v>
          </cell>
        </row>
        <row r="3447">
          <cell r="C3447">
            <v>0</v>
          </cell>
        </row>
        <row r="3448">
          <cell r="C3448">
            <v>0</v>
          </cell>
        </row>
        <row r="3449">
          <cell r="C3449">
            <v>0</v>
          </cell>
        </row>
        <row r="3450">
          <cell r="C3450">
            <v>0</v>
          </cell>
        </row>
        <row r="3451">
          <cell r="C3451">
            <v>0</v>
          </cell>
        </row>
        <row r="3452">
          <cell r="C3452">
            <v>0</v>
          </cell>
        </row>
        <row r="3453">
          <cell r="C3453">
            <v>0</v>
          </cell>
        </row>
        <row r="3454">
          <cell r="C3454">
            <v>0</v>
          </cell>
        </row>
        <row r="3455">
          <cell r="C3455">
            <v>0</v>
          </cell>
        </row>
        <row r="3456">
          <cell r="C3456">
            <v>0</v>
          </cell>
        </row>
        <row r="3457">
          <cell r="C3457">
            <v>0</v>
          </cell>
        </row>
        <row r="3458">
          <cell r="C3458">
            <v>0</v>
          </cell>
        </row>
        <row r="3459">
          <cell r="C3459">
            <v>0</v>
          </cell>
        </row>
        <row r="3460">
          <cell r="C3460">
            <v>0</v>
          </cell>
        </row>
        <row r="3461">
          <cell r="C3461">
            <v>0</v>
          </cell>
        </row>
        <row r="3462">
          <cell r="C3462">
            <v>0</v>
          </cell>
        </row>
        <row r="3463">
          <cell r="C3463">
            <v>0</v>
          </cell>
        </row>
        <row r="3464">
          <cell r="C3464">
            <v>0</v>
          </cell>
        </row>
        <row r="3465">
          <cell r="C3465">
            <v>0</v>
          </cell>
        </row>
        <row r="3466">
          <cell r="C3466">
            <v>0</v>
          </cell>
        </row>
        <row r="3467">
          <cell r="C3467">
            <v>0</v>
          </cell>
        </row>
        <row r="3468">
          <cell r="C3468">
            <v>0</v>
          </cell>
        </row>
        <row r="3469">
          <cell r="C3469">
            <v>0</v>
          </cell>
        </row>
        <row r="3470">
          <cell r="C3470">
            <v>0</v>
          </cell>
        </row>
        <row r="3471">
          <cell r="C3471">
            <v>0</v>
          </cell>
        </row>
        <row r="3472">
          <cell r="C3472">
            <v>0</v>
          </cell>
        </row>
        <row r="3473">
          <cell r="C3473">
            <v>0</v>
          </cell>
        </row>
        <row r="3474">
          <cell r="C3474">
            <v>0</v>
          </cell>
        </row>
        <row r="3475">
          <cell r="C3475">
            <v>0</v>
          </cell>
        </row>
        <row r="3476">
          <cell r="C3476">
            <v>0</v>
          </cell>
        </row>
        <row r="3477">
          <cell r="C3477">
            <v>0</v>
          </cell>
        </row>
        <row r="3478">
          <cell r="C3478">
            <v>0</v>
          </cell>
        </row>
        <row r="3479">
          <cell r="C3479">
            <v>0</v>
          </cell>
        </row>
        <row r="3480">
          <cell r="C3480">
            <v>0</v>
          </cell>
        </row>
        <row r="3481">
          <cell r="C3481">
            <v>0</v>
          </cell>
        </row>
        <row r="3482">
          <cell r="C3482">
            <v>0</v>
          </cell>
        </row>
        <row r="3483">
          <cell r="C3483">
            <v>0</v>
          </cell>
        </row>
        <row r="3484">
          <cell r="C3484">
            <v>0</v>
          </cell>
        </row>
        <row r="3485">
          <cell r="C3485">
            <v>0</v>
          </cell>
        </row>
        <row r="3486">
          <cell r="C3486">
            <v>0</v>
          </cell>
        </row>
        <row r="3487">
          <cell r="C3487">
            <v>0</v>
          </cell>
        </row>
        <row r="3488">
          <cell r="C3488">
            <v>0</v>
          </cell>
        </row>
        <row r="3489">
          <cell r="C3489">
            <v>0</v>
          </cell>
        </row>
        <row r="3490">
          <cell r="C3490">
            <v>0</v>
          </cell>
        </row>
        <row r="3491">
          <cell r="C3491">
            <v>0</v>
          </cell>
        </row>
        <row r="3492">
          <cell r="C3492">
            <v>0</v>
          </cell>
        </row>
        <row r="3493">
          <cell r="C3493">
            <v>0</v>
          </cell>
        </row>
        <row r="3494">
          <cell r="C3494">
            <v>0</v>
          </cell>
        </row>
        <row r="3495">
          <cell r="C3495">
            <v>0</v>
          </cell>
        </row>
        <row r="3496">
          <cell r="C3496">
            <v>0</v>
          </cell>
        </row>
        <row r="3497">
          <cell r="C3497">
            <v>0</v>
          </cell>
        </row>
        <row r="3498">
          <cell r="C3498">
            <v>0</v>
          </cell>
        </row>
        <row r="3499">
          <cell r="C3499">
            <v>0</v>
          </cell>
        </row>
        <row r="3500">
          <cell r="C3500">
            <v>0</v>
          </cell>
        </row>
        <row r="3501">
          <cell r="C3501">
            <v>0</v>
          </cell>
        </row>
        <row r="3502">
          <cell r="C3502">
            <v>0</v>
          </cell>
        </row>
        <row r="3503">
          <cell r="C3503">
            <v>0</v>
          </cell>
        </row>
        <row r="3504">
          <cell r="C3504">
            <v>0</v>
          </cell>
        </row>
        <row r="3505">
          <cell r="C3505">
            <v>0</v>
          </cell>
        </row>
        <row r="3506">
          <cell r="C3506">
            <v>0</v>
          </cell>
        </row>
        <row r="3507">
          <cell r="C3507">
            <v>0</v>
          </cell>
        </row>
        <row r="3508">
          <cell r="C3508">
            <v>0</v>
          </cell>
        </row>
        <row r="3509">
          <cell r="C3509">
            <v>0</v>
          </cell>
        </row>
        <row r="3510">
          <cell r="C3510">
            <v>0</v>
          </cell>
        </row>
        <row r="3511">
          <cell r="C3511">
            <v>0</v>
          </cell>
        </row>
        <row r="3512">
          <cell r="C3512">
            <v>0</v>
          </cell>
        </row>
        <row r="3513">
          <cell r="C3513">
            <v>0</v>
          </cell>
        </row>
        <row r="3514">
          <cell r="C3514">
            <v>0</v>
          </cell>
        </row>
        <row r="3515">
          <cell r="C3515">
            <v>0</v>
          </cell>
        </row>
        <row r="3516">
          <cell r="C3516">
            <v>0</v>
          </cell>
        </row>
        <row r="3517">
          <cell r="C3517">
            <v>0</v>
          </cell>
        </row>
        <row r="3518">
          <cell r="C3518">
            <v>0</v>
          </cell>
        </row>
        <row r="3519">
          <cell r="C3519">
            <v>0</v>
          </cell>
        </row>
        <row r="3520">
          <cell r="C3520">
            <v>0</v>
          </cell>
        </row>
        <row r="3521">
          <cell r="C3521">
            <v>0</v>
          </cell>
        </row>
        <row r="3522">
          <cell r="C3522">
            <v>0</v>
          </cell>
        </row>
        <row r="3523">
          <cell r="C3523">
            <v>0</v>
          </cell>
        </row>
        <row r="3524">
          <cell r="C3524">
            <v>0</v>
          </cell>
        </row>
        <row r="3525">
          <cell r="C3525">
            <v>0</v>
          </cell>
        </row>
        <row r="3526">
          <cell r="C3526">
            <v>0</v>
          </cell>
        </row>
        <row r="3527">
          <cell r="C3527">
            <v>0</v>
          </cell>
        </row>
        <row r="3528">
          <cell r="C3528">
            <v>0</v>
          </cell>
        </row>
        <row r="3529">
          <cell r="C3529">
            <v>0</v>
          </cell>
        </row>
        <row r="3530">
          <cell r="C3530">
            <v>0</v>
          </cell>
        </row>
        <row r="3531">
          <cell r="C3531">
            <v>0</v>
          </cell>
        </row>
        <row r="3532">
          <cell r="C3532">
            <v>0</v>
          </cell>
        </row>
        <row r="3533">
          <cell r="C3533">
            <v>0</v>
          </cell>
        </row>
        <row r="3534">
          <cell r="C3534">
            <v>0</v>
          </cell>
        </row>
        <row r="3535">
          <cell r="C3535">
            <v>0</v>
          </cell>
        </row>
        <row r="3536">
          <cell r="C3536">
            <v>0</v>
          </cell>
        </row>
        <row r="3537">
          <cell r="C3537">
            <v>0</v>
          </cell>
        </row>
        <row r="3538">
          <cell r="C3538">
            <v>0</v>
          </cell>
        </row>
        <row r="3539">
          <cell r="C3539">
            <v>0</v>
          </cell>
        </row>
        <row r="3540">
          <cell r="C3540">
            <v>0</v>
          </cell>
        </row>
        <row r="3541">
          <cell r="C3541">
            <v>0</v>
          </cell>
        </row>
        <row r="3542">
          <cell r="C3542">
            <v>0</v>
          </cell>
        </row>
        <row r="3543">
          <cell r="C3543">
            <v>0</v>
          </cell>
        </row>
        <row r="3544">
          <cell r="C3544">
            <v>0</v>
          </cell>
        </row>
        <row r="3545">
          <cell r="C3545">
            <v>0</v>
          </cell>
        </row>
        <row r="3546">
          <cell r="C3546">
            <v>0</v>
          </cell>
        </row>
        <row r="3547">
          <cell r="C3547">
            <v>0</v>
          </cell>
        </row>
        <row r="3548">
          <cell r="C3548">
            <v>0</v>
          </cell>
        </row>
        <row r="3549">
          <cell r="C3549">
            <v>0</v>
          </cell>
        </row>
        <row r="3550">
          <cell r="C3550">
            <v>0</v>
          </cell>
        </row>
        <row r="3551">
          <cell r="C3551">
            <v>0</v>
          </cell>
        </row>
        <row r="3552">
          <cell r="C3552">
            <v>0</v>
          </cell>
        </row>
        <row r="3553">
          <cell r="C3553">
            <v>0</v>
          </cell>
        </row>
        <row r="3554">
          <cell r="C3554">
            <v>0</v>
          </cell>
        </row>
        <row r="3555">
          <cell r="C3555">
            <v>0</v>
          </cell>
        </row>
        <row r="3556">
          <cell r="C3556">
            <v>0</v>
          </cell>
        </row>
        <row r="3557">
          <cell r="C3557">
            <v>0</v>
          </cell>
        </row>
        <row r="3558">
          <cell r="C3558">
            <v>0</v>
          </cell>
        </row>
        <row r="3559">
          <cell r="C3559">
            <v>0</v>
          </cell>
        </row>
        <row r="3560">
          <cell r="C3560">
            <v>0</v>
          </cell>
        </row>
        <row r="3561">
          <cell r="C3561">
            <v>0</v>
          </cell>
        </row>
        <row r="3562">
          <cell r="C3562">
            <v>0</v>
          </cell>
        </row>
        <row r="3563">
          <cell r="C3563">
            <v>0</v>
          </cell>
        </row>
        <row r="3564">
          <cell r="C3564">
            <v>0</v>
          </cell>
        </row>
        <row r="3565">
          <cell r="C3565">
            <v>0</v>
          </cell>
        </row>
        <row r="3566">
          <cell r="C3566">
            <v>0</v>
          </cell>
        </row>
        <row r="3567">
          <cell r="C3567">
            <v>0</v>
          </cell>
        </row>
        <row r="3568">
          <cell r="C3568">
            <v>0</v>
          </cell>
        </row>
        <row r="3569">
          <cell r="C3569">
            <v>0</v>
          </cell>
        </row>
        <row r="3570">
          <cell r="C3570">
            <v>0</v>
          </cell>
        </row>
        <row r="3571">
          <cell r="C3571">
            <v>0</v>
          </cell>
        </row>
        <row r="3572">
          <cell r="C3572">
            <v>0</v>
          </cell>
        </row>
        <row r="3573">
          <cell r="C3573">
            <v>0</v>
          </cell>
        </row>
        <row r="3574">
          <cell r="C3574">
            <v>0</v>
          </cell>
        </row>
        <row r="3575">
          <cell r="C3575">
            <v>0</v>
          </cell>
        </row>
        <row r="3576">
          <cell r="C3576">
            <v>0</v>
          </cell>
        </row>
        <row r="3577">
          <cell r="C3577">
            <v>0</v>
          </cell>
        </row>
        <row r="3578">
          <cell r="C3578">
            <v>0</v>
          </cell>
        </row>
        <row r="3579">
          <cell r="C3579">
            <v>0</v>
          </cell>
        </row>
        <row r="3580">
          <cell r="C3580">
            <v>0</v>
          </cell>
        </row>
        <row r="3581">
          <cell r="C3581">
            <v>0</v>
          </cell>
        </row>
        <row r="3582">
          <cell r="C3582">
            <v>0</v>
          </cell>
        </row>
        <row r="3583">
          <cell r="C3583">
            <v>0</v>
          </cell>
        </row>
        <row r="3584">
          <cell r="C3584">
            <v>0</v>
          </cell>
        </row>
        <row r="3585">
          <cell r="C3585">
            <v>0</v>
          </cell>
        </row>
        <row r="3586">
          <cell r="C3586">
            <v>0</v>
          </cell>
        </row>
        <row r="3587">
          <cell r="C3587">
            <v>0</v>
          </cell>
        </row>
        <row r="3588">
          <cell r="C3588">
            <v>0</v>
          </cell>
        </row>
        <row r="3589">
          <cell r="C3589">
            <v>0</v>
          </cell>
        </row>
        <row r="3590">
          <cell r="C3590">
            <v>0</v>
          </cell>
        </row>
        <row r="3591">
          <cell r="C3591">
            <v>0</v>
          </cell>
        </row>
        <row r="3592">
          <cell r="C3592">
            <v>0</v>
          </cell>
        </row>
        <row r="3593">
          <cell r="C3593">
            <v>0</v>
          </cell>
        </row>
        <row r="3594">
          <cell r="C3594">
            <v>0</v>
          </cell>
        </row>
        <row r="3595">
          <cell r="C3595">
            <v>0</v>
          </cell>
        </row>
        <row r="3596">
          <cell r="C3596">
            <v>0</v>
          </cell>
        </row>
        <row r="3597">
          <cell r="C3597">
            <v>0</v>
          </cell>
        </row>
        <row r="3598">
          <cell r="C3598">
            <v>0</v>
          </cell>
        </row>
        <row r="3599">
          <cell r="C3599">
            <v>0</v>
          </cell>
        </row>
        <row r="3600">
          <cell r="C3600">
            <v>0</v>
          </cell>
        </row>
        <row r="3601">
          <cell r="C3601">
            <v>0</v>
          </cell>
        </row>
        <row r="3602">
          <cell r="C3602">
            <v>0</v>
          </cell>
        </row>
        <row r="3603">
          <cell r="C3603">
            <v>0</v>
          </cell>
        </row>
        <row r="3604">
          <cell r="C3604">
            <v>0</v>
          </cell>
        </row>
        <row r="3605">
          <cell r="C3605">
            <v>0</v>
          </cell>
        </row>
        <row r="3606">
          <cell r="C3606">
            <v>0</v>
          </cell>
        </row>
        <row r="3607">
          <cell r="C3607">
            <v>0</v>
          </cell>
        </row>
        <row r="3608">
          <cell r="C3608">
            <v>0</v>
          </cell>
        </row>
        <row r="3609">
          <cell r="C3609">
            <v>0</v>
          </cell>
        </row>
        <row r="3610">
          <cell r="C3610">
            <v>0</v>
          </cell>
        </row>
        <row r="3611">
          <cell r="C3611">
            <v>0</v>
          </cell>
        </row>
        <row r="3612">
          <cell r="C3612">
            <v>0</v>
          </cell>
        </row>
        <row r="3613">
          <cell r="C3613">
            <v>0</v>
          </cell>
        </row>
        <row r="3614">
          <cell r="C3614">
            <v>0</v>
          </cell>
        </row>
        <row r="3615">
          <cell r="C3615">
            <v>0</v>
          </cell>
        </row>
        <row r="3616">
          <cell r="C3616">
            <v>0</v>
          </cell>
        </row>
        <row r="3617">
          <cell r="C3617">
            <v>0</v>
          </cell>
        </row>
        <row r="3618">
          <cell r="C3618">
            <v>0</v>
          </cell>
        </row>
        <row r="3619">
          <cell r="C3619">
            <v>0</v>
          </cell>
        </row>
        <row r="3620">
          <cell r="C3620">
            <v>0</v>
          </cell>
        </row>
        <row r="3621">
          <cell r="C3621">
            <v>0</v>
          </cell>
        </row>
        <row r="3622">
          <cell r="C3622">
            <v>0</v>
          </cell>
        </row>
        <row r="3623">
          <cell r="C3623">
            <v>0</v>
          </cell>
        </row>
        <row r="3624">
          <cell r="C3624">
            <v>0</v>
          </cell>
        </row>
        <row r="3625">
          <cell r="C3625">
            <v>0</v>
          </cell>
        </row>
        <row r="3626">
          <cell r="C3626">
            <v>0</v>
          </cell>
        </row>
        <row r="3627">
          <cell r="C3627">
            <v>0</v>
          </cell>
        </row>
        <row r="3628">
          <cell r="C3628">
            <v>0</v>
          </cell>
        </row>
        <row r="3629">
          <cell r="C3629">
            <v>0</v>
          </cell>
        </row>
        <row r="3630">
          <cell r="C3630">
            <v>0</v>
          </cell>
        </row>
        <row r="3631">
          <cell r="C3631">
            <v>0</v>
          </cell>
        </row>
        <row r="3632">
          <cell r="C3632">
            <v>0</v>
          </cell>
        </row>
        <row r="3633">
          <cell r="C3633">
            <v>0</v>
          </cell>
        </row>
        <row r="3634">
          <cell r="C3634">
            <v>0</v>
          </cell>
        </row>
        <row r="3635">
          <cell r="C3635">
            <v>0</v>
          </cell>
        </row>
        <row r="3636">
          <cell r="C3636">
            <v>0</v>
          </cell>
        </row>
        <row r="3637">
          <cell r="C3637">
            <v>0</v>
          </cell>
        </row>
        <row r="3638">
          <cell r="C3638">
            <v>0</v>
          </cell>
        </row>
        <row r="3639">
          <cell r="C3639">
            <v>0</v>
          </cell>
        </row>
        <row r="3640">
          <cell r="C3640">
            <v>0</v>
          </cell>
        </row>
        <row r="3641">
          <cell r="C3641">
            <v>0</v>
          </cell>
        </row>
        <row r="3642">
          <cell r="C3642">
            <v>0</v>
          </cell>
        </row>
        <row r="3643">
          <cell r="C3643">
            <v>0</v>
          </cell>
        </row>
        <row r="3644">
          <cell r="C3644">
            <v>0</v>
          </cell>
        </row>
        <row r="3645">
          <cell r="C3645">
            <v>0</v>
          </cell>
        </row>
        <row r="3646">
          <cell r="C3646">
            <v>0</v>
          </cell>
        </row>
        <row r="3647">
          <cell r="C3647">
            <v>0</v>
          </cell>
        </row>
        <row r="3648">
          <cell r="C3648">
            <v>0</v>
          </cell>
        </row>
        <row r="3649">
          <cell r="C3649">
            <v>0</v>
          </cell>
        </row>
        <row r="3650">
          <cell r="C3650">
            <v>0</v>
          </cell>
        </row>
        <row r="3651">
          <cell r="C3651">
            <v>0</v>
          </cell>
        </row>
        <row r="3652">
          <cell r="C3652">
            <v>0</v>
          </cell>
        </row>
        <row r="3653">
          <cell r="C3653">
            <v>0</v>
          </cell>
        </row>
        <row r="3654">
          <cell r="C3654">
            <v>0</v>
          </cell>
        </row>
        <row r="3655">
          <cell r="C3655">
            <v>0</v>
          </cell>
        </row>
        <row r="3656">
          <cell r="C3656">
            <v>0</v>
          </cell>
        </row>
        <row r="3657">
          <cell r="C3657">
            <v>0</v>
          </cell>
        </row>
        <row r="3658">
          <cell r="C3658">
            <v>0</v>
          </cell>
        </row>
        <row r="3659">
          <cell r="C3659">
            <v>0</v>
          </cell>
        </row>
        <row r="3660">
          <cell r="C3660">
            <v>0</v>
          </cell>
        </row>
        <row r="3661">
          <cell r="C3661">
            <v>0</v>
          </cell>
        </row>
        <row r="3662">
          <cell r="C3662">
            <v>0</v>
          </cell>
        </row>
        <row r="3663">
          <cell r="C3663">
            <v>0</v>
          </cell>
        </row>
        <row r="3664">
          <cell r="C3664">
            <v>0</v>
          </cell>
        </row>
        <row r="3665">
          <cell r="C3665">
            <v>0</v>
          </cell>
        </row>
        <row r="3666">
          <cell r="C3666">
            <v>0</v>
          </cell>
        </row>
        <row r="3667">
          <cell r="C3667">
            <v>0</v>
          </cell>
        </row>
        <row r="3668">
          <cell r="C3668">
            <v>0</v>
          </cell>
        </row>
        <row r="3669">
          <cell r="C3669">
            <v>0</v>
          </cell>
        </row>
        <row r="3670">
          <cell r="C3670">
            <v>0</v>
          </cell>
        </row>
        <row r="3671">
          <cell r="C3671">
            <v>0</v>
          </cell>
        </row>
        <row r="3672">
          <cell r="C3672">
            <v>0</v>
          </cell>
        </row>
        <row r="3673">
          <cell r="C3673">
            <v>0</v>
          </cell>
        </row>
        <row r="3674">
          <cell r="C3674">
            <v>0</v>
          </cell>
        </row>
        <row r="3675">
          <cell r="C3675">
            <v>0</v>
          </cell>
        </row>
        <row r="3676">
          <cell r="C3676">
            <v>0</v>
          </cell>
        </row>
        <row r="3677">
          <cell r="C3677">
            <v>0</v>
          </cell>
        </row>
        <row r="3678">
          <cell r="C3678">
            <v>0</v>
          </cell>
        </row>
        <row r="3679">
          <cell r="C3679">
            <v>0</v>
          </cell>
        </row>
        <row r="3680">
          <cell r="C3680">
            <v>0</v>
          </cell>
        </row>
        <row r="3681">
          <cell r="C3681">
            <v>0</v>
          </cell>
        </row>
        <row r="3682">
          <cell r="C3682">
            <v>0</v>
          </cell>
        </row>
        <row r="3683">
          <cell r="C3683">
            <v>0</v>
          </cell>
        </row>
        <row r="3684">
          <cell r="C3684">
            <v>0</v>
          </cell>
        </row>
        <row r="3685">
          <cell r="C3685">
            <v>0</v>
          </cell>
        </row>
        <row r="3686">
          <cell r="C3686">
            <v>0</v>
          </cell>
        </row>
        <row r="3687">
          <cell r="C3687">
            <v>0</v>
          </cell>
        </row>
        <row r="3688">
          <cell r="C3688">
            <v>0</v>
          </cell>
        </row>
        <row r="3689">
          <cell r="C3689">
            <v>0</v>
          </cell>
        </row>
        <row r="3690">
          <cell r="C3690">
            <v>0</v>
          </cell>
        </row>
        <row r="3691">
          <cell r="C3691">
            <v>0</v>
          </cell>
        </row>
        <row r="3692">
          <cell r="C3692">
            <v>0</v>
          </cell>
        </row>
        <row r="3693">
          <cell r="C3693">
            <v>0</v>
          </cell>
        </row>
        <row r="3694">
          <cell r="C3694">
            <v>0</v>
          </cell>
        </row>
        <row r="3695">
          <cell r="C3695">
            <v>0</v>
          </cell>
        </row>
        <row r="3696">
          <cell r="C3696">
            <v>0</v>
          </cell>
        </row>
        <row r="3697">
          <cell r="C3697">
            <v>0</v>
          </cell>
        </row>
        <row r="3698">
          <cell r="C3698">
            <v>0</v>
          </cell>
        </row>
        <row r="3699">
          <cell r="C3699">
            <v>0</v>
          </cell>
        </row>
        <row r="3700">
          <cell r="C3700">
            <v>0</v>
          </cell>
        </row>
        <row r="3701">
          <cell r="C3701">
            <v>0</v>
          </cell>
        </row>
        <row r="3702">
          <cell r="C3702">
            <v>0</v>
          </cell>
        </row>
        <row r="3703">
          <cell r="C3703">
            <v>0</v>
          </cell>
        </row>
        <row r="3704">
          <cell r="C3704">
            <v>0</v>
          </cell>
        </row>
        <row r="3705">
          <cell r="C3705">
            <v>0</v>
          </cell>
        </row>
        <row r="3706">
          <cell r="C3706">
            <v>0</v>
          </cell>
        </row>
        <row r="3707">
          <cell r="C3707">
            <v>0</v>
          </cell>
        </row>
        <row r="3708">
          <cell r="C3708">
            <v>0</v>
          </cell>
        </row>
        <row r="3709">
          <cell r="C3709">
            <v>0</v>
          </cell>
        </row>
        <row r="3710">
          <cell r="C3710">
            <v>0</v>
          </cell>
        </row>
        <row r="3711">
          <cell r="C3711">
            <v>0</v>
          </cell>
        </row>
        <row r="3712">
          <cell r="C3712">
            <v>0</v>
          </cell>
        </row>
        <row r="3713">
          <cell r="C3713">
            <v>0</v>
          </cell>
        </row>
        <row r="3714">
          <cell r="C3714">
            <v>0</v>
          </cell>
        </row>
        <row r="3715">
          <cell r="C3715">
            <v>0</v>
          </cell>
        </row>
        <row r="3716">
          <cell r="C3716">
            <v>0</v>
          </cell>
        </row>
        <row r="3717">
          <cell r="C3717">
            <v>0</v>
          </cell>
        </row>
        <row r="3718">
          <cell r="C3718">
            <v>0</v>
          </cell>
        </row>
        <row r="3719">
          <cell r="C3719">
            <v>0</v>
          </cell>
        </row>
        <row r="3720">
          <cell r="C3720">
            <v>0</v>
          </cell>
        </row>
        <row r="3721">
          <cell r="C3721">
            <v>0</v>
          </cell>
        </row>
        <row r="3722">
          <cell r="C3722">
            <v>0</v>
          </cell>
        </row>
        <row r="3723">
          <cell r="C3723">
            <v>0</v>
          </cell>
        </row>
        <row r="3724">
          <cell r="C3724">
            <v>0</v>
          </cell>
        </row>
        <row r="3725">
          <cell r="C3725">
            <v>0</v>
          </cell>
        </row>
        <row r="3726">
          <cell r="C3726">
            <v>0</v>
          </cell>
        </row>
        <row r="3727">
          <cell r="C3727">
            <v>0</v>
          </cell>
        </row>
        <row r="3728">
          <cell r="C3728">
            <v>0</v>
          </cell>
        </row>
        <row r="3729">
          <cell r="C3729">
            <v>0</v>
          </cell>
        </row>
        <row r="3730">
          <cell r="C3730">
            <v>0</v>
          </cell>
        </row>
        <row r="3731">
          <cell r="C3731">
            <v>0</v>
          </cell>
        </row>
        <row r="3732">
          <cell r="C3732">
            <v>0</v>
          </cell>
        </row>
        <row r="3733">
          <cell r="C3733">
            <v>0</v>
          </cell>
        </row>
        <row r="3734">
          <cell r="C3734">
            <v>0</v>
          </cell>
        </row>
        <row r="3735">
          <cell r="C3735">
            <v>0</v>
          </cell>
        </row>
        <row r="3736">
          <cell r="C3736">
            <v>0</v>
          </cell>
        </row>
        <row r="3737">
          <cell r="C3737">
            <v>0</v>
          </cell>
        </row>
        <row r="3738">
          <cell r="C3738">
            <v>0</v>
          </cell>
        </row>
        <row r="3739">
          <cell r="C3739">
            <v>0</v>
          </cell>
        </row>
        <row r="3740">
          <cell r="C3740">
            <v>0</v>
          </cell>
        </row>
        <row r="3741">
          <cell r="C3741">
            <v>0</v>
          </cell>
        </row>
        <row r="3742">
          <cell r="C3742">
            <v>0</v>
          </cell>
        </row>
        <row r="3743">
          <cell r="C3743">
            <v>0</v>
          </cell>
        </row>
        <row r="3744">
          <cell r="C3744">
            <v>0</v>
          </cell>
        </row>
        <row r="3745">
          <cell r="C3745">
            <v>0</v>
          </cell>
        </row>
        <row r="3746">
          <cell r="C3746">
            <v>0</v>
          </cell>
        </row>
        <row r="3747">
          <cell r="C3747">
            <v>0</v>
          </cell>
        </row>
        <row r="3748">
          <cell r="C3748">
            <v>0</v>
          </cell>
        </row>
        <row r="3749">
          <cell r="C3749">
            <v>0</v>
          </cell>
        </row>
        <row r="3750">
          <cell r="C3750">
            <v>0</v>
          </cell>
        </row>
        <row r="3751">
          <cell r="C3751">
            <v>0</v>
          </cell>
        </row>
        <row r="3752">
          <cell r="C3752">
            <v>0</v>
          </cell>
        </row>
        <row r="3753">
          <cell r="C3753">
            <v>0</v>
          </cell>
        </row>
        <row r="3754">
          <cell r="C3754">
            <v>0</v>
          </cell>
        </row>
        <row r="3755">
          <cell r="C3755">
            <v>0</v>
          </cell>
        </row>
        <row r="3756">
          <cell r="C3756">
            <v>0</v>
          </cell>
        </row>
        <row r="3757">
          <cell r="C3757">
            <v>0</v>
          </cell>
        </row>
        <row r="3758">
          <cell r="C3758">
            <v>0</v>
          </cell>
        </row>
        <row r="3759">
          <cell r="C3759">
            <v>0</v>
          </cell>
        </row>
        <row r="3760">
          <cell r="C3760">
            <v>0</v>
          </cell>
        </row>
        <row r="3761">
          <cell r="C3761">
            <v>0</v>
          </cell>
        </row>
        <row r="3762">
          <cell r="C3762">
            <v>0</v>
          </cell>
        </row>
        <row r="3763">
          <cell r="C3763">
            <v>0</v>
          </cell>
        </row>
        <row r="3764">
          <cell r="C3764">
            <v>0</v>
          </cell>
        </row>
        <row r="3765">
          <cell r="C3765">
            <v>0</v>
          </cell>
        </row>
        <row r="3766">
          <cell r="C3766">
            <v>0</v>
          </cell>
        </row>
        <row r="3767">
          <cell r="C3767">
            <v>0</v>
          </cell>
        </row>
        <row r="3768">
          <cell r="C3768">
            <v>0</v>
          </cell>
        </row>
        <row r="3769">
          <cell r="C3769">
            <v>0</v>
          </cell>
        </row>
        <row r="3770">
          <cell r="C3770">
            <v>0</v>
          </cell>
        </row>
        <row r="3771">
          <cell r="C3771">
            <v>0</v>
          </cell>
        </row>
        <row r="3772">
          <cell r="C3772">
            <v>0</v>
          </cell>
        </row>
        <row r="3773">
          <cell r="C3773">
            <v>0</v>
          </cell>
        </row>
        <row r="3774">
          <cell r="C3774">
            <v>0</v>
          </cell>
        </row>
        <row r="3775">
          <cell r="C3775">
            <v>0</v>
          </cell>
        </row>
        <row r="3776">
          <cell r="C3776">
            <v>0</v>
          </cell>
        </row>
        <row r="3777">
          <cell r="C3777">
            <v>0</v>
          </cell>
        </row>
        <row r="3778">
          <cell r="C3778">
            <v>0</v>
          </cell>
        </row>
        <row r="3779">
          <cell r="C3779">
            <v>0</v>
          </cell>
        </row>
        <row r="3780">
          <cell r="C3780">
            <v>0</v>
          </cell>
        </row>
        <row r="3781">
          <cell r="C3781">
            <v>0</v>
          </cell>
        </row>
        <row r="3782">
          <cell r="C3782">
            <v>0</v>
          </cell>
        </row>
        <row r="3783">
          <cell r="C3783">
            <v>0</v>
          </cell>
        </row>
        <row r="3784">
          <cell r="C3784">
            <v>0</v>
          </cell>
        </row>
        <row r="3785">
          <cell r="C3785">
            <v>0</v>
          </cell>
        </row>
        <row r="3786">
          <cell r="C3786">
            <v>0</v>
          </cell>
        </row>
        <row r="3787">
          <cell r="C3787">
            <v>0</v>
          </cell>
        </row>
        <row r="3788">
          <cell r="C3788">
            <v>0</v>
          </cell>
        </row>
        <row r="3789">
          <cell r="C3789">
            <v>0</v>
          </cell>
        </row>
        <row r="3790">
          <cell r="C3790">
            <v>0</v>
          </cell>
        </row>
        <row r="3791">
          <cell r="C3791">
            <v>0</v>
          </cell>
        </row>
        <row r="3792">
          <cell r="C3792">
            <v>0</v>
          </cell>
        </row>
        <row r="3793">
          <cell r="C3793">
            <v>0</v>
          </cell>
        </row>
        <row r="3794">
          <cell r="C3794">
            <v>0</v>
          </cell>
        </row>
        <row r="3795">
          <cell r="C3795">
            <v>0</v>
          </cell>
        </row>
        <row r="3796">
          <cell r="C3796">
            <v>0</v>
          </cell>
        </row>
        <row r="3797">
          <cell r="C3797">
            <v>0</v>
          </cell>
        </row>
        <row r="3798">
          <cell r="C3798">
            <v>0</v>
          </cell>
        </row>
        <row r="3799">
          <cell r="C3799">
            <v>0</v>
          </cell>
        </row>
        <row r="3800">
          <cell r="C3800">
            <v>0</v>
          </cell>
        </row>
        <row r="3801">
          <cell r="C3801">
            <v>0</v>
          </cell>
        </row>
        <row r="3802">
          <cell r="C3802">
            <v>0</v>
          </cell>
        </row>
        <row r="3803">
          <cell r="C3803">
            <v>0</v>
          </cell>
        </row>
        <row r="3804">
          <cell r="C3804">
            <v>0</v>
          </cell>
        </row>
        <row r="3805">
          <cell r="C3805">
            <v>0</v>
          </cell>
        </row>
        <row r="3806">
          <cell r="C3806">
            <v>0</v>
          </cell>
        </row>
        <row r="3807">
          <cell r="C3807">
            <v>0</v>
          </cell>
        </row>
        <row r="3808">
          <cell r="C3808">
            <v>0</v>
          </cell>
        </row>
        <row r="3809">
          <cell r="C3809">
            <v>0</v>
          </cell>
        </row>
        <row r="3810">
          <cell r="C3810">
            <v>0</v>
          </cell>
        </row>
        <row r="3811">
          <cell r="C3811">
            <v>0</v>
          </cell>
        </row>
        <row r="3812">
          <cell r="C3812">
            <v>0</v>
          </cell>
        </row>
        <row r="3813">
          <cell r="C3813">
            <v>0</v>
          </cell>
        </row>
        <row r="3814">
          <cell r="C3814">
            <v>0</v>
          </cell>
        </row>
        <row r="3815">
          <cell r="C3815">
            <v>0</v>
          </cell>
        </row>
        <row r="3816">
          <cell r="C3816">
            <v>0</v>
          </cell>
        </row>
        <row r="3817">
          <cell r="C3817">
            <v>0</v>
          </cell>
        </row>
        <row r="3818">
          <cell r="C3818">
            <v>0</v>
          </cell>
        </row>
        <row r="3819">
          <cell r="C3819">
            <v>0</v>
          </cell>
        </row>
        <row r="3820">
          <cell r="C3820">
            <v>0</v>
          </cell>
        </row>
        <row r="3821">
          <cell r="C3821">
            <v>0</v>
          </cell>
        </row>
        <row r="3822">
          <cell r="C3822">
            <v>0</v>
          </cell>
        </row>
        <row r="3823">
          <cell r="C3823">
            <v>0</v>
          </cell>
        </row>
        <row r="3824">
          <cell r="C3824">
            <v>0</v>
          </cell>
        </row>
        <row r="3825">
          <cell r="C3825">
            <v>0</v>
          </cell>
        </row>
        <row r="3826">
          <cell r="C3826">
            <v>0</v>
          </cell>
        </row>
        <row r="3827">
          <cell r="C3827">
            <v>0</v>
          </cell>
        </row>
        <row r="3828">
          <cell r="C3828">
            <v>0</v>
          </cell>
        </row>
        <row r="3829">
          <cell r="C3829">
            <v>0</v>
          </cell>
        </row>
        <row r="3830">
          <cell r="C3830">
            <v>0</v>
          </cell>
        </row>
        <row r="3831">
          <cell r="C3831">
            <v>0</v>
          </cell>
        </row>
        <row r="3832">
          <cell r="C3832">
            <v>0</v>
          </cell>
        </row>
        <row r="3833">
          <cell r="C3833">
            <v>0</v>
          </cell>
        </row>
        <row r="3834">
          <cell r="C3834">
            <v>0</v>
          </cell>
        </row>
        <row r="3835">
          <cell r="C3835">
            <v>0</v>
          </cell>
        </row>
        <row r="3836">
          <cell r="C3836">
            <v>0</v>
          </cell>
        </row>
        <row r="3837">
          <cell r="C3837">
            <v>0</v>
          </cell>
        </row>
        <row r="3838">
          <cell r="C3838">
            <v>0</v>
          </cell>
        </row>
        <row r="3839">
          <cell r="C3839">
            <v>0</v>
          </cell>
        </row>
        <row r="3840">
          <cell r="C3840">
            <v>0</v>
          </cell>
        </row>
        <row r="3841">
          <cell r="C3841">
            <v>0</v>
          </cell>
        </row>
        <row r="3842">
          <cell r="C3842">
            <v>0</v>
          </cell>
        </row>
        <row r="3843">
          <cell r="C3843">
            <v>0</v>
          </cell>
        </row>
        <row r="3844">
          <cell r="C3844">
            <v>0</v>
          </cell>
        </row>
        <row r="3845">
          <cell r="C3845">
            <v>0</v>
          </cell>
        </row>
        <row r="3846">
          <cell r="C3846">
            <v>0</v>
          </cell>
        </row>
        <row r="3847">
          <cell r="C3847">
            <v>0</v>
          </cell>
        </row>
        <row r="3848">
          <cell r="C3848">
            <v>0</v>
          </cell>
        </row>
        <row r="3849">
          <cell r="C3849">
            <v>0</v>
          </cell>
        </row>
        <row r="3850">
          <cell r="C3850">
            <v>0</v>
          </cell>
        </row>
        <row r="3851">
          <cell r="C3851">
            <v>0</v>
          </cell>
        </row>
        <row r="3852">
          <cell r="C3852">
            <v>0</v>
          </cell>
        </row>
        <row r="3853">
          <cell r="C3853">
            <v>0</v>
          </cell>
        </row>
        <row r="3854">
          <cell r="C3854">
            <v>0</v>
          </cell>
        </row>
        <row r="3855">
          <cell r="C3855">
            <v>0</v>
          </cell>
        </row>
        <row r="3856">
          <cell r="C3856">
            <v>0</v>
          </cell>
        </row>
        <row r="3857">
          <cell r="C3857">
            <v>0</v>
          </cell>
        </row>
        <row r="3858">
          <cell r="C3858">
            <v>0</v>
          </cell>
        </row>
        <row r="3859">
          <cell r="C3859">
            <v>0</v>
          </cell>
        </row>
        <row r="3860">
          <cell r="C3860">
            <v>0</v>
          </cell>
        </row>
        <row r="3861">
          <cell r="C3861">
            <v>0</v>
          </cell>
        </row>
        <row r="3862">
          <cell r="C3862">
            <v>0</v>
          </cell>
        </row>
        <row r="3863">
          <cell r="C3863">
            <v>0</v>
          </cell>
        </row>
        <row r="3864">
          <cell r="C3864">
            <v>0</v>
          </cell>
        </row>
        <row r="3865">
          <cell r="C3865">
            <v>0</v>
          </cell>
        </row>
        <row r="3866">
          <cell r="C3866">
            <v>0</v>
          </cell>
        </row>
        <row r="3867">
          <cell r="C3867">
            <v>0</v>
          </cell>
        </row>
        <row r="3868">
          <cell r="C3868">
            <v>0</v>
          </cell>
        </row>
        <row r="3869">
          <cell r="C3869">
            <v>0</v>
          </cell>
        </row>
        <row r="3870">
          <cell r="C3870">
            <v>0</v>
          </cell>
        </row>
        <row r="3871">
          <cell r="C3871">
            <v>0</v>
          </cell>
        </row>
        <row r="3872">
          <cell r="C3872">
            <v>0</v>
          </cell>
        </row>
        <row r="3873">
          <cell r="C3873">
            <v>0</v>
          </cell>
        </row>
        <row r="3874">
          <cell r="C3874">
            <v>0</v>
          </cell>
        </row>
        <row r="3875">
          <cell r="C3875">
            <v>0</v>
          </cell>
        </row>
        <row r="3876">
          <cell r="C3876">
            <v>0</v>
          </cell>
        </row>
        <row r="3877">
          <cell r="C3877">
            <v>0</v>
          </cell>
        </row>
        <row r="3878">
          <cell r="C3878">
            <v>0</v>
          </cell>
        </row>
        <row r="3879">
          <cell r="C3879">
            <v>0</v>
          </cell>
        </row>
        <row r="3880">
          <cell r="C3880">
            <v>0</v>
          </cell>
        </row>
        <row r="3881">
          <cell r="C3881">
            <v>0</v>
          </cell>
        </row>
        <row r="3882">
          <cell r="C3882">
            <v>0</v>
          </cell>
        </row>
        <row r="3883">
          <cell r="C3883">
            <v>0</v>
          </cell>
        </row>
        <row r="3884">
          <cell r="C3884">
            <v>0</v>
          </cell>
        </row>
        <row r="3885">
          <cell r="C3885">
            <v>0</v>
          </cell>
        </row>
        <row r="3886">
          <cell r="C3886">
            <v>0</v>
          </cell>
        </row>
        <row r="3887">
          <cell r="C3887">
            <v>0</v>
          </cell>
        </row>
        <row r="3888">
          <cell r="C3888">
            <v>0</v>
          </cell>
        </row>
        <row r="3889">
          <cell r="C3889">
            <v>0</v>
          </cell>
        </row>
        <row r="3890">
          <cell r="C3890">
            <v>0</v>
          </cell>
        </row>
        <row r="3891">
          <cell r="C3891">
            <v>0</v>
          </cell>
        </row>
        <row r="3892">
          <cell r="C3892">
            <v>0</v>
          </cell>
        </row>
        <row r="3893">
          <cell r="C3893">
            <v>0</v>
          </cell>
        </row>
        <row r="3894">
          <cell r="C3894">
            <v>0</v>
          </cell>
        </row>
        <row r="3895">
          <cell r="C3895">
            <v>0</v>
          </cell>
        </row>
        <row r="3896">
          <cell r="C3896">
            <v>0</v>
          </cell>
        </row>
        <row r="3897">
          <cell r="C3897">
            <v>0</v>
          </cell>
        </row>
        <row r="3898">
          <cell r="C3898">
            <v>0</v>
          </cell>
        </row>
        <row r="3899">
          <cell r="C3899">
            <v>0</v>
          </cell>
        </row>
        <row r="3900">
          <cell r="C3900">
            <v>0</v>
          </cell>
        </row>
        <row r="3901">
          <cell r="C3901">
            <v>0</v>
          </cell>
        </row>
        <row r="3902">
          <cell r="C3902">
            <v>0</v>
          </cell>
        </row>
        <row r="3903">
          <cell r="C3903">
            <v>0</v>
          </cell>
        </row>
        <row r="3904">
          <cell r="C3904">
            <v>0</v>
          </cell>
        </row>
        <row r="3905">
          <cell r="C3905">
            <v>0</v>
          </cell>
        </row>
        <row r="3906">
          <cell r="C3906">
            <v>0</v>
          </cell>
        </row>
        <row r="3907">
          <cell r="C3907">
            <v>0</v>
          </cell>
        </row>
        <row r="3908">
          <cell r="C3908">
            <v>0</v>
          </cell>
        </row>
        <row r="3909">
          <cell r="C3909">
            <v>0</v>
          </cell>
        </row>
        <row r="3910">
          <cell r="C3910">
            <v>0</v>
          </cell>
        </row>
        <row r="3911">
          <cell r="C3911">
            <v>0</v>
          </cell>
        </row>
        <row r="3912">
          <cell r="C3912">
            <v>0</v>
          </cell>
        </row>
        <row r="3913">
          <cell r="C3913">
            <v>0</v>
          </cell>
        </row>
        <row r="3914">
          <cell r="C3914">
            <v>0</v>
          </cell>
        </row>
        <row r="3915">
          <cell r="C3915">
            <v>0</v>
          </cell>
        </row>
        <row r="3916">
          <cell r="C3916">
            <v>0</v>
          </cell>
        </row>
        <row r="3917">
          <cell r="C3917">
            <v>0</v>
          </cell>
        </row>
        <row r="3918">
          <cell r="C3918">
            <v>0</v>
          </cell>
        </row>
        <row r="3919">
          <cell r="C3919">
            <v>0</v>
          </cell>
        </row>
        <row r="3920">
          <cell r="C3920">
            <v>0</v>
          </cell>
        </row>
        <row r="3921">
          <cell r="C3921">
            <v>0</v>
          </cell>
        </row>
        <row r="3922">
          <cell r="C3922">
            <v>0</v>
          </cell>
        </row>
        <row r="3923">
          <cell r="C3923">
            <v>0</v>
          </cell>
        </row>
        <row r="3924">
          <cell r="C3924">
            <v>0</v>
          </cell>
        </row>
        <row r="3925">
          <cell r="C3925">
            <v>0</v>
          </cell>
        </row>
        <row r="3926">
          <cell r="C3926">
            <v>0</v>
          </cell>
        </row>
        <row r="3927">
          <cell r="C3927">
            <v>0</v>
          </cell>
        </row>
        <row r="3928">
          <cell r="C3928">
            <v>0</v>
          </cell>
        </row>
        <row r="3929">
          <cell r="C3929">
            <v>0</v>
          </cell>
        </row>
        <row r="3930">
          <cell r="C3930">
            <v>0</v>
          </cell>
        </row>
        <row r="3931">
          <cell r="C3931">
            <v>0</v>
          </cell>
        </row>
        <row r="3932">
          <cell r="C3932">
            <v>0</v>
          </cell>
        </row>
        <row r="3933">
          <cell r="C3933">
            <v>0</v>
          </cell>
        </row>
        <row r="3934">
          <cell r="C3934">
            <v>0</v>
          </cell>
        </row>
        <row r="3935">
          <cell r="C3935">
            <v>0</v>
          </cell>
        </row>
        <row r="3936">
          <cell r="C3936">
            <v>0</v>
          </cell>
        </row>
        <row r="3937">
          <cell r="C3937">
            <v>0</v>
          </cell>
        </row>
        <row r="3938">
          <cell r="C3938">
            <v>0</v>
          </cell>
        </row>
        <row r="3939">
          <cell r="C3939">
            <v>0</v>
          </cell>
        </row>
        <row r="3940">
          <cell r="C3940">
            <v>0</v>
          </cell>
        </row>
        <row r="3941">
          <cell r="C3941">
            <v>0</v>
          </cell>
        </row>
        <row r="3942">
          <cell r="C3942">
            <v>0</v>
          </cell>
        </row>
        <row r="3943">
          <cell r="C3943">
            <v>0</v>
          </cell>
        </row>
        <row r="3944">
          <cell r="C3944">
            <v>0</v>
          </cell>
        </row>
        <row r="3945">
          <cell r="C3945">
            <v>0</v>
          </cell>
        </row>
        <row r="3946">
          <cell r="C3946">
            <v>0</v>
          </cell>
        </row>
        <row r="3947">
          <cell r="C3947">
            <v>0</v>
          </cell>
        </row>
        <row r="3948">
          <cell r="C3948">
            <v>0</v>
          </cell>
        </row>
        <row r="3949">
          <cell r="C3949">
            <v>0</v>
          </cell>
        </row>
        <row r="3950">
          <cell r="C3950">
            <v>0</v>
          </cell>
        </row>
        <row r="3951">
          <cell r="C3951">
            <v>0</v>
          </cell>
        </row>
        <row r="3952">
          <cell r="C3952">
            <v>0</v>
          </cell>
        </row>
        <row r="3953">
          <cell r="C3953">
            <v>0</v>
          </cell>
        </row>
        <row r="3954">
          <cell r="C3954">
            <v>0</v>
          </cell>
        </row>
        <row r="3955">
          <cell r="C3955">
            <v>0</v>
          </cell>
        </row>
        <row r="3956">
          <cell r="C3956">
            <v>0</v>
          </cell>
        </row>
        <row r="3957">
          <cell r="C3957">
            <v>0</v>
          </cell>
        </row>
        <row r="3958">
          <cell r="C3958">
            <v>0</v>
          </cell>
        </row>
        <row r="3959">
          <cell r="C3959">
            <v>0</v>
          </cell>
        </row>
        <row r="3960">
          <cell r="C3960">
            <v>0</v>
          </cell>
        </row>
        <row r="3961">
          <cell r="C3961">
            <v>0</v>
          </cell>
        </row>
        <row r="3962">
          <cell r="C3962">
            <v>0</v>
          </cell>
        </row>
        <row r="3963">
          <cell r="C3963">
            <v>0</v>
          </cell>
        </row>
        <row r="3964">
          <cell r="C3964">
            <v>0</v>
          </cell>
        </row>
        <row r="3965">
          <cell r="C3965">
            <v>0</v>
          </cell>
        </row>
        <row r="3966">
          <cell r="C3966">
            <v>0</v>
          </cell>
        </row>
        <row r="3967">
          <cell r="C3967">
            <v>0</v>
          </cell>
        </row>
        <row r="3968">
          <cell r="C3968">
            <v>0</v>
          </cell>
        </row>
        <row r="3969">
          <cell r="C3969">
            <v>0</v>
          </cell>
        </row>
        <row r="3970">
          <cell r="C3970">
            <v>0</v>
          </cell>
        </row>
        <row r="3971">
          <cell r="C3971">
            <v>0</v>
          </cell>
        </row>
        <row r="3972">
          <cell r="C3972">
            <v>0</v>
          </cell>
        </row>
        <row r="3973">
          <cell r="C3973">
            <v>0</v>
          </cell>
        </row>
        <row r="3974">
          <cell r="C3974">
            <v>0</v>
          </cell>
        </row>
        <row r="3975">
          <cell r="C3975">
            <v>0</v>
          </cell>
        </row>
        <row r="3976">
          <cell r="C3976">
            <v>0</v>
          </cell>
        </row>
        <row r="3977">
          <cell r="C3977">
            <v>0</v>
          </cell>
        </row>
        <row r="3978">
          <cell r="C3978">
            <v>0</v>
          </cell>
        </row>
        <row r="3979">
          <cell r="C3979">
            <v>0</v>
          </cell>
        </row>
        <row r="3980">
          <cell r="C3980">
            <v>0</v>
          </cell>
        </row>
        <row r="3981">
          <cell r="C3981">
            <v>0</v>
          </cell>
        </row>
        <row r="3982">
          <cell r="C3982">
            <v>0</v>
          </cell>
        </row>
        <row r="3983">
          <cell r="C3983">
            <v>0</v>
          </cell>
        </row>
        <row r="3984">
          <cell r="C3984">
            <v>0</v>
          </cell>
        </row>
        <row r="3985">
          <cell r="C3985">
            <v>0</v>
          </cell>
        </row>
        <row r="3986">
          <cell r="C3986">
            <v>0</v>
          </cell>
        </row>
        <row r="3987">
          <cell r="C3987">
            <v>0</v>
          </cell>
        </row>
        <row r="3988">
          <cell r="C3988">
            <v>0</v>
          </cell>
        </row>
        <row r="3989">
          <cell r="C3989">
            <v>0</v>
          </cell>
        </row>
        <row r="3990">
          <cell r="C3990">
            <v>0</v>
          </cell>
        </row>
        <row r="3991">
          <cell r="C3991">
            <v>0</v>
          </cell>
        </row>
        <row r="3992">
          <cell r="C3992">
            <v>0</v>
          </cell>
        </row>
        <row r="3993">
          <cell r="C3993">
            <v>0</v>
          </cell>
        </row>
        <row r="3994">
          <cell r="C3994">
            <v>0</v>
          </cell>
        </row>
        <row r="3995">
          <cell r="C3995">
            <v>0</v>
          </cell>
        </row>
        <row r="3996">
          <cell r="C3996">
            <v>0</v>
          </cell>
        </row>
        <row r="3997">
          <cell r="C3997">
            <v>0</v>
          </cell>
        </row>
        <row r="3998">
          <cell r="C3998">
            <v>0</v>
          </cell>
        </row>
        <row r="3999">
          <cell r="C3999">
            <v>0</v>
          </cell>
        </row>
        <row r="4000">
          <cell r="C4000">
            <v>0</v>
          </cell>
        </row>
        <row r="4001">
          <cell r="C4001">
            <v>0</v>
          </cell>
        </row>
        <row r="4002">
          <cell r="C4002">
            <v>0</v>
          </cell>
        </row>
        <row r="4003">
          <cell r="C4003">
            <v>0</v>
          </cell>
        </row>
        <row r="4004">
          <cell r="C4004">
            <v>0</v>
          </cell>
        </row>
        <row r="4005">
          <cell r="C4005">
            <v>0</v>
          </cell>
        </row>
        <row r="4006">
          <cell r="C4006">
            <v>0</v>
          </cell>
        </row>
        <row r="4007">
          <cell r="C4007">
            <v>0</v>
          </cell>
        </row>
        <row r="4008">
          <cell r="C4008">
            <v>0</v>
          </cell>
        </row>
        <row r="4009">
          <cell r="C4009">
            <v>0</v>
          </cell>
        </row>
        <row r="4010">
          <cell r="C4010">
            <v>0</v>
          </cell>
        </row>
        <row r="4011">
          <cell r="C4011">
            <v>0</v>
          </cell>
        </row>
        <row r="4012">
          <cell r="C4012">
            <v>0</v>
          </cell>
        </row>
        <row r="4013">
          <cell r="C4013">
            <v>0</v>
          </cell>
        </row>
        <row r="4014">
          <cell r="C4014">
            <v>0</v>
          </cell>
        </row>
        <row r="4015">
          <cell r="C4015">
            <v>0</v>
          </cell>
        </row>
        <row r="4016">
          <cell r="C4016">
            <v>0</v>
          </cell>
        </row>
        <row r="4017">
          <cell r="C4017">
            <v>0</v>
          </cell>
        </row>
        <row r="4018">
          <cell r="C4018">
            <v>0</v>
          </cell>
        </row>
        <row r="4019">
          <cell r="C4019">
            <v>0</v>
          </cell>
        </row>
        <row r="4020">
          <cell r="C4020">
            <v>0</v>
          </cell>
        </row>
        <row r="4021">
          <cell r="C4021">
            <v>0</v>
          </cell>
        </row>
        <row r="4022">
          <cell r="C4022">
            <v>0</v>
          </cell>
        </row>
        <row r="4023">
          <cell r="C4023">
            <v>0</v>
          </cell>
        </row>
        <row r="4024">
          <cell r="C4024">
            <v>0</v>
          </cell>
        </row>
        <row r="4025">
          <cell r="C4025">
            <v>0</v>
          </cell>
        </row>
        <row r="4026">
          <cell r="C4026">
            <v>0</v>
          </cell>
        </row>
        <row r="4027">
          <cell r="C4027">
            <v>0</v>
          </cell>
        </row>
        <row r="4028">
          <cell r="C4028">
            <v>0</v>
          </cell>
        </row>
        <row r="4029">
          <cell r="C4029">
            <v>0</v>
          </cell>
        </row>
        <row r="4030">
          <cell r="C4030">
            <v>0</v>
          </cell>
        </row>
        <row r="4031">
          <cell r="C4031">
            <v>0</v>
          </cell>
        </row>
        <row r="4032">
          <cell r="C4032">
            <v>0</v>
          </cell>
        </row>
        <row r="4033">
          <cell r="C4033">
            <v>0</v>
          </cell>
        </row>
        <row r="4034">
          <cell r="C4034">
            <v>0</v>
          </cell>
        </row>
        <row r="4035">
          <cell r="C4035">
            <v>0</v>
          </cell>
        </row>
        <row r="4036">
          <cell r="C4036">
            <v>0</v>
          </cell>
        </row>
        <row r="4037">
          <cell r="C4037">
            <v>0</v>
          </cell>
        </row>
        <row r="4038">
          <cell r="C4038">
            <v>0</v>
          </cell>
        </row>
        <row r="4039">
          <cell r="C4039">
            <v>0</v>
          </cell>
        </row>
        <row r="4040">
          <cell r="C4040">
            <v>0</v>
          </cell>
        </row>
        <row r="4041">
          <cell r="C4041">
            <v>0</v>
          </cell>
        </row>
        <row r="4042">
          <cell r="C4042">
            <v>0</v>
          </cell>
        </row>
        <row r="4043">
          <cell r="C4043">
            <v>0</v>
          </cell>
        </row>
        <row r="4044">
          <cell r="C4044">
            <v>0</v>
          </cell>
        </row>
        <row r="4045">
          <cell r="C4045">
            <v>0</v>
          </cell>
        </row>
        <row r="4046">
          <cell r="C4046">
            <v>0</v>
          </cell>
        </row>
        <row r="4047">
          <cell r="C4047">
            <v>0</v>
          </cell>
        </row>
        <row r="4048">
          <cell r="C4048">
            <v>0</v>
          </cell>
        </row>
        <row r="4049">
          <cell r="C4049">
            <v>0</v>
          </cell>
        </row>
        <row r="4050">
          <cell r="C4050">
            <v>0</v>
          </cell>
        </row>
        <row r="4051">
          <cell r="C4051">
            <v>0</v>
          </cell>
        </row>
        <row r="4052">
          <cell r="C4052">
            <v>0</v>
          </cell>
        </row>
        <row r="4053">
          <cell r="C4053">
            <v>0</v>
          </cell>
        </row>
        <row r="4054">
          <cell r="C4054">
            <v>0</v>
          </cell>
        </row>
        <row r="4055">
          <cell r="C4055">
            <v>0</v>
          </cell>
        </row>
        <row r="4056">
          <cell r="C4056">
            <v>0</v>
          </cell>
        </row>
        <row r="4057">
          <cell r="C4057">
            <v>0</v>
          </cell>
        </row>
        <row r="4058">
          <cell r="C4058">
            <v>0</v>
          </cell>
        </row>
        <row r="4059">
          <cell r="C4059">
            <v>0</v>
          </cell>
        </row>
        <row r="4060">
          <cell r="C4060">
            <v>0</v>
          </cell>
        </row>
        <row r="4061">
          <cell r="C4061">
            <v>0</v>
          </cell>
        </row>
        <row r="4062">
          <cell r="C4062">
            <v>0</v>
          </cell>
        </row>
        <row r="4063">
          <cell r="C4063">
            <v>0</v>
          </cell>
        </row>
        <row r="4064">
          <cell r="C4064">
            <v>0</v>
          </cell>
        </row>
        <row r="4065">
          <cell r="C4065">
            <v>0</v>
          </cell>
        </row>
        <row r="4066">
          <cell r="C4066">
            <v>0</v>
          </cell>
        </row>
        <row r="4067">
          <cell r="C4067">
            <v>0</v>
          </cell>
        </row>
        <row r="4068">
          <cell r="C4068">
            <v>0</v>
          </cell>
        </row>
        <row r="4069">
          <cell r="C4069">
            <v>0</v>
          </cell>
        </row>
        <row r="4070">
          <cell r="C4070">
            <v>0</v>
          </cell>
        </row>
        <row r="4071">
          <cell r="C4071">
            <v>0</v>
          </cell>
        </row>
        <row r="4072">
          <cell r="C4072">
            <v>0</v>
          </cell>
        </row>
        <row r="4073">
          <cell r="C4073">
            <v>0</v>
          </cell>
        </row>
        <row r="4074">
          <cell r="C4074">
            <v>0</v>
          </cell>
        </row>
        <row r="4075">
          <cell r="C4075">
            <v>0</v>
          </cell>
        </row>
        <row r="4076">
          <cell r="C4076">
            <v>0</v>
          </cell>
        </row>
        <row r="4077">
          <cell r="C4077">
            <v>0</v>
          </cell>
        </row>
        <row r="4078">
          <cell r="C4078">
            <v>0</v>
          </cell>
        </row>
        <row r="4079">
          <cell r="C4079">
            <v>0</v>
          </cell>
        </row>
        <row r="4080">
          <cell r="C4080">
            <v>0</v>
          </cell>
        </row>
        <row r="4081">
          <cell r="C4081">
            <v>0</v>
          </cell>
        </row>
        <row r="4082">
          <cell r="C4082">
            <v>0</v>
          </cell>
        </row>
        <row r="4083">
          <cell r="C4083">
            <v>0</v>
          </cell>
        </row>
        <row r="4084">
          <cell r="C4084">
            <v>0</v>
          </cell>
        </row>
        <row r="4085">
          <cell r="C4085">
            <v>0</v>
          </cell>
        </row>
        <row r="4086">
          <cell r="C4086">
            <v>0</v>
          </cell>
        </row>
        <row r="4087">
          <cell r="C4087">
            <v>0</v>
          </cell>
        </row>
        <row r="4088">
          <cell r="C4088">
            <v>0</v>
          </cell>
        </row>
        <row r="4089">
          <cell r="C4089">
            <v>0</v>
          </cell>
        </row>
        <row r="4090">
          <cell r="C4090">
            <v>0</v>
          </cell>
        </row>
        <row r="4091">
          <cell r="C4091">
            <v>0</v>
          </cell>
        </row>
        <row r="4092">
          <cell r="C4092">
            <v>0</v>
          </cell>
        </row>
        <row r="4093">
          <cell r="C4093">
            <v>0</v>
          </cell>
        </row>
        <row r="4094">
          <cell r="C4094">
            <v>0</v>
          </cell>
        </row>
        <row r="4095">
          <cell r="C4095">
            <v>0</v>
          </cell>
        </row>
        <row r="4096">
          <cell r="C4096">
            <v>0</v>
          </cell>
        </row>
        <row r="4097">
          <cell r="C4097">
            <v>0</v>
          </cell>
        </row>
        <row r="4098">
          <cell r="C4098">
            <v>0</v>
          </cell>
        </row>
        <row r="4099">
          <cell r="C4099">
            <v>0</v>
          </cell>
        </row>
        <row r="4100">
          <cell r="C4100">
            <v>0</v>
          </cell>
        </row>
        <row r="4101">
          <cell r="C4101">
            <v>0</v>
          </cell>
        </row>
        <row r="4102">
          <cell r="C4102">
            <v>0</v>
          </cell>
        </row>
        <row r="4103">
          <cell r="C4103">
            <v>0</v>
          </cell>
        </row>
        <row r="4104">
          <cell r="C4104">
            <v>0</v>
          </cell>
        </row>
        <row r="4105">
          <cell r="C4105">
            <v>0</v>
          </cell>
        </row>
        <row r="4106">
          <cell r="C4106">
            <v>0</v>
          </cell>
        </row>
        <row r="4107">
          <cell r="C4107">
            <v>0</v>
          </cell>
        </row>
        <row r="4108">
          <cell r="C4108">
            <v>0</v>
          </cell>
        </row>
        <row r="4109">
          <cell r="C4109">
            <v>0</v>
          </cell>
        </row>
        <row r="4110">
          <cell r="C4110">
            <v>0</v>
          </cell>
        </row>
        <row r="4111">
          <cell r="C4111">
            <v>0</v>
          </cell>
        </row>
        <row r="4112">
          <cell r="C4112">
            <v>0</v>
          </cell>
        </row>
        <row r="4113">
          <cell r="C4113">
            <v>0</v>
          </cell>
        </row>
        <row r="4114">
          <cell r="C4114">
            <v>0</v>
          </cell>
        </row>
        <row r="4115">
          <cell r="C4115">
            <v>0</v>
          </cell>
        </row>
        <row r="4116">
          <cell r="C4116">
            <v>0</v>
          </cell>
        </row>
        <row r="4117">
          <cell r="C4117">
            <v>0</v>
          </cell>
        </row>
        <row r="4118">
          <cell r="C4118">
            <v>0</v>
          </cell>
        </row>
        <row r="4119">
          <cell r="C4119">
            <v>0</v>
          </cell>
        </row>
        <row r="4120">
          <cell r="C4120">
            <v>0</v>
          </cell>
        </row>
        <row r="4121">
          <cell r="C4121">
            <v>0</v>
          </cell>
        </row>
        <row r="4122">
          <cell r="C4122">
            <v>0</v>
          </cell>
        </row>
        <row r="4123">
          <cell r="C4123">
            <v>0</v>
          </cell>
        </row>
        <row r="4124">
          <cell r="C4124">
            <v>0</v>
          </cell>
        </row>
        <row r="4125">
          <cell r="C4125">
            <v>0</v>
          </cell>
        </row>
        <row r="4126">
          <cell r="C4126">
            <v>0</v>
          </cell>
        </row>
        <row r="4127">
          <cell r="C4127">
            <v>0</v>
          </cell>
        </row>
        <row r="4128">
          <cell r="C4128">
            <v>0</v>
          </cell>
        </row>
        <row r="4129">
          <cell r="C4129">
            <v>0</v>
          </cell>
        </row>
        <row r="4130">
          <cell r="C4130">
            <v>0</v>
          </cell>
        </row>
        <row r="4131">
          <cell r="C4131">
            <v>0</v>
          </cell>
        </row>
        <row r="4132">
          <cell r="C4132">
            <v>0</v>
          </cell>
        </row>
        <row r="4133">
          <cell r="C4133">
            <v>0</v>
          </cell>
        </row>
        <row r="4134">
          <cell r="C4134">
            <v>0</v>
          </cell>
        </row>
        <row r="4135">
          <cell r="C4135">
            <v>0</v>
          </cell>
        </row>
        <row r="4136">
          <cell r="C4136">
            <v>0</v>
          </cell>
        </row>
        <row r="4137">
          <cell r="C4137">
            <v>0</v>
          </cell>
        </row>
        <row r="4138">
          <cell r="C4138">
            <v>0</v>
          </cell>
        </row>
        <row r="4139">
          <cell r="C4139">
            <v>0</v>
          </cell>
        </row>
        <row r="4140">
          <cell r="C4140">
            <v>0</v>
          </cell>
        </row>
        <row r="4141">
          <cell r="C4141">
            <v>0</v>
          </cell>
        </row>
        <row r="4142">
          <cell r="C4142">
            <v>0</v>
          </cell>
        </row>
        <row r="4143">
          <cell r="C4143">
            <v>0</v>
          </cell>
        </row>
        <row r="4144">
          <cell r="C4144">
            <v>0</v>
          </cell>
        </row>
        <row r="4145">
          <cell r="C4145">
            <v>0</v>
          </cell>
        </row>
        <row r="4146">
          <cell r="C4146">
            <v>0</v>
          </cell>
        </row>
        <row r="4147">
          <cell r="C4147">
            <v>0</v>
          </cell>
        </row>
        <row r="4148">
          <cell r="C4148">
            <v>0</v>
          </cell>
        </row>
        <row r="4149">
          <cell r="C4149">
            <v>0</v>
          </cell>
        </row>
        <row r="4150">
          <cell r="C4150">
            <v>0</v>
          </cell>
        </row>
        <row r="4151">
          <cell r="C4151">
            <v>0</v>
          </cell>
        </row>
        <row r="4152">
          <cell r="C4152">
            <v>0</v>
          </cell>
        </row>
        <row r="4153">
          <cell r="C4153">
            <v>0</v>
          </cell>
        </row>
        <row r="4154">
          <cell r="C4154">
            <v>0</v>
          </cell>
        </row>
        <row r="4155">
          <cell r="C4155">
            <v>0</v>
          </cell>
        </row>
        <row r="4156">
          <cell r="C4156">
            <v>0</v>
          </cell>
        </row>
        <row r="4157">
          <cell r="C4157">
            <v>0</v>
          </cell>
        </row>
        <row r="4158">
          <cell r="C4158">
            <v>0</v>
          </cell>
        </row>
        <row r="4159">
          <cell r="C4159">
            <v>0</v>
          </cell>
        </row>
        <row r="4160">
          <cell r="C4160">
            <v>0</v>
          </cell>
        </row>
        <row r="4161">
          <cell r="C4161">
            <v>0</v>
          </cell>
        </row>
        <row r="4162">
          <cell r="C4162">
            <v>0</v>
          </cell>
        </row>
        <row r="4163">
          <cell r="C4163">
            <v>0</v>
          </cell>
        </row>
        <row r="4164">
          <cell r="C4164">
            <v>0</v>
          </cell>
        </row>
        <row r="4165">
          <cell r="C4165">
            <v>0</v>
          </cell>
        </row>
        <row r="4166">
          <cell r="C4166">
            <v>0</v>
          </cell>
        </row>
        <row r="4167">
          <cell r="C4167">
            <v>0</v>
          </cell>
        </row>
        <row r="4168">
          <cell r="C4168">
            <v>0</v>
          </cell>
        </row>
        <row r="4169">
          <cell r="C4169">
            <v>0</v>
          </cell>
        </row>
        <row r="4170">
          <cell r="C4170">
            <v>0</v>
          </cell>
        </row>
        <row r="4171">
          <cell r="C4171">
            <v>0</v>
          </cell>
        </row>
        <row r="4172">
          <cell r="C4172">
            <v>0</v>
          </cell>
        </row>
        <row r="4173">
          <cell r="C4173">
            <v>0</v>
          </cell>
        </row>
        <row r="4174">
          <cell r="C4174">
            <v>0</v>
          </cell>
        </row>
        <row r="4175">
          <cell r="C4175">
            <v>0</v>
          </cell>
        </row>
        <row r="4176">
          <cell r="C4176">
            <v>0</v>
          </cell>
        </row>
        <row r="4177">
          <cell r="C4177">
            <v>0</v>
          </cell>
        </row>
        <row r="4178">
          <cell r="C4178">
            <v>0</v>
          </cell>
        </row>
        <row r="4179">
          <cell r="C4179">
            <v>0</v>
          </cell>
        </row>
        <row r="4180">
          <cell r="C4180">
            <v>0</v>
          </cell>
        </row>
        <row r="4181">
          <cell r="C4181">
            <v>0</v>
          </cell>
        </row>
        <row r="4182">
          <cell r="C4182">
            <v>0</v>
          </cell>
        </row>
        <row r="4183">
          <cell r="C4183">
            <v>0</v>
          </cell>
        </row>
        <row r="4184">
          <cell r="C4184">
            <v>0</v>
          </cell>
        </row>
        <row r="4185">
          <cell r="C4185">
            <v>0</v>
          </cell>
        </row>
        <row r="4186">
          <cell r="C4186">
            <v>0</v>
          </cell>
        </row>
        <row r="4187">
          <cell r="C4187">
            <v>0</v>
          </cell>
        </row>
        <row r="4188">
          <cell r="C4188">
            <v>0</v>
          </cell>
        </row>
        <row r="4189">
          <cell r="C4189">
            <v>0</v>
          </cell>
        </row>
        <row r="4190">
          <cell r="C4190">
            <v>0</v>
          </cell>
        </row>
        <row r="4191">
          <cell r="C4191">
            <v>0</v>
          </cell>
        </row>
        <row r="4192">
          <cell r="C4192">
            <v>0</v>
          </cell>
        </row>
        <row r="4193">
          <cell r="C4193">
            <v>0</v>
          </cell>
        </row>
        <row r="4194">
          <cell r="C4194">
            <v>0</v>
          </cell>
        </row>
        <row r="4195">
          <cell r="C4195">
            <v>0</v>
          </cell>
        </row>
        <row r="4196">
          <cell r="C4196">
            <v>0</v>
          </cell>
        </row>
        <row r="4197">
          <cell r="C4197">
            <v>0</v>
          </cell>
        </row>
        <row r="4198">
          <cell r="C4198">
            <v>0</v>
          </cell>
        </row>
        <row r="4199">
          <cell r="C4199">
            <v>0</v>
          </cell>
        </row>
        <row r="4200">
          <cell r="C4200">
            <v>0</v>
          </cell>
        </row>
        <row r="4201">
          <cell r="C4201">
            <v>0</v>
          </cell>
        </row>
        <row r="4202">
          <cell r="C4202">
            <v>0</v>
          </cell>
        </row>
        <row r="4203">
          <cell r="C4203">
            <v>0</v>
          </cell>
        </row>
        <row r="4204">
          <cell r="C4204">
            <v>0</v>
          </cell>
        </row>
        <row r="4205">
          <cell r="C4205">
            <v>0</v>
          </cell>
        </row>
        <row r="4206">
          <cell r="C4206">
            <v>0</v>
          </cell>
        </row>
        <row r="4207">
          <cell r="C4207">
            <v>0</v>
          </cell>
        </row>
        <row r="4208">
          <cell r="C4208">
            <v>0</v>
          </cell>
        </row>
        <row r="4209">
          <cell r="C4209">
            <v>0</v>
          </cell>
        </row>
        <row r="4210">
          <cell r="C4210">
            <v>0</v>
          </cell>
        </row>
        <row r="4211">
          <cell r="C4211">
            <v>0</v>
          </cell>
        </row>
        <row r="4212">
          <cell r="C4212">
            <v>0</v>
          </cell>
        </row>
        <row r="4213">
          <cell r="C4213">
            <v>0</v>
          </cell>
        </row>
        <row r="4214">
          <cell r="C4214">
            <v>0</v>
          </cell>
        </row>
        <row r="4215">
          <cell r="C4215">
            <v>0</v>
          </cell>
        </row>
        <row r="4216">
          <cell r="C4216">
            <v>0</v>
          </cell>
        </row>
        <row r="4217">
          <cell r="C4217">
            <v>0</v>
          </cell>
        </row>
        <row r="4218">
          <cell r="C4218">
            <v>0</v>
          </cell>
        </row>
        <row r="4219">
          <cell r="C4219">
            <v>0</v>
          </cell>
        </row>
        <row r="4220">
          <cell r="C4220">
            <v>0</v>
          </cell>
        </row>
        <row r="4221">
          <cell r="C4221">
            <v>0</v>
          </cell>
        </row>
        <row r="4222">
          <cell r="C4222">
            <v>0</v>
          </cell>
        </row>
        <row r="4223">
          <cell r="C4223">
            <v>0</v>
          </cell>
        </row>
        <row r="4224">
          <cell r="C4224">
            <v>0</v>
          </cell>
        </row>
        <row r="4225">
          <cell r="C4225">
            <v>0</v>
          </cell>
        </row>
        <row r="4226">
          <cell r="C4226">
            <v>0</v>
          </cell>
        </row>
        <row r="4227">
          <cell r="C4227">
            <v>0</v>
          </cell>
        </row>
        <row r="4228">
          <cell r="C4228">
            <v>0</v>
          </cell>
        </row>
        <row r="4229">
          <cell r="C4229">
            <v>0</v>
          </cell>
        </row>
        <row r="4230">
          <cell r="C4230">
            <v>0</v>
          </cell>
        </row>
        <row r="4231">
          <cell r="C4231">
            <v>0</v>
          </cell>
        </row>
        <row r="4232">
          <cell r="C4232">
            <v>0</v>
          </cell>
        </row>
        <row r="4233">
          <cell r="C4233">
            <v>0</v>
          </cell>
        </row>
        <row r="4234">
          <cell r="C4234">
            <v>0</v>
          </cell>
        </row>
        <row r="4235">
          <cell r="C4235">
            <v>0</v>
          </cell>
        </row>
        <row r="4236">
          <cell r="C4236">
            <v>0</v>
          </cell>
        </row>
        <row r="4237">
          <cell r="C4237">
            <v>0</v>
          </cell>
        </row>
        <row r="4238">
          <cell r="C4238">
            <v>0</v>
          </cell>
        </row>
        <row r="4239">
          <cell r="C4239">
            <v>0</v>
          </cell>
        </row>
        <row r="4240">
          <cell r="C4240">
            <v>0</v>
          </cell>
        </row>
        <row r="4241">
          <cell r="C4241">
            <v>0</v>
          </cell>
        </row>
        <row r="4242">
          <cell r="C4242">
            <v>0</v>
          </cell>
        </row>
        <row r="4243">
          <cell r="C4243">
            <v>0</v>
          </cell>
        </row>
        <row r="4244">
          <cell r="C4244">
            <v>0</v>
          </cell>
        </row>
        <row r="4245">
          <cell r="C4245">
            <v>0</v>
          </cell>
        </row>
        <row r="4246">
          <cell r="C4246">
            <v>0</v>
          </cell>
        </row>
        <row r="4247">
          <cell r="C4247">
            <v>0</v>
          </cell>
        </row>
        <row r="4248">
          <cell r="C4248">
            <v>0</v>
          </cell>
        </row>
        <row r="4249">
          <cell r="C4249">
            <v>0</v>
          </cell>
        </row>
        <row r="4250">
          <cell r="C4250">
            <v>0</v>
          </cell>
        </row>
        <row r="4251">
          <cell r="C4251">
            <v>0</v>
          </cell>
        </row>
        <row r="4252">
          <cell r="C4252">
            <v>0</v>
          </cell>
        </row>
        <row r="4253">
          <cell r="C4253">
            <v>0</v>
          </cell>
        </row>
        <row r="4254">
          <cell r="C4254">
            <v>0</v>
          </cell>
        </row>
        <row r="4255">
          <cell r="C4255">
            <v>0</v>
          </cell>
        </row>
        <row r="4256">
          <cell r="C4256">
            <v>0</v>
          </cell>
        </row>
        <row r="4257">
          <cell r="C4257">
            <v>0</v>
          </cell>
        </row>
        <row r="4258">
          <cell r="C4258">
            <v>0</v>
          </cell>
        </row>
        <row r="4259">
          <cell r="C4259">
            <v>0</v>
          </cell>
        </row>
        <row r="4260">
          <cell r="C4260">
            <v>0</v>
          </cell>
        </row>
        <row r="4261">
          <cell r="C4261">
            <v>0</v>
          </cell>
        </row>
        <row r="4262">
          <cell r="C4262">
            <v>0</v>
          </cell>
        </row>
        <row r="4263">
          <cell r="C4263">
            <v>0</v>
          </cell>
        </row>
        <row r="4264">
          <cell r="C4264">
            <v>0</v>
          </cell>
        </row>
        <row r="4265">
          <cell r="C4265">
            <v>0</v>
          </cell>
        </row>
        <row r="4266">
          <cell r="C4266">
            <v>0</v>
          </cell>
        </row>
        <row r="4267">
          <cell r="C4267">
            <v>0</v>
          </cell>
        </row>
        <row r="4268">
          <cell r="C4268">
            <v>0</v>
          </cell>
        </row>
        <row r="4269">
          <cell r="C4269">
            <v>0</v>
          </cell>
        </row>
        <row r="4270">
          <cell r="C4270">
            <v>0</v>
          </cell>
        </row>
        <row r="4271">
          <cell r="C4271">
            <v>0</v>
          </cell>
        </row>
        <row r="4272">
          <cell r="C4272">
            <v>0</v>
          </cell>
        </row>
        <row r="4273">
          <cell r="C4273">
            <v>0</v>
          </cell>
        </row>
        <row r="4274">
          <cell r="C4274">
            <v>0</v>
          </cell>
        </row>
        <row r="4275">
          <cell r="C4275">
            <v>0</v>
          </cell>
        </row>
        <row r="4276">
          <cell r="C4276">
            <v>0</v>
          </cell>
        </row>
        <row r="4277">
          <cell r="C4277">
            <v>0</v>
          </cell>
        </row>
        <row r="4278">
          <cell r="C4278">
            <v>0</v>
          </cell>
        </row>
        <row r="4279">
          <cell r="C4279">
            <v>0</v>
          </cell>
        </row>
        <row r="4280">
          <cell r="C4280">
            <v>0</v>
          </cell>
        </row>
        <row r="4281">
          <cell r="C4281">
            <v>0</v>
          </cell>
        </row>
        <row r="4282">
          <cell r="C4282">
            <v>0</v>
          </cell>
        </row>
        <row r="4283">
          <cell r="C4283">
            <v>0</v>
          </cell>
        </row>
        <row r="4284">
          <cell r="C4284">
            <v>0</v>
          </cell>
        </row>
        <row r="4285">
          <cell r="C4285">
            <v>0</v>
          </cell>
        </row>
        <row r="4286">
          <cell r="C4286">
            <v>0</v>
          </cell>
        </row>
        <row r="4287">
          <cell r="C4287">
            <v>0</v>
          </cell>
        </row>
        <row r="4288">
          <cell r="C4288">
            <v>0</v>
          </cell>
        </row>
        <row r="4289">
          <cell r="C4289">
            <v>0</v>
          </cell>
        </row>
        <row r="4290">
          <cell r="C4290">
            <v>0</v>
          </cell>
        </row>
        <row r="4291">
          <cell r="C4291">
            <v>0</v>
          </cell>
        </row>
        <row r="4292">
          <cell r="C4292">
            <v>0</v>
          </cell>
        </row>
        <row r="4293">
          <cell r="C4293">
            <v>0</v>
          </cell>
        </row>
        <row r="4294">
          <cell r="C4294">
            <v>0</v>
          </cell>
        </row>
        <row r="4295">
          <cell r="C4295">
            <v>0</v>
          </cell>
        </row>
        <row r="4296">
          <cell r="C4296">
            <v>0</v>
          </cell>
        </row>
        <row r="4297">
          <cell r="C4297">
            <v>0</v>
          </cell>
        </row>
        <row r="4298">
          <cell r="C4298">
            <v>0</v>
          </cell>
        </row>
        <row r="4299">
          <cell r="C4299">
            <v>0</v>
          </cell>
        </row>
        <row r="4300">
          <cell r="C4300">
            <v>0</v>
          </cell>
        </row>
        <row r="4301">
          <cell r="C4301">
            <v>0</v>
          </cell>
        </row>
        <row r="4302">
          <cell r="C4302">
            <v>0</v>
          </cell>
        </row>
        <row r="4303">
          <cell r="C4303">
            <v>0</v>
          </cell>
        </row>
        <row r="4304">
          <cell r="C4304">
            <v>0</v>
          </cell>
        </row>
        <row r="4305">
          <cell r="C4305">
            <v>0</v>
          </cell>
        </row>
        <row r="4306">
          <cell r="C4306">
            <v>0</v>
          </cell>
        </row>
        <row r="4307">
          <cell r="C4307">
            <v>0</v>
          </cell>
        </row>
        <row r="4308">
          <cell r="C4308">
            <v>0</v>
          </cell>
        </row>
        <row r="4309">
          <cell r="C4309">
            <v>0</v>
          </cell>
        </row>
        <row r="4310">
          <cell r="C4310">
            <v>0</v>
          </cell>
        </row>
        <row r="4311">
          <cell r="C4311">
            <v>0</v>
          </cell>
        </row>
        <row r="4312">
          <cell r="C4312">
            <v>0</v>
          </cell>
        </row>
        <row r="4313">
          <cell r="C4313">
            <v>0</v>
          </cell>
        </row>
        <row r="4314">
          <cell r="C4314">
            <v>0</v>
          </cell>
        </row>
        <row r="4315">
          <cell r="C4315">
            <v>0</v>
          </cell>
        </row>
        <row r="4316">
          <cell r="C4316">
            <v>0</v>
          </cell>
        </row>
        <row r="4317">
          <cell r="C4317">
            <v>0</v>
          </cell>
        </row>
        <row r="4318">
          <cell r="C4318">
            <v>0</v>
          </cell>
        </row>
        <row r="4319">
          <cell r="C4319">
            <v>0</v>
          </cell>
        </row>
        <row r="4320">
          <cell r="C4320">
            <v>0</v>
          </cell>
        </row>
        <row r="4321">
          <cell r="C4321">
            <v>0</v>
          </cell>
        </row>
        <row r="4322">
          <cell r="C4322">
            <v>0</v>
          </cell>
        </row>
        <row r="4323">
          <cell r="C4323">
            <v>0</v>
          </cell>
        </row>
        <row r="4324">
          <cell r="C4324">
            <v>0</v>
          </cell>
        </row>
        <row r="4325">
          <cell r="C4325">
            <v>0</v>
          </cell>
        </row>
        <row r="4326">
          <cell r="C4326">
            <v>0</v>
          </cell>
        </row>
        <row r="4327">
          <cell r="C4327">
            <v>0</v>
          </cell>
        </row>
        <row r="4328">
          <cell r="C4328">
            <v>0</v>
          </cell>
        </row>
        <row r="4329">
          <cell r="C4329">
            <v>0</v>
          </cell>
        </row>
        <row r="4330">
          <cell r="C4330">
            <v>0</v>
          </cell>
        </row>
        <row r="4331">
          <cell r="C4331">
            <v>0</v>
          </cell>
        </row>
        <row r="4332">
          <cell r="C4332">
            <v>0</v>
          </cell>
        </row>
        <row r="4333">
          <cell r="C4333">
            <v>0</v>
          </cell>
        </row>
        <row r="4334">
          <cell r="C4334">
            <v>0</v>
          </cell>
        </row>
        <row r="4335">
          <cell r="C4335">
            <v>0</v>
          </cell>
        </row>
        <row r="4336">
          <cell r="C4336">
            <v>0</v>
          </cell>
        </row>
        <row r="4337">
          <cell r="C4337">
            <v>0</v>
          </cell>
        </row>
        <row r="4338">
          <cell r="C4338">
            <v>0</v>
          </cell>
        </row>
        <row r="4339">
          <cell r="C4339">
            <v>0</v>
          </cell>
        </row>
        <row r="4340">
          <cell r="C4340">
            <v>0</v>
          </cell>
        </row>
        <row r="4341">
          <cell r="C4341">
            <v>0</v>
          </cell>
        </row>
        <row r="4342">
          <cell r="C4342">
            <v>0</v>
          </cell>
        </row>
        <row r="4343">
          <cell r="C4343">
            <v>0</v>
          </cell>
        </row>
        <row r="4344">
          <cell r="C4344">
            <v>0</v>
          </cell>
        </row>
        <row r="4345">
          <cell r="C4345">
            <v>0</v>
          </cell>
        </row>
        <row r="4346">
          <cell r="C4346">
            <v>0</v>
          </cell>
        </row>
        <row r="4347">
          <cell r="C4347">
            <v>0</v>
          </cell>
        </row>
        <row r="4348">
          <cell r="C4348">
            <v>0</v>
          </cell>
        </row>
        <row r="4349">
          <cell r="C4349">
            <v>0</v>
          </cell>
        </row>
        <row r="4350">
          <cell r="C4350">
            <v>0</v>
          </cell>
        </row>
        <row r="4351">
          <cell r="C4351">
            <v>0</v>
          </cell>
        </row>
        <row r="4352">
          <cell r="C4352">
            <v>0</v>
          </cell>
        </row>
        <row r="4353">
          <cell r="C4353">
            <v>0</v>
          </cell>
        </row>
        <row r="4354">
          <cell r="C4354">
            <v>0</v>
          </cell>
        </row>
        <row r="4355">
          <cell r="C4355">
            <v>0</v>
          </cell>
        </row>
        <row r="4356">
          <cell r="C4356">
            <v>0</v>
          </cell>
        </row>
        <row r="4357">
          <cell r="C4357">
            <v>0</v>
          </cell>
        </row>
        <row r="4358">
          <cell r="C4358">
            <v>0</v>
          </cell>
        </row>
        <row r="4359">
          <cell r="C4359">
            <v>0</v>
          </cell>
        </row>
        <row r="4360">
          <cell r="C4360">
            <v>0</v>
          </cell>
        </row>
        <row r="4361">
          <cell r="C4361">
            <v>0</v>
          </cell>
        </row>
        <row r="4362">
          <cell r="C4362">
            <v>0</v>
          </cell>
        </row>
        <row r="4363">
          <cell r="C4363">
            <v>0</v>
          </cell>
        </row>
        <row r="4364">
          <cell r="C4364">
            <v>0</v>
          </cell>
        </row>
        <row r="4365">
          <cell r="C4365">
            <v>0</v>
          </cell>
        </row>
        <row r="4366">
          <cell r="C4366">
            <v>0</v>
          </cell>
        </row>
        <row r="4367">
          <cell r="C4367">
            <v>0</v>
          </cell>
        </row>
        <row r="4368">
          <cell r="C4368">
            <v>0</v>
          </cell>
        </row>
        <row r="4369">
          <cell r="C4369">
            <v>0</v>
          </cell>
        </row>
        <row r="4370">
          <cell r="C4370">
            <v>0</v>
          </cell>
        </row>
        <row r="4371">
          <cell r="C4371">
            <v>0</v>
          </cell>
        </row>
        <row r="4372">
          <cell r="C4372">
            <v>0</v>
          </cell>
        </row>
        <row r="4373">
          <cell r="C4373">
            <v>0</v>
          </cell>
        </row>
        <row r="4374">
          <cell r="C4374">
            <v>0</v>
          </cell>
        </row>
        <row r="4375">
          <cell r="C4375">
            <v>0</v>
          </cell>
        </row>
        <row r="4376">
          <cell r="C4376">
            <v>0</v>
          </cell>
        </row>
        <row r="4377">
          <cell r="C4377">
            <v>0</v>
          </cell>
        </row>
        <row r="4378">
          <cell r="C4378">
            <v>0</v>
          </cell>
        </row>
        <row r="4379">
          <cell r="C4379">
            <v>0</v>
          </cell>
        </row>
        <row r="4380">
          <cell r="C4380">
            <v>0</v>
          </cell>
        </row>
        <row r="4381">
          <cell r="C4381">
            <v>0</v>
          </cell>
        </row>
        <row r="4382">
          <cell r="C4382">
            <v>0</v>
          </cell>
        </row>
        <row r="4383">
          <cell r="C4383">
            <v>0</v>
          </cell>
        </row>
        <row r="4384">
          <cell r="C4384">
            <v>0</v>
          </cell>
        </row>
        <row r="4385">
          <cell r="C4385">
            <v>0</v>
          </cell>
        </row>
        <row r="4386">
          <cell r="C4386">
            <v>0</v>
          </cell>
        </row>
        <row r="4387">
          <cell r="C4387">
            <v>0</v>
          </cell>
        </row>
        <row r="4388">
          <cell r="C4388">
            <v>0</v>
          </cell>
        </row>
        <row r="4389">
          <cell r="C4389">
            <v>0</v>
          </cell>
        </row>
        <row r="4390">
          <cell r="C4390">
            <v>0</v>
          </cell>
        </row>
        <row r="4391">
          <cell r="C4391">
            <v>0</v>
          </cell>
        </row>
        <row r="4392">
          <cell r="C4392">
            <v>0</v>
          </cell>
        </row>
        <row r="4393">
          <cell r="C4393">
            <v>0</v>
          </cell>
        </row>
        <row r="4394">
          <cell r="C4394">
            <v>0</v>
          </cell>
        </row>
        <row r="4395">
          <cell r="C4395">
            <v>0</v>
          </cell>
        </row>
        <row r="4396">
          <cell r="C4396">
            <v>0</v>
          </cell>
        </row>
        <row r="4397">
          <cell r="C4397">
            <v>0</v>
          </cell>
        </row>
        <row r="4398">
          <cell r="C4398">
            <v>0</v>
          </cell>
        </row>
        <row r="4399">
          <cell r="C4399">
            <v>0</v>
          </cell>
        </row>
        <row r="4400">
          <cell r="C4400">
            <v>0</v>
          </cell>
        </row>
        <row r="4401">
          <cell r="C4401">
            <v>0</v>
          </cell>
        </row>
        <row r="4402">
          <cell r="C4402">
            <v>0</v>
          </cell>
        </row>
        <row r="4403">
          <cell r="C4403">
            <v>0</v>
          </cell>
        </row>
        <row r="4404">
          <cell r="C4404">
            <v>0</v>
          </cell>
        </row>
        <row r="4405">
          <cell r="C4405">
            <v>0</v>
          </cell>
        </row>
        <row r="4406">
          <cell r="C4406">
            <v>0</v>
          </cell>
        </row>
        <row r="4407">
          <cell r="C4407">
            <v>0</v>
          </cell>
        </row>
        <row r="4408">
          <cell r="C4408">
            <v>0</v>
          </cell>
        </row>
        <row r="4409">
          <cell r="C4409">
            <v>0</v>
          </cell>
        </row>
        <row r="4410">
          <cell r="C4410">
            <v>0</v>
          </cell>
        </row>
        <row r="4411">
          <cell r="C4411">
            <v>0</v>
          </cell>
        </row>
        <row r="4412">
          <cell r="C4412">
            <v>0</v>
          </cell>
        </row>
        <row r="4413">
          <cell r="C4413">
            <v>0</v>
          </cell>
        </row>
        <row r="4414">
          <cell r="C4414">
            <v>0</v>
          </cell>
        </row>
        <row r="4415">
          <cell r="C4415">
            <v>0</v>
          </cell>
        </row>
        <row r="4416">
          <cell r="C4416">
            <v>0</v>
          </cell>
        </row>
        <row r="4417">
          <cell r="C4417">
            <v>0</v>
          </cell>
        </row>
        <row r="4418">
          <cell r="C4418">
            <v>0</v>
          </cell>
        </row>
        <row r="4419">
          <cell r="C4419">
            <v>0</v>
          </cell>
        </row>
        <row r="4420">
          <cell r="C4420">
            <v>0</v>
          </cell>
        </row>
        <row r="4421">
          <cell r="C4421">
            <v>0</v>
          </cell>
        </row>
        <row r="4422">
          <cell r="C4422">
            <v>0</v>
          </cell>
        </row>
        <row r="4423">
          <cell r="C4423">
            <v>0</v>
          </cell>
        </row>
        <row r="4424">
          <cell r="C4424">
            <v>0</v>
          </cell>
        </row>
        <row r="4425">
          <cell r="C4425">
            <v>0</v>
          </cell>
        </row>
        <row r="4426">
          <cell r="C4426">
            <v>0</v>
          </cell>
        </row>
        <row r="4427">
          <cell r="C4427">
            <v>0</v>
          </cell>
        </row>
        <row r="4428">
          <cell r="C4428">
            <v>0</v>
          </cell>
        </row>
        <row r="4429">
          <cell r="C4429">
            <v>0</v>
          </cell>
        </row>
        <row r="4430">
          <cell r="C4430">
            <v>0</v>
          </cell>
        </row>
        <row r="4431">
          <cell r="C4431">
            <v>0</v>
          </cell>
        </row>
        <row r="4432">
          <cell r="C4432">
            <v>0</v>
          </cell>
        </row>
        <row r="4433">
          <cell r="C4433">
            <v>0</v>
          </cell>
        </row>
        <row r="4434">
          <cell r="C4434">
            <v>0</v>
          </cell>
        </row>
        <row r="4435">
          <cell r="C4435">
            <v>0</v>
          </cell>
        </row>
        <row r="4436">
          <cell r="C4436">
            <v>0</v>
          </cell>
        </row>
        <row r="4437">
          <cell r="C4437">
            <v>0</v>
          </cell>
        </row>
        <row r="4438">
          <cell r="C4438">
            <v>0</v>
          </cell>
        </row>
        <row r="4439">
          <cell r="C4439">
            <v>0</v>
          </cell>
        </row>
        <row r="4440">
          <cell r="C4440">
            <v>0</v>
          </cell>
        </row>
        <row r="4441">
          <cell r="C4441">
            <v>0</v>
          </cell>
        </row>
        <row r="4442">
          <cell r="C4442">
            <v>0</v>
          </cell>
        </row>
        <row r="4443">
          <cell r="C4443">
            <v>0</v>
          </cell>
        </row>
        <row r="4444">
          <cell r="C4444">
            <v>0</v>
          </cell>
        </row>
        <row r="4445">
          <cell r="C4445">
            <v>0</v>
          </cell>
        </row>
        <row r="4446">
          <cell r="C4446">
            <v>0</v>
          </cell>
        </row>
        <row r="4447">
          <cell r="C4447">
            <v>0</v>
          </cell>
        </row>
        <row r="4448">
          <cell r="C4448">
            <v>0</v>
          </cell>
        </row>
        <row r="4449">
          <cell r="C4449">
            <v>0</v>
          </cell>
        </row>
        <row r="4450">
          <cell r="C4450">
            <v>0</v>
          </cell>
        </row>
        <row r="4451">
          <cell r="C4451">
            <v>0</v>
          </cell>
        </row>
        <row r="4452">
          <cell r="C4452">
            <v>0</v>
          </cell>
        </row>
        <row r="4453">
          <cell r="C4453">
            <v>0</v>
          </cell>
        </row>
        <row r="4454">
          <cell r="C4454">
            <v>0</v>
          </cell>
        </row>
        <row r="4455">
          <cell r="C4455">
            <v>0</v>
          </cell>
        </row>
        <row r="4456">
          <cell r="C4456">
            <v>0</v>
          </cell>
        </row>
        <row r="4457">
          <cell r="C4457">
            <v>0</v>
          </cell>
        </row>
        <row r="4458">
          <cell r="C4458">
            <v>0</v>
          </cell>
        </row>
        <row r="4459">
          <cell r="C4459">
            <v>0</v>
          </cell>
        </row>
        <row r="4460">
          <cell r="C4460">
            <v>0</v>
          </cell>
        </row>
        <row r="4461">
          <cell r="C4461">
            <v>0</v>
          </cell>
        </row>
        <row r="4462">
          <cell r="C4462">
            <v>0</v>
          </cell>
        </row>
        <row r="4463">
          <cell r="C4463">
            <v>0</v>
          </cell>
        </row>
        <row r="4464">
          <cell r="C4464">
            <v>0</v>
          </cell>
        </row>
        <row r="4465">
          <cell r="C4465">
            <v>0</v>
          </cell>
        </row>
        <row r="4466">
          <cell r="C4466">
            <v>0</v>
          </cell>
        </row>
        <row r="4467">
          <cell r="C4467">
            <v>0</v>
          </cell>
        </row>
        <row r="4468">
          <cell r="C4468">
            <v>0</v>
          </cell>
        </row>
        <row r="4469">
          <cell r="C4469">
            <v>0</v>
          </cell>
        </row>
        <row r="4470">
          <cell r="C4470">
            <v>0</v>
          </cell>
        </row>
        <row r="4471">
          <cell r="C4471">
            <v>0</v>
          </cell>
        </row>
        <row r="4472">
          <cell r="C4472">
            <v>0</v>
          </cell>
        </row>
        <row r="4473">
          <cell r="C4473">
            <v>0</v>
          </cell>
        </row>
        <row r="4474">
          <cell r="C4474">
            <v>0</v>
          </cell>
        </row>
        <row r="4475">
          <cell r="C4475">
            <v>0</v>
          </cell>
        </row>
        <row r="4476">
          <cell r="C4476">
            <v>0</v>
          </cell>
        </row>
        <row r="4477">
          <cell r="C4477">
            <v>0</v>
          </cell>
        </row>
        <row r="4478">
          <cell r="C4478">
            <v>0</v>
          </cell>
        </row>
        <row r="4479">
          <cell r="C4479">
            <v>0</v>
          </cell>
        </row>
        <row r="4480">
          <cell r="C4480">
            <v>0</v>
          </cell>
        </row>
        <row r="4481">
          <cell r="C4481">
            <v>0</v>
          </cell>
        </row>
        <row r="4482">
          <cell r="C4482">
            <v>0</v>
          </cell>
        </row>
        <row r="4483">
          <cell r="C4483">
            <v>0</v>
          </cell>
        </row>
        <row r="4484">
          <cell r="C4484">
            <v>0</v>
          </cell>
        </row>
        <row r="4485">
          <cell r="C4485">
            <v>0</v>
          </cell>
        </row>
        <row r="4486">
          <cell r="C4486">
            <v>0</v>
          </cell>
        </row>
        <row r="4487">
          <cell r="C4487">
            <v>0</v>
          </cell>
        </row>
        <row r="4488">
          <cell r="C4488">
            <v>0</v>
          </cell>
        </row>
        <row r="4489">
          <cell r="C4489">
            <v>0</v>
          </cell>
        </row>
        <row r="4490">
          <cell r="C4490">
            <v>0</v>
          </cell>
        </row>
        <row r="4491">
          <cell r="C4491">
            <v>0</v>
          </cell>
        </row>
        <row r="4492">
          <cell r="C4492">
            <v>0</v>
          </cell>
        </row>
        <row r="4493">
          <cell r="C4493">
            <v>0</v>
          </cell>
        </row>
        <row r="4494">
          <cell r="C4494">
            <v>0</v>
          </cell>
        </row>
        <row r="4495">
          <cell r="C4495">
            <v>0</v>
          </cell>
        </row>
        <row r="4496">
          <cell r="C4496">
            <v>0</v>
          </cell>
        </row>
        <row r="4497">
          <cell r="C4497">
            <v>0</v>
          </cell>
        </row>
        <row r="4498">
          <cell r="C4498">
            <v>0</v>
          </cell>
        </row>
        <row r="4499">
          <cell r="C4499">
            <v>0</v>
          </cell>
        </row>
        <row r="4500">
          <cell r="C4500">
            <v>0</v>
          </cell>
        </row>
        <row r="4501">
          <cell r="C4501">
            <v>0</v>
          </cell>
        </row>
        <row r="4502">
          <cell r="C4502">
            <v>0</v>
          </cell>
        </row>
        <row r="4503">
          <cell r="C4503">
            <v>0</v>
          </cell>
        </row>
        <row r="4504">
          <cell r="C4504">
            <v>0</v>
          </cell>
        </row>
        <row r="4505">
          <cell r="C4505">
            <v>0</v>
          </cell>
        </row>
        <row r="4506">
          <cell r="C4506">
            <v>0</v>
          </cell>
        </row>
        <row r="4507">
          <cell r="C4507">
            <v>0</v>
          </cell>
        </row>
        <row r="4508">
          <cell r="C4508">
            <v>0</v>
          </cell>
        </row>
        <row r="4509">
          <cell r="C4509">
            <v>0</v>
          </cell>
        </row>
        <row r="4510">
          <cell r="C4510">
            <v>0</v>
          </cell>
        </row>
        <row r="4511">
          <cell r="C4511">
            <v>0</v>
          </cell>
        </row>
        <row r="4512">
          <cell r="C4512">
            <v>0</v>
          </cell>
        </row>
        <row r="4513">
          <cell r="C4513">
            <v>0</v>
          </cell>
        </row>
        <row r="4514">
          <cell r="C4514">
            <v>0</v>
          </cell>
        </row>
        <row r="4515">
          <cell r="C4515">
            <v>0</v>
          </cell>
        </row>
        <row r="4516">
          <cell r="C4516">
            <v>0</v>
          </cell>
        </row>
        <row r="4517">
          <cell r="C4517">
            <v>0</v>
          </cell>
        </row>
        <row r="4518">
          <cell r="C4518">
            <v>0</v>
          </cell>
        </row>
        <row r="4519">
          <cell r="C4519">
            <v>0</v>
          </cell>
        </row>
        <row r="4520">
          <cell r="C4520">
            <v>0</v>
          </cell>
        </row>
        <row r="4521">
          <cell r="C4521">
            <v>0</v>
          </cell>
        </row>
        <row r="4522">
          <cell r="C4522">
            <v>0</v>
          </cell>
        </row>
        <row r="4523">
          <cell r="C4523">
            <v>0</v>
          </cell>
        </row>
        <row r="4524">
          <cell r="C4524">
            <v>0</v>
          </cell>
        </row>
        <row r="4525">
          <cell r="C4525">
            <v>0</v>
          </cell>
        </row>
        <row r="4526">
          <cell r="C4526">
            <v>0</v>
          </cell>
        </row>
        <row r="4527">
          <cell r="C4527">
            <v>0</v>
          </cell>
        </row>
        <row r="4528">
          <cell r="C4528">
            <v>0</v>
          </cell>
        </row>
        <row r="4529">
          <cell r="C4529">
            <v>0</v>
          </cell>
        </row>
        <row r="4530">
          <cell r="C4530">
            <v>0</v>
          </cell>
        </row>
        <row r="4531">
          <cell r="C4531">
            <v>0</v>
          </cell>
        </row>
        <row r="4532">
          <cell r="C4532">
            <v>0</v>
          </cell>
        </row>
        <row r="4533">
          <cell r="C4533">
            <v>0</v>
          </cell>
        </row>
        <row r="4534">
          <cell r="C4534">
            <v>0</v>
          </cell>
        </row>
        <row r="4535">
          <cell r="C4535">
            <v>0</v>
          </cell>
        </row>
        <row r="4536">
          <cell r="C4536">
            <v>0</v>
          </cell>
        </row>
        <row r="4537">
          <cell r="C4537">
            <v>0</v>
          </cell>
        </row>
        <row r="4538">
          <cell r="C4538">
            <v>0</v>
          </cell>
        </row>
        <row r="4539">
          <cell r="C4539">
            <v>0</v>
          </cell>
        </row>
        <row r="4540">
          <cell r="C4540">
            <v>0</v>
          </cell>
        </row>
        <row r="4541">
          <cell r="C4541">
            <v>0</v>
          </cell>
        </row>
        <row r="4542">
          <cell r="C4542">
            <v>0</v>
          </cell>
        </row>
        <row r="4543">
          <cell r="C4543">
            <v>0</v>
          </cell>
        </row>
        <row r="4544">
          <cell r="C4544">
            <v>0</v>
          </cell>
        </row>
        <row r="4545">
          <cell r="C4545">
            <v>0</v>
          </cell>
        </row>
        <row r="4546">
          <cell r="C4546">
            <v>0</v>
          </cell>
        </row>
        <row r="4547">
          <cell r="C4547">
            <v>0</v>
          </cell>
        </row>
        <row r="4548">
          <cell r="C4548">
            <v>0</v>
          </cell>
        </row>
        <row r="4549">
          <cell r="C4549">
            <v>0</v>
          </cell>
        </row>
        <row r="4550">
          <cell r="C4550">
            <v>0</v>
          </cell>
        </row>
        <row r="4551">
          <cell r="C4551">
            <v>0</v>
          </cell>
        </row>
        <row r="4552">
          <cell r="C4552">
            <v>0</v>
          </cell>
        </row>
        <row r="4553">
          <cell r="C4553">
            <v>0</v>
          </cell>
        </row>
        <row r="4554">
          <cell r="C4554">
            <v>0</v>
          </cell>
        </row>
        <row r="4555">
          <cell r="C4555">
            <v>0</v>
          </cell>
        </row>
        <row r="4556">
          <cell r="C4556">
            <v>0</v>
          </cell>
        </row>
        <row r="4557">
          <cell r="C4557">
            <v>0</v>
          </cell>
        </row>
        <row r="4558">
          <cell r="C4558">
            <v>0</v>
          </cell>
        </row>
        <row r="4559">
          <cell r="C4559">
            <v>0</v>
          </cell>
        </row>
        <row r="4560">
          <cell r="C4560">
            <v>0</v>
          </cell>
        </row>
        <row r="4561">
          <cell r="C4561">
            <v>0</v>
          </cell>
        </row>
        <row r="4562">
          <cell r="C4562">
            <v>0</v>
          </cell>
        </row>
        <row r="4563">
          <cell r="C4563">
            <v>0</v>
          </cell>
        </row>
        <row r="4564">
          <cell r="C4564">
            <v>0</v>
          </cell>
        </row>
        <row r="4565">
          <cell r="C4565">
            <v>0</v>
          </cell>
        </row>
        <row r="4566">
          <cell r="C4566">
            <v>0</v>
          </cell>
        </row>
        <row r="4567">
          <cell r="C4567">
            <v>0</v>
          </cell>
        </row>
        <row r="4568">
          <cell r="C4568">
            <v>0</v>
          </cell>
        </row>
        <row r="4569">
          <cell r="C4569">
            <v>0</v>
          </cell>
        </row>
        <row r="4570">
          <cell r="C4570">
            <v>0</v>
          </cell>
        </row>
        <row r="4571">
          <cell r="C4571">
            <v>0</v>
          </cell>
        </row>
        <row r="4572">
          <cell r="C4572">
            <v>0</v>
          </cell>
        </row>
        <row r="4573">
          <cell r="C4573">
            <v>0</v>
          </cell>
        </row>
        <row r="4574">
          <cell r="C4574">
            <v>0</v>
          </cell>
        </row>
        <row r="4575">
          <cell r="C4575">
            <v>0</v>
          </cell>
        </row>
        <row r="4576">
          <cell r="C4576">
            <v>0</v>
          </cell>
        </row>
        <row r="4577">
          <cell r="C4577">
            <v>0</v>
          </cell>
        </row>
        <row r="4578">
          <cell r="C4578">
            <v>0</v>
          </cell>
        </row>
        <row r="4579">
          <cell r="C4579">
            <v>0</v>
          </cell>
        </row>
        <row r="4580">
          <cell r="C4580">
            <v>0</v>
          </cell>
        </row>
        <row r="4581">
          <cell r="C4581">
            <v>0</v>
          </cell>
        </row>
        <row r="4582">
          <cell r="C4582">
            <v>0</v>
          </cell>
        </row>
        <row r="4583">
          <cell r="C4583">
            <v>0</v>
          </cell>
        </row>
        <row r="4584">
          <cell r="C4584">
            <v>0</v>
          </cell>
        </row>
        <row r="4585">
          <cell r="C4585">
            <v>0</v>
          </cell>
        </row>
        <row r="4586">
          <cell r="C4586">
            <v>0</v>
          </cell>
        </row>
        <row r="4587">
          <cell r="C4587">
            <v>0</v>
          </cell>
        </row>
        <row r="4588">
          <cell r="C4588">
            <v>0</v>
          </cell>
        </row>
        <row r="4589">
          <cell r="C4589">
            <v>0</v>
          </cell>
        </row>
        <row r="4590">
          <cell r="C4590">
            <v>0</v>
          </cell>
        </row>
        <row r="4591">
          <cell r="C4591">
            <v>0</v>
          </cell>
        </row>
        <row r="4592">
          <cell r="C4592">
            <v>0</v>
          </cell>
        </row>
        <row r="4593">
          <cell r="C4593">
            <v>0</v>
          </cell>
        </row>
        <row r="4594">
          <cell r="C4594">
            <v>0</v>
          </cell>
        </row>
        <row r="4595">
          <cell r="C4595">
            <v>0</v>
          </cell>
        </row>
        <row r="4596">
          <cell r="C4596">
            <v>0</v>
          </cell>
        </row>
        <row r="4597">
          <cell r="C4597">
            <v>0</v>
          </cell>
        </row>
        <row r="4598">
          <cell r="C4598">
            <v>0</v>
          </cell>
        </row>
        <row r="4599">
          <cell r="C4599">
            <v>0</v>
          </cell>
        </row>
        <row r="4600">
          <cell r="C4600">
            <v>0</v>
          </cell>
        </row>
        <row r="4601">
          <cell r="C4601">
            <v>0</v>
          </cell>
        </row>
        <row r="4602">
          <cell r="C4602">
            <v>0</v>
          </cell>
        </row>
        <row r="4603">
          <cell r="C4603">
            <v>0</v>
          </cell>
        </row>
        <row r="4604">
          <cell r="C4604">
            <v>0</v>
          </cell>
        </row>
        <row r="4605">
          <cell r="C4605">
            <v>0</v>
          </cell>
        </row>
        <row r="4606">
          <cell r="C4606">
            <v>0</v>
          </cell>
        </row>
        <row r="4607">
          <cell r="C4607">
            <v>0</v>
          </cell>
        </row>
        <row r="4608">
          <cell r="C4608">
            <v>0</v>
          </cell>
        </row>
        <row r="4609">
          <cell r="C4609">
            <v>0</v>
          </cell>
        </row>
        <row r="4610">
          <cell r="C4610">
            <v>0</v>
          </cell>
        </row>
        <row r="4611">
          <cell r="C4611">
            <v>0</v>
          </cell>
        </row>
        <row r="4612">
          <cell r="C4612">
            <v>0</v>
          </cell>
        </row>
        <row r="4613">
          <cell r="C4613">
            <v>0</v>
          </cell>
        </row>
        <row r="4614">
          <cell r="C4614">
            <v>0</v>
          </cell>
        </row>
        <row r="4615">
          <cell r="C4615">
            <v>0</v>
          </cell>
        </row>
        <row r="4616">
          <cell r="C4616">
            <v>0</v>
          </cell>
        </row>
        <row r="4617">
          <cell r="C4617">
            <v>0</v>
          </cell>
        </row>
        <row r="4618">
          <cell r="C4618">
            <v>0</v>
          </cell>
        </row>
        <row r="4619">
          <cell r="C4619">
            <v>0</v>
          </cell>
        </row>
        <row r="4620">
          <cell r="C4620">
            <v>0</v>
          </cell>
        </row>
        <row r="4621">
          <cell r="C4621">
            <v>0</v>
          </cell>
        </row>
        <row r="4622">
          <cell r="C4622">
            <v>0</v>
          </cell>
        </row>
        <row r="4623">
          <cell r="C4623">
            <v>0</v>
          </cell>
        </row>
        <row r="4624">
          <cell r="C4624">
            <v>0</v>
          </cell>
        </row>
        <row r="4625">
          <cell r="C4625">
            <v>0</v>
          </cell>
        </row>
        <row r="4626">
          <cell r="C4626">
            <v>0</v>
          </cell>
        </row>
        <row r="4627">
          <cell r="C4627">
            <v>0</v>
          </cell>
        </row>
        <row r="4628">
          <cell r="C4628">
            <v>0</v>
          </cell>
        </row>
        <row r="4629">
          <cell r="C4629">
            <v>0</v>
          </cell>
        </row>
        <row r="4630">
          <cell r="C4630">
            <v>0</v>
          </cell>
        </row>
        <row r="4631">
          <cell r="C4631">
            <v>0</v>
          </cell>
        </row>
        <row r="4632">
          <cell r="C4632">
            <v>0</v>
          </cell>
        </row>
        <row r="4633">
          <cell r="C4633">
            <v>0</v>
          </cell>
        </row>
        <row r="4634">
          <cell r="C4634">
            <v>0</v>
          </cell>
        </row>
        <row r="4635">
          <cell r="C4635">
            <v>0</v>
          </cell>
        </row>
        <row r="4636">
          <cell r="C4636">
            <v>0</v>
          </cell>
        </row>
        <row r="4637">
          <cell r="C4637">
            <v>0</v>
          </cell>
        </row>
        <row r="4638">
          <cell r="C4638">
            <v>0</v>
          </cell>
        </row>
        <row r="4639">
          <cell r="C4639">
            <v>0</v>
          </cell>
        </row>
        <row r="4640">
          <cell r="C4640">
            <v>0</v>
          </cell>
        </row>
        <row r="4641">
          <cell r="C4641">
            <v>0</v>
          </cell>
        </row>
        <row r="4642">
          <cell r="C4642">
            <v>0</v>
          </cell>
        </row>
        <row r="4643">
          <cell r="C4643">
            <v>0</v>
          </cell>
        </row>
        <row r="4644">
          <cell r="C4644">
            <v>0</v>
          </cell>
        </row>
        <row r="4645">
          <cell r="C4645">
            <v>0</v>
          </cell>
        </row>
        <row r="4646">
          <cell r="C4646">
            <v>0</v>
          </cell>
        </row>
        <row r="4647">
          <cell r="C4647">
            <v>0</v>
          </cell>
        </row>
        <row r="4648">
          <cell r="C4648">
            <v>0</v>
          </cell>
        </row>
        <row r="4649">
          <cell r="C4649">
            <v>0</v>
          </cell>
        </row>
        <row r="4650">
          <cell r="C4650">
            <v>0</v>
          </cell>
        </row>
        <row r="4651">
          <cell r="C4651">
            <v>0</v>
          </cell>
        </row>
        <row r="4652">
          <cell r="C4652">
            <v>0</v>
          </cell>
        </row>
        <row r="4653">
          <cell r="C4653">
            <v>0</v>
          </cell>
        </row>
        <row r="4654">
          <cell r="C4654">
            <v>0</v>
          </cell>
        </row>
        <row r="4655">
          <cell r="C4655">
            <v>0</v>
          </cell>
        </row>
        <row r="4656">
          <cell r="C4656">
            <v>0</v>
          </cell>
        </row>
        <row r="4657">
          <cell r="C4657">
            <v>0</v>
          </cell>
        </row>
        <row r="4658">
          <cell r="C4658">
            <v>0</v>
          </cell>
        </row>
        <row r="4659">
          <cell r="C4659">
            <v>0</v>
          </cell>
        </row>
        <row r="4660">
          <cell r="C4660">
            <v>0</v>
          </cell>
        </row>
        <row r="4661">
          <cell r="C4661">
            <v>0</v>
          </cell>
        </row>
        <row r="4662">
          <cell r="C4662">
            <v>0</v>
          </cell>
        </row>
        <row r="4663">
          <cell r="C4663">
            <v>0</v>
          </cell>
        </row>
        <row r="4664">
          <cell r="C4664">
            <v>0</v>
          </cell>
        </row>
        <row r="4665">
          <cell r="C4665">
            <v>0</v>
          </cell>
        </row>
        <row r="4666">
          <cell r="C4666">
            <v>0</v>
          </cell>
        </row>
        <row r="4667">
          <cell r="C4667">
            <v>0</v>
          </cell>
        </row>
        <row r="4668">
          <cell r="C4668">
            <v>0</v>
          </cell>
        </row>
        <row r="4669">
          <cell r="C4669">
            <v>0</v>
          </cell>
        </row>
        <row r="4670">
          <cell r="C4670">
            <v>0</v>
          </cell>
        </row>
        <row r="4671">
          <cell r="C4671">
            <v>0</v>
          </cell>
        </row>
        <row r="4672">
          <cell r="C4672">
            <v>0</v>
          </cell>
        </row>
        <row r="4673">
          <cell r="C4673">
            <v>0</v>
          </cell>
        </row>
        <row r="4674">
          <cell r="C4674">
            <v>0</v>
          </cell>
        </row>
        <row r="4675">
          <cell r="C4675">
            <v>0</v>
          </cell>
        </row>
        <row r="4676">
          <cell r="C4676">
            <v>0</v>
          </cell>
        </row>
        <row r="4677">
          <cell r="C4677">
            <v>0</v>
          </cell>
        </row>
        <row r="4678">
          <cell r="C4678">
            <v>0</v>
          </cell>
        </row>
        <row r="4679">
          <cell r="C4679">
            <v>0</v>
          </cell>
        </row>
        <row r="4680">
          <cell r="C4680">
            <v>0</v>
          </cell>
        </row>
        <row r="4681">
          <cell r="C4681">
            <v>0</v>
          </cell>
        </row>
        <row r="4682">
          <cell r="C4682">
            <v>0</v>
          </cell>
        </row>
        <row r="4683">
          <cell r="C4683">
            <v>0</v>
          </cell>
        </row>
        <row r="4684">
          <cell r="C4684">
            <v>0</v>
          </cell>
        </row>
        <row r="4685">
          <cell r="C4685">
            <v>0</v>
          </cell>
        </row>
        <row r="4686">
          <cell r="C4686">
            <v>0</v>
          </cell>
        </row>
        <row r="4687">
          <cell r="C4687">
            <v>0</v>
          </cell>
        </row>
        <row r="4688">
          <cell r="C4688">
            <v>0</v>
          </cell>
        </row>
        <row r="4689">
          <cell r="C4689">
            <v>0</v>
          </cell>
        </row>
        <row r="4690">
          <cell r="C4690">
            <v>0</v>
          </cell>
        </row>
        <row r="4691">
          <cell r="C4691">
            <v>0</v>
          </cell>
        </row>
        <row r="4692">
          <cell r="C4692">
            <v>0</v>
          </cell>
        </row>
        <row r="4693">
          <cell r="C4693">
            <v>0</v>
          </cell>
        </row>
        <row r="4694">
          <cell r="C4694">
            <v>0</v>
          </cell>
        </row>
        <row r="4695">
          <cell r="C4695">
            <v>0</v>
          </cell>
        </row>
        <row r="4696">
          <cell r="C4696">
            <v>0</v>
          </cell>
        </row>
        <row r="4697">
          <cell r="C4697">
            <v>0</v>
          </cell>
        </row>
        <row r="4698">
          <cell r="C4698">
            <v>0</v>
          </cell>
        </row>
        <row r="4699">
          <cell r="C4699">
            <v>0</v>
          </cell>
        </row>
        <row r="4700">
          <cell r="C4700">
            <v>0</v>
          </cell>
        </row>
        <row r="4701">
          <cell r="C4701">
            <v>0</v>
          </cell>
        </row>
        <row r="4702">
          <cell r="C4702">
            <v>0</v>
          </cell>
        </row>
        <row r="4703">
          <cell r="C4703">
            <v>0</v>
          </cell>
        </row>
        <row r="4704">
          <cell r="C4704">
            <v>0</v>
          </cell>
        </row>
        <row r="4705">
          <cell r="C4705">
            <v>0</v>
          </cell>
        </row>
        <row r="4706">
          <cell r="C4706">
            <v>0</v>
          </cell>
        </row>
        <row r="4707">
          <cell r="C4707">
            <v>0</v>
          </cell>
        </row>
        <row r="4708">
          <cell r="C4708">
            <v>0</v>
          </cell>
        </row>
        <row r="4709">
          <cell r="C4709">
            <v>0</v>
          </cell>
        </row>
        <row r="4710">
          <cell r="C4710">
            <v>0</v>
          </cell>
        </row>
        <row r="4711">
          <cell r="C4711">
            <v>0</v>
          </cell>
        </row>
        <row r="4712">
          <cell r="C4712">
            <v>0</v>
          </cell>
        </row>
        <row r="4713">
          <cell r="C4713">
            <v>0</v>
          </cell>
        </row>
        <row r="4714">
          <cell r="C4714">
            <v>0</v>
          </cell>
        </row>
        <row r="4715">
          <cell r="C4715">
            <v>0</v>
          </cell>
        </row>
        <row r="4716">
          <cell r="C4716">
            <v>0</v>
          </cell>
        </row>
        <row r="4717">
          <cell r="C4717">
            <v>0</v>
          </cell>
        </row>
        <row r="4718">
          <cell r="C4718">
            <v>0</v>
          </cell>
        </row>
        <row r="4719">
          <cell r="C4719">
            <v>0</v>
          </cell>
        </row>
        <row r="4720">
          <cell r="C4720">
            <v>0</v>
          </cell>
        </row>
        <row r="4721">
          <cell r="C4721">
            <v>0</v>
          </cell>
        </row>
        <row r="4722">
          <cell r="C4722">
            <v>0</v>
          </cell>
        </row>
        <row r="4723">
          <cell r="C4723">
            <v>0</v>
          </cell>
        </row>
        <row r="4724">
          <cell r="C4724">
            <v>0</v>
          </cell>
        </row>
        <row r="4725">
          <cell r="C4725">
            <v>0</v>
          </cell>
        </row>
        <row r="4726">
          <cell r="C4726">
            <v>0</v>
          </cell>
        </row>
        <row r="4727">
          <cell r="C4727">
            <v>0</v>
          </cell>
        </row>
        <row r="4728">
          <cell r="C4728">
            <v>0</v>
          </cell>
        </row>
        <row r="4729">
          <cell r="C4729">
            <v>0</v>
          </cell>
        </row>
        <row r="4730">
          <cell r="C4730">
            <v>0</v>
          </cell>
        </row>
        <row r="4731">
          <cell r="C4731">
            <v>0</v>
          </cell>
        </row>
        <row r="4732">
          <cell r="C4732">
            <v>0</v>
          </cell>
        </row>
        <row r="4733">
          <cell r="C4733">
            <v>0</v>
          </cell>
        </row>
        <row r="4734">
          <cell r="C4734">
            <v>0</v>
          </cell>
        </row>
        <row r="4735">
          <cell r="C4735">
            <v>0</v>
          </cell>
        </row>
        <row r="4736">
          <cell r="C4736">
            <v>0</v>
          </cell>
        </row>
        <row r="4737">
          <cell r="C4737">
            <v>0</v>
          </cell>
        </row>
        <row r="4738">
          <cell r="C4738">
            <v>0</v>
          </cell>
        </row>
        <row r="4739">
          <cell r="C4739">
            <v>0</v>
          </cell>
        </row>
        <row r="4740">
          <cell r="C4740">
            <v>0</v>
          </cell>
        </row>
        <row r="4741">
          <cell r="C4741">
            <v>0</v>
          </cell>
        </row>
        <row r="4742">
          <cell r="C4742">
            <v>0</v>
          </cell>
        </row>
        <row r="4743">
          <cell r="C4743">
            <v>0</v>
          </cell>
        </row>
        <row r="4744">
          <cell r="C4744">
            <v>0</v>
          </cell>
        </row>
        <row r="4745">
          <cell r="C4745">
            <v>0</v>
          </cell>
        </row>
        <row r="4746">
          <cell r="C4746">
            <v>0</v>
          </cell>
        </row>
        <row r="4747">
          <cell r="C4747">
            <v>0</v>
          </cell>
        </row>
        <row r="4748">
          <cell r="C4748">
            <v>0</v>
          </cell>
        </row>
        <row r="4749">
          <cell r="C4749">
            <v>0</v>
          </cell>
        </row>
        <row r="4750">
          <cell r="C4750">
            <v>0</v>
          </cell>
        </row>
        <row r="4751">
          <cell r="C4751">
            <v>0</v>
          </cell>
        </row>
        <row r="4752">
          <cell r="C4752">
            <v>0</v>
          </cell>
        </row>
        <row r="4753">
          <cell r="C4753">
            <v>0</v>
          </cell>
        </row>
        <row r="4754">
          <cell r="C4754">
            <v>0</v>
          </cell>
        </row>
        <row r="4755">
          <cell r="C4755">
            <v>0</v>
          </cell>
        </row>
        <row r="4756">
          <cell r="C4756">
            <v>0</v>
          </cell>
        </row>
        <row r="4757">
          <cell r="C4757">
            <v>0</v>
          </cell>
        </row>
        <row r="4758">
          <cell r="C4758">
            <v>0</v>
          </cell>
        </row>
        <row r="4759">
          <cell r="C4759">
            <v>0</v>
          </cell>
        </row>
        <row r="4760">
          <cell r="C4760">
            <v>0</v>
          </cell>
        </row>
        <row r="4761">
          <cell r="C4761">
            <v>0</v>
          </cell>
        </row>
        <row r="4762">
          <cell r="C4762">
            <v>0</v>
          </cell>
        </row>
        <row r="4763">
          <cell r="C4763">
            <v>0</v>
          </cell>
        </row>
        <row r="4764">
          <cell r="C4764">
            <v>0</v>
          </cell>
        </row>
        <row r="4765">
          <cell r="C4765">
            <v>0</v>
          </cell>
        </row>
        <row r="4766">
          <cell r="C4766">
            <v>0</v>
          </cell>
        </row>
        <row r="4767">
          <cell r="C4767">
            <v>0</v>
          </cell>
        </row>
        <row r="4768">
          <cell r="C4768">
            <v>0</v>
          </cell>
        </row>
        <row r="4769">
          <cell r="C4769">
            <v>0</v>
          </cell>
        </row>
        <row r="4770">
          <cell r="C4770">
            <v>0</v>
          </cell>
        </row>
        <row r="4771">
          <cell r="C4771">
            <v>0</v>
          </cell>
        </row>
        <row r="4772">
          <cell r="C4772">
            <v>0</v>
          </cell>
        </row>
        <row r="4773">
          <cell r="C4773">
            <v>0</v>
          </cell>
        </row>
        <row r="4774">
          <cell r="C4774">
            <v>0</v>
          </cell>
        </row>
        <row r="4775">
          <cell r="C4775">
            <v>0</v>
          </cell>
        </row>
        <row r="4776">
          <cell r="C4776">
            <v>0</v>
          </cell>
        </row>
        <row r="4777">
          <cell r="C4777">
            <v>0</v>
          </cell>
        </row>
        <row r="4778">
          <cell r="C4778">
            <v>0</v>
          </cell>
        </row>
        <row r="4779">
          <cell r="C4779">
            <v>0</v>
          </cell>
        </row>
        <row r="4780">
          <cell r="C4780">
            <v>0</v>
          </cell>
        </row>
        <row r="4781">
          <cell r="C4781">
            <v>0</v>
          </cell>
        </row>
        <row r="4782">
          <cell r="C4782">
            <v>0</v>
          </cell>
        </row>
        <row r="4783">
          <cell r="C4783">
            <v>0</v>
          </cell>
        </row>
        <row r="4784">
          <cell r="C4784">
            <v>0</v>
          </cell>
        </row>
        <row r="4785">
          <cell r="C4785">
            <v>0</v>
          </cell>
        </row>
        <row r="4786">
          <cell r="C4786">
            <v>0</v>
          </cell>
        </row>
        <row r="4787">
          <cell r="C4787">
            <v>0</v>
          </cell>
        </row>
        <row r="4788">
          <cell r="C4788">
            <v>0</v>
          </cell>
        </row>
        <row r="4789">
          <cell r="C4789">
            <v>0</v>
          </cell>
        </row>
        <row r="4790">
          <cell r="C4790">
            <v>0</v>
          </cell>
        </row>
        <row r="4791">
          <cell r="C4791">
            <v>0</v>
          </cell>
        </row>
        <row r="4792">
          <cell r="C4792">
            <v>0</v>
          </cell>
        </row>
        <row r="4793">
          <cell r="C4793">
            <v>0</v>
          </cell>
        </row>
        <row r="4794">
          <cell r="C4794">
            <v>0</v>
          </cell>
        </row>
        <row r="4795">
          <cell r="C4795">
            <v>0</v>
          </cell>
        </row>
        <row r="4796">
          <cell r="C4796">
            <v>0</v>
          </cell>
        </row>
        <row r="4797">
          <cell r="C4797">
            <v>0</v>
          </cell>
        </row>
        <row r="4798">
          <cell r="C4798">
            <v>0</v>
          </cell>
        </row>
        <row r="4799">
          <cell r="C4799">
            <v>0</v>
          </cell>
        </row>
        <row r="4800">
          <cell r="C4800">
            <v>0</v>
          </cell>
        </row>
        <row r="4801">
          <cell r="C4801">
            <v>0</v>
          </cell>
        </row>
        <row r="4802">
          <cell r="C4802">
            <v>0</v>
          </cell>
        </row>
        <row r="4803">
          <cell r="C4803">
            <v>0</v>
          </cell>
        </row>
        <row r="4804">
          <cell r="C4804">
            <v>0</v>
          </cell>
        </row>
        <row r="4805">
          <cell r="C4805">
            <v>0</v>
          </cell>
        </row>
        <row r="4806">
          <cell r="C4806">
            <v>0</v>
          </cell>
        </row>
        <row r="4807">
          <cell r="C4807">
            <v>0</v>
          </cell>
        </row>
        <row r="4808">
          <cell r="C4808">
            <v>0</v>
          </cell>
        </row>
        <row r="4809">
          <cell r="C4809">
            <v>0</v>
          </cell>
        </row>
        <row r="4810">
          <cell r="C4810">
            <v>0</v>
          </cell>
        </row>
        <row r="4811">
          <cell r="C4811">
            <v>0</v>
          </cell>
        </row>
        <row r="4812">
          <cell r="C4812">
            <v>0</v>
          </cell>
        </row>
        <row r="4813">
          <cell r="C4813">
            <v>0</v>
          </cell>
        </row>
        <row r="4814">
          <cell r="C4814">
            <v>0</v>
          </cell>
        </row>
        <row r="4815">
          <cell r="C4815">
            <v>0</v>
          </cell>
        </row>
        <row r="4816">
          <cell r="C4816">
            <v>0</v>
          </cell>
        </row>
        <row r="4817">
          <cell r="C4817">
            <v>0</v>
          </cell>
        </row>
        <row r="4818">
          <cell r="C4818">
            <v>0</v>
          </cell>
        </row>
        <row r="4819">
          <cell r="C4819">
            <v>0</v>
          </cell>
        </row>
        <row r="4820">
          <cell r="C4820">
            <v>0</v>
          </cell>
        </row>
        <row r="4821">
          <cell r="C4821">
            <v>0</v>
          </cell>
        </row>
        <row r="4822">
          <cell r="C4822">
            <v>0</v>
          </cell>
        </row>
        <row r="4823">
          <cell r="C4823">
            <v>0</v>
          </cell>
        </row>
        <row r="4824">
          <cell r="C4824">
            <v>0</v>
          </cell>
        </row>
        <row r="4825">
          <cell r="C4825">
            <v>0</v>
          </cell>
        </row>
        <row r="4826">
          <cell r="C4826">
            <v>0</v>
          </cell>
        </row>
        <row r="4827">
          <cell r="C4827">
            <v>0</v>
          </cell>
        </row>
        <row r="4828">
          <cell r="C4828">
            <v>0</v>
          </cell>
        </row>
        <row r="4829">
          <cell r="C4829">
            <v>0</v>
          </cell>
        </row>
        <row r="4830">
          <cell r="C4830">
            <v>0</v>
          </cell>
        </row>
        <row r="4831">
          <cell r="C4831">
            <v>0</v>
          </cell>
        </row>
        <row r="4832">
          <cell r="C4832">
            <v>0</v>
          </cell>
        </row>
        <row r="4833">
          <cell r="C4833">
            <v>0</v>
          </cell>
        </row>
        <row r="4834">
          <cell r="C4834">
            <v>0</v>
          </cell>
        </row>
        <row r="4835">
          <cell r="C4835">
            <v>0</v>
          </cell>
        </row>
        <row r="4836">
          <cell r="C4836">
            <v>0</v>
          </cell>
        </row>
        <row r="4837">
          <cell r="C4837">
            <v>0</v>
          </cell>
        </row>
        <row r="4838">
          <cell r="C4838">
            <v>0</v>
          </cell>
        </row>
        <row r="4839">
          <cell r="C4839">
            <v>0</v>
          </cell>
        </row>
        <row r="4840">
          <cell r="C4840">
            <v>0</v>
          </cell>
        </row>
        <row r="4841">
          <cell r="C4841">
            <v>0</v>
          </cell>
        </row>
        <row r="4842">
          <cell r="C4842">
            <v>0</v>
          </cell>
        </row>
        <row r="4843">
          <cell r="C4843">
            <v>0</v>
          </cell>
        </row>
        <row r="4844">
          <cell r="C4844">
            <v>0</v>
          </cell>
        </row>
        <row r="4845">
          <cell r="C4845">
            <v>0</v>
          </cell>
        </row>
        <row r="4846">
          <cell r="C4846">
            <v>0</v>
          </cell>
        </row>
        <row r="4847">
          <cell r="C4847">
            <v>0</v>
          </cell>
        </row>
        <row r="4848">
          <cell r="C4848">
            <v>0</v>
          </cell>
        </row>
        <row r="4849">
          <cell r="C4849">
            <v>0</v>
          </cell>
        </row>
        <row r="4850">
          <cell r="C4850">
            <v>0</v>
          </cell>
        </row>
        <row r="4851">
          <cell r="C4851">
            <v>0</v>
          </cell>
        </row>
        <row r="4852">
          <cell r="C4852">
            <v>0</v>
          </cell>
        </row>
        <row r="4853">
          <cell r="C4853">
            <v>0</v>
          </cell>
        </row>
        <row r="4854">
          <cell r="C4854">
            <v>0</v>
          </cell>
        </row>
        <row r="4855">
          <cell r="C4855">
            <v>0</v>
          </cell>
        </row>
        <row r="4856">
          <cell r="C4856">
            <v>0</v>
          </cell>
        </row>
        <row r="4857">
          <cell r="C4857">
            <v>0</v>
          </cell>
        </row>
        <row r="4858">
          <cell r="C4858">
            <v>0</v>
          </cell>
        </row>
        <row r="4859">
          <cell r="C4859">
            <v>0</v>
          </cell>
        </row>
        <row r="4860">
          <cell r="C4860">
            <v>0</v>
          </cell>
        </row>
        <row r="4861">
          <cell r="C4861">
            <v>0</v>
          </cell>
        </row>
        <row r="4862">
          <cell r="C4862">
            <v>0</v>
          </cell>
        </row>
        <row r="4863">
          <cell r="C4863">
            <v>0</v>
          </cell>
        </row>
        <row r="4864">
          <cell r="C4864">
            <v>0</v>
          </cell>
        </row>
        <row r="4865">
          <cell r="C4865">
            <v>0</v>
          </cell>
        </row>
        <row r="4866">
          <cell r="C4866">
            <v>0</v>
          </cell>
        </row>
        <row r="4867">
          <cell r="C4867">
            <v>0</v>
          </cell>
        </row>
        <row r="4868">
          <cell r="C4868">
            <v>0</v>
          </cell>
        </row>
        <row r="4869">
          <cell r="C4869">
            <v>0</v>
          </cell>
        </row>
        <row r="4870">
          <cell r="C4870">
            <v>0</v>
          </cell>
        </row>
        <row r="4871">
          <cell r="C4871">
            <v>0</v>
          </cell>
        </row>
        <row r="4872">
          <cell r="C4872">
            <v>0</v>
          </cell>
        </row>
        <row r="4873">
          <cell r="C4873">
            <v>0</v>
          </cell>
        </row>
        <row r="4874">
          <cell r="C4874">
            <v>0</v>
          </cell>
        </row>
        <row r="4875">
          <cell r="C4875">
            <v>0</v>
          </cell>
        </row>
        <row r="4876">
          <cell r="C4876">
            <v>0</v>
          </cell>
        </row>
        <row r="4877">
          <cell r="C4877">
            <v>0</v>
          </cell>
        </row>
        <row r="4878">
          <cell r="C4878">
            <v>0</v>
          </cell>
        </row>
        <row r="4879">
          <cell r="C4879">
            <v>0</v>
          </cell>
        </row>
        <row r="4880">
          <cell r="C4880">
            <v>0</v>
          </cell>
        </row>
        <row r="4881">
          <cell r="C4881">
            <v>0</v>
          </cell>
        </row>
        <row r="4882">
          <cell r="C4882">
            <v>0</v>
          </cell>
        </row>
        <row r="4883">
          <cell r="C4883">
            <v>0</v>
          </cell>
        </row>
        <row r="4884">
          <cell r="C4884">
            <v>0</v>
          </cell>
        </row>
        <row r="4885">
          <cell r="C4885">
            <v>0</v>
          </cell>
        </row>
        <row r="4886">
          <cell r="C4886">
            <v>0</v>
          </cell>
        </row>
        <row r="4887">
          <cell r="C4887">
            <v>0</v>
          </cell>
        </row>
        <row r="4888">
          <cell r="C4888">
            <v>0</v>
          </cell>
        </row>
        <row r="4889">
          <cell r="C4889">
            <v>0</v>
          </cell>
        </row>
        <row r="4890">
          <cell r="C4890">
            <v>0</v>
          </cell>
        </row>
        <row r="4891">
          <cell r="C4891">
            <v>0</v>
          </cell>
        </row>
        <row r="4892">
          <cell r="C4892">
            <v>0</v>
          </cell>
        </row>
        <row r="4893">
          <cell r="C4893">
            <v>0</v>
          </cell>
        </row>
        <row r="4894">
          <cell r="C4894">
            <v>0</v>
          </cell>
        </row>
        <row r="4895">
          <cell r="C4895">
            <v>0</v>
          </cell>
        </row>
        <row r="4896">
          <cell r="C4896">
            <v>0</v>
          </cell>
        </row>
        <row r="4897">
          <cell r="C4897">
            <v>0</v>
          </cell>
        </row>
        <row r="4898">
          <cell r="C4898">
            <v>0</v>
          </cell>
        </row>
        <row r="4899">
          <cell r="C4899">
            <v>0</v>
          </cell>
        </row>
        <row r="4900">
          <cell r="C4900">
            <v>0</v>
          </cell>
        </row>
        <row r="4901">
          <cell r="C4901">
            <v>0</v>
          </cell>
        </row>
        <row r="4902">
          <cell r="C4902">
            <v>0</v>
          </cell>
        </row>
        <row r="4903">
          <cell r="C4903">
            <v>0</v>
          </cell>
        </row>
        <row r="4904">
          <cell r="C4904">
            <v>0</v>
          </cell>
        </row>
        <row r="4905">
          <cell r="C4905">
            <v>0</v>
          </cell>
        </row>
        <row r="4906">
          <cell r="C4906">
            <v>0</v>
          </cell>
        </row>
        <row r="4907">
          <cell r="C4907">
            <v>0</v>
          </cell>
        </row>
        <row r="4908">
          <cell r="C4908">
            <v>0</v>
          </cell>
        </row>
        <row r="4909">
          <cell r="C4909">
            <v>0</v>
          </cell>
        </row>
        <row r="4910">
          <cell r="C4910">
            <v>0</v>
          </cell>
        </row>
        <row r="4911">
          <cell r="C4911">
            <v>0</v>
          </cell>
        </row>
        <row r="4912">
          <cell r="C4912">
            <v>0</v>
          </cell>
        </row>
        <row r="4913">
          <cell r="C4913">
            <v>0</v>
          </cell>
        </row>
        <row r="4914">
          <cell r="C4914">
            <v>0</v>
          </cell>
        </row>
        <row r="4915">
          <cell r="C4915">
            <v>0</v>
          </cell>
        </row>
        <row r="4916">
          <cell r="C4916">
            <v>0</v>
          </cell>
        </row>
        <row r="4917">
          <cell r="C4917">
            <v>0</v>
          </cell>
        </row>
        <row r="4918">
          <cell r="C4918">
            <v>0</v>
          </cell>
        </row>
        <row r="4919">
          <cell r="C4919">
            <v>0</v>
          </cell>
        </row>
        <row r="4920">
          <cell r="C4920">
            <v>0</v>
          </cell>
        </row>
        <row r="4921">
          <cell r="C4921">
            <v>0</v>
          </cell>
        </row>
        <row r="4922">
          <cell r="C4922">
            <v>0</v>
          </cell>
        </row>
        <row r="4923">
          <cell r="C4923">
            <v>0</v>
          </cell>
        </row>
        <row r="4924">
          <cell r="C4924">
            <v>0</v>
          </cell>
        </row>
        <row r="4925">
          <cell r="C4925">
            <v>0</v>
          </cell>
        </row>
        <row r="4926">
          <cell r="C4926">
            <v>0</v>
          </cell>
        </row>
        <row r="4927">
          <cell r="C4927">
            <v>0</v>
          </cell>
        </row>
        <row r="4928">
          <cell r="C4928">
            <v>0</v>
          </cell>
        </row>
        <row r="4929">
          <cell r="C4929">
            <v>0</v>
          </cell>
        </row>
        <row r="4930">
          <cell r="C4930">
            <v>0</v>
          </cell>
        </row>
        <row r="4931">
          <cell r="C4931">
            <v>0</v>
          </cell>
        </row>
        <row r="4932">
          <cell r="C4932">
            <v>0</v>
          </cell>
        </row>
        <row r="4933">
          <cell r="C4933">
            <v>0</v>
          </cell>
        </row>
        <row r="4934">
          <cell r="C4934">
            <v>0</v>
          </cell>
        </row>
        <row r="4935">
          <cell r="C4935">
            <v>0</v>
          </cell>
        </row>
        <row r="4936">
          <cell r="C4936">
            <v>0</v>
          </cell>
        </row>
        <row r="4937">
          <cell r="C4937">
            <v>0</v>
          </cell>
        </row>
        <row r="4938">
          <cell r="C4938">
            <v>0</v>
          </cell>
        </row>
        <row r="4939">
          <cell r="C4939">
            <v>0</v>
          </cell>
        </row>
        <row r="4940">
          <cell r="C4940">
            <v>0</v>
          </cell>
        </row>
        <row r="4941">
          <cell r="C4941">
            <v>0</v>
          </cell>
        </row>
        <row r="4942">
          <cell r="C4942">
            <v>0</v>
          </cell>
        </row>
        <row r="4943">
          <cell r="C4943">
            <v>0</v>
          </cell>
        </row>
        <row r="4944">
          <cell r="C4944">
            <v>0</v>
          </cell>
        </row>
        <row r="4945">
          <cell r="C4945">
            <v>0</v>
          </cell>
        </row>
        <row r="4946">
          <cell r="C4946">
            <v>0</v>
          </cell>
        </row>
        <row r="4947">
          <cell r="C4947">
            <v>0</v>
          </cell>
        </row>
        <row r="4948">
          <cell r="C4948">
            <v>0</v>
          </cell>
        </row>
        <row r="4949">
          <cell r="C4949">
            <v>0</v>
          </cell>
        </row>
        <row r="4950">
          <cell r="C4950">
            <v>0</v>
          </cell>
        </row>
        <row r="4951">
          <cell r="C4951">
            <v>0</v>
          </cell>
        </row>
        <row r="4952">
          <cell r="C4952">
            <v>0</v>
          </cell>
        </row>
        <row r="4953">
          <cell r="C4953">
            <v>0</v>
          </cell>
        </row>
        <row r="4954">
          <cell r="C4954">
            <v>0</v>
          </cell>
        </row>
        <row r="4955">
          <cell r="C4955">
            <v>0</v>
          </cell>
        </row>
        <row r="4956">
          <cell r="C4956">
            <v>0</v>
          </cell>
        </row>
        <row r="4957">
          <cell r="C4957">
            <v>0</v>
          </cell>
        </row>
        <row r="4958">
          <cell r="C4958">
            <v>0</v>
          </cell>
        </row>
        <row r="4959">
          <cell r="C4959">
            <v>0</v>
          </cell>
        </row>
        <row r="4960">
          <cell r="C4960">
            <v>0</v>
          </cell>
        </row>
        <row r="4961">
          <cell r="C4961">
            <v>0</v>
          </cell>
        </row>
        <row r="4962">
          <cell r="C4962">
            <v>0</v>
          </cell>
        </row>
        <row r="4963">
          <cell r="C4963">
            <v>0</v>
          </cell>
        </row>
        <row r="4964">
          <cell r="C4964">
            <v>0</v>
          </cell>
        </row>
        <row r="4965">
          <cell r="C4965">
            <v>0</v>
          </cell>
        </row>
        <row r="4966">
          <cell r="C4966">
            <v>0</v>
          </cell>
        </row>
        <row r="4967">
          <cell r="C4967">
            <v>0</v>
          </cell>
        </row>
        <row r="4968">
          <cell r="C4968">
            <v>0</v>
          </cell>
        </row>
        <row r="4969">
          <cell r="C4969">
            <v>0</v>
          </cell>
        </row>
        <row r="4970">
          <cell r="C4970">
            <v>0</v>
          </cell>
        </row>
        <row r="4971">
          <cell r="C4971">
            <v>0</v>
          </cell>
        </row>
        <row r="4972">
          <cell r="C4972">
            <v>0</v>
          </cell>
        </row>
        <row r="4973">
          <cell r="C4973">
            <v>0</v>
          </cell>
        </row>
        <row r="4974">
          <cell r="C4974">
            <v>0</v>
          </cell>
        </row>
        <row r="4975">
          <cell r="C4975">
            <v>0</v>
          </cell>
        </row>
        <row r="4976">
          <cell r="C4976">
            <v>0</v>
          </cell>
        </row>
        <row r="4977">
          <cell r="C4977">
            <v>0</v>
          </cell>
        </row>
        <row r="4978">
          <cell r="C4978">
            <v>0</v>
          </cell>
        </row>
        <row r="4979">
          <cell r="C4979">
            <v>0</v>
          </cell>
        </row>
        <row r="4980">
          <cell r="C4980">
            <v>0</v>
          </cell>
        </row>
        <row r="4981">
          <cell r="C4981">
            <v>0</v>
          </cell>
        </row>
        <row r="4982">
          <cell r="C4982">
            <v>0</v>
          </cell>
        </row>
        <row r="4983">
          <cell r="C4983">
            <v>0</v>
          </cell>
        </row>
        <row r="4984">
          <cell r="C4984">
            <v>0</v>
          </cell>
        </row>
        <row r="4985">
          <cell r="C4985">
            <v>0</v>
          </cell>
        </row>
        <row r="4986">
          <cell r="C4986">
            <v>0</v>
          </cell>
        </row>
        <row r="4987">
          <cell r="C4987">
            <v>0</v>
          </cell>
        </row>
        <row r="4988">
          <cell r="C4988">
            <v>0</v>
          </cell>
        </row>
        <row r="4989">
          <cell r="C4989">
            <v>0</v>
          </cell>
        </row>
        <row r="4990">
          <cell r="C4990">
            <v>0</v>
          </cell>
        </row>
        <row r="4991">
          <cell r="C4991">
            <v>0</v>
          </cell>
        </row>
        <row r="4992">
          <cell r="C4992">
            <v>0</v>
          </cell>
        </row>
        <row r="4993">
          <cell r="C4993">
            <v>0</v>
          </cell>
        </row>
        <row r="4994">
          <cell r="C4994">
            <v>0</v>
          </cell>
        </row>
        <row r="4995">
          <cell r="C4995">
            <v>0</v>
          </cell>
        </row>
        <row r="4996">
          <cell r="C4996">
            <v>0</v>
          </cell>
        </row>
        <row r="4997">
          <cell r="C4997">
            <v>0</v>
          </cell>
        </row>
        <row r="4998">
          <cell r="C4998">
            <v>0</v>
          </cell>
        </row>
        <row r="4999">
          <cell r="C4999">
            <v>0</v>
          </cell>
        </row>
        <row r="5000">
          <cell r="C5000">
            <v>0</v>
          </cell>
        </row>
        <row r="5001">
          <cell r="C5001">
            <v>0</v>
          </cell>
        </row>
        <row r="5002">
          <cell r="C5002">
            <v>0</v>
          </cell>
        </row>
        <row r="5003">
          <cell r="C5003">
            <v>0</v>
          </cell>
        </row>
        <row r="5004">
          <cell r="C5004">
            <v>0</v>
          </cell>
        </row>
        <row r="5005">
          <cell r="C5005">
            <v>0</v>
          </cell>
        </row>
        <row r="5006">
          <cell r="C5006">
            <v>0</v>
          </cell>
        </row>
        <row r="5007">
          <cell r="C5007">
            <v>0</v>
          </cell>
        </row>
        <row r="5008">
          <cell r="C5008">
            <v>0</v>
          </cell>
        </row>
        <row r="5009">
          <cell r="C5009">
            <v>0</v>
          </cell>
        </row>
        <row r="5010">
          <cell r="C5010">
            <v>0</v>
          </cell>
        </row>
        <row r="5011">
          <cell r="C5011">
            <v>0</v>
          </cell>
        </row>
        <row r="5012">
          <cell r="C5012">
            <v>0</v>
          </cell>
        </row>
        <row r="5013">
          <cell r="C5013">
            <v>0</v>
          </cell>
        </row>
        <row r="5014">
          <cell r="C5014">
            <v>0</v>
          </cell>
        </row>
        <row r="5015">
          <cell r="C5015">
            <v>0</v>
          </cell>
        </row>
        <row r="5016">
          <cell r="C5016">
            <v>0</v>
          </cell>
        </row>
        <row r="5017">
          <cell r="C5017">
            <v>0</v>
          </cell>
        </row>
        <row r="5018">
          <cell r="C5018">
            <v>0</v>
          </cell>
        </row>
        <row r="5019">
          <cell r="C5019">
            <v>0</v>
          </cell>
        </row>
        <row r="5020">
          <cell r="C5020">
            <v>0</v>
          </cell>
        </row>
        <row r="5021">
          <cell r="C5021">
            <v>0</v>
          </cell>
        </row>
        <row r="5022">
          <cell r="C5022">
            <v>0</v>
          </cell>
        </row>
        <row r="5023">
          <cell r="C5023">
            <v>0</v>
          </cell>
        </row>
        <row r="5024">
          <cell r="C5024">
            <v>0</v>
          </cell>
        </row>
        <row r="5025">
          <cell r="C5025">
            <v>0</v>
          </cell>
        </row>
        <row r="5026">
          <cell r="C5026">
            <v>0</v>
          </cell>
        </row>
        <row r="5027">
          <cell r="C5027">
            <v>0</v>
          </cell>
        </row>
        <row r="5028">
          <cell r="C5028">
            <v>0</v>
          </cell>
        </row>
        <row r="5029">
          <cell r="C5029">
            <v>0</v>
          </cell>
        </row>
        <row r="5030">
          <cell r="C5030">
            <v>0</v>
          </cell>
        </row>
        <row r="5031">
          <cell r="C5031">
            <v>0</v>
          </cell>
        </row>
        <row r="5032">
          <cell r="C5032">
            <v>0</v>
          </cell>
        </row>
        <row r="5033">
          <cell r="C5033">
            <v>0</v>
          </cell>
        </row>
        <row r="5034">
          <cell r="C5034">
            <v>0</v>
          </cell>
        </row>
        <row r="5035">
          <cell r="C5035">
            <v>0</v>
          </cell>
        </row>
        <row r="5036">
          <cell r="C5036">
            <v>0</v>
          </cell>
        </row>
        <row r="5037">
          <cell r="C5037">
            <v>0</v>
          </cell>
        </row>
        <row r="5038">
          <cell r="C5038">
            <v>0</v>
          </cell>
        </row>
        <row r="5039">
          <cell r="C5039">
            <v>0</v>
          </cell>
        </row>
        <row r="5040">
          <cell r="C5040">
            <v>0</v>
          </cell>
        </row>
        <row r="5041">
          <cell r="C5041">
            <v>0</v>
          </cell>
        </row>
        <row r="5042">
          <cell r="C5042">
            <v>0</v>
          </cell>
        </row>
        <row r="5043">
          <cell r="C5043">
            <v>0</v>
          </cell>
        </row>
        <row r="5044">
          <cell r="C5044">
            <v>0</v>
          </cell>
        </row>
        <row r="5045">
          <cell r="C5045">
            <v>0</v>
          </cell>
        </row>
        <row r="5046">
          <cell r="C5046">
            <v>0</v>
          </cell>
        </row>
        <row r="5047">
          <cell r="C5047">
            <v>0</v>
          </cell>
        </row>
        <row r="5048">
          <cell r="C5048">
            <v>0</v>
          </cell>
        </row>
        <row r="5049">
          <cell r="C5049">
            <v>0</v>
          </cell>
        </row>
        <row r="5050">
          <cell r="C5050">
            <v>0</v>
          </cell>
        </row>
        <row r="5051">
          <cell r="C5051">
            <v>0</v>
          </cell>
        </row>
        <row r="5052">
          <cell r="C5052">
            <v>0</v>
          </cell>
        </row>
        <row r="5053">
          <cell r="C5053">
            <v>0</v>
          </cell>
        </row>
        <row r="5054">
          <cell r="C5054">
            <v>0</v>
          </cell>
        </row>
        <row r="5055">
          <cell r="C5055">
            <v>0</v>
          </cell>
        </row>
        <row r="5056">
          <cell r="C5056">
            <v>0</v>
          </cell>
        </row>
        <row r="5057">
          <cell r="C5057">
            <v>0</v>
          </cell>
        </row>
        <row r="5058">
          <cell r="C5058">
            <v>0</v>
          </cell>
        </row>
        <row r="5059">
          <cell r="C5059">
            <v>0</v>
          </cell>
        </row>
        <row r="5060">
          <cell r="C5060">
            <v>0</v>
          </cell>
        </row>
        <row r="5061">
          <cell r="C5061">
            <v>0</v>
          </cell>
        </row>
        <row r="5062">
          <cell r="C5062">
            <v>0</v>
          </cell>
        </row>
        <row r="5063">
          <cell r="C5063">
            <v>0</v>
          </cell>
        </row>
        <row r="5064">
          <cell r="C5064">
            <v>0</v>
          </cell>
        </row>
        <row r="5065">
          <cell r="C5065">
            <v>0</v>
          </cell>
        </row>
        <row r="5066">
          <cell r="C5066">
            <v>0</v>
          </cell>
        </row>
        <row r="5067">
          <cell r="C5067">
            <v>0</v>
          </cell>
        </row>
        <row r="5068">
          <cell r="C5068">
            <v>0</v>
          </cell>
        </row>
        <row r="5069">
          <cell r="C5069">
            <v>0</v>
          </cell>
        </row>
        <row r="5070">
          <cell r="C5070">
            <v>0</v>
          </cell>
        </row>
        <row r="5071">
          <cell r="C5071">
            <v>0</v>
          </cell>
        </row>
        <row r="5072">
          <cell r="C5072">
            <v>0</v>
          </cell>
        </row>
        <row r="5073">
          <cell r="C5073">
            <v>0</v>
          </cell>
        </row>
        <row r="5074">
          <cell r="C5074">
            <v>0</v>
          </cell>
        </row>
        <row r="5075">
          <cell r="C5075">
            <v>0</v>
          </cell>
        </row>
        <row r="5076">
          <cell r="C5076">
            <v>0</v>
          </cell>
        </row>
        <row r="5077">
          <cell r="C5077">
            <v>0</v>
          </cell>
        </row>
        <row r="5078">
          <cell r="C5078">
            <v>0</v>
          </cell>
        </row>
        <row r="5079">
          <cell r="C5079">
            <v>0</v>
          </cell>
        </row>
        <row r="5080">
          <cell r="C5080">
            <v>0</v>
          </cell>
        </row>
        <row r="5081">
          <cell r="C5081">
            <v>0</v>
          </cell>
        </row>
        <row r="5082">
          <cell r="C5082">
            <v>0</v>
          </cell>
        </row>
        <row r="5083">
          <cell r="C5083">
            <v>0</v>
          </cell>
        </row>
        <row r="5084">
          <cell r="C5084">
            <v>0</v>
          </cell>
        </row>
        <row r="5085">
          <cell r="C5085">
            <v>0</v>
          </cell>
        </row>
        <row r="5086">
          <cell r="C5086">
            <v>0</v>
          </cell>
        </row>
        <row r="5087">
          <cell r="C5087">
            <v>0</v>
          </cell>
        </row>
        <row r="5088">
          <cell r="C5088">
            <v>0</v>
          </cell>
        </row>
        <row r="5089">
          <cell r="C5089">
            <v>0</v>
          </cell>
        </row>
        <row r="5090">
          <cell r="C5090">
            <v>0</v>
          </cell>
        </row>
        <row r="5091">
          <cell r="C5091">
            <v>0</v>
          </cell>
        </row>
        <row r="5092">
          <cell r="C5092">
            <v>0</v>
          </cell>
        </row>
        <row r="5093">
          <cell r="C5093">
            <v>0</v>
          </cell>
        </row>
        <row r="5094">
          <cell r="C5094">
            <v>0</v>
          </cell>
        </row>
        <row r="5095">
          <cell r="C5095">
            <v>0</v>
          </cell>
        </row>
        <row r="5096">
          <cell r="C5096">
            <v>0</v>
          </cell>
        </row>
        <row r="5097">
          <cell r="C5097">
            <v>0</v>
          </cell>
        </row>
        <row r="5098">
          <cell r="C5098">
            <v>0</v>
          </cell>
        </row>
        <row r="5099">
          <cell r="C5099">
            <v>0</v>
          </cell>
        </row>
        <row r="5100">
          <cell r="C5100">
            <v>0</v>
          </cell>
        </row>
        <row r="5101">
          <cell r="C5101">
            <v>0</v>
          </cell>
        </row>
        <row r="5102">
          <cell r="C5102">
            <v>0</v>
          </cell>
        </row>
        <row r="5103">
          <cell r="C5103">
            <v>0</v>
          </cell>
        </row>
        <row r="5104">
          <cell r="C5104">
            <v>0</v>
          </cell>
        </row>
        <row r="5105">
          <cell r="C5105">
            <v>0</v>
          </cell>
        </row>
        <row r="5106">
          <cell r="C5106">
            <v>0</v>
          </cell>
        </row>
        <row r="5107">
          <cell r="C5107">
            <v>0</v>
          </cell>
        </row>
        <row r="5108">
          <cell r="C5108">
            <v>0</v>
          </cell>
        </row>
        <row r="5109">
          <cell r="C5109">
            <v>0</v>
          </cell>
        </row>
        <row r="5110">
          <cell r="C5110">
            <v>0</v>
          </cell>
        </row>
        <row r="5111">
          <cell r="C5111">
            <v>0</v>
          </cell>
        </row>
        <row r="5112">
          <cell r="C5112">
            <v>0</v>
          </cell>
        </row>
        <row r="5113">
          <cell r="C5113">
            <v>0</v>
          </cell>
        </row>
        <row r="5114">
          <cell r="C5114">
            <v>0</v>
          </cell>
        </row>
        <row r="5115">
          <cell r="C5115">
            <v>0</v>
          </cell>
        </row>
        <row r="5116">
          <cell r="C5116">
            <v>0</v>
          </cell>
        </row>
        <row r="5117">
          <cell r="C5117">
            <v>0</v>
          </cell>
        </row>
        <row r="5118">
          <cell r="C5118">
            <v>0</v>
          </cell>
        </row>
        <row r="5119">
          <cell r="C5119">
            <v>0</v>
          </cell>
        </row>
        <row r="5120">
          <cell r="C5120">
            <v>0</v>
          </cell>
        </row>
        <row r="5121">
          <cell r="C5121">
            <v>0</v>
          </cell>
        </row>
        <row r="5122">
          <cell r="C5122">
            <v>0</v>
          </cell>
        </row>
        <row r="5123">
          <cell r="C5123">
            <v>0</v>
          </cell>
        </row>
        <row r="5124">
          <cell r="C5124">
            <v>0</v>
          </cell>
        </row>
        <row r="5125">
          <cell r="C5125">
            <v>0</v>
          </cell>
        </row>
        <row r="5126">
          <cell r="C5126">
            <v>0</v>
          </cell>
        </row>
        <row r="5127">
          <cell r="C5127">
            <v>0</v>
          </cell>
        </row>
        <row r="5128">
          <cell r="C5128">
            <v>0</v>
          </cell>
        </row>
        <row r="5129">
          <cell r="C5129">
            <v>0</v>
          </cell>
        </row>
        <row r="5130">
          <cell r="C5130">
            <v>0</v>
          </cell>
        </row>
        <row r="5131">
          <cell r="C5131">
            <v>0</v>
          </cell>
        </row>
        <row r="5132">
          <cell r="C5132">
            <v>0</v>
          </cell>
        </row>
        <row r="5133">
          <cell r="C5133">
            <v>0</v>
          </cell>
        </row>
        <row r="5134">
          <cell r="C5134">
            <v>0</v>
          </cell>
        </row>
        <row r="5135">
          <cell r="C5135">
            <v>0</v>
          </cell>
        </row>
        <row r="5136">
          <cell r="C5136">
            <v>0</v>
          </cell>
        </row>
        <row r="5137">
          <cell r="C5137">
            <v>0</v>
          </cell>
        </row>
        <row r="5138">
          <cell r="C5138">
            <v>0</v>
          </cell>
        </row>
        <row r="5139">
          <cell r="C5139">
            <v>0</v>
          </cell>
        </row>
        <row r="5140">
          <cell r="C5140">
            <v>0</v>
          </cell>
        </row>
        <row r="5141">
          <cell r="C5141">
            <v>0</v>
          </cell>
        </row>
        <row r="5142">
          <cell r="C5142">
            <v>0</v>
          </cell>
        </row>
        <row r="5143">
          <cell r="C5143">
            <v>0</v>
          </cell>
        </row>
        <row r="5144">
          <cell r="C5144">
            <v>0</v>
          </cell>
        </row>
        <row r="5145">
          <cell r="C5145">
            <v>0</v>
          </cell>
        </row>
        <row r="5146">
          <cell r="C5146">
            <v>0</v>
          </cell>
        </row>
        <row r="5147">
          <cell r="C5147">
            <v>0</v>
          </cell>
        </row>
        <row r="5148">
          <cell r="C5148">
            <v>0</v>
          </cell>
        </row>
        <row r="5149">
          <cell r="C5149">
            <v>0</v>
          </cell>
        </row>
        <row r="5150">
          <cell r="C5150">
            <v>0</v>
          </cell>
        </row>
        <row r="5151">
          <cell r="C5151">
            <v>0</v>
          </cell>
        </row>
        <row r="5152">
          <cell r="C5152">
            <v>0</v>
          </cell>
        </row>
        <row r="5153">
          <cell r="C5153">
            <v>0</v>
          </cell>
        </row>
        <row r="5154">
          <cell r="C5154">
            <v>0</v>
          </cell>
        </row>
        <row r="5155">
          <cell r="C5155">
            <v>0</v>
          </cell>
        </row>
        <row r="5156">
          <cell r="C5156">
            <v>0</v>
          </cell>
        </row>
        <row r="5157">
          <cell r="C5157">
            <v>0</v>
          </cell>
        </row>
        <row r="5158">
          <cell r="C5158">
            <v>0</v>
          </cell>
        </row>
        <row r="5159">
          <cell r="C5159">
            <v>0</v>
          </cell>
        </row>
        <row r="5160">
          <cell r="C5160">
            <v>0</v>
          </cell>
        </row>
        <row r="5161">
          <cell r="C5161">
            <v>0</v>
          </cell>
        </row>
        <row r="5162">
          <cell r="C5162">
            <v>0</v>
          </cell>
        </row>
        <row r="5163">
          <cell r="C5163">
            <v>0</v>
          </cell>
        </row>
        <row r="5164">
          <cell r="C5164">
            <v>0</v>
          </cell>
        </row>
        <row r="5165">
          <cell r="C5165">
            <v>0</v>
          </cell>
        </row>
        <row r="5166">
          <cell r="C5166">
            <v>0</v>
          </cell>
        </row>
        <row r="5167">
          <cell r="C5167">
            <v>0</v>
          </cell>
        </row>
        <row r="5168">
          <cell r="C5168">
            <v>0</v>
          </cell>
        </row>
        <row r="5169">
          <cell r="C5169">
            <v>0</v>
          </cell>
        </row>
        <row r="5170">
          <cell r="C5170">
            <v>0</v>
          </cell>
        </row>
        <row r="5171">
          <cell r="C5171">
            <v>0</v>
          </cell>
        </row>
        <row r="5172">
          <cell r="C5172">
            <v>0</v>
          </cell>
        </row>
        <row r="5173">
          <cell r="C5173">
            <v>0</v>
          </cell>
        </row>
        <row r="5174">
          <cell r="C5174">
            <v>0</v>
          </cell>
        </row>
        <row r="5175">
          <cell r="C5175">
            <v>0</v>
          </cell>
        </row>
        <row r="5176">
          <cell r="C5176">
            <v>0</v>
          </cell>
        </row>
        <row r="5177">
          <cell r="C5177">
            <v>0</v>
          </cell>
        </row>
        <row r="5178">
          <cell r="C5178">
            <v>0</v>
          </cell>
        </row>
        <row r="5179">
          <cell r="C5179">
            <v>0</v>
          </cell>
        </row>
        <row r="5180">
          <cell r="C5180">
            <v>0</v>
          </cell>
        </row>
        <row r="5181">
          <cell r="C5181">
            <v>0</v>
          </cell>
        </row>
        <row r="5182">
          <cell r="C5182">
            <v>0</v>
          </cell>
        </row>
        <row r="5183">
          <cell r="C5183">
            <v>0</v>
          </cell>
        </row>
        <row r="5184">
          <cell r="C5184">
            <v>0</v>
          </cell>
        </row>
        <row r="5185">
          <cell r="C5185">
            <v>0</v>
          </cell>
        </row>
        <row r="5186">
          <cell r="C5186">
            <v>0</v>
          </cell>
        </row>
        <row r="5187">
          <cell r="C5187">
            <v>0</v>
          </cell>
        </row>
        <row r="5188">
          <cell r="C5188">
            <v>0</v>
          </cell>
        </row>
        <row r="5189">
          <cell r="C5189">
            <v>0</v>
          </cell>
        </row>
        <row r="5190">
          <cell r="C5190">
            <v>0</v>
          </cell>
        </row>
        <row r="5191">
          <cell r="C5191">
            <v>0</v>
          </cell>
        </row>
        <row r="5192">
          <cell r="C5192">
            <v>0</v>
          </cell>
        </row>
        <row r="5193">
          <cell r="C5193">
            <v>0</v>
          </cell>
        </row>
        <row r="5194">
          <cell r="C5194">
            <v>0</v>
          </cell>
        </row>
        <row r="5195">
          <cell r="C5195">
            <v>0</v>
          </cell>
        </row>
        <row r="5196">
          <cell r="C5196">
            <v>0</v>
          </cell>
        </row>
        <row r="5197">
          <cell r="C5197">
            <v>0</v>
          </cell>
        </row>
        <row r="5198">
          <cell r="C5198">
            <v>0</v>
          </cell>
        </row>
        <row r="5199">
          <cell r="C5199">
            <v>0</v>
          </cell>
        </row>
        <row r="5200">
          <cell r="C5200">
            <v>0</v>
          </cell>
        </row>
        <row r="5201">
          <cell r="C5201">
            <v>0</v>
          </cell>
        </row>
        <row r="5202">
          <cell r="C5202">
            <v>0</v>
          </cell>
        </row>
        <row r="5203">
          <cell r="C5203">
            <v>0</v>
          </cell>
        </row>
        <row r="5204">
          <cell r="C5204">
            <v>0</v>
          </cell>
        </row>
        <row r="5205">
          <cell r="C5205">
            <v>0</v>
          </cell>
        </row>
        <row r="5206">
          <cell r="C5206">
            <v>0</v>
          </cell>
        </row>
        <row r="5207">
          <cell r="C5207">
            <v>0</v>
          </cell>
        </row>
        <row r="5208">
          <cell r="C5208">
            <v>0</v>
          </cell>
        </row>
        <row r="5209">
          <cell r="C5209">
            <v>0</v>
          </cell>
        </row>
        <row r="5210">
          <cell r="C5210">
            <v>0</v>
          </cell>
        </row>
        <row r="5211">
          <cell r="C5211">
            <v>0</v>
          </cell>
        </row>
        <row r="5212">
          <cell r="C5212">
            <v>0</v>
          </cell>
        </row>
        <row r="5213">
          <cell r="C5213">
            <v>0</v>
          </cell>
        </row>
        <row r="5214">
          <cell r="C5214">
            <v>0</v>
          </cell>
        </row>
        <row r="5215">
          <cell r="C5215">
            <v>0</v>
          </cell>
        </row>
        <row r="5216">
          <cell r="C5216">
            <v>0</v>
          </cell>
        </row>
        <row r="5217">
          <cell r="C5217">
            <v>0</v>
          </cell>
        </row>
        <row r="5218">
          <cell r="C5218">
            <v>0</v>
          </cell>
        </row>
        <row r="5219">
          <cell r="C5219">
            <v>0</v>
          </cell>
        </row>
        <row r="5220">
          <cell r="C5220">
            <v>0</v>
          </cell>
        </row>
        <row r="5221">
          <cell r="C5221">
            <v>0</v>
          </cell>
        </row>
        <row r="5222">
          <cell r="C5222">
            <v>0</v>
          </cell>
        </row>
        <row r="5223">
          <cell r="C5223">
            <v>0</v>
          </cell>
        </row>
        <row r="5224">
          <cell r="C5224">
            <v>0</v>
          </cell>
        </row>
        <row r="5225">
          <cell r="C5225">
            <v>0</v>
          </cell>
        </row>
        <row r="5226">
          <cell r="C5226">
            <v>0</v>
          </cell>
        </row>
        <row r="5227">
          <cell r="C5227">
            <v>0</v>
          </cell>
        </row>
        <row r="5228">
          <cell r="C5228">
            <v>0</v>
          </cell>
        </row>
        <row r="5229">
          <cell r="C5229">
            <v>0</v>
          </cell>
        </row>
        <row r="5230">
          <cell r="C5230">
            <v>0</v>
          </cell>
        </row>
        <row r="5231">
          <cell r="C5231">
            <v>0</v>
          </cell>
        </row>
        <row r="5232">
          <cell r="C5232">
            <v>0</v>
          </cell>
        </row>
        <row r="5233">
          <cell r="C5233">
            <v>0</v>
          </cell>
        </row>
        <row r="5234">
          <cell r="C5234">
            <v>0</v>
          </cell>
        </row>
        <row r="5235">
          <cell r="C5235">
            <v>0</v>
          </cell>
        </row>
        <row r="5236">
          <cell r="C5236">
            <v>0</v>
          </cell>
        </row>
        <row r="5237">
          <cell r="C5237">
            <v>0</v>
          </cell>
        </row>
        <row r="5238">
          <cell r="C5238">
            <v>0</v>
          </cell>
        </row>
        <row r="5239">
          <cell r="C5239">
            <v>0</v>
          </cell>
        </row>
        <row r="5240">
          <cell r="C5240">
            <v>0</v>
          </cell>
        </row>
        <row r="5241">
          <cell r="C5241">
            <v>0</v>
          </cell>
        </row>
        <row r="5242">
          <cell r="C5242">
            <v>0</v>
          </cell>
        </row>
        <row r="5243">
          <cell r="C5243">
            <v>0</v>
          </cell>
        </row>
        <row r="5244">
          <cell r="C5244">
            <v>0</v>
          </cell>
        </row>
        <row r="5245">
          <cell r="C5245">
            <v>0</v>
          </cell>
        </row>
        <row r="5246">
          <cell r="C5246">
            <v>0</v>
          </cell>
        </row>
        <row r="5247">
          <cell r="C5247">
            <v>0</v>
          </cell>
        </row>
        <row r="5248">
          <cell r="C5248">
            <v>0</v>
          </cell>
        </row>
        <row r="5249">
          <cell r="C5249">
            <v>0</v>
          </cell>
        </row>
        <row r="5250">
          <cell r="C5250">
            <v>0</v>
          </cell>
        </row>
        <row r="5251">
          <cell r="C5251">
            <v>0</v>
          </cell>
        </row>
        <row r="5252">
          <cell r="C5252">
            <v>0</v>
          </cell>
        </row>
        <row r="5253">
          <cell r="C5253">
            <v>0</v>
          </cell>
        </row>
        <row r="5254">
          <cell r="C5254">
            <v>0</v>
          </cell>
        </row>
        <row r="5255">
          <cell r="C5255">
            <v>0</v>
          </cell>
        </row>
        <row r="5256">
          <cell r="C5256">
            <v>0</v>
          </cell>
        </row>
        <row r="5257">
          <cell r="C5257">
            <v>0</v>
          </cell>
        </row>
        <row r="5258">
          <cell r="C5258">
            <v>0</v>
          </cell>
        </row>
        <row r="5259">
          <cell r="C5259">
            <v>0</v>
          </cell>
        </row>
        <row r="5260">
          <cell r="C5260">
            <v>0</v>
          </cell>
        </row>
        <row r="5261">
          <cell r="C5261">
            <v>0</v>
          </cell>
        </row>
        <row r="5262">
          <cell r="C5262">
            <v>0</v>
          </cell>
        </row>
        <row r="5263">
          <cell r="C5263">
            <v>0</v>
          </cell>
        </row>
        <row r="5264">
          <cell r="C5264">
            <v>0</v>
          </cell>
        </row>
        <row r="5265">
          <cell r="C5265">
            <v>0</v>
          </cell>
        </row>
        <row r="5266">
          <cell r="C5266">
            <v>0</v>
          </cell>
        </row>
        <row r="5267">
          <cell r="C5267">
            <v>0</v>
          </cell>
        </row>
        <row r="5268">
          <cell r="C5268">
            <v>0</v>
          </cell>
        </row>
        <row r="5269">
          <cell r="C5269">
            <v>0</v>
          </cell>
        </row>
        <row r="5270">
          <cell r="C5270">
            <v>0</v>
          </cell>
        </row>
        <row r="5271">
          <cell r="C5271">
            <v>0</v>
          </cell>
        </row>
        <row r="5272">
          <cell r="C5272">
            <v>0</v>
          </cell>
        </row>
        <row r="5273">
          <cell r="C5273">
            <v>0</v>
          </cell>
        </row>
        <row r="5274">
          <cell r="C5274">
            <v>0</v>
          </cell>
        </row>
        <row r="5275">
          <cell r="C5275">
            <v>0</v>
          </cell>
        </row>
        <row r="5276">
          <cell r="C5276">
            <v>0</v>
          </cell>
        </row>
        <row r="5277">
          <cell r="C5277">
            <v>0</v>
          </cell>
        </row>
        <row r="5278">
          <cell r="C5278">
            <v>0</v>
          </cell>
        </row>
        <row r="5279">
          <cell r="C5279">
            <v>0</v>
          </cell>
        </row>
        <row r="5280">
          <cell r="C5280">
            <v>0</v>
          </cell>
        </row>
        <row r="5281">
          <cell r="C5281">
            <v>0</v>
          </cell>
        </row>
        <row r="5282">
          <cell r="C5282">
            <v>0</v>
          </cell>
        </row>
        <row r="5283">
          <cell r="C5283">
            <v>0</v>
          </cell>
        </row>
        <row r="5284">
          <cell r="C5284">
            <v>0</v>
          </cell>
        </row>
        <row r="5285">
          <cell r="C5285">
            <v>0</v>
          </cell>
        </row>
        <row r="5286">
          <cell r="C5286">
            <v>0</v>
          </cell>
        </row>
        <row r="5287">
          <cell r="C5287">
            <v>0</v>
          </cell>
        </row>
        <row r="5288">
          <cell r="C5288">
            <v>0</v>
          </cell>
        </row>
        <row r="5289">
          <cell r="C5289">
            <v>0</v>
          </cell>
        </row>
        <row r="5290">
          <cell r="C5290">
            <v>0</v>
          </cell>
        </row>
        <row r="5291">
          <cell r="C5291">
            <v>0</v>
          </cell>
        </row>
        <row r="5292">
          <cell r="C5292">
            <v>0</v>
          </cell>
        </row>
        <row r="5293">
          <cell r="C5293">
            <v>0</v>
          </cell>
        </row>
        <row r="5294">
          <cell r="C5294">
            <v>0</v>
          </cell>
        </row>
        <row r="5295">
          <cell r="C5295">
            <v>0</v>
          </cell>
        </row>
        <row r="5296">
          <cell r="C5296">
            <v>0</v>
          </cell>
        </row>
        <row r="5297">
          <cell r="C5297">
            <v>0</v>
          </cell>
        </row>
        <row r="5298">
          <cell r="C5298">
            <v>0</v>
          </cell>
        </row>
        <row r="5299">
          <cell r="C5299">
            <v>0</v>
          </cell>
        </row>
        <row r="5300">
          <cell r="C5300">
            <v>0</v>
          </cell>
        </row>
        <row r="5301">
          <cell r="C5301">
            <v>0</v>
          </cell>
        </row>
        <row r="5302">
          <cell r="C5302">
            <v>0</v>
          </cell>
        </row>
        <row r="5303">
          <cell r="C5303">
            <v>0</v>
          </cell>
        </row>
        <row r="5304">
          <cell r="C5304">
            <v>0</v>
          </cell>
        </row>
        <row r="5305">
          <cell r="C5305">
            <v>0</v>
          </cell>
        </row>
        <row r="5306">
          <cell r="C5306">
            <v>0</v>
          </cell>
        </row>
        <row r="5307">
          <cell r="C5307">
            <v>0</v>
          </cell>
        </row>
        <row r="5308">
          <cell r="C5308">
            <v>0</v>
          </cell>
        </row>
        <row r="5309">
          <cell r="C5309">
            <v>0</v>
          </cell>
        </row>
        <row r="5310">
          <cell r="C5310">
            <v>0</v>
          </cell>
        </row>
        <row r="5311">
          <cell r="C5311">
            <v>0</v>
          </cell>
        </row>
        <row r="5312">
          <cell r="C5312">
            <v>0</v>
          </cell>
        </row>
        <row r="5313">
          <cell r="C5313">
            <v>0</v>
          </cell>
        </row>
        <row r="5314">
          <cell r="C5314">
            <v>0</v>
          </cell>
        </row>
        <row r="5315">
          <cell r="C5315">
            <v>0</v>
          </cell>
        </row>
        <row r="5316">
          <cell r="C5316">
            <v>0</v>
          </cell>
        </row>
        <row r="5317">
          <cell r="C5317">
            <v>0</v>
          </cell>
        </row>
        <row r="5318">
          <cell r="C5318">
            <v>0</v>
          </cell>
        </row>
        <row r="5319">
          <cell r="C5319">
            <v>0</v>
          </cell>
        </row>
        <row r="5320">
          <cell r="C5320">
            <v>0</v>
          </cell>
        </row>
        <row r="5321">
          <cell r="C5321">
            <v>0</v>
          </cell>
        </row>
        <row r="5322">
          <cell r="C5322">
            <v>0</v>
          </cell>
        </row>
        <row r="5323">
          <cell r="C5323">
            <v>0</v>
          </cell>
        </row>
        <row r="5324">
          <cell r="C5324">
            <v>0</v>
          </cell>
        </row>
        <row r="5325">
          <cell r="C5325">
            <v>0</v>
          </cell>
        </row>
        <row r="5326">
          <cell r="C5326">
            <v>0</v>
          </cell>
        </row>
        <row r="5327">
          <cell r="C5327">
            <v>0</v>
          </cell>
        </row>
        <row r="5328">
          <cell r="C5328">
            <v>0</v>
          </cell>
        </row>
        <row r="5329">
          <cell r="C5329">
            <v>0</v>
          </cell>
        </row>
        <row r="5330">
          <cell r="C5330">
            <v>0</v>
          </cell>
        </row>
        <row r="5331">
          <cell r="C5331">
            <v>0</v>
          </cell>
        </row>
        <row r="5332">
          <cell r="C5332">
            <v>0</v>
          </cell>
        </row>
        <row r="5333">
          <cell r="C5333">
            <v>0</v>
          </cell>
        </row>
        <row r="5334">
          <cell r="C5334">
            <v>0</v>
          </cell>
        </row>
        <row r="5335">
          <cell r="C5335">
            <v>0</v>
          </cell>
        </row>
        <row r="5336">
          <cell r="C5336">
            <v>0</v>
          </cell>
        </row>
        <row r="5337">
          <cell r="C5337">
            <v>0</v>
          </cell>
        </row>
        <row r="5338">
          <cell r="C5338">
            <v>0</v>
          </cell>
        </row>
        <row r="5339">
          <cell r="C5339">
            <v>0</v>
          </cell>
        </row>
        <row r="5340">
          <cell r="C5340">
            <v>0</v>
          </cell>
        </row>
        <row r="5341">
          <cell r="C5341">
            <v>0</v>
          </cell>
        </row>
        <row r="5342">
          <cell r="C5342">
            <v>0</v>
          </cell>
        </row>
        <row r="5343">
          <cell r="C5343">
            <v>0</v>
          </cell>
        </row>
        <row r="5344">
          <cell r="C5344">
            <v>0</v>
          </cell>
        </row>
        <row r="5345">
          <cell r="C5345">
            <v>0</v>
          </cell>
        </row>
        <row r="5346">
          <cell r="C5346">
            <v>0</v>
          </cell>
        </row>
        <row r="5347">
          <cell r="C5347">
            <v>0</v>
          </cell>
        </row>
        <row r="5348">
          <cell r="C5348">
            <v>0</v>
          </cell>
        </row>
        <row r="5349">
          <cell r="C5349">
            <v>0</v>
          </cell>
        </row>
        <row r="5350">
          <cell r="C5350">
            <v>0</v>
          </cell>
        </row>
        <row r="5351">
          <cell r="C5351">
            <v>0</v>
          </cell>
        </row>
        <row r="5352">
          <cell r="C5352">
            <v>0</v>
          </cell>
        </row>
        <row r="5353">
          <cell r="C5353">
            <v>0</v>
          </cell>
        </row>
        <row r="5354">
          <cell r="C5354">
            <v>0</v>
          </cell>
        </row>
        <row r="5355">
          <cell r="C5355">
            <v>0</v>
          </cell>
        </row>
        <row r="5356">
          <cell r="C5356">
            <v>0</v>
          </cell>
        </row>
        <row r="5357">
          <cell r="C5357">
            <v>0</v>
          </cell>
        </row>
        <row r="5358">
          <cell r="C5358">
            <v>0</v>
          </cell>
        </row>
        <row r="5359">
          <cell r="C5359">
            <v>0</v>
          </cell>
        </row>
        <row r="5360">
          <cell r="C5360">
            <v>0</v>
          </cell>
        </row>
        <row r="5361">
          <cell r="C5361">
            <v>0</v>
          </cell>
        </row>
        <row r="5362">
          <cell r="C5362">
            <v>0</v>
          </cell>
        </row>
        <row r="5363">
          <cell r="C5363">
            <v>0</v>
          </cell>
        </row>
        <row r="5364">
          <cell r="C5364">
            <v>0</v>
          </cell>
        </row>
        <row r="5365">
          <cell r="C5365">
            <v>0</v>
          </cell>
        </row>
        <row r="5366">
          <cell r="C5366">
            <v>0</v>
          </cell>
        </row>
        <row r="5367">
          <cell r="C5367">
            <v>0</v>
          </cell>
        </row>
        <row r="5368">
          <cell r="C5368">
            <v>0</v>
          </cell>
        </row>
        <row r="5369">
          <cell r="C5369">
            <v>0</v>
          </cell>
        </row>
        <row r="5370">
          <cell r="C5370">
            <v>0</v>
          </cell>
        </row>
        <row r="5371">
          <cell r="C5371">
            <v>0</v>
          </cell>
        </row>
        <row r="5372">
          <cell r="C5372">
            <v>0</v>
          </cell>
        </row>
        <row r="5373">
          <cell r="C5373">
            <v>0</v>
          </cell>
        </row>
        <row r="5374">
          <cell r="C5374">
            <v>0</v>
          </cell>
        </row>
        <row r="5375">
          <cell r="C5375">
            <v>0</v>
          </cell>
        </row>
        <row r="5376">
          <cell r="C5376">
            <v>0</v>
          </cell>
        </row>
        <row r="5377">
          <cell r="C5377">
            <v>0</v>
          </cell>
        </row>
        <row r="5378">
          <cell r="C5378">
            <v>0</v>
          </cell>
        </row>
        <row r="5379">
          <cell r="C5379">
            <v>0</v>
          </cell>
        </row>
        <row r="5380">
          <cell r="C5380">
            <v>0</v>
          </cell>
        </row>
        <row r="5381">
          <cell r="C5381">
            <v>0</v>
          </cell>
        </row>
        <row r="5382">
          <cell r="C5382">
            <v>0</v>
          </cell>
        </row>
        <row r="5383">
          <cell r="C5383">
            <v>0</v>
          </cell>
        </row>
        <row r="5384">
          <cell r="C5384">
            <v>0</v>
          </cell>
        </row>
        <row r="5385">
          <cell r="C5385">
            <v>0</v>
          </cell>
        </row>
        <row r="5386">
          <cell r="C5386">
            <v>0</v>
          </cell>
        </row>
        <row r="5387">
          <cell r="C5387">
            <v>0</v>
          </cell>
        </row>
        <row r="5388">
          <cell r="C5388">
            <v>0</v>
          </cell>
        </row>
        <row r="5389">
          <cell r="C5389">
            <v>0</v>
          </cell>
        </row>
        <row r="5390">
          <cell r="C5390">
            <v>0</v>
          </cell>
        </row>
        <row r="5391">
          <cell r="C5391">
            <v>0</v>
          </cell>
        </row>
        <row r="5392">
          <cell r="C5392">
            <v>0</v>
          </cell>
        </row>
        <row r="5393">
          <cell r="C5393">
            <v>0</v>
          </cell>
        </row>
        <row r="5394">
          <cell r="C5394">
            <v>0</v>
          </cell>
        </row>
        <row r="5395">
          <cell r="C5395">
            <v>0</v>
          </cell>
        </row>
        <row r="5396">
          <cell r="C5396">
            <v>0</v>
          </cell>
        </row>
        <row r="5397">
          <cell r="C5397">
            <v>0</v>
          </cell>
        </row>
        <row r="5398">
          <cell r="C5398">
            <v>0</v>
          </cell>
        </row>
        <row r="5399">
          <cell r="C5399">
            <v>0</v>
          </cell>
        </row>
        <row r="5400">
          <cell r="C5400">
            <v>0</v>
          </cell>
        </row>
        <row r="5401">
          <cell r="C5401">
            <v>0</v>
          </cell>
        </row>
        <row r="5402">
          <cell r="C5402">
            <v>0</v>
          </cell>
        </row>
        <row r="5403">
          <cell r="C5403">
            <v>0</v>
          </cell>
        </row>
        <row r="5404">
          <cell r="C5404">
            <v>0</v>
          </cell>
        </row>
        <row r="5405">
          <cell r="C5405">
            <v>0</v>
          </cell>
        </row>
        <row r="5406">
          <cell r="C5406">
            <v>0</v>
          </cell>
        </row>
        <row r="5407">
          <cell r="C5407">
            <v>0</v>
          </cell>
        </row>
        <row r="5408">
          <cell r="C5408">
            <v>0</v>
          </cell>
        </row>
        <row r="5409">
          <cell r="C5409">
            <v>0</v>
          </cell>
        </row>
        <row r="5410">
          <cell r="C5410">
            <v>0</v>
          </cell>
        </row>
        <row r="5411">
          <cell r="C5411">
            <v>0</v>
          </cell>
        </row>
        <row r="5412">
          <cell r="C5412">
            <v>0</v>
          </cell>
        </row>
        <row r="5413">
          <cell r="C5413">
            <v>0</v>
          </cell>
        </row>
        <row r="5414">
          <cell r="C5414">
            <v>0</v>
          </cell>
        </row>
        <row r="5415">
          <cell r="C5415">
            <v>0</v>
          </cell>
        </row>
        <row r="5416">
          <cell r="C5416">
            <v>0</v>
          </cell>
        </row>
        <row r="5417">
          <cell r="C5417">
            <v>0</v>
          </cell>
        </row>
        <row r="5418">
          <cell r="C5418">
            <v>0</v>
          </cell>
        </row>
        <row r="5419">
          <cell r="C5419">
            <v>0</v>
          </cell>
        </row>
        <row r="5420">
          <cell r="C5420">
            <v>0</v>
          </cell>
        </row>
        <row r="5421">
          <cell r="C5421">
            <v>0</v>
          </cell>
        </row>
        <row r="5422">
          <cell r="C5422">
            <v>0</v>
          </cell>
        </row>
        <row r="5423">
          <cell r="C5423">
            <v>0</v>
          </cell>
        </row>
        <row r="5424">
          <cell r="C5424">
            <v>0</v>
          </cell>
        </row>
        <row r="5425">
          <cell r="C5425">
            <v>0</v>
          </cell>
        </row>
        <row r="5426">
          <cell r="C5426">
            <v>0</v>
          </cell>
        </row>
        <row r="5427">
          <cell r="C5427">
            <v>0</v>
          </cell>
        </row>
        <row r="5428">
          <cell r="C5428">
            <v>0</v>
          </cell>
        </row>
        <row r="5429">
          <cell r="C5429">
            <v>0</v>
          </cell>
        </row>
        <row r="5430">
          <cell r="C5430">
            <v>0</v>
          </cell>
        </row>
        <row r="5431">
          <cell r="C5431">
            <v>0</v>
          </cell>
        </row>
        <row r="5432">
          <cell r="C5432">
            <v>0</v>
          </cell>
        </row>
        <row r="5433">
          <cell r="C5433">
            <v>0</v>
          </cell>
        </row>
        <row r="5434">
          <cell r="C5434">
            <v>0</v>
          </cell>
        </row>
        <row r="5435">
          <cell r="C5435">
            <v>0</v>
          </cell>
        </row>
        <row r="5436">
          <cell r="C5436">
            <v>0</v>
          </cell>
        </row>
        <row r="5437">
          <cell r="C5437">
            <v>0</v>
          </cell>
        </row>
        <row r="5438">
          <cell r="C5438">
            <v>0</v>
          </cell>
        </row>
        <row r="5439">
          <cell r="C5439">
            <v>0</v>
          </cell>
        </row>
        <row r="5440">
          <cell r="C5440">
            <v>0</v>
          </cell>
        </row>
        <row r="5441">
          <cell r="C5441">
            <v>0</v>
          </cell>
        </row>
        <row r="5442">
          <cell r="C5442">
            <v>0</v>
          </cell>
        </row>
        <row r="5443">
          <cell r="C5443">
            <v>0</v>
          </cell>
        </row>
        <row r="5444">
          <cell r="C5444">
            <v>0</v>
          </cell>
        </row>
        <row r="5445">
          <cell r="C5445">
            <v>0</v>
          </cell>
        </row>
        <row r="5446">
          <cell r="C5446">
            <v>0</v>
          </cell>
        </row>
        <row r="5447">
          <cell r="C5447">
            <v>0</v>
          </cell>
        </row>
        <row r="5448">
          <cell r="C5448">
            <v>0</v>
          </cell>
        </row>
        <row r="5449">
          <cell r="C5449">
            <v>0</v>
          </cell>
        </row>
        <row r="5450">
          <cell r="C5450">
            <v>0</v>
          </cell>
        </row>
        <row r="5451">
          <cell r="C5451">
            <v>0</v>
          </cell>
        </row>
        <row r="5452">
          <cell r="C5452">
            <v>0</v>
          </cell>
        </row>
        <row r="5453">
          <cell r="C5453">
            <v>0</v>
          </cell>
        </row>
        <row r="5454">
          <cell r="C5454">
            <v>0</v>
          </cell>
        </row>
        <row r="5455">
          <cell r="C5455">
            <v>0</v>
          </cell>
        </row>
        <row r="5456">
          <cell r="C5456">
            <v>0</v>
          </cell>
        </row>
        <row r="5457">
          <cell r="C5457">
            <v>0</v>
          </cell>
        </row>
        <row r="5458">
          <cell r="C5458">
            <v>0</v>
          </cell>
        </row>
        <row r="5459">
          <cell r="C5459">
            <v>0</v>
          </cell>
        </row>
        <row r="5460">
          <cell r="C5460">
            <v>0</v>
          </cell>
        </row>
        <row r="5461">
          <cell r="C5461">
            <v>0</v>
          </cell>
        </row>
        <row r="5462">
          <cell r="C5462">
            <v>0</v>
          </cell>
        </row>
        <row r="5463">
          <cell r="C5463">
            <v>0</v>
          </cell>
        </row>
        <row r="5464">
          <cell r="C5464">
            <v>0</v>
          </cell>
        </row>
        <row r="5465">
          <cell r="C5465">
            <v>0</v>
          </cell>
        </row>
        <row r="5466">
          <cell r="C5466">
            <v>0</v>
          </cell>
        </row>
        <row r="5467">
          <cell r="C5467">
            <v>0</v>
          </cell>
        </row>
        <row r="5468">
          <cell r="C5468">
            <v>0</v>
          </cell>
        </row>
        <row r="5469">
          <cell r="C5469">
            <v>0</v>
          </cell>
        </row>
        <row r="5470">
          <cell r="C5470">
            <v>0</v>
          </cell>
        </row>
        <row r="5471">
          <cell r="C5471">
            <v>0</v>
          </cell>
        </row>
        <row r="5472">
          <cell r="C5472">
            <v>0</v>
          </cell>
        </row>
        <row r="5473">
          <cell r="C5473">
            <v>0</v>
          </cell>
        </row>
        <row r="5474">
          <cell r="C5474">
            <v>0</v>
          </cell>
        </row>
        <row r="5475">
          <cell r="C5475">
            <v>0</v>
          </cell>
        </row>
        <row r="5476">
          <cell r="C5476">
            <v>0</v>
          </cell>
        </row>
        <row r="5477">
          <cell r="C5477">
            <v>0</v>
          </cell>
        </row>
        <row r="5478">
          <cell r="C5478">
            <v>0</v>
          </cell>
        </row>
        <row r="5479">
          <cell r="C5479">
            <v>0</v>
          </cell>
        </row>
        <row r="5480">
          <cell r="C5480">
            <v>0</v>
          </cell>
        </row>
        <row r="5481">
          <cell r="C5481">
            <v>0</v>
          </cell>
        </row>
        <row r="5482">
          <cell r="C5482">
            <v>0</v>
          </cell>
        </row>
        <row r="5483">
          <cell r="C5483">
            <v>0</v>
          </cell>
        </row>
        <row r="5484">
          <cell r="C5484">
            <v>0</v>
          </cell>
        </row>
        <row r="5485">
          <cell r="C5485">
            <v>0</v>
          </cell>
        </row>
        <row r="5486">
          <cell r="C5486">
            <v>0</v>
          </cell>
        </row>
        <row r="5487">
          <cell r="C5487">
            <v>0</v>
          </cell>
        </row>
        <row r="5488">
          <cell r="C5488">
            <v>0</v>
          </cell>
        </row>
        <row r="5489">
          <cell r="C5489">
            <v>0</v>
          </cell>
        </row>
        <row r="5490">
          <cell r="C5490">
            <v>0</v>
          </cell>
        </row>
        <row r="5491">
          <cell r="C5491">
            <v>0</v>
          </cell>
        </row>
        <row r="5492">
          <cell r="C5492">
            <v>0</v>
          </cell>
        </row>
        <row r="5493">
          <cell r="C5493">
            <v>0</v>
          </cell>
        </row>
        <row r="5494">
          <cell r="C5494">
            <v>0</v>
          </cell>
        </row>
        <row r="5495">
          <cell r="C5495">
            <v>0</v>
          </cell>
        </row>
        <row r="5496">
          <cell r="C5496">
            <v>0</v>
          </cell>
        </row>
        <row r="5497">
          <cell r="C5497">
            <v>0</v>
          </cell>
        </row>
        <row r="5498">
          <cell r="C5498">
            <v>0</v>
          </cell>
        </row>
        <row r="5499">
          <cell r="C5499">
            <v>0</v>
          </cell>
        </row>
        <row r="5500">
          <cell r="C5500">
            <v>0</v>
          </cell>
        </row>
        <row r="5501">
          <cell r="C5501">
            <v>0</v>
          </cell>
        </row>
        <row r="5502">
          <cell r="C5502">
            <v>0</v>
          </cell>
        </row>
        <row r="5503">
          <cell r="C5503">
            <v>0</v>
          </cell>
        </row>
        <row r="5504">
          <cell r="C5504">
            <v>0</v>
          </cell>
        </row>
        <row r="5505">
          <cell r="C5505">
            <v>0</v>
          </cell>
        </row>
        <row r="5506">
          <cell r="C5506">
            <v>0</v>
          </cell>
        </row>
        <row r="5507">
          <cell r="C5507">
            <v>0</v>
          </cell>
        </row>
        <row r="5508">
          <cell r="C5508">
            <v>0</v>
          </cell>
        </row>
        <row r="5509">
          <cell r="C5509">
            <v>0</v>
          </cell>
        </row>
        <row r="5510">
          <cell r="C5510">
            <v>0</v>
          </cell>
        </row>
        <row r="5511">
          <cell r="C5511">
            <v>0</v>
          </cell>
        </row>
        <row r="5512">
          <cell r="C5512">
            <v>0</v>
          </cell>
        </row>
        <row r="5513">
          <cell r="C5513">
            <v>0</v>
          </cell>
        </row>
        <row r="5514">
          <cell r="C5514">
            <v>0</v>
          </cell>
        </row>
        <row r="5515">
          <cell r="C5515">
            <v>0</v>
          </cell>
        </row>
        <row r="5516">
          <cell r="C5516">
            <v>0</v>
          </cell>
        </row>
        <row r="5517">
          <cell r="C5517">
            <v>0</v>
          </cell>
        </row>
        <row r="5518">
          <cell r="C5518">
            <v>0</v>
          </cell>
        </row>
        <row r="5519">
          <cell r="C5519">
            <v>0</v>
          </cell>
        </row>
        <row r="5520">
          <cell r="C5520">
            <v>0</v>
          </cell>
        </row>
        <row r="5521">
          <cell r="C5521">
            <v>0</v>
          </cell>
        </row>
        <row r="5522">
          <cell r="C5522">
            <v>0</v>
          </cell>
        </row>
        <row r="5523">
          <cell r="C5523">
            <v>0</v>
          </cell>
        </row>
        <row r="5524">
          <cell r="C5524">
            <v>0</v>
          </cell>
        </row>
        <row r="5525">
          <cell r="C5525">
            <v>0</v>
          </cell>
        </row>
        <row r="5526">
          <cell r="C5526">
            <v>0</v>
          </cell>
        </row>
        <row r="5527">
          <cell r="C5527">
            <v>0</v>
          </cell>
        </row>
        <row r="5528">
          <cell r="C5528">
            <v>0</v>
          </cell>
        </row>
        <row r="5529">
          <cell r="C5529">
            <v>0</v>
          </cell>
        </row>
        <row r="5530">
          <cell r="C5530">
            <v>0</v>
          </cell>
        </row>
        <row r="5531">
          <cell r="C5531">
            <v>0</v>
          </cell>
        </row>
        <row r="5532">
          <cell r="C5532">
            <v>0</v>
          </cell>
        </row>
        <row r="5533">
          <cell r="C5533">
            <v>0</v>
          </cell>
        </row>
        <row r="5534">
          <cell r="C5534">
            <v>0</v>
          </cell>
        </row>
        <row r="5535">
          <cell r="C5535">
            <v>0</v>
          </cell>
        </row>
        <row r="5536">
          <cell r="C5536">
            <v>0</v>
          </cell>
        </row>
        <row r="5537">
          <cell r="C5537">
            <v>0</v>
          </cell>
        </row>
        <row r="5538">
          <cell r="C5538">
            <v>0</v>
          </cell>
        </row>
        <row r="5539">
          <cell r="C5539">
            <v>0</v>
          </cell>
        </row>
        <row r="5540">
          <cell r="C5540">
            <v>0</v>
          </cell>
        </row>
        <row r="5541">
          <cell r="C5541">
            <v>0</v>
          </cell>
        </row>
        <row r="5542">
          <cell r="C5542">
            <v>0</v>
          </cell>
        </row>
        <row r="5543">
          <cell r="C5543">
            <v>0</v>
          </cell>
        </row>
        <row r="5544">
          <cell r="C5544">
            <v>0</v>
          </cell>
        </row>
        <row r="5545">
          <cell r="C5545">
            <v>0</v>
          </cell>
        </row>
        <row r="5546">
          <cell r="C5546">
            <v>0</v>
          </cell>
        </row>
        <row r="5547">
          <cell r="C5547">
            <v>0</v>
          </cell>
        </row>
        <row r="5548">
          <cell r="C5548">
            <v>0</v>
          </cell>
        </row>
        <row r="5549">
          <cell r="C5549">
            <v>0</v>
          </cell>
        </row>
        <row r="5550">
          <cell r="C5550">
            <v>0</v>
          </cell>
        </row>
        <row r="5551">
          <cell r="C5551">
            <v>0</v>
          </cell>
        </row>
        <row r="5552">
          <cell r="C5552">
            <v>0</v>
          </cell>
        </row>
        <row r="5553">
          <cell r="C5553">
            <v>0</v>
          </cell>
        </row>
        <row r="5554">
          <cell r="C5554">
            <v>0</v>
          </cell>
        </row>
        <row r="5555">
          <cell r="C5555">
            <v>0</v>
          </cell>
        </row>
        <row r="5556">
          <cell r="C5556">
            <v>0</v>
          </cell>
        </row>
        <row r="5557">
          <cell r="C5557">
            <v>0</v>
          </cell>
        </row>
        <row r="5558">
          <cell r="C5558">
            <v>0</v>
          </cell>
        </row>
        <row r="5559">
          <cell r="C5559">
            <v>0</v>
          </cell>
        </row>
        <row r="5560">
          <cell r="C5560">
            <v>0</v>
          </cell>
        </row>
        <row r="5561">
          <cell r="C5561">
            <v>0</v>
          </cell>
        </row>
        <row r="5562">
          <cell r="C5562">
            <v>0</v>
          </cell>
        </row>
        <row r="5563">
          <cell r="C5563">
            <v>0</v>
          </cell>
        </row>
        <row r="5564">
          <cell r="C5564">
            <v>0</v>
          </cell>
        </row>
        <row r="5565">
          <cell r="C5565">
            <v>0</v>
          </cell>
        </row>
        <row r="5566">
          <cell r="C5566">
            <v>0</v>
          </cell>
        </row>
        <row r="5567">
          <cell r="C5567">
            <v>0</v>
          </cell>
        </row>
        <row r="5568">
          <cell r="C5568">
            <v>0</v>
          </cell>
        </row>
        <row r="5569">
          <cell r="C5569">
            <v>0</v>
          </cell>
        </row>
        <row r="5570">
          <cell r="C5570">
            <v>0</v>
          </cell>
        </row>
        <row r="5571">
          <cell r="C5571">
            <v>0</v>
          </cell>
        </row>
        <row r="5572">
          <cell r="C5572">
            <v>0</v>
          </cell>
        </row>
        <row r="5573">
          <cell r="C5573">
            <v>0</v>
          </cell>
        </row>
        <row r="5574">
          <cell r="C5574">
            <v>0</v>
          </cell>
        </row>
        <row r="5575">
          <cell r="C5575">
            <v>0</v>
          </cell>
        </row>
        <row r="5576">
          <cell r="C5576">
            <v>0</v>
          </cell>
        </row>
        <row r="5577">
          <cell r="C5577">
            <v>0</v>
          </cell>
        </row>
        <row r="5578">
          <cell r="C5578">
            <v>0</v>
          </cell>
        </row>
        <row r="5579">
          <cell r="C5579">
            <v>0</v>
          </cell>
        </row>
        <row r="5580">
          <cell r="C5580">
            <v>0</v>
          </cell>
        </row>
        <row r="5581">
          <cell r="C5581">
            <v>0</v>
          </cell>
        </row>
        <row r="5582">
          <cell r="C5582">
            <v>0</v>
          </cell>
        </row>
        <row r="5583">
          <cell r="C5583">
            <v>0</v>
          </cell>
        </row>
        <row r="5584">
          <cell r="C5584">
            <v>0</v>
          </cell>
        </row>
        <row r="5585">
          <cell r="C5585">
            <v>0</v>
          </cell>
        </row>
        <row r="5586">
          <cell r="C5586">
            <v>0</v>
          </cell>
        </row>
        <row r="5587">
          <cell r="C5587">
            <v>0</v>
          </cell>
        </row>
        <row r="5588">
          <cell r="C5588">
            <v>0</v>
          </cell>
        </row>
        <row r="5589">
          <cell r="C5589">
            <v>0</v>
          </cell>
        </row>
        <row r="5590">
          <cell r="C5590">
            <v>0</v>
          </cell>
        </row>
        <row r="5591">
          <cell r="C5591">
            <v>0</v>
          </cell>
        </row>
        <row r="5592">
          <cell r="C5592">
            <v>0</v>
          </cell>
        </row>
        <row r="5593">
          <cell r="C5593">
            <v>0</v>
          </cell>
        </row>
        <row r="5594">
          <cell r="C5594">
            <v>0</v>
          </cell>
        </row>
        <row r="5595">
          <cell r="C5595">
            <v>0</v>
          </cell>
        </row>
        <row r="5596">
          <cell r="C5596">
            <v>0</v>
          </cell>
        </row>
        <row r="5597">
          <cell r="C5597">
            <v>0</v>
          </cell>
        </row>
        <row r="5598">
          <cell r="C5598">
            <v>0</v>
          </cell>
        </row>
        <row r="5599">
          <cell r="C5599">
            <v>0</v>
          </cell>
        </row>
        <row r="5600">
          <cell r="C5600">
            <v>0</v>
          </cell>
        </row>
        <row r="5601">
          <cell r="C5601">
            <v>0</v>
          </cell>
        </row>
        <row r="5602">
          <cell r="C5602">
            <v>0</v>
          </cell>
        </row>
        <row r="5603">
          <cell r="C5603">
            <v>0</v>
          </cell>
        </row>
        <row r="5604">
          <cell r="C5604">
            <v>0</v>
          </cell>
        </row>
        <row r="5605">
          <cell r="C5605">
            <v>0</v>
          </cell>
        </row>
        <row r="5606">
          <cell r="C5606">
            <v>0</v>
          </cell>
        </row>
        <row r="5607">
          <cell r="C5607">
            <v>0</v>
          </cell>
        </row>
        <row r="5608">
          <cell r="C5608">
            <v>0</v>
          </cell>
        </row>
        <row r="5609">
          <cell r="C5609">
            <v>0</v>
          </cell>
        </row>
        <row r="5610">
          <cell r="C5610">
            <v>0</v>
          </cell>
        </row>
        <row r="5611">
          <cell r="C5611">
            <v>0</v>
          </cell>
        </row>
        <row r="5612">
          <cell r="C5612">
            <v>0</v>
          </cell>
        </row>
        <row r="5613">
          <cell r="C5613">
            <v>0</v>
          </cell>
        </row>
        <row r="5614">
          <cell r="C5614">
            <v>0</v>
          </cell>
        </row>
        <row r="5615">
          <cell r="C5615">
            <v>0</v>
          </cell>
        </row>
        <row r="5616">
          <cell r="C5616">
            <v>0</v>
          </cell>
        </row>
        <row r="5617">
          <cell r="C5617">
            <v>0</v>
          </cell>
        </row>
        <row r="5618">
          <cell r="C5618">
            <v>0</v>
          </cell>
        </row>
        <row r="5619">
          <cell r="C5619">
            <v>0</v>
          </cell>
        </row>
        <row r="5620">
          <cell r="C5620">
            <v>0</v>
          </cell>
        </row>
        <row r="5621">
          <cell r="C5621">
            <v>0</v>
          </cell>
        </row>
        <row r="5622">
          <cell r="C5622">
            <v>0</v>
          </cell>
        </row>
        <row r="5623">
          <cell r="C5623">
            <v>0</v>
          </cell>
        </row>
        <row r="5624">
          <cell r="C5624">
            <v>0</v>
          </cell>
        </row>
        <row r="5625">
          <cell r="C5625">
            <v>0</v>
          </cell>
        </row>
        <row r="5626">
          <cell r="C5626">
            <v>0</v>
          </cell>
        </row>
        <row r="5627">
          <cell r="C5627">
            <v>0</v>
          </cell>
        </row>
        <row r="5628">
          <cell r="C5628">
            <v>0</v>
          </cell>
        </row>
        <row r="5629">
          <cell r="C5629">
            <v>0</v>
          </cell>
        </row>
        <row r="5630">
          <cell r="C5630">
            <v>0</v>
          </cell>
        </row>
        <row r="5631">
          <cell r="C5631">
            <v>0</v>
          </cell>
        </row>
        <row r="5632">
          <cell r="C5632">
            <v>0</v>
          </cell>
        </row>
        <row r="5633">
          <cell r="C5633">
            <v>0</v>
          </cell>
        </row>
        <row r="5634">
          <cell r="C5634">
            <v>0</v>
          </cell>
        </row>
        <row r="5635">
          <cell r="C5635">
            <v>0</v>
          </cell>
        </row>
        <row r="5636">
          <cell r="C5636">
            <v>0</v>
          </cell>
        </row>
        <row r="5637">
          <cell r="C5637">
            <v>0</v>
          </cell>
        </row>
        <row r="5638">
          <cell r="C5638">
            <v>0</v>
          </cell>
        </row>
        <row r="5639">
          <cell r="C5639">
            <v>0</v>
          </cell>
        </row>
        <row r="5640">
          <cell r="C5640">
            <v>0</v>
          </cell>
        </row>
        <row r="5641">
          <cell r="C5641">
            <v>0</v>
          </cell>
        </row>
        <row r="5642">
          <cell r="C5642">
            <v>0</v>
          </cell>
        </row>
        <row r="5643">
          <cell r="C5643">
            <v>0</v>
          </cell>
        </row>
        <row r="5644">
          <cell r="C5644">
            <v>0</v>
          </cell>
        </row>
        <row r="5645">
          <cell r="C5645">
            <v>0</v>
          </cell>
        </row>
        <row r="5646">
          <cell r="C5646">
            <v>0</v>
          </cell>
        </row>
        <row r="5647">
          <cell r="C5647">
            <v>0</v>
          </cell>
        </row>
        <row r="5648">
          <cell r="C5648">
            <v>0</v>
          </cell>
        </row>
        <row r="5649">
          <cell r="C5649">
            <v>0</v>
          </cell>
        </row>
        <row r="5650">
          <cell r="C5650">
            <v>0</v>
          </cell>
        </row>
        <row r="5651">
          <cell r="C5651">
            <v>0</v>
          </cell>
        </row>
        <row r="5652">
          <cell r="C5652">
            <v>0</v>
          </cell>
        </row>
        <row r="5653">
          <cell r="C5653">
            <v>0</v>
          </cell>
        </row>
        <row r="5654">
          <cell r="C5654">
            <v>0</v>
          </cell>
        </row>
        <row r="5655">
          <cell r="C5655">
            <v>0</v>
          </cell>
        </row>
        <row r="5656">
          <cell r="C5656">
            <v>0</v>
          </cell>
        </row>
        <row r="5657">
          <cell r="C5657">
            <v>0</v>
          </cell>
        </row>
        <row r="5658">
          <cell r="C5658">
            <v>0</v>
          </cell>
        </row>
        <row r="5659">
          <cell r="C5659">
            <v>0</v>
          </cell>
        </row>
        <row r="5660">
          <cell r="C5660">
            <v>0</v>
          </cell>
        </row>
        <row r="5661">
          <cell r="C5661">
            <v>0</v>
          </cell>
        </row>
        <row r="5662">
          <cell r="C5662">
            <v>0</v>
          </cell>
        </row>
        <row r="5663">
          <cell r="C5663">
            <v>0</v>
          </cell>
        </row>
        <row r="5664">
          <cell r="C5664">
            <v>0</v>
          </cell>
        </row>
        <row r="5665">
          <cell r="C5665">
            <v>0</v>
          </cell>
        </row>
        <row r="5666">
          <cell r="C5666">
            <v>0</v>
          </cell>
        </row>
        <row r="5667">
          <cell r="C5667">
            <v>0</v>
          </cell>
        </row>
        <row r="5668">
          <cell r="C5668">
            <v>0</v>
          </cell>
        </row>
        <row r="5669">
          <cell r="C5669">
            <v>0</v>
          </cell>
        </row>
        <row r="5670">
          <cell r="C5670">
            <v>0</v>
          </cell>
        </row>
        <row r="5671">
          <cell r="C5671">
            <v>0</v>
          </cell>
        </row>
        <row r="5672">
          <cell r="C5672">
            <v>0</v>
          </cell>
        </row>
        <row r="5673">
          <cell r="C5673">
            <v>0</v>
          </cell>
        </row>
        <row r="5674">
          <cell r="C5674">
            <v>0</v>
          </cell>
        </row>
        <row r="5675">
          <cell r="C5675">
            <v>0</v>
          </cell>
        </row>
        <row r="5676">
          <cell r="C5676">
            <v>0</v>
          </cell>
        </row>
        <row r="5677">
          <cell r="C5677">
            <v>0</v>
          </cell>
        </row>
        <row r="5678">
          <cell r="C5678">
            <v>0</v>
          </cell>
        </row>
        <row r="5679">
          <cell r="C5679">
            <v>0</v>
          </cell>
        </row>
        <row r="5680">
          <cell r="C5680">
            <v>0</v>
          </cell>
        </row>
        <row r="5681">
          <cell r="C5681">
            <v>0</v>
          </cell>
        </row>
        <row r="5682">
          <cell r="C5682">
            <v>0</v>
          </cell>
        </row>
        <row r="5683">
          <cell r="C5683">
            <v>0</v>
          </cell>
        </row>
        <row r="5684">
          <cell r="C5684">
            <v>0</v>
          </cell>
        </row>
        <row r="5685">
          <cell r="C5685">
            <v>0</v>
          </cell>
        </row>
        <row r="5686">
          <cell r="C5686">
            <v>0</v>
          </cell>
        </row>
        <row r="5687">
          <cell r="C5687">
            <v>0</v>
          </cell>
        </row>
        <row r="5688">
          <cell r="C5688">
            <v>0</v>
          </cell>
        </row>
        <row r="5689">
          <cell r="C5689">
            <v>0</v>
          </cell>
        </row>
        <row r="5690">
          <cell r="C5690">
            <v>0</v>
          </cell>
        </row>
        <row r="5691">
          <cell r="C5691">
            <v>0</v>
          </cell>
        </row>
        <row r="5692">
          <cell r="C5692">
            <v>0</v>
          </cell>
        </row>
        <row r="5693">
          <cell r="C5693">
            <v>0</v>
          </cell>
        </row>
        <row r="5694">
          <cell r="C5694">
            <v>0</v>
          </cell>
        </row>
        <row r="5695">
          <cell r="C5695">
            <v>0</v>
          </cell>
        </row>
        <row r="5696">
          <cell r="C5696">
            <v>0</v>
          </cell>
        </row>
        <row r="5697">
          <cell r="C5697">
            <v>0</v>
          </cell>
        </row>
        <row r="5698">
          <cell r="C5698">
            <v>0</v>
          </cell>
        </row>
        <row r="5699">
          <cell r="C5699">
            <v>0</v>
          </cell>
        </row>
        <row r="5700">
          <cell r="C5700">
            <v>0</v>
          </cell>
        </row>
        <row r="5701">
          <cell r="C5701">
            <v>0</v>
          </cell>
        </row>
        <row r="5702">
          <cell r="C5702">
            <v>0</v>
          </cell>
        </row>
        <row r="5703">
          <cell r="C5703">
            <v>0</v>
          </cell>
        </row>
        <row r="5704">
          <cell r="C5704">
            <v>0</v>
          </cell>
        </row>
        <row r="5705">
          <cell r="C5705">
            <v>0</v>
          </cell>
        </row>
        <row r="5706">
          <cell r="C5706">
            <v>0</v>
          </cell>
        </row>
        <row r="5707">
          <cell r="C5707">
            <v>0</v>
          </cell>
        </row>
        <row r="5708">
          <cell r="C5708">
            <v>0</v>
          </cell>
        </row>
        <row r="5709">
          <cell r="C5709">
            <v>0</v>
          </cell>
        </row>
        <row r="5710">
          <cell r="C5710">
            <v>0</v>
          </cell>
        </row>
        <row r="5711">
          <cell r="C5711">
            <v>0</v>
          </cell>
        </row>
        <row r="5712">
          <cell r="C5712">
            <v>0</v>
          </cell>
        </row>
        <row r="5713">
          <cell r="C5713">
            <v>0</v>
          </cell>
        </row>
        <row r="5714">
          <cell r="C5714">
            <v>0</v>
          </cell>
        </row>
        <row r="5715">
          <cell r="C5715">
            <v>0</v>
          </cell>
        </row>
        <row r="5716">
          <cell r="C5716">
            <v>0</v>
          </cell>
        </row>
        <row r="5717">
          <cell r="C5717">
            <v>0</v>
          </cell>
        </row>
        <row r="5718">
          <cell r="C5718">
            <v>0</v>
          </cell>
        </row>
        <row r="5719">
          <cell r="C5719">
            <v>0</v>
          </cell>
        </row>
        <row r="5720">
          <cell r="C5720">
            <v>0</v>
          </cell>
        </row>
        <row r="5721">
          <cell r="C5721">
            <v>0</v>
          </cell>
        </row>
        <row r="5722">
          <cell r="C5722">
            <v>0</v>
          </cell>
        </row>
        <row r="5723">
          <cell r="C5723">
            <v>0</v>
          </cell>
        </row>
        <row r="5724">
          <cell r="C5724">
            <v>0</v>
          </cell>
        </row>
        <row r="5725">
          <cell r="C5725">
            <v>0</v>
          </cell>
        </row>
        <row r="5726">
          <cell r="C5726">
            <v>0</v>
          </cell>
        </row>
        <row r="5727">
          <cell r="C5727">
            <v>0</v>
          </cell>
        </row>
        <row r="5728">
          <cell r="C5728">
            <v>0</v>
          </cell>
        </row>
        <row r="5729">
          <cell r="C5729">
            <v>0</v>
          </cell>
        </row>
        <row r="5730">
          <cell r="C5730">
            <v>0</v>
          </cell>
        </row>
        <row r="5731">
          <cell r="C5731">
            <v>0</v>
          </cell>
        </row>
        <row r="5732">
          <cell r="C5732">
            <v>0</v>
          </cell>
        </row>
        <row r="5733">
          <cell r="C5733">
            <v>0</v>
          </cell>
        </row>
        <row r="5734">
          <cell r="C5734">
            <v>0</v>
          </cell>
        </row>
        <row r="5735">
          <cell r="C5735">
            <v>0</v>
          </cell>
        </row>
        <row r="5736">
          <cell r="C5736">
            <v>0</v>
          </cell>
        </row>
        <row r="5737">
          <cell r="C5737">
            <v>0</v>
          </cell>
        </row>
        <row r="5738">
          <cell r="C5738">
            <v>0</v>
          </cell>
        </row>
        <row r="5739">
          <cell r="C5739">
            <v>0</v>
          </cell>
        </row>
        <row r="5740">
          <cell r="C5740">
            <v>0</v>
          </cell>
        </row>
        <row r="5741">
          <cell r="C5741">
            <v>0</v>
          </cell>
        </row>
        <row r="5742">
          <cell r="C5742">
            <v>0</v>
          </cell>
        </row>
        <row r="5743">
          <cell r="C5743">
            <v>0</v>
          </cell>
        </row>
        <row r="5744">
          <cell r="C5744">
            <v>0</v>
          </cell>
        </row>
        <row r="5745">
          <cell r="C5745">
            <v>0</v>
          </cell>
        </row>
        <row r="5746">
          <cell r="C5746">
            <v>0</v>
          </cell>
        </row>
        <row r="5747">
          <cell r="C5747">
            <v>0</v>
          </cell>
        </row>
        <row r="5748">
          <cell r="C5748">
            <v>0</v>
          </cell>
        </row>
        <row r="5749">
          <cell r="C5749">
            <v>0</v>
          </cell>
        </row>
        <row r="5750">
          <cell r="C5750">
            <v>0</v>
          </cell>
        </row>
        <row r="5751">
          <cell r="C5751">
            <v>0</v>
          </cell>
        </row>
        <row r="5752">
          <cell r="C5752">
            <v>0</v>
          </cell>
        </row>
        <row r="5753">
          <cell r="C5753">
            <v>0</v>
          </cell>
        </row>
        <row r="5754">
          <cell r="C5754">
            <v>0</v>
          </cell>
        </row>
        <row r="5755">
          <cell r="C5755">
            <v>0</v>
          </cell>
        </row>
        <row r="5756">
          <cell r="C5756">
            <v>0</v>
          </cell>
        </row>
        <row r="5757">
          <cell r="C5757">
            <v>0</v>
          </cell>
        </row>
        <row r="5758">
          <cell r="C5758">
            <v>0</v>
          </cell>
        </row>
        <row r="5759">
          <cell r="C5759">
            <v>0</v>
          </cell>
        </row>
        <row r="5760">
          <cell r="C5760">
            <v>0</v>
          </cell>
        </row>
        <row r="5761">
          <cell r="C5761">
            <v>0</v>
          </cell>
        </row>
        <row r="5762">
          <cell r="C5762">
            <v>0</v>
          </cell>
        </row>
        <row r="5763">
          <cell r="C5763">
            <v>0</v>
          </cell>
        </row>
        <row r="5764">
          <cell r="C5764">
            <v>0</v>
          </cell>
        </row>
        <row r="5765">
          <cell r="C5765">
            <v>0</v>
          </cell>
        </row>
        <row r="5766">
          <cell r="C5766">
            <v>0</v>
          </cell>
        </row>
        <row r="5767">
          <cell r="C5767">
            <v>0</v>
          </cell>
        </row>
        <row r="5768">
          <cell r="C5768">
            <v>0</v>
          </cell>
        </row>
        <row r="5769">
          <cell r="C5769">
            <v>0</v>
          </cell>
        </row>
        <row r="5770">
          <cell r="C5770">
            <v>0</v>
          </cell>
        </row>
        <row r="5771">
          <cell r="C5771">
            <v>0</v>
          </cell>
        </row>
        <row r="5772">
          <cell r="C5772">
            <v>0</v>
          </cell>
        </row>
        <row r="5773">
          <cell r="C5773">
            <v>0</v>
          </cell>
        </row>
        <row r="5774">
          <cell r="C5774">
            <v>0</v>
          </cell>
        </row>
        <row r="5775">
          <cell r="C5775">
            <v>0</v>
          </cell>
        </row>
        <row r="5776">
          <cell r="C5776">
            <v>0</v>
          </cell>
        </row>
        <row r="5777">
          <cell r="C5777">
            <v>0</v>
          </cell>
        </row>
        <row r="5778">
          <cell r="C5778">
            <v>0</v>
          </cell>
        </row>
        <row r="5779">
          <cell r="C5779">
            <v>0</v>
          </cell>
        </row>
        <row r="5780">
          <cell r="C5780">
            <v>0</v>
          </cell>
        </row>
        <row r="5781">
          <cell r="C5781">
            <v>0</v>
          </cell>
        </row>
        <row r="5782">
          <cell r="C5782">
            <v>0</v>
          </cell>
        </row>
        <row r="5783">
          <cell r="C5783">
            <v>0</v>
          </cell>
        </row>
        <row r="5784">
          <cell r="C5784">
            <v>0</v>
          </cell>
        </row>
        <row r="5785">
          <cell r="C5785">
            <v>0</v>
          </cell>
        </row>
        <row r="5786">
          <cell r="C5786">
            <v>0</v>
          </cell>
        </row>
        <row r="5787">
          <cell r="C5787">
            <v>0</v>
          </cell>
        </row>
        <row r="5788">
          <cell r="C5788">
            <v>0</v>
          </cell>
        </row>
        <row r="5789">
          <cell r="C5789">
            <v>0</v>
          </cell>
        </row>
        <row r="5790">
          <cell r="C5790">
            <v>0</v>
          </cell>
        </row>
        <row r="5791">
          <cell r="C5791">
            <v>0</v>
          </cell>
        </row>
        <row r="5792">
          <cell r="C5792">
            <v>0</v>
          </cell>
        </row>
        <row r="5793">
          <cell r="C5793">
            <v>0</v>
          </cell>
        </row>
        <row r="5794">
          <cell r="C5794">
            <v>0</v>
          </cell>
        </row>
        <row r="5795">
          <cell r="C5795">
            <v>0</v>
          </cell>
        </row>
        <row r="5796">
          <cell r="C5796">
            <v>0</v>
          </cell>
        </row>
        <row r="5797">
          <cell r="C5797">
            <v>0</v>
          </cell>
        </row>
        <row r="5798">
          <cell r="C5798">
            <v>0</v>
          </cell>
        </row>
        <row r="5799">
          <cell r="C5799">
            <v>0</v>
          </cell>
        </row>
        <row r="5800">
          <cell r="C5800">
            <v>0</v>
          </cell>
        </row>
        <row r="5801">
          <cell r="C5801">
            <v>0</v>
          </cell>
        </row>
        <row r="5802">
          <cell r="C5802">
            <v>0</v>
          </cell>
        </row>
        <row r="5803">
          <cell r="C5803">
            <v>0</v>
          </cell>
        </row>
        <row r="5804">
          <cell r="C5804">
            <v>0</v>
          </cell>
        </row>
        <row r="5805">
          <cell r="C5805">
            <v>0</v>
          </cell>
        </row>
        <row r="5806">
          <cell r="C5806">
            <v>0</v>
          </cell>
        </row>
        <row r="5807">
          <cell r="C5807">
            <v>0</v>
          </cell>
        </row>
        <row r="5808">
          <cell r="C5808">
            <v>0</v>
          </cell>
        </row>
        <row r="5809">
          <cell r="C5809">
            <v>0</v>
          </cell>
        </row>
        <row r="5810">
          <cell r="C5810">
            <v>0</v>
          </cell>
        </row>
        <row r="5811">
          <cell r="C5811">
            <v>0</v>
          </cell>
        </row>
        <row r="5812">
          <cell r="C5812">
            <v>0</v>
          </cell>
        </row>
        <row r="5813">
          <cell r="C5813">
            <v>0</v>
          </cell>
        </row>
        <row r="5814">
          <cell r="C5814">
            <v>0</v>
          </cell>
        </row>
        <row r="5815">
          <cell r="C5815">
            <v>0</v>
          </cell>
        </row>
        <row r="5816">
          <cell r="C5816">
            <v>0</v>
          </cell>
        </row>
        <row r="5817">
          <cell r="C5817">
            <v>0</v>
          </cell>
        </row>
        <row r="5818">
          <cell r="C5818">
            <v>0</v>
          </cell>
        </row>
        <row r="5819">
          <cell r="C5819">
            <v>0</v>
          </cell>
        </row>
        <row r="5820">
          <cell r="C5820">
            <v>0</v>
          </cell>
        </row>
        <row r="5821">
          <cell r="C5821">
            <v>0</v>
          </cell>
        </row>
        <row r="5822">
          <cell r="C5822">
            <v>0</v>
          </cell>
        </row>
        <row r="5823">
          <cell r="C5823">
            <v>0</v>
          </cell>
        </row>
        <row r="5824">
          <cell r="C5824">
            <v>0</v>
          </cell>
        </row>
        <row r="5825">
          <cell r="C5825">
            <v>0</v>
          </cell>
        </row>
        <row r="5826">
          <cell r="C5826">
            <v>0</v>
          </cell>
        </row>
        <row r="5827">
          <cell r="C5827">
            <v>0</v>
          </cell>
        </row>
        <row r="5828">
          <cell r="C5828">
            <v>0</v>
          </cell>
        </row>
        <row r="5829">
          <cell r="C5829">
            <v>0</v>
          </cell>
        </row>
        <row r="5830">
          <cell r="C5830">
            <v>0</v>
          </cell>
        </row>
        <row r="5831">
          <cell r="C5831">
            <v>0</v>
          </cell>
        </row>
        <row r="5832">
          <cell r="C5832">
            <v>0</v>
          </cell>
        </row>
        <row r="5833">
          <cell r="C5833">
            <v>0</v>
          </cell>
        </row>
        <row r="5834">
          <cell r="C5834">
            <v>0</v>
          </cell>
        </row>
        <row r="5835">
          <cell r="C5835">
            <v>0</v>
          </cell>
        </row>
        <row r="5836">
          <cell r="C5836">
            <v>0</v>
          </cell>
        </row>
        <row r="5837">
          <cell r="C5837">
            <v>0</v>
          </cell>
        </row>
        <row r="5838">
          <cell r="C5838">
            <v>0</v>
          </cell>
        </row>
        <row r="5839">
          <cell r="C5839">
            <v>0</v>
          </cell>
        </row>
        <row r="5840">
          <cell r="C5840">
            <v>0</v>
          </cell>
        </row>
        <row r="5841">
          <cell r="C5841">
            <v>0</v>
          </cell>
        </row>
        <row r="5842">
          <cell r="C5842">
            <v>0</v>
          </cell>
        </row>
        <row r="5843">
          <cell r="C5843">
            <v>0</v>
          </cell>
        </row>
        <row r="5844">
          <cell r="C5844">
            <v>0</v>
          </cell>
        </row>
        <row r="5845">
          <cell r="C5845">
            <v>0</v>
          </cell>
        </row>
        <row r="5846">
          <cell r="C5846">
            <v>0</v>
          </cell>
        </row>
        <row r="5847">
          <cell r="C5847">
            <v>0</v>
          </cell>
        </row>
        <row r="5848">
          <cell r="C5848">
            <v>0</v>
          </cell>
        </row>
        <row r="5849">
          <cell r="C5849">
            <v>0</v>
          </cell>
        </row>
        <row r="5850">
          <cell r="C5850">
            <v>0</v>
          </cell>
        </row>
        <row r="5851">
          <cell r="C5851">
            <v>0</v>
          </cell>
        </row>
        <row r="5852">
          <cell r="C5852">
            <v>0</v>
          </cell>
        </row>
        <row r="5853">
          <cell r="C5853">
            <v>0</v>
          </cell>
        </row>
        <row r="5854">
          <cell r="C5854">
            <v>0</v>
          </cell>
        </row>
        <row r="5855">
          <cell r="C5855">
            <v>0</v>
          </cell>
        </row>
        <row r="5856">
          <cell r="C5856">
            <v>0</v>
          </cell>
        </row>
        <row r="5857">
          <cell r="C5857">
            <v>0</v>
          </cell>
        </row>
        <row r="5858">
          <cell r="C5858">
            <v>0</v>
          </cell>
        </row>
        <row r="5859">
          <cell r="C5859">
            <v>0</v>
          </cell>
        </row>
        <row r="5860">
          <cell r="C5860">
            <v>0</v>
          </cell>
        </row>
        <row r="5861">
          <cell r="C5861">
            <v>0</v>
          </cell>
        </row>
        <row r="5862">
          <cell r="C5862">
            <v>0</v>
          </cell>
        </row>
        <row r="5863">
          <cell r="C5863">
            <v>0</v>
          </cell>
        </row>
        <row r="5864">
          <cell r="C5864">
            <v>0</v>
          </cell>
        </row>
        <row r="5865">
          <cell r="C5865">
            <v>0</v>
          </cell>
        </row>
        <row r="5866">
          <cell r="C5866">
            <v>0</v>
          </cell>
        </row>
        <row r="5867">
          <cell r="C5867">
            <v>0</v>
          </cell>
        </row>
        <row r="5868">
          <cell r="C5868">
            <v>0</v>
          </cell>
        </row>
        <row r="5869">
          <cell r="C5869">
            <v>0</v>
          </cell>
        </row>
        <row r="5870">
          <cell r="C5870">
            <v>0</v>
          </cell>
        </row>
        <row r="5871">
          <cell r="C5871">
            <v>0</v>
          </cell>
        </row>
        <row r="5872">
          <cell r="C5872">
            <v>0</v>
          </cell>
        </row>
        <row r="5873">
          <cell r="C5873">
            <v>0</v>
          </cell>
        </row>
        <row r="5874">
          <cell r="C5874">
            <v>0</v>
          </cell>
        </row>
        <row r="5875">
          <cell r="C5875">
            <v>0</v>
          </cell>
        </row>
        <row r="5876">
          <cell r="C5876">
            <v>0</v>
          </cell>
        </row>
        <row r="5877">
          <cell r="C5877">
            <v>0</v>
          </cell>
        </row>
        <row r="5878">
          <cell r="C5878">
            <v>0</v>
          </cell>
        </row>
        <row r="5879">
          <cell r="C5879">
            <v>0</v>
          </cell>
        </row>
        <row r="5880">
          <cell r="C5880">
            <v>0</v>
          </cell>
        </row>
        <row r="5881">
          <cell r="C5881">
            <v>0</v>
          </cell>
        </row>
        <row r="5882">
          <cell r="C5882">
            <v>0</v>
          </cell>
        </row>
        <row r="5883">
          <cell r="C5883">
            <v>0</v>
          </cell>
        </row>
        <row r="5884">
          <cell r="C5884">
            <v>0</v>
          </cell>
        </row>
        <row r="5885">
          <cell r="C5885">
            <v>0</v>
          </cell>
        </row>
        <row r="5886">
          <cell r="C5886">
            <v>0</v>
          </cell>
        </row>
        <row r="5887">
          <cell r="C5887">
            <v>0</v>
          </cell>
        </row>
        <row r="5888">
          <cell r="C5888">
            <v>0</v>
          </cell>
        </row>
        <row r="5889">
          <cell r="C5889">
            <v>0</v>
          </cell>
        </row>
        <row r="5890">
          <cell r="C5890">
            <v>0</v>
          </cell>
        </row>
        <row r="5891">
          <cell r="C5891">
            <v>0</v>
          </cell>
        </row>
        <row r="5892">
          <cell r="C5892">
            <v>0</v>
          </cell>
        </row>
        <row r="5893">
          <cell r="C5893">
            <v>0</v>
          </cell>
        </row>
        <row r="5894">
          <cell r="C5894">
            <v>0</v>
          </cell>
        </row>
        <row r="5895">
          <cell r="C5895">
            <v>0</v>
          </cell>
        </row>
        <row r="5896">
          <cell r="C5896">
            <v>0</v>
          </cell>
        </row>
        <row r="5897">
          <cell r="C5897">
            <v>0</v>
          </cell>
        </row>
        <row r="5898">
          <cell r="C5898">
            <v>0</v>
          </cell>
        </row>
        <row r="5899">
          <cell r="C5899">
            <v>0</v>
          </cell>
        </row>
        <row r="5900">
          <cell r="C5900">
            <v>0</v>
          </cell>
        </row>
        <row r="5901">
          <cell r="C5901">
            <v>0</v>
          </cell>
        </row>
        <row r="5902">
          <cell r="C5902">
            <v>0</v>
          </cell>
        </row>
        <row r="5903">
          <cell r="C5903">
            <v>0</v>
          </cell>
        </row>
        <row r="5904">
          <cell r="C5904">
            <v>0</v>
          </cell>
        </row>
        <row r="5905">
          <cell r="C5905">
            <v>0</v>
          </cell>
        </row>
        <row r="5906">
          <cell r="C5906">
            <v>0</v>
          </cell>
        </row>
        <row r="5907">
          <cell r="C5907">
            <v>0</v>
          </cell>
        </row>
        <row r="5908">
          <cell r="C5908">
            <v>0</v>
          </cell>
        </row>
        <row r="5909">
          <cell r="C5909">
            <v>0</v>
          </cell>
        </row>
        <row r="5910">
          <cell r="C5910">
            <v>0</v>
          </cell>
        </row>
        <row r="5911">
          <cell r="C5911">
            <v>0</v>
          </cell>
        </row>
        <row r="5912">
          <cell r="C5912">
            <v>0</v>
          </cell>
        </row>
        <row r="5913">
          <cell r="C5913">
            <v>0</v>
          </cell>
        </row>
        <row r="5914">
          <cell r="C5914">
            <v>0</v>
          </cell>
        </row>
        <row r="5915">
          <cell r="C5915">
            <v>0</v>
          </cell>
        </row>
        <row r="5916">
          <cell r="C5916">
            <v>0</v>
          </cell>
        </row>
        <row r="5917">
          <cell r="C5917">
            <v>0</v>
          </cell>
        </row>
        <row r="5918">
          <cell r="C5918">
            <v>0</v>
          </cell>
        </row>
        <row r="5919">
          <cell r="C5919">
            <v>0</v>
          </cell>
        </row>
        <row r="5920">
          <cell r="C5920">
            <v>0</v>
          </cell>
        </row>
        <row r="5921">
          <cell r="C5921">
            <v>0</v>
          </cell>
        </row>
        <row r="5922">
          <cell r="C5922">
            <v>0</v>
          </cell>
        </row>
        <row r="5923">
          <cell r="C5923">
            <v>0</v>
          </cell>
        </row>
        <row r="5924">
          <cell r="C5924">
            <v>0</v>
          </cell>
        </row>
        <row r="5925">
          <cell r="C5925">
            <v>0</v>
          </cell>
        </row>
        <row r="5926">
          <cell r="C5926">
            <v>0</v>
          </cell>
        </row>
        <row r="5927">
          <cell r="C5927">
            <v>0</v>
          </cell>
        </row>
        <row r="5928">
          <cell r="C5928">
            <v>0</v>
          </cell>
        </row>
        <row r="5929">
          <cell r="C5929">
            <v>0</v>
          </cell>
        </row>
        <row r="5930">
          <cell r="C5930">
            <v>0</v>
          </cell>
        </row>
        <row r="5931">
          <cell r="C5931">
            <v>0</v>
          </cell>
        </row>
        <row r="5932">
          <cell r="C5932">
            <v>0</v>
          </cell>
        </row>
        <row r="5933">
          <cell r="C5933">
            <v>0</v>
          </cell>
        </row>
        <row r="5934">
          <cell r="C5934">
            <v>0</v>
          </cell>
        </row>
        <row r="5935">
          <cell r="C5935">
            <v>0</v>
          </cell>
        </row>
        <row r="5936">
          <cell r="C5936">
            <v>0</v>
          </cell>
        </row>
        <row r="5937">
          <cell r="C5937">
            <v>0</v>
          </cell>
        </row>
        <row r="5938">
          <cell r="C5938">
            <v>0</v>
          </cell>
        </row>
        <row r="5939">
          <cell r="C5939">
            <v>0</v>
          </cell>
        </row>
        <row r="5940">
          <cell r="C5940">
            <v>0</v>
          </cell>
        </row>
        <row r="5941">
          <cell r="C5941">
            <v>0</v>
          </cell>
        </row>
        <row r="5942">
          <cell r="C5942">
            <v>0</v>
          </cell>
        </row>
        <row r="5943">
          <cell r="C5943">
            <v>0</v>
          </cell>
        </row>
        <row r="5944">
          <cell r="C5944">
            <v>0</v>
          </cell>
        </row>
        <row r="5945">
          <cell r="C5945">
            <v>0</v>
          </cell>
        </row>
        <row r="5946">
          <cell r="C5946">
            <v>0</v>
          </cell>
        </row>
        <row r="5947">
          <cell r="C5947">
            <v>0</v>
          </cell>
        </row>
        <row r="5948">
          <cell r="C5948">
            <v>0</v>
          </cell>
        </row>
        <row r="5949">
          <cell r="C5949">
            <v>0</v>
          </cell>
        </row>
        <row r="5950">
          <cell r="C5950">
            <v>0</v>
          </cell>
        </row>
        <row r="5951">
          <cell r="C5951">
            <v>0</v>
          </cell>
        </row>
        <row r="5952">
          <cell r="C5952">
            <v>0</v>
          </cell>
        </row>
        <row r="5953">
          <cell r="C5953">
            <v>0</v>
          </cell>
        </row>
        <row r="5954">
          <cell r="C5954">
            <v>0</v>
          </cell>
        </row>
        <row r="5955">
          <cell r="C5955">
            <v>0</v>
          </cell>
        </row>
        <row r="5956">
          <cell r="C5956">
            <v>0</v>
          </cell>
        </row>
        <row r="5957">
          <cell r="C5957">
            <v>0</v>
          </cell>
        </row>
        <row r="5958">
          <cell r="C5958">
            <v>0</v>
          </cell>
        </row>
        <row r="5959">
          <cell r="C5959">
            <v>0</v>
          </cell>
        </row>
        <row r="5960">
          <cell r="C5960">
            <v>0</v>
          </cell>
        </row>
        <row r="5961">
          <cell r="C5961">
            <v>0</v>
          </cell>
        </row>
        <row r="5962">
          <cell r="C5962">
            <v>0</v>
          </cell>
        </row>
        <row r="5963">
          <cell r="C5963">
            <v>0</v>
          </cell>
        </row>
        <row r="5964">
          <cell r="C5964">
            <v>0</v>
          </cell>
        </row>
        <row r="5965">
          <cell r="C5965">
            <v>0</v>
          </cell>
        </row>
        <row r="5966">
          <cell r="C5966">
            <v>0</v>
          </cell>
        </row>
        <row r="5967">
          <cell r="C5967">
            <v>0</v>
          </cell>
        </row>
        <row r="5968">
          <cell r="C5968">
            <v>0</v>
          </cell>
        </row>
        <row r="5969">
          <cell r="C5969">
            <v>0</v>
          </cell>
        </row>
        <row r="5970">
          <cell r="C5970">
            <v>0</v>
          </cell>
        </row>
        <row r="5971">
          <cell r="C5971">
            <v>0</v>
          </cell>
        </row>
        <row r="5972">
          <cell r="C5972">
            <v>0</v>
          </cell>
        </row>
        <row r="5973">
          <cell r="C5973">
            <v>0</v>
          </cell>
        </row>
        <row r="5974">
          <cell r="C5974">
            <v>0</v>
          </cell>
        </row>
        <row r="5975">
          <cell r="C5975">
            <v>0</v>
          </cell>
        </row>
        <row r="5976">
          <cell r="C5976">
            <v>0</v>
          </cell>
        </row>
        <row r="5977">
          <cell r="C5977">
            <v>0</v>
          </cell>
        </row>
        <row r="5978">
          <cell r="C5978">
            <v>0</v>
          </cell>
        </row>
        <row r="5979">
          <cell r="C5979">
            <v>0</v>
          </cell>
        </row>
        <row r="5980">
          <cell r="C5980">
            <v>0</v>
          </cell>
        </row>
        <row r="5981">
          <cell r="C5981">
            <v>0</v>
          </cell>
        </row>
        <row r="5982">
          <cell r="C5982">
            <v>0</v>
          </cell>
        </row>
        <row r="5983">
          <cell r="C5983">
            <v>0</v>
          </cell>
        </row>
        <row r="5984">
          <cell r="C5984">
            <v>0</v>
          </cell>
        </row>
        <row r="5985">
          <cell r="C5985">
            <v>0</v>
          </cell>
        </row>
        <row r="5986">
          <cell r="C5986">
            <v>0</v>
          </cell>
        </row>
        <row r="5987">
          <cell r="C5987">
            <v>0</v>
          </cell>
        </row>
        <row r="5988">
          <cell r="C5988">
            <v>0</v>
          </cell>
        </row>
        <row r="5989">
          <cell r="C5989">
            <v>0</v>
          </cell>
        </row>
        <row r="5990">
          <cell r="C5990">
            <v>0</v>
          </cell>
        </row>
        <row r="5991">
          <cell r="C5991">
            <v>0</v>
          </cell>
        </row>
        <row r="5992">
          <cell r="C5992">
            <v>0</v>
          </cell>
        </row>
        <row r="5993">
          <cell r="C5993">
            <v>0</v>
          </cell>
        </row>
        <row r="5994">
          <cell r="C5994">
            <v>0</v>
          </cell>
        </row>
        <row r="5995">
          <cell r="C5995">
            <v>0</v>
          </cell>
        </row>
        <row r="5996">
          <cell r="C5996">
            <v>0</v>
          </cell>
        </row>
        <row r="5997">
          <cell r="C5997">
            <v>0</v>
          </cell>
        </row>
        <row r="5998">
          <cell r="C5998">
            <v>0</v>
          </cell>
        </row>
        <row r="5999">
          <cell r="C5999">
            <v>0</v>
          </cell>
        </row>
        <row r="6000">
          <cell r="C6000">
            <v>0</v>
          </cell>
        </row>
        <row r="6001">
          <cell r="C6001">
            <v>0</v>
          </cell>
        </row>
        <row r="6002">
          <cell r="C6002">
            <v>0</v>
          </cell>
        </row>
        <row r="6003">
          <cell r="C6003">
            <v>0</v>
          </cell>
        </row>
        <row r="6004">
          <cell r="C6004">
            <v>0</v>
          </cell>
        </row>
        <row r="6005">
          <cell r="C6005">
            <v>0</v>
          </cell>
        </row>
        <row r="6006">
          <cell r="C6006">
            <v>0</v>
          </cell>
        </row>
        <row r="6007">
          <cell r="C6007">
            <v>0</v>
          </cell>
        </row>
        <row r="6008">
          <cell r="C6008">
            <v>0</v>
          </cell>
        </row>
        <row r="6009">
          <cell r="C6009">
            <v>0</v>
          </cell>
        </row>
        <row r="6010">
          <cell r="C6010">
            <v>0</v>
          </cell>
        </row>
        <row r="6011">
          <cell r="C6011">
            <v>0</v>
          </cell>
        </row>
        <row r="6012">
          <cell r="C6012">
            <v>0</v>
          </cell>
        </row>
        <row r="6013">
          <cell r="C6013">
            <v>0</v>
          </cell>
        </row>
        <row r="6014">
          <cell r="C6014">
            <v>0</v>
          </cell>
        </row>
        <row r="6015">
          <cell r="C6015">
            <v>0</v>
          </cell>
        </row>
        <row r="6016">
          <cell r="C6016">
            <v>0</v>
          </cell>
        </row>
        <row r="6017">
          <cell r="C6017">
            <v>0</v>
          </cell>
        </row>
        <row r="6018">
          <cell r="C6018">
            <v>0</v>
          </cell>
        </row>
        <row r="6019">
          <cell r="C6019">
            <v>0</v>
          </cell>
        </row>
        <row r="6020">
          <cell r="C6020">
            <v>0</v>
          </cell>
        </row>
        <row r="6021">
          <cell r="C6021">
            <v>0</v>
          </cell>
        </row>
        <row r="6022">
          <cell r="C6022">
            <v>0</v>
          </cell>
        </row>
        <row r="6023">
          <cell r="C6023">
            <v>0</v>
          </cell>
        </row>
        <row r="6024">
          <cell r="C6024">
            <v>0</v>
          </cell>
        </row>
        <row r="6025">
          <cell r="C6025">
            <v>0</v>
          </cell>
        </row>
        <row r="6026">
          <cell r="C6026">
            <v>0</v>
          </cell>
        </row>
        <row r="6027">
          <cell r="C6027">
            <v>0</v>
          </cell>
        </row>
        <row r="6028">
          <cell r="C6028">
            <v>0</v>
          </cell>
        </row>
        <row r="6029">
          <cell r="C6029">
            <v>0</v>
          </cell>
        </row>
        <row r="6030">
          <cell r="C6030">
            <v>0</v>
          </cell>
        </row>
        <row r="6031">
          <cell r="C6031">
            <v>0</v>
          </cell>
        </row>
        <row r="6032">
          <cell r="C6032">
            <v>0</v>
          </cell>
        </row>
        <row r="6033">
          <cell r="C6033">
            <v>0</v>
          </cell>
        </row>
        <row r="6034">
          <cell r="C6034">
            <v>0</v>
          </cell>
        </row>
        <row r="6035">
          <cell r="C6035">
            <v>0</v>
          </cell>
        </row>
        <row r="6036">
          <cell r="C6036">
            <v>0</v>
          </cell>
        </row>
        <row r="6037">
          <cell r="C6037">
            <v>0</v>
          </cell>
        </row>
        <row r="6038">
          <cell r="C6038">
            <v>0</v>
          </cell>
        </row>
        <row r="6039">
          <cell r="C6039">
            <v>0</v>
          </cell>
        </row>
        <row r="6040">
          <cell r="C6040">
            <v>0</v>
          </cell>
        </row>
        <row r="6041">
          <cell r="C6041">
            <v>0</v>
          </cell>
        </row>
        <row r="6042">
          <cell r="C6042">
            <v>0</v>
          </cell>
        </row>
        <row r="6043">
          <cell r="C6043">
            <v>0</v>
          </cell>
        </row>
        <row r="6044">
          <cell r="C6044">
            <v>0</v>
          </cell>
        </row>
        <row r="6045">
          <cell r="C6045">
            <v>0</v>
          </cell>
        </row>
        <row r="6046">
          <cell r="C6046">
            <v>0</v>
          </cell>
        </row>
        <row r="6047">
          <cell r="C6047">
            <v>0</v>
          </cell>
        </row>
        <row r="6048">
          <cell r="C6048">
            <v>0</v>
          </cell>
        </row>
        <row r="6049">
          <cell r="C6049">
            <v>0</v>
          </cell>
        </row>
        <row r="6050">
          <cell r="C6050">
            <v>0</v>
          </cell>
        </row>
        <row r="6051">
          <cell r="C6051">
            <v>0</v>
          </cell>
        </row>
        <row r="6052">
          <cell r="C6052">
            <v>0</v>
          </cell>
        </row>
        <row r="6053">
          <cell r="C6053">
            <v>0</v>
          </cell>
        </row>
        <row r="6054">
          <cell r="C6054">
            <v>0</v>
          </cell>
        </row>
        <row r="6055">
          <cell r="C6055">
            <v>0</v>
          </cell>
        </row>
        <row r="6056">
          <cell r="C6056">
            <v>0</v>
          </cell>
        </row>
        <row r="6057">
          <cell r="C6057">
            <v>0</v>
          </cell>
        </row>
        <row r="6058">
          <cell r="C6058">
            <v>0</v>
          </cell>
        </row>
        <row r="6059">
          <cell r="C6059">
            <v>0</v>
          </cell>
        </row>
        <row r="6060">
          <cell r="C6060">
            <v>0</v>
          </cell>
        </row>
        <row r="6061">
          <cell r="C6061">
            <v>0</v>
          </cell>
        </row>
        <row r="6062">
          <cell r="C6062">
            <v>0</v>
          </cell>
        </row>
        <row r="6063">
          <cell r="C6063">
            <v>0</v>
          </cell>
        </row>
        <row r="6064">
          <cell r="C6064">
            <v>0</v>
          </cell>
        </row>
        <row r="6065">
          <cell r="C6065">
            <v>0</v>
          </cell>
        </row>
        <row r="6066">
          <cell r="C6066">
            <v>0</v>
          </cell>
        </row>
        <row r="6067">
          <cell r="C6067">
            <v>0</v>
          </cell>
        </row>
        <row r="6068">
          <cell r="C6068">
            <v>0</v>
          </cell>
        </row>
        <row r="6069">
          <cell r="C6069">
            <v>0</v>
          </cell>
        </row>
        <row r="6070">
          <cell r="C6070">
            <v>0</v>
          </cell>
        </row>
        <row r="6071">
          <cell r="C6071">
            <v>0</v>
          </cell>
        </row>
        <row r="6072">
          <cell r="C6072">
            <v>0</v>
          </cell>
        </row>
        <row r="6073">
          <cell r="C6073">
            <v>0</v>
          </cell>
        </row>
        <row r="6074">
          <cell r="C6074">
            <v>0</v>
          </cell>
        </row>
        <row r="6075">
          <cell r="C6075">
            <v>0</v>
          </cell>
        </row>
        <row r="6076">
          <cell r="C6076">
            <v>0</v>
          </cell>
        </row>
        <row r="6077">
          <cell r="C6077">
            <v>0</v>
          </cell>
        </row>
        <row r="6078">
          <cell r="C6078">
            <v>0</v>
          </cell>
        </row>
        <row r="6079">
          <cell r="C6079">
            <v>0</v>
          </cell>
        </row>
        <row r="6080">
          <cell r="C6080">
            <v>0</v>
          </cell>
        </row>
        <row r="6081">
          <cell r="C6081">
            <v>0</v>
          </cell>
        </row>
        <row r="6082">
          <cell r="C6082">
            <v>0</v>
          </cell>
        </row>
        <row r="6083">
          <cell r="C6083">
            <v>0</v>
          </cell>
        </row>
        <row r="6084">
          <cell r="C6084">
            <v>0</v>
          </cell>
        </row>
        <row r="6085">
          <cell r="C6085">
            <v>0</v>
          </cell>
        </row>
        <row r="6086">
          <cell r="C6086">
            <v>0</v>
          </cell>
        </row>
        <row r="6087">
          <cell r="C6087">
            <v>0</v>
          </cell>
        </row>
        <row r="6088">
          <cell r="C6088">
            <v>0</v>
          </cell>
        </row>
        <row r="6089">
          <cell r="C6089">
            <v>0</v>
          </cell>
        </row>
        <row r="6090">
          <cell r="C6090">
            <v>0</v>
          </cell>
        </row>
        <row r="6091">
          <cell r="C6091">
            <v>0</v>
          </cell>
        </row>
        <row r="6092">
          <cell r="C6092">
            <v>0</v>
          </cell>
        </row>
        <row r="6093">
          <cell r="C6093">
            <v>0</v>
          </cell>
        </row>
        <row r="6094">
          <cell r="C6094">
            <v>0</v>
          </cell>
        </row>
        <row r="6095">
          <cell r="C6095">
            <v>0</v>
          </cell>
        </row>
        <row r="6096">
          <cell r="C6096">
            <v>0</v>
          </cell>
        </row>
        <row r="6097">
          <cell r="C6097">
            <v>0</v>
          </cell>
        </row>
        <row r="6098">
          <cell r="C6098">
            <v>0</v>
          </cell>
        </row>
        <row r="6099">
          <cell r="C6099">
            <v>0</v>
          </cell>
        </row>
        <row r="6100">
          <cell r="C6100">
            <v>0</v>
          </cell>
        </row>
        <row r="6101">
          <cell r="C6101">
            <v>0</v>
          </cell>
        </row>
        <row r="6102">
          <cell r="C6102">
            <v>0</v>
          </cell>
        </row>
        <row r="6103">
          <cell r="C6103">
            <v>0</v>
          </cell>
        </row>
        <row r="6104">
          <cell r="C6104">
            <v>0</v>
          </cell>
        </row>
        <row r="6105">
          <cell r="C6105">
            <v>0</v>
          </cell>
        </row>
        <row r="6106">
          <cell r="C6106">
            <v>0</v>
          </cell>
        </row>
        <row r="6107">
          <cell r="C6107">
            <v>0</v>
          </cell>
        </row>
        <row r="6108">
          <cell r="C6108">
            <v>0</v>
          </cell>
        </row>
        <row r="6109">
          <cell r="C6109">
            <v>0</v>
          </cell>
        </row>
        <row r="6110">
          <cell r="C6110">
            <v>0</v>
          </cell>
        </row>
        <row r="6111">
          <cell r="C6111">
            <v>0</v>
          </cell>
        </row>
        <row r="6112">
          <cell r="C6112">
            <v>0</v>
          </cell>
        </row>
        <row r="6113">
          <cell r="C6113">
            <v>0</v>
          </cell>
        </row>
        <row r="6114">
          <cell r="C6114">
            <v>0</v>
          </cell>
        </row>
        <row r="6115">
          <cell r="C6115">
            <v>0</v>
          </cell>
        </row>
        <row r="6116">
          <cell r="C6116">
            <v>0</v>
          </cell>
        </row>
        <row r="6117">
          <cell r="C6117">
            <v>0</v>
          </cell>
        </row>
        <row r="6118">
          <cell r="C6118">
            <v>0</v>
          </cell>
        </row>
        <row r="6119">
          <cell r="C6119">
            <v>0</v>
          </cell>
        </row>
        <row r="6120">
          <cell r="C6120">
            <v>0</v>
          </cell>
        </row>
        <row r="6121">
          <cell r="C6121">
            <v>0</v>
          </cell>
        </row>
        <row r="6122">
          <cell r="C6122">
            <v>0</v>
          </cell>
        </row>
        <row r="6123">
          <cell r="C6123">
            <v>0</v>
          </cell>
        </row>
        <row r="6124">
          <cell r="C6124">
            <v>0</v>
          </cell>
        </row>
        <row r="6125">
          <cell r="C6125">
            <v>0</v>
          </cell>
        </row>
        <row r="6126">
          <cell r="C6126">
            <v>0</v>
          </cell>
        </row>
        <row r="6127">
          <cell r="C6127">
            <v>0</v>
          </cell>
        </row>
        <row r="6128">
          <cell r="C6128">
            <v>0</v>
          </cell>
        </row>
        <row r="6129">
          <cell r="C6129">
            <v>0</v>
          </cell>
        </row>
        <row r="6130">
          <cell r="C6130">
            <v>0</v>
          </cell>
        </row>
        <row r="6131">
          <cell r="C6131">
            <v>0</v>
          </cell>
        </row>
        <row r="6132">
          <cell r="C6132">
            <v>0</v>
          </cell>
        </row>
        <row r="6133">
          <cell r="C6133">
            <v>0</v>
          </cell>
        </row>
        <row r="6134">
          <cell r="C6134">
            <v>0</v>
          </cell>
        </row>
        <row r="6135">
          <cell r="C6135">
            <v>0</v>
          </cell>
        </row>
        <row r="6136">
          <cell r="C6136">
            <v>0</v>
          </cell>
        </row>
        <row r="6137">
          <cell r="C6137">
            <v>0</v>
          </cell>
        </row>
        <row r="6138">
          <cell r="C6138">
            <v>0</v>
          </cell>
        </row>
        <row r="6139">
          <cell r="C6139">
            <v>0</v>
          </cell>
        </row>
        <row r="6140">
          <cell r="C6140">
            <v>0</v>
          </cell>
        </row>
        <row r="6141">
          <cell r="C6141">
            <v>0</v>
          </cell>
        </row>
        <row r="6142">
          <cell r="C6142">
            <v>0</v>
          </cell>
        </row>
        <row r="6143">
          <cell r="C6143">
            <v>0</v>
          </cell>
        </row>
        <row r="6144">
          <cell r="C6144">
            <v>0</v>
          </cell>
        </row>
        <row r="6145">
          <cell r="C6145">
            <v>0</v>
          </cell>
        </row>
        <row r="6146">
          <cell r="C6146">
            <v>0</v>
          </cell>
        </row>
        <row r="6147">
          <cell r="C6147">
            <v>0</v>
          </cell>
        </row>
        <row r="6148">
          <cell r="C6148">
            <v>0</v>
          </cell>
        </row>
        <row r="6149">
          <cell r="C6149">
            <v>0</v>
          </cell>
        </row>
        <row r="6150">
          <cell r="C6150">
            <v>0</v>
          </cell>
        </row>
        <row r="6151">
          <cell r="C6151">
            <v>0</v>
          </cell>
        </row>
        <row r="6152">
          <cell r="C6152">
            <v>0</v>
          </cell>
        </row>
        <row r="6153">
          <cell r="C6153">
            <v>0</v>
          </cell>
        </row>
        <row r="6154">
          <cell r="C6154">
            <v>0</v>
          </cell>
        </row>
        <row r="6155">
          <cell r="C6155">
            <v>0</v>
          </cell>
        </row>
        <row r="6156">
          <cell r="C6156">
            <v>0</v>
          </cell>
        </row>
        <row r="6157">
          <cell r="C6157">
            <v>0</v>
          </cell>
        </row>
        <row r="6158">
          <cell r="C6158">
            <v>0</v>
          </cell>
        </row>
        <row r="6159">
          <cell r="C6159">
            <v>0</v>
          </cell>
        </row>
        <row r="6160">
          <cell r="C6160">
            <v>0</v>
          </cell>
        </row>
        <row r="6161">
          <cell r="C6161">
            <v>0</v>
          </cell>
        </row>
        <row r="6162">
          <cell r="C6162">
            <v>0</v>
          </cell>
        </row>
        <row r="6163">
          <cell r="C6163">
            <v>0</v>
          </cell>
        </row>
        <row r="6164">
          <cell r="C6164">
            <v>0</v>
          </cell>
        </row>
        <row r="6165">
          <cell r="C6165">
            <v>0</v>
          </cell>
        </row>
        <row r="6166">
          <cell r="C6166">
            <v>0</v>
          </cell>
        </row>
        <row r="6167">
          <cell r="C6167">
            <v>0</v>
          </cell>
        </row>
        <row r="6168">
          <cell r="C6168">
            <v>0</v>
          </cell>
        </row>
        <row r="6169">
          <cell r="C6169">
            <v>0</v>
          </cell>
        </row>
        <row r="6170">
          <cell r="C6170">
            <v>0</v>
          </cell>
        </row>
        <row r="6171">
          <cell r="C6171">
            <v>0</v>
          </cell>
        </row>
        <row r="6172">
          <cell r="C6172">
            <v>0</v>
          </cell>
        </row>
        <row r="6173">
          <cell r="C6173">
            <v>0</v>
          </cell>
        </row>
        <row r="6174">
          <cell r="C6174">
            <v>0</v>
          </cell>
        </row>
        <row r="6175">
          <cell r="C6175">
            <v>0</v>
          </cell>
        </row>
        <row r="6176">
          <cell r="C6176">
            <v>0</v>
          </cell>
        </row>
        <row r="6177">
          <cell r="C6177">
            <v>0</v>
          </cell>
        </row>
        <row r="6178">
          <cell r="C6178">
            <v>0</v>
          </cell>
        </row>
        <row r="6179">
          <cell r="C6179">
            <v>0</v>
          </cell>
        </row>
        <row r="6180">
          <cell r="C6180">
            <v>0</v>
          </cell>
        </row>
        <row r="6181">
          <cell r="C6181">
            <v>0</v>
          </cell>
        </row>
        <row r="6182">
          <cell r="C6182">
            <v>0</v>
          </cell>
        </row>
        <row r="6183">
          <cell r="C6183">
            <v>0</v>
          </cell>
        </row>
        <row r="6184">
          <cell r="C6184">
            <v>0</v>
          </cell>
        </row>
        <row r="6185">
          <cell r="C6185">
            <v>0</v>
          </cell>
        </row>
        <row r="6186">
          <cell r="C6186">
            <v>0</v>
          </cell>
        </row>
        <row r="6187">
          <cell r="C6187">
            <v>0</v>
          </cell>
        </row>
        <row r="6188">
          <cell r="C6188">
            <v>0</v>
          </cell>
        </row>
        <row r="6189">
          <cell r="C6189">
            <v>0</v>
          </cell>
        </row>
        <row r="6190">
          <cell r="C6190">
            <v>0</v>
          </cell>
        </row>
        <row r="6191">
          <cell r="C6191">
            <v>0</v>
          </cell>
        </row>
        <row r="6192">
          <cell r="C6192">
            <v>0</v>
          </cell>
        </row>
        <row r="6193">
          <cell r="C6193">
            <v>0</v>
          </cell>
        </row>
        <row r="6194">
          <cell r="C6194">
            <v>0</v>
          </cell>
        </row>
        <row r="6195">
          <cell r="C6195">
            <v>0</v>
          </cell>
        </row>
        <row r="6196">
          <cell r="C6196">
            <v>0</v>
          </cell>
        </row>
        <row r="6197">
          <cell r="C6197">
            <v>0</v>
          </cell>
        </row>
        <row r="6198">
          <cell r="C6198">
            <v>0</v>
          </cell>
        </row>
        <row r="6199">
          <cell r="C6199">
            <v>0</v>
          </cell>
        </row>
        <row r="6200">
          <cell r="C6200">
            <v>0</v>
          </cell>
        </row>
        <row r="6201">
          <cell r="C6201">
            <v>0</v>
          </cell>
        </row>
        <row r="6202">
          <cell r="C6202">
            <v>0</v>
          </cell>
        </row>
        <row r="6203">
          <cell r="C6203">
            <v>0</v>
          </cell>
        </row>
        <row r="6204">
          <cell r="C6204">
            <v>0</v>
          </cell>
        </row>
        <row r="6205">
          <cell r="C6205">
            <v>0</v>
          </cell>
        </row>
        <row r="6206">
          <cell r="C6206">
            <v>0</v>
          </cell>
        </row>
        <row r="6207">
          <cell r="C6207">
            <v>0</v>
          </cell>
        </row>
        <row r="6208">
          <cell r="C6208">
            <v>0</v>
          </cell>
        </row>
        <row r="6209">
          <cell r="C6209">
            <v>0</v>
          </cell>
        </row>
        <row r="6210">
          <cell r="C6210">
            <v>0</v>
          </cell>
        </row>
        <row r="6211">
          <cell r="C6211">
            <v>0</v>
          </cell>
        </row>
        <row r="6212">
          <cell r="C6212">
            <v>0</v>
          </cell>
        </row>
        <row r="6213">
          <cell r="C6213">
            <v>0</v>
          </cell>
        </row>
        <row r="6214">
          <cell r="C6214">
            <v>0</v>
          </cell>
        </row>
        <row r="6215">
          <cell r="C6215">
            <v>0</v>
          </cell>
        </row>
        <row r="6216">
          <cell r="C6216">
            <v>0</v>
          </cell>
        </row>
        <row r="6217">
          <cell r="C6217">
            <v>0</v>
          </cell>
        </row>
        <row r="6218">
          <cell r="C6218">
            <v>0</v>
          </cell>
        </row>
        <row r="6219">
          <cell r="C6219">
            <v>0</v>
          </cell>
        </row>
        <row r="6220">
          <cell r="C6220">
            <v>0</v>
          </cell>
        </row>
        <row r="6221">
          <cell r="C6221">
            <v>0</v>
          </cell>
        </row>
        <row r="6222">
          <cell r="C6222">
            <v>0</v>
          </cell>
        </row>
        <row r="6223">
          <cell r="C6223">
            <v>0</v>
          </cell>
        </row>
        <row r="6224">
          <cell r="C6224">
            <v>0</v>
          </cell>
        </row>
        <row r="6225">
          <cell r="C6225">
            <v>0</v>
          </cell>
        </row>
        <row r="6226">
          <cell r="C6226">
            <v>0</v>
          </cell>
        </row>
        <row r="6227">
          <cell r="C6227">
            <v>0</v>
          </cell>
        </row>
        <row r="6228">
          <cell r="C6228">
            <v>0</v>
          </cell>
        </row>
        <row r="6229">
          <cell r="C6229">
            <v>0</v>
          </cell>
        </row>
        <row r="6230">
          <cell r="C6230">
            <v>0</v>
          </cell>
        </row>
        <row r="6231">
          <cell r="C6231">
            <v>0</v>
          </cell>
        </row>
        <row r="6232">
          <cell r="C6232">
            <v>0</v>
          </cell>
        </row>
        <row r="6233">
          <cell r="C6233">
            <v>0</v>
          </cell>
        </row>
        <row r="6234">
          <cell r="C6234">
            <v>0</v>
          </cell>
        </row>
        <row r="6235">
          <cell r="C6235">
            <v>0</v>
          </cell>
        </row>
        <row r="6236">
          <cell r="C6236">
            <v>0</v>
          </cell>
        </row>
        <row r="6237">
          <cell r="C6237">
            <v>0</v>
          </cell>
        </row>
        <row r="6238">
          <cell r="C6238">
            <v>0</v>
          </cell>
        </row>
        <row r="6239">
          <cell r="C6239">
            <v>0</v>
          </cell>
        </row>
        <row r="6240">
          <cell r="C6240">
            <v>0</v>
          </cell>
        </row>
        <row r="6241">
          <cell r="C6241">
            <v>0</v>
          </cell>
        </row>
        <row r="6242">
          <cell r="C6242">
            <v>0</v>
          </cell>
        </row>
        <row r="6243">
          <cell r="C6243">
            <v>0</v>
          </cell>
        </row>
        <row r="6244">
          <cell r="C6244">
            <v>0</v>
          </cell>
        </row>
        <row r="6245">
          <cell r="C6245">
            <v>0</v>
          </cell>
        </row>
        <row r="6246">
          <cell r="C6246">
            <v>0</v>
          </cell>
        </row>
        <row r="6247">
          <cell r="C6247">
            <v>0</v>
          </cell>
        </row>
        <row r="6248">
          <cell r="C6248">
            <v>0</v>
          </cell>
        </row>
        <row r="6249">
          <cell r="C6249">
            <v>0</v>
          </cell>
        </row>
        <row r="6250">
          <cell r="C6250">
            <v>0</v>
          </cell>
        </row>
        <row r="6251">
          <cell r="C6251">
            <v>0</v>
          </cell>
        </row>
        <row r="6252">
          <cell r="C6252">
            <v>0</v>
          </cell>
        </row>
        <row r="6253">
          <cell r="C6253">
            <v>0</v>
          </cell>
        </row>
        <row r="6254">
          <cell r="C6254">
            <v>0</v>
          </cell>
        </row>
        <row r="6255">
          <cell r="C6255">
            <v>0</v>
          </cell>
        </row>
        <row r="6256">
          <cell r="C6256">
            <v>0</v>
          </cell>
        </row>
        <row r="6257">
          <cell r="C6257">
            <v>0</v>
          </cell>
        </row>
        <row r="6258">
          <cell r="C6258">
            <v>0</v>
          </cell>
        </row>
        <row r="6259">
          <cell r="C6259">
            <v>0</v>
          </cell>
        </row>
        <row r="6260">
          <cell r="C6260">
            <v>0</v>
          </cell>
        </row>
        <row r="6261">
          <cell r="C6261">
            <v>0</v>
          </cell>
        </row>
        <row r="6262">
          <cell r="C6262">
            <v>0</v>
          </cell>
        </row>
        <row r="6263">
          <cell r="C6263">
            <v>0</v>
          </cell>
        </row>
        <row r="6264">
          <cell r="C6264">
            <v>0</v>
          </cell>
        </row>
        <row r="6265">
          <cell r="C6265">
            <v>0</v>
          </cell>
        </row>
        <row r="6266">
          <cell r="C6266">
            <v>0</v>
          </cell>
        </row>
        <row r="6267">
          <cell r="C6267">
            <v>0</v>
          </cell>
        </row>
        <row r="6268">
          <cell r="C6268">
            <v>0</v>
          </cell>
        </row>
        <row r="6269">
          <cell r="C6269">
            <v>0</v>
          </cell>
        </row>
        <row r="6270">
          <cell r="C6270">
            <v>0</v>
          </cell>
        </row>
        <row r="6271">
          <cell r="C6271">
            <v>0</v>
          </cell>
        </row>
        <row r="6272">
          <cell r="C6272">
            <v>0</v>
          </cell>
        </row>
        <row r="6273">
          <cell r="C6273">
            <v>0</v>
          </cell>
        </row>
        <row r="6274">
          <cell r="C6274">
            <v>0</v>
          </cell>
        </row>
        <row r="6275">
          <cell r="C6275">
            <v>0</v>
          </cell>
        </row>
        <row r="6276">
          <cell r="C6276">
            <v>0</v>
          </cell>
        </row>
        <row r="6277">
          <cell r="C6277">
            <v>0</v>
          </cell>
        </row>
        <row r="6278">
          <cell r="C6278">
            <v>0</v>
          </cell>
        </row>
        <row r="6279">
          <cell r="C6279">
            <v>0</v>
          </cell>
        </row>
        <row r="6280">
          <cell r="C6280">
            <v>0</v>
          </cell>
        </row>
        <row r="6281">
          <cell r="C6281">
            <v>0</v>
          </cell>
        </row>
        <row r="6282">
          <cell r="C6282">
            <v>0</v>
          </cell>
        </row>
        <row r="6283">
          <cell r="C6283">
            <v>0</v>
          </cell>
        </row>
        <row r="6284">
          <cell r="C6284">
            <v>0</v>
          </cell>
        </row>
        <row r="6285">
          <cell r="C6285">
            <v>0</v>
          </cell>
        </row>
        <row r="6286">
          <cell r="C6286">
            <v>0</v>
          </cell>
        </row>
        <row r="6287">
          <cell r="C6287">
            <v>0</v>
          </cell>
        </row>
        <row r="6288">
          <cell r="C6288">
            <v>0</v>
          </cell>
        </row>
        <row r="6289">
          <cell r="C6289">
            <v>0</v>
          </cell>
        </row>
        <row r="6290">
          <cell r="C6290">
            <v>0</v>
          </cell>
        </row>
        <row r="6291">
          <cell r="C6291">
            <v>0</v>
          </cell>
        </row>
        <row r="6292">
          <cell r="C6292">
            <v>0</v>
          </cell>
        </row>
        <row r="6293">
          <cell r="C6293">
            <v>0</v>
          </cell>
        </row>
        <row r="6294">
          <cell r="C6294">
            <v>0</v>
          </cell>
        </row>
        <row r="6295">
          <cell r="C6295">
            <v>0</v>
          </cell>
        </row>
        <row r="6296">
          <cell r="C6296">
            <v>0</v>
          </cell>
        </row>
        <row r="6297">
          <cell r="C6297">
            <v>0</v>
          </cell>
        </row>
        <row r="6298">
          <cell r="C6298">
            <v>0</v>
          </cell>
        </row>
        <row r="6299">
          <cell r="C6299">
            <v>0</v>
          </cell>
        </row>
        <row r="6300">
          <cell r="C6300">
            <v>0</v>
          </cell>
        </row>
        <row r="6301">
          <cell r="C6301">
            <v>0</v>
          </cell>
        </row>
        <row r="6302">
          <cell r="C6302">
            <v>0</v>
          </cell>
        </row>
        <row r="6303">
          <cell r="C6303">
            <v>0</v>
          </cell>
        </row>
        <row r="6304">
          <cell r="C6304">
            <v>0</v>
          </cell>
        </row>
        <row r="6305">
          <cell r="C6305">
            <v>0</v>
          </cell>
        </row>
        <row r="6306">
          <cell r="C6306">
            <v>0</v>
          </cell>
        </row>
        <row r="6307">
          <cell r="C6307">
            <v>0</v>
          </cell>
        </row>
        <row r="6308">
          <cell r="C6308">
            <v>0</v>
          </cell>
        </row>
        <row r="6309">
          <cell r="C6309">
            <v>0</v>
          </cell>
        </row>
        <row r="6310">
          <cell r="C6310">
            <v>0</v>
          </cell>
        </row>
        <row r="6311">
          <cell r="C6311">
            <v>0</v>
          </cell>
        </row>
        <row r="6312">
          <cell r="C6312">
            <v>0</v>
          </cell>
        </row>
        <row r="6313">
          <cell r="C6313">
            <v>0</v>
          </cell>
        </row>
        <row r="6314">
          <cell r="C6314">
            <v>0</v>
          </cell>
        </row>
        <row r="6315">
          <cell r="C6315">
            <v>0</v>
          </cell>
        </row>
        <row r="6316">
          <cell r="C6316">
            <v>0</v>
          </cell>
        </row>
        <row r="6317">
          <cell r="C6317">
            <v>0</v>
          </cell>
        </row>
        <row r="6318">
          <cell r="C6318">
            <v>0</v>
          </cell>
        </row>
        <row r="6319">
          <cell r="C6319">
            <v>0</v>
          </cell>
        </row>
        <row r="6320">
          <cell r="C6320">
            <v>0</v>
          </cell>
        </row>
        <row r="6321">
          <cell r="C6321">
            <v>0</v>
          </cell>
        </row>
        <row r="6322">
          <cell r="C6322">
            <v>0</v>
          </cell>
        </row>
        <row r="6323">
          <cell r="C6323">
            <v>0</v>
          </cell>
        </row>
        <row r="6324">
          <cell r="C6324">
            <v>0</v>
          </cell>
        </row>
        <row r="6325">
          <cell r="C6325">
            <v>0</v>
          </cell>
        </row>
        <row r="6326">
          <cell r="C6326">
            <v>0</v>
          </cell>
        </row>
        <row r="6327">
          <cell r="C6327">
            <v>0</v>
          </cell>
        </row>
        <row r="6328">
          <cell r="C6328">
            <v>0</v>
          </cell>
        </row>
        <row r="6329">
          <cell r="C6329">
            <v>0</v>
          </cell>
        </row>
        <row r="6330">
          <cell r="C6330">
            <v>0</v>
          </cell>
        </row>
        <row r="6331">
          <cell r="C6331">
            <v>0</v>
          </cell>
        </row>
        <row r="6332">
          <cell r="C6332">
            <v>0</v>
          </cell>
        </row>
        <row r="6333">
          <cell r="C6333">
            <v>0</v>
          </cell>
        </row>
        <row r="6334">
          <cell r="C6334">
            <v>0</v>
          </cell>
        </row>
        <row r="6335">
          <cell r="C6335">
            <v>0</v>
          </cell>
        </row>
        <row r="6336">
          <cell r="C6336">
            <v>0</v>
          </cell>
        </row>
        <row r="6337">
          <cell r="C6337">
            <v>0</v>
          </cell>
        </row>
        <row r="6338">
          <cell r="C6338">
            <v>0</v>
          </cell>
        </row>
        <row r="6339">
          <cell r="C6339">
            <v>0</v>
          </cell>
        </row>
        <row r="6340">
          <cell r="C6340">
            <v>0</v>
          </cell>
        </row>
        <row r="6341">
          <cell r="C6341">
            <v>0</v>
          </cell>
        </row>
        <row r="6342">
          <cell r="C6342">
            <v>0</v>
          </cell>
        </row>
        <row r="6343">
          <cell r="C6343">
            <v>0</v>
          </cell>
        </row>
        <row r="6344">
          <cell r="C6344">
            <v>0</v>
          </cell>
        </row>
        <row r="6345">
          <cell r="C6345">
            <v>0</v>
          </cell>
        </row>
        <row r="6346">
          <cell r="C6346">
            <v>0</v>
          </cell>
        </row>
        <row r="6347">
          <cell r="C6347">
            <v>0</v>
          </cell>
        </row>
        <row r="6348">
          <cell r="C6348">
            <v>0</v>
          </cell>
        </row>
        <row r="6349">
          <cell r="C6349">
            <v>0</v>
          </cell>
        </row>
        <row r="6350">
          <cell r="C6350">
            <v>0</v>
          </cell>
        </row>
        <row r="6351">
          <cell r="C6351">
            <v>0</v>
          </cell>
        </row>
        <row r="6352">
          <cell r="C6352">
            <v>0</v>
          </cell>
        </row>
        <row r="6353">
          <cell r="C6353">
            <v>0</v>
          </cell>
        </row>
        <row r="6354">
          <cell r="C6354">
            <v>0</v>
          </cell>
        </row>
        <row r="6355">
          <cell r="C6355">
            <v>0</v>
          </cell>
        </row>
        <row r="6356">
          <cell r="C6356">
            <v>0</v>
          </cell>
        </row>
        <row r="6357">
          <cell r="C6357">
            <v>0</v>
          </cell>
        </row>
        <row r="6358">
          <cell r="C6358">
            <v>0</v>
          </cell>
        </row>
        <row r="6359">
          <cell r="C6359">
            <v>0</v>
          </cell>
        </row>
        <row r="6360">
          <cell r="C6360">
            <v>0</v>
          </cell>
        </row>
        <row r="6361">
          <cell r="C6361">
            <v>0</v>
          </cell>
        </row>
        <row r="6362">
          <cell r="C6362">
            <v>0</v>
          </cell>
        </row>
        <row r="6363">
          <cell r="C6363">
            <v>0</v>
          </cell>
        </row>
        <row r="6364">
          <cell r="C6364">
            <v>0</v>
          </cell>
        </row>
        <row r="6365">
          <cell r="C6365">
            <v>0</v>
          </cell>
        </row>
        <row r="6366">
          <cell r="C6366">
            <v>0</v>
          </cell>
        </row>
        <row r="6367">
          <cell r="C6367">
            <v>0</v>
          </cell>
        </row>
        <row r="6368">
          <cell r="C6368">
            <v>0</v>
          </cell>
        </row>
        <row r="6369">
          <cell r="C6369">
            <v>0</v>
          </cell>
        </row>
        <row r="6370">
          <cell r="C6370">
            <v>0</v>
          </cell>
        </row>
        <row r="6371">
          <cell r="C6371">
            <v>0</v>
          </cell>
        </row>
        <row r="6372">
          <cell r="C6372">
            <v>0</v>
          </cell>
        </row>
        <row r="6373">
          <cell r="C6373">
            <v>0</v>
          </cell>
        </row>
        <row r="6374">
          <cell r="C6374">
            <v>0</v>
          </cell>
        </row>
        <row r="6375">
          <cell r="C6375">
            <v>0</v>
          </cell>
        </row>
        <row r="6376">
          <cell r="C6376">
            <v>0</v>
          </cell>
        </row>
        <row r="6377">
          <cell r="C6377">
            <v>0</v>
          </cell>
        </row>
        <row r="6378">
          <cell r="C6378">
            <v>0</v>
          </cell>
        </row>
        <row r="6379">
          <cell r="C6379">
            <v>0</v>
          </cell>
        </row>
        <row r="6380">
          <cell r="C6380">
            <v>0</v>
          </cell>
        </row>
        <row r="6381">
          <cell r="C6381">
            <v>0</v>
          </cell>
        </row>
        <row r="6382">
          <cell r="C6382">
            <v>0</v>
          </cell>
        </row>
        <row r="6383">
          <cell r="C6383">
            <v>0</v>
          </cell>
        </row>
        <row r="6384">
          <cell r="C6384">
            <v>0</v>
          </cell>
        </row>
        <row r="6385">
          <cell r="C6385">
            <v>0</v>
          </cell>
        </row>
        <row r="6386">
          <cell r="C6386">
            <v>0</v>
          </cell>
        </row>
        <row r="6387">
          <cell r="C6387">
            <v>0</v>
          </cell>
        </row>
        <row r="6388">
          <cell r="C6388">
            <v>0</v>
          </cell>
        </row>
        <row r="6389">
          <cell r="C6389">
            <v>0</v>
          </cell>
        </row>
        <row r="6390">
          <cell r="C6390">
            <v>0</v>
          </cell>
        </row>
        <row r="6391">
          <cell r="C6391">
            <v>0</v>
          </cell>
        </row>
        <row r="6392">
          <cell r="C6392">
            <v>0</v>
          </cell>
        </row>
        <row r="6393">
          <cell r="C6393">
            <v>0</v>
          </cell>
        </row>
        <row r="6394">
          <cell r="C6394">
            <v>0</v>
          </cell>
        </row>
        <row r="6395">
          <cell r="C6395">
            <v>0</v>
          </cell>
        </row>
        <row r="6396">
          <cell r="C6396">
            <v>0</v>
          </cell>
        </row>
        <row r="6397">
          <cell r="C6397">
            <v>0</v>
          </cell>
        </row>
        <row r="6398">
          <cell r="C6398">
            <v>0</v>
          </cell>
        </row>
        <row r="6399">
          <cell r="C6399">
            <v>0</v>
          </cell>
        </row>
        <row r="6400">
          <cell r="C6400">
            <v>0</v>
          </cell>
        </row>
        <row r="6401">
          <cell r="C6401">
            <v>0</v>
          </cell>
        </row>
        <row r="6402">
          <cell r="C6402">
            <v>0</v>
          </cell>
        </row>
        <row r="6403">
          <cell r="C6403">
            <v>0</v>
          </cell>
        </row>
        <row r="6404">
          <cell r="C6404">
            <v>0</v>
          </cell>
        </row>
        <row r="6405">
          <cell r="C6405">
            <v>0</v>
          </cell>
        </row>
        <row r="6406">
          <cell r="C6406">
            <v>0</v>
          </cell>
        </row>
        <row r="6407">
          <cell r="C6407">
            <v>0</v>
          </cell>
        </row>
        <row r="6408">
          <cell r="C6408">
            <v>0</v>
          </cell>
        </row>
        <row r="6409">
          <cell r="C6409">
            <v>0</v>
          </cell>
        </row>
        <row r="6410">
          <cell r="C6410">
            <v>0</v>
          </cell>
        </row>
        <row r="6411">
          <cell r="C6411">
            <v>0</v>
          </cell>
        </row>
        <row r="6412">
          <cell r="C6412">
            <v>0</v>
          </cell>
        </row>
        <row r="6413">
          <cell r="C6413">
            <v>0</v>
          </cell>
        </row>
        <row r="6414">
          <cell r="C6414">
            <v>0</v>
          </cell>
        </row>
        <row r="6415">
          <cell r="C6415">
            <v>0</v>
          </cell>
        </row>
        <row r="6416">
          <cell r="C6416">
            <v>0</v>
          </cell>
        </row>
        <row r="6417">
          <cell r="C6417">
            <v>0</v>
          </cell>
        </row>
        <row r="6418">
          <cell r="C6418">
            <v>0</v>
          </cell>
        </row>
        <row r="6419">
          <cell r="C6419">
            <v>0</v>
          </cell>
        </row>
        <row r="6420">
          <cell r="C6420">
            <v>0</v>
          </cell>
        </row>
        <row r="6421">
          <cell r="C6421">
            <v>0</v>
          </cell>
        </row>
        <row r="6422">
          <cell r="C6422">
            <v>0</v>
          </cell>
        </row>
        <row r="6423">
          <cell r="C6423">
            <v>0</v>
          </cell>
        </row>
        <row r="6424">
          <cell r="C6424">
            <v>0</v>
          </cell>
        </row>
        <row r="6425">
          <cell r="C6425">
            <v>0</v>
          </cell>
        </row>
        <row r="6426">
          <cell r="C6426">
            <v>0</v>
          </cell>
        </row>
        <row r="6427">
          <cell r="C6427">
            <v>0</v>
          </cell>
        </row>
        <row r="6428">
          <cell r="C6428">
            <v>0</v>
          </cell>
        </row>
        <row r="6429">
          <cell r="C6429">
            <v>0</v>
          </cell>
        </row>
        <row r="6430">
          <cell r="C6430">
            <v>0</v>
          </cell>
        </row>
        <row r="6431">
          <cell r="C6431">
            <v>0</v>
          </cell>
        </row>
        <row r="6432">
          <cell r="C6432">
            <v>0</v>
          </cell>
        </row>
        <row r="6433">
          <cell r="C6433">
            <v>0</v>
          </cell>
        </row>
        <row r="6434">
          <cell r="C6434">
            <v>0</v>
          </cell>
        </row>
        <row r="6435">
          <cell r="C6435">
            <v>0</v>
          </cell>
        </row>
        <row r="6436">
          <cell r="C6436">
            <v>0</v>
          </cell>
        </row>
        <row r="6437">
          <cell r="C6437">
            <v>0</v>
          </cell>
        </row>
        <row r="6438">
          <cell r="C6438">
            <v>0</v>
          </cell>
        </row>
        <row r="6439">
          <cell r="C6439">
            <v>0</v>
          </cell>
        </row>
        <row r="6440">
          <cell r="C6440">
            <v>0</v>
          </cell>
        </row>
        <row r="6441">
          <cell r="C6441">
            <v>0</v>
          </cell>
        </row>
        <row r="6442">
          <cell r="C6442">
            <v>0</v>
          </cell>
        </row>
        <row r="6443">
          <cell r="C6443">
            <v>0</v>
          </cell>
        </row>
        <row r="6444">
          <cell r="C6444">
            <v>0</v>
          </cell>
        </row>
        <row r="6445">
          <cell r="C6445">
            <v>0</v>
          </cell>
        </row>
        <row r="6446">
          <cell r="C6446">
            <v>0</v>
          </cell>
        </row>
        <row r="6447">
          <cell r="C6447">
            <v>0</v>
          </cell>
        </row>
        <row r="6448">
          <cell r="C6448">
            <v>0</v>
          </cell>
        </row>
        <row r="6449">
          <cell r="C6449">
            <v>0</v>
          </cell>
        </row>
        <row r="6450">
          <cell r="C6450">
            <v>0</v>
          </cell>
        </row>
        <row r="6451">
          <cell r="C6451">
            <v>0</v>
          </cell>
        </row>
        <row r="6452">
          <cell r="C6452">
            <v>0</v>
          </cell>
        </row>
        <row r="6453">
          <cell r="C6453">
            <v>0</v>
          </cell>
        </row>
        <row r="6454">
          <cell r="C6454">
            <v>0</v>
          </cell>
        </row>
        <row r="6455">
          <cell r="C6455">
            <v>0</v>
          </cell>
        </row>
        <row r="6456">
          <cell r="C6456">
            <v>0</v>
          </cell>
        </row>
        <row r="6457">
          <cell r="C6457">
            <v>0</v>
          </cell>
        </row>
        <row r="6458">
          <cell r="C6458">
            <v>0</v>
          </cell>
        </row>
        <row r="6459">
          <cell r="C6459">
            <v>0</v>
          </cell>
        </row>
        <row r="6460">
          <cell r="C6460">
            <v>0</v>
          </cell>
        </row>
        <row r="6461">
          <cell r="C6461">
            <v>0</v>
          </cell>
        </row>
        <row r="6462">
          <cell r="C6462">
            <v>0</v>
          </cell>
        </row>
        <row r="6463">
          <cell r="C6463">
            <v>0</v>
          </cell>
        </row>
        <row r="6464">
          <cell r="C6464">
            <v>0</v>
          </cell>
        </row>
        <row r="6465">
          <cell r="C6465">
            <v>0</v>
          </cell>
        </row>
        <row r="6466">
          <cell r="C6466">
            <v>0</v>
          </cell>
        </row>
        <row r="6467">
          <cell r="C6467">
            <v>0</v>
          </cell>
        </row>
        <row r="6468">
          <cell r="C6468">
            <v>0</v>
          </cell>
        </row>
        <row r="6469">
          <cell r="C6469">
            <v>0</v>
          </cell>
        </row>
        <row r="6470">
          <cell r="C6470">
            <v>0</v>
          </cell>
        </row>
        <row r="6471">
          <cell r="C6471">
            <v>0</v>
          </cell>
        </row>
        <row r="6472">
          <cell r="C6472">
            <v>0</v>
          </cell>
        </row>
        <row r="6473">
          <cell r="C6473">
            <v>0</v>
          </cell>
        </row>
        <row r="6474">
          <cell r="C6474">
            <v>0</v>
          </cell>
        </row>
        <row r="6475">
          <cell r="C6475">
            <v>0</v>
          </cell>
        </row>
        <row r="6476">
          <cell r="C6476">
            <v>0</v>
          </cell>
        </row>
        <row r="6477">
          <cell r="C6477">
            <v>0</v>
          </cell>
        </row>
        <row r="6478">
          <cell r="C6478">
            <v>0</v>
          </cell>
        </row>
        <row r="6479">
          <cell r="C6479">
            <v>0</v>
          </cell>
        </row>
        <row r="6480">
          <cell r="C6480">
            <v>0</v>
          </cell>
        </row>
        <row r="6481">
          <cell r="C6481">
            <v>0</v>
          </cell>
        </row>
        <row r="6482">
          <cell r="C6482">
            <v>0</v>
          </cell>
        </row>
        <row r="6483">
          <cell r="C6483">
            <v>0</v>
          </cell>
        </row>
        <row r="6484">
          <cell r="C6484">
            <v>0</v>
          </cell>
        </row>
        <row r="6485">
          <cell r="C6485">
            <v>0</v>
          </cell>
        </row>
        <row r="6486">
          <cell r="C6486">
            <v>0</v>
          </cell>
        </row>
        <row r="6487">
          <cell r="C6487">
            <v>0</v>
          </cell>
        </row>
        <row r="6488">
          <cell r="C6488">
            <v>0</v>
          </cell>
        </row>
        <row r="6489">
          <cell r="C6489">
            <v>0</v>
          </cell>
        </row>
        <row r="6490">
          <cell r="C6490">
            <v>0</v>
          </cell>
        </row>
        <row r="6491">
          <cell r="C6491">
            <v>0</v>
          </cell>
        </row>
        <row r="6492">
          <cell r="C6492">
            <v>0</v>
          </cell>
        </row>
        <row r="6493">
          <cell r="C6493">
            <v>0</v>
          </cell>
        </row>
        <row r="6494">
          <cell r="C6494">
            <v>0</v>
          </cell>
        </row>
        <row r="6495">
          <cell r="C6495">
            <v>0</v>
          </cell>
        </row>
        <row r="6496">
          <cell r="C6496">
            <v>0</v>
          </cell>
        </row>
        <row r="6497">
          <cell r="C6497">
            <v>0</v>
          </cell>
        </row>
        <row r="6498">
          <cell r="C6498">
            <v>0</v>
          </cell>
        </row>
        <row r="6499">
          <cell r="C6499">
            <v>0</v>
          </cell>
        </row>
        <row r="6500">
          <cell r="C6500">
            <v>0</v>
          </cell>
        </row>
        <row r="6501">
          <cell r="C6501">
            <v>0</v>
          </cell>
        </row>
        <row r="6502">
          <cell r="C6502">
            <v>0</v>
          </cell>
        </row>
        <row r="6503">
          <cell r="C6503">
            <v>0</v>
          </cell>
        </row>
        <row r="6504">
          <cell r="C6504">
            <v>0</v>
          </cell>
        </row>
        <row r="6505">
          <cell r="C6505">
            <v>0</v>
          </cell>
        </row>
        <row r="6506">
          <cell r="C6506">
            <v>0</v>
          </cell>
        </row>
        <row r="6507">
          <cell r="C6507">
            <v>0</v>
          </cell>
        </row>
        <row r="6508">
          <cell r="C6508">
            <v>0</v>
          </cell>
        </row>
        <row r="6509">
          <cell r="C6509">
            <v>0</v>
          </cell>
        </row>
        <row r="6510">
          <cell r="C6510">
            <v>0</v>
          </cell>
        </row>
        <row r="6511">
          <cell r="C6511">
            <v>0</v>
          </cell>
        </row>
        <row r="6512">
          <cell r="C6512">
            <v>0</v>
          </cell>
        </row>
        <row r="6513">
          <cell r="C6513">
            <v>0</v>
          </cell>
        </row>
        <row r="6514">
          <cell r="C6514">
            <v>0</v>
          </cell>
        </row>
        <row r="6515">
          <cell r="C6515">
            <v>0</v>
          </cell>
        </row>
        <row r="6516">
          <cell r="C6516">
            <v>0</v>
          </cell>
        </row>
        <row r="6517">
          <cell r="C6517">
            <v>0</v>
          </cell>
        </row>
        <row r="6518">
          <cell r="C6518">
            <v>0</v>
          </cell>
        </row>
        <row r="6519">
          <cell r="C6519">
            <v>0</v>
          </cell>
        </row>
        <row r="6520">
          <cell r="C6520">
            <v>0</v>
          </cell>
        </row>
        <row r="6521">
          <cell r="C6521">
            <v>0</v>
          </cell>
        </row>
        <row r="6522">
          <cell r="C6522">
            <v>0</v>
          </cell>
        </row>
        <row r="6523">
          <cell r="C6523">
            <v>0</v>
          </cell>
        </row>
        <row r="6524">
          <cell r="C6524">
            <v>0</v>
          </cell>
        </row>
        <row r="6525">
          <cell r="C6525">
            <v>0</v>
          </cell>
        </row>
        <row r="6526">
          <cell r="C6526">
            <v>0</v>
          </cell>
        </row>
        <row r="6527">
          <cell r="C6527">
            <v>0</v>
          </cell>
        </row>
        <row r="6528">
          <cell r="C6528">
            <v>0</v>
          </cell>
        </row>
        <row r="6529">
          <cell r="C6529">
            <v>0</v>
          </cell>
        </row>
        <row r="6530">
          <cell r="C6530">
            <v>0</v>
          </cell>
        </row>
        <row r="6531">
          <cell r="C6531">
            <v>0</v>
          </cell>
        </row>
        <row r="6532">
          <cell r="C6532">
            <v>0</v>
          </cell>
        </row>
        <row r="6533">
          <cell r="C6533">
            <v>0</v>
          </cell>
        </row>
        <row r="6534">
          <cell r="C6534">
            <v>0</v>
          </cell>
        </row>
        <row r="6535">
          <cell r="C6535">
            <v>0</v>
          </cell>
        </row>
        <row r="6536">
          <cell r="C6536">
            <v>0</v>
          </cell>
        </row>
        <row r="6537">
          <cell r="C6537">
            <v>0</v>
          </cell>
        </row>
        <row r="6538">
          <cell r="C6538">
            <v>0</v>
          </cell>
        </row>
        <row r="6539">
          <cell r="C6539">
            <v>0</v>
          </cell>
        </row>
        <row r="6540">
          <cell r="C6540">
            <v>0</v>
          </cell>
        </row>
        <row r="6541">
          <cell r="C6541">
            <v>0</v>
          </cell>
        </row>
        <row r="6542">
          <cell r="C6542">
            <v>0</v>
          </cell>
        </row>
        <row r="6543">
          <cell r="C6543">
            <v>0</v>
          </cell>
        </row>
        <row r="6544">
          <cell r="C6544">
            <v>0</v>
          </cell>
        </row>
        <row r="6545">
          <cell r="C6545">
            <v>0</v>
          </cell>
        </row>
        <row r="6546">
          <cell r="C6546">
            <v>0</v>
          </cell>
        </row>
        <row r="6547">
          <cell r="C6547">
            <v>0</v>
          </cell>
        </row>
        <row r="6548">
          <cell r="C6548">
            <v>0</v>
          </cell>
        </row>
        <row r="6549">
          <cell r="C6549">
            <v>0</v>
          </cell>
        </row>
        <row r="6550">
          <cell r="C6550">
            <v>0</v>
          </cell>
        </row>
        <row r="6551">
          <cell r="C6551">
            <v>0</v>
          </cell>
        </row>
        <row r="6552">
          <cell r="C6552">
            <v>0</v>
          </cell>
        </row>
        <row r="6553">
          <cell r="C6553">
            <v>0</v>
          </cell>
        </row>
        <row r="6554">
          <cell r="C6554">
            <v>0</v>
          </cell>
        </row>
        <row r="6555">
          <cell r="C6555">
            <v>0</v>
          </cell>
        </row>
        <row r="6556">
          <cell r="C6556">
            <v>0</v>
          </cell>
        </row>
        <row r="6557">
          <cell r="C6557">
            <v>0</v>
          </cell>
        </row>
        <row r="6558">
          <cell r="C6558">
            <v>0</v>
          </cell>
        </row>
        <row r="6559">
          <cell r="C6559">
            <v>0</v>
          </cell>
        </row>
        <row r="6560">
          <cell r="C6560">
            <v>0</v>
          </cell>
        </row>
        <row r="6561">
          <cell r="C6561">
            <v>0</v>
          </cell>
        </row>
        <row r="6562">
          <cell r="C6562">
            <v>0</v>
          </cell>
        </row>
        <row r="6563">
          <cell r="C6563">
            <v>0</v>
          </cell>
        </row>
        <row r="6564">
          <cell r="C6564">
            <v>0</v>
          </cell>
        </row>
        <row r="6565">
          <cell r="C6565">
            <v>0</v>
          </cell>
        </row>
        <row r="6566">
          <cell r="C6566">
            <v>0</v>
          </cell>
        </row>
        <row r="6567">
          <cell r="C6567">
            <v>0</v>
          </cell>
        </row>
        <row r="6568">
          <cell r="C6568">
            <v>0</v>
          </cell>
        </row>
        <row r="6569">
          <cell r="C6569">
            <v>0</v>
          </cell>
        </row>
        <row r="6570">
          <cell r="C6570">
            <v>0</v>
          </cell>
        </row>
        <row r="6571">
          <cell r="C6571">
            <v>0</v>
          </cell>
        </row>
        <row r="6572">
          <cell r="C6572">
            <v>0</v>
          </cell>
        </row>
        <row r="6573">
          <cell r="C6573">
            <v>0</v>
          </cell>
        </row>
        <row r="6574">
          <cell r="C6574">
            <v>0</v>
          </cell>
        </row>
        <row r="6575">
          <cell r="C6575">
            <v>0</v>
          </cell>
        </row>
        <row r="6576">
          <cell r="C6576">
            <v>0</v>
          </cell>
        </row>
        <row r="6577">
          <cell r="C6577">
            <v>0</v>
          </cell>
        </row>
        <row r="6578">
          <cell r="C6578">
            <v>0</v>
          </cell>
        </row>
        <row r="6579">
          <cell r="C6579">
            <v>0</v>
          </cell>
        </row>
        <row r="6580">
          <cell r="C6580">
            <v>0</v>
          </cell>
        </row>
        <row r="6581">
          <cell r="C6581">
            <v>0</v>
          </cell>
        </row>
        <row r="6582">
          <cell r="C6582">
            <v>0</v>
          </cell>
        </row>
        <row r="6583">
          <cell r="C6583">
            <v>0</v>
          </cell>
        </row>
        <row r="6584">
          <cell r="C6584">
            <v>0</v>
          </cell>
        </row>
        <row r="6585">
          <cell r="C6585">
            <v>0</v>
          </cell>
        </row>
        <row r="6586">
          <cell r="C6586">
            <v>0</v>
          </cell>
        </row>
        <row r="6587">
          <cell r="C6587">
            <v>0</v>
          </cell>
        </row>
        <row r="6588">
          <cell r="C6588">
            <v>0</v>
          </cell>
        </row>
        <row r="6589">
          <cell r="C6589">
            <v>0</v>
          </cell>
        </row>
        <row r="6590">
          <cell r="C6590">
            <v>0</v>
          </cell>
        </row>
        <row r="6591">
          <cell r="C6591">
            <v>0</v>
          </cell>
        </row>
        <row r="6592">
          <cell r="C6592">
            <v>0</v>
          </cell>
        </row>
        <row r="6593">
          <cell r="C6593">
            <v>0</v>
          </cell>
        </row>
        <row r="6594">
          <cell r="C6594">
            <v>0</v>
          </cell>
        </row>
        <row r="6595">
          <cell r="C6595">
            <v>0</v>
          </cell>
        </row>
        <row r="6596">
          <cell r="C6596">
            <v>0</v>
          </cell>
        </row>
        <row r="6597">
          <cell r="C6597">
            <v>0</v>
          </cell>
        </row>
        <row r="6598">
          <cell r="C6598">
            <v>0</v>
          </cell>
        </row>
        <row r="6599">
          <cell r="C6599">
            <v>0</v>
          </cell>
        </row>
        <row r="6600">
          <cell r="C6600">
            <v>0</v>
          </cell>
        </row>
        <row r="6601">
          <cell r="C6601">
            <v>0</v>
          </cell>
        </row>
        <row r="6602">
          <cell r="C6602">
            <v>0</v>
          </cell>
        </row>
        <row r="6603">
          <cell r="C6603">
            <v>0</v>
          </cell>
        </row>
        <row r="6604">
          <cell r="C6604">
            <v>0</v>
          </cell>
        </row>
        <row r="6605">
          <cell r="C6605">
            <v>0</v>
          </cell>
        </row>
        <row r="6606">
          <cell r="C6606">
            <v>0</v>
          </cell>
        </row>
        <row r="6607">
          <cell r="C6607">
            <v>0</v>
          </cell>
        </row>
        <row r="6608">
          <cell r="C6608">
            <v>0</v>
          </cell>
        </row>
        <row r="6609">
          <cell r="C6609">
            <v>0</v>
          </cell>
        </row>
        <row r="6610">
          <cell r="C6610">
            <v>0</v>
          </cell>
        </row>
        <row r="6611">
          <cell r="C6611">
            <v>0</v>
          </cell>
        </row>
        <row r="6612">
          <cell r="C6612">
            <v>0</v>
          </cell>
        </row>
        <row r="6613">
          <cell r="C6613">
            <v>0</v>
          </cell>
        </row>
        <row r="6614">
          <cell r="C6614">
            <v>0</v>
          </cell>
        </row>
        <row r="6615">
          <cell r="C6615">
            <v>0</v>
          </cell>
        </row>
        <row r="6616">
          <cell r="C6616">
            <v>0</v>
          </cell>
        </row>
        <row r="6617">
          <cell r="C6617">
            <v>0</v>
          </cell>
        </row>
        <row r="6618">
          <cell r="C6618">
            <v>0</v>
          </cell>
        </row>
        <row r="6619">
          <cell r="C6619">
            <v>0</v>
          </cell>
        </row>
        <row r="6620">
          <cell r="C6620">
            <v>0</v>
          </cell>
        </row>
        <row r="6621">
          <cell r="C6621">
            <v>0</v>
          </cell>
        </row>
        <row r="6622">
          <cell r="C6622">
            <v>0</v>
          </cell>
        </row>
        <row r="6623">
          <cell r="C6623">
            <v>0</v>
          </cell>
        </row>
        <row r="6624">
          <cell r="C6624">
            <v>0</v>
          </cell>
        </row>
        <row r="6625">
          <cell r="C6625">
            <v>0</v>
          </cell>
        </row>
        <row r="6626">
          <cell r="C6626">
            <v>0</v>
          </cell>
        </row>
        <row r="6627">
          <cell r="C6627">
            <v>0</v>
          </cell>
        </row>
        <row r="6628">
          <cell r="C6628">
            <v>0</v>
          </cell>
        </row>
        <row r="6629">
          <cell r="C6629">
            <v>0</v>
          </cell>
        </row>
        <row r="6630">
          <cell r="C6630">
            <v>0</v>
          </cell>
        </row>
        <row r="6631">
          <cell r="C6631">
            <v>0</v>
          </cell>
        </row>
        <row r="6632">
          <cell r="C6632">
            <v>0</v>
          </cell>
        </row>
        <row r="6633">
          <cell r="C6633">
            <v>0</v>
          </cell>
        </row>
        <row r="6634">
          <cell r="C6634">
            <v>0</v>
          </cell>
        </row>
        <row r="6635">
          <cell r="C6635">
            <v>0</v>
          </cell>
        </row>
        <row r="6636">
          <cell r="C6636">
            <v>0</v>
          </cell>
        </row>
        <row r="6637">
          <cell r="C6637">
            <v>0</v>
          </cell>
        </row>
        <row r="6638">
          <cell r="C6638">
            <v>0</v>
          </cell>
        </row>
        <row r="6639">
          <cell r="C6639">
            <v>0</v>
          </cell>
        </row>
        <row r="6640">
          <cell r="C6640">
            <v>0</v>
          </cell>
        </row>
        <row r="6641">
          <cell r="C6641">
            <v>0</v>
          </cell>
        </row>
        <row r="6642">
          <cell r="C6642">
            <v>0</v>
          </cell>
        </row>
        <row r="6643">
          <cell r="C6643">
            <v>0</v>
          </cell>
        </row>
        <row r="6644">
          <cell r="C6644">
            <v>0</v>
          </cell>
        </row>
        <row r="6645">
          <cell r="C6645">
            <v>0</v>
          </cell>
        </row>
        <row r="6646">
          <cell r="C6646">
            <v>0</v>
          </cell>
        </row>
        <row r="6647">
          <cell r="C6647">
            <v>0</v>
          </cell>
        </row>
        <row r="6648">
          <cell r="C6648">
            <v>0</v>
          </cell>
        </row>
        <row r="6649">
          <cell r="C6649">
            <v>0</v>
          </cell>
        </row>
        <row r="6650">
          <cell r="C6650">
            <v>0</v>
          </cell>
        </row>
        <row r="6651">
          <cell r="C6651">
            <v>0</v>
          </cell>
        </row>
        <row r="6652">
          <cell r="C6652">
            <v>0</v>
          </cell>
        </row>
        <row r="6653">
          <cell r="C6653">
            <v>0</v>
          </cell>
        </row>
        <row r="6654">
          <cell r="C6654">
            <v>0</v>
          </cell>
        </row>
        <row r="6655">
          <cell r="C6655">
            <v>0</v>
          </cell>
        </row>
        <row r="6656">
          <cell r="C6656">
            <v>0</v>
          </cell>
        </row>
        <row r="6657">
          <cell r="C6657">
            <v>0</v>
          </cell>
        </row>
        <row r="6658">
          <cell r="C6658">
            <v>0</v>
          </cell>
        </row>
        <row r="6659">
          <cell r="C6659">
            <v>0</v>
          </cell>
        </row>
        <row r="6660">
          <cell r="C6660">
            <v>0</v>
          </cell>
        </row>
        <row r="6661">
          <cell r="C6661">
            <v>0</v>
          </cell>
        </row>
        <row r="6662">
          <cell r="C6662">
            <v>0</v>
          </cell>
        </row>
        <row r="6663">
          <cell r="C6663">
            <v>0</v>
          </cell>
        </row>
        <row r="6664">
          <cell r="C6664">
            <v>0</v>
          </cell>
        </row>
        <row r="6665">
          <cell r="C6665">
            <v>0</v>
          </cell>
        </row>
        <row r="6666">
          <cell r="C6666">
            <v>0</v>
          </cell>
        </row>
        <row r="6667">
          <cell r="C6667">
            <v>0</v>
          </cell>
        </row>
        <row r="6668">
          <cell r="C6668">
            <v>0</v>
          </cell>
        </row>
        <row r="6669">
          <cell r="C6669">
            <v>0</v>
          </cell>
        </row>
        <row r="6670">
          <cell r="C6670">
            <v>0</v>
          </cell>
        </row>
        <row r="6671">
          <cell r="C6671">
            <v>0</v>
          </cell>
        </row>
        <row r="6672">
          <cell r="C6672">
            <v>0</v>
          </cell>
        </row>
        <row r="6673">
          <cell r="C6673">
            <v>0</v>
          </cell>
        </row>
        <row r="6674">
          <cell r="C6674">
            <v>0</v>
          </cell>
        </row>
        <row r="6675">
          <cell r="C6675">
            <v>0</v>
          </cell>
        </row>
        <row r="6676">
          <cell r="C6676">
            <v>0</v>
          </cell>
        </row>
        <row r="6677">
          <cell r="C6677">
            <v>0</v>
          </cell>
        </row>
        <row r="6678">
          <cell r="C6678">
            <v>0</v>
          </cell>
        </row>
        <row r="6679">
          <cell r="C6679">
            <v>0</v>
          </cell>
        </row>
        <row r="6680">
          <cell r="C6680">
            <v>0</v>
          </cell>
        </row>
        <row r="6681">
          <cell r="C6681">
            <v>0</v>
          </cell>
        </row>
        <row r="6682">
          <cell r="C6682">
            <v>0</v>
          </cell>
        </row>
        <row r="6683">
          <cell r="C6683">
            <v>0</v>
          </cell>
        </row>
        <row r="6684">
          <cell r="C6684">
            <v>0</v>
          </cell>
        </row>
        <row r="6685">
          <cell r="C6685">
            <v>0</v>
          </cell>
        </row>
        <row r="6686">
          <cell r="C6686">
            <v>0</v>
          </cell>
        </row>
        <row r="6687">
          <cell r="C6687">
            <v>0</v>
          </cell>
        </row>
        <row r="6688">
          <cell r="C6688">
            <v>0</v>
          </cell>
        </row>
        <row r="6689">
          <cell r="C6689">
            <v>0</v>
          </cell>
        </row>
        <row r="6690">
          <cell r="C6690">
            <v>0</v>
          </cell>
        </row>
        <row r="6691">
          <cell r="C6691">
            <v>0</v>
          </cell>
        </row>
        <row r="6692">
          <cell r="C6692">
            <v>0</v>
          </cell>
        </row>
        <row r="6693">
          <cell r="C6693">
            <v>0</v>
          </cell>
        </row>
        <row r="6694">
          <cell r="C6694">
            <v>0</v>
          </cell>
        </row>
        <row r="6695">
          <cell r="C6695">
            <v>0</v>
          </cell>
        </row>
        <row r="6696">
          <cell r="C6696">
            <v>0</v>
          </cell>
        </row>
        <row r="6697">
          <cell r="C6697">
            <v>0</v>
          </cell>
        </row>
        <row r="6698">
          <cell r="C6698">
            <v>0</v>
          </cell>
        </row>
        <row r="6699">
          <cell r="C6699">
            <v>0</v>
          </cell>
        </row>
        <row r="6700">
          <cell r="C6700">
            <v>0</v>
          </cell>
        </row>
        <row r="6701">
          <cell r="C6701">
            <v>0</v>
          </cell>
        </row>
        <row r="6702">
          <cell r="C6702">
            <v>0</v>
          </cell>
        </row>
        <row r="6703">
          <cell r="C6703">
            <v>0</v>
          </cell>
        </row>
        <row r="6704">
          <cell r="C6704">
            <v>0</v>
          </cell>
        </row>
        <row r="6705">
          <cell r="C6705">
            <v>0</v>
          </cell>
        </row>
        <row r="6706">
          <cell r="C6706">
            <v>0</v>
          </cell>
        </row>
        <row r="6707">
          <cell r="C6707">
            <v>0</v>
          </cell>
        </row>
        <row r="6708">
          <cell r="C6708">
            <v>0</v>
          </cell>
        </row>
        <row r="6709">
          <cell r="C6709">
            <v>0</v>
          </cell>
        </row>
        <row r="6710">
          <cell r="C6710">
            <v>0</v>
          </cell>
        </row>
        <row r="6711">
          <cell r="C6711">
            <v>0</v>
          </cell>
        </row>
        <row r="6712">
          <cell r="C6712">
            <v>0</v>
          </cell>
        </row>
        <row r="6713">
          <cell r="C6713">
            <v>0</v>
          </cell>
        </row>
        <row r="6714">
          <cell r="C6714">
            <v>0</v>
          </cell>
        </row>
        <row r="6715">
          <cell r="C6715">
            <v>0</v>
          </cell>
        </row>
        <row r="6716">
          <cell r="C6716">
            <v>0</v>
          </cell>
        </row>
        <row r="6717">
          <cell r="C6717">
            <v>0</v>
          </cell>
        </row>
        <row r="6718">
          <cell r="C6718">
            <v>0</v>
          </cell>
        </row>
        <row r="6719">
          <cell r="C6719">
            <v>0</v>
          </cell>
        </row>
        <row r="6720">
          <cell r="C6720">
            <v>0</v>
          </cell>
        </row>
        <row r="6721">
          <cell r="C6721">
            <v>0</v>
          </cell>
        </row>
        <row r="6722">
          <cell r="C6722">
            <v>0</v>
          </cell>
        </row>
        <row r="6723">
          <cell r="C6723">
            <v>0</v>
          </cell>
        </row>
        <row r="6724">
          <cell r="C6724">
            <v>0</v>
          </cell>
        </row>
        <row r="6725">
          <cell r="C6725">
            <v>0</v>
          </cell>
        </row>
        <row r="6726">
          <cell r="C6726">
            <v>0</v>
          </cell>
        </row>
        <row r="6727">
          <cell r="C6727">
            <v>0</v>
          </cell>
        </row>
        <row r="6728">
          <cell r="C6728">
            <v>0</v>
          </cell>
        </row>
        <row r="6729">
          <cell r="C6729">
            <v>0</v>
          </cell>
        </row>
        <row r="6730">
          <cell r="C6730">
            <v>0</v>
          </cell>
        </row>
        <row r="6731">
          <cell r="C6731">
            <v>0</v>
          </cell>
        </row>
        <row r="6732">
          <cell r="C6732">
            <v>0</v>
          </cell>
        </row>
        <row r="6733">
          <cell r="C6733">
            <v>0</v>
          </cell>
        </row>
        <row r="6734">
          <cell r="C6734">
            <v>0</v>
          </cell>
        </row>
        <row r="6735">
          <cell r="C6735">
            <v>0</v>
          </cell>
        </row>
        <row r="6736">
          <cell r="C6736">
            <v>0</v>
          </cell>
        </row>
        <row r="6737">
          <cell r="C6737">
            <v>0</v>
          </cell>
        </row>
        <row r="6738">
          <cell r="C6738">
            <v>0</v>
          </cell>
        </row>
        <row r="6739">
          <cell r="C6739">
            <v>0</v>
          </cell>
        </row>
        <row r="6740">
          <cell r="C6740">
            <v>0</v>
          </cell>
        </row>
        <row r="6741">
          <cell r="C6741">
            <v>0</v>
          </cell>
        </row>
        <row r="6742">
          <cell r="C6742">
            <v>0</v>
          </cell>
        </row>
        <row r="6743">
          <cell r="C6743">
            <v>0</v>
          </cell>
        </row>
        <row r="6744">
          <cell r="C6744">
            <v>0</v>
          </cell>
        </row>
        <row r="6745">
          <cell r="C6745">
            <v>0</v>
          </cell>
        </row>
        <row r="6746">
          <cell r="C6746">
            <v>0</v>
          </cell>
        </row>
        <row r="6747">
          <cell r="C6747">
            <v>0</v>
          </cell>
        </row>
        <row r="6748">
          <cell r="C6748">
            <v>0</v>
          </cell>
        </row>
        <row r="6749">
          <cell r="C6749">
            <v>0</v>
          </cell>
        </row>
        <row r="6750">
          <cell r="C6750">
            <v>0</v>
          </cell>
        </row>
        <row r="6751">
          <cell r="C6751">
            <v>0</v>
          </cell>
        </row>
        <row r="6752">
          <cell r="C6752">
            <v>0</v>
          </cell>
        </row>
        <row r="6753">
          <cell r="C6753">
            <v>0</v>
          </cell>
        </row>
        <row r="6754">
          <cell r="C6754">
            <v>0</v>
          </cell>
        </row>
        <row r="6755">
          <cell r="C6755">
            <v>0</v>
          </cell>
        </row>
        <row r="6756">
          <cell r="C6756">
            <v>0</v>
          </cell>
        </row>
        <row r="6757">
          <cell r="C6757">
            <v>0</v>
          </cell>
        </row>
        <row r="6758">
          <cell r="C6758">
            <v>0</v>
          </cell>
        </row>
        <row r="6759">
          <cell r="C6759">
            <v>0</v>
          </cell>
        </row>
        <row r="6760">
          <cell r="C6760">
            <v>0</v>
          </cell>
        </row>
        <row r="6761">
          <cell r="C6761">
            <v>0</v>
          </cell>
        </row>
        <row r="6762">
          <cell r="C6762">
            <v>0</v>
          </cell>
        </row>
        <row r="6763">
          <cell r="C6763">
            <v>0</v>
          </cell>
        </row>
        <row r="6764">
          <cell r="C6764">
            <v>0</v>
          </cell>
        </row>
        <row r="6765">
          <cell r="C6765">
            <v>0</v>
          </cell>
        </row>
        <row r="6766">
          <cell r="C6766">
            <v>0</v>
          </cell>
        </row>
        <row r="6767">
          <cell r="C6767">
            <v>0</v>
          </cell>
        </row>
        <row r="6768">
          <cell r="C6768">
            <v>0</v>
          </cell>
        </row>
        <row r="6769">
          <cell r="C6769">
            <v>0</v>
          </cell>
        </row>
        <row r="6770">
          <cell r="C6770">
            <v>0</v>
          </cell>
        </row>
        <row r="6771">
          <cell r="C6771">
            <v>0</v>
          </cell>
        </row>
        <row r="6772">
          <cell r="C6772">
            <v>0</v>
          </cell>
        </row>
        <row r="6773">
          <cell r="C6773">
            <v>0</v>
          </cell>
        </row>
        <row r="6774">
          <cell r="C6774">
            <v>0</v>
          </cell>
        </row>
        <row r="6775">
          <cell r="C6775">
            <v>0</v>
          </cell>
        </row>
        <row r="6776">
          <cell r="C6776">
            <v>0</v>
          </cell>
        </row>
        <row r="6777">
          <cell r="C6777">
            <v>0</v>
          </cell>
        </row>
        <row r="6778">
          <cell r="C6778">
            <v>0</v>
          </cell>
        </row>
        <row r="6779">
          <cell r="C6779">
            <v>0</v>
          </cell>
        </row>
        <row r="6780">
          <cell r="C6780">
            <v>0</v>
          </cell>
        </row>
        <row r="6781">
          <cell r="C6781">
            <v>0</v>
          </cell>
        </row>
        <row r="6782">
          <cell r="C6782">
            <v>0</v>
          </cell>
        </row>
        <row r="6783">
          <cell r="C6783">
            <v>0</v>
          </cell>
        </row>
        <row r="6784">
          <cell r="C6784">
            <v>0</v>
          </cell>
        </row>
        <row r="6785">
          <cell r="C6785">
            <v>0</v>
          </cell>
        </row>
        <row r="6786">
          <cell r="C6786">
            <v>0</v>
          </cell>
        </row>
        <row r="6787">
          <cell r="C6787">
            <v>0</v>
          </cell>
        </row>
        <row r="6788">
          <cell r="C6788">
            <v>0</v>
          </cell>
        </row>
        <row r="6789">
          <cell r="C6789">
            <v>0</v>
          </cell>
        </row>
        <row r="6790">
          <cell r="C6790">
            <v>0</v>
          </cell>
        </row>
        <row r="6791">
          <cell r="C6791">
            <v>0</v>
          </cell>
        </row>
        <row r="6792">
          <cell r="C6792">
            <v>0</v>
          </cell>
        </row>
        <row r="6793">
          <cell r="C6793">
            <v>0</v>
          </cell>
        </row>
        <row r="6794">
          <cell r="C6794">
            <v>0</v>
          </cell>
        </row>
        <row r="6795">
          <cell r="C6795">
            <v>0</v>
          </cell>
        </row>
        <row r="6796">
          <cell r="C6796">
            <v>0</v>
          </cell>
        </row>
        <row r="6797">
          <cell r="C6797">
            <v>0</v>
          </cell>
        </row>
        <row r="6798">
          <cell r="C6798">
            <v>0</v>
          </cell>
        </row>
        <row r="6799">
          <cell r="C6799">
            <v>0</v>
          </cell>
        </row>
        <row r="6800">
          <cell r="C6800">
            <v>0</v>
          </cell>
        </row>
        <row r="6801">
          <cell r="C6801">
            <v>0</v>
          </cell>
        </row>
        <row r="6802">
          <cell r="C6802">
            <v>0</v>
          </cell>
        </row>
        <row r="6803">
          <cell r="C6803">
            <v>0</v>
          </cell>
        </row>
        <row r="6804">
          <cell r="C6804">
            <v>0</v>
          </cell>
        </row>
        <row r="6805">
          <cell r="C6805">
            <v>0</v>
          </cell>
        </row>
        <row r="6806">
          <cell r="C6806">
            <v>0</v>
          </cell>
        </row>
        <row r="6807">
          <cell r="C6807">
            <v>0</v>
          </cell>
        </row>
        <row r="6808">
          <cell r="C6808">
            <v>0</v>
          </cell>
        </row>
        <row r="6809">
          <cell r="C6809">
            <v>0</v>
          </cell>
        </row>
        <row r="6810">
          <cell r="C6810">
            <v>0</v>
          </cell>
        </row>
        <row r="6811">
          <cell r="C6811">
            <v>0</v>
          </cell>
        </row>
        <row r="6812">
          <cell r="C6812">
            <v>0</v>
          </cell>
        </row>
        <row r="6813">
          <cell r="C6813">
            <v>0</v>
          </cell>
        </row>
        <row r="6814">
          <cell r="C6814">
            <v>0</v>
          </cell>
        </row>
        <row r="6815">
          <cell r="C6815">
            <v>0</v>
          </cell>
        </row>
        <row r="6816">
          <cell r="C6816">
            <v>0</v>
          </cell>
        </row>
        <row r="6817">
          <cell r="C6817">
            <v>0</v>
          </cell>
        </row>
        <row r="6818">
          <cell r="C6818">
            <v>0</v>
          </cell>
        </row>
        <row r="6819">
          <cell r="C6819">
            <v>0</v>
          </cell>
        </row>
        <row r="6820">
          <cell r="C6820">
            <v>0</v>
          </cell>
        </row>
        <row r="6821">
          <cell r="C6821">
            <v>0</v>
          </cell>
        </row>
        <row r="6822">
          <cell r="C6822">
            <v>0</v>
          </cell>
        </row>
        <row r="6823">
          <cell r="C6823">
            <v>0</v>
          </cell>
        </row>
        <row r="6824">
          <cell r="C6824">
            <v>0</v>
          </cell>
        </row>
        <row r="6825">
          <cell r="C6825">
            <v>0</v>
          </cell>
        </row>
        <row r="6826">
          <cell r="C6826">
            <v>0</v>
          </cell>
        </row>
        <row r="6827">
          <cell r="C6827">
            <v>0</v>
          </cell>
        </row>
        <row r="6828">
          <cell r="C6828">
            <v>0</v>
          </cell>
        </row>
        <row r="6829">
          <cell r="C6829">
            <v>0</v>
          </cell>
        </row>
        <row r="6830">
          <cell r="C6830">
            <v>0</v>
          </cell>
        </row>
        <row r="6831">
          <cell r="C6831">
            <v>0</v>
          </cell>
        </row>
        <row r="6832">
          <cell r="C6832">
            <v>0</v>
          </cell>
        </row>
        <row r="6833">
          <cell r="C6833">
            <v>0</v>
          </cell>
        </row>
        <row r="6834">
          <cell r="C6834">
            <v>0</v>
          </cell>
        </row>
        <row r="6835">
          <cell r="C6835">
            <v>0</v>
          </cell>
        </row>
        <row r="6836">
          <cell r="C6836">
            <v>0</v>
          </cell>
        </row>
        <row r="6837">
          <cell r="C6837">
            <v>0</v>
          </cell>
        </row>
        <row r="6838">
          <cell r="C6838">
            <v>0</v>
          </cell>
        </row>
        <row r="6839">
          <cell r="C6839">
            <v>0</v>
          </cell>
        </row>
        <row r="6840">
          <cell r="C6840">
            <v>0</v>
          </cell>
        </row>
        <row r="6841">
          <cell r="C6841">
            <v>0</v>
          </cell>
        </row>
        <row r="6842">
          <cell r="C6842">
            <v>0</v>
          </cell>
        </row>
        <row r="6843">
          <cell r="C6843">
            <v>0</v>
          </cell>
        </row>
        <row r="6844">
          <cell r="C6844">
            <v>0</v>
          </cell>
        </row>
        <row r="6845">
          <cell r="C6845">
            <v>0</v>
          </cell>
        </row>
        <row r="6846">
          <cell r="C6846">
            <v>0</v>
          </cell>
        </row>
        <row r="6847">
          <cell r="C6847">
            <v>0</v>
          </cell>
        </row>
        <row r="6848">
          <cell r="C6848">
            <v>0</v>
          </cell>
        </row>
        <row r="6849">
          <cell r="C6849">
            <v>0</v>
          </cell>
        </row>
        <row r="6850">
          <cell r="C6850">
            <v>0</v>
          </cell>
        </row>
        <row r="6851">
          <cell r="C6851">
            <v>0</v>
          </cell>
        </row>
        <row r="6852">
          <cell r="C6852">
            <v>0</v>
          </cell>
        </row>
        <row r="6853">
          <cell r="C6853">
            <v>0</v>
          </cell>
        </row>
        <row r="6854">
          <cell r="C6854">
            <v>0</v>
          </cell>
        </row>
        <row r="6855">
          <cell r="C6855">
            <v>0</v>
          </cell>
        </row>
        <row r="6856">
          <cell r="C6856">
            <v>0</v>
          </cell>
        </row>
        <row r="6857">
          <cell r="C6857">
            <v>0</v>
          </cell>
        </row>
        <row r="6858">
          <cell r="C6858">
            <v>0</v>
          </cell>
        </row>
        <row r="6859">
          <cell r="C6859">
            <v>0</v>
          </cell>
        </row>
        <row r="6860">
          <cell r="C6860">
            <v>0</v>
          </cell>
        </row>
        <row r="6861">
          <cell r="C6861">
            <v>0</v>
          </cell>
        </row>
        <row r="6862">
          <cell r="C6862">
            <v>0</v>
          </cell>
        </row>
        <row r="6863">
          <cell r="C6863">
            <v>0</v>
          </cell>
        </row>
        <row r="6864">
          <cell r="C6864">
            <v>0</v>
          </cell>
        </row>
        <row r="6865">
          <cell r="C6865">
            <v>0</v>
          </cell>
        </row>
        <row r="6866">
          <cell r="C6866">
            <v>0</v>
          </cell>
        </row>
        <row r="6867">
          <cell r="C6867">
            <v>0</v>
          </cell>
        </row>
        <row r="6868">
          <cell r="C6868">
            <v>0</v>
          </cell>
        </row>
        <row r="6869">
          <cell r="C6869">
            <v>0</v>
          </cell>
        </row>
        <row r="6870">
          <cell r="C6870">
            <v>0</v>
          </cell>
        </row>
        <row r="6871">
          <cell r="C6871">
            <v>0</v>
          </cell>
        </row>
        <row r="6872">
          <cell r="C6872">
            <v>0</v>
          </cell>
        </row>
        <row r="6873">
          <cell r="C6873">
            <v>0</v>
          </cell>
        </row>
        <row r="6874">
          <cell r="C6874">
            <v>0</v>
          </cell>
        </row>
        <row r="6875">
          <cell r="C6875">
            <v>0</v>
          </cell>
        </row>
        <row r="6876">
          <cell r="C6876">
            <v>0</v>
          </cell>
        </row>
        <row r="6877">
          <cell r="C6877">
            <v>0</v>
          </cell>
        </row>
        <row r="6878">
          <cell r="C6878">
            <v>0</v>
          </cell>
        </row>
        <row r="6879">
          <cell r="C6879">
            <v>0</v>
          </cell>
        </row>
        <row r="6880">
          <cell r="C6880">
            <v>0</v>
          </cell>
        </row>
        <row r="6881">
          <cell r="C6881">
            <v>0</v>
          </cell>
        </row>
        <row r="6882">
          <cell r="C6882">
            <v>0</v>
          </cell>
        </row>
        <row r="6883">
          <cell r="C6883">
            <v>0</v>
          </cell>
        </row>
        <row r="6884">
          <cell r="C6884">
            <v>0</v>
          </cell>
        </row>
        <row r="6885">
          <cell r="C6885">
            <v>0</v>
          </cell>
        </row>
        <row r="6886">
          <cell r="C6886">
            <v>0</v>
          </cell>
        </row>
        <row r="6887">
          <cell r="C6887">
            <v>0</v>
          </cell>
        </row>
        <row r="6888">
          <cell r="C6888">
            <v>0</v>
          </cell>
        </row>
        <row r="6889">
          <cell r="C6889">
            <v>0</v>
          </cell>
        </row>
        <row r="6890">
          <cell r="C6890">
            <v>0</v>
          </cell>
        </row>
        <row r="6891">
          <cell r="C6891">
            <v>0</v>
          </cell>
        </row>
        <row r="6892">
          <cell r="C6892">
            <v>0</v>
          </cell>
        </row>
        <row r="6893">
          <cell r="C6893">
            <v>0</v>
          </cell>
        </row>
        <row r="6894">
          <cell r="C6894">
            <v>0</v>
          </cell>
        </row>
        <row r="6895">
          <cell r="C6895">
            <v>0</v>
          </cell>
        </row>
        <row r="6896">
          <cell r="C6896">
            <v>0</v>
          </cell>
        </row>
        <row r="6897">
          <cell r="C6897">
            <v>0</v>
          </cell>
        </row>
        <row r="6898">
          <cell r="C6898">
            <v>0</v>
          </cell>
        </row>
        <row r="6899">
          <cell r="C6899">
            <v>0</v>
          </cell>
        </row>
        <row r="6900">
          <cell r="C6900">
            <v>0</v>
          </cell>
        </row>
        <row r="6901">
          <cell r="C6901">
            <v>0</v>
          </cell>
        </row>
        <row r="6902">
          <cell r="C6902">
            <v>0</v>
          </cell>
        </row>
        <row r="6903">
          <cell r="C6903">
            <v>0</v>
          </cell>
        </row>
        <row r="6904">
          <cell r="C6904">
            <v>0</v>
          </cell>
        </row>
        <row r="6905">
          <cell r="C6905">
            <v>0</v>
          </cell>
        </row>
        <row r="6906">
          <cell r="C6906">
            <v>0</v>
          </cell>
        </row>
        <row r="6907">
          <cell r="C6907">
            <v>0</v>
          </cell>
        </row>
        <row r="6908">
          <cell r="C6908">
            <v>0</v>
          </cell>
        </row>
        <row r="6909">
          <cell r="C6909">
            <v>0</v>
          </cell>
        </row>
        <row r="6910">
          <cell r="C6910">
            <v>0</v>
          </cell>
        </row>
        <row r="6911">
          <cell r="C6911">
            <v>0</v>
          </cell>
        </row>
        <row r="6912">
          <cell r="C6912">
            <v>0</v>
          </cell>
        </row>
        <row r="6913">
          <cell r="C6913">
            <v>0</v>
          </cell>
        </row>
        <row r="6914">
          <cell r="C6914">
            <v>0</v>
          </cell>
        </row>
        <row r="6915">
          <cell r="C6915">
            <v>0</v>
          </cell>
        </row>
        <row r="6916">
          <cell r="C6916">
            <v>0</v>
          </cell>
        </row>
        <row r="6917">
          <cell r="C6917">
            <v>0</v>
          </cell>
        </row>
        <row r="6918">
          <cell r="C6918">
            <v>0</v>
          </cell>
        </row>
        <row r="6919">
          <cell r="C6919">
            <v>0</v>
          </cell>
        </row>
        <row r="6920">
          <cell r="C6920">
            <v>0</v>
          </cell>
        </row>
        <row r="6921">
          <cell r="C6921">
            <v>0</v>
          </cell>
        </row>
        <row r="6922">
          <cell r="C6922">
            <v>0</v>
          </cell>
        </row>
        <row r="6923">
          <cell r="C6923">
            <v>0</v>
          </cell>
        </row>
        <row r="6924">
          <cell r="C6924">
            <v>0</v>
          </cell>
        </row>
        <row r="6925">
          <cell r="C6925">
            <v>0</v>
          </cell>
        </row>
        <row r="6926">
          <cell r="C6926">
            <v>0</v>
          </cell>
        </row>
        <row r="6927">
          <cell r="C6927">
            <v>0</v>
          </cell>
        </row>
        <row r="6928">
          <cell r="C6928">
            <v>0</v>
          </cell>
        </row>
        <row r="6929">
          <cell r="C6929">
            <v>0</v>
          </cell>
        </row>
        <row r="6930">
          <cell r="C6930">
            <v>0</v>
          </cell>
        </row>
        <row r="6931">
          <cell r="C6931">
            <v>0</v>
          </cell>
        </row>
        <row r="6932">
          <cell r="C6932">
            <v>0</v>
          </cell>
        </row>
        <row r="6933">
          <cell r="C6933">
            <v>0</v>
          </cell>
        </row>
        <row r="6934">
          <cell r="C6934">
            <v>0</v>
          </cell>
        </row>
        <row r="6935">
          <cell r="C6935">
            <v>0</v>
          </cell>
        </row>
        <row r="6936">
          <cell r="C6936">
            <v>0</v>
          </cell>
        </row>
        <row r="6937">
          <cell r="C6937">
            <v>0</v>
          </cell>
        </row>
        <row r="6938">
          <cell r="C6938">
            <v>0</v>
          </cell>
        </row>
        <row r="6939">
          <cell r="C6939">
            <v>0</v>
          </cell>
        </row>
        <row r="6940">
          <cell r="C6940">
            <v>0</v>
          </cell>
        </row>
        <row r="6941">
          <cell r="C6941">
            <v>0</v>
          </cell>
        </row>
        <row r="6942">
          <cell r="C6942">
            <v>0</v>
          </cell>
        </row>
        <row r="6943">
          <cell r="C6943">
            <v>0</v>
          </cell>
        </row>
        <row r="6944">
          <cell r="C6944">
            <v>0</v>
          </cell>
        </row>
        <row r="6945">
          <cell r="C6945">
            <v>0</v>
          </cell>
        </row>
        <row r="6946">
          <cell r="C6946">
            <v>0</v>
          </cell>
        </row>
        <row r="6947">
          <cell r="C6947">
            <v>0</v>
          </cell>
        </row>
        <row r="6948">
          <cell r="C6948">
            <v>0</v>
          </cell>
        </row>
        <row r="6949">
          <cell r="C6949">
            <v>0</v>
          </cell>
        </row>
        <row r="6950">
          <cell r="C6950">
            <v>0</v>
          </cell>
        </row>
        <row r="6951">
          <cell r="C6951">
            <v>0</v>
          </cell>
        </row>
        <row r="6952">
          <cell r="C6952">
            <v>0</v>
          </cell>
        </row>
        <row r="6953">
          <cell r="C6953">
            <v>0</v>
          </cell>
        </row>
        <row r="6954">
          <cell r="C6954">
            <v>0</v>
          </cell>
        </row>
        <row r="6955">
          <cell r="C6955">
            <v>0</v>
          </cell>
        </row>
        <row r="6956">
          <cell r="C6956">
            <v>0</v>
          </cell>
        </row>
        <row r="6957">
          <cell r="C6957">
            <v>0</v>
          </cell>
        </row>
        <row r="6958">
          <cell r="C6958">
            <v>0</v>
          </cell>
        </row>
        <row r="6959">
          <cell r="C6959">
            <v>0</v>
          </cell>
        </row>
        <row r="6960">
          <cell r="C6960">
            <v>0</v>
          </cell>
        </row>
        <row r="6961">
          <cell r="C6961">
            <v>0</v>
          </cell>
        </row>
        <row r="6962">
          <cell r="C6962">
            <v>0</v>
          </cell>
        </row>
        <row r="6963">
          <cell r="C6963">
            <v>0</v>
          </cell>
        </row>
        <row r="6964">
          <cell r="C6964">
            <v>0</v>
          </cell>
        </row>
        <row r="6965">
          <cell r="C6965">
            <v>0</v>
          </cell>
        </row>
        <row r="6966">
          <cell r="C6966">
            <v>0</v>
          </cell>
        </row>
        <row r="6967">
          <cell r="C6967">
            <v>0</v>
          </cell>
        </row>
        <row r="6968">
          <cell r="C6968">
            <v>0</v>
          </cell>
        </row>
        <row r="6969">
          <cell r="C6969">
            <v>0</v>
          </cell>
        </row>
        <row r="6970">
          <cell r="C6970">
            <v>0</v>
          </cell>
        </row>
        <row r="6971">
          <cell r="C6971">
            <v>0</v>
          </cell>
        </row>
        <row r="6972">
          <cell r="C6972">
            <v>0</v>
          </cell>
        </row>
        <row r="6973">
          <cell r="C6973">
            <v>0</v>
          </cell>
        </row>
        <row r="6974">
          <cell r="C6974">
            <v>0</v>
          </cell>
        </row>
        <row r="6975">
          <cell r="C6975">
            <v>0</v>
          </cell>
        </row>
        <row r="6976">
          <cell r="C6976">
            <v>0</v>
          </cell>
        </row>
        <row r="6977">
          <cell r="C6977">
            <v>0</v>
          </cell>
        </row>
        <row r="6978">
          <cell r="C6978">
            <v>0</v>
          </cell>
        </row>
        <row r="6979">
          <cell r="C6979">
            <v>0</v>
          </cell>
        </row>
        <row r="6980">
          <cell r="C6980">
            <v>0</v>
          </cell>
        </row>
        <row r="6981">
          <cell r="C6981">
            <v>0</v>
          </cell>
        </row>
        <row r="6982">
          <cell r="C6982">
            <v>0</v>
          </cell>
        </row>
        <row r="6983">
          <cell r="C6983">
            <v>0</v>
          </cell>
        </row>
        <row r="6984">
          <cell r="C6984">
            <v>0</v>
          </cell>
        </row>
        <row r="6985">
          <cell r="C6985">
            <v>0</v>
          </cell>
        </row>
        <row r="6986">
          <cell r="C6986">
            <v>0</v>
          </cell>
        </row>
        <row r="6987">
          <cell r="C6987">
            <v>0</v>
          </cell>
        </row>
        <row r="6988">
          <cell r="C6988">
            <v>0</v>
          </cell>
        </row>
        <row r="6989">
          <cell r="C6989">
            <v>0</v>
          </cell>
        </row>
        <row r="6990">
          <cell r="C6990">
            <v>0</v>
          </cell>
        </row>
        <row r="6991">
          <cell r="C6991">
            <v>0</v>
          </cell>
        </row>
        <row r="6992">
          <cell r="C6992">
            <v>0</v>
          </cell>
        </row>
        <row r="6993">
          <cell r="C6993">
            <v>0</v>
          </cell>
        </row>
        <row r="6994">
          <cell r="C6994">
            <v>0</v>
          </cell>
        </row>
        <row r="6995">
          <cell r="C6995">
            <v>0</v>
          </cell>
        </row>
        <row r="6996">
          <cell r="C6996">
            <v>0</v>
          </cell>
        </row>
        <row r="6997">
          <cell r="C6997">
            <v>0</v>
          </cell>
        </row>
        <row r="6998">
          <cell r="C6998">
            <v>0</v>
          </cell>
        </row>
        <row r="6999">
          <cell r="C6999">
            <v>0</v>
          </cell>
        </row>
        <row r="7000">
          <cell r="C7000">
            <v>0</v>
          </cell>
        </row>
        <row r="7001">
          <cell r="C7001">
            <v>0</v>
          </cell>
        </row>
        <row r="7002">
          <cell r="C7002">
            <v>0</v>
          </cell>
        </row>
        <row r="7003">
          <cell r="C7003">
            <v>0</v>
          </cell>
        </row>
        <row r="7004">
          <cell r="C7004">
            <v>0</v>
          </cell>
        </row>
        <row r="7005">
          <cell r="C7005">
            <v>0</v>
          </cell>
        </row>
        <row r="7006">
          <cell r="C7006">
            <v>0</v>
          </cell>
        </row>
        <row r="7007">
          <cell r="C7007">
            <v>0</v>
          </cell>
        </row>
        <row r="7008">
          <cell r="C7008">
            <v>0</v>
          </cell>
        </row>
        <row r="7009">
          <cell r="C7009">
            <v>0</v>
          </cell>
        </row>
        <row r="7010">
          <cell r="C7010">
            <v>0</v>
          </cell>
        </row>
        <row r="7011">
          <cell r="C7011">
            <v>0</v>
          </cell>
        </row>
        <row r="7012">
          <cell r="C7012">
            <v>0</v>
          </cell>
        </row>
        <row r="7013">
          <cell r="C7013">
            <v>0</v>
          </cell>
        </row>
        <row r="7014">
          <cell r="C7014">
            <v>0</v>
          </cell>
        </row>
        <row r="7015">
          <cell r="C7015">
            <v>0</v>
          </cell>
        </row>
        <row r="7016">
          <cell r="C7016">
            <v>0</v>
          </cell>
        </row>
        <row r="7017">
          <cell r="C7017">
            <v>0</v>
          </cell>
        </row>
        <row r="7018">
          <cell r="C7018">
            <v>0</v>
          </cell>
        </row>
        <row r="7019">
          <cell r="C7019">
            <v>0</v>
          </cell>
        </row>
        <row r="7020">
          <cell r="C7020">
            <v>0</v>
          </cell>
        </row>
        <row r="7021">
          <cell r="C7021">
            <v>0</v>
          </cell>
        </row>
        <row r="7022">
          <cell r="C7022">
            <v>0</v>
          </cell>
        </row>
        <row r="7023">
          <cell r="C7023">
            <v>0</v>
          </cell>
        </row>
        <row r="7024">
          <cell r="C7024">
            <v>0</v>
          </cell>
        </row>
        <row r="7025">
          <cell r="C7025">
            <v>0</v>
          </cell>
        </row>
        <row r="7026">
          <cell r="C7026">
            <v>0</v>
          </cell>
        </row>
        <row r="7027">
          <cell r="C7027">
            <v>0</v>
          </cell>
        </row>
        <row r="7028">
          <cell r="C7028">
            <v>0</v>
          </cell>
        </row>
        <row r="7029">
          <cell r="C7029">
            <v>0</v>
          </cell>
        </row>
        <row r="7030">
          <cell r="C7030">
            <v>0</v>
          </cell>
        </row>
        <row r="7031">
          <cell r="C7031">
            <v>0</v>
          </cell>
        </row>
        <row r="7032">
          <cell r="C7032">
            <v>0</v>
          </cell>
        </row>
        <row r="7033">
          <cell r="C7033">
            <v>0</v>
          </cell>
        </row>
        <row r="7034">
          <cell r="C7034">
            <v>0</v>
          </cell>
        </row>
        <row r="7035">
          <cell r="C7035">
            <v>0</v>
          </cell>
        </row>
        <row r="7036">
          <cell r="C7036">
            <v>0</v>
          </cell>
        </row>
        <row r="7037">
          <cell r="C7037">
            <v>0</v>
          </cell>
        </row>
        <row r="7038">
          <cell r="C7038">
            <v>0</v>
          </cell>
        </row>
        <row r="7039">
          <cell r="C7039">
            <v>0</v>
          </cell>
        </row>
        <row r="7040">
          <cell r="C7040">
            <v>0</v>
          </cell>
        </row>
        <row r="7041">
          <cell r="C7041">
            <v>0</v>
          </cell>
        </row>
        <row r="7042">
          <cell r="C7042">
            <v>0</v>
          </cell>
        </row>
        <row r="7043">
          <cell r="C7043">
            <v>0</v>
          </cell>
        </row>
        <row r="7044">
          <cell r="C7044">
            <v>0</v>
          </cell>
        </row>
        <row r="7045">
          <cell r="C7045">
            <v>0</v>
          </cell>
        </row>
        <row r="7046">
          <cell r="C7046">
            <v>0</v>
          </cell>
        </row>
        <row r="7047">
          <cell r="C7047">
            <v>0</v>
          </cell>
        </row>
        <row r="7048">
          <cell r="C7048">
            <v>0</v>
          </cell>
        </row>
        <row r="7049">
          <cell r="C7049">
            <v>0</v>
          </cell>
        </row>
        <row r="7050">
          <cell r="C7050">
            <v>0</v>
          </cell>
        </row>
        <row r="7051">
          <cell r="C7051">
            <v>0</v>
          </cell>
        </row>
        <row r="7052">
          <cell r="C7052">
            <v>0</v>
          </cell>
        </row>
        <row r="7053">
          <cell r="C7053">
            <v>0</v>
          </cell>
        </row>
        <row r="7054">
          <cell r="C7054">
            <v>0</v>
          </cell>
        </row>
        <row r="7055">
          <cell r="C7055">
            <v>0</v>
          </cell>
        </row>
        <row r="7056">
          <cell r="C7056">
            <v>0</v>
          </cell>
        </row>
        <row r="7057">
          <cell r="C7057">
            <v>0</v>
          </cell>
        </row>
        <row r="7058">
          <cell r="C7058">
            <v>0</v>
          </cell>
        </row>
        <row r="7059">
          <cell r="C7059">
            <v>0</v>
          </cell>
        </row>
        <row r="7060">
          <cell r="C7060">
            <v>0</v>
          </cell>
        </row>
        <row r="7061">
          <cell r="C7061">
            <v>0</v>
          </cell>
        </row>
        <row r="7062">
          <cell r="C7062">
            <v>0</v>
          </cell>
        </row>
        <row r="7063">
          <cell r="C7063">
            <v>0</v>
          </cell>
        </row>
        <row r="7064">
          <cell r="C7064">
            <v>0</v>
          </cell>
        </row>
        <row r="7065">
          <cell r="C7065">
            <v>0</v>
          </cell>
        </row>
        <row r="7066">
          <cell r="C7066">
            <v>0</v>
          </cell>
        </row>
        <row r="7067">
          <cell r="C7067">
            <v>0</v>
          </cell>
        </row>
        <row r="7068">
          <cell r="C7068">
            <v>0</v>
          </cell>
        </row>
        <row r="7069">
          <cell r="C7069">
            <v>0</v>
          </cell>
        </row>
        <row r="7070">
          <cell r="C7070">
            <v>0</v>
          </cell>
        </row>
        <row r="7071">
          <cell r="C7071">
            <v>0</v>
          </cell>
        </row>
        <row r="7072">
          <cell r="C7072">
            <v>0</v>
          </cell>
        </row>
        <row r="7073">
          <cell r="C7073">
            <v>0</v>
          </cell>
        </row>
        <row r="7074">
          <cell r="C7074">
            <v>0</v>
          </cell>
        </row>
        <row r="7075">
          <cell r="C7075">
            <v>0</v>
          </cell>
        </row>
        <row r="7076">
          <cell r="C7076">
            <v>0</v>
          </cell>
        </row>
        <row r="7077">
          <cell r="C7077">
            <v>0</v>
          </cell>
        </row>
        <row r="7078">
          <cell r="C7078">
            <v>0</v>
          </cell>
        </row>
        <row r="7079">
          <cell r="C7079">
            <v>0</v>
          </cell>
        </row>
        <row r="7080">
          <cell r="C7080">
            <v>0</v>
          </cell>
        </row>
        <row r="7081">
          <cell r="C7081">
            <v>0</v>
          </cell>
        </row>
        <row r="7082">
          <cell r="C7082">
            <v>0</v>
          </cell>
        </row>
        <row r="7083">
          <cell r="C7083">
            <v>0</v>
          </cell>
        </row>
        <row r="7084">
          <cell r="C7084">
            <v>0</v>
          </cell>
        </row>
        <row r="7085">
          <cell r="C7085">
            <v>0</v>
          </cell>
        </row>
        <row r="7086">
          <cell r="C7086">
            <v>0</v>
          </cell>
        </row>
        <row r="7087">
          <cell r="C7087">
            <v>0</v>
          </cell>
        </row>
        <row r="7088">
          <cell r="C7088">
            <v>0</v>
          </cell>
        </row>
        <row r="7089">
          <cell r="C7089">
            <v>0</v>
          </cell>
        </row>
        <row r="7090">
          <cell r="C7090">
            <v>0</v>
          </cell>
        </row>
        <row r="7091">
          <cell r="C7091">
            <v>0</v>
          </cell>
        </row>
        <row r="7092">
          <cell r="C7092">
            <v>0</v>
          </cell>
        </row>
        <row r="7093">
          <cell r="C7093">
            <v>0</v>
          </cell>
        </row>
        <row r="7094">
          <cell r="C7094">
            <v>0</v>
          </cell>
        </row>
        <row r="7095">
          <cell r="C7095">
            <v>0</v>
          </cell>
        </row>
        <row r="7096">
          <cell r="C7096">
            <v>0</v>
          </cell>
        </row>
        <row r="7097">
          <cell r="C7097">
            <v>0</v>
          </cell>
        </row>
        <row r="7098">
          <cell r="C7098">
            <v>0</v>
          </cell>
        </row>
        <row r="7099">
          <cell r="C7099">
            <v>0</v>
          </cell>
        </row>
        <row r="7100">
          <cell r="C7100">
            <v>0</v>
          </cell>
        </row>
        <row r="7101">
          <cell r="C7101">
            <v>0</v>
          </cell>
        </row>
        <row r="7102">
          <cell r="C7102">
            <v>0</v>
          </cell>
        </row>
        <row r="7103">
          <cell r="C7103">
            <v>0</v>
          </cell>
        </row>
        <row r="7104">
          <cell r="C7104">
            <v>0</v>
          </cell>
        </row>
        <row r="7105">
          <cell r="C7105">
            <v>0</v>
          </cell>
        </row>
        <row r="7106">
          <cell r="C7106">
            <v>0</v>
          </cell>
        </row>
        <row r="7107">
          <cell r="C7107">
            <v>0</v>
          </cell>
        </row>
        <row r="7108">
          <cell r="C7108">
            <v>0</v>
          </cell>
        </row>
        <row r="7109">
          <cell r="C7109">
            <v>0</v>
          </cell>
        </row>
        <row r="7110">
          <cell r="C7110">
            <v>0</v>
          </cell>
        </row>
        <row r="7111">
          <cell r="C7111">
            <v>0</v>
          </cell>
        </row>
        <row r="7112">
          <cell r="C7112">
            <v>0</v>
          </cell>
        </row>
        <row r="7113">
          <cell r="C7113">
            <v>0</v>
          </cell>
        </row>
        <row r="7114">
          <cell r="C7114">
            <v>0</v>
          </cell>
        </row>
        <row r="7115">
          <cell r="C7115">
            <v>0</v>
          </cell>
        </row>
        <row r="7116">
          <cell r="C7116">
            <v>0</v>
          </cell>
        </row>
        <row r="7117">
          <cell r="C7117">
            <v>0</v>
          </cell>
        </row>
        <row r="7118">
          <cell r="C7118">
            <v>0</v>
          </cell>
        </row>
        <row r="7119">
          <cell r="C7119">
            <v>0</v>
          </cell>
        </row>
        <row r="7120">
          <cell r="C7120">
            <v>0</v>
          </cell>
        </row>
        <row r="7121">
          <cell r="C7121">
            <v>0</v>
          </cell>
        </row>
        <row r="7122">
          <cell r="C7122">
            <v>0</v>
          </cell>
        </row>
        <row r="7123">
          <cell r="C7123">
            <v>0</v>
          </cell>
        </row>
        <row r="7124">
          <cell r="C7124">
            <v>0</v>
          </cell>
        </row>
        <row r="7125">
          <cell r="C7125">
            <v>0</v>
          </cell>
        </row>
        <row r="7126">
          <cell r="C7126">
            <v>0</v>
          </cell>
        </row>
        <row r="7127">
          <cell r="C7127">
            <v>0</v>
          </cell>
        </row>
        <row r="7128">
          <cell r="C7128">
            <v>0</v>
          </cell>
        </row>
        <row r="7129">
          <cell r="C7129">
            <v>0</v>
          </cell>
        </row>
        <row r="7130">
          <cell r="C7130">
            <v>0</v>
          </cell>
        </row>
        <row r="7131">
          <cell r="C7131">
            <v>0</v>
          </cell>
        </row>
        <row r="7132">
          <cell r="C7132">
            <v>0</v>
          </cell>
        </row>
        <row r="7133">
          <cell r="C7133">
            <v>0</v>
          </cell>
        </row>
        <row r="7134">
          <cell r="C7134">
            <v>0</v>
          </cell>
        </row>
        <row r="7135">
          <cell r="C7135">
            <v>0</v>
          </cell>
        </row>
        <row r="7136">
          <cell r="C7136">
            <v>0</v>
          </cell>
        </row>
        <row r="7137">
          <cell r="C7137">
            <v>0</v>
          </cell>
        </row>
        <row r="7138">
          <cell r="C7138">
            <v>0</v>
          </cell>
        </row>
        <row r="7139">
          <cell r="C7139">
            <v>0</v>
          </cell>
        </row>
        <row r="7140">
          <cell r="C7140">
            <v>0</v>
          </cell>
        </row>
        <row r="7141">
          <cell r="C7141">
            <v>0</v>
          </cell>
        </row>
        <row r="7142">
          <cell r="C7142">
            <v>0</v>
          </cell>
        </row>
        <row r="7143">
          <cell r="C7143">
            <v>0</v>
          </cell>
        </row>
        <row r="7144">
          <cell r="C7144">
            <v>0</v>
          </cell>
        </row>
        <row r="7145">
          <cell r="C7145">
            <v>0</v>
          </cell>
        </row>
        <row r="7146">
          <cell r="C7146">
            <v>0</v>
          </cell>
        </row>
        <row r="7147">
          <cell r="C7147">
            <v>0</v>
          </cell>
        </row>
        <row r="7148">
          <cell r="C7148">
            <v>0</v>
          </cell>
        </row>
        <row r="7149">
          <cell r="C7149">
            <v>0</v>
          </cell>
        </row>
        <row r="7150">
          <cell r="C7150">
            <v>0</v>
          </cell>
        </row>
        <row r="7151">
          <cell r="C7151">
            <v>0</v>
          </cell>
        </row>
        <row r="7152">
          <cell r="C7152">
            <v>0</v>
          </cell>
        </row>
        <row r="7153">
          <cell r="C7153">
            <v>0</v>
          </cell>
        </row>
        <row r="7154">
          <cell r="C7154">
            <v>0</v>
          </cell>
        </row>
        <row r="7155">
          <cell r="C7155">
            <v>0</v>
          </cell>
        </row>
        <row r="7156">
          <cell r="C7156">
            <v>0</v>
          </cell>
        </row>
        <row r="7157">
          <cell r="C7157">
            <v>0</v>
          </cell>
        </row>
        <row r="7158">
          <cell r="C7158">
            <v>0</v>
          </cell>
        </row>
        <row r="7159">
          <cell r="C7159">
            <v>0</v>
          </cell>
        </row>
        <row r="7160">
          <cell r="C7160">
            <v>0</v>
          </cell>
        </row>
        <row r="7161">
          <cell r="C7161">
            <v>0</v>
          </cell>
        </row>
        <row r="7162">
          <cell r="C7162">
            <v>0</v>
          </cell>
        </row>
        <row r="7163">
          <cell r="C7163">
            <v>0</v>
          </cell>
        </row>
        <row r="7164">
          <cell r="C7164">
            <v>0</v>
          </cell>
        </row>
        <row r="7165">
          <cell r="C7165">
            <v>0</v>
          </cell>
        </row>
        <row r="7166">
          <cell r="C7166">
            <v>0</v>
          </cell>
        </row>
        <row r="7167">
          <cell r="C7167">
            <v>0</v>
          </cell>
        </row>
        <row r="7168">
          <cell r="C7168">
            <v>0</v>
          </cell>
        </row>
        <row r="7169">
          <cell r="C7169">
            <v>0</v>
          </cell>
        </row>
        <row r="7170">
          <cell r="C7170">
            <v>0</v>
          </cell>
        </row>
        <row r="7171">
          <cell r="C7171">
            <v>0</v>
          </cell>
        </row>
        <row r="7172">
          <cell r="C7172">
            <v>0</v>
          </cell>
        </row>
        <row r="7173">
          <cell r="C7173">
            <v>0</v>
          </cell>
        </row>
        <row r="7174">
          <cell r="C7174">
            <v>0</v>
          </cell>
        </row>
        <row r="7175">
          <cell r="C7175">
            <v>0</v>
          </cell>
        </row>
        <row r="7176">
          <cell r="C7176">
            <v>0</v>
          </cell>
        </row>
        <row r="7177">
          <cell r="C7177">
            <v>0</v>
          </cell>
        </row>
        <row r="7178">
          <cell r="C7178">
            <v>0</v>
          </cell>
        </row>
        <row r="7179">
          <cell r="C7179">
            <v>0</v>
          </cell>
        </row>
        <row r="7180">
          <cell r="C7180">
            <v>0</v>
          </cell>
        </row>
        <row r="7181">
          <cell r="C7181">
            <v>0</v>
          </cell>
        </row>
        <row r="7182">
          <cell r="C7182">
            <v>0</v>
          </cell>
        </row>
        <row r="7183">
          <cell r="C7183">
            <v>0</v>
          </cell>
        </row>
        <row r="7184">
          <cell r="C7184">
            <v>0</v>
          </cell>
        </row>
        <row r="7185">
          <cell r="C7185">
            <v>0</v>
          </cell>
        </row>
        <row r="7186">
          <cell r="C7186">
            <v>0</v>
          </cell>
        </row>
        <row r="7187">
          <cell r="C7187">
            <v>0</v>
          </cell>
        </row>
        <row r="7188">
          <cell r="C7188">
            <v>0</v>
          </cell>
        </row>
        <row r="7189">
          <cell r="C7189">
            <v>0</v>
          </cell>
        </row>
        <row r="7190">
          <cell r="C7190">
            <v>0</v>
          </cell>
        </row>
        <row r="7191">
          <cell r="C7191">
            <v>0</v>
          </cell>
        </row>
        <row r="7192">
          <cell r="C7192">
            <v>0</v>
          </cell>
        </row>
        <row r="7193">
          <cell r="C7193">
            <v>0</v>
          </cell>
        </row>
        <row r="7194">
          <cell r="C7194">
            <v>0</v>
          </cell>
        </row>
        <row r="7195">
          <cell r="C7195">
            <v>0</v>
          </cell>
        </row>
        <row r="7196">
          <cell r="C7196">
            <v>0</v>
          </cell>
        </row>
        <row r="7197">
          <cell r="C7197">
            <v>0</v>
          </cell>
        </row>
        <row r="7198">
          <cell r="C7198">
            <v>0</v>
          </cell>
        </row>
        <row r="7199">
          <cell r="C7199">
            <v>0</v>
          </cell>
        </row>
        <row r="7200">
          <cell r="C7200">
            <v>0</v>
          </cell>
        </row>
        <row r="7201">
          <cell r="C7201">
            <v>0</v>
          </cell>
        </row>
        <row r="7202">
          <cell r="C7202">
            <v>0</v>
          </cell>
        </row>
        <row r="7203">
          <cell r="C7203">
            <v>0</v>
          </cell>
        </row>
        <row r="7204">
          <cell r="C7204">
            <v>0</v>
          </cell>
        </row>
        <row r="7205">
          <cell r="C7205">
            <v>0</v>
          </cell>
        </row>
        <row r="7206">
          <cell r="C7206">
            <v>0</v>
          </cell>
        </row>
        <row r="7207">
          <cell r="C7207">
            <v>0</v>
          </cell>
        </row>
        <row r="7208">
          <cell r="C7208">
            <v>0</v>
          </cell>
        </row>
        <row r="7209">
          <cell r="C7209">
            <v>0</v>
          </cell>
        </row>
        <row r="7210">
          <cell r="C7210">
            <v>0</v>
          </cell>
        </row>
        <row r="7211">
          <cell r="C7211">
            <v>0</v>
          </cell>
        </row>
        <row r="7212">
          <cell r="C7212">
            <v>0</v>
          </cell>
        </row>
        <row r="7213">
          <cell r="C7213">
            <v>0</v>
          </cell>
        </row>
        <row r="7214">
          <cell r="C7214">
            <v>0</v>
          </cell>
        </row>
        <row r="7215">
          <cell r="C7215">
            <v>0</v>
          </cell>
        </row>
        <row r="7216">
          <cell r="C7216">
            <v>0</v>
          </cell>
        </row>
        <row r="7217">
          <cell r="C7217">
            <v>0</v>
          </cell>
        </row>
        <row r="7218">
          <cell r="C7218">
            <v>0</v>
          </cell>
        </row>
        <row r="7219">
          <cell r="C7219">
            <v>0</v>
          </cell>
        </row>
        <row r="7220">
          <cell r="C7220">
            <v>0</v>
          </cell>
        </row>
        <row r="7221">
          <cell r="C7221">
            <v>0</v>
          </cell>
        </row>
        <row r="7222">
          <cell r="C7222">
            <v>0</v>
          </cell>
        </row>
        <row r="7223">
          <cell r="C7223">
            <v>0</v>
          </cell>
        </row>
        <row r="7224">
          <cell r="C7224">
            <v>0</v>
          </cell>
        </row>
        <row r="7225">
          <cell r="C7225">
            <v>0</v>
          </cell>
        </row>
        <row r="7226">
          <cell r="C7226">
            <v>0</v>
          </cell>
        </row>
        <row r="7227">
          <cell r="C7227">
            <v>0</v>
          </cell>
        </row>
        <row r="7228">
          <cell r="C7228">
            <v>0</v>
          </cell>
        </row>
        <row r="7229">
          <cell r="C7229">
            <v>0</v>
          </cell>
        </row>
        <row r="7230">
          <cell r="C7230">
            <v>0</v>
          </cell>
        </row>
        <row r="7231">
          <cell r="C7231">
            <v>0</v>
          </cell>
        </row>
        <row r="7232">
          <cell r="C7232">
            <v>0</v>
          </cell>
        </row>
        <row r="7233">
          <cell r="C7233">
            <v>0</v>
          </cell>
        </row>
        <row r="7234">
          <cell r="C7234">
            <v>0</v>
          </cell>
        </row>
        <row r="7235">
          <cell r="C7235">
            <v>0</v>
          </cell>
        </row>
        <row r="7236">
          <cell r="C7236">
            <v>0</v>
          </cell>
        </row>
        <row r="7237">
          <cell r="C7237">
            <v>0</v>
          </cell>
        </row>
        <row r="7238">
          <cell r="C7238">
            <v>0</v>
          </cell>
        </row>
        <row r="7239">
          <cell r="C7239">
            <v>0</v>
          </cell>
        </row>
        <row r="7240">
          <cell r="C7240">
            <v>0</v>
          </cell>
        </row>
        <row r="7241">
          <cell r="C7241">
            <v>0</v>
          </cell>
        </row>
        <row r="7242">
          <cell r="C7242">
            <v>0</v>
          </cell>
        </row>
        <row r="7243">
          <cell r="C7243">
            <v>0</v>
          </cell>
        </row>
        <row r="7244">
          <cell r="C7244">
            <v>0</v>
          </cell>
        </row>
        <row r="7245">
          <cell r="C7245">
            <v>0</v>
          </cell>
        </row>
        <row r="7246">
          <cell r="C7246">
            <v>0</v>
          </cell>
        </row>
        <row r="7247">
          <cell r="C7247">
            <v>0</v>
          </cell>
        </row>
        <row r="7248">
          <cell r="C7248">
            <v>0</v>
          </cell>
        </row>
        <row r="7249">
          <cell r="C7249">
            <v>0</v>
          </cell>
        </row>
        <row r="7250">
          <cell r="C7250">
            <v>0</v>
          </cell>
        </row>
        <row r="7251">
          <cell r="C7251">
            <v>0</v>
          </cell>
        </row>
        <row r="7252">
          <cell r="C7252">
            <v>0</v>
          </cell>
        </row>
        <row r="7253">
          <cell r="C7253">
            <v>0</v>
          </cell>
        </row>
        <row r="7254">
          <cell r="C7254">
            <v>0</v>
          </cell>
        </row>
        <row r="7255">
          <cell r="C7255">
            <v>0</v>
          </cell>
        </row>
        <row r="7256">
          <cell r="C7256">
            <v>0</v>
          </cell>
        </row>
        <row r="7257">
          <cell r="C7257">
            <v>0</v>
          </cell>
        </row>
        <row r="7258">
          <cell r="C7258">
            <v>0</v>
          </cell>
        </row>
        <row r="7259">
          <cell r="C7259">
            <v>0</v>
          </cell>
        </row>
        <row r="7260">
          <cell r="C7260">
            <v>0</v>
          </cell>
        </row>
        <row r="7261">
          <cell r="C7261">
            <v>0</v>
          </cell>
        </row>
        <row r="7262">
          <cell r="C7262">
            <v>0</v>
          </cell>
        </row>
        <row r="7263">
          <cell r="C7263">
            <v>0</v>
          </cell>
        </row>
        <row r="7264">
          <cell r="C7264">
            <v>0</v>
          </cell>
        </row>
        <row r="7265">
          <cell r="C7265">
            <v>0</v>
          </cell>
        </row>
        <row r="7266">
          <cell r="C7266">
            <v>0</v>
          </cell>
        </row>
        <row r="7267">
          <cell r="C7267">
            <v>0</v>
          </cell>
        </row>
        <row r="7268">
          <cell r="C7268">
            <v>0</v>
          </cell>
        </row>
        <row r="7269">
          <cell r="C7269">
            <v>0</v>
          </cell>
        </row>
        <row r="7270">
          <cell r="C7270">
            <v>0</v>
          </cell>
        </row>
        <row r="7271">
          <cell r="C7271">
            <v>0</v>
          </cell>
        </row>
        <row r="7272">
          <cell r="C7272">
            <v>0</v>
          </cell>
        </row>
        <row r="7273">
          <cell r="C7273">
            <v>0</v>
          </cell>
        </row>
        <row r="7274">
          <cell r="C7274">
            <v>0</v>
          </cell>
        </row>
        <row r="7275">
          <cell r="C7275">
            <v>0</v>
          </cell>
        </row>
        <row r="7276">
          <cell r="C7276">
            <v>0</v>
          </cell>
        </row>
        <row r="7277">
          <cell r="C7277">
            <v>0</v>
          </cell>
        </row>
        <row r="7278">
          <cell r="C7278">
            <v>0</v>
          </cell>
        </row>
        <row r="7279">
          <cell r="C7279">
            <v>0</v>
          </cell>
        </row>
        <row r="7280">
          <cell r="C7280">
            <v>0</v>
          </cell>
        </row>
        <row r="7281">
          <cell r="C7281">
            <v>0</v>
          </cell>
        </row>
        <row r="7282">
          <cell r="C7282">
            <v>0</v>
          </cell>
        </row>
        <row r="7283">
          <cell r="C7283">
            <v>0</v>
          </cell>
        </row>
        <row r="7284">
          <cell r="C7284">
            <v>0</v>
          </cell>
        </row>
        <row r="7285">
          <cell r="C7285">
            <v>0</v>
          </cell>
        </row>
        <row r="7286">
          <cell r="C7286">
            <v>0</v>
          </cell>
        </row>
        <row r="7287">
          <cell r="C7287">
            <v>0</v>
          </cell>
        </row>
        <row r="7288">
          <cell r="C7288">
            <v>0</v>
          </cell>
        </row>
        <row r="7289">
          <cell r="C7289">
            <v>0</v>
          </cell>
        </row>
        <row r="7290">
          <cell r="C7290">
            <v>0</v>
          </cell>
        </row>
        <row r="7291">
          <cell r="C7291">
            <v>0</v>
          </cell>
        </row>
        <row r="7292">
          <cell r="C7292">
            <v>0</v>
          </cell>
        </row>
        <row r="7293">
          <cell r="C7293">
            <v>0</v>
          </cell>
        </row>
        <row r="7294">
          <cell r="C7294">
            <v>0</v>
          </cell>
        </row>
        <row r="7295">
          <cell r="C7295">
            <v>0</v>
          </cell>
        </row>
        <row r="7296">
          <cell r="C7296">
            <v>0</v>
          </cell>
        </row>
        <row r="7297">
          <cell r="C7297">
            <v>0</v>
          </cell>
        </row>
        <row r="7298">
          <cell r="C7298">
            <v>0</v>
          </cell>
        </row>
        <row r="7299">
          <cell r="C7299">
            <v>0</v>
          </cell>
        </row>
        <row r="7300">
          <cell r="C7300">
            <v>0</v>
          </cell>
        </row>
        <row r="7301">
          <cell r="C7301">
            <v>0</v>
          </cell>
        </row>
        <row r="7302">
          <cell r="C7302">
            <v>0</v>
          </cell>
        </row>
        <row r="7303">
          <cell r="C7303">
            <v>0</v>
          </cell>
        </row>
        <row r="7304">
          <cell r="C7304">
            <v>0</v>
          </cell>
        </row>
        <row r="7305">
          <cell r="C7305">
            <v>0</v>
          </cell>
        </row>
        <row r="7306">
          <cell r="C7306">
            <v>0</v>
          </cell>
        </row>
        <row r="7307">
          <cell r="C7307">
            <v>0</v>
          </cell>
        </row>
        <row r="7308">
          <cell r="C7308">
            <v>0</v>
          </cell>
        </row>
        <row r="7309">
          <cell r="C7309">
            <v>0</v>
          </cell>
        </row>
        <row r="7310">
          <cell r="C7310">
            <v>0</v>
          </cell>
        </row>
        <row r="7311">
          <cell r="C7311">
            <v>0</v>
          </cell>
        </row>
        <row r="7312">
          <cell r="C7312">
            <v>0</v>
          </cell>
        </row>
        <row r="7313">
          <cell r="C7313">
            <v>0</v>
          </cell>
        </row>
        <row r="7314">
          <cell r="C7314">
            <v>0</v>
          </cell>
        </row>
        <row r="7315">
          <cell r="C7315">
            <v>0</v>
          </cell>
        </row>
        <row r="7316">
          <cell r="C7316">
            <v>0</v>
          </cell>
        </row>
        <row r="7317">
          <cell r="C7317">
            <v>0</v>
          </cell>
        </row>
        <row r="7318">
          <cell r="C7318">
            <v>0</v>
          </cell>
        </row>
        <row r="7319">
          <cell r="C7319">
            <v>0</v>
          </cell>
        </row>
        <row r="7320">
          <cell r="C7320">
            <v>0</v>
          </cell>
        </row>
        <row r="7321">
          <cell r="C7321">
            <v>0</v>
          </cell>
        </row>
        <row r="7322">
          <cell r="C7322">
            <v>0</v>
          </cell>
        </row>
        <row r="7323">
          <cell r="C7323">
            <v>0</v>
          </cell>
        </row>
        <row r="7324">
          <cell r="C7324">
            <v>0</v>
          </cell>
        </row>
        <row r="7325">
          <cell r="C7325">
            <v>0</v>
          </cell>
        </row>
        <row r="7326">
          <cell r="C7326">
            <v>0</v>
          </cell>
        </row>
        <row r="7327">
          <cell r="C7327">
            <v>0</v>
          </cell>
        </row>
        <row r="7328">
          <cell r="C7328">
            <v>0</v>
          </cell>
        </row>
        <row r="7329">
          <cell r="C7329">
            <v>0</v>
          </cell>
        </row>
        <row r="7330">
          <cell r="C7330">
            <v>0</v>
          </cell>
        </row>
        <row r="7331">
          <cell r="C7331">
            <v>0</v>
          </cell>
        </row>
        <row r="7332">
          <cell r="C7332">
            <v>0</v>
          </cell>
        </row>
        <row r="7333">
          <cell r="C7333">
            <v>0</v>
          </cell>
        </row>
        <row r="7334">
          <cell r="C7334">
            <v>0</v>
          </cell>
        </row>
        <row r="7335">
          <cell r="C7335">
            <v>0</v>
          </cell>
        </row>
        <row r="7336">
          <cell r="C7336">
            <v>0</v>
          </cell>
        </row>
        <row r="7337">
          <cell r="C7337">
            <v>0</v>
          </cell>
        </row>
        <row r="7338">
          <cell r="C7338">
            <v>0</v>
          </cell>
        </row>
        <row r="7339">
          <cell r="C7339">
            <v>0</v>
          </cell>
        </row>
        <row r="7340">
          <cell r="C7340">
            <v>0</v>
          </cell>
        </row>
        <row r="7341">
          <cell r="C7341">
            <v>0</v>
          </cell>
        </row>
        <row r="7342">
          <cell r="C7342">
            <v>0</v>
          </cell>
        </row>
        <row r="7343">
          <cell r="C7343">
            <v>0</v>
          </cell>
        </row>
        <row r="7344">
          <cell r="C7344">
            <v>0</v>
          </cell>
        </row>
        <row r="7345">
          <cell r="C7345">
            <v>0</v>
          </cell>
        </row>
        <row r="7346">
          <cell r="C7346">
            <v>0</v>
          </cell>
        </row>
        <row r="7347">
          <cell r="C7347">
            <v>0</v>
          </cell>
        </row>
        <row r="7348">
          <cell r="C7348">
            <v>0</v>
          </cell>
        </row>
        <row r="7349">
          <cell r="C7349">
            <v>0</v>
          </cell>
        </row>
        <row r="7350">
          <cell r="C7350">
            <v>0</v>
          </cell>
        </row>
        <row r="7351">
          <cell r="C7351">
            <v>0</v>
          </cell>
        </row>
        <row r="7352">
          <cell r="C7352">
            <v>0</v>
          </cell>
        </row>
        <row r="7353">
          <cell r="C7353">
            <v>0</v>
          </cell>
        </row>
        <row r="7354">
          <cell r="C7354">
            <v>0</v>
          </cell>
        </row>
        <row r="7355">
          <cell r="C7355">
            <v>0</v>
          </cell>
        </row>
        <row r="7356">
          <cell r="C7356">
            <v>0</v>
          </cell>
        </row>
        <row r="7357">
          <cell r="C7357">
            <v>0</v>
          </cell>
        </row>
        <row r="7358">
          <cell r="C7358">
            <v>0</v>
          </cell>
        </row>
        <row r="7359">
          <cell r="C7359">
            <v>0</v>
          </cell>
        </row>
        <row r="7360">
          <cell r="C7360">
            <v>0</v>
          </cell>
        </row>
        <row r="7361">
          <cell r="C7361">
            <v>0</v>
          </cell>
        </row>
        <row r="7362">
          <cell r="C7362">
            <v>0</v>
          </cell>
        </row>
        <row r="7363">
          <cell r="C7363">
            <v>0</v>
          </cell>
        </row>
        <row r="7364">
          <cell r="C7364">
            <v>0</v>
          </cell>
        </row>
        <row r="7365">
          <cell r="C7365">
            <v>0</v>
          </cell>
        </row>
        <row r="7366">
          <cell r="C7366">
            <v>0</v>
          </cell>
        </row>
        <row r="7367">
          <cell r="C7367">
            <v>0</v>
          </cell>
        </row>
        <row r="7368">
          <cell r="C7368">
            <v>0</v>
          </cell>
        </row>
        <row r="7369">
          <cell r="C7369">
            <v>0</v>
          </cell>
        </row>
        <row r="7370">
          <cell r="C7370">
            <v>0</v>
          </cell>
        </row>
        <row r="7371">
          <cell r="C7371">
            <v>0</v>
          </cell>
        </row>
        <row r="7372">
          <cell r="C7372">
            <v>0</v>
          </cell>
        </row>
        <row r="7373">
          <cell r="C7373">
            <v>0</v>
          </cell>
        </row>
        <row r="7374">
          <cell r="C7374">
            <v>0</v>
          </cell>
        </row>
        <row r="7375">
          <cell r="C7375">
            <v>0</v>
          </cell>
        </row>
        <row r="7376">
          <cell r="C7376">
            <v>0</v>
          </cell>
        </row>
        <row r="7377">
          <cell r="C7377">
            <v>0</v>
          </cell>
        </row>
        <row r="7378">
          <cell r="C7378">
            <v>0</v>
          </cell>
        </row>
        <row r="7379">
          <cell r="C7379">
            <v>0</v>
          </cell>
        </row>
        <row r="7380">
          <cell r="C7380">
            <v>0</v>
          </cell>
        </row>
        <row r="7381">
          <cell r="C7381">
            <v>0</v>
          </cell>
        </row>
        <row r="7382">
          <cell r="C7382">
            <v>0</v>
          </cell>
        </row>
        <row r="7383">
          <cell r="C7383">
            <v>0</v>
          </cell>
        </row>
        <row r="7384">
          <cell r="C7384">
            <v>0</v>
          </cell>
        </row>
        <row r="7385">
          <cell r="C7385">
            <v>0</v>
          </cell>
        </row>
        <row r="7386">
          <cell r="C7386">
            <v>0</v>
          </cell>
        </row>
        <row r="7387">
          <cell r="C7387">
            <v>0</v>
          </cell>
        </row>
        <row r="7388">
          <cell r="C7388">
            <v>0</v>
          </cell>
        </row>
        <row r="7389">
          <cell r="C7389">
            <v>0</v>
          </cell>
        </row>
        <row r="7390">
          <cell r="C7390">
            <v>0</v>
          </cell>
        </row>
        <row r="7391">
          <cell r="C7391">
            <v>0</v>
          </cell>
        </row>
        <row r="7392">
          <cell r="C7392">
            <v>0</v>
          </cell>
        </row>
        <row r="7393">
          <cell r="C7393">
            <v>0</v>
          </cell>
        </row>
        <row r="7394">
          <cell r="C7394">
            <v>0</v>
          </cell>
        </row>
        <row r="7395">
          <cell r="C7395">
            <v>0</v>
          </cell>
        </row>
        <row r="7396">
          <cell r="C7396">
            <v>0</v>
          </cell>
        </row>
        <row r="7397">
          <cell r="C7397">
            <v>0</v>
          </cell>
        </row>
        <row r="7398">
          <cell r="C7398">
            <v>0</v>
          </cell>
        </row>
        <row r="7399">
          <cell r="C7399">
            <v>0</v>
          </cell>
        </row>
        <row r="7400">
          <cell r="C7400">
            <v>0</v>
          </cell>
        </row>
        <row r="7401">
          <cell r="C7401">
            <v>0</v>
          </cell>
        </row>
        <row r="7402">
          <cell r="C7402">
            <v>0</v>
          </cell>
        </row>
        <row r="7403">
          <cell r="C7403">
            <v>0</v>
          </cell>
        </row>
        <row r="7404">
          <cell r="C7404">
            <v>0</v>
          </cell>
        </row>
        <row r="7405">
          <cell r="C7405">
            <v>0</v>
          </cell>
        </row>
        <row r="7406">
          <cell r="C7406">
            <v>0</v>
          </cell>
        </row>
        <row r="7407">
          <cell r="C7407">
            <v>0</v>
          </cell>
        </row>
        <row r="7408">
          <cell r="C7408">
            <v>0</v>
          </cell>
        </row>
        <row r="7409">
          <cell r="C7409">
            <v>0</v>
          </cell>
        </row>
        <row r="7410">
          <cell r="C7410">
            <v>0</v>
          </cell>
        </row>
        <row r="7411">
          <cell r="C7411">
            <v>0</v>
          </cell>
        </row>
        <row r="7412">
          <cell r="C7412">
            <v>0</v>
          </cell>
        </row>
        <row r="7413">
          <cell r="C7413">
            <v>0</v>
          </cell>
        </row>
        <row r="7414">
          <cell r="C7414">
            <v>0</v>
          </cell>
        </row>
        <row r="7415">
          <cell r="C7415">
            <v>0</v>
          </cell>
        </row>
        <row r="7416">
          <cell r="C7416">
            <v>0</v>
          </cell>
        </row>
        <row r="7417">
          <cell r="C7417">
            <v>0</v>
          </cell>
        </row>
        <row r="7418">
          <cell r="C7418">
            <v>0</v>
          </cell>
        </row>
        <row r="7419">
          <cell r="C7419">
            <v>0</v>
          </cell>
        </row>
        <row r="7420">
          <cell r="C7420">
            <v>0</v>
          </cell>
        </row>
        <row r="7421">
          <cell r="C7421">
            <v>0</v>
          </cell>
        </row>
        <row r="7422">
          <cell r="C7422">
            <v>0</v>
          </cell>
        </row>
        <row r="7423">
          <cell r="C7423">
            <v>0</v>
          </cell>
        </row>
        <row r="7424">
          <cell r="C7424">
            <v>0</v>
          </cell>
        </row>
        <row r="7425">
          <cell r="C7425">
            <v>0</v>
          </cell>
        </row>
        <row r="7426">
          <cell r="C7426">
            <v>0</v>
          </cell>
        </row>
        <row r="7427">
          <cell r="C7427">
            <v>0</v>
          </cell>
        </row>
        <row r="7428">
          <cell r="C7428">
            <v>0</v>
          </cell>
        </row>
        <row r="7429">
          <cell r="C7429">
            <v>0</v>
          </cell>
        </row>
        <row r="7430">
          <cell r="C7430">
            <v>0</v>
          </cell>
        </row>
        <row r="7431">
          <cell r="C7431">
            <v>0</v>
          </cell>
        </row>
        <row r="7432">
          <cell r="C7432">
            <v>0</v>
          </cell>
        </row>
        <row r="7433">
          <cell r="C7433">
            <v>0</v>
          </cell>
        </row>
        <row r="7434">
          <cell r="C7434">
            <v>0</v>
          </cell>
        </row>
        <row r="7435">
          <cell r="C7435">
            <v>0</v>
          </cell>
        </row>
        <row r="7436">
          <cell r="C7436">
            <v>0</v>
          </cell>
        </row>
        <row r="7437">
          <cell r="C7437">
            <v>0</v>
          </cell>
        </row>
        <row r="7438">
          <cell r="C7438">
            <v>0</v>
          </cell>
        </row>
        <row r="7439">
          <cell r="C7439">
            <v>0</v>
          </cell>
        </row>
        <row r="7440">
          <cell r="C7440">
            <v>0</v>
          </cell>
        </row>
        <row r="7441">
          <cell r="C7441">
            <v>0</v>
          </cell>
        </row>
        <row r="7442">
          <cell r="C7442">
            <v>0</v>
          </cell>
        </row>
        <row r="7443">
          <cell r="C7443">
            <v>0</v>
          </cell>
        </row>
        <row r="7444">
          <cell r="C7444">
            <v>0</v>
          </cell>
        </row>
        <row r="7445">
          <cell r="C7445">
            <v>0</v>
          </cell>
        </row>
        <row r="7446">
          <cell r="C7446">
            <v>0</v>
          </cell>
        </row>
        <row r="7447">
          <cell r="C7447">
            <v>0</v>
          </cell>
        </row>
        <row r="7448">
          <cell r="C7448">
            <v>0</v>
          </cell>
        </row>
        <row r="7449">
          <cell r="C7449">
            <v>0</v>
          </cell>
        </row>
        <row r="7450">
          <cell r="C7450">
            <v>0</v>
          </cell>
        </row>
        <row r="7451">
          <cell r="C7451">
            <v>0</v>
          </cell>
        </row>
        <row r="7452">
          <cell r="C7452">
            <v>0</v>
          </cell>
        </row>
        <row r="7453">
          <cell r="C7453">
            <v>0</v>
          </cell>
        </row>
        <row r="7454">
          <cell r="C7454">
            <v>0</v>
          </cell>
        </row>
        <row r="7455">
          <cell r="C7455">
            <v>0</v>
          </cell>
        </row>
        <row r="7456">
          <cell r="C7456">
            <v>0</v>
          </cell>
        </row>
        <row r="7457">
          <cell r="C7457">
            <v>0</v>
          </cell>
        </row>
        <row r="7458">
          <cell r="C7458">
            <v>0</v>
          </cell>
        </row>
        <row r="7459">
          <cell r="C7459">
            <v>0</v>
          </cell>
        </row>
        <row r="7460">
          <cell r="C7460">
            <v>0</v>
          </cell>
        </row>
        <row r="7461">
          <cell r="C7461">
            <v>0</v>
          </cell>
        </row>
        <row r="7462">
          <cell r="C7462">
            <v>0</v>
          </cell>
        </row>
        <row r="7463">
          <cell r="C7463">
            <v>0</v>
          </cell>
        </row>
        <row r="7464">
          <cell r="C7464">
            <v>0</v>
          </cell>
        </row>
        <row r="7465">
          <cell r="C7465">
            <v>0</v>
          </cell>
        </row>
        <row r="7466">
          <cell r="C7466">
            <v>0</v>
          </cell>
        </row>
        <row r="7467">
          <cell r="C7467">
            <v>0</v>
          </cell>
        </row>
        <row r="7468">
          <cell r="C7468">
            <v>0</v>
          </cell>
        </row>
        <row r="7469">
          <cell r="C7469">
            <v>0</v>
          </cell>
        </row>
        <row r="7470">
          <cell r="C7470">
            <v>0</v>
          </cell>
        </row>
        <row r="7471">
          <cell r="C7471">
            <v>0</v>
          </cell>
        </row>
        <row r="7472">
          <cell r="C7472">
            <v>0</v>
          </cell>
        </row>
        <row r="7473">
          <cell r="C7473">
            <v>0</v>
          </cell>
        </row>
        <row r="7474">
          <cell r="C7474">
            <v>0</v>
          </cell>
        </row>
        <row r="7475">
          <cell r="C7475">
            <v>0</v>
          </cell>
        </row>
        <row r="7476">
          <cell r="C7476">
            <v>0</v>
          </cell>
        </row>
        <row r="7477">
          <cell r="C7477">
            <v>0</v>
          </cell>
        </row>
        <row r="7478">
          <cell r="C7478">
            <v>0</v>
          </cell>
        </row>
        <row r="7479">
          <cell r="C7479">
            <v>0</v>
          </cell>
        </row>
        <row r="7480">
          <cell r="C7480">
            <v>0</v>
          </cell>
        </row>
        <row r="7481">
          <cell r="C7481">
            <v>0</v>
          </cell>
        </row>
        <row r="7482">
          <cell r="C7482">
            <v>0</v>
          </cell>
        </row>
        <row r="7483">
          <cell r="C7483">
            <v>0</v>
          </cell>
        </row>
        <row r="7484">
          <cell r="C7484">
            <v>0</v>
          </cell>
        </row>
        <row r="7485">
          <cell r="C7485">
            <v>0</v>
          </cell>
        </row>
        <row r="7486">
          <cell r="C7486">
            <v>0</v>
          </cell>
        </row>
        <row r="7487">
          <cell r="C7487">
            <v>0</v>
          </cell>
        </row>
        <row r="7488">
          <cell r="C7488">
            <v>0</v>
          </cell>
        </row>
        <row r="7489">
          <cell r="C7489">
            <v>0</v>
          </cell>
        </row>
        <row r="7490">
          <cell r="C7490">
            <v>0</v>
          </cell>
        </row>
        <row r="7491">
          <cell r="C7491">
            <v>0</v>
          </cell>
        </row>
        <row r="7492">
          <cell r="C7492">
            <v>0</v>
          </cell>
        </row>
        <row r="7493">
          <cell r="C7493">
            <v>0</v>
          </cell>
        </row>
        <row r="7494">
          <cell r="C7494">
            <v>0</v>
          </cell>
        </row>
        <row r="7495">
          <cell r="C7495">
            <v>0</v>
          </cell>
        </row>
        <row r="7496">
          <cell r="C7496">
            <v>0</v>
          </cell>
        </row>
        <row r="7497">
          <cell r="C7497">
            <v>0</v>
          </cell>
        </row>
        <row r="7498">
          <cell r="C7498">
            <v>0</v>
          </cell>
        </row>
        <row r="7499">
          <cell r="C7499">
            <v>0</v>
          </cell>
        </row>
        <row r="7500">
          <cell r="C7500">
            <v>0</v>
          </cell>
        </row>
        <row r="7501">
          <cell r="C7501">
            <v>0</v>
          </cell>
        </row>
        <row r="7502">
          <cell r="C7502">
            <v>0</v>
          </cell>
        </row>
        <row r="7503">
          <cell r="C7503">
            <v>0</v>
          </cell>
        </row>
        <row r="7504">
          <cell r="C7504">
            <v>0</v>
          </cell>
        </row>
        <row r="7505">
          <cell r="C7505">
            <v>0</v>
          </cell>
        </row>
        <row r="7506">
          <cell r="C7506">
            <v>0</v>
          </cell>
        </row>
        <row r="7507">
          <cell r="C7507">
            <v>0</v>
          </cell>
        </row>
        <row r="7508">
          <cell r="C7508">
            <v>0</v>
          </cell>
        </row>
        <row r="7509">
          <cell r="C7509">
            <v>0</v>
          </cell>
        </row>
        <row r="7510">
          <cell r="C7510">
            <v>0</v>
          </cell>
        </row>
        <row r="7511">
          <cell r="C7511">
            <v>0</v>
          </cell>
        </row>
        <row r="7512">
          <cell r="C7512">
            <v>0</v>
          </cell>
        </row>
        <row r="7513">
          <cell r="C7513">
            <v>0</v>
          </cell>
        </row>
        <row r="7514">
          <cell r="C7514">
            <v>0</v>
          </cell>
        </row>
        <row r="7515">
          <cell r="C7515">
            <v>0</v>
          </cell>
        </row>
        <row r="7516">
          <cell r="C7516">
            <v>0</v>
          </cell>
        </row>
        <row r="7517">
          <cell r="C7517">
            <v>0</v>
          </cell>
        </row>
        <row r="7518">
          <cell r="C7518">
            <v>0</v>
          </cell>
        </row>
        <row r="7519">
          <cell r="C7519">
            <v>0</v>
          </cell>
        </row>
        <row r="7520">
          <cell r="C7520">
            <v>0</v>
          </cell>
        </row>
        <row r="7521">
          <cell r="C7521">
            <v>0</v>
          </cell>
        </row>
        <row r="7522">
          <cell r="C7522">
            <v>0</v>
          </cell>
        </row>
        <row r="7523">
          <cell r="C7523">
            <v>0</v>
          </cell>
        </row>
        <row r="7524">
          <cell r="C7524">
            <v>0</v>
          </cell>
        </row>
        <row r="7525">
          <cell r="C7525">
            <v>0</v>
          </cell>
        </row>
        <row r="7526">
          <cell r="C7526">
            <v>0</v>
          </cell>
        </row>
        <row r="7527">
          <cell r="C7527">
            <v>0</v>
          </cell>
        </row>
        <row r="7528">
          <cell r="C7528">
            <v>0</v>
          </cell>
        </row>
        <row r="7529">
          <cell r="C7529">
            <v>0</v>
          </cell>
        </row>
        <row r="7530">
          <cell r="C7530">
            <v>0</v>
          </cell>
        </row>
        <row r="7531">
          <cell r="C7531">
            <v>0</v>
          </cell>
        </row>
        <row r="7532">
          <cell r="C7532">
            <v>0</v>
          </cell>
        </row>
        <row r="7533">
          <cell r="C7533">
            <v>0</v>
          </cell>
        </row>
        <row r="7534">
          <cell r="C7534">
            <v>0</v>
          </cell>
        </row>
        <row r="7535">
          <cell r="C7535">
            <v>0</v>
          </cell>
        </row>
        <row r="7536">
          <cell r="C7536">
            <v>0</v>
          </cell>
        </row>
        <row r="7537">
          <cell r="C7537">
            <v>0</v>
          </cell>
        </row>
        <row r="7538">
          <cell r="C7538">
            <v>0</v>
          </cell>
        </row>
        <row r="7539">
          <cell r="C7539">
            <v>0</v>
          </cell>
        </row>
        <row r="7540">
          <cell r="C7540">
            <v>0</v>
          </cell>
        </row>
        <row r="7541">
          <cell r="C7541">
            <v>0</v>
          </cell>
        </row>
        <row r="7542">
          <cell r="C7542">
            <v>0</v>
          </cell>
        </row>
        <row r="7543">
          <cell r="C7543">
            <v>0</v>
          </cell>
        </row>
        <row r="7544">
          <cell r="C7544">
            <v>0</v>
          </cell>
        </row>
        <row r="7545">
          <cell r="C7545">
            <v>0</v>
          </cell>
        </row>
        <row r="7546">
          <cell r="C7546">
            <v>0</v>
          </cell>
        </row>
        <row r="7547">
          <cell r="C7547">
            <v>0</v>
          </cell>
        </row>
        <row r="7548">
          <cell r="C7548">
            <v>0</v>
          </cell>
        </row>
        <row r="7549">
          <cell r="C7549">
            <v>0</v>
          </cell>
        </row>
        <row r="7550">
          <cell r="C7550">
            <v>0</v>
          </cell>
        </row>
        <row r="7551">
          <cell r="C7551">
            <v>0</v>
          </cell>
        </row>
        <row r="7552">
          <cell r="C7552">
            <v>0</v>
          </cell>
        </row>
        <row r="7553">
          <cell r="C7553">
            <v>0</v>
          </cell>
        </row>
        <row r="7554">
          <cell r="C7554">
            <v>0</v>
          </cell>
        </row>
        <row r="7555">
          <cell r="C7555">
            <v>0</v>
          </cell>
        </row>
        <row r="7556">
          <cell r="C7556">
            <v>0</v>
          </cell>
        </row>
        <row r="7557">
          <cell r="C7557">
            <v>0</v>
          </cell>
        </row>
        <row r="7558">
          <cell r="C7558">
            <v>0</v>
          </cell>
        </row>
        <row r="7559">
          <cell r="C7559">
            <v>0</v>
          </cell>
        </row>
        <row r="7560">
          <cell r="C7560">
            <v>0</v>
          </cell>
        </row>
        <row r="7561">
          <cell r="C7561">
            <v>0</v>
          </cell>
        </row>
        <row r="7562">
          <cell r="C7562">
            <v>0</v>
          </cell>
        </row>
        <row r="7563">
          <cell r="C7563">
            <v>0</v>
          </cell>
        </row>
        <row r="7564">
          <cell r="C7564">
            <v>0</v>
          </cell>
        </row>
        <row r="7565">
          <cell r="C7565">
            <v>0</v>
          </cell>
        </row>
        <row r="7566">
          <cell r="C7566">
            <v>0</v>
          </cell>
        </row>
        <row r="7567">
          <cell r="C7567">
            <v>0</v>
          </cell>
        </row>
        <row r="7568">
          <cell r="C7568">
            <v>0</v>
          </cell>
        </row>
        <row r="7569">
          <cell r="C7569">
            <v>0</v>
          </cell>
        </row>
        <row r="7570">
          <cell r="C7570">
            <v>0</v>
          </cell>
        </row>
        <row r="7571">
          <cell r="C7571">
            <v>0</v>
          </cell>
        </row>
        <row r="7572">
          <cell r="C7572">
            <v>0</v>
          </cell>
        </row>
        <row r="7573">
          <cell r="C7573">
            <v>0</v>
          </cell>
        </row>
        <row r="7574">
          <cell r="C7574">
            <v>0</v>
          </cell>
        </row>
        <row r="7575">
          <cell r="C7575">
            <v>0</v>
          </cell>
        </row>
        <row r="7576">
          <cell r="C7576">
            <v>0</v>
          </cell>
        </row>
        <row r="7577">
          <cell r="C7577">
            <v>0</v>
          </cell>
        </row>
        <row r="7578">
          <cell r="C7578">
            <v>0</v>
          </cell>
        </row>
        <row r="7579">
          <cell r="C7579">
            <v>0</v>
          </cell>
        </row>
        <row r="7580">
          <cell r="C7580">
            <v>0</v>
          </cell>
        </row>
        <row r="7581">
          <cell r="C7581">
            <v>0</v>
          </cell>
        </row>
        <row r="7582">
          <cell r="C7582">
            <v>0</v>
          </cell>
        </row>
        <row r="7583">
          <cell r="C7583">
            <v>0</v>
          </cell>
        </row>
        <row r="7584">
          <cell r="C7584">
            <v>0</v>
          </cell>
        </row>
        <row r="7585">
          <cell r="C7585">
            <v>0</v>
          </cell>
        </row>
        <row r="7586">
          <cell r="C7586">
            <v>0</v>
          </cell>
        </row>
        <row r="7587">
          <cell r="C7587">
            <v>0</v>
          </cell>
        </row>
        <row r="7588">
          <cell r="C7588">
            <v>0</v>
          </cell>
        </row>
        <row r="7589">
          <cell r="C7589">
            <v>0</v>
          </cell>
        </row>
        <row r="7590">
          <cell r="C7590">
            <v>0</v>
          </cell>
        </row>
        <row r="7591">
          <cell r="C7591">
            <v>0</v>
          </cell>
        </row>
        <row r="7592">
          <cell r="C7592">
            <v>0</v>
          </cell>
        </row>
        <row r="7593">
          <cell r="C7593">
            <v>0</v>
          </cell>
        </row>
        <row r="7594">
          <cell r="C7594">
            <v>0</v>
          </cell>
        </row>
        <row r="7595">
          <cell r="C7595">
            <v>0</v>
          </cell>
        </row>
        <row r="7596">
          <cell r="C7596">
            <v>0</v>
          </cell>
        </row>
        <row r="7597">
          <cell r="C7597">
            <v>0</v>
          </cell>
        </row>
        <row r="7598">
          <cell r="C7598">
            <v>0</v>
          </cell>
        </row>
        <row r="7599">
          <cell r="C7599">
            <v>0</v>
          </cell>
        </row>
        <row r="7600">
          <cell r="C7600">
            <v>0</v>
          </cell>
        </row>
        <row r="7601">
          <cell r="C7601">
            <v>0</v>
          </cell>
        </row>
        <row r="7602">
          <cell r="C7602">
            <v>0</v>
          </cell>
        </row>
        <row r="7603">
          <cell r="C7603">
            <v>0</v>
          </cell>
        </row>
        <row r="7604">
          <cell r="C7604">
            <v>0</v>
          </cell>
        </row>
        <row r="7605">
          <cell r="C7605">
            <v>0</v>
          </cell>
        </row>
        <row r="7606">
          <cell r="C7606">
            <v>0</v>
          </cell>
        </row>
        <row r="7607">
          <cell r="C7607">
            <v>0</v>
          </cell>
        </row>
        <row r="7608">
          <cell r="C7608">
            <v>0</v>
          </cell>
        </row>
        <row r="7609">
          <cell r="C7609">
            <v>0</v>
          </cell>
        </row>
        <row r="7610">
          <cell r="C7610">
            <v>0</v>
          </cell>
        </row>
        <row r="7611">
          <cell r="C7611">
            <v>0</v>
          </cell>
        </row>
        <row r="7612">
          <cell r="C7612">
            <v>0</v>
          </cell>
        </row>
        <row r="7613">
          <cell r="C7613">
            <v>0</v>
          </cell>
        </row>
        <row r="7614">
          <cell r="C7614">
            <v>0</v>
          </cell>
        </row>
        <row r="7615">
          <cell r="C7615">
            <v>0</v>
          </cell>
        </row>
        <row r="7616">
          <cell r="C7616">
            <v>0</v>
          </cell>
        </row>
        <row r="7617">
          <cell r="C7617">
            <v>0</v>
          </cell>
        </row>
        <row r="7618">
          <cell r="C7618">
            <v>0</v>
          </cell>
        </row>
        <row r="7619">
          <cell r="C7619">
            <v>0</v>
          </cell>
        </row>
        <row r="7620">
          <cell r="C7620">
            <v>0</v>
          </cell>
        </row>
        <row r="7621">
          <cell r="C7621">
            <v>0</v>
          </cell>
        </row>
        <row r="7622">
          <cell r="C7622">
            <v>0</v>
          </cell>
        </row>
        <row r="7623">
          <cell r="C7623">
            <v>0</v>
          </cell>
        </row>
        <row r="7624">
          <cell r="C7624">
            <v>0</v>
          </cell>
        </row>
        <row r="7625">
          <cell r="C7625">
            <v>0</v>
          </cell>
        </row>
        <row r="7626">
          <cell r="C7626">
            <v>0</v>
          </cell>
        </row>
        <row r="7627">
          <cell r="C7627">
            <v>0</v>
          </cell>
        </row>
        <row r="7628">
          <cell r="C7628">
            <v>0</v>
          </cell>
        </row>
        <row r="7629">
          <cell r="C7629">
            <v>0</v>
          </cell>
        </row>
        <row r="7630">
          <cell r="C7630">
            <v>0</v>
          </cell>
        </row>
        <row r="7631">
          <cell r="C7631">
            <v>0</v>
          </cell>
        </row>
        <row r="7632">
          <cell r="C7632">
            <v>0</v>
          </cell>
        </row>
        <row r="7633">
          <cell r="C7633">
            <v>0</v>
          </cell>
        </row>
        <row r="7634">
          <cell r="C7634">
            <v>0</v>
          </cell>
        </row>
        <row r="7635">
          <cell r="C7635">
            <v>0</v>
          </cell>
        </row>
        <row r="7636">
          <cell r="C7636">
            <v>0</v>
          </cell>
        </row>
        <row r="7637">
          <cell r="C7637">
            <v>0</v>
          </cell>
        </row>
        <row r="7638">
          <cell r="C7638">
            <v>0</v>
          </cell>
        </row>
        <row r="7639">
          <cell r="C7639">
            <v>0</v>
          </cell>
        </row>
        <row r="7640">
          <cell r="C7640">
            <v>0</v>
          </cell>
        </row>
        <row r="7641">
          <cell r="C7641">
            <v>0</v>
          </cell>
        </row>
        <row r="7642">
          <cell r="C7642">
            <v>0</v>
          </cell>
        </row>
        <row r="7643">
          <cell r="C7643">
            <v>0</v>
          </cell>
        </row>
        <row r="7644">
          <cell r="C7644">
            <v>0</v>
          </cell>
        </row>
        <row r="7645">
          <cell r="C7645">
            <v>0</v>
          </cell>
        </row>
        <row r="7646">
          <cell r="C7646">
            <v>0</v>
          </cell>
        </row>
        <row r="7647">
          <cell r="C7647">
            <v>0</v>
          </cell>
        </row>
        <row r="7648">
          <cell r="C7648">
            <v>0</v>
          </cell>
        </row>
        <row r="7649">
          <cell r="C7649">
            <v>0</v>
          </cell>
        </row>
        <row r="7650">
          <cell r="C7650">
            <v>0</v>
          </cell>
        </row>
        <row r="7651">
          <cell r="C7651">
            <v>0</v>
          </cell>
        </row>
        <row r="7652">
          <cell r="C7652">
            <v>0</v>
          </cell>
        </row>
        <row r="7653">
          <cell r="C7653">
            <v>0</v>
          </cell>
        </row>
        <row r="7654">
          <cell r="C7654">
            <v>0</v>
          </cell>
        </row>
        <row r="7655">
          <cell r="C7655">
            <v>0</v>
          </cell>
        </row>
        <row r="7656">
          <cell r="C7656">
            <v>0</v>
          </cell>
        </row>
        <row r="7657">
          <cell r="C7657">
            <v>0</v>
          </cell>
        </row>
        <row r="7658">
          <cell r="C7658">
            <v>0</v>
          </cell>
        </row>
        <row r="7659">
          <cell r="C7659">
            <v>0</v>
          </cell>
        </row>
        <row r="7660">
          <cell r="C7660">
            <v>0</v>
          </cell>
        </row>
        <row r="7661">
          <cell r="C7661">
            <v>0</v>
          </cell>
        </row>
        <row r="7662">
          <cell r="C7662">
            <v>0</v>
          </cell>
        </row>
        <row r="7663">
          <cell r="C7663">
            <v>0</v>
          </cell>
        </row>
        <row r="7664">
          <cell r="C7664">
            <v>0</v>
          </cell>
        </row>
        <row r="7665">
          <cell r="C7665">
            <v>0</v>
          </cell>
        </row>
        <row r="7666">
          <cell r="C7666">
            <v>0</v>
          </cell>
        </row>
        <row r="7667">
          <cell r="C7667">
            <v>0</v>
          </cell>
        </row>
        <row r="7668">
          <cell r="C7668">
            <v>0</v>
          </cell>
        </row>
        <row r="7669">
          <cell r="C7669">
            <v>0</v>
          </cell>
        </row>
        <row r="7670">
          <cell r="C7670">
            <v>0</v>
          </cell>
        </row>
        <row r="7671">
          <cell r="C7671">
            <v>0</v>
          </cell>
        </row>
        <row r="7672">
          <cell r="C7672">
            <v>0</v>
          </cell>
        </row>
        <row r="7673">
          <cell r="C7673">
            <v>0</v>
          </cell>
        </row>
        <row r="7674">
          <cell r="C7674">
            <v>0</v>
          </cell>
        </row>
        <row r="7675">
          <cell r="C7675">
            <v>0</v>
          </cell>
        </row>
        <row r="7676">
          <cell r="C7676">
            <v>0</v>
          </cell>
        </row>
        <row r="7677">
          <cell r="C7677">
            <v>0</v>
          </cell>
        </row>
        <row r="7678">
          <cell r="C7678">
            <v>0</v>
          </cell>
        </row>
        <row r="7679">
          <cell r="C7679">
            <v>0</v>
          </cell>
        </row>
        <row r="7680">
          <cell r="C7680">
            <v>0</v>
          </cell>
        </row>
        <row r="7681">
          <cell r="C7681">
            <v>0</v>
          </cell>
        </row>
        <row r="7682">
          <cell r="C7682">
            <v>0</v>
          </cell>
        </row>
        <row r="7683">
          <cell r="C7683">
            <v>0</v>
          </cell>
        </row>
        <row r="7684">
          <cell r="C7684">
            <v>0</v>
          </cell>
        </row>
        <row r="7685">
          <cell r="C7685">
            <v>0</v>
          </cell>
        </row>
        <row r="7686">
          <cell r="C7686">
            <v>0</v>
          </cell>
        </row>
        <row r="7687">
          <cell r="C7687">
            <v>0</v>
          </cell>
        </row>
        <row r="7688">
          <cell r="C7688">
            <v>0</v>
          </cell>
        </row>
        <row r="7689">
          <cell r="C7689">
            <v>0</v>
          </cell>
        </row>
        <row r="7690">
          <cell r="C7690">
            <v>0</v>
          </cell>
        </row>
        <row r="7691">
          <cell r="C7691">
            <v>0</v>
          </cell>
        </row>
        <row r="7692">
          <cell r="C7692">
            <v>0</v>
          </cell>
        </row>
        <row r="7693">
          <cell r="C7693">
            <v>0</v>
          </cell>
        </row>
        <row r="7694">
          <cell r="C7694">
            <v>0</v>
          </cell>
        </row>
        <row r="7695">
          <cell r="C7695">
            <v>0</v>
          </cell>
        </row>
        <row r="7696">
          <cell r="C7696">
            <v>0</v>
          </cell>
        </row>
        <row r="7697">
          <cell r="C7697">
            <v>0</v>
          </cell>
        </row>
        <row r="7698">
          <cell r="C7698">
            <v>0</v>
          </cell>
        </row>
        <row r="7699">
          <cell r="C7699">
            <v>0</v>
          </cell>
        </row>
        <row r="7700">
          <cell r="C7700">
            <v>0</v>
          </cell>
        </row>
        <row r="7701">
          <cell r="C7701">
            <v>0</v>
          </cell>
        </row>
        <row r="7702">
          <cell r="C7702">
            <v>0</v>
          </cell>
        </row>
        <row r="7703">
          <cell r="C7703">
            <v>0</v>
          </cell>
        </row>
        <row r="7704">
          <cell r="C7704">
            <v>0</v>
          </cell>
        </row>
        <row r="7705">
          <cell r="C7705">
            <v>0</v>
          </cell>
        </row>
        <row r="7706">
          <cell r="C7706">
            <v>0</v>
          </cell>
        </row>
        <row r="7707">
          <cell r="C7707">
            <v>0</v>
          </cell>
        </row>
        <row r="7708">
          <cell r="C7708">
            <v>0</v>
          </cell>
        </row>
        <row r="7709">
          <cell r="C7709">
            <v>0</v>
          </cell>
        </row>
        <row r="7710">
          <cell r="C7710">
            <v>0</v>
          </cell>
        </row>
        <row r="7711">
          <cell r="C7711">
            <v>0</v>
          </cell>
        </row>
        <row r="7712">
          <cell r="C7712">
            <v>0</v>
          </cell>
        </row>
        <row r="7713">
          <cell r="C7713">
            <v>0</v>
          </cell>
        </row>
        <row r="7714">
          <cell r="C7714">
            <v>0</v>
          </cell>
        </row>
        <row r="7715">
          <cell r="C7715">
            <v>0</v>
          </cell>
        </row>
        <row r="7716">
          <cell r="C7716">
            <v>0</v>
          </cell>
        </row>
        <row r="7717">
          <cell r="C7717">
            <v>0</v>
          </cell>
        </row>
        <row r="7718">
          <cell r="C7718">
            <v>0</v>
          </cell>
        </row>
        <row r="7719">
          <cell r="C7719">
            <v>0</v>
          </cell>
        </row>
        <row r="7720">
          <cell r="C7720">
            <v>0</v>
          </cell>
        </row>
        <row r="7721">
          <cell r="C7721">
            <v>0</v>
          </cell>
        </row>
        <row r="7722">
          <cell r="C7722">
            <v>0</v>
          </cell>
        </row>
        <row r="7723">
          <cell r="C7723">
            <v>0</v>
          </cell>
        </row>
        <row r="7724">
          <cell r="C7724">
            <v>0</v>
          </cell>
        </row>
        <row r="7725">
          <cell r="C7725">
            <v>0</v>
          </cell>
        </row>
        <row r="7726">
          <cell r="C7726">
            <v>0</v>
          </cell>
        </row>
        <row r="7727">
          <cell r="C7727">
            <v>0</v>
          </cell>
        </row>
        <row r="7728">
          <cell r="C7728">
            <v>0</v>
          </cell>
        </row>
        <row r="7729">
          <cell r="C7729">
            <v>0</v>
          </cell>
        </row>
        <row r="7730">
          <cell r="C7730">
            <v>0</v>
          </cell>
        </row>
        <row r="7731">
          <cell r="C7731">
            <v>0</v>
          </cell>
        </row>
        <row r="7732">
          <cell r="C7732">
            <v>0</v>
          </cell>
        </row>
        <row r="7733">
          <cell r="C7733">
            <v>0</v>
          </cell>
        </row>
        <row r="7734">
          <cell r="C7734">
            <v>0</v>
          </cell>
        </row>
        <row r="7735">
          <cell r="C7735">
            <v>0</v>
          </cell>
        </row>
        <row r="7736">
          <cell r="C7736">
            <v>0</v>
          </cell>
        </row>
        <row r="7737">
          <cell r="C7737">
            <v>0</v>
          </cell>
        </row>
        <row r="7738">
          <cell r="C7738">
            <v>0</v>
          </cell>
        </row>
        <row r="7739">
          <cell r="C7739">
            <v>0</v>
          </cell>
        </row>
        <row r="7740">
          <cell r="C7740">
            <v>0</v>
          </cell>
        </row>
        <row r="7741">
          <cell r="C7741">
            <v>0</v>
          </cell>
        </row>
        <row r="7742">
          <cell r="C7742">
            <v>0</v>
          </cell>
        </row>
        <row r="7743">
          <cell r="C7743">
            <v>0</v>
          </cell>
        </row>
        <row r="7744">
          <cell r="C7744">
            <v>0</v>
          </cell>
        </row>
        <row r="7745">
          <cell r="C7745">
            <v>0</v>
          </cell>
        </row>
        <row r="7746">
          <cell r="C7746">
            <v>0</v>
          </cell>
        </row>
        <row r="7747">
          <cell r="C7747">
            <v>0</v>
          </cell>
        </row>
        <row r="7748">
          <cell r="C7748">
            <v>0</v>
          </cell>
        </row>
        <row r="7749">
          <cell r="C7749">
            <v>0</v>
          </cell>
        </row>
        <row r="7750">
          <cell r="C7750">
            <v>0</v>
          </cell>
        </row>
        <row r="7751">
          <cell r="C7751">
            <v>0</v>
          </cell>
        </row>
        <row r="7752">
          <cell r="C7752">
            <v>0</v>
          </cell>
        </row>
        <row r="7753">
          <cell r="C7753">
            <v>0</v>
          </cell>
        </row>
        <row r="7754">
          <cell r="C7754">
            <v>0</v>
          </cell>
        </row>
        <row r="7755">
          <cell r="C7755">
            <v>0</v>
          </cell>
        </row>
        <row r="7756">
          <cell r="C7756">
            <v>0</v>
          </cell>
        </row>
        <row r="7757">
          <cell r="C7757">
            <v>0</v>
          </cell>
        </row>
        <row r="7758">
          <cell r="C7758">
            <v>0</v>
          </cell>
        </row>
        <row r="7759">
          <cell r="C7759">
            <v>0</v>
          </cell>
        </row>
        <row r="7760">
          <cell r="C7760">
            <v>0</v>
          </cell>
        </row>
        <row r="7761">
          <cell r="C7761">
            <v>0</v>
          </cell>
        </row>
        <row r="7762">
          <cell r="C7762">
            <v>0</v>
          </cell>
        </row>
        <row r="7763">
          <cell r="C7763">
            <v>0</v>
          </cell>
        </row>
        <row r="7764">
          <cell r="C7764">
            <v>0</v>
          </cell>
        </row>
        <row r="7765">
          <cell r="C7765">
            <v>0</v>
          </cell>
        </row>
        <row r="7766">
          <cell r="C7766">
            <v>0</v>
          </cell>
        </row>
        <row r="7767">
          <cell r="C7767">
            <v>0</v>
          </cell>
        </row>
        <row r="7768">
          <cell r="C7768">
            <v>0</v>
          </cell>
        </row>
        <row r="7769">
          <cell r="C7769">
            <v>0</v>
          </cell>
        </row>
        <row r="7770">
          <cell r="C7770">
            <v>0</v>
          </cell>
        </row>
        <row r="7771">
          <cell r="C7771">
            <v>0</v>
          </cell>
        </row>
        <row r="7772">
          <cell r="C7772">
            <v>0</v>
          </cell>
        </row>
        <row r="7773">
          <cell r="C7773">
            <v>0</v>
          </cell>
        </row>
        <row r="7774">
          <cell r="C7774">
            <v>0</v>
          </cell>
        </row>
        <row r="7775">
          <cell r="C7775">
            <v>0</v>
          </cell>
        </row>
        <row r="7776">
          <cell r="C7776">
            <v>0</v>
          </cell>
        </row>
        <row r="7777">
          <cell r="C7777">
            <v>0</v>
          </cell>
        </row>
        <row r="7778">
          <cell r="C7778">
            <v>0</v>
          </cell>
        </row>
        <row r="7779">
          <cell r="C7779">
            <v>0</v>
          </cell>
        </row>
        <row r="7780">
          <cell r="C7780">
            <v>0</v>
          </cell>
        </row>
        <row r="7781">
          <cell r="C7781">
            <v>0</v>
          </cell>
        </row>
        <row r="7782">
          <cell r="C7782">
            <v>0</v>
          </cell>
        </row>
        <row r="7783">
          <cell r="C7783">
            <v>0</v>
          </cell>
        </row>
        <row r="7784">
          <cell r="C7784">
            <v>0</v>
          </cell>
        </row>
        <row r="7785">
          <cell r="C7785">
            <v>0</v>
          </cell>
        </row>
        <row r="7786">
          <cell r="C7786">
            <v>0</v>
          </cell>
        </row>
        <row r="7787">
          <cell r="C7787">
            <v>0</v>
          </cell>
        </row>
        <row r="7788">
          <cell r="C7788">
            <v>0</v>
          </cell>
        </row>
        <row r="7789">
          <cell r="C7789">
            <v>0</v>
          </cell>
        </row>
        <row r="7790">
          <cell r="C7790">
            <v>0</v>
          </cell>
        </row>
        <row r="7791">
          <cell r="C7791">
            <v>0</v>
          </cell>
        </row>
        <row r="7792">
          <cell r="C7792">
            <v>0</v>
          </cell>
        </row>
        <row r="7793">
          <cell r="C7793">
            <v>0</v>
          </cell>
        </row>
        <row r="7794">
          <cell r="C7794">
            <v>0</v>
          </cell>
        </row>
        <row r="7795">
          <cell r="C7795">
            <v>0</v>
          </cell>
        </row>
        <row r="7796">
          <cell r="C7796">
            <v>0</v>
          </cell>
        </row>
        <row r="7797">
          <cell r="C7797">
            <v>0</v>
          </cell>
        </row>
        <row r="7798">
          <cell r="C7798">
            <v>0</v>
          </cell>
        </row>
        <row r="7799">
          <cell r="C7799">
            <v>0</v>
          </cell>
        </row>
        <row r="7800">
          <cell r="C7800">
            <v>0</v>
          </cell>
        </row>
        <row r="7801">
          <cell r="C7801">
            <v>0</v>
          </cell>
        </row>
        <row r="7802">
          <cell r="C7802">
            <v>0</v>
          </cell>
        </row>
        <row r="7803">
          <cell r="C7803">
            <v>0</v>
          </cell>
        </row>
        <row r="7804">
          <cell r="C7804">
            <v>0</v>
          </cell>
        </row>
        <row r="7805">
          <cell r="C7805">
            <v>0</v>
          </cell>
        </row>
        <row r="7806">
          <cell r="C7806">
            <v>0</v>
          </cell>
        </row>
        <row r="7807">
          <cell r="C7807">
            <v>0</v>
          </cell>
        </row>
        <row r="7808">
          <cell r="C7808">
            <v>0</v>
          </cell>
        </row>
        <row r="7809">
          <cell r="C7809">
            <v>0</v>
          </cell>
        </row>
        <row r="7810">
          <cell r="C7810">
            <v>0</v>
          </cell>
        </row>
        <row r="7811">
          <cell r="C7811">
            <v>0</v>
          </cell>
        </row>
        <row r="7812">
          <cell r="C7812">
            <v>0</v>
          </cell>
        </row>
        <row r="7813">
          <cell r="C7813">
            <v>0</v>
          </cell>
        </row>
        <row r="7814">
          <cell r="C7814">
            <v>0</v>
          </cell>
        </row>
        <row r="7815">
          <cell r="C7815">
            <v>0</v>
          </cell>
        </row>
        <row r="7816">
          <cell r="C7816">
            <v>0</v>
          </cell>
        </row>
        <row r="7817">
          <cell r="C7817">
            <v>0</v>
          </cell>
        </row>
        <row r="7818">
          <cell r="C7818">
            <v>0</v>
          </cell>
        </row>
        <row r="7819">
          <cell r="C7819">
            <v>0</v>
          </cell>
        </row>
        <row r="7820">
          <cell r="C7820">
            <v>0</v>
          </cell>
        </row>
        <row r="7821">
          <cell r="C7821">
            <v>0</v>
          </cell>
        </row>
        <row r="7822">
          <cell r="C7822">
            <v>0</v>
          </cell>
        </row>
        <row r="7823">
          <cell r="C7823">
            <v>0</v>
          </cell>
        </row>
        <row r="7824">
          <cell r="C7824">
            <v>0</v>
          </cell>
        </row>
        <row r="7825">
          <cell r="C7825">
            <v>0</v>
          </cell>
        </row>
        <row r="7826">
          <cell r="C7826">
            <v>0</v>
          </cell>
        </row>
        <row r="7827">
          <cell r="C7827">
            <v>0</v>
          </cell>
        </row>
        <row r="7828">
          <cell r="C7828">
            <v>0</v>
          </cell>
        </row>
        <row r="7829">
          <cell r="C7829">
            <v>0</v>
          </cell>
        </row>
        <row r="7830">
          <cell r="C7830">
            <v>0</v>
          </cell>
        </row>
        <row r="7831">
          <cell r="C7831">
            <v>0</v>
          </cell>
        </row>
        <row r="7832">
          <cell r="C7832">
            <v>0</v>
          </cell>
        </row>
        <row r="7833">
          <cell r="C7833">
            <v>0</v>
          </cell>
        </row>
        <row r="7834">
          <cell r="C7834">
            <v>0</v>
          </cell>
        </row>
        <row r="7835">
          <cell r="C7835">
            <v>0</v>
          </cell>
        </row>
        <row r="7836">
          <cell r="C7836">
            <v>0</v>
          </cell>
        </row>
        <row r="7837">
          <cell r="C7837">
            <v>0</v>
          </cell>
        </row>
        <row r="7838">
          <cell r="C7838">
            <v>0</v>
          </cell>
        </row>
        <row r="7839">
          <cell r="C7839">
            <v>0</v>
          </cell>
        </row>
        <row r="7840">
          <cell r="C7840">
            <v>0</v>
          </cell>
        </row>
        <row r="7841">
          <cell r="C7841">
            <v>0</v>
          </cell>
        </row>
        <row r="7842">
          <cell r="C7842">
            <v>0</v>
          </cell>
        </row>
        <row r="7843">
          <cell r="C7843">
            <v>0</v>
          </cell>
        </row>
        <row r="7844">
          <cell r="C7844">
            <v>0</v>
          </cell>
        </row>
        <row r="7845">
          <cell r="C7845">
            <v>0</v>
          </cell>
        </row>
        <row r="7846">
          <cell r="C7846">
            <v>0</v>
          </cell>
        </row>
        <row r="7847">
          <cell r="C7847">
            <v>0</v>
          </cell>
        </row>
        <row r="7848">
          <cell r="C7848">
            <v>0</v>
          </cell>
        </row>
        <row r="7849">
          <cell r="C7849">
            <v>0</v>
          </cell>
        </row>
        <row r="7850">
          <cell r="C7850">
            <v>0</v>
          </cell>
        </row>
        <row r="7851">
          <cell r="C7851">
            <v>0</v>
          </cell>
        </row>
        <row r="7852">
          <cell r="C7852">
            <v>0</v>
          </cell>
        </row>
        <row r="7853">
          <cell r="C7853">
            <v>0</v>
          </cell>
        </row>
        <row r="7854">
          <cell r="C7854">
            <v>0</v>
          </cell>
        </row>
        <row r="7855">
          <cell r="C7855">
            <v>0</v>
          </cell>
        </row>
        <row r="7856">
          <cell r="C7856">
            <v>0</v>
          </cell>
        </row>
        <row r="7857">
          <cell r="C7857">
            <v>0</v>
          </cell>
        </row>
        <row r="7858">
          <cell r="C7858">
            <v>0</v>
          </cell>
        </row>
        <row r="7859">
          <cell r="C7859">
            <v>0</v>
          </cell>
        </row>
        <row r="7860">
          <cell r="C7860">
            <v>0</v>
          </cell>
        </row>
        <row r="7861">
          <cell r="C7861">
            <v>0</v>
          </cell>
        </row>
        <row r="7862">
          <cell r="C7862">
            <v>0</v>
          </cell>
        </row>
        <row r="7863">
          <cell r="C7863">
            <v>0</v>
          </cell>
        </row>
        <row r="7864">
          <cell r="C7864">
            <v>0</v>
          </cell>
        </row>
        <row r="7865">
          <cell r="C7865">
            <v>0</v>
          </cell>
        </row>
        <row r="7866">
          <cell r="C7866">
            <v>0</v>
          </cell>
        </row>
        <row r="7867">
          <cell r="C7867">
            <v>0</v>
          </cell>
        </row>
        <row r="7868">
          <cell r="C7868">
            <v>0</v>
          </cell>
        </row>
        <row r="7869">
          <cell r="C7869">
            <v>0</v>
          </cell>
        </row>
        <row r="7870">
          <cell r="C7870">
            <v>0</v>
          </cell>
        </row>
        <row r="7871">
          <cell r="C7871">
            <v>0</v>
          </cell>
        </row>
        <row r="7872">
          <cell r="C7872">
            <v>0</v>
          </cell>
        </row>
        <row r="7873">
          <cell r="C7873">
            <v>0</v>
          </cell>
        </row>
        <row r="7874">
          <cell r="C7874">
            <v>0</v>
          </cell>
        </row>
        <row r="7875">
          <cell r="C7875">
            <v>0</v>
          </cell>
        </row>
        <row r="7876">
          <cell r="C7876">
            <v>0</v>
          </cell>
        </row>
        <row r="7877">
          <cell r="C7877">
            <v>0</v>
          </cell>
        </row>
        <row r="7878">
          <cell r="C7878">
            <v>0</v>
          </cell>
        </row>
        <row r="7879">
          <cell r="C7879">
            <v>0</v>
          </cell>
        </row>
        <row r="7880">
          <cell r="C7880">
            <v>0</v>
          </cell>
        </row>
        <row r="7881">
          <cell r="C7881">
            <v>0</v>
          </cell>
        </row>
        <row r="7882">
          <cell r="C7882">
            <v>0</v>
          </cell>
        </row>
        <row r="7883">
          <cell r="C7883">
            <v>0</v>
          </cell>
        </row>
        <row r="7884">
          <cell r="C7884">
            <v>0</v>
          </cell>
        </row>
        <row r="7885">
          <cell r="C7885">
            <v>0</v>
          </cell>
        </row>
        <row r="7886">
          <cell r="C7886">
            <v>0</v>
          </cell>
        </row>
        <row r="7887">
          <cell r="C7887">
            <v>0</v>
          </cell>
        </row>
        <row r="7888">
          <cell r="C7888">
            <v>0</v>
          </cell>
        </row>
        <row r="7889">
          <cell r="C7889">
            <v>0</v>
          </cell>
        </row>
        <row r="7890">
          <cell r="C7890">
            <v>0</v>
          </cell>
        </row>
        <row r="7891">
          <cell r="C7891">
            <v>0</v>
          </cell>
        </row>
        <row r="7892">
          <cell r="C7892">
            <v>0</v>
          </cell>
        </row>
        <row r="7893">
          <cell r="C7893">
            <v>0</v>
          </cell>
        </row>
        <row r="7894">
          <cell r="C7894">
            <v>0</v>
          </cell>
        </row>
        <row r="7895">
          <cell r="C7895">
            <v>0</v>
          </cell>
        </row>
        <row r="7896">
          <cell r="C7896">
            <v>0</v>
          </cell>
        </row>
        <row r="7897">
          <cell r="C7897">
            <v>0</v>
          </cell>
        </row>
        <row r="7898">
          <cell r="C7898">
            <v>0</v>
          </cell>
        </row>
        <row r="7899">
          <cell r="C7899">
            <v>0</v>
          </cell>
        </row>
        <row r="7900">
          <cell r="C7900">
            <v>0</v>
          </cell>
        </row>
        <row r="7901">
          <cell r="C7901">
            <v>0</v>
          </cell>
        </row>
        <row r="7902">
          <cell r="C7902">
            <v>0</v>
          </cell>
        </row>
        <row r="7903">
          <cell r="C7903">
            <v>0</v>
          </cell>
        </row>
        <row r="7904">
          <cell r="C7904">
            <v>0</v>
          </cell>
        </row>
        <row r="7905">
          <cell r="C7905">
            <v>0</v>
          </cell>
        </row>
        <row r="7906">
          <cell r="C7906">
            <v>0</v>
          </cell>
        </row>
        <row r="7907">
          <cell r="C7907">
            <v>0</v>
          </cell>
        </row>
        <row r="7908">
          <cell r="C7908">
            <v>0</v>
          </cell>
        </row>
        <row r="7909">
          <cell r="C7909">
            <v>0</v>
          </cell>
        </row>
        <row r="7910">
          <cell r="C7910">
            <v>0</v>
          </cell>
        </row>
        <row r="7911">
          <cell r="C7911">
            <v>0</v>
          </cell>
        </row>
        <row r="7912">
          <cell r="C7912">
            <v>0</v>
          </cell>
        </row>
        <row r="7913">
          <cell r="C7913">
            <v>0</v>
          </cell>
        </row>
        <row r="7914">
          <cell r="C7914">
            <v>0</v>
          </cell>
        </row>
        <row r="7915">
          <cell r="C7915">
            <v>0</v>
          </cell>
        </row>
        <row r="7916">
          <cell r="C7916">
            <v>0</v>
          </cell>
        </row>
        <row r="7917">
          <cell r="C7917">
            <v>0</v>
          </cell>
        </row>
        <row r="7918">
          <cell r="C7918">
            <v>0</v>
          </cell>
        </row>
        <row r="7919">
          <cell r="C7919">
            <v>0</v>
          </cell>
        </row>
        <row r="7920">
          <cell r="C7920">
            <v>0</v>
          </cell>
        </row>
        <row r="7921">
          <cell r="C7921">
            <v>0</v>
          </cell>
        </row>
        <row r="7922">
          <cell r="C7922">
            <v>0</v>
          </cell>
        </row>
        <row r="7923">
          <cell r="C7923">
            <v>0</v>
          </cell>
        </row>
        <row r="7924">
          <cell r="C7924">
            <v>0</v>
          </cell>
        </row>
        <row r="7925">
          <cell r="C7925">
            <v>0</v>
          </cell>
        </row>
        <row r="7926">
          <cell r="C7926">
            <v>0</v>
          </cell>
        </row>
        <row r="7927">
          <cell r="C7927">
            <v>0</v>
          </cell>
        </row>
        <row r="7928">
          <cell r="C7928">
            <v>0</v>
          </cell>
        </row>
        <row r="7929">
          <cell r="C7929">
            <v>0</v>
          </cell>
        </row>
        <row r="7930">
          <cell r="C7930">
            <v>0</v>
          </cell>
        </row>
        <row r="7931">
          <cell r="C7931">
            <v>0</v>
          </cell>
        </row>
        <row r="7932">
          <cell r="C7932">
            <v>0</v>
          </cell>
        </row>
        <row r="7933">
          <cell r="C7933">
            <v>0</v>
          </cell>
        </row>
        <row r="7934">
          <cell r="C7934">
            <v>0</v>
          </cell>
        </row>
        <row r="7935">
          <cell r="C7935">
            <v>0</v>
          </cell>
        </row>
        <row r="7936">
          <cell r="C7936">
            <v>0</v>
          </cell>
        </row>
        <row r="7937">
          <cell r="C7937">
            <v>0</v>
          </cell>
        </row>
        <row r="7938">
          <cell r="C7938">
            <v>0</v>
          </cell>
        </row>
        <row r="7939">
          <cell r="C7939">
            <v>0</v>
          </cell>
        </row>
        <row r="7940">
          <cell r="C7940">
            <v>0</v>
          </cell>
        </row>
        <row r="7941">
          <cell r="C7941">
            <v>0</v>
          </cell>
        </row>
        <row r="7942">
          <cell r="C7942">
            <v>0</v>
          </cell>
        </row>
        <row r="7943">
          <cell r="C7943">
            <v>0</v>
          </cell>
        </row>
        <row r="7944">
          <cell r="C7944">
            <v>0</v>
          </cell>
        </row>
        <row r="7945">
          <cell r="C7945">
            <v>0</v>
          </cell>
        </row>
        <row r="7946">
          <cell r="C7946">
            <v>0</v>
          </cell>
        </row>
        <row r="7947">
          <cell r="C7947">
            <v>0</v>
          </cell>
        </row>
        <row r="7948">
          <cell r="C7948">
            <v>0</v>
          </cell>
        </row>
        <row r="7949">
          <cell r="C7949">
            <v>0</v>
          </cell>
        </row>
        <row r="7950">
          <cell r="C7950">
            <v>0</v>
          </cell>
        </row>
        <row r="7951">
          <cell r="C7951">
            <v>0</v>
          </cell>
        </row>
        <row r="7952">
          <cell r="C7952">
            <v>0</v>
          </cell>
        </row>
        <row r="7953">
          <cell r="C7953">
            <v>0</v>
          </cell>
        </row>
        <row r="7954">
          <cell r="C7954">
            <v>0</v>
          </cell>
        </row>
        <row r="7955">
          <cell r="C7955">
            <v>0</v>
          </cell>
        </row>
        <row r="7956">
          <cell r="C7956">
            <v>0</v>
          </cell>
        </row>
        <row r="7957">
          <cell r="C7957">
            <v>0</v>
          </cell>
        </row>
        <row r="7958">
          <cell r="C7958">
            <v>0</v>
          </cell>
        </row>
        <row r="7959">
          <cell r="C7959">
            <v>0</v>
          </cell>
        </row>
        <row r="7960">
          <cell r="C7960">
            <v>0</v>
          </cell>
        </row>
        <row r="7961">
          <cell r="C7961">
            <v>0</v>
          </cell>
        </row>
        <row r="7962">
          <cell r="C7962">
            <v>0</v>
          </cell>
        </row>
        <row r="7963">
          <cell r="C7963">
            <v>0</v>
          </cell>
        </row>
        <row r="7964">
          <cell r="C7964">
            <v>0</v>
          </cell>
        </row>
        <row r="7965">
          <cell r="C7965">
            <v>0</v>
          </cell>
        </row>
        <row r="7966">
          <cell r="C7966">
            <v>0</v>
          </cell>
        </row>
        <row r="7967">
          <cell r="C7967">
            <v>0</v>
          </cell>
        </row>
        <row r="7968">
          <cell r="C7968">
            <v>0</v>
          </cell>
        </row>
        <row r="7969">
          <cell r="C7969">
            <v>0</v>
          </cell>
        </row>
        <row r="7970">
          <cell r="C7970">
            <v>0</v>
          </cell>
        </row>
        <row r="7971">
          <cell r="C7971">
            <v>0</v>
          </cell>
        </row>
        <row r="7972">
          <cell r="C7972">
            <v>0</v>
          </cell>
        </row>
        <row r="7973">
          <cell r="C7973">
            <v>0</v>
          </cell>
        </row>
        <row r="7974">
          <cell r="C7974">
            <v>0</v>
          </cell>
        </row>
        <row r="7975">
          <cell r="C7975">
            <v>0</v>
          </cell>
        </row>
        <row r="7976">
          <cell r="C7976">
            <v>0</v>
          </cell>
        </row>
        <row r="7977">
          <cell r="C7977">
            <v>0</v>
          </cell>
        </row>
        <row r="7978">
          <cell r="C7978">
            <v>0</v>
          </cell>
        </row>
        <row r="7979">
          <cell r="C7979">
            <v>0</v>
          </cell>
        </row>
        <row r="7980">
          <cell r="C7980">
            <v>0</v>
          </cell>
        </row>
        <row r="7981">
          <cell r="C7981">
            <v>0</v>
          </cell>
        </row>
        <row r="7982">
          <cell r="C7982">
            <v>0</v>
          </cell>
        </row>
        <row r="7983">
          <cell r="C7983">
            <v>0</v>
          </cell>
        </row>
        <row r="7984">
          <cell r="C7984">
            <v>0</v>
          </cell>
        </row>
        <row r="7985">
          <cell r="C7985">
            <v>0</v>
          </cell>
        </row>
        <row r="7986">
          <cell r="C7986">
            <v>0</v>
          </cell>
        </row>
        <row r="7987">
          <cell r="C7987">
            <v>0</v>
          </cell>
        </row>
        <row r="7988">
          <cell r="C7988">
            <v>0</v>
          </cell>
        </row>
        <row r="7989">
          <cell r="C7989">
            <v>0</v>
          </cell>
        </row>
        <row r="7990">
          <cell r="C7990">
            <v>0</v>
          </cell>
        </row>
        <row r="7991">
          <cell r="C7991">
            <v>0</v>
          </cell>
        </row>
        <row r="7992">
          <cell r="C7992">
            <v>0</v>
          </cell>
        </row>
        <row r="7993">
          <cell r="C7993">
            <v>0</v>
          </cell>
        </row>
        <row r="7994">
          <cell r="C7994">
            <v>0</v>
          </cell>
        </row>
        <row r="7995">
          <cell r="C7995">
            <v>0</v>
          </cell>
        </row>
        <row r="7996">
          <cell r="C7996">
            <v>0</v>
          </cell>
        </row>
        <row r="7997">
          <cell r="C7997">
            <v>0</v>
          </cell>
        </row>
        <row r="7998">
          <cell r="C7998">
            <v>0</v>
          </cell>
        </row>
        <row r="7999">
          <cell r="C7999">
            <v>0</v>
          </cell>
        </row>
        <row r="8000">
          <cell r="C8000">
            <v>0</v>
          </cell>
        </row>
        <row r="8001">
          <cell r="C8001">
            <v>0</v>
          </cell>
        </row>
        <row r="8002">
          <cell r="C8002">
            <v>0</v>
          </cell>
        </row>
        <row r="8003">
          <cell r="C8003">
            <v>0</v>
          </cell>
        </row>
        <row r="8004">
          <cell r="C8004">
            <v>0</v>
          </cell>
        </row>
        <row r="8005">
          <cell r="C8005">
            <v>0</v>
          </cell>
        </row>
        <row r="8006">
          <cell r="C8006">
            <v>0</v>
          </cell>
        </row>
        <row r="8007">
          <cell r="C8007">
            <v>0</v>
          </cell>
        </row>
        <row r="8008">
          <cell r="C8008">
            <v>0</v>
          </cell>
        </row>
        <row r="8009">
          <cell r="C8009">
            <v>0</v>
          </cell>
        </row>
        <row r="8010">
          <cell r="C8010">
            <v>0</v>
          </cell>
        </row>
        <row r="8011">
          <cell r="C8011">
            <v>0</v>
          </cell>
        </row>
        <row r="8012">
          <cell r="C8012">
            <v>0</v>
          </cell>
        </row>
        <row r="8013">
          <cell r="C8013">
            <v>0</v>
          </cell>
        </row>
        <row r="8014">
          <cell r="C8014">
            <v>0</v>
          </cell>
        </row>
        <row r="8015">
          <cell r="C8015">
            <v>0</v>
          </cell>
        </row>
        <row r="8016">
          <cell r="C8016">
            <v>0</v>
          </cell>
        </row>
        <row r="8017">
          <cell r="C8017">
            <v>0</v>
          </cell>
        </row>
        <row r="8018">
          <cell r="C8018">
            <v>0</v>
          </cell>
        </row>
        <row r="8019">
          <cell r="C8019">
            <v>0</v>
          </cell>
        </row>
        <row r="8020">
          <cell r="C8020">
            <v>0</v>
          </cell>
        </row>
        <row r="8021">
          <cell r="C8021">
            <v>0</v>
          </cell>
        </row>
        <row r="8022">
          <cell r="C8022">
            <v>0</v>
          </cell>
        </row>
        <row r="8023">
          <cell r="C8023">
            <v>0</v>
          </cell>
        </row>
        <row r="8024">
          <cell r="C8024">
            <v>0</v>
          </cell>
        </row>
        <row r="8025">
          <cell r="C8025">
            <v>0</v>
          </cell>
        </row>
        <row r="8026">
          <cell r="C8026">
            <v>0</v>
          </cell>
        </row>
        <row r="8027">
          <cell r="C8027">
            <v>0</v>
          </cell>
        </row>
        <row r="8028">
          <cell r="C8028">
            <v>0</v>
          </cell>
        </row>
        <row r="8029">
          <cell r="C8029">
            <v>0</v>
          </cell>
        </row>
        <row r="8030">
          <cell r="C8030">
            <v>0</v>
          </cell>
        </row>
        <row r="8031">
          <cell r="C8031">
            <v>0</v>
          </cell>
        </row>
        <row r="8032">
          <cell r="C8032">
            <v>0</v>
          </cell>
        </row>
        <row r="8033">
          <cell r="C8033">
            <v>0</v>
          </cell>
        </row>
        <row r="8034">
          <cell r="C8034">
            <v>0</v>
          </cell>
        </row>
        <row r="8035">
          <cell r="C8035">
            <v>0</v>
          </cell>
        </row>
        <row r="8036">
          <cell r="C8036">
            <v>0</v>
          </cell>
        </row>
        <row r="8037">
          <cell r="C8037">
            <v>0</v>
          </cell>
        </row>
        <row r="8038">
          <cell r="C8038">
            <v>0</v>
          </cell>
        </row>
        <row r="8039">
          <cell r="C8039">
            <v>0</v>
          </cell>
        </row>
        <row r="8040">
          <cell r="C8040">
            <v>0</v>
          </cell>
        </row>
        <row r="8041">
          <cell r="C8041">
            <v>0</v>
          </cell>
        </row>
        <row r="8042">
          <cell r="C8042">
            <v>0</v>
          </cell>
        </row>
        <row r="8043">
          <cell r="C8043">
            <v>0</v>
          </cell>
        </row>
        <row r="8044">
          <cell r="C8044">
            <v>0</v>
          </cell>
        </row>
        <row r="8045">
          <cell r="C8045">
            <v>0</v>
          </cell>
        </row>
        <row r="8046">
          <cell r="C8046">
            <v>0</v>
          </cell>
        </row>
        <row r="8047">
          <cell r="C8047">
            <v>0</v>
          </cell>
        </row>
        <row r="8048">
          <cell r="C8048">
            <v>0</v>
          </cell>
        </row>
        <row r="8049">
          <cell r="C8049">
            <v>0</v>
          </cell>
        </row>
        <row r="8050">
          <cell r="C8050">
            <v>0</v>
          </cell>
        </row>
        <row r="8051">
          <cell r="C8051">
            <v>0</v>
          </cell>
        </row>
        <row r="8052">
          <cell r="C8052">
            <v>0</v>
          </cell>
        </row>
        <row r="8053">
          <cell r="C8053">
            <v>0</v>
          </cell>
        </row>
        <row r="8054">
          <cell r="C8054">
            <v>0</v>
          </cell>
        </row>
        <row r="8055">
          <cell r="C8055">
            <v>0</v>
          </cell>
        </row>
        <row r="8056">
          <cell r="C8056">
            <v>0</v>
          </cell>
        </row>
        <row r="8057">
          <cell r="C8057">
            <v>0</v>
          </cell>
        </row>
        <row r="8058">
          <cell r="C8058">
            <v>0</v>
          </cell>
        </row>
        <row r="8059">
          <cell r="C8059">
            <v>0</v>
          </cell>
        </row>
        <row r="8060">
          <cell r="C8060">
            <v>0</v>
          </cell>
        </row>
        <row r="8061">
          <cell r="C8061">
            <v>0</v>
          </cell>
        </row>
        <row r="8062">
          <cell r="C8062">
            <v>0</v>
          </cell>
        </row>
        <row r="8063">
          <cell r="C8063">
            <v>0</v>
          </cell>
        </row>
        <row r="8064">
          <cell r="C8064">
            <v>0</v>
          </cell>
        </row>
        <row r="8065">
          <cell r="C8065">
            <v>0</v>
          </cell>
        </row>
        <row r="8066">
          <cell r="C8066">
            <v>0</v>
          </cell>
        </row>
        <row r="8067">
          <cell r="C8067">
            <v>0</v>
          </cell>
        </row>
        <row r="8068">
          <cell r="C8068">
            <v>0</v>
          </cell>
        </row>
        <row r="8069">
          <cell r="C8069">
            <v>0</v>
          </cell>
        </row>
        <row r="8070">
          <cell r="C8070">
            <v>0</v>
          </cell>
        </row>
        <row r="8071">
          <cell r="C8071">
            <v>0</v>
          </cell>
        </row>
        <row r="8072">
          <cell r="C8072">
            <v>0</v>
          </cell>
        </row>
        <row r="8073">
          <cell r="C8073">
            <v>0</v>
          </cell>
        </row>
        <row r="8074">
          <cell r="C8074">
            <v>0</v>
          </cell>
        </row>
        <row r="8075">
          <cell r="C8075">
            <v>0</v>
          </cell>
        </row>
        <row r="8076">
          <cell r="C8076">
            <v>0</v>
          </cell>
        </row>
        <row r="8077">
          <cell r="C8077">
            <v>0</v>
          </cell>
        </row>
        <row r="8078">
          <cell r="C8078">
            <v>0</v>
          </cell>
        </row>
        <row r="8079">
          <cell r="C8079">
            <v>0</v>
          </cell>
        </row>
        <row r="8080">
          <cell r="C8080">
            <v>0</v>
          </cell>
        </row>
        <row r="8081">
          <cell r="C8081">
            <v>0</v>
          </cell>
        </row>
        <row r="8082">
          <cell r="C8082">
            <v>0</v>
          </cell>
        </row>
        <row r="8083">
          <cell r="C8083">
            <v>0</v>
          </cell>
        </row>
        <row r="8084">
          <cell r="C8084">
            <v>0</v>
          </cell>
        </row>
        <row r="8085">
          <cell r="C8085">
            <v>0</v>
          </cell>
        </row>
        <row r="8086">
          <cell r="C8086">
            <v>0</v>
          </cell>
        </row>
        <row r="8087">
          <cell r="C8087">
            <v>0</v>
          </cell>
        </row>
        <row r="8088">
          <cell r="C8088">
            <v>0</v>
          </cell>
        </row>
        <row r="8089">
          <cell r="C8089">
            <v>0</v>
          </cell>
        </row>
        <row r="8090">
          <cell r="C8090">
            <v>0</v>
          </cell>
        </row>
        <row r="8091">
          <cell r="C8091">
            <v>0</v>
          </cell>
        </row>
        <row r="8092">
          <cell r="C8092">
            <v>0</v>
          </cell>
        </row>
        <row r="8093">
          <cell r="C8093">
            <v>0</v>
          </cell>
        </row>
        <row r="8094">
          <cell r="C8094">
            <v>0</v>
          </cell>
        </row>
        <row r="8095">
          <cell r="C8095">
            <v>0</v>
          </cell>
        </row>
        <row r="8096">
          <cell r="C8096">
            <v>0</v>
          </cell>
        </row>
        <row r="8097">
          <cell r="C8097">
            <v>0</v>
          </cell>
        </row>
        <row r="8098">
          <cell r="C8098">
            <v>0</v>
          </cell>
        </row>
        <row r="8099">
          <cell r="C8099">
            <v>0</v>
          </cell>
        </row>
        <row r="8100">
          <cell r="C8100">
            <v>0</v>
          </cell>
        </row>
        <row r="8101">
          <cell r="C8101">
            <v>0</v>
          </cell>
        </row>
        <row r="8102">
          <cell r="C8102">
            <v>0</v>
          </cell>
        </row>
        <row r="8103">
          <cell r="C8103">
            <v>0</v>
          </cell>
        </row>
        <row r="8104">
          <cell r="C8104">
            <v>0</v>
          </cell>
        </row>
        <row r="8105">
          <cell r="C8105">
            <v>0</v>
          </cell>
        </row>
        <row r="8106">
          <cell r="C8106">
            <v>0</v>
          </cell>
        </row>
        <row r="8107">
          <cell r="C8107">
            <v>0</v>
          </cell>
        </row>
        <row r="8108">
          <cell r="C8108">
            <v>0</v>
          </cell>
        </row>
        <row r="8109">
          <cell r="C8109">
            <v>0</v>
          </cell>
        </row>
        <row r="8110">
          <cell r="C8110">
            <v>0</v>
          </cell>
        </row>
        <row r="8111">
          <cell r="C8111">
            <v>0</v>
          </cell>
        </row>
        <row r="8112">
          <cell r="C8112">
            <v>0</v>
          </cell>
        </row>
        <row r="8113">
          <cell r="C8113">
            <v>0</v>
          </cell>
        </row>
        <row r="8114">
          <cell r="C8114">
            <v>0</v>
          </cell>
        </row>
        <row r="8115">
          <cell r="C8115">
            <v>0</v>
          </cell>
        </row>
        <row r="8116">
          <cell r="C8116">
            <v>0</v>
          </cell>
        </row>
        <row r="8117">
          <cell r="C8117">
            <v>0</v>
          </cell>
        </row>
        <row r="8118">
          <cell r="C8118">
            <v>0</v>
          </cell>
        </row>
        <row r="8119">
          <cell r="C8119">
            <v>0</v>
          </cell>
        </row>
        <row r="8120">
          <cell r="C8120">
            <v>0</v>
          </cell>
        </row>
        <row r="8121">
          <cell r="C8121">
            <v>0</v>
          </cell>
        </row>
        <row r="8122">
          <cell r="C8122">
            <v>0</v>
          </cell>
        </row>
        <row r="8123">
          <cell r="C8123">
            <v>0</v>
          </cell>
        </row>
        <row r="8124">
          <cell r="C8124">
            <v>0</v>
          </cell>
        </row>
        <row r="8125">
          <cell r="C8125">
            <v>0</v>
          </cell>
        </row>
        <row r="8126">
          <cell r="C8126">
            <v>0</v>
          </cell>
        </row>
        <row r="8127">
          <cell r="C8127">
            <v>0</v>
          </cell>
        </row>
        <row r="8128">
          <cell r="C8128">
            <v>0</v>
          </cell>
        </row>
        <row r="8129">
          <cell r="C8129">
            <v>0</v>
          </cell>
        </row>
        <row r="8130">
          <cell r="C8130">
            <v>0</v>
          </cell>
        </row>
        <row r="8131">
          <cell r="C8131">
            <v>0</v>
          </cell>
        </row>
        <row r="8132">
          <cell r="C8132">
            <v>0</v>
          </cell>
        </row>
        <row r="8133">
          <cell r="C8133">
            <v>0</v>
          </cell>
        </row>
        <row r="8134">
          <cell r="C8134">
            <v>0</v>
          </cell>
        </row>
        <row r="8135">
          <cell r="C8135">
            <v>0</v>
          </cell>
        </row>
        <row r="8136">
          <cell r="C8136">
            <v>0</v>
          </cell>
        </row>
        <row r="8137">
          <cell r="C8137">
            <v>0</v>
          </cell>
        </row>
        <row r="8138">
          <cell r="C8138">
            <v>0</v>
          </cell>
        </row>
        <row r="8139">
          <cell r="C8139">
            <v>0</v>
          </cell>
        </row>
        <row r="8140">
          <cell r="C8140">
            <v>0</v>
          </cell>
        </row>
        <row r="8141">
          <cell r="C8141">
            <v>0</v>
          </cell>
        </row>
        <row r="8142">
          <cell r="C8142">
            <v>0</v>
          </cell>
        </row>
        <row r="8143">
          <cell r="C8143">
            <v>0</v>
          </cell>
        </row>
        <row r="8144">
          <cell r="C8144">
            <v>0</v>
          </cell>
        </row>
        <row r="8145">
          <cell r="C8145">
            <v>0</v>
          </cell>
        </row>
        <row r="8146">
          <cell r="C8146">
            <v>0</v>
          </cell>
        </row>
        <row r="8147">
          <cell r="C8147">
            <v>0</v>
          </cell>
        </row>
        <row r="8148">
          <cell r="C8148">
            <v>0</v>
          </cell>
        </row>
        <row r="8149">
          <cell r="C8149">
            <v>0</v>
          </cell>
        </row>
        <row r="8150">
          <cell r="C8150">
            <v>0</v>
          </cell>
        </row>
        <row r="8151">
          <cell r="C8151">
            <v>0</v>
          </cell>
        </row>
        <row r="8152">
          <cell r="C8152">
            <v>0</v>
          </cell>
        </row>
        <row r="8153">
          <cell r="C8153">
            <v>0</v>
          </cell>
        </row>
        <row r="8154">
          <cell r="C8154">
            <v>0</v>
          </cell>
        </row>
        <row r="8155">
          <cell r="C8155">
            <v>0</v>
          </cell>
        </row>
        <row r="8156">
          <cell r="C8156">
            <v>0</v>
          </cell>
        </row>
        <row r="8157">
          <cell r="C8157">
            <v>0</v>
          </cell>
        </row>
        <row r="8158">
          <cell r="C8158">
            <v>0</v>
          </cell>
        </row>
        <row r="8159">
          <cell r="C8159">
            <v>0</v>
          </cell>
        </row>
        <row r="8160">
          <cell r="C8160">
            <v>0</v>
          </cell>
        </row>
        <row r="8161">
          <cell r="C8161">
            <v>0</v>
          </cell>
        </row>
        <row r="8162">
          <cell r="C8162">
            <v>0</v>
          </cell>
        </row>
        <row r="8163">
          <cell r="C8163">
            <v>0</v>
          </cell>
        </row>
        <row r="8164">
          <cell r="C8164">
            <v>0</v>
          </cell>
        </row>
        <row r="8165">
          <cell r="C8165">
            <v>0</v>
          </cell>
        </row>
        <row r="8166">
          <cell r="C8166">
            <v>0</v>
          </cell>
        </row>
        <row r="8167">
          <cell r="C8167">
            <v>0</v>
          </cell>
        </row>
        <row r="8168">
          <cell r="C8168">
            <v>0</v>
          </cell>
        </row>
        <row r="8169">
          <cell r="C8169">
            <v>0</v>
          </cell>
        </row>
        <row r="8170">
          <cell r="C8170">
            <v>0</v>
          </cell>
        </row>
        <row r="8171">
          <cell r="C8171">
            <v>0</v>
          </cell>
        </row>
        <row r="8172">
          <cell r="C8172">
            <v>0</v>
          </cell>
        </row>
        <row r="8173">
          <cell r="C8173">
            <v>0</v>
          </cell>
        </row>
        <row r="8174">
          <cell r="C8174">
            <v>0</v>
          </cell>
        </row>
        <row r="8175">
          <cell r="C8175">
            <v>0</v>
          </cell>
        </row>
        <row r="8176">
          <cell r="C8176">
            <v>0</v>
          </cell>
        </row>
        <row r="8177">
          <cell r="C8177">
            <v>0</v>
          </cell>
        </row>
        <row r="8178">
          <cell r="C8178">
            <v>0</v>
          </cell>
        </row>
        <row r="8179">
          <cell r="C8179">
            <v>0</v>
          </cell>
        </row>
        <row r="8180">
          <cell r="C8180">
            <v>0</v>
          </cell>
        </row>
        <row r="8181">
          <cell r="C8181">
            <v>0</v>
          </cell>
        </row>
        <row r="8182">
          <cell r="C8182">
            <v>0</v>
          </cell>
        </row>
        <row r="8183">
          <cell r="C8183">
            <v>0</v>
          </cell>
        </row>
        <row r="8184">
          <cell r="C8184">
            <v>0</v>
          </cell>
        </row>
        <row r="8185">
          <cell r="C8185">
            <v>0</v>
          </cell>
        </row>
        <row r="8186">
          <cell r="C8186">
            <v>0</v>
          </cell>
        </row>
        <row r="8187">
          <cell r="C8187">
            <v>0</v>
          </cell>
        </row>
        <row r="8188">
          <cell r="C8188">
            <v>0</v>
          </cell>
        </row>
        <row r="8189">
          <cell r="C8189">
            <v>0</v>
          </cell>
        </row>
        <row r="8190">
          <cell r="C8190">
            <v>0</v>
          </cell>
        </row>
        <row r="8191">
          <cell r="C8191">
            <v>0</v>
          </cell>
        </row>
        <row r="8192">
          <cell r="C8192">
            <v>0</v>
          </cell>
        </row>
        <row r="8193">
          <cell r="C8193">
            <v>0</v>
          </cell>
        </row>
        <row r="8194">
          <cell r="C8194">
            <v>0</v>
          </cell>
        </row>
        <row r="8195">
          <cell r="C8195">
            <v>0</v>
          </cell>
        </row>
        <row r="8196">
          <cell r="C8196">
            <v>0</v>
          </cell>
        </row>
        <row r="8197">
          <cell r="C8197">
            <v>0</v>
          </cell>
        </row>
        <row r="8198">
          <cell r="C8198">
            <v>0</v>
          </cell>
        </row>
        <row r="8199">
          <cell r="C8199">
            <v>0</v>
          </cell>
        </row>
        <row r="8200">
          <cell r="C8200">
            <v>0</v>
          </cell>
        </row>
        <row r="8201">
          <cell r="C8201">
            <v>0</v>
          </cell>
        </row>
        <row r="8202">
          <cell r="C8202">
            <v>0</v>
          </cell>
        </row>
        <row r="8203">
          <cell r="C8203">
            <v>0</v>
          </cell>
        </row>
        <row r="8204">
          <cell r="C8204">
            <v>0</v>
          </cell>
        </row>
        <row r="8205">
          <cell r="C8205">
            <v>0</v>
          </cell>
        </row>
        <row r="8206">
          <cell r="C8206">
            <v>0</v>
          </cell>
        </row>
        <row r="8207">
          <cell r="C8207">
            <v>0</v>
          </cell>
        </row>
        <row r="8208">
          <cell r="C8208">
            <v>0</v>
          </cell>
        </row>
        <row r="8209">
          <cell r="C8209">
            <v>0</v>
          </cell>
        </row>
        <row r="8210">
          <cell r="C8210">
            <v>0</v>
          </cell>
        </row>
        <row r="8211">
          <cell r="C8211">
            <v>0</v>
          </cell>
        </row>
        <row r="8212">
          <cell r="C8212">
            <v>0</v>
          </cell>
        </row>
        <row r="8213">
          <cell r="C8213">
            <v>0</v>
          </cell>
        </row>
        <row r="8214">
          <cell r="C8214">
            <v>0</v>
          </cell>
        </row>
        <row r="8215">
          <cell r="C8215">
            <v>0</v>
          </cell>
        </row>
        <row r="8216">
          <cell r="C8216">
            <v>0</v>
          </cell>
        </row>
        <row r="8217">
          <cell r="C8217">
            <v>0</v>
          </cell>
        </row>
        <row r="8218">
          <cell r="C8218">
            <v>0</v>
          </cell>
        </row>
        <row r="8219">
          <cell r="C8219">
            <v>0</v>
          </cell>
        </row>
        <row r="8220">
          <cell r="C8220">
            <v>0</v>
          </cell>
        </row>
        <row r="8221">
          <cell r="C8221">
            <v>0</v>
          </cell>
        </row>
        <row r="8222">
          <cell r="C8222">
            <v>0</v>
          </cell>
        </row>
        <row r="8223">
          <cell r="C8223">
            <v>0</v>
          </cell>
        </row>
        <row r="8224">
          <cell r="C8224">
            <v>0</v>
          </cell>
        </row>
        <row r="8225">
          <cell r="C8225">
            <v>0</v>
          </cell>
        </row>
        <row r="8226">
          <cell r="C8226">
            <v>0</v>
          </cell>
        </row>
        <row r="8227">
          <cell r="C8227">
            <v>0</v>
          </cell>
        </row>
        <row r="8228">
          <cell r="C8228">
            <v>0</v>
          </cell>
        </row>
        <row r="8229">
          <cell r="C8229">
            <v>0</v>
          </cell>
        </row>
        <row r="8230">
          <cell r="C8230">
            <v>0</v>
          </cell>
        </row>
        <row r="8231">
          <cell r="C8231">
            <v>0</v>
          </cell>
        </row>
        <row r="8232">
          <cell r="C8232">
            <v>0</v>
          </cell>
        </row>
        <row r="8233">
          <cell r="C8233">
            <v>0</v>
          </cell>
        </row>
        <row r="8234">
          <cell r="C8234">
            <v>0</v>
          </cell>
        </row>
        <row r="8235">
          <cell r="C8235">
            <v>0</v>
          </cell>
        </row>
        <row r="8236">
          <cell r="C8236">
            <v>0</v>
          </cell>
        </row>
        <row r="8237">
          <cell r="C8237">
            <v>0</v>
          </cell>
        </row>
        <row r="8238">
          <cell r="C8238">
            <v>0</v>
          </cell>
        </row>
        <row r="8239">
          <cell r="C8239">
            <v>0</v>
          </cell>
        </row>
        <row r="8240">
          <cell r="C8240">
            <v>0</v>
          </cell>
        </row>
        <row r="8241">
          <cell r="C8241">
            <v>0</v>
          </cell>
        </row>
        <row r="8242">
          <cell r="C8242">
            <v>0</v>
          </cell>
        </row>
        <row r="8243">
          <cell r="C8243">
            <v>0</v>
          </cell>
        </row>
        <row r="8244">
          <cell r="C8244">
            <v>0</v>
          </cell>
        </row>
        <row r="8245">
          <cell r="C8245">
            <v>0</v>
          </cell>
        </row>
        <row r="8246">
          <cell r="C8246">
            <v>0</v>
          </cell>
        </row>
        <row r="8247">
          <cell r="C8247">
            <v>0</v>
          </cell>
        </row>
        <row r="8248">
          <cell r="C8248">
            <v>0</v>
          </cell>
        </row>
        <row r="8249">
          <cell r="C8249">
            <v>0</v>
          </cell>
        </row>
        <row r="8250">
          <cell r="C8250">
            <v>0</v>
          </cell>
        </row>
        <row r="8251">
          <cell r="C8251">
            <v>0</v>
          </cell>
        </row>
        <row r="8252">
          <cell r="C8252">
            <v>0</v>
          </cell>
        </row>
        <row r="8253">
          <cell r="C8253">
            <v>0</v>
          </cell>
        </row>
        <row r="8254">
          <cell r="C8254">
            <v>0</v>
          </cell>
        </row>
        <row r="8255">
          <cell r="C8255">
            <v>0</v>
          </cell>
        </row>
        <row r="8256">
          <cell r="C8256">
            <v>0</v>
          </cell>
        </row>
        <row r="8257">
          <cell r="C8257">
            <v>0</v>
          </cell>
        </row>
        <row r="8258">
          <cell r="C8258">
            <v>0</v>
          </cell>
        </row>
        <row r="8259">
          <cell r="C8259">
            <v>0</v>
          </cell>
        </row>
        <row r="8260">
          <cell r="C8260">
            <v>0</v>
          </cell>
        </row>
        <row r="8261">
          <cell r="C8261">
            <v>0</v>
          </cell>
        </row>
        <row r="8262">
          <cell r="C8262">
            <v>0</v>
          </cell>
        </row>
        <row r="8263">
          <cell r="C8263">
            <v>0</v>
          </cell>
        </row>
        <row r="8264">
          <cell r="C8264">
            <v>0</v>
          </cell>
        </row>
        <row r="8265">
          <cell r="C8265">
            <v>0</v>
          </cell>
        </row>
        <row r="8266">
          <cell r="C8266">
            <v>0</v>
          </cell>
        </row>
        <row r="8267">
          <cell r="C8267">
            <v>0</v>
          </cell>
        </row>
        <row r="8268">
          <cell r="C8268">
            <v>0</v>
          </cell>
        </row>
        <row r="8269">
          <cell r="C8269">
            <v>0</v>
          </cell>
        </row>
        <row r="8270">
          <cell r="C8270">
            <v>0</v>
          </cell>
        </row>
        <row r="8271">
          <cell r="C8271">
            <v>0</v>
          </cell>
        </row>
        <row r="8272">
          <cell r="C8272">
            <v>0</v>
          </cell>
        </row>
        <row r="8273">
          <cell r="C8273">
            <v>0</v>
          </cell>
        </row>
        <row r="8274">
          <cell r="C8274">
            <v>0</v>
          </cell>
        </row>
        <row r="8275">
          <cell r="C8275">
            <v>0</v>
          </cell>
        </row>
        <row r="8276">
          <cell r="C8276">
            <v>0</v>
          </cell>
        </row>
        <row r="8277">
          <cell r="C8277">
            <v>0</v>
          </cell>
        </row>
        <row r="8278">
          <cell r="C8278">
            <v>0</v>
          </cell>
        </row>
        <row r="8279">
          <cell r="C8279">
            <v>0</v>
          </cell>
        </row>
        <row r="8280">
          <cell r="C8280">
            <v>0</v>
          </cell>
        </row>
        <row r="8281">
          <cell r="C8281">
            <v>0</v>
          </cell>
        </row>
        <row r="8282">
          <cell r="C8282">
            <v>0</v>
          </cell>
        </row>
        <row r="8283">
          <cell r="C8283">
            <v>0</v>
          </cell>
        </row>
        <row r="8284">
          <cell r="C8284">
            <v>0</v>
          </cell>
        </row>
        <row r="8285">
          <cell r="C8285">
            <v>0</v>
          </cell>
        </row>
        <row r="8286">
          <cell r="C8286">
            <v>0</v>
          </cell>
        </row>
        <row r="8287">
          <cell r="C8287">
            <v>0</v>
          </cell>
        </row>
        <row r="8288">
          <cell r="C8288">
            <v>0</v>
          </cell>
        </row>
        <row r="8289">
          <cell r="C8289">
            <v>0</v>
          </cell>
        </row>
        <row r="8290">
          <cell r="C8290">
            <v>0</v>
          </cell>
        </row>
        <row r="8291">
          <cell r="C8291">
            <v>0</v>
          </cell>
        </row>
        <row r="8292">
          <cell r="C8292">
            <v>0</v>
          </cell>
        </row>
        <row r="8293">
          <cell r="C8293">
            <v>0</v>
          </cell>
        </row>
        <row r="8294">
          <cell r="C8294">
            <v>0</v>
          </cell>
        </row>
        <row r="8295">
          <cell r="C8295">
            <v>0</v>
          </cell>
        </row>
        <row r="8296">
          <cell r="C8296">
            <v>0</v>
          </cell>
        </row>
        <row r="8297">
          <cell r="C8297">
            <v>0</v>
          </cell>
        </row>
        <row r="8298">
          <cell r="C8298">
            <v>0</v>
          </cell>
        </row>
        <row r="8299">
          <cell r="C8299">
            <v>0</v>
          </cell>
        </row>
        <row r="8300">
          <cell r="C8300">
            <v>0</v>
          </cell>
        </row>
        <row r="8301">
          <cell r="C8301">
            <v>0</v>
          </cell>
        </row>
        <row r="8302">
          <cell r="C8302">
            <v>0</v>
          </cell>
        </row>
        <row r="8303">
          <cell r="C8303">
            <v>0</v>
          </cell>
        </row>
        <row r="8304">
          <cell r="C8304">
            <v>0</v>
          </cell>
        </row>
        <row r="8305">
          <cell r="C8305">
            <v>0</v>
          </cell>
        </row>
        <row r="8306">
          <cell r="C8306">
            <v>0</v>
          </cell>
        </row>
        <row r="8307">
          <cell r="C8307">
            <v>0</v>
          </cell>
        </row>
        <row r="8308">
          <cell r="C8308">
            <v>0</v>
          </cell>
        </row>
        <row r="8309">
          <cell r="C8309">
            <v>0</v>
          </cell>
        </row>
        <row r="8310">
          <cell r="C8310">
            <v>0</v>
          </cell>
        </row>
        <row r="8311">
          <cell r="C8311">
            <v>0</v>
          </cell>
        </row>
        <row r="8312">
          <cell r="C8312">
            <v>0</v>
          </cell>
        </row>
        <row r="8313">
          <cell r="C8313">
            <v>0</v>
          </cell>
        </row>
        <row r="8314">
          <cell r="C8314">
            <v>0</v>
          </cell>
        </row>
        <row r="8315">
          <cell r="C8315">
            <v>0</v>
          </cell>
        </row>
        <row r="8316">
          <cell r="C8316">
            <v>0</v>
          </cell>
        </row>
        <row r="8317">
          <cell r="C8317">
            <v>0</v>
          </cell>
        </row>
        <row r="8318">
          <cell r="C8318">
            <v>0</v>
          </cell>
        </row>
        <row r="8319">
          <cell r="C8319">
            <v>0</v>
          </cell>
        </row>
        <row r="8320">
          <cell r="C8320">
            <v>0</v>
          </cell>
        </row>
        <row r="8321">
          <cell r="C8321">
            <v>0</v>
          </cell>
        </row>
        <row r="8322">
          <cell r="C8322">
            <v>0</v>
          </cell>
        </row>
        <row r="8323">
          <cell r="C8323">
            <v>0</v>
          </cell>
        </row>
        <row r="8324">
          <cell r="C8324">
            <v>0</v>
          </cell>
        </row>
        <row r="8325">
          <cell r="C8325">
            <v>0</v>
          </cell>
        </row>
        <row r="8326">
          <cell r="C8326">
            <v>0</v>
          </cell>
        </row>
        <row r="8327">
          <cell r="C8327">
            <v>0</v>
          </cell>
        </row>
        <row r="8328">
          <cell r="C8328">
            <v>0</v>
          </cell>
        </row>
        <row r="8329">
          <cell r="C8329">
            <v>0</v>
          </cell>
        </row>
        <row r="8330">
          <cell r="C8330">
            <v>0</v>
          </cell>
        </row>
        <row r="8331">
          <cell r="C8331">
            <v>0</v>
          </cell>
        </row>
        <row r="8332">
          <cell r="C8332">
            <v>0</v>
          </cell>
        </row>
        <row r="8333">
          <cell r="C8333">
            <v>0</v>
          </cell>
        </row>
        <row r="8334">
          <cell r="C8334">
            <v>0</v>
          </cell>
        </row>
        <row r="8335">
          <cell r="C8335">
            <v>0</v>
          </cell>
        </row>
        <row r="8336">
          <cell r="C8336">
            <v>0</v>
          </cell>
        </row>
        <row r="8337">
          <cell r="C8337">
            <v>0</v>
          </cell>
        </row>
        <row r="8338">
          <cell r="C8338">
            <v>0</v>
          </cell>
        </row>
        <row r="8339">
          <cell r="C8339">
            <v>0</v>
          </cell>
        </row>
        <row r="8340">
          <cell r="C8340">
            <v>0</v>
          </cell>
        </row>
        <row r="8341">
          <cell r="C8341">
            <v>0</v>
          </cell>
        </row>
        <row r="8342">
          <cell r="C8342">
            <v>0</v>
          </cell>
        </row>
        <row r="8343">
          <cell r="C8343">
            <v>0</v>
          </cell>
        </row>
        <row r="8344">
          <cell r="C8344">
            <v>0</v>
          </cell>
        </row>
        <row r="8345">
          <cell r="C8345">
            <v>0</v>
          </cell>
        </row>
        <row r="8346">
          <cell r="C8346">
            <v>0</v>
          </cell>
        </row>
        <row r="8347">
          <cell r="C8347">
            <v>0</v>
          </cell>
        </row>
        <row r="8348">
          <cell r="C8348">
            <v>0</v>
          </cell>
        </row>
        <row r="8349">
          <cell r="C8349">
            <v>0</v>
          </cell>
        </row>
        <row r="8350">
          <cell r="C8350">
            <v>0</v>
          </cell>
        </row>
        <row r="8351">
          <cell r="C8351">
            <v>0</v>
          </cell>
        </row>
        <row r="8352">
          <cell r="C8352">
            <v>0</v>
          </cell>
        </row>
        <row r="8353">
          <cell r="C8353">
            <v>0</v>
          </cell>
        </row>
        <row r="8354">
          <cell r="C8354">
            <v>0</v>
          </cell>
        </row>
        <row r="8355">
          <cell r="C8355">
            <v>0</v>
          </cell>
        </row>
        <row r="8356">
          <cell r="C8356">
            <v>0</v>
          </cell>
        </row>
        <row r="8357">
          <cell r="C8357">
            <v>0</v>
          </cell>
        </row>
        <row r="8358">
          <cell r="C8358">
            <v>0</v>
          </cell>
        </row>
        <row r="8359">
          <cell r="C8359">
            <v>0</v>
          </cell>
        </row>
        <row r="8360">
          <cell r="C8360">
            <v>0</v>
          </cell>
        </row>
        <row r="8361">
          <cell r="C8361">
            <v>0</v>
          </cell>
        </row>
        <row r="8362">
          <cell r="C8362">
            <v>0</v>
          </cell>
        </row>
        <row r="8363">
          <cell r="C8363">
            <v>0</v>
          </cell>
        </row>
        <row r="8364">
          <cell r="C8364">
            <v>0</v>
          </cell>
        </row>
        <row r="8365">
          <cell r="C8365">
            <v>0</v>
          </cell>
        </row>
        <row r="8366">
          <cell r="C8366">
            <v>0</v>
          </cell>
        </row>
        <row r="8367">
          <cell r="C8367">
            <v>0</v>
          </cell>
        </row>
        <row r="8368">
          <cell r="C8368">
            <v>0</v>
          </cell>
        </row>
        <row r="8369">
          <cell r="C8369">
            <v>0</v>
          </cell>
        </row>
        <row r="8370">
          <cell r="C8370">
            <v>0</v>
          </cell>
        </row>
        <row r="8371">
          <cell r="C8371">
            <v>0</v>
          </cell>
        </row>
        <row r="8372">
          <cell r="C8372">
            <v>0</v>
          </cell>
        </row>
        <row r="8373">
          <cell r="C8373">
            <v>0</v>
          </cell>
        </row>
        <row r="8374">
          <cell r="C8374">
            <v>0</v>
          </cell>
        </row>
        <row r="8375">
          <cell r="C8375">
            <v>0</v>
          </cell>
        </row>
        <row r="8376">
          <cell r="C8376">
            <v>0</v>
          </cell>
        </row>
        <row r="8377">
          <cell r="C8377">
            <v>0</v>
          </cell>
        </row>
        <row r="8378">
          <cell r="C8378">
            <v>0</v>
          </cell>
        </row>
        <row r="8379">
          <cell r="C8379">
            <v>0</v>
          </cell>
        </row>
        <row r="8380">
          <cell r="C8380">
            <v>0</v>
          </cell>
        </row>
        <row r="8381">
          <cell r="C8381">
            <v>0</v>
          </cell>
        </row>
        <row r="8382">
          <cell r="C8382">
            <v>0</v>
          </cell>
        </row>
        <row r="8383">
          <cell r="C8383">
            <v>0</v>
          </cell>
        </row>
        <row r="8384">
          <cell r="C8384">
            <v>0</v>
          </cell>
        </row>
        <row r="8385">
          <cell r="C8385">
            <v>0</v>
          </cell>
        </row>
        <row r="8386">
          <cell r="C8386">
            <v>0</v>
          </cell>
        </row>
        <row r="8387">
          <cell r="C8387">
            <v>0</v>
          </cell>
        </row>
        <row r="8388">
          <cell r="C8388">
            <v>0</v>
          </cell>
        </row>
        <row r="8389">
          <cell r="C8389">
            <v>0</v>
          </cell>
        </row>
        <row r="8390">
          <cell r="C8390">
            <v>0</v>
          </cell>
        </row>
        <row r="8391">
          <cell r="C8391">
            <v>0</v>
          </cell>
        </row>
        <row r="8392">
          <cell r="C8392">
            <v>0</v>
          </cell>
        </row>
        <row r="8393">
          <cell r="C8393">
            <v>0</v>
          </cell>
        </row>
        <row r="8394">
          <cell r="C8394">
            <v>0</v>
          </cell>
        </row>
        <row r="8395">
          <cell r="C8395">
            <v>0</v>
          </cell>
        </row>
        <row r="8396">
          <cell r="C8396">
            <v>0</v>
          </cell>
        </row>
        <row r="8397">
          <cell r="C8397">
            <v>0</v>
          </cell>
        </row>
        <row r="8398">
          <cell r="C8398">
            <v>0</v>
          </cell>
        </row>
        <row r="8399">
          <cell r="C8399">
            <v>0</v>
          </cell>
        </row>
        <row r="8400">
          <cell r="C8400">
            <v>0</v>
          </cell>
        </row>
        <row r="8401">
          <cell r="C8401">
            <v>0</v>
          </cell>
        </row>
        <row r="8402">
          <cell r="C8402">
            <v>0</v>
          </cell>
        </row>
        <row r="8403">
          <cell r="C8403">
            <v>0</v>
          </cell>
        </row>
        <row r="8404">
          <cell r="C8404">
            <v>0</v>
          </cell>
        </row>
        <row r="8405">
          <cell r="C8405">
            <v>0</v>
          </cell>
        </row>
        <row r="8406">
          <cell r="C8406">
            <v>0</v>
          </cell>
        </row>
        <row r="8407">
          <cell r="C8407">
            <v>0</v>
          </cell>
        </row>
        <row r="8408">
          <cell r="C8408">
            <v>0</v>
          </cell>
        </row>
        <row r="8409">
          <cell r="C8409">
            <v>0</v>
          </cell>
        </row>
        <row r="8410">
          <cell r="C8410">
            <v>0</v>
          </cell>
        </row>
        <row r="8411">
          <cell r="C8411">
            <v>0</v>
          </cell>
        </row>
        <row r="8412">
          <cell r="C8412">
            <v>0</v>
          </cell>
        </row>
        <row r="8413">
          <cell r="C8413">
            <v>0</v>
          </cell>
        </row>
        <row r="8414">
          <cell r="C8414">
            <v>0</v>
          </cell>
        </row>
        <row r="8415">
          <cell r="C8415">
            <v>0</v>
          </cell>
        </row>
        <row r="8416">
          <cell r="C8416">
            <v>0</v>
          </cell>
        </row>
        <row r="8417">
          <cell r="C8417">
            <v>0</v>
          </cell>
        </row>
        <row r="8418">
          <cell r="C8418">
            <v>0</v>
          </cell>
        </row>
        <row r="8419">
          <cell r="C8419">
            <v>0</v>
          </cell>
        </row>
        <row r="8420">
          <cell r="C8420">
            <v>0</v>
          </cell>
        </row>
        <row r="8421">
          <cell r="C8421">
            <v>0</v>
          </cell>
        </row>
        <row r="8422">
          <cell r="C8422">
            <v>0</v>
          </cell>
        </row>
        <row r="8423">
          <cell r="C8423">
            <v>0</v>
          </cell>
        </row>
        <row r="8424">
          <cell r="C8424">
            <v>0</v>
          </cell>
        </row>
        <row r="8425">
          <cell r="C8425">
            <v>0</v>
          </cell>
        </row>
        <row r="8426">
          <cell r="C8426">
            <v>0</v>
          </cell>
        </row>
        <row r="8427">
          <cell r="C8427">
            <v>0</v>
          </cell>
        </row>
        <row r="8428">
          <cell r="C8428">
            <v>0</v>
          </cell>
        </row>
        <row r="8429">
          <cell r="C8429">
            <v>0</v>
          </cell>
        </row>
        <row r="8430">
          <cell r="C8430">
            <v>0</v>
          </cell>
        </row>
        <row r="8431">
          <cell r="C8431">
            <v>0</v>
          </cell>
        </row>
        <row r="8432">
          <cell r="C8432">
            <v>0</v>
          </cell>
        </row>
        <row r="8433">
          <cell r="C8433">
            <v>0</v>
          </cell>
        </row>
        <row r="8434">
          <cell r="C8434">
            <v>0</v>
          </cell>
        </row>
        <row r="8435">
          <cell r="C8435">
            <v>0</v>
          </cell>
        </row>
        <row r="8436">
          <cell r="C8436">
            <v>0</v>
          </cell>
        </row>
        <row r="8437">
          <cell r="C8437">
            <v>0</v>
          </cell>
        </row>
        <row r="8438">
          <cell r="C8438">
            <v>0</v>
          </cell>
        </row>
        <row r="8439">
          <cell r="C8439">
            <v>0</v>
          </cell>
        </row>
        <row r="8440">
          <cell r="C8440">
            <v>0</v>
          </cell>
        </row>
        <row r="8441">
          <cell r="C8441">
            <v>0</v>
          </cell>
        </row>
        <row r="8442">
          <cell r="C8442">
            <v>0</v>
          </cell>
        </row>
        <row r="8443">
          <cell r="C8443">
            <v>0</v>
          </cell>
        </row>
        <row r="8444">
          <cell r="C8444">
            <v>0</v>
          </cell>
        </row>
        <row r="8445">
          <cell r="C8445">
            <v>0</v>
          </cell>
        </row>
        <row r="8446">
          <cell r="C8446">
            <v>0</v>
          </cell>
        </row>
        <row r="8447">
          <cell r="C8447">
            <v>0</v>
          </cell>
        </row>
        <row r="8448">
          <cell r="C8448">
            <v>0</v>
          </cell>
        </row>
        <row r="8449">
          <cell r="C8449">
            <v>0</v>
          </cell>
        </row>
        <row r="8450">
          <cell r="C8450">
            <v>0</v>
          </cell>
        </row>
        <row r="8451">
          <cell r="C8451">
            <v>0</v>
          </cell>
        </row>
        <row r="8452">
          <cell r="C8452">
            <v>0</v>
          </cell>
        </row>
        <row r="8453">
          <cell r="C8453">
            <v>0</v>
          </cell>
        </row>
        <row r="8454">
          <cell r="C8454">
            <v>0</v>
          </cell>
        </row>
        <row r="8455">
          <cell r="C8455">
            <v>0</v>
          </cell>
        </row>
        <row r="8456">
          <cell r="C8456">
            <v>0</v>
          </cell>
        </row>
        <row r="8457">
          <cell r="C8457">
            <v>0</v>
          </cell>
        </row>
        <row r="8458">
          <cell r="C8458">
            <v>0</v>
          </cell>
        </row>
        <row r="8459">
          <cell r="C8459">
            <v>0</v>
          </cell>
        </row>
        <row r="8460">
          <cell r="C8460">
            <v>0</v>
          </cell>
        </row>
        <row r="8461">
          <cell r="C8461">
            <v>0</v>
          </cell>
        </row>
        <row r="8462">
          <cell r="C8462">
            <v>0</v>
          </cell>
        </row>
        <row r="8463">
          <cell r="C8463">
            <v>0</v>
          </cell>
        </row>
        <row r="8464">
          <cell r="C8464">
            <v>0</v>
          </cell>
        </row>
        <row r="8465">
          <cell r="C8465">
            <v>0</v>
          </cell>
        </row>
        <row r="8466">
          <cell r="C8466">
            <v>0</v>
          </cell>
        </row>
        <row r="8467">
          <cell r="C8467">
            <v>0</v>
          </cell>
        </row>
        <row r="8468">
          <cell r="C8468">
            <v>0</v>
          </cell>
        </row>
        <row r="8469">
          <cell r="C8469">
            <v>0</v>
          </cell>
        </row>
        <row r="8470">
          <cell r="C8470">
            <v>0</v>
          </cell>
        </row>
        <row r="8471">
          <cell r="C8471">
            <v>0</v>
          </cell>
        </row>
        <row r="8472">
          <cell r="C8472">
            <v>0</v>
          </cell>
        </row>
        <row r="8473">
          <cell r="C8473">
            <v>0</v>
          </cell>
        </row>
        <row r="8474">
          <cell r="C8474">
            <v>0</v>
          </cell>
        </row>
        <row r="8475">
          <cell r="C8475">
            <v>0</v>
          </cell>
        </row>
        <row r="8476">
          <cell r="C8476">
            <v>0</v>
          </cell>
        </row>
        <row r="8477">
          <cell r="C8477">
            <v>0</v>
          </cell>
        </row>
        <row r="8478">
          <cell r="C8478">
            <v>0</v>
          </cell>
        </row>
        <row r="8479">
          <cell r="C8479">
            <v>0</v>
          </cell>
        </row>
        <row r="8480">
          <cell r="C8480">
            <v>0</v>
          </cell>
        </row>
        <row r="8481">
          <cell r="C8481">
            <v>0</v>
          </cell>
        </row>
        <row r="8482">
          <cell r="C8482">
            <v>0</v>
          </cell>
        </row>
        <row r="8483">
          <cell r="C8483">
            <v>0</v>
          </cell>
        </row>
        <row r="8484">
          <cell r="C8484">
            <v>0</v>
          </cell>
        </row>
        <row r="8485">
          <cell r="C8485">
            <v>0</v>
          </cell>
        </row>
        <row r="8486">
          <cell r="C8486">
            <v>0</v>
          </cell>
        </row>
        <row r="8487">
          <cell r="C8487">
            <v>0</v>
          </cell>
        </row>
        <row r="8488">
          <cell r="C8488">
            <v>0</v>
          </cell>
        </row>
        <row r="8489">
          <cell r="C8489">
            <v>0</v>
          </cell>
        </row>
        <row r="8490">
          <cell r="C8490">
            <v>0</v>
          </cell>
        </row>
        <row r="8491">
          <cell r="C8491">
            <v>0</v>
          </cell>
        </row>
        <row r="8492">
          <cell r="C8492">
            <v>0</v>
          </cell>
        </row>
        <row r="8493">
          <cell r="C8493">
            <v>0</v>
          </cell>
        </row>
        <row r="8494">
          <cell r="C8494">
            <v>0</v>
          </cell>
        </row>
        <row r="8495">
          <cell r="C8495">
            <v>0</v>
          </cell>
        </row>
        <row r="8496">
          <cell r="C8496">
            <v>0</v>
          </cell>
        </row>
        <row r="8497">
          <cell r="C8497">
            <v>0</v>
          </cell>
        </row>
        <row r="8498">
          <cell r="C8498">
            <v>0</v>
          </cell>
        </row>
        <row r="8499">
          <cell r="C8499">
            <v>0</v>
          </cell>
        </row>
        <row r="8500">
          <cell r="C8500">
            <v>0</v>
          </cell>
        </row>
        <row r="8501">
          <cell r="C8501">
            <v>0</v>
          </cell>
        </row>
        <row r="8502">
          <cell r="C8502">
            <v>0</v>
          </cell>
        </row>
        <row r="8503">
          <cell r="C8503">
            <v>0</v>
          </cell>
        </row>
        <row r="8504">
          <cell r="C8504">
            <v>0</v>
          </cell>
        </row>
        <row r="8505">
          <cell r="C8505">
            <v>0</v>
          </cell>
        </row>
        <row r="8506">
          <cell r="C8506">
            <v>0</v>
          </cell>
        </row>
        <row r="8507">
          <cell r="C8507">
            <v>0</v>
          </cell>
        </row>
        <row r="8508">
          <cell r="C8508">
            <v>0</v>
          </cell>
        </row>
        <row r="8509">
          <cell r="C8509">
            <v>0</v>
          </cell>
        </row>
        <row r="8510">
          <cell r="C8510">
            <v>0</v>
          </cell>
        </row>
        <row r="8511">
          <cell r="C8511">
            <v>0</v>
          </cell>
        </row>
        <row r="8512">
          <cell r="C8512">
            <v>0</v>
          </cell>
        </row>
        <row r="8513">
          <cell r="C8513">
            <v>0</v>
          </cell>
        </row>
        <row r="8514">
          <cell r="C8514">
            <v>0</v>
          </cell>
        </row>
        <row r="8515">
          <cell r="C8515">
            <v>0</v>
          </cell>
        </row>
        <row r="8516">
          <cell r="C8516">
            <v>0</v>
          </cell>
        </row>
        <row r="8517">
          <cell r="C8517">
            <v>0</v>
          </cell>
        </row>
        <row r="8518">
          <cell r="C8518">
            <v>0</v>
          </cell>
        </row>
        <row r="8519">
          <cell r="C8519">
            <v>0</v>
          </cell>
        </row>
        <row r="8520">
          <cell r="C8520">
            <v>0</v>
          </cell>
        </row>
        <row r="8521">
          <cell r="C8521">
            <v>0</v>
          </cell>
        </row>
        <row r="8522">
          <cell r="C8522">
            <v>0</v>
          </cell>
        </row>
        <row r="8523">
          <cell r="C8523">
            <v>0</v>
          </cell>
        </row>
        <row r="8524">
          <cell r="C8524">
            <v>0</v>
          </cell>
        </row>
        <row r="8525">
          <cell r="C8525">
            <v>0</v>
          </cell>
        </row>
        <row r="8526">
          <cell r="C8526">
            <v>0</v>
          </cell>
        </row>
        <row r="8527">
          <cell r="C8527">
            <v>0</v>
          </cell>
        </row>
        <row r="8528">
          <cell r="C8528">
            <v>0</v>
          </cell>
        </row>
        <row r="8529">
          <cell r="C8529">
            <v>0</v>
          </cell>
        </row>
        <row r="8530">
          <cell r="C8530">
            <v>0</v>
          </cell>
        </row>
        <row r="8531">
          <cell r="C8531">
            <v>0</v>
          </cell>
        </row>
        <row r="8532">
          <cell r="C8532">
            <v>0</v>
          </cell>
        </row>
        <row r="8533">
          <cell r="C8533">
            <v>0</v>
          </cell>
        </row>
        <row r="8534">
          <cell r="C8534">
            <v>0</v>
          </cell>
        </row>
        <row r="8535">
          <cell r="C8535">
            <v>0</v>
          </cell>
        </row>
        <row r="8536">
          <cell r="C8536">
            <v>0</v>
          </cell>
        </row>
        <row r="8537">
          <cell r="C8537">
            <v>0</v>
          </cell>
        </row>
        <row r="8538">
          <cell r="C8538">
            <v>0</v>
          </cell>
        </row>
        <row r="8539">
          <cell r="C8539">
            <v>0</v>
          </cell>
        </row>
        <row r="8540">
          <cell r="C8540">
            <v>0</v>
          </cell>
        </row>
        <row r="8541">
          <cell r="C8541">
            <v>0</v>
          </cell>
        </row>
        <row r="8542">
          <cell r="C8542">
            <v>0</v>
          </cell>
        </row>
        <row r="8543">
          <cell r="C8543">
            <v>0</v>
          </cell>
        </row>
        <row r="8544">
          <cell r="C8544">
            <v>0</v>
          </cell>
        </row>
        <row r="8545">
          <cell r="C8545">
            <v>0</v>
          </cell>
        </row>
        <row r="8546">
          <cell r="C8546">
            <v>0</v>
          </cell>
        </row>
        <row r="8547">
          <cell r="C8547">
            <v>0</v>
          </cell>
        </row>
        <row r="8548">
          <cell r="C8548">
            <v>0</v>
          </cell>
        </row>
        <row r="8549">
          <cell r="C8549">
            <v>0</v>
          </cell>
        </row>
        <row r="8550">
          <cell r="C8550">
            <v>0</v>
          </cell>
        </row>
        <row r="8551">
          <cell r="C8551">
            <v>0</v>
          </cell>
        </row>
        <row r="8552">
          <cell r="C8552">
            <v>0</v>
          </cell>
        </row>
        <row r="8553">
          <cell r="C8553">
            <v>0</v>
          </cell>
        </row>
        <row r="8554">
          <cell r="C8554">
            <v>0</v>
          </cell>
        </row>
        <row r="8555">
          <cell r="C8555">
            <v>0</v>
          </cell>
        </row>
        <row r="8556">
          <cell r="C8556">
            <v>0</v>
          </cell>
        </row>
        <row r="8557">
          <cell r="C8557">
            <v>0</v>
          </cell>
        </row>
        <row r="8558">
          <cell r="C8558">
            <v>0</v>
          </cell>
        </row>
        <row r="8559">
          <cell r="C8559">
            <v>0</v>
          </cell>
        </row>
        <row r="8560">
          <cell r="C8560">
            <v>0</v>
          </cell>
        </row>
        <row r="8561">
          <cell r="C8561">
            <v>0</v>
          </cell>
        </row>
        <row r="8562">
          <cell r="C8562">
            <v>0</v>
          </cell>
        </row>
        <row r="8563">
          <cell r="C8563">
            <v>0</v>
          </cell>
        </row>
        <row r="8564">
          <cell r="C8564">
            <v>0</v>
          </cell>
        </row>
        <row r="8565">
          <cell r="C8565">
            <v>0</v>
          </cell>
        </row>
        <row r="8566">
          <cell r="C8566">
            <v>0</v>
          </cell>
        </row>
        <row r="8567">
          <cell r="C8567">
            <v>0</v>
          </cell>
        </row>
        <row r="8568">
          <cell r="C8568">
            <v>0</v>
          </cell>
        </row>
        <row r="8569">
          <cell r="C8569">
            <v>0</v>
          </cell>
        </row>
        <row r="8570">
          <cell r="C8570">
            <v>0</v>
          </cell>
        </row>
        <row r="8571">
          <cell r="C8571">
            <v>0</v>
          </cell>
        </row>
        <row r="8572">
          <cell r="C8572">
            <v>0</v>
          </cell>
        </row>
        <row r="8573">
          <cell r="C8573">
            <v>0</v>
          </cell>
        </row>
        <row r="8574">
          <cell r="C8574">
            <v>0</v>
          </cell>
        </row>
        <row r="8575">
          <cell r="C8575">
            <v>0</v>
          </cell>
        </row>
        <row r="8576">
          <cell r="C8576">
            <v>0</v>
          </cell>
        </row>
        <row r="8577">
          <cell r="C8577">
            <v>0</v>
          </cell>
        </row>
        <row r="8578">
          <cell r="C8578">
            <v>0</v>
          </cell>
        </row>
        <row r="8579">
          <cell r="C8579">
            <v>0</v>
          </cell>
        </row>
        <row r="8580">
          <cell r="C8580">
            <v>0</v>
          </cell>
        </row>
        <row r="8581">
          <cell r="C8581">
            <v>0</v>
          </cell>
        </row>
        <row r="8582">
          <cell r="C8582">
            <v>0</v>
          </cell>
        </row>
        <row r="8583">
          <cell r="C8583">
            <v>0</v>
          </cell>
        </row>
        <row r="8584">
          <cell r="C8584">
            <v>0</v>
          </cell>
        </row>
        <row r="8585">
          <cell r="C8585">
            <v>0</v>
          </cell>
        </row>
        <row r="8586">
          <cell r="C8586">
            <v>0</v>
          </cell>
        </row>
        <row r="8587">
          <cell r="C8587">
            <v>0</v>
          </cell>
        </row>
        <row r="8588">
          <cell r="C8588">
            <v>0</v>
          </cell>
        </row>
        <row r="8589">
          <cell r="C8589">
            <v>0</v>
          </cell>
        </row>
        <row r="8590">
          <cell r="C8590">
            <v>0</v>
          </cell>
        </row>
        <row r="8591">
          <cell r="C8591">
            <v>0</v>
          </cell>
        </row>
        <row r="8592">
          <cell r="C8592">
            <v>0</v>
          </cell>
        </row>
        <row r="8593">
          <cell r="C8593">
            <v>0</v>
          </cell>
        </row>
        <row r="8594">
          <cell r="C8594">
            <v>0</v>
          </cell>
        </row>
        <row r="8595">
          <cell r="C8595">
            <v>0</v>
          </cell>
        </row>
        <row r="8596">
          <cell r="C8596">
            <v>0</v>
          </cell>
        </row>
        <row r="8597">
          <cell r="C8597">
            <v>0</v>
          </cell>
        </row>
        <row r="8598">
          <cell r="C8598">
            <v>0</v>
          </cell>
        </row>
        <row r="8599">
          <cell r="C8599">
            <v>0</v>
          </cell>
        </row>
        <row r="8600">
          <cell r="C8600">
            <v>0</v>
          </cell>
        </row>
        <row r="8601">
          <cell r="C8601">
            <v>0</v>
          </cell>
        </row>
        <row r="8602">
          <cell r="C8602">
            <v>0</v>
          </cell>
        </row>
        <row r="8603">
          <cell r="C8603">
            <v>0</v>
          </cell>
        </row>
        <row r="8604">
          <cell r="C8604">
            <v>0</v>
          </cell>
        </row>
        <row r="8605">
          <cell r="C8605">
            <v>0</v>
          </cell>
        </row>
        <row r="8606">
          <cell r="C8606">
            <v>0</v>
          </cell>
        </row>
        <row r="8607">
          <cell r="C8607">
            <v>0</v>
          </cell>
        </row>
        <row r="8608">
          <cell r="C8608">
            <v>0</v>
          </cell>
        </row>
        <row r="8609">
          <cell r="C8609">
            <v>0</v>
          </cell>
        </row>
        <row r="8610">
          <cell r="C8610">
            <v>0</v>
          </cell>
        </row>
        <row r="8611">
          <cell r="C8611">
            <v>0</v>
          </cell>
        </row>
        <row r="8612">
          <cell r="C8612">
            <v>0</v>
          </cell>
        </row>
        <row r="8613">
          <cell r="C8613">
            <v>0</v>
          </cell>
        </row>
        <row r="8614">
          <cell r="C8614">
            <v>0</v>
          </cell>
        </row>
        <row r="8615">
          <cell r="C8615">
            <v>0</v>
          </cell>
        </row>
        <row r="8616">
          <cell r="C8616">
            <v>0</v>
          </cell>
        </row>
        <row r="8617">
          <cell r="C8617">
            <v>0</v>
          </cell>
        </row>
        <row r="8618">
          <cell r="C8618">
            <v>0</v>
          </cell>
        </row>
        <row r="8619">
          <cell r="C8619">
            <v>0</v>
          </cell>
        </row>
        <row r="8620">
          <cell r="C8620">
            <v>0</v>
          </cell>
        </row>
        <row r="8621">
          <cell r="C8621">
            <v>0</v>
          </cell>
        </row>
        <row r="8622">
          <cell r="C8622">
            <v>0</v>
          </cell>
        </row>
        <row r="8623">
          <cell r="C8623">
            <v>0</v>
          </cell>
        </row>
        <row r="8624">
          <cell r="C8624">
            <v>0</v>
          </cell>
        </row>
        <row r="8625">
          <cell r="C8625">
            <v>0</v>
          </cell>
        </row>
        <row r="8626">
          <cell r="C8626">
            <v>0</v>
          </cell>
        </row>
        <row r="8627">
          <cell r="C8627">
            <v>0</v>
          </cell>
        </row>
        <row r="8628">
          <cell r="C8628">
            <v>0</v>
          </cell>
        </row>
        <row r="8629">
          <cell r="C8629">
            <v>0</v>
          </cell>
        </row>
        <row r="8630">
          <cell r="C8630">
            <v>0</v>
          </cell>
        </row>
        <row r="8631">
          <cell r="C8631">
            <v>0</v>
          </cell>
        </row>
        <row r="8632">
          <cell r="C8632">
            <v>0</v>
          </cell>
        </row>
        <row r="8633">
          <cell r="C8633">
            <v>0</v>
          </cell>
        </row>
        <row r="8634">
          <cell r="C8634">
            <v>0</v>
          </cell>
        </row>
        <row r="8635">
          <cell r="C8635">
            <v>0</v>
          </cell>
        </row>
        <row r="8636">
          <cell r="C8636">
            <v>0</v>
          </cell>
        </row>
        <row r="8637">
          <cell r="C8637">
            <v>0</v>
          </cell>
        </row>
        <row r="8638">
          <cell r="C8638">
            <v>0</v>
          </cell>
        </row>
        <row r="8639">
          <cell r="C8639">
            <v>0</v>
          </cell>
        </row>
        <row r="8640">
          <cell r="C8640">
            <v>0</v>
          </cell>
        </row>
        <row r="8641">
          <cell r="C8641">
            <v>0</v>
          </cell>
        </row>
        <row r="8642">
          <cell r="C8642">
            <v>0</v>
          </cell>
        </row>
        <row r="8643">
          <cell r="C8643">
            <v>0</v>
          </cell>
        </row>
        <row r="8644">
          <cell r="C8644">
            <v>0</v>
          </cell>
        </row>
        <row r="8645">
          <cell r="C8645">
            <v>0</v>
          </cell>
        </row>
        <row r="8646">
          <cell r="C8646">
            <v>0</v>
          </cell>
        </row>
        <row r="8647">
          <cell r="C8647">
            <v>0</v>
          </cell>
        </row>
        <row r="8648">
          <cell r="C8648">
            <v>0</v>
          </cell>
        </row>
        <row r="8649">
          <cell r="C8649">
            <v>0</v>
          </cell>
        </row>
        <row r="8650">
          <cell r="C8650">
            <v>0</v>
          </cell>
        </row>
        <row r="8651">
          <cell r="C8651">
            <v>0</v>
          </cell>
        </row>
        <row r="8652">
          <cell r="C8652">
            <v>0</v>
          </cell>
        </row>
        <row r="8653">
          <cell r="C8653">
            <v>0</v>
          </cell>
        </row>
        <row r="8654">
          <cell r="C8654">
            <v>0</v>
          </cell>
        </row>
        <row r="8655">
          <cell r="C8655">
            <v>0</v>
          </cell>
        </row>
        <row r="8656">
          <cell r="C8656">
            <v>0</v>
          </cell>
        </row>
        <row r="8657">
          <cell r="C8657">
            <v>0</v>
          </cell>
        </row>
        <row r="8658">
          <cell r="C8658">
            <v>0</v>
          </cell>
        </row>
        <row r="8659">
          <cell r="C8659">
            <v>0</v>
          </cell>
        </row>
        <row r="8660">
          <cell r="C8660">
            <v>0</v>
          </cell>
        </row>
        <row r="8661">
          <cell r="C8661">
            <v>0</v>
          </cell>
        </row>
        <row r="8662">
          <cell r="C8662">
            <v>0</v>
          </cell>
        </row>
        <row r="8663">
          <cell r="C8663">
            <v>0</v>
          </cell>
        </row>
        <row r="8664">
          <cell r="C8664">
            <v>0</v>
          </cell>
        </row>
        <row r="8665">
          <cell r="C8665">
            <v>0</v>
          </cell>
        </row>
        <row r="8666">
          <cell r="C8666">
            <v>0</v>
          </cell>
        </row>
        <row r="8667">
          <cell r="C8667">
            <v>0</v>
          </cell>
        </row>
        <row r="8668">
          <cell r="C8668">
            <v>0</v>
          </cell>
        </row>
        <row r="8669">
          <cell r="C8669">
            <v>0</v>
          </cell>
        </row>
        <row r="8670">
          <cell r="C8670">
            <v>0</v>
          </cell>
        </row>
        <row r="8671">
          <cell r="C8671">
            <v>0</v>
          </cell>
        </row>
        <row r="8672">
          <cell r="C8672">
            <v>0</v>
          </cell>
        </row>
        <row r="8673">
          <cell r="C8673">
            <v>0</v>
          </cell>
        </row>
        <row r="8674">
          <cell r="C8674">
            <v>0</v>
          </cell>
        </row>
        <row r="8675">
          <cell r="C8675">
            <v>0</v>
          </cell>
        </row>
        <row r="8676">
          <cell r="C8676">
            <v>0</v>
          </cell>
        </row>
        <row r="8677">
          <cell r="C8677">
            <v>0</v>
          </cell>
        </row>
        <row r="8678">
          <cell r="C8678">
            <v>0</v>
          </cell>
        </row>
        <row r="8679">
          <cell r="C8679">
            <v>0</v>
          </cell>
        </row>
        <row r="8680">
          <cell r="C8680">
            <v>0</v>
          </cell>
        </row>
        <row r="8681">
          <cell r="C8681">
            <v>0</v>
          </cell>
        </row>
        <row r="8682">
          <cell r="C8682">
            <v>0</v>
          </cell>
        </row>
        <row r="8683">
          <cell r="C8683">
            <v>0</v>
          </cell>
        </row>
        <row r="8684">
          <cell r="C8684">
            <v>0</v>
          </cell>
        </row>
        <row r="8685">
          <cell r="C8685">
            <v>0</v>
          </cell>
        </row>
        <row r="8686">
          <cell r="C8686">
            <v>0</v>
          </cell>
        </row>
        <row r="8687">
          <cell r="C8687">
            <v>0</v>
          </cell>
        </row>
        <row r="8688">
          <cell r="C8688">
            <v>0</v>
          </cell>
        </row>
        <row r="8689">
          <cell r="C8689">
            <v>0</v>
          </cell>
        </row>
        <row r="8690">
          <cell r="C8690">
            <v>0</v>
          </cell>
        </row>
        <row r="8691">
          <cell r="C8691">
            <v>0</v>
          </cell>
        </row>
        <row r="8692">
          <cell r="C8692">
            <v>0</v>
          </cell>
        </row>
        <row r="8693">
          <cell r="C8693">
            <v>0</v>
          </cell>
        </row>
        <row r="8694">
          <cell r="C8694">
            <v>0</v>
          </cell>
        </row>
        <row r="8695">
          <cell r="C8695">
            <v>0</v>
          </cell>
        </row>
        <row r="8696">
          <cell r="C8696">
            <v>0</v>
          </cell>
        </row>
        <row r="8697">
          <cell r="C8697">
            <v>0</v>
          </cell>
        </row>
        <row r="8698">
          <cell r="C8698">
            <v>0</v>
          </cell>
        </row>
        <row r="8699">
          <cell r="C8699">
            <v>0</v>
          </cell>
        </row>
        <row r="8700">
          <cell r="C8700">
            <v>0</v>
          </cell>
        </row>
        <row r="8701">
          <cell r="C8701">
            <v>0</v>
          </cell>
        </row>
        <row r="8702">
          <cell r="C8702">
            <v>0</v>
          </cell>
        </row>
        <row r="8703">
          <cell r="C8703">
            <v>0</v>
          </cell>
        </row>
        <row r="8704">
          <cell r="C8704">
            <v>0</v>
          </cell>
        </row>
        <row r="8705">
          <cell r="C8705">
            <v>0</v>
          </cell>
        </row>
        <row r="8706">
          <cell r="C8706">
            <v>0</v>
          </cell>
        </row>
        <row r="8707">
          <cell r="C8707">
            <v>0</v>
          </cell>
        </row>
        <row r="8708">
          <cell r="C8708">
            <v>0</v>
          </cell>
        </row>
        <row r="8709">
          <cell r="C8709">
            <v>0</v>
          </cell>
        </row>
        <row r="8710">
          <cell r="C8710">
            <v>0</v>
          </cell>
        </row>
        <row r="8711">
          <cell r="C8711">
            <v>0</v>
          </cell>
        </row>
        <row r="8712">
          <cell r="C8712">
            <v>0</v>
          </cell>
        </row>
        <row r="8713">
          <cell r="C8713">
            <v>0</v>
          </cell>
        </row>
        <row r="8714">
          <cell r="C8714">
            <v>0</v>
          </cell>
        </row>
        <row r="8715">
          <cell r="C8715">
            <v>0</v>
          </cell>
        </row>
        <row r="8716">
          <cell r="C8716">
            <v>0</v>
          </cell>
        </row>
        <row r="8717">
          <cell r="C8717">
            <v>0</v>
          </cell>
        </row>
        <row r="8718">
          <cell r="C8718">
            <v>0</v>
          </cell>
        </row>
        <row r="8719">
          <cell r="C8719">
            <v>0</v>
          </cell>
        </row>
        <row r="8720">
          <cell r="C8720">
            <v>0</v>
          </cell>
        </row>
        <row r="8721">
          <cell r="C8721">
            <v>0</v>
          </cell>
        </row>
        <row r="8722">
          <cell r="C8722">
            <v>0</v>
          </cell>
        </row>
        <row r="8723">
          <cell r="C8723">
            <v>0</v>
          </cell>
        </row>
        <row r="8724">
          <cell r="C8724">
            <v>0</v>
          </cell>
        </row>
        <row r="8725">
          <cell r="C8725">
            <v>0</v>
          </cell>
        </row>
        <row r="8726">
          <cell r="C8726">
            <v>0</v>
          </cell>
        </row>
        <row r="8727">
          <cell r="C8727">
            <v>0</v>
          </cell>
        </row>
        <row r="8728">
          <cell r="C8728">
            <v>0</v>
          </cell>
        </row>
        <row r="8729">
          <cell r="C8729">
            <v>0</v>
          </cell>
        </row>
        <row r="8730">
          <cell r="C8730">
            <v>0</v>
          </cell>
        </row>
        <row r="8731">
          <cell r="C8731">
            <v>0</v>
          </cell>
        </row>
        <row r="8732">
          <cell r="C8732">
            <v>0</v>
          </cell>
        </row>
        <row r="8733">
          <cell r="C8733">
            <v>0</v>
          </cell>
        </row>
        <row r="8734">
          <cell r="C8734">
            <v>0</v>
          </cell>
        </row>
        <row r="8735">
          <cell r="C8735">
            <v>0</v>
          </cell>
        </row>
        <row r="8736">
          <cell r="C8736">
            <v>0</v>
          </cell>
        </row>
        <row r="8737">
          <cell r="C8737">
            <v>0</v>
          </cell>
        </row>
        <row r="8738">
          <cell r="C8738">
            <v>0</v>
          </cell>
        </row>
        <row r="8739">
          <cell r="C8739">
            <v>0</v>
          </cell>
        </row>
        <row r="8740">
          <cell r="C8740">
            <v>0</v>
          </cell>
        </row>
        <row r="8741">
          <cell r="C8741">
            <v>0</v>
          </cell>
        </row>
        <row r="8742">
          <cell r="C8742">
            <v>0</v>
          </cell>
        </row>
        <row r="8743">
          <cell r="C8743">
            <v>0</v>
          </cell>
        </row>
        <row r="8744">
          <cell r="C8744">
            <v>0</v>
          </cell>
        </row>
        <row r="8745">
          <cell r="C8745">
            <v>0</v>
          </cell>
        </row>
        <row r="8746">
          <cell r="C8746">
            <v>0</v>
          </cell>
        </row>
        <row r="8747">
          <cell r="C8747">
            <v>0</v>
          </cell>
        </row>
        <row r="8748">
          <cell r="C8748">
            <v>0</v>
          </cell>
        </row>
        <row r="8749">
          <cell r="C8749">
            <v>0</v>
          </cell>
        </row>
        <row r="8750">
          <cell r="C8750">
            <v>0</v>
          </cell>
        </row>
        <row r="8751">
          <cell r="C8751">
            <v>0</v>
          </cell>
        </row>
        <row r="8752">
          <cell r="C8752">
            <v>0</v>
          </cell>
        </row>
        <row r="8753">
          <cell r="C8753">
            <v>0</v>
          </cell>
        </row>
        <row r="8754">
          <cell r="C8754">
            <v>0</v>
          </cell>
        </row>
        <row r="8755">
          <cell r="C8755">
            <v>0</v>
          </cell>
        </row>
        <row r="8756">
          <cell r="C8756">
            <v>0</v>
          </cell>
        </row>
        <row r="8757">
          <cell r="C8757">
            <v>0</v>
          </cell>
        </row>
        <row r="8758">
          <cell r="C8758">
            <v>0</v>
          </cell>
        </row>
        <row r="8759">
          <cell r="C8759">
            <v>0</v>
          </cell>
        </row>
        <row r="8760">
          <cell r="C8760">
            <v>0</v>
          </cell>
        </row>
        <row r="8761">
          <cell r="C8761">
            <v>0</v>
          </cell>
        </row>
        <row r="8762">
          <cell r="C8762">
            <v>0</v>
          </cell>
        </row>
        <row r="8763">
          <cell r="C8763">
            <v>0</v>
          </cell>
        </row>
        <row r="8764">
          <cell r="C8764">
            <v>0</v>
          </cell>
        </row>
        <row r="8765">
          <cell r="C8765">
            <v>0</v>
          </cell>
        </row>
        <row r="8766">
          <cell r="C8766">
            <v>0</v>
          </cell>
        </row>
        <row r="8767">
          <cell r="C8767">
            <v>0</v>
          </cell>
        </row>
        <row r="8768">
          <cell r="C8768">
            <v>0</v>
          </cell>
        </row>
        <row r="8769">
          <cell r="C8769">
            <v>0</v>
          </cell>
        </row>
        <row r="8770">
          <cell r="C8770">
            <v>0</v>
          </cell>
        </row>
        <row r="8771">
          <cell r="C8771">
            <v>0</v>
          </cell>
        </row>
        <row r="8772">
          <cell r="C8772">
            <v>0</v>
          </cell>
        </row>
        <row r="8773">
          <cell r="C8773">
            <v>0</v>
          </cell>
        </row>
        <row r="8774">
          <cell r="C8774">
            <v>0</v>
          </cell>
        </row>
        <row r="8775">
          <cell r="C8775">
            <v>0</v>
          </cell>
        </row>
        <row r="8776">
          <cell r="C8776">
            <v>0</v>
          </cell>
        </row>
        <row r="8777">
          <cell r="C8777">
            <v>0</v>
          </cell>
        </row>
        <row r="8778">
          <cell r="C8778">
            <v>0</v>
          </cell>
        </row>
        <row r="8779">
          <cell r="C8779">
            <v>0</v>
          </cell>
        </row>
        <row r="8780">
          <cell r="C8780">
            <v>0</v>
          </cell>
        </row>
        <row r="8781">
          <cell r="C8781">
            <v>0</v>
          </cell>
        </row>
        <row r="8782">
          <cell r="C8782">
            <v>0</v>
          </cell>
        </row>
        <row r="8783">
          <cell r="C8783">
            <v>0</v>
          </cell>
        </row>
        <row r="8784">
          <cell r="C8784">
            <v>0</v>
          </cell>
        </row>
        <row r="8785">
          <cell r="C8785">
            <v>0</v>
          </cell>
        </row>
        <row r="8786">
          <cell r="C8786">
            <v>0</v>
          </cell>
        </row>
        <row r="8787">
          <cell r="C8787">
            <v>0</v>
          </cell>
        </row>
        <row r="8788">
          <cell r="C8788">
            <v>0</v>
          </cell>
        </row>
        <row r="8789">
          <cell r="C8789">
            <v>0</v>
          </cell>
        </row>
        <row r="8790">
          <cell r="C8790">
            <v>0</v>
          </cell>
        </row>
        <row r="8791">
          <cell r="C8791">
            <v>0</v>
          </cell>
        </row>
        <row r="8792">
          <cell r="C8792">
            <v>0</v>
          </cell>
        </row>
        <row r="8793">
          <cell r="C8793">
            <v>0</v>
          </cell>
        </row>
        <row r="8794">
          <cell r="C8794">
            <v>0</v>
          </cell>
        </row>
        <row r="8795">
          <cell r="C8795">
            <v>0</v>
          </cell>
        </row>
        <row r="8796">
          <cell r="C8796">
            <v>0</v>
          </cell>
        </row>
        <row r="8797">
          <cell r="C8797">
            <v>0</v>
          </cell>
        </row>
        <row r="8798">
          <cell r="C8798">
            <v>0</v>
          </cell>
        </row>
        <row r="8799">
          <cell r="C8799">
            <v>0</v>
          </cell>
        </row>
        <row r="8800">
          <cell r="C8800">
            <v>0</v>
          </cell>
        </row>
        <row r="8801">
          <cell r="C8801">
            <v>0</v>
          </cell>
        </row>
        <row r="8802">
          <cell r="C8802">
            <v>0</v>
          </cell>
        </row>
        <row r="8803">
          <cell r="C8803">
            <v>0</v>
          </cell>
        </row>
        <row r="8804">
          <cell r="C8804">
            <v>0</v>
          </cell>
        </row>
        <row r="8805">
          <cell r="C8805">
            <v>0</v>
          </cell>
        </row>
        <row r="8806">
          <cell r="C8806">
            <v>0</v>
          </cell>
        </row>
        <row r="8807">
          <cell r="C8807">
            <v>0</v>
          </cell>
        </row>
        <row r="8808">
          <cell r="C8808">
            <v>0</v>
          </cell>
        </row>
        <row r="8809">
          <cell r="C8809">
            <v>0</v>
          </cell>
        </row>
        <row r="8810">
          <cell r="C8810">
            <v>0</v>
          </cell>
        </row>
        <row r="8811">
          <cell r="C8811">
            <v>0</v>
          </cell>
        </row>
        <row r="8812">
          <cell r="C8812">
            <v>0</v>
          </cell>
        </row>
        <row r="8813">
          <cell r="C8813">
            <v>0</v>
          </cell>
        </row>
        <row r="8814">
          <cell r="C8814">
            <v>0</v>
          </cell>
        </row>
        <row r="8815">
          <cell r="C8815">
            <v>0</v>
          </cell>
        </row>
        <row r="8816">
          <cell r="C8816">
            <v>0</v>
          </cell>
        </row>
        <row r="8817">
          <cell r="C8817">
            <v>0</v>
          </cell>
        </row>
        <row r="8818">
          <cell r="C8818">
            <v>0</v>
          </cell>
        </row>
        <row r="8819">
          <cell r="C8819">
            <v>0</v>
          </cell>
        </row>
        <row r="8820">
          <cell r="C8820">
            <v>0</v>
          </cell>
        </row>
        <row r="8821">
          <cell r="C8821">
            <v>0</v>
          </cell>
        </row>
        <row r="8822">
          <cell r="C8822">
            <v>0</v>
          </cell>
        </row>
        <row r="8823">
          <cell r="C8823">
            <v>0</v>
          </cell>
        </row>
        <row r="8824">
          <cell r="C8824">
            <v>0</v>
          </cell>
        </row>
        <row r="8825">
          <cell r="C8825">
            <v>0</v>
          </cell>
        </row>
        <row r="8826">
          <cell r="C8826">
            <v>0</v>
          </cell>
        </row>
        <row r="8827">
          <cell r="C8827">
            <v>0</v>
          </cell>
        </row>
        <row r="8828">
          <cell r="C8828">
            <v>0</v>
          </cell>
        </row>
        <row r="8829">
          <cell r="C8829">
            <v>0</v>
          </cell>
        </row>
        <row r="8830">
          <cell r="C8830">
            <v>0</v>
          </cell>
        </row>
        <row r="8831">
          <cell r="C8831">
            <v>0</v>
          </cell>
        </row>
        <row r="8832">
          <cell r="C8832">
            <v>0</v>
          </cell>
        </row>
        <row r="8833">
          <cell r="C8833">
            <v>0</v>
          </cell>
        </row>
        <row r="8834">
          <cell r="C8834">
            <v>0</v>
          </cell>
        </row>
        <row r="8835">
          <cell r="C8835">
            <v>0</v>
          </cell>
        </row>
        <row r="8836">
          <cell r="C8836">
            <v>0</v>
          </cell>
        </row>
        <row r="8837">
          <cell r="C8837">
            <v>0</v>
          </cell>
        </row>
        <row r="8838">
          <cell r="C8838">
            <v>0</v>
          </cell>
        </row>
        <row r="8839">
          <cell r="C8839">
            <v>0</v>
          </cell>
        </row>
        <row r="8840">
          <cell r="C8840">
            <v>0</v>
          </cell>
        </row>
        <row r="8841">
          <cell r="C8841">
            <v>0</v>
          </cell>
        </row>
        <row r="8842">
          <cell r="C8842">
            <v>0</v>
          </cell>
        </row>
        <row r="8843">
          <cell r="C8843">
            <v>0</v>
          </cell>
        </row>
        <row r="8844">
          <cell r="C8844">
            <v>0</v>
          </cell>
        </row>
        <row r="8845">
          <cell r="C8845">
            <v>0</v>
          </cell>
        </row>
        <row r="8846">
          <cell r="C8846">
            <v>0</v>
          </cell>
        </row>
        <row r="8847">
          <cell r="C8847">
            <v>0</v>
          </cell>
        </row>
        <row r="8848">
          <cell r="C8848">
            <v>0</v>
          </cell>
        </row>
        <row r="8849">
          <cell r="C8849">
            <v>0</v>
          </cell>
        </row>
        <row r="8850">
          <cell r="C8850">
            <v>0</v>
          </cell>
        </row>
        <row r="8851">
          <cell r="C8851">
            <v>0</v>
          </cell>
        </row>
        <row r="8852">
          <cell r="C8852">
            <v>0</v>
          </cell>
        </row>
        <row r="8853">
          <cell r="C8853">
            <v>0</v>
          </cell>
        </row>
        <row r="8854">
          <cell r="C8854">
            <v>0</v>
          </cell>
        </row>
        <row r="8855">
          <cell r="C8855">
            <v>0</v>
          </cell>
        </row>
        <row r="8856">
          <cell r="C8856">
            <v>0</v>
          </cell>
        </row>
        <row r="8857">
          <cell r="C8857">
            <v>0</v>
          </cell>
        </row>
        <row r="8858">
          <cell r="C8858">
            <v>0</v>
          </cell>
        </row>
        <row r="8859">
          <cell r="C8859">
            <v>0</v>
          </cell>
        </row>
        <row r="8860">
          <cell r="C8860">
            <v>0</v>
          </cell>
        </row>
        <row r="8861">
          <cell r="C8861">
            <v>0</v>
          </cell>
        </row>
        <row r="8862">
          <cell r="C8862">
            <v>0</v>
          </cell>
        </row>
        <row r="8863">
          <cell r="C8863">
            <v>0</v>
          </cell>
        </row>
        <row r="8864">
          <cell r="C8864">
            <v>0</v>
          </cell>
        </row>
        <row r="8865">
          <cell r="C8865">
            <v>0</v>
          </cell>
        </row>
        <row r="8866">
          <cell r="C8866">
            <v>0</v>
          </cell>
        </row>
        <row r="8867">
          <cell r="C8867">
            <v>0</v>
          </cell>
        </row>
        <row r="8868">
          <cell r="C8868">
            <v>0</v>
          </cell>
        </row>
        <row r="8869">
          <cell r="C8869">
            <v>0</v>
          </cell>
        </row>
        <row r="8870">
          <cell r="C8870">
            <v>0</v>
          </cell>
        </row>
        <row r="8871">
          <cell r="C8871">
            <v>0</v>
          </cell>
        </row>
        <row r="8872">
          <cell r="C8872">
            <v>0</v>
          </cell>
        </row>
        <row r="8873">
          <cell r="C8873">
            <v>0</v>
          </cell>
        </row>
        <row r="8874">
          <cell r="C8874">
            <v>0</v>
          </cell>
        </row>
        <row r="8875">
          <cell r="C8875">
            <v>0</v>
          </cell>
        </row>
        <row r="8876">
          <cell r="C8876">
            <v>0</v>
          </cell>
        </row>
        <row r="8877">
          <cell r="C8877">
            <v>0</v>
          </cell>
        </row>
        <row r="8878">
          <cell r="C8878">
            <v>0</v>
          </cell>
        </row>
        <row r="8879">
          <cell r="C8879">
            <v>0</v>
          </cell>
        </row>
        <row r="8880">
          <cell r="C8880">
            <v>0</v>
          </cell>
        </row>
        <row r="8881">
          <cell r="C8881">
            <v>0</v>
          </cell>
        </row>
        <row r="8882">
          <cell r="C8882">
            <v>0</v>
          </cell>
        </row>
        <row r="8883">
          <cell r="C8883">
            <v>0</v>
          </cell>
        </row>
        <row r="8884">
          <cell r="C8884">
            <v>0</v>
          </cell>
        </row>
        <row r="8885">
          <cell r="C8885">
            <v>0</v>
          </cell>
        </row>
        <row r="8886">
          <cell r="C8886">
            <v>0</v>
          </cell>
        </row>
        <row r="8887">
          <cell r="C8887">
            <v>0</v>
          </cell>
        </row>
        <row r="8888">
          <cell r="C8888">
            <v>0</v>
          </cell>
        </row>
        <row r="8889">
          <cell r="C8889">
            <v>0</v>
          </cell>
        </row>
        <row r="8890">
          <cell r="C8890">
            <v>0</v>
          </cell>
        </row>
        <row r="8891">
          <cell r="C8891">
            <v>0</v>
          </cell>
        </row>
        <row r="8892">
          <cell r="C8892">
            <v>0</v>
          </cell>
        </row>
        <row r="8893">
          <cell r="C8893">
            <v>0</v>
          </cell>
        </row>
        <row r="8894">
          <cell r="C8894">
            <v>0</v>
          </cell>
        </row>
        <row r="8895">
          <cell r="C8895">
            <v>0</v>
          </cell>
        </row>
        <row r="8896">
          <cell r="C8896">
            <v>0</v>
          </cell>
        </row>
        <row r="8897">
          <cell r="C8897">
            <v>0</v>
          </cell>
        </row>
        <row r="8898">
          <cell r="C8898">
            <v>0</v>
          </cell>
        </row>
        <row r="8899">
          <cell r="C8899">
            <v>0</v>
          </cell>
        </row>
        <row r="8900">
          <cell r="C8900">
            <v>0</v>
          </cell>
        </row>
        <row r="8901">
          <cell r="C8901">
            <v>0</v>
          </cell>
        </row>
        <row r="8902">
          <cell r="C8902">
            <v>0</v>
          </cell>
        </row>
        <row r="8903">
          <cell r="C8903">
            <v>0</v>
          </cell>
        </row>
        <row r="8904">
          <cell r="C8904">
            <v>0</v>
          </cell>
        </row>
        <row r="8905">
          <cell r="C8905">
            <v>0</v>
          </cell>
        </row>
        <row r="8906">
          <cell r="C8906">
            <v>0</v>
          </cell>
        </row>
        <row r="8907">
          <cell r="C8907">
            <v>0</v>
          </cell>
        </row>
        <row r="8908">
          <cell r="C8908">
            <v>0</v>
          </cell>
        </row>
        <row r="8909">
          <cell r="C8909">
            <v>0</v>
          </cell>
        </row>
        <row r="8910">
          <cell r="C8910">
            <v>0</v>
          </cell>
        </row>
        <row r="8911">
          <cell r="C8911">
            <v>0</v>
          </cell>
        </row>
        <row r="8912">
          <cell r="C8912">
            <v>0</v>
          </cell>
        </row>
        <row r="8913">
          <cell r="C8913">
            <v>0</v>
          </cell>
        </row>
        <row r="8914">
          <cell r="C8914">
            <v>0</v>
          </cell>
        </row>
        <row r="8915">
          <cell r="C8915">
            <v>0</v>
          </cell>
        </row>
        <row r="8916">
          <cell r="C8916">
            <v>0</v>
          </cell>
        </row>
        <row r="8917">
          <cell r="C8917">
            <v>0</v>
          </cell>
        </row>
        <row r="8918">
          <cell r="C8918">
            <v>0</v>
          </cell>
        </row>
        <row r="8919">
          <cell r="C8919">
            <v>0</v>
          </cell>
        </row>
        <row r="8920">
          <cell r="C8920">
            <v>0</v>
          </cell>
        </row>
        <row r="8921">
          <cell r="C8921">
            <v>0</v>
          </cell>
        </row>
        <row r="8922">
          <cell r="C8922">
            <v>0</v>
          </cell>
        </row>
        <row r="8923">
          <cell r="C8923">
            <v>0</v>
          </cell>
        </row>
        <row r="8924">
          <cell r="C8924">
            <v>0</v>
          </cell>
        </row>
        <row r="8925">
          <cell r="C8925">
            <v>0</v>
          </cell>
        </row>
        <row r="8926">
          <cell r="C8926">
            <v>0</v>
          </cell>
        </row>
        <row r="8927">
          <cell r="C8927">
            <v>0</v>
          </cell>
        </row>
        <row r="8928">
          <cell r="C8928">
            <v>0</v>
          </cell>
        </row>
        <row r="8929">
          <cell r="C8929">
            <v>0</v>
          </cell>
        </row>
        <row r="8930">
          <cell r="C8930">
            <v>0</v>
          </cell>
        </row>
        <row r="8931">
          <cell r="C8931">
            <v>0</v>
          </cell>
        </row>
        <row r="8932">
          <cell r="C8932">
            <v>0</v>
          </cell>
        </row>
        <row r="8933">
          <cell r="C8933">
            <v>0</v>
          </cell>
        </row>
        <row r="8934">
          <cell r="C8934">
            <v>0</v>
          </cell>
        </row>
        <row r="8935">
          <cell r="C8935">
            <v>0</v>
          </cell>
        </row>
        <row r="8936">
          <cell r="C8936">
            <v>0</v>
          </cell>
        </row>
        <row r="8937">
          <cell r="C8937">
            <v>0</v>
          </cell>
        </row>
        <row r="8938">
          <cell r="C8938">
            <v>0</v>
          </cell>
        </row>
        <row r="8939">
          <cell r="C8939">
            <v>0</v>
          </cell>
        </row>
        <row r="8940">
          <cell r="C8940">
            <v>0</v>
          </cell>
        </row>
        <row r="8941">
          <cell r="C8941">
            <v>0</v>
          </cell>
        </row>
        <row r="8942">
          <cell r="C8942">
            <v>0</v>
          </cell>
        </row>
        <row r="8943">
          <cell r="C8943">
            <v>0</v>
          </cell>
        </row>
        <row r="8944">
          <cell r="C8944">
            <v>0</v>
          </cell>
        </row>
        <row r="8945">
          <cell r="C8945">
            <v>0</v>
          </cell>
        </row>
        <row r="8946">
          <cell r="C8946">
            <v>0</v>
          </cell>
        </row>
        <row r="8947">
          <cell r="C8947">
            <v>0</v>
          </cell>
        </row>
        <row r="8948">
          <cell r="C8948">
            <v>0</v>
          </cell>
        </row>
        <row r="8949">
          <cell r="C8949">
            <v>0</v>
          </cell>
        </row>
        <row r="8950">
          <cell r="C8950">
            <v>0</v>
          </cell>
        </row>
        <row r="8951">
          <cell r="C8951">
            <v>0</v>
          </cell>
        </row>
        <row r="8952">
          <cell r="C8952">
            <v>0</v>
          </cell>
        </row>
        <row r="8953">
          <cell r="C8953">
            <v>0</v>
          </cell>
        </row>
        <row r="8954">
          <cell r="C8954">
            <v>0</v>
          </cell>
        </row>
        <row r="8955">
          <cell r="C8955">
            <v>0</v>
          </cell>
        </row>
        <row r="8956">
          <cell r="C8956">
            <v>0</v>
          </cell>
        </row>
        <row r="8957">
          <cell r="C8957">
            <v>0</v>
          </cell>
        </row>
        <row r="8958">
          <cell r="C8958">
            <v>0</v>
          </cell>
        </row>
        <row r="8959">
          <cell r="C8959">
            <v>0</v>
          </cell>
        </row>
        <row r="8960">
          <cell r="C8960">
            <v>0</v>
          </cell>
        </row>
        <row r="8961">
          <cell r="C8961">
            <v>0</v>
          </cell>
        </row>
        <row r="8962">
          <cell r="C8962">
            <v>0</v>
          </cell>
        </row>
        <row r="8963">
          <cell r="C8963">
            <v>0</v>
          </cell>
        </row>
        <row r="8964">
          <cell r="C8964">
            <v>0</v>
          </cell>
        </row>
        <row r="8965">
          <cell r="C8965">
            <v>0</v>
          </cell>
        </row>
        <row r="8966">
          <cell r="C8966">
            <v>0</v>
          </cell>
        </row>
        <row r="8967">
          <cell r="C8967">
            <v>0</v>
          </cell>
        </row>
        <row r="8968">
          <cell r="C8968">
            <v>0</v>
          </cell>
        </row>
        <row r="8969">
          <cell r="C8969">
            <v>0</v>
          </cell>
        </row>
        <row r="8970">
          <cell r="C8970">
            <v>0</v>
          </cell>
        </row>
        <row r="8971">
          <cell r="C8971">
            <v>0</v>
          </cell>
        </row>
        <row r="8972">
          <cell r="C8972">
            <v>0</v>
          </cell>
        </row>
        <row r="8973">
          <cell r="C8973">
            <v>0</v>
          </cell>
        </row>
        <row r="8974">
          <cell r="C8974">
            <v>0</v>
          </cell>
        </row>
        <row r="8975">
          <cell r="C8975">
            <v>0</v>
          </cell>
        </row>
        <row r="8976">
          <cell r="C8976">
            <v>0</v>
          </cell>
        </row>
        <row r="8977">
          <cell r="C8977">
            <v>0</v>
          </cell>
        </row>
        <row r="8978">
          <cell r="C8978">
            <v>0</v>
          </cell>
        </row>
        <row r="8979">
          <cell r="C8979">
            <v>0</v>
          </cell>
        </row>
        <row r="8980">
          <cell r="C8980">
            <v>0</v>
          </cell>
        </row>
        <row r="8981">
          <cell r="C8981">
            <v>0</v>
          </cell>
        </row>
        <row r="8982">
          <cell r="C8982">
            <v>0</v>
          </cell>
        </row>
        <row r="8983">
          <cell r="C8983">
            <v>0</v>
          </cell>
        </row>
        <row r="8984">
          <cell r="C8984">
            <v>0</v>
          </cell>
        </row>
        <row r="8985">
          <cell r="C8985">
            <v>0</v>
          </cell>
        </row>
        <row r="8986">
          <cell r="C8986">
            <v>0</v>
          </cell>
        </row>
        <row r="8987">
          <cell r="C8987">
            <v>0</v>
          </cell>
        </row>
        <row r="8988">
          <cell r="C8988">
            <v>0</v>
          </cell>
        </row>
        <row r="8989">
          <cell r="C8989">
            <v>0</v>
          </cell>
        </row>
        <row r="8990">
          <cell r="C8990">
            <v>0</v>
          </cell>
        </row>
        <row r="8991">
          <cell r="C8991">
            <v>0</v>
          </cell>
        </row>
        <row r="8992">
          <cell r="C8992">
            <v>0</v>
          </cell>
        </row>
        <row r="8993">
          <cell r="C8993">
            <v>0</v>
          </cell>
        </row>
        <row r="8994">
          <cell r="C8994">
            <v>0</v>
          </cell>
        </row>
        <row r="8995">
          <cell r="C8995">
            <v>0</v>
          </cell>
        </row>
        <row r="8996">
          <cell r="C8996">
            <v>0</v>
          </cell>
        </row>
        <row r="8997">
          <cell r="C8997">
            <v>0</v>
          </cell>
        </row>
        <row r="8998">
          <cell r="C8998">
            <v>0</v>
          </cell>
        </row>
        <row r="8999">
          <cell r="C8999">
            <v>0</v>
          </cell>
        </row>
        <row r="9000">
          <cell r="C9000">
            <v>0</v>
          </cell>
        </row>
        <row r="9001">
          <cell r="C9001">
            <v>0</v>
          </cell>
        </row>
        <row r="9002">
          <cell r="C9002">
            <v>0</v>
          </cell>
        </row>
        <row r="9003">
          <cell r="C9003">
            <v>0</v>
          </cell>
        </row>
        <row r="9004">
          <cell r="C9004">
            <v>0</v>
          </cell>
        </row>
        <row r="9005">
          <cell r="C9005">
            <v>0</v>
          </cell>
        </row>
        <row r="9006">
          <cell r="C9006">
            <v>0</v>
          </cell>
        </row>
        <row r="9007">
          <cell r="C9007">
            <v>0</v>
          </cell>
        </row>
        <row r="9008">
          <cell r="C9008">
            <v>0</v>
          </cell>
        </row>
        <row r="9009">
          <cell r="C9009">
            <v>0</v>
          </cell>
        </row>
        <row r="9010">
          <cell r="C9010">
            <v>0</v>
          </cell>
        </row>
        <row r="9011">
          <cell r="C9011">
            <v>0</v>
          </cell>
        </row>
        <row r="9012">
          <cell r="C9012">
            <v>0</v>
          </cell>
        </row>
        <row r="9013">
          <cell r="C9013">
            <v>0</v>
          </cell>
        </row>
        <row r="9014">
          <cell r="C9014">
            <v>0</v>
          </cell>
        </row>
        <row r="9015">
          <cell r="C9015">
            <v>0</v>
          </cell>
        </row>
        <row r="9016">
          <cell r="C9016">
            <v>0</v>
          </cell>
        </row>
        <row r="9017">
          <cell r="C9017">
            <v>0</v>
          </cell>
        </row>
        <row r="9018">
          <cell r="C9018">
            <v>0</v>
          </cell>
        </row>
        <row r="9019">
          <cell r="C9019">
            <v>0</v>
          </cell>
        </row>
        <row r="9020">
          <cell r="C9020">
            <v>0</v>
          </cell>
        </row>
        <row r="9021">
          <cell r="C9021">
            <v>0</v>
          </cell>
        </row>
        <row r="9022">
          <cell r="C9022">
            <v>0</v>
          </cell>
        </row>
        <row r="9023">
          <cell r="C9023">
            <v>0</v>
          </cell>
        </row>
        <row r="9024">
          <cell r="C9024">
            <v>0</v>
          </cell>
        </row>
        <row r="9025">
          <cell r="C9025">
            <v>0</v>
          </cell>
        </row>
        <row r="9026">
          <cell r="C9026">
            <v>0</v>
          </cell>
        </row>
        <row r="9027">
          <cell r="C9027">
            <v>0</v>
          </cell>
        </row>
        <row r="9028">
          <cell r="C9028">
            <v>0</v>
          </cell>
        </row>
        <row r="9029">
          <cell r="C9029">
            <v>0</v>
          </cell>
        </row>
        <row r="9030">
          <cell r="C9030">
            <v>0</v>
          </cell>
        </row>
        <row r="9031">
          <cell r="C9031">
            <v>0</v>
          </cell>
        </row>
        <row r="9032">
          <cell r="C9032">
            <v>0</v>
          </cell>
        </row>
        <row r="9033">
          <cell r="C9033">
            <v>0</v>
          </cell>
        </row>
        <row r="9034">
          <cell r="C9034">
            <v>0</v>
          </cell>
        </row>
        <row r="9035">
          <cell r="C9035">
            <v>0</v>
          </cell>
        </row>
        <row r="9036">
          <cell r="C9036">
            <v>0</v>
          </cell>
        </row>
        <row r="9037">
          <cell r="C9037">
            <v>0</v>
          </cell>
        </row>
        <row r="9038">
          <cell r="C9038">
            <v>0</v>
          </cell>
        </row>
        <row r="9039">
          <cell r="C9039">
            <v>0</v>
          </cell>
        </row>
        <row r="9040">
          <cell r="C9040">
            <v>0</v>
          </cell>
        </row>
        <row r="9041">
          <cell r="C9041">
            <v>0</v>
          </cell>
        </row>
        <row r="9042">
          <cell r="C9042">
            <v>0</v>
          </cell>
        </row>
        <row r="9043">
          <cell r="C9043">
            <v>0</v>
          </cell>
        </row>
        <row r="9044">
          <cell r="C9044">
            <v>0</v>
          </cell>
        </row>
        <row r="9045">
          <cell r="C9045">
            <v>0</v>
          </cell>
        </row>
        <row r="9046">
          <cell r="C9046">
            <v>0</v>
          </cell>
        </row>
        <row r="9047">
          <cell r="C9047">
            <v>0</v>
          </cell>
        </row>
        <row r="9048">
          <cell r="C9048">
            <v>0</v>
          </cell>
        </row>
        <row r="9049">
          <cell r="C9049">
            <v>0</v>
          </cell>
        </row>
        <row r="9050">
          <cell r="C9050">
            <v>0</v>
          </cell>
        </row>
        <row r="9051">
          <cell r="C9051">
            <v>0</v>
          </cell>
        </row>
        <row r="9052">
          <cell r="C9052">
            <v>0</v>
          </cell>
        </row>
        <row r="9053">
          <cell r="C9053">
            <v>0</v>
          </cell>
        </row>
        <row r="9054">
          <cell r="C9054">
            <v>0</v>
          </cell>
        </row>
        <row r="9055">
          <cell r="C9055">
            <v>0</v>
          </cell>
        </row>
        <row r="9056">
          <cell r="C9056">
            <v>0</v>
          </cell>
        </row>
        <row r="9057">
          <cell r="C9057">
            <v>0</v>
          </cell>
        </row>
        <row r="9058">
          <cell r="C9058">
            <v>0</v>
          </cell>
        </row>
        <row r="9059">
          <cell r="C9059">
            <v>0</v>
          </cell>
        </row>
        <row r="9060">
          <cell r="C9060">
            <v>0</v>
          </cell>
        </row>
        <row r="9061">
          <cell r="C9061">
            <v>0</v>
          </cell>
        </row>
        <row r="9062">
          <cell r="C9062">
            <v>0</v>
          </cell>
        </row>
        <row r="9063">
          <cell r="C9063">
            <v>0</v>
          </cell>
        </row>
        <row r="9064">
          <cell r="C9064">
            <v>0</v>
          </cell>
        </row>
        <row r="9065">
          <cell r="C9065">
            <v>0</v>
          </cell>
        </row>
        <row r="9066">
          <cell r="C9066">
            <v>0</v>
          </cell>
        </row>
        <row r="9067">
          <cell r="C9067">
            <v>0</v>
          </cell>
        </row>
        <row r="9068">
          <cell r="C9068">
            <v>0</v>
          </cell>
        </row>
        <row r="9069">
          <cell r="C9069">
            <v>0</v>
          </cell>
        </row>
        <row r="9070">
          <cell r="C9070">
            <v>0</v>
          </cell>
        </row>
        <row r="9071">
          <cell r="C9071">
            <v>0</v>
          </cell>
        </row>
        <row r="9072">
          <cell r="C9072">
            <v>0</v>
          </cell>
        </row>
        <row r="9073">
          <cell r="C9073">
            <v>0</v>
          </cell>
        </row>
        <row r="9074">
          <cell r="C9074">
            <v>0</v>
          </cell>
        </row>
        <row r="9075">
          <cell r="C9075">
            <v>0</v>
          </cell>
        </row>
        <row r="9076">
          <cell r="C9076">
            <v>0</v>
          </cell>
        </row>
        <row r="9077">
          <cell r="C9077">
            <v>0</v>
          </cell>
        </row>
        <row r="9078">
          <cell r="C9078">
            <v>0</v>
          </cell>
        </row>
        <row r="9079">
          <cell r="C9079">
            <v>0</v>
          </cell>
        </row>
        <row r="9080">
          <cell r="C9080">
            <v>0</v>
          </cell>
        </row>
        <row r="9081">
          <cell r="C9081">
            <v>0</v>
          </cell>
        </row>
        <row r="9082">
          <cell r="C9082">
            <v>0</v>
          </cell>
        </row>
        <row r="9083">
          <cell r="C9083">
            <v>0</v>
          </cell>
        </row>
        <row r="9084">
          <cell r="C9084">
            <v>0</v>
          </cell>
        </row>
        <row r="9085">
          <cell r="C9085">
            <v>0</v>
          </cell>
        </row>
        <row r="9086">
          <cell r="C9086">
            <v>0</v>
          </cell>
        </row>
        <row r="9087">
          <cell r="C9087">
            <v>0</v>
          </cell>
        </row>
        <row r="9088">
          <cell r="C9088">
            <v>0</v>
          </cell>
        </row>
        <row r="9089">
          <cell r="C9089">
            <v>0</v>
          </cell>
        </row>
        <row r="9090">
          <cell r="C9090">
            <v>0</v>
          </cell>
        </row>
        <row r="9091">
          <cell r="C9091">
            <v>0</v>
          </cell>
        </row>
        <row r="9092">
          <cell r="C9092">
            <v>0</v>
          </cell>
        </row>
        <row r="9093">
          <cell r="C9093">
            <v>0</v>
          </cell>
        </row>
        <row r="9094">
          <cell r="C9094">
            <v>0</v>
          </cell>
        </row>
        <row r="9095">
          <cell r="C9095">
            <v>0</v>
          </cell>
        </row>
        <row r="9096">
          <cell r="C9096">
            <v>0</v>
          </cell>
        </row>
        <row r="9097">
          <cell r="C9097">
            <v>0</v>
          </cell>
        </row>
        <row r="9098">
          <cell r="C9098">
            <v>0</v>
          </cell>
        </row>
        <row r="9099">
          <cell r="C9099">
            <v>0</v>
          </cell>
        </row>
        <row r="9100">
          <cell r="C9100">
            <v>0</v>
          </cell>
        </row>
        <row r="9101">
          <cell r="C9101">
            <v>0</v>
          </cell>
        </row>
        <row r="9102">
          <cell r="C9102">
            <v>0</v>
          </cell>
        </row>
        <row r="9103">
          <cell r="C9103">
            <v>0</v>
          </cell>
        </row>
        <row r="9104">
          <cell r="C9104">
            <v>0</v>
          </cell>
        </row>
        <row r="9105">
          <cell r="C9105">
            <v>0</v>
          </cell>
        </row>
        <row r="9106">
          <cell r="C9106">
            <v>0</v>
          </cell>
        </row>
        <row r="9107">
          <cell r="C9107">
            <v>0</v>
          </cell>
        </row>
        <row r="9108">
          <cell r="C9108">
            <v>0</v>
          </cell>
        </row>
        <row r="9109">
          <cell r="C9109">
            <v>0</v>
          </cell>
        </row>
        <row r="9110">
          <cell r="C9110">
            <v>0</v>
          </cell>
        </row>
        <row r="9111">
          <cell r="C9111">
            <v>0</v>
          </cell>
        </row>
        <row r="9112">
          <cell r="C9112">
            <v>0</v>
          </cell>
        </row>
        <row r="9113">
          <cell r="C9113">
            <v>0</v>
          </cell>
        </row>
        <row r="9114">
          <cell r="C9114">
            <v>0</v>
          </cell>
        </row>
        <row r="9115">
          <cell r="C9115">
            <v>0</v>
          </cell>
        </row>
        <row r="9116">
          <cell r="C9116">
            <v>0</v>
          </cell>
        </row>
        <row r="9117">
          <cell r="C9117">
            <v>0</v>
          </cell>
        </row>
        <row r="9118">
          <cell r="C9118">
            <v>0</v>
          </cell>
        </row>
        <row r="9119">
          <cell r="C9119">
            <v>0</v>
          </cell>
        </row>
        <row r="9120">
          <cell r="C9120">
            <v>0</v>
          </cell>
        </row>
        <row r="9121">
          <cell r="C9121">
            <v>0</v>
          </cell>
        </row>
        <row r="9122">
          <cell r="C9122">
            <v>0</v>
          </cell>
        </row>
        <row r="9123">
          <cell r="C9123">
            <v>0</v>
          </cell>
        </row>
        <row r="9124">
          <cell r="C9124">
            <v>0</v>
          </cell>
        </row>
        <row r="9125">
          <cell r="C9125">
            <v>0</v>
          </cell>
        </row>
        <row r="9126">
          <cell r="C9126">
            <v>0</v>
          </cell>
        </row>
        <row r="9127">
          <cell r="C9127">
            <v>0</v>
          </cell>
        </row>
        <row r="9128">
          <cell r="C9128">
            <v>0</v>
          </cell>
        </row>
        <row r="9129">
          <cell r="C9129">
            <v>0</v>
          </cell>
        </row>
        <row r="9130">
          <cell r="C9130">
            <v>0</v>
          </cell>
        </row>
        <row r="9131">
          <cell r="C9131">
            <v>0</v>
          </cell>
        </row>
        <row r="9132">
          <cell r="C9132">
            <v>0</v>
          </cell>
        </row>
        <row r="9133">
          <cell r="C9133">
            <v>0</v>
          </cell>
        </row>
        <row r="9134">
          <cell r="C9134">
            <v>0</v>
          </cell>
        </row>
        <row r="9135">
          <cell r="C9135">
            <v>0</v>
          </cell>
        </row>
        <row r="9136">
          <cell r="C9136">
            <v>0</v>
          </cell>
        </row>
        <row r="9137">
          <cell r="C9137">
            <v>0</v>
          </cell>
        </row>
        <row r="9138">
          <cell r="C9138">
            <v>0</v>
          </cell>
        </row>
        <row r="9139">
          <cell r="C9139">
            <v>0</v>
          </cell>
        </row>
        <row r="9140">
          <cell r="C9140">
            <v>0</v>
          </cell>
        </row>
        <row r="9141">
          <cell r="C9141">
            <v>0</v>
          </cell>
        </row>
        <row r="9142">
          <cell r="C9142">
            <v>0</v>
          </cell>
        </row>
        <row r="9143">
          <cell r="C9143">
            <v>0</v>
          </cell>
        </row>
        <row r="9144">
          <cell r="C9144">
            <v>0</v>
          </cell>
        </row>
        <row r="9145">
          <cell r="C9145">
            <v>0</v>
          </cell>
        </row>
        <row r="9146">
          <cell r="C9146">
            <v>0</v>
          </cell>
        </row>
        <row r="9147">
          <cell r="C9147">
            <v>0</v>
          </cell>
        </row>
        <row r="9148">
          <cell r="C9148">
            <v>0</v>
          </cell>
        </row>
        <row r="9149">
          <cell r="C9149">
            <v>0</v>
          </cell>
        </row>
        <row r="9150">
          <cell r="C9150">
            <v>0</v>
          </cell>
        </row>
        <row r="9151">
          <cell r="C9151">
            <v>0</v>
          </cell>
        </row>
        <row r="9152">
          <cell r="C9152">
            <v>0</v>
          </cell>
        </row>
        <row r="9153">
          <cell r="C9153">
            <v>0</v>
          </cell>
        </row>
        <row r="9154">
          <cell r="C9154">
            <v>0</v>
          </cell>
        </row>
        <row r="9155">
          <cell r="C9155">
            <v>0</v>
          </cell>
        </row>
        <row r="9156">
          <cell r="C9156">
            <v>0</v>
          </cell>
        </row>
        <row r="9157">
          <cell r="C9157">
            <v>0</v>
          </cell>
        </row>
        <row r="9158">
          <cell r="C9158">
            <v>0</v>
          </cell>
        </row>
        <row r="9159">
          <cell r="C9159">
            <v>0</v>
          </cell>
        </row>
        <row r="9160">
          <cell r="C9160">
            <v>0</v>
          </cell>
        </row>
        <row r="9161">
          <cell r="C9161">
            <v>0</v>
          </cell>
        </row>
        <row r="9162">
          <cell r="C9162">
            <v>0</v>
          </cell>
        </row>
        <row r="9163">
          <cell r="C9163">
            <v>0</v>
          </cell>
        </row>
        <row r="9164">
          <cell r="C9164">
            <v>0</v>
          </cell>
        </row>
        <row r="9165">
          <cell r="C9165">
            <v>0</v>
          </cell>
        </row>
        <row r="9166">
          <cell r="C9166">
            <v>0</v>
          </cell>
        </row>
        <row r="9167">
          <cell r="C9167">
            <v>0</v>
          </cell>
        </row>
        <row r="9168">
          <cell r="C9168">
            <v>0</v>
          </cell>
        </row>
        <row r="9169">
          <cell r="C9169">
            <v>0</v>
          </cell>
        </row>
        <row r="9170">
          <cell r="C9170">
            <v>0</v>
          </cell>
        </row>
        <row r="9171">
          <cell r="C9171">
            <v>0</v>
          </cell>
        </row>
        <row r="9172">
          <cell r="C9172">
            <v>0</v>
          </cell>
        </row>
        <row r="9173">
          <cell r="C9173">
            <v>0</v>
          </cell>
        </row>
        <row r="9174">
          <cell r="C9174">
            <v>0</v>
          </cell>
        </row>
        <row r="9175">
          <cell r="C9175">
            <v>0</v>
          </cell>
        </row>
        <row r="9176">
          <cell r="C9176">
            <v>0</v>
          </cell>
        </row>
        <row r="9177">
          <cell r="C9177">
            <v>0</v>
          </cell>
        </row>
        <row r="9178">
          <cell r="C9178">
            <v>0</v>
          </cell>
        </row>
        <row r="9179">
          <cell r="C9179">
            <v>0</v>
          </cell>
        </row>
        <row r="9180">
          <cell r="C9180">
            <v>0</v>
          </cell>
        </row>
        <row r="9181">
          <cell r="C9181">
            <v>0</v>
          </cell>
        </row>
        <row r="9182">
          <cell r="C9182">
            <v>0</v>
          </cell>
        </row>
        <row r="9183">
          <cell r="C9183">
            <v>0</v>
          </cell>
        </row>
        <row r="9184">
          <cell r="C9184">
            <v>0</v>
          </cell>
        </row>
        <row r="9185">
          <cell r="C9185">
            <v>0</v>
          </cell>
        </row>
        <row r="9186">
          <cell r="C9186">
            <v>0</v>
          </cell>
        </row>
        <row r="9187">
          <cell r="C9187">
            <v>0</v>
          </cell>
        </row>
        <row r="9188">
          <cell r="C9188">
            <v>0</v>
          </cell>
        </row>
        <row r="9189">
          <cell r="C9189">
            <v>0</v>
          </cell>
        </row>
        <row r="9190">
          <cell r="C9190">
            <v>0</v>
          </cell>
        </row>
        <row r="9191">
          <cell r="C9191">
            <v>0</v>
          </cell>
        </row>
        <row r="9192">
          <cell r="C9192">
            <v>0</v>
          </cell>
        </row>
        <row r="9193">
          <cell r="C9193">
            <v>0</v>
          </cell>
        </row>
        <row r="9194">
          <cell r="C9194">
            <v>0</v>
          </cell>
        </row>
        <row r="9195">
          <cell r="C9195">
            <v>0</v>
          </cell>
        </row>
        <row r="9196">
          <cell r="C9196">
            <v>0</v>
          </cell>
        </row>
        <row r="9197">
          <cell r="C9197">
            <v>0</v>
          </cell>
        </row>
        <row r="9198">
          <cell r="C9198">
            <v>0</v>
          </cell>
        </row>
        <row r="9199">
          <cell r="C9199">
            <v>0</v>
          </cell>
        </row>
        <row r="9200">
          <cell r="C9200">
            <v>0</v>
          </cell>
        </row>
        <row r="9201">
          <cell r="C9201">
            <v>0</v>
          </cell>
        </row>
        <row r="9202">
          <cell r="C9202">
            <v>0</v>
          </cell>
        </row>
        <row r="9203">
          <cell r="C9203">
            <v>0</v>
          </cell>
        </row>
        <row r="9204">
          <cell r="C9204">
            <v>0</v>
          </cell>
        </row>
        <row r="9205">
          <cell r="C9205">
            <v>0</v>
          </cell>
        </row>
        <row r="9206">
          <cell r="C9206">
            <v>0</v>
          </cell>
        </row>
        <row r="9207">
          <cell r="C9207">
            <v>0</v>
          </cell>
        </row>
        <row r="9208">
          <cell r="C9208">
            <v>0</v>
          </cell>
        </row>
        <row r="9209">
          <cell r="C9209">
            <v>0</v>
          </cell>
        </row>
        <row r="9210">
          <cell r="C9210">
            <v>0</v>
          </cell>
        </row>
        <row r="9211">
          <cell r="C9211">
            <v>0</v>
          </cell>
        </row>
        <row r="9212">
          <cell r="C9212">
            <v>0</v>
          </cell>
        </row>
        <row r="9213">
          <cell r="C9213">
            <v>0</v>
          </cell>
        </row>
        <row r="9214">
          <cell r="C9214">
            <v>0</v>
          </cell>
        </row>
        <row r="9215">
          <cell r="C9215">
            <v>0</v>
          </cell>
        </row>
        <row r="9216">
          <cell r="C9216">
            <v>0</v>
          </cell>
        </row>
        <row r="9217">
          <cell r="C9217">
            <v>0</v>
          </cell>
        </row>
        <row r="9218">
          <cell r="C9218">
            <v>0</v>
          </cell>
        </row>
        <row r="9219">
          <cell r="C9219">
            <v>0</v>
          </cell>
        </row>
        <row r="9220">
          <cell r="C9220">
            <v>0</v>
          </cell>
        </row>
        <row r="9221">
          <cell r="C9221">
            <v>0</v>
          </cell>
        </row>
        <row r="9222">
          <cell r="C9222">
            <v>0</v>
          </cell>
        </row>
        <row r="9223">
          <cell r="C9223">
            <v>0</v>
          </cell>
        </row>
        <row r="9224">
          <cell r="C9224">
            <v>0</v>
          </cell>
        </row>
        <row r="9225">
          <cell r="C9225">
            <v>0</v>
          </cell>
        </row>
        <row r="9226">
          <cell r="C9226">
            <v>0</v>
          </cell>
        </row>
        <row r="9227">
          <cell r="C9227">
            <v>0</v>
          </cell>
        </row>
        <row r="9228">
          <cell r="C9228">
            <v>0</v>
          </cell>
        </row>
        <row r="9229">
          <cell r="C9229">
            <v>0</v>
          </cell>
        </row>
        <row r="9230">
          <cell r="C9230">
            <v>0</v>
          </cell>
        </row>
        <row r="9231">
          <cell r="C9231">
            <v>0</v>
          </cell>
        </row>
        <row r="9232">
          <cell r="C9232">
            <v>0</v>
          </cell>
        </row>
        <row r="9233">
          <cell r="C9233">
            <v>0</v>
          </cell>
        </row>
        <row r="9234">
          <cell r="C9234">
            <v>0</v>
          </cell>
        </row>
        <row r="9235">
          <cell r="C9235">
            <v>0</v>
          </cell>
        </row>
        <row r="9236">
          <cell r="C9236">
            <v>0</v>
          </cell>
        </row>
        <row r="9237">
          <cell r="C9237">
            <v>0</v>
          </cell>
        </row>
        <row r="9238">
          <cell r="C9238">
            <v>0</v>
          </cell>
        </row>
        <row r="9239">
          <cell r="C9239">
            <v>0</v>
          </cell>
        </row>
        <row r="9240">
          <cell r="C9240">
            <v>0</v>
          </cell>
        </row>
        <row r="9241">
          <cell r="C9241">
            <v>0</v>
          </cell>
        </row>
        <row r="9242">
          <cell r="C9242">
            <v>0</v>
          </cell>
        </row>
        <row r="9243">
          <cell r="C9243">
            <v>0</v>
          </cell>
        </row>
        <row r="9244">
          <cell r="C9244">
            <v>0</v>
          </cell>
        </row>
        <row r="9245">
          <cell r="C9245">
            <v>0</v>
          </cell>
        </row>
        <row r="9246">
          <cell r="C9246">
            <v>0</v>
          </cell>
        </row>
        <row r="9247">
          <cell r="C9247">
            <v>0</v>
          </cell>
        </row>
        <row r="9248">
          <cell r="C9248">
            <v>0</v>
          </cell>
        </row>
        <row r="9249">
          <cell r="C9249">
            <v>0</v>
          </cell>
        </row>
        <row r="9250">
          <cell r="C9250">
            <v>0</v>
          </cell>
        </row>
        <row r="9251">
          <cell r="C9251">
            <v>0</v>
          </cell>
        </row>
        <row r="9252">
          <cell r="C9252">
            <v>0</v>
          </cell>
        </row>
        <row r="9253">
          <cell r="C9253">
            <v>0</v>
          </cell>
        </row>
        <row r="9254">
          <cell r="C9254">
            <v>0</v>
          </cell>
        </row>
        <row r="9255">
          <cell r="C9255">
            <v>0</v>
          </cell>
        </row>
        <row r="9256">
          <cell r="C9256">
            <v>0</v>
          </cell>
        </row>
        <row r="9257">
          <cell r="C9257">
            <v>0</v>
          </cell>
        </row>
        <row r="9258">
          <cell r="C9258">
            <v>0</v>
          </cell>
        </row>
        <row r="9259">
          <cell r="C9259">
            <v>0</v>
          </cell>
        </row>
        <row r="9260">
          <cell r="C9260">
            <v>0</v>
          </cell>
        </row>
        <row r="9261">
          <cell r="C9261">
            <v>0</v>
          </cell>
        </row>
        <row r="9262">
          <cell r="C9262">
            <v>0</v>
          </cell>
        </row>
        <row r="9263">
          <cell r="C9263">
            <v>0</v>
          </cell>
        </row>
        <row r="9264">
          <cell r="C9264">
            <v>0</v>
          </cell>
        </row>
        <row r="9265">
          <cell r="C9265">
            <v>0</v>
          </cell>
        </row>
        <row r="9266">
          <cell r="C9266">
            <v>0</v>
          </cell>
        </row>
        <row r="9267">
          <cell r="C9267">
            <v>0</v>
          </cell>
        </row>
        <row r="9268">
          <cell r="C9268">
            <v>0</v>
          </cell>
        </row>
        <row r="9269">
          <cell r="C9269">
            <v>0</v>
          </cell>
        </row>
        <row r="9270">
          <cell r="C9270">
            <v>0</v>
          </cell>
        </row>
        <row r="9271">
          <cell r="C9271">
            <v>0</v>
          </cell>
        </row>
        <row r="9272">
          <cell r="C9272">
            <v>0</v>
          </cell>
        </row>
        <row r="9273">
          <cell r="C9273">
            <v>0</v>
          </cell>
        </row>
        <row r="9274">
          <cell r="C9274">
            <v>0</v>
          </cell>
        </row>
        <row r="9275">
          <cell r="C9275">
            <v>0</v>
          </cell>
        </row>
        <row r="9276">
          <cell r="C9276">
            <v>0</v>
          </cell>
        </row>
        <row r="9277">
          <cell r="C9277">
            <v>0</v>
          </cell>
        </row>
        <row r="9278">
          <cell r="C9278">
            <v>0</v>
          </cell>
        </row>
        <row r="9279">
          <cell r="C9279">
            <v>0</v>
          </cell>
        </row>
        <row r="9280">
          <cell r="C9280">
            <v>0</v>
          </cell>
        </row>
        <row r="9281">
          <cell r="C9281">
            <v>0</v>
          </cell>
        </row>
        <row r="9282">
          <cell r="C9282">
            <v>0</v>
          </cell>
        </row>
        <row r="9283">
          <cell r="C9283">
            <v>0</v>
          </cell>
        </row>
        <row r="9284">
          <cell r="C9284">
            <v>0</v>
          </cell>
        </row>
        <row r="9285">
          <cell r="C9285">
            <v>0</v>
          </cell>
        </row>
        <row r="9286">
          <cell r="C9286">
            <v>0</v>
          </cell>
        </row>
        <row r="9287">
          <cell r="C9287">
            <v>0</v>
          </cell>
        </row>
        <row r="9288">
          <cell r="C9288">
            <v>0</v>
          </cell>
        </row>
        <row r="9289">
          <cell r="C9289">
            <v>0</v>
          </cell>
        </row>
        <row r="9290">
          <cell r="C9290">
            <v>0</v>
          </cell>
        </row>
        <row r="9291">
          <cell r="C9291">
            <v>0</v>
          </cell>
        </row>
        <row r="9292">
          <cell r="C9292">
            <v>0</v>
          </cell>
        </row>
        <row r="9293">
          <cell r="C9293">
            <v>0</v>
          </cell>
        </row>
        <row r="9294">
          <cell r="C9294">
            <v>0</v>
          </cell>
        </row>
        <row r="9295">
          <cell r="C9295">
            <v>0</v>
          </cell>
        </row>
        <row r="9296">
          <cell r="C9296">
            <v>0</v>
          </cell>
        </row>
        <row r="9297">
          <cell r="C9297">
            <v>0</v>
          </cell>
        </row>
        <row r="9298">
          <cell r="C9298">
            <v>0</v>
          </cell>
        </row>
        <row r="9299">
          <cell r="C9299">
            <v>0</v>
          </cell>
        </row>
        <row r="9300">
          <cell r="C9300">
            <v>0</v>
          </cell>
        </row>
        <row r="9301">
          <cell r="C9301">
            <v>0</v>
          </cell>
        </row>
        <row r="9302">
          <cell r="C9302">
            <v>0</v>
          </cell>
        </row>
        <row r="9303">
          <cell r="C9303">
            <v>0</v>
          </cell>
        </row>
        <row r="9304">
          <cell r="C9304">
            <v>0</v>
          </cell>
        </row>
        <row r="9305">
          <cell r="C9305">
            <v>0</v>
          </cell>
        </row>
        <row r="9306">
          <cell r="C9306">
            <v>0</v>
          </cell>
        </row>
        <row r="9307">
          <cell r="C9307">
            <v>0</v>
          </cell>
        </row>
        <row r="9308">
          <cell r="C9308">
            <v>0</v>
          </cell>
        </row>
        <row r="9309">
          <cell r="C9309">
            <v>0</v>
          </cell>
        </row>
        <row r="9310">
          <cell r="C9310">
            <v>0</v>
          </cell>
        </row>
        <row r="9311">
          <cell r="C9311">
            <v>0</v>
          </cell>
        </row>
        <row r="9312">
          <cell r="C9312">
            <v>0</v>
          </cell>
        </row>
        <row r="9313">
          <cell r="C9313">
            <v>0</v>
          </cell>
        </row>
        <row r="9314">
          <cell r="C9314">
            <v>0</v>
          </cell>
        </row>
        <row r="9315">
          <cell r="C9315">
            <v>0</v>
          </cell>
        </row>
        <row r="9316">
          <cell r="C9316">
            <v>0</v>
          </cell>
        </row>
        <row r="9317">
          <cell r="C9317">
            <v>0</v>
          </cell>
        </row>
        <row r="9318">
          <cell r="C9318">
            <v>0</v>
          </cell>
        </row>
        <row r="9319">
          <cell r="C9319">
            <v>0</v>
          </cell>
        </row>
        <row r="9320">
          <cell r="C9320">
            <v>0</v>
          </cell>
        </row>
        <row r="9321">
          <cell r="C9321">
            <v>0</v>
          </cell>
        </row>
        <row r="9322">
          <cell r="C9322">
            <v>0</v>
          </cell>
        </row>
        <row r="9323">
          <cell r="C9323">
            <v>0</v>
          </cell>
        </row>
        <row r="9324">
          <cell r="C9324">
            <v>0</v>
          </cell>
        </row>
        <row r="9325">
          <cell r="C9325">
            <v>0</v>
          </cell>
        </row>
        <row r="9326">
          <cell r="C9326">
            <v>0</v>
          </cell>
        </row>
        <row r="9327">
          <cell r="C9327">
            <v>0</v>
          </cell>
        </row>
        <row r="9328">
          <cell r="C9328">
            <v>0</v>
          </cell>
        </row>
        <row r="9329">
          <cell r="C9329">
            <v>0</v>
          </cell>
        </row>
        <row r="9330">
          <cell r="C9330">
            <v>0</v>
          </cell>
        </row>
        <row r="9331">
          <cell r="C9331">
            <v>0</v>
          </cell>
        </row>
        <row r="9332">
          <cell r="C9332">
            <v>0</v>
          </cell>
        </row>
        <row r="9333">
          <cell r="C9333">
            <v>0</v>
          </cell>
        </row>
        <row r="9334">
          <cell r="C9334">
            <v>0</v>
          </cell>
        </row>
        <row r="9335">
          <cell r="C9335">
            <v>0</v>
          </cell>
        </row>
        <row r="9336">
          <cell r="C9336">
            <v>0</v>
          </cell>
        </row>
        <row r="9337">
          <cell r="C9337">
            <v>0</v>
          </cell>
        </row>
        <row r="9338">
          <cell r="C9338">
            <v>0</v>
          </cell>
        </row>
        <row r="9339">
          <cell r="C9339">
            <v>0</v>
          </cell>
        </row>
        <row r="9340">
          <cell r="C9340">
            <v>0</v>
          </cell>
        </row>
        <row r="9341">
          <cell r="C9341">
            <v>0</v>
          </cell>
        </row>
        <row r="9342">
          <cell r="C9342">
            <v>0</v>
          </cell>
        </row>
        <row r="9343">
          <cell r="C9343">
            <v>0</v>
          </cell>
        </row>
        <row r="9344">
          <cell r="C9344">
            <v>0</v>
          </cell>
        </row>
        <row r="9345">
          <cell r="C9345">
            <v>0</v>
          </cell>
        </row>
        <row r="9346">
          <cell r="C9346">
            <v>0</v>
          </cell>
        </row>
        <row r="9347">
          <cell r="C9347">
            <v>0</v>
          </cell>
        </row>
        <row r="9348">
          <cell r="C9348">
            <v>0</v>
          </cell>
        </row>
        <row r="9349">
          <cell r="C9349">
            <v>0</v>
          </cell>
        </row>
        <row r="9350">
          <cell r="C9350">
            <v>0</v>
          </cell>
        </row>
        <row r="9351">
          <cell r="C9351">
            <v>0</v>
          </cell>
        </row>
        <row r="9352">
          <cell r="C9352">
            <v>0</v>
          </cell>
        </row>
        <row r="9353">
          <cell r="C9353">
            <v>0</v>
          </cell>
        </row>
        <row r="9354">
          <cell r="C9354">
            <v>0</v>
          </cell>
        </row>
        <row r="9355">
          <cell r="C9355">
            <v>0</v>
          </cell>
        </row>
        <row r="9356">
          <cell r="C9356">
            <v>0</v>
          </cell>
        </row>
        <row r="9357">
          <cell r="C9357">
            <v>0</v>
          </cell>
        </row>
        <row r="9358">
          <cell r="C9358">
            <v>0</v>
          </cell>
        </row>
        <row r="9359">
          <cell r="C9359">
            <v>0</v>
          </cell>
        </row>
        <row r="9360">
          <cell r="C9360">
            <v>0</v>
          </cell>
        </row>
        <row r="9361">
          <cell r="C9361">
            <v>0</v>
          </cell>
        </row>
        <row r="9362">
          <cell r="C9362">
            <v>0</v>
          </cell>
        </row>
        <row r="9363">
          <cell r="C9363">
            <v>0</v>
          </cell>
        </row>
        <row r="9364">
          <cell r="C9364">
            <v>0</v>
          </cell>
        </row>
        <row r="9365">
          <cell r="C9365">
            <v>0</v>
          </cell>
        </row>
        <row r="9366">
          <cell r="C9366">
            <v>0</v>
          </cell>
        </row>
        <row r="9367">
          <cell r="C9367">
            <v>0</v>
          </cell>
        </row>
        <row r="9368">
          <cell r="C9368">
            <v>0</v>
          </cell>
        </row>
        <row r="9369">
          <cell r="C9369">
            <v>0</v>
          </cell>
        </row>
        <row r="9370">
          <cell r="C9370">
            <v>0</v>
          </cell>
        </row>
        <row r="9371">
          <cell r="C9371">
            <v>0</v>
          </cell>
        </row>
        <row r="9372">
          <cell r="C9372">
            <v>0</v>
          </cell>
        </row>
        <row r="9373">
          <cell r="C9373">
            <v>0</v>
          </cell>
        </row>
        <row r="9374">
          <cell r="C9374">
            <v>0</v>
          </cell>
        </row>
        <row r="9375">
          <cell r="C9375">
            <v>0</v>
          </cell>
        </row>
        <row r="9376">
          <cell r="C9376">
            <v>0</v>
          </cell>
        </row>
        <row r="9377">
          <cell r="C9377">
            <v>0</v>
          </cell>
        </row>
        <row r="9378">
          <cell r="C9378">
            <v>0</v>
          </cell>
        </row>
        <row r="9379">
          <cell r="C9379">
            <v>0</v>
          </cell>
        </row>
        <row r="9380">
          <cell r="C9380">
            <v>0</v>
          </cell>
        </row>
        <row r="9381">
          <cell r="C9381">
            <v>0</v>
          </cell>
        </row>
        <row r="9382">
          <cell r="C9382">
            <v>0</v>
          </cell>
        </row>
        <row r="9383">
          <cell r="C9383">
            <v>0</v>
          </cell>
        </row>
        <row r="9384">
          <cell r="C9384">
            <v>0</v>
          </cell>
        </row>
        <row r="9385">
          <cell r="C9385">
            <v>0</v>
          </cell>
        </row>
        <row r="9386">
          <cell r="C9386">
            <v>0</v>
          </cell>
        </row>
        <row r="9387">
          <cell r="C9387">
            <v>0</v>
          </cell>
        </row>
        <row r="9388">
          <cell r="C9388">
            <v>0</v>
          </cell>
        </row>
        <row r="9389">
          <cell r="C9389">
            <v>0</v>
          </cell>
        </row>
        <row r="9390">
          <cell r="C9390">
            <v>0</v>
          </cell>
        </row>
        <row r="9391">
          <cell r="C9391">
            <v>0</v>
          </cell>
        </row>
        <row r="9392">
          <cell r="C9392">
            <v>0</v>
          </cell>
        </row>
        <row r="9393">
          <cell r="C9393">
            <v>0</v>
          </cell>
        </row>
        <row r="9394">
          <cell r="C9394">
            <v>0</v>
          </cell>
        </row>
        <row r="9395">
          <cell r="C9395">
            <v>0</v>
          </cell>
        </row>
        <row r="9396">
          <cell r="C9396">
            <v>0</v>
          </cell>
        </row>
        <row r="9397">
          <cell r="C9397">
            <v>0</v>
          </cell>
        </row>
        <row r="9398">
          <cell r="C9398">
            <v>0</v>
          </cell>
        </row>
        <row r="9399">
          <cell r="C9399">
            <v>0</v>
          </cell>
        </row>
        <row r="9400">
          <cell r="C9400">
            <v>0</v>
          </cell>
        </row>
        <row r="9401">
          <cell r="C9401">
            <v>0</v>
          </cell>
        </row>
        <row r="9402">
          <cell r="C9402">
            <v>0</v>
          </cell>
        </row>
        <row r="9403">
          <cell r="C9403">
            <v>0</v>
          </cell>
        </row>
        <row r="9404">
          <cell r="C9404">
            <v>0</v>
          </cell>
        </row>
        <row r="9405">
          <cell r="C9405">
            <v>0</v>
          </cell>
        </row>
        <row r="9406">
          <cell r="C9406">
            <v>0</v>
          </cell>
        </row>
        <row r="9407">
          <cell r="C9407">
            <v>0</v>
          </cell>
        </row>
        <row r="9408">
          <cell r="C9408">
            <v>0</v>
          </cell>
        </row>
        <row r="9409">
          <cell r="C9409">
            <v>0</v>
          </cell>
        </row>
        <row r="9410">
          <cell r="C9410">
            <v>0</v>
          </cell>
        </row>
        <row r="9411">
          <cell r="C9411">
            <v>0</v>
          </cell>
        </row>
        <row r="9412">
          <cell r="C9412">
            <v>0</v>
          </cell>
        </row>
        <row r="9413">
          <cell r="C9413">
            <v>0</v>
          </cell>
        </row>
        <row r="9414">
          <cell r="C9414">
            <v>0</v>
          </cell>
        </row>
        <row r="9415">
          <cell r="C9415">
            <v>0</v>
          </cell>
        </row>
        <row r="9416">
          <cell r="C9416">
            <v>0</v>
          </cell>
        </row>
        <row r="9417">
          <cell r="C9417">
            <v>0</v>
          </cell>
        </row>
        <row r="9418">
          <cell r="C9418">
            <v>0</v>
          </cell>
        </row>
        <row r="9419">
          <cell r="C9419">
            <v>0</v>
          </cell>
        </row>
        <row r="9420">
          <cell r="C9420">
            <v>0</v>
          </cell>
        </row>
        <row r="9421">
          <cell r="C9421">
            <v>0</v>
          </cell>
        </row>
        <row r="9422">
          <cell r="C9422">
            <v>0</v>
          </cell>
        </row>
        <row r="9423">
          <cell r="C9423">
            <v>0</v>
          </cell>
        </row>
        <row r="9424">
          <cell r="C9424">
            <v>0</v>
          </cell>
        </row>
        <row r="9425">
          <cell r="C9425">
            <v>0</v>
          </cell>
        </row>
        <row r="9426">
          <cell r="C9426">
            <v>0</v>
          </cell>
        </row>
        <row r="9427">
          <cell r="C9427">
            <v>0</v>
          </cell>
        </row>
        <row r="9428">
          <cell r="C9428">
            <v>0</v>
          </cell>
        </row>
        <row r="9429">
          <cell r="C9429">
            <v>0</v>
          </cell>
        </row>
        <row r="9430">
          <cell r="C9430">
            <v>0</v>
          </cell>
        </row>
        <row r="9431">
          <cell r="C9431">
            <v>0</v>
          </cell>
        </row>
        <row r="9432">
          <cell r="C9432">
            <v>0</v>
          </cell>
        </row>
        <row r="9433">
          <cell r="C9433">
            <v>0</v>
          </cell>
        </row>
        <row r="9434">
          <cell r="C9434">
            <v>0</v>
          </cell>
        </row>
        <row r="9435">
          <cell r="C9435">
            <v>0</v>
          </cell>
        </row>
        <row r="9436">
          <cell r="C9436">
            <v>0</v>
          </cell>
        </row>
        <row r="9437">
          <cell r="C9437">
            <v>0</v>
          </cell>
        </row>
        <row r="9438">
          <cell r="C9438">
            <v>0</v>
          </cell>
        </row>
        <row r="9439">
          <cell r="C9439">
            <v>0</v>
          </cell>
        </row>
        <row r="9440">
          <cell r="C9440">
            <v>0</v>
          </cell>
        </row>
        <row r="9441">
          <cell r="C9441">
            <v>0</v>
          </cell>
        </row>
        <row r="9442">
          <cell r="C9442">
            <v>0</v>
          </cell>
        </row>
        <row r="9443">
          <cell r="C9443">
            <v>0</v>
          </cell>
        </row>
        <row r="9444">
          <cell r="C9444">
            <v>0</v>
          </cell>
        </row>
        <row r="9445">
          <cell r="C9445">
            <v>0</v>
          </cell>
        </row>
        <row r="9446">
          <cell r="C9446">
            <v>0</v>
          </cell>
        </row>
        <row r="9447">
          <cell r="C9447">
            <v>0</v>
          </cell>
        </row>
        <row r="9448">
          <cell r="C9448">
            <v>0</v>
          </cell>
        </row>
        <row r="9449">
          <cell r="C9449">
            <v>0</v>
          </cell>
        </row>
        <row r="9450">
          <cell r="C9450">
            <v>0</v>
          </cell>
        </row>
        <row r="9451">
          <cell r="C9451">
            <v>0</v>
          </cell>
        </row>
        <row r="9452">
          <cell r="C9452">
            <v>0</v>
          </cell>
        </row>
        <row r="9453">
          <cell r="C9453">
            <v>0</v>
          </cell>
        </row>
        <row r="9454">
          <cell r="C9454">
            <v>0</v>
          </cell>
        </row>
        <row r="9455">
          <cell r="C9455">
            <v>0</v>
          </cell>
        </row>
        <row r="9456">
          <cell r="C9456">
            <v>0</v>
          </cell>
        </row>
        <row r="9457">
          <cell r="C9457">
            <v>0</v>
          </cell>
        </row>
        <row r="9458">
          <cell r="C9458">
            <v>0</v>
          </cell>
        </row>
        <row r="9459">
          <cell r="C9459">
            <v>0</v>
          </cell>
        </row>
        <row r="9460">
          <cell r="C9460">
            <v>0</v>
          </cell>
        </row>
        <row r="9461">
          <cell r="C9461">
            <v>0</v>
          </cell>
        </row>
        <row r="9462">
          <cell r="C9462">
            <v>0</v>
          </cell>
        </row>
        <row r="9463">
          <cell r="C9463">
            <v>0</v>
          </cell>
        </row>
        <row r="9464">
          <cell r="C9464">
            <v>0</v>
          </cell>
        </row>
        <row r="9465">
          <cell r="C9465">
            <v>0</v>
          </cell>
        </row>
        <row r="9466">
          <cell r="C9466">
            <v>0</v>
          </cell>
        </row>
        <row r="9467">
          <cell r="C9467">
            <v>0</v>
          </cell>
        </row>
        <row r="9468">
          <cell r="C9468">
            <v>0</v>
          </cell>
        </row>
        <row r="9469">
          <cell r="C9469">
            <v>0</v>
          </cell>
        </row>
        <row r="9470">
          <cell r="C9470">
            <v>0</v>
          </cell>
        </row>
        <row r="9471">
          <cell r="C9471">
            <v>0</v>
          </cell>
        </row>
        <row r="9472">
          <cell r="C9472">
            <v>0</v>
          </cell>
        </row>
        <row r="9473">
          <cell r="C9473">
            <v>0</v>
          </cell>
        </row>
        <row r="9474">
          <cell r="C9474">
            <v>0</v>
          </cell>
        </row>
        <row r="9475">
          <cell r="C9475">
            <v>0</v>
          </cell>
        </row>
        <row r="9476">
          <cell r="C9476">
            <v>0</v>
          </cell>
        </row>
        <row r="9477">
          <cell r="C9477">
            <v>0</v>
          </cell>
        </row>
        <row r="9478">
          <cell r="C9478">
            <v>0</v>
          </cell>
        </row>
        <row r="9479">
          <cell r="C9479">
            <v>0</v>
          </cell>
        </row>
        <row r="9480">
          <cell r="C9480">
            <v>0</v>
          </cell>
        </row>
        <row r="9481">
          <cell r="C9481">
            <v>0</v>
          </cell>
        </row>
        <row r="9482">
          <cell r="C9482">
            <v>0</v>
          </cell>
        </row>
        <row r="9483">
          <cell r="C9483">
            <v>0</v>
          </cell>
        </row>
        <row r="9484">
          <cell r="C9484">
            <v>0</v>
          </cell>
        </row>
        <row r="9485">
          <cell r="C9485">
            <v>0</v>
          </cell>
        </row>
        <row r="9486">
          <cell r="C9486">
            <v>0</v>
          </cell>
        </row>
        <row r="9487">
          <cell r="C9487">
            <v>0</v>
          </cell>
        </row>
        <row r="9488">
          <cell r="C9488">
            <v>0</v>
          </cell>
        </row>
        <row r="9489">
          <cell r="C9489">
            <v>0</v>
          </cell>
        </row>
        <row r="9490">
          <cell r="C9490">
            <v>0</v>
          </cell>
        </row>
        <row r="9491">
          <cell r="C9491">
            <v>0</v>
          </cell>
        </row>
        <row r="9492">
          <cell r="C9492">
            <v>0</v>
          </cell>
        </row>
        <row r="9493">
          <cell r="C9493">
            <v>0</v>
          </cell>
        </row>
        <row r="9494">
          <cell r="C9494">
            <v>0</v>
          </cell>
        </row>
        <row r="9495">
          <cell r="C9495">
            <v>0</v>
          </cell>
        </row>
        <row r="9496">
          <cell r="C9496">
            <v>0</v>
          </cell>
        </row>
        <row r="9497">
          <cell r="C9497">
            <v>0</v>
          </cell>
        </row>
        <row r="9498">
          <cell r="C9498">
            <v>0</v>
          </cell>
        </row>
        <row r="9499">
          <cell r="C9499">
            <v>0</v>
          </cell>
        </row>
        <row r="9500">
          <cell r="C9500">
            <v>0</v>
          </cell>
        </row>
        <row r="9501">
          <cell r="C9501">
            <v>0</v>
          </cell>
        </row>
        <row r="9502">
          <cell r="C9502">
            <v>0</v>
          </cell>
        </row>
        <row r="9503">
          <cell r="C9503">
            <v>0</v>
          </cell>
        </row>
        <row r="9504">
          <cell r="C9504">
            <v>0</v>
          </cell>
        </row>
        <row r="9505">
          <cell r="C9505">
            <v>0</v>
          </cell>
        </row>
        <row r="9506">
          <cell r="C9506">
            <v>0</v>
          </cell>
        </row>
        <row r="9507">
          <cell r="C9507">
            <v>0</v>
          </cell>
        </row>
        <row r="9508">
          <cell r="C9508">
            <v>0</v>
          </cell>
        </row>
        <row r="9509">
          <cell r="C9509">
            <v>0</v>
          </cell>
        </row>
        <row r="9510">
          <cell r="C9510">
            <v>0</v>
          </cell>
        </row>
        <row r="9511">
          <cell r="C9511">
            <v>0</v>
          </cell>
        </row>
        <row r="9512">
          <cell r="C9512">
            <v>0</v>
          </cell>
        </row>
        <row r="9513">
          <cell r="C9513">
            <v>0</v>
          </cell>
        </row>
        <row r="9514">
          <cell r="C9514">
            <v>0</v>
          </cell>
        </row>
        <row r="9515">
          <cell r="C9515">
            <v>0</v>
          </cell>
        </row>
        <row r="9516">
          <cell r="C9516">
            <v>0</v>
          </cell>
        </row>
        <row r="9517">
          <cell r="C9517">
            <v>0</v>
          </cell>
        </row>
        <row r="9518">
          <cell r="C9518">
            <v>0</v>
          </cell>
        </row>
        <row r="9519">
          <cell r="C9519">
            <v>0</v>
          </cell>
        </row>
        <row r="9520">
          <cell r="C9520">
            <v>0</v>
          </cell>
        </row>
        <row r="9521">
          <cell r="C9521">
            <v>0</v>
          </cell>
        </row>
        <row r="9522">
          <cell r="C9522">
            <v>0</v>
          </cell>
        </row>
        <row r="9523">
          <cell r="C9523">
            <v>0</v>
          </cell>
        </row>
        <row r="9524">
          <cell r="C9524">
            <v>0</v>
          </cell>
        </row>
        <row r="9525">
          <cell r="C9525">
            <v>0</v>
          </cell>
        </row>
        <row r="9526">
          <cell r="C9526">
            <v>0</v>
          </cell>
        </row>
        <row r="9527">
          <cell r="C9527">
            <v>0</v>
          </cell>
        </row>
        <row r="9528">
          <cell r="C9528">
            <v>0</v>
          </cell>
        </row>
        <row r="9529">
          <cell r="C9529">
            <v>0</v>
          </cell>
        </row>
        <row r="9530">
          <cell r="C9530">
            <v>0</v>
          </cell>
        </row>
        <row r="9531">
          <cell r="C9531">
            <v>0</v>
          </cell>
        </row>
        <row r="9532">
          <cell r="C9532">
            <v>0</v>
          </cell>
        </row>
        <row r="9533">
          <cell r="C9533">
            <v>0</v>
          </cell>
        </row>
        <row r="9534">
          <cell r="C9534">
            <v>0</v>
          </cell>
        </row>
        <row r="9535">
          <cell r="C9535">
            <v>0</v>
          </cell>
        </row>
        <row r="9536">
          <cell r="C9536">
            <v>0</v>
          </cell>
        </row>
        <row r="9537">
          <cell r="C9537">
            <v>0</v>
          </cell>
        </row>
        <row r="9538">
          <cell r="C9538">
            <v>0</v>
          </cell>
        </row>
        <row r="9539">
          <cell r="C9539">
            <v>0</v>
          </cell>
        </row>
        <row r="9540">
          <cell r="C9540">
            <v>0</v>
          </cell>
        </row>
        <row r="9541">
          <cell r="C9541">
            <v>0</v>
          </cell>
        </row>
        <row r="9542">
          <cell r="C9542">
            <v>0</v>
          </cell>
        </row>
        <row r="9543">
          <cell r="C9543">
            <v>0</v>
          </cell>
        </row>
        <row r="9544">
          <cell r="C9544">
            <v>0</v>
          </cell>
        </row>
        <row r="9545">
          <cell r="C9545">
            <v>0</v>
          </cell>
        </row>
        <row r="9546">
          <cell r="C9546">
            <v>0</v>
          </cell>
        </row>
        <row r="9547">
          <cell r="C9547">
            <v>0</v>
          </cell>
        </row>
        <row r="9548">
          <cell r="C9548">
            <v>0</v>
          </cell>
        </row>
        <row r="9549">
          <cell r="C9549">
            <v>0</v>
          </cell>
        </row>
        <row r="9550">
          <cell r="C9550">
            <v>0</v>
          </cell>
        </row>
        <row r="9551">
          <cell r="C9551">
            <v>0</v>
          </cell>
        </row>
        <row r="9552">
          <cell r="C9552">
            <v>0</v>
          </cell>
        </row>
        <row r="9553">
          <cell r="C9553">
            <v>0</v>
          </cell>
        </row>
        <row r="9554">
          <cell r="C9554">
            <v>0</v>
          </cell>
        </row>
        <row r="9555">
          <cell r="C9555">
            <v>0</v>
          </cell>
        </row>
        <row r="9556">
          <cell r="C9556">
            <v>0</v>
          </cell>
        </row>
        <row r="9557">
          <cell r="C9557">
            <v>0</v>
          </cell>
        </row>
        <row r="9558">
          <cell r="C9558">
            <v>0</v>
          </cell>
        </row>
        <row r="9559">
          <cell r="C9559">
            <v>0</v>
          </cell>
        </row>
        <row r="9560">
          <cell r="C9560">
            <v>0</v>
          </cell>
        </row>
        <row r="9561">
          <cell r="C9561">
            <v>0</v>
          </cell>
        </row>
        <row r="9562">
          <cell r="C9562">
            <v>0</v>
          </cell>
        </row>
        <row r="9563">
          <cell r="C9563">
            <v>0</v>
          </cell>
        </row>
        <row r="9564">
          <cell r="C9564">
            <v>0</v>
          </cell>
        </row>
        <row r="9565">
          <cell r="C9565">
            <v>0</v>
          </cell>
        </row>
        <row r="9566">
          <cell r="C9566">
            <v>0</v>
          </cell>
        </row>
        <row r="9567">
          <cell r="C9567">
            <v>0</v>
          </cell>
        </row>
        <row r="9568">
          <cell r="C9568">
            <v>0</v>
          </cell>
        </row>
        <row r="9569">
          <cell r="C9569">
            <v>0</v>
          </cell>
        </row>
        <row r="9570">
          <cell r="C9570">
            <v>0</v>
          </cell>
        </row>
        <row r="9571">
          <cell r="C9571">
            <v>0</v>
          </cell>
        </row>
        <row r="9572">
          <cell r="C9572">
            <v>0</v>
          </cell>
        </row>
        <row r="9573">
          <cell r="C9573">
            <v>0</v>
          </cell>
        </row>
        <row r="9574">
          <cell r="C9574">
            <v>0</v>
          </cell>
        </row>
        <row r="9575">
          <cell r="C9575">
            <v>0</v>
          </cell>
        </row>
        <row r="9576">
          <cell r="C9576">
            <v>0</v>
          </cell>
        </row>
        <row r="9577">
          <cell r="C9577">
            <v>0</v>
          </cell>
        </row>
        <row r="9578">
          <cell r="C9578">
            <v>0</v>
          </cell>
        </row>
        <row r="9579">
          <cell r="C9579">
            <v>0</v>
          </cell>
        </row>
        <row r="9580">
          <cell r="C9580">
            <v>0</v>
          </cell>
        </row>
        <row r="9581">
          <cell r="C9581">
            <v>0</v>
          </cell>
        </row>
        <row r="9582">
          <cell r="C9582">
            <v>0</v>
          </cell>
        </row>
        <row r="9583">
          <cell r="C9583">
            <v>0</v>
          </cell>
        </row>
        <row r="9584">
          <cell r="C9584">
            <v>0</v>
          </cell>
        </row>
        <row r="9585">
          <cell r="C9585">
            <v>0</v>
          </cell>
        </row>
        <row r="9586">
          <cell r="C9586">
            <v>0</v>
          </cell>
        </row>
        <row r="9587">
          <cell r="C9587">
            <v>0</v>
          </cell>
        </row>
        <row r="9588">
          <cell r="C9588">
            <v>0</v>
          </cell>
        </row>
        <row r="9589">
          <cell r="C9589">
            <v>0</v>
          </cell>
        </row>
        <row r="9590">
          <cell r="C9590">
            <v>0</v>
          </cell>
        </row>
        <row r="9591">
          <cell r="C9591">
            <v>0</v>
          </cell>
        </row>
        <row r="9592">
          <cell r="C9592">
            <v>0</v>
          </cell>
        </row>
        <row r="9593">
          <cell r="C9593">
            <v>0</v>
          </cell>
        </row>
        <row r="9594">
          <cell r="C9594">
            <v>0</v>
          </cell>
        </row>
        <row r="9595">
          <cell r="C9595">
            <v>0</v>
          </cell>
        </row>
        <row r="9596">
          <cell r="C9596">
            <v>0</v>
          </cell>
        </row>
        <row r="9597">
          <cell r="C9597">
            <v>0</v>
          </cell>
        </row>
        <row r="9598">
          <cell r="C9598">
            <v>0</v>
          </cell>
        </row>
        <row r="9599">
          <cell r="C9599">
            <v>0</v>
          </cell>
        </row>
        <row r="9600">
          <cell r="C9600">
            <v>0</v>
          </cell>
        </row>
        <row r="9601">
          <cell r="C9601">
            <v>0</v>
          </cell>
        </row>
        <row r="9602">
          <cell r="C9602">
            <v>0</v>
          </cell>
        </row>
        <row r="9603">
          <cell r="C9603">
            <v>0</v>
          </cell>
        </row>
        <row r="9604">
          <cell r="C9604">
            <v>0</v>
          </cell>
        </row>
        <row r="9605">
          <cell r="C9605">
            <v>0</v>
          </cell>
        </row>
        <row r="9606">
          <cell r="C9606">
            <v>0</v>
          </cell>
        </row>
        <row r="9607">
          <cell r="C9607">
            <v>0</v>
          </cell>
        </row>
        <row r="9608">
          <cell r="C9608">
            <v>0</v>
          </cell>
        </row>
        <row r="9609">
          <cell r="C9609">
            <v>0</v>
          </cell>
        </row>
        <row r="9610">
          <cell r="C9610">
            <v>0</v>
          </cell>
        </row>
        <row r="9611">
          <cell r="C9611">
            <v>0</v>
          </cell>
        </row>
        <row r="9612">
          <cell r="C9612">
            <v>0</v>
          </cell>
        </row>
        <row r="9613">
          <cell r="C9613">
            <v>0</v>
          </cell>
        </row>
        <row r="9614">
          <cell r="C9614">
            <v>0</v>
          </cell>
        </row>
        <row r="9615">
          <cell r="C9615">
            <v>0</v>
          </cell>
        </row>
        <row r="9616">
          <cell r="C9616">
            <v>0</v>
          </cell>
        </row>
        <row r="9617">
          <cell r="C9617">
            <v>0</v>
          </cell>
        </row>
        <row r="9618">
          <cell r="C9618">
            <v>0</v>
          </cell>
        </row>
        <row r="9619">
          <cell r="C9619">
            <v>0</v>
          </cell>
        </row>
        <row r="9620">
          <cell r="C9620">
            <v>0</v>
          </cell>
        </row>
        <row r="9621">
          <cell r="C9621">
            <v>0</v>
          </cell>
        </row>
        <row r="9622">
          <cell r="C9622">
            <v>0</v>
          </cell>
        </row>
        <row r="9623">
          <cell r="C9623">
            <v>0</v>
          </cell>
        </row>
        <row r="9624">
          <cell r="C9624">
            <v>0</v>
          </cell>
        </row>
        <row r="9625">
          <cell r="C9625">
            <v>0</v>
          </cell>
        </row>
        <row r="9626">
          <cell r="C9626">
            <v>0</v>
          </cell>
        </row>
        <row r="9627">
          <cell r="C9627">
            <v>0</v>
          </cell>
        </row>
        <row r="9628">
          <cell r="C9628">
            <v>0</v>
          </cell>
        </row>
        <row r="9629">
          <cell r="C9629">
            <v>0</v>
          </cell>
        </row>
        <row r="9630">
          <cell r="C9630">
            <v>0</v>
          </cell>
        </row>
        <row r="9631">
          <cell r="C9631">
            <v>0</v>
          </cell>
        </row>
        <row r="9632">
          <cell r="C9632">
            <v>0</v>
          </cell>
        </row>
        <row r="9633">
          <cell r="C9633">
            <v>0</v>
          </cell>
        </row>
        <row r="9634">
          <cell r="C9634">
            <v>0</v>
          </cell>
        </row>
        <row r="9635">
          <cell r="C9635">
            <v>0</v>
          </cell>
        </row>
        <row r="9636">
          <cell r="C9636">
            <v>0</v>
          </cell>
        </row>
        <row r="9637">
          <cell r="C9637">
            <v>0</v>
          </cell>
        </row>
        <row r="9638">
          <cell r="C9638">
            <v>0</v>
          </cell>
        </row>
        <row r="9639">
          <cell r="C9639">
            <v>0</v>
          </cell>
        </row>
        <row r="9640">
          <cell r="C9640">
            <v>0</v>
          </cell>
        </row>
        <row r="9641">
          <cell r="C9641">
            <v>0</v>
          </cell>
        </row>
        <row r="9642">
          <cell r="C9642">
            <v>0</v>
          </cell>
        </row>
        <row r="9643">
          <cell r="C9643">
            <v>0</v>
          </cell>
        </row>
        <row r="9644">
          <cell r="C9644">
            <v>0</v>
          </cell>
        </row>
        <row r="9645">
          <cell r="C9645">
            <v>0</v>
          </cell>
        </row>
        <row r="9646">
          <cell r="C9646">
            <v>0</v>
          </cell>
        </row>
        <row r="9647">
          <cell r="C9647">
            <v>0</v>
          </cell>
        </row>
        <row r="9648">
          <cell r="C9648">
            <v>0</v>
          </cell>
        </row>
        <row r="9649">
          <cell r="C9649">
            <v>0</v>
          </cell>
        </row>
        <row r="9650">
          <cell r="C9650">
            <v>0</v>
          </cell>
        </row>
        <row r="9651">
          <cell r="C9651">
            <v>0</v>
          </cell>
        </row>
        <row r="9652">
          <cell r="C9652">
            <v>0</v>
          </cell>
        </row>
        <row r="9653">
          <cell r="C9653">
            <v>0</v>
          </cell>
        </row>
        <row r="9654">
          <cell r="C9654">
            <v>0</v>
          </cell>
        </row>
        <row r="9655">
          <cell r="C9655">
            <v>0</v>
          </cell>
        </row>
        <row r="9656">
          <cell r="C9656">
            <v>0</v>
          </cell>
        </row>
        <row r="9657">
          <cell r="C9657">
            <v>0</v>
          </cell>
        </row>
        <row r="9658">
          <cell r="C9658">
            <v>0</v>
          </cell>
        </row>
        <row r="9659">
          <cell r="C9659">
            <v>0</v>
          </cell>
        </row>
        <row r="9660">
          <cell r="C9660">
            <v>0</v>
          </cell>
        </row>
        <row r="9661">
          <cell r="C9661">
            <v>0</v>
          </cell>
        </row>
        <row r="9662">
          <cell r="C9662">
            <v>0</v>
          </cell>
        </row>
        <row r="9663">
          <cell r="C9663">
            <v>0</v>
          </cell>
        </row>
        <row r="9664">
          <cell r="C9664">
            <v>0</v>
          </cell>
        </row>
        <row r="9665">
          <cell r="C9665">
            <v>0</v>
          </cell>
        </row>
        <row r="9666">
          <cell r="C9666">
            <v>0</v>
          </cell>
        </row>
        <row r="9667">
          <cell r="C9667">
            <v>0</v>
          </cell>
        </row>
        <row r="9668">
          <cell r="C9668">
            <v>0</v>
          </cell>
        </row>
        <row r="9669">
          <cell r="C9669">
            <v>0</v>
          </cell>
        </row>
        <row r="9670">
          <cell r="C9670">
            <v>0</v>
          </cell>
        </row>
        <row r="9671">
          <cell r="C9671">
            <v>0</v>
          </cell>
        </row>
        <row r="9672">
          <cell r="C9672">
            <v>0</v>
          </cell>
        </row>
        <row r="9673">
          <cell r="C9673">
            <v>0</v>
          </cell>
        </row>
        <row r="9674">
          <cell r="C9674">
            <v>0</v>
          </cell>
        </row>
        <row r="9675">
          <cell r="C9675">
            <v>0</v>
          </cell>
        </row>
        <row r="9676">
          <cell r="C9676">
            <v>0</v>
          </cell>
        </row>
        <row r="9677">
          <cell r="C9677">
            <v>0</v>
          </cell>
        </row>
        <row r="9678">
          <cell r="C9678">
            <v>0</v>
          </cell>
        </row>
        <row r="9679">
          <cell r="C9679">
            <v>0</v>
          </cell>
        </row>
        <row r="9680">
          <cell r="C9680">
            <v>0</v>
          </cell>
        </row>
        <row r="9681">
          <cell r="C9681">
            <v>0</v>
          </cell>
        </row>
        <row r="9682">
          <cell r="C9682">
            <v>0</v>
          </cell>
        </row>
        <row r="9683">
          <cell r="C9683">
            <v>0</v>
          </cell>
        </row>
        <row r="9684">
          <cell r="C9684">
            <v>0</v>
          </cell>
        </row>
        <row r="9685">
          <cell r="C9685">
            <v>0</v>
          </cell>
        </row>
        <row r="9686">
          <cell r="C9686">
            <v>0</v>
          </cell>
        </row>
        <row r="9687">
          <cell r="C9687">
            <v>0</v>
          </cell>
        </row>
        <row r="9688">
          <cell r="C9688">
            <v>0</v>
          </cell>
        </row>
        <row r="9689">
          <cell r="C9689">
            <v>0</v>
          </cell>
        </row>
        <row r="9690">
          <cell r="C9690">
            <v>0</v>
          </cell>
        </row>
        <row r="9691">
          <cell r="C9691">
            <v>0</v>
          </cell>
        </row>
        <row r="9692">
          <cell r="C9692">
            <v>0</v>
          </cell>
        </row>
        <row r="9693">
          <cell r="C9693">
            <v>0</v>
          </cell>
        </row>
        <row r="9694">
          <cell r="C9694">
            <v>0</v>
          </cell>
        </row>
        <row r="9695">
          <cell r="C9695">
            <v>0</v>
          </cell>
        </row>
        <row r="9696">
          <cell r="C9696">
            <v>0</v>
          </cell>
        </row>
        <row r="9697">
          <cell r="C9697">
            <v>0</v>
          </cell>
        </row>
        <row r="9698">
          <cell r="C9698">
            <v>0</v>
          </cell>
        </row>
        <row r="9699">
          <cell r="C9699">
            <v>0</v>
          </cell>
        </row>
        <row r="9700">
          <cell r="C9700">
            <v>0</v>
          </cell>
        </row>
        <row r="9701">
          <cell r="C9701">
            <v>0</v>
          </cell>
        </row>
        <row r="9702">
          <cell r="C9702">
            <v>0</v>
          </cell>
        </row>
        <row r="9703">
          <cell r="C9703">
            <v>0</v>
          </cell>
        </row>
        <row r="9704">
          <cell r="C9704">
            <v>0</v>
          </cell>
        </row>
        <row r="9705">
          <cell r="C9705">
            <v>0</v>
          </cell>
        </row>
        <row r="9706">
          <cell r="C9706">
            <v>0</v>
          </cell>
        </row>
        <row r="9707">
          <cell r="C9707">
            <v>0</v>
          </cell>
        </row>
        <row r="9708">
          <cell r="C9708">
            <v>0</v>
          </cell>
        </row>
        <row r="9709">
          <cell r="C9709">
            <v>0</v>
          </cell>
        </row>
        <row r="9710">
          <cell r="C9710">
            <v>0</v>
          </cell>
        </row>
        <row r="9711">
          <cell r="C9711">
            <v>0</v>
          </cell>
        </row>
        <row r="9712">
          <cell r="C9712">
            <v>0</v>
          </cell>
        </row>
        <row r="9713">
          <cell r="C9713">
            <v>0</v>
          </cell>
        </row>
        <row r="9714">
          <cell r="C9714">
            <v>0</v>
          </cell>
        </row>
        <row r="9715">
          <cell r="C9715">
            <v>0</v>
          </cell>
        </row>
        <row r="9716">
          <cell r="C9716">
            <v>0</v>
          </cell>
        </row>
        <row r="9717">
          <cell r="C9717">
            <v>0</v>
          </cell>
        </row>
        <row r="9718">
          <cell r="C9718">
            <v>0</v>
          </cell>
        </row>
        <row r="9719">
          <cell r="C9719">
            <v>0</v>
          </cell>
        </row>
        <row r="9720">
          <cell r="C9720">
            <v>0</v>
          </cell>
        </row>
        <row r="9721">
          <cell r="C9721">
            <v>0</v>
          </cell>
        </row>
        <row r="9722">
          <cell r="C9722">
            <v>0</v>
          </cell>
        </row>
        <row r="9723">
          <cell r="C9723">
            <v>0</v>
          </cell>
        </row>
        <row r="9724">
          <cell r="C9724">
            <v>0</v>
          </cell>
        </row>
        <row r="9725">
          <cell r="C9725">
            <v>0</v>
          </cell>
        </row>
        <row r="9726">
          <cell r="C9726">
            <v>0</v>
          </cell>
        </row>
        <row r="9727">
          <cell r="C9727">
            <v>0</v>
          </cell>
        </row>
        <row r="9728">
          <cell r="C9728">
            <v>0</v>
          </cell>
        </row>
        <row r="9729">
          <cell r="C9729">
            <v>0</v>
          </cell>
        </row>
        <row r="9730">
          <cell r="C9730">
            <v>0</v>
          </cell>
        </row>
        <row r="9731">
          <cell r="C9731">
            <v>0</v>
          </cell>
        </row>
        <row r="9732">
          <cell r="C9732">
            <v>0</v>
          </cell>
        </row>
        <row r="9733">
          <cell r="C9733">
            <v>0</v>
          </cell>
        </row>
        <row r="9734">
          <cell r="C9734">
            <v>0</v>
          </cell>
        </row>
        <row r="9735">
          <cell r="C9735">
            <v>0</v>
          </cell>
        </row>
        <row r="9736">
          <cell r="C9736">
            <v>0</v>
          </cell>
        </row>
        <row r="9737">
          <cell r="C9737">
            <v>0</v>
          </cell>
        </row>
        <row r="9738">
          <cell r="C9738">
            <v>0</v>
          </cell>
        </row>
        <row r="9739">
          <cell r="C9739">
            <v>0</v>
          </cell>
        </row>
        <row r="9740">
          <cell r="C9740">
            <v>0</v>
          </cell>
        </row>
        <row r="9741">
          <cell r="C9741">
            <v>0</v>
          </cell>
        </row>
        <row r="9742">
          <cell r="C9742">
            <v>0</v>
          </cell>
        </row>
        <row r="9743">
          <cell r="C9743">
            <v>0</v>
          </cell>
        </row>
        <row r="9744">
          <cell r="C9744">
            <v>0</v>
          </cell>
        </row>
        <row r="9745">
          <cell r="C9745">
            <v>0</v>
          </cell>
        </row>
        <row r="9746">
          <cell r="C9746">
            <v>0</v>
          </cell>
        </row>
        <row r="9747">
          <cell r="C9747">
            <v>0</v>
          </cell>
        </row>
        <row r="9748">
          <cell r="C9748">
            <v>0</v>
          </cell>
        </row>
        <row r="9749">
          <cell r="C9749">
            <v>0</v>
          </cell>
        </row>
        <row r="9750">
          <cell r="C9750">
            <v>0</v>
          </cell>
        </row>
        <row r="9751">
          <cell r="C9751">
            <v>0</v>
          </cell>
        </row>
        <row r="9752">
          <cell r="C9752">
            <v>0</v>
          </cell>
        </row>
        <row r="9753">
          <cell r="C9753">
            <v>0</v>
          </cell>
        </row>
        <row r="9754">
          <cell r="C9754">
            <v>0</v>
          </cell>
        </row>
        <row r="9755">
          <cell r="C9755">
            <v>0</v>
          </cell>
        </row>
        <row r="9756">
          <cell r="C9756">
            <v>0</v>
          </cell>
        </row>
        <row r="9757">
          <cell r="C9757">
            <v>0</v>
          </cell>
        </row>
        <row r="9758">
          <cell r="C9758">
            <v>0</v>
          </cell>
        </row>
        <row r="9759">
          <cell r="C9759">
            <v>0</v>
          </cell>
        </row>
        <row r="9760">
          <cell r="C9760">
            <v>0</v>
          </cell>
        </row>
        <row r="9761">
          <cell r="C9761">
            <v>0</v>
          </cell>
        </row>
        <row r="9762">
          <cell r="C9762">
            <v>0</v>
          </cell>
        </row>
        <row r="9763">
          <cell r="C9763">
            <v>0</v>
          </cell>
        </row>
        <row r="9764">
          <cell r="C9764">
            <v>0</v>
          </cell>
        </row>
        <row r="9765">
          <cell r="C9765">
            <v>0</v>
          </cell>
        </row>
        <row r="9766">
          <cell r="C9766">
            <v>0</v>
          </cell>
        </row>
        <row r="9767">
          <cell r="C9767">
            <v>0</v>
          </cell>
        </row>
        <row r="9768">
          <cell r="C9768">
            <v>0</v>
          </cell>
        </row>
        <row r="9769">
          <cell r="C9769">
            <v>0</v>
          </cell>
        </row>
        <row r="9770">
          <cell r="C9770">
            <v>0</v>
          </cell>
        </row>
        <row r="9771">
          <cell r="C9771">
            <v>0</v>
          </cell>
        </row>
        <row r="9772">
          <cell r="C9772">
            <v>0</v>
          </cell>
        </row>
        <row r="9773">
          <cell r="C9773">
            <v>0</v>
          </cell>
        </row>
        <row r="9774">
          <cell r="C9774">
            <v>0</v>
          </cell>
        </row>
        <row r="9775">
          <cell r="C9775">
            <v>0</v>
          </cell>
        </row>
        <row r="9776">
          <cell r="C9776">
            <v>0</v>
          </cell>
        </row>
        <row r="9777">
          <cell r="C9777">
            <v>0</v>
          </cell>
        </row>
        <row r="9778">
          <cell r="C9778">
            <v>0</v>
          </cell>
        </row>
        <row r="9779">
          <cell r="C9779">
            <v>0</v>
          </cell>
        </row>
        <row r="9780">
          <cell r="C9780">
            <v>0</v>
          </cell>
        </row>
        <row r="9781">
          <cell r="C9781">
            <v>0</v>
          </cell>
        </row>
        <row r="9782">
          <cell r="C9782">
            <v>0</v>
          </cell>
        </row>
        <row r="9783">
          <cell r="C9783">
            <v>0</v>
          </cell>
        </row>
        <row r="9784">
          <cell r="C9784">
            <v>0</v>
          </cell>
        </row>
        <row r="9785">
          <cell r="C9785">
            <v>0</v>
          </cell>
        </row>
        <row r="9786">
          <cell r="C9786">
            <v>0</v>
          </cell>
        </row>
        <row r="9787">
          <cell r="C9787">
            <v>0</v>
          </cell>
        </row>
        <row r="9788">
          <cell r="C9788">
            <v>0</v>
          </cell>
        </row>
        <row r="9789">
          <cell r="C9789">
            <v>0</v>
          </cell>
        </row>
        <row r="9790">
          <cell r="C9790">
            <v>0</v>
          </cell>
        </row>
        <row r="9791">
          <cell r="C9791">
            <v>0</v>
          </cell>
        </row>
        <row r="9792">
          <cell r="C9792">
            <v>0</v>
          </cell>
        </row>
        <row r="9793">
          <cell r="C9793">
            <v>0</v>
          </cell>
        </row>
        <row r="9794">
          <cell r="C9794">
            <v>0</v>
          </cell>
        </row>
        <row r="9795">
          <cell r="C9795">
            <v>0</v>
          </cell>
        </row>
        <row r="9796">
          <cell r="C9796">
            <v>0</v>
          </cell>
        </row>
        <row r="9797">
          <cell r="C9797">
            <v>0</v>
          </cell>
        </row>
        <row r="9798">
          <cell r="C9798">
            <v>0</v>
          </cell>
        </row>
        <row r="9799">
          <cell r="C9799">
            <v>0</v>
          </cell>
        </row>
        <row r="9800">
          <cell r="C9800">
            <v>0</v>
          </cell>
        </row>
        <row r="9801">
          <cell r="C9801">
            <v>0</v>
          </cell>
        </row>
        <row r="9802">
          <cell r="C9802">
            <v>0</v>
          </cell>
        </row>
        <row r="9803">
          <cell r="C9803">
            <v>0</v>
          </cell>
        </row>
        <row r="9804">
          <cell r="C9804">
            <v>0</v>
          </cell>
        </row>
        <row r="9805">
          <cell r="C9805">
            <v>0</v>
          </cell>
        </row>
        <row r="9806">
          <cell r="C9806">
            <v>0</v>
          </cell>
        </row>
        <row r="9807">
          <cell r="C9807">
            <v>0</v>
          </cell>
        </row>
        <row r="9808">
          <cell r="C9808">
            <v>0</v>
          </cell>
        </row>
        <row r="9809">
          <cell r="C9809">
            <v>0</v>
          </cell>
        </row>
        <row r="9810">
          <cell r="C9810">
            <v>0</v>
          </cell>
        </row>
        <row r="9811">
          <cell r="C9811">
            <v>0</v>
          </cell>
        </row>
        <row r="9812">
          <cell r="C9812">
            <v>0</v>
          </cell>
        </row>
        <row r="9813">
          <cell r="C9813">
            <v>0</v>
          </cell>
        </row>
        <row r="9814">
          <cell r="C9814">
            <v>0</v>
          </cell>
        </row>
        <row r="9815">
          <cell r="C9815">
            <v>0</v>
          </cell>
        </row>
        <row r="9816">
          <cell r="C9816">
            <v>0</v>
          </cell>
        </row>
        <row r="9817">
          <cell r="C9817">
            <v>0</v>
          </cell>
        </row>
        <row r="9818">
          <cell r="C9818">
            <v>0</v>
          </cell>
        </row>
        <row r="9819">
          <cell r="C9819">
            <v>0</v>
          </cell>
        </row>
        <row r="9820">
          <cell r="C9820">
            <v>0</v>
          </cell>
        </row>
        <row r="9821">
          <cell r="C9821">
            <v>0</v>
          </cell>
        </row>
        <row r="9822">
          <cell r="C9822">
            <v>0</v>
          </cell>
        </row>
        <row r="9823">
          <cell r="C9823">
            <v>0</v>
          </cell>
        </row>
        <row r="9824">
          <cell r="C9824">
            <v>0</v>
          </cell>
        </row>
        <row r="9825">
          <cell r="C9825">
            <v>0</v>
          </cell>
        </row>
        <row r="9826">
          <cell r="C9826">
            <v>0</v>
          </cell>
        </row>
        <row r="9827">
          <cell r="C9827">
            <v>0</v>
          </cell>
        </row>
        <row r="9828">
          <cell r="C9828">
            <v>0</v>
          </cell>
        </row>
        <row r="9829">
          <cell r="C9829">
            <v>0</v>
          </cell>
        </row>
        <row r="9830">
          <cell r="C9830">
            <v>0</v>
          </cell>
        </row>
        <row r="9831">
          <cell r="C9831">
            <v>0</v>
          </cell>
        </row>
        <row r="9832">
          <cell r="C9832">
            <v>0</v>
          </cell>
        </row>
        <row r="9833">
          <cell r="C9833">
            <v>0</v>
          </cell>
        </row>
        <row r="9834">
          <cell r="C9834">
            <v>0</v>
          </cell>
        </row>
        <row r="9835">
          <cell r="C9835">
            <v>0</v>
          </cell>
        </row>
        <row r="9836">
          <cell r="C9836">
            <v>0</v>
          </cell>
        </row>
        <row r="9837">
          <cell r="C9837">
            <v>0</v>
          </cell>
        </row>
        <row r="9838">
          <cell r="C9838">
            <v>0</v>
          </cell>
        </row>
        <row r="9839">
          <cell r="C9839">
            <v>0</v>
          </cell>
        </row>
        <row r="9840">
          <cell r="C9840">
            <v>0</v>
          </cell>
        </row>
        <row r="9841">
          <cell r="C9841">
            <v>0</v>
          </cell>
        </row>
        <row r="9842">
          <cell r="C9842">
            <v>0</v>
          </cell>
        </row>
        <row r="9843">
          <cell r="C9843">
            <v>0</v>
          </cell>
        </row>
        <row r="9844">
          <cell r="C9844">
            <v>0</v>
          </cell>
        </row>
        <row r="9845">
          <cell r="C9845">
            <v>0</v>
          </cell>
        </row>
        <row r="9846">
          <cell r="C9846">
            <v>0</v>
          </cell>
        </row>
        <row r="9847">
          <cell r="C9847">
            <v>0</v>
          </cell>
        </row>
        <row r="9848">
          <cell r="C9848">
            <v>0</v>
          </cell>
        </row>
        <row r="9849">
          <cell r="C9849">
            <v>0</v>
          </cell>
        </row>
        <row r="9850">
          <cell r="C9850">
            <v>0</v>
          </cell>
        </row>
        <row r="9851">
          <cell r="C9851">
            <v>0</v>
          </cell>
        </row>
        <row r="9852">
          <cell r="C9852">
            <v>0</v>
          </cell>
        </row>
        <row r="9853">
          <cell r="C9853">
            <v>0</v>
          </cell>
        </row>
        <row r="9854">
          <cell r="C9854">
            <v>0</v>
          </cell>
        </row>
        <row r="9855">
          <cell r="C9855">
            <v>0</v>
          </cell>
        </row>
        <row r="9856">
          <cell r="C9856">
            <v>0</v>
          </cell>
        </row>
        <row r="9857">
          <cell r="C9857">
            <v>0</v>
          </cell>
        </row>
        <row r="9858">
          <cell r="C9858">
            <v>0</v>
          </cell>
        </row>
        <row r="9859">
          <cell r="C9859">
            <v>0</v>
          </cell>
        </row>
        <row r="9860">
          <cell r="C9860">
            <v>0</v>
          </cell>
        </row>
        <row r="9861">
          <cell r="C9861">
            <v>0</v>
          </cell>
        </row>
        <row r="9862">
          <cell r="C9862">
            <v>0</v>
          </cell>
        </row>
        <row r="9863">
          <cell r="C9863">
            <v>0</v>
          </cell>
        </row>
        <row r="9864">
          <cell r="C9864">
            <v>0</v>
          </cell>
        </row>
        <row r="9865">
          <cell r="C9865">
            <v>0</v>
          </cell>
        </row>
        <row r="9866">
          <cell r="C9866">
            <v>0</v>
          </cell>
        </row>
        <row r="9867">
          <cell r="C9867">
            <v>0</v>
          </cell>
        </row>
        <row r="9868">
          <cell r="C9868">
            <v>0</v>
          </cell>
        </row>
        <row r="9869">
          <cell r="C9869">
            <v>0</v>
          </cell>
        </row>
        <row r="9870">
          <cell r="C9870">
            <v>0</v>
          </cell>
        </row>
        <row r="9871">
          <cell r="C9871">
            <v>0</v>
          </cell>
        </row>
        <row r="9872">
          <cell r="C9872">
            <v>0</v>
          </cell>
        </row>
        <row r="9873">
          <cell r="C9873">
            <v>0</v>
          </cell>
        </row>
        <row r="9874">
          <cell r="C9874">
            <v>0</v>
          </cell>
        </row>
        <row r="9875">
          <cell r="C9875">
            <v>0</v>
          </cell>
        </row>
        <row r="9876">
          <cell r="C9876">
            <v>0</v>
          </cell>
        </row>
        <row r="9877">
          <cell r="C9877">
            <v>0</v>
          </cell>
        </row>
        <row r="9878">
          <cell r="C9878">
            <v>0</v>
          </cell>
        </row>
        <row r="9879">
          <cell r="C9879">
            <v>0</v>
          </cell>
        </row>
        <row r="9880">
          <cell r="C9880">
            <v>0</v>
          </cell>
        </row>
        <row r="9881">
          <cell r="C9881">
            <v>0</v>
          </cell>
        </row>
        <row r="9882">
          <cell r="C9882">
            <v>0</v>
          </cell>
        </row>
        <row r="9883">
          <cell r="C9883">
            <v>0</v>
          </cell>
        </row>
        <row r="9884">
          <cell r="C9884">
            <v>0</v>
          </cell>
        </row>
        <row r="9885">
          <cell r="C9885">
            <v>0</v>
          </cell>
        </row>
        <row r="9886">
          <cell r="C9886">
            <v>0</v>
          </cell>
        </row>
        <row r="9887">
          <cell r="C9887">
            <v>0</v>
          </cell>
        </row>
        <row r="9888">
          <cell r="C9888">
            <v>0</v>
          </cell>
        </row>
        <row r="9889">
          <cell r="C9889">
            <v>0</v>
          </cell>
        </row>
        <row r="9890">
          <cell r="C9890">
            <v>0</v>
          </cell>
        </row>
        <row r="9891">
          <cell r="C9891">
            <v>0</v>
          </cell>
        </row>
        <row r="9892">
          <cell r="C9892">
            <v>0</v>
          </cell>
        </row>
        <row r="9893">
          <cell r="C9893">
            <v>0</v>
          </cell>
        </row>
        <row r="9894">
          <cell r="C9894">
            <v>0</v>
          </cell>
        </row>
        <row r="9895">
          <cell r="C9895">
            <v>0</v>
          </cell>
        </row>
        <row r="9896">
          <cell r="C9896">
            <v>0</v>
          </cell>
        </row>
        <row r="9897">
          <cell r="C9897">
            <v>0</v>
          </cell>
        </row>
        <row r="9898">
          <cell r="C9898">
            <v>0</v>
          </cell>
        </row>
        <row r="9899">
          <cell r="C9899">
            <v>0</v>
          </cell>
        </row>
        <row r="9900">
          <cell r="C9900">
            <v>0</v>
          </cell>
        </row>
        <row r="9901">
          <cell r="C9901">
            <v>0</v>
          </cell>
        </row>
        <row r="9902">
          <cell r="C9902">
            <v>0</v>
          </cell>
        </row>
        <row r="9903">
          <cell r="C9903">
            <v>0</v>
          </cell>
        </row>
        <row r="9904">
          <cell r="C9904">
            <v>0</v>
          </cell>
        </row>
        <row r="9905">
          <cell r="C9905">
            <v>0</v>
          </cell>
        </row>
        <row r="9906">
          <cell r="C9906">
            <v>0</v>
          </cell>
        </row>
        <row r="9907">
          <cell r="C9907">
            <v>0</v>
          </cell>
        </row>
        <row r="9908">
          <cell r="C9908">
            <v>0</v>
          </cell>
        </row>
        <row r="9909">
          <cell r="C9909">
            <v>0</v>
          </cell>
        </row>
        <row r="9910">
          <cell r="C9910">
            <v>0</v>
          </cell>
        </row>
        <row r="9911">
          <cell r="C9911">
            <v>0</v>
          </cell>
        </row>
        <row r="9912">
          <cell r="C9912">
            <v>0</v>
          </cell>
        </row>
        <row r="9913">
          <cell r="C9913">
            <v>0</v>
          </cell>
        </row>
        <row r="9914">
          <cell r="C9914">
            <v>0</v>
          </cell>
        </row>
        <row r="9915">
          <cell r="C9915">
            <v>0</v>
          </cell>
        </row>
        <row r="9916">
          <cell r="C9916">
            <v>0</v>
          </cell>
        </row>
        <row r="9917">
          <cell r="C9917">
            <v>0</v>
          </cell>
        </row>
        <row r="9918">
          <cell r="C9918">
            <v>0</v>
          </cell>
        </row>
        <row r="9919">
          <cell r="C9919">
            <v>0</v>
          </cell>
        </row>
        <row r="9920">
          <cell r="C9920">
            <v>0</v>
          </cell>
        </row>
        <row r="9921">
          <cell r="C9921">
            <v>0</v>
          </cell>
        </row>
        <row r="9922">
          <cell r="C9922">
            <v>0</v>
          </cell>
        </row>
        <row r="9923">
          <cell r="C9923">
            <v>0</v>
          </cell>
        </row>
        <row r="9924">
          <cell r="C9924">
            <v>0</v>
          </cell>
        </row>
        <row r="9925">
          <cell r="C9925">
            <v>0</v>
          </cell>
        </row>
        <row r="9926">
          <cell r="C9926">
            <v>0</v>
          </cell>
        </row>
        <row r="9927">
          <cell r="C9927">
            <v>0</v>
          </cell>
        </row>
        <row r="9928">
          <cell r="C9928">
            <v>0</v>
          </cell>
        </row>
        <row r="9929">
          <cell r="C9929">
            <v>0</v>
          </cell>
        </row>
        <row r="9930">
          <cell r="C9930">
            <v>0</v>
          </cell>
        </row>
        <row r="9931">
          <cell r="C9931">
            <v>0</v>
          </cell>
        </row>
        <row r="9932">
          <cell r="C9932">
            <v>0</v>
          </cell>
        </row>
        <row r="9933">
          <cell r="C9933">
            <v>0</v>
          </cell>
        </row>
        <row r="9934">
          <cell r="C9934">
            <v>0</v>
          </cell>
        </row>
        <row r="9935">
          <cell r="C9935">
            <v>0</v>
          </cell>
        </row>
        <row r="9936">
          <cell r="C9936">
            <v>0</v>
          </cell>
        </row>
        <row r="9937">
          <cell r="C9937">
            <v>0</v>
          </cell>
        </row>
        <row r="9938">
          <cell r="C9938">
            <v>0</v>
          </cell>
        </row>
        <row r="9939">
          <cell r="C9939">
            <v>0</v>
          </cell>
        </row>
        <row r="9940">
          <cell r="C9940">
            <v>0</v>
          </cell>
        </row>
        <row r="9941">
          <cell r="C9941">
            <v>0</v>
          </cell>
        </row>
        <row r="9942">
          <cell r="C9942">
            <v>0</v>
          </cell>
        </row>
        <row r="9943">
          <cell r="C9943">
            <v>0</v>
          </cell>
        </row>
        <row r="9944">
          <cell r="C9944">
            <v>0</v>
          </cell>
        </row>
        <row r="9945">
          <cell r="C9945">
            <v>0</v>
          </cell>
        </row>
        <row r="9946">
          <cell r="C9946">
            <v>0</v>
          </cell>
        </row>
        <row r="9947">
          <cell r="C9947">
            <v>0</v>
          </cell>
        </row>
        <row r="9948">
          <cell r="C9948">
            <v>0</v>
          </cell>
        </row>
        <row r="9949">
          <cell r="C9949">
            <v>0</v>
          </cell>
        </row>
        <row r="9950">
          <cell r="C9950">
            <v>0</v>
          </cell>
        </row>
        <row r="9951">
          <cell r="C9951">
            <v>0</v>
          </cell>
        </row>
        <row r="9952">
          <cell r="C9952">
            <v>0</v>
          </cell>
        </row>
        <row r="9953">
          <cell r="C9953">
            <v>0</v>
          </cell>
        </row>
        <row r="9954">
          <cell r="C9954">
            <v>0</v>
          </cell>
        </row>
        <row r="9955">
          <cell r="C9955">
            <v>0</v>
          </cell>
        </row>
        <row r="9956">
          <cell r="C9956">
            <v>0</v>
          </cell>
        </row>
        <row r="9957">
          <cell r="C9957">
            <v>0</v>
          </cell>
        </row>
        <row r="9958">
          <cell r="C9958">
            <v>0</v>
          </cell>
        </row>
        <row r="9959">
          <cell r="C9959">
            <v>0</v>
          </cell>
        </row>
        <row r="9960">
          <cell r="C9960">
            <v>0</v>
          </cell>
        </row>
        <row r="9961">
          <cell r="C9961">
            <v>0</v>
          </cell>
        </row>
        <row r="9962">
          <cell r="C9962">
            <v>0</v>
          </cell>
        </row>
        <row r="9963">
          <cell r="C9963">
            <v>0</v>
          </cell>
        </row>
        <row r="9964">
          <cell r="C9964">
            <v>0</v>
          </cell>
        </row>
        <row r="9965">
          <cell r="C9965">
            <v>0</v>
          </cell>
        </row>
        <row r="9966">
          <cell r="C9966">
            <v>0</v>
          </cell>
        </row>
        <row r="9967">
          <cell r="C9967">
            <v>0</v>
          </cell>
        </row>
        <row r="9968">
          <cell r="C9968">
            <v>0</v>
          </cell>
        </row>
        <row r="9969">
          <cell r="C9969">
            <v>0</v>
          </cell>
        </row>
        <row r="9970">
          <cell r="C9970">
            <v>0</v>
          </cell>
        </row>
        <row r="9971">
          <cell r="C9971">
            <v>0</v>
          </cell>
        </row>
        <row r="9972">
          <cell r="C9972">
            <v>0</v>
          </cell>
        </row>
        <row r="9973">
          <cell r="C9973">
            <v>0</v>
          </cell>
        </row>
        <row r="9974">
          <cell r="C9974">
            <v>0</v>
          </cell>
        </row>
        <row r="9975">
          <cell r="C9975">
            <v>0</v>
          </cell>
        </row>
        <row r="9976">
          <cell r="C9976">
            <v>0</v>
          </cell>
        </row>
        <row r="9977">
          <cell r="C9977">
            <v>0</v>
          </cell>
        </row>
        <row r="9978">
          <cell r="C9978">
            <v>0</v>
          </cell>
        </row>
        <row r="9979">
          <cell r="C9979">
            <v>0</v>
          </cell>
        </row>
        <row r="9980">
          <cell r="C9980">
            <v>0</v>
          </cell>
        </row>
        <row r="9981">
          <cell r="C9981">
            <v>0</v>
          </cell>
        </row>
        <row r="9982">
          <cell r="C9982">
            <v>0</v>
          </cell>
        </row>
        <row r="9983">
          <cell r="C9983">
            <v>0</v>
          </cell>
        </row>
        <row r="9984">
          <cell r="C9984">
            <v>0</v>
          </cell>
        </row>
        <row r="9985">
          <cell r="C9985">
            <v>0</v>
          </cell>
        </row>
        <row r="9986">
          <cell r="C9986">
            <v>0</v>
          </cell>
        </row>
        <row r="9987">
          <cell r="C9987">
            <v>0</v>
          </cell>
        </row>
        <row r="9988">
          <cell r="C9988">
            <v>0</v>
          </cell>
        </row>
        <row r="9989">
          <cell r="C9989">
            <v>0</v>
          </cell>
        </row>
        <row r="9990">
          <cell r="C9990">
            <v>0</v>
          </cell>
        </row>
        <row r="9991">
          <cell r="C9991">
            <v>0</v>
          </cell>
        </row>
        <row r="9992">
          <cell r="C9992">
            <v>0</v>
          </cell>
        </row>
        <row r="9993">
          <cell r="C9993">
            <v>0</v>
          </cell>
        </row>
        <row r="9994">
          <cell r="C9994">
            <v>0</v>
          </cell>
        </row>
        <row r="9995">
          <cell r="C9995">
            <v>0</v>
          </cell>
        </row>
        <row r="9996">
          <cell r="C9996">
            <v>0</v>
          </cell>
        </row>
        <row r="9997">
          <cell r="C9997">
            <v>0</v>
          </cell>
        </row>
        <row r="9998">
          <cell r="C9998">
            <v>0</v>
          </cell>
        </row>
        <row r="9999">
          <cell r="C9999">
            <v>0</v>
          </cell>
        </row>
        <row r="10000">
          <cell r="C10000">
            <v>0</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row r="6">
          <cell r="E6">
            <v>1.1902500000000001E-3</v>
          </cell>
          <cell r="F6">
            <v>2</v>
          </cell>
          <cell r="G6">
            <v>6.25E-2</v>
          </cell>
          <cell r="H6">
            <v>1.4E-2</v>
          </cell>
          <cell r="I6">
            <v>3.4500000000000003E-2</v>
          </cell>
          <cell r="J6">
            <v>0.48163599999999995</v>
          </cell>
          <cell r="K6">
            <v>24</v>
          </cell>
          <cell r="L6">
            <v>0.75</v>
          </cell>
          <cell r="M6">
            <v>2.8000000000000001E-2</v>
          </cell>
          <cell r="N6">
            <v>0.69399999999999995</v>
          </cell>
        </row>
        <row r="7">
          <cell r="E7">
            <v>4.3230625000000005E-3</v>
          </cell>
          <cell r="F7">
            <v>3</v>
          </cell>
          <cell r="G7">
            <v>9.375E-2</v>
          </cell>
          <cell r="H7">
            <v>1.4E-2</v>
          </cell>
          <cell r="I7">
            <v>6.5750000000000003E-2</v>
          </cell>
          <cell r="J7">
            <v>0.39879224999999996</v>
          </cell>
          <cell r="K7">
            <v>22</v>
          </cell>
          <cell r="L7">
            <v>0.6875</v>
          </cell>
          <cell r="M7">
            <v>2.8000000000000001E-2</v>
          </cell>
          <cell r="N7">
            <v>0.63149999999999995</v>
          </cell>
        </row>
        <row r="8">
          <cell r="E8">
            <v>9.4090000000000007E-3</v>
          </cell>
          <cell r="F8">
            <v>4</v>
          </cell>
          <cell r="G8">
            <v>0.125</v>
          </cell>
          <cell r="H8">
            <v>1.4E-2</v>
          </cell>
          <cell r="I8">
            <v>9.7000000000000003E-2</v>
          </cell>
          <cell r="J8">
            <v>0.32376099999999997</v>
          </cell>
          <cell r="K8">
            <v>20</v>
          </cell>
          <cell r="L8">
            <v>0.625</v>
          </cell>
          <cell r="M8">
            <v>2.8000000000000001E-2</v>
          </cell>
          <cell r="N8">
            <v>0.56899999999999995</v>
          </cell>
          <cell r="P8">
            <v>1</v>
          </cell>
          <cell r="Q8" t="str">
            <v>Air</v>
          </cell>
          <cell r="R8">
            <v>28.963999999999999</v>
          </cell>
          <cell r="S8">
            <v>18</v>
          </cell>
          <cell r="T8">
            <v>182.7</v>
          </cell>
          <cell r="U8">
            <v>1.2123468141824372E-3</v>
          </cell>
        </row>
        <row r="9">
          <cell r="E9">
            <v>1.6448062499999999E-2</v>
          </cell>
          <cell r="F9">
            <v>5</v>
          </cell>
          <cell r="G9">
            <v>0.15625</v>
          </cell>
          <cell r="H9">
            <v>1.4E-2</v>
          </cell>
          <cell r="I9">
            <v>0.12825</v>
          </cell>
          <cell r="J9">
            <v>0.25654224999999997</v>
          </cell>
          <cell r="K9">
            <v>18</v>
          </cell>
          <cell r="L9">
            <v>0.5625</v>
          </cell>
          <cell r="M9">
            <v>2.8000000000000001E-2</v>
          </cell>
          <cell r="N9">
            <v>0.50649999999999995</v>
          </cell>
          <cell r="P9">
            <v>2</v>
          </cell>
          <cell r="Q9" t="str">
            <v>Ammonia</v>
          </cell>
          <cell r="R9">
            <v>17.0304</v>
          </cell>
          <cell r="S9">
            <v>20</v>
          </cell>
          <cell r="T9">
            <v>98.2</v>
          </cell>
          <cell r="U9">
            <v>7.0797851962384054E-4</v>
          </cell>
        </row>
        <row r="10">
          <cell r="E10">
            <v>2.5440250000000001E-2</v>
          </cell>
          <cell r="F10">
            <v>6</v>
          </cell>
          <cell r="G10">
            <v>0.1875</v>
          </cell>
          <cell r="H10">
            <v>1.4E-2</v>
          </cell>
          <cell r="I10">
            <v>0.1595</v>
          </cell>
          <cell r="J10">
            <v>0.19713600000000001</v>
          </cell>
          <cell r="K10">
            <v>16</v>
          </cell>
          <cell r="L10">
            <v>0.5</v>
          </cell>
          <cell r="M10">
            <v>2.8000000000000001E-2</v>
          </cell>
          <cell r="N10">
            <v>0.44400000000000001</v>
          </cell>
          <cell r="P10">
            <v>3</v>
          </cell>
          <cell r="Q10" t="str">
            <v>Argon</v>
          </cell>
          <cell r="R10">
            <v>39.948</v>
          </cell>
          <cell r="S10">
            <v>20</v>
          </cell>
          <cell r="T10">
            <v>221.7</v>
          </cell>
          <cell r="U10">
            <v>1.6606965134073881E-3</v>
          </cell>
        </row>
        <row r="11">
          <cell r="E11">
            <v>3.6385562500000003E-2</v>
          </cell>
          <cell r="F11">
            <v>7</v>
          </cell>
          <cell r="G11">
            <v>0.21875</v>
          </cell>
          <cell r="H11">
            <v>1.4E-2</v>
          </cell>
          <cell r="I11">
            <v>0.19075</v>
          </cell>
          <cell r="J11">
            <v>0.14554225000000001</v>
          </cell>
          <cell r="K11">
            <v>14</v>
          </cell>
          <cell r="L11">
            <v>0.4375</v>
          </cell>
          <cell r="M11">
            <v>2.8000000000000001E-2</v>
          </cell>
          <cell r="N11">
            <v>0.38150000000000001</v>
          </cell>
          <cell r="P11">
            <v>4</v>
          </cell>
          <cell r="Q11" t="str">
            <v>Butane</v>
          </cell>
          <cell r="R11">
            <v>58.122999999999998</v>
          </cell>
          <cell r="S11">
            <v>14.7</v>
          </cell>
          <cell r="T11">
            <v>8.3999999999999995E-3</v>
          </cell>
          <cell r="U11">
            <v>2.4607467465225337E-3</v>
          </cell>
        </row>
        <row r="12">
          <cell r="E12">
            <v>4.9284000000000001E-2</v>
          </cell>
          <cell r="F12">
            <v>8</v>
          </cell>
          <cell r="G12">
            <v>0.25</v>
          </cell>
          <cell r="H12">
            <v>1.4E-2</v>
          </cell>
          <cell r="I12">
            <v>0.222</v>
          </cell>
          <cell r="J12">
            <v>0.101761</v>
          </cell>
          <cell r="K12">
            <v>12</v>
          </cell>
          <cell r="L12">
            <v>0.375</v>
          </cell>
          <cell r="M12">
            <v>2.8000000000000001E-2</v>
          </cell>
          <cell r="N12">
            <v>0.31900000000000001</v>
          </cell>
          <cell r="P12">
            <v>5</v>
          </cell>
          <cell r="Q12" t="str">
            <v>Carbon dioxide</v>
          </cell>
          <cell r="R12">
            <v>44.009799999999998</v>
          </cell>
          <cell r="S12">
            <v>20</v>
          </cell>
          <cell r="T12">
            <v>148</v>
          </cell>
          <cell r="U12">
            <v>1.8295514522818782E-3</v>
          </cell>
        </row>
        <row r="13">
          <cell r="E13">
            <v>6.5792249999999997E-2</v>
          </cell>
          <cell r="F13">
            <v>10</v>
          </cell>
          <cell r="G13">
            <v>0.3125</v>
          </cell>
          <cell r="H13">
            <v>2.8000000000000001E-2</v>
          </cell>
          <cell r="I13">
            <v>0.25650000000000001</v>
          </cell>
          <cell r="J13">
            <v>6.5792249999999997E-2</v>
          </cell>
          <cell r="K13">
            <v>10</v>
          </cell>
          <cell r="L13">
            <v>0.3125</v>
          </cell>
          <cell r="M13">
            <v>2.8000000000000001E-2</v>
          </cell>
          <cell r="N13">
            <v>0.25650000000000001</v>
          </cell>
          <cell r="P13">
            <v>6</v>
          </cell>
          <cell r="Q13" t="str">
            <v>Carbon monoxide</v>
          </cell>
          <cell r="R13">
            <v>28.010399999999997</v>
          </cell>
          <cell r="S13">
            <v>15</v>
          </cell>
          <cell r="T13">
            <v>172</v>
          </cell>
          <cell r="U13">
            <v>1.1846384323959804E-3</v>
          </cell>
        </row>
        <row r="14">
          <cell r="E14">
            <v>0.101761</v>
          </cell>
          <cell r="F14">
            <v>12</v>
          </cell>
          <cell r="G14">
            <v>0.375</v>
          </cell>
          <cell r="H14">
            <v>2.8000000000000001E-2</v>
          </cell>
          <cell r="I14">
            <v>0.31900000000000001</v>
          </cell>
          <cell r="J14">
            <v>4.9284000000000001E-2</v>
          </cell>
          <cell r="K14">
            <v>8</v>
          </cell>
          <cell r="L14">
            <v>0.25</v>
          </cell>
          <cell r="M14">
            <v>1.4E-2</v>
          </cell>
          <cell r="N14">
            <v>0.222</v>
          </cell>
          <cell r="P14">
            <v>7</v>
          </cell>
          <cell r="Q14" t="str">
            <v>Chlorine</v>
          </cell>
          <cell r="R14">
            <v>70.906000000000006</v>
          </cell>
          <cell r="S14">
            <v>20</v>
          </cell>
          <cell r="T14">
            <v>132.69999999999999</v>
          </cell>
          <cell r="U14">
            <v>2.9476656398233769E-3</v>
          </cell>
        </row>
        <row r="15">
          <cell r="E15">
            <v>0.14554225000000001</v>
          </cell>
          <cell r="F15">
            <v>14</v>
          </cell>
          <cell r="G15">
            <v>0.4375</v>
          </cell>
          <cell r="H15">
            <v>2.8000000000000001E-2</v>
          </cell>
          <cell r="I15">
            <v>0.38150000000000001</v>
          </cell>
          <cell r="J15">
            <v>3.6385562500000003E-2</v>
          </cell>
          <cell r="K15">
            <v>7</v>
          </cell>
          <cell r="L15">
            <v>0.21875</v>
          </cell>
          <cell r="M15">
            <v>1.4E-2</v>
          </cell>
          <cell r="N15">
            <v>0.19075</v>
          </cell>
          <cell r="P15">
            <v>8</v>
          </cell>
          <cell r="Q15" t="str">
            <v>Ethane</v>
          </cell>
          <cell r="R15">
            <v>30.069399999999998</v>
          </cell>
          <cell r="S15">
            <v>17.2</v>
          </cell>
          <cell r="T15">
            <v>90.1</v>
          </cell>
          <cell r="U15">
            <v>1.2620834250062283E-3</v>
          </cell>
        </row>
        <row r="16">
          <cell r="E16">
            <v>0.19713600000000001</v>
          </cell>
          <cell r="F16">
            <v>16</v>
          </cell>
          <cell r="G16">
            <v>0.5</v>
          </cell>
          <cell r="H16">
            <v>2.8000000000000001E-2</v>
          </cell>
          <cell r="I16">
            <v>0.44400000000000001</v>
          </cell>
          <cell r="J16">
            <v>2.5440250000000001E-2</v>
          </cell>
          <cell r="K16">
            <v>6</v>
          </cell>
          <cell r="L16">
            <v>0.1875</v>
          </cell>
          <cell r="M16">
            <v>1.4E-2</v>
          </cell>
          <cell r="N16">
            <v>0.1595</v>
          </cell>
          <cell r="P16">
            <v>9</v>
          </cell>
          <cell r="Q16" t="str">
            <v>Helium</v>
          </cell>
          <cell r="R16">
            <v>4.0026000000000002</v>
          </cell>
          <cell r="S16">
            <v>20</v>
          </cell>
          <cell r="T16">
            <v>194.1</v>
          </cell>
          <cell r="U16">
            <v>1.6639390869541433E-4</v>
          </cell>
        </row>
        <row r="17">
          <cell r="E17">
            <v>0.25654224999999997</v>
          </cell>
          <cell r="F17">
            <v>18</v>
          </cell>
          <cell r="G17">
            <v>0.5625</v>
          </cell>
          <cell r="H17">
            <v>2.8000000000000001E-2</v>
          </cell>
          <cell r="I17">
            <v>0.50649999999999995</v>
          </cell>
          <cell r="J17">
            <v>1.6448062499999999E-2</v>
          </cell>
          <cell r="K17">
            <v>5</v>
          </cell>
          <cell r="L17">
            <v>0.15625</v>
          </cell>
          <cell r="M17">
            <v>1.4E-2</v>
          </cell>
          <cell r="N17">
            <v>0.12825</v>
          </cell>
          <cell r="P17">
            <v>10</v>
          </cell>
          <cell r="Q17" t="str">
            <v>Hydrogen</v>
          </cell>
          <cell r="R17">
            <v>2.0158</v>
          </cell>
          <cell r="S17">
            <v>20.7</v>
          </cell>
          <cell r="T17">
            <v>87.6</v>
          </cell>
          <cell r="U17">
            <v>8.3600115414685729E-5</v>
          </cell>
        </row>
        <row r="18">
          <cell r="E18">
            <v>0.32376099999999997</v>
          </cell>
          <cell r="F18">
            <v>20</v>
          </cell>
          <cell r="G18">
            <v>0.625</v>
          </cell>
          <cell r="H18">
            <v>2.8000000000000001E-2</v>
          </cell>
          <cell r="I18">
            <v>0.56899999999999995</v>
          </cell>
          <cell r="J18">
            <v>9.4090000000000007E-3</v>
          </cell>
          <cell r="K18">
            <v>4</v>
          </cell>
          <cell r="L18">
            <v>0.125</v>
          </cell>
          <cell r="M18">
            <v>1.4E-2</v>
          </cell>
          <cell r="N18">
            <v>9.7000000000000003E-2</v>
          </cell>
          <cell r="P18">
            <v>11</v>
          </cell>
          <cell r="Q18" t="str">
            <v>Hydrogen chloride</v>
          </cell>
          <cell r="R18">
            <v>36.460900000000002</v>
          </cell>
          <cell r="S18">
            <v>76.7</v>
          </cell>
          <cell r="T18">
            <v>195</v>
          </cell>
          <cell r="U18">
            <v>1.2700787140614955E-3</v>
          </cell>
        </row>
        <row r="19">
          <cell r="E19">
            <v>0.39879224999999996</v>
          </cell>
          <cell r="F19">
            <v>22</v>
          </cell>
          <cell r="G19">
            <v>0.6875</v>
          </cell>
          <cell r="H19">
            <v>2.8000000000000001E-2</v>
          </cell>
          <cell r="I19">
            <v>0.63149999999999995</v>
          </cell>
          <cell r="J19">
            <v>4.3230625000000005E-3</v>
          </cell>
          <cell r="K19">
            <v>3</v>
          </cell>
          <cell r="L19">
            <v>9.375E-2</v>
          </cell>
          <cell r="M19">
            <v>1.4E-2</v>
          </cell>
          <cell r="N19">
            <v>6.5750000000000003E-2</v>
          </cell>
          <cell r="P19">
            <v>12</v>
          </cell>
          <cell r="Q19" t="str">
            <v>Methane</v>
          </cell>
          <cell r="R19">
            <v>16.0426</v>
          </cell>
          <cell r="S19">
            <v>20</v>
          </cell>
          <cell r="T19">
            <v>108.7</v>
          </cell>
          <cell r="U19">
            <v>6.669142356560871E-4</v>
          </cell>
        </row>
        <row r="20">
          <cell r="E20">
            <v>0.48163599999999995</v>
          </cell>
          <cell r="F20">
            <v>24</v>
          </cell>
          <cell r="G20">
            <v>0.75</v>
          </cell>
          <cell r="H20">
            <v>2.8000000000000001E-2</v>
          </cell>
          <cell r="I20">
            <v>0.69399999999999995</v>
          </cell>
          <cell r="J20">
            <v>1.1902500000000001E-3</v>
          </cell>
          <cell r="K20">
            <v>2</v>
          </cell>
          <cell r="L20">
            <v>6.25E-2</v>
          </cell>
          <cell r="M20">
            <v>1.4E-2</v>
          </cell>
          <cell r="N20">
            <v>3.4500000000000003E-2</v>
          </cell>
          <cell r="P20">
            <v>13</v>
          </cell>
          <cell r="Q20" t="str">
            <v>Nitric Oxide</v>
          </cell>
          <cell r="R20">
            <v>30.0061</v>
          </cell>
          <cell r="S20">
            <v>20</v>
          </cell>
          <cell r="T20">
            <v>187.6</v>
          </cell>
          <cell r="U20">
            <v>1.2473972577088572E-3</v>
          </cell>
        </row>
        <row r="21">
          <cell r="P21">
            <v>14</v>
          </cell>
          <cell r="Q21" t="str">
            <v>Nitrogen</v>
          </cell>
          <cell r="R21">
            <v>28.013400000000001</v>
          </cell>
          <cell r="S21">
            <v>10.9</v>
          </cell>
          <cell r="T21">
            <v>170.7</v>
          </cell>
          <cell r="U21">
            <v>1.201866306325089E-3</v>
          </cell>
        </row>
        <row r="22">
          <cell r="P22">
            <v>15</v>
          </cell>
          <cell r="Q22" t="str">
            <v>Oxygen</v>
          </cell>
          <cell r="R22">
            <v>31.998799999999999</v>
          </cell>
          <cell r="S22">
            <v>19.100000000000001</v>
          </cell>
          <cell r="T22">
            <v>201.8</v>
          </cell>
          <cell r="U22">
            <v>1.334333234843666E-3</v>
          </cell>
        </row>
        <row r="23">
          <cell r="P23">
            <v>16</v>
          </cell>
          <cell r="Q23" t="str">
            <v>Propane</v>
          </cell>
          <cell r="R23">
            <v>44.096200000000003</v>
          </cell>
          <cell r="S23">
            <v>17.899999999999999</v>
          </cell>
          <cell r="T23">
            <v>79.5</v>
          </cell>
          <cell r="U23">
            <v>1.8463698220873902E-3</v>
          </cell>
        </row>
        <row r="24">
          <cell r="P24">
            <v>17</v>
          </cell>
          <cell r="Q24" t="str">
            <v>Sulfer dioxide</v>
          </cell>
          <cell r="R24">
            <v>64.058800000000005</v>
          </cell>
          <cell r="S24">
            <v>18</v>
          </cell>
          <cell r="T24">
            <v>124.2</v>
          </cell>
          <cell r="U24">
            <v>2.6813106649754836E-3</v>
          </cell>
        </row>
        <row r="25">
          <cell r="P25">
            <v>18</v>
          </cell>
          <cell r="Q25" t="str">
            <v>Sulfer hexafluroride</v>
          </cell>
          <cell r="R25">
            <v>146.05041800000001</v>
          </cell>
          <cell r="S25">
            <v>20</v>
          </cell>
          <cell r="T25">
            <v>1.5299999999999999E-2</v>
          </cell>
          <cell r="U25">
            <v>6.0715284858889459E-3</v>
          </cell>
        </row>
        <row r="26">
          <cell r="P26">
            <v>19</v>
          </cell>
          <cell r="Q26" t="str">
            <v>Water (vapor)</v>
          </cell>
          <cell r="R26">
            <v>18.0152</v>
          </cell>
          <cell r="S26">
            <v>100</v>
          </cell>
          <cell r="T26">
            <v>125.5</v>
          </cell>
          <cell r="U26">
            <v>5.8835679446907706E-4</v>
          </cell>
        </row>
        <row r="27">
          <cell r="P27">
            <v>20</v>
          </cell>
          <cell r="Q27" t="str">
            <v>None</v>
          </cell>
          <cell r="R27">
            <v>1</v>
          </cell>
          <cell r="S27">
            <v>1</v>
          </cell>
          <cell r="T27">
            <v>1</v>
          </cell>
          <cell r="U27">
            <v>1</v>
          </cell>
        </row>
      </sheetData>
      <sheetData sheetId="63"/>
      <sheetData sheetId="64"/>
      <sheetData sheetId="65"/>
      <sheetData sheetId="66"/>
      <sheetData sheetId="67"/>
      <sheetData sheetId="6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Summary"/>
      <sheetName val="Devices"/>
      <sheetName val="TEMPLATE"/>
      <sheetName val="100Air01"/>
      <sheetName val="100Eth01"/>
      <sheetName val="100He01"/>
      <sheetName val="100N201"/>
      <sheetName val="10Eth90He01"/>
      <sheetName val="10Eth90N201"/>
      <sheetName val="100Eth02"/>
      <sheetName val="100He02"/>
      <sheetName val="100N202"/>
      <sheetName val="10Eth90He02"/>
      <sheetName val="10Eth90N202"/>
      <sheetName val="10Eth90N203"/>
      <sheetName val="10Eth90He03"/>
      <sheetName val="100He03"/>
      <sheetName val="100Eth03"/>
      <sheetName val="100N203"/>
      <sheetName val="10Eth90N204"/>
      <sheetName val="10Eth90He04"/>
      <sheetName val="100He04"/>
      <sheetName val="100Eth04"/>
      <sheetName val="100N204"/>
      <sheetName val="10Eth90N205"/>
      <sheetName val="10Eth90He05"/>
      <sheetName val="100He05"/>
      <sheetName val="100Eth05"/>
      <sheetName val="100N205"/>
      <sheetName val="100Air05"/>
      <sheetName val="10Eth90N206"/>
      <sheetName val="10Eth90He06"/>
      <sheetName val="100He06"/>
      <sheetName val="100Eth06"/>
      <sheetName val="100N206"/>
      <sheetName val="100Air06"/>
      <sheetName val="10Eth90N211"/>
      <sheetName val="10Eth90He11"/>
      <sheetName val="100He11"/>
      <sheetName val="100Eth11"/>
      <sheetName val="100N211"/>
      <sheetName val="100Air11"/>
      <sheetName val="10Eth90N212"/>
      <sheetName val="10Eth90He12"/>
      <sheetName val="100He12"/>
      <sheetName val="100Eth12"/>
      <sheetName val="100N212"/>
      <sheetName val="10Eth90N213"/>
      <sheetName val="10Eth90He13"/>
      <sheetName val="100He13"/>
      <sheetName val="100Eth13"/>
      <sheetName val="100N213"/>
      <sheetName val="100Air13"/>
      <sheetName val="100N214"/>
      <sheetName val="100Air14"/>
      <sheetName val="100Air15"/>
      <sheetName val="100N215"/>
      <sheetName val="100N216"/>
      <sheetName val="100N217"/>
      <sheetName val="100N218"/>
      <sheetName val="100N219"/>
      <sheetName val="10Eth90N221"/>
      <sheetName val="10Eth90He21"/>
      <sheetName val="100He21"/>
      <sheetName val="100Eth21"/>
      <sheetName val="100N221"/>
      <sheetName val="100Air21"/>
      <sheetName val="10Eth90N222"/>
      <sheetName val="10Eth90He22"/>
      <sheetName val="100He22"/>
      <sheetName val="100Eth22"/>
      <sheetName val="100N222"/>
      <sheetName val="100Air22"/>
      <sheetName val="10Eth90N223"/>
      <sheetName val="10Eth90He23"/>
      <sheetName val="100He23"/>
      <sheetName val="100Eth23"/>
      <sheetName val="100N223"/>
      <sheetName val="100Air23"/>
      <sheetName val="100N224"/>
      <sheetName val="100He24"/>
      <sheetName val="100Eth24"/>
      <sheetName val="10Eth90N224"/>
      <sheetName val="10Eth90He24"/>
      <sheetName val="100Eth25"/>
      <sheetName val="100N225"/>
      <sheetName val="100He25"/>
      <sheetName val="100Meth25"/>
      <sheetName val="100N226"/>
      <sheetName val="100Eth26"/>
      <sheetName val="10Eth90N226"/>
      <sheetName val="10Eth90N231"/>
      <sheetName val="10Eth90He31"/>
      <sheetName val="100He31"/>
      <sheetName val="100Eth31"/>
      <sheetName val="100N231"/>
      <sheetName val="10Eth90N232"/>
      <sheetName val="10Eth90He32"/>
      <sheetName val="100He32"/>
      <sheetName val="100Eth32"/>
      <sheetName val="100N232"/>
      <sheetName val="100N234"/>
      <sheetName val="100Eth34"/>
      <sheetName val="100He34"/>
      <sheetName val="10Eth90N234"/>
      <sheetName val="10Eth90He34"/>
      <sheetName val="100N235"/>
      <sheetName val="100He35"/>
      <sheetName val="100Eth35"/>
      <sheetName val="10Eth90N235"/>
      <sheetName val="10Eth90He35"/>
      <sheetName val="100AirTELE"/>
      <sheetName val="Flowcals"/>
    </sheetNames>
    <sheetDataSet>
      <sheetData sheetId="0" refreshError="1"/>
      <sheetData sheetId="1">
        <row r="9">
          <cell r="A9" t="str">
            <v>100Eth12</v>
          </cell>
          <cell r="B9" t="str">
            <v>100Eth</v>
          </cell>
          <cell r="C9" t="str">
            <v>MFC-12</v>
          </cell>
          <cell r="D9">
            <v>7.4049871698032815E-2</v>
          </cell>
          <cell r="E9">
            <v>1.0495501468152504</v>
          </cell>
          <cell r="F9">
            <v>10</v>
          </cell>
          <cell r="G9">
            <v>100</v>
          </cell>
          <cell r="H9">
            <v>39588</v>
          </cell>
          <cell r="J9" t="str">
            <v>A</v>
          </cell>
          <cell r="K9" t="str">
            <v>RCL</v>
          </cell>
        </row>
        <row r="10">
          <cell r="A10" t="str">
            <v>100N212</v>
          </cell>
          <cell r="B10" t="str">
            <v>100N2</v>
          </cell>
          <cell r="C10" t="str">
            <v>MFC-12</v>
          </cell>
          <cell r="D10">
            <v>2.5602224358463915E-2</v>
          </cell>
          <cell r="E10">
            <v>1.0915631794084553</v>
          </cell>
          <cell r="F10">
            <v>10</v>
          </cell>
          <cell r="G10">
            <v>100</v>
          </cell>
          <cell r="H10">
            <v>42303</v>
          </cell>
          <cell r="J10" t="str">
            <v>A</v>
          </cell>
          <cell r="K10" t="str">
            <v>KAG</v>
          </cell>
        </row>
        <row r="11">
          <cell r="A11" t="str">
            <v>10Eth90N212</v>
          </cell>
          <cell r="B11" t="str">
            <v>10Eth90N2</v>
          </cell>
          <cell r="C11" t="str">
            <v>MFC-12</v>
          </cell>
          <cell r="D11">
            <v>3.1054891379553671E-2</v>
          </cell>
          <cell r="E11">
            <v>1.0826244759302019</v>
          </cell>
          <cell r="F11">
            <v>10</v>
          </cell>
          <cell r="G11">
            <v>100</v>
          </cell>
          <cell r="H11">
            <v>39588</v>
          </cell>
          <cell r="J11" t="str">
            <v>A</v>
          </cell>
          <cell r="K11" t="str">
            <v>RCL</v>
          </cell>
        </row>
        <row r="12">
          <cell r="A12" t="str">
            <v>100N213</v>
          </cell>
          <cell r="B12" t="str">
            <v>100N2</v>
          </cell>
          <cell r="C12" t="str">
            <v>MFC-13</v>
          </cell>
          <cell r="D12">
            <v>2.8274695864414234E-2</v>
          </cell>
          <cell r="E12">
            <v>1.080077974680818</v>
          </cell>
          <cell r="F12">
            <v>10</v>
          </cell>
          <cell r="G12">
            <v>100</v>
          </cell>
          <cell r="H12">
            <v>42303</v>
          </cell>
          <cell r="J12" t="str">
            <v>A</v>
          </cell>
          <cell r="K12" t="str">
            <v>KAG</v>
          </cell>
        </row>
        <row r="13">
          <cell r="A13" t="str">
            <v>100Eth21</v>
          </cell>
          <cell r="B13" t="str">
            <v>100Eth</v>
          </cell>
          <cell r="C13" t="str">
            <v>MFC-21</v>
          </cell>
          <cell r="D13">
            <v>0.23980720674207623</v>
          </cell>
          <cell r="E13">
            <v>1.0600604075598477</v>
          </cell>
          <cell r="F13">
            <v>10</v>
          </cell>
          <cell r="G13">
            <v>100</v>
          </cell>
          <cell r="H13">
            <v>42300</v>
          </cell>
          <cell r="J13" t="str">
            <v>A</v>
          </cell>
          <cell r="K13" t="str">
            <v>KAG</v>
          </cell>
        </row>
        <row r="14">
          <cell r="A14" t="str">
            <v>100N221</v>
          </cell>
          <cell r="B14" t="str">
            <v>100N2</v>
          </cell>
          <cell r="C14" t="str">
            <v>MFC-21</v>
          </cell>
          <cell r="D14">
            <v>0.10207062188634086</v>
          </cell>
          <cell r="E14">
            <v>1.0783285256336057</v>
          </cell>
          <cell r="F14">
            <v>10</v>
          </cell>
          <cell r="G14">
            <v>100</v>
          </cell>
          <cell r="H14">
            <v>42300</v>
          </cell>
          <cell r="J14" t="str">
            <v>A</v>
          </cell>
          <cell r="K14" t="str">
            <v>KAG</v>
          </cell>
        </row>
        <row r="15">
          <cell r="A15" t="str">
            <v>10Eth90N221</v>
          </cell>
          <cell r="B15" t="str">
            <v>10Eth90N2</v>
          </cell>
          <cell r="C15" t="str">
            <v>MFC-21</v>
          </cell>
          <cell r="D15">
            <v>0.10679928846996262</v>
          </cell>
          <cell r="E15">
            <v>1.0859424888788816</v>
          </cell>
          <cell r="F15">
            <v>10</v>
          </cell>
          <cell r="G15">
            <v>100</v>
          </cell>
          <cell r="H15">
            <v>39620</v>
          </cell>
          <cell r="J15" t="str">
            <v>A</v>
          </cell>
          <cell r="K15" t="str">
            <v>RCL</v>
          </cell>
        </row>
        <row r="16">
          <cell r="A16" t="str">
            <v>100N225</v>
          </cell>
          <cell r="B16" t="str">
            <v>100N2</v>
          </cell>
          <cell r="C16" t="str">
            <v>MFC-25</v>
          </cell>
          <cell r="D16">
            <v>0.1023948057505453</v>
          </cell>
          <cell r="E16">
            <v>1.0780562078757472</v>
          </cell>
          <cell r="F16">
            <v>10</v>
          </cell>
          <cell r="G16">
            <v>100</v>
          </cell>
          <cell r="H16">
            <v>42300</v>
          </cell>
          <cell r="J16" t="str">
            <v>A</v>
          </cell>
          <cell r="K16" t="str">
            <v>KAG</v>
          </cell>
        </row>
        <row r="17">
          <cell r="A17" t="str">
            <v>100Eth31</v>
          </cell>
          <cell r="B17" t="str">
            <v>100Eth</v>
          </cell>
          <cell r="C17" t="str">
            <v>MFC-31</v>
          </cell>
          <cell r="D17">
            <v>1.63612358845141</v>
          </cell>
          <cell r="E17">
            <v>1.0710775281587279</v>
          </cell>
          <cell r="F17">
            <v>5</v>
          </cell>
          <cell r="G17">
            <v>100</v>
          </cell>
          <cell r="H17">
            <v>42303</v>
          </cell>
          <cell r="J17" t="str">
            <v>A</v>
          </cell>
          <cell r="K17" t="str">
            <v>KAG</v>
          </cell>
        </row>
        <row r="18">
          <cell r="A18" t="str">
            <v>100N231</v>
          </cell>
          <cell r="B18" t="str">
            <v>100N2</v>
          </cell>
          <cell r="C18" t="str">
            <v>MFC-31</v>
          </cell>
          <cell r="D18">
            <v>0.77256687318211281</v>
          </cell>
          <cell r="E18">
            <v>1.0597864991669173</v>
          </cell>
          <cell r="F18">
            <v>5</v>
          </cell>
          <cell r="G18">
            <v>100</v>
          </cell>
          <cell r="H18">
            <v>42304</v>
          </cell>
          <cell r="J18" t="str">
            <v>A</v>
          </cell>
          <cell r="K18" t="str">
            <v>KAG</v>
          </cell>
        </row>
        <row r="19">
          <cell r="A19" t="str">
            <v>10Eth90N231</v>
          </cell>
          <cell r="B19" t="str">
            <v>10Eth90N2</v>
          </cell>
          <cell r="C19" t="str">
            <v>MFC-31</v>
          </cell>
          <cell r="D19">
            <v>0.80957985052244608</v>
          </cell>
          <cell r="E19">
            <v>1.0730944000475147</v>
          </cell>
          <cell r="F19">
            <v>5</v>
          </cell>
          <cell r="G19">
            <v>100</v>
          </cell>
          <cell r="H19">
            <v>42303</v>
          </cell>
          <cell r="J19" t="str">
            <v>A</v>
          </cell>
          <cell r="K19" t="str">
            <v>KAG</v>
          </cell>
        </row>
        <row r="20">
          <cell r="A20" t="str">
            <v>100Eth32</v>
          </cell>
          <cell r="B20" t="str">
            <v>100Eth</v>
          </cell>
          <cell r="C20" t="str">
            <v>MFC-32</v>
          </cell>
          <cell r="D20">
            <v>1.976089309820769</v>
          </cell>
          <cell r="E20">
            <v>1.019749766575567</v>
          </cell>
          <cell r="F20">
            <v>5</v>
          </cell>
          <cell r="G20">
            <v>100</v>
          </cell>
          <cell r="H20">
            <v>42303</v>
          </cell>
          <cell r="J20" t="str">
            <v>A</v>
          </cell>
          <cell r="K20" t="str">
            <v>KAG</v>
          </cell>
        </row>
        <row r="21">
          <cell r="A21" t="str">
            <v>100N232</v>
          </cell>
          <cell r="B21" t="str">
            <v>100N2</v>
          </cell>
          <cell r="C21" t="str">
            <v>MFC-32</v>
          </cell>
          <cell r="D21">
            <v>0.97853168743959895</v>
          </cell>
          <cell r="E21">
            <v>1.0018701029280268</v>
          </cell>
          <cell r="F21">
            <v>5</v>
          </cell>
          <cell r="G21">
            <v>100</v>
          </cell>
          <cell r="H21">
            <v>42300</v>
          </cell>
          <cell r="J21" t="str">
            <v>A</v>
          </cell>
          <cell r="K21" t="str">
            <v>KAG</v>
          </cell>
        </row>
        <row r="22">
          <cell r="A22" t="str">
            <v>10Eth90N232</v>
          </cell>
          <cell r="B22" t="str">
            <v>10Eth90N2</v>
          </cell>
          <cell r="C22" t="str">
            <v>MFC-32</v>
          </cell>
          <cell r="D22">
            <v>1.0162366316613998</v>
          </cell>
          <cell r="E22">
            <v>1.0182905317766262</v>
          </cell>
          <cell r="F22">
            <v>5</v>
          </cell>
          <cell r="G22">
            <v>100</v>
          </cell>
          <cell r="H22">
            <v>42303</v>
          </cell>
          <cell r="J22" t="str">
            <v>A</v>
          </cell>
          <cell r="K22" t="str">
            <v>KAG</v>
          </cell>
        </row>
        <row r="23">
          <cell r="A23" t="str">
            <v>100Air14</v>
          </cell>
          <cell r="B23" t="str">
            <v>100Air</v>
          </cell>
          <cell r="C23" t="str">
            <v>MFC-14</v>
          </cell>
          <cell r="D23">
            <v>0.1042582311615138</v>
          </cell>
          <cell r="E23">
            <v>0.88636831768566537</v>
          </cell>
          <cell r="F23">
            <v>5</v>
          </cell>
          <cell r="G23">
            <v>40</v>
          </cell>
          <cell r="H23">
            <v>42781</v>
          </cell>
          <cell r="J23" t="str">
            <v>AV</v>
          </cell>
          <cell r="K23" t="str">
            <v>KJF</v>
          </cell>
        </row>
        <row r="24">
          <cell r="A24" t="str">
            <v>100Air15</v>
          </cell>
          <cell r="B24" t="str">
            <v>100Air</v>
          </cell>
          <cell r="C24" t="str">
            <v>MFC-15</v>
          </cell>
          <cell r="D24">
            <v>5.9622044150253267E-2</v>
          </cell>
          <cell r="E24">
            <v>0.9855620636526442</v>
          </cell>
          <cell r="F24">
            <v>5</v>
          </cell>
          <cell r="G24">
            <v>40</v>
          </cell>
          <cell r="H24">
            <v>42781</v>
          </cell>
          <cell r="J24" t="str">
            <v>AV</v>
          </cell>
          <cell r="K24" t="str">
            <v>KJF</v>
          </cell>
        </row>
        <row r="25">
          <cell r="A25" t="str">
            <v>100N216</v>
          </cell>
          <cell r="B25" t="str">
            <v>100N2</v>
          </cell>
          <cell r="C25" t="str">
            <v>MFC-16</v>
          </cell>
          <cell r="D25">
            <v>2.103730901913765E-2</v>
          </cell>
          <cell r="E25">
            <v>1.1174610923500374</v>
          </cell>
          <cell r="F25">
            <v>10</v>
          </cell>
          <cell r="G25">
            <v>100</v>
          </cell>
          <cell r="H25">
            <v>40686</v>
          </cell>
          <cell r="J25" t="str">
            <v>A</v>
          </cell>
          <cell r="K25" t="str">
            <v>KJF</v>
          </cell>
        </row>
        <row r="26">
          <cell r="A26" t="str">
            <v>100N217</v>
          </cell>
          <cell r="B26" t="str">
            <v>100N2</v>
          </cell>
          <cell r="C26" t="str">
            <v>MFC-17</v>
          </cell>
          <cell r="D26">
            <v>3.6269389335908175E-2</v>
          </cell>
          <cell r="E26">
            <v>1.041266901043475</v>
          </cell>
          <cell r="F26">
            <v>10</v>
          </cell>
          <cell r="G26">
            <v>100</v>
          </cell>
          <cell r="H26">
            <v>40686</v>
          </cell>
          <cell r="J26" t="str">
            <v>A</v>
          </cell>
          <cell r="K26" t="str">
            <v>KJF</v>
          </cell>
        </row>
        <row r="27">
          <cell r="A27" t="str">
            <v>100N218</v>
          </cell>
          <cell r="B27" t="str">
            <v>100N2</v>
          </cell>
          <cell r="C27" t="str">
            <v>MFC-18</v>
          </cell>
          <cell r="D27">
            <v>3.4962015539284318E-2</v>
          </cell>
          <cell r="E27">
            <v>1.047867598245819</v>
          </cell>
          <cell r="F27">
            <v>10</v>
          </cell>
          <cell r="G27">
            <v>100</v>
          </cell>
          <cell r="H27">
            <v>40686</v>
          </cell>
          <cell r="J27" t="str">
            <v>N</v>
          </cell>
          <cell r="K27" t="str">
            <v>KJF</v>
          </cell>
        </row>
        <row r="28">
          <cell r="A28" t="str">
            <v>100Eth23</v>
          </cell>
          <cell r="B28" t="str">
            <v>100Eth</v>
          </cell>
          <cell r="C28" t="str">
            <v>MFC-23</v>
          </cell>
          <cell r="D28">
            <v>0.31262839744241339</v>
          </cell>
          <cell r="E28">
            <v>1.0091435513465148</v>
          </cell>
          <cell r="F28">
            <v>10</v>
          </cell>
          <cell r="G28">
            <v>100</v>
          </cell>
          <cell r="H28">
            <v>40642</v>
          </cell>
          <cell r="J28" t="str">
            <v>A</v>
          </cell>
          <cell r="K28" t="str">
            <v>KJF</v>
          </cell>
        </row>
        <row r="29">
          <cell r="A29" t="str">
            <v>100N223</v>
          </cell>
          <cell r="B29" t="str">
            <v>100N2</v>
          </cell>
          <cell r="C29" t="str">
            <v>MFC-23</v>
          </cell>
          <cell r="D29">
            <v>0.13458562266266677</v>
          </cell>
          <cell r="E29">
            <v>1.0243073600195354</v>
          </cell>
          <cell r="F29">
            <v>10</v>
          </cell>
          <cell r="G29">
            <v>100</v>
          </cell>
          <cell r="H29">
            <v>40642</v>
          </cell>
          <cell r="J29" t="str">
            <v>A</v>
          </cell>
          <cell r="K29" t="str">
            <v>KJF</v>
          </cell>
        </row>
        <row r="30">
          <cell r="A30" t="str">
            <v>10Eth90N223</v>
          </cell>
          <cell r="B30" t="str">
            <v>10Eth90N2</v>
          </cell>
          <cell r="C30" t="str">
            <v>MFC-23</v>
          </cell>
          <cell r="D30">
            <v>0.16617612935039722</v>
          </cell>
          <cell r="E30">
            <v>1.0050750583292538</v>
          </cell>
          <cell r="F30">
            <v>10</v>
          </cell>
          <cell r="G30">
            <v>100</v>
          </cell>
          <cell r="H30">
            <v>40642</v>
          </cell>
          <cell r="J30" t="str">
            <v>A</v>
          </cell>
          <cell r="K30" t="str">
            <v>KJF</v>
          </cell>
        </row>
        <row r="31">
          <cell r="A31" t="str">
            <v>100Eth26</v>
          </cell>
          <cell r="B31" t="str">
            <v>100Eth</v>
          </cell>
          <cell r="C31" t="str">
            <v>MFC-26</v>
          </cell>
          <cell r="D31" t="e">
            <v>#NUM!</v>
          </cell>
          <cell r="E31" t="e">
            <v>#NUM!</v>
          </cell>
          <cell r="F31">
            <v>10</v>
          </cell>
          <cell r="G31">
            <v>100</v>
          </cell>
          <cell r="H31">
            <v>0</v>
          </cell>
          <cell r="J31" t="str">
            <v>A</v>
          </cell>
          <cell r="K31">
            <v>0</v>
          </cell>
        </row>
        <row r="32">
          <cell r="A32" t="str">
            <v>100N226</v>
          </cell>
          <cell r="B32" t="str">
            <v>100N2</v>
          </cell>
          <cell r="C32" t="str">
            <v>MFC-26</v>
          </cell>
          <cell r="D32">
            <v>0.12762250613507073</v>
          </cell>
          <cell r="E32">
            <v>1.0420688683775647</v>
          </cell>
          <cell r="F32">
            <v>10</v>
          </cell>
          <cell r="G32">
            <v>100</v>
          </cell>
          <cell r="H32">
            <v>42765</v>
          </cell>
          <cell r="J32" t="str">
            <v>A</v>
          </cell>
          <cell r="K32" t="str">
            <v>TL</v>
          </cell>
        </row>
        <row r="33">
          <cell r="A33" t="str">
            <v>10Eth90N226</v>
          </cell>
          <cell r="B33" t="str">
            <v>10Eth90N2</v>
          </cell>
          <cell r="C33" t="str">
            <v>MFC-26</v>
          </cell>
          <cell r="D33" t="e">
            <v>#NUM!</v>
          </cell>
          <cell r="E33" t="e">
            <v>#NUM!</v>
          </cell>
          <cell r="F33">
            <v>10</v>
          </cell>
          <cell r="G33">
            <v>100</v>
          </cell>
          <cell r="H33">
            <v>42765</v>
          </cell>
          <cell r="J33" t="str">
            <v>A</v>
          </cell>
          <cell r="K33" t="str">
            <v>KAG</v>
          </cell>
        </row>
        <row r="34">
          <cell r="A34" t="str">
            <v>100Eth34</v>
          </cell>
          <cell r="B34" t="str">
            <v>100Eth</v>
          </cell>
          <cell r="C34" t="str">
            <v>MFC-34</v>
          </cell>
          <cell r="D34">
            <v>1.7824347095782274</v>
          </cell>
          <cell r="E34">
            <v>1.0538983530725901</v>
          </cell>
          <cell r="F34">
            <v>5</v>
          </cell>
          <cell r="G34">
            <v>100</v>
          </cell>
          <cell r="H34">
            <v>40642</v>
          </cell>
          <cell r="J34" t="str">
            <v>A</v>
          </cell>
          <cell r="K34" t="str">
            <v>KJF</v>
          </cell>
        </row>
        <row r="35">
          <cell r="A35" t="str">
            <v>100N234</v>
          </cell>
          <cell r="B35" t="str">
            <v>100N2</v>
          </cell>
          <cell r="C35" t="str">
            <v>MFC-34</v>
          </cell>
          <cell r="D35">
            <v>0.91152266727447362</v>
          </cell>
          <cell r="E35">
            <v>1.0230626311691235</v>
          </cell>
          <cell r="F35">
            <v>5</v>
          </cell>
          <cell r="G35">
            <v>100</v>
          </cell>
          <cell r="H35">
            <v>40643</v>
          </cell>
          <cell r="J35" t="str">
            <v>A</v>
          </cell>
          <cell r="K35" t="str">
            <v>KJF</v>
          </cell>
        </row>
        <row r="36">
          <cell r="A36" t="str">
            <v>10Eth90N234</v>
          </cell>
          <cell r="B36" t="str">
            <v>10Eth90N2</v>
          </cell>
          <cell r="C36" t="str">
            <v>MFC-34</v>
          </cell>
          <cell r="D36">
            <v>0.90259267346932903</v>
          </cell>
          <cell r="E36">
            <v>1.0542908606453087</v>
          </cell>
          <cell r="F36">
            <v>5</v>
          </cell>
          <cell r="G36">
            <v>100</v>
          </cell>
          <cell r="H36">
            <v>40643</v>
          </cell>
          <cell r="J36" t="str">
            <v>A</v>
          </cell>
          <cell r="K36" t="str">
            <v>KJF</v>
          </cell>
        </row>
        <row r="37">
          <cell r="A37" t="str">
            <v>100Eth35</v>
          </cell>
          <cell r="B37" t="str">
            <v>100Eth</v>
          </cell>
          <cell r="C37" t="str">
            <v>MFC-35</v>
          </cell>
          <cell r="D37">
            <v>2.051471099594766</v>
          </cell>
          <cell r="E37">
            <v>1.011552716769337</v>
          </cell>
          <cell r="F37">
            <v>5</v>
          </cell>
          <cell r="G37">
            <v>100</v>
          </cell>
          <cell r="H37">
            <v>40642</v>
          </cell>
          <cell r="J37" t="str">
            <v>A</v>
          </cell>
          <cell r="K37" t="str">
            <v>KJF</v>
          </cell>
        </row>
        <row r="38">
          <cell r="A38" t="str">
            <v>100N235</v>
          </cell>
          <cell r="B38" t="str">
            <v>100N2</v>
          </cell>
          <cell r="C38" t="str">
            <v>MFC-35</v>
          </cell>
          <cell r="D38">
            <v>1.0073838165113154</v>
          </cell>
          <cell r="E38">
            <v>0.9975103708582761</v>
          </cell>
          <cell r="F38">
            <v>5</v>
          </cell>
          <cell r="G38">
            <v>100</v>
          </cell>
          <cell r="H38">
            <v>40643</v>
          </cell>
          <cell r="J38" t="str">
            <v>A</v>
          </cell>
          <cell r="K38" t="str">
            <v>KJF</v>
          </cell>
        </row>
        <row r="39">
          <cell r="A39" t="str">
            <v>10Eth90N235</v>
          </cell>
          <cell r="B39" t="str">
            <v>10Eth90N2</v>
          </cell>
          <cell r="C39" t="str">
            <v>MFC-35</v>
          </cell>
          <cell r="D39">
            <v>1.1051294091644073</v>
          </cell>
          <cell r="E39">
            <v>0.99968518912846938</v>
          </cell>
          <cell r="F39">
            <v>5</v>
          </cell>
          <cell r="G39">
            <v>100</v>
          </cell>
          <cell r="H39">
            <v>40643</v>
          </cell>
          <cell r="J39" t="str">
            <v>A</v>
          </cell>
          <cell r="K39" t="str">
            <v>KJF</v>
          </cell>
        </row>
        <row r="40">
          <cell r="A40" t="str">
            <v>100Eth11</v>
          </cell>
          <cell r="B40" t="str">
            <v>100Eth</v>
          </cell>
          <cell r="C40" t="str">
            <v>MFC-11</v>
          </cell>
          <cell r="D40">
            <v>9.1117529842421607E-2</v>
          </cell>
          <cell r="E40">
            <v>1.017329471129067</v>
          </cell>
          <cell r="F40">
            <v>10</v>
          </cell>
          <cell r="G40">
            <v>100</v>
          </cell>
          <cell r="H40">
            <v>39588</v>
          </cell>
          <cell r="J40" t="str">
            <v>N</v>
          </cell>
          <cell r="K40" t="str">
            <v>RCL</v>
          </cell>
        </row>
        <row r="41">
          <cell r="A41" t="str">
            <v>100N211</v>
          </cell>
          <cell r="B41" t="str">
            <v>100N2</v>
          </cell>
          <cell r="C41" t="str">
            <v>MFC-11</v>
          </cell>
          <cell r="D41">
            <v>2.59960830625568E-2</v>
          </cell>
          <cell r="E41">
            <v>1.0892745052496187</v>
          </cell>
          <cell r="F41">
            <v>10</v>
          </cell>
          <cell r="G41">
            <v>100</v>
          </cell>
          <cell r="H41">
            <v>39541</v>
          </cell>
          <cell r="J41" t="str">
            <v>N</v>
          </cell>
          <cell r="K41" t="str">
            <v>RCL</v>
          </cell>
        </row>
        <row r="42">
          <cell r="A42" t="str">
            <v>10Eth90N211</v>
          </cell>
          <cell r="B42" t="str">
            <v>10Eth90N2</v>
          </cell>
          <cell r="C42" t="str">
            <v>MFC-11</v>
          </cell>
          <cell r="D42">
            <v>3.2006138445222737E-2</v>
          </cell>
          <cell r="E42">
            <v>1.0804977877120874</v>
          </cell>
          <cell r="F42">
            <v>10</v>
          </cell>
          <cell r="G42">
            <v>100</v>
          </cell>
          <cell r="H42">
            <v>39588</v>
          </cell>
          <cell r="J42" t="str">
            <v>N</v>
          </cell>
          <cell r="K42" t="str">
            <v>RCL</v>
          </cell>
        </row>
        <row r="43">
          <cell r="A43" t="str">
            <v>100N219</v>
          </cell>
          <cell r="B43" t="str">
            <v>100N2</v>
          </cell>
          <cell r="C43" t="str">
            <v>MFC-19</v>
          </cell>
          <cell r="D43">
            <v>3.1153018019680408E-2</v>
          </cell>
          <cell r="E43">
            <v>1.0644480668074592</v>
          </cell>
          <cell r="F43">
            <v>10</v>
          </cell>
          <cell r="G43">
            <v>100</v>
          </cell>
          <cell r="H43">
            <v>40686</v>
          </cell>
          <cell r="J43" t="str">
            <v>N</v>
          </cell>
          <cell r="K43" t="str">
            <v>KJF</v>
          </cell>
        </row>
        <row r="44">
          <cell r="A44" t="str">
            <v>100Eth22</v>
          </cell>
          <cell r="B44" t="str">
            <v>100Eth</v>
          </cell>
          <cell r="C44" t="str">
            <v>MFC-22</v>
          </cell>
          <cell r="D44">
            <v>0.24531012696179125</v>
          </cell>
          <cell r="E44">
            <v>1.0647327414727596</v>
          </cell>
          <cell r="F44">
            <v>10</v>
          </cell>
          <cell r="G44">
            <v>100</v>
          </cell>
          <cell r="H44">
            <v>40413</v>
          </cell>
          <cell r="J44" t="str">
            <v>N</v>
          </cell>
          <cell r="K44" t="str">
            <v>KCM</v>
          </cell>
        </row>
        <row r="45">
          <cell r="A45" t="str">
            <v>100N222</v>
          </cell>
          <cell r="B45" t="str">
            <v>100N2</v>
          </cell>
          <cell r="C45" t="str">
            <v>MFC-22</v>
          </cell>
          <cell r="D45">
            <v>0.11506402397171749</v>
          </cell>
          <cell r="E45">
            <v>1.0576156179756555</v>
          </cell>
          <cell r="F45">
            <v>10</v>
          </cell>
          <cell r="G45">
            <v>100</v>
          </cell>
          <cell r="H45">
            <v>39620</v>
          </cell>
          <cell r="J45" t="str">
            <v>N</v>
          </cell>
          <cell r="K45" t="str">
            <v>RCL</v>
          </cell>
        </row>
        <row r="46">
          <cell r="A46" t="str">
            <v>10Eth90N222</v>
          </cell>
          <cell r="B46" t="str">
            <v>10Eth90N2</v>
          </cell>
          <cell r="C46" t="str">
            <v>MFC-22</v>
          </cell>
          <cell r="D46">
            <v>0.12650363138887091</v>
          </cell>
          <cell r="E46">
            <v>1.0566814823958948</v>
          </cell>
          <cell r="F46">
            <v>10</v>
          </cell>
          <cell r="G46">
            <v>100</v>
          </cell>
          <cell r="H46">
            <v>39620</v>
          </cell>
          <cell r="J46" t="str">
            <v>N</v>
          </cell>
          <cell r="K46" t="str">
            <v>RCL</v>
          </cell>
        </row>
        <row r="47">
          <cell r="A47" t="str">
            <v>100Air11</v>
          </cell>
          <cell r="B47" t="str">
            <v>100Air</v>
          </cell>
          <cell r="C47" t="str">
            <v>MFC-11</v>
          </cell>
          <cell r="D47">
            <v>4.5621978337986265E-2</v>
          </cell>
          <cell r="E47">
            <v>1.0192059034070002</v>
          </cell>
          <cell r="F47">
            <v>10</v>
          </cell>
          <cell r="G47">
            <v>100</v>
          </cell>
          <cell r="H47">
            <v>39279</v>
          </cell>
          <cell r="J47" t="str">
            <v>N</v>
          </cell>
          <cell r="K47" t="str">
            <v>KF</v>
          </cell>
        </row>
        <row r="48">
          <cell r="A48" t="str">
            <v>100He11</v>
          </cell>
          <cell r="B48" t="str">
            <v>100He</v>
          </cell>
          <cell r="C48" t="str">
            <v>MFC-11</v>
          </cell>
          <cell r="D48">
            <v>4.205419711681517E-2</v>
          </cell>
          <cell r="E48">
            <v>0.91565100468400529</v>
          </cell>
          <cell r="F48">
            <v>10</v>
          </cell>
          <cell r="G48">
            <v>100</v>
          </cell>
          <cell r="H48">
            <v>39834</v>
          </cell>
          <cell r="J48" t="str">
            <v>N</v>
          </cell>
          <cell r="K48" t="str">
            <v>RCL</v>
          </cell>
        </row>
        <row r="49">
          <cell r="A49" t="str">
            <v>10Eth90He11</v>
          </cell>
          <cell r="B49" t="str">
            <v>10Eth90He</v>
          </cell>
          <cell r="C49" t="str">
            <v>MFC-11</v>
          </cell>
          <cell r="D49">
            <v>5.2586831635810287E-2</v>
          </cell>
          <cell r="E49">
            <v>0.92263022977254783</v>
          </cell>
          <cell r="F49">
            <v>10</v>
          </cell>
          <cell r="G49">
            <v>100</v>
          </cell>
          <cell r="H49">
            <v>39588</v>
          </cell>
          <cell r="J49" t="str">
            <v>N</v>
          </cell>
          <cell r="K49" t="str">
            <v>RCL</v>
          </cell>
        </row>
        <row r="50">
          <cell r="A50" t="str">
            <v>100He12</v>
          </cell>
          <cell r="B50" t="str">
            <v>100He</v>
          </cell>
          <cell r="C50" t="str">
            <v>MFC-12</v>
          </cell>
          <cell r="D50">
            <v>2.5055184843838386E-2</v>
          </cell>
          <cell r="E50">
            <v>0.99633740213089106</v>
          </cell>
          <cell r="F50">
            <v>10</v>
          </cell>
          <cell r="G50">
            <v>100</v>
          </cell>
          <cell r="H50">
            <v>40413</v>
          </cell>
          <cell r="J50" t="str">
            <v>A</v>
          </cell>
          <cell r="K50" t="str">
            <v>KCM</v>
          </cell>
        </row>
        <row r="51">
          <cell r="A51" t="str">
            <v>10Eth90He12</v>
          </cell>
          <cell r="B51" t="str">
            <v>10Eth90He</v>
          </cell>
          <cell r="C51" t="str">
            <v>MFC-12</v>
          </cell>
          <cell r="D51">
            <v>3.3191278620877042E-2</v>
          </cell>
          <cell r="E51">
            <v>0.98568500383553526</v>
          </cell>
          <cell r="F51">
            <v>10</v>
          </cell>
          <cell r="G51">
            <v>100</v>
          </cell>
          <cell r="H51">
            <v>39588</v>
          </cell>
          <cell r="J51" t="str">
            <v>A</v>
          </cell>
          <cell r="K51" t="str">
            <v>RCL</v>
          </cell>
        </row>
        <row r="52">
          <cell r="A52" t="str">
            <v>100Air13</v>
          </cell>
          <cell r="B52" t="str">
            <v>100Air</v>
          </cell>
          <cell r="C52" t="str">
            <v>MFC-13</v>
          </cell>
          <cell r="D52">
            <v>4.2729372068136488E-3</v>
          </cell>
          <cell r="E52">
            <v>1.3188674086563199</v>
          </cell>
          <cell r="F52">
            <v>10</v>
          </cell>
          <cell r="G52">
            <v>100</v>
          </cell>
          <cell r="H52">
            <v>39279</v>
          </cell>
          <cell r="J52" t="str">
            <v>A</v>
          </cell>
          <cell r="K52" t="str">
            <v>KF</v>
          </cell>
        </row>
        <row r="53">
          <cell r="A53" t="str">
            <v>100Eth13</v>
          </cell>
          <cell r="B53" t="str">
            <v>100Eth</v>
          </cell>
          <cell r="C53" t="str">
            <v>MFC-13</v>
          </cell>
          <cell r="D53" t="e">
            <v>#NUM!</v>
          </cell>
          <cell r="E53" t="e">
            <v>#NUM!</v>
          </cell>
          <cell r="F53">
            <v>10</v>
          </cell>
          <cell r="G53">
            <v>100</v>
          </cell>
          <cell r="H53">
            <v>39588</v>
          </cell>
          <cell r="J53" t="str">
            <v>N/A</v>
          </cell>
          <cell r="K53" t="str">
            <v>RCL</v>
          </cell>
        </row>
        <row r="54">
          <cell r="A54" t="str">
            <v>100He13</v>
          </cell>
          <cell r="B54" t="str">
            <v>100He</v>
          </cell>
          <cell r="C54" t="str">
            <v>MFC-13</v>
          </cell>
          <cell r="D54">
            <v>2.1605343392859275E-2</v>
          </cell>
          <cell r="E54">
            <v>1.0287942841260351</v>
          </cell>
          <cell r="F54">
            <v>10</v>
          </cell>
          <cell r="G54">
            <v>100</v>
          </cell>
          <cell r="H54">
            <v>39834</v>
          </cell>
          <cell r="J54" t="str">
            <v>A</v>
          </cell>
          <cell r="K54" t="str">
            <v>ABL</v>
          </cell>
        </row>
        <row r="55">
          <cell r="A55" t="str">
            <v>10Eth90He13</v>
          </cell>
          <cell r="B55" t="str">
            <v>10Eth90He</v>
          </cell>
          <cell r="C55" t="str">
            <v>MFC-13</v>
          </cell>
          <cell r="D55" t="e">
            <v>#NUM!</v>
          </cell>
          <cell r="E55" t="e">
            <v>#NUM!</v>
          </cell>
          <cell r="F55">
            <v>10</v>
          </cell>
          <cell r="G55">
            <v>100</v>
          </cell>
          <cell r="H55">
            <v>39588</v>
          </cell>
          <cell r="J55" t="str">
            <v>N/A</v>
          </cell>
          <cell r="K55" t="str">
            <v>RCL</v>
          </cell>
        </row>
        <row r="56">
          <cell r="A56" t="str">
            <v>10Eth90N213</v>
          </cell>
          <cell r="B56" t="str">
            <v>10Eth90N2</v>
          </cell>
          <cell r="C56" t="str">
            <v>MFC-13</v>
          </cell>
          <cell r="D56" t="e">
            <v>#NUM!</v>
          </cell>
          <cell r="E56" t="e">
            <v>#NUM!</v>
          </cell>
          <cell r="F56">
            <v>10</v>
          </cell>
          <cell r="G56">
            <v>100</v>
          </cell>
          <cell r="H56">
            <v>39588</v>
          </cell>
          <cell r="J56" t="str">
            <v>N/A</v>
          </cell>
          <cell r="K56" t="str">
            <v>RCL</v>
          </cell>
        </row>
        <row r="57">
          <cell r="A57" t="str">
            <v>100N214</v>
          </cell>
          <cell r="B57" t="str">
            <v>100N2</v>
          </cell>
          <cell r="C57" t="str">
            <v>MFC-14</v>
          </cell>
          <cell r="D57" t="e">
            <v>#NUM!</v>
          </cell>
          <cell r="E57" t="e">
            <v>#NUM!</v>
          </cell>
          <cell r="F57">
            <v>5</v>
          </cell>
          <cell r="G57">
            <v>40</v>
          </cell>
          <cell r="H57">
            <v>39541</v>
          </cell>
          <cell r="J57" t="str">
            <v>N/A</v>
          </cell>
          <cell r="K57" t="str">
            <v>RCL</v>
          </cell>
        </row>
        <row r="58">
          <cell r="A58" t="str">
            <v>100N215</v>
          </cell>
          <cell r="B58" t="str">
            <v>100N2</v>
          </cell>
          <cell r="C58" t="str">
            <v>MFC-15</v>
          </cell>
          <cell r="D58" t="e">
            <v>#NUM!</v>
          </cell>
          <cell r="E58" t="e">
            <v>#NUM!</v>
          </cell>
          <cell r="F58">
            <v>5</v>
          </cell>
          <cell r="G58">
            <v>40</v>
          </cell>
          <cell r="H58">
            <v>39541</v>
          </cell>
          <cell r="J58" t="str">
            <v>N/A</v>
          </cell>
          <cell r="K58" t="str">
            <v>RCL</v>
          </cell>
        </row>
        <row r="59">
          <cell r="A59" t="str">
            <v>100Air21</v>
          </cell>
          <cell r="B59" t="str">
            <v>100Air</v>
          </cell>
          <cell r="C59" t="str">
            <v>MFC-21</v>
          </cell>
          <cell r="D59">
            <v>0.18642211943673972</v>
          </cell>
          <cell r="E59">
            <v>1.012024014178833</v>
          </cell>
          <cell r="F59">
            <v>10</v>
          </cell>
          <cell r="G59">
            <v>100</v>
          </cell>
          <cell r="H59">
            <v>39104</v>
          </cell>
          <cell r="J59" t="str">
            <v>A</v>
          </cell>
          <cell r="K59" t="str">
            <v>Factory</v>
          </cell>
        </row>
        <row r="60">
          <cell r="A60" t="str">
            <v>100He21</v>
          </cell>
          <cell r="B60" t="str">
            <v>100He</v>
          </cell>
          <cell r="C60" t="str">
            <v>MFC-21</v>
          </cell>
          <cell r="D60">
            <v>0.12966426321617111</v>
          </cell>
          <cell r="E60">
            <v>0.92624237743846904</v>
          </cell>
          <cell r="F60">
            <v>10</v>
          </cell>
          <cell r="G60">
            <v>100</v>
          </cell>
          <cell r="H60">
            <v>40413</v>
          </cell>
          <cell r="J60" t="str">
            <v>A</v>
          </cell>
          <cell r="K60" t="str">
            <v>KCM</v>
          </cell>
        </row>
        <row r="61">
          <cell r="A61" t="str">
            <v>10Eth90He21</v>
          </cell>
          <cell r="B61" t="str">
            <v>10Eth90He</v>
          </cell>
          <cell r="C61" t="str">
            <v>MFC-21</v>
          </cell>
          <cell r="D61">
            <v>0.10817625553082386</v>
          </cell>
          <cell r="E61">
            <v>0.99814239943375249</v>
          </cell>
          <cell r="F61">
            <v>10</v>
          </cell>
          <cell r="G61">
            <v>100</v>
          </cell>
          <cell r="H61">
            <v>39620</v>
          </cell>
          <cell r="J61" t="str">
            <v>A</v>
          </cell>
          <cell r="K61" t="str">
            <v>RCL</v>
          </cell>
        </row>
        <row r="62">
          <cell r="A62" t="str">
            <v>100Air22</v>
          </cell>
          <cell r="B62" t="str">
            <v>100Air</v>
          </cell>
          <cell r="C62" t="str">
            <v>MFC-22</v>
          </cell>
          <cell r="D62">
            <v>0.20019482612143211</v>
          </cell>
          <cell r="E62">
            <v>1</v>
          </cell>
          <cell r="F62">
            <v>10</v>
          </cell>
          <cell r="G62">
            <v>100</v>
          </cell>
          <cell r="H62">
            <v>39104</v>
          </cell>
          <cell r="J62" t="str">
            <v>N</v>
          </cell>
          <cell r="K62" t="str">
            <v>Factory</v>
          </cell>
        </row>
        <row r="63">
          <cell r="A63" t="str">
            <v>100He22</v>
          </cell>
          <cell r="B63" t="str">
            <v>100He</v>
          </cell>
          <cell r="C63" t="str">
            <v>MFC-22</v>
          </cell>
          <cell r="D63">
            <v>0.12629275388511571</v>
          </cell>
          <cell r="E63">
            <v>0.9341322549269826</v>
          </cell>
          <cell r="F63">
            <v>10</v>
          </cell>
          <cell r="G63">
            <v>100</v>
          </cell>
          <cell r="H63">
            <v>39620</v>
          </cell>
          <cell r="J63" t="str">
            <v>N</v>
          </cell>
          <cell r="K63" t="str">
            <v>RCL</v>
          </cell>
        </row>
        <row r="64">
          <cell r="A64" t="str">
            <v>10Eth90He22</v>
          </cell>
          <cell r="B64" t="str">
            <v>10Eth90He</v>
          </cell>
          <cell r="C64" t="str">
            <v>MFC-22</v>
          </cell>
          <cell r="D64">
            <v>0.11640097808629139</v>
          </cell>
          <cell r="E64">
            <v>0.98881063331009056</v>
          </cell>
          <cell r="F64">
            <v>10</v>
          </cell>
          <cell r="G64">
            <v>100</v>
          </cell>
          <cell r="H64">
            <v>39620</v>
          </cell>
          <cell r="J64" t="str">
            <v>N</v>
          </cell>
          <cell r="K64" t="str">
            <v>RCL</v>
          </cell>
        </row>
        <row r="65">
          <cell r="A65" t="str">
            <v>100Air23</v>
          </cell>
          <cell r="B65" t="str">
            <v>100Air</v>
          </cell>
          <cell r="C65" t="str">
            <v>MFC-23</v>
          </cell>
          <cell r="D65" t="e">
            <v>#NUM!</v>
          </cell>
          <cell r="E65" t="e">
            <v>#NUM!</v>
          </cell>
          <cell r="F65">
            <v>10</v>
          </cell>
          <cell r="G65">
            <v>100</v>
          </cell>
          <cell r="H65">
            <v>0</v>
          </cell>
          <cell r="J65" t="str">
            <v>N/A</v>
          </cell>
          <cell r="K65">
            <v>0</v>
          </cell>
        </row>
        <row r="66">
          <cell r="A66" t="str">
            <v>100He23</v>
          </cell>
          <cell r="B66" t="str">
            <v>100He</v>
          </cell>
          <cell r="C66" t="str">
            <v>MFC-23</v>
          </cell>
          <cell r="D66">
            <v>0.12145404879546189</v>
          </cell>
          <cell r="E66">
            <v>0.93761238339583919</v>
          </cell>
          <cell r="F66">
            <v>10</v>
          </cell>
          <cell r="G66">
            <v>100</v>
          </cell>
          <cell r="H66">
            <v>40642</v>
          </cell>
          <cell r="J66" t="str">
            <v>A</v>
          </cell>
          <cell r="K66" t="str">
            <v>KJF</v>
          </cell>
        </row>
        <row r="67">
          <cell r="A67" t="str">
            <v>10Eth90He23</v>
          </cell>
          <cell r="B67" t="str">
            <v>10Eth90He</v>
          </cell>
          <cell r="C67" t="str">
            <v>MFC-23</v>
          </cell>
          <cell r="D67">
            <v>0.14345906691580559</v>
          </cell>
          <cell r="E67">
            <v>0.95039002939454031</v>
          </cell>
          <cell r="F67">
            <v>10</v>
          </cell>
          <cell r="G67">
            <v>100</v>
          </cell>
          <cell r="H67">
            <v>40642</v>
          </cell>
          <cell r="J67" t="str">
            <v>A</v>
          </cell>
          <cell r="K67" t="str">
            <v>KJF</v>
          </cell>
        </row>
        <row r="68">
          <cell r="A68" t="str">
            <v>100He24</v>
          </cell>
          <cell r="B68" t="str">
            <v>100He</v>
          </cell>
          <cell r="C68" t="str">
            <v>MFC-24</v>
          </cell>
          <cell r="D68">
            <v>0.21943124987102983</v>
          </cell>
          <cell r="E68">
            <v>0.84525599728362322</v>
          </cell>
          <cell r="F68">
            <v>10</v>
          </cell>
          <cell r="G68">
            <v>100</v>
          </cell>
          <cell r="H68">
            <v>40643</v>
          </cell>
          <cell r="J68" t="str">
            <v>A, X</v>
          </cell>
          <cell r="K68" t="str">
            <v>KJF</v>
          </cell>
        </row>
        <row r="69">
          <cell r="A69" t="str">
            <v>10Eth90He24</v>
          </cell>
          <cell r="B69" t="str">
            <v>10Eth90He</v>
          </cell>
          <cell r="C69" t="str">
            <v>MFC-24</v>
          </cell>
          <cell r="D69">
            <v>0.14597448255899503</v>
          </cell>
          <cell r="E69">
            <v>0.95252114637630847</v>
          </cell>
          <cell r="F69">
            <v>10</v>
          </cell>
          <cell r="G69">
            <v>100</v>
          </cell>
          <cell r="H69">
            <v>40643</v>
          </cell>
          <cell r="J69" t="str">
            <v>A, X</v>
          </cell>
          <cell r="K69" t="str">
            <v>KJF</v>
          </cell>
        </row>
        <row r="70">
          <cell r="A70" t="str">
            <v>100He25</v>
          </cell>
          <cell r="B70" t="str">
            <v>100He</v>
          </cell>
          <cell r="C70" t="str">
            <v>MFC-25</v>
          </cell>
          <cell r="D70">
            <v>0.14238877903172675</v>
          </cell>
          <cell r="E70">
            <v>0.92147018136568692</v>
          </cell>
          <cell r="F70">
            <v>10</v>
          </cell>
          <cell r="G70">
            <v>100</v>
          </cell>
          <cell r="H70">
            <v>40643</v>
          </cell>
          <cell r="J70" t="str">
            <v>A</v>
          </cell>
          <cell r="K70" t="str">
            <v>KJF</v>
          </cell>
        </row>
        <row r="71">
          <cell r="A71" t="str">
            <v>100Meth25</v>
          </cell>
          <cell r="B71" t="str">
            <v>100Meth</v>
          </cell>
          <cell r="C71" t="str">
            <v>MFC-25</v>
          </cell>
          <cell r="D71">
            <v>0.25496010145977194</v>
          </cell>
          <cell r="E71">
            <v>0.95592463723211807</v>
          </cell>
          <cell r="F71">
            <v>10</v>
          </cell>
          <cell r="G71">
            <v>100</v>
          </cell>
          <cell r="H71">
            <v>40203</v>
          </cell>
          <cell r="J71" t="str">
            <v>A</v>
          </cell>
          <cell r="K71" t="str">
            <v>KJF</v>
          </cell>
        </row>
        <row r="72">
          <cell r="A72" t="str">
            <v>100Eth24</v>
          </cell>
          <cell r="B72" t="str">
            <v>100Eth</v>
          </cell>
          <cell r="C72" t="str">
            <v>MFC-24</v>
          </cell>
          <cell r="D72">
            <v>0.31666925697101628</v>
          </cell>
          <cell r="E72">
            <v>1.0124053003154143</v>
          </cell>
          <cell r="F72">
            <v>10</v>
          </cell>
          <cell r="G72">
            <v>100</v>
          </cell>
          <cell r="H72">
            <v>40642</v>
          </cell>
          <cell r="J72" t="str">
            <v>A, X</v>
          </cell>
          <cell r="K72" t="str">
            <v>KJF</v>
          </cell>
        </row>
        <row r="73">
          <cell r="A73" t="str">
            <v>100He31</v>
          </cell>
          <cell r="B73" t="str">
            <v>100He</v>
          </cell>
          <cell r="C73" t="str">
            <v>MFC-31</v>
          </cell>
          <cell r="D73">
            <v>0.72990908990560188</v>
          </cell>
          <cell r="E73">
            <v>0.95689083840238953</v>
          </cell>
          <cell r="F73">
            <v>5</v>
          </cell>
          <cell r="G73">
            <v>100</v>
          </cell>
          <cell r="H73">
            <v>39620</v>
          </cell>
          <cell r="J73" t="str">
            <v>A</v>
          </cell>
          <cell r="K73" t="str">
            <v>RCL</v>
          </cell>
        </row>
        <row r="74">
          <cell r="A74" t="str">
            <v>10Eth90He31</v>
          </cell>
          <cell r="B74" t="str">
            <v>10Eth90He</v>
          </cell>
          <cell r="C74" t="str">
            <v>MFC-31</v>
          </cell>
          <cell r="D74">
            <v>0.68928533753052212</v>
          </cell>
          <cell r="E74">
            <v>1.0319107264358267</v>
          </cell>
          <cell r="F74">
            <v>5</v>
          </cell>
          <cell r="G74">
            <v>100</v>
          </cell>
          <cell r="H74">
            <v>39792</v>
          </cell>
          <cell r="J74" t="str">
            <v>A</v>
          </cell>
          <cell r="K74" t="str">
            <v>GG</v>
          </cell>
        </row>
        <row r="75">
          <cell r="A75" t="str">
            <v>100N224</v>
          </cell>
          <cell r="B75" t="str">
            <v>100N2</v>
          </cell>
          <cell r="C75" t="str">
            <v>MFC-24</v>
          </cell>
          <cell r="D75">
            <v>0.14313808314210408</v>
          </cell>
          <cell r="E75">
            <v>1.02109851453752</v>
          </cell>
          <cell r="F75">
            <v>10</v>
          </cell>
          <cell r="G75">
            <v>100</v>
          </cell>
          <cell r="H75">
            <v>40643</v>
          </cell>
          <cell r="J75" t="str">
            <v>A, X</v>
          </cell>
          <cell r="K75" t="str">
            <v>KJF</v>
          </cell>
        </row>
        <row r="76">
          <cell r="A76" t="str">
            <v>10Eth90N224</v>
          </cell>
          <cell r="B76" t="str">
            <v>10Eth90N2</v>
          </cell>
          <cell r="C76" t="str">
            <v>MFC-24</v>
          </cell>
          <cell r="D76">
            <v>0.1416879716180168</v>
          </cell>
          <cell r="E76">
            <v>1.038313689458372</v>
          </cell>
          <cell r="F76">
            <v>10</v>
          </cell>
          <cell r="G76">
            <v>100</v>
          </cell>
          <cell r="H76">
            <v>40643</v>
          </cell>
          <cell r="J76" t="str">
            <v>A, X</v>
          </cell>
          <cell r="K76" t="str">
            <v>KJF</v>
          </cell>
        </row>
        <row r="77">
          <cell r="A77" t="str">
            <v>100He32</v>
          </cell>
          <cell r="B77" t="str">
            <v>100He</v>
          </cell>
          <cell r="C77" t="str">
            <v>MFC-32</v>
          </cell>
          <cell r="D77">
            <v>0.69213975381813075</v>
          </cell>
          <cell r="E77">
            <v>0.97839753565483956</v>
          </cell>
          <cell r="F77">
            <v>5</v>
          </cell>
          <cell r="G77">
            <v>100</v>
          </cell>
          <cell r="H77">
            <v>39993</v>
          </cell>
          <cell r="J77" t="str">
            <v>A</v>
          </cell>
          <cell r="K77" t="str">
            <v>KCM</v>
          </cell>
        </row>
        <row r="78">
          <cell r="A78" t="str">
            <v>10Eth90He32</v>
          </cell>
          <cell r="B78" t="str">
            <v>10Eth90He</v>
          </cell>
          <cell r="C78" t="str">
            <v>MFC-32</v>
          </cell>
          <cell r="D78" t="e">
            <v>#NUM!</v>
          </cell>
          <cell r="E78" t="e">
            <v>#NUM!</v>
          </cell>
          <cell r="F78">
            <v>5</v>
          </cell>
          <cell r="G78">
            <v>100</v>
          </cell>
          <cell r="H78">
            <v>0</v>
          </cell>
          <cell r="J78" t="str">
            <v>N/A</v>
          </cell>
          <cell r="K78">
            <v>0</v>
          </cell>
        </row>
        <row r="79">
          <cell r="A79" t="str">
            <v>100He34</v>
          </cell>
          <cell r="B79" t="str">
            <v>100He</v>
          </cell>
          <cell r="C79" t="str">
            <v>MFC-34</v>
          </cell>
          <cell r="D79">
            <v>0.59466872138356619</v>
          </cell>
          <cell r="E79">
            <v>1.0315493499432435</v>
          </cell>
          <cell r="F79">
            <v>5</v>
          </cell>
          <cell r="G79">
            <v>100</v>
          </cell>
          <cell r="H79">
            <v>40643</v>
          </cell>
          <cell r="J79" t="str">
            <v>A</v>
          </cell>
          <cell r="K79" t="str">
            <v>KJF</v>
          </cell>
        </row>
        <row r="80">
          <cell r="A80" t="str">
            <v>10Eth90He34</v>
          </cell>
          <cell r="B80" t="str">
            <v>10Eth90He</v>
          </cell>
          <cell r="C80" t="str">
            <v>MFC-34</v>
          </cell>
          <cell r="D80">
            <v>0.71217262480204657</v>
          </cell>
          <cell r="E80">
            <v>1.0366690498481539</v>
          </cell>
          <cell r="F80">
            <v>5</v>
          </cell>
          <cell r="G80">
            <v>100</v>
          </cell>
          <cell r="H80">
            <v>40643</v>
          </cell>
          <cell r="J80" t="str">
            <v>A</v>
          </cell>
          <cell r="K80" t="str">
            <v>KJF</v>
          </cell>
        </row>
        <row r="81">
          <cell r="A81" t="str">
            <v>100He35</v>
          </cell>
          <cell r="B81" t="str">
            <v>100He</v>
          </cell>
          <cell r="C81" t="str">
            <v>MFC-35</v>
          </cell>
          <cell r="D81">
            <v>0.75713508055106282</v>
          </cell>
          <cell r="E81">
            <v>0.95728834332300472</v>
          </cell>
          <cell r="F81">
            <v>5</v>
          </cell>
          <cell r="G81">
            <v>100</v>
          </cell>
          <cell r="H81">
            <v>40643</v>
          </cell>
          <cell r="J81" t="str">
            <v>A</v>
          </cell>
          <cell r="K81" t="str">
            <v>KJF</v>
          </cell>
        </row>
        <row r="82">
          <cell r="A82" t="str">
            <v>10Eth90He35</v>
          </cell>
          <cell r="B82" t="str">
            <v>10Eth90He</v>
          </cell>
          <cell r="C82" t="str">
            <v>MFC-35</v>
          </cell>
          <cell r="D82">
            <v>0.90454836694636098</v>
          </cell>
          <cell r="E82">
            <v>0.96146629480617984</v>
          </cell>
          <cell r="F82">
            <v>5</v>
          </cell>
          <cell r="G82">
            <v>100</v>
          </cell>
          <cell r="H82">
            <v>40643</v>
          </cell>
          <cell r="J82" t="str">
            <v>A</v>
          </cell>
          <cell r="K82" t="str">
            <v>KJF</v>
          </cell>
        </row>
        <row r="83">
          <cell r="A83" t="str">
            <v>100Air01</v>
          </cell>
          <cell r="B83" t="str">
            <v>100Air</v>
          </cell>
          <cell r="C83" t="str">
            <v>MFC-01</v>
          </cell>
          <cell r="D83">
            <v>0.15754013433813488</v>
          </cell>
          <cell r="E83">
            <v>1</v>
          </cell>
          <cell r="F83">
            <v>7.5</v>
          </cell>
          <cell r="G83">
            <v>117</v>
          </cell>
          <cell r="H83">
            <v>36633</v>
          </cell>
          <cell r="J83" t="str">
            <v>X</v>
          </cell>
          <cell r="K83" t="str">
            <v>JTG</v>
          </cell>
        </row>
        <row r="84">
          <cell r="A84" t="str">
            <v>100Eth01</v>
          </cell>
          <cell r="B84" t="str">
            <v>100Eth</v>
          </cell>
          <cell r="C84" t="str">
            <v>MFC-01</v>
          </cell>
          <cell r="D84">
            <v>0.3448422092523884</v>
          </cell>
          <cell r="E84">
            <v>1</v>
          </cell>
          <cell r="F84">
            <v>7.5</v>
          </cell>
          <cell r="G84">
            <v>117</v>
          </cell>
          <cell r="H84">
            <v>39827</v>
          </cell>
          <cell r="J84" t="str">
            <v>X</v>
          </cell>
          <cell r="K84" t="str">
            <v>GG</v>
          </cell>
        </row>
        <row r="85">
          <cell r="A85" t="str">
            <v>100He01</v>
          </cell>
          <cell r="B85" t="str">
            <v>100He</v>
          </cell>
          <cell r="C85" t="str">
            <v>MFC-01</v>
          </cell>
          <cell r="D85">
            <v>0.15571204001378364</v>
          </cell>
          <cell r="E85">
            <v>0.93224898437178783</v>
          </cell>
          <cell r="F85">
            <v>7.5</v>
          </cell>
          <cell r="G85">
            <v>117</v>
          </cell>
          <cell r="H85">
            <v>39827</v>
          </cell>
          <cell r="J85" t="str">
            <v>X</v>
          </cell>
          <cell r="K85" t="str">
            <v>GG</v>
          </cell>
        </row>
        <row r="86">
          <cell r="A86" t="str">
            <v>100N201</v>
          </cell>
          <cell r="B86" t="str">
            <v>100N2</v>
          </cell>
          <cell r="C86" t="str">
            <v>MFC-01</v>
          </cell>
          <cell r="D86">
            <v>0.16357805787019211</v>
          </cell>
          <cell r="E86">
            <v>1</v>
          </cell>
          <cell r="F86">
            <v>7.5</v>
          </cell>
          <cell r="G86">
            <v>117</v>
          </cell>
          <cell r="H86">
            <v>39827</v>
          </cell>
          <cell r="J86" t="str">
            <v>X</v>
          </cell>
          <cell r="K86" t="str">
            <v>GG</v>
          </cell>
        </row>
        <row r="87">
          <cell r="A87" t="str">
            <v>10Eth90He01</v>
          </cell>
          <cell r="B87" t="str">
            <v>10Eth90He</v>
          </cell>
          <cell r="C87" t="str">
            <v>MFC-01</v>
          </cell>
          <cell r="D87">
            <v>0.18926218162042513</v>
          </cell>
          <cell r="E87">
            <v>0.92957584596368203</v>
          </cell>
          <cell r="F87">
            <v>7.5</v>
          </cell>
          <cell r="G87">
            <v>117</v>
          </cell>
          <cell r="H87">
            <v>39827</v>
          </cell>
          <cell r="J87" t="str">
            <v>X</v>
          </cell>
          <cell r="K87" t="str">
            <v>GG</v>
          </cell>
        </row>
        <row r="88">
          <cell r="A88" t="str">
            <v>10Eth90N201</v>
          </cell>
          <cell r="B88" t="str">
            <v>10Eth90N2</v>
          </cell>
          <cell r="C88" t="str">
            <v>MFC-01</v>
          </cell>
          <cell r="D88">
            <v>0.18467837652836555</v>
          </cell>
          <cell r="E88">
            <v>1</v>
          </cell>
          <cell r="F88">
            <v>7.5</v>
          </cell>
          <cell r="G88">
            <v>117</v>
          </cell>
          <cell r="H88">
            <v>39827</v>
          </cell>
          <cell r="J88" t="str">
            <v>X</v>
          </cell>
          <cell r="K88" t="str">
            <v>GG</v>
          </cell>
        </row>
        <row r="89">
          <cell r="A89" t="str">
            <v>100Eth02</v>
          </cell>
          <cell r="B89" t="str">
            <v>100Eth</v>
          </cell>
          <cell r="C89" t="str">
            <v>MFC-02</v>
          </cell>
          <cell r="D89">
            <v>2.3525189091544676</v>
          </cell>
          <cell r="E89">
            <v>1.0146054704878242</v>
          </cell>
          <cell r="F89">
            <v>2</v>
          </cell>
          <cell r="G89">
            <v>110</v>
          </cell>
          <cell r="H89">
            <v>39827</v>
          </cell>
          <cell r="J89" t="str">
            <v>X</v>
          </cell>
          <cell r="K89" t="str">
            <v>MM</v>
          </cell>
        </row>
        <row r="90">
          <cell r="A90" t="str">
            <v>100He02</v>
          </cell>
          <cell r="B90" t="str">
            <v>100He</v>
          </cell>
          <cell r="C90" t="str">
            <v>MFC-02</v>
          </cell>
          <cell r="D90">
            <v>0.76475056968453381</v>
          </cell>
          <cell r="E90">
            <v>1.0206268599945061</v>
          </cell>
          <cell r="F90">
            <v>2</v>
          </cell>
          <cell r="G90">
            <v>110</v>
          </cell>
          <cell r="H90">
            <v>39906</v>
          </cell>
          <cell r="J90" t="str">
            <v>X</v>
          </cell>
          <cell r="K90" t="str">
            <v>MM</v>
          </cell>
        </row>
        <row r="91">
          <cell r="A91" t="str">
            <v>100N202</v>
          </cell>
          <cell r="B91" t="str">
            <v>100N2</v>
          </cell>
          <cell r="C91" t="str">
            <v>MFC-02</v>
          </cell>
          <cell r="D91">
            <v>1.1314703072163652</v>
          </cell>
          <cell r="E91">
            <v>1.0139728071035936</v>
          </cell>
          <cell r="F91">
            <v>2</v>
          </cell>
          <cell r="G91">
            <v>110</v>
          </cell>
          <cell r="H91">
            <v>39906</v>
          </cell>
          <cell r="J91" t="str">
            <v>X</v>
          </cell>
          <cell r="K91" t="str">
            <v>MM</v>
          </cell>
        </row>
        <row r="92">
          <cell r="A92" t="str">
            <v>10Eth90He02</v>
          </cell>
          <cell r="B92" t="str">
            <v>10Eth90He</v>
          </cell>
          <cell r="C92" t="str">
            <v>MFC-02</v>
          </cell>
          <cell r="D92">
            <v>0.91324829271829489</v>
          </cell>
          <cell r="E92">
            <v>1.0234450568642424</v>
          </cell>
          <cell r="F92">
            <v>2</v>
          </cell>
          <cell r="G92">
            <v>110</v>
          </cell>
          <cell r="H92">
            <v>39833</v>
          </cell>
          <cell r="J92" t="str">
            <v>X</v>
          </cell>
          <cell r="K92" t="str">
            <v>GG</v>
          </cell>
        </row>
        <row r="93">
          <cell r="A93" t="str">
            <v>10Eth90N202</v>
          </cell>
          <cell r="B93" t="str">
            <v>10Eth90N2</v>
          </cell>
          <cell r="C93" t="str">
            <v>MFC-02</v>
          </cell>
          <cell r="D93">
            <v>1.2004357045864014</v>
          </cell>
          <cell r="E93">
            <v>1.0227335477624948</v>
          </cell>
          <cell r="F93">
            <v>2</v>
          </cell>
          <cell r="G93">
            <v>110</v>
          </cell>
          <cell r="H93">
            <v>39833</v>
          </cell>
          <cell r="J93" t="str">
            <v>X</v>
          </cell>
          <cell r="K93" t="str">
            <v>GG</v>
          </cell>
        </row>
        <row r="94">
          <cell r="A94" t="str">
            <v>100Eth03</v>
          </cell>
          <cell r="B94" t="str">
            <v>100Eth</v>
          </cell>
          <cell r="C94" t="str">
            <v>MFC-03</v>
          </cell>
          <cell r="D94">
            <v>0.4695333014219632</v>
          </cell>
          <cell r="E94">
            <v>0.93892095739904502</v>
          </cell>
          <cell r="F94">
            <v>7.5</v>
          </cell>
          <cell r="G94">
            <v>110</v>
          </cell>
          <cell r="H94">
            <v>39827</v>
          </cell>
          <cell r="J94" t="str">
            <v>X</v>
          </cell>
          <cell r="K94" t="str">
            <v>MM</v>
          </cell>
        </row>
        <row r="95">
          <cell r="A95" t="str">
            <v>100He03</v>
          </cell>
          <cell r="B95" t="str">
            <v>100He</v>
          </cell>
          <cell r="C95" t="str">
            <v>MFC-03</v>
          </cell>
          <cell r="D95">
            <v>0.19032978550029725</v>
          </cell>
          <cell r="E95">
            <v>0.91202454218820694</v>
          </cell>
          <cell r="F95">
            <v>7.5</v>
          </cell>
          <cell r="G95">
            <v>110</v>
          </cell>
          <cell r="H95">
            <v>39827</v>
          </cell>
          <cell r="J95" t="str">
            <v>X</v>
          </cell>
          <cell r="K95" t="str">
            <v>MM</v>
          </cell>
        </row>
        <row r="96">
          <cell r="A96" t="str">
            <v>100N203</v>
          </cell>
          <cell r="B96" t="str">
            <v>100N2</v>
          </cell>
          <cell r="C96" t="str">
            <v>MFC-03</v>
          </cell>
          <cell r="D96">
            <v>0.24280705837068831</v>
          </cell>
          <cell r="E96">
            <v>0.93263274260917239</v>
          </cell>
          <cell r="F96">
            <v>7.5</v>
          </cell>
          <cell r="G96">
            <v>110</v>
          </cell>
          <cell r="H96">
            <v>39827</v>
          </cell>
          <cell r="J96" t="str">
            <v>X</v>
          </cell>
          <cell r="K96" t="str">
            <v>MM</v>
          </cell>
        </row>
        <row r="97">
          <cell r="A97" t="str">
            <v>10Eth90He03</v>
          </cell>
          <cell r="B97" t="str">
            <v>10Eth90He</v>
          </cell>
          <cell r="C97" t="str">
            <v>MFC-03</v>
          </cell>
          <cell r="D97">
            <v>0.22333871549791254</v>
          </cell>
          <cell r="E97">
            <v>0.9144518281483488</v>
          </cell>
          <cell r="F97">
            <v>7.5</v>
          </cell>
          <cell r="G97">
            <v>110</v>
          </cell>
          <cell r="H97">
            <v>39827</v>
          </cell>
          <cell r="J97" t="str">
            <v>X</v>
          </cell>
          <cell r="K97" t="str">
            <v>MM</v>
          </cell>
        </row>
        <row r="98">
          <cell r="A98" t="str">
            <v>10Eth90N203</v>
          </cell>
          <cell r="B98" t="str">
            <v>10Eth90N2</v>
          </cell>
          <cell r="C98" t="str">
            <v>MFC-03</v>
          </cell>
          <cell r="D98">
            <v>0.27143672821674453</v>
          </cell>
          <cell r="E98">
            <v>0.92962326078147961</v>
          </cell>
          <cell r="F98">
            <v>7.5</v>
          </cell>
          <cell r="G98">
            <v>110</v>
          </cell>
          <cell r="H98">
            <v>39827</v>
          </cell>
          <cell r="J98" t="str">
            <v>X</v>
          </cell>
          <cell r="K98" t="str">
            <v>MM</v>
          </cell>
        </row>
        <row r="99">
          <cell r="A99" t="str">
            <v>100Eth04</v>
          </cell>
          <cell r="B99" t="str">
            <v>100Eth</v>
          </cell>
          <cell r="C99" t="str">
            <v>MFC-04</v>
          </cell>
          <cell r="D99">
            <v>0.18316240823324048</v>
          </cell>
          <cell r="E99">
            <v>1.1260060298875942</v>
          </cell>
          <cell r="F99">
            <v>7.5</v>
          </cell>
          <cell r="G99">
            <v>117</v>
          </cell>
          <cell r="H99">
            <v>39827</v>
          </cell>
          <cell r="J99" t="str">
            <v>X</v>
          </cell>
          <cell r="K99" t="str">
            <v>MM</v>
          </cell>
        </row>
        <row r="100">
          <cell r="A100" t="str">
            <v>100He04</v>
          </cell>
          <cell r="B100" t="str">
            <v>100He</v>
          </cell>
          <cell r="C100" t="str">
            <v>MFC-04</v>
          </cell>
          <cell r="D100">
            <v>5.864631826011403E-2</v>
          </cell>
          <cell r="E100">
            <v>1.1046515255696117</v>
          </cell>
          <cell r="F100">
            <v>7.5</v>
          </cell>
          <cell r="G100">
            <v>117</v>
          </cell>
          <cell r="H100">
            <v>39827</v>
          </cell>
          <cell r="J100" t="str">
            <v>X</v>
          </cell>
          <cell r="K100" t="str">
            <v>MM</v>
          </cell>
        </row>
        <row r="101">
          <cell r="A101" t="str">
            <v>100N204</v>
          </cell>
          <cell r="B101" t="str">
            <v>100N2</v>
          </cell>
          <cell r="C101" t="str">
            <v>MFC-04</v>
          </cell>
          <cell r="D101">
            <v>7.8848362639831901E-2</v>
          </cell>
          <cell r="E101">
            <v>1.1304761567450581</v>
          </cell>
          <cell r="F101">
            <v>7.5</v>
          </cell>
          <cell r="G101">
            <v>117</v>
          </cell>
          <cell r="H101">
            <v>39827</v>
          </cell>
          <cell r="J101" t="str">
            <v>X</v>
          </cell>
          <cell r="K101" t="str">
            <v>MM</v>
          </cell>
        </row>
        <row r="102">
          <cell r="A102" t="str">
            <v>10Eth90He04</v>
          </cell>
          <cell r="B102" t="str">
            <v>10Eth90He</v>
          </cell>
          <cell r="C102" t="str">
            <v>MFC-04</v>
          </cell>
          <cell r="D102">
            <v>8.0852226116017126E-2</v>
          </cell>
          <cell r="E102">
            <v>1.0823204191923643</v>
          </cell>
          <cell r="F102">
            <v>7.5</v>
          </cell>
          <cell r="G102">
            <v>117</v>
          </cell>
          <cell r="H102">
            <v>39827</v>
          </cell>
          <cell r="J102" t="str">
            <v>X</v>
          </cell>
          <cell r="K102" t="str">
            <v>MM</v>
          </cell>
        </row>
        <row r="103">
          <cell r="A103" t="str">
            <v>10Eth90N204</v>
          </cell>
          <cell r="B103" t="str">
            <v>10Eth90N2</v>
          </cell>
          <cell r="C103" t="str">
            <v>MFC-04</v>
          </cell>
          <cell r="D103">
            <v>8.7250784697689529E-2</v>
          </cell>
          <cell r="E103">
            <v>1.1322169562103332</v>
          </cell>
          <cell r="F103">
            <v>7.5</v>
          </cell>
          <cell r="G103">
            <v>117</v>
          </cell>
          <cell r="H103">
            <v>39827</v>
          </cell>
          <cell r="J103" t="str">
            <v>X</v>
          </cell>
          <cell r="K103" t="str">
            <v>MM</v>
          </cell>
        </row>
        <row r="104">
          <cell r="A104" t="str">
            <v>100Air05</v>
          </cell>
          <cell r="B104" t="str">
            <v>100Air</v>
          </cell>
          <cell r="C104" t="str">
            <v>MFC-05</v>
          </cell>
          <cell r="D104">
            <v>0.1240348625411149</v>
          </cell>
          <cell r="E104">
            <v>1.0488876869795674</v>
          </cell>
          <cell r="F104">
            <v>11</v>
          </cell>
          <cell r="G104">
            <v>100</v>
          </cell>
          <cell r="H104">
            <v>37665</v>
          </cell>
          <cell r="J104" t="str">
            <v>X</v>
          </cell>
          <cell r="K104" t="str">
            <v>SLM</v>
          </cell>
        </row>
        <row r="105">
          <cell r="A105" t="str">
            <v>100Eth05</v>
          </cell>
          <cell r="B105" t="str">
            <v>100Eth</v>
          </cell>
          <cell r="C105" t="str">
            <v>MFC-05</v>
          </cell>
          <cell r="D105">
            <v>0.14678878139253826</v>
          </cell>
          <cell r="E105">
            <v>1.11359932951077</v>
          </cell>
          <cell r="F105">
            <v>11</v>
          </cell>
          <cell r="G105">
            <v>100</v>
          </cell>
          <cell r="H105">
            <v>39620</v>
          </cell>
          <cell r="J105" t="str">
            <v>X</v>
          </cell>
          <cell r="K105" t="str">
            <v>RCL</v>
          </cell>
        </row>
        <row r="106">
          <cell r="A106" t="str">
            <v>100He05</v>
          </cell>
          <cell r="B106" t="str">
            <v>100He</v>
          </cell>
          <cell r="C106" t="str">
            <v>MFC-05</v>
          </cell>
          <cell r="D106">
            <v>4.4554666067215538E-2</v>
          </cell>
          <cell r="E106">
            <v>1.120379865626481</v>
          </cell>
          <cell r="F106">
            <v>11</v>
          </cell>
          <cell r="G106">
            <v>100</v>
          </cell>
          <cell r="H106">
            <v>39620</v>
          </cell>
          <cell r="J106" t="str">
            <v>X</v>
          </cell>
          <cell r="K106" t="str">
            <v>RCL</v>
          </cell>
        </row>
        <row r="107">
          <cell r="A107" t="str">
            <v>100N205</v>
          </cell>
          <cell r="B107" t="str">
            <v>100N2</v>
          </cell>
          <cell r="C107" t="str">
            <v>MFC-05</v>
          </cell>
          <cell r="D107">
            <v>6.2395892224571439E-2</v>
          </cell>
          <cell r="E107">
            <v>1.1288541340558766</v>
          </cell>
          <cell r="F107">
            <v>11</v>
          </cell>
          <cell r="G107">
            <v>100</v>
          </cell>
          <cell r="H107">
            <v>39620</v>
          </cell>
          <cell r="J107" t="str">
            <v>X</v>
          </cell>
          <cell r="K107" t="str">
            <v>RCL</v>
          </cell>
        </row>
        <row r="108">
          <cell r="A108" t="str">
            <v>10Eth90He05</v>
          </cell>
          <cell r="B108" t="str">
            <v>10Eth90He</v>
          </cell>
          <cell r="C108" t="str">
            <v>MFC-05</v>
          </cell>
          <cell r="D108">
            <v>5.0043357829653162E-2</v>
          </cell>
          <cell r="E108">
            <v>1.1350038255469796</v>
          </cell>
          <cell r="F108">
            <v>11</v>
          </cell>
          <cell r="G108">
            <v>100</v>
          </cell>
          <cell r="H108">
            <v>39620</v>
          </cell>
          <cell r="J108" t="str">
            <v>X</v>
          </cell>
          <cell r="K108" t="str">
            <v>RCL</v>
          </cell>
        </row>
        <row r="109">
          <cell r="A109" t="str">
            <v>10Eth90N205</v>
          </cell>
          <cell r="B109" t="str">
            <v>10Eth90N2</v>
          </cell>
          <cell r="C109" t="str">
            <v>MFC-05</v>
          </cell>
          <cell r="D109">
            <v>8.9165006047501744E-2</v>
          </cell>
          <cell r="E109">
            <v>1.0846911020884415</v>
          </cell>
          <cell r="F109">
            <v>11</v>
          </cell>
          <cell r="G109">
            <v>100</v>
          </cell>
          <cell r="H109">
            <v>39620</v>
          </cell>
          <cell r="J109" t="str">
            <v>X</v>
          </cell>
          <cell r="K109" t="str">
            <v>RCL</v>
          </cell>
        </row>
        <row r="110">
          <cell r="A110" t="str">
            <v>100Air06</v>
          </cell>
          <cell r="B110" t="str">
            <v>100Air</v>
          </cell>
          <cell r="C110" t="str">
            <v>MFC-06</v>
          </cell>
          <cell r="D110">
            <v>0.73958284085893555</v>
          </cell>
          <cell r="E110">
            <v>1.0241616154908448</v>
          </cell>
          <cell r="F110">
            <v>2</v>
          </cell>
          <cell r="G110">
            <v>100</v>
          </cell>
          <cell r="H110">
            <v>37127</v>
          </cell>
          <cell r="J110" t="str">
            <v>X</v>
          </cell>
          <cell r="K110" t="str">
            <v>SLM</v>
          </cell>
        </row>
        <row r="111">
          <cell r="A111" t="str">
            <v>100Eth06</v>
          </cell>
          <cell r="B111" t="str">
            <v>100Eth</v>
          </cell>
          <cell r="C111" t="str">
            <v>MFC-06</v>
          </cell>
          <cell r="D111">
            <v>1.5594509209818177</v>
          </cell>
          <cell r="E111">
            <v>1.0139653358865088</v>
          </cell>
          <cell r="F111">
            <v>2</v>
          </cell>
          <cell r="G111">
            <v>100</v>
          </cell>
          <cell r="H111">
            <v>39620</v>
          </cell>
          <cell r="J111" t="str">
            <v>X</v>
          </cell>
          <cell r="K111" t="str">
            <v>RCL</v>
          </cell>
        </row>
        <row r="112">
          <cell r="A112" t="str">
            <v>100He06</v>
          </cell>
          <cell r="B112" t="str">
            <v>100He</v>
          </cell>
          <cell r="C112" t="str">
            <v>MFC-06</v>
          </cell>
          <cell r="D112">
            <v>0.54821343357460617</v>
          </cell>
          <cell r="E112">
            <v>1.0046452472566461</v>
          </cell>
          <cell r="F112">
            <v>2</v>
          </cell>
          <cell r="G112">
            <v>100</v>
          </cell>
          <cell r="H112">
            <v>39620</v>
          </cell>
          <cell r="J112" t="str">
            <v>X</v>
          </cell>
          <cell r="K112" t="str">
            <v>RCL</v>
          </cell>
        </row>
        <row r="113">
          <cell r="A113" t="str">
            <v>100N206</v>
          </cell>
          <cell r="B113" t="str">
            <v>100N2</v>
          </cell>
          <cell r="C113" t="str">
            <v>MFC-06</v>
          </cell>
          <cell r="D113">
            <v>0.72380945213871961</v>
          </cell>
          <cell r="E113">
            <v>1.0272932889990762</v>
          </cell>
          <cell r="F113">
            <v>2</v>
          </cell>
          <cell r="G113">
            <v>100</v>
          </cell>
          <cell r="H113">
            <v>39620</v>
          </cell>
          <cell r="J113" t="str">
            <v>X</v>
          </cell>
          <cell r="K113" t="str">
            <v>RCL</v>
          </cell>
        </row>
        <row r="114">
          <cell r="A114" t="str">
            <v>10Eth90He06</v>
          </cell>
          <cell r="B114" t="str">
            <v>10Eth90He</v>
          </cell>
          <cell r="C114" t="str">
            <v>MFC-06</v>
          </cell>
          <cell r="D114">
            <v>0.64789010403619107</v>
          </cell>
          <cell r="E114">
            <v>1.0084052973247755</v>
          </cell>
          <cell r="F114">
            <v>2</v>
          </cell>
          <cell r="G114">
            <v>100</v>
          </cell>
          <cell r="H114">
            <v>39620</v>
          </cell>
          <cell r="J114" t="str">
            <v>X</v>
          </cell>
          <cell r="K114" t="str">
            <v>RCL</v>
          </cell>
        </row>
        <row r="115">
          <cell r="A115" t="str">
            <v>10Eth90N206</v>
          </cell>
          <cell r="B115" t="str">
            <v>10Eth90N2</v>
          </cell>
          <cell r="C115" t="str">
            <v>MFC-06</v>
          </cell>
          <cell r="D115">
            <v>0.82495192618554081</v>
          </cell>
          <cell r="E115">
            <v>1.0183650237494375</v>
          </cell>
          <cell r="F115">
            <v>2</v>
          </cell>
          <cell r="G115">
            <v>100</v>
          </cell>
          <cell r="H115">
            <v>39620</v>
          </cell>
          <cell r="J115" t="str">
            <v>X</v>
          </cell>
          <cell r="K115" t="str">
            <v>RCL</v>
          </cell>
        </row>
        <row r="116">
          <cell r="A116" t="str">
            <v>100AirTELE</v>
          </cell>
          <cell r="B116" t="str">
            <v>100AirTE</v>
          </cell>
          <cell r="C116" t="str">
            <v>Teledyne</v>
          </cell>
          <cell r="D116">
            <v>6.2225967984791256E-2</v>
          </cell>
          <cell r="E116">
            <v>0.99382374148137775</v>
          </cell>
          <cell r="F116">
            <v>1</v>
          </cell>
          <cell r="G116">
            <v>100</v>
          </cell>
          <cell r="H116">
            <v>39259</v>
          </cell>
          <cell r="J116" t="str">
            <v>X</v>
          </cell>
          <cell r="K116" t="str">
            <v>Factory</v>
          </cell>
        </row>
        <row r="117">
          <cell r="A117"/>
          <cell r="B117"/>
          <cell r="C117"/>
          <cell r="D117"/>
          <cell r="E117"/>
          <cell r="F117"/>
          <cell r="G117"/>
        </row>
        <row r="118">
          <cell r="A118"/>
          <cell r="B118"/>
          <cell r="C118"/>
          <cell r="D118"/>
          <cell r="E118"/>
          <cell r="F118"/>
          <cell r="G118"/>
        </row>
        <row r="119">
          <cell r="A119"/>
          <cell r="B119"/>
          <cell r="C119"/>
          <cell r="D119"/>
          <cell r="E119"/>
          <cell r="F119"/>
          <cell r="G119"/>
        </row>
        <row r="120">
          <cell r="A120"/>
          <cell r="B120"/>
          <cell r="C120"/>
          <cell r="D120"/>
          <cell r="E120"/>
          <cell r="F120"/>
          <cell r="G120"/>
        </row>
        <row r="121">
          <cell r="A121"/>
          <cell r="B121"/>
          <cell r="C121"/>
          <cell r="D121"/>
          <cell r="E121"/>
          <cell r="F121"/>
          <cell r="G121"/>
        </row>
        <row r="123">
          <cell r="A123"/>
          <cell r="B123"/>
          <cell r="C123"/>
          <cell r="D123"/>
          <cell r="E123"/>
          <cell r="F123"/>
          <cell r="G123"/>
        </row>
        <row r="124">
          <cell r="A124"/>
          <cell r="B124"/>
          <cell r="C124"/>
          <cell r="D124"/>
          <cell r="E124"/>
          <cell r="F124"/>
          <cell r="G124"/>
        </row>
        <row r="125">
          <cell r="A125"/>
          <cell r="B125"/>
          <cell r="C125"/>
          <cell r="D125"/>
          <cell r="E125"/>
          <cell r="F125"/>
          <cell r="G125"/>
        </row>
        <row r="127">
          <cell r="A127"/>
          <cell r="B127"/>
          <cell r="C127"/>
          <cell r="D127"/>
          <cell r="E127"/>
          <cell r="F127"/>
          <cell r="G127"/>
        </row>
        <row r="129">
          <cell r="A129"/>
          <cell r="B129"/>
          <cell r="C129"/>
          <cell r="D129"/>
          <cell r="E129"/>
          <cell r="F129"/>
          <cell r="G129"/>
        </row>
        <row r="130">
          <cell r="A130"/>
          <cell r="B130"/>
          <cell r="C130"/>
          <cell r="D130"/>
          <cell r="E130"/>
          <cell r="F130"/>
          <cell r="G130"/>
        </row>
        <row r="131">
          <cell r="A131"/>
          <cell r="B131"/>
          <cell r="C131"/>
          <cell r="D131"/>
          <cell r="E131"/>
          <cell r="F131"/>
          <cell r="G131"/>
        </row>
        <row r="132">
          <cell r="A132"/>
          <cell r="B132"/>
          <cell r="C132"/>
          <cell r="D132"/>
          <cell r="E132"/>
          <cell r="F132"/>
          <cell r="G132"/>
        </row>
        <row r="134">
          <cell r="A134"/>
          <cell r="B134"/>
          <cell r="C134"/>
          <cell r="D134"/>
          <cell r="E134"/>
          <cell r="F134"/>
          <cell r="G134"/>
        </row>
        <row r="135">
          <cell r="A135"/>
          <cell r="B135"/>
          <cell r="C135"/>
          <cell r="D135"/>
          <cell r="E135"/>
          <cell r="F135"/>
          <cell r="G135"/>
        </row>
        <row r="136">
          <cell r="A136"/>
          <cell r="B136"/>
          <cell r="C136"/>
          <cell r="D136"/>
          <cell r="E136"/>
          <cell r="F136"/>
          <cell r="G136"/>
        </row>
        <row r="137">
          <cell r="A137"/>
          <cell r="B137"/>
          <cell r="C137"/>
          <cell r="D137"/>
          <cell r="E137"/>
          <cell r="F137"/>
          <cell r="G137"/>
        </row>
        <row r="140">
          <cell r="A140"/>
          <cell r="F140"/>
          <cell r="G140"/>
        </row>
        <row r="141">
          <cell r="A141"/>
        </row>
        <row r="142">
          <cell r="A142"/>
        </row>
        <row r="143">
          <cell r="A143"/>
        </row>
        <row r="144">
          <cell r="A144"/>
        </row>
        <row r="145">
          <cell r="A145"/>
        </row>
        <row r="146">
          <cell r="A146"/>
        </row>
        <row r="147">
          <cell r="A147"/>
        </row>
        <row r="148">
          <cell r="A148"/>
        </row>
        <row r="149">
          <cell r="A149"/>
        </row>
        <row r="150">
          <cell r="A150"/>
        </row>
        <row r="151">
          <cell r="A151"/>
        </row>
        <row r="152">
          <cell r="A152"/>
        </row>
        <row r="153">
          <cell r="A153"/>
        </row>
        <row r="154">
          <cell r="A154"/>
        </row>
        <row r="155">
          <cell r="A155"/>
        </row>
        <row r="156">
          <cell r="A156"/>
        </row>
        <row r="157">
          <cell r="A157"/>
        </row>
        <row r="158">
          <cell r="A158"/>
        </row>
        <row r="159">
          <cell r="A159"/>
        </row>
        <row r="160">
          <cell r="A160"/>
        </row>
        <row r="161">
          <cell r="A161"/>
        </row>
        <row r="162">
          <cell r="A162"/>
        </row>
        <row r="163">
          <cell r="A163"/>
        </row>
        <row r="164">
          <cell r="A164"/>
        </row>
        <row r="165">
          <cell r="A165"/>
        </row>
        <row r="166">
          <cell r="A166"/>
        </row>
        <row r="167">
          <cell r="A167"/>
        </row>
        <row r="168">
          <cell r="A168"/>
        </row>
        <row r="169">
          <cell r="A169"/>
        </row>
        <row r="170">
          <cell r="A170"/>
        </row>
        <row r="171">
          <cell r="A171"/>
        </row>
        <row r="172">
          <cell r="A172"/>
        </row>
        <row r="173">
          <cell r="A173"/>
        </row>
        <row r="174">
          <cell r="A174"/>
        </row>
        <row r="175">
          <cell r="A175"/>
        </row>
        <row r="176">
          <cell r="A176"/>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Log"/>
      <sheetName val="Stack Summary"/>
      <sheetName val="QA"/>
      <sheetName val="1% Wind"/>
      <sheetName val="Receptors"/>
      <sheetName val="Design Criteria Summary"/>
      <sheetName val="Test Plan &amp; Results"/>
      <sheetName val="data fits"/>
      <sheetName val="interpolation BSL2"/>
      <sheetName val="Combustion Criteria"/>
      <sheetName val="Dilution Criteria"/>
      <sheetName val="Isolation Criteria"/>
      <sheetName val="FireCriteria"/>
      <sheetName val="EtoCriteria"/>
      <sheetName val="RTP.inp"/>
      <sheetName val="PaintBoothCriteria"/>
      <sheetName val="Flow Settings"/>
      <sheetName val="Flow Vis Settings"/>
      <sheetName val="Air Intake Flow Settings"/>
      <sheetName val="Flow Input File"/>
      <sheetName val="Flow Cal Input File"/>
      <sheetName val="Results Summary ISO"/>
      <sheetName val="Results Summary OSHA"/>
      <sheetName val="Results Summary Multiple"/>
      <sheetName val="Vis Plan WT2&amp;3"/>
      <sheetName val="Probabilities"/>
      <sheetName val="Video Script"/>
      <sheetName val="Sample Calcs"/>
      <sheetName val="AA"/>
      <sheetName val="AB"/>
      <sheetName val="AC"/>
      <sheetName val="AD"/>
      <sheetName val="AE"/>
      <sheetName val="AF"/>
      <sheetName val="AG"/>
      <sheetName val="AH"/>
      <sheetName val="AI"/>
      <sheetName val="AJ"/>
      <sheetName val="AK"/>
      <sheetName val="AL"/>
      <sheetName val="BA"/>
      <sheetName val="BB"/>
      <sheetName val="BC"/>
      <sheetName val="BD"/>
      <sheetName val="BE"/>
      <sheetName val="BF"/>
      <sheetName val="BG"/>
      <sheetName val="BH"/>
      <sheetName val="BI"/>
      <sheetName val="BJ"/>
      <sheetName val="BK"/>
      <sheetName val="BL"/>
      <sheetName val="BM"/>
      <sheetName val="BN"/>
      <sheetName val="CA"/>
      <sheetName val="DA"/>
      <sheetName val="1"/>
      <sheetName val="2"/>
      <sheetName val="3"/>
      <sheetName val="4"/>
      <sheetName val="5"/>
      <sheetName val="6"/>
      <sheetName val="7"/>
      <sheetName val="8"/>
      <sheetName val="9"/>
      <sheetName val="10"/>
      <sheetName val="Brass and Gas"/>
      <sheetName val="fit and interpolation"/>
    </sheetNames>
    <sheetDataSet>
      <sheetData sheetId="0"/>
      <sheetData sheetId="1"/>
      <sheetData sheetId="2"/>
      <sheetData sheetId="3"/>
      <sheetData sheetId="4"/>
      <sheetData sheetId="5"/>
      <sheetData sheetId="6">
        <row r="21">
          <cell r="U21">
            <v>200</v>
          </cell>
          <cell r="V21">
            <v>400</v>
          </cell>
        </row>
        <row r="22">
          <cell r="U22">
            <v>200</v>
          </cell>
          <cell r="V22">
            <v>400</v>
          </cell>
        </row>
        <row r="23">
          <cell r="U23">
            <v>200</v>
          </cell>
          <cell r="V23">
            <v>400</v>
          </cell>
        </row>
        <row r="24">
          <cell r="U24">
            <v>200</v>
          </cell>
          <cell r="V24">
            <v>400</v>
          </cell>
        </row>
        <row r="25">
          <cell r="U25">
            <v>200</v>
          </cell>
          <cell r="V25">
            <v>400</v>
          </cell>
        </row>
        <row r="26">
          <cell r="U26">
            <v>200</v>
          </cell>
          <cell r="V26">
            <v>400</v>
          </cell>
        </row>
        <row r="27">
          <cell r="U27">
            <v>200</v>
          </cell>
          <cell r="V27">
            <v>400</v>
          </cell>
        </row>
        <row r="28">
          <cell r="U28">
            <v>0</v>
          </cell>
          <cell r="V28">
            <v>0</v>
          </cell>
        </row>
        <row r="29">
          <cell r="U29">
            <v>200</v>
          </cell>
          <cell r="V29">
            <v>400</v>
          </cell>
        </row>
        <row r="30">
          <cell r="U30">
            <v>200</v>
          </cell>
          <cell r="V30">
            <v>400</v>
          </cell>
        </row>
        <row r="31">
          <cell r="U31">
            <v>200</v>
          </cell>
          <cell r="V31">
            <v>400</v>
          </cell>
        </row>
        <row r="32">
          <cell r="U32">
            <v>0</v>
          </cell>
          <cell r="V32">
            <v>0</v>
          </cell>
        </row>
        <row r="33">
          <cell r="U33">
            <v>200</v>
          </cell>
          <cell r="V33">
            <v>400</v>
          </cell>
        </row>
        <row r="34">
          <cell r="U34">
            <v>0</v>
          </cell>
          <cell r="V34">
            <v>0</v>
          </cell>
        </row>
        <row r="35">
          <cell r="U35">
            <v>0</v>
          </cell>
          <cell r="V35">
            <v>0</v>
          </cell>
        </row>
        <row r="36">
          <cell r="U36">
            <v>0</v>
          </cell>
          <cell r="V36">
            <v>0</v>
          </cell>
        </row>
        <row r="37">
          <cell r="U37">
            <v>0</v>
          </cell>
          <cell r="V37">
            <v>0</v>
          </cell>
        </row>
        <row r="38">
          <cell r="U38">
            <v>0</v>
          </cell>
          <cell r="V38">
            <v>0</v>
          </cell>
        </row>
        <row r="39">
          <cell r="U39">
            <v>200</v>
          </cell>
          <cell r="V39">
            <v>400</v>
          </cell>
        </row>
        <row r="40">
          <cell r="U40">
            <v>200</v>
          </cell>
          <cell r="V40">
            <v>400</v>
          </cell>
        </row>
        <row r="41">
          <cell r="U41">
            <v>0</v>
          </cell>
          <cell r="V41">
            <v>0</v>
          </cell>
        </row>
        <row r="42">
          <cell r="U42">
            <v>0</v>
          </cell>
          <cell r="V42">
            <v>0</v>
          </cell>
        </row>
        <row r="43">
          <cell r="U43">
            <v>0</v>
          </cell>
          <cell r="V43">
            <v>0</v>
          </cell>
        </row>
        <row r="44">
          <cell r="U44">
            <v>0</v>
          </cell>
          <cell r="V44">
            <v>0</v>
          </cell>
        </row>
        <row r="45">
          <cell r="U45">
            <v>0</v>
          </cell>
          <cell r="V45">
            <v>0</v>
          </cell>
        </row>
        <row r="46">
          <cell r="U46">
            <v>200</v>
          </cell>
          <cell r="V46">
            <v>400</v>
          </cell>
        </row>
        <row r="47">
          <cell r="U47">
            <v>200</v>
          </cell>
          <cell r="V47">
            <v>400</v>
          </cell>
        </row>
        <row r="48">
          <cell r="U48">
            <v>0</v>
          </cell>
          <cell r="V48">
            <v>0</v>
          </cell>
        </row>
        <row r="49">
          <cell r="U49">
            <v>0</v>
          </cell>
          <cell r="V49">
            <v>0</v>
          </cell>
        </row>
        <row r="50">
          <cell r="U50">
            <v>0</v>
          </cell>
          <cell r="V50">
            <v>0</v>
          </cell>
        </row>
        <row r="51">
          <cell r="U51">
            <v>0</v>
          </cell>
          <cell r="V51">
            <v>0</v>
          </cell>
        </row>
        <row r="52">
          <cell r="U52">
            <v>0</v>
          </cell>
          <cell r="V52">
            <v>0</v>
          </cell>
        </row>
        <row r="53">
          <cell r="U53">
            <v>200</v>
          </cell>
          <cell r="V53">
            <v>400</v>
          </cell>
        </row>
        <row r="54">
          <cell r="U54">
            <v>200</v>
          </cell>
          <cell r="V54">
            <v>400</v>
          </cell>
        </row>
        <row r="55">
          <cell r="U55">
            <v>200</v>
          </cell>
          <cell r="V55">
            <v>400</v>
          </cell>
        </row>
        <row r="56">
          <cell r="U56">
            <v>200</v>
          </cell>
          <cell r="V56">
            <v>400</v>
          </cell>
        </row>
        <row r="57">
          <cell r="U57">
            <v>200</v>
          </cell>
          <cell r="V57">
            <v>400</v>
          </cell>
        </row>
        <row r="58">
          <cell r="U58">
            <v>200</v>
          </cell>
          <cell r="V58">
            <v>400</v>
          </cell>
        </row>
        <row r="59">
          <cell r="U59">
            <v>200</v>
          </cell>
          <cell r="V59">
            <v>400</v>
          </cell>
        </row>
        <row r="60">
          <cell r="U60">
            <v>200</v>
          </cell>
          <cell r="V60">
            <v>400</v>
          </cell>
        </row>
        <row r="61">
          <cell r="U61">
            <v>200</v>
          </cell>
          <cell r="V61">
            <v>400</v>
          </cell>
        </row>
        <row r="62">
          <cell r="U62">
            <v>200</v>
          </cell>
          <cell r="V62">
            <v>400</v>
          </cell>
        </row>
        <row r="63">
          <cell r="U63">
            <v>200</v>
          </cell>
          <cell r="V63">
            <v>400</v>
          </cell>
        </row>
        <row r="64">
          <cell r="U64">
            <v>200</v>
          </cell>
          <cell r="V64">
            <v>400</v>
          </cell>
        </row>
        <row r="65">
          <cell r="U65">
            <v>200</v>
          </cell>
          <cell r="V65">
            <v>400</v>
          </cell>
        </row>
        <row r="66">
          <cell r="U66">
            <v>200</v>
          </cell>
          <cell r="V66">
            <v>400</v>
          </cell>
        </row>
        <row r="67">
          <cell r="U67">
            <v>0</v>
          </cell>
          <cell r="V67">
            <v>0</v>
          </cell>
        </row>
        <row r="68">
          <cell r="U68">
            <v>200</v>
          </cell>
          <cell r="V68">
            <v>400</v>
          </cell>
        </row>
        <row r="69">
          <cell r="U69">
            <v>200</v>
          </cell>
          <cell r="V69">
            <v>400</v>
          </cell>
        </row>
        <row r="70">
          <cell r="U70">
            <v>200</v>
          </cell>
          <cell r="V70">
            <v>400</v>
          </cell>
        </row>
        <row r="71">
          <cell r="U71">
            <v>0</v>
          </cell>
          <cell r="V71">
            <v>0</v>
          </cell>
        </row>
        <row r="72">
          <cell r="U72">
            <v>200</v>
          </cell>
          <cell r="V72">
            <v>400</v>
          </cell>
        </row>
        <row r="73">
          <cell r="U73">
            <v>0</v>
          </cell>
          <cell r="V73">
            <v>0</v>
          </cell>
        </row>
        <row r="74">
          <cell r="U74">
            <v>0</v>
          </cell>
          <cell r="V74">
            <v>0</v>
          </cell>
        </row>
        <row r="75">
          <cell r="U75">
            <v>0</v>
          </cell>
          <cell r="V75">
            <v>0</v>
          </cell>
        </row>
        <row r="76">
          <cell r="U76">
            <v>0</v>
          </cell>
          <cell r="V76">
            <v>0</v>
          </cell>
        </row>
        <row r="77">
          <cell r="U77">
            <v>0</v>
          </cell>
          <cell r="V77">
            <v>0</v>
          </cell>
        </row>
        <row r="78">
          <cell r="U78">
            <v>200</v>
          </cell>
          <cell r="V78">
            <v>400</v>
          </cell>
        </row>
        <row r="79">
          <cell r="U79">
            <v>200</v>
          </cell>
          <cell r="V79">
            <v>400</v>
          </cell>
        </row>
        <row r="80">
          <cell r="U80">
            <v>200</v>
          </cell>
          <cell r="V80">
            <v>400</v>
          </cell>
        </row>
        <row r="81">
          <cell r="U81">
            <v>0</v>
          </cell>
          <cell r="V81">
            <v>0</v>
          </cell>
        </row>
        <row r="82">
          <cell r="U82">
            <v>200</v>
          </cell>
          <cell r="V82">
            <v>400</v>
          </cell>
        </row>
        <row r="83">
          <cell r="U83">
            <v>0</v>
          </cell>
          <cell r="V83">
            <v>0</v>
          </cell>
        </row>
        <row r="84">
          <cell r="U84">
            <v>0</v>
          </cell>
          <cell r="V84">
            <v>0</v>
          </cell>
        </row>
        <row r="85">
          <cell r="U85">
            <v>0</v>
          </cell>
          <cell r="V85">
            <v>0</v>
          </cell>
        </row>
        <row r="86">
          <cell r="U86">
            <v>0</v>
          </cell>
          <cell r="V86">
            <v>0</v>
          </cell>
        </row>
        <row r="87">
          <cell r="U87">
            <v>2849.7360274827106</v>
          </cell>
          <cell r="V87">
            <v>28497.360274827104</v>
          </cell>
        </row>
        <row r="88">
          <cell r="U88">
            <v>2849.7360274827106</v>
          </cell>
          <cell r="V88">
            <v>28497.360274827104</v>
          </cell>
        </row>
        <row r="89">
          <cell r="U89">
            <v>2849.7360274827106</v>
          </cell>
          <cell r="V89">
            <v>28497.360274827104</v>
          </cell>
        </row>
        <row r="90">
          <cell r="U90">
            <v>2849.7360274827106</v>
          </cell>
          <cell r="V90">
            <v>28497.360274827104</v>
          </cell>
        </row>
        <row r="91">
          <cell r="U91">
            <v>2849.7360274827106</v>
          </cell>
          <cell r="V91">
            <v>28497.360274827104</v>
          </cell>
        </row>
        <row r="92">
          <cell r="U92">
            <v>0</v>
          </cell>
          <cell r="V92">
            <v>0</v>
          </cell>
        </row>
        <row r="93">
          <cell r="U93">
            <v>0</v>
          </cell>
          <cell r="V93">
            <v>0</v>
          </cell>
        </row>
        <row r="94">
          <cell r="U94">
            <v>0</v>
          </cell>
          <cell r="V94">
            <v>0</v>
          </cell>
        </row>
        <row r="95">
          <cell r="U95">
            <v>0</v>
          </cell>
          <cell r="V95">
            <v>0</v>
          </cell>
        </row>
        <row r="96">
          <cell r="U96">
            <v>2849.7360274827106</v>
          </cell>
          <cell r="V96">
            <v>28497.360274827104</v>
          </cell>
        </row>
        <row r="97">
          <cell r="U97">
            <v>2849.7360274827106</v>
          </cell>
          <cell r="V97">
            <v>28497.360274827104</v>
          </cell>
        </row>
        <row r="98">
          <cell r="U98">
            <v>0</v>
          </cell>
          <cell r="V98">
            <v>0</v>
          </cell>
        </row>
        <row r="99">
          <cell r="U99">
            <v>0</v>
          </cell>
          <cell r="V99">
            <v>0</v>
          </cell>
        </row>
        <row r="100">
          <cell r="U100">
            <v>0</v>
          </cell>
          <cell r="V100">
            <v>0</v>
          </cell>
        </row>
        <row r="101">
          <cell r="U101">
            <v>0</v>
          </cell>
          <cell r="V101">
            <v>0</v>
          </cell>
        </row>
        <row r="102">
          <cell r="U102">
            <v>43.726830235439884</v>
          </cell>
          <cell r="V102">
            <v>4721.311475409836</v>
          </cell>
        </row>
        <row r="103">
          <cell r="U103">
            <v>43.726830235439884</v>
          </cell>
          <cell r="V103">
            <v>4721.311475409836</v>
          </cell>
        </row>
        <row r="104">
          <cell r="U104">
            <v>43.726830235439884</v>
          </cell>
          <cell r="V104">
            <v>4721.311475409836</v>
          </cell>
        </row>
        <row r="105">
          <cell r="U105">
            <v>43.726830235439884</v>
          </cell>
          <cell r="V105">
            <v>4721.311475409836</v>
          </cell>
        </row>
        <row r="106">
          <cell r="U106">
            <v>43.726830235439884</v>
          </cell>
          <cell r="V106">
            <v>4721.311475409836</v>
          </cell>
        </row>
        <row r="107">
          <cell r="U107">
            <v>43.726830235439884</v>
          </cell>
          <cell r="V107">
            <v>4721.311475409836</v>
          </cell>
        </row>
        <row r="108">
          <cell r="U108">
            <v>0</v>
          </cell>
          <cell r="V108">
            <v>0</v>
          </cell>
        </row>
        <row r="109">
          <cell r="U109">
            <v>0</v>
          </cell>
          <cell r="V109">
            <v>0</v>
          </cell>
        </row>
        <row r="110">
          <cell r="U110">
            <v>0</v>
          </cell>
          <cell r="V110">
            <v>0</v>
          </cell>
        </row>
        <row r="111">
          <cell r="U111">
            <v>0</v>
          </cell>
          <cell r="V111">
            <v>0</v>
          </cell>
        </row>
        <row r="112">
          <cell r="U112">
            <v>43.726830235439884</v>
          </cell>
          <cell r="V112">
            <v>4721.311475409836</v>
          </cell>
        </row>
        <row r="113">
          <cell r="U113">
            <v>43.726830235439884</v>
          </cell>
          <cell r="V113">
            <v>4721.311475409836</v>
          </cell>
        </row>
        <row r="114">
          <cell r="U114">
            <v>43.726830235439884</v>
          </cell>
          <cell r="V114">
            <v>4721.311475409836</v>
          </cell>
        </row>
        <row r="115">
          <cell r="U115">
            <v>0</v>
          </cell>
          <cell r="V115">
            <v>0</v>
          </cell>
        </row>
        <row r="116">
          <cell r="U116">
            <v>0</v>
          </cell>
          <cell r="V116">
            <v>0</v>
          </cell>
        </row>
        <row r="117">
          <cell r="U117">
            <v>0</v>
          </cell>
          <cell r="V117">
            <v>0</v>
          </cell>
        </row>
        <row r="118">
          <cell r="U118">
            <v>0</v>
          </cell>
          <cell r="V118">
            <v>0</v>
          </cell>
        </row>
        <row r="119">
          <cell r="U119">
            <v>0</v>
          </cell>
          <cell r="V119">
            <v>0</v>
          </cell>
        </row>
        <row r="120">
          <cell r="U120">
            <v>200</v>
          </cell>
          <cell r="V120">
            <v>400</v>
          </cell>
        </row>
        <row r="121">
          <cell r="U121">
            <v>200</v>
          </cell>
          <cell r="V121">
            <v>400</v>
          </cell>
        </row>
        <row r="122">
          <cell r="U122">
            <v>200</v>
          </cell>
          <cell r="V122">
            <v>400</v>
          </cell>
        </row>
        <row r="123">
          <cell r="U123">
            <v>0</v>
          </cell>
          <cell r="V123">
            <v>0</v>
          </cell>
        </row>
        <row r="124">
          <cell r="U124">
            <v>0</v>
          </cell>
          <cell r="V124">
            <v>0</v>
          </cell>
        </row>
        <row r="125">
          <cell r="U125">
            <v>0</v>
          </cell>
          <cell r="V125">
            <v>0</v>
          </cell>
        </row>
        <row r="126">
          <cell r="U126">
            <v>0</v>
          </cell>
          <cell r="V126">
            <v>0</v>
          </cell>
        </row>
        <row r="127">
          <cell r="U127">
            <v>200</v>
          </cell>
          <cell r="V127">
            <v>400</v>
          </cell>
        </row>
        <row r="128">
          <cell r="U128">
            <v>200</v>
          </cell>
          <cell r="V128">
            <v>400</v>
          </cell>
        </row>
        <row r="129">
          <cell r="U129">
            <v>200</v>
          </cell>
          <cell r="V129">
            <v>400</v>
          </cell>
        </row>
        <row r="130">
          <cell r="U130">
            <v>0</v>
          </cell>
          <cell r="V130">
            <v>0</v>
          </cell>
        </row>
        <row r="131">
          <cell r="U131">
            <v>0</v>
          </cell>
          <cell r="V131">
            <v>0</v>
          </cell>
        </row>
        <row r="132">
          <cell r="U132">
            <v>0</v>
          </cell>
          <cell r="V132">
            <v>0</v>
          </cell>
        </row>
        <row r="133">
          <cell r="U133">
            <v>0</v>
          </cell>
          <cell r="V133">
            <v>0</v>
          </cell>
        </row>
        <row r="134">
          <cell r="U134">
            <v>200</v>
          </cell>
          <cell r="V134">
            <v>400</v>
          </cell>
        </row>
        <row r="135">
          <cell r="U135">
            <v>200</v>
          </cell>
          <cell r="V135">
            <v>400</v>
          </cell>
        </row>
        <row r="136">
          <cell r="U136">
            <v>200</v>
          </cell>
          <cell r="V136">
            <v>400</v>
          </cell>
        </row>
        <row r="137">
          <cell r="U137">
            <v>0</v>
          </cell>
          <cell r="V137">
            <v>0</v>
          </cell>
        </row>
        <row r="138">
          <cell r="U138">
            <v>0</v>
          </cell>
          <cell r="V138">
            <v>0</v>
          </cell>
        </row>
      </sheetData>
      <sheetData sheetId="7"/>
      <sheetData sheetId="8">
        <row r="37">
          <cell r="M37">
            <v>0</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Log"/>
      <sheetName val="Instructions"/>
      <sheetName val="ProjectDescription"/>
      <sheetName val="Scope of Work"/>
      <sheetName val="SiteAnemModelParam"/>
      <sheetName val="Notebook Labels"/>
      <sheetName val="Updates"/>
      <sheetName val="7463 ProjectBookmarks_v12_01-1"/>
    </sheetNames>
    <sheetDataSet>
      <sheetData sheetId="0"/>
      <sheetData sheetId="1"/>
      <sheetData sheetId="2">
        <row r="6">
          <cell r="C6" t="str">
            <v>ABL</v>
          </cell>
        </row>
        <row r="9">
          <cell r="C9" t="str">
            <v>Schlumberger</v>
          </cell>
        </row>
      </sheetData>
      <sheetData sheetId="3"/>
      <sheetData sheetId="4">
        <row r="8">
          <cell r="C8">
            <v>100</v>
          </cell>
        </row>
      </sheetData>
      <sheetData sheetId="5"/>
      <sheetData sheetId="6"/>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Log"/>
      <sheetName val="Instructions"/>
      <sheetName val="ProjectDescription"/>
      <sheetName val="Scope of Work"/>
      <sheetName val="SiteAnemModelParam"/>
      <sheetName val="Notebook Labels"/>
      <sheetName val="Updates"/>
      <sheetName val="15141_ProjectBookmarks_v12_01-1"/>
    </sheetNames>
    <definedNames>
      <definedName name="xlsAmbientTemperatureModeC" refersTo="='SiteAnemModelParam'!$C$31"/>
      <definedName name="xlsAmbientTemperatureSiteF" refersTo="='SiteAnemModelParam'!$C$10"/>
      <definedName name="xlsAQWindTunnel" refersTo="='ProjectDescription'!$C$37"/>
      <definedName name="xlsBuildingTerrainFlag" refersTo="='SiteAnemModelParam'!$C$18"/>
      <definedName name="xlsHeightGradeModel" refersTo="='SiteAnemModelParam'!$C$30"/>
      <definedName name="xlsHeightGradeSite" refersTo="='SiteAnemModelParam'!$C$8"/>
      <definedName name="xlsHeightGradientSite" refersTo="='SiteAnemModelParam'!$C$13"/>
      <definedName name="xlsHeightProjectAnemometer" refersTo="='SiteAnemModelParam'!$C$22"/>
      <definedName name="xlsOnePercentWS" refersTo="='SiteAnemModelParam'!$C$26"/>
      <definedName name="xlsProjectAnemometer" refersTo="='SiteAnemModelParam'!$C$21"/>
      <definedName name="xlsProjectAnemometerRecord" refersTo="='SiteAnemModelParam'!$C$24"/>
      <definedName name="xlsProjectEngineer" refersTo="='ProjectDescription'!$C$7"/>
      <definedName name="xlsProjectManager" refersTo="='ProjectDescription'!$C$6"/>
      <definedName name="xlsProjectName1" refersTo="='ProjectDescription'!$C$9"/>
      <definedName name="xlsProjectName2" refersTo="='ProjectDescription'!$C$10"/>
      <definedName name="xlsProjectNumber" refersTo="='ProjectDescription'!$C$11"/>
      <definedName name="xlsRoughnessAnemometer" refersTo="='SiteAnemModelParam'!$C$23"/>
      <definedName name="xlsRoughnessSite" refersTo="='SiteAnemModelParam'!$C$11"/>
      <definedName name="xlsScale" refersTo="='ProjectDescription'!$C$39"/>
      <definedName name="xlsTypicalBuildingHeightSite" refersTo="='SiteAnemModelParam'!$C$9"/>
    </definedNames>
    <sheetDataSet>
      <sheetData sheetId="0"/>
      <sheetData sheetId="1"/>
      <sheetData sheetId="2">
        <row r="6">
          <cell r="C6" t="str">
            <v>initials</v>
          </cell>
        </row>
        <row r="7">
          <cell r="C7" t="str">
            <v>initials</v>
          </cell>
        </row>
        <row r="9">
          <cell r="C9" t="str">
            <v>Project Name 1</v>
          </cell>
        </row>
        <row r="10">
          <cell r="C10" t="str">
            <v>Project Name 2</v>
          </cell>
        </row>
        <row r="11">
          <cell r="C11" t="str">
            <v>Project Number</v>
          </cell>
        </row>
        <row r="37">
          <cell r="C37" t="str">
            <v>WT?</v>
          </cell>
        </row>
        <row r="39">
          <cell r="C39" t="str">
            <v>scale</v>
          </cell>
        </row>
      </sheetData>
      <sheetData sheetId="3"/>
      <sheetData sheetId="4">
        <row r="8">
          <cell r="C8" t="str">
            <v>grade elevation</v>
          </cell>
        </row>
        <row r="9">
          <cell r="C9" t="str">
            <v>typical building</v>
          </cell>
        </row>
        <row r="10">
          <cell r="C10" t="str">
            <v>ambient T</v>
          </cell>
        </row>
        <row r="11">
          <cell r="C11" t="str">
            <v>z0</v>
          </cell>
        </row>
        <row r="13">
          <cell r="C13" t="str">
            <v>Gradient Height</v>
          </cell>
        </row>
        <row r="18">
          <cell r="C18">
            <v>1</v>
          </cell>
        </row>
        <row r="21">
          <cell r="C21" t="str">
            <v>Project Anemometer</v>
          </cell>
        </row>
        <row r="22">
          <cell r="C22" t="str">
            <v>Anemometer Height</v>
          </cell>
        </row>
        <row r="23">
          <cell r="C23">
            <v>0.03</v>
          </cell>
        </row>
        <row r="24">
          <cell r="C24" t="str">
            <v>date range</v>
          </cell>
        </row>
        <row r="26">
          <cell r="C26" t="str">
            <v>1% Wind</v>
          </cell>
        </row>
        <row r="30">
          <cell r="C30">
            <v>5000</v>
          </cell>
        </row>
        <row r="31">
          <cell r="C31">
            <v>20</v>
          </cell>
        </row>
      </sheetData>
      <sheetData sheetId="5"/>
      <sheetData sheetId="6"/>
      <sheetData sheetId="7"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ampa" growShrinkType="overwriteClear" preserveFormatting="0" adjustColumnWidth="0" connectionId="2" xr16:uid="{00000000-0016-0000-03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6668probs" connectionId="1" xr16:uid="{00000000-0016-0000-09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6.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25.bin"/><Relationship Id="rId4" Type="http://schemas.openxmlformats.org/officeDocument/2006/relationships/comments" Target="../comments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28.bin"/><Relationship Id="rId4" Type="http://schemas.openxmlformats.org/officeDocument/2006/relationships/comments" Target="../comments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B5:F162"/>
  <sheetViews>
    <sheetView tabSelected="1" topLeftCell="A141" zoomScale="75" workbookViewId="0">
      <selection activeCell="Q162" sqref="Q162"/>
    </sheetView>
  </sheetViews>
  <sheetFormatPr defaultRowHeight="15.75"/>
  <cols>
    <col min="2" max="2" width="12.5" style="725" bestFit="1" customWidth="1"/>
    <col min="3" max="3" width="10.25" style="725" customWidth="1"/>
  </cols>
  <sheetData>
    <row r="5" spans="2:5">
      <c r="B5" s="724" t="s">
        <v>887</v>
      </c>
      <c r="C5" s="724" t="s">
        <v>895</v>
      </c>
      <c r="D5" s="2" t="s">
        <v>888</v>
      </c>
      <c r="E5" s="2" t="s">
        <v>849</v>
      </c>
    </row>
    <row r="6" spans="2:5">
      <c r="B6" s="725">
        <v>40332</v>
      </c>
      <c r="C6" s="725" t="s">
        <v>896</v>
      </c>
      <c r="D6" t="s">
        <v>889</v>
      </c>
      <c r="E6" t="s">
        <v>894</v>
      </c>
    </row>
    <row r="7" spans="2:5">
      <c r="B7" s="725">
        <v>40344</v>
      </c>
      <c r="C7" s="725" t="s">
        <v>899</v>
      </c>
      <c r="D7" t="s">
        <v>889</v>
      </c>
      <c r="E7" t="s">
        <v>900</v>
      </c>
    </row>
    <row r="8" spans="2:5">
      <c r="B8" s="725">
        <v>40522</v>
      </c>
      <c r="C8" s="725" t="s">
        <v>901</v>
      </c>
      <c r="D8" t="s">
        <v>902</v>
      </c>
      <c r="E8" s="109" t="s">
        <v>922</v>
      </c>
    </row>
    <row r="9" spans="2:5">
      <c r="E9" t="s">
        <v>910</v>
      </c>
    </row>
    <row r="10" spans="2:5">
      <c r="E10" t="s">
        <v>911</v>
      </c>
    </row>
    <row r="11" spans="2:5">
      <c r="E11" t="s">
        <v>912</v>
      </c>
    </row>
    <row r="12" spans="2:5">
      <c r="E12" t="s">
        <v>913</v>
      </c>
    </row>
    <row r="13" spans="2:5">
      <c r="E13" t="s">
        <v>914</v>
      </c>
    </row>
    <row r="14" spans="2:5">
      <c r="E14" t="s">
        <v>915</v>
      </c>
    </row>
    <row r="15" spans="2:5">
      <c r="E15" t="s">
        <v>921</v>
      </c>
    </row>
    <row r="16" spans="2:5">
      <c r="E16" t="s">
        <v>916</v>
      </c>
    </row>
    <row r="17" spans="2:5">
      <c r="E17" t="s">
        <v>917</v>
      </c>
    </row>
    <row r="18" spans="2:5">
      <c r="E18" t="s">
        <v>918</v>
      </c>
    </row>
    <row r="19" spans="2:5">
      <c r="E19" t="s">
        <v>926</v>
      </c>
    </row>
    <row r="20" spans="2:5">
      <c r="E20" t="s">
        <v>925</v>
      </c>
    </row>
    <row r="21" spans="2:5">
      <c r="B21" s="725">
        <v>40798</v>
      </c>
      <c r="C21" s="744" t="s">
        <v>927</v>
      </c>
      <c r="D21" t="s">
        <v>889</v>
      </c>
      <c r="E21" s="1009" t="s">
        <v>1147</v>
      </c>
    </row>
    <row r="22" spans="2:5">
      <c r="E22" t="s">
        <v>930</v>
      </c>
    </row>
    <row r="23" spans="2:5">
      <c r="E23" t="s">
        <v>946</v>
      </c>
    </row>
    <row r="24" spans="2:5">
      <c r="E24" t="s">
        <v>950</v>
      </c>
    </row>
    <row r="25" spans="2:5">
      <c r="E25" t="s">
        <v>970</v>
      </c>
    </row>
    <row r="26" spans="2:5">
      <c r="E26" t="s">
        <v>1113</v>
      </c>
    </row>
    <row r="27" spans="2:5">
      <c r="E27" t="s">
        <v>1140</v>
      </c>
    </row>
    <row r="28" spans="2:5">
      <c r="E28" t="s">
        <v>1138</v>
      </c>
    </row>
    <row r="29" spans="2:5">
      <c r="E29" t="s">
        <v>1139</v>
      </c>
    </row>
    <row r="30" spans="2:5">
      <c r="E30" t="s">
        <v>1141</v>
      </c>
    </row>
    <row r="31" spans="2:5">
      <c r="E31" t="s">
        <v>1137</v>
      </c>
    </row>
    <row r="32" spans="2:5">
      <c r="B32" s="725">
        <v>40801</v>
      </c>
      <c r="C32" s="725" t="s">
        <v>1142</v>
      </c>
      <c r="D32" t="s">
        <v>1143</v>
      </c>
      <c r="E32" t="s">
        <v>1144</v>
      </c>
    </row>
    <row r="33" spans="2:6">
      <c r="B33" s="725">
        <v>40830</v>
      </c>
      <c r="C33" s="725" t="s">
        <v>1148</v>
      </c>
      <c r="D33" t="s">
        <v>1143</v>
      </c>
      <c r="E33" t="s">
        <v>1149</v>
      </c>
    </row>
    <row r="34" spans="2:6">
      <c r="B34" s="725">
        <v>40924</v>
      </c>
      <c r="C34" s="725" t="s">
        <v>1167</v>
      </c>
      <c r="D34" t="s">
        <v>1143</v>
      </c>
      <c r="E34" t="s">
        <v>1145</v>
      </c>
    </row>
    <row r="35" spans="2:6">
      <c r="E35" t="s">
        <v>1146</v>
      </c>
    </row>
    <row r="36" spans="2:6">
      <c r="E36" t="s">
        <v>1150</v>
      </c>
    </row>
    <row r="37" spans="2:6">
      <c r="E37" t="s">
        <v>1151</v>
      </c>
    </row>
    <row r="38" spans="2:6">
      <c r="E38" t="s">
        <v>1152</v>
      </c>
    </row>
    <row r="39" spans="2:6">
      <c r="E39" t="s">
        <v>1153</v>
      </c>
    </row>
    <row r="40" spans="2:6">
      <c r="E40" t="s">
        <v>1154</v>
      </c>
    </row>
    <row r="41" spans="2:6">
      <c r="E41" t="s">
        <v>1156</v>
      </c>
    </row>
    <row r="42" spans="2:6">
      <c r="E42" t="s">
        <v>1155</v>
      </c>
    </row>
    <row r="43" spans="2:6">
      <c r="E43" t="s">
        <v>1166</v>
      </c>
    </row>
    <row r="44" spans="2:6">
      <c r="B44" s="725">
        <v>40959</v>
      </c>
      <c r="C44" s="725" t="s">
        <v>1168</v>
      </c>
      <c r="D44" t="s">
        <v>1143</v>
      </c>
      <c r="E44" t="s">
        <v>1169</v>
      </c>
    </row>
    <row r="45" spans="2:6">
      <c r="B45" s="725">
        <v>41190</v>
      </c>
      <c r="C45" s="725" t="s">
        <v>1218</v>
      </c>
      <c r="D45" t="s">
        <v>1143</v>
      </c>
      <c r="E45" t="s">
        <v>1170</v>
      </c>
    </row>
    <row r="46" spans="2:6">
      <c r="F46" t="s">
        <v>1171</v>
      </c>
    </row>
    <row r="47" spans="2:6">
      <c r="F47" t="s">
        <v>1172</v>
      </c>
    </row>
    <row r="48" spans="2:6">
      <c r="F48" t="s">
        <v>1209</v>
      </c>
    </row>
    <row r="49" spans="5:6">
      <c r="F49" t="s">
        <v>1173</v>
      </c>
    </row>
    <row r="50" spans="5:6">
      <c r="F50" t="s">
        <v>1174</v>
      </c>
    </row>
    <row r="51" spans="5:6">
      <c r="F51" t="s">
        <v>1175</v>
      </c>
    </row>
    <row r="52" spans="5:6">
      <c r="E52" t="s">
        <v>1179</v>
      </c>
    </row>
    <row r="53" spans="5:6">
      <c r="F53" t="s">
        <v>1180</v>
      </c>
    </row>
    <row r="54" spans="5:6">
      <c r="F54" t="s">
        <v>1181</v>
      </c>
    </row>
    <row r="55" spans="5:6">
      <c r="E55" t="s">
        <v>1182</v>
      </c>
    </row>
    <row r="56" spans="5:6">
      <c r="F56" t="s">
        <v>1183</v>
      </c>
    </row>
    <row r="57" spans="5:6">
      <c r="F57" t="s">
        <v>1184</v>
      </c>
    </row>
    <row r="58" spans="5:6">
      <c r="F58" t="s">
        <v>1185</v>
      </c>
    </row>
    <row r="59" spans="5:6">
      <c r="E59" t="s">
        <v>1219</v>
      </c>
    </row>
    <row r="60" spans="5:6">
      <c r="F60" t="s">
        <v>1186</v>
      </c>
    </row>
    <row r="61" spans="5:6">
      <c r="F61" t="s">
        <v>1200</v>
      </c>
    </row>
    <row r="62" spans="5:6">
      <c r="E62" t="s">
        <v>1210</v>
      </c>
    </row>
    <row r="63" spans="5:6">
      <c r="E63" t="s">
        <v>1187</v>
      </c>
    </row>
    <row r="64" spans="5:6">
      <c r="E64" t="s">
        <v>1188</v>
      </c>
    </row>
    <row r="65" spans="5:6">
      <c r="E65" t="s">
        <v>1189</v>
      </c>
    </row>
    <row r="66" spans="5:6">
      <c r="F66" t="s">
        <v>1190</v>
      </c>
    </row>
    <row r="67" spans="5:6">
      <c r="F67" t="s">
        <v>1191</v>
      </c>
    </row>
    <row r="68" spans="5:6">
      <c r="E68" t="s">
        <v>1192</v>
      </c>
    </row>
    <row r="69" spans="5:6">
      <c r="E69" t="s">
        <v>1201</v>
      </c>
    </row>
    <row r="70" spans="5:6">
      <c r="F70" t="s">
        <v>1202</v>
      </c>
    </row>
    <row r="71" spans="5:6">
      <c r="F71" t="s">
        <v>1203</v>
      </c>
    </row>
    <row r="72" spans="5:6">
      <c r="E72" t="s">
        <v>1205</v>
      </c>
    </row>
    <row r="73" spans="5:6">
      <c r="F73" t="s">
        <v>1202</v>
      </c>
    </row>
    <row r="74" spans="5:6">
      <c r="F74" t="s">
        <v>1191</v>
      </c>
    </row>
    <row r="75" spans="5:6">
      <c r="E75" t="s">
        <v>1206</v>
      </c>
    </row>
    <row r="76" spans="5:6">
      <c r="F76" t="s">
        <v>1202</v>
      </c>
    </row>
    <row r="77" spans="5:6">
      <c r="F77" t="s">
        <v>1191</v>
      </c>
    </row>
    <row r="78" spans="5:6">
      <c r="E78" t="s">
        <v>1207</v>
      </c>
    </row>
    <row r="79" spans="5:6">
      <c r="F79" t="s">
        <v>1202</v>
      </c>
    </row>
    <row r="80" spans="5:6">
      <c r="F80" t="s">
        <v>1191</v>
      </c>
    </row>
    <row r="81" spans="2:6">
      <c r="E81" t="s">
        <v>1208</v>
      </c>
    </row>
    <row r="82" spans="2:6">
      <c r="B82" s="725">
        <v>41212</v>
      </c>
      <c r="C82" s="725" t="s">
        <v>1220</v>
      </c>
      <c r="D82" t="s">
        <v>1143</v>
      </c>
      <c r="E82" t="s">
        <v>1221</v>
      </c>
    </row>
    <row r="83" spans="2:6">
      <c r="E83" t="s">
        <v>1222</v>
      </c>
    </row>
    <row r="84" spans="2:6">
      <c r="E84" t="s">
        <v>1223</v>
      </c>
    </row>
    <row r="85" spans="2:6">
      <c r="B85" s="725">
        <v>41290</v>
      </c>
      <c r="C85" s="725" t="s">
        <v>1224</v>
      </c>
      <c r="D85" t="s">
        <v>1143</v>
      </c>
      <c r="E85" t="s">
        <v>1225</v>
      </c>
    </row>
    <row r="86" spans="2:6">
      <c r="F86" t="s">
        <v>1226</v>
      </c>
    </row>
    <row r="87" spans="2:6">
      <c r="B87" s="725">
        <v>41352</v>
      </c>
      <c r="C87" s="725" t="s">
        <v>1227</v>
      </c>
      <c r="D87" t="s">
        <v>1228</v>
      </c>
      <c r="E87" t="s">
        <v>1229</v>
      </c>
    </row>
    <row r="88" spans="2:6">
      <c r="E88" t="s">
        <v>1233</v>
      </c>
    </row>
    <row r="89" spans="2:6">
      <c r="B89" s="725">
        <v>41681</v>
      </c>
      <c r="C89" s="725" t="s">
        <v>1236</v>
      </c>
      <c r="D89" t="s">
        <v>1228</v>
      </c>
      <c r="E89" t="s">
        <v>1234</v>
      </c>
    </row>
    <row r="90" spans="2:6">
      <c r="E90" t="s">
        <v>1237</v>
      </c>
    </row>
    <row r="91" spans="2:6">
      <c r="E91" t="s">
        <v>1238</v>
      </c>
    </row>
    <row r="92" spans="2:6">
      <c r="E92" t="s">
        <v>1239</v>
      </c>
    </row>
    <row r="93" spans="2:6">
      <c r="B93" s="725">
        <v>41835</v>
      </c>
      <c r="C93" s="725" t="s">
        <v>1343</v>
      </c>
      <c r="D93" t="s">
        <v>1228</v>
      </c>
      <c r="E93" t="s">
        <v>1344</v>
      </c>
    </row>
    <row r="94" spans="2:6">
      <c r="E94" t="s">
        <v>1345</v>
      </c>
    </row>
    <row r="95" spans="2:6">
      <c r="E95" t="s">
        <v>1346</v>
      </c>
    </row>
    <row r="96" spans="2:6">
      <c r="E96" t="s">
        <v>1347</v>
      </c>
    </row>
    <row r="97" spans="2:5">
      <c r="E97" t="s">
        <v>1349</v>
      </c>
    </row>
    <row r="98" spans="2:5">
      <c r="E98" t="s">
        <v>1348</v>
      </c>
    </row>
    <row r="99" spans="2:5">
      <c r="E99" t="s">
        <v>1350</v>
      </c>
    </row>
    <row r="100" spans="2:5">
      <c r="E100" t="s">
        <v>1351</v>
      </c>
    </row>
    <row r="101" spans="2:5">
      <c r="B101" s="725">
        <v>42069</v>
      </c>
      <c r="C101" s="725" t="s">
        <v>1403</v>
      </c>
      <c r="D101" t="s">
        <v>1404</v>
      </c>
      <c r="E101" t="s">
        <v>1408</v>
      </c>
    </row>
    <row r="102" spans="2:5">
      <c r="E102" t="s">
        <v>1405</v>
      </c>
    </row>
    <row r="103" spans="2:5">
      <c r="B103" s="725">
        <v>42220</v>
      </c>
      <c r="C103" s="725" t="s">
        <v>1409</v>
      </c>
      <c r="D103" t="s">
        <v>1404</v>
      </c>
      <c r="E103" t="s">
        <v>1410</v>
      </c>
    </row>
    <row r="104" spans="2:5">
      <c r="B104" s="725">
        <v>42276</v>
      </c>
      <c r="C104" s="725" t="s">
        <v>1411</v>
      </c>
      <c r="D104" t="s">
        <v>1228</v>
      </c>
      <c r="E104" t="s">
        <v>1412</v>
      </c>
    </row>
    <row r="105" spans="2:5">
      <c r="B105" s="725">
        <v>42298</v>
      </c>
      <c r="C105" s="725" t="s">
        <v>1442</v>
      </c>
      <c r="D105" t="s">
        <v>1228</v>
      </c>
      <c r="E105" t="s">
        <v>1443</v>
      </c>
    </row>
    <row r="106" spans="2:5">
      <c r="B106" s="725">
        <v>42310</v>
      </c>
      <c r="C106" s="725" t="s">
        <v>1444</v>
      </c>
      <c r="D106" t="s">
        <v>1445</v>
      </c>
      <c r="E106" t="s">
        <v>1446</v>
      </c>
    </row>
    <row r="107" spans="2:5">
      <c r="B107" s="725">
        <v>42313</v>
      </c>
      <c r="C107" s="725" t="s">
        <v>1448</v>
      </c>
      <c r="D107" t="s">
        <v>902</v>
      </c>
      <c r="E107" t="s">
        <v>1449</v>
      </c>
    </row>
    <row r="108" spans="2:5">
      <c r="E108" t="s">
        <v>1468</v>
      </c>
    </row>
    <row r="109" spans="2:5">
      <c r="E109" t="s">
        <v>1486</v>
      </c>
    </row>
    <row r="110" spans="2:5">
      <c r="E110" t="s">
        <v>1487</v>
      </c>
    </row>
    <row r="111" spans="2:5">
      <c r="C111" s="725" t="s">
        <v>1448</v>
      </c>
      <c r="D111" t="s">
        <v>1445</v>
      </c>
      <c r="E111" t="s">
        <v>1488</v>
      </c>
    </row>
    <row r="112" spans="2:5">
      <c r="B112" s="725">
        <v>42345</v>
      </c>
      <c r="C112" s="725" t="s">
        <v>1489</v>
      </c>
      <c r="D112" t="s">
        <v>1228</v>
      </c>
      <c r="E112" t="s">
        <v>1490</v>
      </c>
    </row>
    <row r="113" spans="2:5">
      <c r="E113" t="s">
        <v>1491</v>
      </c>
    </row>
    <row r="114" spans="2:5">
      <c r="B114" s="725">
        <v>42515</v>
      </c>
      <c r="C114" s="725" t="s">
        <v>1493</v>
      </c>
      <c r="D114" t="s">
        <v>1228</v>
      </c>
      <c r="E114" t="s">
        <v>1494</v>
      </c>
    </row>
    <row r="115" spans="2:5">
      <c r="B115" s="725">
        <v>42515</v>
      </c>
      <c r="C115" s="725" t="s">
        <v>1495</v>
      </c>
      <c r="D115" t="s">
        <v>1228</v>
      </c>
      <c r="E115" t="s">
        <v>1496</v>
      </c>
    </row>
    <row r="116" spans="2:5">
      <c r="B116" s="725">
        <v>42766</v>
      </c>
      <c r="C116" s="725" t="s">
        <v>1497</v>
      </c>
      <c r="D116" t="s">
        <v>1228</v>
      </c>
      <c r="E116" t="s">
        <v>1498</v>
      </c>
    </row>
    <row r="117" spans="2:5">
      <c r="E117" t="s">
        <v>1503</v>
      </c>
    </row>
    <row r="118" spans="2:5">
      <c r="E118" t="s">
        <v>1504</v>
      </c>
    </row>
    <row r="119" spans="2:5">
      <c r="B119" s="725">
        <v>42796</v>
      </c>
      <c r="C119" s="725" t="s">
        <v>1505</v>
      </c>
      <c r="D119" t="s">
        <v>1228</v>
      </c>
      <c r="E119" t="s">
        <v>1506</v>
      </c>
    </row>
    <row r="120" spans="2:5">
      <c r="B120" s="725">
        <v>42825</v>
      </c>
      <c r="C120" s="725" t="s">
        <v>1525</v>
      </c>
      <c r="D120" t="s">
        <v>1228</v>
      </c>
      <c r="E120" t="s">
        <v>1526</v>
      </c>
    </row>
    <row r="121" spans="2:5">
      <c r="E121" t="s">
        <v>1527</v>
      </c>
    </row>
    <row r="122" spans="2:5">
      <c r="B122" s="725">
        <v>42934</v>
      </c>
      <c r="C122" s="725" t="s">
        <v>1544</v>
      </c>
      <c r="D122" t="s">
        <v>1228</v>
      </c>
      <c r="E122" t="s">
        <v>1545</v>
      </c>
    </row>
    <row r="123" spans="2:5">
      <c r="E123" t="s">
        <v>1546</v>
      </c>
    </row>
    <row r="124" spans="2:5">
      <c r="E124" t="s">
        <v>1555</v>
      </c>
    </row>
    <row r="125" spans="2:5">
      <c r="E125" t="s">
        <v>1554</v>
      </c>
    </row>
    <row r="126" spans="2:5">
      <c r="B126" s="725">
        <v>42991</v>
      </c>
      <c r="C126" s="725" t="s">
        <v>1557</v>
      </c>
      <c r="D126" t="s">
        <v>902</v>
      </c>
      <c r="E126" t="s">
        <v>1558</v>
      </c>
    </row>
    <row r="127" spans="2:5">
      <c r="B127" s="725">
        <v>42994</v>
      </c>
      <c r="C127" s="725" t="s">
        <v>1559</v>
      </c>
      <c r="D127" t="s">
        <v>1228</v>
      </c>
      <c r="E127" t="s">
        <v>1560</v>
      </c>
    </row>
    <row r="128" spans="2:5">
      <c r="E128" t="s">
        <v>1564</v>
      </c>
    </row>
    <row r="129" spans="2:5">
      <c r="E129" t="s">
        <v>1563</v>
      </c>
    </row>
    <row r="130" spans="2:5">
      <c r="B130" s="725">
        <v>43124</v>
      </c>
      <c r="C130" s="725" t="s">
        <v>1579</v>
      </c>
      <c r="D130" t="s">
        <v>1228</v>
      </c>
      <c r="E130" t="s">
        <v>1580</v>
      </c>
    </row>
    <row r="131" spans="2:5">
      <c r="E131" t="s">
        <v>1647</v>
      </c>
    </row>
    <row r="132" spans="2:5">
      <c r="E132" t="s">
        <v>1587</v>
      </c>
    </row>
    <row r="133" spans="2:5">
      <c r="E133" t="s">
        <v>1597</v>
      </c>
    </row>
    <row r="134" spans="2:5">
      <c r="E134" t="s">
        <v>1648</v>
      </c>
    </row>
    <row r="135" spans="2:5">
      <c r="B135" s="725">
        <v>43165</v>
      </c>
      <c r="C135" s="725" t="s">
        <v>1649</v>
      </c>
      <c r="D135" t="s">
        <v>1228</v>
      </c>
      <c r="E135" t="s">
        <v>1650</v>
      </c>
    </row>
    <row r="136" spans="2:5">
      <c r="B136" s="725">
        <v>43318</v>
      </c>
      <c r="C136" s="725" t="s">
        <v>1653</v>
      </c>
      <c r="D136" t="s">
        <v>1654</v>
      </c>
      <c r="E136" t="s">
        <v>1655</v>
      </c>
    </row>
    <row r="137" spans="2:5">
      <c r="B137" s="725">
        <v>43395</v>
      </c>
      <c r="C137" s="725" t="s">
        <v>1660</v>
      </c>
      <c r="D137" t="s">
        <v>1654</v>
      </c>
      <c r="E137" t="s">
        <v>1661</v>
      </c>
    </row>
    <row r="138" spans="2:5">
      <c r="B138" s="725">
        <v>43525</v>
      </c>
      <c r="C138" s="725" t="s">
        <v>1663</v>
      </c>
      <c r="D138" t="s">
        <v>1228</v>
      </c>
      <c r="E138" t="s">
        <v>1677</v>
      </c>
    </row>
    <row r="139" spans="2:5">
      <c r="E139" t="s">
        <v>1666</v>
      </c>
    </row>
    <row r="140" spans="2:5">
      <c r="E140" t="s">
        <v>1667</v>
      </c>
    </row>
    <row r="141" spans="2:5">
      <c r="E141" t="s">
        <v>1676</v>
      </c>
    </row>
    <row r="142" spans="2:5">
      <c r="B142" s="725">
        <v>43557</v>
      </c>
      <c r="C142" s="725" t="s">
        <v>1678</v>
      </c>
      <c r="D142" t="s">
        <v>1228</v>
      </c>
      <c r="E142" s="319" t="s">
        <v>1681</v>
      </c>
    </row>
    <row r="143" spans="2:5">
      <c r="E143" t="s">
        <v>1679</v>
      </c>
    </row>
    <row r="144" spans="2:5">
      <c r="E144" t="s">
        <v>1680</v>
      </c>
    </row>
    <row r="145" spans="2:5">
      <c r="B145" s="725">
        <v>43602</v>
      </c>
      <c r="C145" s="725" t="s">
        <v>1682</v>
      </c>
      <c r="D145" t="s">
        <v>1654</v>
      </c>
      <c r="E145" t="s">
        <v>1683</v>
      </c>
    </row>
    <row r="146" spans="2:5">
      <c r="E146" t="s">
        <v>1686</v>
      </c>
    </row>
    <row r="147" spans="2:5">
      <c r="B147" s="725">
        <v>43714</v>
      </c>
      <c r="C147" s="725" t="s">
        <v>1694</v>
      </c>
      <c r="D147" t="s">
        <v>1228</v>
      </c>
      <c r="E147" t="s">
        <v>1707</v>
      </c>
    </row>
    <row r="148" spans="2:5">
      <c r="E148" t="s">
        <v>1703</v>
      </c>
    </row>
    <row r="149" spans="2:5">
      <c r="E149" t="s">
        <v>1705</v>
      </c>
    </row>
    <row r="150" spans="2:5">
      <c r="E150" t="s">
        <v>1706</v>
      </c>
    </row>
    <row r="151" spans="2:5">
      <c r="B151" s="725">
        <v>43796</v>
      </c>
      <c r="C151" s="725" t="s">
        <v>1708</v>
      </c>
      <c r="D151" t="s">
        <v>1709</v>
      </c>
      <c r="E151" t="s">
        <v>1710</v>
      </c>
    </row>
    <row r="152" spans="2:5">
      <c r="B152" s="725">
        <v>43802</v>
      </c>
      <c r="C152" s="725" t="s">
        <v>1712</v>
      </c>
      <c r="D152" t="s">
        <v>1709</v>
      </c>
      <c r="E152" t="s">
        <v>1713</v>
      </c>
    </row>
    <row r="153" spans="2:5">
      <c r="B153" s="725">
        <v>43836</v>
      </c>
      <c r="C153" s="725" t="s">
        <v>1714</v>
      </c>
      <c r="D153" t="s">
        <v>1228</v>
      </c>
      <c r="E153" t="s">
        <v>1715</v>
      </c>
    </row>
    <row r="154" spans="2:5">
      <c r="E154" t="s">
        <v>1716</v>
      </c>
    </row>
    <row r="155" spans="2:5">
      <c r="B155" s="725">
        <v>43859</v>
      </c>
      <c r="C155" s="725" t="s">
        <v>1718</v>
      </c>
      <c r="D155" t="s">
        <v>1717</v>
      </c>
      <c r="E155" t="s">
        <v>1719</v>
      </c>
    </row>
    <row r="156" spans="2:5">
      <c r="B156" s="725">
        <v>43965</v>
      </c>
      <c r="C156" s="725" t="s">
        <v>1720</v>
      </c>
      <c r="D156" t="s">
        <v>1654</v>
      </c>
      <c r="E156" t="s">
        <v>1721</v>
      </c>
    </row>
    <row r="157" spans="2:5">
      <c r="B157" s="725">
        <v>43984</v>
      </c>
      <c r="C157" s="725" t="s">
        <v>1722</v>
      </c>
      <c r="D157" t="s">
        <v>1709</v>
      </c>
      <c r="E157" t="s">
        <v>1723</v>
      </c>
    </row>
    <row r="158" spans="2:5">
      <c r="B158" s="725">
        <v>44047</v>
      </c>
      <c r="C158" s="725" t="s">
        <v>1731</v>
      </c>
      <c r="D158" t="s">
        <v>1654</v>
      </c>
      <c r="E158" t="s">
        <v>1733</v>
      </c>
    </row>
    <row r="159" spans="2:5">
      <c r="E159" t="s">
        <v>1732</v>
      </c>
    </row>
    <row r="160" spans="2:5">
      <c r="B160" s="725">
        <v>44055</v>
      </c>
      <c r="C160" s="725" t="s">
        <v>1734</v>
      </c>
      <c r="D160" t="s">
        <v>1654</v>
      </c>
      <c r="E160" t="s">
        <v>1735</v>
      </c>
    </row>
    <row r="161" spans="2:5">
      <c r="B161" s="725" t="s">
        <v>1736</v>
      </c>
      <c r="C161" s="725" t="s">
        <v>1737</v>
      </c>
      <c r="D161" t="s">
        <v>1654</v>
      </c>
      <c r="E161" t="s">
        <v>1738</v>
      </c>
    </row>
    <row r="162" spans="2:5">
      <c r="B162" s="725">
        <v>44187</v>
      </c>
      <c r="C162" s="725" t="s">
        <v>1740</v>
      </c>
      <c r="D162" t="s">
        <v>1741</v>
      </c>
      <c r="E162" t="s">
        <v>1742</v>
      </c>
    </row>
  </sheetData>
  <phoneticPr fontId="52" type="noConversion"/>
  <pageMargins left="0.75" right="0.75" top="1" bottom="1" header="0.5" footer="0.5"/>
  <pageSetup orientation="portrait" verticalDpi="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I214"/>
  <sheetViews>
    <sheetView view="pageBreakPreview" topLeftCell="A19" zoomScale="75" zoomScaleNormal="75" zoomScaleSheetLayoutView="75" workbookViewId="0">
      <selection activeCell="D48" sqref="D48"/>
    </sheetView>
  </sheetViews>
  <sheetFormatPr defaultRowHeight="15.75"/>
  <cols>
    <col min="1" max="1" width="10" bestFit="1" customWidth="1"/>
    <col min="2" max="2" width="6.875" customWidth="1"/>
    <col min="3" max="3" width="1.625" customWidth="1"/>
    <col min="4" max="4" width="31.625" customWidth="1"/>
    <col min="5" max="5" width="15.375" customWidth="1"/>
    <col min="6" max="6" width="8" customWidth="1"/>
    <col min="7" max="7" width="11.125" bestFit="1" customWidth="1"/>
    <col min="8" max="8" width="14.875" customWidth="1"/>
    <col min="9" max="9" width="15.75" customWidth="1"/>
    <col min="10" max="10" width="13.625" bestFit="1" customWidth="1"/>
    <col min="11" max="11" width="13" bestFit="1" customWidth="1"/>
    <col min="12" max="12" width="15" customWidth="1"/>
    <col min="13" max="13" width="7.125" customWidth="1"/>
    <col min="14" max="14" width="16.375" customWidth="1"/>
    <col min="15" max="15" width="12.75" style="1196" customWidth="1"/>
    <col min="16" max="17" width="10.75" customWidth="1"/>
    <col min="18" max="18" width="15" customWidth="1"/>
    <col min="19" max="19" width="13.75" customWidth="1"/>
    <col min="20" max="20" width="11.625" customWidth="1"/>
    <col min="21" max="21" width="12.375" bestFit="1" customWidth="1"/>
    <col min="22" max="22" width="10.5" customWidth="1"/>
    <col min="23" max="23" width="11.75" customWidth="1"/>
    <col min="24" max="24" width="10.75" customWidth="1"/>
    <col min="25" max="25" width="8" customWidth="1"/>
    <col min="26" max="26" width="10.5" customWidth="1"/>
    <col min="27" max="27" width="10.625" customWidth="1"/>
    <col min="28" max="28" width="9.5" customWidth="1"/>
    <col min="29" max="29" width="10.625" customWidth="1"/>
    <col min="30" max="31" width="8" customWidth="1"/>
    <col min="32" max="33" width="8.625" customWidth="1"/>
    <col min="34" max="34" width="10.5" customWidth="1"/>
    <col min="35" max="35" width="8.625" customWidth="1"/>
  </cols>
  <sheetData>
    <row r="1" spans="2:35" ht="22.5">
      <c r="D1" s="413" t="str">
        <f>[5]!xlsProjectName1</f>
        <v>Project Name 1</v>
      </c>
    </row>
    <row r="2" spans="2:35" ht="22.5">
      <c r="D2" s="413" t="str">
        <f>[5]!xlsProjectName2</f>
        <v>Project Name 2</v>
      </c>
    </row>
    <row r="3" spans="2:35" ht="22.5">
      <c r="D3" s="413" t="str">
        <f>[5]!xlsProjectNumber</f>
        <v>Project Number</v>
      </c>
    </row>
    <row r="4" spans="2:35">
      <c r="D4" s="1"/>
    </row>
    <row r="5" spans="2:35">
      <c r="D5" s="3" t="s">
        <v>670</v>
      </c>
    </row>
    <row r="6" spans="2:35">
      <c r="D6" s="3" t="s">
        <v>791</v>
      </c>
    </row>
    <row r="7" spans="2:35">
      <c r="D7" t="s">
        <v>1581</v>
      </c>
    </row>
    <row r="8" spans="2:35">
      <c r="D8" t="s">
        <v>1582</v>
      </c>
    </row>
    <row r="9" spans="2:35">
      <c r="D9" s="3" t="s">
        <v>284</v>
      </c>
    </row>
    <row r="10" spans="2:35">
      <c r="D10" s="3" t="s">
        <v>333</v>
      </c>
    </row>
    <row r="13" spans="2:35" ht="20.25">
      <c r="C13" s="837" t="s">
        <v>150</v>
      </c>
      <c r="R13" s="1704" t="s">
        <v>744</v>
      </c>
      <c r="S13" s="1705"/>
      <c r="T13" s="1706" t="s">
        <v>1583</v>
      </c>
      <c r="U13" s="1707"/>
      <c r="V13" s="1697" t="s">
        <v>1584</v>
      </c>
      <c r="W13" s="1698"/>
      <c r="X13" s="1699"/>
      <c r="Y13" s="144"/>
      <c r="Z13" s="144"/>
      <c r="AA13" s="1694" t="s">
        <v>748</v>
      </c>
      <c r="AB13" s="1695"/>
      <c r="AC13" s="1695"/>
      <c r="AD13" s="1695"/>
      <c r="AE13" s="1695"/>
      <c r="AF13" s="1695"/>
      <c r="AG13" s="1695"/>
      <c r="AH13" s="1696"/>
      <c r="AI13" s="222"/>
    </row>
    <row r="14" spans="2:35" ht="20.25">
      <c r="C14" s="837" t="s">
        <v>366</v>
      </c>
      <c r="R14" s="357"/>
      <c r="S14" s="204"/>
      <c r="T14" s="1708" t="s">
        <v>749</v>
      </c>
      <c r="U14" s="1709"/>
      <c r="V14" s="1688" t="s">
        <v>332</v>
      </c>
      <c r="W14" s="1689"/>
      <c r="X14" s="551" t="s">
        <v>618</v>
      </c>
      <c r="Y14" s="228"/>
      <c r="Z14" s="228"/>
      <c r="AA14" s="213"/>
      <c r="AB14" s="310"/>
      <c r="AC14" s="153"/>
      <c r="AD14" s="153"/>
      <c r="AE14" s="153"/>
      <c r="AF14" s="153"/>
      <c r="AG14" s="153" t="s">
        <v>724</v>
      </c>
      <c r="AH14" s="215"/>
      <c r="AI14" s="223"/>
    </row>
    <row r="15" spans="2:35">
      <c r="B15" s="10"/>
      <c r="C15" s="10"/>
      <c r="D15" s="11"/>
      <c r="E15" s="11"/>
      <c r="F15" s="11"/>
      <c r="G15" s="11"/>
      <c r="H15" s="11"/>
      <c r="I15" s="11"/>
      <c r="J15" s="11"/>
      <c r="K15" s="11"/>
      <c r="L15" s="11"/>
      <c r="M15" s="11"/>
      <c r="N15" s="11"/>
      <c r="P15" s="471"/>
      <c r="R15" s="358"/>
      <c r="S15" s="204" t="s">
        <v>717</v>
      </c>
      <c r="T15" s="357"/>
      <c r="U15" s="204"/>
      <c r="V15" s="1688" t="s">
        <v>334</v>
      </c>
      <c r="W15" s="1689"/>
      <c r="X15" s="551" t="s">
        <v>614</v>
      </c>
      <c r="Y15" s="15"/>
      <c r="Z15" s="15"/>
      <c r="AA15" s="213" t="s">
        <v>723</v>
      </c>
      <c r="AB15" s="215" t="s">
        <v>724</v>
      </c>
      <c r="AC15" s="153" t="s">
        <v>723</v>
      </c>
      <c r="AD15" s="153" t="s">
        <v>730</v>
      </c>
      <c r="AE15" s="153" t="s">
        <v>730</v>
      </c>
      <c r="AF15" s="153" t="s">
        <v>724</v>
      </c>
      <c r="AG15" s="153" t="s">
        <v>704</v>
      </c>
      <c r="AH15" s="215"/>
      <c r="AI15" s="223"/>
    </row>
    <row r="16" spans="2:35">
      <c r="B16" s="1007"/>
      <c r="C16" s="123"/>
      <c r="D16" s="1007"/>
      <c r="E16" s="1008"/>
      <c r="F16" s="144" t="s">
        <v>362</v>
      </c>
      <c r="G16" s="144"/>
      <c r="H16" s="144"/>
      <c r="I16" s="144"/>
      <c r="J16" s="144"/>
      <c r="K16" s="144"/>
      <c r="L16" s="144"/>
      <c r="M16" s="144" t="s">
        <v>363</v>
      </c>
      <c r="N16" s="1012"/>
      <c r="O16" s="1197" t="s">
        <v>724</v>
      </c>
      <c r="P16" s="2"/>
      <c r="R16" s="358" t="s">
        <v>710</v>
      </c>
      <c r="S16" s="204" t="s">
        <v>704</v>
      </c>
      <c r="T16" s="358"/>
      <c r="U16" s="204" t="s">
        <v>704</v>
      </c>
      <c r="V16" s="213"/>
      <c r="W16" s="215"/>
      <c r="X16" s="551" t="s">
        <v>615</v>
      </c>
      <c r="Y16" s="220"/>
      <c r="Z16" s="220"/>
      <c r="AA16" s="213" t="s">
        <v>704</v>
      </c>
      <c r="AB16" s="215" t="s">
        <v>704</v>
      </c>
      <c r="AC16" s="153" t="s">
        <v>704</v>
      </c>
      <c r="AD16" s="34" t="s">
        <v>732</v>
      </c>
      <c r="AE16" s="34" t="s">
        <v>731</v>
      </c>
      <c r="AF16" s="153" t="s">
        <v>704</v>
      </c>
      <c r="AG16" s="153" t="s">
        <v>751</v>
      </c>
      <c r="AH16" s="215" t="s">
        <v>721</v>
      </c>
      <c r="AI16" s="223" t="s">
        <v>724</v>
      </c>
    </row>
    <row r="17" spans="2:35">
      <c r="B17" s="2"/>
      <c r="C17" s="124"/>
      <c r="D17" s="2"/>
      <c r="E17" s="12"/>
      <c r="F17" s="13" t="s">
        <v>666</v>
      </c>
      <c r="G17" s="13"/>
      <c r="H17" s="13"/>
      <c r="I17" s="13"/>
      <c r="J17" s="13"/>
      <c r="K17" s="13"/>
      <c r="L17" s="13"/>
      <c r="M17" s="13" t="s">
        <v>666</v>
      </c>
      <c r="N17" s="1013"/>
      <c r="O17" s="1197" t="s">
        <v>704</v>
      </c>
      <c r="P17" s="1700" t="s">
        <v>919</v>
      </c>
      <c r="Q17" s="1701"/>
      <c r="R17" s="358" t="s">
        <v>709</v>
      </c>
      <c r="S17" s="204" t="s">
        <v>716</v>
      </c>
      <c r="T17" s="358"/>
      <c r="U17" s="204" t="s">
        <v>707</v>
      </c>
      <c r="V17" s="213"/>
      <c r="W17" s="215"/>
      <c r="X17" s="551">
        <v>0</v>
      </c>
      <c r="Y17" s="220"/>
      <c r="Z17" s="220"/>
      <c r="AA17" s="213" t="s">
        <v>716</v>
      </c>
      <c r="AB17" s="215" t="s">
        <v>716</v>
      </c>
      <c r="AC17" s="153" t="s">
        <v>716</v>
      </c>
      <c r="AD17" s="153" t="s">
        <v>716</v>
      </c>
      <c r="AE17" s="153" t="s">
        <v>716</v>
      </c>
      <c r="AF17" s="153" t="s">
        <v>712</v>
      </c>
      <c r="AG17" s="153" t="s">
        <v>712</v>
      </c>
      <c r="AH17" s="215" t="s">
        <v>704</v>
      </c>
      <c r="AI17" s="223" t="s">
        <v>704</v>
      </c>
    </row>
    <row r="18" spans="2:35">
      <c r="B18" s="12" t="s">
        <v>663</v>
      </c>
      <c r="C18" s="74"/>
      <c r="D18" s="12" t="s">
        <v>663</v>
      </c>
      <c r="E18" s="13" t="s">
        <v>663</v>
      </c>
      <c r="F18" s="13" t="s">
        <v>1193</v>
      </c>
      <c r="G18" s="13" t="s">
        <v>669</v>
      </c>
      <c r="H18" s="13" t="s">
        <v>669</v>
      </c>
      <c r="I18" s="13" t="s">
        <v>673</v>
      </c>
      <c r="J18" s="13" t="s">
        <v>676</v>
      </c>
      <c r="K18" s="13" t="s">
        <v>669</v>
      </c>
      <c r="L18" s="13" t="s">
        <v>663</v>
      </c>
      <c r="M18" s="13" t="s">
        <v>1193</v>
      </c>
      <c r="N18" s="1013"/>
      <c r="O18" s="1197" t="s">
        <v>508</v>
      </c>
      <c r="P18" s="1700" t="s">
        <v>920</v>
      </c>
      <c r="Q18" s="1701"/>
      <c r="R18" s="87" t="s">
        <v>698</v>
      </c>
      <c r="S18" s="204" t="s">
        <v>728</v>
      </c>
      <c r="T18" s="358" t="s">
        <v>705</v>
      </c>
      <c r="U18" s="358" t="s">
        <v>708</v>
      </c>
      <c r="V18" s="213" t="s">
        <v>817</v>
      </c>
      <c r="W18" s="215" t="s">
        <v>704</v>
      </c>
      <c r="X18" s="551" t="s">
        <v>616</v>
      </c>
      <c r="Y18" s="153" t="s">
        <v>669</v>
      </c>
      <c r="Z18" s="153" t="s">
        <v>721</v>
      </c>
      <c r="AA18" s="213" t="s">
        <v>671</v>
      </c>
      <c r="AB18" s="215" t="s">
        <v>671</v>
      </c>
      <c r="AC18" s="153" t="s">
        <v>683</v>
      </c>
      <c r="AD18" s="153" t="s">
        <v>683</v>
      </c>
      <c r="AE18" s="153" t="s">
        <v>683</v>
      </c>
      <c r="AF18" s="153" t="s">
        <v>683</v>
      </c>
      <c r="AG18" s="34" t="s">
        <v>511</v>
      </c>
      <c r="AH18" s="215" t="s">
        <v>78</v>
      </c>
      <c r="AI18" s="223" t="s">
        <v>467</v>
      </c>
    </row>
    <row r="19" spans="2:35">
      <c r="B19" s="2" t="s">
        <v>591</v>
      </c>
      <c r="C19" s="124"/>
      <c r="D19" s="2" t="s">
        <v>664</v>
      </c>
      <c r="E19" s="13" t="s">
        <v>665</v>
      </c>
      <c r="F19" s="13" t="s">
        <v>363</v>
      </c>
      <c r="G19" s="13" t="s">
        <v>671</v>
      </c>
      <c r="H19" s="13" t="s">
        <v>702</v>
      </c>
      <c r="I19" s="13" t="s">
        <v>674</v>
      </c>
      <c r="J19" s="13" t="s">
        <v>677</v>
      </c>
      <c r="K19" s="13" t="s">
        <v>679</v>
      </c>
      <c r="L19" s="13" t="s">
        <v>681</v>
      </c>
      <c r="M19" s="13" t="s">
        <v>1204</v>
      </c>
      <c r="N19" s="1013" t="s">
        <v>682</v>
      </c>
      <c r="O19" s="1197" t="s">
        <v>1240</v>
      </c>
      <c r="P19" s="5" t="s">
        <v>923</v>
      </c>
      <c r="Q19" s="5" t="s">
        <v>924</v>
      </c>
      <c r="R19" s="87" t="s">
        <v>699</v>
      </c>
      <c r="S19" s="106" t="s">
        <v>729</v>
      </c>
      <c r="T19" s="358" t="s">
        <v>706</v>
      </c>
      <c r="U19" s="556" t="s">
        <v>283</v>
      </c>
      <c r="V19" s="213" t="s">
        <v>818</v>
      </c>
      <c r="W19" s="215" t="s">
        <v>818</v>
      </c>
      <c r="X19" s="551" t="s">
        <v>1585</v>
      </c>
      <c r="Y19" s="153" t="s">
        <v>683</v>
      </c>
      <c r="Z19" s="153" t="s">
        <v>722</v>
      </c>
      <c r="AA19" s="212" t="s">
        <v>718</v>
      </c>
      <c r="AB19" s="216" t="s">
        <v>718</v>
      </c>
      <c r="AC19" s="34" t="s">
        <v>727</v>
      </c>
      <c r="AD19" s="34" t="s">
        <v>727</v>
      </c>
      <c r="AE19" s="34" t="s">
        <v>727</v>
      </c>
      <c r="AF19" s="34" t="s">
        <v>727</v>
      </c>
      <c r="AG19" s="34" t="s">
        <v>727</v>
      </c>
      <c r="AH19" s="216" t="s">
        <v>727</v>
      </c>
      <c r="AI19" s="223" t="s">
        <v>78</v>
      </c>
    </row>
    <row r="20" spans="2:35" ht="18.75">
      <c r="B20" s="10"/>
      <c r="C20" s="193"/>
      <c r="D20" s="10"/>
      <c r="E20" s="14"/>
      <c r="F20" s="14" t="s">
        <v>668</v>
      </c>
      <c r="G20" s="14" t="s">
        <v>672</v>
      </c>
      <c r="H20" s="14" t="s">
        <v>701</v>
      </c>
      <c r="I20" s="14" t="s">
        <v>675</v>
      </c>
      <c r="J20" s="14" t="s">
        <v>678</v>
      </c>
      <c r="K20" s="14" t="s">
        <v>680</v>
      </c>
      <c r="L20" s="14"/>
      <c r="M20" s="14" t="s">
        <v>668</v>
      </c>
      <c r="N20" s="1014"/>
      <c r="O20" s="1197" t="s">
        <v>672</v>
      </c>
      <c r="P20" s="5" t="s">
        <v>678</v>
      </c>
      <c r="Q20" s="5" t="s">
        <v>680</v>
      </c>
      <c r="R20" s="210" t="s">
        <v>745</v>
      </c>
      <c r="S20" s="211" t="s">
        <v>714</v>
      </c>
      <c r="T20" s="210" t="s">
        <v>741</v>
      </c>
      <c r="U20" s="211">
        <v>0.22819999999999999</v>
      </c>
      <c r="V20" s="214"/>
      <c r="W20" s="217"/>
      <c r="X20" s="552" t="s">
        <v>617</v>
      </c>
      <c r="Y20" s="221" t="s">
        <v>80</v>
      </c>
      <c r="Z20" s="221" t="s">
        <v>672</v>
      </c>
      <c r="AA20" s="214" t="s">
        <v>672</v>
      </c>
      <c r="AB20" s="217" t="s">
        <v>714</v>
      </c>
      <c r="AC20" s="221" t="s">
        <v>79</v>
      </c>
      <c r="AD20" s="221" t="s">
        <v>79</v>
      </c>
      <c r="AE20" s="221" t="s">
        <v>79</v>
      </c>
      <c r="AF20" s="221" t="s">
        <v>79</v>
      </c>
      <c r="AG20" s="221" t="s">
        <v>714</v>
      </c>
      <c r="AH20" s="217" t="s">
        <v>672</v>
      </c>
      <c r="AI20" s="225" t="s">
        <v>672</v>
      </c>
    </row>
    <row r="21" spans="2:35">
      <c r="C21" s="33"/>
      <c r="D21" s="1"/>
      <c r="N21" s="37"/>
      <c r="T21" s="5"/>
      <c r="X21" s="553"/>
    </row>
    <row r="22" spans="2:35">
      <c r="C22" s="1015" t="str">
        <f>SourceProjectName2</f>
        <v>Project Name 2</v>
      </c>
      <c r="F22" s="235"/>
      <c r="N22" s="37"/>
      <c r="R22" s="2"/>
      <c r="S22" s="2"/>
      <c r="T22" s="5"/>
      <c r="X22" s="553"/>
    </row>
    <row r="23" spans="2:35">
      <c r="B23" s="46" t="s">
        <v>885</v>
      </c>
      <c r="C23" s="126"/>
      <c r="D23" s="1" t="s">
        <v>871</v>
      </c>
      <c r="E23" s="1299" t="s">
        <v>1478</v>
      </c>
      <c r="F23" s="1016">
        <v>10</v>
      </c>
      <c r="G23" s="1017">
        <v>8</v>
      </c>
      <c r="H23" s="1018" t="e">
        <f t="shared" ref="H23:H28" si="0">((Ta-273.15)*(9/5))+32</f>
        <v>#VALUE!</v>
      </c>
      <c r="I23" s="230" t="e">
        <f>$I121*2.2*3600</f>
        <v>#VALUE!</v>
      </c>
      <c r="J23" s="229">
        <v>1000</v>
      </c>
      <c r="K23" s="230">
        <f t="shared" ref="K23:K34" si="1">$J23/$Y23</f>
        <v>2864.7889756541163</v>
      </c>
      <c r="L23" s="46" t="s">
        <v>700</v>
      </c>
      <c r="M23" s="322">
        <v>0</v>
      </c>
      <c r="N23" s="113" t="s">
        <v>852</v>
      </c>
      <c r="O23" s="1196" t="e">
        <f>AB23+1 &amp;"/32"</f>
        <v>#VALUE!</v>
      </c>
      <c r="P23" s="742" t="e">
        <f ca="1">+ROUND(INDIRECT(ADDRESS(22,11,1,TRUE,B23)),0)</f>
        <v>#VALUE!</v>
      </c>
      <c r="Q23" s="742" t="e">
        <f ca="1">ROUND(INDIRECT(ADDRESS(23,11,1,TRUE,B23)),0)</f>
        <v>#VALUE!</v>
      </c>
      <c r="R23" s="218">
        <v>1</v>
      </c>
      <c r="S23" s="218">
        <v>3</v>
      </c>
      <c r="T23" s="226">
        <f>2.237*6</f>
        <v>13.422000000000001</v>
      </c>
      <c r="U23" s="557">
        <v>0.97430000000000005</v>
      </c>
      <c r="V23" s="227" t="e">
        <f ca="1">INDIRECT(ADDRESS(52,6,1,,$B23))</f>
        <v>#VALUE!</v>
      </c>
      <c r="W23" s="227" t="e">
        <f ca="1">INDIRECT(ADDRESS(52,7,1,,$B23))</f>
        <v>#VALUE!</v>
      </c>
      <c r="X23" s="554" t="e">
        <f t="shared" ref="X23:X28" ca="1" si="2">V23-W23</f>
        <v>#VALUE!</v>
      </c>
      <c r="Y23" s="6">
        <f t="shared" ref="Y23:Y50" si="3">(PI()/4)*($G23/12)^2</f>
        <v>0.3490658503988659</v>
      </c>
      <c r="Z23" s="6">
        <f t="shared" ref="Z23:Z34" si="4">SQRT(4*$Y23/PI())*12</f>
        <v>8</v>
      </c>
      <c r="AA23" s="6" t="e">
        <f t="shared" ref="AA23:AA50" si="5">IF($R23=1,MAX($G23/SF,$S23/32),IF($R23=3,$G23/SF,NA()))</f>
        <v>#VALUE!</v>
      </c>
      <c r="AB23" s="5" t="e">
        <f t="shared" ref="AB23:AB28" si="6">IF($R23=1,ROUND(AA23*32,0),NA())</f>
        <v>#VALUE!</v>
      </c>
      <c r="AC23" s="342" t="e">
        <f t="shared" ref="AC23:AC28" si="7">IF($R23=2,(PI()*(Z23/SF)^2)/4,NA())</f>
        <v>#N/A</v>
      </c>
      <c r="AD23" s="343" t="e">
        <f t="shared" ref="AD23:AD50" si="8">IF($R23=2,INDEX(SquareBrass,MATCH($AC23,SquareAreaDSC,-1),6),NA())</f>
        <v>#N/A</v>
      </c>
      <c r="AE23" s="344" t="e">
        <f t="shared" ref="AE23:AE50" si="9">IF($R23=2,INDEX(SquareBrass,MATCH($AC23,SquareAreaASC,1),1),NA())</f>
        <v>#N/A</v>
      </c>
      <c r="AF23" s="344" t="e">
        <f>IF($R23&lt;&gt;2,NA(),IF(ISNA(AE23),(2/32-2*0.014)^2,IF(ABS($AD23/$AC23)&lt;ABS($AC23/$AE23),$AD23,$AE23)))</f>
        <v>#N/A</v>
      </c>
      <c r="AG23" s="43" t="e">
        <f t="shared" ref="AG23:AG34" si="10">IF(R23=2,INDEX(SquareBrass,MATCH($AF23,SquareAreaASC,0),2),NA())</f>
        <v>#N/A</v>
      </c>
      <c r="AH23" s="6" t="e">
        <f t="shared" ref="AH23:AH28" si="11">SQRT(4*AF23/PI())</f>
        <v>#N/A</v>
      </c>
      <c r="AI23" s="6" t="e">
        <f t="shared" ref="AI23:AI50" si="12">IF($R23=2,$AH23,IF($R23=3,$AA23,$AB23/32))</f>
        <v>#VALUE!</v>
      </c>
    </row>
    <row r="24" spans="2:35">
      <c r="B24" s="102" t="str">
        <f>IF((RIGHT(B23,1))&lt;&gt;"Z",CHAR(CODE(B23))&amp;CHAR(CODE(RIGHT(B23,1))+1),CHAR(CODE(B23)+1)&amp;"A")</f>
        <v>AB</v>
      </c>
      <c r="C24" s="256"/>
      <c r="D24" s="1" t="s">
        <v>872</v>
      </c>
      <c r="E24" s="1299" t="s">
        <v>1479</v>
      </c>
      <c r="F24" s="1016">
        <v>10</v>
      </c>
      <c r="G24" s="1017">
        <v>17</v>
      </c>
      <c r="H24" s="1018" t="e">
        <f t="shared" si="0"/>
        <v>#VALUE!</v>
      </c>
      <c r="I24" s="230" t="e">
        <f t="shared" ref="I24:I34" si="13">$I122*2.2*3600</f>
        <v>#VALUE!</v>
      </c>
      <c r="J24" s="229">
        <v>5000</v>
      </c>
      <c r="K24" s="230">
        <f t="shared" si="1"/>
        <v>3172.0846789249726</v>
      </c>
      <c r="L24" s="46" t="s">
        <v>700</v>
      </c>
      <c r="M24" s="322">
        <v>0</v>
      </c>
      <c r="N24" s="113" t="s">
        <v>852</v>
      </c>
      <c r="O24" s="1196" t="e">
        <f t="shared" ref="O24:O87" si="14">AB24+1 &amp;"/32"</f>
        <v>#VALUE!</v>
      </c>
      <c r="P24" s="742" t="e">
        <f t="shared" ref="P24:P34" ca="1" si="15">+ROUND(INDIRECT(ADDRESS(22,11,1,TRUE,B24)),0)</f>
        <v>#VALUE!</v>
      </c>
      <c r="Q24" s="742" t="e">
        <f t="shared" ref="Q24:Q34" ca="1" si="16">ROUND(INDIRECT(ADDRESS(23,11,1,TRUE,B24)),0)</f>
        <v>#VALUE!</v>
      </c>
      <c r="R24" s="218">
        <v>1</v>
      </c>
      <c r="S24" s="218">
        <v>3</v>
      </c>
      <c r="T24" s="226">
        <f t="shared" ref="T24:T34" si="17">2.237*6</f>
        <v>13.422000000000001</v>
      </c>
      <c r="U24" s="557">
        <v>0.97430000000000005</v>
      </c>
      <c r="V24" s="227" t="e">
        <f t="shared" ref="V24:V34" ca="1" si="18">INDIRECT(ADDRESS(52,6,1,,$B24))</f>
        <v>#VALUE!</v>
      </c>
      <c r="W24" s="227" t="e">
        <f t="shared" ref="W24:W34" ca="1" si="19">INDIRECT(ADDRESS(52,7,1,,$B24))</f>
        <v>#VALUE!</v>
      </c>
      <c r="X24" s="554" t="e">
        <f t="shared" ca="1" si="2"/>
        <v>#VALUE!</v>
      </c>
      <c r="Y24" s="6">
        <f t="shared" si="3"/>
        <v>1.5762504807073789</v>
      </c>
      <c r="Z24" s="6">
        <f t="shared" si="4"/>
        <v>17</v>
      </c>
      <c r="AA24" s="6" t="e">
        <f t="shared" si="5"/>
        <v>#VALUE!</v>
      </c>
      <c r="AB24" s="5" t="e">
        <f t="shared" si="6"/>
        <v>#VALUE!</v>
      </c>
      <c r="AC24" s="342" t="e">
        <f t="shared" si="7"/>
        <v>#N/A</v>
      </c>
      <c r="AD24" s="343" t="e">
        <f t="shared" si="8"/>
        <v>#N/A</v>
      </c>
      <c r="AE24" s="344" t="e">
        <f t="shared" si="9"/>
        <v>#N/A</v>
      </c>
      <c r="AF24" s="344" t="e">
        <f t="shared" ref="AF24:AF87" si="20">IF($R24&lt;&gt;2,NA(),IF(ISNA(AE24),(2/32-2*0.014)^2,IF(ABS($AD24/$AC24)&lt;ABS($AC24/$AE24),$AD24,$AE24)))</f>
        <v>#N/A</v>
      </c>
      <c r="AG24" s="43" t="e">
        <f t="shared" si="10"/>
        <v>#N/A</v>
      </c>
      <c r="AH24" s="6" t="e">
        <f t="shared" si="11"/>
        <v>#N/A</v>
      </c>
      <c r="AI24" s="6" t="e">
        <f t="shared" si="12"/>
        <v>#VALUE!</v>
      </c>
    </row>
    <row r="25" spans="2:35">
      <c r="B25" s="102" t="str">
        <f t="shared" ref="B25:B34" si="21">IF((RIGHT(B24,1))&lt;&gt;"Z",CHAR(CODE(B24))&amp;CHAR(CODE(RIGHT(B24,1))+1),CHAR(CODE(B24)+1)&amp;"A")</f>
        <v>AC</v>
      </c>
      <c r="C25" s="256"/>
      <c r="D25" s="1" t="s">
        <v>873</v>
      </c>
      <c r="E25" s="1299" t="s">
        <v>1480</v>
      </c>
      <c r="F25" s="1016">
        <v>10</v>
      </c>
      <c r="G25" s="1017">
        <v>24</v>
      </c>
      <c r="H25" s="1018" t="e">
        <f t="shared" si="0"/>
        <v>#VALUE!</v>
      </c>
      <c r="I25" s="230" t="e">
        <f t="shared" si="13"/>
        <v>#VALUE!</v>
      </c>
      <c r="J25" s="229">
        <v>10000</v>
      </c>
      <c r="K25" s="230">
        <f t="shared" si="1"/>
        <v>3183.098861837907</v>
      </c>
      <c r="L25" s="46" t="s">
        <v>700</v>
      </c>
      <c r="M25" s="322">
        <v>0</v>
      </c>
      <c r="N25" s="113" t="s">
        <v>852</v>
      </c>
      <c r="O25" s="1196" t="e">
        <f t="shared" si="14"/>
        <v>#VALUE!</v>
      </c>
      <c r="P25" s="742" t="e">
        <f t="shared" ca="1" si="15"/>
        <v>#VALUE!</v>
      </c>
      <c r="Q25" s="742" t="e">
        <f t="shared" ca="1" si="16"/>
        <v>#VALUE!</v>
      </c>
      <c r="R25" s="218">
        <v>1</v>
      </c>
      <c r="S25" s="218">
        <v>3</v>
      </c>
      <c r="T25" s="226">
        <f t="shared" si="17"/>
        <v>13.422000000000001</v>
      </c>
      <c r="U25" s="557">
        <v>0.97430000000000005</v>
      </c>
      <c r="V25" s="227" t="e">
        <f t="shared" ca="1" si="18"/>
        <v>#VALUE!</v>
      </c>
      <c r="W25" s="227" t="e">
        <f t="shared" ca="1" si="19"/>
        <v>#VALUE!</v>
      </c>
      <c r="X25" s="554" t="e">
        <f t="shared" ca="1" si="2"/>
        <v>#VALUE!</v>
      </c>
      <c r="Y25" s="6">
        <f t="shared" si="3"/>
        <v>3.1415926535897931</v>
      </c>
      <c r="Z25" s="6">
        <f t="shared" si="4"/>
        <v>24</v>
      </c>
      <c r="AA25" s="6" t="e">
        <f t="shared" si="5"/>
        <v>#VALUE!</v>
      </c>
      <c r="AB25" s="5" t="e">
        <f t="shared" si="6"/>
        <v>#VALUE!</v>
      </c>
      <c r="AC25" s="342" t="e">
        <f t="shared" si="7"/>
        <v>#N/A</v>
      </c>
      <c r="AD25" s="343" t="e">
        <f t="shared" si="8"/>
        <v>#N/A</v>
      </c>
      <c r="AE25" s="344" t="e">
        <f t="shared" si="9"/>
        <v>#N/A</v>
      </c>
      <c r="AF25" s="344" t="e">
        <f t="shared" si="20"/>
        <v>#N/A</v>
      </c>
      <c r="AG25" s="43" t="e">
        <f t="shared" si="10"/>
        <v>#N/A</v>
      </c>
      <c r="AH25" s="6" t="e">
        <f t="shared" si="11"/>
        <v>#N/A</v>
      </c>
      <c r="AI25" s="6" t="e">
        <f t="shared" si="12"/>
        <v>#VALUE!</v>
      </c>
    </row>
    <row r="26" spans="2:35">
      <c r="B26" s="102" t="str">
        <f t="shared" si="21"/>
        <v>AD</v>
      </c>
      <c r="C26" s="256"/>
      <c r="D26" s="1" t="s">
        <v>874</v>
      </c>
      <c r="E26" s="1299" t="s">
        <v>1481</v>
      </c>
      <c r="F26" s="1016">
        <v>10</v>
      </c>
      <c r="G26" s="1017">
        <v>38</v>
      </c>
      <c r="H26" s="1018" t="e">
        <f t="shared" si="0"/>
        <v>#VALUE!</v>
      </c>
      <c r="I26" s="230" t="e">
        <f t="shared" si="13"/>
        <v>#VALUE!</v>
      </c>
      <c r="J26" s="229">
        <v>25000</v>
      </c>
      <c r="K26" s="230">
        <f t="shared" si="1"/>
        <v>3174.2814134671648</v>
      </c>
      <c r="L26" s="46" t="s">
        <v>700</v>
      </c>
      <c r="M26" s="322">
        <v>0</v>
      </c>
      <c r="N26" s="113" t="s">
        <v>852</v>
      </c>
      <c r="O26" s="1196" t="e">
        <f t="shared" si="14"/>
        <v>#VALUE!</v>
      </c>
      <c r="P26" s="742" t="e">
        <f t="shared" ca="1" si="15"/>
        <v>#VALUE!</v>
      </c>
      <c r="Q26" s="742" t="e">
        <f t="shared" ca="1" si="16"/>
        <v>#VALUE!</v>
      </c>
      <c r="R26" s="218">
        <v>1</v>
      </c>
      <c r="S26" s="218">
        <v>3</v>
      </c>
      <c r="T26" s="226">
        <f t="shared" si="17"/>
        <v>13.422000000000001</v>
      </c>
      <c r="U26" s="557">
        <v>0.97430000000000005</v>
      </c>
      <c r="V26" s="227" t="e">
        <f t="shared" ca="1" si="18"/>
        <v>#VALUE!</v>
      </c>
      <c r="W26" s="227" t="e">
        <f t="shared" ca="1" si="19"/>
        <v>#VALUE!</v>
      </c>
      <c r="X26" s="554" t="e">
        <f t="shared" ca="1" si="2"/>
        <v>#VALUE!</v>
      </c>
      <c r="Y26" s="6">
        <f t="shared" si="3"/>
        <v>7.8757982496244114</v>
      </c>
      <c r="Z26" s="6">
        <f t="shared" si="4"/>
        <v>38</v>
      </c>
      <c r="AA26" s="6" t="e">
        <f t="shared" si="5"/>
        <v>#VALUE!</v>
      </c>
      <c r="AB26" s="5" t="e">
        <f t="shared" si="6"/>
        <v>#VALUE!</v>
      </c>
      <c r="AC26" s="342" t="e">
        <f t="shared" si="7"/>
        <v>#N/A</v>
      </c>
      <c r="AD26" s="343" t="e">
        <f t="shared" si="8"/>
        <v>#N/A</v>
      </c>
      <c r="AE26" s="344" t="e">
        <f t="shared" si="9"/>
        <v>#N/A</v>
      </c>
      <c r="AF26" s="344" t="e">
        <f t="shared" si="20"/>
        <v>#N/A</v>
      </c>
      <c r="AG26" s="43" t="e">
        <f t="shared" si="10"/>
        <v>#N/A</v>
      </c>
      <c r="AH26" s="6" t="e">
        <f t="shared" si="11"/>
        <v>#N/A</v>
      </c>
      <c r="AI26" s="6" t="e">
        <f t="shared" si="12"/>
        <v>#VALUE!</v>
      </c>
    </row>
    <row r="27" spans="2:35">
      <c r="B27" s="102" t="str">
        <f t="shared" si="21"/>
        <v>AE</v>
      </c>
      <c r="C27" s="256"/>
      <c r="D27" s="1" t="s">
        <v>875</v>
      </c>
      <c r="E27" s="1299" t="s">
        <v>1482</v>
      </c>
      <c r="F27" s="1016">
        <v>10</v>
      </c>
      <c r="G27" s="1017">
        <v>56</v>
      </c>
      <c r="H27" s="1018" t="e">
        <f t="shared" si="0"/>
        <v>#VALUE!</v>
      </c>
      <c r="I27" s="230" t="e">
        <f t="shared" si="13"/>
        <v>#VALUE!</v>
      </c>
      <c r="J27" s="229">
        <v>50000</v>
      </c>
      <c r="K27" s="230">
        <f t="shared" si="1"/>
        <v>2923.2540567899141</v>
      </c>
      <c r="L27" s="46" t="s">
        <v>700</v>
      </c>
      <c r="M27" s="322">
        <v>0</v>
      </c>
      <c r="N27" s="113" t="s">
        <v>852</v>
      </c>
      <c r="O27" s="1196" t="e">
        <f t="shared" si="14"/>
        <v>#VALUE!</v>
      </c>
      <c r="P27" s="742" t="e">
        <f t="shared" ca="1" si="15"/>
        <v>#VALUE!</v>
      </c>
      <c r="Q27" s="742" t="e">
        <f t="shared" ca="1" si="16"/>
        <v>#VALUE!</v>
      </c>
      <c r="R27" s="218">
        <v>1</v>
      </c>
      <c r="S27" s="218">
        <v>3</v>
      </c>
      <c r="T27" s="226">
        <f t="shared" si="17"/>
        <v>13.422000000000001</v>
      </c>
      <c r="U27" s="557">
        <v>0.97430000000000005</v>
      </c>
      <c r="V27" s="227" t="e">
        <f t="shared" ca="1" si="18"/>
        <v>#VALUE!</v>
      </c>
      <c r="W27" s="227" t="e">
        <f t="shared" ca="1" si="19"/>
        <v>#VALUE!</v>
      </c>
      <c r="X27" s="554" t="e">
        <f t="shared" ca="1" si="2"/>
        <v>#VALUE!</v>
      </c>
      <c r="Y27" s="6">
        <f t="shared" si="3"/>
        <v>17.104226669544431</v>
      </c>
      <c r="Z27" s="6">
        <f t="shared" si="4"/>
        <v>56</v>
      </c>
      <c r="AA27" s="6" t="e">
        <f t="shared" si="5"/>
        <v>#VALUE!</v>
      </c>
      <c r="AB27" s="5" t="e">
        <f t="shared" si="6"/>
        <v>#VALUE!</v>
      </c>
      <c r="AC27" s="342" t="e">
        <f t="shared" si="7"/>
        <v>#N/A</v>
      </c>
      <c r="AD27" s="343" t="e">
        <f t="shared" si="8"/>
        <v>#N/A</v>
      </c>
      <c r="AE27" s="344" t="e">
        <f t="shared" si="9"/>
        <v>#N/A</v>
      </c>
      <c r="AF27" s="344" t="e">
        <f t="shared" si="20"/>
        <v>#N/A</v>
      </c>
      <c r="AG27" s="43" t="e">
        <f t="shared" si="10"/>
        <v>#N/A</v>
      </c>
      <c r="AH27" s="6" t="e">
        <f t="shared" si="11"/>
        <v>#N/A</v>
      </c>
      <c r="AI27" s="6" t="e">
        <f t="shared" si="12"/>
        <v>#VALUE!</v>
      </c>
    </row>
    <row r="28" spans="2:35">
      <c r="B28" s="102" t="str">
        <f t="shared" si="21"/>
        <v>AF</v>
      </c>
      <c r="C28" s="256"/>
      <c r="D28" s="1" t="s">
        <v>876</v>
      </c>
      <c r="E28" s="1299" t="s">
        <v>1483</v>
      </c>
      <c r="F28" s="1016">
        <v>10</v>
      </c>
      <c r="G28" s="1017">
        <v>66</v>
      </c>
      <c r="H28" s="1018" t="e">
        <f t="shared" si="0"/>
        <v>#VALUE!</v>
      </c>
      <c r="I28" s="230" t="e">
        <f t="shared" si="13"/>
        <v>#VALUE!</v>
      </c>
      <c r="J28" s="229">
        <v>75000</v>
      </c>
      <c r="K28" s="230">
        <f t="shared" si="1"/>
        <v>3156.7922596739572</v>
      </c>
      <c r="L28" s="46" t="s">
        <v>700</v>
      </c>
      <c r="M28" s="322">
        <v>0</v>
      </c>
      <c r="N28" s="113" t="s">
        <v>852</v>
      </c>
      <c r="O28" s="1196" t="e">
        <f t="shared" si="14"/>
        <v>#VALUE!</v>
      </c>
      <c r="P28" s="742" t="e">
        <f t="shared" ca="1" si="15"/>
        <v>#VALUE!</v>
      </c>
      <c r="Q28" s="742" t="e">
        <f t="shared" ca="1" si="16"/>
        <v>#VALUE!</v>
      </c>
      <c r="R28" s="218">
        <v>1</v>
      </c>
      <c r="S28" s="218">
        <v>3</v>
      </c>
      <c r="T28" s="226">
        <f t="shared" si="17"/>
        <v>13.422000000000001</v>
      </c>
      <c r="U28" s="557">
        <v>0.97430000000000005</v>
      </c>
      <c r="V28" s="227" t="e">
        <f t="shared" ca="1" si="18"/>
        <v>#VALUE!</v>
      </c>
      <c r="W28" s="227" t="e">
        <f t="shared" ca="1" si="19"/>
        <v>#VALUE!</v>
      </c>
      <c r="X28" s="554" t="e">
        <f t="shared" ca="1" si="2"/>
        <v>#VALUE!</v>
      </c>
      <c r="Y28" s="6">
        <f t="shared" si="3"/>
        <v>23.758294442772812</v>
      </c>
      <c r="Z28" s="6">
        <f t="shared" si="4"/>
        <v>66</v>
      </c>
      <c r="AA28" s="6" t="e">
        <f t="shared" si="5"/>
        <v>#VALUE!</v>
      </c>
      <c r="AB28" s="5" t="e">
        <f t="shared" si="6"/>
        <v>#VALUE!</v>
      </c>
      <c r="AC28" s="342" t="e">
        <f t="shared" si="7"/>
        <v>#N/A</v>
      </c>
      <c r="AD28" s="343" t="e">
        <f t="shared" si="8"/>
        <v>#N/A</v>
      </c>
      <c r="AE28" s="344" t="e">
        <f t="shared" si="9"/>
        <v>#N/A</v>
      </c>
      <c r="AF28" s="344" t="e">
        <f t="shared" si="20"/>
        <v>#N/A</v>
      </c>
      <c r="AG28" s="43" t="e">
        <f t="shared" si="10"/>
        <v>#N/A</v>
      </c>
      <c r="AH28" s="6" t="e">
        <f t="shared" si="11"/>
        <v>#N/A</v>
      </c>
      <c r="AI28" s="6" t="e">
        <f t="shared" si="12"/>
        <v>#VALUE!</v>
      </c>
    </row>
    <row r="29" spans="2:35">
      <c r="B29" s="102" t="str">
        <f t="shared" si="21"/>
        <v>AG</v>
      </c>
      <c r="C29" s="256"/>
      <c r="D29" s="1" t="s">
        <v>34</v>
      </c>
      <c r="E29" s="1299" t="s">
        <v>1265</v>
      </c>
      <c r="F29" s="1016">
        <v>10</v>
      </c>
      <c r="G29" s="1017">
        <v>76</v>
      </c>
      <c r="H29" s="1018" t="e">
        <f t="shared" ref="H29:H48" si="22">((Ta-273.15)*(9/5))+32</f>
        <v>#VALUE!</v>
      </c>
      <c r="I29" s="230" t="e">
        <f t="shared" si="13"/>
        <v>#VALUE!</v>
      </c>
      <c r="J29" s="229">
        <v>100000</v>
      </c>
      <c r="K29" s="230">
        <f t="shared" si="1"/>
        <v>3174.2814134671648</v>
      </c>
      <c r="L29" s="46" t="s">
        <v>700</v>
      </c>
      <c r="M29" s="322">
        <v>0</v>
      </c>
      <c r="N29" s="113" t="s">
        <v>852</v>
      </c>
      <c r="O29" s="1196" t="e">
        <f t="shared" si="14"/>
        <v>#VALUE!</v>
      </c>
      <c r="P29" s="742" t="e">
        <f t="shared" ca="1" si="15"/>
        <v>#VALUE!</v>
      </c>
      <c r="Q29" s="742" t="e">
        <f t="shared" ca="1" si="16"/>
        <v>#VALUE!</v>
      </c>
      <c r="R29" s="218">
        <v>1</v>
      </c>
      <c r="S29" s="218">
        <v>3</v>
      </c>
      <c r="T29" s="226">
        <f t="shared" si="17"/>
        <v>13.422000000000001</v>
      </c>
      <c r="U29" s="557">
        <v>0.97430000000000005</v>
      </c>
      <c r="V29" s="227" t="e">
        <f t="shared" ca="1" si="18"/>
        <v>#VALUE!</v>
      </c>
      <c r="W29" s="227" t="e">
        <f t="shared" ca="1" si="19"/>
        <v>#VALUE!</v>
      </c>
      <c r="X29" s="554" t="e">
        <f t="shared" ref="X29:X39" ca="1" si="23">V29-W29</f>
        <v>#VALUE!</v>
      </c>
      <c r="Y29" s="6">
        <f t="shared" si="3"/>
        <v>31.503192998497646</v>
      </c>
      <c r="Z29" s="6">
        <f t="shared" si="4"/>
        <v>76</v>
      </c>
      <c r="AA29" s="6" t="e">
        <f t="shared" si="5"/>
        <v>#VALUE!</v>
      </c>
      <c r="AB29" s="5" t="e">
        <f t="shared" ref="AB29:AB50" si="24">IF($R29=1,ROUND(AA29*32,0),NA())</f>
        <v>#VALUE!</v>
      </c>
      <c r="AC29" s="342" t="e">
        <f t="shared" ref="AC29:AC39" si="25">IF($R29=2,(PI()*(Z29/SF)^2)/4,NA())</f>
        <v>#N/A</v>
      </c>
      <c r="AD29" s="343" t="e">
        <f t="shared" si="8"/>
        <v>#N/A</v>
      </c>
      <c r="AE29" s="344" t="e">
        <f t="shared" si="9"/>
        <v>#N/A</v>
      </c>
      <c r="AF29" s="344" t="e">
        <f t="shared" si="20"/>
        <v>#N/A</v>
      </c>
      <c r="AG29" s="43" t="e">
        <f t="shared" si="10"/>
        <v>#N/A</v>
      </c>
      <c r="AH29" s="6" t="e">
        <f t="shared" ref="AH29:AH39" si="26">SQRT(4*AF29/PI())</f>
        <v>#N/A</v>
      </c>
      <c r="AI29" s="6" t="e">
        <f t="shared" si="12"/>
        <v>#VALUE!</v>
      </c>
    </row>
    <row r="30" spans="2:35">
      <c r="B30" s="102" t="str">
        <f t="shared" si="21"/>
        <v>AH</v>
      </c>
      <c r="C30" s="256"/>
      <c r="D30" s="1" t="s">
        <v>35</v>
      </c>
      <c r="E30" s="1299" t="s">
        <v>1484</v>
      </c>
      <c r="F30" s="1016">
        <v>10</v>
      </c>
      <c r="G30" s="1017">
        <v>110</v>
      </c>
      <c r="H30" s="1018" t="e">
        <f t="shared" si="22"/>
        <v>#VALUE!</v>
      </c>
      <c r="I30" s="230" t="e">
        <f t="shared" si="13"/>
        <v>#VALUE!</v>
      </c>
      <c r="J30" s="229">
        <v>200000</v>
      </c>
      <c r="K30" s="230">
        <f t="shared" si="1"/>
        <v>3030.520569286999</v>
      </c>
      <c r="L30" s="46" t="s">
        <v>700</v>
      </c>
      <c r="M30" s="322">
        <v>0</v>
      </c>
      <c r="N30" s="113" t="s">
        <v>852</v>
      </c>
      <c r="O30" s="1196" t="e">
        <f t="shared" si="14"/>
        <v>#VALUE!</v>
      </c>
      <c r="P30" s="742" t="e">
        <f t="shared" ca="1" si="15"/>
        <v>#VALUE!</v>
      </c>
      <c r="Q30" s="742" t="e">
        <f t="shared" ca="1" si="16"/>
        <v>#VALUE!</v>
      </c>
      <c r="R30" s="218">
        <v>1</v>
      </c>
      <c r="S30" s="218">
        <v>3</v>
      </c>
      <c r="T30" s="226">
        <f t="shared" si="17"/>
        <v>13.422000000000001</v>
      </c>
      <c r="U30" s="557">
        <v>0.97430000000000005</v>
      </c>
      <c r="V30" s="227" t="e">
        <f t="shared" ca="1" si="18"/>
        <v>#VALUE!</v>
      </c>
      <c r="W30" s="227" t="e">
        <f t="shared" ca="1" si="19"/>
        <v>#VALUE!</v>
      </c>
      <c r="X30" s="554" t="e">
        <f ca="1">V30-W30</f>
        <v>#VALUE!</v>
      </c>
      <c r="Y30" s="6">
        <f t="shared" si="3"/>
        <v>65.995262341035584</v>
      </c>
      <c r="Z30" s="6">
        <f t="shared" si="4"/>
        <v>110</v>
      </c>
      <c r="AA30" s="6" t="e">
        <f t="shared" si="5"/>
        <v>#VALUE!</v>
      </c>
      <c r="AB30" s="5" t="e">
        <f t="shared" si="24"/>
        <v>#VALUE!</v>
      </c>
      <c r="AC30" s="342" t="e">
        <f>IF($R30=2,(PI()*(Z30/SF)^2)/4,NA())</f>
        <v>#N/A</v>
      </c>
      <c r="AD30" s="343" t="e">
        <f t="shared" si="8"/>
        <v>#N/A</v>
      </c>
      <c r="AE30" s="344" t="e">
        <f t="shared" si="9"/>
        <v>#N/A</v>
      </c>
      <c r="AF30" s="344" t="e">
        <f t="shared" si="20"/>
        <v>#N/A</v>
      </c>
      <c r="AG30" s="43" t="e">
        <f t="shared" si="10"/>
        <v>#N/A</v>
      </c>
      <c r="AH30" s="6" t="e">
        <f>SQRT(4*AF30/PI())</f>
        <v>#N/A</v>
      </c>
      <c r="AI30" s="6" t="e">
        <f t="shared" si="12"/>
        <v>#VALUE!</v>
      </c>
    </row>
    <row r="31" spans="2:35">
      <c r="B31" s="102" t="str">
        <f t="shared" si="21"/>
        <v>AI</v>
      </c>
      <c r="C31" s="256"/>
      <c r="D31" s="1" t="s">
        <v>877</v>
      </c>
      <c r="E31" s="1299" t="s">
        <v>1485</v>
      </c>
      <c r="F31" s="1016">
        <v>10</v>
      </c>
      <c r="G31" s="1017">
        <v>160</v>
      </c>
      <c r="H31" s="1018" t="e">
        <f t="shared" si="22"/>
        <v>#VALUE!</v>
      </c>
      <c r="I31" s="230" t="e">
        <f t="shared" si="13"/>
        <v>#VALUE!</v>
      </c>
      <c r="J31" s="229">
        <v>400000</v>
      </c>
      <c r="K31" s="230">
        <f t="shared" si="1"/>
        <v>2864.7889756541158</v>
      </c>
      <c r="L31" s="46" t="s">
        <v>700</v>
      </c>
      <c r="M31" s="322">
        <v>0</v>
      </c>
      <c r="N31" s="113" t="s">
        <v>852</v>
      </c>
      <c r="O31" s="1196" t="e">
        <f t="shared" si="14"/>
        <v>#VALUE!</v>
      </c>
      <c r="P31" s="742" t="e">
        <f t="shared" ca="1" si="15"/>
        <v>#VALUE!</v>
      </c>
      <c r="Q31" s="742" t="e">
        <f t="shared" ca="1" si="16"/>
        <v>#VALUE!</v>
      </c>
      <c r="R31" s="218">
        <v>1</v>
      </c>
      <c r="S31" s="218">
        <v>3</v>
      </c>
      <c r="T31" s="226">
        <f t="shared" si="17"/>
        <v>13.422000000000001</v>
      </c>
      <c r="U31" s="557">
        <v>0.97430000000000005</v>
      </c>
      <c r="V31" s="227" t="e">
        <f t="shared" ca="1" si="18"/>
        <v>#VALUE!</v>
      </c>
      <c r="W31" s="227" t="e">
        <f t="shared" ca="1" si="19"/>
        <v>#VALUE!</v>
      </c>
      <c r="X31" s="554" t="e">
        <f t="shared" ca="1" si="23"/>
        <v>#VALUE!</v>
      </c>
      <c r="Y31" s="6">
        <f t="shared" si="3"/>
        <v>139.62634015954637</v>
      </c>
      <c r="Z31" s="6">
        <f t="shared" si="4"/>
        <v>160</v>
      </c>
      <c r="AA31" s="6" t="e">
        <f t="shared" si="5"/>
        <v>#VALUE!</v>
      </c>
      <c r="AB31" s="5" t="e">
        <f t="shared" si="24"/>
        <v>#VALUE!</v>
      </c>
      <c r="AC31" s="342" t="e">
        <f t="shared" si="25"/>
        <v>#N/A</v>
      </c>
      <c r="AD31" s="343" t="e">
        <f t="shared" si="8"/>
        <v>#N/A</v>
      </c>
      <c r="AE31" s="344" t="e">
        <f t="shared" si="9"/>
        <v>#N/A</v>
      </c>
      <c r="AF31" s="344" t="e">
        <f t="shared" si="20"/>
        <v>#N/A</v>
      </c>
      <c r="AG31" s="43" t="e">
        <f t="shared" si="10"/>
        <v>#N/A</v>
      </c>
      <c r="AH31" s="6" t="e">
        <f t="shared" si="26"/>
        <v>#N/A</v>
      </c>
      <c r="AI31" s="6" t="e">
        <f t="shared" si="12"/>
        <v>#VALUE!</v>
      </c>
    </row>
    <row r="32" spans="2:35">
      <c r="B32" s="102" t="str">
        <f t="shared" si="21"/>
        <v>AJ</v>
      </c>
      <c r="C32" s="256"/>
      <c r="D32" s="1" t="s">
        <v>878</v>
      </c>
      <c r="E32" s="46" t="s">
        <v>869</v>
      </c>
      <c r="F32" s="1016">
        <v>10</v>
      </c>
      <c r="G32" s="1017">
        <v>24.72</v>
      </c>
      <c r="H32" s="1018" t="e">
        <f t="shared" si="22"/>
        <v>#VALUE!</v>
      </c>
      <c r="I32" s="230" t="e">
        <f t="shared" si="13"/>
        <v>#VALUE!</v>
      </c>
      <c r="J32" s="229">
        <v>10000</v>
      </c>
      <c r="K32" s="230">
        <f t="shared" si="1"/>
        <v>3000.3759655367207</v>
      </c>
      <c r="L32" s="46" t="s">
        <v>700</v>
      </c>
      <c r="M32" s="322">
        <v>0</v>
      </c>
      <c r="N32" s="113" t="s">
        <v>852</v>
      </c>
      <c r="O32" s="1196" t="e">
        <f t="shared" si="14"/>
        <v>#VALUE!</v>
      </c>
      <c r="P32" s="742" t="e">
        <f t="shared" ca="1" si="15"/>
        <v>#VALUE!</v>
      </c>
      <c r="Q32" s="742" t="e">
        <f t="shared" ca="1" si="16"/>
        <v>#VALUE!</v>
      </c>
      <c r="R32" s="218">
        <v>1</v>
      </c>
      <c r="S32" s="218">
        <v>3</v>
      </c>
      <c r="T32" s="226">
        <f t="shared" si="17"/>
        <v>13.422000000000001</v>
      </c>
      <c r="U32" s="557">
        <v>0.97430000000000005</v>
      </c>
      <c r="V32" s="227" t="e">
        <f t="shared" ca="1" si="18"/>
        <v>#VALUE!</v>
      </c>
      <c r="W32" s="227" t="e">
        <f t="shared" ca="1" si="19"/>
        <v>#VALUE!</v>
      </c>
      <c r="X32" s="554" t="e">
        <f ca="1">V32-W32</f>
        <v>#VALUE!</v>
      </c>
      <c r="Y32" s="6">
        <f t="shared" si="3"/>
        <v>3.3329156461934115</v>
      </c>
      <c r="Z32" s="6">
        <f t="shared" si="4"/>
        <v>24.72</v>
      </c>
      <c r="AA32" s="6" t="e">
        <f t="shared" si="5"/>
        <v>#VALUE!</v>
      </c>
      <c r="AB32" s="5" t="e">
        <f t="shared" si="24"/>
        <v>#VALUE!</v>
      </c>
      <c r="AC32" s="342" t="e">
        <f>IF($R32=2,(PI()*(Z32/SF)^2)/4,NA())</f>
        <v>#N/A</v>
      </c>
      <c r="AD32" s="343" t="e">
        <f t="shared" si="8"/>
        <v>#N/A</v>
      </c>
      <c r="AE32" s="344" t="e">
        <f t="shared" si="9"/>
        <v>#N/A</v>
      </c>
      <c r="AF32" s="344" t="e">
        <f t="shared" si="20"/>
        <v>#N/A</v>
      </c>
      <c r="AG32" s="43" t="e">
        <f t="shared" si="10"/>
        <v>#N/A</v>
      </c>
      <c r="AH32" s="6" t="e">
        <f>SQRT(4*AF32/PI())</f>
        <v>#N/A</v>
      </c>
      <c r="AI32" s="6" t="e">
        <f t="shared" si="12"/>
        <v>#VALUE!</v>
      </c>
    </row>
    <row r="33" spans="2:35">
      <c r="B33" s="102" t="str">
        <f t="shared" si="21"/>
        <v>AK</v>
      </c>
      <c r="C33" s="256"/>
      <c r="D33" s="1" t="s">
        <v>455</v>
      </c>
      <c r="E33" s="46" t="s">
        <v>452</v>
      </c>
      <c r="F33" s="1016">
        <v>10</v>
      </c>
      <c r="G33" s="1017">
        <v>6</v>
      </c>
      <c r="H33" s="1019">
        <v>300</v>
      </c>
      <c r="I33" s="230">
        <f t="shared" si="13"/>
        <v>636.25855350983352</v>
      </c>
      <c r="J33" s="229">
        <v>200</v>
      </c>
      <c r="K33" s="230">
        <f t="shared" si="1"/>
        <v>1018.5916357881301</v>
      </c>
      <c r="L33" s="46" t="s">
        <v>700</v>
      </c>
      <c r="M33" s="322">
        <v>0</v>
      </c>
      <c r="N33" s="113" t="s">
        <v>456</v>
      </c>
      <c r="O33" s="1196" t="e">
        <f t="shared" si="14"/>
        <v>#VALUE!</v>
      </c>
      <c r="P33" s="742" t="e">
        <f t="shared" ca="1" si="15"/>
        <v>#VALUE!</v>
      </c>
      <c r="Q33" s="742" t="e">
        <f t="shared" ca="1" si="16"/>
        <v>#VALUE!</v>
      </c>
      <c r="R33" s="218">
        <v>1</v>
      </c>
      <c r="S33" s="218">
        <v>3</v>
      </c>
      <c r="T33" s="226">
        <f t="shared" si="17"/>
        <v>13.422000000000001</v>
      </c>
      <c r="U33" s="557">
        <v>0.97430000000000005</v>
      </c>
      <c r="V33" s="227" t="e">
        <f t="shared" ca="1" si="18"/>
        <v>#VALUE!</v>
      </c>
      <c r="W33" s="227" t="e">
        <f t="shared" ca="1" si="19"/>
        <v>#VALUE!</v>
      </c>
      <c r="X33" s="554" t="e">
        <f t="shared" ca="1" si="23"/>
        <v>#VALUE!</v>
      </c>
      <c r="Y33" s="6">
        <f t="shared" si="3"/>
        <v>0.19634954084936207</v>
      </c>
      <c r="Z33" s="6">
        <f t="shared" si="4"/>
        <v>6</v>
      </c>
      <c r="AA33" s="6" t="e">
        <f t="shared" si="5"/>
        <v>#VALUE!</v>
      </c>
      <c r="AB33" s="5" t="e">
        <f t="shared" si="24"/>
        <v>#VALUE!</v>
      </c>
      <c r="AC33" s="342" t="e">
        <f t="shared" si="25"/>
        <v>#N/A</v>
      </c>
      <c r="AD33" s="343" t="e">
        <f t="shared" si="8"/>
        <v>#N/A</v>
      </c>
      <c r="AE33" s="344" t="e">
        <f t="shared" si="9"/>
        <v>#N/A</v>
      </c>
      <c r="AF33" s="344" t="e">
        <f t="shared" si="20"/>
        <v>#N/A</v>
      </c>
      <c r="AG33" s="43" t="e">
        <f t="shared" si="10"/>
        <v>#N/A</v>
      </c>
      <c r="AH33" s="6" t="e">
        <f t="shared" si="26"/>
        <v>#N/A</v>
      </c>
      <c r="AI33" s="6" t="e">
        <f t="shared" si="12"/>
        <v>#VALUE!</v>
      </c>
    </row>
    <row r="34" spans="2:35">
      <c r="B34" s="102" t="str">
        <f t="shared" si="21"/>
        <v>AL</v>
      </c>
      <c r="C34" s="256"/>
      <c r="D34" s="1" t="s">
        <v>459</v>
      </c>
      <c r="E34" s="46" t="s">
        <v>117</v>
      </c>
      <c r="F34" s="1016">
        <v>10</v>
      </c>
      <c r="G34" s="1017">
        <v>14</v>
      </c>
      <c r="H34" s="1017">
        <v>891</v>
      </c>
      <c r="I34" s="230">
        <f t="shared" si="13"/>
        <v>23294.692795627911</v>
      </c>
      <c r="J34" s="229">
        <v>13019</v>
      </c>
      <c r="K34" s="230">
        <f t="shared" si="1"/>
        <v>12178.510260911326</v>
      </c>
      <c r="L34" s="46" t="s">
        <v>700</v>
      </c>
      <c r="M34" s="322">
        <v>0</v>
      </c>
      <c r="N34" s="113" t="s">
        <v>456</v>
      </c>
      <c r="O34" s="1196" t="e">
        <f t="shared" si="14"/>
        <v>#VALUE!</v>
      </c>
      <c r="P34" s="742" t="e">
        <f t="shared" ca="1" si="15"/>
        <v>#VALUE!</v>
      </c>
      <c r="Q34" s="742" t="e">
        <f t="shared" ca="1" si="16"/>
        <v>#VALUE!</v>
      </c>
      <c r="R34" s="218">
        <v>1</v>
      </c>
      <c r="S34" s="218">
        <v>3</v>
      </c>
      <c r="T34" s="226">
        <f t="shared" si="17"/>
        <v>13.422000000000001</v>
      </c>
      <c r="U34" s="557">
        <v>0.97430000000000005</v>
      </c>
      <c r="V34" s="227" t="e">
        <f t="shared" ca="1" si="18"/>
        <v>#VALUE!</v>
      </c>
      <c r="W34" s="227" t="e">
        <f t="shared" ca="1" si="19"/>
        <v>#VALUE!</v>
      </c>
      <c r="X34" s="554" t="e">
        <f t="shared" ca="1" si="23"/>
        <v>#VALUE!</v>
      </c>
      <c r="Y34" s="6">
        <f t="shared" si="3"/>
        <v>1.0690141668465269</v>
      </c>
      <c r="Z34" s="32">
        <f t="shared" si="4"/>
        <v>14</v>
      </c>
      <c r="AA34" s="6" t="e">
        <f t="shared" si="5"/>
        <v>#VALUE!</v>
      </c>
      <c r="AB34" s="5" t="e">
        <f t="shared" si="24"/>
        <v>#VALUE!</v>
      </c>
      <c r="AC34" s="342" t="e">
        <f t="shared" si="25"/>
        <v>#N/A</v>
      </c>
      <c r="AD34" s="343" t="e">
        <f t="shared" si="8"/>
        <v>#N/A</v>
      </c>
      <c r="AE34" s="344" t="e">
        <f t="shared" si="9"/>
        <v>#N/A</v>
      </c>
      <c r="AF34" s="344" t="e">
        <f t="shared" si="20"/>
        <v>#N/A</v>
      </c>
      <c r="AG34" s="43" t="e">
        <f t="shared" si="10"/>
        <v>#N/A</v>
      </c>
      <c r="AH34" s="6" t="e">
        <f t="shared" si="26"/>
        <v>#N/A</v>
      </c>
      <c r="AI34" s="6" t="e">
        <f t="shared" si="12"/>
        <v>#VALUE!</v>
      </c>
    </row>
    <row r="35" spans="2:35">
      <c r="B35" s="3"/>
      <c r="C35" s="185"/>
      <c r="D35" s="1"/>
      <c r="E35" s="46"/>
      <c r="F35" s="1016"/>
      <c r="G35" s="1017"/>
      <c r="H35" s="1018"/>
      <c r="I35" s="230"/>
      <c r="J35" s="229"/>
      <c r="K35" s="230"/>
      <c r="L35" s="46"/>
      <c r="M35" s="322"/>
      <c r="N35" s="113"/>
      <c r="P35" s="1"/>
      <c r="R35" s="218"/>
      <c r="S35" s="218"/>
      <c r="T35" s="226"/>
      <c r="U35" s="557"/>
      <c r="V35" s="227"/>
      <c r="W35" s="227"/>
      <c r="X35" s="554"/>
      <c r="Y35" s="6"/>
      <c r="Z35" s="6"/>
      <c r="AA35" s="6"/>
      <c r="AB35" s="5"/>
      <c r="AC35" s="342"/>
      <c r="AD35" s="343"/>
      <c r="AE35" s="344"/>
      <c r="AF35" s="344"/>
      <c r="AG35" s="43"/>
      <c r="AH35" s="6"/>
      <c r="AI35" s="6"/>
    </row>
    <row r="36" spans="2:35">
      <c r="C36" s="1015" t="s">
        <v>33</v>
      </c>
      <c r="F36" s="235"/>
      <c r="N36" s="37"/>
      <c r="R36" s="2"/>
      <c r="S36" s="2"/>
      <c r="T36" s="5"/>
      <c r="X36" s="553"/>
      <c r="AF36" s="344"/>
    </row>
    <row r="37" spans="2:35">
      <c r="B37" s="46" t="s">
        <v>348</v>
      </c>
      <c r="C37" s="256"/>
      <c r="D37" s="1" t="s">
        <v>854</v>
      </c>
      <c r="E37" s="46" t="s">
        <v>36</v>
      </c>
      <c r="F37" s="1016">
        <v>10</v>
      </c>
      <c r="G37" s="1017">
        <v>40.994999999999997</v>
      </c>
      <c r="H37" s="1018" t="e">
        <f t="shared" si="22"/>
        <v>#VALUE!</v>
      </c>
      <c r="I37" s="230" t="e">
        <f t="shared" ref="I37:I50" si="27">$I135*2.2*3600</f>
        <v>#VALUE!</v>
      </c>
      <c r="J37" s="229">
        <v>27500</v>
      </c>
      <c r="K37" s="230">
        <f>$J37/$Y37</f>
        <v>3000.1538282075935</v>
      </c>
      <c r="L37" s="46" t="s">
        <v>700</v>
      </c>
      <c r="M37" s="322">
        <v>0</v>
      </c>
      <c r="N37" s="113" t="s">
        <v>852</v>
      </c>
      <c r="O37" s="1196" t="e">
        <f t="shared" si="14"/>
        <v>#VALUE!</v>
      </c>
      <c r="P37" s="742" t="e">
        <f ca="1">+ROUND(INDIRECT(ADDRESS(22,11,1,TRUE,B37)),0)</f>
        <v>#VALUE!</v>
      </c>
      <c r="Q37" s="742" t="e">
        <f ca="1">ROUND(INDIRECT(ADDRESS(23,11,1,TRUE,B37)),0)</f>
        <v>#VALUE!</v>
      </c>
      <c r="R37" s="218">
        <v>1</v>
      </c>
      <c r="S37" s="218">
        <v>3</v>
      </c>
      <c r="T37" s="226">
        <f t="shared" ref="T37:T50" si="28">2.237*6</f>
        <v>13.422000000000001</v>
      </c>
      <c r="U37" s="557">
        <v>0.97430000000000005</v>
      </c>
      <c r="V37" s="227" t="e">
        <f t="shared" ref="V37:V50" ca="1" si="29">INDIRECT(ADDRESS(52,6,1,,$B37))</f>
        <v>#VALUE!</v>
      </c>
      <c r="W37" s="227" t="e">
        <f t="shared" ref="W37:W50" ca="1" si="30">INDIRECT(ADDRESS(52,7,1,,$B37))</f>
        <v>#VALUE!</v>
      </c>
      <c r="X37" s="554" t="e">
        <f t="shared" ca="1" si="23"/>
        <v>#VALUE!</v>
      </c>
      <c r="Y37" s="6">
        <f t="shared" si="3"/>
        <v>9.1661966601324405</v>
      </c>
      <c r="Z37" s="6">
        <f t="shared" ref="Z37:Z97" si="31">SQRT(4*$Y37/PI())*12</f>
        <v>40.994999999999997</v>
      </c>
      <c r="AA37" s="6" t="e">
        <f t="shared" si="5"/>
        <v>#VALUE!</v>
      </c>
      <c r="AB37" s="5" t="e">
        <f t="shared" si="24"/>
        <v>#VALUE!</v>
      </c>
      <c r="AC37" s="342" t="e">
        <f t="shared" si="25"/>
        <v>#N/A</v>
      </c>
      <c r="AD37" s="343" t="e">
        <f t="shared" si="8"/>
        <v>#N/A</v>
      </c>
      <c r="AE37" s="344" t="e">
        <f t="shared" si="9"/>
        <v>#N/A</v>
      </c>
      <c r="AF37" s="344" t="e">
        <f t="shared" si="20"/>
        <v>#N/A</v>
      </c>
      <c r="AG37" s="43" t="e">
        <f t="shared" ref="AG37:AG50" si="32">IF(R37=2,INDEX(SquareBrass,MATCH($AF37,SquareAreaASC,0),2),NA())</f>
        <v>#N/A</v>
      </c>
      <c r="AH37" s="6" t="e">
        <f t="shared" si="26"/>
        <v>#N/A</v>
      </c>
      <c r="AI37" s="6" t="e">
        <f t="shared" si="12"/>
        <v>#VALUE!</v>
      </c>
    </row>
    <row r="38" spans="2:35">
      <c r="B38" s="102" t="str">
        <f t="shared" ref="B38:B50" si="33">IF((RIGHT(B37,1))&lt;&gt;"Z",CHAR(CODE(B37))&amp;CHAR(CODE(RIGHT(B37,1))+1),CHAR(CODE(B37)+1)&amp;"A")</f>
        <v>BB</v>
      </c>
      <c r="C38" s="256"/>
      <c r="D38" s="1" t="s">
        <v>854</v>
      </c>
      <c r="E38" s="46" t="s">
        <v>37</v>
      </c>
      <c r="F38" s="1016">
        <v>10</v>
      </c>
      <c r="G38" s="1017">
        <v>40.994999999999997</v>
      </c>
      <c r="H38" s="1018" t="e">
        <f t="shared" si="22"/>
        <v>#VALUE!</v>
      </c>
      <c r="I38" s="230" t="e">
        <f t="shared" si="27"/>
        <v>#VALUE!</v>
      </c>
      <c r="J38" s="229">
        <v>27500</v>
      </c>
      <c r="K38" s="230">
        <f>$J38/$Y38</f>
        <v>3000.1538282075935</v>
      </c>
      <c r="L38" s="46" t="s">
        <v>700</v>
      </c>
      <c r="M38" s="322">
        <v>0</v>
      </c>
      <c r="N38" s="113" t="s">
        <v>852</v>
      </c>
      <c r="O38" s="1196" t="e">
        <f t="shared" si="14"/>
        <v>#VALUE!</v>
      </c>
      <c r="P38" s="742" t="e">
        <f t="shared" ref="P38:P50" ca="1" si="34">+ROUND(INDIRECT(ADDRESS(22,11,1,TRUE,B38)),0)</f>
        <v>#VALUE!</v>
      </c>
      <c r="Q38" s="742" t="e">
        <f t="shared" ref="Q38:Q50" ca="1" si="35">ROUND(INDIRECT(ADDRESS(23,11,1,TRUE,B38)),0)</f>
        <v>#VALUE!</v>
      </c>
      <c r="R38" s="218">
        <v>1</v>
      </c>
      <c r="S38" s="218">
        <v>3</v>
      </c>
      <c r="T38" s="226">
        <f t="shared" si="28"/>
        <v>13.422000000000001</v>
      </c>
      <c r="U38" s="557">
        <v>0.97430000000000005</v>
      </c>
      <c r="V38" s="227" t="e">
        <f t="shared" ca="1" si="29"/>
        <v>#VALUE!</v>
      </c>
      <c r="W38" s="227" t="e">
        <f t="shared" ca="1" si="30"/>
        <v>#VALUE!</v>
      </c>
      <c r="X38" s="554" t="e">
        <f ca="1">V38-W38</f>
        <v>#VALUE!</v>
      </c>
      <c r="Y38" s="6">
        <f t="shared" si="3"/>
        <v>9.1661966601324405</v>
      </c>
      <c r="Z38" s="6">
        <f t="shared" si="31"/>
        <v>40.994999999999997</v>
      </c>
      <c r="AA38" s="6" t="e">
        <f t="shared" si="5"/>
        <v>#VALUE!</v>
      </c>
      <c r="AB38" s="5" t="e">
        <f t="shared" si="24"/>
        <v>#VALUE!</v>
      </c>
      <c r="AC38" s="342" t="e">
        <f>IF($R38=2,(PI()*(Z38/SF)^2)/4,NA())</f>
        <v>#N/A</v>
      </c>
      <c r="AD38" s="343" t="e">
        <f t="shared" si="8"/>
        <v>#N/A</v>
      </c>
      <c r="AE38" s="344" t="e">
        <f t="shared" si="9"/>
        <v>#N/A</v>
      </c>
      <c r="AF38" s="344" t="e">
        <f t="shared" si="20"/>
        <v>#N/A</v>
      </c>
      <c r="AG38" s="43" t="e">
        <f t="shared" si="32"/>
        <v>#N/A</v>
      </c>
      <c r="AH38" s="6" t="e">
        <f>SQRT(4*AF38/PI())</f>
        <v>#N/A</v>
      </c>
      <c r="AI38" s="6" t="e">
        <f t="shared" si="12"/>
        <v>#VALUE!</v>
      </c>
    </row>
    <row r="39" spans="2:35">
      <c r="B39" s="102" t="str">
        <f t="shared" si="33"/>
        <v>BC</v>
      </c>
      <c r="C39" s="256"/>
      <c r="D39" s="1" t="s">
        <v>871</v>
      </c>
      <c r="E39" s="46" t="s">
        <v>38</v>
      </c>
      <c r="F39" s="1016">
        <v>10</v>
      </c>
      <c r="G39" s="1017">
        <v>30.28</v>
      </c>
      <c r="H39" s="1018" t="e">
        <f t="shared" si="22"/>
        <v>#VALUE!</v>
      </c>
      <c r="I39" s="230" t="e">
        <f t="shared" si="27"/>
        <v>#VALUE!</v>
      </c>
      <c r="J39" s="229">
        <v>15000</v>
      </c>
      <c r="K39" s="230">
        <f t="shared" ref="K39:K97" si="36">$J39/$Y39</f>
        <v>2999.5225284268354</v>
      </c>
      <c r="L39" s="46" t="s">
        <v>700</v>
      </c>
      <c r="M39" s="322">
        <v>0</v>
      </c>
      <c r="N39" s="113" t="s">
        <v>852</v>
      </c>
      <c r="O39" s="1196" t="e">
        <f t="shared" si="14"/>
        <v>#VALUE!</v>
      </c>
      <c r="P39" s="742" t="e">
        <f t="shared" ca="1" si="34"/>
        <v>#VALUE!</v>
      </c>
      <c r="Q39" s="742" t="e">
        <f t="shared" ca="1" si="35"/>
        <v>#VALUE!</v>
      </c>
      <c r="R39" s="218">
        <v>1</v>
      </c>
      <c r="S39" s="218">
        <v>3</v>
      </c>
      <c r="T39" s="226">
        <f t="shared" si="28"/>
        <v>13.422000000000001</v>
      </c>
      <c r="U39" s="557">
        <v>0.97430000000000005</v>
      </c>
      <c r="V39" s="227" t="e">
        <f t="shared" ca="1" si="29"/>
        <v>#VALUE!</v>
      </c>
      <c r="W39" s="227" t="e">
        <f t="shared" ca="1" si="30"/>
        <v>#VALUE!</v>
      </c>
      <c r="X39" s="554" t="e">
        <f t="shared" ca="1" si="23"/>
        <v>#VALUE!</v>
      </c>
      <c r="Y39" s="6">
        <f t="shared" si="3"/>
        <v>5.0007959126304931</v>
      </c>
      <c r="Z39" s="6">
        <f t="shared" si="31"/>
        <v>30.28</v>
      </c>
      <c r="AA39" s="6" t="e">
        <f t="shared" si="5"/>
        <v>#VALUE!</v>
      </c>
      <c r="AB39" s="5" t="e">
        <f t="shared" si="24"/>
        <v>#VALUE!</v>
      </c>
      <c r="AC39" s="342" t="e">
        <f t="shared" si="25"/>
        <v>#N/A</v>
      </c>
      <c r="AD39" s="343" t="e">
        <f t="shared" si="8"/>
        <v>#N/A</v>
      </c>
      <c r="AE39" s="344" t="e">
        <f t="shared" si="9"/>
        <v>#N/A</v>
      </c>
      <c r="AF39" s="344" t="e">
        <f t="shared" si="20"/>
        <v>#N/A</v>
      </c>
      <c r="AG39" s="43" t="e">
        <f t="shared" si="32"/>
        <v>#N/A</v>
      </c>
      <c r="AH39" s="6" t="e">
        <f t="shared" si="26"/>
        <v>#N/A</v>
      </c>
      <c r="AI39" s="6" t="e">
        <f t="shared" si="12"/>
        <v>#VALUE!</v>
      </c>
    </row>
    <row r="40" spans="2:35">
      <c r="B40" s="102" t="str">
        <f t="shared" si="33"/>
        <v>BD</v>
      </c>
      <c r="C40" s="256"/>
      <c r="D40" s="1" t="s">
        <v>872</v>
      </c>
      <c r="E40" s="46" t="s">
        <v>41</v>
      </c>
      <c r="F40" s="1016">
        <v>10</v>
      </c>
      <c r="G40" s="1017">
        <v>30.28</v>
      </c>
      <c r="H40" s="1018" t="e">
        <f t="shared" si="22"/>
        <v>#VALUE!</v>
      </c>
      <c r="I40" s="230" t="e">
        <f t="shared" si="27"/>
        <v>#VALUE!</v>
      </c>
      <c r="J40" s="229">
        <v>15000</v>
      </c>
      <c r="K40" s="230">
        <f t="shared" si="36"/>
        <v>2999.5225284268354</v>
      </c>
      <c r="L40" s="46" t="s">
        <v>700</v>
      </c>
      <c r="M40" s="322">
        <v>0</v>
      </c>
      <c r="N40" s="113" t="s">
        <v>852</v>
      </c>
      <c r="O40" s="1196" t="e">
        <f t="shared" si="14"/>
        <v>#VALUE!</v>
      </c>
      <c r="P40" s="742" t="e">
        <f t="shared" ca="1" si="34"/>
        <v>#VALUE!</v>
      </c>
      <c r="Q40" s="742" t="e">
        <f t="shared" ca="1" si="35"/>
        <v>#VALUE!</v>
      </c>
      <c r="R40" s="218">
        <v>1</v>
      </c>
      <c r="S40" s="218">
        <v>3</v>
      </c>
      <c r="T40" s="226">
        <f t="shared" si="28"/>
        <v>13.422000000000001</v>
      </c>
      <c r="U40" s="557">
        <v>0.97430000000000005</v>
      </c>
      <c r="V40" s="227" t="e">
        <f t="shared" ca="1" si="29"/>
        <v>#VALUE!</v>
      </c>
      <c r="W40" s="227" t="e">
        <f t="shared" ca="1" si="30"/>
        <v>#VALUE!</v>
      </c>
      <c r="X40" s="554" t="e">
        <f t="shared" ref="X40:X50" ca="1" si="37">V40-W40</f>
        <v>#VALUE!</v>
      </c>
      <c r="Y40" s="6">
        <f t="shared" si="3"/>
        <v>5.0007959126304931</v>
      </c>
      <c r="Z40" s="6">
        <f t="shared" si="31"/>
        <v>30.28</v>
      </c>
      <c r="AA40" s="6" t="e">
        <f t="shared" si="5"/>
        <v>#VALUE!</v>
      </c>
      <c r="AB40" s="5" t="e">
        <f t="shared" si="24"/>
        <v>#VALUE!</v>
      </c>
      <c r="AC40" s="342" t="e">
        <f t="shared" ref="AC40:AC50" si="38">IF($R40=2,(PI()*(Z40/SF)^2)/4,NA())</f>
        <v>#N/A</v>
      </c>
      <c r="AD40" s="343" t="e">
        <f t="shared" si="8"/>
        <v>#N/A</v>
      </c>
      <c r="AE40" s="344" t="e">
        <f t="shared" si="9"/>
        <v>#N/A</v>
      </c>
      <c r="AF40" s="344" t="e">
        <f t="shared" si="20"/>
        <v>#N/A</v>
      </c>
      <c r="AG40" s="43" t="e">
        <f t="shared" si="32"/>
        <v>#N/A</v>
      </c>
      <c r="AH40" s="6" t="e">
        <f t="shared" ref="AH40:AH50" si="39">SQRT(4*AF40/PI())</f>
        <v>#N/A</v>
      </c>
      <c r="AI40" s="6" t="e">
        <f t="shared" si="12"/>
        <v>#VALUE!</v>
      </c>
    </row>
    <row r="41" spans="2:35">
      <c r="B41" s="102" t="str">
        <f t="shared" si="33"/>
        <v>BE</v>
      </c>
      <c r="C41" s="256"/>
      <c r="D41" s="1" t="s">
        <v>873</v>
      </c>
      <c r="E41" s="46" t="s">
        <v>42</v>
      </c>
      <c r="F41" s="1016">
        <v>10</v>
      </c>
      <c r="G41" s="1017">
        <v>24.72</v>
      </c>
      <c r="H41" s="1018" t="e">
        <f t="shared" si="22"/>
        <v>#VALUE!</v>
      </c>
      <c r="I41" s="230" t="e">
        <f t="shared" si="27"/>
        <v>#VALUE!</v>
      </c>
      <c r="J41" s="229">
        <v>10000</v>
      </c>
      <c r="K41" s="230">
        <f t="shared" si="36"/>
        <v>3000.3759655367207</v>
      </c>
      <c r="L41" s="46" t="s">
        <v>700</v>
      </c>
      <c r="M41" s="322">
        <v>0</v>
      </c>
      <c r="N41" s="113" t="s">
        <v>852</v>
      </c>
      <c r="O41" s="1196" t="e">
        <f t="shared" si="14"/>
        <v>#VALUE!</v>
      </c>
      <c r="P41" s="742" t="e">
        <f t="shared" ca="1" si="34"/>
        <v>#VALUE!</v>
      </c>
      <c r="Q41" s="742" t="e">
        <f t="shared" ca="1" si="35"/>
        <v>#VALUE!</v>
      </c>
      <c r="R41" s="218">
        <v>1</v>
      </c>
      <c r="S41" s="218">
        <v>3</v>
      </c>
      <c r="T41" s="226">
        <f t="shared" si="28"/>
        <v>13.422000000000001</v>
      </c>
      <c r="U41" s="557">
        <v>0.97430000000000005</v>
      </c>
      <c r="V41" s="227" t="e">
        <f t="shared" ca="1" si="29"/>
        <v>#VALUE!</v>
      </c>
      <c r="W41" s="227" t="e">
        <f t="shared" ca="1" si="30"/>
        <v>#VALUE!</v>
      </c>
      <c r="X41" s="554" t="e">
        <f t="shared" ca="1" si="37"/>
        <v>#VALUE!</v>
      </c>
      <c r="Y41" s="6">
        <f t="shared" si="3"/>
        <v>3.3329156461934115</v>
      </c>
      <c r="Z41" s="6">
        <f t="shared" si="31"/>
        <v>24.72</v>
      </c>
      <c r="AA41" s="6" t="e">
        <f t="shared" si="5"/>
        <v>#VALUE!</v>
      </c>
      <c r="AB41" s="5" t="e">
        <f t="shared" si="24"/>
        <v>#VALUE!</v>
      </c>
      <c r="AC41" s="342" t="e">
        <f t="shared" si="38"/>
        <v>#N/A</v>
      </c>
      <c r="AD41" s="343" t="e">
        <f t="shared" si="8"/>
        <v>#N/A</v>
      </c>
      <c r="AE41" s="344" t="e">
        <f t="shared" si="9"/>
        <v>#N/A</v>
      </c>
      <c r="AF41" s="344" t="e">
        <f t="shared" si="20"/>
        <v>#N/A</v>
      </c>
      <c r="AG41" s="43" t="e">
        <f t="shared" si="32"/>
        <v>#N/A</v>
      </c>
      <c r="AH41" s="6" t="e">
        <f t="shared" si="39"/>
        <v>#N/A</v>
      </c>
      <c r="AI41" s="6" t="e">
        <f t="shared" si="12"/>
        <v>#VALUE!</v>
      </c>
    </row>
    <row r="42" spans="2:35">
      <c r="B42" s="102" t="str">
        <f t="shared" si="33"/>
        <v>BF</v>
      </c>
      <c r="C42" s="256"/>
      <c r="D42" s="1" t="s">
        <v>874</v>
      </c>
      <c r="E42" s="46" t="s">
        <v>43</v>
      </c>
      <c r="F42" s="1016">
        <v>10</v>
      </c>
      <c r="G42" s="1017">
        <v>57.975000000000001</v>
      </c>
      <c r="H42" s="1018" t="e">
        <f t="shared" si="22"/>
        <v>#VALUE!</v>
      </c>
      <c r="I42" s="230" t="e">
        <f t="shared" si="27"/>
        <v>#VALUE!</v>
      </c>
      <c r="J42" s="229">
        <v>55000</v>
      </c>
      <c r="K42" s="230">
        <f t="shared" si="36"/>
        <v>3000.224723799362</v>
      </c>
      <c r="L42" s="46" t="s">
        <v>700</v>
      </c>
      <c r="M42" s="322">
        <v>0</v>
      </c>
      <c r="N42" s="113" t="s">
        <v>852</v>
      </c>
      <c r="O42" s="1196" t="e">
        <f t="shared" si="14"/>
        <v>#VALUE!</v>
      </c>
      <c r="P42" s="742" t="e">
        <f t="shared" ca="1" si="34"/>
        <v>#VALUE!</v>
      </c>
      <c r="Q42" s="742" t="e">
        <f t="shared" ca="1" si="35"/>
        <v>#VALUE!</v>
      </c>
      <c r="R42" s="218">
        <v>1</v>
      </c>
      <c r="S42" s="218">
        <v>3</v>
      </c>
      <c r="T42" s="226">
        <f t="shared" si="28"/>
        <v>13.422000000000001</v>
      </c>
      <c r="U42" s="557">
        <v>0.97430000000000005</v>
      </c>
      <c r="V42" s="227" t="e">
        <f t="shared" ca="1" si="29"/>
        <v>#VALUE!</v>
      </c>
      <c r="W42" s="227" t="e">
        <f t="shared" ca="1" si="30"/>
        <v>#VALUE!</v>
      </c>
      <c r="X42" s="554" t="e">
        <f t="shared" ca="1" si="37"/>
        <v>#VALUE!</v>
      </c>
      <c r="Y42" s="6">
        <f t="shared" si="3"/>
        <v>18.331960124090386</v>
      </c>
      <c r="Z42" s="6">
        <f t="shared" si="31"/>
        <v>57.974999999999994</v>
      </c>
      <c r="AA42" s="6" t="e">
        <f t="shared" si="5"/>
        <v>#VALUE!</v>
      </c>
      <c r="AB42" s="5" t="e">
        <f t="shared" si="24"/>
        <v>#VALUE!</v>
      </c>
      <c r="AC42" s="342" t="e">
        <f t="shared" si="38"/>
        <v>#N/A</v>
      </c>
      <c r="AD42" s="343" t="e">
        <f t="shared" si="8"/>
        <v>#N/A</v>
      </c>
      <c r="AE42" s="344" t="e">
        <f t="shared" si="9"/>
        <v>#N/A</v>
      </c>
      <c r="AF42" s="344" t="e">
        <f t="shared" si="20"/>
        <v>#N/A</v>
      </c>
      <c r="AG42" s="43" t="e">
        <f t="shared" si="32"/>
        <v>#N/A</v>
      </c>
      <c r="AH42" s="6" t="e">
        <f t="shared" si="39"/>
        <v>#N/A</v>
      </c>
      <c r="AI42" s="6" t="e">
        <f t="shared" si="12"/>
        <v>#VALUE!</v>
      </c>
    </row>
    <row r="43" spans="2:35">
      <c r="B43" s="102" t="str">
        <f t="shared" si="33"/>
        <v>BG</v>
      </c>
      <c r="C43" s="256"/>
      <c r="D43" s="1" t="s">
        <v>875</v>
      </c>
      <c r="E43" s="46" t="s">
        <v>44</v>
      </c>
      <c r="F43" s="1016">
        <v>10</v>
      </c>
      <c r="G43" s="1017">
        <v>57.975000000000001</v>
      </c>
      <c r="H43" s="1018" t="e">
        <f t="shared" si="22"/>
        <v>#VALUE!</v>
      </c>
      <c r="I43" s="230" t="e">
        <f t="shared" si="27"/>
        <v>#VALUE!</v>
      </c>
      <c r="J43" s="229">
        <v>55000</v>
      </c>
      <c r="K43" s="230">
        <f t="shared" si="36"/>
        <v>3000.224723799362</v>
      </c>
      <c r="L43" s="46" t="s">
        <v>700</v>
      </c>
      <c r="M43" s="322">
        <v>0</v>
      </c>
      <c r="N43" s="113" t="s">
        <v>852</v>
      </c>
      <c r="O43" s="1196" t="e">
        <f t="shared" si="14"/>
        <v>#VALUE!</v>
      </c>
      <c r="P43" s="742" t="e">
        <f t="shared" ca="1" si="34"/>
        <v>#VALUE!</v>
      </c>
      <c r="Q43" s="742" t="e">
        <f t="shared" ca="1" si="35"/>
        <v>#VALUE!</v>
      </c>
      <c r="R43" s="218">
        <v>1</v>
      </c>
      <c r="S43" s="218">
        <v>3</v>
      </c>
      <c r="T43" s="226">
        <f t="shared" si="28"/>
        <v>13.422000000000001</v>
      </c>
      <c r="U43" s="557">
        <v>0.97430000000000005</v>
      </c>
      <c r="V43" s="227" t="e">
        <f t="shared" ca="1" si="29"/>
        <v>#VALUE!</v>
      </c>
      <c r="W43" s="227" t="e">
        <f t="shared" ca="1" si="30"/>
        <v>#VALUE!</v>
      </c>
      <c r="X43" s="554" t="e">
        <f t="shared" ca="1" si="37"/>
        <v>#VALUE!</v>
      </c>
      <c r="Y43" s="6">
        <f t="shared" si="3"/>
        <v>18.331960124090386</v>
      </c>
      <c r="Z43" s="6">
        <f t="shared" si="31"/>
        <v>57.974999999999994</v>
      </c>
      <c r="AA43" s="6" t="e">
        <f t="shared" si="5"/>
        <v>#VALUE!</v>
      </c>
      <c r="AB43" s="5" t="e">
        <f t="shared" si="24"/>
        <v>#VALUE!</v>
      </c>
      <c r="AC43" s="342" t="e">
        <f t="shared" si="38"/>
        <v>#N/A</v>
      </c>
      <c r="AD43" s="343" t="e">
        <f t="shared" si="8"/>
        <v>#N/A</v>
      </c>
      <c r="AE43" s="344" t="e">
        <f t="shared" si="9"/>
        <v>#N/A</v>
      </c>
      <c r="AF43" s="344" t="e">
        <f t="shared" si="20"/>
        <v>#N/A</v>
      </c>
      <c r="AG43" s="43" t="e">
        <f t="shared" si="32"/>
        <v>#N/A</v>
      </c>
      <c r="AH43" s="6" t="e">
        <f t="shared" si="39"/>
        <v>#N/A</v>
      </c>
      <c r="AI43" s="6" t="e">
        <f t="shared" si="12"/>
        <v>#VALUE!</v>
      </c>
    </row>
    <row r="44" spans="2:35">
      <c r="B44" s="102" t="str">
        <f t="shared" si="33"/>
        <v>BH</v>
      </c>
      <c r="C44" s="256"/>
      <c r="D44" s="1" t="s">
        <v>876</v>
      </c>
      <c r="E44" s="46" t="s">
        <v>45</v>
      </c>
      <c r="F44" s="1016">
        <v>10</v>
      </c>
      <c r="G44" s="1017">
        <v>57.975000000000001</v>
      </c>
      <c r="H44" s="1018" t="e">
        <f t="shared" si="22"/>
        <v>#VALUE!</v>
      </c>
      <c r="I44" s="230" t="e">
        <f t="shared" si="27"/>
        <v>#VALUE!</v>
      </c>
      <c r="J44" s="229">
        <v>55000</v>
      </c>
      <c r="K44" s="230">
        <f t="shared" si="36"/>
        <v>3000.224723799362</v>
      </c>
      <c r="L44" s="46" t="s">
        <v>700</v>
      </c>
      <c r="M44" s="322">
        <v>0</v>
      </c>
      <c r="N44" s="113" t="s">
        <v>852</v>
      </c>
      <c r="O44" s="1196" t="e">
        <f t="shared" si="14"/>
        <v>#VALUE!</v>
      </c>
      <c r="P44" s="742" t="e">
        <f t="shared" ca="1" si="34"/>
        <v>#VALUE!</v>
      </c>
      <c r="Q44" s="742" t="e">
        <f t="shared" ca="1" si="35"/>
        <v>#VALUE!</v>
      </c>
      <c r="R44" s="218">
        <v>1</v>
      </c>
      <c r="S44" s="218">
        <v>3</v>
      </c>
      <c r="T44" s="226">
        <f t="shared" si="28"/>
        <v>13.422000000000001</v>
      </c>
      <c r="U44" s="557">
        <v>0.97430000000000005</v>
      </c>
      <c r="V44" s="227" t="e">
        <f t="shared" ca="1" si="29"/>
        <v>#VALUE!</v>
      </c>
      <c r="W44" s="227" t="e">
        <f t="shared" ca="1" si="30"/>
        <v>#VALUE!</v>
      </c>
      <c r="X44" s="554" t="e">
        <f t="shared" ca="1" si="37"/>
        <v>#VALUE!</v>
      </c>
      <c r="Y44" s="6">
        <f t="shared" si="3"/>
        <v>18.331960124090386</v>
      </c>
      <c r="Z44" s="6">
        <f t="shared" si="31"/>
        <v>57.974999999999994</v>
      </c>
      <c r="AA44" s="6" t="e">
        <f t="shared" si="5"/>
        <v>#VALUE!</v>
      </c>
      <c r="AB44" s="5" t="e">
        <f t="shared" si="24"/>
        <v>#VALUE!</v>
      </c>
      <c r="AC44" s="342" t="e">
        <f t="shared" si="38"/>
        <v>#N/A</v>
      </c>
      <c r="AD44" s="343" t="e">
        <f t="shared" si="8"/>
        <v>#N/A</v>
      </c>
      <c r="AE44" s="344" t="e">
        <f t="shared" si="9"/>
        <v>#N/A</v>
      </c>
      <c r="AF44" s="344" t="e">
        <f t="shared" si="20"/>
        <v>#N/A</v>
      </c>
      <c r="AG44" s="43" t="e">
        <f t="shared" si="32"/>
        <v>#N/A</v>
      </c>
      <c r="AH44" s="6" t="e">
        <f t="shared" si="39"/>
        <v>#N/A</v>
      </c>
      <c r="AI44" s="6" t="e">
        <f t="shared" si="12"/>
        <v>#VALUE!</v>
      </c>
    </row>
    <row r="45" spans="2:35">
      <c r="B45" s="102" t="str">
        <f t="shared" si="33"/>
        <v>BI</v>
      </c>
      <c r="C45" s="256"/>
      <c r="D45" s="1" t="s">
        <v>34</v>
      </c>
      <c r="E45" s="46" t="s">
        <v>46</v>
      </c>
      <c r="F45" s="1016">
        <v>10</v>
      </c>
      <c r="G45" s="1017">
        <v>39.085000000000001</v>
      </c>
      <c r="H45" s="1018" t="e">
        <f t="shared" si="22"/>
        <v>#VALUE!</v>
      </c>
      <c r="I45" s="230" t="e">
        <f t="shared" si="27"/>
        <v>#VALUE!</v>
      </c>
      <c r="J45" s="229">
        <v>25000</v>
      </c>
      <c r="K45" s="230">
        <f t="shared" si="36"/>
        <v>3000.491403347798</v>
      </c>
      <c r="L45" s="46" t="s">
        <v>700</v>
      </c>
      <c r="M45" s="322">
        <v>0</v>
      </c>
      <c r="N45" s="113" t="s">
        <v>852</v>
      </c>
      <c r="O45" s="1196" t="e">
        <f t="shared" si="14"/>
        <v>#VALUE!</v>
      </c>
      <c r="P45" s="742" t="e">
        <f t="shared" ca="1" si="34"/>
        <v>#VALUE!</v>
      </c>
      <c r="Q45" s="742" t="e">
        <f t="shared" ca="1" si="35"/>
        <v>#VALUE!</v>
      </c>
      <c r="R45" s="218">
        <v>1</v>
      </c>
      <c r="S45" s="218">
        <v>3</v>
      </c>
      <c r="T45" s="226">
        <f t="shared" si="28"/>
        <v>13.422000000000001</v>
      </c>
      <c r="U45" s="557">
        <v>0.97430000000000005</v>
      </c>
      <c r="V45" s="227" t="e">
        <f t="shared" ca="1" si="29"/>
        <v>#VALUE!</v>
      </c>
      <c r="W45" s="227" t="e">
        <f t="shared" ca="1" si="30"/>
        <v>#VALUE!</v>
      </c>
      <c r="X45" s="554" t="e">
        <f t="shared" ca="1" si="37"/>
        <v>#VALUE!</v>
      </c>
      <c r="Y45" s="6">
        <f t="shared" si="3"/>
        <v>8.3319685475873229</v>
      </c>
      <c r="Z45" s="6">
        <f t="shared" si="31"/>
        <v>39.085000000000001</v>
      </c>
      <c r="AA45" s="6" t="e">
        <f t="shared" si="5"/>
        <v>#VALUE!</v>
      </c>
      <c r="AB45" s="5" t="e">
        <f t="shared" si="24"/>
        <v>#VALUE!</v>
      </c>
      <c r="AC45" s="342" t="e">
        <f t="shared" si="38"/>
        <v>#N/A</v>
      </c>
      <c r="AD45" s="343" t="e">
        <f t="shared" si="8"/>
        <v>#N/A</v>
      </c>
      <c r="AE45" s="344" t="e">
        <f t="shared" si="9"/>
        <v>#N/A</v>
      </c>
      <c r="AF45" s="344" t="e">
        <f t="shared" si="20"/>
        <v>#N/A</v>
      </c>
      <c r="AG45" s="43" t="e">
        <f t="shared" si="32"/>
        <v>#N/A</v>
      </c>
      <c r="AH45" s="6" t="e">
        <f t="shared" si="39"/>
        <v>#N/A</v>
      </c>
      <c r="AI45" s="6" t="e">
        <f t="shared" si="12"/>
        <v>#VALUE!</v>
      </c>
    </row>
    <row r="46" spans="2:35">
      <c r="B46" s="102" t="str">
        <f t="shared" si="33"/>
        <v>BJ</v>
      </c>
      <c r="C46" s="256"/>
      <c r="D46" s="1" t="s">
        <v>35</v>
      </c>
      <c r="E46" s="46" t="s">
        <v>47</v>
      </c>
      <c r="F46" s="1016">
        <v>10</v>
      </c>
      <c r="G46" s="1017">
        <v>39.085000000000001</v>
      </c>
      <c r="H46" s="1018" t="e">
        <f t="shared" si="22"/>
        <v>#VALUE!</v>
      </c>
      <c r="I46" s="230" t="e">
        <f t="shared" si="27"/>
        <v>#VALUE!</v>
      </c>
      <c r="J46" s="229">
        <v>25000</v>
      </c>
      <c r="K46" s="230">
        <f t="shared" si="36"/>
        <v>3000.491403347798</v>
      </c>
      <c r="L46" s="46" t="s">
        <v>700</v>
      </c>
      <c r="M46" s="322">
        <v>0</v>
      </c>
      <c r="N46" s="113" t="s">
        <v>852</v>
      </c>
      <c r="O46" s="1196" t="e">
        <f t="shared" si="14"/>
        <v>#VALUE!</v>
      </c>
      <c r="P46" s="742" t="e">
        <f t="shared" ca="1" si="34"/>
        <v>#VALUE!</v>
      </c>
      <c r="Q46" s="742" t="e">
        <f t="shared" ca="1" si="35"/>
        <v>#VALUE!</v>
      </c>
      <c r="R46" s="218">
        <v>1</v>
      </c>
      <c r="S46" s="218">
        <v>3</v>
      </c>
      <c r="T46" s="226">
        <f t="shared" si="28"/>
        <v>13.422000000000001</v>
      </c>
      <c r="U46" s="557">
        <v>0.97430000000000005</v>
      </c>
      <c r="V46" s="227" t="e">
        <f t="shared" ca="1" si="29"/>
        <v>#VALUE!</v>
      </c>
      <c r="W46" s="227" t="e">
        <f t="shared" ca="1" si="30"/>
        <v>#VALUE!</v>
      </c>
      <c r="X46" s="554" t="e">
        <f t="shared" ca="1" si="37"/>
        <v>#VALUE!</v>
      </c>
      <c r="Y46" s="6">
        <f t="shared" si="3"/>
        <v>8.3319685475873229</v>
      </c>
      <c r="Z46" s="6">
        <f t="shared" si="31"/>
        <v>39.085000000000001</v>
      </c>
      <c r="AA46" s="6" t="e">
        <f t="shared" si="5"/>
        <v>#VALUE!</v>
      </c>
      <c r="AB46" s="5" t="e">
        <f t="shared" si="24"/>
        <v>#VALUE!</v>
      </c>
      <c r="AC46" s="342" t="e">
        <f t="shared" si="38"/>
        <v>#N/A</v>
      </c>
      <c r="AD46" s="343" t="e">
        <f t="shared" si="8"/>
        <v>#N/A</v>
      </c>
      <c r="AE46" s="344" t="e">
        <f t="shared" si="9"/>
        <v>#N/A</v>
      </c>
      <c r="AF46" s="344" t="e">
        <f t="shared" si="20"/>
        <v>#N/A</v>
      </c>
      <c r="AG46" s="43" t="e">
        <f t="shared" si="32"/>
        <v>#N/A</v>
      </c>
      <c r="AH46" s="6" t="e">
        <f t="shared" si="39"/>
        <v>#N/A</v>
      </c>
      <c r="AI46" s="6" t="e">
        <f t="shared" si="12"/>
        <v>#VALUE!</v>
      </c>
    </row>
    <row r="47" spans="2:35">
      <c r="B47" s="102" t="str">
        <f t="shared" si="33"/>
        <v>BK</v>
      </c>
      <c r="C47" s="256"/>
      <c r="D47" s="1" t="s">
        <v>877</v>
      </c>
      <c r="E47" s="46" t="s">
        <v>48</v>
      </c>
      <c r="F47" s="1016">
        <v>10</v>
      </c>
      <c r="G47" s="1017">
        <v>24.72</v>
      </c>
      <c r="H47" s="1018" t="e">
        <f t="shared" si="22"/>
        <v>#VALUE!</v>
      </c>
      <c r="I47" s="230" t="e">
        <f t="shared" si="27"/>
        <v>#VALUE!</v>
      </c>
      <c r="J47" s="229">
        <v>10000</v>
      </c>
      <c r="K47" s="230">
        <f t="shared" si="36"/>
        <v>3000.3759655367207</v>
      </c>
      <c r="L47" s="46" t="s">
        <v>700</v>
      </c>
      <c r="M47" s="322">
        <v>0</v>
      </c>
      <c r="N47" s="113" t="s">
        <v>852</v>
      </c>
      <c r="O47" s="1196" t="e">
        <f t="shared" si="14"/>
        <v>#VALUE!</v>
      </c>
      <c r="P47" s="742" t="e">
        <f t="shared" ca="1" si="34"/>
        <v>#VALUE!</v>
      </c>
      <c r="Q47" s="742" t="e">
        <f t="shared" ca="1" si="35"/>
        <v>#VALUE!</v>
      </c>
      <c r="R47" s="218">
        <v>1</v>
      </c>
      <c r="S47" s="218">
        <v>3</v>
      </c>
      <c r="T47" s="226">
        <f t="shared" si="28"/>
        <v>13.422000000000001</v>
      </c>
      <c r="U47" s="557">
        <v>0.97430000000000005</v>
      </c>
      <c r="V47" s="227" t="e">
        <f t="shared" ca="1" si="29"/>
        <v>#VALUE!</v>
      </c>
      <c r="W47" s="227" t="e">
        <f t="shared" ca="1" si="30"/>
        <v>#VALUE!</v>
      </c>
      <c r="X47" s="554" t="e">
        <f t="shared" ca="1" si="37"/>
        <v>#VALUE!</v>
      </c>
      <c r="Y47" s="6">
        <f t="shared" si="3"/>
        <v>3.3329156461934115</v>
      </c>
      <c r="Z47" s="6">
        <f t="shared" si="31"/>
        <v>24.72</v>
      </c>
      <c r="AA47" s="6" t="e">
        <f t="shared" si="5"/>
        <v>#VALUE!</v>
      </c>
      <c r="AB47" s="5" t="e">
        <f t="shared" si="24"/>
        <v>#VALUE!</v>
      </c>
      <c r="AC47" s="342" t="e">
        <f t="shared" si="38"/>
        <v>#N/A</v>
      </c>
      <c r="AD47" s="343" t="e">
        <f t="shared" si="8"/>
        <v>#N/A</v>
      </c>
      <c r="AE47" s="344" t="e">
        <f t="shared" si="9"/>
        <v>#N/A</v>
      </c>
      <c r="AF47" s="344" t="e">
        <f t="shared" si="20"/>
        <v>#N/A</v>
      </c>
      <c r="AG47" s="43" t="e">
        <f t="shared" si="32"/>
        <v>#N/A</v>
      </c>
      <c r="AH47" s="6" t="e">
        <f t="shared" si="39"/>
        <v>#N/A</v>
      </c>
      <c r="AI47" s="6" t="e">
        <f t="shared" si="12"/>
        <v>#VALUE!</v>
      </c>
    </row>
    <row r="48" spans="2:35">
      <c r="B48" s="102" t="str">
        <f t="shared" si="33"/>
        <v>BL</v>
      </c>
      <c r="C48" s="256"/>
      <c r="D48" s="1" t="s">
        <v>878</v>
      </c>
      <c r="E48" s="46" t="s">
        <v>49</v>
      </c>
      <c r="F48" s="1016">
        <v>10</v>
      </c>
      <c r="G48" s="1017">
        <v>24.72</v>
      </c>
      <c r="H48" s="1018" t="e">
        <f t="shared" si="22"/>
        <v>#VALUE!</v>
      </c>
      <c r="I48" s="230" t="e">
        <f t="shared" si="27"/>
        <v>#VALUE!</v>
      </c>
      <c r="J48" s="229">
        <v>10000</v>
      </c>
      <c r="K48" s="230">
        <f t="shared" si="36"/>
        <v>3000.3759655367207</v>
      </c>
      <c r="L48" s="46" t="s">
        <v>700</v>
      </c>
      <c r="M48" s="322">
        <v>0</v>
      </c>
      <c r="N48" s="113" t="s">
        <v>852</v>
      </c>
      <c r="O48" s="1196" t="e">
        <f t="shared" si="14"/>
        <v>#VALUE!</v>
      </c>
      <c r="P48" s="742" t="e">
        <f t="shared" ca="1" si="34"/>
        <v>#VALUE!</v>
      </c>
      <c r="Q48" s="742" t="e">
        <f t="shared" ca="1" si="35"/>
        <v>#VALUE!</v>
      </c>
      <c r="R48" s="218">
        <v>1</v>
      </c>
      <c r="S48" s="218">
        <v>3</v>
      </c>
      <c r="T48" s="226">
        <f t="shared" si="28"/>
        <v>13.422000000000001</v>
      </c>
      <c r="U48" s="557">
        <v>0.97430000000000005</v>
      </c>
      <c r="V48" s="227" t="e">
        <f t="shared" ca="1" si="29"/>
        <v>#VALUE!</v>
      </c>
      <c r="W48" s="227" t="e">
        <f t="shared" ca="1" si="30"/>
        <v>#VALUE!</v>
      </c>
      <c r="X48" s="554" t="e">
        <f t="shared" ca="1" si="37"/>
        <v>#VALUE!</v>
      </c>
      <c r="Y48" s="6">
        <f t="shared" si="3"/>
        <v>3.3329156461934115</v>
      </c>
      <c r="Z48" s="6">
        <f t="shared" si="31"/>
        <v>24.72</v>
      </c>
      <c r="AA48" s="6" t="e">
        <f t="shared" si="5"/>
        <v>#VALUE!</v>
      </c>
      <c r="AB48" s="5" t="e">
        <f t="shared" si="24"/>
        <v>#VALUE!</v>
      </c>
      <c r="AC48" s="342" t="e">
        <f t="shared" si="38"/>
        <v>#N/A</v>
      </c>
      <c r="AD48" s="343" t="e">
        <f t="shared" si="8"/>
        <v>#N/A</v>
      </c>
      <c r="AE48" s="344" t="e">
        <f t="shared" si="9"/>
        <v>#N/A</v>
      </c>
      <c r="AF48" s="344" t="e">
        <f t="shared" si="20"/>
        <v>#N/A</v>
      </c>
      <c r="AG48" s="43" t="e">
        <f t="shared" si="32"/>
        <v>#N/A</v>
      </c>
      <c r="AH48" s="6" t="e">
        <f t="shared" si="39"/>
        <v>#N/A</v>
      </c>
      <c r="AI48" s="6" t="e">
        <f t="shared" si="12"/>
        <v>#VALUE!</v>
      </c>
    </row>
    <row r="49" spans="2:35">
      <c r="B49" s="102" t="str">
        <f t="shared" si="33"/>
        <v>BM</v>
      </c>
      <c r="C49" s="256"/>
      <c r="D49" s="1" t="s">
        <v>455</v>
      </c>
      <c r="E49" s="46" t="s">
        <v>50</v>
      </c>
      <c r="F49" s="1016">
        <v>10</v>
      </c>
      <c r="G49" s="1017">
        <v>6</v>
      </c>
      <c r="H49" s="1019">
        <v>300</v>
      </c>
      <c r="I49" s="230">
        <f t="shared" si="27"/>
        <v>636.25855350983352</v>
      </c>
      <c r="J49" s="229">
        <v>200</v>
      </c>
      <c r="K49" s="230">
        <f t="shared" si="36"/>
        <v>1018.5916357881301</v>
      </c>
      <c r="L49" s="46" t="s">
        <v>700</v>
      </c>
      <c r="M49" s="322">
        <v>0</v>
      </c>
      <c r="N49" s="113" t="s">
        <v>456</v>
      </c>
      <c r="O49" s="1196" t="e">
        <f t="shared" si="14"/>
        <v>#VALUE!</v>
      </c>
      <c r="P49" s="742" t="e">
        <f t="shared" ca="1" si="34"/>
        <v>#VALUE!</v>
      </c>
      <c r="Q49" s="742" t="e">
        <f t="shared" ca="1" si="35"/>
        <v>#VALUE!</v>
      </c>
      <c r="R49" s="218">
        <v>1</v>
      </c>
      <c r="S49" s="218">
        <v>3</v>
      </c>
      <c r="T49" s="226">
        <f t="shared" si="28"/>
        <v>13.422000000000001</v>
      </c>
      <c r="U49" s="557">
        <v>0.97430000000000005</v>
      </c>
      <c r="V49" s="227" t="e">
        <f t="shared" ca="1" si="29"/>
        <v>#VALUE!</v>
      </c>
      <c r="W49" s="227" t="e">
        <f t="shared" ca="1" si="30"/>
        <v>#VALUE!</v>
      </c>
      <c r="X49" s="554" t="e">
        <f t="shared" ca="1" si="37"/>
        <v>#VALUE!</v>
      </c>
      <c r="Y49" s="6">
        <f t="shared" si="3"/>
        <v>0.19634954084936207</v>
      </c>
      <c r="Z49" s="6">
        <f t="shared" si="31"/>
        <v>6</v>
      </c>
      <c r="AA49" s="6" t="e">
        <f t="shared" si="5"/>
        <v>#VALUE!</v>
      </c>
      <c r="AB49" s="5" t="e">
        <f t="shared" si="24"/>
        <v>#VALUE!</v>
      </c>
      <c r="AC49" s="342" t="e">
        <f t="shared" si="38"/>
        <v>#N/A</v>
      </c>
      <c r="AD49" s="343" t="e">
        <f t="shared" si="8"/>
        <v>#N/A</v>
      </c>
      <c r="AE49" s="344" t="e">
        <f t="shared" si="9"/>
        <v>#N/A</v>
      </c>
      <c r="AF49" s="344" t="e">
        <f t="shared" si="20"/>
        <v>#N/A</v>
      </c>
      <c r="AG49" s="43" t="e">
        <f t="shared" si="32"/>
        <v>#N/A</v>
      </c>
      <c r="AH49" s="6" t="e">
        <f t="shared" si="39"/>
        <v>#N/A</v>
      </c>
      <c r="AI49" s="6" t="e">
        <f t="shared" si="12"/>
        <v>#VALUE!</v>
      </c>
    </row>
    <row r="50" spans="2:35">
      <c r="B50" s="102" t="str">
        <f t="shared" si="33"/>
        <v>BN</v>
      </c>
      <c r="C50" s="256"/>
      <c r="D50" s="1" t="s">
        <v>459</v>
      </c>
      <c r="E50" s="46" t="s">
        <v>51</v>
      </c>
      <c r="F50" s="1016">
        <v>10</v>
      </c>
      <c r="G50" s="1017">
        <v>14</v>
      </c>
      <c r="H50" s="1017">
        <v>891</v>
      </c>
      <c r="I50" s="230">
        <f t="shared" si="27"/>
        <v>23294.692795627911</v>
      </c>
      <c r="J50" s="229">
        <v>13019</v>
      </c>
      <c r="K50" s="230">
        <f t="shared" si="36"/>
        <v>12178.510260911326</v>
      </c>
      <c r="L50" s="46" t="s">
        <v>700</v>
      </c>
      <c r="M50" s="322">
        <v>0</v>
      </c>
      <c r="N50" s="113" t="s">
        <v>456</v>
      </c>
      <c r="O50" s="1196" t="e">
        <f t="shared" si="14"/>
        <v>#VALUE!</v>
      </c>
      <c r="P50" s="742" t="e">
        <f t="shared" ca="1" si="34"/>
        <v>#VALUE!</v>
      </c>
      <c r="Q50" s="742" t="e">
        <f t="shared" ca="1" si="35"/>
        <v>#VALUE!</v>
      </c>
      <c r="R50" s="218">
        <v>1</v>
      </c>
      <c r="S50" s="218">
        <v>3</v>
      </c>
      <c r="T50" s="226">
        <f t="shared" si="28"/>
        <v>13.422000000000001</v>
      </c>
      <c r="U50" s="557">
        <v>0.97430000000000005</v>
      </c>
      <c r="V50" s="227" t="e">
        <f t="shared" ca="1" si="29"/>
        <v>#VALUE!</v>
      </c>
      <c r="W50" s="227" t="e">
        <f t="shared" ca="1" si="30"/>
        <v>#VALUE!</v>
      </c>
      <c r="X50" s="554" t="e">
        <f t="shared" ca="1" si="37"/>
        <v>#VALUE!</v>
      </c>
      <c r="Y50" s="6">
        <f t="shared" si="3"/>
        <v>1.0690141668465269</v>
      </c>
      <c r="Z50" s="32">
        <f t="shared" si="31"/>
        <v>14</v>
      </c>
      <c r="AA50" s="6" t="e">
        <f t="shared" si="5"/>
        <v>#VALUE!</v>
      </c>
      <c r="AB50" s="5" t="e">
        <f t="shared" si="24"/>
        <v>#VALUE!</v>
      </c>
      <c r="AC50" s="342" t="e">
        <f t="shared" si="38"/>
        <v>#N/A</v>
      </c>
      <c r="AD50" s="343" t="e">
        <f t="shared" si="8"/>
        <v>#N/A</v>
      </c>
      <c r="AE50" s="344" t="e">
        <f t="shared" si="9"/>
        <v>#N/A</v>
      </c>
      <c r="AF50" s="344" t="e">
        <f t="shared" si="20"/>
        <v>#N/A</v>
      </c>
      <c r="AG50" s="43" t="e">
        <f t="shared" si="32"/>
        <v>#N/A</v>
      </c>
      <c r="AH50" s="6" t="e">
        <f t="shared" si="39"/>
        <v>#N/A</v>
      </c>
      <c r="AI50" s="6" t="e">
        <f t="shared" si="12"/>
        <v>#VALUE!</v>
      </c>
    </row>
    <row r="51" spans="2:35">
      <c r="B51" s="3"/>
      <c r="C51" s="185"/>
      <c r="D51" s="1"/>
      <c r="E51" s="46"/>
      <c r="F51" s="1016"/>
      <c r="G51" s="1017"/>
      <c r="H51" s="1018"/>
      <c r="I51" s="230"/>
      <c r="J51" s="229"/>
      <c r="K51" s="230"/>
      <c r="L51" s="46"/>
      <c r="M51" s="322"/>
      <c r="N51" s="113"/>
      <c r="P51" s="1"/>
      <c r="R51" s="218"/>
      <c r="S51" s="218"/>
      <c r="T51" s="226"/>
      <c r="U51" s="557"/>
      <c r="V51" s="227"/>
      <c r="W51" s="227"/>
      <c r="X51" s="554"/>
      <c r="Y51" s="6"/>
      <c r="Z51" s="6"/>
      <c r="AA51" s="6"/>
      <c r="AB51" s="5"/>
      <c r="AC51" s="342"/>
      <c r="AD51" s="343"/>
      <c r="AE51" s="344"/>
      <c r="AF51" s="344"/>
      <c r="AG51" s="43"/>
      <c r="AH51" s="6"/>
      <c r="AI51" s="6"/>
    </row>
    <row r="52" spans="2:35">
      <c r="C52" s="1015" t="s">
        <v>1586</v>
      </c>
      <c r="F52" s="235"/>
      <c r="N52" s="37"/>
      <c r="R52" s="2"/>
      <c r="S52" s="2"/>
      <c r="T52" s="5"/>
      <c r="X52" s="553"/>
      <c r="AF52" s="344"/>
    </row>
    <row r="53" spans="2:35">
      <c r="B53" s="46" t="s">
        <v>349</v>
      </c>
      <c r="C53" s="256"/>
      <c r="D53" s="1" t="s">
        <v>853</v>
      </c>
      <c r="E53" s="46" t="s">
        <v>52</v>
      </c>
      <c r="F53" s="1016">
        <v>10</v>
      </c>
      <c r="G53" s="1017">
        <v>40.994999999999997</v>
      </c>
      <c r="H53" s="1018" t="e">
        <f>((Ta-273.15)*(9/5))+32</f>
        <v>#VALUE!</v>
      </c>
      <c r="I53" s="230" t="e">
        <f t="shared" ref="I53:I66" si="40">$I151*2.2*3600</f>
        <v>#VALUE!</v>
      </c>
      <c r="J53" s="229">
        <v>27500</v>
      </c>
      <c r="K53" s="230">
        <f>$J53/$Y53</f>
        <v>3000.1538282075935</v>
      </c>
      <c r="L53" s="46" t="s">
        <v>700</v>
      </c>
      <c r="M53" s="322">
        <v>0</v>
      </c>
      <c r="N53" s="113" t="s">
        <v>852</v>
      </c>
      <c r="O53" s="1196" t="e">
        <f t="shared" si="14"/>
        <v>#VALUE!</v>
      </c>
      <c r="P53" s="742" t="e">
        <f ca="1">+ROUND(INDIRECT(ADDRESS(22,11,1,TRUE,B53)),0)</f>
        <v>#VALUE!</v>
      </c>
      <c r="Q53" s="742" t="e">
        <f ca="1">ROUND(INDIRECT(ADDRESS(23,11,1,TRUE,B53)),0)</f>
        <v>#VALUE!</v>
      </c>
      <c r="R53" s="218">
        <v>1</v>
      </c>
      <c r="S53" s="218">
        <v>3</v>
      </c>
      <c r="T53" s="226">
        <f t="shared" ref="T53:T66" si="41">2.237*6</f>
        <v>13.422000000000001</v>
      </c>
      <c r="U53" s="557">
        <v>0.97430000000000005</v>
      </c>
      <c r="V53" s="227" t="e">
        <f ca="1">INDIRECT(ADDRESS(52,6,1,,$B53))</f>
        <v>#VALUE!</v>
      </c>
      <c r="W53" s="227" t="e">
        <f ca="1">INDIRECT(ADDRESS(52,7,1,,$B53))</f>
        <v>#VALUE!</v>
      </c>
      <c r="X53" s="554" t="e">
        <f t="shared" ref="X53:X66" ca="1" si="42">V53-W53</f>
        <v>#VALUE!</v>
      </c>
      <c r="Y53" s="6">
        <f>(PI()/4)*($G53/12)^2</f>
        <v>9.1661966601324405</v>
      </c>
      <c r="Z53" s="6">
        <f t="shared" si="31"/>
        <v>40.994999999999997</v>
      </c>
      <c r="AA53" s="6" t="e">
        <f>IF($R53=1,MAX($G53/SF,$S53/32),IF($R53=3,$G53/SF,NA()))</f>
        <v>#VALUE!</v>
      </c>
      <c r="AB53" s="5" t="e">
        <f>IF($R53=1,ROUND(AA53*32,0),NA())</f>
        <v>#VALUE!</v>
      </c>
      <c r="AC53" s="342" t="e">
        <f t="shared" ref="AC53:AC66" si="43">IF($R53=2,(PI()*(Z53/SF)^2)/4,NA())</f>
        <v>#N/A</v>
      </c>
      <c r="AD53" s="343" t="e">
        <f>IF($R53=2,INDEX(SquareBrass,MATCH($AC53,SquareAreaDSC,-1),6),NA())</f>
        <v>#N/A</v>
      </c>
      <c r="AE53" s="344" t="e">
        <f>IF($R53=2,INDEX(SquareBrass,MATCH($AC53,SquareAreaASC,1),1),NA())</f>
        <v>#N/A</v>
      </c>
      <c r="AF53" s="344" t="e">
        <f t="shared" si="20"/>
        <v>#N/A</v>
      </c>
      <c r="AG53" s="43" t="e">
        <f>IF(R53=2,INDEX(SquareBrass,MATCH($AF53,SquareAreaASC,0),2),NA())</f>
        <v>#N/A</v>
      </c>
      <c r="AH53" s="6" t="e">
        <f t="shared" ref="AH53:AH66" si="44">SQRT(4*AF53/PI())</f>
        <v>#N/A</v>
      </c>
      <c r="AI53" s="6" t="e">
        <f>IF($R53=2,$AH53,IF($R53=3,$AA53,$AB53/32))</f>
        <v>#VALUE!</v>
      </c>
    </row>
    <row r="54" spans="2:35">
      <c r="B54" s="102" t="str">
        <f t="shared" ref="B54:B66" si="45">IF((RIGHT(B53,1))&lt;&gt;"Z",CHAR(CODE(B53))&amp;CHAR(CODE(RIGHT(B53,1))+1),CHAR(CODE(B53)+1)&amp;"A")</f>
        <v>CB</v>
      </c>
      <c r="C54" s="256"/>
      <c r="D54" s="1" t="s">
        <v>854</v>
      </c>
      <c r="E54" s="46" t="s">
        <v>53</v>
      </c>
      <c r="F54" s="1016">
        <v>10</v>
      </c>
      <c r="G54" s="1017">
        <v>40.994999999999997</v>
      </c>
      <c r="H54" s="1018" t="e">
        <f t="shared" ref="H54:H64" si="46">((Ta-273.15)*(9/5))+32</f>
        <v>#VALUE!</v>
      </c>
      <c r="I54" s="230" t="e">
        <f t="shared" si="40"/>
        <v>#VALUE!</v>
      </c>
      <c r="J54" s="229">
        <v>27500</v>
      </c>
      <c r="K54" s="230">
        <f>$J54/$Y54</f>
        <v>3000.1538282075935</v>
      </c>
      <c r="L54" s="46" t="s">
        <v>700</v>
      </c>
      <c r="M54" s="322">
        <v>0</v>
      </c>
      <c r="N54" s="113" t="s">
        <v>852</v>
      </c>
      <c r="O54" s="1196" t="e">
        <f t="shared" si="14"/>
        <v>#VALUE!</v>
      </c>
      <c r="P54" s="742" t="e">
        <f t="shared" ref="P54:P66" ca="1" si="47">+ROUND(INDIRECT(ADDRESS(22,11,1,TRUE,B54)),0)</f>
        <v>#VALUE!</v>
      </c>
      <c r="Q54" s="742" t="e">
        <f t="shared" ref="Q54:Q66" ca="1" si="48">ROUND(INDIRECT(ADDRESS(23,11,1,TRUE,B54)),0)</f>
        <v>#VALUE!</v>
      </c>
      <c r="R54" s="218">
        <v>1</v>
      </c>
      <c r="S54" s="218">
        <v>3</v>
      </c>
      <c r="T54" s="226">
        <f t="shared" si="41"/>
        <v>13.422000000000001</v>
      </c>
      <c r="U54" s="557">
        <v>0.97430000000000005</v>
      </c>
      <c r="V54" s="227" t="e">
        <f t="shared" ref="V54:V66" ca="1" si="49">INDIRECT(ADDRESS(52,6,1,,$B54))</f>
        <v>#VALUE!</v>
      </c>
      <c r="W54" s="227" t="e">
        <f t="shared" ref="W54:W66" ca="1" si="50">INDIRECT(ADDRESS(52,7,1,,$B54))</f>
        <v>#VALUE!</v>
      </c>
      <c r="X54" s="554" t="e">
        <f t="shared" ca="1" si="42"/>
        <v>#VALUE!</v>
      </c>
      <c r="Y54" s="6">
        <f t="shared" ref="Y54:Y66" si="51">(PI()/4)*($G54/12)^2</f>
        <v>9.1661966601324405</v>
      </c>
      <c r="Z54" s="6">
        <f t="shared" si="31"/>
        <v>40.994999999999997</v>
      </c>
      <c r="AA54" s="6" t="e">
        <f t="shared" ref="AA54:AA66" si="52">IF($R54=1,MAX($G54/SF,$S54/32),IF($R54=3,$G54/SF,NA()))</f>
        <v>#VALUE!</v>
      </c>
      <c r="AB54" s="5" t="e">
        <f t="shared" ref="AB54:AB66" si="53">IF($R54=1,ROUND(AA54*32,0),NA())</f>
        <v>#VALUE!</v>
      </c>
      <c r="AC54" s="342" t="e">
        <f t="shared" si="43"/>
        <v>#N/A</v>
      </c>
      <c r="AD54" s="343" t="e">
        <f t="shared" ref="AD54:AD66" si="54">IF($R54=2,INDEX(SquareBrass,MATCH($AC54,SquareAreaDSC,-1),6),NA())</f>
        <v>#N/A</v>
      </c>
      <c r="AE54" s="344" t="e">
        <f t="shared" ref="AE54:AE66" si="55">IF($R54=2,INDEX(SquareBrass,MATCH($AC54,SquareAreaASC,1),1),NA())</f>
        <v>#N/A</v>
      </c>
      <c r="AF54" s="344" t="e">
        <f t="shared" si="20"/>
        <v>#N/A</v>
      </c>
      <c r="AG54" s="43" t="e">
        <f t="shared" ref="AG54:AG66" si="56">IF(R54=2,INDEX(SquareBrass,MATCH($AF54,SquareAreaASC,0),2),NA())</f>
        <v>#N/A</v>
      </c>
      <c r="AH54" s="6" t="e">
        <f t="shared" si="44"/>
        <v>#N/A</v>
      </c>
      <c r="AI54" s="6" t="e">
        <f t="shared" ref="AI54:AI66" si="57">IF($R54=2,$AH54,IF($R54=3,$AA54,$AB54/32))</f>
        <v>#VALUE!</v>
      </c>
    </row>
    <row r="55" spans="2:35">
      <c r="B55" s="102" t="str">
        <f t="shared" si="45"/>
        <v>CC</v>
      </c>
      <c r="C55" s="256"/>
      <c r="D55" s="1" t="s">
        <v>871</v>
      </c>
      <c r="E55" s="46" t="s">
        <v>54</v>
      </c>
      <c r="F55" s="1016">
        <v>10</v>
      </c>
      <c r="G55" s="1017">
        <v>30.28</v>
      </c>
      <c r="H55" s="1018" t="e">
        <f t="shared" si="46"/>
        <v>#VALUE!</v>
      </c>
      <c r="I55" s="230" t="e">
        <f t="shared" si="40"/>
        <v>#VALUE!</v>
      </c>
      <c r="J55" s="229">
        <v>15000</v>
      </c>
      <c r="K55" s="230">
        <f t="shared" si="36"/>
        <v>2999.5225284268354</v>
      </c>
      <c r="L55" s="46" t="s">
        <v>700</v>
      </c>
      <c r="M55" s="322">
        <v>0</v>
      </c>
      <c r="N55" s="113" t="s">
        <v>852</v>
      </c>
      <c r="O55" s="1196" t="e">
        <f t="shared" si="14"/>
        <v>#VALUE!</v>
      </c>
      <c r="P55" s="742" t="e">
        <f t="shared" ca="1" si="47"/>
        <v>#VALUE!</v>
      </c>
      <c r="Q55" s="742" t="e">
        <f t="shared" ca="1" si="48"/>
        <v>#VALUE!</v>
      </c>
      <c r="R55" s="218">
        <v>1</v>
      </c>
      <c r="S55" s="218">
        <v>3</v>
      </c>
      <c r="T55" s="226">
        <f t="shared" si="41"/>
        <v>13.422000000000001</v>
      </c>
      <c r="U55" s="557">
        <v>0.97430000000000005</v>
      </c>
      <c r="V55" s="227" t="e">
        <f t="shared" ca="1" si="49"/>
        <v>#VALUE!</v>
      </c>
      <c r="W55" s="227" t="e">
        <f t="shared" ca="1" si="50"/>
        <v>#VALUE!</v>
      </c>
      <c r="X55" s="554" t="e">
        <f t="shared" ca="1" si="42"/>
        <v>#VALUE!</v>
      </c>
      <c r="Y55" s="6">
        <f t="shared" si="51"/>
        <v>5.0007959126304931</v>
      </c>
      <c r="Z55" s="6">
        <f t="shared" si="31"/>
        <v>30.28</v>
      </c>
      <c r="AA55" s="6" t="e">
        <f t="shared" si="52"/>
        <v>#VALUE!</v>
      </c>
      <c r="AB55" s="5" t="e">
        <f t="shared" si="53"/>
        <v>#VALUE!</v>
      </c>
      <c r="AC55" s="342" t="e">
        <f t="shared" si="43"/>
        <v>#N/A</v>
      </c>
      <c r="AD55" s="343" t="e">
        <f t="shared" si="54"/>
        <v>#N/A</v>
      </c>
      <c r="AE55" s="344" t="e">
        <f t="shared" si="55"/>
        <v>#N/A</v>
      </c>
      <c r="AF55" s="344" t="e">
        <f t="shared" si="20"/>
        <v>#N/A</v>
      </c>
      <c r="AG55" s="43" t="e">
        <f t="shared" si="56"/>
        <v>#N/A</v>
      </c>
      <c r="AH55" s="6" t="e">
        <f t="shared" si="44"/>
        <v>#N/A</v>
      </c>
      <c r="AI55" s="6" t="e">
        <f t="shared" si="57"/>
        <v>#VALUE!</v>
      </c>
    </row>
    <row r="56" spans="2:35">
      <c r="B56" s="102" t="str">
        <f t="shared" si="45"/>
        <v>CD</v>
      </c>
      <c r="C56" s="256"/>
      <c r="D56" s="1" t="s">
        <v>872</v>
      </c>
      <c r="E56" s="46" t="s">
        <v>55</v>
      </c>
      <c r="F56" s="1016">
        <v>10</v>
      </c>
      <c r="G56" s="1017">
        <v>30.28</v>
      </c>
      <c r="H56" s="1018" t="e">
        <f t="shared" si="46"/>
        <v>#VALUE!</v>
      </c>
      <c r="I56" s="230" t="e">
        <f t="shared" si="40"/>
        <v>#VALUE!</v>
      </c>
      <c r="J56" s="229">
        <v>15000</v>
      </c>
      <c r="K56" s="230">
        <f t="shared" si="36"/>
        <v>2999.5225284268354</v>
      </c>
      <c r="L56" s="46" t="s">
        <v>700</v>
      </c>
      <c r="M56" s="322">
        <v>0</v>
      </c>
      <c r="N56" s="113" t="s">
        <v>852</v>
      </c>
      <c r="O56" s="1196" t="e">
        <f t="shared" si="14"/>
        <v>#VALUE!</v>
      </c>
      <c r="P56" s="742" t="e">
        <f t="shared" ca="1" si="47"/>
        <v>#REF!</v>
      </c>
      <c r="Q56" s="742" t="e">
        <f t="shared" ca="1" si="48"/>
        <v>#REF!</v>
      </c>
      <c r="R56" s="218">
        <v>1</v>
      </c>
      <c r="S56" s="218">
        <v>3</v>
      </c>
      <c r="T56" s="226">
        <f t="shared" si="41"/>
        <v>13.422000000000001</v>
      </c>
      <c r="U56" s="557">
        <v>0.97430000000000005</v>
      </c>
      <c r="V56" s="227" t="e">
        <f t="shared" ca="1" si="49"/>
        <v>#REF!</v>
      </c>
      <c r="W56" s="227" t="e">
        <f t="shared" ca="1" si="50"/>
        <v>#REF!</v>
      </c>
      <c r="X56" s="554" t="e">
        <f t="shared" ca="1" si="42"/>
        <v>#REF!</v>
      </c>
      <c r="Y56" s="6">
        <f t="shared" si="51"/>
        <v>5.0007959126304931</v>
      </c>
      <c r="Z56" s="6">
        <f t="shared" si="31"/>
        <v>30.28</v>
      </c>
      <c r="AA56" s="6" t="e">
        <f t="shared" si="52"/>
        <v>#VALUE!</v>
      </c>
      <c r="AB56" s="5" t="e">
        <f t="shared" si="53"/>
        <v>#VALUE!</v>
      </c>
      <c r="AC56" s="342" t="e">
        <f t="shared" si="43"/>
        <v>#N/A</v>
      </c>
      <c r="AD56" s="343" t="e">
        <f t="shared" si="54"/>
        <v>#N/A</v>
      </c>
      <c r="AE56" s="344" t="e">
        <f t="shared" si="55"/>
        <v>#N/A</v>
      </c>
      <c r="AF56" s="344" t="e">
        <f t="shared" si="20"/>
        <v>#N/A</v>
      </c>
      <c r="AG56" s="43" t="e">
        <f t="shared" si="56"/>
        <v>#N/A</v>
      </c>
      <c r="AH56" s="6" t="e">
        <f t="shared" si="44"/>
        <v>#N/A</v>
      </c>
      <c r="AI56" s="6" t="e">
        <f t="shared" si="57"/>
        <v>#VALUE!</v>
      </c>
    </row>
    <row r="57" spans="2:35">
      <c r="B57" s="102" t="str">
        <f t="shared" si="45"/>
        <v>CE</v>
      </c>
      <c r="C57" s="256"/>
      <c r="D57" s="1" t="s">
        <v>873</v>
      </c>
      <c r="E57" s="46" t="s">
        <v>56</v>
      </c>
      <c r="F57" s="1016">
        <v>10</v>
      </c>
      <c r="G57" s="1017">
        <v>24.72</v>
      </c>
      <c r="H57" s="1018" t="e">
        <f t="shared" si="46"/>
        <v>#VALUE!</v>
      </c>
      <c r="I57" s="230" t="e">
        <f t="shared" si="40"/>
        <v>#VALUE!</v>
      </c>
      <c r="J57" s="229">
        <v>10000</v>
      </c>
      <c r="K57" s="230">
        <f t="shared" si="36"/>
        <v>3000.3759655367207</v>
      </c>
      <c r="L57" s="46" t="s">
        <v>700</v>
      </c>
      <c r="M57" s="322">
        <v>0</v>
      </c>
      <c r="N57" s="113" t="s">
        <v>852</v>
      </c>
      <c r="O57" s="1196" t="e">
        <f t="shared" si="14"/>
        <v>#VALUE!</v>
      </c>
      <c r="P57" s="742" t="e">
        <f t="shared" ca="1" si="47"/>
        <v>#REF!</v>
      </c>
      <c r="Q57" s="742" t="e">
        <f t="shared" ca="1" si="48"/>
        <v>#REF!</v>
      </c>
      <c r="R57" s="218">
        <v>1</v>
      </c>
      <c r="S57" s="218">
        <v>3</v>
      </c>
      <c r="T57" s="226">
        <f t="shared" si="41"/>
        <v>13.422000000000001</v>
      </c>
      <c r="U57" s="557">
        <v>0.97430000000000005</v>
      </c>
      <c r="V57" s="227" t="e">
        <f t="shared" ca="1" si="49"/>
        <v>#REF!</v>
      </c>
      <c r="W57" s="227" t="e">
        <f t="shared" ca="1" si="50"/>
        <v>#REF!</v>
      </c>
      <c r="X57" s="554" t="e">
        <f t="shared" ca="1" si="42"/>
        <v>#REF!</v>
      </c>
      <c r="Y57" s="6">
        <f t="shared" si="51"/>
        <v>3.3329156461934115</v>
      </c>
      <c r="Z57" s="6">
        <f t="shared" si="31"/>
        <v>24.72</v>
      </c>
      <c r="AA57" s="6" t="e">
        <f t="shared" si="52"/>
        <v>#VALUE!</v>
      </c>
      <c r="AB57" s="5" t="e">
        <f t="shared" si="53"/>
        <v>#VALUE!</v>
      </c>
      <c r="AC57" s="342" t="e">
        <f t="shared" si="43"/>
        <v>#N/A</v>
      </c>
      <c r="AD57" s="343" t="e">
        <f t="shared" si="54"/>
        <v>#N/A</v>
      </c>
      <c r="AE57" s="344" t="e">
        <f t="shared" si="55"/>
        <v>#N/A</v>
      </c>
      <c r="AF57" s="344" t="e">
        <f t="shared" si="20"/>
        <v>#N/A</v>
      </c>
      <c r="AG57" s="43" t="e">
        <f t="shared" si="56"/>
        <v>#N/A</v>
      </c>
      <c r="AH57" s="6" t="e">
        <f t="shared" si="44"/>
        <v>#N/A</v>
      </c>
      <c r="AI57" s="6" t="e">
        <f t="shared" si="57"/>
        <v>#VALUE!</v>
      </c>
    </row>
    <row r="58" spans="2:35">
      <c r="B58" s="102" t="str">
        <f t="shared" si="45"/>
        <v>CF</v>
      </c>
      <c r="C58" s="256"/>
      <c r="D58" s="1" t="s">
        <v>874</v>
      </c>
      <c r="E58" s="46" t="s">
        <v>57</v>
      </c>
      <c r="F58" s="1016">
        <v>10</v>
      </c>
      <c r="G58" s="1017">
        <v>57.975000000000001</v>
      </c>
      <c r="H58" s="1018" t="e">
        <f t="shared" si="46"/>
        <v>#VALUE!</v>
      </c>
      <c r="I58" s="230" t="e">
        <f t="shared" si="40"/>
        <v>#VALUE!</v>
      </c>
      <c r="J58" s="229">
        <v>55000</v>
      </c>
      <c r="K58" s="230">
        <f t="shared" si="36"/>
        <v>3000.224723799362</v>
      </c>
      <c r="L58" s="46" t="s">
        <v>700</v>
      </c>
      <c r="M58" s="322">
        <v>0</v>
      </c>
      <c r="N58" s="113" t="s">
        <v>852</v>
      </c>
      <c r="O58" s="1196" t="e">
        <f t="shared" si="14"/>
        <v>#VALUE!</v>
      </c>
      <c r="P58" s="742" t="e">
        <f t="shared" ca="1" si="47"/>
        <v>#REF!</v>
      </c>
      <c r="Q58" s="742" t="e">
        <f t="shared" ca="1" si="48"/>
        <v>#REF!</v>
      </c>
      <c r="R58" s="218">
        <v>1</v>
      </c>
      <c r="S58" s="218">
        <v>3</v>
      </c>
      <c r="T58" s="226">
        <f t="shared" si="41"/>
        <v>13.422000000000001</v>
      </c>
      <c r="U58" s="557">
        <v>0.97430000000000005</v>
      </c>
      <c r="V58" s="227" t="e">
        <f t="shared" ca="1" si="49"/>
        <v>#REF!</v>
      </c>
      <c r="W58" s="227" t="e">
        <f t="shared" ca="1" si="50"/>
        <v>#REF!</v>
      </c>
      <c r="X58" s="554" t="e">
        <f t="shared" ca="1" si="42"/>
        <v>#REF!</v>
      </c>
      <c r="Y58" s="6">
        <f t="shared" si="51"/>
        <v>18.331960124090386</v>
      </c>
      <c r="Z58" s="6">
        <f t="shared" si="31"/>
        <v>57.974999999999994</v>
      </c>
      <c r="AA58" s="6" t="e">
        <f t="shared" si="52"/>
        <v>#VALUE!</v>
      </c>
      <c r="AB58" s="5" t="e">
        <f t="shared" si="53"/>
        <v>#VALUE!</v>
      </c>
      <c r="AC58" s="342" t="e">
        <f t="shared" si="43"/>
        <v>#N/A</v>
      </c>
      <c r="AD58" s="343" t="e">
        <f t="shared" si="54"/>
        <v>#N/A</v>
      </c>
      <c r="AE58" s="344" t="e">
        <f t="shared" si="55"/>
        <v>#N/A</v>
      </c>
      <c r="AF58" s="344" t="e">
        <f t="shared" si="20"/>
        <v>#N/A</v>
      </c>
      <c r="AG58" s="43" t="e">
        <f t="shared" si="56"/>
        <v>#N/A</v>
      </c>
      <c r="AH58" s="6" t="e">
        <f t="shared" si="44"/>
        <v>#N/A</v>
      </c>
      <c r="AI58" s="6" t="e">
        <f t="shared" si="57"/>
        <v>#VALUE!</v>
      </c>
    </row>
    <row r="59" spans="2:35">
      <c r="B59" s="102" t="str">
        <f t="shared" si="45"/>
        <v>CG</v>
      </c>
      <c r="C59" s="256"/>
      <c r="D59" s="1" t="s">
        <v>875</v>
      </c>
      <c r="E59" s="46" t="s">
        <v>58</v>
      </c>
      <c r="F59" s="1016">
        <v>10</v>
      </c>
      <c r="G59" s="1017">
        <v>57.975000000000001</v>
      </c>
      <c r="H59" s="1018" t="e">
        <f t="shared" si="46"/>
        <v>#VALUE!</v>
      </c>
      <c r="I59" s="230" t="e">
        <f t="shared" si="40"/>
        <v>#VALUE!</v>
      </c>
      <c r="J59" s="229">
        <v>55000</v>
      </c>
      <c r="K59" s="230">
        <f t="shared" si="36"/>
        <v>3000.224723799362</v>
      </c>
      <c r="L59" s="46" t="s">
        <v>700</v>
      </c>
      <c r="M59" s="322">
        <v>0</v>
      </c>
      <c r="N59" s="113" t="s">
        <v>852</v>
      </c>
      <c r="O59" s="1196" t="e">
        <f t="shared" si="14"/>
        <v>#VALUE!</v>
      </c>
      <c r="P59" s="742" t="e">
        <f t="shared" ca="1" si="47"/>
        <v>#REF!</v>
      </c>
      <c r="Q59" s="742" t="e">
        <f t="shared" ca="1" si="48"/>
        <v>#REF!</v>
      </c>
      <c r="R59" s="218">
        <v>1</v>
      </c>
      <c r="S59" s="218">
        <v>3</v>
      </c>
      <c r="T59" s="226">
        <f t="shared" si="41"/>
        <v>13.422000000000001</v>
      </c>
      <c r="U59" s="557">
        <v>0.97430000000000005</v>
      </c>
      <c r="V59" s="227" t="e">
        <f t="shared" ca="1" si="49"/>
        <v>#REF!</v>
      </c>
      <c r="W59" s="227" t="e">
        <f t="shared" ca="1" si="50"/>
        <v>#REF!</v>
      </c>
      <c r="X59" s="554" t="e">
        <f t="shared" ca="1" si="42"/>
        <v>#REF!</v>
      </c>
      <c r="Y59" s="6">
        <f t="shared" si="51"/>
        <v>18.331960124090386</v>
      </c>
      <c r="Z59" s="6">
        <f t="shared" si="31"/>
        <v>57.974999999999994</v>
      </c>
      <c r="AA59" s="6" t="e">
        <f t="shared" si="52"/>
        <v>#VALUE!</v>
      </c>
      <c r="AB59" s="5" t="e">
        <f t="shared" si="53"/>
        <v>#VALUE!</v>
      </c>
      <c r="AC59" s="342" t="e">
        <f t="shared" si="43"/>
        <v>#N/A</v>
      </c>
      <c r="AD59" s="343" t="e">
        <f t="shared" si="54"/>
        <v>#N/A</v>
      </c>
      <c r="AE59" s="344" t="e">
        <f t="shared" si="55"/>
        <v>#N/A</v>
      </c>
      <c r="AF59" s="344" t="e">
        <f t="shared" si="20"/>
        <v>#N/A</v>
      </c>
      <c r="AG59" s="43" t="e">
        <f t="shared" si="56"/>
        <v>#N/A</v>
      </c>
      <c r="AH59" s="6" t="e">
        <f t="shared" si="44"/>
        <v>#N/A</v>
      </c>
      <c r="AI59" s="6" t="e">
        <f t="shared" si="57"/>
        <v>#VALUE!</v>
      </c>
    </row>
    <row r="60" spans="2:35">
      <c r="B60" s="102" t="str">
        <f t="shared" si="45"/>
        <v>CH</v>
      </c>
      <c r="C60" s="256"/>
      <c r="D60" s="1" t="s">
        <v>876</v>
      </c>
      <c r="E60" s="46" t="s">
        <v>59</v>
      </c>
      <c r="F60" s="1016">
        <v>10</v>
      </c>
      <c r="G60" s="1017">
        <v>57.975000000000001</v>
      </c>
      <c r="H60" s="1018" t="e">
        <f t="shared" si="46"/>
        <v>#VALUE!</v>
      </c>
      <c r="I60" s="230" t="e">
        <f t="shared" si="40"/>
        <v>#VALUE!</v>
      </c>
      <c r="J60" s="229">
        <v>55000</v>
      </c>
      <c r="K60" s="230">
        <f t="shared" si="36"/>
        <v>3000.224723799362</v>
      </c>
      <c r="L60" s="46" t="s">
        <v>700</v>
      </c>
      <c r="M60" s="322">
        <v>0</v>
      </c>
      <c r="N60" s="113" t="s">
        <v>852</v>
      </c>
      <c r="O60" s="1196" t="e">
        <f t="shared" si="14"/>
        <v>#VALUE!</v>
      </c>
      <c r="P60" s="742" t="e">
        <f t="shared" ca="1" si="47"/>
        <v>#REF!</v>
      </c>
      <c r="Q60" s="742" t="e">
        <f t="shared" ca="1" si="48"/>
        <v>#REF!</v>
      </c>
      <c r="R60" s="218">
        <v>1</v>
      </c>
      <c r="S60" s="218">
        <v>3</v>
      </c>
      <c r="T60" s="226">
        <f t="shared" si="41"/>
        <v>13.422000000000001</v>
      </c>
      <c r="U60" s="557">
        <v>0.97430000000000005</v>
      </c>
      <c r="V60" s="227" t="e">
        <f t="shared" ca="1" si="49"/>
        <v>#REF!</v>
      </c>
      <c r="W60" s="227" t="e">
        <f t="shared" ca="1" si="50"/>
        <v>#REF!</v>
      </c>
      <c r="X60" s="554" t="e">
        <f t="shared" ca="1" si="42"/>
        <v>#REF!</v>
      </c>
      <c r="Y60" s="6">
        <f t="shared" si="51"/>
        <v>18.331960124090386</v>
      </c>
      <c r="Z60" s="6">
        <f t="shared" si="31"/>
        <v>57.974999999999994</v>
      </c>
      <c r="AA60" s="6" t="e">
        <f t="shared" si="52"/>
        <v>#VALUE!</v>
      </c>
      <c r="AB60" s="5" t="e">
        <f t="shared" si="53"/>
        <v>#VALUE!</v>
      </c>
      <c r="AC60" s="342" t="e">
        <f t="shared" si="43"/>
        <v>#N/A</v>
      </c>
      <c r="AD60" s="343" t="e">
        <f t="shared" si="54"/>
        <v>#N/A</v>
      </c>
      <c r="AE60" s="344" t="e">
        <f t="shared" si="55"/>
        <v>#N/A</v>
      </c>
      <c r="AF60" s="344" t="e">
        <f t="shared" si="20"/>
        <v>#N/A</v>
      </c>
      <c r="AG60" s="43" t="e">
        <f t="shared" si="56"/>
        <v>#N/A</v>
      </c>
      <c r="AH60" s="6" t="e">
        <f t="shared" si="44"/>
        <v>#N/A</v>
      </c>
      <c r="AI60" s="6" t="e">
        <f t="shared" si="57"/>
        <v>#VALUE!</v>
      </c>
    </row>
    <row r="61" spans="2:35">
      <c r="B61" s="102" t="str">
        <f t="shared" si="45"/>
        <v>CI</v>
      </c>
      <c r="C61" s="256"/>
      <c r="D61" s="1" t="s">
        <v>34</v>
      </c>
      <c r="E61" s="46" t="s">
        <v>60</v>
      </c>
      <c r="F61" s="1016">
        <v>10</v>
      </c>
      <c r="G61" s="1017">
        <v>39.085000000000001</v>
      </c>
      <c r="H61" s="1018" t="e">
        <f t="shared" si="46"/>
        <v>#VALUE!</v>
      </c>
      <c r="I61" s="230" t="e">
        <f t="shared" si="40"/>
        <v>#VALUE!</v>
      </c>
      <c r="J61" s="229">
        <v>25000</v>
      </c>
      <c r="K61" s="230">
        <f t="shared" si="36"/>
        <v>3000.491403347798</v>
      </c>
      <c r="L61" s="46" t="s">
        <v>700</v>
      </c>
      <c r="M61" s="322">
        <v>0</v>
      </c>
      <c r="N61" s="113" t="s">
        <v>852</v>
      </c>
      <c r="O61" s="1196" t="e">
        <f t="shared" si="14"/>
        <v>#VALUE!</v>
      </c>
      <c r="P61" s="742" t="e">
        <f t="shared" ca="1" si="47"/>
        <v>#REF!</v>
      </c>
      <c r="Q61" s="742" t="e">
        <f t="shared" ca="1" si="48"/>
        <v>#REF!</v>
      </c>
      <c r="R61" s="218">
        <v>1</v>
      </c>
      <c r="S61" s="218">
        <v>3</v>
      </c>
      <c r="T61" s="226">
        <f t="shared" si="41"/>
        <v>13.422000000000001</v>
      </c>
      <c r="U61" s="557">
        <v>0.97430000000000005</v>
      </c>
      <c r="V61" s="227" t="e">
        <f t="shared" ca="1" si="49"/>
        <v>#REF!</v>
      </c>
      <c r="W61" s="227" t="e">
        <f t="shared" ca="1" si="50"/>
        <v>#REF!</v>
      </c>
      <c r="X61" s="554" t="e">
        <f t="shared" ca="1" si="42"/>
        <v>#REF!</v>
      </c>
      <c r="Y61" s="6">
        <f t="shared" si="51"/>
        <v>8.3319685475873229</v>
      </c>
      <c r="Z61" s="6">
        <f t="shared" si="31"/>
        <v>39.085000000000001</v>
      </c>
      <c r="AA61" s="6" t="e">
        <f t="shared" si="52"/>
        <v>#VALUE!</v>
      </c>
      <c r="AB61" s="5" t="e">
        <f t="shared" si="53"/>
        <v>#VALUE!</v>
      </c>
      <c r="AC61" s="342" t="e">
        <f t="shared" si="43"/>
        <v>#N/A</v>
      </c>
      <c r="AD61" s="343" t="e">
        <f t="shared" si="54"/>
        <v>#N/A</v>
      </c>
      <c r="AE61" s="344" t="e">
        <f t="shared" si="55"/>
        <v>#N/A</v>
      </c>
      <c r="AF61" s="344" t="e">
        <f t="shared" si="20"/>
        <v>#N/A</v>
      </c>
      <c r="AG61" s="43" t="e">
        <f t="shared" si="56"/>
        <v>#N/A</v>
      </c>
      <c r="AH61" s="6" t="e">
        <f t="shared" si="44"/>
        <v>#N/A</v>
      </c>
      <c r="AI61" s="6" t="e">
        <f t="shared" si="57"/>
        <v>#VALUE!</v>
      </c>
    </row>
    <row r="62" spans="2:35">
      <c r="B62" s="102" t="str">
        <f t="shared" si="45"/>
        <v>CJ</v>
      </c>
      <c r="C62" s="256"/>
      <c r="D62" s="1" t="s">
        <v>35</v>
      </c>
      <c r="E62" s="46" t="s">
        <v>61</v>
      </c>
      <c r="F62" s="1016">
        <v>10</v>
      </c>
      <c r="G62" s="1017">
        <v>39.085000000000001</v>
      </c>
      <c r="H62" s="1018" t="e">
        <f t="shared" si="46"/>
        <v>#VALUE!</v>
      </c>
      <c r="I62" s="230" t="e">
        <f t="shared" si="40"/>
        <v>#VALUE!</v>
      </c>
      <c r="J62" s="229">
        <v>25000</v>
      </c>
      <c r="K62" s="230">
        <f t="shared" si="36"/>
        <v>3000.491403347798</v>
      </c>
      <c r="L62" s="46" t="s">
        <v>700</v>
      </c>
      <c r="M62" s="322">
        <v>0</v>
      </c>
      <c r="N62" s="113" t="s">
        <v>852</v>
      </c>
      <c r="O62" s="1196" t="e">
        <f t="shared" si="14"/>
        <v>#VALUE!</v>
      </c>
      <c r="P62" s="742" t="e">
        <f t="shared" ca="1" si="47"/>
        <v>#REF!</v>
      </c>
      <c r="Q62" s="742" t="e">
        <f t="shared" ca="1" si="48"/>
        <v>#REF!</v>
      </c>
      <c r="R62" s="218">
        <v>1</v>
      </c>
      <c r="S62" s="218">
        <v>3</v>
      </c>
      <c r="T62" s="226">
        <f t="shared" si="41"/>
        <v>13.422000000000001</v>
      </c>
      <c r="U62" s="557">
        <v>0.97430000000000005</v>
      </c>
      <c r="V62" s="227" t="e">
        <f t="shared" ca="1" si="49"/>
        <v>#REF!</v>
      </c>
      <c r="W62" s="227" t="e">
        <f t="shared" ca="1" si="50"/>
        <v>#REF!</v>
      </c>
      <c r="X62" s="554" t="e">
        <f t="shared" ca="1" si="42"/>
        <v>#REF!</v>
      </c>
      <c r="Y62" s="6">
        <f t="shared" si="51"/>
        <v>8.3319685475873229</v>
      </c>
      <c r="Z62" s="6">
        <f t="shared" si="31"/>
        <v>39.085000000000001</v>
      </c>
      <c r="AA62" s="6" t="e">
        <f t="shared" si="52"/>
        <v>#VALUE!</v>
      </c>
      <c r="AB62" s="5" t="e">
        <f t="shared" si="53"/>
        <v>#VALUE!</v>
      </c>
      <c r="AC62" s="342" t="e">
        <f t="shared" si="43"/>
        <v>#N/A</v>
      </c>
      <c r="AD62" s="343" t="e">
        <f t="shared" si="54"/>
        <v>#N/A</v>
      </c>
      <c r="AE62" s="344" t="e">
        <f t="shared" si="55"/>
        <v>#N/A</v>
      </c>
      <c r="AF62" s="344" t="e">
        <f t="shared" si="20"/>
        <v>#N/A</v>
      </c>
      <c r="AG62" s="43" t="e">
        <f t="shared" si="56"/>
        <v>#N/A</v>
      </c>
      <c r="AH62" s="6" t="e">
        <f t="shared" si="44"/>
        <v>#N/A</v>
      </c>
      <c r="AI62" s="6" t="e">
        <f t="shared" si="57"/>
        <v>#VALUE!</v>
      </c>
    </row>
    <row r="63" spans="2:35">
      <c r="B63" s="102" t="str">
        <f t="shared" si="45"/>
        <v>CK</v>
      </c>
      <c r="C63" s="256"/>
      <c r="D63" s="1" t="s">
        <v>877</v>
      </c>
      <c r="E63" s="46" t="s">
        <v>62</v>
      </c>
      <c r="F63" s="1016">
        <v>10</v>
      </c>
      <c r="G63" s="1017">
        <v>24.72</v>
      </c>
      <c r="H63" s="1018" t="e">
        <f t="shared" si="46"/>
        <v>#VALUE!</v>
      </c>
      <c r="I63" s="230" t="e">
        <f t="shared" si="40"/>
        <v>#VALUE!</v>
      </c>
      <c r="J63" s="229">
        <v>10000</v>
      </c>
      <c r="K63" s="230">
        <f t="shared" si="36"/>
        <v>3000.3759655367207</v>
      </c>
      <c r="L63" s="46" t="s">
        <v>700</v>
      </c>
      <c r="M63" s="322">
        <v>0</v>
      </c>
      <c r="N63" s="113" t="s">
        <v>852</v>
      </c>
      <c r="O63" s="1196" t="e">
        <f t="shared" si="14"/>
        <v>#VALUE!</v>
      </c>
      <c r="P63" s="742" t="e">
        <f t="shared" ca="1" si="47"/>
        <v>#REF!</v>
      </c>
      <c r="Q63" s="742" t="e">
        <f t="shared" ca="1" si="48"/>
        <v>#REF!</v>
      </c>
      <c r="R63" s="218">
        <v>1</v>
      </c>
      <c r="S63" s="218">
        <v>3</v>
      </c>
      <c r="T63" s="226">
        <f t="shared" si="41"/>
        <v>13.422000000000001</v>
      </c>
      <c r="U63" s="557">
        <v>0.97430000000000005</v>
      </c>
      <c r="V63" s="227" t="e">
        <f t="shared" ca="1" si="49"/>
        <v>#REF!</v>
      </c>
      <c r="W63" s="227" t="e">
        <f t="shared" ca="1" si="50"/>
        <v>#REF!</v>
      </c>
      <c r="X63" s="554" t="e">
        <f t="shared" ca="1" si="42"/>
        <v>#REF!</v>
      </c>
      <c r="Y63" s="6">
        <f t="shared" si="51"/>
        <v>3.3329156461934115</v>
      </c>
      <c r="Z63" s="6">
        <f t="shared" si="31"/>
        <v>24.72</v>
      </c>
      <c r="AA63" s="6" t="e">
        <f t="shared" si="52"/>
        <v>#VALUE!</v>
      </c>
      <c r="AB63" s="5" t="e">
        <f t="shared" si="53"/>
        <v>#VALUE!</v>
      </c>
      <c r="AC63" s="342" t="e">
        <f t="shared" si="43"/>
        <v>#N/A</v>
      </c>
      <c r="AD63" s="343" t="e">
        <f t="shared" si="54"/>
        <v>#N/A</v>
      </c>
      <c r="AE63" s="344" t="e">
        <f t="shared" si="55"/>
        <v>#N/A</v>
      </c>
      <c r="AF63" s="344" t="e">
        <f t="shared" si="20"/>
        <v>#N/A</v>
      </c>
      <c r="AG63" s="43" t="e">
        <f t="shared" si="56"/>
        <v>#N/A</v>
      </c>
      <c r="AH63" s="6" t="e">
        <f t="shared" si="44"/>
        <v>#N/A</v>
      </c>
      <c r="AI63" s="6" t="e">
        <f t="shared" si="57"/>
        <v>#VALUE!</v>
      </c>
    </row>
    <row r="64" spans="2:35">
      <c r="B64" s="102" t="str">
        <f t="shared" si="45"/>
        <v>CL</v>
      </c>
      <c r="C64" s="256"/>
      <c r="D64" s="1" t="s">
        <v>878</v>
      </c>
      <c r="E64" s="46" t="s">
        <v>63</v>
      </c>
      <c r="F64" s="1016">
        <v>10</v>
      </c>
      <c r="G64" s="1017">
        <v>24.72</v>
      </c>
      <c r="H64" s="1018" t="e">
        <f t="shared" si="46"/>
        <v>#VALUE!</v>
      </c>
      <c r="I64" s="230" t="e">
        <f t="shared" si="40"/>
        <v>#VALUE!</v>
      </c>
      <c r="J64" s="229">
        <v>10000</v>
      </c>
      <c r="K64" s="230">
        <f t="shared" si="36"/>
        <v>3000.3759655367207</v>
      </c>
      <c r="L64" s="46" t="s">
        <v>700</v>
      </c>
      <c r="M64" s="322">
        <v>0</v>
      </c>
      <c r="N64" s="113" t="s">
        <v>852</v>
      </c>
      <c r="O64" s="1196" t="e">
        <f t="shared" si="14"/>
        <v>#VALUE!</v>
      </c>
      <c r="P64" s="742" t="e">
        <f t="shared" ca="1" si="47"/>
        <v>#REF!</v>
      </c>
      <c r="Q64" s="742" t="e">
        <f t="shared" ca="1" si="48"/>
        <v>#REF!</v>
      </c>
      <c r="R64" s="218">
        <v>1</v>
      </c>
      <c r="S64" s="218">
        <v>3</v>
      </c>
      <c r="T64" s="226">
        <f t="shared" si="41"/>
        <v>13.422000000000001</v>
      </c>
      <c r="U64" s="557">
        <v>0.97430000000000005</v>
      </c>
      <c r="V64" s="227" t="e">
        <f t="shared" ca="1" si="49"/>
        <v>#REF!</v>
      </c>
      <c r="W64" s="227" t="e">
        <f t="shared" ca="1" si="50"/>
        <v>#REF!</v>
      </c>
      <c r="X64" s="554" t="e">
        <f t="shared" ca="1" si="42"/>
        <v>#REF!</v>
      </c>
      <c r="Y64" s="6">
        <f t="shared" si="51"/>
        <v>3.3329156461934115</v>
      </c>
      <c r="Z64" s="6">
        <f t="shared" si="31"/>
        <v>24.72</v>
      </c>
      <c r="AA64" s="6" t="e">
        <f t="shared" si="52"/>
        <v>#VALUE!</v>
      </c>
      <c r="AB64" s="5" t="e">
        <f t="shared" si="53"/>
        <v>#VALUE!</v>
      </c>
      <c r="AC64" s="342" t="e">
        <f t="shared" si="43"/>
        <v>#N/A</v>
      </c>
      <c r="AD64" s="343" t="e">
        <f t="shared" si="54"/>
        <v>#N/A</v>
      </c>
      <c r="AE64" s="344" t="e">
        <f t="shared" si="55"/>
        <v>#N/A</v>
      </c>
      <c r="AF64" s="344" t="e">
        <f t="shared" si="20"/>
        <v>#N/A</v>
      </c>
      <c r="AG64" s="43" t="e">
        <f t="shared" si="56"/>
        <v>#N/A</v>
      </c>
      <c r="AH64" s="6" t="e">
        <f t="shared" si="44"/>
        <v>#N/A</v>
      </c>
      <c r="AI64" s="6" t="e">
        <f t="shared" si="57"/>
        <v>#VALUE!</v>
      </c>
    </row>
    <row r="65" spans="2:35">
      <c r="B65" s="102" t="str">
        <f t="shared" si="45"/>
        <v>CM</v>
      </c>
      <c r="C65" s="256"/>
      <c r="D65" s="1" t="s">
        <v>455</v>
      </c>
      <c r="E65" s="46" t="s">
        <v>64</v>
      </c>
      <c r="F65" s="1016">
        <v>10</v>
      </c>
      <c r="G65" s="1017">
        <v>6</v>
      </c>
      <c r="H65" s="1019">
        <v>300</v>
      </c>
      <c r="I65" s="230">
        <f t="shared" si="40"/>
        <v>636.25855350983352</v>
      </c>
      <c r="J65" s="229">
        <v>200</v>
      </c>
      <c r="K65" s="230">
        <f t="shared" si="36"/>
        <v>1018.5916357881301</v>
      </c>
      <c r="L65" s="46" t="s">
        <v>700</v>
      </c>
      <c r="M65" s="322">
        <v>0</v>
      </c>
      <c r="N65" s="113" t="s">
        <v>456</v>
      </c>
      <c r="O65" s="1196" t="e">
        <f t="shared" si="14"/>
        <v>#VALUE!</v>
      </c>
      <c r="P65" s="742" t="e">
        <f t="shared" ca="1" si="47"/>
        <v>#REF!</v>
      </c>
      <c r="Q65" s="742" t="e">
        <f t="shared" ca="1" si="48"/>
        <v>#REF!</v>
      </c>
      <c r="R65" s="218">
        <v>1</v>
      </c>
      <c r="S65" s="218">
        <v>3</v>
      </c>
      <c r="T65" s="226">
        <f t="shared" si="41"/>
        <v>13.422000000000001</v>
      </c>
      <c r="U65" s="557">
        <v>0.97430000000000005</v>
      </c>
      <c r="V65" s="227" t="e">
        <f t="shared" ca="1" si="49"/>
        <v>#REF!</v>
      </c>
      <c r="W65" s="227" t="e">
        <f t="shared" ca="1" si="50"/>
        <v>#REF!</v>
      </c>
      <c r="X65" s="554" t="e">
        <f t="shared" ca="1" si="42"/>
        <v>#REF!</v>
      </c>
      <c r="Y65" s="6">
        <f t="shared" si="51"/>
        <v>0.19634954084936207</v>
      </c>
      <c r="Z65" s="6">
        <f t="shared" si="31"/>
        <v>6</v>
      </c>
      <c r="AA65" s="6" t="e">
        <f t="shared" si="52"/>
        <v>#VALUE!</v>
      </c>
      <c r="AB65" s="5" t="e">
        <f t="shared" si="53"/>
        <v>#VALUE!</v>
      </c>
      <c r="AC65" s="342" t="e">
        <f t="shared" si="43"/>
        <v>#N/A</v>
      </c>
      <c r="AD65" s="343" t="e">
        <f t="shared" si="54"/>
        <v>#N/A</v>
      </c>
      <c r="AE65" s="344" t="e">
        <f t="shared" si="55"/>
        <v>#N/A</v>
      </c>
      <c r="AF65" s="344" t="e">
        <f t="shared" si="20"/>
        <v>#N/A</v>
      </c>
      <c r="AG65" s="43" t="e">
        <f t="shared" si="56"/>
        <v>#N/A</v>
      </c>
      <c r="AH65" s="6" t="e">
        <f t="shared" si="44"/>
        <v>#N/A</v>
      </c>
      <c r="AI65" s="6" t="e">
        <f t="shared" si="57"/>
        <v>#VALUE!</v>
      </c>
    </row>
    <row r="66" spans="2:35">
      <c r="B66" s="102" t="str">
        <f t="shared" si="45"/>
        <v>CN</v>
      </c>
      <c r="C66" s="256"/>
      <c r="D66" s="1" t="s">
        <v>459</v>
      </c>
      <c r="E66" s="46" t="s">
        <v>65</v>
      </c>
      <c r="F66" s="1016">
        <v>10</v>
      </c>
      <c r="G66" s="1017">
        <v>14</v>
      </c>
      <c r="H66" s="1017">
        <v>891</v>
      </c>
      <c r="I66" s="230">
        <f t="shared" si="40"/>
        <v>23294.692795627911</v>
      </c>
      <c r="J66" s="229">
        <v>13019</v>
      </c>
      <c r="K66" s="230">
        <f t="shared" si="36"/>
        <v>12178.510260911326</v>
      </c>
      <c r="L66" s="46" t="s">
        <v>700</v>
      </c>
      <c r="M66" s="322">
        <v>0</v>
      </c>
      <c r="N66" s="113" t="s">
        <v>456</v>
      </c>
      <c r="O66" s="1196" t="e">
        <f t="shared" si="14"/>
        <v>#VALUE!</v>
      </c>
      <c r="P66" s="742" t="e">
        <f t="shared" ca="1" si="47"/>
        <v>#REF!</v>
      </c>
      <c r="Q66" s="742" t="e">
        <f t="shared" ca="1" si="48"/>
        <v>#REF!</v>
      </c>
      <c r="R66" s="218">
        <v>1</v>
      </c>
      <c r="S66" s="218">
        <v>3</v>
      </c>
      <c r="T66" s="226">
        <f t="shared" si="41"/>
        <v>13.422000000000001</v>
      </c>
      <c r="U66" s="557">
        <v>0.97430000000000005</v>
      </c>
      <c r="V66" s="227" t="e">
        <f t="shared" ca="1" si="49"/>
        <v>#REF!</v>
      </c>
      <c r="W66" s="227" t="e">
        <f t="shared" ca="1" si="50"/>
        <v>#REF!</v>
      </c>
      <c r="X66" s="554" t="e">
        <f t="shared" ca="1" si="42"/>
        <v>#REF!</v>
      </c>
      <c r="Y66" s="6">
        <f t="shared" si="51"/>
        <v>1.0690141668465269</v>
      </c>
      <c r="Z66" s="32">
        <f t="shared" si="31"/>
        <v>14</v>
      </c>
      <c r="AA66" s="6" t="e">
        <f t="shared" si="52"/>
        <v>#VALUE!</v>
      </c>
      <c r="AB66" s="5" t="e">
        <f t="shared" si="53"/>
        <v>#VALUE!</v>
      </c>
      <c r="AC66" s="342" t="e">
        <f t="shared" si="43"/>
        <v>#N/A</v>
      </c>
      <c r="AD66" s="343" t="e">
        <f t="shared" si="54"/>
        <v>#N/A</v>
      </c>
      <c r="AE66" s="344" t="e">
        <f t="shared" si="55"/>
        <v>#N/A</v>
      </c>
      <c r="AF66" s="344" t="e">
        <f t="shared" si="20"/>
        <v>#N/A</v>
      </c>
      <c r="AG66" s="43" t="e">
        <f t="shared" si="56"/>
        <v>#N/A</v>
      </c>
      <c r="AH66" s="6" t="e">
        <f t="shared" si="44"/>
        <v>#N/A</v>
      </c>
      <c r="AI66" s="6" t="e">
        <f t="shared" si="57"/>
        <v>#VALUE!</v>
      </c>
    </row>
    <row r="67" spans="2:35">
      <c r="B67" s="3"/>
      <c r="C67" s="185"/>
      <c r="D67" s="1"/>
      <c r="E67" s="46"/>
      <c r="F67" s="1016"/>
      <c r="G67" s="1017"/>
      <c r="H67" s="1018"/>
      <c r="I67" s="230"/>
      <c r="J67" s="229"/>
      <c r="K67" s="230"/>
      <c r="L67" s="46"/>
      <c r="M67" s="322"/>
      <c r="N67" s="113"/>
      <c r="P67" s="1"/>
      <c r="R67" s="218"/>
      <c r="S67" s="218"/>
      <c r="T67" s="226"/>
      <c r="U67" s="557"/>
      <c r="V67" s="227"/>
      <c r="W67" s="227"/>
      <c r="X67" s="554"/>
      <c r="Y67" s="6"/>
      <c r="Z67" s="6"/>
      <c r="AA67" s="6"/>
      <c r="AB67" s="5"/>
      <c r="AC67" s="342"/>
      <c r="AD67" s="343"/>
      <c r="AE67" s="344"/>
      <c r="AF67" s="344"/>
      <c r="AG67" s="43"/>
      <c r="AH67" s="6"/>
      <c r="AI67" s="6"/>
    </row>
    <row r="68" spans="2:35">
      <c r="C68" s="1015" t="s">
        <v>571</v>
      </c>
      <c r="E68" s="46"/>
      <c r="F68" s="1016"/>
      <c r="G68" s="1017"/>
      <c r="H68" s="1017"/>
      <c r="I68" s="230"/>
      <c r="J68" s="229"/>
      <c r="K68" s="230"/>
      <c r="L68" s="46"/>
      <c r="M68" s="322"/>
      <c r="N68" s="113"/>
      <c r="P68" s="1"/>
      <c r="R68" s="218"/>
      <c r="S68" s="218"/>
      <c r="T68" s="226"/>
      <c r="U68" s="557"/>
      <c r="V68" s="36"/>
      <c r="W68" s="36"/>
      <c r="X68" s="555"/>
      <c r="Y68" s="6"/>
      <c r="Z68" s="6"/>
      <c r="AA68" s="6"/>
      <c r="AB68" s="5"/>
      <c r="AC68" s="6"/>
      <c r="AD68" s="6"/>
      <c r="AE68" s="6"/>
      <c r="AF68" s="344"/>
      <c r="AG68" s="43"/>
      <c r="AH68" s="6"/>
      <c r="AI68" s="6"/>
    </row>
    <row r="69" spans="2:35">
      <c r="B69" s="46" t="s">
        <v>350</v>
      </c>
      <c r="C69" s="256"/>
      <c r="D69" s="1" t="s">
        <v>547</v>
      </c>
      <c r="E69" s="46" t="s">
        <v>548</v>
      </c>
      <c r="F69" s="1016">
        <v>1</v>
      </c>
      <c r="G69" s="1017">
        <v>3</v>
      </c>
      <c r="H69" s="1018" t="e">
        <f>((Ta-273.15)*(9/5))+32</f>
        <v>#VALUE!</v>
      </c>
      <c r="I69" s="230" t="e">
        <f t="shared" ref="I69:I92" si="58">$I167*2.2*3600</f>
        <v>#VALUE!</v>
      </c>
      <c r="J69" s="229">
        <v>100</v>
      </c>
      <c r="K69" s="230">
        <f t="shared" si="36"/>
        <v>2037.1832715762603</v>
      </c>
      <c r="L69" s="46" t="s">
        <v>700</v>
      </c>
      <c r="M69" s="322">
        <v>0</v>
      </c>
      <c r="N69" s="113" t="s">
        <v>456</v>
      </c>
      <c r="O69" s="1196" t="e">
        <f t="shared" si="14"/>
        <v>#VALUE!</v>
      </c>
      <c r="P69" s="742" t="e">
        <f ca="1">+ROUND(INDIRECT(ADDRESS(22,11,1,TRUE,B69)),0)</f>
        <v>#VALUE!</v>
      </c>
      <c r="Q69" s="742" t="e">
        <f ca="1">ROUND(INDIRECT(ADDRESS(23,11,1,TRUE,B69)),0)</f>
        <v>#VALUE!</v>
      </c>
      <c r="R69" s="218">
        <v>1</v>
      </c>
      <c r="S69" s="218">
        <v>3</v>
      </c>
      <c r="T69" s="226">
        <f t="shared" ref="T69:T92" si="59">2.237*6</f>
        <v>13.422000000000001</v>
      </c>
      <c r="U69" s="557">
        <v>0.97430000000000005</v>
      </c>
      <c r="V69" s="227" t="e">
        <f ca="1">INDIRECT(ADDRESS(52,6,1,,$B69))</f>
        <v>#VALUE!</v>
      </c>
      <c r="W69" s="227" t="e">
        <f ca="1">INDIRECT(ADDRESS(52,7,1,,$B69))</f>
        <v>#VALUE!</v>
      </c>
      <c r="X69" s="554" t="e">
        <f t="shared" ref="X69:X92" ca="1" si="60">V69-W69</f>
        <v>#VALUE!</v>
      </c>
      <c r="Y69" s="6">
        <f t="shared" ref="Y69:Y78" si="61">(PI()/4)*($G69/12)^2</f>
        <v>4.9087385212340517E-2</v>
      </c>
      <c r="Z69" s="6">
        <f t="shared" si="31"/>
        <v>3</v>
      </c>
      <c r="AA69" s="6" t="e">
        <f t="shared" ref="AA69:AA92" si="62">IF($R69=1,MAX($G69/SF,$S69/32),IF($R69=3,$G69/SF,NA()))</f>
        <v>#VALUE!</v>
      </c>
      <c r="AB69" s="5" t="e">
        <f t="shared" ref="AB69:AB78" si="63">IF($R69=1,ROUND(AA69*32,0),NA())</f>
        <v>#VALUE!</v>
      </c>
      <c r="AC69" s="342" t="e">
        <f t="shared" ref="AC69:AC78" si="64">IF($R69=2,(PI()*(Z69/SF)^2)/4,NA())</f>
        <v>#N/A</v>
      </c>
      <c r="AD69" s="343" t="e">
        <f t="shared" ref="AD69:AD78" si="65">IF($R69=2,INDEX(SquareBrass,MATCH($AC69,SquareAreaDSC,-1),6),NA())</f>
        <v>#N/A</v>
      </c>
      <c r="AE69" s="344" t="e">
        <f t="shared" ref="AE69:AE78" si="66">IF($R69=2,INDEX(SquareBrass,MATCH($AC69,SquareAreaASC,1),1),NA())</f>
        <v>#N/A</v>
      </c>
      <c r="AF69" s="344" t="e">
        <f t="shared" si="20"/>
        <v>#N/A</v>
      </c>
      <c r="AG69" s="43" t="e">
        <f t="shared" ref="AG69:AG92" si="67">IF(R69=2,INDEX(SquareBrass,MATCH($AF69,SquareAreaASC,0),2),NA())</f>
        <v>#N/A</v>
      </c>
      <c r="AH69" s="6" t="e">
        <f t="shared" ref="AH69:AH78" si="68">SQRT(4*AF69/PI())</f>
        <v>#N/A</v>
      </c>
      <c r="AI69" s="6" t="e">
        <f t="shared" ref="AI69:AI92" si="69">IF($R69=2,$AH69,IF($R69=3,$AA69,$AB69/32))</f>
        <v>#VALUE!</v>
      </c>
    </row>
    <row r="70" spans="2:35">
      <c r="B70" s="102" t="str">
        <f t="shared" ref="B70:B92" si="70">IF((RIGHT(B69,1))&lt;&gt;"Z",CHAR(CODE(B69))&amp;CHAR(CODE(RIGHT(B69,1))+1),CHAR(CODE(B69)+1)&amp;"A")</f>
        <v>DB</v>
      </c>
      <c r="C70" s="256"/>
      <c r="D70" s="1" t="s">
        <v>453</v>
      </c>
      <c r="E70" s="46" t="s">
        <v>452</v>
      </c>
      <c r="F70" s="1016">
        <v>10</v>
      </c>
      <c r="G70" s="1017">
        <v>6</v>
      </c>
      <c r="H70" s="1019">
        <v>300</v>
      </c>
      <c r="I70" s="230">
        <f t="shared" si="58"/>
        <v>318.12927675491676</v>
      </c>
      <c r="J70" s="229">
        <v>100</v>
      </c>
      <c r="K70" s="230">
        <f t="shared" si="36"/>
        <v>509.29581789406507</v>
      </c>
      <c r="L70" s="46" t="s">
        <v>700</v>
      </c>
      <c r="M70" s="322">
        <v>0</v>
      </c>
      <c r="N70" s="113" t="s">
        <v>456</v>
      </c>
      <c r="O70" s="1196" t="e">
        <f t="shared" si="14"/>
        <v>#VALUE!</v>
      </c>
      <c r="P70" s="742" t="e">
        <f t="shared" ref="P70:P92" ca="1" si="71">+ROUND(INDIRECT(ADDRESS(22,11,1,TRUE,B70)),0)</f>
        <v>#VALUE!</v>
      </c>
      <c r="Q70" s="742" t="e">
        <f t="shared" ref="Q70:Q92" ca="1" si="72">ROUND(INDIRECT(ADDRESS(23,11,1,TRUE,B70)),0)</f>
        <v>#VALUE!</v>
      </c>
      <c r="R70" s="218">
        <v>1</v>
      </c>
      <c r="S70" s="218">
        <v>3</v>
      </c>
      <c r="T70" s="226">
        <f t="shared" si="59"/>
        <v>13.422000000000001</v>
      </c>
      <c r="U70" s="557">
        <v>0.97430000000000005</v>
      </c>
      <c r="V70" s="227" t="e">
        <f t="shared" ref="V70:V92" ca="1" si="73">INDIRECT(ADDRESS(52,6,1,,$B70))</f>
        <v>#VALUE!</v>
      </c>
      <c r="W70" s="227" t="e">
        <f t="shared" ref="W70:W92" ca="1" si="74">INDIRECT(ADDRESS(52,7,1,,$B70))</f>
        <v>#VALUE!</v>
      </c>
      <c r="X70" s="554" t="e">
        <f t="shared" ca="1" si="60"/>
        <v>#VALUE!</v>
      </c>
      <c r="Y70" s="6">
        <f t="shared" si="61"/>
        <v>0.19634954084936207</v>
      </c>
      <c r="Z70" s="6">
        <f t="shared" si="31"/>
        <v>6</v>
      </c>
      <c r="AA70" s="6" t="e">
        <f t="shared" si="62"/>
        <v>#VALUE!</v>
      </c>
      <c r="AB70" s="5" t="e">
        <f t="shared" si="63"/>
        <v>#VALUE!</v>
      </c>
      <c r="AC70" s="342" t="e">
        <f>IF($R70=2,(PI()*(Z70/SF)^2)/4,NA())</f>
        <v>#N/A</v>
      </c>
      <c r="AD70" s="343" t="e">
        <f t="shared" si="65"/>
        <v>#N/A</v>
      </c>
      <c r="AE70" s="344" t="e">
        <f t="shared" si="66"/>
        <v>#N/A</v>
      </c>
      <c r="AF70" s="344" t="e">
        <f t="shared" si="20"/>
        <v>#N/A</v>
      </c>
      <c r="AG70" s="43" t="e">
        <f>IF(R70=2,INDEX(SquareBrass,MATCH($AF70,SquareAreaASC,0),2),NA())</f>
        <v>#N/A</v>
      </c>
      <c r="AH70" s="6" t="e">
        <f>SQRT(4*AF70/PI())</f>
        <v>#N/A</v>
      </c>
      <c r="AI70" s="6" t="e">
        <f t="shared" si="69"/>
        <v>#VALUE!</v>
      </c>
    </row>
    <row r="71" spans="2:35">
      <c r="B71" s="102" t="str">
        <f t="shared" si="70"/>
        <v>DC</v>
      </c>
      <c r="C71" s="256"/>
      <c r="D71" s="1" t="s">
        <v>451</v>
      </c>
      <c r="E71" s="46" t="s">
        <v>454</v>
      </c>
      <c r="F71" s="1016">
        <v>10</v>
      </c>
      <c r="G71" s="1017">
        <v>6</v>
      </c>
      <c r="H71" s="1019">
        <v>300</v>
      </c>
      <c r="I71" s="230">
        <f t="shared" si="58"/>
        <v>318.12927675491676</v>
      </c>
      <c r="J71" s="229">
        <v>100</v>
      </c>
      <c r="K71" s="230">
        <f t="shared" si="36"/>
        <v>509.29581789406507</v>
      </c>
      <c r="L71" s="46" t="s">
        <v>700</v>
      </c>
      <c r="M71" s="322">
        <v>0</v>
      </c>
      <c r="N71" s="113" t="s">
        <v>456</v>
      </c>
      <c r="O71" s="1196" t="e">
        <f t="shared" si="14"/>
        <v>#VALUE!</v>
      </c>
      <c r="P71" s="742" t="e">
        <f t="shared" ca="1" si="71"/>
        <v>#VALUE!</v>
      </c>
      <c r="Q71" s="742" t="e">
        <f t="shared" ca="1" si="72"/>
        <v>#VALUE!</v>
      </c>
      <c r="R71" s="218">
        <v>1</v>
      </c>
      <c r="S71" s="218">
        <v>3</v>
      </c>
      <c r="T71" s="226">
        <f t="shared" si="59"/>
        <v>13.422000000000001</v>
      </c>
      <c r="U71" s="557">
        <v>0.97430000000000005</v>
      </c>
      <c r="V71" s="227" t="e">
        <f t="shared" ca="1" si="73"/>
        <v>#VALUE!</v>
      </c>
      <c r="W71" s="227" t="e">
        <f t="shared" ca="1" si="74"/>
        <v>#VALUE!</v>
      </c>
      <c r="X71" s="554" t="e">
        <f t="shared" ca="1" si="60"/>
        <v>#VALUE!</v>
      </c>
      <c r="Y71" s="6">
        <f t="shared" si="61"/>
        <v>0.19634954084936207</v>
      </c>
      <c r="Z71" s="6">
        <f t="shared" si="31"/>
        <v>6</v>
      </c>
      <c r="AA71" s="6" t="e">
        <f t="shared" si="62"/>
        <v>#VALUE!</v>
      </c>
      <c r="AB71" s="5" t="e">
        <f t="shared" si="63"/>
        <v>#VALUE!</v>
      </c>
      <c r="AC71" s="342" t="e">
        <f t="shared" si="64"/>
        <v>#N/A</v>
      </c>
      <c r="AD71" s="343" t="e">
        <f t="shared" si="65"/>
        <v>#N/A</v>
      </c>
      <c r="AE71" s="344" t="e">
        <f t="shared" si="66"/>
        <v>#N/A</v>
      </c>
      <c r="AF71" s="344" t="e">
        <f t="shared" si="20"/>
        <v>#N/A</v>
      </c>
      <c r="AG71" s="43" t="e">
        <f t="shared" si="67"/>
        <v>#N/A</v>
      </c>
      <c r="AH71" s="6" t="e">
        <f t="shared" si="68"/>
        <v>#N/A</v>
      </c>
      <c r="AI71" s="6" t="e">
        <f t="shared" si="69"/>
        <v>#VALUE!</v>
      </c>
    </row>
    <row r="72" spans="2:35">
      <c r="B72" s="102" t="str">
        <f t="shared" si="70"/>
        <v>DD</v>
      </c>
      <c r="C72" s="256"/>
      <c r="D72" s="1" t="s">
        <v>455</v>
      </c>
      <c r="E72" s="46" t="s">
        <v>452</v>
      </c>
      <c r="F72" s="1016">
        <v>10</v>
      </c>
      <c r="G72" s="1017">
        <v>6</v>
      </c>
      <c r="H72" s="1019">
        <v>300</v>
      </c>
      <c r="I72" s="230">
        <f t="shared" si="58"/>
        <v>636.25855350983352</v>
      </c>
      <c r="J72" s="229">
        <v>200</v>
      </c>
      <c r="K72" s="230">
        <f t="shared" si="36"/>
        <v>1018.5916357881301</v>
      </c>
      <c r="L72" s="46" t="s">
        <v>700</v>
      </c>
      <c r="M72" s="322">
        <v>0</v>
      </c>
      <c r="N72" s="113" t="s">
        <v>456</v>
      </c>
      <c r="O72" s="1196" t="e">
        <f t="shared" si="14"/>
        <v>#VALUE!</v>
      </c>
      <c r="P72" s="742" t="e">
        <f t="shared" ca="1" si="71"/>
        <v>#REF!</v>
      </c>
      <c r="Q72" s="742" t="e">
        <f t="shared" ca="1" si="72"/>
        <v>#REF!</v>
      </c>
      <c r="R72" s="218">
        <v>1</v>
      </c>
      <c r="S72" s="218">
        <v>3</v>
      </c>
      <c r="T72" s="226">
        <f t="shared" si="59"/>
        <v>13.422000000000001</v>
      </c>
      <c r="U72" s="557">
        <v>0.97430000000000005</v>
      </c>
      <c r="V72" s="227" t="e">
        <f t="shared" ca="1" si="73"/>
        <v>#REF!</v>
      </c>
      <c r="W72" s="227" t="e">
        <f t="shared" ca="1" si="74"/>
        <v>#REF!</v>
      </c>
      <c r="X72" s="554" t="e">
        <f t="shared" ca="1" si="60"/>
        <v>#REF!</v>
      </c>
      <c r="Y72" s="6">
        <f t="shared" si="61"/>
        <v>0.19634954084936207</v>
      </c>
      <c r="Z72" s="6">
        <f t="shared" si="31"/>
        <v>6</v>
      </c>
      <c r="AA72" s="6" t="e">
        <f t="shared" si="62"/>
        <v>#VALUE!</v>
      </c>
      <c r="AB72" s="5" t="e">
        <f t="shared" si="63"/>
        <v>#VALUE!</v>
      </c>
      <c r="AC72" s="342" t="e">
        <f t="shared" si="64"/>
        <v>#N/A</v>
      </c>
      <c r="AD72" s="343" t="e">
        <f t="shared" si="65"/>
        <v>#N/A</v>
      </c>
      <c r="AE72" s="344" t="e">
        <f t="shared" si="66"/>
        <v>#N/A</v>
      </c>
      <c r="AF72" s="344" t="e">
        <f t="shared" si="20"/>
        <v>#N/A</v>
      </c>
      <c r="AG72" s="43" t="e">
        <f t="shared" si="67"/>
        <v>#N/A</v>
      </c>
      <c r="AH72" s="6" t="e">
        <f t="shared" si="68"/>
        <v>#N/A</v>
      </c>
      <c r="AI72" s="6" t="e">
        <f t="shared" si="69"/>
        <v>#VALUE!</v>
      </c>
    </row>
    <row r="73" spans="2:35">
      <c r="B73" s="102" t="str">
        <f t="shared" si="70"/>
        <v>DE</v>
      </c>
      <c r="C73" s="256"/>
      <c r="D73" s="1" t="s">
        <v>462</v>
      </c>
      <c r="E73" s="46" t="s">
        <v>117</v>
      </c>
      <c r="F73" s="1016">
        <v>8</v>
      </c>
      <c r="G73" s="1017">
        <v>6</v>
      </c>
      <c r="H73" s="1019">
        <v>1020</v>
      </c>
      <c r="I73" s="230">
        <f t="shared" si="58"/>
        <v>3511.577077967901</v>
      </c>
      <c r="J73" s="229">
        <v>2150</v>
      </c>
      <c r="K73" s="230">
        <f t="shared" si="36"/>
        <v>10949.860084722399</v>
      </c>
      <c r="L73" s="46" t="s">
        <v>700</v>
      </c>
      <c r="M73" s="322">
        <v>0</v>
      </c>
      <c r="N73" s="113" t="s">
        <v>456</v>
      </c>
      <c r="O73" s="1196" t="e">
        <f t="shared" si="14"/>
        <v>#VALUE!</v>
      </c>
      <c r="P73" s="742" t="e">
        <f t="shared" ca="1" si="71"/>
        <v>#REF!</v>
      </c>
      <c r="Q73" s="742" t="e">
        <f t="shared" ca="1" si="72"/>
        <v>#REF!</v>
      </c>
      <c r="R73" s="218">
        <v>1</v>
      </c>
      <c r="S73" s="218">
        <v>3</v>
      </c>
      <c r="T73" s="226">
        <f t="shared" si="59"/>
        <v>13.422000000000001</v>
      </c>
      <c r="U73" s="557">
        <v>0.97430000000000005</v>
      </c>
      <c r="V73" s="227" t="e">
        <f t="shared" ca="1" si="73"/>
        <v>#REF!</v>
      </c>
      <c r="W73" s="227" t="e">
        <f t="shared" ca="1" si="74"/>
        <v>#REF!</v>
      </c>
      <c r="X73" s="554" t="e">
        <f t="shared" ca="1" si="60"/>
        <v>#REF!</v>
      </c>
      <c r="Y73" s="6">
        <f t="shared" si="61"/>
        <v>0.19634954084936207</v>
      </c>
      <c r="Z73" s="6">
        <f t="shared" si="31"/>
        <v>6</v>
      </c>
      <c r="AA73" s="6" t="e">
        <f t="shared" si="62"/>
        <v>#VALUE!</v>
      </c>
      <c r="AB73" s="5" t="e">
        <f t="shared" si="63"/>
        <v>#VALUE!</v>
      </c>
      <c r="AC73" s="342" t="e">
        <f t="shared" si="64"/>
        <v>#N/A</v>
      </c>
      <c r="AD73" s="343" t="e">
        <f t="shared" si="65"/>
        <v>#N/A</v>
      </c>
      <c r="AE73" s="344" t="e">
        <f t="shared" si="66"/>
        <v>#N/A</v>
      </c>
      <c r="AF73" s="344" t="e">
        <f t="shared" si="20"/>
        <v>#N/A</v>
      </c>
      <c r="AG73" s="43" t="e">
        <f t="shared" si="67"/>
        <v>#N/A</v>
      </c>
      <c r="AH73" s="6" t="e">
        <f t="shared" si="68"/>
        <v>#N/A</v>
      </c>
      <c r="AI73" s="6" t="e">
        <f t="shared" si="69"/>
        <v>#VALUE!</v>
      </c>
    </row>
    <row r="74" spans="2:35">
      <c r="B74" s="102" t="str">
        <f t="shared" si="70"/>
        <v>DF</v>
      </c>
      <c r="C74" s="256"/>
      <c r="D74" s="1" t="s">
        <v>463</v>
      </c>
      <c r="E74" s="46" t="s">
        <v>117</v>
      </c>
      <c r="F74" s="1016">
        <v>8</v>
      </c>
      <c r="G74" s="1017">
        <v>8</v>
      </c>
      <c r="H74" s="1019">
        <v>893</v>
      </c>
      <c r="I74" s="230">
        <f t="shared" si="58"/>
        <v>8302.5104044125928</v>
      </c>
      <c r="J74" s="229">
        <v>4647</v>
      </c>
      <c r="K74" s="230">
        <f t="shared" si="36"/>
        <v>13312.674369864679</v>
      </c>
      <c r="L74" s="46" t="s">
        <v>700</v>
      </c>
      <c r="M74" s="322">
        <v>0</v>
      </c>
      <c r="N74" s="113" t="s">
        <v>456</v>
      </c>
      <c r="O74" s="1196" t="e">
        <f t="shared" si="14"/>
        <v>#VALUE!</v>
      </c>
      <c r="P74" s="742" t="e">
        <f t="shared" ca="1" si="71"/>
        <v>#REF!</v>
      </c>
      <c r="Q74" s="742" t="e">
        <f t="shared" ca="1" si="72"/>
        <v>#REF!</v>
      </c>
      <c r="R74" s="218">
        <v>1</v>
      </c>
      <c r="S74" s="218">
        <v>3</v>
      </c>
      <c r="T74" s="226">
        <f t="shared" si="59"/>
        <v>13.422000000000001</v>
      </c>
      <c r="U74" s="557">
        <v>0.97430000000000005</v>
      </c>
      <c r="V74" s="227" t="e">
        <f t="shared" ca="1" si="73"/>
        <v>#REF!</v>
      </c>
      <c r="W74" s="227" t="e">
        <f t="shared" ca="1" si="74"/>
        <v>#REF!</v>
      </c>
      <c r="X74" s="554" t="e">
        <f t="shared" ca="1" si="60"/>
        <v>#REF!</v>
      </c>
      <c r="Y74" s="6">
        <f t="shared" si="61"/>
        <v>0.3490658503988659</v>
      </c>
      <c r="Z74" s="6">
        <f t="shared" si="31"/>
        <v>8</v>
      </c>
      <c r="AA74" s="6" t="e">
        <f t="shared" si="62"/>
        <v>#VALUE!</v>
      </c>
      <c r="AB74" s="5" t="e">
        <f t="shared" si="63"/>
        <v>#VALUE!</v>
      </c>
      <c r="AC74" s="342" t="e">
        <f t="shared" si="64"/>
        <v>#N/A</v>
      </c>
      <c r="AD74" s="343" t="e">
        <f t="shared" si="65"/>
        <v>#N/A</v>
      </c>
      <c r="AE74" s="344" t="e">
        <f t="shared" si="66"/>
        <v>#N/A</v>
      </c>
      <c r="AF74" s="344" t="e">
        <f t="shared" si="20"/>
        <v>#N/A</v>
      </c>
      <c r="AG74" s="43" t="e">
        <f t="shared" si="67"/>
        <v>#N/A</v>
      </c>
      <c r="AH74" s="6" t="e">
        <f t="shared" si="68"/>
        <v>#N/A</v>
      </c>
      <c r="AI74" s="6" t="e">
        <f t="shared" si="69"/>
        <v>#VALUE!</v>
      </c>
    </row>
    <row r="75" spans="2:35">
      <c r="B75" s="102" t="str">
        <f t="shared" si="70"/>
        <v>DG</v>
      </c>
      <c r="C75" s="256"/>
      <c r="D75" s="1" t="s">
        <v>457</v>
      </c>
      <c r="E75" s="46" t="s">
        <v>117</v>
      </c>
      <c r="F75" s="1016">
        <v>10</v>
      </c>
      <c r="G75" s="1017">
        <v>10</v>
      </c>
      <c r="H75" s="1017">
        <v>998</v>
      </c>
      <c r="I75" s="230">
        <f t="shared" si="58"/>
        <v>10877.759089496705</v>
      </c>
      <c r="J75" s="229">
        <v>6561</v>
      </c>
      <c r="K75" s="230">
        <f t="shared" si="36"/>
        <v>12029.363500330659</v>
      </c>
      <c r="L75" s="46" t="s">
        <v>700</v>
      </c>
      <c r="M75" s="322">
        <v>0</v>
      </c>
      <c r="N75" s="113" t="s">
        <v>456</v>
      </c>
      <c r="O75" s="1196" t="e">
        <f t="shared" si="14"/>
        <v>#VALUE!</v>
      </c>
      <c r="P75" s="742" t="e">
        <f t="shared" ca="1" si="71"/>
        <v>#REF!</v>
      </c>
      <c r="Q75" s="742" t="e">
        <f t="shared" ca="1" si="72"/>
        <v>#REF!</v>
      </c>
      <c r="R75" s="218">
        <v>1</v>
      </c>
      <c r="S75" s="218">
        <v>3</v>
      </c>
      <c r="T75" s="226">
        <f t="shared" si="59"/>
        <v>13.422000000000001</v>
      </c>
      <c r="U75" s="557">
        <v>0.97430000000000005</v>
      </c>
      <c r="V75" s="227" t="e">
        <f t="shared" ca="1" si="73"/>
        <v>#REF!</v>
      </c>
      <c r="W75" s="227" t="e">
        <f t="shared" ca="1" si="74"/>
        <v>#REF!</v>
      </c>
      <c r="X75" s="554" t="e">
        <f t="shared" ca="1" si="60"/>
        <v>#REF!</v>
      </c>
      <c r="Y75" s="6">
        <f t="shared" si="61"/>
        <v>0.54541539124822802</v>
      </c>
      <c r="Z75" s="6">
        <f t="shared" si="31"/>
        <v>10</v>
      </c>
      <c r="AA75" s="6" t="e">
        <f t="shared" si="62"/>
        <v>#VALUE!</v>
      </c>
      <c r="AB75" s="5" t="e">
        <f t="shared" si="63"/>
        <v>#VALUE!</v>
      </c>
      <c r="AC75" s="342" t="e">
        <f t="shared" si="64"/>
        <v>#N/A</v>
      </c>
      <c r="AD75" s="343" t="e">
        <f t="shared" si="65"/>
        <v>#N/A</v>
      </c>
      <c r="AE75" s="344" t="e">
        <f t="shared" si="66"/>
        <v>#N/A</v>
      </c>
      <c r="AF75" s="344" t="e">
        <f t="shared" si="20"/>
        <v>#N/A</v>
      </c>
      <c r="AG75" s="43" t="e">
        <f t="shared" si="67"/>
        <v>#N/A</v>
      </c>
      <c r="AH75" s="6" t="e">
        <f t="shared" si="68"/>
        <v>#N/A</v>
      </c>
      <c r="AI75" s="6" t="e">
        <f t="shared" si="69"/>
        <v>#VALUE!</v>
      </c>
    </row>
    <row r="76" spans="2:35">
      <c r="B76" s="102" t="str">
        <f t="shared" si="70"/>
        <v>DH</v>
      </c>
      <c r="C76" s="256"/>
      <c r="D76" s="1" t="s">
        <v>458</v>
      </c>
      <c r="E76" s="46" t="s">
        <v>117</v>
      </c>
      <c r="F76" s="1016">
        <v>10</v>
      </c>
      <c r="G76" s="1017">
        <v>12</v>
      </c>
      <c r="H76" s="1017">
        <v>891</v>
      </c>
      <c r="I76" s="230">
        <f t="shared" si="58"/>
        <v>15479.098807510336</v>
      </c>
      <c r="J76" s="229">
        <v>8651</v>
      </c>
      <c r="K76" s="230">
        <f t="shared" si="36"/>
        <v>11014.795301503893</v>
      </c>
      <c r="L76" s="46" t="s">
        <v>700</v>
      </c>
      <c r="M76" s="322">
        <v>0</v>
      </c>
      <c r="N76" s="113" t="s">
        <v>456</v>
      </c>
      <c r="O76" s="1196" t="e">
        <f t="shared" si="14"/>
        <v>#VALUE!</v>
      </c>
      <c r="P76" s="742" t="e">
        <f t="shared" ca="1" si="71"/>
        <v>#REF!</v>
      </c>
      <c r="Q76" s="742" t="e">
        <f t="shared" ca="1" si="72"/>
        <v>#REF!</v>
      </c>
      <c r="R76" s="218">
        <v>1</v>
      </c>
      <c r="S76" s="218">
        <v>3</v>
      </c>
      <c r="T76" s="226">
        <f t="shared" si="59"/>
        <v>13.422000000000001</v>
      </c>
      <c r="U76" s="557">
        <v>0.97430000000000005</v>
      </c>
      <c r="V76" s="227" t="e">
        <f t="shared" ca="1" si="73"/>
        <v>#REF!</v>
      </c>
      <c r="W76" s="227" t="e">
        <f t="shared" ca="1" si="74"/>
        <v>#REF!</v>
      </c>
      <c r="X76" s="554" t="e">
        <f t="shared" ca="1" si="60"/>
        <v>#REF!</v>
      </c>
      <c r="Y76" s="6">
        <f t="shared" si="61"/>
        <v>0.78539816339744828</v>
      </c>
      <c r="Z76" s="6">
        <f t="shared" si="31"/>
        <v>12</v>
      </c>
      <c r="AA76" s="6" t="e">
        <f t="shared" si="62"/>
        <v>#VALUE!</v>
      </c>
      <c r="AB76" s="5" t="e">
        <f t="shared" si="63"/>
        <v>#VALUE!</v>
      </c>
      <c r="AC76" s="342" t="e">
        <f t="shared" si="64"/>
        <v>#N/A</v>
      </c>
      <c r="AD76" s="343" t="e">
        <f t="shared" si="65"/>
        <v>#N/A</v>
      </c>
      <c r="AE76" s="344" t="e">
        <f t="shared" si="66"/>
        <v>#N/A</v>
      </c>
      <c r="AF76" s="344" t="e">
        <f t="shared" si="20"/>
        <v>#N/A</v>
      </c>
      <c r="AG76" s="43" t="e">
        <f t="shared" si="67"/>
        <v>#N/A</v>
      </c>
      <c r="AH76" s="6" t="e">
        <f t="shared" si="68"/>
        <v>#N/A</v>
      </c>
      <c r="AI76" s="6" t="e">
        <f t="shared" si="69"/>
        <v>#VALUE!</v>
      </c>
    </row>
    <row r="77" spans="2:35">
      <c r="B77" s="102" t="str">
        <f t="shared" si="70"/>
        <v>DI</v>
      </c>
      <c r="C77" s="256"/>
      <c r="D77" s="1" t="s">
        <v>464</v>
      </c>
      <c r="E77" s="46" t="s">
        <v>117</v>
      </c>
      <c r="F77" s="1016">
        <v>10</v>
      </c>
      <c r="G77" s="1017">
        <v>12</v>
      </c>
      <c r="H77" s="1017">
        <v>1000</v>
      </c>
      <c r="I77" s="230">
        <f t="shared" si="58"/>
        <v>17111.355452906017</v>
      </c>
      <c r="J77" s="229">
        <v>10335</v>
      </c>
      <c r="K77" s="230">
        <f t="shared" si="36"/>
        <v>13158.930694837907</v>
      </c>
      <c r="L77" s="46" t="s">
        <v>700</v>
      </c>
      <c r="M77" s="322">
        <v>0</v>
      </c>
      <c r="N77" s="113" t="s">
        <v>456</v>
      </c>
      <c r="O77" s="1196" t="e">
        <f t="shared" si="14"/>
        <v>#VALUE!</v>
      </c>
      <c r="P77" s="742" t="e">
        <f t="shared" ca="1" si="71"/>
        <v>#REF!</v>
      </c>
      <c r="Q77" s="742" t="e">
        <f t="shared" ca="1" si="72"/>
        <v>#REF!</v>
      </c>
      <c r="R77" s="218">
        <v>1</v>
      </c>
      <c r="S77" s="218">
        <v>3</v>
      </c>
      <c r="T77" s="226">
        <f t="shared" si="59"/>
        <v>13.422000000000001</v>
      </c>
      <c r="U77" s="557">
        <v>0.97430000000000005</v>
      </c>
      <c r="V77" s="227" t="e">
        <f t="shared" ca="1" si="73"/>
        <v>#REF!</v>
      </c>
      <c r="W77" s="227" t="e">
        <f t="shared" ca="1" si="74"/>
        <v>#REF!</v>
      </c>
      <c r="X77" s="554" t="e">
        <f t="shared" ca="1" si="60"/>
        <v>#REF!</v>
      </c>
      <c r="Y77" s="6">
        <f t="shared" si="61"/>
        <v>0.78539816339744828</v>
      </c>
      <c r="Z77" s="6">
        <f t="shared" si="31"/>
        <v>12</v>
      </c>
      <c r="AA77" s="6" t="e">
        <f t="shared" si="62"/>
        <v>#VALUE!</v>
      </c>
      <c r="AB77" s="5" t="e">
        <f t="shared" si="63"/>
        <v>#VALUE!</v>
      </c>
      <c r="AC77" s="342" t="e">
        <f t="shared" si="64"/>
        <v>#N/A</v>
      </c>
      <c r="AD77" s="343" t="e">
        <f t="shared" si="65"/>
        <v>#N/A</v>
      </c>
      <c r="AE77" s="344" t="e">
        <f t="shared" si="66"/>
        <v>#N/A</v>
      </c>
      <c r="AF77" s="344" t="e">
        <f t="shared" si="20"/>
        <v>#N/A</v>
      </c>
      <c r="AG77" s="43" t="e">
        <f t="shared" si="67"/>
        <v>#N/A</v>
      </c>
      <c r="AH77" s="6" t="e">
        <f t="shared" si="68"/>
        <v>#N/A</v>
      </c>
      <c r="AI77" s="6" t="e">
        <f t="shared" si="69"/>
        <v>#VALUE!</v>
      </c>
    </row>
    <row r="78" spans="2:35">
      <c r="B78" s="102" t="str">
        <f t="shared" si="70"/>
        <v>DJ</v>
      </c>
      <c r="C78" s="256"/>
      <c r="D78" s="1" t="s">
        <v>459</v>
      </c>
      <c r="E78" s="46" t="s">
        <v>117</v>
      </c>
      <c r="F78" s="1016">
        <v>10</v>
      </c>
      <c r="G78" s="1017">
        <v>14</v>
      </c>
      <c r="H78" s="1017">
        <v>891</v>
      </c>
      <c r="I78" s="230">
        <f t="shared" si="58"/>
        <v>23294.692795627911</v>
      </c>
      <c r="J78" s="229">
        <v>13019</v>
      </c>
      <c r="K78" s="230">
        <f t="shared" si="36"/>
        <v>12178.510260911326</v>
      </c>
      <c r="L78" s="46" t="s">
        <v>700</v>
      </c>
      <c r="M78" s="322">
        <v>0</v>
      </c>
      <c r="N78" s="113" t="s">
        <v>456</v>
      </c>
      <c r="O78" s="1196" t="e">
        <f t="shared" si="14"/>
        <v>#VALUE!</v>
      </c>
      <c r="P78" s="742" t="e">
        <f t="shared" ca="1" si="71"/>
        <v>#REF!</v>
      </c>
      <c r="Q78" s="742" t="e">
        <f t="shared" ca="1" si="72"/>
        <v>#REF!</v>
      </c>
      <c r="R78" s="218">
        <v>1</v>
      </c>
      <c r="S78" s="218">
        <v>3</v>
      </c>
      <c r="T78" s="226">
        <f t="shared" si="59"/>
        <v>13.422000000000001</v>
      </c>
      <c r="U78" s="557">
        <v>0.97430000000000005</v>
      </c>
      <c r="V78" s="227" t="e">
        <f t="shared" ca="1" si="73"/>
        <v>#REF!</v>
      </c>
      <c r="W78" s="227" t="e">
        <f t="shared" ca="1" si="74"/>
        <v>#REF!</v>
      </c>
      <c r="X78" s="554" t="e">
        <f t="shared" ca="1" si="60"/>
        <v>#REF!</v>
      </c>
      <c r="Y78" s="6">
        <f t="shared" si="61"/>
        <v>1.0690141668465269</v>
      </c>
      <c r="Z78" s="32">
        <f t="shared" si="31"/>
        <v>14</v>
      </c>
      <c r="AA78" s="6" t="e">
        <f t="shared" si="62"/>
        <v>#VALUE!</v>
      </c>
      <c r="AB78" s="5" t="e">
        <f t="shared" si="63"/>
        <v>#VALUE!</v>
      </c>
      <c r="AC78" s="342" t="e">
        <f t="shared" si="64"/>
        <v>#N/A</v>
      </c>
      <c r="AD78" s="343" t="e">
        <f t="shared" si="65"/>
        <v>#N/A</v>
      </c>
      <c r="AE78" s="344" t="e">
        <f t="shared" si="66"/>
        <v>#N/A</v>
      </c>
      <c r="AF78" s="344" t="e">
        <f t="shared" si="20"/>
        <v>#N/A</v>
      </c>
      <c r="AG78" s="43" t="e">
        <f t="shared" si="67"/>
        <v>#N/A</v>
      </c>
      <c r="AH78" s="6" t="e">
        <f t="shared" si="68"/>
        <v>#N/A</v>
      </c>
      <c r="AI78" s="6" t="e">
        <f t="shared" si="69"/>
        <v>#VALUE!</v>
      </c>
    </row>
    <row r="79" spans="2:35">
      <c r="B79" s="102" t="str">
        <f t="shared" si="70"/>
        <v>DK</v>
      </c>
      <c r="C79" s="256"/>
      <c r="D79" s="1" t="s">
        <v>465</v>
      </c>
      <c r="E79" s="46" t="s">
        <v>117</v>
      </c>
      <c r="F79" s="1016">
        <v>10</v>
      </c>
      <c r="G79" s="1017">
        <v>14</v>
      </c>
      <c r="H79" s="1017">
        <v>919</v>
      </c>
      <c r="I79" s="230">
        <f t="shared" si="58"/>
        <v>25805.103276386035</v>
      </c>
      <c r="J79" s="229">
        <v>14721</v>
      </c>
      <c r="K79" s="230">
        <f t="shared" si="36"/>
        <v>13770.631350401383</v>
      </c>
      <c r="L79" s="46" t="s">
        <v>700</v>
      </c>
      <c r="M79" s="322">
        <v>0</v>
      </c>
      <c r="N79" s="113" t="s">
        <v>456</v>
      </c>
      <c r="O79" s="1196" t="e">
        <f t="shared" si="14"/>
        <v>#VALUE!</v>
      </c>
      <c r="P79" s="742" t="e">
        <f t="shared" ca="1" si="71"/>
        <v>#REF!</v>
      </c>
      <c r="Q79" s="742" t="e">
        <f t="shared" ca="1" si="72"/>
        <v>#REF!</v>
      </c>
      <c r="R79" s="218">
        <v>1</v>
      </c>
      <c r="S79" s="218">
        <v>3</v>
      </c>
      <c r="T79" s="226">
        <f t="shared" si="59"/>
        <v>13.422000000000001</v>
      </c>
      <c r="U79" s="557">
        <v>0.97430000000000005</v>
      </c>
      <c r="V79" s="227" t="e">
        <f t="shared" ca="1" si="73"/>
        <v>#REF!</v>
      </c>
      <c r="W79" s="227" t="e">
        <f t="shared" ca="1" si="74"/>
        <v>#REF!</v>
      </c>
      <c r="X79" s="554" t="e">
        <f t="shared" ca="1" si="60"/>
        <v>#REF!</v>
      </c>
      <c r="Y79" s="6">
        <f t="shared" ref="Y79:Y92" si="75">(PI()/4)*($G79/12)^2</f>
        <v>1.0690141668465269</v>
      </c>
      <c r="Z79" s="32">
        <f t="shared" si="31"/>
        <v>14</v>
      </c>
      <c r="AA79" s="6" t="e">
        <f t="shared" si="62"/>
        <v>#VALUE!</v>
      </c>
      <c r="AB79" s="5" t="e">
        <f t="shared" ref="AB79:AB92" si="76">IF($R79=1,ROUND(AA79*32,0),NA())</f>
        <v>#VALUE!</v>
      </c>
      <c r="AC79" s="342" t="e">
        <f t="shared" ref="AC79:AC85" si="77">IF($R79=2,(PI()*(Z79/SF)^2)/4,NA())</f>
        <v>#N/A</v>
      </c>
      <c r="AD79" s="343" t="e">
        <f t="shared" ref="AD79:AD92" si="78">IF($R79=2,INDEX(SquareBrass,MATCH($AC79,SquareAreaDSC,-1),6),NA())</f>
        <v>#N/A</v>
      </c>
      <c r="AE79" s="344" t="e">
        <f t="shared" ref="AE79:AE92" si="79">IF($R79=2,INDEX(SquareBrass,MATCH($AC79,SquareAreaASC,1),1),NA())</f>
        <v>#N/A</v>
      </c>
      <c r="AF79" s="344" t="e">
        <f t="shared" si="20"/>
        <v>#N/A</v>
      </c>
      <c r="AG79" s="43" t="e">
        <f t="shared" si="67"/>
        <v>#N/A</v>
      </c>
      <c r="AH79" s="6" t="e">
        <f t="shared" ref="AH79:AH85" si="80">SQRT(4*AF79/PI())</f>
        <v>#N/A</v>
      </c>
      <c r="AI79" s="6" t="e">
        <f t="shared" si="69"/>
        <v>#VALUE!</v>
      </c>
    </row>
    <row r="80" spans="2:35">
      <c r="B80" s="102" t="str">
        <f t="shared" si="70"/>
        <v>DL</v>
      </c>
      <c r="C80" s="256"/>
      <c r="D80" s="1" t="s">
        <v>460</v>
      </c>
      <c r="E80" s="46" t="s">
        <v>117</v>
      </c>
      <c r="F80" s="1016">
        <v>10</v>
      </c>
      <c r="G80" s="1017">
        <v>16</v>
      </c>
      <c r="H80" s="1017">
        <v>1027</v>
      </c>
      <c r="I80" s="230">
        <f t="shared" si="58"/>
        <v>26071.393563669637</v>
      </c>
      <c r="J80" s="229">
        <v>16038</v>
      </c>
      <c r="K80" s="230">
        <f t="shared" si="36"/>
        <v>11486.371397885179</v>
      </c>
      <c r="L80" s="46" t="s">
        <v>700</v>
      </c>
      <c r="M80" s="322">
        <v>0</v>
      </c>
      <c r="N80" s="113" t="s">
        <v>456</v>
      </c>
      <c r="O80" s="1196" t="e">
        <f t="shared" si="14"/>
        <v>#VALUE!</v>
      </c>
      <c r="P80" s="742" t="e">
        <f t="shared" ca="1" si="71"/>
        <v>#REF!</v>
      </c>
      <c r="Q80" s="742" t="e">
        <f t="shared" ca="1" si="72"/>
        <v>#REF!</v>
      </c>
      <c r="R80" s="218">
        <v>1</v>
      </c>
      <c r="S80" s="218">
        <v>3</v>
      </c>
      <c r="T80" s="226">
        <f t="shared" si="59"/>
        <v>13.422000000000001</v>
      </c>
      <c r="U80" s="557">
        <v>0.97430000000000005</v>
      </c>
      <c r="V80" s="227" t="e">
        <f t="shared" ca="1" si="73"/>
        <v>#REF!</v>
      </c>
      <c r="W80" s="227" t="e">
        <f t="shared" ca="1" si="74"/>
        <v>#REF!</v>
      </c>
      <c r="X80" s="554" t="e">
        <f t="shared" ca="1" si="60"/>
        <v>#REF!</v>
      </c>
      <c r="Y80" s="6">
        <f t="shared" si="75"/>
        <v>1.3962634015954636</v>
      </c>
      <c r="Z80" s="32">
        <f t="shared" si="31"/>
        <v>16</v>
      </c>
      <c r="AA80" s="6" t="e">
        <f t="shared" si="62"/>
        <v>#VALUE!</v>
      </c>
      <c r="AB80" s="5" t="e">
        <f t="shared" si="76"/>
        <v>#VALUE!</v>
      </c>
      <c r="AC80" s="342" t="e">
        <f t="shared" si="77"/>
        <v>#N/A</v>
      </c>
      <c r="AD80" s="343" t="e">
        <f t="shared" si="78"/>
        <v>#N/A</v>
      </c>
      <c r="AE80" s="344" t="e">
        <f t="shared" si="79"/>
        <v>#N/A</v>
      </c>
      <c r="AF80" s="344" t="e">
        <f t="shared" si="20"/>
        <v>#N/A</v>
      </c>
      <c r="AG80" s="43" t="e">
        <f t="shared" si="67"/>
        <v>#N/A</v>
      </c>
      <c r="AH80" s="6" t="e">
        <f t="shared" si="80"/>
        <v>#N/A</v>
      </c>
      <c r="AI80" s="6" t="e">
        <f t="shared" si="69"/>
        <v>#VALUE!</v>
      </c>
    </row>
    <row r="81" spans="1:35">
      <c r="A81" s="230"/>
      <c r="B81" s="102" t="str">
        <f t="shared" si="70"/>
        <v>DM</v>
      </c>
      <c r="C81" s="256"/>
      <c r="D81" s="1" t="s">
        <v>527</v>
      </c>
      <c r="E81" s="46" t="s">
        <v>329</v>
      </c>
      <c r="F81" s="1016">
        <v>10</v>
      </c>
      <c r="G81" s="1017">
        <v>16</v>
      </c>
      <c r="H81" s="1017">
        <v>300</v>
      </c>
      <c r="I81" s="230">
        <f t="shared" si="58"/>
        <v>4058.9999999999991</v>
      </c>
      <c r="J81" s="229">
        <v>1275.8964033124832</v>
      </c>
      <c r="K81" s="230">
        <f t="shared" si="36"/>
        <v>913.79348757158505</v>
      </c>
      <c r="L81" s="46" t="s">
        <v>700</v>
      </c>
      <c r="M81" s="322">
        <v>0</v>
      </c>
      <c r="N81" s="113" t="s">
        <v>456</v>
      </c>
      <c r="O81" s="1196" t="e">
        <f t="shared" si="14"/>
        <v>#VALUE!</v>
      </c>
      <c r="P81" s="742" t="e">
        <f t="shared" ca="1" si="71"/>
        <v>#REF!</v>
      </c>
      <c r="Q81" s="742" t="e">
        <f t="shared" ca="1" si="72"/>
        <v>#REF!</v>
      </c>
      <c r="R81" s="218">
        <v>1</v>
      </c>
      <c r="S81" s="218">
        <v>3</v>
      </c>
      <c r="T81" s="226">
        <f t="shared" si="59"/>
        <v>13.422000000000001</v>
      </c>
      <c r="U81" s="557">
        <v>0.97430000000000005</v>
      </c>
      <c r="V81" s="227" t="e">
        <f t="shared" ca="1" si="73"/>
        <v>#REF!</v>
      </c>
      <c r="W81" s="227" t="e">
        <f t="shared" ca="1" si="74"/>
        <v>#REF!</v>
      </c>
      <c r="X81" s="554" t="e">
        <f t="shared" ca="1" si="60"/>
        <v>#REF!</v>
      </c>
      <c r="Y81" s="6">
        <f t="shared" si="75"/>
        <v>1.3962634015954636</v>
      </c>
      <c r="Z81" s="32">
        <f t="shared" si="31"/>
        <v>16</v>
      </c>
      <c r="AA81" s="6" t="e">
        <f t="shared" si="62"/>
        <v>#VALUE!</v>
      </c>
      <c r="AB81" s="5" t="e">
        <f t="shared" si="76"/>
        <v>#VALUE!</v>
      </c>
      <c r="AC81" s="342" t="e">
        <f>IF($R81=2,(PI()*(Z81/SF)^2)/4,NA())</f>
        <v>#N/A</v>
      </c>
      <c r="AD81" s="343" t="e">
        <f t="shared" si="78"/>
        <v>#N/A</v>
      </c>
      <c r="AE81" s="344" t="e">
        <f t="shared" si="79"/>
        <v>#N/A</v>
      </c>
      <c r="AF81" s="344" t="e">
        <f t="shared" si="20"/>
        <v>#N/A</v>
      </c>
      <c r="AG81" s="43" t="e">
        <f t="shared" si="67"/>
        <v>#N/A</v>
      </c>
      <c r="AH81" s="6" t="e">
        <f>SQRT(4*AF81/PI())</f>
        <v>#N/A</v>
      </c>
      <c r="AI81" s="6" t="e">
        <f t="shared" si="69"/>
        <v>#VALUE!</v>
      </c>
    </row>
    <row r="82" spans="1:35">
      <c r="A82" s="230"/>
      <c r="B82" s="102" t="str">
        <f t="shared" si="70"/>
        <v>DN</v>
      </c>
      <c r="C82" s="256"/>
      <c r="D82" s="1" t="s">
        <v>528</v>
      </c>
      <c r="E82" s="46" t="s">
        <v>329</v>
      </c>
      <c r="F82" s="1016">
        <v>10</v>
      </c>
      <c r="G82" s="1017">
        <v>18</v>
      </c>
      <c r="H82" s="1017">
        <v>300</v>
      </c>
      <c r="I82" s="230">
        <f t="shared" si="58"/>
        <v>5411.9999999999991</v>
      </c>
      <c r="J82" s="229">
        <v>1701.1952044166446</v>
      </c>
      <c r="K82" s="230">
        <f t="shared" si="36"/>
        <v>962.67955892315138</v>
      </c>
      <c r="L82" s="46" t="s">
        <v>700</v>
      </c>
      <c r="M82" s="322">
        <v>0</v>
      </c>
      <c r="N82" s="113" t="s">
        <v>456</v>
      </c>
      <c r="O82" s="1196" t="e">
        <f t="shared" si="14"/>
        <v>#VALUE!</v>
      </c>
      <c r="P82" s="742" t="e">
        <f t="shared" ca="1" si="71"/>
        <v>#REF!</v>
      </c>
      <c r="Q82" s="742" t="e">
        <f t="shared" ca="1" si="72"/>
        <v>#REF!</v>
      </c>
      <c r="R82" s="218">
        <v>1</v>
      </c>
      <c r="S82" s="218">
        <v>3</v>
      </c>
      <c r="T82" s="226">
        <f t="shared" si="59"/>
        <v>13.422000000000001</v>
      </c>
      <c r="U82" s="557">
        <v>0.97430000000000005</v>
      </c>
      <c r="V82" s="227" t="e">
        <f t="shared" ca="1" si="73"/>
        <v>#REF!</v>
      </c>
      <c r="W82" s="227" t="e">
        <f t="shared" ca="1" si="74"/>
        <v>#REF!</v>
      </c>
      <c r="X82" s="554" t="e">
        <f t="shared" ca="1" si="60"/>
        <v>#REF!</v>
      </c>
      <c r="Y82" s="6">
        <f t="shared" si="75"/>
        <v>1.7671458676442586</v>
      </c>
      <c r="Z82" s="32">
        <f t="shared" si="31"/>
        <v>18</v>
      </c>
      <c r="AA82" s="6" t="e">
        <f t="shared" si="62"/>
        <v>#VALUE!</v>
      </c>
      <c r="AB82" s="5" t="e">
        <f t="shared" si="76"/>
        <v>#VALUE!</v>
      </c>
      <c r="AC82" s="342" t="e">
        <f>IF($R82=2,(PI()*(Z82/SF)^2)/4,NA())</f>
        <v>#N/A</v>
      </c>
      <c r="AD82" s="343" t="e">
        <f t="shared" si="78"/>
        <v>#N/A</v>
      </c>
      <c r="AE82" s="344" t="e">
        <f t="shared" si="79"/>
        <v>#N/A</v>
      </c>
      <c r="AF82" s="344" t="e">
        <f t="shared" si="20"/>
        <v>#N/A</v>
      </c>
      <c r="AG82" s="43" t="e">
        <f t="shared" si="67"/>
        <v>#N/A</v>
      </c>
      <c r="AH82" s="6" t="e">
        <f>SQRT(4*AF82/PI())</f>
        <v>#N/A</v>
      </c>
      <c r="AI82" s="6" t="e">
        <f t="shared" si="69"/>
        <v>#VALUE!</v>
      </c>
    </row>
    <row r="83" spans="1:35">
      <c r="A83" s="230"/>
      <c r="B83" s="102" t="str">
        <f t="shared" si="70"/>
        <v>DO</v>
      </c>
      <c r="C83" s="256"/>
      <c r="D83" s="1" t="s">
        <v>522</v>
      </c>
      <c r="E83" s="46" t="s">
        <v>329</v>
      </c>
      <c r="F83" s="1016">
        <v>10</v>
      </c>
      <c r="G83" s="1017">
        <v>20</v>
      </c>
      <c r="H83" s="1017">
        <v>300</v>
      </c>
      <c r="I83" s="230">
        <f t="shared" si="58"/>
        <v>7667.0000000000009</v>
      </c>
      <c r="J83" s="229">
        <v>2410.026539590247</v>
      </c>
      <c r="K83" s="230">
        <f t="shared" si="36"/>
        <v>1104.6747938643164</v>
      </c>
      <c r="L83" s="46" t="s">
        <v>700</v>
      </c>
      <c r="M83" s="322">
        <v>0</v>
      </c>
      <c r="N83" s="113" t="s">
        <v>456</v>
      </c>
      <c r="O83" s="1196" t="e">
        <f t="shared" si="14"/>
        <v>#VALUE!</v>
      </c>
      <c r="P83" s="742" t="e">
        <f t="shared" ca="1" si="71"/>
        <v>#REF!</v>
      </c>
      <c r="Q83" s="742" t="e">
        <f t="shared" ca="1" si="72"/>
        <v>#REF!</v>
      </c>
      <c r="R83" s="218">
        <v>1</v>
      </c>
      <c r="S83" s="218">
        <v>3</v>
      </c>
      <c r="T83" s="226">
        <f t="shared" si="59"/>
        <v>13.422000000000001</v>
      </c>
      <c r="U83" s="557">
        <v>0.97430000000000005</v>
      </c>
      <c r="V83" s="227" t="e">
        <f ca="1">INDIRECT(ADDRESS(52,6,1,,$B83))</f>
        <v>#REF!</v>
      </c>
      <c r="W83" s="227" t="e">
        <f ca="1">INDIRECT(ADDRESS(52,7,1,,$B83))</f>
        <v>#REF!</v>
      </c>
      <c r="X83" s="554" t="e">
        <f t="shared" ca="1" si="60"/>
        <v>#REF!</v>
      </c>
      <c r="Y83" s="6">
        <f t="shared" si="75"/>
        <v>2.1816615649929121</v>
      </c>
      <c r="Z83" s="32">
        <f t="shared" si="31"/>
        <v>20</v>
      </c>
      <c r="AA83" s="6" t="e">
        <f t="shared" si="62"/>
        <v>#VALUE!</v>
      </c>
      <c r="AB83" s="5" t="e">
        <f t="shared" si="76"/>
        <v>#VALUE!</v>
      </c>
      <c r="AC83" s="342" t="e">
        <f t="shared" si="77"/>
        <v>#N/A</v>
      </c>
      <c r="AD83" s="343" t="e">
        <f t="shared" si="78"/>
        <v>#N/A</v>
      </c>
      <c r="AE83" s="344" t="e">
        <f t="shared" si="79"/>
        <v>#N/A</v>
      </c>
      <c r="AF83" s="344" t="e">
        <f t="shared" si="20"/>
        <v>#N/A</v>
      </c>
      <c r="AG83" s="43" t="e">
        <f t="shared" si="67"/>
        <v>#N/A</v>
      </c>
      <c r="AH83" s="6" t="e">
        <f t="shared" si="80"/>
        <v>#N/A</v>
      </c>
      <c r="AI83" s="6" t="e">
        <f t="shared" si="69"/>
        <v>#VALUE!</v>
      </c>
    </row>
    <row r="84" spans="1:35">
      <c r="A84" s="230"/>
      <c r="B84" s="102" t="str">
        <f t="shared" si="70"/>
        <v>DP</v>
      </c>
      <c r="C84" s="256"/>
      <c r="D84" s="1" t="s">
        <v>523</v>
      </c>
      <c r="E84" s="46" t="s">
        <v>329</v>
      </c>
      <c r="F84" s="1016">
        <v>10</v>
      </c>
      <c r="G84" s="1017">
        <v>22</v>
      </c>
      <c r="H84" s="1017">
        <v>300</v>
      </c>
      <c r="I84" s="230">
        <f t="shared" si="58"/>
        <v>11366</v>
      </c>
      <c r="J84" s="229">
        <v>3572.7613993716895</v>
      </c>
      <c r="K84" s="230">
        <f t="shared" si="36"/>
        <v>1353.4158637438136</v>
      </c>
      <c r="L84" s="46" t="s">
        <v>700</v>
      </c>
      <c r="M84" s="322">
        <v>0</v>
      </c>
      <c r="N84" s="113" t="s">
        <v>456</v>
      </c>
      <c r="O84" s="1196" t="e">
        <f t="shared" si="14"/>
        <v>#VALUE!</v>
      </c>
      <c r="P84" s="742" t="e">
        <f t="shared" ca="1" si="71"/>
        <v>#REF!</v>
      </c>
      <c r="Q84" s="742" t="e">
        <f t="shared" ca="1" si="72"/>
        <v>#REF!</v>
      </c>
      <c r="R84" s="218">
        <v>1</v>
      </c>
      <c r="S84" s="218">
        <v>3</v>
      </c>
      <c r="T84" s="226">
        <f t="shared" si="59"/>
        <v>13.422000000000001</v>
      </c>
      <c r="U84" s="557">
        <v>0.97430000000000005</v>
      </c>
      <c r="V84" s="227" t="e">
        <f t="shared" ca="1" si="73"/>
        <v>#REF!</v>
      </c>
      <c r="W84" s="227" t="e">
        <f t="shared" ca="1" si="74"/>
        <v>#REF!</v>
      </c>
      <c r="X84" s="554" t="e">
        <f t="shared" ca="1" si="60"/>
        <v>#REF!</v>
      </c>
      <c r="Y84" s="6">
        <f t="shared" si="75"/>
        <v>2.6398104936414231</v>
      </c>
      <c r="Z84" s="32">
        <f t="shared" si="31"/>
        <v>22</v>
      </c>
      <c r="AA84" s="6" t="e">
        <f t="shared" si="62"/>
        <v>#VALUE!</v>
      </c>
      <c r="AB84" s="5" t="e">
        <f t="shared" si="76"/>
        <v>#VALUE!</v>
      </c>
      <c r="AC84" s="342" t="e">
        <f t="shared" si="77"/>
        <v>#N/A</v>
      </c>
      <c r="AD84" s="343" t="e">
        <f t="shared" si="78"/>
        <v>#N/A</v>
      </c>
      <c r="AE84" s="344" t="e">
        <f t="shared" si="79"/>
        <v>#N/A</v>
      </c>
      <c r="AF84" s="344" t="e">
        <f t="shared" si="20"/>
        <v>#N/A</v>
      </c>
      <c r="AG84" s="43" t="e">
        <f t="shared" si="67"/>
        <v>#N/A</v>
      </c>
      <c r="AH84" s="6" t="e">
        <f t="shared" si="80"/>
        <v>#N/A</v>
      </c>
      <c r="AI84" s="6" t="e">
        <f t="shared" si="69"/>
        <v>#VALUE!</v>
      </c>
    </row>
    <row r="85" spans="1:35">
      <c r="A85" s="230"/>
      <c r="B85" s="102" t="str">
        <f t="shared" si="70"/>
        <v>DQ</v>
      </c>
      <c r="C85" s="256"/>
      <c r="D85" s="1" t="s">
        <v>524</v>
      </c>
      <c r="E85" s="46" t="s">
        <v>329</v>
      </c>
      <c r="F85" s="1016">
        <v>10</v>
      </c>
      <c r="G85" s="1017">
        <v>24</v>
      </c>
      <c r="H85" s="1017">
        <v>300</v>
      </c>
      <c r="I85" s="230">
        <f t="shared" si="58"/>
        <v>15335.000000000002</v>
      </c>
      <c r="J85" s="229">
        <v>4820.3674168014131</v>
      </c>
      <c r="K85" s="230">
        <f t="shared" si="36"/>
        <v>1534.3706038061109</v>
      </c>
      <c r="L85" s="46" t="s">
        <v>700</v>
      </c>
      <c r="M85" s="322">
        <v>0</v>
      </c>
      <c r="N85" s="113" t="s">
        <v>456</v>
      </c>
      <c r="O85" s="1196" t="e">
        <f t="shared" si="14"/>
        <v>#VALUE!</v>
      </c>
      <c r="P85" s="742" t="e">
        <f t="shared" ca="1" si="71"/>
        <v>#REF!</v>
      </c>
      <c r="Q85" s="742" t="e">
        <f t="shared" ca="1" si="72"/>
        <v>#REF!</v>
      </c>
      <c r="R85" s="218">
        <v>1</v>
      </c>
      <c r="S85" s="218">
        <v>3</v>
      </c>
      <c r="T85" s="226">
        <f t="shared" si="59"/>
        <v>13.422000000000001</v>
      </c>
      <c r="U85" s="557">
        <v>0.97430000000000005</v>
      </c>
      <c r="V85" s="227" t="e">
        <f t="shared" ca="1" si="73"/>
        <v>#REF!</v>
      </c>
      <c r="W85" s="227" t="e">
        <f t="shared" ca="1" si="74"/>
        <v>#REF!</v>
      </c>
      <c r="X85" s="554" t="e">
        <f t="shared" ca="1" si="60"/>
        <v>#REF!</v>
      </c>
      <c r="Y85" s="6">
        <f t="shared" si="75"/>
        <v>3.1415926535897931</v>
      </c>
      <c r="Z85" s="32">
        <f t="shared" si="31"/>
        <v>24</v>
      </c>
      <c r="AA85" s="6" t="e">
        <f t="shared" si="62"/>
        <v>#VALUE!</v>
      </c>
      <c r="AB85" s="5" t="e">
        <f t="shared" si="76"/>
        <v>#VALUE!</v>
      </c>
      <c r="AC85" s="342" t="e">
        <f t="shared" si="77"/>
        <v>#N/A</v>
      </c>
      <c r="AD85" s="343" t="e">
        <f t="shared" si="78"/>
        <v>#N/A</v>
      </c>
      <c r="AE85" s="344" t="e">
        <f t="shared" si="79"/>
        <v>#N/A</v>
      </c>
      <c r="AF85" s="344" t="e">
        <f t="shared" si="20"/>
        <v>#N/A</v>
      </c>
      <c r="AG85" s="43" t="e">
        <f t="shared" si="67"/>
        <v>#N/A</v>
      </c>
      <c r="AH85" s="6" t="e">
        <f t="shared" si="80"/>
        <v>#N/A</v>
      </c>
      <c r="AI85" s="6" t="e">
        <f t="shared" si="69"/>
        <v>#VALUE!</v>
      </c>
    </row>
    <row r="86" spans="1:35">
      <c r="A86" s="230"/>
      <c r="B86" s="102" t="str">
        <f t="shared" si="70"/>
        <v>DR</v>
      </c>
      <c r="C86" s="256"/>
      <c r="D86" s="1" t="s">
        <v>526</v>
      </c>
      <c r="E86" s="46" t="s">
        <v>329</v>
      </c>
      <c r="F86" s="1016">
        <v>10</v>
      </c>
      <c r="G86" s="1017">
        <v>28</v>
      </c>
      <c r="H86" s="1017">
        <v>300</v>
      </c>
      <c r="I86" s="230">
        <f t="shared" si="58"/>
        <v>18943.000000000004</v>
      </c>
      <c r="J86" s="229">
        <v>5954.4975530791771</v>
      </c>
      <c r="K86" s="230">
        <f t="shared" si="36"/>
        <v>1392.5207302547458</v>
      </c>
      <c r="L86" s="46" t="s">
        <v>700</v>
      </c>
      <c r="M86" s="322">
        <v>0</v>
      </c>
      <c r="N86" s="113" t="s">
        <v>456</v>
      </c>
      <c r="O86" s="1196" t="e">
        <f t="shared" si="14"/>
        <v>#VALUE!</v>
      </c>
      <c r="P86" s="742" t="e">
        <f t="shared" ca="1" si="71"/>
        <v>#REF!</v>
      </c>
      <c r="Q86" s="742" t="e">
        <f t="shared" ca="1" si="72"/>
        <v>#REF!</v>
      </c>
      <c r="R86" s="218">
        <v>1</v>
      </c>
      <c r="S86" s="218">
        <v>3</v>
      </c>
      <c r="T86" s="226">
        <f t="shared" si="59"/>
        <v>13.422000000000001</v>
      </c>
      <c r="U86" s="557">
        <v>0.97430000000000005</v>
      </c>
      <c r="V86" s="227" t="e">
        <f t="shared" ca="1" si="73"/>
        <v>#REF!</v>
      </c>
      <c r="W86" s="227" t="e">
        <f t="shared" ca="1" si="74"/>
        <v>#REF!</v>
      </c>
      <c r="X86" s="554" t="e">
        <f t="shared" ca="1" si="60"/>
        <v>#REF!</v>
      </c>
      <c r="Y86" s="6">
        <f t="shared" si="75"/>
        <v>4.2760566673861078</v>
      </c>
      <c r="Z86" s="32">
        <f t="shared" si="31"/>
        <v>28</v>
      </c>
      <c r="AA86" s="6" t="e">
        <f t="shared" si="62"/>
        <v>#VALUE!</v>
      </c>
      <c r="AB86" s="5" t="e">
        <f t="shared" si="76"/>
        <v>#VALUE!</v>
      </c>
      <c r="AC86" s="342" t="e">
        <f t="shared" ref="AC86:AC92" si="81">IF($R86=2,(PI()*(Z86/SF)^2)/4,NA())</f>
        <v>#N/A</v>
      </c>
      <c r="AD86" s="343" t="e">
        <f t="shared" si="78"/>
        <v>#N/A</v>
      </c>
      <c r="AE86" s="344" t="e">
        <f t="shared" si="79"/>
        <v>#N/A</v>
      </c>
      <c r="AF86" s="344" t="e">
        <f t="shared" si="20"/>
        <v>#N/A</v>
      </c>
      <c r="AG86" s="43" t="e">
        <f t="shared" si="67"/>
        <v>#N/A</v>
      </c>
      <c r="AH86" s="6" t="e">
        <f t="shared" ref="AH86:AH92" si="82">SQRT(4*AF86/PI())</f>
        <v>#N/A</v>
      </c>
      <c r="AI86" s="6" t="e">
        <f t="shared" si="69"/>
        <v>#VALUE!</v>
      </c>
    </row>
    <row r="87" spans="1:35">
      <c r="B87" s="102" t="str">
        <f t="shared" si="70"/>
        <v>DS</v>
      </c>
      <c r="C87" s="256"/>
      <c r="D87" s="1" t="s">
        <v>532</v>
      </c>
      <c r="E87" s="46" t="s">
        <v>529</v>
      </c>
      <c r="F87" s="1016">
        <v>13</v>
      </c>
      <c r="G87" s="1017">
        <f>SQRT(((7*12+9)*(11*12+11))*4/PI())</f>
        <v>130.12614151442796</v>
      </c>
      <c r="H87" s="1018" t="e">
        <f t="shared" ref="H87:H90" si="83">((Ta-273.15)*(9/5))+32</f>
        <v>#VALUE!</v>
      </c>
      <c r="I87" s="230" t="e">
        <f t="shared" si="58"/>
        <v>#VALUE!</v>
      </c>
      <c r="J87" s="229">
        <v>92354.166666666672</v>
      </c>
      <c r="K87" s="230">
        <f t="shared" si="36"/>
        <v>999.99999999999989</v>
      </c>
      <c r="L87" s="46" t="s">
        <v>700</v>
      </c>
      <c r="M87" s="322">
        <v>0</v>
      </c>
      <c r="N87" s="113" t="s">
        <v>456</v>
      </c>
      <c r="O87" s="1196" t="e">
        <f t="shared" si="14"/>
        <v>#VALUE!</v>
      </c>
      <c r="P87" s="742" t="e">
        <f t="shared" ca="1" si="71"/>
        <v>#REF!</v>
      </c>
      <c r="Q87" s="742" t="e">
        <f t="shared" ca="1" si="72"/>
        <v>#REF!</v>
      </c>
      <c r="R87" s="218">
        <v>1</v>
      </c>
      <c r="S87" s="218">
        <v>3</v>
      </c>
      <c r="T87" s="226">
        <f t="shared" si="59"/>
        <v>13.422000000000001</v>
      </c>
      <c r="U87" s="557">
        <v>0.97430000000000005</v>
      </c>
      <c r="V87" s="227" t="e">
        <f t="shared" ca="1" si="73"/>
        <v>#REF!</v>
      </c>
      <c r="W87" s="227" t="e">
        <f t="shared" ca="1" si="74"/>
        <v>#REF!</v>
      </c>
      <c r="X87" s="554" t="e">
        <f t="shared" ca="1" si="60"/>
        <v>#REF!</v>
      </c>
      <c r="Y87" s="6">
        <f t="shared" si="75"/>
        <v>92.354166666666686</v>
      </c>
      <c r="Z87" s="32">
        <f t="shared" si="31"/>
        <v>130.12614151442796</v>
      </c>
      <c r="AA87" s="6" t="e">
        <f t="shared" si="62"/>
        <v>#VALUE!</v>
      </c>
      <c r="AB87" s="5" t="e">
        <f t="shared" si="76"/>
        <v>#VALUE!</v>
      </c>
      <c r="AC87" s="342" t="e">
        <f t="shared" si="81"/>
        <v>#N/A</v>
      </c>
      <c r="AD87" s="343" t="e">
        <f t="shared" si="78"/>
        <v>#N/A</v>
      </c>
      <c r="AE87" s="344" t="e">
        <f t="shared" si="79"/>
        <v>#N/A</v>
      </c>
      <c r="AF87" s="344" t="e">
        <f t="shared" si="20"/>
        <v>#N/A</v>
      </c>
      <c r="AG87" s="43" t="e">
        <f t="shared" si="67"/>
        <v>#N/A</v>
      </c>
      <c r="AH87" s="6" t="e">
        <f t="shared" si="82"/>
        <v>#N/A</v>
      </c>
      <c r="AI87" s="6" t="e">
        <f t="shared" si="69"/>
        <v>#VALUE!</v>
      </c>
    </row>
    <row r="88" spans="1:35">
      <c r="B88" s="102" t="str">
        <f t="shared" si="70"/>
        <v>DT</v>
      </c>
      <c r="C88" s="256"/>
      <c r="D88" s="1" t="s">
        <v>530</v>
      </c>
      <c r="E88" s="46" t="s">
        <v>529</v>
      </c>
      <c r="F88" s="1016">
        <v>15</v>
      </c>
      <c r="G88" s="1017">
        <v>67</v>
      </c>
      <c r="H88" s="1018" t="e">
        <f t="shared" si="83"/>
        <v>#VALUE!</v>
      </c>
      <c r="I88" s="230" t="e">
        <f t="shared" si="58"/>
        <v>#VALUE!</v>
      </c>
      <c r="J88" s="229">
        <v>24483.696913132942</v>
      </c>
      <c r="K88" s="230">
        <f t="shared" si="36"/>
        <v>999.99999999999977</v>
      </c>
      <c r="L88" s="46" t="s">
        <v>700</v>
      </c>
      <c r="M88" s="322">
        <v>0</v>
      </c>
      <c r="N88" s="113" t="s">
        <v>456</v>
      </c>
      <c r="O88" s="1196" t="e">
        <f t="shared" ref="O88:O92" si="84">AB88+1 &amp;"/32"</f>
        <v>#VALUE!</v>
      </c>
      <c r="P88" s="742" t="e">
        <f t="shared" ca="1" si="71"/>
        <v>#REF!</v>
      </c>
      <c r="Q88" s="742" t="e">
        <f t="shared" ca="1" si="72"/>
        <v>#REF!</v>
      </c>
      <c r="R88" s="218">
        <v>1</v>
      </c>
      <c r="S88" s="218">
        <v>3</v>
      </c>
      <c r="T88" s="226">
        <f t="shared" si="59"/>
        <v>13.422000000000001</v>
      </c>
      <c r="U88" s="557">
        <v>0.97430000000000005</v>
      </c>
      <c r="V88" s="227" t="e">
        <f t="shared" ca="1" si="73"/>
        <v>#REF!</v>
      </c>
      <c r="W88" s="227" t="e">
        <f t="shared" ca="1" si="74"/>
        <v>#REF!</v>
      </c>
      <c r="X88" s="554" t="e">
        <f t="shared" ca="1" si="60"/>
        <v>#REF!</v>
      </c>
      <c r="Y88" s="6">
        <f t="shared" si="75"/>
        <v>24.483696913132949</v>
      </c>
      <c r="Z88" s="32">
        <f t="shared" si="31"/>
        <v>67</v>
      </c>
      <c r="AA88" s="6" t="e">
        <f t="shared" si="62"/>
        <v>#VALUE!</v>
      </c>
      <c r="AB88" s="5" t="e">
        <f t="shared" si="76"/>
        <v>#VALUE!</v>
      </c>
      <c r="AC88" s="342" t="e">
        <f t="shared" si="81"/>
        <v>#N/A</v>
      </c>
      <c r="AD88" s="343" t="e">
        <f t="shared" si="78"/>
        <v>#N/A</v>
      </c>
      <c r="AE88" s="344" t="e">
        <f t="shared" si="79"/>
        <v>#N/A</v>
      </c>
      <c r="AF88" s="344" t="e">
        <f t="shared" ref="AF88:AF97" si="85">IF($R88&lt;&gt;2,NA(),IF(ISNA(AE88),(2/32-2*0.014)^2,IF(ABS($AD88/$AC88)&lt;ABS($AC88/$AE88),$AD88,$AE88)))</f>
        <v>#N/A</v>
      </c>
      <c r="AG88" s="43" t="e">
        <f t="shared" si="67"/>
        <v>#N/A</v>
      </c>
      <c r="AH88" s="6" t="e">
        <f t="shared" si="82"/>
        <v>#N/A</v>
      </c>
      <c r="AI88" s="6" t="e">
        <f t="shared" si="69"/>
        <v>#VALUE!</v>
      </c>
    </row>
    <row r="89" spans="1:35">
      <c r="B89" s="102" t="str">
        <f t="shared" si="70"/>
        <v>DU</v>
      </c>
      <c r="C89" s="256"/>
      <c r="D89" s="1" t="s">
        <v>533</v>
      </c>
      <c r="E89" s="46" t="s">
        <v>529</v>
      </c>
      <c r="F89" s="1016">
        <v>13</v>
      </c>
      <c r="G89" s="1017">
        <f>4*12+7</f>
        <v>55</v>
      </c>
      <c r="H89" s="1018" t="e">
        <f t="shared" si="83"/>
        <v>#VALUE!</v>
      </c>
      <c r="I89" s="230" t="e">
        <f t="shared" si="58"/>
        <v>#VALUE!</v>
      </c>
      <c r="J89" s="229">
        <v>16498.815585258893</v>
      </c>
      <c r="K89" s="230">
        <f t="shared" si="36"/>
        <v>999.99999999999989</v>
      </c>
      <c r="L89" s="46" t="s">
        <v>700</v>
      </c>
      <c r="M89" s="322">
        <v>0</v>
      </c>
      <c r="N89" s="113" t="s">
        <v>456</v>
      </c>
      <c r="O89" s="1196" t="e">
        <f t="shared" si="84"/>
        <v>#VALUE!</v>
      </c>
      <c r="P89" s="742" t="e">
        <f t="shared" ca="1" si="71"/>
        <v>#REF!</v>
      </c>
      <c r="Q89" s="742" t="e">
        <f t="shared" ca="1" si="72"/>
        <v>#REF!</v>
      </c>
      <c r="R89" s="218">
        <v>1</v>
      </c>
      <c r="S89" s="218">
        <v>3</v>
      </c>
      <c r="T89" s="226">
        <f t="shared" si="59"/>
        <v>13.422000000000001</v>
      </c>
      <c r="U89" s="557">
        <v>0.97430000000000005</v>
      </c>
      <c r="V89" s="227" t="e">
        <f t="shared" ca="1" si="73"/>
        <v>#REF!</v>
      </c>
      <c r="W89" s="227" t="e">
        <f t="shared" ca="1" si="74"/>
        <v>#REF!</v>
      </c>
      <c r="X89" s="554" t="e">
        <f t="shared" ca="1" si="60"/>
        <v>#REF!</v>
      </c>
      <c r="Y89" s="6">
        <f t="shared" si="75"/>
        <v>16.498815585258896</v>
      </c>
      <c r="Z89" s="32">
        <f t="shared" si="31"/>
        <v>55</v>
      </c>
      <c r="AA89" s="6" t="e">
        <f t="shared" si="62"/>
        <v>#VALUE!</v>
      </c>
      <c r="AB89" s="5" t="e">
        <f t="shared" si="76"/>
        <v>#VALUE!</v>
      </c>
      <c r="AC89" s="342" t="e">
        <f t="shared" si="81"/>
        <v>#N/A</v>
      </c>
      <c r="AD89" s="343" t="e">
        <f t="shared" si="78"/>
        <v>#N/A</v>
      </c>
      <c r="AE89" s="344" t="e">
        <f t="shared" si="79"/>
        <v>#N/A</v>
      </c>
      <c r="AF89" s="344" t="e">
        <f t="shared" si="85"/>
        <v>#N/A</v>
      </c>
      <c r="AG89" s="43" t="e">
        <f t="shared" si="67"/>
        <v>#N/A</v>
      </c>
      <c r="AH89" s="6" t="e">
        <f t="shared" si="82"/>
        <v>#N/A</v>
      </c>
      <c r="AI89" s="6" t="e">
        <f t="shared" si="69"/>
        <v>#VALUE!</v>
      </c>
    </row>
    <row r="90" spans="1:35">
      <c r="B90" s="102" t="str">
        <f t="shared" si="70"/>
        <v>DV</v>
      </c>
      <c r="C90" s="256"/>
      <c r="D90" s="1" t="s">
        <v>531</v>
      </c>
      <c r="E90" s="46" t="s">
        <v>529</v>
      </c>
      <c r="F90" s="1016">
        <v>10</v>
      </c>
      <c r="G90" s="1017">
        <f>9*12+3</f>
        <v>111</v>
      </c>
      <c r="H90" s="1018" t="e">
        <f t="shared" si="83"/>
        <v>#VALUE!</v>
      </c>
      <c r="I90" s="230" t="e">
        <f t="shared" si="58"/>
        <v>#VALUE!</v>
      </c>
      <c r="J90" s="229">
        <v>67200.6303556942</v>
      </c>
      <c r="K90" s="230">
        <f t="shared" si="36"/>
        <v>1000.0000000000005</v>
      </c>
      <c r="L90" s="46" t="s">
        <v>700</v>
      </c>
      <c r="M90" s="322">
        <v>0</v>
      </c>
      <c r="N90" s="113" t="s">
        <v>456</v>
      </c>
      <c r="O90" s="1196" t="e">
        <f t="shared" si="84"/>
        <v>#VALUE!</v>
      </c>
      <c r="P90" s="742" t="e">
        <f t="shared" ca="1" si="71"/>
        <v>#REF!</v>
      </c>
      <c r="Q90" s="742" t="e">
        <f t="shared" ca="1" si="72"/>
        <v>#REF!</v>
      </c>
      <c r="R90" s="218">
        <v>1</v>
      </c>
      <c r="S90" s="218">
        <v>3</v>
      </c>
      <c r="T90" s="226">
        <f t="shared" si="59"/>
        <v>13.422000000000001</v>
      </c>
      <c r="U90" s="557">
        <v>0.97430000000000005</v>
      </c>
      <c r="V90" s="227" t="e">
        <f t="shared" ca="1" si="73"/>
        <v>#REF!</v>
      </c>
      <c r="W90" s="227" t="e">
        <f t="shared" ca="1" si="74"/>
        <v>#REF!</v>
      </c>
      <c r="X90" s="554" t="e">
        <f t="shared" ca="1" si="60"/>
        <v>#REF!</v>
      </c>
      <c r="Y90" s="6">
        <f t="shared" si="75"/>
        <v>67.200630355694173</v>
      </c>
      <c r="Z90" s="32">
        <f t="shared" si="31"/>
        <v>111</v>
      </c>
      <c r="AA90" s="6" t="e">
        <f t="shared" si="62"/>
        <v>#VALUE!</v>
      </c>
      <c r="AB90" s="5" t="e">
        <f t="shared" si="76"/>
        <v>#VALUE!</v>
      </c>
      <c r="AC90" s="342" t="e">
        <f t="shared" si="81"/>
        <v>#N/A</v>
      </c>
      <c r="AD90" s="343" t="e">
        <f t="shared" si="78"/>
        <v>#N/A</v>
      </c>
      <c r="AE90" s="344" t="e">
        <f t="shared" si="79"/>
        <v>#N/A</v>
      </c>
      <c r="AF90" s="344" t="e">
        <f t="shared" si="85"/>
        <v>#N/A</v>
      </c>
      <c r="AG90" s="43" t="e">
        <f t="shared" si="67"/>
        <v>#N/A</v>
      </c>
      <c r="AH90" s="6" t="e">
        <f t="shared" si="82"/>
        <v>#N/A</v>
      </c>
      <c r="AI90" s="6" t="e">
        <f t="shared" si="69"/>
        <v>#VALUE!</v>
      </c>
    </row>
    <row r="91" spans="1:35">
      <c r="B91" s="102" t="str">
        <f t="shared" si="70"/>
        <v>DW</v>
      </c>
      <c r="C91" s="256"/>
      <c r="D91" s="940" t="s">
        <v>1671</v>
      </c>
      <c r="E91" s="942" t="s">
        <v>1672</v>
      </c>
      <c r="F91" s="1618">
        <v>10</v>
      </c>
      <c r="G91" s="1017">
        <v>12.30291422738858</v>
      </c>
      <c r="H91" s="1619">
        <v>1200</v>
      </c>
      <c r="I91" s="230">
        <f t="shared" si="58"/>
        <v>24042.534495044936</v>
      </c>
      <c r="J91" s="1620">
        <v>16511</v>
      </c>
      <c r="K91" s="230">
        <f t="shared" si="36"/>
        <v>20000</v>
      </c>
      <c r="L91" s="46" t="s">
        <v>1673</v>
      </c>
      <c r="M91" s="322">
        <v>0</v>
      </c>
      <c r="N91" s="113" t="s">
        <v>456</v>
      </c>
      <c r="O91" s="1196" t="e">
        <f t="shared" si="84"/>
        <v>#VALUE!</v>
      </c>
      <c r="P91" s="742" t="e">
        <f t="shared" ca="1" si="71"/>
        <v>#REF!</v>
      </c>
      <c r="Q91" s="742" t="e">
        <f t="shared" ca="1" si="72"/>
        <v>#REF!</v>
      </c>
      <c r="R91" s="218">
        <v>1</v>
      </c>
      <c r="S91" s="218">
        <v>3</v>
      </c>
      <c r="T91" s="226">
        <f t="shared" si="59"/>
        <v>13.422000000000001</v>
      </c>
      <c r="U91" s="557">
        <v>0.97430000000000005</v>
      </c>
      <c r="V91" s="227" t="e">
        <f t="shared" ca="1" si="73"/>
        <v>#REF!</v>
      </c>
      <c r="W91" s="227" t="e">
        <f t="shared" ca="1" si="74"/>
        <v>#REF!</v>
      </c>
      <c r="X91" s="554" t="e">
        <f t="shared" ca="1" si="60"/>
        <v>#REF!</v>
      </c>
      <c r="Y91" s="6">
        <f t="shared" si="75"/>
        <v>0.82555000000000001</v>
      </c>
      <c r="Z91" s="32">
        <f t="shared" si="31"/>
        <v>12.30291422738858</v>
      </c>
      <c r="AA91" s="6" t="e">
        <f t="shared" si="62"/>
        <v>#VALUE!</v>
      </c>
      <c r="AB91" s="5" t="e">
        <f t="shared" si="76"/>
        <v>#VALUE!</v>
      </c>
      <c r="AC91" s="342" t="e">
        <f t="shared" si="81"/>
        <v>#N/A</v>
      </c>
      <c r="AD91" s="343" t="e">
        <f t="shared" si="78"/>
        <v>#N/A</v>
      </c>
      <c r="AE91" s="344" t="e">
        <f t="shared" si="79"/>
        <v>#N/A</v>
      </c>
      <c r="AF91" s="344" t="e">
        <f t="shared" si="85"/>
        <v>#N/A</v>
      </c>
      <c r="AG91" s="43" t="e">
        <f t="shared" si="67"/>
        <v>#N/A</v>
      </c>
      <c r="AH91" s="6" t="e">
        <f t="shared" si="82"/>
        <v>#N/A</v>
      </c>
      <c r="AI91" s="6" t="e">
        <f t="shared" si="69"/>
        <v>#VALUE!</v>
      </c>
    </row>
    <row r="92" spans="1:35">
      <c r="B92" s="102" t="str">
        <f t="shared" si="70"/>
        <v>DX</v>
      </c>
      <c r="C92" s="256"/>
      <c r="D92" s="940" t="s">
        <v>1674</v>
      </c>
      <c r="E92" s="942" t="s">
        <v>1675</v>
      </c>
      <c r="F92" s="1618">
        <v>10</v>
      </c>
      <c r="G92" s="1017">
        <v>12.30291422738858</v>
      </c>
      <c r="H92" s="1619">
        <v>1200</v>
      </c>
      <c r="I92" s="230">
        <f t="shared" si="58"/>
        <v>6010.9976618948267</v>
      </c>
      <c r="J92" s="229">
        <v>4128</v>
      </c>
      <c r="K92" s="230">
        <f t="shared" si="36"/>
        <v>5000.3028284174188</v>
      </c>
      <c r="L92" s="46" t="s">
        <v>1673</v>
      </c>
      <c r="M92" s="322">
        <v>0</v>
      </c>
      <c r="N92" s="113" t="s">
        <v>456</v>
      </c>
      <c r="O92" s="1196" t="e">
        <f t="shared" si="84"/>
        <v>#VALUE!</v>
      </c>
      <c r="P92" s="742" t="e">
        <f t="shared" ca="1" si="71"/>
        <v>#REF!</v>
      </c>
      <c r="Q92" s="742" t="e">
        <f t="shared" ca="1" si="72"/>
        <v>#REF!</v>
      </c>
      <c r="R92" s="218">
        <v>1</v>
      </c>
      <c r="S92" s="218">
        <v>3</v>
      </c>
      <c r="T92" s="226">
        <f t="shared" si="59"/>
        <v>13.422000000000001</v>
      </c>
      <c r="U92" s="557">
        <v>0.97430000000000005</v>
      </c>
      <c r="V92" s="227" t="e">
        <f t="shared" ca="1" si="73"/>
        <v>#REF!</v>
      </c>
      <c r="W92" s="227" t="e">
        <f t="shared" ca="1" si="74"/>
        <v>#REF!</v>
      </c>
      <c r="X92" s="554" t="e">
        <f t="shared" ca="1" si="60"/>
        <v>#REF!</v>
      </c>
      <c r="Y92" s="6">
        <f t="shared" si="75"/>
        <v>0.82555000000000001</v>
      </c>
      <c r="Z92" s="32">
        <f t="shared" si="31"/>
        <v>12.30291422738858</v>
      </c>
      <c r="AA92" s="6" t="e">
        <f t="shared" si="62"/>
        <v>#VALUE!</v>
      </c>
      <c r="AB92" s="5" t="e">
        <f t="shared" si="76"/>
        <v>#VALUE!</v>
      </c>
      <c r="AC92" s="342" t="e">
        <f t="shared" si="81"/>
        <v>#N/A</v>
      </c>
      <c r="AD92" s="343" t="e">
        <f t="shared" si="78"/>
        <v>#N/A</v>
      </c>
      <c r="AE92" s="344" t="e">
        <f t="shared" si="79"/>
        <v>#N/A</v>
      </c>
      <c r="AF92" s="344" t="e">
        <f t="shared" si="85"/>
        <v>#N/A</v>
      </c>
      <c r="AG92" s="43" t="e">
        <f t="shared" si="67"/>
        <v>#N/A</v>
      </c>
      <c r="AH92" s="6" t="e">
        <f t="shared" si="82"/>
        <v>#N/A</v>
      </c>
      <c r="AI92" s="6" t="e">
        <f t="shared" si="69"/>
        <v>#VALUE!</v>
      </c>
    </row>
    <row r="93" spans="1:35">
      <c r="B93" s="1"/>
      <c r="C93" s="377"/>
      <c r="D93" s="1"/>
      <c r="E93" s="46"/>
      <c r="F93" s="1016"/>
      <c r="G93" s="1017"/>
      <c r="H93" s="1017"/>
      <c r="I93" s="230"/>
      <c r="J93" s="229"/>
      <c r="K93" s="230"/>
      <c r="L93" s="46"/>
      <c r="M93" s="322"/>
      <c r="N93" s="113"/>
      <c r="P93" s="1"/>
      <c r="R93" s="218"/>
      <c r="S93" s="218"/>
      <c r="T93" s="226"/>
      <c r="U93" s="557"/>
      <c r="V93" s="227"/>
      <c r="W93" s="36"/>
      <c r="X93" s="555"/>
      <c r="Y93" s="6"/>
      <c r="Z93" s="6"/>
      <c r="AA93" s="6"/>
      <c r="AB93" s="5"/>
      <c r="AC93" s="6"/>
      <c r="AD93" s="6"/>
      <c r="AE93" s="6"/>
      <c r="AF93" s="344"/>
      <c r="AG93" s="43"/>
      <c r="AH93" s="6"/>
      <c r="AI93" s="6"/>
    </row>
    <row r="94" spans="1:35">
      <c r="C94" s="1015" t="s">
        <v>461</v>
      </c>
      <c r="E94" s="46"/>
      <c r="F94" s="1016"/>
      <c r="G94" s="1017"/>
      <c r="H94" s="1017"/>
      <c r="I94" s="230"/>
      <c r="J94" s="229"/>
      <c r="K94" s="230"/>
      <c r="L94" s="46"/>
      <c r="M94" s="322"/>
      <c r="N94" s="113"/>
      <c r="P94" s="1"/>
      <c r="R94" s="218"/>
      <c r="S94" s="218"/>
      <c r="T94" s="226"/>
      <c r="U94" s="557"/>
      <c r="V94" s="36"/>
      <c r="W94" s="36"/>
      <c r="X94" s="555"/>
      <c r="Y94" s="6"/>
      <c r="Z94" s="6"/>
      <c r="AA94" s="6"/>
      <c r="AB94" s="5"/>
      <c r="AC94" s="6"/>
      <c r="AD94" s="6"/>
      <c r="AE94" s="6"/>
      <c r="AF94" s="344"/>
      <c r="AG94" s="43"/>
      <c r="AH94" s="6"/>
      <c r="AI94" s="6"/>
    </row>
    <row r="95" spans="1:35">
      <c r="B95" s="1300">
        <v>1</v>
      </c>
      <c r="C95" s="1020"/>
      <c r="D95" s="1" t="s">
        <v>870</v>
      </c>
      <c r="E95" s="46" t="s">
        <v>879</v>
      </c>
      <c r="F95" s="1016">
        <v>5</v>
      </c>
      <c r="G95" s="1017">
        <v>172.6</v>
      </c>
      <c r="H95" s="1018" t="e">
        <f>((Ta-273.15)*(9/5))+32</f>
        <v>#VALUE!</v>
      </c>
      <c r="I95" s="230" t="e">
        <f>$I193*2.2*3600</f>
        <v>#VALUE!</v>
      </c>
      <c r="J95" s="229">
        <v>100000</v>
      </c>
      <c r="K95" s="230">
        <f t="shared" si="36"/>
        <v>615.44752279520048</v>
      </c>
      <c r="L95" s="46" t="s">
        <v>534</v>
      </c>
      <c r="M95" s="322">
        <v>0</v>
      </c>
      <c r="N95" s="113" t="s">
        <v>851</v>
      </c>
      <c r="P95" s="1"/>
      <c r="R95" s="218">
        <v>3</v>
      </c>
      <c r="S95" s="218">
        <v>3</v>
      </c>
      <c r="T95" s="226">
        <f t="shared" ref="T95:T97" si="86">2.237*6</f>
        <v>13.422000000000001</v>
      </c>
      <c r="U95" s="557">
        <v>1</v>
      </c>
      <c r="V95" s="227" t="e">
        <f ca="1">INDIRECT(ADDRESS(52,6,1,,$B95))</f>
        <v>#VALUE!</v>
      </c>
      <c r="W95" s="227" t="e">
        <f ca="1">INDIRECT(ADDRESS(52,7,1,,$B95))</f>
        <v>#N/A</v>
      </c>
      <c r="X95" s="554" t="e">
        <f ca="1">V95-W95</f>
        <v>#VALUE!</v>
      </c>
      <c r="Y95" s="6">
        <f>(PI()/4)*($G95/12)^2</f>
        <v>162.48339020982058</v>
      </c>
      <c r="Z95" s="6">
        <f t="shared" si="31"/>
        <v>172.6</v>
      </c>
      <c r="AA95" s="6" t="e">
        <f>IF($R95=1,MAX($G95/SF,$S95/32),IF($R95=3,$G95/SF,NA()))</f>
        <v>#VALUE!</v>
      </c>
      <c r="AB95" s="5" t="e">
        <f>IF($R95=1,ROUND(AA95*32,0),NA())</f>
        <v>#N/A</v>
      </c>
      <c r="AC95" s="342" t="e">
        <f>IF($R95=2,(PI()*(Z95/SF)^2)/4,NA())</f>
        <v>#N/A</v>
      </c>
      <c r="AD95" s="343" t="e">
        <f>IF($R95=2,INDEX(SquareBrass,MATCH($AC95,SquareAreaDSC,-1),6),NA())</f>
        <v>#N/A</v>
      </c>
      <c r="AE95" s="344" t="e">
        <f>IF($R95=2,INDEX(SquareBrass,MATCH($AC95,SquareAreaASC,1),1),NA())</f>
        <v>#N/A</v>
      </c>
      <c r="AF95" s="344" t="e">
        <f t="shared" si="85"/>
        <v>#N/A</v>
      </c>
      <c r="AG95" s="43" t="e">
        <f>IF(R95=2,INDEX(SquareBrass,MATCH($AF95,SquareAreaASC,0),2),NA())</f>
        <v>#N/A</v>
      </c>
      <c r="AH95" s="6" t="e">
        <f>SQRT(4*AF95/PI())</f>
        <v>#N/A</v>
      </c>
      <c r="AI95" s="6" t="e">
        <f>IF($R95=2,$AH95,IF($R95=3,$AA95,$AB95/32))</f>
        <v>#VALUE!</v>
      </c>
    </row>
    <row r="96" spans="1:35">
      <c r="B96" s="1300">
        <v>2</v>
      </c>
      <c r="C96" s="1020"/>
      <c r="D96" s="1" t="s">
        <v>882</v>
      </c>
      <c r="E96" s="46" t="s">
        <v>880</v>
      </c>
      <c r="F96" s="1016">
        <v>5</v>
      </c>
      <c r="G96" s="1017">
        <v>172.6</v>
      </c>
      <c r="H96" s="1018" t="e">
        <f>((Ta-273.15)*(9/5))+32</f>
        <v>#VALUE!</v>
      </c>
      <c r="I96" s="230" t="e">
        <f>$I194*2.2*3600</f>
        <v>#VALUE!</v>
      </c>
      <c r="J96" s="229">
        <v>200000</v>
      </c>
      <c r="K96" s="230">
        <f t="shared" si="36"/>
        <v>1230.895045590401</v>
      </c>
      <c r="L96" s="46" t="s">
        <v>534</v>
      </c>
      <c r="M96" s="322">
        <v>0</v>
      </c>
      <c r="N96" s="113" t="s">
        <v>851</v>
      </c>
      <c r="P96" s="1"/>
      <c r="R96" s="218">
        <v>3</v>
      </c>
      <c r="S96" s="218">
        <v>3</v>
      </c>
      <c r="T96" s="226">
        <f t="shared" si="86"/>
        <v>13.422000000000001</v>
      </c>
      <c r="U96" s="557">
        <v>1</v>
      </c>
      <c r="V96" s="227" t="e">
        <f ca="1">INDIRECT(ADDRESS(52,6,1,,$B96))</f>
        <v>#VALUE!</v>
      </c>
      <c r="W96" s="227" t="e">
        <f ca="1">INDIRECT(ADDRESS(52,7,1,,$B96))</f>
        <v>#N/A</v>
      </c>
      <c r="X96" s="554" t="e">
        <f ca="1">V96-W96</f>
        <v>#VALUE!</v>
      </c>
      <c r="Y96" s="6">
        <f>(PI()/4)*($G96/12)^2</f>
        <v>162.48339020982058</v>
      </c>
      <c r="Z96" s="6">
        <f t="shared" si="31"/>
        <v>172.6</v>
      </c>
      <c r="AA96" s="6" t="e">
        <f>IF($R96=1,MAX($G96/SF,$S96/32),IF($R96=3,$G96/SF,NA()))</f>
        <v>#VALUE!</v>
      </c>
      <c r="AB96" s="5" t="e">
        <f>IF($R96=1,ROUND(AA96*32,0),NA())</f>
        <v>#N/A</v>
      </c>
      <c r="AC96" s="342" t="e">
        <f>IF($R96=2,(PI()*(Z96/SF)^2)/4,NA())</f>
        <v>#N/A</v>
      </c>
      <c r="AD96" s="343" t="e">
        <f>IF($R96=2,INDEX(SquareBrass,MATCH($AC96,SquareAreaDSC,-1),6),NA())</f>
        <v>#N/A</v>
      </c>
      <c r="AE96" s="344" t="e">
        <f>IF($R96=2,INDEX(SquareBrass,MATCH($AC96,SquareAreaASC,1),1),NA())</f>
        <v>#N/A</v>
      </c>
      <c r="AF96" s="344" t="e">
        <f t="shared" si="85"/>
        <v>#N/A</v>
      </c>
      <c r="AG96" s="43" t="e">
        <f>IF(R96=2,INDEX(SquareBrass,MATCH($AF96,SquareAreaASC,0),2),NA())</f>
        <v>#N/A</v>
      </c>
      <c r="AH96" s="6" t="e">
        <f>SQRT(4*AF96/PI())</f>
        <v>#N/A</v>
      </c>
      <c r="AI96" s="6" t="e">
        <f>IF($R96=2,$AH96,IF($R96=3,$AA96,$AB96/32))</f>
        <v>#VALUE!</v>
      </c>
    </row>
    <row r="97" spans="2:35">
      <c r="B97" s="1300">
        <v>3</v>
      </c>
      <c r="C97" s="1020"/>
      <c r="D97" s="1" t="s">
        <v>883</v>
      </c>
      <c r="E97" s="46" t="s">
        <v>881</v>
      </c>
      <c r="F97" s="1016">
        <v>5</v>
      </c>
      <c r="G97" s="1017">
        <v>172.6</v>
      </c>
      <c r="H97" s="1018" t="e">
        <f>((Ta-273.15)*(9/5))+32</f>
        <v>#VALUE!</v>
      </c>
      <c r="I97" s="230" t="e">
        <f>$I195*2.2*3600</f>
        <v>#VALUE!</v>
      </c>
      <c r="J97" s="229">
        <v>400000</v>
      </c>
      <c r="K97" s="230">
        <f t="shared" si="36"/>
        <v>2461.7900911808019</v>
      </c>
      <c r="L97" s="46" t="s">
        <v>534</v>
      </c>
      <c r="M97" s="322">
        <v>0</v>
      </c>
      <c r="N97" s="113" t="s">
        <v>851</v>
      </c>
      <c r="P97" s="1"/>
      <c r="R97" s="218">
        <v>3</v>
      </c>
      <c r="S97" s="218">
        <v>3</v>
      </c>
      <c r="T97" s="226">
        <f t="shared" si="86"/>
        <v>13.422000000000001</v>
      </c>
      <c r="U97" s="557">
        <v>1</v>
      </c>
      <c r="V97" s="227" t="e">
        <f ca="1">INDIRECT(ADDRESS(52,6,1,,$B97))</f>
        <v>#VALUE!</v>
      </c>
      <c r="W97" s="227" t="e">
        <f ca="1">INDIRECT(ADDRESS(52,7,1,,$B97))</f>
        <v>#N/A</v>
      </c>
      <c r="X97" s="554" t="e">
        <f ca="1">V97-W97</f>
        <v>#VALUE!</v>
      </c>
      <c r="Y97" s="6">
        <f>(PI()/4)*($G97/12)^2</f>
        <v>162.48339020982058</v>
      </c>
      <c r="Z97" s="6">
        <f t="shared" si="31"/>
        <v>172.6</v>
      </c>
      <c r="AA97" s="6" t="e">
        <f>IF($R97=1,MAX($G97/SF,$S97/32),IF($R97=3,$G97/SF,NA()))</f>
        <v>#VALUE!</v>
      </c>
      <c r="AB97" s="5" t="e">
        <f>IF($R97=1,ROUND(AA97*32,0),NA())</f>
        <v>#N/A</v>
      </c>
      <c r="AC97" s="342" t="e">
        <f>IF($R97=2,(PI()*(Z97/SF)^2)/4,NA())</f>
        <v>#N/A</v>
      </c>
      <c r="AD97" s="343" t="e">
        <f>IF($R97=2,INDEX(SquareBrass,MATCH($AC97,SquareAreaDSC,-1),6),NA())</f>
        <v>#N/A</v>
      </c>
      <c r="AE97" s="344" t="e">
        <f>IF($R97=2,INDEX(SquareBrass,MATCH($AC97,SquareAreaASC,1),1),NA())</f>
        <v>#N/A</v>
      </c>
      <c r="AF97" s="344" t="e">
        <f t="shared" si="85"/>
        <v>#N/A</v>
      </c>
      <c r="AG97" s="43" t="e">
        <f>IF(R97=2,INDEX(SquareBrass,MATCH($AF97,SquareAreaASC,0),2),NA())</f>
        <v>#N/A</v>
      </c>
      <c r="AH97" s="6" t="e">
        <f>SQRT(4*AF97/PI())</f>
        <v>#N/A</v>
      </c>
      <c r="AI97" s="6" t="e">
        <f>IF($R97=2,$AH97,IF($R97=3,$AA97,$AB97/32))</f>
        <v>#VALUE!</v>
      </c>
    </row>
    <row r="98" spans="2:35">
      <c r="B98" s="29"/>
      <c r="C98" s="1021"/>
      <c r="D98" s="29"/>
      <c r="E98" s="47"/>
      <c r="F98" s="236"/>
      <c r="G98" s="231"/>
      <c r="H98" s="232"/>
      <c r="I98" s="181"/>
      <c r="J98" s="232"/>
      <c r="K98" s="181"/>
      <c r="L98" s="47"/>
      <c r="M98" s="323"/>
      <c r="N98" s="1022"/>
      <c r="P98" s="1"/>
      <c r="R98" s="57"/>
      <c r="S98" s="57"/>
      <c r="T98" s="56"/>
      <c r="U98" s="40"/>
      <c r="V98" s="40"/>
      <c r="W98" s="40"/>
      <c r="X98" s="40"/>
      <c r="Y98" s="39"/>
      <c r="Z98" s="39"/>
      <c r="AA98" s="39"/>
      <c r="AB98" s="38"/>
      <c r="AC98" s="39"/>
      <c r="AD98" s="39"/>
      <c r="AE98" s="39"/>
      <c r="AF98" s="39"/>
      <c r="AG98" s="58"/>
      <c r="AH98" s="58"/>
      <c r="AI98" s="58"/>
    </row>
    <row r="99" spans="2:35">
      <c r="B99" s="1"/>
      <c r="C99" s="1"/>
      <c r="D99" s="1"/>
      <c r="E99" s="46"/>
      <c r="F99" s="7"/>
      <c r="G99" s="234"/>
      <c r="H99" s="229"/>
      <c r="I99" s="233"/>
      <c r="J99" s="229"/>
      <c r="K99" s="233"/>
      <c r="L99" s="46"/>
      <c r="M99" s="322"/>
      <c r="N99" s="1"/>
      <c r="P99" s="1"/>
    </row>
    <row r="100" spans="2:35">
      <c r="B100" s="1"/>
      <c r="C100" s="1"/>
      <c r="D100" s="1"/>
      <c r="E100" s="46"/>
      <c r="F100" s="7"/>
      <c r="G100" s="234"/>
      <c r="H100" s="229"/>
      <c r="I100" s="233"/>
      <c r="J100" s="229"/>
      <c r="K100" s="233"/>
      <c r="L100" s="46"/>
      <c r="M100" s="322"/>
      <c r="N100" s="1"/>
      <c r="P100" s="1"/>
    </row>
    <row r="101" spans="2:35" ht="18.75">
      <c r="C101" s="4" t="s">
        <v>684</v>
      </c>
      <c r="I101" s="235"/>
    </row>
    <row r="102" spans="2:35">
      <c r="D102" t="s">
        <v>685</v>
      </c>
      <c r="E102" s="355" t="str">
        <f>[5]!xlsScale</f>
        <v>scale</v>
      </c>
    </row>
    <row r="103" spans="2:35">
      <c r="D103" t="s">
        <v>697</v>
      </c>
      <c r="E103" s="355" t="e">
        <f>[5]!xlsHeightGradeSite/3.28</f>
        <v>#VALUE!</v>
      </c>
      <c r="F103" s="16" t="str">
        <f>[5]!xlsHeightGradeSite&amp;" ft msl"</f>
        <v>grade elevation ft msl</v>
      </c>
    </row>
    <row r="104" spans="2:35">
      <c r="D104" t="s">
        <v>686</v>
      </c>
      <c r="E104" s="355" t="e">
        <f>[5]!xlsTypicalBuildingHeightSite/3.28</f>
        <v>#VALUE!</v>
      </c>
    </row>
    <row r="105" spans="2:35" ht="18.75">
      <c r="D105" t="s">
        <v>687</v>
      </c>
      <c r="E105" s="355" t="e">
        <f>([5]!xlsAmbientTemperatureSiteF-32)*5/9+273.15</f>
        <v>#VALUE!</v>
      </c>
      <c r="F105" s="1" t="s">
        <v>628</v>
      </c>
    </row>
    <row r="106" spans="2:35">
      <c r="E106" s="355"/>
    </row>
    <row r="107" spans="2:35">
      <c r="D107" t="s">
        <v>688</v>
      </c>
      <c r="E107" s="355" t="str">
        <f>[5]!xlsHeightProjectAnemometer</f>
        <v>Anemometer Height</v>
      </c>
      <c r="F107" s="16" t="str">
        <f>[5]!xlsProjectAnemometer</f>
        <v>Project Anemometer</v>
      </c>
    </row>
    <row r="108" spans="2:35">
      <c r="D108" t="s">
        <v>689</v>
      </c>
      <c r="E108" s="1195">
        <f>[5]!xlsRoughnessAnemometer</f>
        <v>0.03</v>
      </c>
      <c r="F108" s="16" t="str">
        <f>F107</f>
        <v>Project Anemometer</v>
      </c>
    </row>
    <row r="109" spans="2:35">
      <c r="D109" t="s">
        <v>694</v>
      </c>
      <c r="E109" s="355" t="str">
        <f>ZAnem</f>
        <v>Anemometer Height</v>
      </c>
    </row>
    <row r="110" spans="2:35">
      <c r="D110" t="s">
        <v>695</v>
      </c>
      <c r="E110" s="1195" t="str">
        <f>[5]!xlsRoughnessSite</f>
        <v>z0</v>
      </c>
    </row>
    <row r="111" spans="2:35">
      <c r="D111" t="s">
        <v>696</v>
      </c>
      <c r="E111" s="1194" t="str">
        <f>[5]!xlsOnePercentWS</f>
        <v>1% Wind</v>
      </c>
      <c r="F111" s="16" t="str">
        <f>F108&amp;" (Period of Record: "&amp;[5]!xlsProjectAnemometerRecord&amp;")"</f>
        <v>Project Anemometer (Period of Record: date range)</v>
      </c>
      <c r="R111" s="1690" t="s">
        <v>744</v>
      </c>
      <c r="S111" s="1691"/>
      <c r="T111" s="1692" t="s">
        <v>1583</v>
      </c>
      <c r="U111" s="1693"/>
      <c r="V111" s="1697" t="s">
        <v>1584</v>
      </c>
      <c r="W111" s="1699"/>
      <c r="X111" s="154"/>
      <c r="Y111" s="144"/>
      <c r="Z111" s="144"/>
      <c r="AA111" s="1694" t="s">
        <v>748</v>
      </c>
      <c r="AB111" s="1695"/>
      <c r="AC111" s="1695"/>
      <c r="AD111" s="1695"/>
      <c r="AE111" s="1695"/>
      <c r="AF111" s="1695"/>
      <c r="AG111" s="1695"/>
      <c r="AH111" s="1696"/>
      <c r="AI111" s="222"/>
    </row>
    <row r="112" spans="2:35">
      <c r="B112" s="1"/>
      <c r="C112" s="1"/>
      <c r="D112" s="1"/>
      <c r="E112" s="46"/>
      <c r="F112" s="7"/>
      <c r="G112" s="6"/>
      <c r="H112" s="9"/>
      <c r="J112" s="9"/>
      <c r="L112" s="46"/>
      <c r="M112" s="322"/>
      <c r="N112" s="1"/>
      <c r="P112" s="1"/>
      <c r="R112" s="359"/>
      <c r="S112" s="360"/>
      <c r="T112" s="1702" t="s">
        <v>749</v>
      </c>
      <c r="U112" s="1703"/>
      <c r="V112" s="1688" t="s">
        <v>332</v>
      </c>
      <c r="W112" s="1689"/>
      <c r="X112" s="153"/>
      <c r="Y112" s="228"/>
      <c r="Z112" s="228"/>
      <c r="AA112" s="213"/>
      <c r="AB112" s="215"/>
      <c r="AC112" s="153"/>
      <c r="AD112" s="153"/>
      <c r="AE112" s="153"/>
      <c r="AF112" s="153"/>
      <c r="AG112" s="153" t="s">
        <v>724</v>
      </c>
      <c r="AH112" s="215"/>
      <c r="AI112" s="223" t="s">
        <v>724</v>
      </c>
    </row>
    <row r="113" spans="2:35">
      <c r="B113" s="10" t="s">
        <v>742</v>
      </c>
      <c r="C113" s="10"/>
      <c r="D113" s="29"/>
      <c r="E113" s="47"/>
      <c r="F113" s="40"/>
      <c r="G113" s="39"/>
      <c r="H113" s="30"/>
      <c r="I113" s="41"/>
      <c r="J113" s="30"/>
      <c r="K113" s="41"/>
      <c r="L113" s="47"/>
      <c r="M113" s="323"/>
      <c r="N113" s="29"/>
      <c r="P113" s="1"/>
      <c r="R113" s="361"/>
      <c r="S113" s="360" t="s">
        <v>717</v>
      </c>
      <c r="T113" s="359"/>
      <c r="U113" s="360"/>
      <c r="V113" s="1688" t="s">
        <v>334</v>
      </c>
      <c r="W113" s="1689"/>
      <c r="X113" s="153"/>
      <c r="Y113" s="15"/>
      <c r="Z113" s="15"/>
      <c r="AA113" s="213" t="s">
        <v>723</v>
      </c>
      <c r="AB113" s="215" t="s">
        <v>724</v>
      </c>
      <c r="AC113" s="153" t="s">
        <v>723</v>
      </c>
      <c r="AD113" s="153" t="s">
        <v>730</v>
      </c>
      <c r="AE113" s="153" t="s">
        <v>730</v>
      </c>
      <c r="AF113" s="153" t="s">
        <v>724</v>
      </c>
      <c r="AG113" s="153" t="s">
        <v>704</v>
      </c>
      <c r="AH113" s="215"/>
      <c r="AI113" s="223" t="s">
        <v>704</v>
      </c>
    </row>
    <row r="114" spans="2:35">
      <c r="B114" s="2"/>
      <c r="C114" s="123"/>
      <c r="D114" s="1007"/>
      <c r="E114" s="144"/>
      <c r="F114" s="144" t="s">
        <v>362</v>
      </c>
      <c r="G114" s="144"/>
      <c r="H114" s="144"/>
      <c r="I114" s="144"/>
      <c r="J114" s="144"/>
      <c r="K114" s="144"/>
      <c r="L114" s="144"/>
      <c r="M114" s="144" t="s">
        <v>363</v>
      </c>
      <c r="N114" s="1012"/>
      <c r="O114" s="1197"/>
      <c r="P114" s="2"/>
      <c r="R114" s="361" t="s">
        <v>710</v>
      </c>
      <c r="S114" s="360" t="s">
        <v>704</v>
      </c>
      <c r="T114" s="361"/>
      <c r="U114" s="360" t="s">
        <v>704</v>
      </c>
      <c r="V114" s="213"/>
      <c r="W114" s="215"/>
      <c r="X114" s="153"/>
      <c r="Y114" s="220"/>
      <c r="Z114" s="220"/>
      <c r="AA114" s="213" t="s">
        <v>704</v>
      </c>
      <c r="AB114" s="215" t="s">
        <v>704</v>
      </c>
      <c r="AC114" s="153" t="s">
        <v>704</v>
      </c>
      <c r="AD114" s="34" t="s">
        <v>732</v>
      </c>
      <c r="AE114" s="34" t="s">
        <v>731</v>
      </c>
      <c r="AF114" s="153" t="s">
        <v>704</v>
      </c>
      <c r="AG114" s="153" t="s">
        <v>751</v>
      </c>
      <c r="AH114" s="215" t="s">
        <v>721</v>
      </c>
      <c r="AI114" s="223" t="s">
        <v>467</v>
      </c>
    </row>
    <row r="115" spans="2:35">
      <c r="B115" s="2"/>
      <c r="C115" s="124"/>
      <c r="D115" s="2"/>
      <c r="E115" s="13"/>
      <c r="F115" s="13" t="s">
        <v>666</v>
      </c>
      <c r="G115" s="13"/>
      <c r="H115" s="13"/>
      <c r="I115" s="13"/>
      <c r="J115" s="13"/>
      <c r="K115" s="13"/>
      <c r="L115" s="13"/>
      <c r="M115" s="13" t="s">
        <v>666</v>
      </c>
      <c r="N115" s="1013"/>
      <c r="O115" s="1197"/>
      <c r="P115" s="2"/>
      <c r="R115" s="361" t="s">
        <v>709</v>
      </c>
      <c r="S115" s="360" t="s">
        <v>716</v>
      </c>
      <c r="T115" s="361"/>
      <c r="U115" s="360" t="s">
        <v>707</v>
      </c>
      <c r="V115" s="213"/>
      <c r="W115" s="215"/>
      <c r="X115" s="153"/>
      <c r="Y115" s="220"/>
      <c r="Z115" s="220"/>
      <c r="AA115" s="213" t="s">
        <v>716</v>
      </c>
      <c r="AB115" s="215" t="s">
        <v>716</v>
      </c>
      <c r="AC115" s="153" t="s">
        <v>716</v>
      </c>
      <c r="AD115" s="153" t="s">
        <v>716</v>
      </c>
      <c r="AE115" s="153" t="s">
        <v>716</v>
      </c>
      <c r="AF115" s="153" t="s">
        <v>712</v>
      </c>
      <c r="AG115" s="153" t="s">
        <v>712</v>
      </c>
      <c r="AH115" s="215" t="s">
        <v>704</v>
      </c>
      <c r="AI115" s="223" t="s">
        <v>78</v>
      </c>
    </row>
    <row r="116" spans="2:35">
      <c r="B116" s="2"/>
      <c r="C116" s="124"/>
      <c r="D116" s="2" t="s">
        <v>663</v>
      </c>
      <c r="E116" s="13" t="s">
        <v>663</v>
      </c>
      <c r="F116" s="13" t="s">
        <v>1193</v>
      </c>
      <c r="G116" s="13" t="s">
        <v>669</v>
      </c>
      <c r="H116" s="13" t="s">
        <v>669</v>
      </c>
      <c r="I116" s="13" t="s">
        <v>673</v>
      </c>
      <c r="J116" s="13" t="s">
        <v>676</v>
      </c>
      <c r="K116" s="13" t="s">
        <v>669</v>
      </c>
      <c r="L116" s="13" t="s">
        <v>663</v>
      </c>
      <c r="M116" s="13" t="s">
        <v>1193</v>
      </c>
      <c r="N116" s="1013"/>
      <c r="O116" s="1197"/>
      <c r="P116" s="2"/>
      <c r="R116" s="365" t="s">
        <v>698</v>
      </c>
      <c r="S116" s="360" t="s">
        <v>728</v>
      </c>
      <c r="T116" s="361" t="s">
        <v>705</v>
      </c>
      <c r="U116" s="361" t="s">
        <v>708</v>
      </c>
      <c r="V116" s="213" t="s">
        <v>817</v>
      </c>
      <c r="W116" s="215" t="s">
        <v>704</v>
      </c>
      <c r="X116" s="153"/>
      <c r="Y116" s="153" t="s">
        <v>669</v>
      </c>
      <c r="Z116" s="153" t="s">
        <v>721</v>
      </c>
      <c r="AA116" s="213" t="s">
        <v>671</v>
      </c>
      <c r="AB116" s="215" t="s">
        <v>671</v>
      </c>
      <c r="AC116" s="153" t="s">
        <v>683</v>
      </c>
      <c r="AD116" s="153" t="s">
        <v>683</v>
      </c>
      <c r="AE116" s="153" t="s">
        <v>683</v>
      </c>
      <c r="AF116" s="153" t="s">
        <v>683</v>
      </c>
      <c r="AG116" s="34" t="s">
        <v>511</v>
      </c>
      <c r="AH116" s="215" t="s">
        <v>78</v>
      </c>
      <c r="AI116" s="223"/>
    </row>
    <row r="117" spans="2:35">
      <c r="B117" s="2"/>
      <c r="C117" s="124"/>
      <c r="D117" s="2" t="s">
        <v>664</v>
      </c>
      <c r="E117" s="13" t="s">
        <v>665</v>
      </c>
      <c r="F117" s="13" t="s">
        <v>363</v>
      </c>
      <c r="G117" s="13" t="s">
        <v>671</v>
      </c>
      <c r="H117" s="13" t="s">
        <v>702</v>
      </c>
      <c r="I117" s="13" t="s">
        <v>674</v>
      </c>
      <c r="J117" s="13" t="s">
        <v>677</v>
      </c>
      <c r="K117" s="13" t="s">
        <v>679</v>
      </c>
      <c r="L117" s="13" t="s">
        <v>681</v>
      </c>
      <c r="M117" s="13" t="s">
        <v>1204</v>
      </c>
      <c r="N117" s="1013" t="s">
        <v>682</v>
      </c>
      <c r="O117" s="1197"/>
      <c r="P117" s="2"/>
      <c r="R117" s="365" t="s">
        <v>699</v>
      </c>
      <c r="S117" s="362" t="s">
        <v>729</v>
      </c>
      <c r="T117" s="361" t="s">
        <v>706</v>
      </c>
      <c r="U117" s="362" t="s">
        <v>87</v>
      </c>
      <c r="V117" s="213" t="s">
        <v>818</v>
      </c>
      <c r="W117" s="215" t="s">
        <v>818</v>
      </c>
      <c r="X117" s="153"/>
      <c r="Y117" s="153" t="s">
        <v>683</v>
      </c>
      <c r="Z117" s="153" t="s">
        <v>722</v>
      </c>
      <c r="AA117" s="212" t="s">
        <v>718</v>
      </c>
      <c r="AB117" s="216" t="s">
        <v>718</v>
      </c>
      <c r="AC117" s="34" t="s">
        <v>727</v>
      </c>
      <c r="AD117" s="34" t="s">
        <v>727</v>
      </c>
      <c r="AE117" s="34" t="s">
        <v>727</v>
      </c>
      <c r="AF117" s="34" t="s">
        <v>727</v>
      </c>
      <c r="AG117" s="34" t="s">
        <v>727</v>
      </c>
      <c r="AH117" s="216" t="s">
        <v>727</v>
      </c>
      <c r="AI117" s="224"/>
    </row>
    <row r="118" spans="2:35" ht="18.75">
      <c r="B118" s="10"/>
      <c r="C118" s="193"/>
      <c r="D118" s="10"/>
      <c r="E118" s="14"/>
      <c r="F118" s="14" t="s">
        <v>743</v>
      </c>
      <c r="G118" s="14" t="s">
        <v>743</v>
      </c>
      <c r="H118" s="14" t="s">
        <v>754</v>
      </c>
      <c r="I118" s="14" t="s">
        <v>753</v>
      </c>
      <c r="J118" s="14" t="s">
        <v>752</v>
      </c>
      <c r="K118" s="14" t="s">
        <v>703</v>
      </c>
      <c r="L118" s="14"/>
      <c r="M118" s="324" t="s">
        <v>743</v>
      </c>
      <c r="N118" s="1014"/>
      <c r="O118" s="1197"/>
      <c r="P118" s="2"/>
      <c r="R118" s="363" t="s">
        <v>745</v>
      </c>
      <c r="S118" s="364" t="s">
        <v>714</v>
      </c>
      <c r="T118" s="363" t="s">
        <v>703</v>
      </c>
      <c r="U118" s="364">
        <v>0.22819999999999999</v>
      </c>
      <c r="V118" s="214"/>
      <c r="W118" s="217"/>
      <c r="X118" s="221"/>
      <c r="Y118" s="221" t="s">
        <v>750</v>
      </c>
      <c r="Z118" s="221" t="s">
        <v>743</v>
      </c>
      <c r="AA118" s="214" t="s">
        <v>743</v>
      </c>
      <c r="AB118" s="289" t="s">
        <v>714</v>
      </c>
      <c r="AC118" s="221" t="s">
        <v>750</v>
      </c>
      <c r="AD118" s="221" t="s">
        <v>750</v>
      </c>
      <c r="AE118" s="221" t="s">
        <v>750</v>
      </c>
      <c r="AF118" s="221" t="s">
        <v>750</v>
      </c>
      <c r="AG118" s="288" t="s">
        <v>714</v>
      </c>
      <c r="AH118" s="289" t="s">
        <v>672</v>
      </c>
      <c r="AI118" s="225" t="s">
        <v>672</v>
      </c>
    </row>
    <row r="119" spans="2:35">
      <c r="B119" s="2"/>
      <c r="C119" s="124"/>
      <c r="D119" s="2"/>
      <c r="E119" s="13"/>
      <c r="F119" s="13"/>
      <c r="G119" s="13"/>
      <c r="H119" s="13"/>
      <c r="I119" s="13"/>
      <c r="J119" s="13"/>
      <c r="K119" s="13"/>
      <c r="L119" s="13"/>
      <c r="M119" s="325"/>
      <c r="N119" s="1013"/>
      <c r="O119" s="1197"/>
      <c r="P119" s="2"/>
      <c r="R119" s="34"/>
      <c r="S119" s="34"/>
      <c r="T119" s="34"/>
      <c r="U119" s="15"/>
      <c r="V119" s="34"/>
      <c r="W119" s="34"/>
      <c r="X119" s="34"/>
      <c r="Y119" s="34"/>
      <c r="Z119" s="34"/>
      <c r="AA119" s="34"/>
      <c r="AB119" s="34"/>
      <c r="AC119" s="34"/>
      <c r="AD119" s="34"/>
      <c r="AE119" s="34"/>
      <c r="AF119" s="34"/>
      <c r="AG119" s="34"/>
      <c r="AH119" s="34"/>
    </row>
    <row r="120" spans="2:35">
      <c r="B120" s="45" t="str">
        <f>C22</f>
        <v>Project Name 2</v>
      </c>
      <c r="C120" s="1023"/>
      <c r="E120" s="5"/>
      <c r="L120" s="5"/>
      <c r="M120" s="1024"/>
      <c r="N120" s="37"/>
      <c r="T120" s="5"/>
    </row>
    <row r="121" spans="2:35">
      <c r="B121" s="42" t="str">
        <f>$B23</f>
        <v>AA</v>
      </c>
      <c r="C121" s="270"/>
      <c r="D121" s="16" t="str">
        <f>$D23</f>
        <v>Fume Hood Exhaust 1</v>
      </c>
      <c r="E121" s="42" t="str">
        <f>$E23</f>
        <v>EF-1</v>
      </c>
      <c r="F121" s="1025">
        <f>$F23/3.28</f>
        <v>3.0487804878048781</v>
      </c>
      <c r="G121" s="1025">
        <f>$G23/(12*3.28)</f>
        <v>0.2032520325203252</v>
      </c>
      <c r="H121" s="1018" t="e">
        <f>($H23-32)*(5/9)+273.15</f>
        <v>#VALUE!</v>
      </c>
      <c r="I121" s="1026" t="e">
        <f>1.225*(293/$H121)*$J121</f>
        <v>#VALUE!</v>
      </c>
      <c r="J121" s="1027">
        <f>$J23/(60*3.28^3)</f>
        <v>0.47231008449287359</v>
      </c>
      <c r="K121" s="1028">
        <f>$K23/(3.28*60)</f>
        <v>14.556854551087991</v>
      </c>
      <c r="L121" s="42" t="str">
        <f>$L23</f>
        <v>Vertical</v>
      </c>
      <c r="M121" s="1029">
        <f>M23/3.28</f>
        <v>0</v>
      </c>
      <c r="N121" s="1030" t="str">
        <f>$N23</f>
        <v>Main Roof</v>
      </c>
      <c r="P121" s="16"/>
      <c r="R121" s="35">
        <f t="shared" ref="R121:S132" si="87">R23</f>
        <v>1</v>
      </c>
      <c r="S121" s="35">
        <f t="shared" si="87"/>
        <v>3</v>
      </c>
      <c r="T121" s="287">
        <f>T23*(5280/3.28)*(1/3600)</f>
        <v>6.001707317073171</v>
      </c>
      <c r="U121" s="287">
        <f t="shared" ref="U121:W123" si="88">U23</f>
        <v>0.97430000000000005</v>
      </c>
      <c r="V121" s="227" t="e">
        <f t="shared" ca="1" si="88"/>
        <v>#VALUE!</v>
      </c>
      <c r="W121" s="227" t="e">
        <f t="shared" ca="1" si="88"/>
        <v>#VALUE!</v>
      </c>
      <c r="X121" s="227" t="e">
        <f ca="1">W121</f>
        <v>#VALUE!</v>
      </c>
      <c r="Y121" s="6">
        <f>Y23/(3.28^2)</f>
        <v>3.2445888830947532E-2</v>
      </c>
      <c r="Z121" s="32">
        <f t="shared" ref="Z121:AA132" si="89">Z23/(3.28*12)</f>
        <v>0.2032520325203252</v>
      </c>
      <c r="AA121" s="32" t="e">
        <f t="shared" si="89"/>
        <v>#VALUE!</v>
      </c>
      <c r="AB121" s="42" t="e">
        <f>AB23</f>
        <v>#VALUE!</v>
      </c>
      <c r="AC121" s="6" t="e">
        <f t="shared" ref="AC121:AF123" si="90">AC23/(3.28^2)</f>
        <v>#N/A</v>
      </c>
      <c r="AD121" s="6" t="e">
        <f t="shared" si="90"/>
        <v>#N/A</v>
      </c>
      <c r="AE121" s="6" t="e">
        <f t="shared" si="90"/>
        <v>#N/A</v>
      </c>
      <c r="AF121" s="6" t="e">
        <f t="shared" si="90"/>
        <v>#N/A</v>
      </c>
      <c r="AG121" s="44" t="e">
        <f t="shared" ref="AG121:AI123" si="91">AG23</f>
        <v>#N/A</v>
      </c>
      <c r="AH121" s="36" t="e">
        <f t="shared" si="91"/>
        <v>#N/A</v>
      </c>
      <c r="AI121" s="36" t="e">
        <f t="shared" si="91"/>
        <v>#VALUE!</v>
      </c>
    </row>
    <row r="122" spans="2:35">
      <c r="B122" s="42" t="str">
        <f t="shared" ref="B122:B132" si="92">$B24</f>
        <v>AB</v>
      </c>
      <c r="C122" s="270"/>
      <c r="D122" s="16" t="str">
        <f t="shared" ref="D122:D132" si="93">$D24</f>
        <v>Fume Hood Exhaust 2</v>
      </c>
      <c r="E122" s="42" t="str">
        <f t="shared" ref="E122:E132" si="94">$E24</f>
        <v>EF-2</v>
      </c>
      <c r="F122" s="1025">
        <f t="shared" ref="F122:F132" si="95">$F24/3.28</f>
        <v>3.0487804878048781</v>
      </c>
      <c r="G122" s="1025">
        <f t="shared" ref="G122:G132" si="96">$G24/(12*3.28)</f>
        <v>0.43191056910569109</v>
      </c>
      <c r="H122" s="1018" t="e">
        <f t="shared" ref="H122:H132" si="97">($H24-32)*(5/9)+273.15</f>
        <v>#VALUE!</v>
      </c>
      <c r="I122" s="1026" t="e">
        <f t="shared" ref="I122:I132" si="98">1.225*(293/$H122)*$J122</f>
        <v>#VALUE!</v>
      </c>
      <c r="J122" s="1027">
        <f t="shared" ref="J122:J132" si="99">$J24/(60*3.28^3)</f>
        <v>2.3615504224643682</v>
      </c>
      <c r="K122" s="1028">
        <f t="shared" ref="K122:K132" si="100">$K24/(3.28*60)</f>
        <v>16.118316457952098</v>
      </c>
      <c r="L122" s="42" t="str">
        <f t="shared" ref="L122:L132" si="101">$L24</f>
        <v>Vertical</v>
      </c>
      <c r="M122" s="1029">
        <f t="shared" ref="M122:M132" si="102">M24/3.28</f>
        <v>0</v>
      </c>
      <c r="N122" s="1030" t="str">
        <f t="shared" ref="N122:N132" si="103">$N24</f>
        <v>Main Roof</v>
      </c>
      <c r="P122" s="16"/>
      <c r="R122" s="35">
        <f t="shared" si="87"/>
        <v>1</v>
      </c>
      <c r="S122" s="35">
        <f t="shared" si="87"/>
        <v>3</v>
      </c>
      <c r="T122" s="287">
        <f t="shared" ref="T122:T132" si="104">T24*(5280/3.28)*(1/3600)</f>
        <v>6.001707317073171</v>
      </c>
      <c r="U122" s="287">
        <f t="shared" si="88"/>
        <v>0.97430000000000005</v>
      </c>
      <c r="V122" s="227" t="e">
        <f t="shared" ca="1" si="88"/>
        <v>#VALUE!</v>
      </c>
      <c r="W122" s="227" t="e">
        <f t="shared" ca="1" si="88"/>
        <v>#VALUE!</v>
      </c>
      <c r="X122" s="227" t="e">
        <f t="shared" ref="X122:X132" ca="1" si="105">W122</f>
        <v>#VALUE!</v>
      </c>
      <c r="Y122" s="6">
        <f t="shared" ref="Y122:Y132" si="106">Y24/(3.28^2)</f>
        <v>0.14651346675224747</v>
      </c>
      <c r="Z122" s="32">
        <f t="shared" si="89"/>
        <v>0.43191056910569109</v>
      </c>
      <c r="AA122" s="32" t="e">
        <f t="shared" si="89"/>
        <v>#VALUE!</v>
      </c>
      <c r="AB122" s="42" t="e">
        <f t="shared" ref="AB122:AB132" si="107">AB24</f>
        <v>#VALUE!</v>
      </c>
      <c r="AC122" s="6" t="e">
        <f t="shared" si="90"/>
        <v>#N/A</v>
      </c>
      <c r="AD122" s="6" t="e">
        <f t="shared" si="90"/>
        <v>#N/A</v>
      </c>
      <c r="AE122" s="6" t="e">
        <f t="shared" si="90"/>
        <v>#N/A</v>
      </c>
      <c r="AF122" s="6" t="e">
        <f t="shared" si="90"/>
        <v>#N/A</v>
      </c>
      <c r="AG122" s="44" t="e">
        <f t="shared" si="91"/>
        <v>#N/A</v>
      </c>
      <c r="AH122" s="36" t="e">
        <f t="shared" si="91"/>
        <v>#N/A</v>
      </c>
      <c r="AI122" s="36" t="e">
        <f t="shared" si="91"/>
        <v>#VALUE!</v>
      </c>
    </row>
    <row r="123" spans="2:35">
      <c r="B123" s="42" t="str">
        <f t="shared" si="92"/>
        <v>AC</v>
      </c>
      <c r="C123" s="270"/>
      <c r="D123" s="16" t="str">
        <f t="shared" si="93"/>
        <v>Fume Hood Exhaust 3</v>
      </c>
      <c r="E123" s="42" t="str">
        <f t="shared" si="94"/>
        <v>EF-3</v>
      </c>
      <c r="F123" s="1025">
        <f t="shared" si="95"/>
        <v>3.0487804878048781</v>
      </c>
      <c r="G123" s="1025">
        <f t="shared" si="96"/>
        <v>0.6097560975609756</v>
      </c>
      <c r="H123" s="1018" t="e">
        <f t="shared" si="97"/>
        <v>#VALUE!</v>
      </c>
      <c r="I123" s="1026" t="e">
        <f t="shared" si="98"/>
        <v>#VALUE!</v>
      </c>
      <c r="J123" s="1027">
        <f t="shared" si="99"/>
        <v>4.7231008449287364</v>
      </c>
      <c r="K123" s="1028">
        <f t="shared" si="100"/>
        <v>16.174282834542211</v>
      </c>
      <c r="L123" s="42" t="str">
        <f t="shared" si="101"/>
        <v>Vertical</v>
      </c>
      <c r="M123" s="1029">
        <f t="shared" si="102"/>
        <v>0</v>
      </c>
      <c r="N123" s="1030" t="str">
        <f t="shared" si="103"/>
        <v>Main Roof</v>
      </c>
      <c r="P123" s="16"/>
      <c r="R123" s="35">
        <f t="shared" si="87"/>
        <v>1</v>
      </c>
      <c r="S123" s="35">
        <f t="shared" si="87"/>
        <v>3</v>
      </c>
      <c r="T123" s="287">
        <f t="shared" si="104"/>
        <v>6.001707317073171</v>
      </c>
      <c r="U123" s="287">
        <f t="shared" si="88"/>
        <v>0.97430000000000005</v>
      </c>
      <c r="V123" s="227" t="e">
        <f t="shared" ca="1" si="88"/>
        <v>#VALUE!</v>
      </c>
      <c r="W123" s="227" t="e">
        <f t="shared" ca="1" si="88"/>
        <v>#VALUE!</v>
      </c>
      <c r="X123" s="227" t="e">
        <f t="shared" ca="1" si="105"/>
        <v>#VALUE!</v>
      </c>
      <c r="Y123" s="6">
        <f t="shared" si="106"/>
        <v>0.29201299947852782</v>
      </c>
      <c r="Z123" s="32">
        <f t="shared" si="89"/>
        <v>0.6097560975609756</v>
      </c>
      <c r="AA123" s="32" t="e">
        <f t="shared" si="89"/>
        <v>#VALUE!</v>
      </c>
      <c r="AB123" s="42" t="e">
        <f t="shared" si="107"/>
        <v>#VALUE!</v>
      </c>
      <c r="AC123" s="6" t="e">
        <f t="shared" si="90"/>
        <v>#N/A</v>
      </c>
      <c r="AD123" s="6" t="e">
        <f t="shared" si="90"/>
        <v>#N/A</v>
      </c>
      <c r="AE123" s="6" t="e">
        <f t="shared" si="90"/>
        <v>#N/A</v>
      </c>
      <c r="AF123" s="6" t="e">
        <f t="shared" si="90"/>
        <v>#N/A</v>
      </c>
      <c r="AG123" s="44" t="e">
        <f t="shared" si="91"/>
        <v>#N/A</v>
      </c>
      <c r="AH123" s="36" t="e">
        <f t="shared" si="91"/>
        <v>#N/A</v>
      </c>
      <c r="AI123" s="36" t="e">
        <f t="shared" si="91"/>
        <v>#VALUE!</v>
      </c>
    </row>
    <row r="124" spans="2:35">
      <c r="B124" s="42" t="str">
        <f t="shared" si="92"/>
        <v>AD</v>
      </c>
      <c r="C124" s="270"/>
      <c r="D124" s="16" t="str">
        <f t="shared" si="93"/>
        <v>Vivarium Exhaust 1</v>
      </c>
      <c r="E124" s="42" t="str">
        <f t="shared" si="94"/>
        <v>EF-4</v>
      </c>
      <c r="F124" s="1025">
        <f t="shared" si="95"/>
        <v>3.0487804878048781</v>
      </c>
      <c r="G124" s="1025">
        <f t="shared" si="96"/>
        <v>0.96544715447154472</v>
      </c>
      <c r="H124" s="1018" t="e">
        <f t="shared" si="97"/>
        <v>#VALUE!</v>
      </c>
      <c r="I124" s="1026" t="e">
        <f t="shared" si="98"/>
        <v>#VALUE!</v>
      </c>
      <c r="J124" s="1027">
        <f t="shared" si="99"/>
        <v>11.80775211232184</v>
      </c>
      <c r="K124" s="1028">
        <f t="shared" si="100"/>
        <v>16.129478726967303</v>
      </c>
      <c r="L124" s="42" t="str">
        <f t="shared" si="101"/>
        <v>Vertical</v>
      </c>
      <c r="M124" s="1029">
        <f t="shared" si="102"/>
        <v>0</v>
      </c>
      <c r="N124" s="1030" t="str">
        <f t="shared" si="103"/>
        <v>Main Roof</v>
      </c>
      <c r="P124" s="16"/>
      <c r="R124" s="35">
        <f t="shared" si="87"/>
        <v>1</v>
      </c>
      <c r="S124" s="35">
        <f t="shared" si="87"/>
        <v>3</v>
      </c>
      <c r="T124" s="287">
        <f t="shared" si="104"/>
        <v>6.001707317073171</v>
      </c>
      <c r="U124" s="287">
        <f>U26</f>
        <v>0.97430000000000005</v>
      </c>
      <c r="V124" s="227" t="e">
        <f ca="1">V26</f>
        <v>#VALUE!</v>
      </c>
      <c r="W124" s="227" t="e">
        <f ca="1">W26</f>
        <v>#VALUE!</v>
      </c>
      <c r="X124" s="227" t="e">
        <f t="shared" ca="1" si="105"/>
        <v>#VALUE!</v>
      </c>
      <c r="Y124" s="6">
        <f t="shared" si="106"/>
        <v>0.7320603667482537</v>
      </c>
      <c r="Z124" s="32">
        <f t="shared" si="89"/>
        <v>0.96544715447154472</v>
      </c>
      <c r="AA124" s="32" t="e">
        <f t="shared" si="89"/>
        <v>#VALUE!</v>
      </c>
      <c r="AB124" s="42" t="e">
        <f t="shared" si="107"/>
        <v>#VALUE!</v>
      </c>
      <c r="AC124" s="6" t="e">
        <f>AC26/(3.28^2)</f>
        <v>#N/A</v>
      </c>
      <c r="AD124" s="6" t="e">
        <f>AD26/(3.28^2)</f>
        <v>#N/A</v>
      </c>
      <c r="AE124" s="6" t="e">
        <f>AE26/(3.28^2)</f>
        <v>#N/A</v>
      </c>
      <c r="AF124" s="6" t="e">
        <f>AF26/(3.28^2)</f>
        <v>#N/A</v>
      </c>
      <c r="AG124" s="44" t="e">
        <f>AG26</f>
        <v>#N/A</v>
      </c>
      <c r="AH124" s="36" t="e">
        <f>AH26</f>
        <v>#N/A</v>
      </c>
      <c r="AI124" s="36" t="e">
        <f>AI26</f>
        <v>#VALUE!</v>
      </c>
    </row>
    <row r="125" spans="2:35">
      <c r="B125" s="42" t="str">
        <f t="shared" si="92"/>
        <v>AE</v>
      </c>
      <c r="C125" s="270"/>
      <c r="D125" s="16" t="str">
        <f t="shared" si="93"/>
        <v>Vivarium Exhaust 2</v>
      </c>
      <c r="E125" s="42" t="str">
        <f t="shared" si="94"/>
        <v>EF-5</v>
      </c>
      <c r="F125" s="1025">
        <f t="shared" si="95"/>
        <v>3.0487804878048781</v>
      </c>
      <c r="G125" s="1025">
        <f t="shared" si="96"/>
        <v>1.4227642276422765</v>
      </c>
      <c r="H125" s="1018" t="e">
        <f t="shared" si="97"/>
        <v>#VALUE!</v>
      </c>
      <c r="I125" s="1026" t="e">
        <f t="shared" si="98"/>
        <v>#VALUE!</v>
      </c>
      <c r="J125" s="1027">
        <f t="shared" si="99"/>
        <v>23.615504224643679</v>
      </c>
      <c r="K125" s="1028">
        <f t="shared" si="100"/>
        <v>14.853933215395907</v>
      </c>
      <c r="L125" s="42" t="str">
        <f t="shared" si="101"/>
        <v>Vertical</v>
      </c>
      <c r="M125" s="1029">
        <f t="shared" si="102"/>
        <v>0</v>
      </c>
      <c r="N125" s="1030" t="str">
        <f t="shared" si="103"/>
        <v>Main Roof</v>
      </c>
      <c r="P125" s="16"/>
      <c r="R125" s="35">
        <f t="shared" si="87"/>
        <v>1</v>
      </c>
      <c r="S125" s="35">
        <f t="shared" si="87"/>
        <v>3</v>
      </c>
      <c r="T125" s="287">
        <f t="shared" si="104"/>
        <v>6.001707317073171</v>
      </c>
      <c r="U125" s="287">
        <f t="shared" ref="U125:W128" si="108">U27</f>
        <v>0.97430000000000005</v>
      </c>
      <c r="V125" s="227" t="e">
        <f t="shared" ca="1" si="108"/>
        <v>#VALUE!</v>
      </c>
      <c r="W125" s="227" t="e">
        <f t="shared" ca="1" si="108"/>
        <v>#VALUE!</v>
      </c>
      <c r="X125" s="227" t="e">
        <f t="shared" ca="1" si="105"/>
        <v>#VALUE!</v>
      </c>
      <c r="Y125" s="6">
        <f t="shared" si="106"/>
        <v>1.5898485527164294</v>
      </c>
      <c r="Z125" s="32">
        <f t="shared" si="89"/>
        <v>1.4227642276422765</v>
      </c>
      <c r="AA125" s="32" t="e">
        <f t="shared" si="89"/>
        <v>#VALUE!</v>
      </c>
      <c r="AB125" s="42" t="e">
        <f t="shared" si="107"/>
        <v>#VALUE!</v>
      </c>
      <c r="AC125" s="6" t="e">
        <f t="shared" ref="AC125:AF128" si="109">AC27/(3.28^2)</f>
        <v>#N/A</v>
      </c>
      <c r="AD125" s="6" t="e">
        <f t="shared" si="109"/>
        <v>#N/A</v>
      </c>
      <c r="AE125" s="6" t="e">
        <f t="shared" si="109"/>
        <v>#N/A</v>
      </c>
      <c r="AF125" s="6" t="e">
        <f t="shared" si="109"/>
        <v>#N/A</v>
      </c>
      <c r="AG125" s="44" t="e">
        <f t="shared" ref="AG125:AI128" si="110">AG27</f>
        <v>#N/A</v>
      </c>
      <c r="AH125" s="36" t="e">
        <f t="shared" si="110"/>
        <v>#N/A</v>
      </c>
      <c r="AI125" s="36" t="e">
        <f t="shared" si="110"/>
        <v>#VALUE!</v>
      </c>
    </row>
    <row r="126" spans="2:35">
      <c r="B126" s="42" t="str">
        <f t="shared" si="92"/>
        <v>AF</v>
      </c>
      <c r="C126" s="270"/>
      <c r="D126" s="16" t="str">
        <f t="shared" si="93"/>
        <v>Vivarium Exhaust 3</v>
      </c>
      <c r="E126" s="42" t="str">
        <f t="shared" si="94"/>
        <v>EF-6</v>
      </c>
      <c r="F126" s="1025">
        <f t="shared" si="95"/>
        <v>3.0487804878048781</v>
      </c>
      <c r="G126" s="1025">
        <f t="shared" si="96"/>
        <v>1.6768292682926829</v>
      </c>
      <c r="H126" s="1018" t="e">
        <f t="shared" si="97"/>
        <v>#VALUE!</v>
      </c>
      <c r="I126" s="1026" t="e">
        <f t="shared" si="98"/>
        <v>#VALUE!</v>
      </c>
      <c r="J126" s="1027">
        <f t="shared" si="99"/>
        <v>35.423256336965522</v>
      </c>
      <c r="K126" s="1028">
        <f t="shared" si="100"/>
        <v>16.040611075579051</v>
      </c>
      <c r="L126" s="42" t="str">
        <f t="shared" si="101"/>
        <v>Vertical</v>
      </c>
      <c r="M126" s="1029">
        <f t="shared" si="102"/>
        <v>0</v>
      </c>
      <c r="N126" s="1030" t="str">
        <f t="shared" si="103"/>
        <v>Main Roof</v>
      </c>
      <c r="P126" s="16"/>
      <c r="R126" s="35">
        <f t="shared" si="87"/>
        <v>1</v>
      </c>
      <c r="S126" s="35">
        <f t="shared" si="87"/>
        <v>3</v>
      </c>
      <c r="T126" s="287">
        <f t="shared" si="104"/>
        <v>6.001707317073171</v>
      </c>
      <c r="U126" s="287">
        <f t="shared" si="108"/>
        <v>0.97430000000000005</v>
      </c>
      <c r="V126" s="227" t="e">
        <f t="shared" ca="1" si="108"/>
        <v>#VALUE!</v>
      </c>
      <c r="W126" s="227" t="e">
        <f t="shared" ca="1" si="108"/>
        <v>#VALUE!</v>
      </c>
      <c r="X126" s="227" t="e">
        <f t="shared" ca="1" si="105"/>
        <v>#VALUE!</v>
      </c>
      <c r="Y126" s="6">
        <f t="shared" si="106"/>
        <v>2.2083483085563667</v>
      </c>
      <c r="Z126" s="32">
        <f t="shared" si="89"/>
        <v>1.6768292682926829</v>
      </c>
      <c r="AA126" s="32" t="e">
        <f t="shared" si="89"/>
        <v>#VALUE!</v>
      </c>
      <c r="AB126" s="42" t="e">
        <f t="shared" si="107"/>
        <v>#VALUE!</v>
      </c>
      <c r="AC126" s="6" t="e">
        <f t="shared" si="109"/>
        <v>#N/A</v>
      </c>
      <c r="AD126" s="6" t="e">
        <f t="shared" si="109"/>
        <v>#N/A</v>
      </c>
      <c r="AE126" s="6" t="e">
        <f t="shared" si="109"/>
        <v>#N/A</v>
      </c>
      <c r="AF126" s="6" t="e">
        <f t="shared" si="109"/>
        <v>#N/A</v>
      </c>
      <c r="AG126" s="44" t="e">
        <f t="shared" si="110"/>
        <v>#N/A</v>
      </c>
      <c r="AH126" s="36" t="e">
        <f t="shared" si="110"/>
        <v>#N/A</v>
      </c>
      <c r="AI126" s="36" t="e">
        <f t="shared" si="110"/>
        <v>#VALUE!</v>
      </c>
    </row>
    <row r="127" spans="2:35">
      <c r="B127" s="42" t="str">
        <f t="shared" si="92"/>
        <v>AG</v>
      </c>
      <c r="C127" s="270"/>
      <c r="D127" s="16" t="str">
        <f t="shared" si="93"/>
        <v>Kitchen Exhaust 1</v>
      </c>
      <c r="E127" s="42" t="str">
        <f t="shared" si="94"/>
        <v>EF-7</v>
      </c>
      <c r="F127" s="1025">
        <f t="shared" si="95"/>
        <v>3.0487804878048781</v>
      </c>
      <c r="G127" s="1025">
        <f t="shared" si="96"/>
        <v>1.9308943089430894</v>
      </c>
      <c r="H127" s="1018" t="e">
        <f t="shared" si="97"/>
        <v>#VALUE!</v>
      </c>
      <c r="I127" s="1026" t="e">
        <f t="shared" si="98"/>
        <v>#VALUE!</v>
      </c>
      <c r="J127" s="1027">
        <f t="shared" si="99"/>
        <v>47.231008449287359</v>
      </c>
      <c r="K127" s="1028">
        <f t="shared" si="100"/>
        <v>16.129478726967303</v>
      </c>
      <c r="L127" s="42" t="str">
        <f t="shared" si="101"/>
        <v>Vertical</v>
      </c>
      <c r="M127" s="1029">
        <f t="shared" si="102"/>
        <v>0</v>
      </c>
      <c r="N127" s="1030" t="str">
        <f t="shared" si="103"/>
        <v>Main Roof</v>
      </c>
      <c r="P127" s="16"/>
      <c r="R127" s="35">
        <f t="shared" si="87"/>
        <v>1</v>
      </c>
      <c r="S127" s="35">
        <f t="shared" si="87"/>
        <v>3</v>
      </c>
      <c r="T127" s="287">
        <f t="shared" si="104"/>
        <v>6.001707317073171</v>
      </c>
      <c r="U127" s="287">
        <f t="shared" si="108"/>
        <v>0.97430000000000005</v>
      </c>
      <c r="V127" s="227" t="e">
        <f t="shared" ca="1" si="108"/>
        <v>#VALUE!</v>
      </c>
      <c r="W127" s="227" t="e">
        <f t="shared" ca="1" si="108"/>
        <v>#VALUE!</v>
      </c>
      <c r="X127" s="227" t="e">
        <f t="shared" ca="1" si="105"/>
        <v>#VALUE!</v>
      </c>
      <c r="Y127" s="6">
        <f t="shared" si="106"/>
        <v>2.9282414669930148</v>
      </c>
      <c r="Z127" s="32">
        <f t="shared" si="89"/>
        <v>1.9308943089430894</v>
      </c>
      <c r="AA127" s="32" t="e">
        <f t="shared" si="89"/>
        <v>#VALUE!</v>
      </c>
      <c r="AB127" s="42" t="e">
        <f t="shared" si="107"/>
        <v>#VALUE!</v>
      </c>
      <c r="AC127" s="6" t="e">
        <f t="shared" si="109"/>
        <v>#N/A</v>
      </c>
      <c r="AD127" s="6" t="e">
        <f t="shared" si="109"/>
        <v>#N/A</v>
      </c>
      <c r="AE127" s="6" t="e">
        <f t="shared" si="109"/>
        <v>#N/A</v>
      </c>
      <c r="AF127" s="6" t="e">
        <f t="shared" si="109"/>
        <v>#N/A</v>
      </c>
      <c r="AG127" s="44" t="e">
        <f t="shared" si="110"/>
        <v>#N/A</v>
      </c>
      <c r="AH127" s="36" t="e">
        <f t="shared" si="110"/>
        <v>#N/A</v>
      </c>
      <c r="AI127" s="36" t="e">
        <f t="shared" si="110"/>
        <v>#VALUE!</v>
      </c>
    </row>
    <row r="128" spans="2:35">
      <c r="B128" s="42" t="str">
        <f t="shared" si="92"/>
        <v>AH</v>
      </c>
      <c r="C128" s="270"/>
      <c r="D128" s="16" t="str">
        <f t="shared" si="93"/>
        <v>Kitchen Exhaust 2</v>
      </c>
      <c r="E128" s="42" t="str">
        <f t="shared" si="94"/>
        <v>EF-8</v>
      </c>
      <c r="F128" s="1025">
        <f t="shared" si="95"/>
        <v>3.0487804878048781</v>
      </c>
      <c r="G128" s="1025">
        <f t="shared" si="96"/>
        <v>2.7947154471544717</v>
      </c>
      <c r="H128" s="1018" t="e">
        <f t="shared" si="97"/>
        <v>#VALUE!</v>
      </c>
      <c r="I128" s="1026" t="e">
        <f t="shared" si="98"/>
        <v>#VALUE!</v>
      </c>
      <c r="J128" s="1027">
        <f t="shared" si="99"/>
        <v>94.462016898574717</v>
      </c>
      <c r="K128" s="1028">
        <f t="shared" si="100"/>
        <v>15.398986632555891</v>
      </c>
      <c r="L128" s="42" t="str">
        <f t="shared" si="101"/>
        <v>Vertical</v>
      </c>
      <c r="M128" s="1029">
        <f t="shared" si="102"/>
        <v>0</v>
      </c>
      <c r="N128" s="1030" t="str">
        <f t="shared" si="103"/>
        <v>Main Roof</v>
      </c>
      <c r="P128" s="16"/>
      <c r="R128" s="35">
        <f t="shared" si="87"/>
        <v>1</v>
      </c>
      <c r="S128" s="35">
        <f t="shared" si="87"/>
        <v>3</v>
      </c>
      <c r="T128" s="287">
        <f t="shared" si="104"/>
        <v>6.001707317073171</v>
      </c>
      <c r="U128" s="287">
        <f t="shared" si="108"/>
        <v>0.97430000000000005</v>
      </c>
      <c r="V128" s="227" t="e">
        <f t="shared" ca="1" si="108"/>
        <v>#VALUE!</v>
      </c>
      <c r="W128" s="227" t="e">
        <f t="shared" ca="1" si="108"/>
        <v>#VALUE!</v>
      </c>
      <c r="X128" s="227" t="e">
        <f t="shared" ca="1" si="105"/>
        <v>#VALUE!</v>
      </c>
      <c r="Y128" s="6">
        <f t="shared" si="106"/>
        <v>6.1343008571010182</v>
      </c>
      <c r="Z128" s="32">
        <f t="shared" si="89"/>
        <v>2.7947154471544717</v>
      </c>
      <c r="AA128" s="32" t="e">
        <f t="shared" si="89"/>
        <v>#VALUE!</v>
      </c>
      <c r="AB128" s="42" t="e">
        <f t="shared" si="107"/>
        <v>#VALUE!</v>
      </c>
      <c r="AC128" s="6" t="e">
        <f t="shared" si="109"/>
        <v>#N/A</v>
      </c>
      <c r="AD128" s="6" t="e">
        <f t="shared" si="109"/>
        <v>#N/A</v>
      </c>
      <c r="AE128" s="6" t="e">
        <f t="shared" si="109"/>
        <v>#N/A</v>
      </c>
      <c r="AF128" s="6" t="e">
        <f t="shared" si="109"/>
        <v>#N/A</v>
      </c>
      <c r="AG128" s="44" t="e">
        <f t="shared" si="110"/>
        <v>#N/A</v>
      </c>
      <c r="AH128" s="36" t="e">
        <f t="shared" si="110"/>
        <v>#N/A</v>
      </c>
      <c r="AI128" s="36" t="e">
        <f t="shared" si="110"/>
        <v>#VALUE!</v>
      </c>
    </row>
    <row r="129" spans="2:35">
      <c r="B129" s="42" t="str">
        <f t="shared" si="92"/>
        <v>AI</v>
      </c>
      <c r="C129" s="270"/>
      <c r="D129" s="16" t="str">
        <f t="shared" si="93"/>
        <v>Biological Safety Cabinet 1</v>
      </c>
      <c r="E129" s="42" t="str">
        <f t="shared" si="94"/>
        <v>EF-9</v>
      </c>
      <c r="F129" s="1025">
        <f t="shared" si="95"/>
        <v>3.0487804878048781</v>
      </c>
      <c r="G129" s="1025">
        <f t="shared" si="96"/>
        <v>4.0650406504065044</v>
      </c>
      <c r="H129" s="1018" t="e">
        <f t="shared" si="97"/>
        <v>#VALUE!</v>
      </c>
      <c r="I129" s="1026" t="e">
        <f t="shared" si="98"/>
        <v>#VALUE!</v>
      </c>
      <c r="J129" s="1027">
        <f t="shared" si="99"/>
        <v>188.92403379714943</v>
      </c>
      <c r="K129" s="1028">
        <f t="shared" si="100"/>
        <v>14.556854551087987</v>
      </c>
      <c r="L129" s="42" t="str">
        <f t="shared" si="101"/>
        <v>Vertical</v>
      </c>
      <c r="M129" s="1029">
        <f t="shared" si="102"/>
        <v>0</v>
      </c>
      <c r="N129" s="1030" t="str">
        <f t="shared" si="103"/>
        <v>Main Roof</v>
      </c>
      <c r="P129" s="16"/>
      <c r="R129" s="35">
        <f t="shared" si="87"/>
        <v>1</v>
      </c>
      <c r="S129" s="35">
        <f t="shared" si="87"/>
        <v>3</v>
      </c>
      <c r="T129" s="287">
        <f t="shared" si="104"/>
        <v>6.001707317073171</v>
      </c>
      <c r="U129" s="287">
        <f t="shared" ref="U129:W130" si="111">U31</f>
        <v>0.97430000000000005</v>
      </c>
      <c r="V129" s="227" t="e">
        <f t="shared" ca="1" si="111"/>
        <v>#VALUE!</v>
      </c>
      <c r="W129" s="227" t="e">
        <f t="shared" ca="1" si="111"/>
        <v>#VALUE!</v>
      </c>
      <c r="X129" s="227" t="e">
        <f t="shared" ca="1" si="105"/>
        <v>#VALUE!</v>
      </c>
      <c r="Y129" s="6">
        <f t="shared" si="106"/>
        <v>12.978355532379014</v>
      </c>
      <c r="Z129" s="32">
        <f t="shared" si="89"/>
        <v>4.0650406504065044</v>
      </c>
      <c r="AA129" s="32" t="e">
        <f t="shared" si="89"/>
        <v>#VALUE!</v>
      </c>
      <c r="AB129" s="42" t="e">
        <f t="shared" si="107"/>
        <v>#VALUE!</v>
      </c>
      <c r="AC129" s="6" t="e">
        <f t="shared" ref="AC129:AF130" si="112">AC31/(3.28^2)</f>
        <v>#N/A</v>
      </c>
      <c r="AD129" s="6" t="e">
        <f t="shared" si="112"/>
        <v>#N/A</v>
      </c>
      <c r="AE129" s="6" t="e">
        <f t="shared" si="112"/>
        <v>#N/A</v>
      </c>
      <c r="AF129" s="6" t="e">
        <f t="shared" si="112"/>
        <v>#N/A</v>
      </c>
      <c r="AG129" s="44" t="e">
        <f t="shared" ref="AG129:AI130" si="113">AG31</f>
        <v>#N/A</v>
      </c>
      <c r="AH129" s="36" t="e">
        <f t="shared" si="113"/>
        <v>#N/A</v>
      </c>
      <c r="AI129" s="36" t="e">
        <f t="shared" si="113"/>
        <v>#VALUE!</v>
      </c>
    </row>
    <row r="130" spans="2:35">
      <c r="B130" s="42" t="str">
        <f t="shared" si="92"/>
        <v>AJ</v>
      </c>
      <c r="C130" s="270"/>
      <c r="D130" s="16" t="str">
        <f t="shared" si="93"/>
        <v>Biological Safety Cabinet 2</v>
      </c>
      <c r="E130" s="42" t="str">
        <f t="shared" si="94"/>
        <v>BSL3-2</v>
      </c>
      <c r="F130" s="1025">
        <f t="shared" si="95"/>
        <v>3.0487804878048781</v>
      </c>
      <c r="G130" s="1025">
        <f t="shared" si="96"/>
        <v>0.62804878048780488</v>
      </c>
      <c r="H130" s="1018" t="e">
        <f t="shared" si="97"/>
        <v>#VALUE!</v>
      </c>
      <c r="I130" s="1026" t="e">
        <f t="shared" si="98"/>
        <v>#VALUE!</v>
      </c>
      <c r="J130" s="1027">
        <f t="shared" si="99"/>
        <v>4.7231008449287364</v>
      </c>
      <c r="K130" s="1028">
        <f t="shared" si="100"/>
        <v>15.245812833011794</v>
      </c>
      <c r="L130" s="42" t="str">
        <f t="shared" si="101"/>
        <v>Vertical</v>
      </c>
      <c r="M130" s="1029">
        <f t="shared" si="102"/>
        <v>0</v>
      </c>
      <c r="N130" s="1030" t="str">
        <f t="shared" si="103"/>
        <v>Main Roof</v>
      </c>
      <c r="P130" s="16"/>
      <c r="R130" s="35">
        <f t="shared" si="87"/>
        <v>1</v>
      </c>
      <c r="S130" s="35">
        <f t="shared" si="87"/>
        <v>3</v>
      </c>
      <c r="T130" s="287">
        <f t="shared" si="104"/>
        <v>6.001707317073171</v>
      </c>
      <c r="U130" s="287">
        <f t="shared" si="111"/>
        <v>0.97430000000000005</v>
      </c>
      <c r="V130" s="227" t="e">
        <f t="shared" ca="1" si="111"/>
        <v>#VALUE!</v>
      </c>
      <c r="W130" s="227" t="e">
        <f t="shared" ca="1" si="111"/>
        <v>#VALUE!</v>
      </c>
      <c r="X130" s="227" t="e">
        <f t="shared" ca="1" si="105"/>
        <v>#VALUE!</v>
      </c>
      <c r="Y130" s="6">
        <f t="shared" si="106"/>
        <v>0.30979659114677016</v>
      </c>
      <c r="Z130" s="32">
        <f t="shared" si="89"/>
        <v>0.62804878048780488</v>
      </c>
      <c r="AA130" s="32" t="e">
        <f t="shared" si="89"/>
        <v>#VALUE!</v>
      </c>
      <c r="AB130" s="42" t="e">
        <f t="shared" si="107"/>
        <v>#VALUE!</v>
      </c>
      <c r="AC130" s="6" t="e">
        <f t="shared" si="112"/>
        <v>#N/A</v>
      </c>
      <c r="AD130" s="6" t="e">
        <f t="shared" si="112"/>
        <v>#N/A</v>
      </c>
      <c r="AE130" s="6" t="e">
        <f t="shared" si="112"/>
        <v>#N/A</v>
      </c>
      <c r="AF130" s="6" t="e">
        <f t="shared" si="112"/>
        <v>#N/A</v>
      </c>
      <c r="AG130" s="44" t="e">
        <f t="shared" si="113"/>
        <v>#N/A</v>
      </c>
      <c r="AH130" s="36" t="e">
        <f t="shared" si="113"/>
        <v>#N/A</v>
      </c>
      <c r="AI130" s="36" t="e">
        <f t="shared" si="113"/>
        <v>#VALUE!</v>
      </c>
    </row>
    <row r="131" spans="2:35">
      <c r="B131" s="42" t="str">
        <f t="shared" si="92"/>
        <v>AK</v>
      </c>
      <c r="C131" s="270"/>
      <c r="D131" s="16" t="str">
        <f t="shared" si="93"/>
        <v>400 hp Diesel Truck</v>
      </c>
      <c r="E131" s="42" t="str">
        <f t="shared" si="94"/>
        <v>DT</v>
      </c>
      <c r="F131" s="1025">
        <f t="shared" si="95"/>
        <v>3.0487804878048781</v>
      </c>
      <c r="G131" s="1025">
        <f t="shared" si="96"/>
        <v>0.1524390243902439</v>
      </c>
      <c r="H131" s="1018">
        <f t="shared" si="97"/>
        <v>422.03888888888889</v>
      </c>
      <c r="I131" s="1026">
        <f t="shared" si="98"/>
        <v>8.0335675948211296E-2</v>
      </c>
      <c r="J131" s="1027">
        <f t="shared" si="99"/>
        <v>9.4462016898574724E-2</v>
      </c>
      <c r="K131" s="1028">
        <f t="shared" si="100"/>
        <v>5.1757705070535076</v>
      </c>
      <c r="L131" s="42" t="str">
        <f t="shared" si="101"/>
        <v>Vertical</v>
      </c>
      <c r="M131" s="1029">
        <f t="shared" si="102"/>
        <v>0</v>
      </c>
      <c r="N131" s="1030" t="str">
        <f t="shared" si="103"/>
        <v>Local Grade</v>
      </c>
      <c r="P131" s="16"/>
      <c r="R131" s="35">
        <f t="shared" si="87"/>
        <v>1</v>
      </c>
      <c r="S131" s="35">
        <f t="shared" si="87"/>
        <v>3</v>
      </c>
      <c r="T131" s="287">
        <f t="shared" si="104"/>
        <v>6.001707317073171</v>
      </c>
      <c r="U131" s="287">
        <f t="shared" ref="U131:W132" si="114">U33</f>
        <v>0.97430000000000005</v>
      </c>
      <c r="V131" s="227" t="e">
        <f t="shared" ca="1" si="114"/>
        <v>#VALUE!</v>
      </c>
      <c r="W131" s="227" t="e">
        <f t="shared" ca="1" si="114"/>
        <v>#VALUE!</v>
      </c>
      <c r="X131" s="227" t="e">
        <f t="shared" ca="1" si="105"/>
        <v>#VALUE!</v>
      </c>
      <c r="Y131" s="6">
        <f t="shared" si="106"/>
        <v>1.8250812467407989E-2</v>
      </c>
      <c r="Z131" s="32">
        <f t="shared" si="89"/>
        <v>0.1524390243902439</v>
      </c>
      <c r="AA131" s="32" t="e">
        <f t="shared" si="89"/>
        <v>#VALUE!</v>
      </c>
      <c r="AB131" s="42" t="e">
        <f t="shared" si="107"/>
        <v>#VALUE!</v>
      </c>
      <c r="AC131" s="6" t="e">
        <f t="shared" ref="AC131:AF132" si="115">AC33/(3.28^2)</f>
        <v>#N/A</v>
      </c>
      <c r="AD131" s="6" t="e">
        <f t="shared" si="115"/>
        <v>#N/A</v>
      </c>
      <c r="AE131" s="6" t="e">
        <f t="shared" si="115"/>
        <v>#N/A</v>
      </c>
      <c r="AF131" s="6" t="e">
        <f t="shared" si="115"/>
        <v>#N/A</v>
      </c>
      <c r="AG131" s="44" t="e">
        <f t="shared" ref="AG131:AI132" si="116">AG33</f>
        <v>#N/A</v>
      </c>
      <c r="AH131" s="36" t="e">
        <f t="shared" si="116"/>
        <v>#N/A</v>
      </c>
      <c r="AI131" s="36" t="e">
        <f t="shared" si="116"/>
        <v>#VALUE!</v>
      </c>
    </row>
    <row r="132" spans="2:35">
      <c r="B132" s="42" t="str">
        <f t="shared" si="92"/>
        <v>AL</v>
      </c>
      <c r="C132" s="270"/>
      <c r="D132" s="16" t="str">
        <f t="shared" si="93"/>
        <v>1500 kW Diesel Generator</v>
      </c>
      <c r="E132" s="42" t="str">
        <f t="shared" si="94"/>
        <v>DG</v>
      </c>
      <c r="F132" s="1025">
        <f t="shared" si="95"/>
        <v>3.0487804878048781</v>
      </c>
      <c r="G132" s="1025">
        <f t="shared" si="96"/>
        <v>0.35569105691056913</v>
      </c>
      <c r="H132" s="1018">
        <f t="shared" si="97"/>
        <v>750.37222222222226</v>
      </c>
      <c r="I132" s="1026">
        <f t="shared" si="98"/>
        <v>2.9412490903570592</v>
      </c>
      <c r="J132" s="1027">
        <f t="shared" si="99"/>
        <v>6.1490049900127213</v>
      </c>
      <c r="K132" s="1028">
        <f t="shared" si="100"/>
        <v>61.882674089996577</v>
      </c>
      <c r="L132" s="42" t="str">
        <f t="shared" si="101"/>
        <v>Vertical</v>
      </c>
      <c r="M132" s="1029">
        <f t="shared" si="102"/>
        <v>0</v>
      </c>
      <c r="N132" s="1030" t="str">
        <f t="shared" si="103"/>
        <v>Local Grade</v>
      </c>
      <c r="P132" s="16"/>
      <c r="R132" s="35">
        <f t="shared" si="87"/>
        <v>1</v>
      </c>
      <c r="S132" s="35">
        <f t="shared" si="87"/>
        <v>3</v>
      </c>
      <c r="T132" s="287">
        <f t="shared" si="104"/>
        <v>6.001707317073171</v>
      </c>
      <c r="U132" s="287">
        <f t="shared" si="114"/>
        <v>0.97430000000000005</v>
      </c>
      <c r="V132" s="227" t="e">
        <f t="shared" ca="1" si="114"/>
        <v>#VALUE!</v>
      </c>
      <c r="W132" s="227" t="e">
        <f t="shared" ca="1" si="114"/>
        <v>#VALUE!</v>
      </c>
      <c r="X132" s="227" t="e">
        <f t="shared" ca="1" si="105"/>
        <v>#VALUE!</v>
      </c>
      <c r="Y132" s="6">
        <f t="shared" si="106"/>
        <v>9.936553454477684E-2</v>
      </c>
      <c r="Z132" s="32">
        <f t="shared" si="89"/>
        <v>0.35569105691056913</v>
      </c>
      <c r="AA132" s="32" t="e">
        <f t="shared" si="89"/>
        <v>#VALUE!</v>
      </c>
      <c r="AB132" s="42" t="e">
        <f t="shared" si="107"/>
        <v>#VALUE!</v>
      </c>
      <c r="AC132" s="6" t="e">
        <f t="shared" si="115"/>
        <v>#N/A</v>
      </c>
      <c r="AD132" s="6" t="e">
        <f t="shared" si="115"/>
        <v>#N/A</v>
      </c>
      <c r="AE132" s="6" t="e">
        <f t="shared" si="115"/>
        <v>#N/A</v>
      </c>
      <c r="AF132" s="6" t="e">
        <f t="shared" si="115"/>
        <v>#N/A</v>
      </c>
      <c r="AG132" s="44" t="e">
        <f t="shared" si="116"/>
        <v>#N/A</v>
      </c>
      <c r="AH132" s="36" t="e">
        <f t="shared" si="116"/>
        <v>#N/A</v>
      </c>
      <c r="AI132" s="36" t="e">
        <f t="shared" si="116"/>
        <v>#VALUE!</v>
      </c>
    </row>
    <row r="133" spans="2:35">
      <c r="B133" s="16"/>
      <c r="C133" s="1031"/>
      <c r="D133" s="16"/>
      <c r="E133" s="42"/>
      <c r="F133" s="1025"/>
      <c r="G133" s="1025"/>
      <c r="H133" s="1018"/>
      <c r="I133" s="1026"/>
      <c r="J133" s="1027"/>
      <c r="K133" s="1028"/>
      <c r="L133" s="42"/>
      <c r="M133" s="1029"/>
      <c r="N133" s="1030"/>
      <c r="P133" s="16"/>
      <c r="R133" s="35"/>
      <c r="S133" s="35"/>
      <c r="T133" s="287"/>
      <c r="U133" s="287"/>
      <c r="V133" s="227"/>
      <c r="W133" s="227"/>
      <c r="X133" s="227"/>
      <c r="Y133" s="6"/>
      <c r="Z133" s="32"/>
      <c r="AA133" s="32"/>
      <c r="AB133" s="42"/>
      <c r="AC133" s="6"/>
      <c r="AD133" s="6"/>
      <c r="AE133" s="6"/>
      <c r="AF133" s="6"/>
      <c r="AG133" s="44"/>
      <c r="AH133" s="36"/>
      <c r="AI133" s="36"/>
    </row>
    <row r="134" spans="2:35">
      <c r="B134" s="45" t="str">
        <f>C36</f>
        <v>Building 2</v>
      </c>
      <c r="C134" s="1023"/>
      <c r="D134" s="16"/>
      <c r="E134" s="42"/>
      <c r="F134" s="1025"/>
      <c r="G134" s="1025"/>
      <c r="H134" s="1018"/>
      <c r="I134" s="1026"/>
      <c r="J134" s="1027"/>
      <c r="K134" s="1028"/>
      <c r="L134" s="42"/>
      <c r="M134" s="1029"/>
      <c r="N134" s="1030"/>
      <c r="P134" s="16"/>
      <c r="R134" s="35"/>
      <c r="S134" s="35"/>
      <c r="T134" s="287"/>
      <c r="U134" s="287"/>
      <c r="V134" s="227"/>
      <c r="W134" s="227"/>
      <c r="X134" s="227"/>
      <c r="Y134" s="6"/>
      <c r="Z134" s="32"/>
      <c r="AA134" s="32"/>
      <c r="AB134" s="42"/>
      <c r="AC134" s="6"/>
      <c r="AD134" s="6"/>
      <c r="AE134" s="6"/>
      <c r="AF134" s="6"/>
      <c r="AG134" s="44"/>
      <c r="AH134" s="36"/>
      <c r="AI134" s="36"/>
    </row>
    <row r="135" spans="2:35">
      <c r="B135" s="42" t="str">
        <f>$B37</f>
        <v>BA</v>
      </c>
      <c r="C135" s="270"/>
      <c r="D135" s="16" t="str">
        <f>$D37</f>
        <v>General Exhaust</v>
      </c>
      <c r="E135" s="42" t="str">
        <f>$E37</f>
        <v>B2 Gen-1</v>
      </c>
      <c r="F135" s="1025">
        <f>$F37/3.28</f>
        <v>3.0487804878048781</v>
      </c>
      <c r="G135" s="1025">
        <f>$G37/(12*3.28)</f>
        <v>1.0415396341463414</v>
      </c>
      <c r="H135" s="1018" t="e">
        <f>($H37-32)*(5/9)+273.15</f>
        <v>#VALUE!</v>
      </c>
      <c r="I135" s="1026" t="e">
        <f t="shared" ref="I135:I190" si="117">1.225*(293/$H135)*$J135</f>
        <v>#VALUE!</v>
      </c>
      <c r="J135" s="1027">
        <f>$J37/(60*3.28^3)</f>
        <v>12.988527323554024</v>
      </c>
      <c r="K135" s="1028">
        <f>$K37/(3.28*60)</f>
        <v>15.244684086420699</v>
      </c>
      <c r="L135" s="42" t="str">
        <f>$L37</f>
        <v>Vertical</v>
      </c>
      <c r="M135" s="1029">
        <f>M37/3.28</f>
        <v>0</v>
      </c>
      <c r="N135" s="1030" t="str">
        <f>$N37</f>
        <v>Main Roof</v>
      </c>
      <c r="P135" s="16"/>
      <c r="R135" s="35">
        <f t="shared" ref="R135:S148" si="118">R37</f>
        <v>1</v>
      </c>
      <c r="S135" s="35">
        <f t="shared" si="118"/>
        <v>3</v>
      </c>
      <c r="T135" s="287">
        <f>T37*(5280/3.28)*(1/3600)</f>
        <v>6.001707317073171</v>
      </c>
      <c r="U135" s="287">
        <f t="shared" ref="U135:W148" si="119">U37</f>
        <v>0.97430000000000005</v>
      </c>
      <c r="V135" s="227" t="e">
        <f t="shared" ca="1" si="119"/>
        <v>#VALUE!</v>
      </c>
      <c r="W135" s="227" t="e">
        <f t="shared" ca="1" si="119"/>
        <v>#VALUE!</v>
      </c>
      <c r="X135" s="227" t="e">
        <f t="shared" ref="X135:X190" ca="1" si="120">W135</f>
        <v>#VALUE!</v>
      </c>
      <c r="Y135" s="6">
        <f>Y37/(3.28^2)</f>
        <v>0.8520037050242083</v>
      </c>
      <c r="Z135" s="32">
        <f t="shared" ref="Z135:AA148" si="121">Z37/(3.28*12)</f>
        <v>1.0415396341463414</v>
      </c>
      <c r="AA135" s="32" t="e">
        <f t="shared" si="121"/>
        <v>#VALUE!</v>
      </c>
      <c r="AB135" s="42" t="e">
        <f>AB37</f>
        <v>#VALUE!</v>
      </c>
      <c r="AC135" s="6" t="e">
        <f t="shared" ref="AC135:AF148" si="122">AC37/(3.28^2)</f>
        <v>#N/A</v>
      </c>
      <c r="AD135" s="6" t="e">
        <f t="shared" si="122"/>
        <v>#N/A</v>
      </c>
      <c r="AE135" s="6" t="e">
        <f t="shared" si="122"/>
        <v>#N/A</v>
      </c>
      <c r="AF135" s="6" t="e">
        <f t="shared" si="122"/>
        <v>#N/A</v>
      </c>
      <c r="AG135" s="44" t="e">
        <f t="shared" ref="AG135:AI148" si="123">AG37</f>
        <v>#N/A</v>
      </c>
      <c r="AH135" s="36" t="e">
        <f t="shared" si="123"/>
        <v>#N/A</v>
      </c>
      <c r="AI135" s="36" t="e">
        <f t="shared" si="123"/>
        <v>#VALUE!</v>
      </c>
    </row>
    <row r="136" spans="2:35">
      <c r="B136" s="42" t="str">
        <f>$B38</f>
        <v>BB</v>
      </c>
      <c r="C136" s="270"/>
      <c r="D136" s="16" t="str">
        <f>$D38</f>
        <v>General Exhaust</v>
      </c>
      <c r="E136" s="42" t="str">
        <f>$E38</f>
        <v>B2 Gen-2</v>
      </c>
      <c r="F136" s="1025">
        <f>$F38/3.28</f>
        <v>3.0487804878048781</v>
      </c>
      <c r="G136" s="1025">
        <f>$G38/(12*3.28)</f>
        <v>1.0415396341463414</v>
      </c>
      <c r="H136" s="1018" t="e">
        <f>($H38-32)*(5/9)+273.15</f>
        <v>#VALUE!</v>
      </c>
      <c r="I136" s="1026" t="e">
        <f t="shared" si="117"/>
        <v>#VALUE!</v>
      </c>
      <c r="J136" s="1027">
        <f>$J38/(60*3.28^3)</f>
        <v>12.988527323554024</v>
      </c>
      <c r="K136" s="1028">
        <f>$K38/(3.28*60)</f>
        <v>15.244684086420699</v>
      </c>
      <c r="L136" s="42" t="str">
        <f>$L38</f>
        <v>Vertical</v>
      </c>
      <c r="M136" s="1029">
        <f>M38/3.28</f>
        <v>0</v>
      </c>
      <c r="N136" s="1030" t="str">
        <f>$N38</f>
        <v>Main Roof</v>
      </c>
      <c r="P136" s="16"/>
      <c r="R136" s="35">
        <f t="shared" si="118"/>
        <v>1</v>
      </c>
      <c r="S136" s="35">
        <f t="shared" si="118"/>
        <v>3</v>
      </c>
      <c r="T136" s="287">
        <f>T38*(5280/3.28)*(1/3600)</f>
        <v>6.001707317073171</v>
      </c>
      <c r="U136" s="287">
        <f t="shared" si="119"/>
        <v>0.97430000000000005</v>
      </c>
      <c r="V136" s="227" t="e">
        <f t="shared" ca="1" si="119"/>
        <v>#VALUE!</v>
      </c>
      <c r="W136" s="227" t="e">
        <f t="shared" ca="1" si="119"/>
        <v>#VALUE!</v>
      </c>
      <c r="X136" s="227" t="e">
        <f t="shared" ca="1" si="120"/>
        <v>#VALUE!</v>
      </c>
      <c r="Y136" s="6">
        <f>Y38/(3.28^2)</f>
        <v>0.8520037050242083</v>
      </c>
      <c r="Z136" s="32">
        <f t="shared" si="121"/>
        <v>1.0415396341463414</v>
      </c>
      <c r="AA136" s="32" t="e">
        <f t="shared" si="121"/>
        <v>#VALUE!</v>
      </c>
      <c r="AB136" s="42" t="e">
        <f>AB38</f>
        <v>#VALUE!</v>
      </c>
      <c r="AC136" s="6" t="e">
        <f t="shared" si="122"/>
        <v>#N/A</v>
      </c>
      <c r="AD136" s="6" t="e">
        <f t="shared" si="122"/>
        <v>#N/A</v>
      </c>
      <c r="AE136" s="6" t="e">
        <f t="shared" si="122"/>
        <v>#N/A</v>
      </c>
      <c r="AF136" s="6" t="e">
        <f t="shared" si="122"/>
        <v>#N/A</v>
      </c>
      <c r="AG136" s="44" t="e">
        <f t="shared" si="123"/>
        <v>#N/A</v>
      </c>
      <c r="AH136" s="36" t="e">
        <f t="shared" si="123"/>
        <v>#N/A</v>
      </c>
      <c r="AI136" s="36" t="e">
        <f t="shared" si="123"/>
        <v>#VALUE!</v>
      </c>
    </row>
    <row r="137" spans="2:35">
      <c r="B137" s="42" t="str">
        <f>$B39</f>
        <v>BC</v>
      </c>
      <c r="C137" s="270"/>
      <c r="D137" s="16" t="str">
        <f>$D39</f>
        <v>Fume Hood Exhaust 1</v>
      </c>
      <c r="E137" s="42" t="str">
        <f>$E39</f>
        <v>B2 FE-1</v>
      </c>
      <c r="F137" s="1025">
        <f>$F39/3.28</f>
        <v>3.0487804878048781</v>
      </c>
      <c r="G137" s="1025">
        <f>$G39/(12*3.28)</f>
        <v>0.76930894308943099</v>
      </c>
      <c r="H137" s="1018" t="e">
        <f>($H39-32)*(5/9)+273.15</f>
        <v>#VALUE!</v>
      </c>
      <c r="I137" s="1026" t="e">
        <f t="shared" si="117"/>
        <v>#VALUE!</v>
      </c>
      <c r="J137" s="1027">
        <f>$J39/(60*3.28^3)</f>
        <v>7.0846512673931041</v>
      </c>
      <c r="K137" s="1028">
        <f>$K39/(3.28*60)</f>
        <v>15.241476262331481</v>
      </c>
      <c r="L137" s="42" t="str">
        <f>$L39</f>
        <v>Vertical</v>
      </c>
      <c r="M137" s="1029">
        <f>M39/3.28</f>
        <v>0</v>
      </c>
      <c r="N137" s="1030" t="str">
        <f>$N39</f>
        <v>Main Roof</v>
      </c>
      <c r="P137" s="16"/>
      <c r="R137" s="35">
        <f t="shared" si="118"/>
        <v>1</v>
      </c>
      <c r="S137" s="35">
        <f t="shared" si="118"/>
        <v>3</v>
      </c>
      <c r="T137" s="287">
        <f>T39*(5280/3.28)*(1/3600)</f>
        <v>6.001707317073171</v>
      </c>
      <c r="U137" s="287">
        <f t="shared" si="119"/>
        <v>0.97430000000000005</v>
      </c>
      <c r="V137" s="227" t="e">
        <f t="shared" ca="1" si="119"/>
        <v>#VALUE!</v>
      </c>
      <c r="W137" s="227" t="e">
        <f t="shared" ca="1" si="119"/>
        <v>#VALUE!</v>
      </c>
      <c r="X137" s="227" t="e">
        <f t="shared" ca="1" si="120"/>
        <v>#VALUE!</v>
      </c>
      <c r="Y137" s="6">
        <f>Y39/(3.28^2)</f>
        <v>0.46482710371714137</v>
      </c>
      <c r="Z137" s="32">
        <f t="shared" si="121"/>
        <v>0.76930894308943099</v>
      </c>
      <c r="AA137" s="32" t="e">
        <f t="shared" si="121"/>
        <v>#VALUE!</v>
      </c>
      <c r="AB137" s="42" t="e">
        <f>AB39</f>
        <v>#VALUE!</v>
      </c>
      <c r="AC137" s="6" t="e">
        <f t="shared" si="122"/>
        <v>#N/A</v>
      </c>
      <c r="AD137" s="6" t="e">
        <f t="shared" si="122"/>
        <v>#N/A</v>
      </c>
      <c r="AE137" s="6" t="e">
        <f t="shared" si="122"/>
        <v>#N/A</v>
      </c>
      <c r="AF137" s="6" t="e">
        <f t="shared" si="122"/>
        <v>#N/A</v>
      </c>
      <c r="AG137" s="44" t="e">
        <f t="shared" si="123"/>
        <v>#N/A</v>
      </c>
      <c r="AH137" s="36" t="e">
        <f t="shared" si="123"/>
        <v>#N/A</v>
      </c>
      <c r="AI137" s="36" t="e">
        <f t="shared" si="123"/>
        <v>#VALUE!</v>
      </c>
    </row>
    <row r="138" spans="2:35">
      <c r="B138" s="42" t="str">
        <f>$B40</f>
        <v>BD</v>
      </c>
      <c r="C138" s="270"/>
      <c r="D138" s="16" t="str">
        <f>$D40</f>
        <v>Fume Hood Exhaust 2</v>
      </c>
      <c r="E138" s="42" t="str">
        <f>$E40</f>
        <v>B2 FE-2</v>
      </c>
      <c r="F138" s="1025">
        <f>$F40/3.28</f>
        <v>3.0487804878048781</v>
      </c>
      <c r="G138" s="1025">
        <f>$G40/(12*3.28)</f>
        <v>0.76930894308943099</v>
      </c>
      <c r="H138" s="1018" t="e">
        <f>($H40-32)*(5/9)+273.15</f>
        <v>#VALUE!</v>
      </c>
      <c r="I138" s="1026" t="e">
        <f t="shared" si="117"/>
        <v>#VALUE!</v>
      </c>
      <c r="J138" s="1027">
        <f>$J40/(60*3.28^3)</f>
        <v>7.0846512673931041</v>
      </c>
      <c r="K138" s="1028">
        <f>$K40/(3.28*60)</f>
        <v>15.241476262331481</v>
      </c>
      <c r="L138" s="42" t="str">
        <f>$L40</f>
        <v>Vertical</v>
      </c>
      <c r="M138" s="1029">
        <f>M40/3.28</f>
        <v>0</v>
      </c>
      <c r="N138" s="1030" t="str">
        <f>$N40</f>
        <v>Main Roof</v>
      </c>
      <c r="P138" s="16"/>
      <c r="R138" s="35">
        <f t="shared" si="118"/>
        <v>1</v>
      </c>
      <c r="S138" s="35">
        <f t="shared" si="118"/>
        <v>3</v>
      </c>
      <c r="T138" s="287">
        <f>T40*(5280/3.28)*(1/3600)</f>
        <v>6.001707317073171</v>
      </c>
      <c r="U138" s="287">
        <f t="shared" si="119"/>
        <v>0.97430000000000005</v>
      </c>
      <c r="V138" s="227" t="e">
        <f t="shared" ca="1" si="119"/>
        <v>#VALUE!</v>
      </c>
      <c r="W138" s="227" t="e">
        <f t="shared" ca="1" si="119"/>
        <v>#VALUE!</v>
      </c>
      <c r="X138" s="227" t="e">
        <f t="shared" ca="1" si="120"/>
        <v>#VALUE!</v>
      </c>
      <c r="Y138" s="6">
        <f>Y40/(3.28^2)</f>
        <v>0.46482710371714137</v>
      </c>
      <c r="Z138" s="32">
        <f t="shared" si="121"/>
        <v>0.76930894308943099</v>
      </c>
      <c r="AA138" s="32" t="e">
        <f t="shared" si="121"/>
        <v>#VALUE!</v>
      </c>
      <c r="AB138" s="42" t="e">
        <f>AB40</f>
        <v>#VALUE!</v>
      </c>
      <c r="AC138" s="6" t="e">
        <f t="shared" si="122"/>
        <v>#N/A</v>
      </c>
      <c r="AD138" s="6" t="e">
        <f t="shared" si="122"/>
        <v>#N/A</v>
      </c>
      <c r="AE138" s="6" t="e">
        <f t="shared" si="122"/>
        <v>#N/A</v>
      </c>
      <c r="AF138" s="6" t="e">
        <f t="shared" si="122"/>
        <v>#N/A</v>
      </c>
      <c r="AG138" s="44" t="e">
        <f t="shared" si="123"/>
        <v>#N/A</v>
      </c>
      <c r="AH138" s="36" t="e">
        <f t="shared" si="123"/>
        <v>#N/A</v>
      </c>
      <c r="AI138" s="36" t="e">
        <f t="shared" si="123"/>
        <v>#VALUE!</v>
      </c>
    </row>
    <row r="139" spans="2:35">
      <c r="B139" s="42" t="str">
        <f>$B41</f>
        <v>BE</v>
      </c>
      <c r="C139" s="270"/>
      <c r="D139" s="16" t="str">
        <f>$D41</f>
        <v>Fume Hood Exhaust 3</v>
      </c>
      <c r="E139" s="42" t="str">
        <f>$E41</f>
        <v>B2 FE-3</v>
      </c>
      <c r="F139" s="1025">
        <f>$F41/3.28</f>
        <v>3.0487804878048781</v>
      </c>
      <c r="G139" s="1025">
        <f>$G41/(12*3.28)</f>
        <v>0.62804878048780488</v>
      </c>
      <c r="H139" s="1018" t="e">
        <f>($H41-32)*(5/9)+273.15</f>
        <v>#VALUE!</v>
      </c>
      <c r="I139" s="1026" t="e">
        <f t="shared" si="117"/>
        <v>#VALUE!</v>
      </c>
      <c r="J139" s="1027">
        <f>$J41/(60*3.28^3)</f>
        <v>4.7231008449287364</v>
      </c>
      <c r="K139" s="1028">
        <f>$K41/(3.28*60)</f>
        <v>15.245812833011794</v>
      </c>
      <c r="L139" s="42" t="str">
        <f>$L41</f>
        <v>Vertical</v>
      </c>
      <c r="M139" s="1029">
        <f>M41/3.28</f>
        <v>0</v>
      </c>
      <c r="N139" s="1030" t="str">
        <f>$N41</f>
        <v>Main Roof</v>
      </c>
      <c r="P139" s="16"/>
      <c r="R139" s="35">
        <f t="shared" si="118"/>
        <v>1</v>
      </c>
      <c r="S139" s="35">
        <f t="shared" si="118"/>
        <v>3</v>
      </c>
      <c r="T139" s="287">
        <f>T41*(5280/3.28)*(1/3600)</f>
        <v>6.001707317073171</v>
      </c>
      <c r="U139" s="287">
        <f t="shared" si="119"/>
        <v>0.97430000000000005</v>
      </c>
      <c r="V139" s="227" t="e">
        <f t="shared" ca="1" si="119"/>
        <v>#VALUE!</v>
      </c>
      <c r="W139" s="227" t="e">
        <f t="shared" ca="1" si="119"/>
        <v>#VALUE!</v>
      </c>
      <c r="X139" s="227" t="e">
        <f t="shared" ca="1" si="120"/>
        <v>#VALUE!</v>
      </c>
      <c r="Y139" s="6">
        <f>Y41/(3.28^2)</f>
        <v>0.30979659114677016</v>
      </c>
      <c r="Z139" s="32">
        <f t="shared" si="121"/>
        <v>0.62804878048780488</v>
      </c>
      <c r="AA139" s="32" t="e">
        <f t="shared" si="121"/>
        <v>#VALUE!</v>
      </c>
      <c r="AB139" s="42" t="e">
        <f>AB41</f>
        <v>#VALUE!</v>
      </c>
      <c r="AC139" s="6" t="e">
        <f t="shared" si="122"/>
        <v>#N/A</v>
      </c>
      <c r="AD139" s="6" t="e">
        <f t="shared" si="122"/>
        <v>#N/A</v>
      </c>
      <c r="AE139" s="6" t="e">
        <f t="shared" si="122"/>
        <v>#N/A</v>
      </c>
      <c r="AF139" s="6" t="e">
        <f t="shared" si="122"/>
        <v>#N/A</v>
      </c>
      <c r="AG139" s="44" t="e">
        <f t="shared" si="123"/>
        <v>#N/A</v>
      </c>
      <c r="AH139" s="36" t="e">
        <f t="shared" si="123"/>
        <v>#N/A</v>
      </c>
      <c r="AI139" s="36" t="e">
        <f t="shared" si="123"/>
        <v>#VALUE!</v>
      </c>
    </row>
    <row r="140" spans="2:35">
      <c r="B140" s="42" t="str">
        <f t="shared" ref="B140:B148" si="124">$B42</f>
        <v>BF</v>
      </c>
      <c r="C140" s="270"/>
      <c r="D140" s="16" t="str">
        <f t="shared" ref="D140:D148" si="125">$D42</f>
        <v>Vivarium Exhaust 1</v>
      </c>
      <c r="E140" s="42" t="str">
        <f t="shared" ref="E140:E148" si="126">$E42</f>
        <v>B2 Viv-1</v>
      </c>
      <c r="F140" s="1025">
        <f t="shared" ref="F140:F148" si="127">$F42/3.28</f>
        <v>3.0487804878048781</v>
      </c>
      <c r="G140" s="1025">
        <f t="shared" ref="G140:G148" si="128">$G42/(12*3.28)</f>
        <v>1.4729420731707317</v>
      </c>
      <c r="H140" s="1018" t="e">
        <f t="shared" ref="H140:H148" si="129">($H42-32)*(5/9)+273.15</f>
        <v>#VALUE!</v>
      </c>
      <c r="I140" s="1026" t="e">
        <f t="shared" si="117"/>
        <v>#VALUE!</v>
      </c>
      <c r="J140" s="1027">
        <f t="shared" ref="J140:J148" si="130">$J42/(60*3.28^3)</f>
        <v>25.977054647108048</v>
      </c>
      <c r="K140" s="1028">
        <f t="shared" ref="K140:K148" si="131">$K42/(3.28*60)</f>
        <v>15.245044328248792</v>
      </c>
      <c r="L140" s="42" t="str">
        <f t="shared" ref="L140:L148" si="132">$L42</f>
        <v>Vertical</v>
      </c>
      <c r="M140" s="1029">
        <f t="shared" ref="M140:M148" si="133">M42/3.28</f>
        <v>0</v>
      </c>
      <c r="N140" s="1030" t="str">
        <f t="shared" ref="N140:N148" si="134">$N42</f>
        <v>Main Roof</v>
      </c>
      <c r="P140" s="16"/>
      <c r="R140" s="35">
        <f t="shared" si="118"/>
        <v>1</v>
      </c>
      <c r="S140" s="35">
        <f t="shared" si="118"/>
        <v>3</v>
      </c>
      <c r="T140" s="287">
        <f t="shared" ref="T140:T148" si="135">T42*(5280/3.28)*(1/3600)</f>
        <v>6.001707317073171</v>
      </c>
      <c r="U140" s="287">
        <f t="shared" si="119"/>
        <v>0.97430000000000005</v>
      </c>
      <c r="V140" s="227" t="e">
        <f t="shared" ca="1" si="119"/>
        <v>#VALUE!</v>
      </c>
      <c r="W140" s="227" t="e">
        <f t="shared" ca="1" si="119"/>
        <v>#VALUE!</v>
      </c>
      <c r="X140" s="227" t="e">
        <f t="shared" ca="1" si="120"/>
        <v>#VALUE!</v>
      </c>
      <c r="Y140" s="6">
        <f t="shared" ref="Y140:Y148" si="136">Y42/(3.28^2)</f>
        <v>1.7039671441934108</v>
      </c>
      <c r="Z140" s="32">
        <f t="shared" si="121"/>
        <v>1.4729420731707317</v>
      </c>
      <c r="AA140" s="32" t="e">
        <f t="shared" si="121"/>
        <v>#VALUE!</v>
      </c>
      <c r="AB140" s="42" t="e">
        <f t="shared" ref="AB140:AB148" si="137">AB42</f>
        <v>#VALUE!</v>
      </c>
      <c r="AC140" s="6" t="e">
        <f t="shared" si="122"/>
        <v>#N/A</v>
      </c>
      <c r="AD140" s="6" t="e">
        <f t="shared" si="122"/>
        <v>#N/A</v>
      </c>
      <c r="AE140" s="6" t="e">
        <f t="shared" si="122"/>
        <v>#N/A</v>
      </c>
      <c r="AF140" s="6" t="e">
        <f t="shared" si="122"/>
        <v>#N/A</v>
      </c>
      <c r="AG140" s="44" t="e">
        <f t="shared" si="123"/>
        <v>#N/A</v>
      </c>
      <c r="AH140" s="36" t="e">
        <f t="shared" si="123"/>
        <v>#N/A</v>
      </c>
      <c r="AI140" s="36" t="e">
        <f t="shared" si="123"/>
        <v>#VALUE!</v>
      </c>
    </row>
    <row r="141" spans="2:35">
      <c r="B141" s="42" t="str">
        <f t="shared" si="124"/>
        <v>BG</v>
      </c>
      <c r="C141" s="270"/>
      <c r="D141" s="16" t="str">
        <f t="shared" si="125"/>
        <v>Vivarium Exhaust 2</v>
      </c>
      <c r="E141" s="42" t="str">
        <f t="shared" si="126"/>
        <v>B2 Viv-2</v>
      </c>
      <c r="F141" s="1025">
        <f t="shared" si="127"/>
        <v>3.0487804878048781</v>
      </c>
      <c r="G141" s="1025">
        <f t="shared" si="128"/>
        <v>1.4729420731707317</v>
      </c>
      <c r="H141" s="1018" t="e">
        <f t="shared" si="129"/>
        <v>#VALUE!</v>
      </c>
      <c r="I141" s="1026" t="e">
        <f t="shared" si="117"/>
        <v>#VALUE!</v>
      </c>
      <c r="J141" s="1027">
        <f t="shared" si="130"/>
        <v>25.977054647108048</v>
      </c>
      <c r="K141" s="1028">
        <f t="shared" si="131"/>
        <v>15.245044328248792</v>
      </c>
      <c r="L141" s="42" t="str">
        <f t="shared" si="132"/>
        <v>Vertical</v>
      </c>
      <c r="M141" s="1029">
        <f t="shared" si="133"/>
        <v>0</v>
      </c>
      <c r="N141" s="1030" t="str">
        <f t="shared" si="134"/>
        <v>Main Roof</v>
      </c>
      <c r="P141" s="16"/>
      <c r="R141" s="35">
        <f t="shared" si="118"/>
        <v>1</v>
      </c>
      <c r="S141" s="35">
        <f t="shared" si="118"/>
        <v>3</v>
      </c>
      <c r="T141" s="287">
        <f t="shared" si="135"/>
        <v>6.001707317073171</v>
      </c>
      <c r="U141" s="287">
        <f t="shared" si="119"/>
        <v>0.97430000000000005</v>
      </c>
      <c r="V141" s="227" t="e">
        <f t="shared" ca="1" si="119"/>
        <v>#VALUE!</v>
      </c>
      <c r="W141" s="227" t="e">
        <f t="shared" ca="1" si="119"/>
        <v>#VALUE!</v>
      </c>
      <c r="X141" s="227" t="e">
        <f t="shared" ca="1" si="120"/>
        <v>#VALUE!</v>
      </c>
      <c r="Y141" s="6">
        <f t="shared" si="136"/>
        <v>1.7039671441934108</v>
      </c>
      <c r="Z141" s="32">
        <f t="shared" si="121"/>
        <v>1.4729420731707317</v>
      </c>
      <c r="AA141" s="32" t="e">
        <f t="shared" si="121"/>
        <v>#VALUE!</v>
      </c>
      <c r="AB141" s="42" t="e">
        <f t="shared" si="137"/>
        <v>#VALUE!</v>
      </c>
      <c r="AC141" s="6" t="e">
        <f t="shared" si="122"/>
        <v>#N/A</v>
      </c>
      <c r="AD141" s="6" t="e">
        <f t="shared" si="122"/>
        <v>#N/A</v>
      </c>
      <c r="AE141" s="6" t="e">
        <f t="shared" si="122"/>
        <v>#N/A</v>
      </c>
      <c r="AF141" s="6" t="e">
        <f t="shared" si="122"/>
        <v>#N/A</v>
      </c>
      <c r="AG141" s="44" t="e">
        <f t="shared" si="123"/>
        <v>#N/A</v>
      </c>
      <c r="AH141" s="36" t="e">
        <f t="shared" si="123"/>
        <v>#N/A</v>
      </c>
      <c r="AI141" s="36" t="e">
        <f t="shared" si="123"/>
        <v>#VALUE!</v>
      </c>
    </row>
    <row r="142" spans="2:35">
      <c r="B142" s="42" t="str">
        <f t="shared" si="124"/>
        <v>BH</v>
      </c>
      <c r="C142" s="270"/>
      <c r="D142" s="16" t="str">
        <f t="shared" si="125"/>
        <v>Vivarium Exhaust 3</v>
      </c>
      <c r="E142" s="42" t="str">
        <f t="shared" si="126"/>
        <v>B2 Viv-3</v>
      </c>
      <c r="F142" s="1025">
        <f t="shared" si="127"/>
        <v>3.0487804878048781</v>
      </c>
      <c r="G142" s="1025">
        <f t="shared" si="128"/>
        <v>1.4729420731707317</v>
      </c>
      <c r="H142" s="1018" t="e">
        <f t="shared" si="129"/>
        <v>#VALUE!</v>
      </c>
      <c r="I142" s="1026" t="e">
        <f t="shared" si="117"/>
        <v>#VALUE!</v>
      </c>
      <c r="J142" s="1027">
        <f t="shared" si="130"/>
        <v>25.977054647108048</v>
      </c>
      <c r="K142" s="1028">
        <f t="shared" si="131"/>
        <v>15.245044328248792</v>
      </c>
      <c r="L142" s="42" t="str">
        <f t="shared" si="132"/>
        <v>Vertical</v>
      </c>
      <c r="M142" s="1029">
        <f t="shared" si="133"/>
        <v>0</v>
      </c>
      <c r="N142" s="1030" t="str">
        <f t="shared" si="134"/>
        <v>Main Roof</v>
      </c>
      <c r="P142" s="16"/>
      <c r="R142" s="35">
        <f t="shared" si="118"/>
        <v>1</v>
      </c>
      <c r="S142" s="35">
        <f t="shared" si="118"/>
        <v>3</v>
      </c>
      <c r="T142" s="287">
        <f t="shared" si="135"/>
        <v>6.001707317073171</v>
      </c>
      <c r="U142" s="287">
        <f t="shared" si="119"/>
        <v>0.97430000000000005</v>
      </c>
      <c r="V142" s="227" t="e">
        <f t="shared" ca="1" si="119"/>
        <v>#VALUE!</v>
      </c>
      <c r="W142" s="227" t="e">
        <f t="shared" ca="1" si="119"/>
        <v>#VALUE!</v>
      </c>
      <c r="X142" s="227" t="e">
        <f t="shared" ca="1" si="120"/>
        <v>#VALUE!</v>
      </c>
      <c r="Y142" s="6">
        <f t="shared" si="136"/>
        <v>1.7039671441934108</v>
      </c>
      <c r="Z142" s="32">
        <f t="shared" si="121"/>
        <v>1.4729420731707317</v>
      </c>
      <c r="AA142" s="32" t="e">
        <f t="shared" si="121"/>
        <v>#VALUE!</v>
      </c>
      <c r="AB142" s="42" t="e">
        <f t="shared" si="137"/>
        <v>#VALUE!</v>
      </c>
      <c r="AC142" s="6" t="e">
        <f t="shared" si="122"/>
        <v>#N/A</v>
      </c>
      <c r="AD142" s="6" t="e">
        <f t="shared" si="122"/>
        <v>#N/A</v>
      </c>
      <c r="AE142" s="6" t="e">
        <f t="shared" si="122"/>
        <v>#N/A</v>
      </c>
      <c r="AF142" s="6" t="e">
        <f t="shared" si="122"/>
        <v>#N/A</v>
      </c>
      <c r="AG142" s="44" t="e">
        <f t="shared" si="123"/>
        <v>#N/A</v>
      </c>
      <c r="AH142" s="36" t="e">
        <f t="shared" si="123"/>
        <v>#N/A</v>
      </c>
      <c r="AI142" s="36" t="e">
        <f t="shared" si="123"/>
        <v>#VALUE!</v>
      </c>
    </row>
    <row r="143" spans="2:35">
      <c r="B143" s="42" t="str">
        <f t="shared" si="124"/>
        <v>BI</v>
      </c>
      <c r="C143" s="270"/>
      <c r="D143" s="16" t="str">
        <f t="shared" si="125"/>
        <v>Kitchen Exhaust 1</v>
      </c>
      <c r="E143" s="42" t="str">
        <f t="shared" si="126"/>
        <v>B2 Kit-1</v>
      </c>
      <c r="F143" s="1025">
        <f t="shared" si="127"/>
        <v>3.0487804878048781</v>
      </c>
      <c r="G143" s="1025">
        <f t="shared" si="128"/>
        <v>0.99301321138211385</v>
      </c>
      <c r="H143" s="1018" t="e">
        <f t="shared" si="129"/>
        <v>#VALUE!</v>
      </c>
      <c r="I143" s="1026" t="e">
        <f t="shared" si="117"/>
        <v>#VALUE!</v>
      </c>
      <c r="J143" s="1027">
        <f t="shared" si="130"/>
        <v>11.80775211232184</v>
      </c>
      <c r="K143" s="1028">
        <f t="shared" si="131"/>
        <v>15.246399407255073</v>
      </c>
      <c r="L143" s="42" t="str">
        <f t="shared" si="132"/>
        <v>Vertical</v>
      </c>
      <c r="M143" s="1029">
        <f t="shared" si="133"/>
        <v>0</v>
      </c>
      <c r="N143" s="1030" t="str">
        <f t="shared" si="134"/>
        <v>Main Roof</v>
      </c>
      <c r="P143" s="16"/>
      <c r="R143" s="35">
        <f t="shared" si="118"/>
        <v>1</v>
      </c>
      <c r="S143" s="35">
        <f t="shared" si="118"/>
        <v>3</v>
      </c>
      <c r="T143" s="287">
        <f t="shared" si="135"/>
        <v>6.001707317073171</v>
      </c>
      <c r="U143" s="287">
        <f t="shared" si="119"/>
        <v>0.97430000000000005</v>
      </c>
      <c r="V143" s="227" t="e">
        <f t="shared" ca="1" si="119"/>
        <v>#VALUE!</v>
      </c>
      <c r="W143" s="227" t="e">
        <f t="shared" ca="1" si="119"/>
        <v>#VALUE!</v>
      </c>
      <c r="X143" s="227" t="e">
        <f t="shared" ca="1" si="120"/>
        <v>#VALUE!</v>
      </c>
      <c r="Y143" s="6">
        <f t="shared" si="136"/>
        <v>0.7744616808807373</v>
      </c>
      <c r="Z143" s="32">
        <f t="shared" si="121"/>
        <v>0.99301321138211385</v>
      </c>
      <c r="AA143" s="32" t="e">
        <f t="shared" si="121"/>
        <v>#VALUE!</v>
      </c>
      <c r="AB143" s="42" t="e">
        <f t="shared" si="137"/>
        <v>#VALUE!</v>
      </c>
      <c r="AC143" s="6" t="e">
        <f t="shared" si="122"/>
        <v>#N/A</v>
      </c>
      <c r="AD143" s="6" t="e">
        <f t="shared" si="122"/>
        <v>#N/A</v>
      </c>
      <c r="AE143" s="6" t="e">
        <f t="shared" si="122"/>
        <v>#N/A</v>
      </c>
      <c r="AF143" s="6" t="e">
        <f t="shared" si="122"/>
        <v>#N/A</v>
      </c>
      <c r="AG143" s="44" t="e">
        <f t="shared" si="123"/>
        <v>#N/A</v>
      </c>
      <c r="AH143" s="36" t="e">
        <f t="shared" si="123"/>
        <v>#N/A</v>
      </c>
      <c r="AI143" s="36" t="e">
        <f t="shared" si="123"/>
        <v>#VALUE!</v>
      </c>
    </row>
    <row r="144" spans="2:35">
      <c r="B144" s="42" t="str">
        <f t="shared" si="124"/>
        <v>BJ</v>
      </c>
      <c r="C144" s="270"/>
      <c r="D144" s="16" t="str">
        <f t="shared" si="125"/>
        <v>Kitchen Exhaust 2</v>
      </c>
      <c r="E144" s="42" t="str">
        <f t="shared" si="126"/>
        <v>B2 Kit-2</v>
      </c>
      <c r="F144" s="1025">
        <f t="shared" si="127"/>
        <v>3.0487804878048781</v>
      </c>
      <c r="G144" s="1025">
        <f t="shared" si="128"/>
        <v>0.99301321138211385</v>
      </c>
      <c r="H144" s="1018" t="e">
        <f t="shared" si="129"/>
        <v>#VALUE!</v>
      </c>
      <c r="I144" s="1026" t="e">
        <f t="shared" si="117"/>
        <v>#VALUE!</v>
      </c>
      <c r="J144" s="1027">
        <f t="shared" si="130"/>
        <v>11.80775211232184</v>
      </c>
      <c r="K144" s="1028">
        <f t="shared" si="131"/>
        <v>15.246399407255073</v>
      </c>
      <c r="L144" s="42" t="str">
        <f t="shared" si="132"/>
        <v>Vertical</v>
      </c>
      <c r="M144" s="1029">
        <f t="shared" si="133"/>
        <v>0</v>
      </c>
      <c r="N144" s="1030" t="str">
        <f t="shared" si="134"/>
        <v>Main Roof</v>
      </c>
      <c r="P144" s="16"/>
      <c r="R144" s="35">
        <f t="shared" si="118"/>
        <v>1</v>
      </c>
      <c r="S144" s="35">
        <f t="shared" si="118"/>
        <v>3</v>
      </c>
      <c r="T144" s="287">
        <f t="shared" si="135"/>
        <v>6.001707317073171</v>
      </c>
      <c r="U144" s="287">
        <f t="shared" si="119"/>
        <v>0.97430000000000005</v>
      </c>
      <c r="V144" s="227" t="e">
        <f t="shared" ca="1" si="119"/>
        <v>#VALUE!</v>
      </c>
      <c r="W144" s="227" t="e">
        <f t="shared" ca="1" si="119"/>
        <v>#VALUE!</v>
      </c>
      <c r="X144" s="227" t="e">
        <f t="shared" ca="1" si="120"/>
        <v>#VALUE!</v>
      </c>
      <c r="Y144" s="6">
        <f t="shared" si="136"/>
        <v>0.7744616808807373</v>
      </c>
      <c r="Z144" s="32">
        <f t="shared" si="121"/>
        <v>0.99301321138211385</v>
      </c>
      <c r="AA144" s="32" t="e">
        <f t="shared" si="121"/>
        <v>#VALUE!</v>
      </c>
      <c r="AB144" s="42" t="e">
        <f t="shared" si="137"/>
        <v>#VALUE!</v>
      </c>
      <c r="AC144" s="6" t="e">
        <f t="shared" si="122"/>
        <v>#N/A</v>
      </c>
      <c r="AD144" s="6" t="e">
        <f t="shared" si="122"/>
        <v>#N/A</v>
      </c>
      <c r="AE144" s="6" t="e">
        <f t="shared" si="122"/>
        <v>#N/A</v>
      </c>
      <c r="AF144" s="6" t="e">
        <f t="shared" si="122"/>
        <v>#N/A</v>
      </c>
      <c r="AG144" s="44" t="e">
        <f t="shared" si="123"/>
        <v>#N/A</v>
      </c>
      <c r="AH144" s="36" t="e">
        <f t="shared" si="123"/>
        <v>#N/A</v>
      </c>
      <c r="AI144" s="36" t="e">
        <f t="shared" si="123"/>
        <v>#VALUE!</v>
      </c>
    </row>
    <row r="145" spans="2:35">
      <c r="B145" s="42" t="str">
        <f t="shared" si="124"/>
        <v>BK</v>
      </c>
      <c r="C145" s="270"/>
      <c r="D145" s="16" t="str">
        <f t="shared" si="125"/>
        <v>Biological Safety Cabinet 1</v>
      </c>
      <c r="E145" s="42" t="str">
        <f t="shared" si="126"/>
        <v>B2 BSL3-1</v>
      </c>
      <c r="F145" s="1025">
        <f t="shared" si="127"/>
        <v>3.0487804878048781</v>
      </c>
      <c r="G145" s="1025">
        <f t="shared" si="128"/>
        <v>0.62804878048780488</v>
      </c>
      <c r="H145" s="1018" t="e">
        <f t="shared" si="129"/>
        <v>#VALUE!</v>
      </c>
      <c r="I145" s="1026" t="e">
        <f t="shared" si="117"/>
        <v>#VALUE!</v>
      </c>
      <c r="J145" s="1027">
        <f t="shared" si="130"/>
        <v>4.7231008449287364</v>
      </c>
      <c r="K145" s="1028">
        <f t="shared" si="131"/>
        <v>15.245812833011794</v>
      </c>
      <c r="L145" s="42" t="str">
        <f t="shared" si="132"/>
        <v>Vertical</v>
      </c>
      <c r="M145" s="1029">
        <f t="shared" si="133"/>
        <v>0</v>
      </c>
      <c r="N145" s="1030" t="str">
        <f t="shared" si="134"/>
        <v>Main Roof</v>
      </c>
      <c r="P145" s="16"/>
      <c r="R145" s="35">
        <f t="shared" si="118"/>
        <v>1</v>
      </c>
      <c r="S145" s="35">
        <f t="shared" si="118"/>
        <v>3</v>
      </c>
      <c r="T145" s="287">
        <f t="shared" si="135"/>
        <v>6.001707317073171</v>
      </c>
      <c r="U145" s="287">
        <f t="shared" si="119"/>
        <v>0.97430000000000005</v>
      </c>
      <c r="V145" s="227" t="e">
        <f t="shared" ca="1" si="119"/>
        <v>#VALUE!</v>
      </c>
      <c r="W145" s="227" t="e">
        <f t="shared" ca="1" si="119"/>
        <v>#VALUE!</v>
      </c>
      <c r="X145" s="227" t="e">
        <f t="shared" ca="1" si="120"/>
        <v>#VALUE!</v>
      </c>
      <c r="Y145" s="6">
        <f t="shared" si="136"/>
        <v>0.30979659114677016</v>
      </c>
      <c r="Z145" s="32">
        <f t="shared" si="121"/>
        <v>0.62804878048780488</v>
      </c>
      <c r="AA145" s="32" t="e">
        <f t="shared" si="121"/>
        <v>#VALUE!</v>
      </c>
      <c r="AB145" s="42" t="e">
        <f t="shared" si="137"/>
        <v>#VALUE!</v>
      </c>
      <c r="AC145" s="6" t="e">
        <f t="shared" si="122"/>
        <v>#N/A</v>
      </c>
      <c r="AD145" s="6" t="e">
        <f t="shared" si="122"/>
        <v>#N/A</v>
      </c>
      <c r="AE145" s="6" t="e">
        <f t="shared" si="122"/>
        <v>#N/A</v>
      </c>
      <c r="AF145" s="6" t="e">
        <f t="shared" si="122"/>
        <v>#N/A</v>
      </c>
      <c r="AG145" s="44" t="e">
        <f t="shared" si="123"/>
        <v>#N/A</v>
      </c>
      <c r="AH145" s="36" t="e">
        <f t="shared" si="123"/>
        <v>#N/A</v>
      </c>
      <c r="AI145" s="36" t="e">
        <f t="shared" si="123"/>
        <v>#VALUE!</v>
      </c>
    </row>
    <row r="146" spans="2:35">
      <c r="B146" s="42" t="str">
        <f t="shared" si="124"/>
        <v>BL</v>
      </c>
      <c r="C146" s="270"/>
      <c r="D146" s="16" t="str">
        <f t="shared" si="125"/>
        <v>Biological Safety Cabinet 2</v>
      </c>
      <c r="E146" s="42" t="str">
        <f t="shared" si="126"/>
        <v>B2 BSL3-2</v>
      </c>
      <c r="F146" s="1025">
        <f t="shared" si="127"/>
        <v>3.0487804878048781</v>
      </c>
      <c r="G146" s="1025">
        <f t="shared" si="128"/>
        <v>0.62804878048780488</v>
      </c>
      <c r="H146" s="1018" t="e">
        <f t="shared" si="129"/>
        <v>#VALUE!</v>
      </c>
      <c r="I146" s="1026" t="e">
        <f t="shared" si="117"/>
        <v>#VALUE!</v>
      </c>
      <c r="J146" s="1027">
        <f t="shared" si="130"/>
        <v>4.7231008449287364</v>
      </c>
      <c r="K146" s="1028">
        <f t="shared" si="131"/>
        <v>15.245812833011794</v>
      </c>
      <c r="L146" s="42" t="str">
        <f t="shared" si="132"/>
        <v>Vertical</v>
      </c>
      <c r="M146" s="1029">
        <f t="shared" si="133"/>
        <v>0</v>
      </c>
      <c r="N146" s="1030" t="str">
        <f t="shared" si="134"/>
        <v>Main Roof</v>
      </c>
      <c r="P146" s="16"/>
      <c r="R146" s="35">
        <f t="shared" si="118"/>
        <v>1</v>
      </c>
      <c r="S146" s="35">
        <f t="shared" si="118"/>
        <v>3</v>
      </c>
      <c r="T146" s="287">
        <f t="shared" si="135"/>
        <v>6.001707317073171</v>
      </c>
      <c r="U146" s="287">
        <f t="shared" si="119"/>
        <v>0.97430000000000005</v>
      </c>
      <c r="V146" s="227" t="e">
        <f t="shared" ca="1" si="119"/>
        <v>#VALUE!</v>
      </c>
      <c r="W146" s="227" t="e">
        <f t="shared" ca="1" si="119"/>
        <v>#VALUE!</v>
      </c>
      <c r="X146" s="227" t="e">
        <f t="shared" ca="1" si="120"/>
        <v>#VALUE!</v>
      </c>
      <c r="Y146" s="6">
        <f t="shared" si="136"/>
        <v>0.30979659114677016</v>
      </c>
      <c r="Z146" s="32">
        <f t="shared" si="121"/>
        <v>0.62804878048780488</v>
      </c>
      <c r="AA146" s="32" t="e">
        <f t="shared" si="121"/>
        <v>#VALUE!</v>
      </c>
      <c r="AB146" s="42" t="e">
        <f t="shared" si="137"/>
        <v>#VALUE!</v>
      </c>
      <c r="AC146" s="6" t="e">
        <f t="shared" si="122"/>
        <v>#N/A</v>
      </c>
      <c r="AD146" s="6" t="e">
        <f t="shared" si="122"/>
        <v>#N/A</v>
      </c>
      <c r="AE146" s="6" t="e">
        <f t="shared" si="122"/>
        <v>#N/A</v>
      </c>
      <c r="AF146" s="6" t="e">
        <f t="shared" si="122"/>
        <v>#N/A</v>
      </c>
      <c r="AG146" s="44" t="e">
        <f t="shared" si="123"/>
        <v>#N/A</v>
      </c>
      <c r="AH146" s="36" t="e">
        <f t="shared" si="123"/>
        <v>#N/A</v>
      </c>
      <c r="AI146" s="36" t="e">
        <f t="shared" si="123"/>
        <v>#VALUE!</v>
      </c>
    </row>
    <row r="147" spans="2:35">
      <c r="B147" s="42" t="str">
        <f t="shared" si="124"/>
        <v>BM</v>
      </c>
      <c r="C147" s="270"/>
      <c r="D147" s="16" t="str">
        <f t="shared" si="125"/>
        <v>400 hp Diesel Truck</v>
      </c>
      <c r="E147" s="42" t="str">
        <f t="shared" si="126"/>
        <v>B2 DT</v>
      </c>
      <c r="F147" s="1025">
        <f t="shared" si="127"/>
        <v>3.0487804878048781</v>
      </c>
      <c r="G147" s="1025">
        <f t="shared" si="128"/>
        <v>0.1524390243902439</v>
      </c>
      <c r="H147" s="1018">
        <f t="shared" si="129"/>
        <v>422.03888888888889</v>
      </c>
      <c r="I147" s="1026">
        <f t="shared" si="117"/>
        <v>8.0335675948211296E-2</v>
      </c>
      <c r="J147" s="1027">
        <f t="shared" si="130"/>
        <v>9.4462016898574724E-2</v>
      </c>
      <c r="K147" s="1028">
        <f t="shared" si="131"/>
        <v>5.1757705070535076</v>
      </c>
      <c r="L147" s="42" t="str">
        <f t="shared" si="132"/>
        <v>Vertical</v>
      </c>
      <c r="M147" s="1029">
        <f t="shared" si="133"/>
        <v>0</v>
      </c>
      <c r="N147" s="1030" t="str">
        <f t="shared" si="134"/>
        <v>Local Grade</v>
      </c>
      <c r="P147" s="16"/>
      <c r="R147" s="35">
        <f t="shared" si="118"/>
        <v>1</v>
      </c>
      <c r="S147" s="35">
        <f t="shared" si="118"/>
        <v>3</v>
      </c>
      <c r="T147" s="287">
        <f t="shared" si="135"/>
        <v>6.001707317073171</v>
      </c>
      <c r="U147" s="287">
        <f t="shared" si="119"/>
        <v>0.97430000000000005</v>
      </c>
      <c r="V147" s="227" t="e">
        <f t="shared" ca="1" si="119"/>
        <v>#VALUE!</v>
      </c>
      <c r="W147" s="227" t="e">
        <f t="shared" ca="1" si="119"/>
        <v>#VALUE!</v>
      </c>
      <c r="X147" s="227" t="e">
        <f t="shared" ca="1" si="120"/>
        <v>#VALUE!</v>
      </c>
      <c r="Y147" s="6">
        <f t="shared" si="136"/>
        <v>1.8250812467407989E-2</v>
      </c>
      <c r="Z147" s="32">
        <f t="shared" si="121"/>
        <v>0.1524390243902439</v>
      </c>
      <c r="AA147" s="32" t="e">
        <f t="shared" si="121"/>
        <v>#VALUE!</v>
      </c>
      <c r="AB147" s="42" t="e">
        <f t="shared" si="137"/>
        <v>#VALUE!</v>
      </c>
      <c r="AC147" s="6" t="e">
        <f t="shared" si="122"/>
        <v>#N/A</v>
      </c>
      <c r="AD147" s="6" t="e">
        <f t="shared" si="122"/>
        <v>#N/A</v>
      </c>
      <c r="AE147" s="6" t="e">
        <f t="shared" si="122"/>
        <v>#N/A</v>
      </c>
      <c r="AF147" s="6" t="e">
        <f t="shared" si="122"/>
        <v>#N/A</v>
      </c>
      <c r="AG147" s="44" t="e">
        <f t="shared" si="123"/>
        <v>#N/A</v>
      </c>
      <c r="AH147" s="36" t="e">
        <f t="shared" si="123"/>
        <v>#N/A</v>
      </c>
      <c r="AI147" s="36" t="e">
        <f t="shared" si="123"/>
        <v>#VALUE!</v>
      </c>
    </row>
    <row r="148" spans="2:35">
      <c r="B148" s="42" t="str">
        <f t="shared" si="124"/>
        <v>BN</v>
      </c>
      <c r="C148" s="270"/>
      <c r="D148" s="16" t="str">
        <f t="shared" si="125"/>
        <v>1500 kW Diesel Generator</v>
      </c>
      <c r="E148" s="42" t="str">
        <f t="shared" si="126"/>
        <v>B2 DG</v>
      </c>
      <c r="F148" s="1025">
        <f t="shared" si="127"/>
        <v>3.0487804878048781</v>
      </c>
      <c r="G148" s="1025">
        <f t="shared" si="128"/>
        <v>0.35569105691056913</v>
      </c>
      <c r="H148" s="1018">
        <f t="shared" si="129"/>
        <v>750.37222222222226</v>
      </c>
      <c r="I148" s="1026">
        <f t="shared" si="117"/>
        <v>2.9412490903570592</v>
      </c>
      <c r="J148" s="1027">
        <f t="shared" si="130"/>
        <v>6.1490049900127213</v>
      </c>
      <c r="K148" s="1028">
        <f t="shared" si="131"/>
        <v>61.882674089996577</v>
      </c>
      <c r="L148" s="42" t="str">
        <f t="shared" si="132"/>
        <v>Vertical</v>
      </c>
      <c r="M148" s="1029">
        <f t="shared" si="133"/>
        <v>0</v>
      </c>
      <c r="N148" s="1030" t="str">
        <f t="shared" si="134"/>
        <v>Local Grade</v>
      </c>
      <c r="P148" s="16"/>
      <c r="R148" s="35">
        <f t="shared" si="118"/>
        <v>1</v>
      </c>
      <c r="S148" s="35">
        <f t="shared" si="118"/>
        <v>3</v>
      </c>
      <c r="T148" s="287">
        <f t="shared" si="135"/>
        <v>6.001707317073171</v>
      </c>
      <c r="U148" s="287">
        <f t="shared" si="119"/>
        <v>0.97430000000000005</v>
      </c>
      <c r="V148" s="227" t="e">
        <f t="shared" ca="1" si="119"/>
        <v>#VALUE!</v>
      </c>
      <c r="W148" s="227" t="e">
        <f t="shared" ca="1" si="119"/>
        <v>#VALUE!</v>
      </c>
      <c r="X148" s="227" t="e">
        <f t="shared" ca="1" si="120"/>
        <v>#VALUE!</v>
      </c>
      <c r="Y148" s="6">
        <f t="shared" si="136"/>
        <v>9.936553454477684E-2</v>
      </c>
      <c r="Z148" s="32">
        <f t="shared" si="121"/>
        <v>0.35569105691056913</v>
      </c>
      <c r="AA148" s="32" t="e">
        <f t="shared" si="121"/>
        <v>#VALUE!</v>
      </c>
      <c r="AB148" s="42" t="e">
        <f t="shared" si="137"/>
        <v>#VALUE!</v>
      </c>
      <c r="AC148" s="6" t="e">
        <f t="shared" si="122"/>
        <v>#N/A</v>
      </c>
      <c r="AD148" s="6" t="e">
        <f t="shared" si="122"/>
        <v>#N/A</v>
      </c>
      <c r="AE148" s="6" t="e">
        <f t="shared" si="122"/>
        <v>#N/A</v>
      </c>
      <c r="AF148" s="6" t="e">
        <f t="shared" si="122"/>
        <v>#N/A</v>
      </c>
      <c r="AG148" s="44" t="e">
        <f t="shared" si="123"/>
        <v>#N/A</v>
      </c>
      <c r="AH148" s="36" t="e">
        <f t="shared" si="123"/>
        <v>#N/A</v>
      </c>
      <c r="AI148" s="36" t="e">
        <f t="shared" si="123"/>
        <v>#VALUE!</v>
      </c>
    </row>
    <row r="149" spans="2:35">
      <c r="B149" s="16"/>
      <c r="C149" s="1031"/>
      <c r="D149" s="16"/>
      <c r="E149" s="42"/>
      <c r="F149" s="1025"/>
      <c r="G149" s="1025"/>
      <c r="H149" s="1018"/>
      <c r="I149" s="1026"/>
      <c r="J149" s="1027"/>
      <c r="K149" s="1028"/>
      <c r="L149" s="42"/>
      <c r="M149" s="1029"/>
      <c r="N149" s="1030"/>
      <c r="P149" s="16"/>
      <c r="R149" s="35"/>
      <c r="S149" s="35"/>
      <c r="T149" s="287"/>
      <c r="U149" s="287"/>
      <c r="V149" s="227"/>
      <c r="W149" s="227"/>
      <c r="X149" s="227"/>
      <c r="Y149" s="6"/>
      <c r="Z149" s="32"/>
      <c r="AA149" s="32"/>
      <c r="AB149" s="42"/>
      <c r="AC149" s="6"/>
      <c r="AD149" s="6"/>
      <c r="AE149" s="6"/>
      <c r="AF149" s="6"/>
      <c r="AG149" s="44"/>
      <c r="AH149" s="36"/>
      <c r="AI149" s="36"/>
    </row>
    <row r="150" spans="2:35">
      <c r="B150" s="45" t="str">
        <f>C52</f>
        <v>Building 3</v>
      </c>
      <c r="C150" s="1023"/>
      <c r="D150" s="16"/>
      <c r="E150" s="42"/>
      <c r="F150" s="1025"/>
      <c r="G150" s="1025"/>
      <c r="H150" s="1018"/>
      <c r="I150" s="1026"/>
      <c r="J150" s="1027"/>
      <c r="K150" s="1028"/>
      <c r="L150" s="42"/>
      <c r="M150" s="1029"/>
      <c r="N150" s="1030"/>
      <c r="P150" s="16"/>
      <c r="R150" s="35"/>
      <c r="S150" s="35"/>
      <c r="T150" s="287"/>
      <c r="U150" s="287"/>
      <c r="V150" s="227"/>
      <c r="W150" s="227"/>
      <c r="X150" s="227"/>
      <c r="Y150" s="6"/>
      <c r="Z150" s="32"/>
      <c r="AA150" s="32"/>
      <c r="AB150" s="42"/>
      <c r="AC150" s="6"/>
      <c r="AD150" s="6"/>
      <c r="AE150" s="6"/>
      <c r="AF150" s="6"/>
      <c r="AG150" s="44"/>
      <c r="AH150" s="36"/>
      <c r="AI150" s="36"/>
    </row>
    <row r="151" spans="2:35">
      <c r="B151" s="42" t="str">
        <f>$B53</f>
        <v>CA</v>
      </c>
      <c r="C151" s="270"/>
      <c r="D151" s="16" t="str">
        <f>$D53</f>
        <v>Garage Exhaust</v>
      </c>
      <c r="E151" s="42" t="str">
        <f>$E53</f>
        <v>B3 Gen-1</v>
      </c>
      <c r="F151" s="1025">
        <f>$F53/3.28</f>
        <v>3.0487804878048781</v>
      </c>
      <c r="G151" s="1025">
        <f>$G53/(12*3.28)</f>
        <v>1.0415396341463414</v>
      </c>
      <c r="H151" s="1018" t="e">
        <f>($H53-32)*(5/9)+273.15</f>
        <v>#VALUE!</v>
      </c>
      <c r="I151" s="1026" t="e">
        <f t="shared" si="117"/>
        <v>#VALUE!</v>
      </c>
      <c r="J151" s="1027">
        <f>$J53/(60*3.28^3)</f>
        <v>12.988527323554024</v>
      </c>
      <c r="K151" s="1028">
        <f>$K53/(3.28*60)</f>
        <v>15.244684086420699</v>
      </c>
      <c r="L151" s="42" t="str">
        <f>$L53</f>
        <v>Vertical</v>
      </c>
      <c r="M151" s="1029">
        <f>M53/3.28</f>
        <v>0</v>
      </c>
      <c r="N151" s="1030" t="str">
        <f>$N53</f>
        <v>Main Roof</v>
      </c>
      <c r="P151" s="16"/>
      <c r="R151" s="35">
        <f t="shared" ref="R151:S164" si="138">R53</f>
        <v>1</v>
      </c>
      <c r="S151" s="35">
        <f t="shared" si="138"/>
        <v>3</v>
      </c>
      <c r="T151" s="287">
        <f>T53*(5280/3.28)*(1/3600)</f>
        <v>6.001707317073171</v>
      </c>
      <c r="U151" s="287">
        <f t="shared" ref="U151:W164" si="139">U53</f>
        <v>0.97430000000000005</v>
      </c>
      <c r="V151" s="227" t="e">
        <f t="shared" ca="1" si="139"/>
        <v>#VALUE!</v>
      </c>
      <c r="W151" s="227" t="e">
        <f t="shared" ca="1" si="139"/>
        <v>#VALUE!</v>
      </c>
      <c r="X151" s="227" t="e">
        <f t="shared" ca="1" si="120"/>
        <v>#VALUE!</v>
      </c>
      <c r="Y151" s="6">
        <f>Y53/(3.28^2)</f>
        <v>0.8520037050242083</v>
      </c>
      <c r="Z151" s="32">
        <f t="shared" ref="Z151:AA164" si="140">Z53/(3.28*12)</f>
        <v>1.0415396341463414</v>
      </c>
      <c r="AA151" s="32" t="e">
        <f t="shared" si="140"/>
        <v>#VALUE!</v>
      </c>
      <c r="AB151" s="42" t="e">
        <f>AB53</f>
        <v>#VALUE!</v>
      </c>
      <c r="AC151" s="6" t="e">
        <f t="shared" ref="AC151:AF164" si="141">AC53/(3.28^2)</f>
        <v>#N/A</v>
      </c>
      <c r="AD151" s="6" t="e">
        <f t="shared" si="141"/>
        <v>#N/A</v>
      </c>
      <c r="AE151" s="6" t="e">
        <f t="shared" si="141"/>
        <v>#N/A</v>
      </c>
      <c r="AF151" s="6" t="e">
        <f t="shared" si="141"/>
        <v>#N/A</v>
      </c>
      <c r="AG151" s="44" t="e">
        <f t="shared" ref="AG151:AI164" si="142">AG53</f>
        <v>#N/A</v>
      </c>
      <c r="AH151" s="36" t="e">
        <f t="shared" si="142"/>
        <v>#N/A</v>
      </c>
      <c r="AI151" s="36" t="e">
        <f t="shared" si="142"/>
        <v>#VALUE!</v>
      </c>
    </row>
    <row r="152" spans="2:35">
      <c r="B152" s="42" t="str">
        <f>$B54</f>
        <v>CB</v>
      </c>
      <c r="C152" s="270"/>
      <c r="D152" s="16" t="str">
        <f>$D54</f>
        <v>General Exhaust</v>
      </c>
      <c r="E152" s="42" t="str">
        <f>$E54</f>
        <v>B3 Gen-2</v>
      </c>
      <c r="F152" s="1025">
        <f>$F54/3.28</f>
        <v>3.0487804878048781</v>
      </c>
      <c r="G152" s="1025">
        <f>$G54/(12*3.28)</f>
        <v>1.0415396341463414</v>
      </c>
      <c r="H152" s="1018" t="e">
        <f>($H54-32)*(5/9)+273.15</f>
        <v>#VALUE!</v>
      </c>
      <c r="I152" s="1026" t="e">
        <f t="shared" si="117"/>
        <v>#VALUE!</v>
      </c>
      <c r="J152" s="1027">
        <f>$J54/(60*3.28^3)</f>
        <v>12.988527323554024</v>
      </c>
      <c r="K152" s="1028">
        <f>$K54/(3.28*60)</f>
        <v>15.244684086420699</v>
      </c>
      <c r="L152" s="42" t="str">
        <f>$L54</f>
        <v>Vertical</v>
      </c>
      <c r="M152" s="1029">
        <f>M54/3.28</f>
        <v>0</v>
      </c>
      <c r="N152" s="1030" t="str">
        <f>$N54</f>
        <v>Main Roof</v>
      </c>
      <c r="P152" s="16"/>
      <c r="R152" s="35">
        <f t="shared" si="138"/>
        <v>1</v>
      </c>
      <c r="S152" s="35">
        <f t="shared" si="138"/>
        <v>3</v>
      </c>
      <c r="T152" s="287">
        <f>T54*(5280/3.28)*(1/3600)</f>
        <v>6.001707317073171</v>
      </c>
      <c r="U152" s="287">
        <f t="shared" si="139"/>
        <v>0.97430000000000005</v>
      </c>
      <c r="V152" s="227" t="e">
        <f t="shared" ca="1" si="139"/>
        <v>#VALUE!</v>
      </c>
      <c r="W152" s="227" t="e">
        <f t="shared" ca="1" si="139"/>
        <v>#VALUE!</v>
      </c>
      <c r="X152" s="227" t="e">
        <f t="shared" ca="1" si="120"/>
        <v>#VALUE!</v>
      </c>
      <c r="Y152" s="6">
        <f>Y54/(3.28^2)</f>
        <v>0.8520037050242083</v>
      </c>
      <c r="Z152" s="32">
        <f t="shared" si="140"/>
        <v>1.0415396341463414</v>
      </c>
      <c r="AA152" s="32" t="e">
        <f t="shared" si="140"/>
        <v>#VALUE!</v>
      </c>
      <c r="AB152" s="42" t="e">
        <f>AB54</f>
        <v>#VALUE!</v>
      </c>
      <c r="AC152" s="6" t="e">
        <f t="shared" si="141"/>
        <v>#N/A</v>
      </c>
      <c r="AD152" s="6" t="e">
        <f t="shared" si="141"/>
        <v>#N/A</v>
      </c>
      <c r="AE152" s="6" t="e">
        <f t="shared" si="141"/>
        <v>#N/A</v>
      </c>
      <c r="AF152" s="6" t="e">
        <f t="shared" si="141"/>
        <v>#N/A</v>
      </c>
      <c r="AG152" s="44" t="e">
        <f t="shared" si="142"/>
        <v>#N/A</v>
      </c>
      <c r="AH152" s="36" t="e">
        <f t="shared" si="142"/>
        <v>#N/A</v>
      </c>
      <c r="AI152" s="36" t="e">
        <f t="shared" si="142"/>
        <v>#VALUE!</v>
      </c>
    </row>
    <row r="153" spans="2:35">
      <c r="B153" s="42" t="str">
        <f>$B55</f>
        <v>CC</v>
      </c>
      <c r="C153" s="270"/>
      <c r="D153" s="16" t="str">
        <f>$D55</f>
        <v>Fume Hood Exhaust 1</v>
      </c>
      <c r="E153" s="42" t="str">
        <f>$E55</f>
        <v>B3 FE-1</v>
      </c>
      <c r="F153" s="1025">
        <f>$F55/3.28</f>
        <v>3.0487804878048781</v>
      </c>
      <c r="G153" s="1025">
        <f>$G55/(12*3.28)</f>
        <v>0.76930894308943099</v>
      </c>
      <c r="H153" s="1018" t="e">
        <f>($H55-32)*(5/9)+273.15</f>
        <v>#VALUE!</v>
      </c>
      <c r="I153" s="1026" t="e">
        <f t="shared" si="117"/>
        <v>#VALUE!</v>
      </c>
      <c r="J153" s="1027">
        <f>$J55/(60*3.28^3)</f>
        <v>7.0846512673931041</v>
      </c>
      <c r="K153" s="1028">
        <f>$K55/(3.28*60)</f>
        <v>15.241476262331481</v>
      </c>
      <c r="L153" s="42" t="str">
        <f>$L55</f>
        <v>Vertical</v>
      </c>
      <c r="M153" s="1029">
        <f>M55/3.28</f>
        <v>0</v>
      </c>
      <c r="N153" s="1030" t="str">
        <f>$N55</f>
        <v>Main Roof</v>
      </c>
      <c r="P153" s="16"/>
      <c r="R153" s="35">
        <f t="shared" si="138"/>
        <v>1</v>
      </c>
      <c r="S153" s="35">
        <f t="shared" si="138"/>
        <v>3</v>
      </c>
      <c r="T153" s="287">
        <f>T55*(5280/3.28)*(1/3600)</f>
        <v>6.001707317073171</v>
      </c>
      <c r="U153" s="287">
        <f t="shared" si="139"/>
        <v>0.97430000000000005</v>
      </c>
      <c r="V153" s="227" t="e">
        <f t="shared" ca="1" si="139"/>
        <v>#VALUE!</v>
      </c>
      <c r="W153" s="227" t="e">
        <f t="shared" ca="1" si="139"/>
        <v>#VALUE!</v>
      </c>
      <c r="X153" s="227" t="e">
        <f t="shared" ca="1" si="120"/>
        <v>#VALUE!</v>
      </c>
      <c r="Y153" s="6">
        <f>Y55/(3.28^2)</f>
        <v>0.46482710371714137</v>
      </c>
      <c r="Z153" s="32">
        <f t="shared" si="140"/>
        <v>0.76930894308943099</v>
      </c>
      <c r="AA153" s="32" t="e">
        <f t="shared" si="140"/>
        <v>#VALUE!</v>
      </c>
      <c r="AB153" s="42" t="e">
        <f>AB55</f>
        <v>#VALUE!</v>
      </c>
      <c r="AC153" s="6" t="e">
        <f t="shared" si="141"/>
        <v>#N/A</v>
      </c>
      <c r="AD153" s="6" t="e">
        <f t="shared" si="141"/>
        <v>#N/A</v>
      </c>
      <c r="AE153" s="6" t="e">
        <f t="shared" si="141"/>
        <v>#N/A</v>
      </c>
      <c r="AF153" s="6" t="e">
        <f t="shared" si="141"/>
        <v>#N/A</v>
      </c>
      <c r="AG153" s="44" t="e">
        <f t="shared" si="142"/>
        <v>#N/A</v>
      </c>
      <c r="AH153" s="36" t="e">
        <f t="shared" si="142"/>
        <v>#N/A</v>
      </c>
      <c r="AI153" s="36" t="e">
        <f t="shared" si="142"/>
        <v>#VALUE!</v>
      </c>
    </row>
    <row r="154" spans="2:35">
      <c r="B154" s="42" t="str">
        <f>$B56</f>
        <v>CD</v>
      </c>
      <c r="C154" s="270"/>
      <c r="D154" s="16" t="str">
        <f>$D56</f>
        <v>Fume Hood Exhaust 2</v>
      </c>
      <c r="E154" s="42" t="str">
        <f>$E56</f>
        <v>B3 FE-2</v>
      </c>
      <c r="F154" s="1025">
        <f>$F56/3.28</f>
        <v>3.0487804878048781</v>
      </c>
      <c r="G154" s="1025">
        <f>$G56/(12*3.28)</f>
        <v>0.76930894308943099</v>
      </c>
      <c r="H154" s="1018" t="e">
        <f>($H56-32)*(5/9)+273.15</f>
        <v>#VALUE!</v>
      </c>
      <c r="I154" s="1026" t="e">
        <f t="shared" si="117"/>
        <v>#VALUE!</v>
      </c>
      <c r="J154" s="1027">
        <f>$J56/(60*3.28^3)</f>
        <v>7.0846512673931041</v>
      </c>
      <c r="K154" s="1028">
        <f>$K56/(3.28*60)</f>
        <v>15.241476262331481</v>
      </c>
      <c r="L154" s="42" t="str">
        <f>$L56</f>
        <v>Vertical</v>
      </c>
      <c r="M154" s="1029">
        <f>M56/3.28</f>
        <v>0</v>
      </c>
      <c r="N154" s="1030" t="str">
        <f>$N56</f>
        <v>Main Roof</v>
      </c>
      <c r="P154" s="16"/>
      <c r="R154" s="35">
        <f t="shared" si="138"/>
        <v>1</v>
      </c>
      <c r="S154" s="35">
        <f t="shared" si="138"/>
        <v>3</v>
      </c>
      <c r="T154" s="287">
        <f>T56*(5280/3.28)*(1/3600)</f>
        <v>6.001707317073171</v>
      </c>
      <c r="U154" s="287">
        <f t="shared" si="139"/>
        <v>0.97430000000000005</v>
      </c>
      <c r="V154" s="227" t="e">
        <f t="shared" ca="1" si="139"/>
        <v>#REF!</v>
      </c>
      <c r="W154" s="227" t="e">
        <f t="shared" ca="1" si="139"/>
        <v>#REF!</v>
      </c>
      <c r="X154" s="227" t="e">
        <f t="shared" ca="1" si="120"/>
        <v>#REF!</v>
      </c>
      <c r="Y154" s="6">
        <f>Y56/(3.28^2)</f>
        <v>0.46482710371714137</v>
      </c>
      <c r="Z154" s="32">
        <f t="shared" si="140"/>
        <v>0.76930894308943099</v>
      </c>
      <c r="AA154" s="32" t="e">
        <f t="shared" si="140"/>
        <v>#VALUE!</v>
      </c>
      <c r="AB154" s="42" t="e">
        <f>AB56</f>
        <v>#VALUE!</v>
      </c>
      <c r="AC154" s="6" t="e">
        <f t="shared" si="141"/>
        <v>#N/A</v>
      </c>
      <c r="AD154" s="6" t="e">
        <f t="shared" si="141"/>
        <v>#N/A</v>
      </c>
      <c r="AE154" s="6" t="e">
        <f t="shared" si="141"/>
        <v>#N/A</v>
      </c>
      <c r="AF154" s="6" t="e">
        <f t="shared" si="141"/>
        <v>#N/A</v>
      </c>
      <c r="AG154" s="44" t="e">
        <f t="shared" si="142"/>
        <v>#N/A</v>
      </c>
      <c r="AH154" s="36" t="e">
        <f t="shared" si="142"/>
        <v>#N/A</v>
      </c>
      <c r="AI154" s="36" t="e">
        <f t="shared" si="142"/>
        <v>#VALUE!</v>
      </c>
    </row>
    <row r="155" spans="2:35">
      <c r="B155" s="42" t="str">
        <f>$B57</f>
        <v>CE</v>
      </c>
      <c r="C155" s="270"/>
      <c r="D155" s="16" t="str">
        <f>$D57</f>
        <v>Fume Hood Exhaust 3</v>
      </c>
      <c r="E155" s="42" t="str">
        <f>$E57</f>
        <v>B3 FE-3</v>
      </c>
      <c r="F155" s="1025">
        <f>$F57/3.28</f>
        <v>3.0487804878048781</v>
      </c>
      <c r="G155" s="1025">
        <f>$G57/(12*3.28)</f>
        <v>0.62804878048780488</v>
      </c>
      <c r="H155" s="1018" t="e">
        <f>($H57-32)*(5/9)+273.15</f>
        <v>#VALUE!</v>
      </c>
      <c r="I155" s="1026" t="e">
        <f t="shared" si="117"/>
        <v>#VALUE!</v>
      </c>
      <c r="J155" s="1027">
        <f>$J57/(60*3.28^3)</f>
        <v>4.7231008449287364</v>
      </c>
      <c r="K155" s="1028">
        <f>$K57/(3.28*60)</f>
        <v>15.245812833011794</v>
      </c>
      <c r="L155" s="42" t="str">
        <f>$L57</f>
        <v>Vertical</v>
      </c>
      <c r="M155" s="1029">
        <f>M57/3.28</f>
        <v>0</v>
      </c>
      <c r="N155" s="1030" t="str">
        <f>$N57</f>
        <v>Main Roof</v>
      </c>
      <c r="P155" s="16"/>
      <c r="R155" s="35">
        <f t="shared" si="138"/>
        <v>1</v>
      </c>
      <c r="S155" s="35">
        <f t="shared" si="138"/>
        <v>3</v>
      </c>
      <c r="T155" s="287">
        <f>T57*(5280/3.28)*(1/3600)</f>
        <v>6.001707317073171</v>
      </c>
      <c r="U155" s="287">
        <f t="shared" si="139"/>
        <v>0.97430000000000005</v>
      </c>
      <c r="V155" s="227" t="e">
        <f t="shared" ca="1" si="139"/>
        <v>#REF!</v>
      </c>
      <c r="W155" s="227" t="e">
        <f t="shared" ca="1" si="139"/>
        <v>#REF!</v>
      </c>
      <c r="X155" s="227" t="e">
        <f t="shared" ca="1" si="120"/>
        <v>#REF!</v>
      </c>
      <c r="Y155" s="6">
        <f>Y57/(3.28^2)</f>
        <v>0.30979659114677016</v>
      </c>
      <c r="Z155" s="32">
        <f t="shared" si="140"/>
        <v>0.62804878048780488</v>
      </c>
      <c r="AA155" s="32" t="e">
        <f t="shared" si="140"/>
        <v>#VALUE!</v>
      </c>
      <c r="AB155" s="42" t="e">
        <f>AB57</f>
        <v>#VALUE!</v>
      </c>
      <c r="AC155" s="6" t="e">
        <f t="shared" si="141"/>
        <v>#N/A</v>
      </c>
      <c r="AD155" s="6" t="e">
        <f t="shared" si="141"/>
        <v>#N/A</v>
      </c>
      <c r="AE155" s="6" t="e">
        <f t="shared" si="141"/>
        <v>#N/A</v>
      </c>
      <c r="AF155" s="6" t="e">
        <f t="shared" si="141"/>
        <v>#N/A</v>
      </c>
      <c r="AG155" s="44" t="e">
        <f t="shared" si="142"/>
        <v>#N/A</v>
      </c>
      <c r="AH155" s="36" t="e">
        <f t="shared" si="142"/>
        <v>#N/A</v>
      </c>
      <c r="AI155" s="36" t="e">
        <f t="shared" si="142"/>
        <v>#VALUE!</v>
      </c>
    </row>
    <row r="156" spans="2:35">
      <c r="B156" s="42" t="str">
        <f t="shared" ref="B156:B164" si="143">$B58</f>
        <v>CF</v>
      </c>
      <c r="C156" s="270"/>
      <c r="D156" s="16" t="str">
        <f t="shared" ref="D156:D164" si="144">$D58</f>
        <v>Vivarium Exhaust 1</v>
      </c>
      <c r="E156" s="42" t="str">
        <f t="shared" ref="E156:E164" si="145">$E58</f>
        <v>B3 Viv-1</v>
      </c>
      <c r="F156" s="1025">
        <f t="shared" ref="F156:F164" si="146">$F58/3.28</f>
        <v>3.0487804878048781</v>
      </c>
      <c r="G156" s="1025">
        <f t="shared" ref="G156:G164" si="147">$G58/(12*3.28)</f>
        <v>1.4729420731707317</v>
      </c>
      <c r="H156" s="1018" t="e">
        <f t="shared" ref="H156:H164" si="148">($H58-32)*(5/9)+273.15</f>
        <v>#VALUE!</v>
      </c>
      <c r="I156" s="1026" t="e">
        <f t="shared" si="117"/>
        <v>#VALUE!</v>
      </c>
      <c r="J156" s="1027">
        <f t="shared" ref="J156:J164" si="149">$J58/(60*3.28^3)</f>
        <v>25.977054647108048</v>
      </c>
      <c r="K156" s="1028">
        <f t="shared" ref="K156:K164" si="150">$K58/(3.28*60)</f>
        <v>15.245044328248792</v>
      </c>
      <c r="L156" s="42" t="str">
        <f t="shared" ref="L156:L164" si="151">$L58</f>
        <v>Vertical</v>
      </c>
      <c r="M156" s="1029">
        <f t="shared" ref="M156:M164" si="152">M58/3.28</f>
        <v>0</v>
      </c>
      <c r="N156" s="1030" t="str">
        <f t="shared" ref="N156:N164" si="153">$N58</f>
        <v>Main Roof</v>
      </c>
      <c r="P156" s="16"/>
      <c r="R156" s="35">
        <f t="shared" si="138"/>
        <v>1</v>
      </c>
      <c r="S156" s="35">
        <f t="shared" si="138"/>
        <v>3</v>
      </c>
      <c r="T156" s="287">
        <f t="shared" ref="T156:T164" si="154">T58*(5280/3.28)*(1/3600)</f>
        <v>6.001707317073171</v>
      </c>
      <c r="U156" s="287">
        <f t="shared" si="139"/>
        <v>0.97430000000000005</v>
      </c>
      <c r="V156" s="227" t="e">
        <f t="shared" ca="1" si="139"/>
        <v>#REF!</v>
      </c>
      <c r="W156" s="227" t="e">
        <f t="shared" ca="1" si="139"/>
        <v>#REF!</v>
      </c>
      <c r="X156" s="227" t="e">
        <f t="shared" ca="1" si="120"/>
        <v>#REF!</v>
      </c>
      <c r="Y156" s="6">
        <f t="shared" ref="Y156:Y164" si="155">Y58/(3.28^2)</f>
        <v>1.7039671441934108</v>
      </c>
      <c r="Z156" s="32">
        <f t="shared" si="140"/>
        <v>1.4729420731707317</v>
      </c>
      <c r="AA156" s="32" t="e">
        <f t="shared" si="140"/>
        <v>#VALUE!</v>
      </c>
      <c r="AB156" s="42" t="e">
        <f t="shared" ref="AB156:AB164" si="156">AB58</f>
        <v>#VALUE!</v>
      </c>
      <c r="AC156" s="6" t="e">
        <f t="shared" si="141"/>
        <v>#N/A</v>
      </c>
      <c r="AD156" s="6" t="e">
        <f t="shared" si="141"/>
        <v>#N/A</v>
      </c>
      <c r="AE156" s="6" t="e">
        <f t="shared" si="141"/>
        <v>#N/A</v>
      </c>
      <c r="AF156" s="6" t="e">
        <f t="shared" si="141"/>
        <v>#N/A</v>
      </c>
      <c r="AG156" s="44" t="e">
        <f t="shared" si="142"/>
        <v>#N/A</v>
      </c>
      <c r="AH156" s="36" t="e">
        <f t="shared" si="142"/>
        <v>#N/A</v>
      </c>
      <c r="AI156" s="36" t="e">
        <f t="shared" si="142"/>
        <v>#VALUE!</v>
      </c>
    </row>
    <row r="157" spans="2:35">
      <c r="B157" s="42" t="str">
        <f t="shared" si="143"/>
        <v>CG</v>
      </c>
      <c r="C157" s="270"/>
      <c r="D157" s="16" t="str">
        <f t="shared" si="144"/>
        <v>Vivarium Exhaust 2</v>
      </c>
      <c r="E157" s="42" t="str">
        <f t="shared" si="145"/>
        <v>B3 Viv-2</v>
      </c>
      <c r="F157" s="1025">
        <f t="shared" si="146"/>
        <v>3.0487804878048781</v>
      </c>
      <c r="G157" s="1025">
        <f t="shared" si="147"/>
        <v>1.4729420731707317</v>
      </c>
      <c r="H157" s="1018" t="e">
        <f t="shared" si="148"/>
        <v>#VALUE!</v>
      </c>
      <c r="I157" s="1026" t="e">
        <f t="shared" si="117"/>
        <v>#VALUE!</v>
      </c>
      <c r="J157" s="1027">
        <f t="shared" si="149"/>
        <v>25.977054647108048</v>
      </c>
      <c r="K157" s="1028">
        <f t="shared" si="150"/>
        <v>15.245044328248792</v>
      </c>
      <c r="L157" s="42" t="str">
        <f t="shared" si="151"/>
        <v>Vertical</v>
      </c>
      <c r="M157" s="1029">
        <f t="shared" si="152"/>
        <v>0</v>
      </c>
      <c r="N157" s="1030" t="str">
        <f t="shared" si="153"/>
        <v>Main Roof</v>
      </c>
      <c r="P157" s="16"/>
      <c r="R157" s="35">
        <f t="shared" si="138"/>
        <v>1</v>
      </c>
      <c r="S157" s="35">
        <f t="shared" si="138"/>
        <v>3</v>
      </c>
      <c r="T157" s="287">
        <f t="shared" si="154"/>
        <v>6.001707317073171</v>
      </c>
      <c r="U157" s="287">
        <f t="shared" si="139"/>
        <v>0.97430000000000005</v>
      </c>
      <c r="V157" s="227" t="e">
        <f t="shared" ca="1" si="139"/>
        <v>#REF!</v>
      </c>
      <c r="W157" s="227" t="e">
        <f t="shared" ca="1" si="139"/>
        <v>#REF!</v>
      </c>
      <c r="X157" s="227" t="e">
        <f t="shared" ca="1" si="120"/>
        <v>#REF!</v>
      </c>
      <c r="Y157" s="6">
        <f t="shared" si="155"/>
        <v>1.7039671441934108</v>
      </c>
      <c r="Z157" s="32">
        <f t="shared" si="140"/>
        <v>1.4729420731707317</v>
      </c>
      <c r="AA157" s="32" t="e">
        <f t="shared" si="140"/>
        <v>#VALUE!</v>
      </c>
      <c r="AB157" s="42" t="e">
        <f t="shared" si="156"/>
        <v>#VALUE!</v>
      </c>
      <c r="AC157" s="6" t="e">
        <f t="shared" si="141"/>
        <v>#N/A</v>
      </c>
      <c r="AD157" s="6" t="e">
        <f t="shared" si="141"/>
        <v>#N/A</v>
      </c>
      <c r="AE157" s="6" t="e">
        <f t="shared" si="141"/>
        <v>#N/A</v>
      </c>
      <c r="AF157" s="6" t="e">
        <f t="shared" si="141"/>
        <v>#N/A</v>
      </c>
      <c r="AG157" s="44" t="e">
        <f t="shared" si="142"/>
        <v>#N/A</v>
      </c>
      <c r="AH157" s="36" t="e">
        <f t="shared" si="142"/>
        <v>#N/A</v>
      </c>
      <c r="AI157" s="36" t="e">
        <f t="shared" si="142"/>
        <v>#VALUE!</v>
      </c>
    </row>
    <row r="158" spans="2:35">
      <c r="B158" s="42" t="str">
        <f t="shared" si="143"/>
        <v>CH</v>
      </c>
      <c r="C158" s="270"/>
      <c r="D158" s="16" t="str">
        <f t="shared" si="144"/>
        <v>Vivarium Exhaust 3</v>
      </c>
      <c r="E158" s="42" t="str">
        <f t="shared" si="145"/>
        <v>B3 Viv-3</v>
      </c>
      <c r="F158" s="1025">
        <f t="shared" si="146"/>
        <v>3.0487804878048781</v>
      </c>
      <c r="G158" s="1025">
        <f t="shared" si="147"/>
        <v>1.4729420731707317</v>
      </c>
      <c r="H158" s="1018" t="e">
        <f t="shared" si="148"/>
        <v>#VALUE!</v>
      </c>
      <c r="I158" s="1026" t="e">
        <f t="shared" si="117"/>
        <v>#VALUE!</v>
      </c>
      <c r="J158" s="1027">
        <f t="shared" si="149"/>
        <v>25.977054647108048</v>
      </c>
      <c r="K158" s="1028">
        <f t="shared" si="150"/>
        <v>15.245044328248792</v>
      </c>
      <c r="L158" s="42" t="str">
        <f t="shared" si="151"/>
        <v>Vertical</v>
      </c>
      <c r="M158" s="1029">
        <f t="shared" si="152"/>
        <v>0</v>
      </c>
      <c r="N158" s="1030" t="str">
        <f t="shared" si="153"/>
        <v>Main Roof</v>
      </c>
      <c r="P158" s="16"/>
      <c r="R158" s="35">
        <f t="shared" si="138"/>
        <v>1</v>
      </c>
      <c r="S158" s="35">
        <f t="shared" si="138"/>
        <v>3</v>
      </c>
      <c r="T158" s="287">
        <f t="shared" si="154"/>
        <v>6.001707317073171</v>
      </c>
      <c r="U158" s="287">
        <f t="shared" si="139"/>
        <v>0.97430000000000005</v>
      </c>
      <c r="V158" s="227" t="e">
        <f t="shared" ca="1" si="139"/>
        <v>#REF!</v>
      </c>
      <c r="W158" s="227" t="e">
        <f t="shared" ca="1" si="139"/>
        <v>#REF!</v>
      </c>
      <c r="X158" s="227" t="e">
        <f t="shared" ca="1" si="120"/>
        <v>#REF!</v>
      </c>
      <c r="Y158" s="6">
        <f t="shared" si="155"/>
        <v>1.7039671441934108</v>
      </c>
      <c r="Z158" s="32">
        <f t="shared" si="140"/>
        <v>1.4729420731707317</v>
      </c>
      <c r="AA158" s="32" t="e">
        <f t="shared" si="140"/>
        <v>#VALUE!</v>
      </c>
      <c r="AB158" s="42" t="e">
        <f t="shared" si="156"/>
        <v>#VALUE!</v>
      </c>
      <c r="AC158" s="6" t="e">
        <f t="shared" si="141"/>
        <v>#N/A</v>
      </c>
      <c r="AD158" s="6" t="e">
        <f t="shared" si="141"/>
        <v>#N/A</v>
      </c>
      <c r="AE158" s="6" t="e">
        <f t="shared" si="141"/>
        <v>#N/A</v>
      </c>
      <c r="AF158" s="6" t="e">
        <f t="shared" si="141"/>
        <v>#N/A</v>
      </c>
      <c r="AG158" s="44" t="e">
        <f t="shared" si="142"/>
        <v>#N/A</v>
      </c>
      <c r="AH158" s="36" t="e">
        <f t="shared" si="142"/>
        <v>#N/A</v>
      </c>
      <c r="AI158" s="36" t="e">
        <f t="shared" si="142"/>
        <v>#VALUE!</v>
      </c>
    </row>
    <row r="159" spans="2:35">
      <c r="B159" s="42" t="str">
        <f t="shared" si="143"/>
        <v>CI</v>
      </c>
      <c r="C159" s="270"/>
      <c r="D159" s="16" t="str">
        <f t="shared" si="144"/>
        <v>Kitchen Exhaust 1</v>
      </c>
      <c r="E159" s="42" t="str">
        <f t="shared" si="145"/>
        <v>B3 Kit-1</v>
      </c>
      <c r="F159" s="1025">
        <f t="shared" si="146"/>
        <v>3.0487804878048781</v>
      </c>
      <c r="G159" s="1025">
        <f t="shared" si="147"/>
        <v>0.99301321138211385</v>
      </c>
      <c r="H159" s="1018" t="e">
        <f t="shared" si="148"/>
        <v>#VALUE!</v>
      </c>
      <c r="I159" s="1026" t="e">
        <f t="shared" si="117"/>
        <v>#VALUE!</v>
      </c>
      <c r="J159" s="1027">
        <f t="shared" si="149"/>
        <v>11.80775211232184</v>
      </c>
      <c r="K159" s="1028">
        <f t="shared" si="150"/>
        <v>15.246399407255073</v>
      </c>
      <c r="L159" s="42" t="str">
        <f t="shared" si="151"/>
        <v>Vertical</v>
      </c>
      <c r="M159" s="1029">
        <f t="shared" si="152"/>
        <v>0</v>
      </c>
      <c r="N159" s="1030" t="str">
        <f t="shared" si="153"/>
        <v>Main Roof</v>
      </c>
      <c r="P159" s="16"/>
      <c r="R159" s="35">
        <f t="shared" si="138"/>
        <v>1</v>
      </c>
      <c r="S159" s="35">
        <f t="shared" si="138"/>
        <v>3</v>
      </c>
      <c r="T159" s="287">
        <f t="shared" si="154"/>
        <v>6.001707317073171</v>
      </c>
      <c r="U159" s="287">
        <f t="shared" si="139"/>
        <v>0.97430000000000005</v>
      </c>
      <c r="V159" s="227" t="e">
        <f t="shared" ca="1" si="139"/>
        <v>#REF!</v>
      </c>
      <c r="W159" s="227" t="e">
        <f t="shared" ca="1" si="139"/>
        <v>#REF!</v>
      </c>
      <c r="X159" s="227" t="e">
        <f t="shared" ca="1" si="120"/>
        <v>#REF!</v>
      </c>
      <c r="Y159" s="6">
        <f t="shared" si="155"/>
        <v>0.7744616808807373</v>
      </c>
      <c r="Z159" s="32">
        <f t="shared" si="140"/>
        <v>0.99301321138211385</v>
      </c>
      <c r="AA159" s="32" t="e">
        <f t="shared" si="140"/>
        <v>#VALUE!</v>
      </c>
      <c r="AB159" s="42" t="e">
        <f t="shared" si="156"/>
        <v>#VALUE!</v>
      </c>
      <c r="AC159" s="6" t="e">
        <f t="shared" si="141"/>
        <v>#N/A</v>
      </c>
      <c r="AD159" s="6" t="e">
        <f t="shared" si="141"/>
        <v>#N/A</v>
      </c>
      <c r="AE159" s="6" t="e">
        <f t="shared" si="141"/>
        <v>#N/A</v>
      </c>
      <c r="AF159" s="6" t="e">
        <f t="shared" si="141"/>
        <v>#N/A</v>
      </c>
      <c r="AG159" s="44" t="e">
        <f t="shared" si="142"/>
        <v>#N/A</v>
      </c>
      <c r="AH159" s="36" t="e">
        <f t="shared" si="142"/>
        <v>#N/A</v>
      </c>
      <c r="AI159" s="36" t="e">
        <f t="shared" si="142"/>
        <v>#VALUE!</v>
      </c>
    </row>
    <row r="160" spans="2:35">
      <c r="B160" s="42" t="str">
        <f t="shared" si="143"/>
        <v>CJ</v>
      </c>
      <c r="C160" s="270"/>
      <c r="D160" s="16" t="str">
        <f t="shared" si="144"/>
        <v>Kitchen Exhaust 2</v>
      </c>
      <c r="E160" s="42" t="str">
        <f t="shared" si="145"/>
        <v>B3 Kit-2</v>
      </c>
      <c r="F160" s="1025">
        <f t="shared" si="146"/>
        <v>3.0487804878048781</v>
      </c>
      <c r="G160" s="1025">
        <f t="shared" si="147"/>
        <v>0.99301321138211385</v>
      </c>
      <c r="H160" s="1018" t="e">
        <f t="shared" si="148"/>
        <v>#VALUE!</v>
      </c>
      <c r="I160" s="1026" t="e">
        <f t="shared" si="117"/>
        <v>#VALUE!</v>
      </c>
      <c r="J160" s="1027">
        <f t="shared" si="149"/>
        <v>11.80775211232184</v>
      </c>
      <c r="K160" s="1028">
        <f t="shared" si="150"/>
        <v>15.246399407255073</v>
      </c>
      <c r="L160" s="42" t="str">
        <f t="shared" si="151"/>
        <v>Vertical</v>
      </c>
      <c r="M160" s="1029">
        <f t="shared" si="152"/>
        <v>0</v>
      </c>
      <c r="N160" s="1030" t="str">
        <f t="shared" si="153"/>
        <v>Main Roof</v>
      </c>
      <c r="P160" s="16"/>
      <c r="R160" s="35">
        <f t="shared" si="138"/>
        <v>1</v>
      </c>
      <c r="S160" s="35">
        <f t="shared" si="138"/>
        <v>3</v>
      </c>
      <c r="T160" s="287">
        <f t="shared" si="154"/>
        <v>6.001707317073171</v>
      </c>
      <c r="U160" s="287">
        <f t="shared" si="139"/>
        <v>0.97430000000000005</v>
      </c>
      <c r="V160" s="227" t="e">
        <f t="shared" ca="1" si="139"/>
        <v>#REF!</v>
      </c>
      <c r="W160" s="227" t="e">
        <f t="shared" ca="1" si="139"/>
        <v>#REF!</v>
      </c>
      <c r="X160" s="227" t="e">
        <f t="shared" ca="1" si="120"/>
        <v>#REF!</v>
      </c>
      <c r="Y160" s="6">
        <f t="shared" si="155"/>
        <v>0.7744616808807373</v>
      </c>
      <c r="Z160" s="32">
        <f t="shared" si="140"/>
        <v>0.99301321138211385</v>
      </c>
      <c r="AA160" s="32" t="e">
        <f t="shared" si="140"/>
        <v>#VALUE!</v>
      </c>
      <c r="AB160" s="42" t="e">
        <f t="shared" si="156"/>
        <v>#VALUE!</v>
      </c>
      <c r="AC160" s="6" t="e">
        <f t="shared" si="141"/>
        <v>#N/A</v>
      </c>
      <c r="AD160" s="6" t="e">
        <f t="shared" si="141"/>
        <v>#N/A</v>
      </c>
      <c r="AE160" s="6" t="e">
        <f t="shared" si="141"/>
        <v>#N/A</v>
      </c>
      <c r="AF160" s="6" t="e">
        <f t="shared" si="141"/>
        <v>#N/A</v>
      </c>
      <c r="AG160" s="44" t="e">
        <f t="shared" si="142"/>
        <v>#N/A</v>
      </c>
      <c r="AH160" s="36" t="e">
        <f t="shared" si="142"/>
        <v>#N/A</v>
      </c>
      <c r="AI160" s="36" t="e">
        <f t="shared" si="142"/>
        <v>#VALUE!</v>
      </c>
    </row>
    <row r="161" spans="2:35">
      <c r="B161" s="42" t="str">
        <f t="shared" si="143"/>
        <v>CK</v>
      </c>
      <c r="C161" s="270"/>
      <c r="D161" s="16" t="str">
        <f t="shared" si="144"/>
        <v>Biological Safety Cabinet 1</v>
      </c>
      <c r="E161" s="42" t="str">
        <f t="shared" si="145"/>
        <v>B3 BSL3-1</v>
      </c>
      <c r="F161" s="1025">
        <f t="shared" si="146"/>
        <v>3.0487804878048781</v>
      </c>
      <c r="G161" s="1025">
        <f t="shared" si="147"/>
        <v>0.62804878048780488</v>
      </c>
      <c r="H161" s="1018" t="e">
        <f t="shared" si="148"/>
        <v>#VALUE!</v>
      </c>
      <c r="I161" s="1026" t="e">
        <f t="shared" si="117"/>
        <v>#VALUE!</v>
      </c>
      <c r="J161" s="1027">
        <f t="shared" si="149"/>
        <v>4.7231008449287364</v>
      </c>
      <c r="K161" s="1028">
        <f t="shared" si="150"/>
        <v>15.245812833011794</v>
      </c>
      <c r="L161" s="42" t="str">
        <f t="shared" si="151"/>
        <v>Vertical</v>
      </c>
      <c r="M161" s="1029">
        <f t="shared" si="152"/>
        <v>0</v>
      </c>
      <c r="N161" s="1030" t="str">
        <f t="shared" si="153"/>
        <v>Main Roof</v>
      </c>
      <c r="P161" s="16"/>
      <c r="R161" s="35">
        <f t="shared" si="138"/>
        <v>1</v>
      </c>
      <c r="S161" s="35">
        <f t="shared" si="138"/>
        <v>3</v>
      </c>
      <c r="T161" s="287">
        <f t="shared" si="154"/>
        <v>6.001707317073171</v>
      </c>
      <c r="U161" s="287">
        <f t="shared" si="139"/>
        <v>0.97430000000000005</v>
      </c>
      <c r="V161" s="227" t="e">
        <f t="shared" ca="1" si="139"/>
        <v>#REF!</v>
      </c>
      <c r="W161" s="227" t="e">
        <f t="shared" ca="1" si="139"/>
        <v>#REF!</v>
      </c>
      <c r="X161" s="227" t="e">
        <f t="shared" ca="1" si="120"/>
        <v>#REF!</v>
      </c>
      <c r="Y161" s="6">
        <f t="shared" si="155"/>
        <v>0.30979659114677016</v>
      </c>
      <c r="Z161" s="32">
        <f t="shared" si="140"/>
        <v>0.62804878048780488</v>
      </c>
      <c r="AA161" s="32" t="e">
        <f t="shared" si="140"/>
        <v>#VALUE!</v>
      </c>
      <c r="AB161" s="42" t="e">
        <f t="shared" si="156"/>
        <v>#VALUE!</v>
      </c>
      <c r="AC161" s="6" t="e">
        <f t="shared" si="141"/>
        <v>#N/A</v>
      </c>
      <c r="AD161" s="6" t="e">
        <f t="shared" si="141"/>
        <v>#N/A</v>
      </c>
      <c r="AE161" s="6" t="e">
        <f t="shared" si="141"/>
        <v>#N/A</v>
      </c>
      <c r="AF161" s="6" t="e">
        <f t="shared" si="141"/>
        <v>#N/A</v>
      </c>
      <c r="AG161" s="44" t="e">
        <f t="shared" si="142"/>
        <v>#N/A</v>
      </c>
      <c r="AH161" s="36" t="e">
        <f t="shared" si="142"/>
        <v>#N/A</v>
      </c>
      <c r="AI161" s="36" t="e">
        <f t="shared" si="142"/>
        <v>#VALUE!</v>
      </c>
    </row>
    <row r="162" spans="2:35">
      <c r="B162" s="42" t="str">
        <f t="shared" si="143"/>
        <v>CL</v>
      </c>
      <c r="C162" s="270"/>
      <c r="D162" s="16" t="str">
        <f t="shared" si="144"/>
        <v>Biological Safety Cabinet 2</v>
      </c>
      <c r="E162" s="42" t="str">
        <f t="shared" si="145"/>
        <v>B3 BSL3-2</v>
      </c>
      <c r="F162" s="1025">
        <f t="shared" si="146"/>
        <v>3.0487804878048781</v>
      </c>
      <c r="G162" s="1025">
        <f t="shared" si="147"/>
        <v>0.62804878048780488</v>
      </c>
      <c r="H162" s="1018" t="e">
        <f t="shared" si="148"/>
        <v>#VALUE!</v>
      </c>
      <c r="I162" s="1026" t="e">
        <f t="shared" si="117"/>
        <v>#VALUE!</v>
      </c>
      <c r="J162" s="1027">
        <f t="shared" si="149"/>
        <v>4.7231008449287364</v>
      </c>
      <c r="K162" s="1028">
        <f t="shared" si="150"/>
        <v>15.245812833011794</v>
      </c>
      <c r="L162" s="42" t="str">
        <f t="shared" si="151"/>
        <v>Vertical</v>
      </c>
      <c r="M162" s="1029">
        <f t="shared" si="152"/>
        <v>0</v>
      </c>
      <c r="N162" s="1030" t="str">
        <f t="shared" si="153"/>
        <v>Main Roof</v>
      </c>
      <c r="P162" s="16"/>
      <c r="R162" s="35">
        <f t="shared" si="138"/>
        <v>1</v>
      </c>
      <c r="S162" s="35">
        <f t="shared" si="138"/>
        <v>3</v>
      </c>
      <c r="T162" s="287">
        <f t="shared" si="154"/>
        <v>6.001707317073171</v>
      </c>
      <c r="U162" s="287">
        <f t="shared" si="139"/>
        <v>0.97430000000000005</v>
      </c>
      <c r="V162" s="227" t="e">
        <f t="shared" ca="1" si="139"/>
        <v>#REF!</v>
      </c>
      <c r="W162" s="227" t="e">
        <f t="shared" ca="1" si="139"/>
        <v>#REF!</v>
      </c>
      <c r="X162" s="227" t="e">
        <f t="shared" ca="1" si="120"/>
        <v>#REF!</v>
      </c>
      <c r="Y162" s="6">
        <f t="shared" si="155"/>
        <v>0.30979659114677016</v>
      </c>
      <c r="Z162" s="32">
        <f t="shared" si="140"/>
        <v>0.62804878048780488</v>
      </c>
      <c r="AA162" s="32" t="e">
        <f t="shared" si="140"/>
        <v>#VALUE!</v>
      </c>
      <c r="AB162" s="42" t="e">
        <f t="shared" si="156"/>
        <v>#VALUE!</v>
      </c>
      <c r="AC162" s="6" t="e">
        <f t="shared" si="141"/>
        <v>#N/A</v>
      </c>
      <c r="AD162" s="6" t="e">
        <f t="shared" si="141"/>
        <v>#N/A</v>
      </c>
      <c r="AE162" s="6" t="e">
        <f t="shared" si="141"/>
        <v>#N/A</v>
      </c>
      <c r="AF162" s="6" t="e">
        <f t="shared" si="141"/>
        <v>#N/A</v>
      </c>
      <c r="AG162" s="44" t="e">
        <f t="shared" si="142"/>
        <v>#N/A</v>
      </c>
      <c r="AH162" s="36" t="e">
        <f t="shared" si="142"/>
        <v>#N/A</v>
      </c>
      <c r="AI162" s="36" t="e">
        <f t="shared" si="142"/>
        <v>#VALUE!</v>
      </c>
    </row>
    <row r="163" spans="2:35">
      <c r="B163" s="42" t="str">
        <f t="shared" si="143"/>
        <v>CM</v>
      </c>
      <c r="C163" s="270"/>
      <c r="D163" s="16" t="str">
        <f t="shared" si="144"/>
        <v>400 hp Diesel Truck</v>
      </c>
      <c r="E163" s="42" t="str">
        <f t="shared" si="145"/>
        <v>B3 DT</v>
      </c>
      <c r="F163" s="1025">
        <f t="shared" si="146"/>
        <v>3.0487804878048781</v>
      </c>
      <c r="G163" s="1025">
        <f t="shared" si="147"/>
        <v>0.1524390243902439</v>
      </c>
      <c r="H163" s="1018">
        <f t="shared" si="148"/>
        <v>422.03888888888889</v>
      </c>
      <c r="I163" s="1026">
        <f t="shared" si="117"/>
        <v>8.0335675948211296E-2</v>
      </c>
      <c r="J163" s="1027">
        <f t="shared" si="149"/>
        <v>9.4462016898574724E-2</v>
      </c>
      <c r="K163" s="1028">
        <f t="shared" si="150"/>
        <v>5.1757705070535076</v>
      </c>
      <c r="L163" s="42" t="str">
        <f t="shared" si="151"/>
        <v>Vertical</v>
      </c>
      <c r="M163" s="1029">
        <f t="shared" si="152"/>
        <v>0</v>
      </c>
      <c r="N163" s="1030" t="str">
        <f t="shared" si="153"/>
        <v>Local Grade</v>
      </c>
      <c r="P163" s="16"/>
      <c r="R163" s="35">
        <f t="shared" si="138"/>
        <v>1</v>
      </c>
      <c r="S163" s="35">
        <f t="shared" si="138"/>
        <v>3</v>
      </c>
      <c r="T163" s="287">
        <f t="shared" si="154"/>
        <v>6.001707317073171</v>
      </c>
      <c r="U163" s="287">
        <f t="shared" si="139"/>
        <v>0.97430000000000005</v>
      </c>
      <c r="V163" s="227" t="e">
        <f t="shared" ca="1" si="139"/>
        <v>#REF!</v>
      </c>
      <c r="W163" s="227" t="e">
        <f t="shared" ca="1" si="139"/>
        <v>#REF!</v>
      </c>
      <c r="X163" s="227" t="e">
        <f t="shared" ca="1" si="120"/>
        <v>#REF!</v>
      </c>
      <c r="Y163" s="6">
        <f t="shared" si="155"/>
        <v>1.8250812467407989E-2</v>
      </c>
      <c r="Z163" s="32">
        <f t="shared" si="140"/>
        <v>0.1524390243902439</v>
      </c>
      <c r="AA163" s="32" t="e">
        <f t="shared" si="140"/>
        <v>#VALUE!</v>
      </c>
      <c r="AB163" s="42" t="e">
        <f t="shared" si="156"/>
        <v>#VALUE!</v>
      </c>
      <c r="AC163" s="6" t="e">
        <f t="shared" si="141"/>
        <v>#N/A</v>
      </c>
      <c r="AD163" s="6" t="e">
        <f t="shared" si="141"/>
        <v>#N/A</v>
      </c>
      <c r="AE163" s="6" t="e">
        <f t="shared" si="141"/>
        <v>#N/A</v>
      </c>
      <c r="AF163" s="6" t="e">
        <f t="shared" si="141"/>
        <v>#N/A</v>
      </c>
      <c r="AG163" s="44" t="e">
        <f t="shared" si="142"/>
        <v>#N/A</v>
      </c>
      <c r="AH163" s="36" t="e">
        <f t="shared" si="142"/>
        <v>#N/A</v>
      </c>
      <c r="AI163" s="36" t="e">
        <f t="shared" si="142"/>
        <v>#VALUE!</v>
      </c>
    </row>
    <row r="164" spans="2:35">
      <c r="B164" s="42" t="str">
        <f t="shared" si="143"/>
        <v>CN</v>
      </c>
      <c r="C164" s="270"/>
      <c r="D164" s="16" t="str">
        <f t="shared" si="144"/>
        <v>1500 kW Diesel Generator</v>
      </c>
      <c r="E164" s="42" t="str">
        <f t="shared" si="145"/>
        <v>B3 DG</v>
      </c>
      <c r="F164" s="1025">
        <f t="shared" si="146"/>
        <v>3.0487804878048781</v>
      </c>
      <c r="G164" s="1025">
        <f t="shared" si="147"/>
        <v>0.35569105691056913</v>
      </c>
      <c r="H164" s="1018">
        <f t="shared" si="148"/>
        <v>750.37222222222226</v>
      </c>
      <c r="I164" s="1026">
        <f t="shared" si="117"/>
        <v>2.9412490903570592</v>
      </c>
      <c r="J164" s="1027">
        <f t="shared" si="149"/>
        <v>6.1490049900127213</v>
      </c>
      <c r="K164" s="1028">
        <f t="shared" si="150"/>
        <v>61.882674089996577</v>
      </c>
      <c r="L164" s="42" t="str">
        <f t="shared" si="151"/>
        <v>Vertical</v>
      </c>
      <c r="M164" s="1029">
        <f t="shared" si="152"/>
        <v>0</v>
      </c>
      <c r="N164" s="1030" t="str">
        <f t="shared" si="153"/>
        <v>Local Grade</v>
      </c>
      <c r="P164" s="16"/>
      <c r="R164" s="35">
        <f t="shared" si="138"/>
        <v>1</v>
      </c>
      <c r="S164" s="35">
        <f t="shared" si="138"/>
        <v>3</v>
      </c>
      <c r="T164" s="287">
        <f t="shared" si="154"/>
        <v>6.001707317073171</v>
      </c>
      <c r="U164" s="287">
        <f t="shared" si="139"/>
        <v>0.97430000000000005</v>
      </c>
      <c r="V164" s="227" t="e">
        <f t="shared" ca="1" si="139"/>
        <v>#REF!</v>
      </c>
      <c r="W164" s="227" t="e">
        <f t="shared" ca="1" si="139"/>
        <v>#REF!</v>
      </c>
      <c r="X164" s="227" t="e">
        <f t="shared" ca="1" si="120"/>
        <v>#REF!</v>
      </c>
      <c r="Y164" s="6">
        <f t="shared" si="155"/>
        <v>9.936553454477684E-2</v>
      </c>
      <c r="Z164" s="32">
        <f t="shared" si="140"/>
        <v>0.35569105691056913</v>
      </c>
      <c r="AA164" s="32" t="e">
        <f t="shared" si="140"/>
        <v>#VALUE!</v>
      </c>
      <c r="AB164" s="42" t="e">
        <f t="shared" si="156"/>
        <v>#VALUE!</v>
      </c>
      <c r="AC164" s="6" t="e">
        <f t="shared" si="141"/>
        <v>#N/A</v>
      </c>
      <c r="AD164" s="6" t="e">
        <f t="shared" si="141"/>
        <v>#N/A</v>
      </c>
      <c r="AE164" s="6" t="e">
        <f t="shared" si="141"/>
        <v>#N/A</v>
      </c>
      <c r="AF164" s="6" t="e">
        <f t="shared" si="141"/>
        <v>#N/A</v>
      </c>
      <c r="AG164" s="44" t="e">
        <f t="shared" si="142"/>
        <v>#N/A</v>
      </c>
      <c r="AH164" s="36" t="e">
        <f t="shared" si="142"/>
        <v>#N/A</v>
      </c>
      <c r="AI164" s="36" t="e">
        <f t="shared" si="142"/>
        <v>#VALUE!</v>
      </c>
    </row>
    <row r="165" spans="2:35">
      <c r="B165" s="16"/>
      <c r="C165" s="1031"/>
      <c r="D165" s="16"/>
      <c r="E165" s="42"/>
      <c r="F165" s="1025"/>
      <c r="G165" s="1025"/>
      <c r="H165" s="1018"/>
      <c r="I165" s="1026"/>
      <c r="J165" s="1027"/>
      <c r="K165" s="1028"/>
      <c r="L165" s="42"/>
      <c r="M165" s="1029"/>
      <c r="N165" s="1030"/>
      <c r="P165" s="16"/>
      <c r="R165" s="35"/>
      <c r="S165" s="35"/>
      <c r="T165" s="287"/>
      <c r="U165" s="287"/>
      <c r="V165" s="227"/>
      <c r="W165" s="227"/>
      <c r="X165" s="227"/>
      <c r="Y165" s="6"/>
      <c r="Z165" s="32"/>
      <c r="AA165" s="32"/>
      <c r="AB165" s="42"/>
      <c r="AC165" s="6"/>
      <c r="AD165" s="6"/>
      <c r="AE165" s="6"/>
      <c r="AF165" s="6"/>
      <c r="AG165" s="44"/>
      <c r="AH165" s="36"/>
      <c r="AI165" s="36"/>
    </row>
    <row r="166" spans="2:35">
      <c r="B166" s="45" t="str">
        <f>C68</f>
        <v>Equipment Sources</v>
      </c>
      <c r="C166" s="1023"/>
      <c r="D166" s="16"/>
      <c r="E166" s="42"/>
      <c r="F166" s="1025"/>
      <c r="G166" s="1025"/>
      <c r="H166" s="1018"/>
      <c r="I166" s="1026"/>
      <c r="J166" s="1027"/>
      <c r="K166" s="1028"/>
      <c r="L166" s="42"/>
      <c r="M166" s="1029"/>
      <c r="N166" s="1030"/>
      <c r="P166" s="16"/>
      <c r="R166" s="35"/>
      <c r="S166" s="35"/>
      <c r="T166" s="287"/>
      <c r="U166" s="287"/>
      <c r="V166" s="227"/>
      <c r="W166" s="227"/>
      <c r="X166" s="227"/>
      <c r="Y166" s="6"/>
      <c r="Z166" s="32"/>
      <c r="AA166" s="32"/>
      <c r="AB166" s="42"/>
      <c r="AC166" s="6"/>
      <c r="AD166" s="6"/>
      <c r="AE166" s="6"/>
      <c r="AF166" s="6"/>
      <c r="AG166" s="44"/>
      <c r="AH166" s="36"/>
      <c r="AI166" s="36"/>
    </row>
    <row r="167" spans="2:35">
      <c r="B167" s="16" t="str">
        <f t="shared" ref="B167:B190" si="157">$B69</f>
        <v>DA</v>
      </c>
      <c r="C167" s="1031"/>
      <c r="D167" s="16" t="str">
        <f t="shared" ref="D167:D190" si="158">$D69</f>
        <v>Automobile (Each Vehicle)</v>
      </c>
      <c r="E167" s="42" t="str">
        <f t="shared" ref="E167:E190" si="159">$E69</f>
        <v>AUTO</v>
      </c>
      <c r="F167" s="1025">
        <f t="shared" ref="F167:F190" si="160">$F69/3.28</f>
        <v>0.3048780487804878</v>
      </c>
      <c r="G167" s="1025">
        <f t="shared" ref="G167:G190" si="161">$G69/(12*3.28)</f>
        <v>7.621951219512195E-2</v>
      </c>
      <c r="H167" s="1018" t="e">
        <f t="shared" ref="H167:H190" si="162">($H69-32)*(5/9)+273.15</f>
        <v>#VALUE!</v>
      </c>
      <c r="I167" s="1026" t="e">
        <f t="shared" si="117"/>
        <v>#VALUE!</v>
      </c>
      <c r="J167" s="1027">
        <f t="shared" ref="J167:J190" si="163">$J69/(60*3.28^3)</f>
        <v>4.7231008449287362E-2</v>
      </c>
      <c r="K167" s="1028">
        <f t="shared" ref="K167:K190" si="164">$K69/(3.28*60)</f>
        <v>10.351541014107015</v>
      </c>
      <c r="L167" s="42" t="str">
        <f t="shared" ref="L167:L190" si="165">$L69</f>
        <v>Vertical</v>
      </c>
      <c r="M167" s="1029">
        <f t="shared" ref="M167:M190" si="166">M69/3.28</f>
        <v>0</v>
      </c>
      <c r="N167" s="1030" t="str">
        <f t="shared" ref="N167:N190" si="167">$N69</f>
        <v>Local Grade</v>
      </c>
      <c r="P167" s="16"/>
      <c r="R167" s="35">
        <f t="shared" ref="R167:S190" si="168">R69</f>
        <v>1</v>
      </c>
      <c r="S167" s="35">
        <f t="shared" si="168"/>
        <v>3</v>
      </c>
      <c r="T167" s="287">
        <f t="shared" ref="T167:T190" si="169">T69*(5280/3.28)*(1/3600)</f>
        <v>6.001707317073171</v>
      </c>
      <c r="U167" s="287">
        <f t="shared" ref="U167:W188" si="170">U69</f>
        <v>0.97430000000000005</v>
      </c>
      <c r="V167" s="227" t="e">
        <f t="shared" ca="1" si="170"/>
        <v>#VALUE!</v>
      </c>
      <c r="W167" s="227" t="e">
        <f t="shared" ca="1" si="170"/>
        <v>#VALUE!</v>
      </c>
      <c r="X167" s="227" t="e">
        <f t="shared" ca="1" si="120"/>
        <v>#VALUE!</v>
      </c>
      <c r="Y167" s="6">
        <f t="shared" ref="Y167:Y190" si="171">Y69/(3.28^2)</f>
        <v>4.5627031168519972E-3</v>
      </c>
      <c r="Z167" s="32">
        <f t="shared" ref="Z167:AA190" si="172">Z69/(3.28*12)</f>
        <v>7.621951219512195E-2</v>
      </c>
      <c r="AA167" s="32" t="e">
        <f t="shared" si="172"/>
        <v>#VALUE!</v>
      </c>
      <c r="AB167" s="42" t="e">
        <f t="shared" ref="AB167:AB190" si="173">AB69</f>
        <v>#VALUE!</v>
      </c>
      <c r="AC167" s="6" t="e">
        <f t="shared" ref="AC167:AF188" si="174">AC69/(3.28^2)</f>
        <v>#N/A</v>
      </c>
      <c r="AD167" s="6" t="e">
        <f t="shared" si="174"/>
        <v>#N/A</v>
      </c>
      <c r="AE167" s="6" t="e">
        <f t="shared" si="174"/>
        <v>#N/A</v>
      </c>
      <c r="AF167" s="6" t="e">
        <f t="shared" si="174"/>
        <v>#N/A</v>
      </c>
      <c r="AG167" s="44" t="e">
        <f t="shared" ref="AG167:AI188" si="175">AG69</f>
        <v>#N/A</v>
      </c>
      <c r="AH167" s="36" t="e">
        <f t="shared" si="175"/>
        <v>#N/A</v>
      </c>
      <c r="AI167" s="36" t="e">
        <f t="shared" si="175"/>
        <v>#VALUE!</v>
      </c>
    </row>
    <row r="168" spans="2:35">
      <c r="B168" s="16" t="str">
        <f t="shared" si="157"/>
        <v>DB</v>
      </c>
      <c r="C168" s="1031"/>
      <c r="D168" s="16" t="str">
        <f t="shared" si="158"/>
        <v>200 hp Diesel Truck</v>
      </c>
      <c r="E168" s="42" t="str">
        <f t="shared" si="159"/>
        <v>DT</v>
      </c>
      <c r="F168" s="1025">
        <f t="shared" si="160"/>
        <v>3.0487804878048781</v>
      </c>
      <c r="G168" s="1025">
        <f t="shared" si="161"/>
        <v>0.1524390243902439</v>
      </c>
      <c r="H168" s="1018">
        <f t="shared" si="162"/>
        <v>422.03888888888889</v>
      </c>
      <c r="I168" s="1026">
        <f t="shared" si="117"/>
        <v>4.0167837974105648E-2</v>
      </c>
      <c r="J168" s="1027">
        <f t="shared" si="163"/>
        <v>4.7231008449287362E-2</v>
      </c>
      <c r="K168" s="1028">
        <f t="shared" si="164"/>
        <v>2.5878852535267538</v>
      </c>
      <c r="L168" s="42" t="str">
        <f t="shared" si="165"/>
        <v>Vertical</v>
      </c>
      <c r="M168" s="1029">
        <f t="shared" si="166"/>
        <v>0</v>
      </c>
      <c r="N168" s="1030" t="str">
        <f t="shared" si="167"/>
        <v>Local Grade</v>
      </c>
      <c r="P168" s="16"/>
      <c r="R168" s="35">
        <f t="shared" si="168"/>
        <v>1</v>
      </c>
      <c r="S168" s="35">
        <f t="shared" si="168"/>
        <v>3</v>
      </c>
      <c r="T168" s="287">
        <f t="shared" si="169"/>
        <v>6.001707317073171</v>
      </c>
      <c r="U168" s="287">
        <f t="shared" si="170"/>
        <v>0.97430000000000005</v>
      </c>
      <c r="V168" s="227" t="e">
        <f t="shared" ca="1" si="170"/>
        <v>#VALUE!</v>
      </c>
      <c r="W168" s="227" t="e">
        <f t="shared" ca="1" si="170"/>
        <v>#VALUE!</v>
      </c>
      <c r="X168" s="227" t="e">
        <f t="shared" ca="1" si="120"/>
        <v>#VALUE!</v>
      </c>
      <c r="Y168" s="6">
        <f t="shared" si="171"/>
        <v>1.8250812467407989E-2</v>
      </c>
      <c r="Z168" s="32">
        <f t="shared" si="172"/>
        <v>0.1524390243902439</v>
      </c>
      <c r="AA168" s="32" t="e">
        <f t="shared" si="172"/>
        <v>#VALUE!</v>
      </c>
      <c r="AB168" s="42" t="e">
        <f t="shared" si="173"/>
        <v>#VALUE!</v>
      </c>
      <c r="AC168" s="6" t="e">
        <f t="shared" si="174"/>
        <v>#N/A</v>
      </c>
      <c r="AD168" s="6" t="e">
        <f t="shared" si="174"/>
        <v>#N/A</v>
      </c>
      <c r="AE168" s="6" t="e">
        <f t="shared" si="174"/>
        <v>#N/A</v>
      </c>
      <c r="AF168" s="6" t="e">
        <f t="shared" si="174"/>
        <v>#N/A</v>
      </c>
      <c r="AG168" s="44" t="e">
        <f t="shared" si="175"/>
        <v>#N/A</v>
      </c>
      <c r="AH168" s="36" t="e">
        <f t="shared" si="175"/>
        <v>#N/A</v>
      </c>
      <c r="AI168" s="36" t="e">
        <f t="shared" si="175"/>
        <v>#VALUE!</v>
      </c>
    </row>
    <row r="169" spans="2:35">
      <c r="B169" s="16" t="str">
        <f t="shared" si="157"/>
        <v>DC</v>
      </c>
      <c r="C169" s="1031"/>
      <c r="D169" s="16" t="str">
        <f t="shared" si="158"/>
        <v>200 hp Diesel Ambulance</v>
      </c>
      <c r="E169" s="42" t="str">
        <f t="shared" si="159"/>
        <v>AMB</v>
      </c>
      <c r="F169" s="1025">
        <f t="shared" si="160"/>
        <v>3.0487804878048781</v>
      </c>
      <c r="G169" s="1025">
        <f t="shared" si="161"/>
        <v>0.1524390243902439</v>
      </c>
      <c r="H169" s="1018">
        <f t="shared" si="162"/>
        <v>422.03888888888889</v>
      </c>
      <c r="I169" s="1026">
        <f t="shared" si="117"/>
        <v>4.0167837974105648E-2</v>
      </c>
      <c r="J169" s="1027">
        <f t="shared" si="163"/>
        <v>4.7231008449287362E-2</v>
      </c>
      <c r="K169" s="1028">
        <f t="shared" si="164"/>
        <v>2.5878852535267538</v>
      </c>
      <c r="L169" s="42" t="str">
        <f t="shared" si="165"/>
        <v>Vertical</v>
      </c>
      <c r="M169" s="1029">
        <f t="shared" si="166"/>
        <v>0</v>
      </c>
      <c r="N169" s="1030" t="str">
        <f t="shared" si="167"/>
        <v>Local Grade</v>
      </c>
      <c r="P169" s="16"/>
      <c r="R169" s="35">
        <f t="shared" si="168"/>
        <v>1</v>
      </c>
      <c r="S169" s="35">
        <f t="shared" si="168"/>
        <v>3</v>
      </c>
      <c r="T169" s="287">
        <f t="shared" si="169"/>
        <v>6.001707317073171</v>
      </c>
      <c r="U169" s="287">
        <f t="shared" si="170"/>
        <v>0.97430000000000005</v>
      </c>
      <c r="V169" s="227" t="e">
        <f t="shared" ca="1" si="170"/>
        <v>#VALUE!</v>
      </c>
      <c r="W169" s="227" t="e">
        <f t="shared" ca="1" si="170"/>
        <v>#VALUE!</v>
      </c>
      <c r="X169" s="227" t="e">
        <f t="shared" ca="1" si="120"/>
        <v>#VALUE!</v>
      </c>
      <c r="Y169" s="6">
        <f t="shared" si="171"/>
        <v>1.8250812467407989E-2</v>
      </c>
      <c r="Z169" s="32">
        <f t="shared" si="172"/>
        <v>0.1524390243902439</v>
      </c>
      <c r="AA169" s="32" t="e">
        <f t="shared" si="172"/>
        <v>#VALUE!</v>
      </c>
      <c r="AB169" s="42" t="e">
        <f t="shared" si="173"/>
        <v>#VALUE!</v>
      </c>
      <c r="AC169" s="6" t="e">
        <f t="shared" si="174"/>
        <v>#N/A</v>
      </c>
      <c r="AD169" s="6" t="e">
        <f t="shared" si="174"/>
        <v>#N/A</v>
      </c>
      <c r="AE169" s="6" t="e">
        <f t="shared" si="174"/>
        <v>#N/A</v>
      </c>
      <c r="AF169" s="6" t="e">
        <f t="shared" si="174"/>
        <v>#N/A</v>
      </c>
      <c r="AG169" s="44" t="e">
        <f t="shared" si="175"/>
        <v>#N/A</v>
      </c>
      <c r="AH169" s="36" t="e">
        <f t="shared" si="175"/>
        <v>#N/A</v>
      </c>
      <c r="AI169" s="36" t="e">
        <f t="shared" si="175"/>
        <v>#VALUE!</v>
      </c>
    </row>
    <row r="170" spans="2:35">
      <c r="B170" s="16" t="str">
        <f t="shared" si="157"/>
        <v>DD</v>
      </c>
      <c r="C170" s="1031"/>
      <c r="D170" s="16" t="str">
        <f t="shared" si="158"/>
        <v>400 hp Diesel Truck</v>
      </c>
      <c r="E170" s="42" t="str">
        <f t="shared" si="159"/>
        <v>DT</v>
      </c>
      <c r="F170" s="1025">
        <f t="shared" si="160"/>
        <v>3.0487804878048781</v>
      </c>
      <c r="G170" s="1025">
        <f t="shared" si="161"/>
        <v>0.1524390243902439</v>
      </c>
      <c r="H170" s="1018">
        <f t="shared" si="162"/>
        <v>422.03888888888889</v>
      </c>
      <c r="I170" s="1026">
        <f t="shared" si="117"/>
        <v>8.0335675948211296E-2</v>
      </c>
      <c r="J170" s="1027">
        <f t="shared" si="163"/>
        <v>9.4462016898574724E-2</v>
      </c>
      <c r="K170" s="1028">
        <f t="shared" si="164"/>
        <v>5.1757705070535076</v>
      </c>
      <c r="L170" s="42" t="str">
        <f t="shared" si="165"/>
        <v>Vertical</v>
      </c>
      <c r="M170" s="1029">
        <f t="shared" si="166"/>
        <v>0</v>
      </c>
      <c r="N170" s="1030" t="str">
        <f t="shared" si="167"/>
        <v>Local Grade</v>
      </c>
      <c r="P170" s="16"/>
      <c r="R170" s="35">
        <f t="shared" si="168"/>
        <v>1</v>
      </c>
      <c r="S170" s="35">
        <f t="shared" si="168"/>
        <v>3</v>
      </c>
      <c r="T170" s="287">
        <f t="shared" si="169"/>
        <v>6.001707317073171</v>
      </c>
      <c r="U170" s="287">
        <f t="shared" si="170"/>
        <v>0.97430000000000005</v>
      </c>
      <c r="V170" s="227" t="e">
        <f t="shared" ca="1" si="170"/>
        <v>#REF!</v>
      </c>
      <c r="W170" s="227" t="e">
        <f t="shared" ca="1" si="170"/>
        <v>#REF!</v>
      </c>
      <c r="X170" s="227" t="e">
        <f t="shared" ca="1" si="120"/>
        <v>#REF!</v>
      </c>
      <c r="Y170" s="6">
        <f t="shared" si="171"/>
        <v>1.8250812467407989E-2</v>
      </c>
      <c r="Z170" s="32">
        <f t="shared" si="172"/>
        <v>0.1524390243902439</v>
      </c>
      <c r="AA170" s="32" t="e">
        <f t="shared" si="172"/>
        <v>#VALUE!</v>
      </c>
      <c r="AB170" s="42" t="e">
        <f t="shared" si="173"/>
        <v>#VALUE!</v>
      </c>
      <c r="AC170" s="6" t="e">
        <f t="shared" si="174"/>
        <v>#N/A</v>
      </c>
      <c r="AD170" s="6" t="e">
        <f t="shared" si="174"/>
        <v>#N/A</v>
      </c>
      <c r="AE170" s="6" t="e">
        <f t="shared" si="174"/>
        <v>#N/A</v>
      </c>
      <c r="AF170" s="6" t="e">
        <f t="shared" si="174"/>
        <v>#N/A</v>
      </c>
      <c r="AG170" s="44" t="e">
        <f t="shared" si="175"/>
        <v>#N/A</v>
      </c>
      <c r="AH170" s="36" t="e">
        <f t="shared" si="175"/>
        <v>#N/A</v>
      </c>
      <c r="AI170" s="36" t="e">
        <f t="shared" si="175"/>
        <v>#VALUE!</v>
      </c>
    </row>
    <row r="171" spans="2:35">
      <c r="B171" s="16" t="str">
        <f t="shared" si="157"/>
        <v>DE</v>
      </c>
      <c r="C171" s="1031"/>
      <c r="D171" s="16" t="str">
        <f t="shared" si="158"/>
        <v>250 kW Diesel Generator</v>
      </c>
      <c r="E171" s="42" t="str">
        <f t="shared" si="159"/>
        <v>DG</v>
      </c>
      <c r="F171" s="1025">
        <f t="shared" si="160"/>
        <v>2.4390243902439024</v>
      </c>
      <c r="G171" s="1025">
        <f t="shared" si="161"/>
        <v>0.1524390243902439</v>
      </c>
      <c r="H171" s="1018">
        <f t="shared" si="162"/>
        <v>822.03888888888889</v>
      </c>
      <c r="I171" s="1026">
        <f t="shared" si="117"/>
        <v>0.44338094418786622</v>
      </c>
      <c r="J171" s="1027">
        <f t="shared" si="163"/>
        <v>1.0154666816596782</v>
      </c>
      <c r="K171" s="1028">
        <f t="shared" si="164"/>
        <v>55.639532950825199</v>
      </c>
      <c r="L171" s="42" t="str">
        <f t="shared" si="165"/>
        <v>Vertical</v>
      </c>
      <c r="M171" s="1029">
        <f t="shared" si="166"/>
        <v>0</v>
      </c>
      <c r="N171" s="1030" t="str">
        <f t="shared" si="167"/>
        <v>Local Grade</v>
      </c>
      <c r="P171" s="16"/>
      <c r="R171" s="35">
        <f t="shared" si="168"/>
        <v>1</v>
      </c>
      <c r="S171" s="35">
        <f t="shared" si="168"/>
        <v>3</v>
      </c>
      <c r="T171" s="287">
        <f t="shared" si="169"/>
        <v>6.001707317073171</v>
      </c>
      <c r="U171" s="287">
        <f t="shared" si="170"/>
        <v>0.97430000000000005</v>
      </c>
      <c r="V171" s="227" t="e">
        <f t="shared" ca="1" si="170"/>
        <v>#REF!</v>
      </c>
      <c r="W171" s="227" t="e">
        <f t="shared" ca="1" si="170"/>
        <v>#REF!</v>
      </c>
      <c r="X171" s="227" t="e">
        <f t="shared" ca="1" si="120"/>
        <v>#REF!</v>
      </c>
      <c r="Y171" s="6">
        <f t="shared" si="171"/>
        <v>1.8250812467407989E-2</v>
      </c>
      <c r="Z171" s="32">
        <f t="shared" si="172"/>
        <v>0.1524390243902439</v>
      </c>
      <c r="AA171" s="32" t="e">
        <f t="shared" si="172"/>
        <v>#VALUE!</v>
      </c>
      <c r="AB171" s="42" t="e">
        <f t="shared" si="173"/>
        <v>#VALUE!</v>
      </c>
      <c r="AC171" s="6" t="e">
        <f t="shared" si="174"/>
        <v>#N/A</v>
      </c>
      <c r="AD171" s="6" t="e">
        <f t="shared" si="174"/>
        <v>#N/A</v>
      </c>
      <c r="AE171" s="6" t="e">
        <f t="shared" si="174"/>
        <v>#N/A</v>
      </c>
      <c r="AF171" s="6" t="e">
        <f t="shared" si="174"/>
        <v>#N/A</v>
      </c>
      <c r="AG171" s="44" t="e">
        <f t="shared" si="175"/>
        <v>#N/A</v>
      </c>
      <c r="AH171" s="36" t="e">
        <f t="shared" si="175"/>
        <v>#N/A</v>
      </c>
      <c r="AI171" s="36" t="e">
        <f t="shared" si="175"/>
        <v>#VALUE!</v>
      </c>
    </row>
    <row r="172" spans="2:35">
      <c r="B172" s="16" t="str">
        <f t="shared" si="157"/>
        <v>DF</v>
      </c>
      <c r="C172" s="1031"/>
      <c r="D172" s="16" t="str">
        <f t="shared" si="158"/>
        <v>550 kW Diesel Generator</v>
      </c>
      <c r="E172" s="42" t="str">
        <f t="shared" si="159"/>
        <v>DG</v>
      </c>
      <c r="F172" s="1025">
        <f t="shared" si="160"/>
        <v>2.4390243902439024</v>
      </c>
      <c r="G172" s="1025">
        <f t="shared" si="161"/>
        <v>0.2032520325203252</v>
      </c>
      <c r="H172" s="1018">
        <f t="shared" si="162"/>
        <v>751.48333333333335</v>
      </c>
      <c r="I172" s="1026">
        <f t="shared" si="117"/>
        <v>1.0482967682339133</v>
      </c>
      <c r="J172" s="1027">
        <f t="shared" si="163"/>
        <v>2.1948249626383838</v>
      </c>
      <c r="K172" s="1028">
        <f t="shared" si="164"/>
        <v>67.645703098905898</v>
      </c>
      <c r="L172" s="42" t="str">
        <f t="shared" si="165"/>
        <v>Vertical</v>
      </c>
      <c r="M172" s="1029">
        <f t="shared" si="166"/>
        <v>0</v>
      </c>
      <c r="N172" s="1030" t="str">
        <f t="shared" si="167"/>
        <v>Local Grade</v>
      </c>
      <c r="P172" s="16"/>
      <c r="R172" s="35">
        <f t="shared" si="168"/>
        <v>1</v>
      </c>
      <c r="S172" s="35">
        <f t="shared" si="168"/>
        <v>3</v>
      </c>
      <c r="T172" s="287">
        <f t="shared" si="169"/>
        <v>6.001707317073171</v>
      </c>
      <c r="U172" s="287">
        <f t="shared" si="170"/>
        <v>0.97430000000000005</v>
      </c>
      <c r="V172" s="227" t="e">
        <f t="shared" ca="1" si="170"/>
        <v>#REF!</v>
      </c>
      <c r="W172" s="227" t="e">
        <f t="shared" ca="1" si="170"/>
        <v>#REF!</v>
      </c>
      <c r="X172" s="227" t="e">
        <f t="shared" ca="1" si="120"/>
        <v>#REF!</v>
      </c>
      <c r="Y172" s="6">
        <f t="shared" si="171"/>
        <v>3.2445888830947532E-2</v>
      </c>
      <c r="Z172" s="32">
        <f t="shared" si="172"/>
        <v>0.2032520325203252</v>
      </c>
      <c r="AA172" s="32" t="e">
        <f t="shared" si="172"/>
        <v>#VALUE!</v>
      </c>
      <c r="AB172" s="42" t="e">
        <f t="shared" si="173"/>
        <v>#VALUE!</v>
      </c>
      <c r="AC172" s="6" t="e">
        <f t="shared" si="174"/>
        <v>#N/A</v>
      </c>
      <c r="AD172" s="6" t="e">
        <f t="shared" si="174"/>
        <v>#N/A</v>
      </c>
      <c r="AE172" s="6" t="e">
        <f t="shared" si="174"/>
        <v>#N/A</v>
      </c>
      <c r="AF172" s="6" t="e">
        <f t="shared" si="174"/>
        <v>#N/A</v>
      </c>
      <c r="AG172" s="44" t="e">
        <f t="shared" si="175"/>
        <v>#N/A</v>
      </c>
      <c r="AH172" s="36" t="e">
        <f t="shared" si="175"/>
        <v>#N/A</v>
      </c>
      <c r="AI172" s="36" t="e">
        <f t="shared" si="175"/>
        <v>#VALUE!</v>
      </c>
    </row>
    <row r="173" spans="2:35">
      <c r="B173" s="16" t="str">
        <f t="shared" si="157"/>
        <v>DG</v>
      </c>
      <c r="C173" s="1031"/>
      <c r="D173" s="16" t="str">
        <f t="shared" si="158"/>
        <v>750 kW Diesel Generator</v>
      </c>
      <c r="E173" s="42" t="str">
        <f t="shared" si="159"/>
        <v>DG</v>
      </c>
      <c r="F173" s="1025">
        <f t="shared" si="160"/>
        <v>3.0487804878048781</v>
      </c>
      <c r="G173" s="1025">
        <f t="shared" si="161"/>
        <v>0.25406504065040653</v>
      </c>
      <c r="H173" s="1018">
        <f t="shared" si="162"/>
        <v>809.81666666666672</v>
      </c>
      <c r="I173" s="1026">
        <f t="shared" si="117"/>
        <v>1.3734544304920082</v>
      </c>
      <c r="J173" s="1027">
        <f t="shared" si="163"/>
        <v>3.0988264643577437</v>
      </c>
      <c r="K173" s="1028">
        <f t="shared" si="164"/>
        <v>61.12481453420051</v>
      </c>
      <c r="L173" s="42" t="str">
        <f t="shared" si="165"/>
        <v>Vertical</v>
      </c>
      <c r="M173" s="1029">
        <f t="shared" si="166"/>
        <v>0</v>
      </c>
      <c r="N173" s="1030" t="str">
        <f t="shared" si="167"/>
        <v>Local Grade</v>
      </c>
      <c r="P173" s="16"/>
      <c r="R173" s="35">
        <f t="shared" si="168"/>
        <v>1</v>
      </c>
      <c r="S173" s="35">
        <f t="shared" si="168"/>
        <v>3</v>
      </c>
      <c r="T173" s="287">
        <f t="shared" si="169"/>
        <v>6.001707317073171</v>
      </c>
      <c r="U173" s="287">
        <f t="shared" si="170"/>
        <v>0.97430000000000005</v>
      </c>
      <c r="V173" s="227" t="e">
        <f t="shared" ca="1" si="170"/>
        <v>#REF!</v>
      </c>
      <c r="W173" s="227" t="e">
        <f t="shared" ca="1" si="170"/>
        <v>#REF!</v>
      </c>
      <c r="X173" s="227" t="e">
        <f t="shared" ca="1" si="120"/>
        <v>#REF!</v>
      </c>
      <c r="Y173" s="6">
        <f t="shared" si="171"/>
        <v>5.0696701298355525E-2</v>
      </c>
      <c r="Z173" s="32">
        <f t="shared" si="172"/>
        <v>0.25406504065040653</v>
      </c>
      <c r="AA173" s="32" t="e">
        <f t="shared" si="172"/>
        <v>#VALUE!</v>
      </c>
      <c r="AB173" s="42" t="e">
        <f t="shared" si="173"/>
        <v>#VALUE!</v>
      </c>
      <c r="AC173" s="6" t="e">
        <f t="shared" si="174"/>
        <v>#N/A</v>
      </c>
      <c r="AD173" s="6" t="e">
        <f t="shared" si="174"/>
        <v>#N/A</v>
      </c>
      <c r="AE173" s="6" t="e">
        <f t="shared" si="174"/>
        <v>#N/A</v>
      </c>
      <c r="AF173" s="6" t="e">
        <f t="shared" si="174"/>
        <v>#N/A</v>
      </c>
      <c r="AG173" s="44" t="e">
        <f t="shared" si="175"/>
        <v>#N/A</v>
      </c>
      <c r="AH173" s="36" t="e">
        <f t="shared" si="175"/>
        <v>#N/A</v>
      </c>
      <c r="AI173" s="36" t="e">
        <f t="shared" si="175"/>
        <v>#VALUE!</v>
      </c>
    </row>
    <row r="174" spans="2:35">
      <c r="B174" s="16" t="str">
        <f t="shared" si="157"/>
        <v>DH</v>
      </c>
      <c r="C174" s="1031"/>
      <c r="D174" s="16" t="str">
        <f t="shared" si="158"/>
        <v>1000 kW Diesel Generator</v>
      </c>
      <c r="E174" s="42" t="str">
        <f t="shared" si="159"/>
        <v>DG</v>
      </c>
      <c r="F174" s="1025">
        <f t="shared" si="160"/>
        <v>3.0487804878048781</v>
      </c>
      <c r="G174" s="1025">
        <f t="shared" si="161"/>
        <v>0.3048780487804878</v>
      </c>
      <c r="H174" s="1018">
        <f t="shared" si="162"/>
        <v>750.37222222222226</v>
      </c>
      <c r="I174" s="1026">
        <f t="shared" si="117"/>
        <v>1.9544316676149411</v>
      </c>
      <c r="J174" s="1027">
        <f t="shared" si="163"/>
        <v>4.0859545409478493</v>
      </c>
      <c r="K174" s="1028">
        <f t="shared" si="164"/>
        <v>55.969488320649866</v>
      </c>
      <c r="L174" s="42" t="str">
        <f t="shared" si="165"/>
        <v>Vertical</v>
      </c>
      <c r="M174" s="1029">
        <f t="shared" si="166"/>
        <v>0</v>
      </c>
      <c r="N174" s="1030" t="str">
        <f t="shared" si="167"/>
        <v>Local Grade</v>
      </c>
      <c r="P174" s="16"/>
      <c r="R174" s="35">
        <f t="shared" si="168"/>
        <v>1</v>
      </c>
      <c r="S174" s="35">
        <f t="shared" si="168"/>
        <v>3</v>
      </c>
      <c r="T174" s="287">
        <f t="shared" si="169"/>
        <v>6.001707317073171</v>
      </c>
      <c r="U174" s="287">
        <f t="shared" si="170"/>
        <v>0.97430000000000005</v>
      </c>
      <c r="V174" s="227" t="e">
        <f t="shared" ca="1" si="170"/>
        <v>#REF!</v>
      </c>
      <c r="W174" s="227" t="e">
        <f t="shared" ca="1" si="170"/>
        <v>#REF!</v>
      </c>
      <c r="X174" s="227" t="e">
        <f t="shared" ca="1" si="120"/>
        <v>#REF!</v>
      </c>
      <c r="Y174" s="6">
        <f t="shared" si="171"/>
        <v>7.3003249869631956E-2</v>
      </c>
      <c r="Z174" s="32">
        <f t="shared" si="172"/>
        <v>0.3048780487804878</v>
      </c>
      <c r="AA174" s="32" t="e">
        <f t="shared" si="172"/>
        <v>#VALUE!</v>
      </c>
      <c r="AB174" s="42" t="e">
        <f t="shared" si="173"/>
        <v>#VALUE!</v>
      </c>
      <c r="AC174" s="6" t="e">
        <f t="shared" si="174"/>
        <v>#N/A</v>
      </c>
      <c r="AD174" s="6" t="e">
        <f t="shared" si="174"/>
        <v>#N/A</v>
      </c>
      <c r="AE174" s="6" t="e">
        <f t="shared" si="174"/>
        <v>#N/A</v>
      </c>
      <c r="AF174" s="6" t="e">
        <f t="shared" si="174"/>
        <v>#N/A</v>
      </c>
      <c r="AG174" s="44" t="e">
        <f t="shared" si="175"/>
        <v>#N/A</v>
      </c>
      <c r="AH174" s="36" t="e">
        <f t="shared" si="175"/>
        <v>#N/A</v>
      </c>
      <c r="AI174" s="36" t="e">
        <f t="shared" si="175"/>
        <v>#VALUE!</v>
      </c>
    </row>
    <row r="175" spans="2:35">
      <c r="B175" s="16" t="str">
        <f t="shared" si="157"/>
        <v>DI</v>
      </c>
      <c r="C175" s="1031"/>
      <c r="D175" s="16" t="str">
        <f t="shared" si="158"/>
        <v>1250 kW Diesel Generator</v>
      </c>
      <c r="E175" s="42" t="str">
        <f t="shared" si="159"/>
        <v>DG</v>
      </c>
      <c r="F175" s="1025">
        <f t="shared" si="160"/>
        <v>3.0487804878048781</v>
      </c>
      <c r="G175" s="1025">
        <f t="shared" si="161"/>
        <v>0.3048780487804878</v>
      </c>
      <c r="H175" s="1018">
        <f t="shared" si="162"/>
        <v>810.92777777777781</v>
      </c>
      <c r="I175" s="1026">
        <f t="shared" si="117"/>
        <v>2.1605246783972243</v>
      </c>
      <c r="J175" s="1027">
        <f t="shared" si="163"/>
        <v>4.881324723233849</v>
      </c>
      <c r="K175" s="1028">
        <f t="shared" si="164"/>
        <v>66.864485237997499</v>
      </c>
      <c r="L175" s="42" t="str">
        <f t="shared" si="165"/>
        <v>Vertical</v>
      </c>
      <c r="M175" s="1029">
        <f t="shared" si="166"/>
        <v>0</v>
      </c>
      <c r="N175" s="1030" t="str">
        <f t="shared" si="167"/>
        <v>Local Grade</v>
      </c>
      <c r="P175" s="16"/>
      <c r="R175" s="35">
        <f t="shared" si="168"/>
        <v>1</v>
      </c>
      <c r="S175" s="35">
        <f t="shared" si="168"/>
        <v>3</v>
      </c>
      <c r="T175" s="287">
        <f t="shared" si="169"/>
        <v>6.001707317073171</v>
      </c>
      <c r="U175" s="287">
        <f t="shared" si="170"/>
        <v>0.97430000000000005</v>
      </c>
      <c r="V175" s="227" t="e">
        <f t="shared" ca="1" si="170"/>
        <v>#REF!</v>
      </c>
      <c r="W175" s="227" t="e">
        <f t="shared" ca="1" si="170"/>
        <v>#REF!</v>
      </c>
      <c r="X175" s="227" t="e">
        <f t="shared" ca="1" si="120"/>
        <v>#REF!</v>
      </c>
      <c r="Y175" s="6">
        <f t="shared" si="171"/>
        <v>7.3003249869631956E-2</v>
      </c>
      <c r="Z175" s="32">
        <f t="shared" si="172"/>
        <v>0.3048780487804878</v>
      </c>
      <c r="AA175" s="32" t="e">
        <f t="shared" si="172"/>
        <v>#VALUE!</v>
      </c>
      <c r="AB175" s="42" t="e">
        <f t="shared" si="173"/>
        <v>#VALUE!</v>
      </c>
      <c r="AC175" s="6" t="e">
        <f t="shared" si="174"/>
        <v>#N/A</v>
      </c>
      <c r="AD175" s="6" t="e">
        <f t="shared" si="174"/>
        <v>#N/A</v>
      </c>
      <c r="AE175" s="6" t="e">
        <f t="shared" si="174"/>
        <v>#N/A</v>
      </c>
      <c r="AF175" s="6" t="e">
        <f t="shared" si="174"/>
        <v>#N/A</v>
      </c>
      <c r="AG175" s="44" t="e">
        <f t="shared" si="175"/>
        <v>#N/A</v>
      </c>
      <c r="AH175" s="36" t="e">
        <f t="shared" si="175"/>
        <v>#N/A</v>
      </c>
      <c r="AI175" s="36" t="e">
        <f t="shared" si="175"/>
        <v>#VALUE!</v>
      </c>
    </row>
    <row r="176" spans="2:35">
      <c r="B176" s="16" t="str">
        <f t="shared" si="157"/>
        <v>DJ</v>
      </c>
      <c r="C176" s="1031"/>
      <c r="D176" s="16" t="str">
        <f t="shared" si="158"/>
        <v>1500 kW Diesel Generator</v>
      </c>
      <c r="E176" s="42" t="str">
        <f t="shared" si="159"/>
        <v>DG</v>
      </c>
      <c r="F176" s="1025">
        <f t="shared" si="160"/>
        <v>3.0487804878048781</v>
      </c>
      <c r="G176" s="1025">
        <f t="shared" si="161"/>
        <v>0.35569105691056913</v>
      </c>
      <c r="H176" s="1018">
        <f t="shared" si="162"/>
        <v>750.37222222222226</v>
      </c>
      <c r="I176" s="1026">
        <f t="shared" si="117"/>
        <v>2.9412490903570592</v>
      </c>
      <c r="J176" s="1027">
        <f t="shared" si="163"/>
        <v>6.1490049900127213</v>
      </c>
      <c r="K176" s="1028">
        <f t="shared" si="164"/>
        <v>61.882674089996577</v>
      </c>
      <c r="L176" s="42" t="str">
        <f t="shared" si="165"/>
        <v>Vertical</v>
      </c>
      <c r="M176" s="1029">
        <f t="shared" si="166"/>
        <v>0</v>
      </c>
      <c r="N176" s="1030" t="str">
        <f t="shared" si="167"/>
        <v>Local Grade</v>
      </c>
      <c r="P176" s="16"/>
      <c r="R176" s="35">
        <f t="shared" si="168"/>
        <v>1</v>
      </c>
      <c r="S176" s="35">
        <f t="shared" si="168"/>
        <v>3</v>
      </c>
      <c r="T176" s="287">
        <f t="shared" si="169"/>
        <v>6.001707317073171</v>
      </c>
      <c r="U176" s="287">
        <f t="shared" si="170"/>
        <v>0.97430000000000005</v>
      </c>
      <c r="V176" s="227" t="e">
        <f t="shared" ca="1" si="170"/>
        <v>#REF!</v>
      </c>
      <c r="W176" s="227" t="e">
        <f t="shared" ca="1" si="170"/>
        <v>#REF!</v>
      </c>
      <c r="X176" s="227" t="e">
        <f t="shared" ca="1" si="120"/>
        <v>#REF!</v>
      </c>
      <c r="Y176" s="6">
        <f t="shared" si="171"/>
        <v>9.936553454477684E-2</v>
      </c>
      <c r="Z176" s="32">
        <f t="shared" si="172"/>
        <v>0.35569105691056913</v>
      </c>
      <c r="AA176" s="32" t="e">
        <f t="shared" si="172"/>
        <v>#VALUE!</v>
      </c>
      <c r="AB176" s="42" t="e">
        <f t="shared" si="173"/>
        <v>#VALUE!</v>
      </c>
      <c r="AC176" s="6" t="e">
        <f t="shared" si="174"/>
        <v>#N/A</v>
      </c>
      <c r="AD176" s="6" t="e">
        <f t="shared" si="174"/>
        <v>#N/A</v>
      </c>
      <c r="AE176" s="6" t="e">
        <f t="shared" si="174"/>
        <v>#N/A</v>
      </c>
      <c r="AF176" s="6" t="e">
        <f t="shared" si="174"/>
        <v>#N/A</v>
      </c>
      <c r="AG176" s="44" t="e">
        <f t="shared" si="175"/>
        <v>#N/A</v>
      </c>
      <c r="AH176" s="36" t="e">
        <f t="shared" si="175"/>
        <v>#N/A</v>
      </c>
      <c r="AI176" s="36" t="e">
        <f t="shared" si="175"/>
        <v>#VALUE!</v>
      </c>
    </row>
    <row r="177" spans="2:35">
      <c r="B177" s="16" t="str">
        <f t="shared" si="157"/>
        <v>DK</v>
      </c>
      <c r="C177" s="1031"/>
      <c r="D177" s="16" t="str">
        <f t="shared" si="158"/>
        <v>1750 kW Diesel Generator</v>
      </c>
      <c r="E177" s="42" t="str">
        <f t="shared" si="159"/>
        <v>DG</v>
      </c>
      <c r="F177" s="1025">
        <f t="shared" si="160"/>
        <v>3.0487804878048781</v>
      </c>
      <c r="G177" s="1025">
        <f t="shared" si="161"/>
        <v>0.35569105691056913</v>
      </c>
      <c r="H177" s="1018">
        <f t="shared" si="162"/>
        <v>765.92777777777769</v>
      </c>
      <c r="I177" s="1026">
        <f t="shared" si="117"/>
        <v>3.2582201106548019</v>
      </c>
      <c r="J177" s="1027">
        <f t="shared" si="163"/>
        <v>6.9528767538195924</v>
      </c>
      <c r="K177" s="1028">
        <f t="shared" si="164"/>
        <v>69.972720276429797</v>
      </c>
      <c r="L177" s="42" t="str">
        <f t="shared" si="165"/>
        <v>Vertical</v>
      </c>
      <c r="M177" s="1029">
        <f t="shared" si="166"/>
        <v>0</v>
      </c>
      <c r="N177" s="1030" t="str">
        <f t="shared" si="167"/>
        <v>Local Grade</v>
      </c>
      <c r="P177" s="16"/>
      <c r="R177" s="35">
        <f t="shared" si="168"/>
        <v>1</v>
      </c>
      <c r="S177" s="35">
        <f t="shared" si="168"/>
        <v>3</v>
      </c>
      <c r="T177" s="287">
        <f t="shared" si="169"/>
        <v>6.001707317073171</v>
      </c>
      <c r="U177" s="287">
        <f t="shared" si="170"/>
        <v>0.97430000000000005</v>
      </c>
      <c r="V177" s="227" t="e">
        <f t="shared" ca="1" si="170"/>
        <v>#REF!</v>
      </c>
      <c r="W177" s="227" t="e">
        <f t="shared" ca="1" si="170"/>
        <v>#REF!</v>
      </c>
      <c r="X177" s="227" t="e">
        <f t="shared" ca="1" si="120"/>
        <v>#REF!</v>
      </c>
      <c r="Y177" s="6">
        <f t="shared" si="171"/>
        <v>9.936553454477684E-2</v>
      </c>
      <c r="Z177" s="32">
        <f t="shared" si="172"/>
        <v>0.35569105691056913</v>
      </c>
      <c r="AA177" s="32" t="e">
        <f t="shared" si="172"/>
        <v>#VALUE!</v>
      </c>
      <c r="AB177" s="42" t="e">
        <f t="shared" si="173"/>
        <v>#VALUE!</v>
      </c>
      <c r="AC177" s="6" t="e">
        <f t="shared" si="174"/>
        <v>#N/A</v>
      </c>
      <c r="AD177" s="6" t="e">
        <f t="shared" si="174"/>
        <v>#N/A</v>
      </c>
      <c r="AE177" s="6" t="e">
        <f t="shared" si="174"/>
        <v>#N/A</v>
      </c>
      <c r="AF177" s="6" t="e">
        <f t="shared" si="174"/>
        <v>#N/A</v>
      </c>
      <c r="AG177" s="44" t="e">
        <f t="shared" si="175"/>
        <v>#N/A</v>
      </c>
      <c r="AH177" s="36" t="e">
        <f t="shared" si="175"/>
        <v>#N/A</v>
      </c>
      <c r="AI177" s="36" t="e">
        <f t="shared" si="175"/>
        <v>#VALUE!</v>
      </c>
    </row>
    <row r="178" spans="2:35">
      <c r="B178" s="16" t="str">
        <f t="shared" si="157"/>
        <v>DL</v>
      </c>
      <c r="C178" s="1031"/>
      <c r="D178" s="16" t="str">
        <f t="shared" si="158"/>
        <v>2000 kW Diesel Generator</v>
      </c>
      <c r="E178" s="42" t="str">
        <f t="shared" si="159"/>
        <v>DG</v>
      </c>
      <c r="F178" s="1025">
        <f t="shared" si="160"/>
        <v>3.0487804878048781</v>
      </c>
      <c r="G178" s="1025">
        <f t="shared" si="161"/>
        <v>0.4065040650406504</v>
      </c>
      <c r="H178" s="1018">
        <f t="shared" si="162"/>
        <v>825.92777777777781</v>
      </c>
      <c r="I178" s="1026">
        <f t="shared" si="117"/>
        <v>3.291842621675459</v>
      </c>
      <c r="J178" s="1027">
        <f t="shared" si="163"/>
        <v>7.574909135096707</v>
      </c>
      <c r="K178" s="1028">
        <f t="shared" si="164"/>
        <v>58.365708322587295</v>
      </c>
      <c r="L178" s="42" t="str">
        <f t="shared" si="165"/>
        <v>Vertical</v>
      </c>
      <c r="M178" s="1029">
        <f t="shared" si="166"/>
        <v>0</v>
      </c>
      <c r="N178" s="1030" t="str">
        <f t="shared" si="167"/>
        <v>Local Grade</v>
      </c>
      <c r="P178" s="16"/>
      <c r="R178" s="35">
        <f t="shared" si="168"/>
        <v>1</v>
      </c>
      <c r="S178" s="35">
        <f t="shared" si="168"/>
        <v>3</v>
      </c>
      <c r="T178" s="287">
        <f t="shared" si="169"/>
        <v>6.001707317073171</v>
      </c>
      <c r="U178" s="287">
        <f t="shared" si="170"/>
        <v>0.97430000000000005</v>
      </c>
      <c r="V178" s="227" t="e">
        <f t="shared" ca="1" si="170"/>
        <v>#REF!</v>
      </c>
      <c r="W178" s="227" t="e">
        <f t="shared" ca="1" si="170"/>
        <v>#REF!</v>
      </c>
      <c r="X178" s="227" t="e">
        <f t="shared" ca="1" si="120"/>
        <v>#REF!</v>
      </c>
      <c r="Y178" s="6">
        <f t="shared" si="171"/>
        <v>0.12978355532379013</v>
      </c>
      <c r="Z178" s="32">
        <f t="shared" si="172"/>
        <v>0.4065040650406504</v>
      </c>
      <c r="AA178" s="32" t="e">
        <f t="shared" si="172"/>
        <v>#VALUE!</v>
      </c>
      <c r="AB178" s="42" t="e">
        <f t="shared" si="173"/>
        <v>#VALUE!</v>
      </c>
      <c r="AC178" s="6" t="e">
        <f t="shared" si="174"/>
        <v>#N/A</v>
      </c>
      <c r="AD178" s="6" t="e">
        <f t="shared" si="174"/>
        <v>#N/A</v>
      </c>
      <c r="AE178" s="6" t="e">
        <f t="shared" si="174"/>
        <v>#N/A</v>
      </c>
      <c r="AF178" s="6" t="e">
        <f t="shared" si="174"/>
        <v>#N/A</v>
      </c>
      <c r="AG178" s="44" t="e">
        <f t="shared" si="175"/>
        <v>#N/A</v>
      </c>
      <c r="AH178" s="36" t="e">
        <f t="shared" si="175"/>
        <v>#N/A</v>
      </c>
      <c r="AI178" s="36" t="e">
        <f t="shared" si="175"/>
        <v>#VALUE!</v>
      </c>
    </row>
    <row r="179" spans="2:35">
      <c r="B179" s="16" t="str">
        <f t="shared" si="157"/>
        <v>DM</v>
      </c>
      <c r="C179" s="1031"/>
      <c r="D179" s="16" t="str">
        <f t="shared" si="158"/>
        <v>108 hp Bryan Boiler (4.5 MMBTU)</v>
      </c>
      <c r="E179" s="42" t="str">
        <f t="shared" si="159"/>
        <v>BLR</v>
      </c>
      <c r="F179" s="1025">
        <f t="shared" si="160"/>
        <v>3.0487804878048781</v>
      </c>
      <c r="G179" s="1025">
        <f t="shared" si="161"/>
        <v>0.4065040650406504</v>
      </c>
      <c r="H179" s="1018">
        <f t="shared" si="162"/>
        <v>422.03888888888889</v>
      </c>
      <c r="I179" s="1026">
        <f t="shared" si="117"/>
        <v>0.51249999999999984</v>
      </c>
      <c r="J179" s="1027">
        <f t="shared" si="163"/>
        <v>0.60261873805267252</v>
      </c>
      <c r="K179" s="1028">
        <f t="shared" si="164"/>
        <v>4.6432595913190298</v>
      </c>
      <c r="L179" s="42" t="str">
        <f t="shared" si="165"/>
        <v>Vertical</v>
      </c>
      <c r="M179" s="1029">
        <f t="shared" si="166"/>
        <v>0</v>
      </c>
      <c r="N179" s="1030" t="str">
        <f t="shared" si="167"/>
        <v>Local Grade</v>
      </c>
      <c r="P179" s="16"/>
      <c r="R179" s="35">
        <f t="shared" si="168"/>
        <v>1</v>
      </c>
      <c r="S179" s="35">
        <f t="shared" si="168"/>
        <v>3</v>
      </c>
      <c r="T179" s="287">
        <f t="shared" si="169"/>
        <v>6.001707317073171</v>
      </c>
      <c r="U179" s="287">
        <f t="shared" si="170"/>
        <v>0.97430000000000005</v>
      </c>
      <c r="V179" s="227" t="e">
        <f t="shared" ca="1" si="170"/>
        <v>#REF!</v>
      </c>
      <c r="W179" s="227" t="e">
        <f t="shared" ca="1" si="170"/>
        <v>#REF!</v>
      </c>
      <c r="X179" s="227" t="e">
        <f t="shared" ca="1" si="120"/>
        <v>#REF!</v>
      </c>
      <c r="Y179" s="6">
        <f t="shared" si="171"/>
        <v>0.12978355532379013</v>
      </c>
      <c r="Z179" s="32">
        <f t="shared" si="172"/>
        <v>0.4065040650406504</v>
      </c>
      <c r="AA179" s="32" t="e">
        <f t="shared" si="172"/>
        <v>#VALUE!</v>
      </c>
      <c r="AB179" s="42" t="e">
        <f t="shared" si="173"/>
        <v>#VALUE!</v>
      </c>
      <c r="AC179" s="6" t="e">
        <f t="shared" si="174"/>
        <v>#N/A</v>
      </c>
      <c r="AD179" s="6" t="e">
        <f t="shared" si="174"/>
        <v>#N/A</v>
      </c>
      <c r="AE179" s="6" t="e">
        <f t="shared" si="174"/>
        <v>#N/A</v>
      </c>
      <c r="AF179" s="6" t="e">
        <f t="shared" si="174"/>
        <v>#N/A</v>
      </c>
      <c r="AG179" s="44" t="e">
        <f t="shared" si="175"/>
        <v>#N/A</v>
      </c>
      <c r="AH179" s="36" t="e">
        <f t="shared" si="175"/>
        <v>#N/A</v>
      </c>
      <c r="AI179" s="36" t="e">
        <f t="shared" si="175"/>
        <v>#VALUE!</v>
      </c>
    </row>
    <row r="180" spans="2:35">
      <c r="B180" s="16" t="str">
        <f t="shared" si="157"/>
        <v>DN</v>
      </c>
      <c r="C180" s="1031"/>
      <c r="D180" s="16" t="str">
        <f t="shared" si="158"/>
        <v>143 hp Bryan Boiler (6.0 MMBTU)</v>
      </c>
      <c r="E180" s="42" t="str">
        <f t="shared" si="159"/>
        <v>BLR</v>
      </c>
      <c r="F180" s="1025">
        <f t="shared" si="160"/>
        <v>3.0487804878048781</v>
      </c>
      <c r="G180" s="1025">
        <f t="shared" si="161"/>
        <v>0.45731707317073172</v>
      </c>
      <c r="H180" s="1018">
        <f t="shared" si="162"/>
        <v>422.03888888888889</v>
      </c>
      <c r="I180" s="1026">
        <f t="shared" si="117"/>
        <v>0.68333333333333324</v>
      </c>
      <c r="J180" s="1027">
        <f t="shared" si="163"/>
        <v>0.80349165073689688</v>
      </c>
      <c r="K180" s="1028">
        <f t="shared" si="164"/>
        <v>4.8916644254225172</v>
      </c>
      <c r="L180" s="42" t="str">
        <f t="shared" si="165"/>
        <v>Vertical</v>
      </c>
      <c r="M180" s="1029">
        <f t="shared" si="166"/>
        <v>0</v>
      </c>
      <c r="N180" s="1030" t="str">
        <f t="shared" si="167"/>
        <v>Local Grade</v>
      </c>
      <c r="P180" s="16"/>
      <c r="R180" s="35">
        <f t="shared" si="168"/>
        <v>1</v>
      </c>
      <c r="S180" s="35">
        <f t="shared" si="168"/>
        <v>3</v>
      </c>
      <c r="T180" s="287">
        <f t="shared" si="169"/>
        <v>6.001707317073171</v>
      </c>
      <c r="U180" s="287">
        <f t="shared" si="170"/>
        <v>0.97430000000000005</v>
      </c>
      <c r="V180" s="227" t="e">
        <f t="shared" ca="1" si="170"/>
        <v>#REF!</v>
      </c>
      <c r="W180" s="227" t="e">
        <f t="shared" ca="1" si="170"/>
        <v>#REF!</v>
      </c>
      <c r="X180" s="227" t="e">
        <f t="shared" ca="1" si="120"/>
        <v>#REF!</v>
      </c>
      <c r="Y180" s="6">
        <f t="shared" si="171"/>
        <v>0.16425731220667189</v>
      </c>
      <c r="Z180" s="32">
        <f t="shared" si="172"/>
        <v>0.45731707317073172</v>
      </c>
      <c r="AA180" s="32" t="e">
        <f t="shared" si="172"/>
        <v>#VALUE!</v>
      </c>
      <c r="AB180" s="42" t="e">
        <f t="shared" si="173"/>
        <v>#VALUE!</v>
      </c>
      <c r="AC180" s="6" t="e">
        <f t="shared" si="174"/>
        <v>#N/A</v>
      </c>
      <c r="AD180" s="6" t="e">
        <f t="shared" si="174"/>
        <v>#N/A</v>
      </c>
      <c r="AE180" s="6" t="e">
        <f t="shared" si="174"/>
        <v>#N/A</v>
      </c>
      <c r="AF180" s="6" t="e">
        <f t="shared" si="174"/>
        <v>#N/A</v>
      </c>
      <c r="AG180" s="44" t="e">
        <f t="shared" si="175"/>
        <v>#N/A</v>
      </c>
      <c r="AH180" s="36" t="e">
        <f t="shared" si="175"/>
        <v>#N/A</v>
      </c>
      <c r="AI180" s="36" t="e">
        <f t="shared" si="175"/>
        <v>#VALUE!</v>
      </c>
    </row>
    <row r="181" spans="2:35">
      <c r="B181" s="16" t="str">
        <f t="shared" si="157"/>
        <v>DO</v>
      </c>
      <c r="C181" s="1031"/>
      <c r="D181" s="16" t="str">
        <f t="shared" si="158"/>
        <v>200 hp Bryan Boiler (8.5 MMBTU)</v>
      </c>
      <c r="E181" s="42" t="str">
        <f t="shared" si="159"/>
        <v>BLR</v>
      </c>
      <c r="F181" s="1025">
        <f t="shared" si="160"/>
        <v>3.0487804878048781</v>
      </c>
      <c r="G181" s="1025">
        <f t="shared" si="161"/>
        <v>0.50813008130081305</v>
      </c>
      <c r="H181" s="1018">
        <f t="shared" si="162"/>
        <v>422.03888888888889</v>
      </c>
      <c r="I181" s="1026">
        <f t="shared" si="117"/>
        <v>0.96805555555555567</v>
      </c>
      <c r="J181" s="1027">
        <f t="shared" si="163"/>
        <v>1.1382798385439374</v>
      </c>
      <c r="K181" s="1028">
        <f t="shared" si="164"/>
        <v>5.6131849281723394</v>
      </c>
      <c r="L181" s="42" t="str">
        <f t="shared" si="165"/>
        <v>Vertical</v>
      </c>
      <c r="M181" s="1029">
        <f t="shared" si="166"/>
        <v>0</v>
      </c>
      <c r="N181" s="1030" t="str">
        <f t="shared" si="167"/>
        <v>Local Grade</v>
      </c>
      <c r="P181" s="16"/>
      <c r="R181" s="35">
        <f t="shared" si="168"/>
        <v>1</v>
      </c>
      <c r="S181" s="35">
        <f t="shared" si="168"/>
        <v>3</v>
      </c>
      <c r="T181" s="287">
        <f t="shared" si="169"/>
        <v>6.001707317073171</v>
      </c>
      <c r="U181" s="287">
        <f t="shared" si="170"/>
        <v>0.97430000000000005</v>
      </c>
      <c r="V181" s="227" t="e">
        <f t="shared" ca="1" si="170"/>
        <v>#REF!</v>
      </c>
      <c r="W181" s="227" t="e">
        <f t="shared" ca="1" si="170"/>
        <v>#REF!</v>
      </c>
      <c r="X181" s="227" t="e">
        <f t="shared" ca="1" si="120"/>
        <v>#REF!</v>
      </c>
      <c r="Y181" s="6">
        <f t="shared" si="171"/>
        <v>0.2027868051934221</v>
      </c>
      <c r="Z181" s="32">
        <f t="shared" si="172"/>
        <v>0.50813008130081305</v>
      </c>
      <c r="AA181" s="32" t="e">
        <f t="shared" si="172"/>
        <v>#VALUE!</v>
      </c>
      <c r="AB181" s="42" t="e">
        <f t="shared" si="173"/>
        <v>#VALUE!</v>
      </c>
      <c r="AC181" s="6" t="e">
        <f t="shared" si="174"/>
        <v>#N/A</v>
      </c>
      <c r="AD181" s="6" t="e">
        <f t="shared" si="174"/>
        <v>#N/A</v>
      </c>
      <c r="AE181" s="6" t="e">
        <f t="shared" si="174"/>
        <v>#N/A</v>
      </c>
      <c r="AF181" s="6" t="e">
        <f t="shared" si="174"/>
        <v>#N/A</v>
      </c>
      <c r="AG181" s="44" t="e">
        <f t="shared" si="175"/>
        <v>#N/A</v>
      </c>
      <c r="AH181" s="36" t="e">
        <f t="shared" si="175"/>
        <v>#N/A</v>
      </c>
      <c r="AI181" s="36" t="e">
        <f t="shared" si="175"/>
        <v>#VALUE!</v>
      </c>
    </row>
    <row r="182" spans="2:35">
      <c r="B182" s="16" t="str">
        <f t="shared" si="157"/>
        <v>DP</v>
      </c>
      <c r="C182" s="1031"/>
      <c r="D182" s="16" t="str">
        <f t="shared" si="158"/>
        <v>300 hp Bryan Boiler (12.6 MMBTU)</v>
      </c>
      <c r="E182" s="42" t="str">
        <f t="shared" si="159"/>
        <v>BLR</v>
      </c>
      <c r="F182" s="1025">
        <f t="shared" si="160"/>
        <v>3.0487804878048781</v>
      </c>
      <c r="G182" s="1025">
        <f t="shared" si="161"/>
        <v>0.55894308943089432</v>
      </c>
      <c r="H182" s="1018">
        <f t="shared" si="162"/>
        <v>422.03888888888889</v>
      </c>
      <c r="I182" s="1026">
        <f t="shared" si="117"/>
        <v>1.43510101010101</v>
      </c>
      <c r="J182" s="1027">
        <f t="shared" si="163"/>
        <v>1.6874512384101201</v>
      </c>
      <c r="K182" s="1028">
        <f t="shared" si="164"/>
        <v>6.8771131287795413</v>
      </c>
      <c r="L182" s="42" t="str">
        <f t="shared" si="165"/>
        <v>Vertical</v>
      </c>
      <c r="M182" s="1029">
        <f t="shared" si="166"/>
        <v>0</v>
      </c>
      <c r="N182" s="1030" t="str">
        <f t="shared" si="167"/>
        <v>Local Grade</v>
      </c>
      <c r="P182" s="16"/>
      <c r="R182" s="35">
        <f t="shared" si="168"/>
        <v>1</v>
      </c>
      <c r="S182" s="35">
        <f t="shared" si="168"/>
        <v>3</v>
      </c>
      <c r="T182" s="287">
        <f t="shared" si="169"/>
        <v>6.001707317073171</v>
      </c>
      <c r="U182" s="287">
        <f t="shared" si="170"/>
        <v>0.97430000000000005</v>
      </c>
      <c r="V182" s="227" t="e">
        <f t="shared" ca="1" si="170"/>
        <v>#REF!</v>
      </c>
      <c r="W182" s="227" t="e">
        <f t="shared" ca="1" si="170"/>
        <v>#REF!</v>
      </c>
      <c r="X182" s="227" t="e">
        <f t="shared" ca="1" si="120"/>
        <v>#REF!</v>
      </c>
      <c r="Y182" s="6">
        <f t="shared" si="171"/>
        <v>0.2453720342840407</v>
      </c>
      <c r="Z182" s="32">
        <f t="shared" si="172"/>
        <v>0.55894308943089432</v>
      </c>
      <c r="AA182" s="32" t="e">
        <f t="shared" si="172"/>
        <v>#VALUE!</v>
      </c>
      <c r="AB182" s="42" t="e">
        <f t="shared" si="173"/>
        <v>#VALUE!</v>
      </c>
      <c r="AC182" s="6" t="e">
        <f t="shared" si="174"/>
        <v>#N/A</v>
      </c>
      <c r="AD182" s="6" t="e">
        <f t="shared" si="174"/>
        <v>#N/A</v>
      </c>
      <c r="AE182" s="6" t="e">
        <f t="shared" si="174"/>
        <v>#N/A</v>
      </c>
      <c r="AF182" s="6" t="e">
        <f t="shared" si="174"/>
        <v>#N/A</v>
      </c>
      <c r="AG182" s="44" t="e">
        <f t="shared" si="175"/>
        <v>#N/A</v>
      </c>
      <c r="AH182" s="36" t="e">
        <f t="shared" si="175"/>
        <v>#N/A</v>
      </c>
      <c r="AI182" s="36" t="e">
        <f t="shared" si="175"/>
        <v>#VALUE!</v>
      </c>
    </row>
    <row r="183" spans="2:35">
      <c r="B183" s="16" t="str">
        <f t="shared" si="157"/>
        <v>DQ</v>
      </c>
      <c r="C183" s="1031"/>
      <c r="D183" s="16" t="str">
        <f t="shared" si="158"/>
        <v>400 hp Bryan Boiler (17.0 MMBTU)</v>
      </c>
      <c r="E183" s="42" t="str">
        <f t="shared" si="159"/>
        <v>BLR</v>
      </c>
      <c r="F183" s="1025">
        <f t="shared" si="160"/>
        <v>3.0487804878048781</v>
      </c>
      <c r="G183" s="1025">
        <f t="shared" si="161"/>
        <v>0.6097560975609756</v>
      </c>
      <c r="H183" s="1018">
        <f t="shared" si="162"/>
        <v>422.03888888888889</v>
      </c>
      <c r="I183" s="1026">
        <f t="shared" si="117"/>
        <v>1.9362373737373737</v>
      </c>
      <c r="J183" s="1027">
        <f t="shared" si="163"/>
        <v>2.2767081419161705</v>
      </c>
      <c r="K183" s="1028">
        <f t="shared" si="164"/>
        <v>7.7965985965757678</v>
      </c>
      <c r="L183" s="42" t="str">
        <f t="shared" si="165"/>
        <v>Vertical</v>
      </c>
      <c r="M183" s="1029">
        <f t="shared" si="166"/>
        <v>0</v>
      </c>
      <c r="N183" s="1030" t="str">
        <f t="shared" si="167"/>
        <v>Local Grade</v>
      </c>
      <c r="P183" s="16"/>
      <c r="R183" s="35">
        <f t="shared" si="168"/>
        <v>1</v>
      </c>
      <c r="S183" s="35">
        <f t="shared" si="168"/>
        <v>3</v>
      </c>
      <c r="T183" s="287">
        <f t="shared" si="169"/>
        <v>6.001707317073171</v>
      </c>
      <c r="U183" s="287">
        <f t="shared" si="170"/>
        <v>0.97430000000000005</v>
      </c>
      <c r="V183" s="227" t="e">
        <f t="shared" ca="1" si="170"/>
        <v>#REF!</v>
      </c>
      <c r="W183" s="227" t="e">
        <f t="shared" ca="1" si="170"/>
        <v>#REF!</v>
      </c>
      <c r="X183" s="227" t="e">
        <f t="shared" ca="1" si="120"/>
        <v>#REF!</v>
      </c>
      <c r="Y183" s="6">
        <f t="shared" si="171"/>
        <v>0.29201299947852782</v>
      </c>
      <c r="Z183" s="32">
        <f t="shared" si="172"/>
        <v>0.6097560975609756</v>
      </c>
      <c r="AA183" s="32" t="e">
        <f t="shared" si="172"/>
        <v>#VALUE!</v>
      </c>
      <c r="AB183" s="42" t="e">
        <f t="shared" si="173"/>
        <v>#VALUE!</v>
      </c>
      <c r="AC183" s="6" t="e">
        <f t="shared" si="174"/>
        <v>#N/A</v>
      </c>
      <c r="AD183" s="6" t="e">
        <f t="shared" si="174"/>
        <v>#N/A</v>
      </c>
      <c r="AE183" s="6" t="e">
        <f t="shared" si="174"/>
        <v>#N/A</v>
      </c>
      <c r="AF183" s="6" t="e">
        <f t="shared" si="174"/>
        <v>#N/A</v>
      </c>
      <c r="AG183" s="44" t="e">
        <f t="shared" si="175"/>
        <v>#N/A</v>
      </c>
      <c r="AH183" s="36" t="e">
        <f t="shared" si="175"/>
        <v>#N/A</v>
      </c>
      <c r="AI183" s="36" t="e">
        <f t="shared" si="175"/>
        <v>#VALUE!</v>
      </c>
    </row>
    <row r="184" spans="2:35">
      <c r="B184" s="16" t="str">
        <f t="shared" si="157"/>
        <v>DR</v>
      </c>
      <c r="C184" s="1031"/>
      <c r="D184" s="16" t="str">
        <f t="shared" si="158"/>
        <v>500 hp Bryan Boiler (21.0 MMBTU)</v>
      </c>
      <c r="E184" s="42" t="str">
        <f t="shared" si="159"/>
        <v>BLR</v>
      </c>
      <c r="F184" s="1025">
        <f t="shared" si="160"/>
        <v>3.0487804878048781</v>
      </c>
      <c r="G184" s="1025">
        <f t="shared" si="161"/>
        <v>0.71138211382113825</v>
      </c>
      <c r="H184" s="1018">
        <f t="shared" si="162"/>
        <v>422.03888888888889</v>
      </c>
      <c r="I184" s="1026">
        <f t="shared" si="117"/>
        <v>2.3917929292929294</v>
      </c>
      <c r="J184" s="1027">
        <f t="shared" si="163"/>
        <v>2.8123692424074354</v>
      </c>
      <c r="K184" s="1028">
        <f t="shared" si="164"/>
        <v>7.0758167187741154</v>
      </c>
      <c r="L184" s="42" t="str">
        <f t="shared" si="165"/>
        <v>Vertical</v>
      </c>
      <c r="M184" s="1029">
        <f t="shared" si="166"/>
        <v>0</v>
      </c>
      <c r="N184" s="1030" t="str">
        <f t="shared" si="167"/>
        <v>Local Grade</v>
      </c>
      <c r="P184" s="16"/>
      <c r="R184" s="35">
        <f t="shared" si="168"/>
        <v>1</v>
      </c>
      <c r="S184" s="35">
        <f t="shared" si="168"/>
        <v>3</v>
      </c>
      <c r="T184" s="287">
        <f t="shared" si="169"/>
        <v>6.001707317073171</v>
      </c>
      <c r="U184" s="287">
        <f t="shared" si="170"/>
        <v>0.97430000000000005</v>
      </c>
      <c r="V184" s="227" t="e">
        <f t="shared" ca="1" si="170"/>
        <v>#REF!</v>
      </c>
      <c r="W184" s="227" t="e">
        <f t="shared" ca="1" si="170"/>
        <v>#REF!</v>
      </c>
      <c r="X184" s="227" t="e">
        <f t="shared" ca="1" si="120"/>
        <v>#REF!</v>
      </c>
      <c r="Y184" s="6">
        <f t="shared" si="171"/>
        <v>0.39746213817910736</v>
      </c>
      <c r="Z184" s="32">
        <f t="shared" si="172"/>
        <v>0.71138211382113825</v>
      </c>
      <c r="AA184" s="32" t="e">
        <f t="shared" si="172"/>
        <v>#VALUE!</v>
      </c>
      <c r="AB184" s="42" t="e">
        <f t="shared" si="173"/>
        <v>#VALUE!</v>
      </c>
      <c r="AC184" s="6" t="e">
        <f t="shared" si="174"/>
        <v>#N/A</v>
      </c>
      <c r="AD184" s="6" t="e">
        <f t="shared" si="174"/>
        <v>#N/A</v>
      </c>
      <c r="AE184" s="6" t="e">
        <f t="shared" si="174"/>
        <v>#N/A</v>
      </c>
      <c r="AF184" s="6" t="e">
        <f t="shared" si="174"/>
        <v>#N/A</v>
      </c>
      <c r="AG184" s="44" t="e">
        <f t="shared" si="175"/>
        <v>#N/A</v>
      </c>
      <c r="AH184" s="36" t="e">
        <f t="shared" si="175"/>
        <v>#N/A</v>
      </c>
      <c r="AI184" s="36" t="e">
        <f t="shared" si="175"/>
        <v>#VALUE!</v>
      </c>
    </row>
    <row r="185" spans="2:35">
      <c r="B185" s="16" t="str">
        <f t="shared" si="157"/>
        <v>DS</v>
      </c>
      <c r="C185" s="1031"/>
      <c r="D185" s="16" t="str">
        <f t="shared" si="158"/>
        <v>209 to 270 ton BAC Series V Cooling Tower (Rect. Cell)</v>
      </c>
      <c r="E185" s="42" t="str">
        <f t="shared" si="159"/>
        <v>CT</v>
      </c>
      <c r="F185" s="1025">
        <f t="shared" si="160"/>
        <v>3.9634146341463419</v>
      </c>
      <c r="G185" s="1025">
        <f t="shared" si="161"/>
        <v>3.3060503433543689</v>
      </c>
      <c r="H185" s="1018" t="e">
        <f t="shared" si="162"/>
        <v>#VALUE!</v>
      </c>
      <c r="I185" s="1026" t="e">
        <f t="shared" si="117"/>
        <v>#VALUE!</v>
      </c>
      <c r="J185" s="1027">
        <f t="shared" si="163"/>
        <v>43.619804261602269</v>
      </c>
      <c r="K185" s="1028">
        <f t="shared" si="164"/>
        <v>5.0813008130081299</v>
      </c>
      <c r="L185" s="42" t="str">
        <f t="shared" si="165"/>
        <v>Vertical</v>
      </c>
      <c r="M185" s="1029">
        <f t="shared" si="166"/>
        <v>0</v>
      </c>
      <c r="N185" s="1030" t="str">
        <f t="shared" si="167"/>
        <v>Local Grade</v>
      </c>
      <c r="P185" s="16"/>
      <c r="R185" s="35">
        <f t="shared" si="168"/>
        <v>1</v>
      </c>
      <c r="S185" s="35">
        <f t="shared" si="168"/>
        <v>3</v>
      </c>
      <c r="T185" s="287">
        <f t="shared" si="169"/>
        <v>6.001707317073171</v>
      </c>
      <c r="U185" s="287">
        <f t="shared" si="170"/>
        <v>0.97430000000000005</v>
      </c>
      <c r="V185" s="227" t="e">
        <f t="shared" ca="1" si="170"/>
        <v>#REF!</v>
      </c>
      <c r="W185" s="227" t="e">
        <f t="shared" ca="1" si="170"/>
        <v>#REF!</v>
      </c>
      <c r="X185" s="227" t="e">
        <f t="shared" ca="1" si="120"/>
        <v>#REF!</v>
      </c>
      <c r="Y185" s="6">
        <f t="shared" si="171"/>
        <v>8.5843774786833258</v>
      </c>
      <c r="Z185" s="32">
        <f t="shared" si="172"/>
        <v>3.3060503433543689</v>
      </c>
      <c r="AA185" s="32" t="e">
        <f t="shared" si="172"/>
        <v>#VALUE!</v>
      </c>
      <c r="AB185" s="42" t="e">
        <f t="shared" si="173"/>
        <v>#VALUE!</v>
      </c>
      <c r="AC185" s="6" t="e">
        <f t="shared" si="174"/>
        <v>#N/A</v>
      </c>
      <c r="AD185" s="6" t="e">
        <f t="shared" si="174"/>
        <v>#N/A</v>
      </c>
      <c r="AE185" s="6" t="e">
        <f t="shared" si="174"/>
        <v>#N/A</v>
      </c>
      <c r="AF185" s="6" t="e">
        <f t="shared" si="174"/>
        <v>#N/A</v>
      </c>
      <c r="AG185" s="44" t="e">
        <f t="shared" si="175"/>
        <v>#N/A</v>
      </c>
      <c r="AH185" s="36" t="e">
        <f t="shared" si="175"/>
        <v>#N/A</v>
      </c>
      <c r="AI185" s="36" t="e">
        <f t="shared" si="175"/>
        <v>#VALUE!</v>
      </c>
    </row>
    <row r="186" spans="2:35">
      <c r="B186" s="16" t="str">
        <f t="shared" si="157"/>
        <v>DT</v>
      </c>
      <c r="C186" s="1031"/>
      <c r="D186" s="16" t="str">
        <f t="shared" si="158"/>
        <v>296 to 425 ton BAC 1500 Cooling Tower (Each of Two Cells)</v>
      </c>
      <c r="E186" s="42" t="str">
        <f t="shared" si="159"/>
        <v>CT</v>
      </c>
      <c r="F186" s="1025">
        <f t="shared" si="160"/>
        <v>4.5731707317073171</v>
      </c>
      <c r="G186" s="1025">
        <f t="shared" si="161"/>
        <v>1.7022357723577235</v>
      </c>
      <c r="H186" s="1018" t="e">
        <f t="shared" si="162"/>
        <v>#VALUE!</v>
      </c>
      <c r="I186" s="1026" t="e">
        <f t="shared" si="117"/>
        <v>#VALUE!</v>
      </c>
      <c r="J186" s="1027">
        <f t="shared" si="163"/>
        <v>11.563896957739729</v>
      </c>
      <c r="K186" s="1028">
        <f t="shared" si="164"/>
        <v>5.081300813008129</v>
      </c>
      <c r="L186" s="42" t="str">
        <f t="shared" si="165"/>
        <v>Vertical</v>
      </c>
      <c r="M186" s="1029">
        <f t="shared" si="166"/>
        <v>0</v>
      </c>
      <c r="N186" s="1030" t="str">
        <f t="shared" si="167"/>
        <v>Local Grade</v>
      </c>
      <c r="P186" s="16"/>
      <c r="R186" s="35">
        <f t="shared" si="168"/>
        <v>1</v>
      </c>
      <c r="S186" s="35">
        <f t="shared" si="168"/>
        <v>3</v>
      </c>
      <c r="T186" s="287">
        <f t="shared" si="169"/>
        <v>6.001707317073171</v>
      </c>
      <c r="U186" s="287">
        <f t="shared" si="170"/>
        <v>0.97430000000000005</v>
      </c>
      <c r="V186" s="227" t="e">
        <f t="shared" ca="1" si="170"/>
        <v>#REF!</v>
      </c>
      <c r="W186" s="227" t="e">
        <f t="shared" ca="1" si="170"/>
        <v>#REF!</v>
      </c>
      <c r="X186" s="227" t="e">
        <f t="shared" ca="1" si="120"/>
        <v>#REF!</v>
      </c>
      <c r="Y186" s="6">
        <f t="shared" si="171"/>
        <v>2.2757749212831788</v>
      </c>
      <c r="Z186" s="32">
        <f t="shared" si="172"/>
        <v>1.7022357723577235</v>
      </c>
      <c r="AA186" s="32" t="e">
        <f t="shared" si="172"/>
        <v>#VALUE!</v>
      </c>
      <c r="AB186" s="42" t="e">
        <f t="shared" si="173"/>
        <v>#VALUE!</v>
      </c>
      <c r="AC186" s="6" t="e">
        <f t="shared" si="174"/>
        <v>#N/A</v>
      </c>
      <c r="AD186" s="6" t="e">
        <f t="shared" si="174"/>
        <v>#N/A</v>
      </c>
      <c r="AE186" s="6" t="e">
        <f t="shared" si="174"/>
        <v>#N/A</v>
      </c>
      <c r="AF186" s="6" t="e">
        <f t="shared" si="174"/>
        <v>#N/A</v>
      </c>
      <c r="AG186" s="44" t="e">
        <f t="shared" si="175"/>
        <v>#N/A</v>
      </c>
      <c r="AH186" s="36" t="e">
        <f t="shared" si="175"/>
        <v>#N/A</v>
      </c>
      <c r="AI186" s="36" t="e">
        <f t="shared" si="175"/>
        <v>#VALUE!</v>
      </c>
    </row>
    <row r="187" spans="2:35">
      <c r="B187" s="16" t="str">
        <f t="shared" si="157"/>
        <v>DU</v>
      </c>
      <c r="C187" s="1031"/>
      <c r="D187" s="16" t="str">
        <f t="shared" si="158"/>
        <v>433 to 586 ton BAC FXV Cooling Tower  (Each of Two Cells)</v>
      </c>
      <c r="E187" s="42" t="str">
        <f t="shared" si="159"/>
        <v>CT</v>
      </c>
      <c r="F187" s="1025">
        <f t="shared" si="160"/>
        <v>3.9634146341463419</v>
      </c>
      <c r="G187" s="1025">
        <f t="shared" si="161"/>
        <v>1.3973577235772359</v>
      </c>
      <c r="H187" s="1018" t="e">
        <f t="shared" si="162"/>
        <v>#VALUE!</v>
      </c>
      <c r="I187" s="1026" t="e">
        <f t="shared" si="117"/>
        <v>#VALUE!</v>
      </c>
      <c r="J187" s="1027">
        <f t="shared" si="163"/>
        <v>7.7925569831059684</v>
      </c>
      <c r="K187" s="1028">
        <f t="shared" si="164"/>
        <v>5.0813008130081299</v>
      </c>
      <c r="L187" s="42" t="str">
        <f t="shared" si="165"/>
        <v>Vertical</v>
      </c>
      <c r="M187" s="1029">
        <f t="shared" si="166"/>
        <v>0</v>
      </c>
      <c r="N187" s="1030" t="str">
        <f t="shared" si="167"/>
        <v>Local Grade</v>
      </c>
      <c r="P187" s="16"/>
      <c r="R187" s="35">
        <f t="shared" si="168"/>
        <v>1</v>
      </c>
      <c r="S187" s="35">
        <f t="shared" si="168"/>
        <v>3</v>
      </c>
      <c r="T187" s="287">
        <f t="shared" si="169"/>
        <v>6.001707317073171</v>
      </c>
      <c r="U187" s="287">
        <f t="shared" si="170"/>
        <v>0.97430000000000005</v>
      </c>
      <c r="V187" s="227" t="e">
        <f t="shared" ca="1" si="170"/>
        <v>#REF!</v>
      </c>
      <c r="W187" s="227" t="e">
        <f t="shared" ca="1" si="170"/>
        <v>#REF!</v>
      </c>
      <c r="X187" s="227" t="e">
        <f t="shared" ca="1" si="120"/>
        <v>#REF!</v>
      </c>
      <c r="Y187" s="6">
        <f t="shared" si="171"/>
        <v>1.5335752142752546</v>
      </c>
      <c r="Z187" s="32">
        <f t="shared" si="172"/>
        <v>1.3973577235772359</v>
      </c>
      <c r="AA187" s="32" t="e">
        <f t="shared" si="172"/>
        <v>#VALUE!</v>
      </c>
      <c r="AB187" s="42" t="e">
        <f t="shared" si="173"/>
        <v>#VALUE!</v>
      </c>
      <c r="AC187" s="6" t="e">
        <f t="shared" si="174"/>
        <v>#N/A</v>
      </c>
      <c r="AD187" s="6" t="e">
        <f t="shared" si="174"/>
        <v>#N/A</v>
      </c>
      <c r="AE187" s="6" t="e">
        <f t="shared" si="174"/>
        <v>#N/A</v>
      </c>
      <c r="AF187" s="6" t="e">
        <f t="shared" si="174"/>
        <v>#N/A</v>
      </c>
      <c r="AG187" s="44" t="e">
        <f t="shared" si="175"/>
        <v>#N/A</v>
      </c>
      <c r="AH187" s="36" t="e">
        <f t="shared" si="175"/>
        <v>#N/A</v>
      </c>
      <c r="AI187" s="36" t="e">
        <f t="shared" si="175"/>
        <v>#VALUE!</v>
      </c>
    </row>
    <row r="188" spans="2:35">
      <c r="B188" s="16" t="str">
        <f t="shared" si="157"/>
        <v>DV</v>
      </c>
      <c r="C188" s="1031"/>
      <c r="D188" s="16" t="str">
        <f t="shared" si="158"/>
        <v>412 to 527 ton BAC 3000 Cooling Tower (Single Cell)</v>
      </c>
      <c r="E188" s="42" t="str">
        <f t="shared" si="159"/>
        <v>CT</v>
      </c>
      <c r="F188" s="1025">
        <f t="shared" si="160"/>
        <v>3.0487804878048781</v>
      </c>
      <c r="G188" s="1025">
        <f t="shared" si="161"/>
        <v>2.8201219512195124</v>
      </c>
      <c r="H188" s="1018" t="e">
        <f t="shared" si="162"/>
        <v>#VALUE!</v>
      </c>
      <c r="I188" s="1026" t="e">
        <f t="shared" si="117"/>
        <v>#VALUE!</v>
      </c>
      <c r="J188" s="1027">
        <f t="shared" si="163"/>
        <v>31.739535401272295</v>
      </c>
      <c r="K188" s="1028">
        <f t="shared" si="164"/>
        <v>5.0813008130081325</v>
      </c>
      <c r="L188" s="42" t="str">
        <f t="shared" si="165"/>
        <v>Vertical</v>
      </c>
      <c r="M188" s="1029">
        <f t="shared" si="166"/>
        <v>0</v>
      </c>
      <c r="N188" s="1030" t="str">
        <f t="shared" si="167"/>
        <v>Local Grade</v>
      </c>
      <c r="P188" s="16"/>
      <c r="R188" s="35">
        <f t="shared" si="168"/>
        <v>1</v>
      </c>
      <c r="S188" s="35">
        <f t="shared" si="168"/>
        <v>3</v>
      </c>
      <c r="T188" s="287">
        <f t="shared" si="169"/>
        <v>6.001707317073171</v>
      </c>
      <c r="U188" s="287">
        <f t="shared" si="170"/>
        <v>0.97430000000000005</v>
      </c>
      <c r="V188" s="227" t="e">
        <f t="shared" ca="1" si="170"/>
        <v>#REF!</v>
      </c>
      <c r="W188" s="227" t="e">
        <f t="shared" ca="1" si="170"/>
        <v>#REF!</v>
      </c>
      <c r="X188" s="227" t="e">
        <f t="shared" ca="1" si="120"/>
        <v>#REF!</v>
      </c>
      <c r="Y188" s="6">
        <f t="shared" si="171"/>
        <v>6.2463405669703844</v>
      </c>
      <c r="Z188" s="32">
        <f t="shared" si="172"/>
        <v>2.8201219512195124</v>
      </c>
      <c r="AA188" s="32" t="e">
        <f t="shared" si="172"/>
        <v>#VALUE!</v>
      </c>
      <c r="AB188" s="42" t="e">
        <f t="shared" si="173"/>
        <v>#VALUE!</v>
      </c>
      <c r="AC188" s="6" t="e">
        <f t="shared" si="174"/>
        <v>#N/A</v>
      </c>
      <c r="AD188" s="6" t="e">
        <f t="shared" si="174"/>
        <v>#N/A</v>
      </c>
      <c r="AE188" s="6" t="e">
        <f t="shared" si="174"/>
        <v>#N/A</v>
      </c>
      <c r="AF188" s="6" t="e">
        <f t="shared" si="174"/>
        <v>#N/A</v>
      </c>
      <c r="AG188" s="44" t="e">
        <f t="shared" si="175"/>
        <v>#N/A</v>
      </c>
      <c r="AH188" s="36" t="e">
        <f t="shared" si="175"/>
        <v>#N/A</v>
      </c>
      <c r="AI188" s="36" t="e">
        <f t="shared" si="175"/>
        <v>#VALUE!</v>
      </c>
    </row>
    <row r="189" spans="2:35">
      <c r="B189" s="16" t="str">
        <f t="shared" si="157"/>
        <v>DW</v>
      </c>
      <c r="C189" s="1031"/>
      <c r="D189" s="16" t="str">
        <f t="shared" si="158"/>
        <v>Helicopter Exhaust (Takeoff/Landing)</v>
      </c>
      <c r="E189" s="42" t="str">
        <f t="shared" si="159"/>
        <v>HELI-LTO</v>
      </c>
      <c r="F189" s="1025">
        <f t="shared" si="160"/>
        <v>3.0487804878048781</v>
      </c>
      <c r="G189" s="1025">
        <f t="shared" si="161"/>
        <v>0.31257404032999442</v>
      </c>
      <c r="H189" s="1018">
        <f t="shared" si="162"/>
        <v>922.03888888888889</v>
      </c>
      <c r="I189" s="1026">
        <f t="shared" si="117"/>
        <v>3.0356735473541581</v>
      </c>
      <c r="J189" s="1027">
        <f t="shared" si="163"/>
        <v>7.7983118050618359</v>
      </c>
      <c r="K189" s="1028">
        <f t="shared" si="164"/>
        <v>101.62601626016261</v>
      </c>
      <c r="L189" s="42" t="str">
        <f t="shared" si="165"/>
        <v>Horizontal</v>
      </c>
      <c r="M189" s="1029">
        <f t="shared" si="166"/>
        <v>0</v>
      </c>
      <c r="N189" s="1030" t="str">
        <f t="shared" si="167"/>
        <v>Local Grade</v>
      </c>
      <c r="P189" s="16"/>
      <c r="R189" s="35">
        <f t="shared" si="168"/>
        <v>1</v>
      </c>
      <c r="S189" s="35">
        <f t="shared" si="168"/>
        <v>3</v>
      </c>
      <c r="T189" s="287">
        <f t="shared" si="169"/>
        <v>6.001707317073171</v>
      </c>
      <c r="U189" s="287">
        <f t="shared" ref="U189:W190" si="176">U91</f>
        <v>0.97430000000000005</v>
      </c>
      <c r="V189" s="227" t="e">
        <f t="shared" ca="1" si="176"/>
        <v>#REF!</v>
      </c>
      <c r="W189" s="227" t="e">
        <f t="shared" ca="1" si="176"/>
        <v>#REF!</v>
      </c>
      <c r="X189" s="227" t="e">
        <f t="shared" ca="1" si="120"/>
        <v>#REF!</v>
      </c>
      <c r="Y189" s="6">
        <f t="shared" si="171"/>
        <v>7.6735388161808457E-2</v>
      </c>
      <c r="Z189" s="32">
        <f t="shared" si="172"/>
        <v>0.31257404032999442</v>
      </c>
      <c r="AA189" s="32" t="e">
        <f t="shared" si="172"/>
        <v>#VALUE!</v>
      </c>
      <c r="AB189" s="42" t="e">
        <f t="shared" si="173"/>
        <v>#VALUE!</v>
      </c>
      <c r="AC189" s="6" t="e">
        <f t="shared" ref="AC189:AF190" si="177">AC91/(3.28^2)</f>
        <v>#N/A</v>
      </c>
      <c r="AD189" s="6" t="e">
        <f t="shared" si="177"/>
        <v>#N/A</v>
      </c>
      <c r="AE189" s="6" t="e">
        <f t="shared" si="177"/>
        <v>#N/A</v>
      </c>
      <c r="AF189" s="6" t="e">
        <f t="shared" si="177"/>
        <v>#N/A</v>
      </c>
      <c r="AG189" s="44" t="e">
        <f t="shared" ref="AG189:AI190" si="178">AG91</f>
        <v>#N/A</v>
      </c>
      <c r="AH189" s="36" t="e">
        <f t="shared" si="178"/>
        <v>#N/A</v>
      </c>
      <c r="AI189" s="36" t="e">
        <f t="shared" si="178"/>
        <v>#VALUE!</v>
      </c>
    </row>
    <row r="190" spans="2:35">
      <c r="B190" s="16" t="str">
        <f t="shared" si="157"/>
        <v>DX</v>
      </c>
      <c r="C190" s="1031"/>
      <c r="D190" s="16" t="str">
        <f t="shared" si="158"/>
        <v>Helicopter Exhaust (Idle)</v>
      </c>
      <c r="E190" s="42" t="str">
        <f t="shared" si="159"/>
        <v>HELI-Idle</v>
      </c>
      <c r="F190" s="1025">
        <f t="shared" si="160"/>
        <v>3.0487804878048781</v>
      </c>
      <c r="G190" s="1025">
        <f t="shared" si="161"/>
        <v>0.31257404032999442</v>
      </c>
      <c r="H190" s="1018">
        <f t="shared" si="162"/>
        <v>922.03888888888889</v>
      </c>
      <c r="I190" s="1026">
        <f t="shared" si="117"/>
        <v>0.7589643512493468</v>
      </c>
      <c r="J190" s="1027">
        <f t="shared" si="163"/>
        <v>1.9496960287865823</v>
      </c>
      <c r="K190" s="1028">
        <f t="shared" si="164"/>
        <v>25.408042827324284</v>
      </c>
      <c r="L190" s="42" t="str">
        <f t="shared" si="165"/>
        <v>Horizontal</v>
      </c>
      <c r="M190" s="1029">
        <f t="shared" si="166"/>
        <v>0</v>
      </c>
      <c r="N190" s="1030" t="str">
        <f t="shared" si="167"/>
        <v>Local Grade</v>
      </c>
      <c r="P190" s="16"/>
      <c r="R190" s="35">
        <f t="shared" si="168"/>
        <v>1</v>
      </c>
      <c r="S190" s="35">
        <f t="shared" si="168"/>
        <v>3</v>
      </c>
      <c r="T190" s="287">
        <f t="shared" si="169"/>
        <v>6.001707317073171</v>
      </c>
      <c r="U190" s="287">
        <f t="shared" si="176"/>
        <v>0.97430000000000005</v>
      </c>
      <c r="V190" s="227" t="e">
        <f t="shared" ca="1" si="176"/>
        <v>#REF!</v>
      </c>
      <c r="W190" s="227" t="e">
        <f t="shared" ca="1" si="176"/>
        <v>#REF!</v>
      </c>
      <c r="X190" s="227" t="e">
        <f t="shared" ca="1" si="120"/>
        <v>#REF!</v>
      </c>
      <c r="Y190" s="6">
        <f t="shared" si="171"/>
        <v>7.6735388161808457E-2</v>
      </c>
      <c r="Z190" s="32">
        <f t="shared" si="172"/>
        <v>0.31257404032999442</v>
      </c>
      <c r="AA190" s="32" t="e">
        <f t="shared" si="172"/>
        <v>#VALUE!</v>
      </c>
      <c r="AB190" s="42" t="e">
        <f t="shared" si="173"/>
        <v>#VALUE!</v>
      </c>
      <c r="AC190" s="6" t="e">
        <f t="shared" si="177"/>
        <v>#N/A</v>
      </c>
      <c r="AD190" s="6" t="e">
        <f t="shared" si="177"/>
        <v>#N/A</v>
      </c>
      <c r="AE190" s="6" t="e">
        <f t="shared" si="177"/>
        <v>#N/A</v>
      </c>
      <c r="AF190" s="6" t="e">
        <f t="shared" si="177"/>
        <v>#N/A</v>
      </c>
      <c r="AG190" s="44" t="e">
        <f t="shared" si="178"/>
        <v>#N/A</v>
      </c>
      <c r="AH190" s="36" t="e">
        <f t="shared" si="178"/>
        <v>#N/A</v>
      </c>
      <c r="AI190" s="36" t="e">
        <f t="shared" si="178"/>
        <v>#VALUE!</v>
      </c>
    </row>
    <row r="191" spans="2:35">
      <c r="B191" s="16"/>
      <c r="C191" s="1031"/>
      <c r="D191" s="16"/>
      <c r="E191" s="42"/>
      <c r="F191" s="1025"/>
      <c r="G191" s="1025"/>
      <c r="H191" s="1018"/>
      <c r="I191" s="1026"/>
      <c r="J191" s="1027"/>
      <c r="K191" s="1028"/>
      <c r="L191" s="42"/>
      <c r="M191" s="1029"/>
      <c r="N191" s="1030"/>
      <c r="P191" s="16"/>
      <c r="R191" s="35"/>
      <c r="S191" s="35"/>
      <c r="T191" s="219"/>
      <c r="U191" s="219"/>
      <c r="V191" s="32"/>
      <c r="W191" s="32"/>
      <c r="X191" s="32"/>
      <c r="Y191" s="6"/>
      <c r="Z191" s="32"/>
      <c r="AA191" s="32"/>
      <c r="AB191" s="42"/>
      <c r="AC191" s="6"/>
      <c r="AD191" s="6"/>
      <c r="AE191" s="6"/>
      <c r="AF191" s="6"/>
      <c r="AG191" s="44"/>
      <c r="AH191" s="36"/>
      <c r="AI191" s="36"/>
    </row>
    <row r="192" spans="2:35">
      <c r="B192" s="45" t="str">
        <f>C94</f>
        <v>Simulated Air Handling Units</v>
      </c>
      <c r="C192" s="1023"/>
      <c r="D192" s="16"/>
      <c r="E192" s="42"/>
      <c r="F192" s="1025"/>
      <c r="G192" s="1025"/>
      <c r="H192" s="1018"/>
      <c r="I192" s="1026"/>
      <c r="J192" s="1027"/>
      <c r="K192" s="1028"/>
      <c r="L192" s="42"/>
      <c r="M192" s="1029"/>
      <c r="N192" s="1030"/>
      <c r="P192" s="16"/>
      <c r="R192" s="35"/>
      <c r="S192" s="35"/>
      <c r="T192" s="219"/>
      <c r="U192" s="219"/>
      <c r="V192" s="32"/>
      <c r="W192" s="32"/>
      <c r="X192" s="32"/>
      <c r="Y192" s="6"/>
      <c r="Z192" s="32"/>
      <c r="AA192" s="32"/>
      <c r="AB192" s="42"/>
      <c r="AC192" s="6"/>
      <c r="AD192" s="6"/>
      <c r="AE192" s="6"/>
      <c r="AF192" s="6"/>
      <c r="AG192" s="44"/>
      <c r="AH192" s="36"/>
      <c r="AI192" s="36"/>
    </row>
    <row r="193" spans="2:35">
      <c r="B193" s="42">
        <f>$B95</f>
        <v>1</v>
      </c>
      <c r="C193" s="270"/>
      <c r="D193" s="16" t="str">
        <f>$D95</f>
        <v>Lab Air Handling Unit 1</v>
      </c>
      <c r="E193" s="42" t="str">
        <f>$E95</f>
        <v>AHU Labs-1</v>
      </c>
      <c r="F193" s="1025">
        <f>$F95/3.28</f>
        <v>1.524390243902439</v>
      </c>
      <c r="G193" s="1025">
        <f>$G95/(12*3.28)</f>
        <v>4.3851626016260159</v>
      </c>
      <c r="H193" s="1018" t="e">
        <f>($H95-32)*(5/9)+273.15</f>
        <v>#VALUE!</v>
      </c>
      <c r="I193" s="1026" t="e">
        <f>1.225*(293/$H193)*$J193</f>
        <v>#VALUE!</v>
      </c>
      <c r="J193" s="1027">
        <f>$J95/(60*3.28^3)</f>
        <v>47.231008449287359</v>
      </c>
      <c r="K193" s="1028">
        <f>$K95/(3.28*60)</f>
        <v>3.1272739979430924</v>
      </c>
      <c r="L193" s="42" t="str">
        <f>$L95</f>
        <v>Horiz</v>
      </c>
      <c r="M193" s="1029">
        <f>M95/3.28</f>
        <v>0</v>
      </c>
      <c r="N193" s="1030" t="str">
        <f>$N95</f>
        <v>Roof</v>
      </c>
      <c r="P193" s="16"/>
      <c r="R193" s="35">
        <f t="shared" ref="R193:S195" si="179">R95</f>
        <v>3</v>
      </c>
      <c r="S193" s="35">
        <f t="shared" si="179"/>
        <v>3</v>
      </c>
      <c r="T193" s="287">
        <f>T95*(5280/3.28)*(1/3600)</f>
        <v>6.001707317073171</v>
      </c>
      <c r="U193" s="287">
        <f t="shared" ref="U193:W195" si="180">U95</f>
        <v>1</v>
      </c>
      <c r="V193" s="227" t="e">
        <f t="shared" ca="1" si="180"/>
        <v>#VALUE!</v>
      </c>
      <c r="W193" s="227" t="e">
        <f t="shared" ca="1" si="180"/>
        <v>#N/A</v>
      </c>
      <c r="X193" s="227" t="e">
        <f ca="1">W193</f>
        <v>#N/A</v>
      </c>
      <c r="Y193" s="6">
        <f>Y95/(3.28^2)</f>
        <v>15.102932611709976</v>
      </c>
      <c r="Z193" s="32">
        <f t="shared" ref="Z193:AA195" si="181">Z95/(3.28*12)</f>
        <v>4.3851626016260159</v>
      </c>
      <c r="AA193" s="32" t="e">
        <f t="shared" si="181"/>
        <v>#VALUE!</v>
      </c>
      <c r="AB193" s="42" t="e">
        <f>AB95</f>
        <v>#N/A</v>
      </c>
      <c r="AC193" s="6" t="e">
        <f t="shared" ref="AC193:AF195" si="182">AC95/(3.28^2)</f>
        <v>#N/A</v>
      </c>
      <c r="AD193" s="6" t="e">
        <f t="shared" si="182"/>
        <v>#N/A</v>
      </c>
      <c r="AE193" s="6" t="e">
        <f t="shared" si="182"/>
        <v>#N/A</v>
      </c>
      <c r="AF193" s="6" t="e">
        <f t="shared" si="182"/>
        <v>#N/A</v>
      </c>
      <c r="AG193" s="44" t="e">
        <f t="shared" ref="AG193:AI195" si="183">AG95</f>
        <v>#N/A</v>
      </c>
      <c r="AH193" s="36" t="e">
        <f t="shared" si="183"/>
        <v>#N/A</v>
      </c>
      <c r="AI193" s="36" t="e">
        <f t="shared" si="183"/>
        <v>#VALUE!</v>
      </c>
    </row>
    <row r="194" spans="2:35">
      <c r="B194" s="42">
        <f>$B96</f>
        <v>2</v>
      </c>
      <c r="C194" s="270"/>
      <c r="D194" s="16" t="str">
        <f>$D96</f>
        <v>Lab Air Handling Unit 2</v>
      </c>
      <c r="E194" s="42" t="str">
        <f>$E96</f>
        <v>AHU Labs-2</v>
      </c>
      <c r="F194" s="1025">
        <f>$F96/3.28</f>
        <v>1.524390243902439</v>
      </c>
      <c r="G194" s="1025">
        <f>$G96/(12*3.28)</f>
        <v>4.3851626016260159</v>
      </c>
      <c r="H194" s="1018" t="e">
        <f>($H96-32)*(5/9)+273.15</f>
        <v>#VALUE!</v>
      </c>
      <c r="I194" s="1026" t="e">
        <f>1.225*(293/$H194)*$J194</f>
        <v>#VALUE!</v>
      </c>
      <c r="J194" s="1027">
        <f>$J96/(60*3.28^3)</f>
        <v>94.462016898574717</v>
      </c>
      <c r="K194" s="1028">
        <f>$K96/(3.28*60)</f>
        <v>6.2545479958861847</v>
      </c>
      <c r="L194" s="42" t="str">
        <f>$L96</f>
        <v>Horiz</v>
      </c>
      <c r="M194" s="1029">
        <f>M96/3.28</f>
        <v>0</v>
      </c>
      <c r="N194" s="1030" t="str">
        <f>$N96</f>
        <v>Roof</v>
      </c>
      <c r="P194" s="16"/>
      <c r="R194" s="35">
        <f t="shared" si="179"/>
        <v>3</v>
      </c>
      <c r="S194" s="35">
        <f t="shared" si="179"/>
        <v>3</v>
      </c>
      <c r="T194" s="287">
        <f>T96*(5280/3.28)*(1/3600)</f>
        <v>6.001707317073171</v>
      </c>
      <c r="U194" s="287">
        <f t="shared" si="180"/>
        <v>1</v>
      </c>
      <c r="V194" s="227" t="e">
        <f t="shared" ca="1" si="180"/>
        <v>#VALUE!</v>
      </c>
      <c r="W194" s="227" t="e">
        <f t="shared" ca="1" si="180"/>
        <v>#N/A</v>
      </c>
      <c r="X194" s="227" t="e">
        <f ca="1">W194</f>
        <v>#N/A</v>
      </c>
      <c r="Y194" s="6">
        <f>Y96/(3.28^2)</f>
        <v>15.102932611709976</v>
      </c>
      <c r="Z194" s="32">
        <f t="shared" si="181"/>
        <v>4.3851626016260159</v>
      </c>
      <c r="AA194" s="32" t="e">
        <f t="shared" si="181"/>
        <v>#VALUE!</v>
      </c>
      <c r="AB194" s="42" t="e">
        <f>AB96</f>
        <v>#N/A</v>
      </c>
      <c r="AC194" s="6" t="e">
        <f t="shared" si="182"/>
        <v>#N/A</v>
      </c>
      <c r="AD194" s="6" t="e">
        <f t="shared" si="182"/>
        <v>#N/A</v>
      </c>
      <c r="AE194" s="6" t="e">
        <f t="shared" si="182"/>
        <v>#N/A</v>
      </c>
      <c r="AF194" s="6" t="e">
        <f t="shared" si="182"/>
        <v>#N/A</v>
      </c>
      <c r="AG194" s="44" t="e">
        <f t="shared" si="183"/>
        <v>#N/A</v>
      </c>
      <c r="AH194" s="36" t="e">
        <f t="shared" si="183"/>
        <v>#N/A</v>
      </c>
      <c r="AI194" s="36" t="e">
        <f t="shared" si="183"/>
        <v>#VALUE!</v>
      </c>
    </row>
    <row r="195" spans="2:35">
      <c r="B195" s="42">
        <f>$B97</f>
        <v>3</v>
      </c>
      <c r="C195" s="270"/>
      <c r="D195" s="16" t="str">
        <f>$D97</f>
        <v>Lab Air Handling Unit 3</v>
      </c>
      <c r="E195" s="42" t="str">
        <f>$E97</f>
        <v>AHU Labs-3</v>
      </c>
      <c r="F195" s="1025">
        <f>$F97/3.28</f>
        <v>1.524390243902439</v>
      </c>
      <c r="G195" s="1025">
        <f>$G97/(12*3.28)</f>
        <v>4.3851626016260159</v>
      </c>
      <c r="H195" s="1018" t="e">
        <f>($H97-32)*(5/9)+273.15</f>
        <v>#VALUE!</v>
      </c>
      <c r="I195" s="1026" t="e">
        <f>1.225*(293/$H195)*$J195</f>
        <v>#VALUE!</v>
      </c>
      <c r="J195" s="1027">
        <f>$J97/(60*3.28^3)</f>
        <v>188.92403379714943</v>
      </c>
      <c r="K195" s="1028">
        <f>$K97/(3.28*60)</f>
        <v>12.509095991772369</v>
      </c>
      <c r="L195" s="42" t="str">
        <f>$L97</f>
        <v>Horiz</v>
      </c>
      <c r="M195" s="1029">
        <f>M97/3.28</f>
        <v>0</v>
      </c>
      <c r="N195" s="1030" t="str">
        <f>$N97</f>
        <v>Roof</v>
      </c>
      <c r="P195" s="16"/>
      <c r="R195" s="35">
        <f t="shared" si="179"/>
        <v>3</v>
      </c>
      <c r="S195" s="35">
        <f t="shared" si="179"/>
        <v>3</v>
      </c>
      <c r="T195" s="287">
        <f>T97*(5280/3.28)*(1/3600)</f>
        <v>6.001707317073171</v>
      </c>
      <c r="U195" s="287">
        <f t="shared" si="180"/>
        <v>1</v>
      </c>
      <c r="V195" s="227" t="e">
        <f t="shared" ca="1" si="180"/>
        <v>#VALUE!</v>
      </c>
      <c r="W195" s="227" t="e">
        <f t="shared" ca="1" si="180"/>
        <v>#N/A</v>
      </c>
      <c r="X195" s="227" t="e">
        <f ca="1">W195</f>
        <v>#N/A</v>
      </c>
      <c r="Y195" s="6">
        <f>Y97/(3.28^2)</f>
        <v>15.102932611709976</v>
      </c>
      <c r="Z195" s="32">
        <f t="shared" si="181"/>
        <v>4.3851626016260159</v>
      </c>
      <c r="AA195" s="32" t="e">
        <f t="shared" si="181"/>
        <v>#VALUE!</v>
      </c>
      <c r="AB195" s="42" t="e">
        <f>AB97</f>
        <v>#N/A</v>
      </c>
      <c r="AC195" s="6" t="e">
        <f t="shared" si="182"/>
        <v>#N/A</v>
      </c>
      <c r="AD195" s="6" t="e">
        <f t="shared" si="182"/>
        <v>#N/A</v>
      </c>
      <c r="AE195" s="6" t="e">
        <f t="shared" si="182"/>
        <v>#N/A</v>
      </c>
      <c r="AF195" s="6" t="e">
        <f t="shared" si="182"/>
        <v>#N/A</v>
      </c>
      <c r="AG195" s="44" t="e">
        <f t="shared" si="183"/>
        <v>#N/A</v>
      </c>
      <c r="AH195" s="36" t="e">
        <f t="shared" si="183"/>
        <v>#N/A</v>
      </c>
      <c r="AI195" s="36" t="e">
        <f t="shared" si="183"/>
        <v>#VALUE!</v>
      </c>
    </row>
    <row r="196" spans="2:35">
      <c r="B196" s="55"/>
      <c r="C196" s="1032"/>
      <c r="D196" s="55"/>
      <c r="E196" s="61"/>
      <c r="F196" s="40"/>
      <c r="G196" s="56"/>
      <c r="H196" s="237"/>
      <c r="I196" s="238"/>
      <c r="J196" s="239"/>
      <c r="K196" s="238"/>
      <c r="L196" s="29"/>
      <c r="M196" s="323"/>
      <c r="N196" s="1022"/>
      <c r="P196" s="1"/>
      <c r="R196" s="59"/>
      <c r="S196" s="59"/>
      <c r="T196" s="40"/>
      <c r="U196" s="60"/>
      <c r="V196" s="56"/>
      <c r="W196" s="56"/>
      <c r="X196" s="56"/>
      <c r="Y196" s="39"/>
      <c r="Z196" s="56"/>
      <c r="AA196" s="56"/>
      <c r="AB196" s="61"/>
      <c r="AC196" s="39"/>
      <c r="AD196" s="39"/>
      <c r="AE196" s="39"/>
      <c r="AF196" s="39"/>
      <c r="AG196" s="62"/>
      <c r="AH196" s="62"/>
      <c r="AI196" s="58"/>
    </row>
    <row r="197" spans="2:35">
      <c r="H197" s="235"/>
    </row>
    <row r="210" spans="4:6">
      <c r="D210" s="63"/>
      <c r="E210" s="140"/>
      <c r="F210" s="63"/>
    </row>
    <row r="211" spans="4:6">
      <c r="D211" s="240" t="s">
        <v>719</v>
      </c>
      <c r="E211" s="414">
        <f>[5]!xlsBuildingTerrainFlag</f>
        <v>1</v>
      </c>
      <c r="F211" s="240" t="s">
        <v>720</v>
      </c>
    </row>
    <row r="212" spans="4:6">
      <c r="D212" s="240" t="s">
        <v>819</v>
      </c>
      <c r="E212" s="45" t="str">
        <f>[5]!xlsHeightGradientSite</f>
        <v>Gradient Height</v>
      </c>
      <c r="F212" s="15"/>
    </row>
    <row r="213" spans="4:6">
      <c r="D213" s="240" t="s">
        <v>77</v>
      </c>
      <c r="E213" s="45">
        <f>[5]!xlsHeightGradeModel</f>
        <v>5000</v>
      </c>
    </row>
    <row r="214" spans="4:6">
      <c r="D214" s="240" t="s">
        <v>81</v>
      </c>
      <c r="E214" s="45">
        <f>[5]!xlsAmbientTemperatureModeC</f>
        <v>20</v>
      </c>
    </row>
  </sheetData>
  <mergeCells count="16">
    <mergeCell ref="P17:Q17"/>
    <mergeCell ref="P18:Q18"/>
    <mergeCell ref="T112:U112"/>
    <mergeCell ref="R13:S13"/>
    <mergeCell ref="T13:U13"/>
    <mergeCell ref="T14:U14"/>
    <mergeCell ref="V113:W113"/>
    <mergeCell ref="R111:S111"/>
    <mergeCell ref="T111:U111"/>
    <mergeCell ref="V112:W112"/>
    <mergeCell ref="AA13:AH13"/>
    <mergeCell ref="AA111:AH111"/>
    <mergeCell ref="V14:W14"/>
    <mergeCell ref="V13:X13"/>
    <mergeCell ref="V15:W15"/>
    <mergeCell ref="V111:W111"/>
  </mergeCells>
  <phoneticPr fontId="0" type="noConversion"/>
  <pageMargins left="1.00000003973643E-2" right="1.00000003973643E-2" top="1.00000003973643E-2" bottom="9.9999997350904701E-2" header="1.00000003973643E-2" footer="1.00000003973643E-2"/>
  <pageSetup paperSize="204" fitToHeight="0" orientation="landscape" useFirstPageNumber="1" r:id="rId1"/>
  <headerFooter scaleWithDoc="0" alignWithMargins="0">
    <oddFooter>&amp;C&amp;9Page &amp;P of &amp;N</oddFooter>
  </headerFooter>
  <rowBreaks count="2" manualBreakCount="2">
    <brk id="67" min="2" max="13" man="1"/>
    <brk id="112" min="1" max="12" man="1"/>
  </row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00"/>
    <pageSetUpPr fitToPage="1"/>
  </sheetPr>
  <dimension ref="B1:P94"/>
  <sheetViews>
    <sheetView view="pageBreakPreview" zoomScale="60" zoomScaleNormal="75" workbookViewId="0">
      <selection activeCell="E22" sqref="E22"/>
    </sheetView>
  </sheetViews>
  <sheetFormatPr defaultRowHeight="15.75"/>
  <cols>
    <col min="2" max="2" width="11.75" customWidth="1"/>
    <col min="3" max="3" width="7.625" customWidth="1"/>
    <col min="4" max="4" width="10.25" customWidth="1"/>
    <col min="5" max="5" width="14" customWidth="1"/>
    <col min="6" max="8" width="12.125" customWidth="1"/>
    <col min="9" max="9" width="11.625" customWidth="1"/>
    <col min="10" max="11" width="11.75" customWidth="1"/>
    <col min="12" max="12" width="16.375" customWidth="1"/>
    <col min="13" max="13" width="25.5" customWidth="1"/>
    <col min="14" max="14" width="11.125" customWidth="1"/>
    <col min="15" max="15" width="11.625" bestFit="1" customWidth="1"/>
    <col min="16" max="16" width="11.875" bestFit="1" customWidth="1"/>
  </cols>
  <sheetData>
    <row r="1" spans="2:16" ht="20.25">
      <c r="C1" s="120" t="str">
        <f>SourceProjectName1</f>
        <v>Project Name 1</v>
      </c>
      <c r="J1" s="329"/>
      <c r="K1" s="107" t="s">
        <v>130</v>
      </c>
      <c r="L1" s="1715">
        <f ca="1">NOW()</f>
        <v>44384.464723611112</v>
      </c>
      <c r="M1" s="1715"/>
      <c r="N1" s="329"/>
    </row>
    <row r="2" spans="2:16" ht="20.25">
      <c r="C2" s="120" t="str">
        <f>SourceProjectName2</f>
        <v>Project Name 2</v>
      </c>
      <c r="J2" s="330"/>
      <c r="K2" s="107" t="s">
        <v>131</v>
      </c>
      <c r="L2" s="330">
        <f ca="1">NOW()</f>
        <v>44384.464723611112</v>
      </c>
      <c r="M2" s="330"/>
      <c r="N2" s="330"/>
    </row>
    <row r="3" spans="2:16" ht="20.25">
      <c r="C3" s="120" t="str">
        <f>'Stack Summary'!$D$3</f>
        <v>Project Number</v>
      </c>
      <c r="I3" s="330"/>
      <c r="J3" s="330"/>
      <c r="K3" s="704" t="s">
        <v>611</v>
      </c>
      <c r="L3" s="330" t="str">
        <f>[5]!xlsProjectManager</f>
        <v>initials</v>
      </c>
      <c r="M3" s="330"/>
      <c r="N3" s="330"/>
    </row>
    <row r="4" spans="2:16" ht="20.25">
      <c r="C4" s="150" t="s">
        <v>135</v>
      </c>
      <c r="K4" s="107" t="s">
        <v>1178</v>
      </c>
      <c r="L4" s="330" t="str">
        <f>[5]!xlsProjectEngineer</f>
        <v>initials</v>
      </c>
    </row>
    <row r="5" spans="2:16" ht="16.5" thickBot="1">
      <c r="B5" s="623"/>
      <c r="C5" s="634" t="s">
        <v>137</v>
      </c>
      <c r="D5" s="623"/>
      <c r="E5" s="623"/>
      <c r="F5" s="623"/>
      <c r="G5" s="623"/>
      <c r="H5" s="623"/>
      <c r="I5" s="623"/>
      <c r="J5" s="623"/>
      <c r="K5" s="107" t="s">
        <v>612</v>
      </c>
      <c r="L5" s="705" t="str">
        <f>SF</f>
        <v>scale</v>
      </c>
      <c r="N5" s="623"/>
    </row>
    <row r="6" spans="2:16" ht="16.5" thickTop="1">
      <c r="B6" s="676"/>
      <c r="C6" s="1033" t="s">
        <v>663</v>
      </c>
      <c r="D6" s="1711" t="s">
        <v>124</v>
      </c>
      <c r="E6" s="1712"/>
      <c r="F6" s="1711" t="s">
        <v>850</v>
      </c>
      <c r="G6" s="1716"/>
      <c r="H6" s="635"/>
      <c r="I6" s="92"/>
      <c r="J6" s="632"/>
      <c r="K6" s="633"/>
      <c r="L6" s="335"/>
      <c r="M6" s="618"/>
    </row>
    <row r="7" spans="2:16">
      <c r="B7" s="678" t="s">
        <v>663</v>
      </c>
      <c r="C7" s="629" t="s">
        <v>1176</v>
      </c>
      <c r="D7" s="1713" t="s">
        <v>508</v>
      </c>
      <c r="E7" s="1714"/>
      <c r="F7" s="1710" t="s">
        <v>667</v>
      </c>
      <c r="G7" s="1701"/>
      <c r="H7" s="5"/>
      <c r="J7" s="336" t="s">
        <v>432</v>
      </c>
      <c r="K7" s="146" t="s">
        <v>433</v>
      </c>
      <c r="L7" s="336" t="s">
        <v>682</v>
      </c>
      <c r="M7" s="619" t="s">
        <v>849</v>
      </c>
      <c r="N7" s="5" t="s">
        <v>704</v>
      </c>
      <c r="O7" s="5" t="s">
        <v>116</v>
      </c>
    </row>
    <row r="8" spans="2:16" ht="20.25">
      <c r="B8" s="678" t="s">
        <v>1176</v>
      </c>
      <c r="C8" s="629" t="s">
        <v>591</v>
      </c>
      <c r="D8" s="410" t="s">
        <v>138</v>
      </c>
      <c r="E8" s="21" t="s">
        <v>139</v>
      </c>
      <c r="F8" s="1710" t="s">
        <v>124</v>
      </c>
      <c r="G8" s="1701"/>
      <c r="H8" s="5"/>
      <c r="I8" s="619" t="s">
        <v>141</v>
      </c>
      <c r="J8" s="336" t="s">
        <v>434</v>
      </c>
      <c r="K8" s="146" t="s">
        <v>435</v>
      </c>
      <c r="L8" s="336"/>
      <c r="M8" s="619"/>
      <c r="N8" s="5" t="s">
        <v>707</v>
      </c>
      <c r="O8" s="5" t="s">
        <v>142</v>
      </c>
      <c r="P8" s="5" t="s">
        <v>563</v>
      </c>
    </row>
    <row r="9" spans="2:16">
      <c r="B9" s="678" t="s">
        <v>665</v>
      </c>
      <c r="C9" s="629" t="s">
        <v>1177</v>
      </c>
      <c r="D9" s="412" t="s">
        <v>507</v>
      </c>
      <c r="E9" s="21" t="s">
        <v>140</v>
      </c>
      <c r="F9" s="20" t="s">
        <v>362</v>
      </c>
      <c r="G9" s="21" t="s">
        <v>222</v>
      </c>
      <c r="H9" s="20" t="s">
        <v>681</v>
      </c>
      <c r="I9" s="619" t="s">
        <v>567</v>
      </c>
      <c r="J9" s="336"/>
      <c r="K9" s="146"/>
      <c r="L9" s="336"/>
      <c r="M9" s="619"/>
      <c r="N9" s="5" t="s">
        <v>708</v>
      </c>
      <c r="P9" s="5" t="s">
        <v>564</v>
      </c>
    </row>
    <row r="10" spans="2:16">
      <c r="B10" s="679"/>
      <c r="C10" s="383"/>
      <c r="D10" s="411" t="s">
        <v>672</v>
      </c>
      <c r="E10" s="50" t="s">
        <v>672</v>
      </c>
      <c r="F10" s="411" t="s">
        <v>672</v>
      </c>
      <c r="G10" s="411" t="s">
        <v>672</v>
      </c>
      <c r="H10" s="49"/>
      <c r="I10" s="714" t="s">
        <v>566</v>
      </c>
      <c r="J10" s="337"/>
      <c r="K10" s="334"/>
      <c r="L10" s="621"/>
      <c r="M10" s="622"/>
      <c r="N10" s="5"/>
      <c r="P10" s="5" t="s">
        <v>565</v>
      </c>
    </row>
    <row r="11" spans="2:16">
      <c r="B11" s="677"/>
      <c r="C11" s="448"/>
      <c r="D11" s="90"/>
      <c r="E11" s="37"/>
      <c r="F11" s="37"/>
      <c r="G11" s="73"/>
      <c r="H11" s="33"/>
      <c r="I11" s="96"/>
      <c r="J11" s="338"/>
      <c r="K11" s="147"/>
      <c r="L11" s="338"/>
      <c r="M11" s="96"/>
    </row>
    <row r="12" spans="2:16">
      <c r="B12" s="677"/>
      <c r="C12" s="641" t="str">
        <f>'Stack Summary'!$C22</f>
        <v>Project Name 2</v>
      </c>
      <c r="D12" s="90"/>
      <c r="E12" s="37"/>
      <c r="F12" s="37"/>
      <c r="G12" s="90"/>
      <c r="H12" s="33"/>
      <c r="I12" s="96"/>
      <c r="J12" s="338"/>
      <c r="K12" s="147"/>
      <c r="L12" s="338"/>
      <c r="M12" s="96"/>
    </row>
    <row r="13" spans="2:16">
      <c r="B13" s="680" t="str">
        <f>INDEX(SourceID,MATCH($C13,SourceNumber,0),1,1)</f>
        <v>EF-1</v>
      </c>
      <c r="C13" s="682" t="s">
        <v>885</v>
      </c>
      <c r="D13" s="617" t="e">
        <f>IF(OR(INDEX(SourceExhaustShapeFlag,MATCH($C13,SourceNumber,0),1,1)=1,INDEX(SourceExhaustShapeFlag,MATCH($C13,SourceNumber,0),1,1)=3),CONCATENATE(INDEX(SelectedModelIDRound,MATCH($C13,SourceNumber,0),1,1)+1,"/32"),NA())</f>
        <v>#VALUE!</v>
      </c>
      <c r="E13" s="276" t="e">
        <f>IF(INDEX(SourceExhaustShapeFlag,MATCH($C13,SourceNumber,0),1,1)=2,CONCATENATE(INDEX(SelectedModelSizeSquare,MATCH($C13,SourceNumber,0),1,1),"/32"),NA())</f>
        <v>#N/A</v>
      </c>
      <c r="F13" s="277" t="e">
        <f t="shared" ref="F13:F24" si="0">(INDEX(SourceHeightAboveBase,MATCH($C13,SourceNumber,0),1,1)*3.28)*12/SF</f>
        <v>#VALUE!</v>
      </c>
      <c r="G13" s="88" t="e">
        <f>ROUND(F13*2,2)</f>
        <v>#VALUE!</v>
      </c>
      <c r="H13" s="82" t="str">
        <f t="shared" ref="H13:H24" si="1">(INDEX(SourceOrientation,MATCH($C13,SourceNumber,0),1,1))</f>
        <v>Vertical</v>
      </c>
      <c r="I13" s="716" t="s">
        <v>568</v>
      </c>
      <c r="J13" s="339"/>
      <c r="K13" s="278"/>
      <c r="L13" s="339" t="str">
        <f t="shared" ref="L13:L56" si="2">INDEX(SourceComment,MATCH($C13,SourceNumber,0),1,1)</f>
        <v>Main Roof</v>
      </c>
      <c r="M13" s="352"/>
      <c r="N13" s="24">
        <f ca="1">INDIRECT(ADDRESS(53,7,1,,$C13))</f>
        <v>0.97430000000000005</v>
      </c>
      <c r="O13" s="8">
        <f ca="1">IF(N13&lt;0.9743,670,2000)</f>
        <v>2000</v>
      </c>
      <c r="P13" s="6" t="e">
        <f ca="1">IF(INDIRECT(ADDRESS(55,7,1,,$C13))&gt;O13,"NO","YES")</f>
        <v>#VALUE!</v>
      </c>
    </row>
    <row r="14" spans="2:16">
      <c r="B14" s="680" t="str">
        <f t="shared" ref="B14:B82" si="3">INDEX(SourceID,MATCH($C14,SourceNumber,0),1,1)</f>
        <v>EF-2</v>
      </c>
      <c r="C14" s="442" t="str">
        <f t="shared" ref="C14:C24" si="4">IF((RIGHT(C13,1))&lt;&gt;"Z",CHAR(CODE(C13))&amp;CHAR(CODE(RIGHT(C13,1))+1),CHAR(CODE(C13)+1)&amp;"A")</f>
        <v>AB</v>
      </c>
      <c r="D14" s="617" t="e">
        <f t="shared" ref="D14:D88" si="5">IF(OR(INDEX(SourceExhaustShapeFlag,MATCH($C14,SourceNumber,0),1,1)=1,INDEX(SourceExhaustShapeFlag,MATCH($C14,SourceNumber,0),1,1)=3),CONCATENATE(INDEX(SelectedModelIDRound,MATCH($C14,SourceNumber,0),1,1)+1,"/32"),NA())</f>
        <v>#VALUE!</v>
      </c>
      <c r="E14" s="276" t="e">
        <f t="shared" ref="E14:E88" si="6">IF(INDEX(SourceExhaustShapeFlag,MATCH($C14,SourceNumber,0),1,1)=2,CONCATENATE(INDEX(SelectedModelSizeSquare,MATCH($C14,SourceNumber,0),1,1),"/32"),NA())</f>
        <v>#N/A</v>
      </c>
      <c r="F14" s="277" t="e">
        <f t="shared" si="0"/>
        <v>#VALUE!</v>
      </c>
      <c r="G14" s="88" t="e">
        <f t="shared" ref="G14:G24" si="7">ROUND(F14*2,2)</f>
        <v>#VALUE!</v>
      </c>
      <c r="H14" s="82" t="str">
        <f t="shared" si="1"/>
        <v>Vertical</v>
      </c>
      <c r="I14" s="716" t="s">
        <v>568</v>
      </c>
      <c r="J14" s="339"/>
      <c r="K14" s="278"/>
      <c r="L14" s="339" t="str">
        <f t="shared" si="2"/>
        <v>Main Roof</v>
      </c>
      <c r="M14" s="352"/>
      <c r="N14" s="24">
        <f t="shared" ref="N14:N24" ca="1" si="8">INDIRECT(ADDRESS(53,7,1,,$C14))</f>
        <v>0.97430000000000005</v>
      </c>
      <c r="O14" s="8">
        <f t="shared" ref="O14:O88" ca="1" si="9">IF(N14&lt;0.9743,670,2000)</f>
        <v>2000</v>
      </c>
      <c r="P14" s="6" t="e">
        <f t="shared" ref="P14:P77" ca="1" si="10">IF(INDIRECT(ADDRESS(55,7,1,,$C14))&gt;O14,"NO","YES")</f>
        <v>#VALUE!</v>
      </c>
    </row>
    <row r="15" spans="2:16">
      <c r="B15" s="680" t="str">
        <f t="shared" si="3"/>
        <v>EF-3</v>
      </c>
      <c r="C15" s="442" t="str">
        <f t="shared" si="4"/>
        <v>AC</v>
      </c>
      <c r="D15" s="617" t="e">
        <f t="shared" si="5"/>
        <v>#VALUE!</v>
      </c>
      <c r="E15" s="276" t="e">
        <f t="shared" si="6"/>
        <v>#N/A</v>
      </c>
      <c r="F15" s="277" t="e">
        <f t="shared" si="0"/>
        <v>#VALUE!</v>
      </c>
      <c r="G15" s="88" t="e">
        <f t="shared" si="7"/>
        <v>#VALUE!</v>
      </c>
      <c r="H15" s="82" t="str">
        <f t="shared" si="1"/>
        <v>Vertical</v>
      </c>
      <c r="I15" s="716" t="s">
        <v>568</v>
      </c>
      <c r="J15" s="339"/>
      <c r="K15" s="278"/>
      <c r="L15" s="339" t="str">
        <f t="shared" si="2"/>
        <v>Main Roof</v>
      </c>
      <c r="M15" s="352"/>
      <c r="N15" s="24">
        <f t="shared" ca="1" si="8"/>
        <v>0.97430000000000005</v>
      </c>
      <c r="O15" s="8">
        <f t="shared" ca="1" si="9"/>
        <v>2000</v>
      </c>
      <c r="P15" s="6" t="e">
        <f t="shared" ca="1" si="10"/>
        <v>#VALUE!</v>
      </c>
    </row>
    <row r="16" spans="2:16">
      <c r="B16" s="680" t="str">
        <f t="shared" si="3"/>
        <v>EF-4</v>
      </c>
      <c r="C16" s="442" t="str">
        <f t="shared" si="4"/>
        <v>AD</v>
      </c>
      <c r="D16" s="617" t="e">
        <f t="shared" si="5"/>
        <v>#VALUE!</v>
      </c>
      <c r="E16" s="276" t="e">
        <f t="shared" si="6"/>
        <v>#N/A</v>
      </c>
      <c r="F16" s="277" t="e">
        <f t="shared" si="0"/>
        <v>#VALUE!</v>
      </c>
      <c r="G16" s="88" t="e">
        <f t="shared" si="7"/>
        <v>#VALUE!</v>
      </c>
      <c r="H16" s="82" t="str">
        <f t="shared" si="1"/>
        <v>Vertical</v>
      </c>
      <c r="I16" s="716" t="s">
        <v>568</v>
      </c>
      <c r="J16" s="339"/>
      <c r="K16" s="278"/>
      <c r="L16" s="339" t="str">
        <f t="shared" si="2"/>
        <v>Main Roof</v>
      </c>
      <c r="M16" s="352"/>
      <c r="N16" s="24">
        <f t="shared" ca="1" si="8"/>
        <v>0.97430000000000005</v>
      </c>
      <c r="O16" s="8">
        <f t="shared" ca="1" si="9"/>
        <v>2000</v>
      </c>
      <c r="P16" s="6" t="e">
        <f t="shared" ca="1" si="10"/>
        <v>#VALUE!</v>
      </c>
    </row>
    <row r="17" spans="2:16">
      <c r="B17" s="680" t="str">
        <f t="shared" si="3"/>
        <v>EF-5</v>
      </c>
      <c r="C17" s="442" t="str">
        <f t="shared" si="4"/>
        <v>AE</v>
      </c>
      <c r="D17" s="617" t="e">
        <f t="shared" si="5"/>
        <v>#VALUE!</v>
      </c>
      <c r="E17" s="276" t="e">
        <f t="shared" si="6"/>
        <v>#N/A</v>
      </c>
      <c r="F17" s="277" t="e">
        <f t="shared" si="0"/>
        <v>#VALUE!</v>
      </c>
      <c r="G17" s="88" t="e">
        <f t="shared" si="7"/>
        <v>#VALUE!</v>
      </c>
      <c r="H17" s="82" t="str">
        <f t="shared" si="1"/>
        <v>Vertical</v>
      </c>
      <c r="I17" s="716" t="s">
        <v>568</v>
      </c>
      <c r="J17" s="339"/>
      <c r="K17" s="278"/>
      <c r="L17" s="339" t="str">
        <f t="shared" si="2"/>
        <v>Main Roof</v>
      </c>
      <c r="M17" s="352"/>
      <c r="N17" s="24">
        <f t="shared" ca="1" si="8"/>
        <v>0.97430000000000005</v>
      </c>
      <c r="O17" s="8">
        <f t="shared" ca="1" si="9"/>
        <v>2000</v>
      </c>
      <c r="P17" s="6" t="e">
        <f t="shared" ca="1" si="10"/>
        <v>#VALUE!</v>
      </c>
    </row>
    <row r="18" spans="2:16">
      <c r="B18" s="680" t="str">
        <f t="shared" si="3"/>
        <v>EF-6</v>
      </c>
      <c r="C18" s="442" t="str">
        <f t="shared" si="4"/>
        <v>AF</v>
      </c>
      <c r="D18" s="617" t="e">
        <f t="shared" si="5"/>
        <v>#VALUE!</v>
      </c>
      <c r="E18" s="276" t="e">
        <f t="shared" si="6"/>
        <v>#N/A</v>
      </c>
      <c r="F18" s="277" t="e">
        <f t="shared" si="0"/>
        <v>#VALUE!</v>
      </c>
      <c r="G18" s="88" t="e">
        <f t="shared" si="7"/>
        <v>#VALUE!</v>
      </c>
      <c r="H18" s="82" t="str">
        <f t="shared" si="1"/>
        <v>Vertical</v>
      </c>
      <c r="I18" s="716" t="s">
        <v>568</v>
      </c>
      <c r="J18" s="339"/>
      <c r="K18" s="278"/>
      <c r="L18" s="339" t="str">
        <f t="shared" si="2"/>
        <v>Main Roof</v>
      </c>
      <c r="M18" s="352"/>
      <c r="N18" s="24">
        <f t="shared" ca="1" si="8"/>
        <v>0.97430000000000005</v>
      </c>
      <c r="O18" s="8">
        <f t="shared" ca="1" si="9"/>
        <v>2000</v>
      </c>
      <c r="P18" s="6" t="e">
        <f t="shared" ca="1" si="10"/>
        <v>#VALUE!</v>
      </c>
    </row>
    <row r="19" spans="2:16">
      <c r="B19" s="680" t="str">
        <f t="shared" si="3"/>
        <v>EF-7</v>
      </c>
      <c r="C19" s="442" t="str">
        <f t="shared" si="4"/>
        <v>AG</v>
      </c>
      <c r="D19" s="617" t="e">
        <f t="shared" si="5"/>
        <v>#VALUE!</v>
      </c>
      <c r="E19" s="276" t="e">
        <f t="shared" si="6"/>
        <v>#N/A</v>
      </c>
      <c r="F19" s="277" t="e">
        <f t="shared" si="0"/>
        <v>#VALUE!</v>
      </c>
      <c r="G19" s="88" t="e">
        <f t="shared" si="7"/>
        <v>#VALUE!</v>
      </c>
      <c r="H19" s="82" t="str">
        <f t="shared" si="1"/>
        <v>Vertical</v>
      </c>
      <c r="I19" s="716" t="s">
        <v>568</v>
      </c>
      <c r="J19" s="339"/>
      <c r="K19" s="278"/>
      <c r="L19" s="339" t="str">
        <f t="shared" si="2"/>
        <v>Main Roof</v>
      </c>
      <c r="M19" s="352"/>
      <c r="N19" s="24">
        <f t="shared" ca="1" si="8"/>
        <v>0.97430000000000005</v>
      </c>
      <c r="O19" s="8">
        <f t="shared" ca="1" si="9"/>
        <v>2000</v>
      </c>
      <c r="P19" s="6" t="e">
        <f t="shared" ca="1" si="10"/>
        <v>#VALUE!</v>
      </c>
    </row>
    <row r="20" spans="2:16">
      <c r="B20" s="680" t="str">
        <f t="shared" si="3"/>
        <v>EF-8</v>
      </c>
      <c r="C20" s="442" t="str">
        <f t="shared" si="4"/>
        <v>AH</v>
      </c>
      <c r="D20" s="617" t="e">
        <f t="shared" si="5"/>
        <v>#VALUE!</v>
      </c>
      <c r="E20" s="276" t="e">
        <f t="shared" si="6"/>
        <v>#N/A</v>
      </c>
      <c r="F20" s="277" t="e">
        <f t="shared" si="0"/>
        <v>#VALUE!</v>
      </c>
      <c r="G20" s="88" t="e">
        <f t="shared" si="7"/>
        <v>#VALUE!</v>
      </c>
      <c r="H20" s="82" t="str">
        <f t="shared" si="1"/>
        <v>Vertical</v>
      </c>
      <c r="I20" s="716" t="s">
        <v>568</v>
      </c>
      <c r="J20" s="339"/>
      <c r="K20" s="278"/>
      <c r="L20" s="339" t="str">
        <f t="shared" si="2"/>
        <v>Main Roof</v>
      </c>
      <c r="M20" s="352"/>
      <c r="N20" s="24">
        <f t="shared" ca="1" si="8"/>
        <v>0.97430000000000005</v>
      </c>
      <c r="O20" s="8">
        <f t="shared" ca="1" si="9"/>
        <v>2000</v>
      </c>
      <c r="P20" s="6" t="e">
        <f t="shared" ca="1" si="10"/>
        <v>#VALUE!</v>
      </c>
    </row>
    <row r="21" spans="2:16">
      <c r="B21" s="680" t="str">
        <f t="shared" si="3"/>
        <v>EF-9</v>
      </c>
      <c r="C21" s="442" t="str">
        <f t="shared" si="4"/>
        <v>AI</v>
      </c>
      <c r="D21" s="617" t="e">
        <f t="shared" si="5"/>
        <v>#VALUE!</v>
      </c>
      <c r="E21" s="276" t="e">
        <f t="shared" si="6"/>
        <v>#N/A</v>
      </c>
      <c r="F21" s="277" t="e">
        <f t="shared" si="0"/>
        <v>#VALUE!</v>
      </c>
      <c r="G21" s="88" t="e">
        <f t="shared" si="7"/>
        <v>#VALUE!</v>
      </c>
      <c r="H21" s="82" t="str">
        <f t="shared" si="1"/>
        <v>Vertical</v>
      </c>
      <c r="I21" s="716" t="s">
        <v>568</v>
      </c>
      <c r="J21" s="339"/>
      <c r="K21" s="278"/>
      <c r="L21" s="339" t="str">
        <f t="shared" si="2"/>
        <v>Main Roof</v>
      </c>
      <c r="M21" s="352"/>
      <c r="N21" s="24">
        <f t="shared" ca="1" si="8"/>
        <v>0.97430000000000005</v>
      </c>
      <c r="O21" s="8">
        <f t="shared" ca="1" si="9"/>
        <v>2000</v>
      </c>
      <c r="P21" s="6" t="e">
        <f t="shared" ca="1" si="10"/>
        <v>#VALUE!</v>
      </c>
    </row>
    <row r="22" spans="2:16">
      <c r="B22" s="680" t="str">
        <f t="shared" si="3"/>
        <v>BSL3-2</v>
      </c>
      <c r="C22" s="442" t="str">
        <f t="shared" si="4"/>
        <v>AJ</v>
      </c>
      <c r="D22" s="617" t="e">
        <f t="shared" si="5"/>
        <v>#VALUE!</v>
      </c>
      <c r="E22" s="276" t="e">
        <f t="shared" si="6"/>
        <v>#N/A</v>
      </c>
      <c r="F22" s="277" t="e">
        <f t="shared" si="0"/>
        <v>#VALUE!</v>
      </c>
      <c r="G22" s="88" t="e">
        <f t="shared" si="7"/>
        <v>#VALUE!</v>
      </c>
      <c r="H22" s="82" t="str">
        <f t="shared" si="1"/>
        <v>Vertical</v>
      </c>
      <c r="I22" s="716" t="s">
        <v>568</v>
      </c>
      <c r="J22" s="339"/>
      <c r="K22" s="278"/>
      <c r="L22" s="339" t="str">
        <f t="shared" si="2"/>
        <v>Main Roof</v>
      </c>
      <c r="M22" s="352"/>
      <c r="N22" s="24">
        <f t="shared" ca="1" si="8"/>
        <v>0.97430000000000005</v>
      </c>
      <c r="O22" s="8">
        <f t="shared" ca="1" si="9"/>
        <v>2000</v>
      </c>
      <c r="P22" s="6" t="e">
        <f t="shared" ca="1" si="10"/>
        <v>#VALUE!</v>
      </c>
    </row>
    <row r="23" spans="2:16">
      <c r="B23" s="680" t="str">
        <f t="shared" si="3"/>
        <v>DT</v>
      </c>
      <c r="C23" s="442" t="str">
        <f t="shared" si="4"/>
        <v>AK</v>
      </c>
      <c r="D23" s="617" t="e">
        <f t="shared" si="5"/>
        <v>#VALUE!</v>
      </c>
      <c r="E23" s="276" t="e">
        <f t="shared" si="6"/>
        <v>#N/A</v>
      </c>
      <c r="F23" s="277" t="e">
        <f t="shared" si="0"/>
        <v>#VALUE!</v>
      </c>
      <c r="G23" s="88" t="e">
        <f t="shared" si="7"/>
        <v>#VALUE!</v>
      </c>
      <c r="H23" s="82" t="str">
        <f t="shared" si="1"/>
        <v>Vertical</v>
      </c>
      <c r="I23" s="716" t="s">
        <v>568</v>
      </c>
      <c r="J23" s="339"/>
      <c r="K23" s="278"/>
      <c r="L23" s="339" t="str">
        <f t="shared" si="2"/>
        <v>Local Grade</v>
      </c>
      <c r="M23" s="352"/>
      <c r="N23" s="24">
        <f t="shared" ca="1" si="8"/>
        <v>0.97430000000000005</v>
      </c>
      <c r="O23" s="8">
        <f t="shared" ca="1" si="9"/>
        <v>2000</v>
      </c>
      <c r="P23" s="6" t="e">
        <f t="shared" ca="1" si="10"/>
        <v>#VALUE!</v>
      </c>
    </row>
    <row r="24" spans="2:16">
      <c r="B24" s="680" t="str">
        <f t="shared" si="3"/>
        <v>DG</v>
      </c>
      <c r="C24" s="442" t="str">
        <f t="shared" si="4"/>
        <v>AL</v>
      </c>
      <c r="D24" s="617" t="e">
        <f t="shared" si="5"/>
        <v>#VALUE!</v>
      </c>
      <c r="E24" s="276" t="e">
        <f t="shared" si="6"/>
        <v>#N/A</v>
      </c>
      <c r="F24" s="277" t="e">
        <f t="shared" si="0"/>
        <v>#VALUE!</v>
      </c>
      <c r="G24" s="88" t="e">
        <f t="shared" si="7"/>
        <v>#VALUE!</v>
      </c>
      <c r="H24" s="82" t="str">
        <f t="shared" si="1"/>
        <v>Vertical</v>
      </c>
      <c r="I24" s="716" t="s">
        <v>568</v>
      </c>
      <c r="J24" s="339"/>
      <c r="K24" s="278"/>
      <c r="L24" s="339" t="str">
        <f t="shared" si="2"/>
        <v>Local Grade</v>
      </c>
      <c r="M24" s="352"/>
      <c r="N24" s="24">
        <f t="shared" ca="1" si="8"/>
        <v>0.97430000000000005</v>
      </c>
      <c r="O24" s="8">
        <f t="shared" ca="1" si="9"/>
        <v>2000</v>
      </c>
      <c r="P24" s="6" t="e">
        <f t="shared" ca="1" si="10"/>
        <v>#VALUE!</v>
      </c>
    </row>
    <row r="25" spans="2:16">
      <c r="B25" s="680"/>
      <c r="C25" s="442"/>
      <c r="D25" s="617"/>
      <c r="E25" s="276"/>
      <c r="F25" s="277"/>
      <c r="G25" s="88"/>
      <c r="H25" s="82"/>
      <c r="I25" s="715"/>
      <c r="J25" s="339"/>
      <c r="K25" s="278"/>
      <c r="L25" s="339"/>
      <c r="M25" s="352"/>
      <c r="N25" s="24"/>
      <c r="O25" s="8"/>
      <c r="P25" s="6"/>
    </row>
    <row r="26" spans="2:16">
      <c r="B26" s="677"/>
      <c r="C26" s="641" t="str">
        <f>'Stack Summary'!$C36</f>
        <v>Building 2</v>
      </c>
      <c r="D26" s="617"/>
      <c r="E26" s="276"/>
      <c r="F26" s="277"/>
      <c r="G26" s="88"/>
      <c r="H26" s="82"/>
      <c r="I26" s="715"/>
      <c r="J26" s="339"/>
      <c r="K26" s="278"/>
      <c r="L26" s="339"/>
      <c r="M26" s="352"/>
      <c r="N26" s="24"/>
      <c r="O26" s="8"/>
      <c r="P26" s="6"/>
    </row>
    <row r="27" spans="2:16">
      <c r="B27" s="680" t="str">
        <f t="shared" si="3"/>
        <v>B2 Gen-1</v>
      </c>
      <c r="C27" s="682" t="s">
        <v>348</v>
      </c>
      <c r="D27" s="617" t="e">
        <f t="shared" si="5"/>
        <v>#VALUE!</v>
      </c>
      <c r="E27" s="276" t="e">
        <f t="shared" si="6"/>
        <v>#N/A</v>
      </c>
      <c r="F27" s="277" t="e">
        <f t="shared" ref="F27:F40" si="11">(INDEX(SourceHeightAboveBase,MATCH($C27,SourceNumber,0),1,1)*3.28)*12/SF</f>
        <v>#VALUE!</v>
      </c>
      <c r="G27" s="88" t="e">
        <f>ROUND(F27*2,2)</f>
        <v>#VALUE!</v>
      </c>
      <c r="H27" s="82" t="str">
        <f t="shared" ref="H27:H40" si="12">(INDEX(SourceOrientation,MATCH($C27,SourceNumber,0),1,1))</f>
        <v>Vertical</v>
      </c>
      <c r="I27" s="716" t="s">
        <v>568</v>
      </c>
      <c r="J27" s="339"/>
      <c r="K27" s="278"/>
      <c r="L27" s="339" t="str">
        <f t="shared" si="2"/>
        <v>Main Roof</v>
      </c>
      <c r="M27" s="352"/>
      <c r="N27" s="24">
        <f t="shared" ref="N27:N40" ca="1" si="13">INDIRECT(ADDRESS(53,7,1,,$C27))</f>
        <v>0.97430000000000005</v>
      </c>
      <c r="O27" s="8">
        <f t="shared" ca="1" si="9"/>
        <v>2000</v>
      </c>
      <c r="P27" s="6" t="e">
        <f t="shared" ca="1" si="10"/>
        <v>#VALUE!</v>
      </c>
    </row>
    <row r="28" spans="2:16">
      <c r="B28" s="680" t="str">
        <f t="shared" si="3"/>
        <v>B2 Gen-2</v>
      </c>
      <c r="C28" s="442" t="str">
        <f>IF((RIGHT(C27,1))&lt;&gt;"Z",CHAR(CODE(C27))&amp;CHAR(CODE(RIGHT(C27,1))+1),CHAR(CODE(C27)+1)&amp;"A")</f>
        <v>BB</v>
      </c>
      <c r="D28" s="617" t="e">
        <f t="shared" si="5"/>
        <v>#VALUE!</v>
      </c>
      <c r="E28" s="276" t="e">
        <f t="shared" si="6"/>
        <v>#N/A</v>
      </c>
      <c r="F28" s="277" t="e">
        <f t="shared" si="11"/>
        <v>#VALUE!</v>
      </c>
      <c r="G28" s="88" t="e">
        <f t="shared" ref="G28:G40" si="14">ROUND(F28*2,2)</f>
        <v>#VALUE!</v>
      </c>
      <c r="H28" s="88" t="str">
        <f t="shared" si="12"/>
        <v>Vertical</v>
      </c>
      <c r="I28" s="716" t="s">
        <v>568</v>
      </c>
      <c r="J28" s="339"/>
      <c r="K28" s="278"/>
      <c r="L28" s="339" t="str">
        <f t="shared" si="2"/>
        <v>Main Roof</v>
      </c>
      <c r="M28" s="352"/>
      <c r="N28" s="24">
        <f t="shared" ca="1" si="13"/>
        <v>0.97430000000000005</v>
      </c>
      <c r="O28" s="8">
        <f t="shared" ca="1" si="9"/>
        <v>2000</v>
      </c>
      <c r="P28" s="6" t="e">
        <f t="shared" ca="1" si="10"/>
        <v>#VALUE!</v>
      </c>
    </row>
    <row r="29" spans="2:16">
      <c r="B29" s="680" t="str">
        <f t="shared" si="3"/>
        <v>B2 FE-1</v>
      </c>
      <c r="C29" s="442" t="str">
        <f>IF((RIGHT(C28,1))&lt;&gt;"Z",CHAR(CODE(C28))&amp;CHAR(CODE(RIGHT(C28,1))+1),CHAR(CODE(C28)+1)&amp;"A")</f>
        <v>BC</v>
      </c>
      <c r="D29" s="617" t="e">
        <f t="shared" si="5"/>
        <v>#VALUE!</v>
      </c>
      <c r="E29" s="276" t="e">
        <f t="shared" si="6"/>
        <v>#N/A</v>
      </c>
      <c r="F29" s="277" t="e">
        <f t="shared" si="11"/>
        <v>#VALUE!</v>
      </c>
      <c r="G29" s="88" t="e">
        <f t="shared" si="14"/>
        <v>#VALUE!</v>
      </c>
      <c r="H29" s="88" t="str">
        <f t="shared" si="12"/>
        <v>Vertical</v>
      </c>
      <c r="I29" s="716" t="s">
        <v>568</v>
      </c>
      <c r="J29" s="339"/>
      <c r="K29" s="278"/>
      <c r="L29" s="339" t="str">
        <f t="shared" si="2"/>
        <v>Main Roof</v>
      </c>
      <c r="M29" s="352"/>
      <c r="N29" s="24">
        <f t="shared" ca="1" si="13"/>
        <v>0.97430000000000005</v>
      </c>
      <c r="O29" s="8">
        <f t="shared" ca="1" si="9"/>
        <v>2000</v>
      </c>
      <c r="P29" s="6" t="e">
        <f t="shared" ca="1" si="10"/>
        <v>#VALUE!</v>
      </c>
    </row>
    <row r="30" spans="2:16">
      <c r="B30" s="680" t="str">
        <f t="shared" si="3"/>
        <v>B2 FE-2</v>
      </c>
      <c r="C30" s="442" t="str">
        <f>IF((RIGHT(C29,1))&lt;&gt;"Z",CHAR(CODE(C29))&amp;CHAR(CODE(RIGHT(C29,1))+1),CHAR(CODE(C29)+1)&amp;"A")</f>
        <v>BD</v>
      </c>
      <c r="D30" s="617" t="e">
        <f t="shared" si="5"/>
        <v>#VALUE!</v>
      </c>
      <c r="E30" s="276" t="e">
        <f t="shared" si="6"/>
        <v>#N/A</v>
      </c>
      <c r="F30" s="277" t="e">
        <f t="shared" si="11"/>
        <v>#VALUE!</v>
      </c>
      <c r="G30" s="88" t="e">
        <f t="shared" si="14"/>
        <v>#VALUE!</v>
      </c>
      <c r="H30" s="88" t="str">
        <f t="shared" si="12"/>
        <v>Vertical</v>
      </c>
      <c r="I30" s="716" t="s">
        <v>568</v>
      </c>
      <c r="J30" s="339"/>
      <c r="K30" s="278"/>
      <c r="L30" s="339" t="str">
        <f t="shared" si="2"/>
        <v>Main Roof</v>
      </c>
      <c r="M30" s="352"/>
      <c r="N30" s="24">
        <f t="shared" ca="1" si="13"/>
        <v>0.97430000000000005</v>
      </c>
      <c r="O30" s="8">
        <f t="shared" ca="1" si="9"/>
        <v>2000</v>
      </c>
      <c r="P30" s="6" t="e">
        <f t="shared" ca="1" si="10"/>
        <v>#VALUE!</v>
      </c>
    </row>
    <row r="31" spans="2:16">
      <c r="B31" s="680" t="str">
        <f t="shared" si="3"/>
        <v>B2 FE-3</v>
      </c>
      <c r="C31" s="442" t="str">
        <f>IF((RIGHT(C30,1))&lt;&gt;"Z",CHAR(CODE(C30))&amp;CHAR(CODE(RIGHT(C30,1))+1),CHAR(CODE(C30)+1)&amp;"A")</f>
        <v>BE</v>
      </c>
      <c r="D31" s="617" t="e">
        <f t="shared" si="5"/>
        <v>#VALUE!</v>
      </c>
      <c r="E31" s="276" t="e">
        <f t="shared" si="6"/>
        <v>#N/A</v>
      </c>
      <c r="F31" s="277" t="e">
        <f t="shared" si="11"/>
        <v>#VALUE!</v>
      </c>
      <c r="G31" s="88" t="e">
        <f t="shared" si="14"/>
        <v>#VALUE!</v>
      </c>
      <c r="H31" s="88" t="str">
        <f t="shared" si="12"/>
        <v>Vertical</v>
      </c>
      <c r="I31" s="716" t="s">
        <v>568</v>
      </c>
      <c r="J31" s="339"/>
      <c r="K31" s="278"/>
      <c r="L31" s="339" t="str">
        <f t="shared" si="2"/>
        <v>Main Roof</v>
      </c>
      <c r="M31" s="352"/>
      <c r="N31" s="24">
        <f t="shared" ca="1" si="13"/>
        <v>0.97430000000000005</v>
      </c>
      <c r="O31" s="8">
        <f t="shared" ca="1" si="9"/>
        <v>2000</v>
      </c>
      <c r="P31" s="6" t="e">
        <f t="shared" ca="1" si="10"/>
        <v>#VALUE!</v>
      </c>
    </row>
    <row r="32" spans="2:16">
      <c r="B32" s="680" t="str">
        <f t="shared" si="3"/>
        <v>B2 Viv-1</v>
      </c>
      <c r="C32" s="442" t="str">
        <f>IF((RIGHT(C31,1))&lt;&gt;"Z",CHAR(CODE(C31))&amp;CHAR(CODE(RIGHT(C31,1))+1),CHAR(CODE(C31)+1)&amp;"A")</f>
        <v>BF</v>
      </c>
      <c r="D32" s="617" t="e">
        <f t="shared" si="5"/>
        <v>#VALUE!</v>
      </c>
      <c r="E32" s="276" t="e">
        <f t="shared" si="6"/>
        <v>#N/A</v>
      </c>
      <c r="F32" s="277" t="e">
        <f t="shared" si="11"/>
        <v>#VALUE!</v>
      </c>
      <c r="G32" s="88" t="e">
        <f t="shared" si="14"/>
        <v>#VALUE!</v>
      </c>
      <c r="H32" s="88" t="str">
        <f t="shared" si="12"/>
        <v>Vertical</v>
      </c>
      <c r="I32" s="716" t="s">
        <v>568</v>
      </c>
      <c r="J32" s="339"/>
      <c r="K32" s="278"/>
      <c r="L32" s="339" t="str">
        <f t="shared" si="2"/>
        <v>Main Roof</v>
      </c>
      <c r="M32" s="352"/>
      <c r="N32" s="24">
        <f t="shared" ca="1" si="13"/>
        <v>0.97430000000000005</v>
      </c>
      <c r="O32" s="8">
        <f t="shared" ca="1" si="9"/>
        <v>2000</v>
      </c>
      <c r="P32" s="6" t="e">
        <f t="shared" ca="1" si="10"/>
        <v>#VALUE!</v>
      </c>
    </row>
    <row r="33" spans="2:16">
      <c r="B33" s="680" t="str">
        <f t="shared" si="3"/>
        <v>B2 Viv-2</v>
      </c>
      <c r="C33" s="442" t="str">
        <f t="shared" ref="C33:C40" si="15">IF((RIGHT(C32,1))&lt;&gt;"Z",CHAR(CODE(C32))&amp;CHAR(CODE(RIGHT(C32,1))+1),CHAR(CODE(C32)+1)&amp;"A")</f>
        <v>BG</v>
      </c>
      <c r="D33" s="617" t="e">
        <f t="shared" si="5"/>
        <v>#VALUE!</v>
      </c>
      <c r="E33" s="276" t="e">
        <f t="shared" si="6"/>
        <v>#N/A</v>
      </c>
      <c r="F33" s="277" t="e">
        <f t="shared" si="11"/>
        <v>#VALUE!</v>
      </c>
      <c r="G33" s="88" t="e">
        <f t="shared" si="14"/>
        <v>#VALUE!</v>
      </c>
      <c r="H33" s="88" t="str">
        <f t="shared" si="12"/>
        <v>Vertical</v>
      </c>
      <c r="I33" s="716" t="s">
        <v>568</v>
      </c>
      <c r="J33" s="339"/>
      <c r="K33" s="278"/>
      <c r="L33" s="339" t="str">
        <f t="shared" si="2"/>
        <v>Main Roof</v>
      </c>
      <c r="M33" s="352"/>
      <c r="N33" s="24">
        <f t="shared" ca="1" si="13"/>
        <v>0.97430000000000005</v>
      </c>
      <c r="O33" s="8">
        <f t="shared" ca="1" si="9"/>
        <v>2000</v>
      </c>
      <c r="P33" s="6" t="e">
        <f t="shared" ca="1" si="10"/>
        <v>#VALUE!</v>
      </c>
    </row>
    <row r="34" spans="2:16">
      <c r="B34" s="680" t="str">
        <f t="shared" si="3"/>
        <v>B2 Viv-3</v>
      </c>
      <c r="C34" s="442" t="str">
        <f t="shared" si="15"/>
        <v>BH</v>
      </c>
      <c r="D34" s="617" t="e">
        <f t="shared" si="5"/>
        <v>#VALUE!</v>
      </c>
      <c r="E34" s="276" t="e">
        <f t="shared" si="6"/>
        <v>#N/A</v>
      </c>
      <c r="F34" s="277" t="e">
        <f t="shared" si="11"/>
        <v>#VALUE!</v>
      </c>
      <c r="G34" s="88" t="e">
        <f t="shared" si="14"/>
        <v>#VALUE!</v>
      </c>
      <c r="H34" s="88" t="str">
        <f t="shared" si="12"/>
        <v>Vertical</v>
      </c>
      <c r="I34" s="716" t="s">
        <v>568</v>
      </c>
      <c r="J34" s="339"/>
      <c r="K34" s="278"/>
      <c r="L34" s="339" t="str">
        <f t="shared" si="2"/>
        <v>Main Roof</v>
      </c>
      <c r="M34" s="352"/>
      <c r="N34" s="24">
        <f t="shared" ca="1" si="13"/>
        <v>0.97430000000000005</v>
      </c>
      <c r="O34" s="8">
        <f t="shared" ca="1" si="9"/>
        <v>2000</v>
      </c>
      <c r="P34" s="6" t="e">
        <f t="shared" ca="1" si="10"/>
        <v>#VALUE!</v>
      </c>
    </row>
    <row r="35" spans="2:16">
      <c r="B35" s="680" t="str">
        <f t="shared" si="3"/>
        <v>B2 Kit-1</v>
      </c>
      <c r="C35" s="442" t="str">
        <f t="shared" si="15"/>
        <v>BI</v>
      </c>
      <c r="D35" s="617" t="e">
        <f t="shared" si="5"/>
        <v>#VALUE!</v>
      </c>
      <c r="E35" s="276" t="e">
        <f t="shared" si="6"/>
        <v>#N/A</v>
      </c>
      <c r="F35" s="277" t="e">
        <f t="shared" si="11"/>
        <v>#VALUE!</v>
      </c>
      <c r="G35" s="88" t="e">
        <f t="shared" si="14"/>
        <v>#VALUE!</v>
      </c>
      <c r="H35" s="88" t="str">
        <f t="shared" si="12"/>
        <v>Vertical</v>
      </c>
      <c r="I35" s="716" t="s">
        <v>568</v>
      </c>
      <c r="J35" s="339"/>
      <c r="K35" s="278"/>
      <c r="L35" s="339" t="str">
        <f t="shared" si="2"/>
        <v>Main Roof</v>
      </c>
      <c r="M35" s="352"/>
      <c r="N35" s="24">
        <f t="shared" ca="1" si="13"/>
        <v>0.97430000000000005</v>
      </c>
      <c r="O35" s="8">
        <f t="shared" ca="1" si="9"/>
        <v>2000</v>
      </c>
      <c r="P35" s="6" t="e">
        <f t="shared" ca="1" si="10"/>
        <v>#VALUE!</v>
      </c>
    </row>
    <row r="36" spans="2:16">
      <c r="B36" s="680" t="str">
        <f t="shared" si="3"/>
        <v>B2 Kit-2</v>
      </c>
      <c r="C36" s="442" t="str">
        <f t="shared" si="15"/>
        <v>BJ</v>
      </c>
      <c r="D36" s="617" t="e">
        <f t="shared" si="5"/>
        <v>#VALUE!</v>
      </c>
      <c r="E36" s="276" t="e">
        <f t="shared" si="6"/>
        <v>#N/A</v>
      </c>
      <c r="F36" s="277" t="e">
        <f t="shared" si="11"/>
        <v>#VALUE!</v>
      </c>
      <c r="G36" s="88" t="e">
        <f t="shared" si="14"/>
        <v>#VALUE!</v>
      </c>
      <c r="H36" s="88" t="str">
        <f t="shared" si="12"/>
        <v>Vertical</v>
      </c>
      <c r="I36" s="716" t="s">
        <v>568</v>
      </c>
      <c r="J36" s="339"/>
      <c r="K36" s="278"/>
      <c r="L36" s="339" t="str">
        <f t="shared" si="2"/>
        <v>Main Roof</v>
      </c>
      <c r="M36" s="352"/>
      <c r="N36" s="24">
        <f t="shared" ca="1" si="13"/>
        <v>0.97430000000000005</v>
      </c>
      <c r="O36" s="8">
        <f t="shared" ca="1" si="9"/>
        <v>2000</v>
      </c>
      <c r="P36" s="6" t="e">
        <f t="shared" ca="1" si="10"/>
        <v>#VALUE!</v>
      </c>
    </row>
    <row r="37" spans="2:16">
      <c r="B37" s="680" t="str">
        <f t="shared" si="3"/>
        <v>B2 BSL3-1</v>
      </c>
      <c r="C37" s="442" t="str">
        <f t="shared" si="15"/>
        <v>BK</v>
      </c>
      <c r="D37" s="617" t="e">
        <f t="shared" si="5"/>
        <v>#VALUE!</v>
      </c>
      <c r="E37" s="276" t="e">
        <f t="shared" si="6"/>
        <v>#N/A</v>
      </c>
      <c r="F37" s="277" t="e">
        <f t="shared" si="11"/>
        <v>#VALUE!</v>
      </c>
      <c r="G37" s="88" t="e">
        <f t="shared" si="14"/>
        <v>#VALUE!</v>
      </c>
      <c r="H37" s="88" t="str">
        <f t="shared" si="12"/>
        <v>Vertical</v>
      </c>
      <c r="I37" s="716" t="s">
        <v>568</v>
      </c>
      <c r="J37" s="339"/>
      <c r="K37" s="278"/>
      <c r="L37" s="339" t="str">
        <f t="shared" si="2"/>
        <v>Main Roof</v>
      </c>
      <c r="M37" s="352"/>
      <c r="N37" s="24">
        <f t="shared" ca="1" si="13"/>
        <v>0.97430000000000005</v>
      </c>
      <c r="O37" s="8">
        <f t="shared" ca="1" si="9"/>
        <v>2000</v>
      </c>
      <c r="P37" s="6" t="e">
        <f t="shared" ca="1" si="10"/>
        <v>#VALUE!</v>
      </c>
    </row>
    <row r="38" spans="2:16">
      <c r="B38" s="680" t="str">
        <f t="shared" si="3"/>
        <v>B2 BSL3-2</v>
      </c>
      <c r="C38" s="442" t="str">
        <f t="shared" si="15"/>
        <v>BL</v>
      </c>
      <c r="D38" s="617" t="e">
        <f t="shared" si="5"/>
        <v>#VALUE!</v>
      </c>
      <c r="E38" s="276" t="e">
        <f t="shared" si="6"/>
        <v>#N/A</v>
      </c>
      <c r="F38" s="277" t="e">
        <f t="shared" si="11"/>
        <v>#VALUE!</v>
      </c>
      <c r="G38" s="88" t="e">
        <f t="shared" si="14"/>
        <v>#VALUE!</v>
      </c>
      <c r="H38" s="88" t="str">
        <f t="shared" si="12"/>
        <v>Vertical</v>
      </c>
      <c r="I38" s="716" t="s">
        <v>568</v>
      </c>
      <c r="J38" s="339"/>
      <c r="K38" s="278"/>
      <c r="L38" s="339" t="str">
        <f t="shared" si="2"/>
        <v>Main Roof</v>
      </c>
      <c r="M38" s="352"/>
      <c r="N38" s="24">
        <f t="shared" ca="1" si="13"/>
        <v>0.97430000000000005</v>
      </c>
      <c r="O38" s="8">
        <f t="shared" ca="1" si="9"/>
        <v>2000</v>
      </c>
      <c r="P38" s="6" t="e">
        <f t="shared" ca="1" si="10"/>
        <v>#VALUE!</v>
      </c>
    </row>
    <row r="39" spans="2:16">
      <c r="B39" s="680" t="str">
        <f t="shared" si="3"/>
        <v>B2 DT</v>
      </c>
      <c r="C39" s="442" t="str">
        <f t="shared" si="15"/>
        <v>BM</v>
      </c>
      <c r="D39" s="617" t="e">
        <f t="shared" si="5"/>
        <v>#VALUE!</v>
      </c>
      <c r="E39" s="276" t="e">
        <f t="shared" si="6"/>
        <v>#N/A</v>
      </c>
      <c r="F39" s="277" t="e">
        <f t="shared" si="11"/>
        <v>#VALUE!</v>
      </c>
      <c r="G39" s="88" t="e">
        <f>ROUND(F39*2,2)</f>
        <v>#VALUE!</v>
      </c>
      <c r="H39" s="88" t="str">
        <f t="shared" si="12"/>
        <v>Vertical</v>
      </c>
      <c r="I39" s="716" t="s">
        <v>568</v>
      </c>
      <c r="J39" s="339"/>
      <c r="K39" s="278"/>
      <c r="L39" s="339" t="str">
        <f t="shared" si="2"/>
        <v>Local Grade</v>
      </c>
      <c r="M39" s="352"/>
      <c r="N39" s="24">
        <f t="shared" ca="1" si="13"/>
        <v>0.97430000000000005</v>
      </c>
      <c r="O39" s="8">
        <f t="shared" ca="1" si="9"/>
        <v>2000</v>
      </c>
      <c r="P39" s="6" t="e">
        <f t="shared" ca="1" si="10"/>
        <v>#VALUE!</v>
      </c>
    </row>
    <row r="40" spans="2:16">
      <c r="B40" s="680" t="str">
        <f t="shared" si="3"/>
        <v>B2 DG</v>
      </c>
      <c r="C40" s="442" t="str">
        <f t="shared" si="15"/>
        <v>BN</v>
      </c>
      <c r="D40" s="617" t="e">
        <f t="shared" si="5"/>
        <v>#VALUE!</v>
      </c>
      <c r="E40" s="276" t="e">
        <f t="shared" si="6"/>
        <v>#N/A</v>
      </c>
      <c r="F40" s="277" t="e">
        <f t="shared" si="11"/>
        <v>#VALUE!</v>
      </c>
      <c r="G40" s="88" t="e">
        <f t="shared" si="14"/>
        <v>#VALUE!</v>
      </c>
      <c r="H40" s="88" t="str">
        <f t="shared" si="12"/>
        <v>Vertical</v>
      </c>
      <c r="I40" s="716" t="s">
        <v>568</v>
      </c>
      <c r="J40" s="339"/>
      <c r="K40" s="278"/>
      <c r="L40" s="339" t="str">
        <f t="shared" si="2"/>
        <v>Local Grade</v>
      </c>
      <c r="M40" s="352"/>
      <c r="N40" s="24">
        <f t="shared" ca="1" si="13"/>
        <v>0.97430000000000005</v>
      </c>
      <c r="O40" s="8">
        <f t="shared" ca="1" si="9"/>
        <v>2000</v>
      </c>
      <c r="P40" s="6" t="e">
        <f t="shared" ca="1" si="10"/>
        <v>#VALUE!</v>
      </c>
    </row>
    <row r="41" spans="2:16">
      <c r="B41" s="680"/>
      <c r="C41" s="442"/>
      <c r="D41" s="617"/>
      <c r="E41" s="276"/>
      <c r="F41" s="277"/>
      <c r="G41" s="88"/>
      <c r="H41" s="88"/>
      <c r="I41" s="6"/>
      <c r="J41" s="339"/>
      <c r="K41" s="278"/>
      <c r="L41" s="339"/>
      <c r="M41" s="352"/>
      <c r="N41" s="24"/>
      <c r="O41" s="8"/>
      <c r="P41" s="6"/>
    </row>
    <row r="42" spans="2:16">
      <c r="B42" s="677"/>
      <c r="C42" s="641" t="str">
        <f>'Stack Summary'!$C52</f>
        <v>Building 3</v>
      </c>
      <c r="D42" s="617"/>
      <c r="E42" s="276"/>
      <c r="F42" s="277"/>
      <c r="G42" s="88"/>
      <c r="H42" s="88"/>
      <c r="I42" s="6"/>
      <c r="J42" s="339"/>
      <c r="K42" s="278"/>
      <c r="L42" s="339"/>
      <c r="M42" s="352"/>
      <c r="N42" s="24"/>
      <c r="O42" s="8"/>
      <c r="P42" s="6"/>
    </row>
    <row r="43" spans="2:16">
      <c r="B43" s="680" t="str">
        <f t="shared" si="3"/>
        <v>B3 Gen-1</v>
      </c>
      <c r="C43" s="682" t="s">
        <v>349</v>
      </c>
      <c r="D43" s="617" t="e">
        <f t="shared" si="5"/>
        <v>#VALUE!</v>
      </c>
      <c r="E43" s="276" t="e">
        <f t="shared" si="6"/>
        <v>#N/A</v>
      </c>
      <c r="F43" s="277" t="e">
        <f>(INDEX(SourceHeightAboveBase,MATCH($C43,SourceNumber,0),1,1)*3.28)*12/SF</f>
        <v>#VALUE!</v>
      </c>
      <c r="G43" s="88" t="e">
        <f>ROUND(F43*2,2)</f>
        <v>#VALUE!</v>
      </c>
      <c r="H43" s="88" t="str">
        <f>(INDEX(SourceOrientation,MATCH($C43,SourceNumber,0),1,1))</f>
        <v>Vertical</v>
      </c>
      <c r="I43" s="716" t="s">
        <v>568</v>
      </c>
      <c r="J43" s="339"/>
      <c r="K43" s="278"/>
      <c r="L43" s="339" t="str">
        <f t="shared" si="2"/>
        <v>Main Roof</v>
      </c>
      <c r="M43" s="352"/>
      <c r="N43" s="24">
        <f ca="1">INDIRECT(ADDRESS(53,7,1,,$C43))</f>
        <v>0.97430000000000005</v>
      </c>
      <c r="O43" s="8">
        <f t="shared" ca="1" si="9"/>
        <v>2000</v>
      </c>
      <c r="P43" s="6" t="e">
        <f t="shared" ca="1" si="10"/>
        <v>#VALUE!</v>
      </c>
    </row>
    <row r="44" spans="2:16">
      <c r="B44" s="680" t="str">
        <f t="shared" si="3"/>
        <v>B3 Gen-2</v>
      </c>
      <c r="C44" s="442" t="str">
        <f t="shared" ref="C44:C56" si="16">IF((RIGHT(C43,1))&lt;&gt;"Z",CHAR(CODE(C43))&amp;CHAR(CODE(RIGHT(C43,1))+1),CHAR(CODE(C43)+1)&amp;"A")</f>
        <v>CB</v>
      </c>
      <c r="D44" s="617" t="e">
        <f t="shared" si="5"/>
        <v>#VALUE!</v>
      </c>
      <c r="E44" s="276" t="e">
        <f t="shared" si="6"/>
        <v>#N/A</v>
      </c>
      <c r="F44" s="277" t="e">
        <f t="shared" ref="F44:F56" si="17">(INDEX(SourceHeightAboveBase,MATCH($C44,SourceNumber,0),1,1)*3.28)*12/SF</f>
        <v>#VALUE!</v>
      </c>
      <c r="G44" s="88" t="e">
        <f t="shared" ref="G44:G56" si="18">ROUND(F44*2,2)</f>
        <v>#VALUE!</v>
      </c>
      <c r="H44" s="88" t="str">
        <f t="shared" ref="H44:H56" si="19">(INDEX(SourceOrientation,MATCH($C44,SourceNumber,0),1,1))</f>
        <v>Vertical</v>
      </c>
      <c r="I44" s="716" t="s">
        <v>568</v>
      </c>
      <c r="J44" s="339"/>
      <c r="K44" s="278"/>
      <c r="L44" s="339" t="str">
        <f t="shared" si="2"/>
        <v>Main Roof</v>
      </c>
      <c r="M44" s="352"/>
      <c r="N44" s="24">
        <f t="shared" ref="N44:N56" ca="1" si="20">INDIRECT(ADDRESS(53,7,1,,$C44))</f>
        <v>0.97430000000000005</v>
      </c>
      <c r="O44" s="8">
        <f t="shared" ca="1" si="9"/>
        <v>2000</v>
      </c>
      <c r="P44" s="6" t="e">
        <f t="shared" ca="1" si="10"/>
        <v>#VALUE!</v>
      </c>
    </row>
    <row r="45" spans="2:16">
      <c r="B45" s="680" t="str">
        <f t="shared" si="3"/>
        <v>B3 FE-1</v>
      </c>
      <c r="C45" s="442" t="str">
        <f t="shared" si="16"/>
        <v>CC</v>
      </c>
      <c r="D45" s="617" t="e">
        <f t="shared" si="5"/>
        <v>#VALUE!</v>
      </c>
      <c r="E45" s="276" t="e">
        <f t="shared" si="6"/>
        <v>#N/A</v>
      </c>
      <c r="F45" s="277" t="e">
        <f t="shared" si="17"/>
        <v>#VALUE!</v>
      </c>
      <c r="G45" s="88" t="e">
        <f t="shared" si="18"/>
        <v>#VALUE!</v>
      </c>
      <c r="H45" s="88" t="str">
        <f t="shared" si="19"/>
        <v>Vertical</v>
      </c>
      <c r="I45" s="716" t="s">
        <v>568</v>
      </c>
      <c r="J45" s="339"/>
      <c r="K45" s="278"/>
      <c r="L45" s="339" t="str">
        <f t="shared" si="2"/>
        <v>Main Roof</v>
      </c>
      <c r="M45" s="352"/>
      <c r="N45" s="24">
        <f t="shared" ca="1" si="20"/>
        <v>0.97430000000000005</v>
      </c>
      <c r="O45" s="8">
        <f t="shared" ca="1" si="9"/>
        <v>2000</v>
      </c>
      <c r="P45" s="6" t="e">
        <f t="shared" ca="1" si="10"/>
        <v>#VALUE!</v>
      </c>
    </row>
    <row r="46" spans="2:16">
      <c r="B46" s="680" t="str">
        <f t="shared" si="3"/>
        <v>B3 FE-2</v>
      </c>
      <c r="C46" s="442" t="str">
        <f t="shared" si="16"/>
        <v>CD</v>
      </c>
      <c r="D46" s="617" t="e">
        <f t="shared" si="5"/>
        <v>#VALUE!</v>
      </c>
      <c r="E46" s="276" t="e">
        <f t="shared" si="6"/>
        <v>#N/A</v>
      </c>
      <c r="F46" s="277" t="e">
        <f t="shared" si="17"/>
        <v>#VALUE!</v>
      </c>
      <c r="G46" s="88" t="e">
        <f t="shared" si="18"/>
        <v>#VALUE!</v>
      </c>
      <c r="H46" s="88" t="str">
        <f t="shared" si="19"/>
        <v>Vertical</v>
      </c>
      <c r="I46" s="716" t="s">
        <v>568</v>
      </c>
      <c r="J46" s="339"/>
      <c r="K46" s="278"/>
      <c r="L46" s="339" t="str">
        <f t="shared" si="2"/>
        <v>Main Roof</v>
      </c>
      <c r="M46" s="352"/>
      <c r="N46" s="24" t="e">
        <f t="shared" ca="1" si="20"/>
        <v>#REF!</v>
      </c>
      <c r="O46" s="8" t="e">
        <f t="shared" ca="1" si="9"/>
        <v>#REF!</v>
      </c>
      <c r="P46" s="6" t="e">
        <f t="shared" ca="1" si="10"/>
        <v>#REF!</v>
      </c>
    </row>
    <row r="47" spans="2:16">
      <c r="B47" s="680" t="str">
        <f t="shared" si="3"/>
        <v>B3 FE-3</v>
      </c>
      <c r="C47" s="442" t="str">
        <f t="shared" si="16"/>
        <v>CE</v>
      </c>
      <c r="D47" s="617" t="e">
        <f t="shared" si="5"/>
        <v>#VALUE!</v>
      </c>
      <c r="E47" s="276" t="e">
        <f t="shared" si="6"/>
        <v>#N/A</v>
      </c>
      <c r="F47" s="277" t="e">
        <f t="shared" si="17"/>
        <v>#VALUE!</v>
      </c>
      <c r="G47" s="88" t="e">
        <f t="shared" si="18"/>
        <v>#VALUE!</v>
      </c>
      <c r="H47" s="88" t="str">
        <f t="shared" si="19"/>
        <v>Vertical</v>
      </c>
      <c r="I47" s="716" t="s">
        <v>568</v>
      </c>
      <c r="J47" s="339"/>
      <c r="K47" s="278"/>
      <c r="L47" s="339" t="str">
        <f t="shared" si="2"/>
        <v>Main Roof</v>
      </c>
      <c r="M47" s="352"/>
      <c r="N47" s="24" t="e">
        <f t="shared" ca="1" si="20"/>
        <v>#REF!</v>
      </c>
      <c r="O47" s="8" t="e">
        <f t="shared" ca="1" si="9"/>
        <v>#REF!</v>
      </c>
      <c r="P47" s="6" t="e">
        <f t="shared" ca="1" si="10"/>
        <v>#REF!</v>
      </c>
    </row>
    <row r="48" spans="2:16">
      <c r="B48" s="680" t="str">
        <f t="shared" si="3"/>
        <v>B3 Viv-1</v>
      </c>
      <c r="C48" s="442" t="str">
        <f t="shared" si="16"/>
        <v>CF</v>
      </c>
      <c r="D48" s="617" t="e">
        <f t="shared" si="5"/>
        <v>#VALUE!</v>
      </c>
      <c r="E48" s="276" t="e">
        <f t="shared" si="6"/>
        <v>#N/A</v>
      </c>
      <c r="F48" s="277" t="e">
        <f t="shared" si="17"/>
        <v>#VALUE!</v>
      </c>
      <c r="G48" s="88" t="e">
        <f t="shared" si="18"/>
        <v>#VALUE!</v>
      </c>
      <c r="H48" s="88" t="str">
        <f t="shared" si="19"/>
        <v>Vertical</v>
      </c>
      <c r="I48" s="716" t="s">
        <v>568</v>
      </c>
      <c r="J48" s="339"/>
      <c r="K48" s="278"/>
      <c r="L48" s="339" t="str">
        <f t="shared" si="2"/>
        <v>Main Roof</v>
      </c>
      <c r="M48" s="352"/>
      <c r="N48" s="24" t="e">
        <f t="shared" ca="1" si="20"/>
        <v>#REF!</v>
      </c>
      <c r="O48" s="8" t="e">
        <f t="shared" ca="1" si="9"/>
        <v>#REF!</v>
      </c>
      <c r="P48" s="6" t="e">
        <f t="shared" ca="1" si="10"/>
        <v>#REF!</v>
      </c>
    </row>
    <row r="49" spans="2:16">
      <c r="B49" s="680" t="str">
        <f t="shared" si="3"/>
        <v>B3 Viv-2</v>
      </c>
      <c r="C49" s="442" t="str">
        <f t="shared" si="16"/>
        <v>CG</v>
      </c>
      <c r="D49" s="617" t="e">
        <f t="shared" si="5"/>
        <v>#VALUE!</v>
      </c>
      <c r="E49" s="276" t="e">
        <f t="shared" si="6"/>
        <v>#N/A</v>
      </c>
      <c r="F49" s="277" t="e">
        <f t="shared" si="17"/>
        <v>#VALUE!</v>
      </c>
      <c r="G49" s="88" t="e">
        <f t="shared" si="18"/>
        <v>#VALUE!</v>
      </c>
      <c r="H49" s="88" t="str">
        <f t="shared" si="19"/>
        <v>Vertical</v>
      </c>
      <c r="I49" s="716" t="s">
        <v>568</v>
      </c>
      <c r="J49" s="339"/>
      <c r="K49" s="278"/>
      <c r="L49" s="339" t="str">
        <f t="shared" si="2"/>
        <v>Main Roof</v>
      </c>
      <c r="M49" s="352"/>
      <c r="N49" s="24" t="e">
        <f t="shared" ca="1" si="20"/>
        <v>#REF!</v>
      </c>
      <c r="O49" s="8" t="e">
        <f t="shared" ca="1" si="9"/>
        <v>#REF!</v>
      </c>
      <c r="P49" s="6" t="e">
        <f t="shared" ca="1" si="10"/>
        <v>#REF!</v>
      </c>
    </row>
    <row r="50" spans="2:16">
      <c r="B50" s="680" t="str">
        <f t="shared" si="3"/>
        <v>B3 Viv-3</v>
      </c>
      <c r="C50" s="442" t="str">
        <f t="shared" si="16"/>
        <v>CH</v>
      </c>
      <c r="D50" s="617" t="e">
        <f t="shared" si="5"/>
        <v>#VALUE!</v>
      </c>
      <c r="E50" s="276" t="e">
        <f t="shared" si="6"/>
        <v>#N/A</v>
      </c>
      <c r="F50" s="277" t="e">
        <f t="shared" si="17"/>
        <v>#VALUE!</v>
      </c>
      <c r="G50" s="88" t="e">
        <f t="shared" si="18"/>
        <v>#VALUE!</v>
      </c>
      <c r="H50" s="88" t="str">
        <f t="shared" si="19"/>
        <v>Vertical</v>
      </c>
      <c r="I50" s="716" t="s">
        <v>568</v>
      </c>
      <c r="J50" s="339"/>
      <c r="K50" s="278"/>
      <c r="L50" s="339" t="str">
        <f t="shared" si="2"/>
        <v>Main Roof</v>
      </c>
      <c r="M50" s="352"/>
      <c r="N50" s="24" t="e">
        <f t="shared" ca="1" si="20"/>
        <v>#REF!</v>
      </c>
      <c r="O50" s="8" t="e">
        <f t="shared" ca="1" si="9"/>
        <v>#REF!</v>
      </c>
      <c r="P50" s="6" t="e">
        <f t="shared" ca="1" si="10"/>
        <v>#REF!</v>
      </c>
    </row>
    <row r="51" spans="2:16">
      <c r="B51" s="680" t="str">
        <f t="shared" si="3"/>
        <v>B3 Kit-1</v>
      </c>
      <c r="C51" s="442" t="str">
        <f t="shared" si="16"/>
        <v>CI</v>
      </c>
      <c r="D51" s="617" t="e">
        <f t="shared" si="5"/>
        <v>#VALUE!</v>
      </c>
      <c r="E51" s="276" t="e">
        <f t="shared" si="6"/>
        <v>#N/A</v>
      </c>
      <c r="F51" s="277" t="e">
        <f t="shared" si="17"/>
        <v>#VALUE!</v>
      </c>
      <c r="G51" s="88" t="e">
        <f t="shared" si="18"/>
        <v>#VALUE!</v>
      </c>
      <c r="H51" s="88" t="str">
        <f t="shared" si="19"/>
        <v>Vertical</v>
      </c>
      <c r="I51" s="716" t="s">
        <v>568</v>
      </c>
      <c r="J51" s="339"/>
      <c r="K51" s="278"/>
      <c r="L51" s="339" t="str">
        <f t="shared" si="2"/>
        <v>Main Roof</v>
      </c>
      <c r="M51" s="352"/>
      <c r="N51" s="24" t="e">
        <f t="shared" ca="1" si="20"/>
        <v>#REF!</v>
      </c>
      <c r="O51" s="8" t="e">
        <f t="shared" ca="1" si="9"/>
        <v>#REF!</v>
      </c>
      <c r="P51" s="6" t="e">
        <f t="shared" ca="1" si="10"/>
        <v>#REF!</v>
      </c>
    </row>
    <row r="52" spans="2:16">
      <c r="B52" s="680" t="str">
        <f t="shared" si="3"/>
        <v>B3 Kit-2</v>
      </c>
      <c r="C52" s="442" t="str">
        <f t="shared" si="16"/>
        <v>CJ</v>
      </c>
      <c r="D52" s="617" t="e">
        <f t="shared" si="5"/>
        <v>#VALUE!</v>
      </c>
      <c r="E52" s="276" t="e">
        <f t="shared" si="6"/>
        <v>#N/A</v>
      </c>
      <c r="F52" s="277" t="e">
        <f t="shared" si="17"/>
        <v>#VALUE!</v>
      </c>
      <c r="G52" s="88" t="e">
        <f t="shared" si="18"/>
        <v>#VALUE!</v>
      </c>
      <c r="H52" s="88" t="str">
        <f t="shared" si="19"/>
        <v>Vertical</v>
      </c>
      <c r="I52" s="716" t="s">
        <v>568</v>
      </c>
      <c r="J52" s="339"/>
      <c r="K52" s="278"/>
      <c r="L52" s="339" t="str">
        <f t="shared" si="2"/>
        <v>Main Roof</v>
      </c>
      <c r="M52" s="352"/>
      <c r="N52" s="24" t="e">
        <f t="shared" ca="1" si="20"/>
        <v>#REF!</v>
      </c>
      <c r="O52" s="8" t="e">
        <f t="shared" ca="1" si="9"/>
        <v>#REF!</v>
      </c>
      <c r="P52" s="6" t="e">
        <f t="shared" ca="1" si="10"/>
        <v>#REF!</v>
      </c>
    </row>
    <row r="53" spans="2:16">
      <c r="B53" s="680" t="str">
        <f t="shared" si="3"/>
        <v>B3 BSL3-1</v>
      </c>
      <c r="C53" s="442" t="str">
        <f t="shared" si="16"/>
        <v>CK</v>
      </c>
      <c r="D53" s="617" t="e">
        <f t="shared" si="5"/>
        <v>#VALUE!</v>
      </c>
      <c r="E53" s="276" t="e">
        <f t="shared" si="6"/>
        <v>#N/A</v>
      </c>
      <c r="F53" s="277" t="e">
        <f t="shared" si="17"/>
        <v>#VALUE!</v>
      </c>
      <c r="G53" s="88" t="e">
        <f t="shared" si="18"/>
        <v>#VALUE!</v>
      </c>
      <c r="H53" s="88" t="str">
        <f t="shared" si="19"/>
        <v>Vertical</v>
      </c>
      <c r="I53" s="716" t="s">
        <v>568</v>
      </c>
      <c r="J53" s="339"/>
      <c r="K53" s="278"/>
      <c r="L53" s="339" t="str">
        <f t="shared" si="2"/>
        <v>Main Roof</v>
      </c>
      <c r="M53" s="352"/>
      <c r="N53" s="24" t="e">
        <f t="shared" ca="1" si="20"/>
        <v>#REF!</v>
      </c>
      <c r="O53" s="8" t="e">
        <f t="shared" ca="1" si="9"/>
        <v>#REF!</v>
      </c>
      <c r="P53" s="6" t="e">
        <f t="shared" ca="1" si="10"/>
        <v>#REF!</v>
      </c>
    </row>
    <row r="54" spans="2:16">
      <c r="B54" s="680" t="str">
        <f t="shared" si="3"/>
        <v>B3 BSL3-2</v>
      </c>
      <c r="C54" s="442" t="str">
        <f t="shared" si="16"/>
        <v>CL</v>
      </c>
      <c r="D54" s="617" t="e">
        <f t="shared" si="5"/>
        <v>#VALUE!</v>
      </c>
      <c r="E54" s="276" t="e">
        <f t="shared" si="6"/>
        <v>#N/A</v>
      </c>
      <c r="F54" s="277" t="e">
        <f t="shared" si="17"/>
        <v>#VALUE!</v>
      </c>
      <c r="G54" s="88" t="e">
        <f t="shared" si="18"/>
        <v>#VALUE!</v>
      </c>
      <c r="H54" s="88" t="str">
        <f t="shared" si="19"/>
        <v>Vertical</v>
      </c>
      <c r="I54" s="716" t="s">
        <v>568</v>
      </c>
      <c r="J54" s="339"/>
      <c r="K54" s="278"/>
      <c r="L54" s="339" t="str">
        <f t="shared" si="2"/>
        <v>Main Roof</v>
      </c>
      <c r="M54" s="352"/>
      <c r="N54" s="24" t="e">
        <f t="shared" ca="1" si="20"/>
        <v>#REF!</v>
      </c>
      <c r="O54" s="8" t="e">
        <f t="shared" ca="1" si="9"/>
        <v>#REF!</v>
      </c>
      <c r="P54" s="6" t="e">
        <f t="shared" ca="1" si="10"/>
        <v>#REF!</v>
      </c>
    </row>
    <row r="55" spans="2:16">
      <c r="B55" s="680" t="str">
        <f t="shared" si="3"/>
        <v>B3 DT</v>
      </c>
      <c r="C55" s="442" t="str">
        <f t="shared" si="16"/>
        <v>CM</v>
      </c>
      <c r="D55" s="617" t="e">
        <f t="shared" si="5"/>
        <v>#VALUE!</v>
      </c>
      <c r="E55" s="276" t="e">
        <f t="shared" si="6"/>
        <v>#N/A</v>
      </c>
      <c r="F55" s="277" t="e">
        <f t="shared" si="17"/>
        <v>#VALUE!</v>
      </c>
      <c r="G55" s="88" t="e">
        <f t="shared" si="18"/>
        <v>#VALUE!</v>
      </c>
      <c r="H55" s="88" t="str">
        <f t="shared" si="19"/>
        <v>Vertical</v>
      </c>
      <c r="I55" s="716" t="s">
        <v>568</v>
      </c>
      <c r="J55" s="339"/>
      <c r="K55" s="278"/>
      <c r="L55" s="339" t="str">
        <f t="shared" si="2"/>
        <v>Local Grade</v>
      </c>
      <c r="M55" s="352"/>
      <c r="N55" s="24" t="e">
        <f t="shared" ca="1" si="20"/>
        <v>#REF!</v>
      </c>
      <c r="O55" s="8" t="e">
        <f t="shared" ca="1" si="9"/>
        <v>#REF!</v>
      </c>
      <c r="P55" s="6" t="e">
        <f t="shared" ca="1" si="10"/>
        <v>#REF!</v>
      </c>
    </row>
    <row r="56" spans="2:16">
      <c r="B56" s="680" t="str">
        <f t="shared" si="3"/>
        <v>B3 DG</v>
      </c>
      <c r="C56" s="442" t="str">
        <f t="shared" si="16"/>
        <v>CN</v>
      </c>
      <c r="D56" s="617" t="e">
        <f t="shared" si="5"/>
        <v>#VALUE!</v>
      </c>
      <c r="E56" s="276" t="e">
        <f t="shared" si="6"/>
        <v>#N/A</v>
      </c>
      <c r="F56" s="277" t="e">
        <f t="shared" si="17"/>
        <v>#VALUE!</v>
      </c>
      <c r="G56" s="88" t="e">
        <f t="shared" si="18"/>
        <v>#VALUE!</v>
      </c>
      <c r="H56" s="88" t="str">
        <f t="shared" si="19"/>
        <v>Vertical</v>
      </c>
      <c r="I56" s="716" t="s">
        <v>568</v>
      </c>
      <c r="J56" s="339"/>
      <c r="K56" s="278"/>
      <c r="L56" s="339" t="str">
        <f t="shared" si="2"/>
        <v>Local Grade</v>
      </c>
      <c r="M56" s="352"/>
      <c r="N56" s="24" t="e">
        <f t="shared" ca="1" si="20"/>
        <v>#REF!</v>
      </c>
      <c r="O56" s="8" t="e">
        <f t="shared" ca="1" si="9"/>
        <v>#REF!</v>
      </c>
      <c r="P56" s="6" t="e">
        <f t="shared" ca="1" si="10"/>
        <v>#REF!</v>
      </c>
    </row>
    <row r="57" spans="2:16">
      <c r="B57" s="680"/>
      <c r="C57" s="442"/>
      <c r="D57" s="617"/>
      <c r="E57" s="276"/>
      <c r="F57" s="277"/>
      <c r="G57" s="88"/>
      <c r="H57" s="88"/>
      <c r="I57" s="6"/>
      <c r="J57" s="339"/>
      <c r="K57" s="278"/>
      <c r="L57" s="339"/>
      <c r="M57" s="352"/>
      <c r="N57" s="24"/>
      <c r="O57" s="8"/>
      <c r="P57" s="6"/>
    </row>
    <row r="58" spans="2:16">
      <c r="B58" s="677"/>
      <c r="C58" s="641" t="str">
        <f>'Stack Summary'!$C68</f>
        <v>Equipment Sources</v>
      </c>
      <c r="D58" s="617"/>
      <c r="E58" s="276"/>
      <c r="F58" s="277"/>
      <c r="G58" s="88"/>
      <c r="H58" s="88"/>
      <c r="I58" s="6"/>
      <c r="J58" s="339"/>
      <c r="K58" s="278"/>
      <c r="L58" s="339"/>
      <c r="M58" s="352"/>
      <c r="N58" s="24"/>
      <c r="O58" s="8"/>
      <c r="P58" s="6"/>
    </row>
    <row r="59" spans="2:16">
      <c r="B59" s="680" t="str">
        <f t="shared" si="3"/>
        <v>AUTO</v>
      </c>
      <c r="C59" s="682" t="s">
        <v>350</v>
      </c>
      <c r="D59" s="617" t="e">
        <f t="shared" si="5"/>
        <v>#VALUE!</v>
      </c>
      <c r="E59" s="276" t="e">
        <f t="shared" si="6"/>
        <v>#N/A</v>
      </c>
      <c r="F59" s="277" t="e">
        <f>(INDEX(SourceHeightAboveBase,MATCH($C59,SourceNumber,0),1,1)*3.28)*12/SF</f>
        <v>#VALUE!</v>
      </c>
      <c r="G59" s="88" t="e">
        <f>ROUND(F59*2,2)</f>
        <v>#VALUE!</v>
      </c>
      <c r="H59" s="88" t="str">
        <f>(INDEX(SourceOrientation,MATCH($C59,SourceNumber,0),1,1))</f>
        <v>Vertical</v>
      </c>
      <c r="I59" s="716" t="s">
        <v>568</v>
      </c>
      <c r="J59" s="339"/>
      <c r="K59" s="278"/>
      <c r="L59" s="339" t="str">
        <f t="shared" ref="L59:L82" si="21">INDEX(SourceComment,MATCH($C59,SourceNumber,0),1,1)</f>
        <v>Local Grade</v>
      </c>
      <c r="M59" s="352"/>
      <c r="N59" s="24">
        <f ca="1">INDIRECT(ADDRESS(53,7,1,,$C59))</f>
        <v>0.97430000000000005</v>
      </c>
      <c r="O59" s="8">
        <f t="shared" ca="1" si="9"/>
        <v>2000</v>
      </c>
      <c r="P59" s="6" t="e">
        <f t="shared" ca="1" si="10"/>
        <v>#VALUE!</v>
      </c>
    </row>
    <row r="60" spans="2:16" ht="16.5" customHeight="1">
      <c r="B60" s="680" t="str">
        <f t="shared" si="3"/>
        <v>DT</v>
      </c>
      <c r="C60" s="442" t="str">
        <f t="shared" ref="C60:C72" si="22">IF((RIGHT(C59,1))&lt;&gt;"Z",CHAR(CODE(C59))&amp;CHAR(CODE(RIGHT(C59,1))+1),CHAR(CODE(C59)+1)&amp;"A")</f>
        <v>DB</v>
      </c>
      <c r="D60" s="617" t="e">
        <f t="shared" si="5"/>
        <v>#VALUE!</v>
      </c>
      <c r="E60" s="276" t="e">
        <f t="shared" si="6"/>
        <v>#N/A</v>
      </c>
      <c r="F60" s="277" t="e">
        <f t="shared" ref="F60:F82" si="23">(INDEX(SourceHeightAboveBase,MATCH($C60,SourceNumber,0),1,1)*3.28)*12/SF</f>
        <v>#VALUE!</v>
      </c>
      <c r="G60" s="88" t="e">
        <f t="shared" ref="G60:G82" si="24">ROUND(F60*2,2)</f>
        <v>#VALUE!</v>
      </c>
      <c r="H60" s="88" t="str">
        <f t="shared" ref="H60:H82" si="25">(INDEX(SourceOrientation,MATCH($C60,SourceNumber,0),1,1))</f>
        <v>Vertical</v>
      </c>
      <c r="I60" s="716" t="s">
        <v>568</v>
      </c>
      <c r="J60" s="339"/>
      <c r="K60" s="278"/>
      <c r="L60" s="339" t="str">
        <f t="shared" si="21"/>
        <v>Local Grade</v>
      </c>
      <c r="M60" s="352"/>
      <c r="N60" s="24">
        <f t="shared" ref="N60:N82" ca="1" si="26">INDIRECT(ADDRESS(53,7,1,,$C60))</f>
        <v>0.97430000000000005</v>
      </c>
      <c r="O60" s="8">
        <f t="shared" ca="1" si="9"/>
        <v>2000</v>
      </c>
      <c r="P60" s="6" t="e">
        <f t="shared" ca="1" si="10"/>
        <v>#VALUE!</v>
      </c>
    </row>
    <row r="61" spans="2:16">
      <c r="B61" s="680" t="str">
        <f t="shared" si="3"/>
        <v>AMB</v>
      </c>
      <c r="C61" s="442" t="str">
        <f t="shared" si="22"/>
        <v>DC</v>
      </c>
      <c r="D61" s="617" t="e">
        <f t="shared" si="5"/>
        <v>#VALUE!</v>
      </c>
      <c r="E61" s="276" t="e">
        <f t="shared" si="6"/>
        <v>#N/A</v>
      </c>
      <c r="F61" s="277" t="e">
        <f t="shared" si="23"/>
        <v>#VALUE!</v>
      </c>
      <c r="G61" s="88" t="e">
        <f t="shared" si="24"/>
        <v>#VALUE!</v>
      </c>
      <c r="H61" s="88" t="str">
        <f t="shared" si="25"/>
        <v>Vertical</v>
      </c>
      <c r="I61" s="716" t="s">
        <v>568</v>
      </c>
      <c r="J61" s="339"/>
      <c r="K61" s="278"/>
      <c r="L61" s="339" t="str">
        <f t="shared" si="21"/>
        <v>Local Grade</v>
      </c>
      <c r="M61" s="352"/>
      <c r="N61" s="24">
        <f t="shared" ca="1" si="26"/>
        <v>0.97430000000000005</v>
      </c>
      <c r="O61" s="8">
        <f t="shared" ca="1" si="9"/>
        <v>2000</v>
      </c>
      <c r="P61" s="6" t="e">
        <f t="shared" ca="1" si="10"/>
        <v>#VALUE!</v>
      </c>
    </row>
    <row r="62" spans="2:16">
      <c r="B62" s="680" t="str">
        <f t="shared" si="3"/>
        <v>DT</v>
      </c>
      <c r="C62" s="442" t="str">
        <f t="shared" si="22"/>
        <v>DD</v>
      </c>
      <c r="D62" s="617" t="e">
        <f t="shared" si="5"/>
        <v>#VALUE!</v>
      </c>
      <c r="E62" s="276" t="e">
        <f t="shared" si="6"/>
        <v>#N/A</v>
      </c>
      <c r="F62" s="277" t="e">
        <f t="shared" si="23"/>
        <v>#VALUE!</v>
      </c>
      <c r="G62" s="88" t="e">
        <f t="shared" si="24"/>
        <v>#VALUE!</v>
      </c>
      <c r="H62" s="88" t="str">
        <f t="shared" si="25"/>
        <v>Vertical</v>
      </c>
      <c r="I62" s="716" t="s">
        <v>568</v>
      </c>
      <c r="J62" s="339"/>
      <c r="K62" s="278"/>
      <c r="L62" s="339" t="str">
        <f t="shared" si="21"/>
        <v>Local Grade</v>
      </c>
      <c r="M62" s="352"/>
      <c r="N62" s="24" t="e">
        <f t="shared" ca="1" si="26"/>
        <v>#REF!</v>
      </c>
      <c r="O62" s="8" t="e">
        <f t="shared" ca="1" si="9"/>
        <v>#REF!</v>
      </c>
      <c r="P62" s="6" t="e">
        <f t="shared" ca="1" si="10"/>
        <v>#REF!</v>
      </c>
    </row>
    <row r="63" spans="2:16">
      <c r="B63" s="680" t="str">
        <f t="shared" si="3"/>
        <v>DG</v>
      </c>
      <c r="C63" s="442" t="str">
        <f t="shared" si="22"/>
        <v>DE</v>
      </c>
      <c r="D63" s="617" t="e">
        <f t="shared" si="5"/>
        <v>#VALUE!</v>
      </c>
      <c r="E63" s="276" t="e">
        <f t="shared" si="6"/>
        <v>#N/A</v>
      </c>
      <c r="F63" s="277" t="e">
        <f t="shared" si="23"/>
        <v>#VALUE!</v>
      </c>
      <c r="G63" s="88" t="e">
        <f t="shared" si="24"/>
        <v>#VALUE!</v>
      </c>
      <c r="H63" s="88" t="str">
        <f t="shared" si="25"/>
        <v>Vertical</v>
      </c>
      <c r="I63" s="716" t="s">
        <v>568</v>
      </c>
      <c r="J63" s="339"/>
      <c r="K63" s="278"/>
      <c r="L63" s="339" t="str">
        <f t="shared" si="21"/>
        <v>Local Grade</v>
      </c>
      <c r="M63" s="352"/>
      <c r="N63" s="24" t="e">
        <f t="shared" ca="1" si="26"/>
        <v>#REF!</v>
      </c>
      <c r="O63" s="8" t="e">
        <f t="shared" ca="1" si="9"/>
        <v>#REF!</v>
      </c>
      <c r="P63" s="6" t="e">
        <f t="shared" ca="1" si="10"/>
        <v>#REF!</v>
      </c>
    </row>
    <row r="64" spans="2:16">
      <c r="B64" s="680" t="str">
        <f t="shared" si="3"/>
        <v>DG</v>
      </c>
      <c r="C64" s="442" t="str">
        <f t="shared" si="22"/>
        <v>DF</v>
      </c>
      <c r="D64" s="617" t="e">
        <f t="shared" si="5"/>
        <v>#VALUE!</v>
      </c>
      <c r="E64" s="276" t="e">
        <f t="shared" si="6"/>
        <v>#N/A</v>
      </c>
      <c r="F64" s="277" t="e">
        <f t="shared" si="23"/>
        <v>#VALUE!</v>
      </c>
      <c r="G64" s="88" t="e">
        <f t="shared" si="24"/>
        <v>#VALUE!</v>
      </c>
      <c r="H64" s="88" t="str">
        <f t="shared" si="25"/>
        <v>Vertical</v>
      </c>
      <c r="I64" s="716" t="s">
        <v>568</v>
      </c>
      <c r="J64" s="339"/>
      <c r="K64" s="278"/>
      <c r="L64" s="339" t="str">
        <f t="shared" si="21"/>
        <v>Local Grade</v>
      </c>
      <c r="M64" s="352"/>
      <c r="N64" s="24" t="e">
        <f t="shared" ca="1" si="26"/>
        <v>#REF!</v>
      </c>
      <c r="O64" s="8" t="e">
        <f t="shared" ca="1" si="9"/>
        <v>#REF!</v>
      </c>
      <c r="P64" s="6" t="e">
        <f t="shared" ca="1" si="10"/>
        <v>#REF!</v>
      </c>
    </row>
    <row r="65" spans="2:16">
      <c r="B65" s="680" t="str">
        <f t="shared" si="3"/>
        <v>DG</v>
      </c>
      <c r="C65" s="442" t="str">
        <f t="shared" si="22"/>
        <v>DG</v>
      </c>
      <c r="D65" s="617" t="e">
        <f t="shared" si="5"/>
        <v>#VALUE!</v>
      </c>
      <c r="E65" s="276" t="e">
        <f t="shared" si="6"/>
        <v>#N/A</v>
      </c>
      <c r="F65" s="277" t="e">
        <f t="shared" si="23"/>
        <v>#VALUE!</v>
      </c>
      <c r="G65" s="88" t="e">
        <f t="shared" si="24"/>
        <v>#VALUE!</v>
      </c>
      <c r="H65" s="88" t="str">
        <f t="shared" si="25"/>
        <v>Vertical</v>
      </c>
      <c r="I65" s="716" t="s">
        <v>568</v>
      </c>
      <c r="J65" s="339"/>
      <c r="K65" s="278"/>
      <c r="L65" s="339" t="str">
        <f t="shared" si="21"/>
        <v>Local Grade</v>
      </c>
      <c r="M65" s="352"/>
      <c r="N65" s="24" t="e">
        <f t="shared" ca="1" si="26"/>
        <v>#REF!</v>
      </c>
      <c r="O65" s="8" t="e">
        <f t="shared" ca="1" si="9"/>
        <v>#REF!</v>
      </c>
      <c r="P65" s="6" t="e">
        <f t="shared" ca="1" si="10"/>
        <v>#REF!</v>
      </c>
    </row>
    <row r="66" spans="2:16">
      <c r="B66" s="680" t="str">
        <f t="shared" si="3"/>
        <v>DG</v>
      </c>
      <c r="C66" s="442" t="str">
        <f t="shared" si="22"/>
        <v>DH</v>
      </c>
      <c r="D66" s="617" t="e">
        <f t="shared" si="5"/>
        <v>#VALUE!</v>
      </c>
      <c r="E66" s="276" t="e">
        <f t="shared" si="6"/>
        <v>#N/A</v>
      </c>
      <c r="F66" s="277" t="e">
        <f t="shared" si="23"/>
        <v>#VALUE!</v>
      </c>
      <c r="G66" s="88" t="e">
        <f t="shared" si="24"/>
        <v>#VALUE!</v>
      </c>
      <c r="H66" s="88" t="str">
        <f t="shared" si="25"/>
        <v>Vertical</v>
      </c>
      <c r="I66" s="716" t="s">
        <v>568</v>
      </c>
      <c r="J66" s="339"/>
      <c r="K66" s="278"/>
      <c r="L66" s="339" t="str">
        <f t="shared" si="21"/>
        <v>Local Grade</v>
      </c>
      <c r="M66" s="352"/>
      <c r="N66" s="24" t="e">
        <f t="shared" ca="1" si="26"/>
        <v>#REF!</v>
      </c>
      <c r="O66" s="8" t="e">
        <f t="shared" ca="1" si="9"/>
        <v>#REF!</v>
      </c>
      <c r="P66" s="6" t="e">
        <f t="shared" ca="1" si="10"/>
        <v>#REF!</v>
      </c>
    </row>
    <row r="67" spans="2:16">
      <c r="B67" s="680" t="str">
        <f t="shared" si="3"/>
        <v>DG</v>
      </c>
      <c r="C67" s="442" t="str">
        <f t="shared" si="22"/>
        <v>DI</v>
      </c>
      <c r="D67" s="617" t="e">
        <f t="shared" si="5"/>
        <v>#VALUE!</v>
      </c>
      <c r="E67" s="276" t="e">
        <f t="shared" si="6"/>
        <v>#N/A</v>
      </c>
      <c r="F67" s="277" t="e">
        <f t="shared" si="23"/>
        <v>#VALUE!</v>
      </c>
      <c r="G67" s="88" t="e">
        <f t="shared" si="24"/>
        <v>#VALUE!</v>
      </c>
      <c r="H67" s="88" t="str">
        <f t="shared" si="25"/>
        <v>Vertical</v>
      </c>
      <c r="I67" s="716" t="s">
        <v>568</v>
      </c>
      <c r="J67" s="339"/>
      <c r="K67" s="278"/>
      <c r="L67" s="339" t="str">
        <f t="shared" si="21"/>
        <v>Local Grade</v>
      </c>
      <c r="M67" s="352"/>
      <c r="N67" s="24" t="e">
        <f t="shared" ca="1" si="26"/>
        <v>#REF!</v>
      </c>
      <c r="O67" s="8" t="e">
        <f t="shared" ca="1" si="9"/>
        <v>#REF!</v>
      </c>
      <c r="P67" s="6" t="e">
        <f t="shared" ca="1" si="10"/>
        <v>#REF!</v>
      </c>
    </row>
    <row r="68" spans="2:16">
      <c r="B68" s="680" t="str">
        <f t="shared" si="3"/>
        <v>DG</v>
      </c>
      <c r="C68" s="442" t="str">
        <f t="shared" si="22"/>
        <v>DJ</v>
      </c>
      <c r="D68" s="617" t="e">
        <f t="shared" si="5"/>
        <v>#VALUE!</v>
      </c>
      <c r="E68" s="276" t="e">
        <f t="shared" si="6"/>
        <v>#N/A</v>
      </c>
      <c r="F68" s="277" t="e">
        <f t="shared" si="23"/>
        <v>#VALUE!</v>
      </c>
      <c r="G68" s="88" t="e">
        <f t="shared" si="24"/>
        <v>#VALUE!</v>
      </c>
      <c r="H68" s="88" t="str">
        <f t="shared" si="25"/>
        <v>Vertical</v>
      </c>
      <c r="I68" s="716" t="s">
        <v>568</v>
      </c>
      <c r="J68" s="339"/>
      <c r="K68" s="278"/>
      <c r="L68" s="339" t="str">
        <f t="shared" si="21"/>
        <v>Local Grade</v>
      </c>
      <c r="M68" s="352"/>
      <c r="N68" s="24" t="e">
        <f t="shared" ca="1" si="26"/>
        <v>#REF!</v>
      </c>
      <c r="O68" s="8" t="e">
        <f t="shared" ca="1" si="9"/>
        <v>#REF!</v>
      </c>
      <c r="P68" s="6" t="e">
        <f t="shared" ca="1" si="10"/>
        <v>#REF!</v>
      </c>
    </row>
    <row r="69" spans="2:16">
      <c r="B69" s="680" t="str">
        <f t="shared" si="3"/>
        <v>DG</v>
      </c>
      <c r="C69" s="442" t="str">
        <f t="shared" si="22"/>
        <v>DK</v>
      </c>
      <c r="D69" s="617" t="e">
        <f t="shared" si="5"/>
        <v>#VALUE!</v>
      </c>
      <c r="E69" s="276" t="e">
        <f t="shared" si="6"/>
        <v>#N/A</v>
      </c>
      <c r="F69" s="277" t="e">
        <f t="shared" si="23"/>
        <v>#VALUE!</v>
      </c>
      <c r="G69" s="88" t="e">
        <f t="shared" si="24"/>
        <v>#VALUE!</v>
      </c>
      <c r="H69" s="88" t="str">
        <f t="shared" si="25"/>
        <v>Vertical</v>
      </c>
      <c r="I69" s="716" t="s">
        <v>568</v>
      </c>
      <c r="J69" s="339"/>
      <c r="K69" s="278"/>
      <c r="L69" s="339" t="str">
        <f t="shared" si="21"/>
        <v>Local Grade</v>
      </c>
      <c r="M69" s="352"/>
      <c r="N69" s="24" t="e">
        <f t="shared" ca="1" si="26"/>
        <v>#REF!</v>
      </c>
      <c r="O69" s="8" t="e">
        <f t="shared" ca="1" si="9"/>
        <v>#REF!</v>
      </c>
      <c r="P69" s="6" t="e">
        <f t="shared" ca="1" si="10"/>
        <v>#REF!</v>
      </c>
    </row>
    <row r="70" spans="2:16">
      <c r="B70" s="680" t="str">
        <f t="shared" si="3"/>
        <v>DG</v>
      </c>
      <c r="C70" s="442" t="str">
        <f t="shared" si="22"/>
        <v>DL</v>
      </c>
      <c r="D70" s="617" t="e">
        <f t="shared" si="5"/>
        <v>#VALUE!</v>
      </c>
      <c r="E70" s="276" t="e">
        <f t="shared" si="6"/>
        <v>#N/A</v>
      </c>
      <c r="F70" s="277" t="e">
        <f t="shared" si="23"/>
        <v>#VALUE!</v>
      </c>
      <c r="G70" s="88" t="e">
        <f t="shared" si="24"/>
        <v>#VALUE!</v>
      </c>
      <c r="H70" s="88" t="str">
        <f t="shared" si="25"/>
        <v>Vertical</v>
      </c>
      <c r="I70" s="716" t="s">
        <v>568</v>
      </c>
      <c r="J70" s="339"/>
      <c r="K70" s="278"/>
      <c r="L70" s="339" t="str">
        <f t="shared" si="21"/>
        <v>Local Grade</v>
      </c>
      <c r="M70" s="352"/>
      <c r="N70" s="24" t="e">
        <f t="shared" ca="1" si="26"/>
        <v>#REF!</v>
      </c>
      <c r="O70" s="8" t="e">
        <f t="shared" ca="1" si="9"/>
        <v>#REF!</v>
      </c>
      <c r="P70" s="6" t="e">
        <f t="shared" ca="1" si="10"/>
        <v>#REF!</v>
      </c>
    </row>
    <row r="71" spans="2:16">
      <c r="B71" s="680" t="str">
        <f t="shared" si="3"/>
        <v>BLR</v>
      </c>
      <c r="C71" s="442" t="str">
        <f t="shared" si="22"/>
        <v>DM</v>
      </c>
      <c r="D71" s="617" t="e">
        <f t="shared" si="5"/>
        <v>#VALUE!</v>
      </c>
      <c r="E71" s="276" t="e">
        <f t="shared" si="6"/>
        <v>#N/A</v>
      </c>
      <c r="F71" s="277" t="e">
        <f t="shared" si="23"/>
        <v>#VALUE!</v>
      </c>
      <c r="G71" s="88" t="e">
        <f t="shared" si="24"/>
        <v>#VALUE!</v>
      </c>
      <c r="H71" s="88" t="str">
        <f t="shared" si="25"/>
        <v>Vertical</v>
      </c>
      <c r="I71" s="716" t="s">
        <v>568</v>
      </c>
      <c r="J71" s="339"/>
      <c r="K71" s="278"/>
      <c r="L71" s="339" t="str">
        <f t="shared" si="21"/>
        <v>Local Grade</v>
      </c>
      <c r="M71" s="352"/>
      <c r="N71" s="24" t="e">
        <f t="shared" ca="1" si="26"/>
        <v>#REF!</v>
      </c>
      <c r="O71" s="8" t="e">
        <f t="shared" ca="1" si="9"/>
        <v>#REF!</v>
      </c>
      <c r="P71" s="6" t="e">
        <f t="shared" ca="1" si="10"/>
        <v>#REF!</v>
      </c>
    </row>
    <row r="72" spans="2:16">
      <c r="B72" s="680" t="str">
        <f t="shared" si="3"/>
        <v>BLR</v>
      </c>
      <c r="C72" s="442" t="str">
        <f t="shared" si="22"/>
        <v>DN</v>
      </c>
      <c r="D72" s="617" t="e">
        <f t="shared" si="5"/>
        <v>#VALUE!</v>
      </c>
      <c r="E72" s="276" t="e">
        <f t="shared" si="6"/>
        <v>#N/A</v>
      </c>
      <c r="F72" s="277" t="e">
        <f t="shared" si="23"/>
        <v>#VALUE!</v>
      </c>
      <c r="G72" s="88" t="e">
        <f t="shared" si="24"/>
        <v>#VALUE!</v>
      </c>
      <c r="H72" s="88" t="str">
        <f t="shared" si="25"/>
        <v>Vertical</v>
      </c>
      <c r="I72" s="716" t="s">
        <v>568</v>
      </c>
      <c r="J72" s="339"/>
      <c r="K72" s="278"/>
      <c r="L72" s="339" t="str">
        <f t="shared" si="21"/>
        <v>Local Grade</v>
      </c>
      <c r="M72" s="352"/>
      <c r="N72" s="24" t="e">
        <f t="shared" ca="1" si="26"/>
        <v>#REF!</v>
      </c>
      <c r="O72" s="8" t="e">
        <f t="shared" ca="1" si="9"/>
        <v>#REF!</v>
      </c>
      <c r="P72" s="6" t="e">
        <f t="shared" ca="1" si="10"/>
        <v>#REF!</v>
      </c>
    </row>
    <row r="73" spans="2:16">
      <c r="B73" s="680" t="str">
        <f t="shared" si="3"/>
        <v>BLR</v>
      </c>
      <c r="C73" s="442" t="str">
        <f t="shared" ref="C73:C82" si="27">IF((RIGHT(C72,1))&lt;&gt;"Z",CHAR(CODE(C72))&amp;CHAR(CODE(RIGHT(C72,1))+1),CHAR(CODE(C72)+1)&amp;"A")</f>
        <v>DO</v>
      </c>
      <c r="D73" s="617" t="e">
        <f t="shared" si="5"/>
        <v>#VALUE!</v>
      </c>
      <c r="E73" s="276" t="e">
        <f t="shared" si="6"/>
        <v>#N/A</v>
      </c>
      <c r="F73" s="277" t="e">
        <f t="shared" si="23"/>
        <v>#VALUE!</v>
      </c>
      <c r="G73" s="88" t="e">
        <f t="shared" si="24"/>
        <v>#VALUE!</v>
      </c>
      <c r="H73" s="88" t="str">
        <f t="shared" si="25"/>
        <v>Vertical</v>
      </c>
      <c r="I73" s="716" t="s">
        <v>568</v>
      </c>
      <c r="J73" s="339"/>
      <c r="K73" s="278"/>
      <c r="L73" s="339" t="str">
        <f t="shared" si="21"/>
        <v>Local Grade</v>
      </c>
      <c r="M73" s="352"/>
      <c r="N73" s="24" t="e">
        <f t="shared" ca="1" si="26"/>
        <v>#REF!</v>
      </c>
      <c r="O73" s="8" t="e">
        <f t="shared" ca="1" si="9"/>
        <v>#REF!</v>
      </c>
      <c r="P73" s="6" t="e">
        <f t="shared" ca="1" si="10"/>
        <v>#REF!</v>
      </c>
    </row>
    <row r="74" spans="2:16">
      <c r="B74" s="680" t="str">
        <f t="shared" si="3"/>
        <v>BLR</v>
      </c>
      <c r="C74" s="442" t="str">
        <f t="shared" si="27"/>
        <v>DP</v>
      </c>
      <c r="D74" s="617" t="e">
        <f t="shared" si="5"/>
        <v>#VALUE!</v>
      </c>
      <c r="E74" s="276" t="e">
        <f t="shared" si="6"/>
        <v>#N/A</v>
      </c>
      <c r="F74" s="277" t="e">
        <f t="shared" si="23"/>
        <v>#VALUE!</v>
      </c>
      <c r="G74" s="88" t="e">
        <f t="shared" si="24"/>
        <v>#VALUE!</v>
      </c>
      <c r="H74" s="88" t="str">
        <f t="shared" si="25"/>
        <v>Vertical</v>
      </c>
      <c r="I74" s="716" t="s">
        <v>568</v>
      </c>
      <c r="J74" s="339"/>
      <c r="K74" s="278"/>
      <c r="L74" s="339" t="str">
        <f t="shared" si="21"/>
        <v>Local Grade</v>
      </c>
      <c r="M74" s="352"/>
      <c r="N74" s="24" t="e">
        <f t="shared" ca="1" si="26"/>
        <v>#REF!</v>
      </c>
      <c r="O74" s="8" t="e">
        <f t="shared" ca="1" si="9"/>
        <v>#REF!</v>
      </c>
      <c r="P74" s="6" t="e">
        <f t="shared" ca="1" si="10"/>
        <v>#REF!</v>
      </c>
    </row>
    <row r="75" spans="2:16">
      <c r="B75" s="680" t="str">
        <f t="shared" si="3"/>
        <v>BLR</v>
      </c>
      <c r="C75" s="442" t="str">
        <f t="shared" si="27"/>
        <v>DQ</v>
      </c>
      <c r="D75" s="617" t="e">
        <f t="shared" si="5"/>
        <v>#VALUE!</v>
      </c>
      <c r="E75" s="276" t="e">
        <f t="shared" si="6"/>
        <v>#N/A</v>
      </c>
      <c r="F75" s="277" t="e">
        <f t="shared" si="23"/>
        <v>#VALUE!</v>
      </c>
      <c r="G75" s="88" t="e">
        <f t="shared" si="24"/>
        <v>#VALUE!</v>
      </c>
      <c r="H75" s="88" t="str">
        <f t="shared" si="25"/>
        <v>Vertical</v>
      </c>
      <c r="I75" s="716" t="s">
        <v>568</v>
      </c>
      <c r="J75" s="339"/>
      <c r="K75" s="278"/>
      <c r="L75" s="339" t="str">
        <f t="shared" si="21"/>
        <v>Local Grade</v>
      </c>
      <c r="M75" s="352"/>
      <c r="N75" s="24" t="e">
        <f t="shared" ca="1" si="26"/>
        <v>#REF!</v>
      </c>
      <c r="O75" s="8" t="e">
        <f t="shared" ca="1" si="9"/>
        <v>#REF!</v>
      </c>
      <c r="P75" s="6" t="e">
        <f t="shared" ca="1" si="10"/>
        <v>#REF!</v>
      </c>
    </row>
    <row r="76" spans="2:16">
      <c r="B76" s="680" t="str">
        <f t="shared" si="3"/>
        <v>BLR</v>
      </c>
      <c r="C76" s="442" t="str">
        <f t="shared" si="27"/>
        <v>DR</v>
      </c>
      <c r="D76" s="617" t="e">
        <f t="shared" si="5"/>
        <v>#VALUE!</v>
      </c>
      <c r="E76" s="276" t="e">
        <f t="shared" si="6"/>
        <v>#N/A</v>
      </c>
      <c r="F76" s="277" t="e">
        <f t="shared" si="23"/>
        <v>#VALUE!</v>
      </c>
      <c r="G76" s="88" t="e">
        <f t="shared" si="24"/>
        <v>#VALUE!</v>
      </c>
      <c r="H76" s="88" t="str">
        <f t="shared" si="25"/>
        <v>Vertical</v>
      </c>
      <c r="I76" s="716" t="s">
        <v>568</v>
      </c>
      <c r="J76" s="339"/>
      <c r="K76" s="278"/>
      <c r="L76" s="339" t="str">
        <f t="shared" si="21"/>
        <v>Local Grade</v>
      </c>
      <c r="M76" s="352"/>
      <c r="N76" s="24" t="e">
        <f t="shared" ca="1" si="26"/>
        <v>#REF!</v>
      </c>
      <c r="O76" s="8" t="e">
        <f t="shared" ca="1" si="9"/>
        <v>#REF!</v>
      </c>
      <c r="P76" s="6" t="e">
        <f t="shared" ca="1" si="10"/>
        <v>#REF!</v>
      </c>
    </row>
    <row r="77" spans="2:16">
      <c r="B77" s="680" t="str">
        <f t="shared" si="3"/>
        <v>CT</v>
      </c>
      <c r="C77" s="442" t="str">
        <f t="shared" si="27"/>
        <v>DS</v>
      </c>
      <c r="D77" s="617" t="e">
        <f t="shared" si="5"/>
        <v>#VALUE!</v>
      </c>
      <c r="E77" s="276" t="e">
        <f t="shared" si="6"/>
        <v>#N/A</v>
      </c>
      <c r="F77" s="277" t="e">
        <f t="shared" si="23"/>
        <v>#VALUE!</v>
      </c>
      <c r="G77" s="88" t="e">
        <f t="shared" si="24"/>
        <v>#VALUE!</v>
      </c>
      <c r="H77" s="88" t="str">
        <f t="shared" si="25"/>
        <v>Vertical</v>
      </c>
      <c r="I77" s="716" t="s">
        <v>568</v>
      </c>
      <c r="J77" s="339"/>
      <c r="K77" s="278"/>
      <c r="L77" s="339" t="str">
        <f t="shared" si="21"/>
        <v>Local Grade</v>
      </c>
      <c r="M77" s="352"/>
      <c r="N77" s="24" t="e">
        <f t="shared" ca="1" si="26"/>
        <v>#REF!</v>
      </c>
      <c r="O77" s="8" t="e">
        <f t="shared" ca="1" si="9"/>
        <v>#REF!</v>
      </c>
      <c r="P77" s="6" t="e">
        <f t="shared" ca="1" si="10"/>
        <v>#REF!</v>
      </c>
    </row>
    <row r="78" spans="2:16">
      <c r="B78" s="680" t="str">
        <f t="shared" si="3"/>
        <v>CT</v>
      </c>
      <c r="C78" s="442" t="str">
        <f t="shared" si="27"/>
        <v>DT</v>
      </c>
      <c r="D78" s="617" t="e">
        <f t="shared" si="5"/>
        <v>#VALUE!</v>
      </c>
      <c r="E78" s="276" t="e">
        <f t="shared" si="6"/>
        <v>#N/A</v>
      </c>
      <c r="F78" s="277" t="e">
        <f t="shared" si="23"/>
        <v>#VALUE!</v>
      </c>
      <c r="G78" s="88" t="e">
        <f t="shared" si="24"/>
        <v>#VALUE!</v>
      </c>
      <c r="H78" s="88" t="str">
        <f t="shared" si="25"/>
        <v>Vertical</v>
      </c>
      <c r="I78" s="716" t="s">
        <v>568</v>
      </c>
      <c r="J78" s="339"/>
      <c r="K78" s="278"/>
      <c r="L78" s="339" t="str">
        <f t="shared" si="21"/>
        <v>Local Grade</v>
      </c>
      <c r="M78" s="352"/>
      <c r="N78" s="24" t="e">
        <f t="shared" ca="1" si="26"/>
        <v>#REF!</v>
      </c>
      <c r="O78" s="8" t="e">
        <f t="shared" ca="1" si="9"/>
        <v>#REF!</v>
      </c>
      <c r="P78" s="6" t="e">
        <f t="shared" ref="P78:P88" ca="1" si="28">IF(INDIRECT(ADDRESS(55,7,1,,$C78))&gt;O78,"NO","YES")</f>
        <v>#REF!</v>
      </c>
    </row>
    <row r="79" spans="2:16">
      <c r="B79" s="680" t="str">
        <f t="shared" si="3"/>
        <v>CT</v>
      </c>
      <c r="C79" s="442" t="str">
        <f t="shared" si="27"/>
        <v>DU</v>
      </c>
      <c r="D79" s="617" t="e">
        <f t="shared" si="5"/>
        <v>#VALUE!</v>
      </c>
      <c r="E79" s="276" t="e">
        <f t="shared" si="6"/>
        <v>#N/A</v>
      </c>
      <c r="F79" s="277" t="e">
        <f t="shared" si="23"/>
        <v>#VALUE!</v>
      </c>
      <c r="G79" s="88" t="e">
        <f t="shared" si="24"/>
        <v>#VALUE!</v>
      </c>
      <c r="H79" s="88" t="str">
        <f t="shared" si="25"/>
        <v>Vertical</v>
      </c>
      <c r="I79" s="716" t="s">
        <v>568</v>
      </c>
      <c r="J79" s="339"/>
      <c r="K79" s="278"/>
      <c r="L79" s="339" t="str">
        <f t="shared" si="21"/>
        <v>Local Grade</v>
      </c>
      <c r="M79" s="352"/>
      <c r="N79" s="24" t="e">
        <f t="shared" ca="1" si="26"/>
        <v>#REF!</v>
      </c>
      <c r="O79" s="8" t="e">
        <f t="shared" ca="1" si="9"/>
        <v>#REF!</v>
      </c>
      <c r="P79" s="6" t="e">
        <f t="shared" ca="1" si="28"/>
        <v>#REF!</v>
      </c>
    </row>
    <row r="80" spans="2:16">
      <c r="B80" s="680" t="str">
        <f t="shared" si="3"/>
        <v>CT</v>
      </c>
      <c r="C80" s="442" t="str">
        <f t="shared" si="27"/>
        <v>DV</v>
      </c>
      <c r="D80" s="617" t="e">
        <f t="shared" si="5"/>
        <v>#VALUE!</v>
      </c>
      <c r="E80" s="276" t="e">
        <f t="shared" si="6"/>
        <v>#N/A</v>
      </c>
      <c r="F80" s="277" t="e">
        <f t="shared" si="23"/>
        <v>#VALUE!</v>
      </c>
      <c r="G80" s="88" t="e">
        <f t="shared" si="24"/>
        <v>#VALUE!</v>
      </c>
      <c r="H80" s="88" t="str">
        <f t="shared" si="25"/>
        <v>Vertical</v>
      </c>
      <c r="I80" s="716" t="s">
        <v>568</v>
      </c>
      <c r="J80" s="339"/>
      <c r="K80" s="278"/>
      <c r="L80" s="339" t="str">
        <f t="shared" si="21"/>
        <v>Local Grade</v>
      </c>
      <c r="M80" s="352"/>
      <c r="N80" s="24" t="e">
        <f t="shared" ca="1" si="26"/>
        <v>#REF!</v>
      </c>
      <c r="O80" s="8" t="e">
        <f t="shared" ca="1" si="9"/>
        <v>#REF!</v>
      </c>
      <c r="P80" s="6" t="e">
        <f t="shared" ca="1" si="28"/>
        <v>#REF!</v>
      </c>
    </row>
    <row r="81" spans="2:16">
      <c r="B81" s="680" t="str">
        <f t="shared" si="3"/>
        <v>HELI-LTO</v>
      </c>
      <c r="C81" s="442" t="str">
        <f t="shared" si="27"/>
        <v>DW</v>
      </c>
      <c r="D81" s="617" t="e">
        <f t="shared" si="5"/>
        <v>#VALUE!</v>
      </c>
      <c r="E81" s="276" t="e">
        <f t="shared" si="6"/>
        <v>#N/A</v>
      </c>
      <c r="F81" s="277" t="e">
        <f t="shared" si="23"/>
        <v>#VALUE!</v>
      </c>
      <c r="G81" s="88" t="e">
        <f t="shared" si="24"/>
        <v>#VALUE!</v>
      </c>
      <c r="H81" s="88" t="str">
        <f t="shared" si="25"/>
        <v>Horizontal</v>
      </c>
      <c r="I81" s="716" t="s">
        <v>568</v>
      </c>
      <c r="J81" s="339"/>
      <c r="K81" s="278"/>
      <c r="L81" s="339" t="str">
        <f t="shared" si="21"/>
        <v>Local Grade</v>
      </c>
      <c r="M81" s="352"/>
      <c r="N81" s="24" t="e">
        <f t="shared" ca="1" si="26"/>
        <v>#REF!</v>
      </c>
      <c r="O81" s="8" t="e">
        <f t="shared" ca="1" si="9"/>
        <v>#REF!</v>
      </c>
      <c r="P81" s="6" t="e">
        <f t="shared" ca="1" si="28"/>
        <v>#REF!</v>
      </c>
    </row>
    <row r="82" spans="2:16">
      <c r="B82" s="680" t="str">
        <f t="shared" si="3"/>
        <v>HELI-Idle</v>
      </c>
      <c r="C82" s="442" t="str">
        <f t="shared" si="27"/>
        <v>DX</v>
      </c>
      <c r="D82" s="617" t="e">
        <f t="shared" si="5"/>
        <v>#VALUE!</v>
      </c>
      <c r="E82" s="276" t="e">
        <f t="shared" si="6"/>
        <v>#N/A</v>
      </c>
      <c r="F82" s="277" t="e">
        <f t="shared" si="23"/>
        <v>#VALUE!</v>
      </c>
      <c r="G82" s="88" t="e">
        <f t="shared" si="24"/>
        <v>#VALUE!</v>
      </c>
      <c r="H82" s="88" t="str">
        <f t="shared" si="25"/>
        <v>Horizontal</v>
      </c>
      <c r="I82" s="716" t="s">
        <v>568</v>
      </c>
      <c r="J82" s="339"/>
      <c r="K82" s="278"/>
      <c r="L82" s="339" t="str">
        <f t="shared" si="21"/>
        <v>Local Grade</v>
      </c>
      <c r="M82" s="352"/>
      <c r="N82" s="24" t="e">
        <f t="shared" ca="1" si="26"/>
        <v>#REF!</v>
      </c>
      <c r="O82" s="8" t="e">
        <f t="shared" ca="1" si="9"/>
        <v>#REF!</v>
      </c>
      <c r="P82" s="6" t="e">
        <f t="shared" ca="1" si="28"/>
        <v>#REF!</v>
      </c>
    </row>
    <row r="83" spans="2:16">
      <c r="B83" s="680"/>
      <c r="C83" s="442"/>
      <c r="D83" s="617"/>
      <c r="E83" s="276"/>
      <c r="F83" s="277"/>
      <c r="G83" s="88"/>
      <c r="H83" s="88"/>
      <c r="I83" s="6"/>
      <c r="J83" s="339"/>
      <c r="K83" s="278"/>
      <c r="L83" s="339"/>
      <c r="M83" s="352"/>
      <c r="N83" s="24"/>
      <c r="O83" s="8"/>
      <c r="P83" s="6"/>
    </row>
    <row r="84" spans="2:16">
      <c r="B84" s="680"/>
      <c r="C84" s="442"/>
      <c r="D84" s="617"/>
      <c r="E84" s="276"/>
      <c r="F84" s="277"/>
      <c r="G84" s="88"/>
      <c r="H84" s="88"/>
      <c r="I84" s="6"/>
      <c r="J84" s="339"/>
      <c r="K84" s="278"/>
      <c r="L84" s="339"/>
      <c r="M84" s="352"/>
      <c r="N84" s="24"/>
      <c r="O84" s="8"/>
      <c r="P84" s="6"/>
    </row>
    <row r="85" spans="2:16">
      <c r="B85" s="677"/>
      <c r="C85" s="641" t="str">
        <f>'Stack Summary'!B192</f>
        <v>Simulated Air Handling Units</v>
      </c>
      <c r="D85" s="617"/>
      <c r="E85" s="276"/>
      <c r="F85" s="277"/>
      <c r="G85" s="88"/>
      <c r="H85" s="88"/>
      <c r="I85" s="6"/>
      <c r="J85" s="339"/>
      <c r="K85" s="278"/>
      <c r="L85" s="339"/>
      <c r="M85" s="352"/>
      <c r="N85" s="24"/>
      <c r="O85" s="8"/>
      <c r="P85" s="6"/>
    </row>
    <row r="86" spans="2:16">
      <c r="B86" s="680"/>
      <c r="C86" s="1301">
        <v>1</v>
      </c>
      <c r="D86" s="617" t="e">
        <f t="shared" si="5"/>
        <v>#N/A</v>
      </c>
      <c r="E86" s="276" t="e">
        <f t="shared" si="6"/>
        <v>#N/A</v>
      </c>
      <c r="F86" s="277" t="e">
        <f>(INDEX(SourceHeightAboveBase,MATCH($C86,SourceNumber,0),1,1)*3.28)*12/SF</f>
        <v>#VALUE!</v>
      </c>
      <c r="G86" s="630" t="s">
        <v>884</v>
      </c>
      <c r="H86" s="88" t="str">
        <f>(INDEX(SourceOrientation,MATCH($C86,SourceNumber,0),1,1))</f>
        <v>Horiz</v>
      </c>
      <c r="I86" s="716" t="s">
        <v>568</v>
      </c>
      <c r="J86" s="339"/>
      <c r="K86" s="278"/>
      <c r="L86" s="339" t="str">
        <f>INDEX(SourceComment,MATCH($C86,SourceNumber,0),1,1)</f>
        <v>Roof</v>
      </c>
      <c r="M86" s="352"/>
      <c r="N86" s="24">
        <f ca="1">INDIRECT(ADDRESS(53,7,1,,$C86))</f>
        <v>1</v>
      </c>
      <c r="O86" s="8">
        <f t="shared" ca="1" si="9"/>
        <v>2000</v>
      </c>
      <c r="P86" s="6" t="e">
        <f t="shared" ca="1" si="28"/>
        <v>#VALUE!</v>
      </c>
    </row>
    <row r="87" spans="2:16">
      <c r="B87" s="680"/>
      <c r="C87" s="1301">
        <v>2</v>
      </c>
      <c r="D87" s="617" t="e">
        <f t="shared" si="5"/>
        <v>#N/A</v>
      </c>
      <c r="E87" s="276" t="e">
        <f t="shared" si="6"/>
        <v>#N/A</v>
      </c>
      <c r="F87" s="277" t="e">
        <f>(INDEX(SourceHeightAboveBase,MATCH($C87,SourceNumber,0),1,1)*3.28)*12/SF</f>
        <v>#VALUE!</v>
      </c>
      <c r="G87" s="630" t="s">
        <v>884</v>
      </c>
      <c r="H87" s="88" t="str">
        <f>(INDEX(SourceOrientation,MATCH($C87,SourceNumber,0),1,1))</f>
        <v>Horiz</v>
      </c>
      <c r="I87" s="716" t="s">
        <v>568</v>
      </c>
      <c r="J87" s="339"/>
      <c r="K87" s="278"/>
      <c r="L87" s="339" t="str">
        <f>INDEX(SourceComment,MATCH($C87,SourceNumber,0),1,1)</f>
        <v>Roof</v>
      </c>
      <c r="M87" s="352"/>
      <c r="N87" s="24">
        <f ca="1">INDIRECT(ADDRESS(53,7,1,,$C87))</f>
        <v>1</v>
      </c>
      <c r="O87" s="8">
        <f t="shared" ca="1" si="9"/>
        <v>2000</v>
      </c>
      <c r="P87" s="6" t="e">
        <f t="shared" ca="1" si="28"/>
        <v>#VALUE!</v>
      </c>
    </row>
    <row r="88" spans="2:16">
      <c r="B88" s="680"/>
      <c r="C88" s="1301">
        <v>3</v>
      </c>
      <c r="D88" s="617" t="e">
        <f t="shared" si="5"/>
        <v>#N/A</v>
      </c>
      <c r="E88" s="276" t="e">
        <f t="shared" si="6"/>
        <v>#N/A</v>
      </c>
      <c r="F88" s="277" t="e">
        <f>(INDEX(SourceHeightAboveBase,MATCH($C88,SourceNumber,0),1,1)*3.28)*12/SF</f>
        <v>#VALUE!</v>
      </c>
      <c r="G88" s="630" t="s">
        <v>884</v>
      </c>
      <c r="H88" s="88" t="str">
        <f>(INDEX(SourceOrientation,MATCH($C88,SourceNumber,0),1,1))</f>
        <v>Horiz</v>
      </c>
      <c r="I88" s="716" t="s">
        <v>568</v>
      </c>
      <c r="J88" s="339"/>
      <c r="K88" s="278"/>
      <c r="L88" s="339" t="str">
        <f>INDEX(SourceComment,MATCH($C88,SourceNumber,0),1,1)</f>
        <v>Roof</v>
      </c>
      <c r="M88" s="352"/>
      <c r="N88" s="24">
        <f ca="1">INDIRECT(ADDRESS(53,7,1,,$C88))</f>
        <v>1</v>
      </c>
      <c r="O88" s="8">
        <f t="shared" ca="1" si="9"/>
        <v>2000</v>
      </c>
      <c r="P88" s="6" t="e">
        <f t="shared" ca="1" si="28"/>
        <v>#VALUE!</v>
      </c>
    </row>
    <row r="89" spans="2:16" ht="16.5" thickBot="1">
      <c r="B89" s="681"/>
      <c r="C89" s="384"/>
      <c r="D89" s="624"/>
      <c r="E89" s="148"/>
      <c r="F89" s="148"/>
      <c r="G89" s="624"/>
      <c r="H89" s="624"/>
      <c r="I89" s="98"/>
      <c r="J89" s="340"/>
      <c r="K89" s="149"/>
      <c r="L89" s="340"/>
      <c r="M89" s="620"/>
    </row>
    <row r="90" spans="2:16" ht="16.5" thickTop="1"/>
    <row r="91" spans="2:16">
      <c r="C91" t="s">
        <v>143</v>
      </c>
    </row>
    <row r="92" spans="2:16">
      <c r="C92" t="s">
        <v>144</v>
      </c>
    </row>
    <row r="94" spans="2:16">
      <c r="C94" s="2"/>
    </row>
  </sheetData>
  <mergeCells count="6">
    <mergeCell ref="F8:G8"/>
    <mergeCell ref="D6:E6"/>
    <mergeCell ref="D7:E7"/>
    <mergeCell ref="L1:M1"/>
    <mergeCell ref="F6:G6"/>
    <mergeCell ref="F7:G7"/>
  </mergeCells>
  <phoneticPr fontId="0" type="noConversion"/>
  <pageMargins left="1.0000000397364298E-2" right="1.0000000397364298E-2" top="1.0000000397364298E-2" bottom="9.9999997350904674E-2" header="1.0000000397364298E-2" footer="1.0000000397364298E-2"/>
  <pageSetup paperSize="204"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X196"/>
  <sheetViews>
    <sheetView view="pageBreakPreview" zoomScale="75" zoomScaleNormal="50" zoomScaleSheetLayoutView="75" workbookViewId="0">
      <selection activeCell="G24" sqref="A23:G24"/>
    </sheetView>
  </sheetViews>
  <sheetFormatPr defaultRowHeight="15.75"/>
  <cols>
    <col min="1" max="10" width="10.625" customWidth="1"/>
    <col min="11" max="11" width="25.5" bestFit="1" customWidth="1"/>
    <col min="12" max="12" width="8.625" customWidth="1"/>
    <col min="14" max="14" width="20.625" customWidth="1"/>
    <col min="15" max="15" width="11.625" bestFit="1" customWidth="1"/>
    <col min="16" max="22" width="12.625" customWidth="1"/>
  </cols>
  <sheetData>
    <row r="1" spans="1:23" ht="20.25">
      <c r="M1" s="120" t="str">
        <f>SourceProjectName1</f>
        <v>Project Name 1</v>
      </c>
    </row>
    <row r="2" spans="1:23" ht="20.25">
      <c r="A2" s="1" t="s">
        <v>378</v>
      </c>
      <c r="M2" s="120" t="str">
        <f>SourceProjectName2</f>
        <v>Project Name 2</v>
      </c>
    </row>
    <row r="3" spans="1:23" ht="20.25">
      <c r="A3" t="s">
        <v>1556</v>
      </c>
      <c r="M3" s="120" t="str">
        <f>SourceProjectNumber</f>
        <v>Project Number</v>
      </c>
    </row>
    <row r="4" spans="1:23" ht="18.75">
      <c r="A4" t="s">
        <v>377</v>
      </c>
      <c r="M4" s="4"/>
    </row>
    <row r="5" spans="1:23">
      <c r="A5" t="s">
        <v>395</v>
      </c>
    </row>
    <row r="6" spans="1:23" ht="20.25">
      <c r="A6" s="2" t="s">
        <v>31</v>
      </c>
      <c r="M6" s="1719" t="s">
        <v>269</v>
      </c>
      <c r="N6" s="1719"/>
      <c r="O6" s="1719"/>
      <c r="P6" s="1719"/>
      <c r="Q6" s="1719"/>
      <c r="R6" s="1719"/>
      <c r="S6" s="1719"/>
      <c r="T6" s="1719"/>
      <c r="U6" s="1719"/>
      <c r="V6" s="1719"/>
      <c r="W6" s="1719"/>
    </row>
    <row r="7" spans="1:23" ht="20.25">
      <c r="M7" s="1717">
        <f>A14</f>
        <v>0</v>
      </c>
      <c r="N7" s="1717"/>
      <c r="O7" s="1717"/>
      <c r="P7" s="1717"/>
      <c r="Q7" s="1717"/>
      <c r="R7" s="1717"/>
      <c r="S7" s="1717"/>
      <c r="T7" s="1717"/>
      <c r="U7" s="1717"/>
      <c r="V7" s="1717"/>
      <c r="W7" s="1717"/>
    </row>
    <row r="8" spans="1:23" ht="20.25">
      <c r="M8" s="1717">
        <f>A18</f>
        <v>0</v>
      </c>
      <c r="N8" s="1717"/>
      <c r="O8" s="1717"/>
      <c r="P8" s="1717"/>
      <c r="Q8" s="1717"/>
      <c r="R8" s="1717"/>
      <c r="S8" s="1717"/>
      <c r="T8" s="1717"/>
      <c r="U8" s="1717"/>
      <c r="V8" s="1717"/>
      <c r="W8" s="1717"/>
    </row>
    <row r="40" spans="10:22" ht="20.25">
      <c r="J40" s="2" t="s">
        <v>39</v>
      </c>
      <c r="N40" s="1718" t="s">
        <v>375</v>
      </c>
      <c r="O40" s="1718"/>
      <c r="P40" s="1718"/>
      <c r="Q40" s="1718"/>
      <c r="R40" s="1718"/>
      <c r="S40" s="1718"/>
      <c r="T40" s="1718"/>
      <c r="U40" s="1718"/>
      <c r="V40" s="1718"/>
    </row>
    <row r="41" spans="10:22" ht="20.25">
      <c r="J41" s="2">
        <f t="shared" ref="J41:J56" si="0">SUM(C41:H41)</f>
        <v>0</v>
      </c>
      <c r="N41" s="1717" t="str">
        <f>M7&amp;" Anemometer"</f>
        <v>0 Anemometer</v>
      </c>
      <c r="O41" s="1717"/>
      <c r="P41" s="1717"/>
      <c r="Q41" s="1717"/>
      <c r="R41" s="1717"/>
      <c r="S41" s="1717"/>
      <c r="T41" s="1717"/>
      <c r="U41" s="1717"/>
      <c r="V41" s="1717"/>
    </row>
    <row r="42" spans="10:22" ht="18.75">
      <c r="J42" s="2">
        <f t="shared" si="0"/>
        <v>0</v>
      </c>
      <c r="N42" s="290"/>
      <c r="O42" s="291"/>
      <c r="P42" s="291"/>
      <c r="Q42" s="292"/>
      <c r="R42" s="292"/>
      <c r="S42" s="292"/>
      <c r="T42" s="292"/>
      <c r="U42" s="292"/>
      <c r="V42" s="293" t="s">
        <v>330</v>
      </c>
    </row>
    <row r="43" spans="10:22" ht="18.75">
      <c r="J43" s="2">
        <f t="shared" si="0"/>
        <v>0</v>
      </c>
      <c r="N43" s="294"/>
      <c r="O43" s="295" t="s">
        <v>270</v>
      </c>
      <c r="P43" s="296">
        <f>IF(P44="","",1)</f>
        <v>1</v>
      </c>
      <c r="Q43" s="296">
        <f>IF(Q44="","",2)</f>
        <v>2</v>
      </c>
      <c r="R43" s="296">
        <f>IF(R44="","",3)</f>
        <v>3</v>
      </c>
      <c r="S43" s="296">
        <f>IF(S44="","",4)</f>
        <v>4</v>
      </c>
      <c r="T43" s="296">
        <f>IF(T44="","",5)</f>
        <v>5</v>
      </c>
      <c r="U43" s="296" t="str">
        <f>IF(U44="","",6)</f>
        <v/>
      </c>
      <c r="V43" s="297" t="s">
        <v>331</v>
      </c>
    </row>
    <row r="44" spans="10:22" ht="18.75">
      <c r="J44" s="2">
        <f t="shared" si="0"/>
        <v>0</v>
      </c>
      <c r="N44" s="294"/>
      <c r="O44" s="295" t="s">
        <v>374</v>
      </c>
      <c r="P44" s="309">
        <f t="shared" ref="P44:U44" si="1">IF(P71=0,"",P71)</f>
        <v>4</v>
      </c>
      <c r="Q44" s="309">
        <f t="shared" si="1"/>
        <v>8</v>
      </c>
      <c r="R44" s="309">
        <f t="shared" si="1"/>
        <v>12</v>
      </c>
      <c r="S44" s="309">
        <f t="shared" si="1"/>
        <v>16</v>
      </c>
      <c r="T44" s="309" t="str">
        <f t="shared" si="1"/>
        <v>&gt;16</v>
      </c>
      <c r="U44" s="309" t="str">
        <f t="shared" si="1"/>
        <v/>
      </c>
      <c r="V44" s="297" t="s">
        <v>167</v>
      </c>
    </row>
    <row r="45" spans="10:22" ht="18.75">
      <c r="J45" s="2">
        <f t="shared" si="0"/>
        <v>0</v>
      </c>
      <c r="N45" s="294"/>
      <c r="O45" s="295"/>
      <c r="P45" s="309"/>
      <c r="Q45" s="309"/>
      <c r="R45" s="309"/>
      <c r="S45" s="309"/>
      <c r="T45" s="309"/>
      <c r="U45" s="309"/>
      <c r="V45" s="297" t="s">
        <v>300</v>
      </c>
    </row>
    <row r="46" spans="10:22" ht="18.75">
      <c r="J46" s="2">
        <f t="shared" si="0"/>
        <v>0</v>
      </c>
      <c r="N46" s="290"/>
      <c r="O46" s="291"/>
      <c r="P46" s="291"/>
      <c r="Q46" s="291"/>
      <c r="R46" s="291"/>
      <c r="S46" s="291"/>
      <c r="T46" s="291"/>
      <c r="U46" s="291"/>
      <c r="V46" s="299"/>
    </row>
    <row r="47" spans="10:22" ht="18.75">
      <c r="J47" s="2">
        <f t="shared" si="0"/>
        <v>0</v>
      </c>
      <c r="N47" s="294"/>
      <c r="O47" s="300">
        <f t="shared" ref="O47:O62" si="2">B41</f>
        <v>0</v>
      </c>
      <c r="P47" s="301">
        <f t="shared" ref="P47:U62" si="3">IF(P$44&lt;&gt;"",C41,"")</f>
        <v>0</v>
      </c>
      <c r="Q47" s="301">
        <f t="shared" si="3"/>
        <v>0</v>
      </c>
      <c r="R47" s="301">
        <f t="shared" si="3"/>
        <v>0</v>
      </c>
      <c r="S47" s="301">
        <f t="shared" si="3"/>
        <v>0</v>
      </c>
      <c r="T47" s="301">
        <f t="shared" si="3"/>
        <v>0</v>
      </c>
      <c r="U47" s="301" t="str">
        <f t="shared" si="3"/>
        <v/>
      </c>
      <c r="V47" s="664">
        <f>SUM(P47:U47)</f>
        <v>0</v>
      </c>
    </row>
    <row r="48" spans="10:22" ht="18.75">
      <c r="J48" s="2">
        <f t="shared" si="0"/>
        <v>0</v>
      </c>
      <c r="N48" s="294"/>
      <c r="O48" s="300">
        <f t="shared" si="2"/>
        <v>0</v>
      </c>
      <c r="P48" s="301">
        <f t="shared" si="3"/>
        <v>0</v>
      </c>
      <c r="Q48" s="301">
        <f t="shared" si="3"/>
        <v>0</v>
      </c>
      <c r="R48" s="301">
        <f t="shared" si="3"/>
        <v>0</v>
      </c>
      <c r="S48" s="301">
        <f t="shared" si="3"/>
        <v>0</v>
      </c>
      <c r="T48" s="301">
        <f t="shared" si="3"/>
        <v>0</v>
      </c>
      <c r="U48" s="301" t="str">
        <f t="shared" si="3"/>
        <v/>
      </c>
      <c r="V48" s="664">
        <f t="shared" ref="V48:V65" si="4">SUM(P48:U48)</f>
        <v>0</v>
      </c>
    </row>
    <row r="49" spans="10:22" ht="18.75">
      <c r="J49" s="2">
        <f t="shared" si="0"/>
        <v>0</v>
      </c>
      <c r="N49" s="294"/>
      <c r="O49" s="300">
        <f t="shared" si="2"/>
        <v>0</v>
      </c>
      <c r="P49" s="301">
        <f t="shared" si="3"/>
        <v>0</v>
      </c>
      <c r="Q49" s="301">
        <f t="shared" si="3"/>
        <v>0</v>
      </c>
      <c r="R49" s="301">
        <f t="shared" si="3"/>
        <v>0</v>
      </c>
      <c r="S49" s="301">
        <f t="shared" si="3"/>
        <v>0</v>
      </c>
      <c r="T49" s="301">
        <f t="shared" si="3"/>
        <v>0</v>
      </c>
      <c r="U49" s="301" t="str">
        <f t="shared" si="3"/>
        <v/>
      </c>
      <c r="V49" s="664">
        <f t="shared" si="4"/>
        <v>0</v>
      </c>
    </row>
    <row r="50" spans="10:22" ht="18.75">
      <c r="J50" s="2">
        <f t="shared" si="0"/>
        <v>0</v>
      </c>
      <c r="N50" s="294"/>
      <c r="O50" s="300">
        <f t="shared" si="2"/>
        <v>0</v>
      </c>
      <c r="P50" s="301">
        <f t="shared" si="3"/>
        <v>0</v>
      </c>
      <c r="Q50" s="301">
        <f t="shared" si="3"/>
        <v>0</v>
      </c>
      <c r="R50" s="301">
        <f t="shared" si="3"/>
        <v>0</v>
      </c>
      <c r="S50" s="301">
        <f t="shared" si="3"/>
        <v>0</v>
      </c>
      <c r="T50" s="301">
        <f t="shared" si="3"/>
        <v>0</v>
      </c>
      <c r="U50" s="301" t="str">
        <f t="shared" si="3"/>
        <v/>
      </c>
      <c r="V50" s="664">
        <f t="shared" si="4"/>
        <v>0</v>
      </c>
    </row>
    <row r="51" spans="10:22" ht="18.75">
      <c r="J51" s="2">
        <f t="shared" si="0"/>
        <v>0</v>
      </c>
      <c r="N51" s="294"/>
      <c r="O51" s="300">
        <f t="shared" si="2"/>
        <v>0</v>
      </c>
      <c r="P51" s="301">
        <f t="shared" si="3"/>
        <v>0</v>
      </c>
      <c r="Q51" s="301">
        <f t="shared" si="3"/>
        <v>0</v>
      </c>
      <c r="R51" s="301">
        <f t="shared" si="3"/>
        <v>0</v>
      </c>
      <c r="S51" s="301">
        <f t="shared" si="3"/>
        <v>0</v>
      </c>
      <c r="T51" s="301">
        <f t="shared" si="3"/>
        <v>0</v>
      </c>
      <c r="U51" s="301" t="str">
        <f t="shared" si="3"/>
        <v/>
      </c>
      <c r="V51" s="664">
        <f t="shared" si="4"/>
        <v>0</v>
      </c>
    </row>
    <row r="52" spans="10:22" ht="18.75">
      <c r="J52" s="2">
        <f t="shared" si="0"/>
        <v>0</v>
      </c>
      <c r="N52" s="294"/>
      <c r="O52" s="300">
        <f t="shared" si="2"/>
        <v>0</v>
      </c>
      <c r="P52" s="301">
        <f t="shared" si="3"/>
        <v>0</v>
      </c>
      <c r="Q52" s="301">
        <f t="shared" si="3"/>
        <v>0</v>
      </c>
      <c r="R52" s="301">
        <f t="shared" si="3"/>
        <v>0</v>
      </c>
      <c r="S52" s="301">
        <f t="shared" si="3"/>
        <v>0</v>
      </c>
      <c r="T52" s="301">
        <f t="shared" si="3"/>
        <v>0</v>
      </c>
      <c r="U52" s="301" t="str">
        <f t="shared" si="3"/>
        <v/>
      </c>
      <c r="V52" s="664">
        <f t="shared" si="4"/>
        <v>0</v>
      </c>
    </row>
    <row r="53" spans="10:22" ht="18.75">
      <c r="J53" s="2">
        <f t="shared" si="0"/>
        <v>0</v>
      </c>
      <c r="N53" s="294"/>
      <c r="O53" s="300">
        <f t="shared" si="2"/>
        <v>0</v>
      </c>
      <c r="P53" s="301">
        <f t="shared" si="3"/>
        <v>0</v>
      </c>
      <c r="Q53" s="301">
        <f t="shared" si="3"/>
        <v>0</v>
      </c>
      <c r="R53" s="301">
        <f t="shared" si="3"/>
        <v>0</v>
      </c>
      <c r="S53" s="301">
        <f t="shared" si="3"/>
        <v>0</v>
      </c>
      <c r="T53" s="301">
        <f t="shared" si="3"/>
        <v>0</v>
      </c>
      <c r="U53" s="301" t="str">
        <f t="shared" si="3"/>
        <v/>
      </c>
      <c r="V53" s="664">
        <f t="shared" si="4"/>
        <v>0</v>
      </c>
    </row>
    <row r="54" spans="10:22" ht="18.75">
      <c r="J54" s="2">
        <f t="shared" si="0"/>
        <v>0</v>
      </c>
      <c r="N54" s="294"/>
      <c r="O54" s="300">
        <f t="shared" si="2"/>
        <v>0</v>
      </c>
      <c r="P54" s="301">
        <f t="shared" si="3"/>
        <v>0</v>
      </c>
      <c r="Q54" s="301">
        <f t="shared" si="3"/>
        <v>0</v>
      </c>
      <c r="R54" s="301">
        <f t="shared" si="3"/>
        <v>0</v>
      </c>
      <c r="S54" s="301">
        <f t="shared" si="3"/>
        <v>0</v>
      </c>
      <c r="T54" s="301">
        <f t="shared" si="3"/>
        <v>0</v>
      </c>
      <c r="U54" s="301" t="str">
        <f t="shared" si="3"/>
        <v/>
      </c>
      <c r="V54" s="664">
        <f t="shared" si="4"/>
        <v>0</v>
      </c>
    </row>
    <row r="55" spans="10:22" ht="18.75">
      <c r="J55" s="2">
        <f t="shared" si="0"/>
        <v>0</v>
      </c>
      <c r="N55" s="294"/>
      <c r="O55" s="300">
        <f t="shared" si="2"/>
        <v>0</v>
      </c>
      <c r="P55" s="301">
        <f t="shared" si="3"/>
        <v>0</v>
      </c>
      <c r="Q55" s="301">
        <f t="shared" si="3"/>
        <v>0</v>
      </c>
      <c r="R55" s="301">
        <f t="shared" si="3"/>
        <v>0</v>
      </c>
      <c r="S55" s="301">
        <f t="shared" si="3"/>
        <v>0</v>
      </c>
      <c r="T55" s="301">
        <f t="shared" si="3"/>
        <v>0</v>
      </c>
      <c r="U55" s="301" t="str">
        <f t="shared" si="3"/>
        <v/>
      </c>
      <c r="V55" s="664">
        <f t="shared" si="4"/>
        <v>0</v>
      </c>
    </row>
    <row r="56" spans="10:22" ht="18.75">
      <c r="J56" s="10">
        <f t="shared" si="0"/>
        <v>0</v>
      </c>
      <c r="N56" s="294"/>
      <c r="O56" s="300">
        <f t="shared" si="2"/>
        <v>0</v>
      </c>
      <c r="P56" s="301">
        <f t="shared" si="3"/>
        <v>0</v>
      </c>
      <c r="Q56" s="301">
        <f t="shared" si="3"/>
        <v>0</v>
      </c>
      <c r="R56" s="301">
        <f t="shared" si="3"/>
        <v>0</v>
      </c>
      <c r="S56" s="301">
        <f t="shared" si="3"/>
        <v>0</v>
      </c>
      <c r="T56" s="301">
        <f t="shared" si="3"/>
        <v>0</v>
      </c>
      <c r="U56" s="301" t="str">
        <f t="shared" si="3"/>
        <v/>
      </c>
      <c r="V56" s="664">
        <f t="shared" si="4"/>
        <v>0</v>
      </c>
    </row>
    <row r="57" spans="10:22" ht="18.75">
      <c r="N57" s="294"/>
      <c r="O57" s="300">
        <f t="shared" si="2"/>
        <v>0</v>
      </c>
      <c r="P57" s="301">
        <f t="shared" si="3"/>
        <v>0</v>
      </c>
      <c r="Q57" s="301">
        <f t="shared" si="3"/>
        <v>0</v>
      </c>
      <c r="R57" s="301">
        <f t="shared" si="3"/>
        <v>0</v>
      </c>
      <c r="S57" s="301">
        <f t="shared" si="3"/>
        <v>0</v>
      </c>
      <c r="T57" s="301">
        <f t="shared" si="3"/>
        <v>0</v>
      </c>
      <c r="U57" s="301" t="str">
        <f t="shared" si="3"/>
        <v/>
      </c>
      <c r="V57" s="664">
        <f t="shared" si="4"/>
        <v>0</v>
      </c>
    </row>
    <row r="58" spans="10:22" ht="18.75">
      <c r="N58" s="294"/>
      <c r="O58" s="300">
        <f t="shared" si="2"/>
        <v>0</v>
      </c>
      <c r="P58" s="301">
        <f t="shared" si="3"/>
        <v>0</v>
      </c>
      <c r="Q58" s="301">
        <f t="shared" si="3"/>
        <v>0</v>
      </c>
      <c r="R58" s="301">
        <f t="shared" si="3"/>
        <v>0</v>
      </c>
      <c r="S58" s="301">
        <f t="shared" si="3"/>
        <v>0</v>
      </c>
      <c r="T58" s="301">
        <f t="shared" si="3"/>
        <v>0</v>
      </c>
      <c r="U58" s="301" t="str">
        <f t="shared" si="3"/>
        <v/>
      </c>
      <c r="V58" s="664">
        <f t="shared" si="4"/>
        <v>0</v>
      </c>
    </row>
    <row r="59" spans="10:22" ht="18.75">
      <c r="J59" s="2">
        <f>SUM(J41:J56)+B59</f>
        <v>0</v>
      </c>
      <c r="N59" s="294"/>
      <c r="O59" s="300">
        <f t="shared" si="2"/>
        <v>0</v>
      </c>
      <c r="P59" s="301">
        <f t="shared" si="3"/>
        <v>0</v>
      </c>
      <c r="Q59" s="301">
        <f t="shared" si="3"/>
        <v>0</v>
      </c>
      <c r="R59" s="301">
        <f t="shared" si="3"/>
        <v>0</v>
      </c>
      <c r="S59" s="301">
        <f t="shared" si="3"/>
        <v>0</v>
      </c>
      <c r="T59" s="301">
        <f t="shared" si="3"/>
        <v>0</v>
      </c>
      <c r="U59" s="301" t="str">
        <f t="shared" si="3"/>
        <v/>
      </c>
      <c r="V59" s="664">
        <f t="shared" si="4"/>
        <v>0</v>
      </c>
    </row>
    <row r="60" spans="10:22" ht="18.75">
      <c r="N60" s="294"/>
      <c r="O60" s="300">
        <f t="shared" si="2"/>
        <v>0</v>
      </c>
      <c r="P60" s="301">
        <f t="shared" si="3"/>
        <v>0</v>
      </c>
      <c r="Q60" s="301">
        <f t="shared" si="3"/>
        <v>0</v>
      </c>
      <c r="R60" s="301">
        <f t="shared" si="3"/>
        <v>0</v>
      </c>
      <c r="S60" s="301">
        <f t="shared" si="3"/>
        <v>0</v>
      </c>
      <c r="T60" s="301">
        <f t="shared" si="3"/>
        <v>0</v>
      </c>
      <c r="U60" s="301" t="str">
        <f t="shared" si="3"/>
        <v/>
      </c>
      <c r="V60" s="664">
        <f t="shared" si="4"/>
        <v>0</v>
      </c>
    </row>
    <row r="61" spans="10:22" ht="18.75">
      <c r="N61" s="294"/>
      <c r="O61" s="300">
        <f t="shared" si="2"/>
        <v>0</v>
      </c>
      <c r="P61" s="301">
        <f t="shared" si="3"/>
        <v>0</v>
      </c>
      <c r="Q61" s="301">
        <f t="shared" si="3"/>
        <v>0</v>
      </c>
      <c r="R61" s="301">
        <f t="shared" si="3"/>
        <v>0</v>
      </c>
      <c r="S61" s="301">
        <f t="shared" si="3"/>
        <v>0</v>
      </c>
      <c r="T61" s="301">
        <f t="shared" si="3"/>
        <v>0</v>
      </c>
      <c r="U61" s="301" t="str">
        <f t="shared" si="3"/>
        <v/>
      </c>
      <c r="V61" s="664">
        <f>SUM(P61:U61)</f>
        <v>0</v>
      </c>
    </row>
    <row r="62" spans="10:22" ht="18.75">
      <c r="N62" s="294"/>
      <c r="O62" s="300">
        <f t="shared" si="2"/>
        <v>0</v>
      </c>
      <c r="P62" s="301">
        <f t="shared" si="3"/>
        <v>0</v>
      </c>
      <c r="Q62" s="301">
        <f t="shared" si="3"/>
        <v>0</v>
      </c>
      <c r="R62" s="301">
        <f t="shared" si="3"/>
        <v>0</v>
      </c>
      <c r="S62" s="301">
        <f t="shared" si="3"/>
        <v>0</v>
      </c>
      <c r="T62" s="301">
        <f t="shared" si="3"/>
        <v>0</v>
      </c>
      <c r="U62" s="301" t="str">
        <f t="shared" si="3"/>
        <v/>
      </c>
      <c r="V62" s="664">
        <f>SUM(P62:U62)</f>
        <v>0</v>
      </c>
    </row>
    <row r="63" spans="10:22" ht="18.75">
      <c r="N63" s="298"/>
      <c r="O63" s="302" t="s">
        <v>256</v>
      </c>
      <c r="P63" s="303">
        <f>B59</f>
        <v>0</v>
      </c>
      <c r="Q63" s="304"/>
      <c r="R63" s="304"/>
      <c r="S63" s="304"/>
      <c r="T63" s="304"/>
      <c r="U63" s="304"/>
      <c r="V63" s="305"/>
    </row>
    <row r="64" spans="10:22" ht="18.75">
      <c r="N64" s="290"/>
      <c r="O64" s="691"/>
      <c r="P64" s="692"/>
      <c r="Q64" s="291"/>
      <c r="R64" s="291"/>
      <c r="S64" s="291"/>
      <c r="T64" s="291"/>
      <c r="U64" s="291"/>
      <c r="V64" s="299"/>
    </row>
    <row r="65" spans="1:24" ht="18.75">
      <c r="N65" s="294"/>
      <c r="O65" s="295" t="s">
        <v>376</v>
      </c>
      <c r="P65" s="690">
        <f t="shared" ref="P65:U65" si="5">IF(P47&lt;&gt;"",SUM(P47:P63),"")</f>
        <v>0</v>
      </c>
      <c r="Q65" s="690">
        <f t="shared" si="5"/>
        <v>0</v>
      </c>
      <c r="R65" s="690">
        <f t="shared" si="5"/>
        <v>0</v>
      </c>
      <c r="S65" s="690">
        <f t="shared" si="5"/>
        <v>0</v>
      </c>
      <c r="T65" s="690">
        <f t="shared" si="5"/>
        <v>0</v>
      </c>
      <c r="U65" s="296" t="str">
        <f t="shared" si="5"/>
        <v/>
      </c>
      <c r="V65" s="693">
        <f t="shared" si="4"/>
        <v>0</v>
      </c>
    </row>
    <row r="66" spans="1:24">
      <c r="N66" s="33"/>
      <c r="V66" s="37"/>
      <c r="X66" s="121"/>
    </row>
    <row r="67" spans="1:24" ht="18.75">
      <c r="N67" s="52"/>
      <c r="O67" s="706" t="s">
        <v>267</v>
      </c>
      <c r="P67" s="665">
        <f>P72</f>
        <v>0</v>
      </c>
      <c r="Q67" s="665">
        <f>Q72</f>
        <v>0</v>
      </c>
      <c r="R67" s="665">
        <f>R72</f>
        <v>0</v>
      </c>
      <c r="S67" s="665">
        <f>S72</f>
        <v>0</v>
      </c>
      <c r="T67" s="665">
        <f>T72</f>
        <v>0</v>
      </c>
      <c r="U67" s="307" t="str">
        <f>IF(U49&lt;&gt;"",SUM(U49:U65),"")</f>
        <v/>
      </c>
      <c r="V67" s="308"/>
      <c r="X67" s="121"/>
    </row>
    <row r="68" spans="1:24">
      <c r="O68" s="13" t="s">
        <v>258</v>
      </c>
      <c r="P68" s="13" t="s">
        <v>259</v>
      </c>
      <c r="Q68" s="13" t="s">
        <v>260</v>
      </c>
      <c r="R68" s="13" t="s">
        <v>261</v>
      </c>
      <c r="S68" s="13" t="s">
        <v>262</v>
      </c>
      <c r="T68" s="13" t="s">
        <v>263</v>
      </c>
      <c r="U68" s="13" t="s">
        <v>264</v>
      </c>
      <c r="X68" s="5" t="s">
        <v>265</v>
      </c>
    </row>
    <row r="69" spans="1:24">
      <c r="N69" s="107" t="s">
        <v>257</v>
      </c>
      <c r="O69" s="16">
        <f>B59</f>
        <v>0</v>
      </c>
      <c r="P69">
        <f t="shared" ref="P69:U69" si="6">SUM(C41:C56)</f>
        <v>0</v>
      </c>
      <c r="Q69">
        <f t="shared" si="6"/>
        <v>0</v>
      </c>
      <c r="R69">
        <f t="shared" si="6"/>
        <v>0</v>
      </c>
      <c r="S69">
        <f t="shared" si="6"/>
        <v>0</v>
      </c>
      <c r="T69">
        <f t="shared" si="6"/>
        <v>0</v>
      </c>
      <c r="U69">
        <f t="shared" si="6"/>
        <v>0</v>
      </c>
      <c r="W69" s="2">
        <f>SUM(O69:U69)</f>
        <v>0</v>
      </c>
      <c r="X69" s="121">
        <f>W69-J59</f>
        <v>0</v>
      </c>
    </row>
    <row r="70" spans="1:24">
      <c r="N70" s="107"/>
      <c r="O70" s="16"/>
      <c r="W70" s="2"/>
    </row>
    <row r="71" spans="1:24">
      <c r="N71" s="107" t="s">
        <v>266</v>
      </c>
      <c r="O71" s="200">
        <v>0</v>
      </c>
      <c r="P71" s="200">
        <v>4</v>
      </c>
      <c r="Q71" s="200">
        <v>8</v>
      </c>
      <c r="R71" s="200">
        <v>12</v>
      </c>
      <c r="S71" s="200">
        <v>16</v>
      </c>
      <c r="T71" s="200" t="s">
        <v>40</v>
      </c>
      <c r="U71" s="72"/>
    </row>
    <row r="72" spans="1:24">
      <c r="N72" s="107" t="s">
        <v>267</v>
      </c>
      <c r="O72" s="209">
        <f>W69</f>
        <v>0</v>
      </c>
      <c r="P72" s="48">
        <f>W69-SUM(O69:P69)</f>
        <v>0</v>
      </c>
      <c r="Q72" s="48">
        <f>W69-SUM(O69:Q69)</f>
        <v>0</v>
      </c>
      <c r="R72" s="48">
        <f>W69-SUM(O69:R69)</f>
        <v>0</v>
      </c>
      <c r="S72" s="48">
        <f>W69-SUM(O69:S69)</f>
        <v>0</v>
      </c>
      <c r="T72" s="169">
        <f>W69-SUM(O69:T69)</f>
        <v>0</v>
      </c>
      <c r="U72" s="169">
        <f>W69-SUM(O69:U69)</f>
        <v>0</v>
      </c>
    </row>
    <row r="73" spans="1:24">
      <c r="N73" s="107" t="s">
        <v>268</v>
      </c>
      <c r="O73" s="48" t="e">
        <f t="shared" ref="O73:U74" si="7">IF(O72&gt;0,O72,NA())</f>
        <v>#N/A</v>
      </c>
      <c r="P73" s="48" t="e">
        <f t="shared" si="7"/>
        <v>#N/A</v>
      </c>
      <c r="Q73" s="48" t="e">
        <f t="shared" si="7"/>
        <v>#N/A</v>
      </c>
      <c r="R73" s="48" t="e">
        <f t="shared" si="7"/>
        <v>#N/A</v>
      </c>
      <c r="S73" s="169" t="e">
        <f t="shared" si="7"/>
        <v>#N/A</v>
      </c>
      <c r="T73" s="169" t="e">
        <f t="shared" si="7"/>
        <v>#N/A</v>
      </c>
      <c r="U73" s="169" t="e">
        <f t="shared" si="7"/>
        <v>#N/A</v>
      </c>
    </row>
    <row r="74" spans="1:24">
      <c r="Q74">
        <v>1</v>
      </c>
      <c r="R74">
        <v>1</v>
      </c>
      <c r="S74" s="169"/>
      <c r="T74" s="169" t="e">
        <f t="shared" si="7"/>
        <v>#N/A</v>
      </c>
      <c r="U74" s="169" t="e">
        <f t="shared" si="7"/>
        <v>#N/A</v>
      </c>
    </row>
    <row r="75" spans="1:24">
      <c r="N75" s="107" t="s">
        <v>271</v>
      </c>
      <c r="O75" s="48" t="e">
        <f>INDEX(LOGEST($Q$73:$S$73,$Q$71:$S$71),1)</f>
        <v>#VALUE!</v>
      </c>
      <c r="P75" s="48"/>
    </row>
    <row r="76" spans="1:24">
      <c r="N76" s="107" t="s">
        <v>272</v>
      </c>
      <c r="O76" s="48" t="e">
        <f>INDEX(LOGEST($Q$73:$S$73,$Q$71:$S$71),2)</f>
        <v>#VALUE!</v>
      </c>
      <c r="P76" s="48"/>
    </row>
    <row r="77" spans="1:24" ht="18.75">
      <c r="N77" s="107" t="s">
        <v>273</v>
      </c>
      <c r="O77" s="169" t="e">
        <f>LOG(1/O76)/LOG(O75)</f>
        <v>#VALUE!</v>
      </c>
      <c r="P77" s="169"/>
    </row>
    <row r="78" spans="1:24">
      <c r="A78" s="48"/>
      <c r="N78" s="107" t="s">
        <v>274</v>
      </c>
      <c r="O78" s="169" t="e">
        <f>ROUND(O77,1)&amp;" m/s"</f>
        <v>#VALUE!</v>
      </c>
    </row>
    <row r="79" spans="1:24">
      <c r="O79" s="169" t="e">
        <f>ROUND(CONVERT(O77,"m/sec","mph"),1)&amp;" mph"</f>
        <v>#VALUE!</v>
      </c>
    </row>
    <row r="80" spans="1:24" ht="18.75">
      <c r="A80" s="4" t="s">
        <v>656</v>
      </c>
    </row>
    <row r="81" spans="1:23" ht="16.5" thickBot="1">
      <c r="A81" s="1" t="s">
        <v>346</v>
      </c>
      <c r="G81" s="1" t="s">
        <v>347</v>
      </c>
    </row>
    <row r="82" spans="1:23" s="3" customFormat="1" ht="20.25">
      <c r="A82" s="182" t="s">
        <v>767</v>
      </c>
      <c r="B82" s="666">
        <f>COUNT(B84:B91)-1</f>
        <v>7</v>
      </c>
      <c r="C82" s="666" t="s">
        <v>768</v>
      </c>
      <c r="D82" s="666" t="s">
        <v>769</v>
      </c>
      <c r="E82" s="667"/>
      <c r="G82" s="182" t="s">
        <v>767</v>
      </c>
      <c r="H82" s="666">
        <f>COUNT(H84:H91)-1</f>
        <v>7</v>
      </c>
      <c r="I82" s="666" t="s">
        <v>768</v>
      </c>
      <c r="J82" s="666" t="s">
        <v>769</v>
      </c>
      <c r="K82" s="667"/>
      <c r="M82" s="701">
        <v>27</v>
      </c>
      <c r="N82" s="150"/>
    </row>
    <row r="83" spans="1:23" s="3" customFormat="1">
      <c r="A83" s="688">
        <f>COUNT(B84:B91)</f>
        <v>8</v>
      </c>
      <c r="B83" s="668" t="s">
        <v>770</v>
      </c>
      <c r="E83" s="669"/>
      <c r="G83" s="688">
        <f>COUNT(H84:H91)</f>
        <v>8</v>
      </c>
      <c r="H83" s="668" t="s">
        <v>770</v>
      </c>
      <c r="K83" s="669"/>
      <c r="M83" s="702">
        <v>23.5</v>
      </c>
      <c r="N83"/>
      <c r="T83" s="668"/>
    </row>
    <row r="84" spans="1:23" s="471" customFormat="1">
      <c r="A84" s="185"/>
      <c r="B84" s="3">
        <v>1</v>
      </c>
      <c r="C84" s="209" t="e">
        <f>ROUND(UAnem1percent,1)</f>
        <v>#VALUE!</v>
      </c>
      <c r="D84" s="471" t="e">
        <f>LN(C84)</f>
        <v>#VALUE!</v>
      </c>
      <c r="E84" s="670"/>
      <c r="G84" s="185"/>
      <c r="H84" s="3">
        <v>1</v>
      </c>
      <c r="I84" s="209" t="e">
        <f>ROUND(MIN(UAnem1percent*2,30),1)</f>
        <v>#VALUE!</v>
      </c>
      <c r="J84" s="471" t="e">
        <f>LN(I84)</f>
        <v>#VALUE!</v>
      </c>
      <c r="K84" s="670"/>
      <c r="M84" s="702">
        <v>20.5</v>
      </c>
      <c r="N84"/>
      <c r="O84" s="1"/>
      <c r="U84" s="1"/>
    </row>
    <row r="85" spans="1:23" s="471" customFormat="1">
      <c r="A85" s="671"/>
      <c r="B85" s="471">
        <f t="shared" ref="B85:B91" si="8">B84+1</f>
        <v>2</v>
      </c>
      <c r="C85" s="686" t="e">
        <f t="shared" ref="C85:C90" si="9">ROUND(EXP(D85),1)</f>
        <v>#VALUE!</v>
      </c>
      <c r="D85" s="471" t="e">
        <f>(D91-D84)/B82+D84</f>
        <v>#VALUE!</v>
      </c>
      <c r="E85" s="673" t="e">
        <f t="shared" ref="E85:E90" si="10">(C85-C84)/C85</f>
        <v>#VALUE!</v>
      </c>
      <c r="G85" s="671"/>
      <c r="H85" s="471">
        <f t="shared" ref="H85:H91" si="11">H84+1</f>
        <v>2</v>
      </c>
      <c r="I85" s="686" t="e">
        <f t="shared" ref="I85:I90" si="12">ROUND(EXP(J85),1)</f>
        <v>#VALUE!</v>
      </c>
      <c r="J85" s="471" t="e">
        <f>(J91-J84)/H82+J84</f>
        <v>#VALUE!</v>
      </c>
      <c r="K85" s="673" t="e">
        <f t="shared" ref="K85:K90" si="13">(I85-I84)/I85</f>
        <v>#VALUE!</v>
      </c>
      <c r="M85" s="702">
        <v>17.8</v>
      </c>
      <c r="N85"/>
      <c r="O85" s="672"/>
      <c r="Q85" s="685"/>
      <c r="U85" s="672"/>
      <c r="W85" s="685"/>
    </row>
    <row r="86" spans="1:23" s="471" customFormat="1">
      <c r="A86" s="671"/>
      <c r="B86" s="471">
        <f t="shared" si="8"/>
        <v>3</v>
      </c>
      <c r="C86" s="686" t="e">
        <f t="shared" si="9"/>
        <v>#VALUE!</v>
      </c>
      <c r="D86" s="471" t="e">
        <f>(D91-D84)/B82+D85</f>
        <v>#VALUE!</v>
      </c>
      <c r="E86" s="673" t="e">
        <f t="shared" si="10"/>
        <v>#VALUE!</v>
      </c>
      <c r="G86" s="671"/>
      <c r="H86" s="471">
        <f t="shared" si="11"/>
        <v>3</v>
      </c>
      <c r="I86" s="686" t="e">
        <f t="shared" si="12"/>
        <v>#VALUE!</v>
      </c>
      <c r="J86" s="471" t="e">
        <f>(J91-J84)/H82+J85</f>
        <v>#VALUE!</v>
      </c>
      <c r="K86" s="673" t="e">
        <f t="shared" si="13"/>
        <v>#VALUE!</v>
      </c>
      <c r="M86" s="702">
        <v>15.5</v>
      </c>
      <c r="N86"/>
      <c r="O86" s="672"/>
      <c r="Q86" s="685"/>
      <c r="U86" s="672"/>
      <c r="W86" s="685"/>
    </row>
    <row r="87" spans="1:23" s="471" customFormat="1">
      <c r="A87" s="671"/>
      <c r="B87" s="471">
        <f t="shared" si="8"/>
        <v>4</v>
      </c>
      <c r="C87" s="686" t="e">
        <f t="shared" si="9"/>
        <v>#VALUE!</v>
      </c>
      <c r="D87" s="471" t="e">
        <f>(D91-D84)/B82+D86</f>
        <v>#VALUE!</v>
      </c>
      <c r="E87" s="673" t="e">
        <f t="shared" si="10"/>
        <v>#VALUE!</v>
      </c>
      <c r="G87" s="671"/>
      <c r="H87" s="471">
        <f t="shared" si="11"/>
        <v>4</v>
      </c>
      <c r="I87" s="686" t="e">
        <f t="shared" si="12"/>
        <v>#VALUE!</v>
      </c>
      <c r="J87" s="471" t="e">
        <f>(J91-J84)/H82+J86</f>
        <v>#VALUE!</v>
      </c>
      <c r="K87" s="673" t="e">
        <f t="shared" si="13"/>
        <v>#VALUE!</v>
      </c>
      <c r="M87" s="702">
        <v>13.5</v>
      </c>
      <c r="N87"/>
      <c r="O87" s="672"/>
      <c r="Q87" s="685"/>
      <c r="U87" s="672"/>
      <c r="W87" s="685"/>
    </row>
    <row r="88" spans="1:23" s="471" customFormat="1">
      <c r="A88" s="671"/>
      <c r="B88" s="471">
        <f t="shared" si="8"/>
        <v>5</v>
      </c>
      <c r="C88" s="686" t="e">
        <f t="shared" si="9"/>
        <v>#VALUE!</v>
      </c>
      <c r="D88" s="471" t="e">
        <f>(D91-D84)/B82+D87</f>
        <v>#VALUE!</v>
      </c>
      <c r="E88" s="673" t="e">
        <f t="shared" si="10"/>
        <v>#VALUE!</v>
      </c>
      <c r="G88" s="671"/>
      <c r="H88" s="471">
        <f t="shared" si="11"/>
        <v>5</v>
      </c>
      <c r="I88" s="686" t="e">
        <f t="shared" si="12"/>
        <v>#VALUE!</v>
      </c>
      <c r="J88" s="471" t="e">
        <f>(J91-J84)/H82+J87</f>
        <v>#VALUE!</v>
      </c>
      <c r="K88" s="673" t="e">
        <f t="shared" si="13"/>
        <v>#VALUE!</v>
      </c>
      <c r="M88" s="702">
        <v>10.1</v>
      </c>
      <c r="N88"/>
      <c r="O88" s="672"/>
      <c r="Q88" s="685"/>
      <c r="U88" s="672"/>
      <c r="W88" s="685"/>
    </row>
    <row r="89" spans="1:23" s="471" customFormat="1">
      <c r="A89" s="671"/>
      <c r="B89" s="471">
        <f t="shared" si="8"/>
        <v>6</v>
      </c>
      <c r="C89" s="686" t="e">
        <f t="shared" si="9"/>
        <v>#VALUE!</v>
      </c>
      <c r="D89" s="471" t="e">
        <f>(D91-D84)/B82+D88</f>
        <v>#VALUE!</v>
      </c>
      <c r="E89" s="673" t="e">
        <f t="shared" si="10"/>
        <v>#VALUE!</v>
      </c>
      <c r="G89" s="671"/>
      <c r="H89" s="471">
        <f t="shared" si="11"/>
        <v>6</v>
      </c>
      <c r="I89" s="686" t="e">
        <f t="shared" si="12"/>
        <v>#VALUE!</v>
      </c>
      <c r="J89" s="471" t="e">
        <f>(J91-J84)/H82+J88</f>
        <v>#VALUE!</v>
      </c>
      <c r="K89" s="673" t="e">
        <f t="shared" si="13"/>
        <v>#VALUE!</v>
      </c>
      <c r="M89" s="702">
        <v>7.6</v>
      </c>
      <c r="N89"/>
      <c r="O89" s="672"/>
      <c r="Q89" s="685"/>
      <c r="U89" s="672"/>
      <c r="W89" s="685"/>
    </row>
    <row r="90" spans="1:23" s="471" customFormat="1">
      <c r="A90" s="671"/>
      <c r="B90" s="471">
        <f t="shared" si="8"/>
        <v>7</v>
      </c>
      <c r="C90" s="686" t="e">
        <f t="shared" si="9"/>
        <v>#VALUE!</v>
      </c>
      <c r="D90" s="471" t="e">
        <f>(D91-D84)/B82+D89</f>
        <v>#VALUE!</v>
      </c>
      <c r="E90" s="673" t="e">
        <f t="shared" si="10"/>
        <v>#VALUE!</v>
      </c>
      <c r="G90" s="671"/>
      <c r="H90" s="471">
        <f t="shared" si="11"/>
        <v>7</v>
      </c>
      <c r="I90" s="686" t="e">
        <f t="shared" si="12"/>
        <v>#VALUE!</v>
      </c>
      <c r="J90" s="471" t="e">
        <f>(J91-J84)/H82+J89</f>
        <v>#VALUE!</v>
      </c>
      <c r="K90" s="673" t="e">
        <f t="shared" si="13"/>
        <v>#VALUE!</v>
      </c>
      <c r="M90" s="702">
        <v>5.7</v>
      </c>
      <c r="N90"/>
      <c r="O90" s="672"/>
      <c r="Q90" s="685"/>
      <c r="U90" s="672"/>
      <c r="W90" s="685"/>
    </row>
    <row r="91" spans="1:23" s="471" customFormat="1">
      <c r="A91" s="674"/>
      <c r="B91" s="11">
        <f t="shared" si="8"/>
        <v>8</v>
      </c>
      <c r="C91" s="687">
        <v>1</v>
      </c>
      <c r="D91" s="11">
        <f>LN(C91)</f>
        <v>0</v>
      </c>
      <c r="E91" s="675" t="e">
        <f>(C91-C90)/C91</f>
        <v>#VALUE!</v>
      </c>
      <c r="G91" s="674"/>
      <c r="H91" s="11">
        <f t="shared" si="11"/>
        <v>8</v>
      </c>
      <c r="I91" s="689" t="e">
        <f>ROUND(UAnem1percent,1)</f>
        <v>#VALUE!</v>
      </c>
      <c r="J91" s="11" t="e">
        <f>LN(I91)</f>
        <v>#VALUE!</v>
      </c>
      <c r="K91" s="675" t="e">
        <f>(I91-I90)/I91</f>
        <v>#VALUE!</v>
      </c>
      <c r="M91" s="702">
        <v>4.2</v>
      </c>
      <c r="N91"/>
      <c r="O91" s="672"/>
      <c r="Q91" s="685"/>
      <c r="U91" s="672"/>
      <c r="W91" s="685"/>
    </row>
    <row r="92" spans="1:23">
      <c r="M92" s="702">
        <v>3.2</v>
      </c>
    </row>
    <row r="93" spans="1:23">
      <c r="A93" s="182" t="s">
        <v>767</v>
      </c>
      <c r="B93" s="666">
        <f>COUNT(B95:B103)-1</f>
        <v>8</v>
      </c>
      <c r="C93" s="666" t="s">
        <v>768</v>
      </c>
      <c r="D93" s="666" t="s">
        <v>769</v>
      </c>
      <c r="E93" s="667"/>
      <c r="G93" s="182" t="s">
        <v>767</v>
      </c>
      <c r="H93" s="666">
        <f>COUNT(H95:H101)-1</f>
        <v>6</v>
      </c>
      <c r="I93" s="666" t="s">
        <v>768</v>
      </c>
      <c r="J93" s="666" t="s">
        <v>769</v>
      </c>
      <c r="K93" s="667"/>
      <c r="M93" s="702">
        <v>2.4</v>
      </c>
    </row>
    <row r="94" spans="1:23">
      <c r="A94" s="688">
        <f>COUNT(B95:B103)</f>
        <v>9</v>
      </c>
      <c r="B94" s="668" t="s">
        <v>770</v>
      </c>
      <c r="C94" s="3"/>
      <c r="D94" s="3"/>
      <c r="E94" s="669"/>
      <c r="G94" s="688">
        <f>COUNT(H95:H101)</f>
        <v>7</v>
      </c>
      <c r="H94" s="668" t="s">
        <v>770</v>
      </c>
      <c r="I94" s="3"/>
      <c r="J94" s="3"/>
      <c r="K94" s="669"/>
      <c r="M94" s="702">
        <v>1.8</v>
      </c>
    </row>
    <row r="95" spans="1:23">
      <c r="A95" s="185"/>
      <c r="B95" s="3">
        <v>1</v>
      </c>
      <c r="C95" s="209" t="e">
        <f>ROUND(UAnem1percent,1)</f>
        <v>#VALUE!</v>
      </c>
      <c r="D95" s="471" t="e">
        <f>LN(C95)</f>
        <v>#VALUE!</v>
      </c>
      <c r="E95" s="670"/>
      <c r="G95" s="185"/>
      <c r="H95" s="3">
        <v>1</v>
      </c>
      <c r="I95" s="209" t="e">
        <f>ROUND(MIN(UAnem1percent*2,30),1)</f>
        <v>#VALUE!</v>
      </c>
      <c r="J95" s="471" t="e">
        <f>LN(I95)</f>
        <v>#VALUE!</v>
      </c>
      <c r="K95" s="670"/>
      <c r="M95" s="702">
        <v>1.3</v>
      </c>
    </row>
    <row r="96" spans="1:23" ht="16.5" thickBot="1">
      <c r="A96" s="671"/>
      <c r="B96" s="471">
        <f t="shared" ref="B96:B103" si="14">B95+1</f>
        <v>2</v>
      </c>
      <c r="C96" s="686" t="e">
        <f t="shared" ref="C96:C102" si="15">ROUND(EXP(D96),1)</f>
        <v>#VALUE!</v>
      </c>
      <c r="D96" s="471" t="e">
        <f>(D103-D95)/B93+D95</f>
        <v>#VALUE!</v>
      </c>
      <c r="E96" s="673" t="e">
        <f t="shared" ref="E96:E102" si="16">(C96-C95)/C96</f>
        <v>#VALUE!</v>
      </c>
      <c r="G96" s="671"/>
      <c r="H96" s="471">
        <f t="shared" ref="H96:H101" si="17">H95+1</f>
        <v>2</v>
      </c>
      <c r="I96" s="686" t="e">
        <f>ROUND(EXP(J96),1)</f>
        <v>#VALUE!</v>
      </c>
      <c r="J96" s="471" t="e">
        <f>(J101-J95)/H93+J95</f>
        <v>#VALUE!</v>
      </c>
      <c r="K96" s="673" t="e">
        <f t="shared" ref="K96:K101" si="18">(I96-I95)/I96</f>
        <v>#VALUE!</v>
      </c>
      <c r="M96" s="703">
        <v>1</v>
      </c>
      <c r="N96" s="2" t="s">
        <v>30</v>
      </c>
    </row>
    <row r="97" spans="1:11">
      <c r="A97" s="671"/>
      <c r="B97" s="471">
        <f t="shared" si="14"/>
        <v>3</v>
      </c>
      <c r="C97" s="686" t="e">
        <f t="shared" si="15"/>
        <v>#VALUE!</v>
      </c>
      <c r="D97" s="471" t="e">
        <f>(D103-D95)/B93+D96</f>
        <v>#VALUE!</v>
      </c>
      <c r="E97" s="673" t="e">
        <f t="shared" si="16"/>
        <v>#VALUE!</v>
      </c>
      <c r="G97" s="671"/>
      <c r="H97" s="471">
        <f t="shared" si="17"/>
        <v>3</v>
      </c>
      <c r="I97" s="686" t="e">
        <f>ROUND(EXP(J97),1)</f>
        <v>#VALUE!</v>
      </c>
      <c r="J97" s="471" t="e">
        <f>(J101-J95)/H93+J96</f>
        <v>#VALUE!</v>
      </c>
      <c r="K97" s="673" t="e">
        <f t="shared" si="18"/>
        <v>#VALUE!</v>
      </c>
    </row>
    <row r="98" spans="1:11">
      <c r="A98" s="671"/>
      <c r="B98" s="471">
        <f t="shared" si="14"/>
        <v>4</v>
      </c>
      <c r="C98" s="686" t="e">
        <f t="shared" si="15"/>
        <v>#VALUE!</v>
      </c>
      <c r="D98" s="471" t="e">
        <f>(D103-D95)/B93+D97</f>
        <v>#VALUE!</v>
      </c>
      <c r="E98" s="673" t="e">
        <f t="shared" si="16"/>
        <v>#VALUE!</v>
      </c>
      <c r="G98" s="671"/>
      <c r="H98" s="471">
        <f t="shared" si="17"/>
        <v>4</v>
      </c>
      <c r="I98" s="686" t="e">
        <f>ROUND(EXP(J98),1)</f>
        <v>#VALUE!</v>
      </c>
      <c r="J98" s="471" t="e">
        <f>(J101-J95)/H93+J97</f>
        <v>#VALUE!</v>
      </c>
      <c r="K98" s="673" t="e">
        <f t="shared" si="18"/>
        <v>#VALUE!</v>
      </c>
    </row>
    <row r="99" spans="1:11">
      <c r="A99" s="671"/>
      <c r="B99" s="471">
        <f t="shared" si="14"/>
        <v>5</v>
      </c>
      <c r="C99" s="686" t="e">
        <f t="shared" si="15"/>
        <v>#VALUE!</v>
      </c>
      <c r="D99" s="471" t="e">
        <f>(D103-D95)/B93+D98</f>
        <v>#VALUE!</v>
      </c>
      <c r="E99" s="673" t="e">
        <f t="shared" si="16"/>
        <v>#VALUE!</v>
      </c>
      <c r="G99" s="671"/>
      <c r="H99" s="471">
        <f t="shared" si="17"/>
        <v>5</v>
      </c>
      <c r="I99" s="686" t="e">
        <f>ROUND(EXP(J99),1)</f>
        <v>#VALUE!</v>
      </c>
      <c r="J99" s="471" t="e">
        <f>(J101-J95)/H93+J98</f>
        <v>#VALUE!</v>
      </c>
      <c r="K99" s="673" t="e">
        <f t="shared" si="18"/>
        <v>#VALUE!</v>
      </c>
    </row>
    <row r="100" spans="1:11">
      <c r="A100" s="671"/>
      <c r="B100" s="471">
        <f t="shared" si="14"/>
        <v>6</v>
      </c>
      <c r="C100" s="686" t="e">
        <f t="shared" si="15"/>
        <v>#VALUE!</v>
      </c>
      <c r="D100" s="471" t="e">
        <f>(D103-D95)/B93+D99</f>
        <v>#VALUE!</v>
      </c>
      <c r="E100" s="673" t="e">
        <f t="shared" si="16"/>
        <v>#VALUE!</v>
      </c>
      <c r="G100" s="671"/>
      <c r="H100" s="471">
        <f t="shared" si="17"/>
        <v>6</v>
      </c>
      <c r="I100" s="686" t="e">
        <f>ROUND(EXP(J100),1)</f>
        <v>#VALUE!</v>
      </c>
      <c r="J100" s="471" t="e">
        <f>(J101-J95)/H93+J99</f>
        <v>#VALUE!</v>
      </c>
      <c r="K100" s="673" t="e">
        <f t="shared" si="18"/>
        <v>#VALUE!</v>
      </c>
    </row>
    <row r="101" spans="1:11">
      <c r="A101" s="671"/>
      <c r="B101" s="471">
        <f t="shared" si="14"/>
        <v>7</v>
      </c>
      <c r="C101" s="686" t="e">
        <f t="shared" si="15"/>
        <v>#VALUE!</v>
      </c>
      <c r="D101" s="471" t="e">
        <f>(D103-D95)/B93+D100</f>
        <v>#VALUE!</v>
      </c>
      <c r="E101" s="673" t="e">
        <f t="shared" si="16"/>
        <v>#VALUE!</v>
      </c>
      <c r="G101" s="674"/>
      <c r="H101" s="11">
        <f t="shared" si="17"/>
        <v>7</v>
      </c>
      <c r="I101" s="689" t="e">
        <f>ROUND(UAnem1percent,1)</f>
        <v>#VALUE!</v>
      </c>
      <c r="J101" s="11" t="e">
        <f>LN(I101)</f>
        <v>#VALUE!</v>
      </c>
      <c r="K101" s="675" t="e">
        <f t="shared" si="18"/>
        <v>#VALUE!</v>
      </c>
    </row>
    <row r="102" spans="1:11">
      <c r="A102" s="671"/>
      <c r="B102" s="471">
        <f t="shared" si="14"/>
        <v>8</v>
      </c>
      <c r="C102" s="686" t="e">
        <f t="shared" si="15"/>
        <v>#VALUE!</v>
      </c>
      <c r="D102" s="471" t="e">
        <f>(D103-D95)/B93+D101</f>
        <v>#VALUE!</v>
      </c>
      <c r="E102" s="673" t="e">
        <f t="shared" si="16"/>
        <v>#VALUE!</v>
      </c>
    </row>
    <row r="103" spans="1:11">
      <c r="A103" s="674"/>
      <c r="B103" s="11">
        <f t="shared" si="14"/>
        <v>9</v>
      </c>
      <c r="C103" s="687">
        <v>1</v>
      </c>
      <c r="D103" s="11">
        <f>LN(C103)</f>
        <v>0</v>
      </c>
      <c r="E103" s="675" t="e">
        <f>(C103-C102)/C103</f>
        <v>#VALUE!</v>
      </c>
      <c r="G103" s="182" t="s">
        <v>767</v>
      </c>
      <c r="H103" s="666">
        <f>COUNT(H105:H110)-1</f>
        <v>5</v>
      </c>
      <c r="I103" s="666" t="s">
        <v>768</v>
      </c>
      <c r="J103" s="666" t="s">
        <v>769</v>
      </c>
      <c r="K103" s="667"/>
    </row>
    <row r="104" spans="1:11">
      <c r="G104" s="688">
        <f>COUNT(H105:H110)</f>
        <v>6</v>
      </c>
      <c r="H104" s="668" t="s">
        <v>770</v>
      </c>
      <c r="I104" s="3"/>
      <c r="J104" s="3"/>
      <c r="K104" s="669"/>
    </row>
    <row r="105" spans="1:11">
      <c r="A105" s="182" t="s">
        <v>767</v>
      </c>
      <c r="B105" s="666">
        <f>COUNT(B107:B116)-1</f>
        <v>9</v>
      </c>
      <c r="C105" s="666" t="s">
        <v>768</v>
      </c>
      <c r="D105" s="666" t="s">
        <v>769</v>
      </c>
      <c r="E105" s="667"/>
      <c r="G105" s="185"/>
      <c r="H105" s="3">
        <v>1</v>
      </c>
      <c r="I105" s="209" t="e">
        <f>ROUND(MIN(UAnem1percent*2,30),1)</f>
        <v>#VALUE!</v>
      </c>
      <c r="J105" s="471" t="e">
        <f>LN(I105)</f>
        <v>#VALUE!</v>
      </c>
      <c r="K105" s="670"/>
    </row>
    <row r="106" spans="1:11">
      <c r="A106" s="688">
        <f>COUNT(B107:B116)</f>
        <v>10</v>
      </c>
      <c r="B106" s="668" t="s">
        <v>770</v>
      </c>
      <c r="C106" s="3"/>
      <c r="D106" s="3"/>
      <c r="E106" s="669"/>
      <c r="G106" s="671"/>
      <c r="H106" s="471">
        <f>H105+1</f>
        <v>2</v>
      </c>
      <c r="I106" s="686" t="e">
        <f>ROUND(EXP(J106),1)</f>
        <v>#VALUE!</v>
      </c>
      <c r="J106" s="471" t="e">
        <f>(J110-J105)/H103+J105</f>
        <v>#VALUE!</v>
      </c>
      <c r="K106" s="673" t="e">
        <f>(I106-I105)/I106</f>
        <v>#VALUE!</v>
      </c>
    </row>
    <row r="107" spans="1:11">
      <c r="A107" s="185"/>
      <c r="B107" s="3">
        <v>1</v>
      </c>
      <c r="C107" s="209" t="e">
        <f>ROUND(UAnem1percent,1)</f>
        <v>#VALUE!</v>
      </c>
      <c r="D107" s="471" t="e">
        <f>LN(C107)</f>
        <v>#VALUE!</v>
      </c>
      <c r="E107" s="670"/>
      <c r="G107" s="671"/>
      <c r="H107" s="471">
        <f>H106+1</f>
        <v>3</v>
      </c>
      <c r="I107" s="686" t="e">
        <f>ROUND(EXP(J107),1)</f>
        <v>#VALUE!</v>
      </c>
      <c r="J107" s="471" t="e">
        <f>(J110-J105)/H103+J106</f>
        <v>#VALUE!</v>
      </c>
      <c r="K107" s="673" t="e">
        <f>(I107-I106)/I107</f>
        <v>#VALUE!</v>
      </c>
    </row>
    <row r="108" spans="1:11">
      <c r="A108" s="671"/>
      <c r="B108" s="471">
        <f t="shared" ref="B108:B116" si="19">B107+1</f>
        <v>2</v>
      </c>
      <c r="C108" s="686" t="e">
        <f t="shared" ref="C108:C115" si="20">ROUND(EXP(D108),1)</f>
        <v>#VALUE!</v>
      </c>
      <c r="D108" s="471" t="e">
        <f>(D116-D107)/B105+D107</f>
        <v>#VALUE!</v>
      </c>
      <c r="E108" s="673" t="e">
        <f t="shared" ref="E108:E115" si="21">(C108-C107)/C108</f>
        <v>#VALUE!</v>
      </c>
      <c r="G108" s="671"/>
      <c r="H108" s="471">
        <f>H107+1</f>
        <v>4</v>
      </c>
      <c r="I108" s="686" t="e">
        <f>ROUND(EXP(J108),1)</f>
        <v>#VALUE!</v>
      </c>
      <c r="J108" s="471" t="e">
        <f>(J110-J105)/H103+J107</f>
        <v>#VALUE!</v>
      </c>
      <c r="K108" s="673" t="e">
        <f>(I108-I107)/I108</f>
        <v>#VALUE!</v>
      </c>
    </row>
    <row r="109" spans="1:11">
      <c r="A109" s="671"/>
      <c r="B109" s="471">
        <f t="shared" si="19"/>
        <v>3</v>
      </c>
      <c r="C109" s="686" t="e">
        <f t="shared" si="20"/>
        <v>#VALUE!</v>
      </c>
      <c r="D109" s="471" t="e">
        <f>(D116-D107)/B105+D108</f>
        <v>#VALUE!</v>
      </c>
      <c r="E109" s="673" t="e">
        <f t="shared" si="21"/>
        <v>#VALUE!</v>
      </c>
      <c r="G109" s="671"/>
      <c r="H109" s="471">
        <f>H108+1</f>
        <v>5</v>
      </c>
      <c r="I109" s="686" t="e">
        <f>ROUND(EXP(J109),1)</f>
        <v>#VALUE!</v>
      </c>
      <c r="J109" s="471" t="e">
        <f>(J110-J105)/H103+J108</f>
        <v>#VALUE!</v>
      </c>
      <c r="K109" s="673" t="e">
        <f>(I109-I108)/I109</f>
        <v>#VALUE!</v>
      </c>
    </row>
    <row r="110" spans="1:11">
      <c r="A110" s="671"/>
      <c r="B110" s="471">
        <f t="shared" si="19"/>
        <v>4</v>
      </c>
      <c r="C110" s="686" t="e">
        <f t="shared" si="20"/>
        <v>#VALUE!</v>
      </c>
      <c r="D110" s="471" t="e">
        <f>(D116-D107)/B105+D109</f>
        <v>#VALUE!</v>
      </c>
      <c r="E110" s="673" t="e">
        <f t="shared" si="21"/>
        <v>#VALUE!</v>
      </c>
      <c r="G110" s="674"/>
      <c r="H110" s="11">
        <f>H109+1</f>
        <v>6</v>
      </c>
      <c r="I110" s="689" t="e">
        <f>ROUND(UAnem1percent,1)</f>
        <v>#VALUE!</v>
      </c>
      <c r="J110" s="11" t="e">
        <f>LN(I110)</f>
        <v>#VALUE!</v>
      </c>
      <c r="K110" s="675" t="e">
        <f>(I110-I109)/I110</f>
        <v>#VALUE!</v>
      </c>
    </row>
    <row r="111" spans="1:11">
      <c r="A111" s="671"/>
      <c r="B111" s="471">
        <f t="shared" si="19"/>
        <v>5</v>
      </c>
      <c r="C111" s="686" t="e">
        <f t="shared" si="20"/>
        <v>#VALUE!</v>
      </c>
      <c r="D111" s="471" t="e">
        <f>(D116-D107)/B105+D110</f>
        <v>#VALUE!</v>
      </c>
      <c r="E111" s="673" t="e">
        <f t="shared" si="21"/>
        <v>#VALUE!</v>
      </c>
    </row>
    <row r="112" spans="1:11">
      <c r="A112" s="671"/>
      <c r="B112" s="471">
        <f t="shared" si="19"/>
        <v>6</v>
      </c>
      <c r="C112" s="686" t="e">
        <f t="shared" si="20"/>
        <v>#VALUE!</v>
      </c>
      <c r="D112" s="471" t="e">
        <f>(D116-D107)/B105+D111</f>
        <v>#VALUE!</v>
      </c>
      <c r="E112" s="673" t="e">
        <f t="shared" si="21"/>
        <v>#VALUE!</v>
      </c>
      <c r="G112" s="182" t="s">
        <v>767</v>
      </c>
      <c r="H112" s="666">
        <f>COUNT(H114:H118)-1</f>
        <v>4</v>
      </c>
      <c r="I112" s="666" t="s">
        <v>768</v>
      </c>
      <c r="J112" s="666" t="s">
        <v>769</v>
      </c>
      <c r="K112" s="667"/>
    </row>
    <row r="113" spans="1:11">
      <c r="A113" s="671"/>
      <c r="B113" s="471">
        <f t="shared" si="19"/>
        <v>7</v>
      </c>
      <c r="C113" s="686" t="e">
        <f t="shared" si="20"/>
        <v>#VALUE!</v>
      </c>
      <c r="D113" s="471" t="e">
        <f>(D116-D107)/B105+D112</f>
        <v>#VALUE!</v>
      </c>
      <c r="E113" s="673" t="e">
        <f t="shared" si="21"/>
        <v>#VALUE!</v>
      </c>
      <c r="G113" s="688">
        <f>COUNT(H114:H118)</f>
        <v>5</v>
      </c>
      <c r="H113" s="668" t="s">
        <v>770</v>
      </c>
      <c r="I113" s="3"/>
      <c r="J113" s="3"/>
      <c r="K113" s="669"/>
    </row>
    <row r="114" spans="1:11">
      <c r="A114" s="671"/>
      <c r="B114" s="471">
        <f t="shared" si="19"/>
        <v>8</v>
      </c>
      <c r="C114" s="686" t="e">
        <f t="shared" si="20"/>
        <v>#VALUE!</v>
      </c>
      <c r="D114" s="471" t="e">
        <f>(D116-D107)/B105+D113</f>
        <v>#VALUE!</v>
      </c>
      <c r="E114" s="673" t="e">
        <f t="shared" si="21"/>
        <v>#VALUE!</v>
      </c>
      <c r="G114" s="185"/>
      <c r="H114" s="3">
        <v>1</v>
      </c>
      <c r="I114" s="209" t="e">
        <f>ROUND(MIN(UAnem1percent*2,30),1)</f>
        <v>#VALUE!</v>
      </c>
      <c r="J114" s="471" t="e">
        <f>LN(I114)</f>
        <v>#VALUE!</v>
      </c>
      <c r="K114" s="670"/>
    </row>
    <row r="115" spans="1:11">
      <c r="A115" s="671"/>
      <c r="B115" s="471">
        <f t="shared" si="19"/>
        <v>9</v>
      </c>
      <c r="C115" s="686" t="e">
        <f t="shared" si="20"/>
        <v>#VALUE!</v>
      </c>
      <c r="D115" s="471" t="e">
        <f>(D116-D107)/B105+D114</f>
        <v>#VALUE!</v>
      </c>
      <c r="E115" s="673" t="e">
        <f t="shared" si="21"/>
        <v>#VALUE!</v>
      </c>
      <c r="G115" s="671"/>
      <c r="H115" s="471">
        <f>H114+1</f>
        <v>2</v>
      </c>
      <c r="I115" s="686" t="e">
        <f>ROUND(EXP(J115),1)</f>
        <v>#VALUE!</v>
      </c>
      <c r="J115" s="471" t="e">
        <f>(J118-J114)/H112+J114</f>
        <v>#VALUE!</v>
      </c>
      <c r="K115" s="673" t="e">
        <f>(I115-I114)/I115</f>
        <v>#VALUE!</v>
      </c>
    </row>
    <row r="116" spans="1:11">
      <c r="A116" s="674"/>
      <c r="B116" s="11">
        <f t="shared" si="19"/>
        <v>10</v>
      </c>
      <c r="C116" s="687">
        <v>1</v>
      </c>
      <c r="D116" s="11">
        <f>LN(C116)</f>
        <v>0</v>
      </c>
      <c r="E116" s="675" t="e">
        <f>(C116-C115)/C116</f>
        <v>#VALUE!</v>
      </c>
      <c r="G116" s="671"/>
      <c r="H116" s="471">
        <f>H115+1</f>
        <v>3</v>
      </c>
      <c r="I116" s="686" t="e">
        <f>ROUND(EXP(J116),1)</f>
        <v>#VALUE!</v>
      </c>
      <c r="J116" s="471" t="e">
        <f>(J118-J114)/H112+J115</f>
        <v>#VALUE!</v>
      </c>
      <c r="K116" s="673" t="e">
        <f>(I116-I115)/I116</f>
        <v>#VALUE!</v>
      </c>
    </row>
    <row r="117" spans="1:11">
      <c r="G117" s="671"/>
      <c r="H117" s="471">
        <f>H116+1</f>
        <v>4</v>
      </c>
      <c r="I117" s="686" t="e">
        <f>ROUND(EXP(J117),1)</f>
        <v>#VALUE!</v>
      </c>
      <c r="J117" s="471" t="e">
        <f>(J118-J114)/H112+J116</f>
        <v>#VALUE!</v>
      </c>
      <c r="K117" s="673" t="e">
        <f>(I117-I116)/I117</f>
        <v>#VALUE!</v>
      </c>
    </row>
    <row r="118" spans="1:11">
      <c r="A118" s="182" t="s">
        <v>767</v>
      </c>
      <c r="B118" s="666">
        <f>COUNT(B120:B130)-1</f>
        <v>10</v>
      </c>
      <c r="C118" s="666" t="s">
        <v>768</v>
      </c>
      <c r="D118" s="666" t="s">
        <v>769</v>
      </c>
      <c r="E118" s="667"/>
      <c r="G118" s="674"/>
      <c r="H118" s="11">
        <f>H117+1</f>
        <v>5</v>
      </c>
      <c r="I118" s="689" t="e">
        <f>ROUND(UAnem1percent,1)</f>
        <v>#VALUE!</v>
      </c>
      <c r="J118" s="11" t="e">
        <f>LN(I118)</f>
        <v>#VALUE!</v>
      </c>
      <c r="K118" s="675" t="e">
        <f>(I118-I117)/I118</f>
        <v>#VALUE!</v>
      </c>
    </row>
    <row r="119" spans="1:11">
      <c r="A119" s="688">
        <f>COUNT(B120:B130)</f>
        <v>11</v>
      </c>
      <c r="B119" s="668" t="s">
        <v>770</v>
      </c>
      <c r="C119" s="3"/>
      <c r="D119" s="3"/>
      <c r="E119" s="669"/>
    </row>
    <row r="120" spans="1:11">
      <c r="A120" s="185"/>
      <c r="B120" s="3">
        <v>1</v>
      </c>
      <c r="C120" s="209" t="e">
        <f>ROUND(UAnem1percent,1)</f>
        <v>#VALUE!</v>
      </c>
      <c r="D120" s="471" t="e">
        <f>LN(C120)</f>
        <v>#VALUE!</v>
      </c>
      <c r="E120" s="670"/>
      <c r="G120" s="182" t="s">
        <v>767</v>
      </c>
      <c r="H120" s="666">
        <f>COUNT(H122:H125)-1</f>
        <v>3</v>
      </c>
      <c r="I120" s="666" t="s">
        <v>768</v>
      </c>
      <c r="J120" s="666" t="s">
        <v>769</v>
      </c>
      <c r="K120" s="667"/>
    </row>
    <row r="121" spans="1:11">
      <c r="A121" s="671"/>
      <c r="B121" s="471">
        <f t="shared" ref="B121:B130" si="22">B120+1</f>
        <v>2</v>
      </c>
      <c r="C121" s="686" t="e">
        <f t="shared" ref="C121:C129" si="23">ROUND(EXP(D121),1)</f>
        <v>#VALUE!</v>
      </c>
      <c r="D121" s="471" t="e">
        <f>(D130-D120)/B118+D120</f>
        <v>#VALUE!</v>
      </c>
      <c r="E121" s="673" t="e">
        <f t="shared" ref="E121:E129" si="24">(C121-C120)/C121</f>
        <v>#VALUE!</v>
      </c>
      <c r="G121" s="688">
        <f>COUNT(H122:H125)</f>
        <v>4</v>
      </c>
      <c r="H121" s="668" t="s">
        <v>770</v>
      </c>
      <c r="I121" s="3"/>
      <c r="J121" s="3"/>
      <c r="K121" s="669"/>
    </row>
    <row r="122" spans="1:11">
      <c r="A122" s="671"/>
      <c r="B122" s="471">
        <f t="shared" si="22"/>
        <v>3</v>
      </c>
      <c r="C122" s="686" t="e">
        <f t="shared" si="23"/>
        <v>#VALUE!</v>
      </c>
      <c r="D122" s="471" t="e">
        <f>(D130-D120)/B118+D121</f>
        <v>#VALUE!</v>
      </c>
      <c r="E122" s="673" t="e">
        <f t="shared" si="24"/>
        <v>#VALUE!</v>
      </c>
      <c r="G122" s="185"/>
      <c r="H122" s="3">
        <v>1</v>
      </c>
      <c r="I122" s="209" t="e">
        <f>ROUND(MIN(UAnem1percent*2,30),1)</f>
        <v>#VALUE!</v>
      </c>
      <c r="J122" s="471" t="e">
        <f>LN(I122)</f>
        <v>#VALUE!</v>
      </c>
      <c r="K122" s="670"/>
    </row>
    <row r="123" spans="1:11">
      <c r="A123" s="671"/>
      <c r="B123" s="471">
        <f t="shared" si="22"/>
        <v>4</v>
      </c>
      <c r="C123" s="686" t="e">
        <f t="shared" si="23"/>
        <v>#VALUE!</v>
      </c>
      <c r="D123" s="471" t="e">
        <f>(D130-D120)/B118+D122</f>
        <v>#VALUE!</v>
      </c>
      <c r="E123" s="673" t="e">
        <f t="shared" si="24"/>
        <v>#VALUE!</v>
      </c>
      <c r="G123" s="671"/>
      <c r="H123" s="471">
        <f>H122+1</f>
        <v>2</v>
      </c>
      <c r="I123" s="686" t="e">
        <f>ROUND(EXP(J123),1)</f>
        <v>#VALUE!</v>
      </c>
      <c r="J123" s="471" t="e">
        <f>(J125-J122)/H120+J122</f>
        <v>#VALUE!</v>
      </c>
      <c r="K123" s="673" t="e">
        <f>(I123-I122)/I123</f>
        <v>#VALUE!</v>
      </c>
    </row>
    <row r="124" spans="1:11">
      <c r="A124" s="671"/>
      <c r="B124" s="471">
        <f t="shared" si="22"/>
        <v>5</v>
      </c>
      <c r="C124" s="686" t="e">
        <f t="shared" si="23"/>
        <v>#VALUE!</v>
      </c>
      <c r="D124" s="471" t="e">
        <f>(D130-D120)/B118+D123</f>
        <v>#VALUE!</v>
      </c>
      <c r="E124" s="673" t="e">
        <f t="shared" si="24"/>
        <v>#VALUE!</v>
      </c>
      <c r="G124" s="671"/>
      <c r="H124" s="471">
        <f>H123+1</f>
        <v>3</v>
      </c>
      <c r="I124" s="686" t="e">
        <f>ROUND(EXP(J124),1)</f>
        <v>#VALUE!</v>
      </c>
      <c r="J124" s="471" t="e">
        <f>(J125-J122)/H120+J123</f>
        <v>#VALUE!</v>
      </c>
      <c r="K124" s="673" t="e">
        <f>(I124-I123)/I124</f>
        <v>#VALUE!</v>
      </c>
    </row>
    <row r="125" spans="1:11">
      <c r="A125" s="671"/>
      <c r="B125" s="471">
        <f t="shared" si="22"/>
        <v>6</v>
      </c>
      <c r="C125" s="686" t="e">
        <f t="shared" si="23"/>
        <v>#VALUE!</v>
      </c>
      <c r="D125" s="471" t="e">
        <f>(D130-D120)/B118+D124</f>
        <v>#VALUE!</v>
      </c>
      <c r="E125" s="673" t="e">
        <f t="shared" si="24"/>
        <v>#VALUE!</v>
      </c>
      <c r="G125" s="674"/>
      <c r="H125" s="11">
        <f>H124+1</f>
        <v>4</v>
      </c>
      <c r="I125" s="689" t="e">
        <f>ROUND(UAnem1percent,1)</f>
        <v>#VALUE!</v>
      </c>
      <c r="J125" s="11" t="e">
        <f>LN(I125)</f>
        <v>#VALUE!</v>
      </c>
      <c r="K125" s="675" t="e">
        <f>(I125-I124)/I125</f>
        <v>#VALUE!</v>
      </c>
    </row>
    <row r="126" spans="1:11">
      <c r="A126" s="671"/>
      <c r="B126" s="471">
        <f t="shared" si="22"/>
        <v>7</v>
      </c>
      <c r="C126" s="686" t="e">
        <f t="shared" si="23"/>
        <v>#VALUE!</v>
      </c>
      <c r="D126" s="471" t="e">
        <f>(D130-D120)/B118+D125</f>
        <v>#VALUE!</v>
      </c>
      <c r="E126" s="673" t="e">
        <f t="shared" si="24"/>
        <v>#VALUE!</v>
      </c>
    </row>
    <row r="127" spans="1:11">
      <c r="A127" s="671"/>
      <c r="B127" s="471">
        <f t="shared" si="22"/>
        <v>8</v>
      </c>
      <c r="C127" s="686" t="e">
        <f t="shared" si="23"/>
        <v>#VALUE!</v>
      </c>
      <c r="D127" s="471" t="e">
        <f>(D130-D120)/B118+D126</f>
        <v>#VALUE!</v>
      </c>
      <c r="E127" s="673" t="e">
        <f t="shared" si="24"/>
        <v>#VALUE!</v>
      </c>
      <c r="G127" s="182" t="s">
        <v>767</v>
      </c>
      <c r="H127" s="666">
        <f>COUNT(H129:H131)-1</f>
        <v>2</v>
      </c>
      <c r="I127" s="666" t="s">
        <v>768</v>
      </c>
      <c r="J127" s="666" t="s">
        <v>769</v>
      </c>
      <c r="K127" s="667"/>
    </row>
    <row r="128" spans="1:11">
      <c r="A128" s="671"/>
      <c r="B128" s="471">
        <f t="shared" si="22"/>
        <v>9</v>
      </c>
      <c r="C128" s="686" t="e">
        <f t="shared" si="23"/>
        <v>#VALUE!</v>
      </c>
      <c r="D128" s="471" t="e">
        <f>(D130-D120)/B118+D127</f>
        <v>#VALUE!</v>
      </c>
      <c r="E128" s="673" t="e">
        <f t="shared" si="24"/>
        <v>#VALUE!</v>
      </c>
      <c r="G128" s="688">
        <f>COUNT(H129:H131)</f>
        <v>3</v>
      </c>
      <c r="H128" s="668" t="s">
        <v>770</v>
      </c>
      <c r="I128" s="3"/>
      <c r="J128" s="3"/>
      <c r="K128" s="669"/>
    </row>
    <row r="129" spans="1:11">
      <c r="A129" s="671"/>
      <c r="B129" s="471">
        <f t="shared" si="22"/>
        <v>10</v>
      </c>
      <c r="C129" s="686" t="e">
        <f t="shared" si="23"/>
        <v>#VALUE!</v>
      </c>
      <c r="D129" s="471" t="e">
        <f>(D130-D120)/B118+D128</f>
        <v>#VALUE!</v>
      </c>
      <c r="E129" s="673" t="e">
        <f t="shared" si="24"/>
        <v>#VALUE!</v>
      </c>
      <c r="G129" s="185"/>
      <c r="H129" s="3">
        <v>1</v>
      </c>
      <c r="I129" s="209" t="e">
        <f>ROUND(MIN(UAnem1percent*2,30),1)</f>
        <v>#VALUE!</v>
      </c>
      <c r="J129" s="471" t="e">
        <f>LN(I129)</f>
        <v>#VALUE!</v>
      </c>
      <c r="K129" s="670"/>
    </row>
    <row r="130" spans="1:11">
      <c r="A130" s="674"/>
      <c r="B130" s="11">
        <f t="shared" si="22"/>
        <v>11</v>
      </c>
      <c r="C130" s="687">
        <v>1</v>
      </c>
      <c r="D130" s="11">
        <f>LN(C130)</f>
        <v>0</v>
      </c>
      <c r="E130" s="675" t="e">
        <f>(C130-C129)/C130</f>
        <v>#VALUE!</v>
      </c>
      <c r="G130" s="671"/>
      <c r="H130" s="471">
        <f>H129+1</f>
        <v>2</v>
      </c>
      <c r="I130" s="686" t="e">
        <f>ROUND(EXP(J130),1)</f>
        <v>#VALUE!</v>
      </c>
      <c r="J130" s="471" t="e">
        <f>(J131-J129)/H127+J129</f>
        <v>#VALUE!</v>
      </c>
      <c r="K130" s="673" t="e">
        <f>(I130-I129)/I130</f>
        <v>#VALUE!</v>
      </c>
    </row>
    <row r="131" spans="1:11">
      <c r="G131" s="674"/>
      <c r="H131" s="11">
        <f>H130+1</f>
        <v>3</v>
      </c>
      <c r="I131" s="689" t="e">
        <f>ROUND(UAnem1percent,1)</f>
        <v>#VALUE!</v>
      </c>
      <c r="J131" s="11" t="e">
        <f>LN(I131)</f>
        <v>#VALUE!</v>
      </c>
      <c r="K131" s="675" t="e">
        <f>(I131-I130)/I131</f>
        <v>#VALUE!</v>
      </c>
    </row>
    <row r="132" spans="1:11">
      <c r="A132" s="182" t="s">
        <v>767</v>
      </c>
      <c r="B132" s="666">
        <f>COUNT(B134:B145)-1</f>
        <v>11</v>
      </c>
      <c r="C132" s="666" t="s">
        <v>768</v>
      </c>
      <c r="D132" s="666" t="s">
        <v>769</v>
      </c>
      <c r="E132" s="667"/>
    </row>
    <row r="133" spans="1:11">
      <c r="A133" s="688">
        <f>COUNT(B134:B145)</f>
        <v>12</v>
      </c>
      <c r="B133" s="668" t="s">
        <v>770</v>
      </c>
      <c r="C133" s="3"/>
      <c r="D133" s="3"/>
      <c r="E133" s="669"/>
    </row>
    <row r="134" spans="1:11">
      <c r="A134" s="185"/>
      <c r="B134" s="3">
        <v>1</v>
      </c>
      <c r="C134" s="209" t="e">
        <f>ROUND(UAnem1percent,1)</f>
        <v>#VALUE!</v>
      </c>
      <c r="D134" s="471" t="e">
        <f>LN(C134)</f>
        <v>#VALUE!</v>
      </c>
      <c r="E134" s="670"/>
    </row>
    <row r="135" spans="1:11">
      <c r="A135" s="671"/>
      <c r="B135" s="471">
        <f t="shared" ref="B135:B145" si="25">B134+1</f>
        <v>2</v>
      </c>
      <c r="C135" s="686" t="e">
        <f t="shared" ref="C135:C144" si="26">ROUND(EXP(D135),1)</f>
        <v>#VALUE!</v>
      </c>
      <c r="D135" s="471" t="e">
        <f>(D145-D134)/B132+D134</f>
        <v>#VALUE!</v>
      </c>
      <c r="E135" s="673" t="e">
        <f t="shared" ref="E135:E144" si="27">(C135-C134)/C135</f>
        <v>#VALUE!</v>
      </c>
    </row>
    <row r="136" spans="1:11">
      <c r="A136" s="671"/>
      <c r="B136" s="471">
        <f t="shared" si="25"/>
        <v>3</v>
      </c>
      <c r="C136" s="686" t="e">
        <f t="shared" si="26"/>
        <v>#VALUE!</v>
      </c>
      <c r="D136" s="471" t="e">
        <f>(D145-D134)/B132+D135</f>
        <v>#VALUE!</v>
      </c>
      <c r="E136" s="673" t="e">
        <f t="shared" si="27"/>
        <v>#VALUE!</v>
      </c>
    </row>
    <row r="137" spans="1:11">
      <c r="A137" s="671"/>
      <c r="B137" s="471">
        <f t="shared" si="25"/>
        <v>4</v>
      </c>
      <c r="C137" s="686" t="e">
        <f t="shared" si="26"/>
        <v>#VALUE!</v>
      </c>
      <c r="D137" s="471" t="e">
        <f>(D145-D134)/B132+D136</f>
        <v>#VALUE!</v>
      </c>
      <c r="E137" s="673" t="e">
        <f t="shared" si="27"/>
        <v>#VALUE!</v>
      </c>
    </row>
    <row r="138" spans="1:11">
      <c r="A138" s="671"/>
      <c r="B138" s="471">
        <f t="shared" si="25"/>
        <v>5</v>
      </c>
      <c r="C138" s="686" t="e">
        <f t="shared" si="26"/>
        <v>#VALUE!</v>
      </c>
      <c r="D138" s="471" t="e">
        <f>(D145-D134)/B132+D137</f>
        <v>#VALUE!</v>
      </c>
      <c r="E138" s="673" t="e">
        <f t="shared" si="27"/>
        <v>#VALUE!</v>
      </c>
    </row>
    <row r="139" spans="1:11">
      <c r="A139" s="671"/>
      <c r="B139" s="471">
        <f t="shared" si="25"/>
        <v>6</v>
      </c>
      <c r="C139" s="686" t="e">
        <f t="shared" si="26"/>
        <v>#VALUE!</v>
      </c>
      <c r="D139" s="471" t="e">
        <f>(D145-D134)/B132+D138</f>
        <v>#VALUE!</v>
      </c>
      <c r="E139" s="673" t="e">
        <f t="shared" si="27"/>
        <v>#VALUE!</v>
      </c>
    </row>
    <row r="140" spans="1:11">
      <c r="A140" s="671"/>
      <c r="B140" s="471">
        <f t="shared" si="25"/>
        <v>7</v>
      </c>
      <c r="C140" s="686" t="e">
        <f t="shared" si="26"/>
        <v>#VALUE!</v>
      </c>
      <c r="D140" s="471" t="e">
        <f>(D145-D134)/B132+D139</f>
        <v>#VALUE!</v>
      </c>
      <c r="E140" s="673" t="e">
        <f t="shared" si="27"/>
        <v>#VALUE!</v>
      </c>
    </row>
    <row r="141" spans="1:11">
      <c r="A141" s="671"/>
      <c r="B141" s="471">
        <f t="shared" si="25"/>
        <v>8</v>
      </c>
      <c r="C141" s="686" t="e">
        <f t="shared" si="26"/>
        <v>#VALUE!</v>
      </c>
      <c r="D141" s="471" t="e">
        <f>(D145-D134)/B132+D140</f>
        <v>#VALUE!</v>
      </c>
      <c r="E141" s="673" t="e">
        <f t="shared" si="27"/>
        <v>#VALUE!</v>
      </c>
    </row>
    <row r="142" spans="1:11">
      <c r="A142" s="671"/>
      <c r="B142" s="471">
        <f t="shared" si="25"/>
        <v>9</v>
      </c>
      <c r="C142" s="686" t="e">
        <f t="shared" si="26"/>
        <v>#VALUE!</v>
      </c>
      <c r="D142" s="471" t="e">
        <f>(D145-D134)/B132+D141</f>
        <v>#VALUE!</v>
      </c>
      <c r="E142" s="673" t="e">
        <f t="shared" si="27"/>
        <v>#VALUE!</v>
      </c>
    </row>
    <row r="143" spans="1:11">
      <c r="A143" s="671"/>
      <c r="B143" s="471">
        <f t="shared" si="25"/>
        <v>10</v>
      </c>
      <c r="C143" s="686" t="e">
        <f t="shared" si="26"/>
        <v>#VALUE!</v>
      </c>
      <c r="D143" s="471" t="e">
        <f>(D145-D134)/B132+D142</f>
        <v>#VALUE!</v>
      </c>
      <c r="E143" s="673" t="e">
        <f t="shared" si="27"/>
        <v>#VALUE!</v>
      </c>
    </row>
    <row r="144" spans="1:11">
      <c r="A144" s="671"/>
      <c r="B144" s="471">
        <f t="shared" si="25"/>
        <v>11</v>
      </c>
      <c r="C144" s="686" t="e">
        <f t="shared" si="26"/>
        <v>#VALUE!</v>
      </c>
      <c r="D144" s="471" t="e">
        <f>(D145-D134)/B132+D143</f>
        <v>#VALUE!</v>
      </c>
      <c r="E144" s="673" t="e">
        <f t="shared" si="27"/>
        <v>#VALUE!</v>
      </c>
    </row>
    <row r="145" spans="1:5">
      <c r="A145" s="674"/>
      <c r="B145" s="11">
        <f t="shared" si="25"/>
        <v>12</v>
      </c>
      <c r="C145" s="687">
        <v>1</v>
      </c>
      <c r="D145" s="11">
        <f>LN(C145)</f>
        <v>0</v>
      </c>
      <c r="E145" s="675" t="e">
        <f>(C145-C144)/C145</f>
        <v>#VALUE!</v>
      </c>
    </row>
    <row r="147" spans="1:5">
      <c r="A147" s="182" t="s">
        <v>767</v>
      </c>
      <c r="B147" s="666">
        <f>COUNT(B149:B161)-1</f>
        <v>12</v>
      </c>
      <c r="C147" s="666" t="s">
        <v>768</v>
      </c>
      <c r="D147" s="666" t="s">
        <v>769</v>
      </c>
      <c r="E147" s="667"/>
    </row>
    <row r="148" spans="1:5">
      <c r="A148" s="688">
        <f>COUNT(B149:B161)</f>
        <v>13</v>
      </c>
      <c r="B148" s="668" t="s">
        <v>770</v>
      </c>
      <c r="C148" s="3"/>
      <c r="D148" s="3"/>
      <c r="E148" s="669"/>
    </row>
    <row r="149" spans="1:5">
      <c r="A149" s="185"/>
      <c r="B149" s="3">
        <v>1</v>
      </c>
      <c r="C149" s="209" t="e">
        <f>ROUND(UAnem1percent,1)</f>
        <v>#VALUE!</v>
      </c>
      <c r="D149" s="471" t="e">
        <f>LN(C149)</f>
        <v>#VALUE!</v>
      </c>
      <c r="E149" s="670"/>
    </row>
    <row r="150" spans="1:5">
      <c r="A150" s="671"/>
      <c r="B150" s="471">
        <f>B149+1</f>
        <v>2</v>
      </c>
      <c r="C150" s="686" t="e">
        <f t="shared" ref="C150:C160" si="28">ROUND(EXP(D150),1)</f>
        <v>#VALUE!</v>
      </c>
      <c r="D150" s="471" t="e">
        <f>(D161-D149)/B147+D149</f>
        <v>#VALUE!</v>
      </c>
      <c r="E150" s="673" t="e">
        <f t="shared" ref="E150:E160" si="29">(C150-C149)/C150</f>
        <v>#VALUE!</v>
      </c>
    </row>
    <row r="151" spans="1:5">
      <c r="A151" s="671"/>
      <c r="B151" s="471">
        <f>B150+1</f>
        <v>3</v>
      </c>
      <c r="C151" s="686" t="e">
        <f t="shared" si="28"/>
        <v>#VALUE!</v>
      </c>
      <c r="D151" s="471" t="e">
        <f>(D161-D149)/B147+D150</f>
        <v>#VALUE!</v>
      </c>
      <c r="E151" s="673" t="e">
        <f t="shared" si="29"/>
        <v>#VALUE!</v>
      </c>
    </row>
    <row r="152" spans="1:5">
      <c r="A152" s="671"/>
      <c r="B152" s="471">
        <f>B151+1</f>
        <v>4</v>
      </c>
      <c r="C152" s="686" t="e">
        <f t="shared" si="28"/>
        <v>#VALUE!</v>
      </c>
      <c r="D152" s="471" t="e">
        <f>(D161-D149)/B147+D151</f>
        <v>#VALUE!</v>
      </c>
      <c r="E152" s="673" t="e">
        <f t="shared" si="29"/>
        <v>#VALUE!</v>
      </c>
    </row>
    <row r="153" spans="1:5">
      <c r="A153" s="671"/>
      <c r="B153" s="471">
        <f>B152+1</f>
        <v>5</v>
      </c>
      <c r="C153" s="686" t="e">
        <f t="shared" si="28"/>
        <v>#VALUE!</v>
      </c>
      <c r="D153" s="471" t="e">
        <f>(D161-D149)/B147+D152</f>
        <v>#VALUE!</v>
      </c>
      <c r="E153" s="673" t="e">
        <f t="shared" si="29"/>
        <v>#VALUE!</v>
      </c>
    </row>
    <row r="154" spans="1:5">
      <c r="A154" s="671"/>
      <c r="B154" s="471">
        <f t="shared" ref="B154:B159" si="30">B153+1</f>
        <v>6</v>
      </c>
      <c r="C154" s="686" t="e">
        <f t="shared" si="28"/>
        <v>#VALUE!</v>
      </c>
      <c r="D154" s="471" t="e">
        <f>(D161-D149)/B147+D153</f>
        <v>#VALUE!</v>
      </c>
      <c r="E154" s="673" t="e">
        <f t="shared" si="29"/>
        <v>#VALUE!</v>
      </c>
    </row>
    <row r="155" spans="1:5">
      <c r="A155" s="671"/>
      <c r="B155" s="471">
        <f t="shared" si="30"/>
        <v>7</v>
      </c>
      <c r="C155" s="686" t="e">
        <f t="shared" si="28"/>
        <v>#VALUE!</v>
      </c>
      <c r="D155" s="471" t="e">
        <f>(D161-D149)/B147+D154</f>
        <v>#VALUE!</v>
      </c>
      <c r="E155" s="673" t="e">
        <f t="shared" si="29"/>
        <v>#VALUE!</v>
      </c>
    </row>
    <row r="156" spans="1:5">
      <c r="A156" s="671"/>
      <c r="B156" s="471">
        <f t="shared" si="30"/>
        <v>8</v>
      </c>
      <c r="C156" s="686" t="e">
        <f t="shared" si="28"/>
        <v>#VALUE!</v>
      </c>
      <c r="D156" s="471" t="e">
        <f>(D161-D149)/B147+D155</f>
        <v>#VALUE!</v>
      </c>
      <c r="E156" s="673" t="e">
        <f t="shared" si="29"/>
        <v>#VALUE!</v>
      </c>
    </row>
    <row r="157" spans="1:5">
      <c r="A157" s="671"/>
      <c r="B157" s="471">
        <f t="shared" si="30"/>
        <v>9</v>
      </c>
      <c r="C157" s="686" t="e">
        <f t="shared" si="28"/>
        <v>#VALUE!</v>
      </c>
      <c r="D157" s="471" t="e">
        <f>(D161-D149)/B147+D156</f>
        <v>#VALUE!</v>
      </c>
      <c r="E157" s="673" t="e">
        <f t="shared" si="29"/>
        <v>#VALUE!</v>
      </c>
    </row>
    <row r="158" spans="1:5">
      <c r="A158" s="671"/>
      <c r="B158" s="471">
        <f t="shared" si="30"/>
        <v>10</v>
      </c>
      <c r="C158" s="686" t="e">
        <f t="shared" si="28"/>
        <v>#VALUE!</v>
      </c>
      <c r="D158" s="471" t="e">
        <f>(D161-D149)/B147+D157</f>
        <v>#VALUE!</v>
      </c>
      <c r="E158" s="673" t="e">
        <f t="shared" si="29"/>
        <v>#VALUE!</v>
      </c>
    </row>
    <row r="159" spans="1:5">
      <c r="A159" s="671"/>
      <c r="B159" s="471">
        <f t="shared" si="30"/>
        <v>11</v>
      </c>
      <c r="C159" s="686" t="e">
        <f t="shared" si="28"/>
        <v>#VALUE!</v>
      </c>
      <c r="D159" s="471" t="e">
        <f>(D161-D149)/B147+D158</f>
        <v>#VALUE!</v>
      </c>
      <c r="E159" s="673" t="e">
        <f t="shared" si="29"/>
        <v>#VALUE!</v>
      </c>
    </row>
    <row r="160" spans="1:5">
      <c r="A160" s="671"/>
      <c r="B160" s="471">
        <f>B159+1</f>
        <v>12</v>
      </c>
      <c r="C160" s="686" t="e">
        <f t="shared" si="28"/>
        <v>#VALUE!</v>
      </c>
      <c r="D160" s="471" t="e">
        <f>(D161-D149)/B147+D159</f>
        <v>#VALUE!</v>
      </c>
      <c r="E160" s="673" t="e">
        <f t="shared" si="29"/>
        <v>#VALUE!</v>
      </c>
    </row>
    <row r="161" spans="1:5">
      <c r="A161" s="674"/>
      <c r="B161" s="11">
        <f>B160+1</f>
        <v>13</v>
      </c>
      <c r="C161" s="687">
        <v>1</v>
      </c>
      <c r="D161" s="11">
        <f>LN(C161)</f>
        <v>0</v>
      </c>
      <c r="E161" s="675" t="e">
        <f>(C161-C160)/C161</f>
        <v>#VALUE!</v>
      </c>
    </row>
    <row r="163" spans="1:5">
      <c r="A163" s="182" t="s">
        <v>767</v>
      </c>
      <c r="B163" s="666">
        <f>COUNT(B165:B178)-1</f>
        <v>13</v>
      </c>
      <c r="C163" s="666" t="s">
        <v>768</v>
      </c>
      <c r="D163" s="666" t="s">
        <v>769</v>
      </c>
      <c r="E163" s="667"/>
    </row>
    <row r="164" spans="1:5">
      <c r="A164" s="688">
        <f>COUNT(B165:B178)</f>
        <v>14</v>
      </c>
      <c r="B164" s="668" t="s">
        <v>770</v>
      </c>
      <c r="C164" s="3"/>
      <c r="D164" s="3"/>
      <c r="E164" s="669"/>
    </row>
    <row r="165" spans="1:5">
      <c r="A165" s="185"/>
      <c r="B165" s="3">
        <v>1</v>
      </c>
      <c r="C165" s="209" t="e">
        <f>ROUND(UAnem1percent,1)</f>
        <v>#VALUE!</v>
      </c>
      <c r="D165" s="471" t="e">
        <f>LN(C165)</f>
        <v>#VALUE!</v>
      </c>
      <c r="E165" s="670"/>
    </row>
    <row r="166" spans="1:5">
      <c r="A166" s="671"/>
      <c r="B166" s="471">
        <f>B165+1</f>
        <v>2</v>
      </c>
      <c r="C166" s="686" t="e">
        <f t="shared" ref="C166:C177" si="31">ROUND(EXP(D166),1)</f>
        <v>#VALUE!</v>
      </c>
      <c r="D166" s="471" t="e">
        <f>(D178-D165)/B163+D165</f>
        <v>#VALUE!</v>
      </c>
      <c r="E166" s="673" t="e">
        <f t="shared" ref="E166:E177" si="32">(C166-C165)/C166</f>
        <v>#VALUE!</v>
      </c>
    </row>
    <row r="167" spans="1:5">
      <c r="A167" s="671"/>
      <c r="B167" s="471">
        <f>B166+1</f>
        <v>3</v>
      </c>
      <c r="C167" s="686" t="e">
        <f t="shared" si="31"/>
        <v>#VALUE!</v>
      </c>
      <c r="D167" s="471" t="e">
        <f>(D178-D165)/B163+D166</f>
        <v>#VALUE!</v>
      </c>
      <c r="E167" s="673" t="e">
        <f t="shared" si="32"/>
        <v>#VALUE!</v>
      </c>
    </row>
    <row r="168" spans="1:5">
      <c r="A168" s="671"/>
      <c r="B168" s="471">
        <f>B167+1</f>
        <v>4</v>
      </c>
      <c r="C168" s="686" t="e">
        <f t="shared" si="31"/>
        <v>#VALUE!</v>
      </c>
      <c r="D168" s="471" t="e">
        <f>(D178-D165)/B163+D167</f>
        <v>#VALUE!</v>
      </c>
      <c r="E168" s="673" t="e">
        <f t="shared" si="32"/>
        <v>#VALUE!</v>
      </c>
    </row>
    <row r="169" spans="1:5">
      <c r="A169" s="671"/>
      <c r="B169" s="471">
        <f>B168+1</f>
        <v>5</v>
      </c>
      <c r="C169" s="686" t="e">
        <f t="shared" si="31"/>
        <v>#VALUE!</v>
      </c>
      <c r="D169" s="471" t="e">
        <f>(D178-D165)/B163+D168</f>
        <v>#VALUE!</v>
      </c>
      <c r="E169" s="673" t="e">
        <f t="shared" si="32"/>
        <v>#VALUE!</v>
      </c>
    </row>
    <row r="170" spans="1:5">
      <c r="A170" s="671"/>
      <c r="B170" s="471">
        <f t="shared" ref="B170:B176" si="33">B169+1</f>
        <v>6</v>
      </c>
      <c r="C170" s="686" t="e">
        <f t="shared" si="31"/>
        <v>#VALUE!</v>
      </c>
      <c r="D170" s="471" t="e">
        <f>(D178-D165)/B163+D169</f>
        <v>#VALUE!</v>
      </c>
      <c r="E170" s="673" t="e">
        <f t="shared" si="32"/>
        <v>#VALUE!</v>
      </c>
    </row>
    <row r="171" spans="1:5">
      <c r="A171" s="671"/>
      <c r="B171" s="471">
        <f t="shared" si="33"/>
        <v>7</v>
      </c>
      <c r="C171" s="686" t="e">
        <f t="shared" si="31"/>
        <v>#VALUE!</v>
      </c>
      <c r="D171" s="471" t="e">
        <f>(D178-D165)/B163+D170</f>
        <v>#VALUE!</v>
      </c>
      <c r="E171" s="673" t="e">
        <f t="shared" si="32"/>
        <v>#VALUE!</v>
      </c>
    </row>
    <row r="172" spans="1:5">
      <c r="A172" s="671"/>
      <c r="B172" s="471">
        <f t="shared" si="33"/>
        <v>8</v>
      </c>
      <c r="C172" s="686" t="e">
        <f t="shared" si="31"/>
        <v>#VALUE!</v>
      </c>
      <c r="D172" s="471" t="e">
        <f>(D178-D165)/B163+D171</f>
        <v>#VALUE!</v>
      </c>
      <c r="E172" s="673" t="e">
        <f t="shared" si="32"/>
        <v>#VALUE!</v>
      </c>
    </row>
    <row r="173" spans="1:5">
      <c r="A173" s="671"/>
      <c r="B173" s="471">
        <f t="shared" si="33"/>
        <v>9</v>
      </c>
      <c r="C173" s="686" t="e">
        <f t="shared" si="31"/>
        <v>#VALUE!</v>
      </c>
      <c r="D173" s="471" t="e">
        <f>(D178-D165)/B163+D172</f>
        <v>#VALUE!</v>
      </c>
      <c r="E173" s="673" t="e">
        <f t="shared" si="32"/>
        <v>#VALUE!</v>
      </c>
    </row>
    <row r="174" spans="1:5">
      <c r="A174" s="671"/>
      <c r="B174" s="471">
        <f t="shared" si="33"/>
        <v>10</v>
      </c>
      <c r="C174" s="686" t="e">
        <f t="shared" si="31"/>
        <v>#VALUE!</v>
      </c>
      <c r="D174" s="471" t="e">
        <f>(D178-D165)/B163+D173</f>
        <v>#VALUE!</v>
      </c>
      <c r="E174" s="673" t="e">
        <f t="shared" si="32"/>
        <v>#VALUE!</v>
      </c>
    </row>
    <row r="175" spans="1:5">
      <c r="A175" s="671"/>
      <c r="B175" s="471">
        <f t="shared" si="33"/>
        <v>11</v>
      </c>
      <c r="C175" s="686" t="e">
        <f t="shared" si="31"/>
        <v>#VALUE!</v>
      </c>
      <c r="D175" s="471" t="e">
        <f>(D178-D165)/B163+D174</f>
        <v>#VALUE!</v>
      </c>
      <c r="E175" s="673" t="e">
        <f t="shared" si="32"/>
        <v>#VALUE!</v>
      </c>
    </row>
    <row r="176" spans="1:5">
      <c r="A176" s="671"/>
      <c r="B176" s="471">
        <f t="shared" si="33"/>
        <v>12</v>
      </c>
      <c r="C176" s="686" t="e">
        <f t="shared" si="31"/>
        <v>#VALUE!</v>
      </c>
      <c r="D176" s="471" t="e">
        <f>(D178-D165)/B163+D175</f>
        <v>#VALUE!</v>
      </c>
      <c r="E176" s="673" t="e">
        <f t="shared" si="32"/>
        <v>#VALUE!</v>
      </c>
    </row>
    <row r="177" spans="1:5">
      <c r="A177" s="671"/>
      <c r="B177" s="471">
        <f>B176+1</f>
        <v>13</v>
      </c>
      <c r="C177" s="686" t="e">
        <f t="shared" si="31"/>
        <v>#VALUE!</v>
      </c>
      <c r="D177" s="471" t="e">
        <f>(D178-D165)/B163+D176</f>
        <v>#VALUE!</v>
      </c>
      <c r="E177" s="673" t="e">
        <f t="shared" si="32"/>
        <v>#VALUE!</v>
      </c>
    </row>
    <row r="178" spans="1:5">
      <c r="A178" s="674"/>
      <c r="B178" s="11">
        <f>B177+1</f>
        <v>14</v>
      </c>
      <c r="C178" s="687">
        <v>1</v>
      </c>
      <c r="D178" s="11">
        <f>LN(C178)</f>
        <v>0</v>
      </c>
      <c r="E178" s="675" t="e">
        <f>(C178-C177)/C178</f>
        <v>#VALUE!</v>
      </c>
    </row>
    <row r="180" spans="1:5">
      <c r="A180" s="182" t="s">
        <v>767</v>
      </c>
      <c r="B180" s="666">
        <f>COUNT(B182:B196)-1</f>
        <v>14</v>
      </c>
      <c r="C180" s="666" t="s">
        <v>768</v>
      </c>
      <c r="D180" s="666" t="s">
        <v>769</v>
      </c>
      <c r="E180" s="667"/>
    </row>
    <row r="181" spans="1:5">
      <c r="A181" s="688">
        <f>COUNT(B182:B196)</f>
        <v>15</v>
      </c>
      <c r="B181" s="668" t="s">
        <v>770</v>
      </c>
      <c r="C181" s="3"/>
      <c r="D181" s="3"/>
      <c r="E181" s="669"/>
    </row>
    <row r="182" spans="1:5">
      <c r="A182" s="185"/>
      <c r="B182" s="3">
        <v>1</v>
      </c>
      <c r="C182" s="209" t="e">
        <f>ROUND(UAnem1percent,1)</f>
        <v>#VALUE!</v>
      </c>
      <c r="D182" s="471" t="e">
        <f>LN(C182)</f>
        <v>#VALUE!</v>
      </c>
      <c r="E182" s="670"/>
    </row>
    <row r="183" spans="1:5">
      <c r="A183" s="671"/>
      <c r="B183" s="471">
        <f>B182+1</f>
        <v>2</v>
      </c>
      <c r="C183" s="686" t="e">
        <f t="shared" ref="C183:C195" si="34">ROUND(EXP(D183),1)</f>
        <v>#VALUE!</v>
      </c>
      <c r="D183" s="471" t="e">
        <f>(D196-D182)/B180+D182</f>
        <v>#VALUE!</v>
      </c>
      <c r="E183" s="673" t="e">
        <f t="shared" ref="E183:E195" si="35">(C183-C182)/C183</f>
        <v>#VALUE!</v>
      </c>
    </row>
    <row r="184" spans="1:5">
      <c r="A184" s="671"/>
      <c r="B184" s="471">
        <f>B183+1</f>
        <v>3</v>
      </c>
      <c r="C184" s="686" t="e">
        <f t="shared" si="34"/>
        <v>#VALUE!</v>
      </c>
      <c r="D184" s="471" t="e">
        <f>(D196-D182)/B180+D183</f>
        <v>#VALUE!</v>
      </c>
      <c r="E184" s="673" t="e">
        <f t="shared" si="35"/>
        <v>#VALUE!</v>
      </c>
    </row>
    <row r="185" spans="1:5">
      <c r="A185" s="671"/>
      <c r="B185" s="471">
        <f>B184+1</f>
        <v>4</v>
      </c>
      <c r="C185" s="686" t="e">
        <f t="shared" si="34"/>
        <v>#VALUE!</v>
      </c>
      <c r="D185" s="471" t="e">
        <f>(D196-D182)/B180+D184</f>
        <v>#VALUE!</v>
      </c>
      <c r="E185" s="673" t="e">
        <f t="shared" si="35"/>
        <v>#VALUE!</v>
      </c>
    </row>
    <row r="186" spans="1:5">
      <c r="A186" s="671"/>
      <c r="B186" s="471">
        <f>B185+1</f>
        <v>5</v>
      </c>
      <c r="C186" s="686" t="e">
        <f t="shared" si="34"/>
        <v>#VALUE!</v>
      </c>
      <c r="D186" s="471" t="e">
        <f>(D196-D182)/B180+D185</f>
        <v>#VALUE!</v>
      </c>
      <c r="E186" s="673" t="e">
        <f t="shared" si="35"/>
        <v>#VALUE!</v>
      </c>
    </row>
    <row r="187" spans="1:5">
      <c r="A187" s="671"/>
      <c r="B187" s="471">
        <f t="shared" ref="B187:B194" si="36">B186+1</f>
        <v>6</v>
      </c>
      <c r="C187" s="686" t="e">
        <f t="shared" si="34"/>
        <v>#VALUE!</v>
      </c>
      <c r="D187" s="471" t="e">
        <f>(D196-D182)/B180+D186</f>
        <v>#VALUE!</v>
      </c>
      <c r="E187" s="673" t="e">
        <f t="shared" si="35"/>
        <v>#VALUE!</v>
      </c>
    </row>
    <row r="188" spans="1:5">
      <c r="A188" s="671"/>
      <c r="B188" s="471">
        <f t="shared" si="36"/>
        <v>7</v>
      </c>
      <c r="C188" s="686" t="e">
        <f t="shared" si="34"/>
        <v>#VALUE!</v>
      </c>
      <c r="D188" s="471" t="e">
        <f>(D196-D182)/B180+D187</f>
        <v>#VALUE!</v>
      </c>
      <c r="E188" s="673" t="e">
        <f t="shared" si="35"/>
        <v>#VALUE!</v>
      </c>
    </row>
    <row r="189" spans="1:5">
      <c r="A189" s="671"/>
      <c r="B189" s="471">
        <f t="shared" si="36"/>
        <v>8</v>
      </c>
      <c r="C189" s="686" t="e">
        <f t="shared" si="34"/>
        <v>#VALUE!</v>
      </c>
      <c r="D189" s="471" t="e">
        <f>(D196-D182)/B180+D188</f>
        <v>#VALUE!</v>
      </c>
      <c r="E189" s="673" t="e">
        <f t="shared" si="35"/>
        <v>#VALUE!</v>
      </c>
    </row>
    <row r="190" spans="1:5">
      <c r="A190" s="671"/>
      <c r="B190" s="471">
        <f t="shared" si="36"/>
        <v>9</v>
      </c>
      <c r="C190" s="686" t="e">
        <f t="shared" si="34"/>
        <v>#VALUE!</v>
      </c>
      <c r="D190" s="471" t="e">
        <f>(D196-D182)/B180+D189</f>
        <v>#VALUE!</v>
      </c>
      <c r="E190" s="673" t="e">
        <f t="shared" si="35"/>
        <v>#VALUE!</v>
      </c>
    </row>
    <row r="191" spans="1:5">
      <c r="A191" s="671"/>
      <c r="B191" s="471">
        <f t="shared" si="36"/>
        <v>10</v>
      </c>
      <c r="C191" s="686" t="e">
        <f t="shared" si="34"/>
        <v>#VALUE!</v>
      </c>
      <c r="D191" s="471" t="e">
        <f>(D196-D182)/B180+D190</f>
        <v>#VALUE!</v>
      </c>
      <c r="E191" s="673" t="e">
        <f t="shared" si="35"/>
        <v>#VALUE!</v>
      </c>
    </row>
    <row r="192" spans="1:5">
      <c r="A192" s="671"/>
      <c r="B192" s="471">
        <f t="shared" si="36"/>
        <v>11</v>
      </c>
      <c r="C192" s="686" t="e">
        <f t="shared" si="34"/>
        <v>#VALUE!</v>
      </c>
      <c r="D192" s="471" t="e">
        <f>(D196-D182)/B180+D191</f>
        <v>#VALUE!</v>
      </c>
      <c r="E192" s="673" t="e">
        <f t="shared" si="35"/>
        <v>#VALUE!</v>
      </c>
    </row>
    <row r="193" spans="1:5">
      <c r="A193" s="671"/>
      <c r="B193" s="471">
        <f t="shared" si="36"/>
        <v>12</v>
      </c>
      <c r="C193" s="686" t="e">
        <f t="shared" si="34"/>
        <v>#VALUE!</v>
      </c>
      <c r="D193" s="471" t="e">
        <f>(D196-D182)/B180+D192</f>
        <v>#VALUE!</v>
      </c>
      <c r="E193" s="673" t="e">
        <f t="shared" si="35"/>
        <v>#VALUE!</v>
      </c>
    </row>
    <row r="194" spans="1:5">
      <c r="A194" s="671"/>
      <c r="B194" s="471">
        <f t="shared" si="36"/>
        <v>13</v>
      </c>
      <c r="C194" s="686" t="e">
        <f t="shared" si="34"/>
        <v>#VALUE!</v>
      </c>
      <c r="D194" s="471" t="e">
        <f>(D196-D182)/B180+D193</f>
        <v>#VALUE!</v>
      </c>
      <c r="E194" s="673" t="e">
        <f t="shared" si="35"/>
        <v>#VALUE!</v>
      </c>
    </row>
    <row r="195" spans="1:5">
      <c r="A195" s="671"/>
      <c r="B195" s="471">
        <f>B194+1</f>
        <v>14</v>
      </c>
      <c r="C195" s="686" t="e">
        <f t="shared" si="34"/>
        <v>#VALUE!</v>
      </c>
      <c r="D195" s="471" t="e">
        <f>(D196-D182)/B180+D194</f>
        <v>#VALUE!</v>
      </c>
      <c r="E195" s="673" t="e">
        <f t="shared" si="35"/>
        <v>#VALUE!</v>
      </c>
    </row>
    <row r="196" spans="1:5">
      <c r="A196" s="674"/>
      <c r="B196" s="11">
        <f>B195+1</f>
        <v>15</v>
      </c>
      <c r="C196" s="687">
        <v>1</v>
      </c>
      <c r="D196" s="11">
        <f>LN(C196)</f>
        <v>0</v>
      </c>
      <c r="E196" s="675" t="e">
        <f>(C196-C195)/C196</f>
        <v>#VALUE!</v>
      </c>
    </row>
  </sheetData>
  <mergeCells count="5">
    <mergeCell ref="N41:V41"/>
    <mergeCell ref="N40:V40"/>
    <mergeCell ref="M6:W6"/>
    <mergeCell ref="M7:W7"/>
    <mergeCell ref="M8:W8"/>
  </mergeCells>
  <phoneticPr fontId="0" type="noConversion"/>
  <printOptions horizontalCentered="1"/>
  <pageMargins left="1.00000003973643E-2" right="1.00000003973643E-2" top="1.00000003973643E-2" bottom="9.9999997350904701E-2" header="1.00000003973643E-2" footer="1.00000003973643E-2"/>
  <pageSetup paperSize="163" scale="56" orientation="portrait" blackAndWhite="1" r:id="rId1"/>
  <headerFooter alignWithMargins="0"/>
  <colBreaks count="2" manualBreakCount="2">
    <brk id="3" min="5" max="71" man="1"/>
    <brk id="11" min="5" max="71"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0000FF"/>
    <pageSetUpPr fitToPage="1"/>
  </sheetPr>
  <dimension ref="A1:T69"/>
  <sheetViews>
    <sheetView view="pageBreakPreview" zoomScale="75" zoomScaleNormal="75" workbookViewId="0">
      <selection activeCell="C15" sqref="C15"/>
    </sheetView>
  </sheetViews>
  <sheetFormatPr defaultRowHeight="15.75"/>
  <cols>
    <col min="2" max="2" width="15.625" customWidth="1"/>
    <col min="3" max="3" width="25.625" customWidth="1"/>
    <col min="4" max="4" width="70.625" customWidth="1"/>
    <col min="5" max="5" width="11.125" bestFit="1" customWidth="1"/>
    <col min="13" max="13" width="1.625" customWidth="1"/>
    <col min="15" max="16" width="1.625" customWidth="1"/>
    <col min="18" max="18" width="1.625" customWidth="1"/>
  </cols>
  <sheetData>
    <row r="1" spans="1:20">
      <c r="A1" t="s">
        <v>416</v>
      </c>
    </row>
    <row r="2" spans="1:20">
      <c r="A2" t="s">
        <v>417</v>
      </c>
    </row>
    <row r="3" spans="1:20">
      <c r="A3" t="s">
        <v>431</v>
      </c>
    </row>
    <row r="4" spans="1:20">
      <c r="A4" t="s">
        <v>418</v>
      </c>
    </row>
    <row r="6" spans="1:20" ht="20.25">
      <c r="B6" s="120" t="str">
        <f>SourceProjectName1</f>
        <v>Project Name 1</v>
      </c>
    </row>
    <row r="7" spans="1:20" ht="20.25">
      <c r="B7" s="120" t="str">
        <f>SourceProjectName2</f>
        <v>Project Name 2</v>
      </c>
      <c r="H7" t="s">
        <v>311</v>
      </c>
      <c r="I7" s="16" t="str">
        <f>"* Vent program project information file:  "&amp;RIGHT(B8,5)&amp;"PROJ.INP"</f>
        <v>* Vent program project information file:  umberPROJ.INP</v>
      </c>
      <c r="T7" t="s">
        <v>255</v>
      </c>
    </row>
    <row r="8" spans="1:20" ht="20.25">
      <c r="B8" s="120" t="str">
        <f>SourceProjectNumber</f>
        <v>Project Number</v>
      </c>
      <c r="I8" t="s">
        <v>255</v>
      </c>
    </row>
    <row r="9" spans="1:20">
      <c r="I9" t="s">
        <v>255</v>
      </c>
    </row>
    <row r="10" spans="1:20" ht="20.25">
      <c r="B10" s="837" t="s">
        <v>662</v>
      </c>
      <c r="I10" t="s">
        <v>255</v>
      </c>
      <c r="J10" t="s">
        <v>419</v>
      </c>
      <c r="L10" t="s">
        <v>420</v>
      </c>
    </row>
    <row r="11" spans="1:20" ht="20.25">
      <c r="B11" s="837" t="s">
        <v>146</v>
      </c>
      <c r="D11" t="s">
        <v>629</v>
      </c>
      <c r="I11" t="s">
        <v>255</v>
      </c>
      <c r="J11" t="s">
        <v>397</v>
      </c>
      <c r="K11" t="s">
        <v>421</v>
      </c>
      <c r="L11" t="s">
        <v>422</v>
      </c>
    </row>
    <row r="12" spans="1:20">
      <c r="B12" s="142" t="s">
        <v>147</v>
      </c>
      <c r="C12" s="151" t="s">
        <v>147</v>
      </c>
      <c r="D12" s="73"/>
      <c r="E12" s="157" t="s">
        <v>176</v>
      </c>
      <c r="I12" t="s">
        <v>255</v>
      </c>
      <c r="J12" s="319"/>
      <c r="L12" t="s">
        <v>423</v>
      </c>
    </row>
    <row r="13" spans="1:20">
      <c r="B13" s="77" t="s">
        <v>120</v>
      </c>
      <c r="C13" s="152" t="s">
        <v>158</v>
      </c>
      <c r="D13" s="132" t="s">
        <v>148</v>
      </c>
      <c r="E13" s="157" t="s">
        <v>177</v>
      </c>
      <c r="J13" s="16" t="str">
        <f ca="1">RIGHT(YEAR(NOW()), 2)</f>
        <v>21</v>
      </c>
      <c r="K13" s="16" t="str">
        <f>RIGHT(B8,5)</f>
        <v>umber</v>
      </c>
      <c r="L13" s="16" t="str">
        <f>$H$7&amp;B7&amp;$H$7</f>
        <v>"Project Name 2"</v>
      </c>
    </row>
    <row r="14" spans="1:20">
      <c r="B14" s="142"/>
      <c r="C14" s="151"/>
      <c r="D14" s="418"/>
      <c r="E14" s="157"/>
      <c r="I14" t="s">
        <v>255</v>
      </c>
    </row>
    <row r="15" spans="1:20">
      <c r="B15" s="1186">
        <v>1</v>
      </c>
      <c r="C15" s="1187" t="s">
        <v>468</v>
      </c>
      <c r="D15" s="1188"/>
      <c r="E15" s="46" t="s">
        <v>136</v>
      </c>
      <c r="I15" t="s">
        <v>404</v>
      </c>
    </row>
    <row r="16" spans="1:20">
      <c r="B16" s="1189">
        <f>B15+1</f>
        <v>2</v>
      </c>
      <c r="C16" s="1187" t="s">
        <v>469</v>
      </c>
      <c r="D16" s="1188"/>
      <c r="E16" s="46" t="s">
        <v>136</v>
      </c>
      <c r="I16" t="s">
        <v>255</v>
      </c>
      <c r="N16" t="s">
        <v>424</v>
      </c>
      <c r="Q16" t="s">
        <v>405</v>
      </c>
    </row>
    <row r="17" spans="2:19">
      <c r="B17" s="1189">
        <f t="shared" ref="B17:B52" si="0">B16+1</f>
        <v>3</v>
      </c>
      <c r="C17" s="1187" t="s">
        <v>470</v>
      </c>
      <c r="D17" s="1188"/>
      <c r="E17" s="46" t="s">
        <v>136</v>
      </c>
      <c r="I17" t="s">
        <v>255</v>
      </c>
      <c r="L17" t="s">
        <v>120</v>
      </c>
      <c r="N17" t="str">
        <f>N16</f>
        <v xml:space="preserve">               </v>
      </c>
      <c r="Q17" t="s">
        <v>406</v>
      </c>
    </row>
    <row r="18" spans="2:19">
      <c r="B18" s="1189">
        <f t="shared" si="0"/>
        <v>4</v>
      </c>
      <c r="C18" s="1187" t="s">
        <v>471</v>
      </c>
      <c r="D18" s="1188"/>
      <c r="E18" s="46" t="s">
        <v>136</v>
      </c>
      <c r="I18" t="s">
        <v>255</v>
      </c>
      <c r="L18" t="s">
        <v>398</v>
      </c>
      <c r="N18" t="s">
        <v>425</v>
      </c>
      <c r="Q18" t="s">
        <v>407</v>
      </c>
    </row>
    <row r="19" spans="2:19">
      <c r="B19" s="1189">
        <f t="shared" si="0"/>
        <v>5</v>
      </c>
      <c r="C19" s="1187" t="s">
        <v>472</v>
      </c>
      <c r="D19" s="1188"/>
      <c r="E19" s="46" t="s">
        <v>136</v>
      </c>
      <c r="I19" t="s">
        <v>255</v>
      </c>
      <c r="J19" t="s">
        <v>818</v>
      </c>
      <c r="L19" t="s">
        <v>426</v>
      </c>
      <c r="N19" t="s">
        <v>427</v>
      </c>
      <c r="Q19" t="s">
        <v>408</v>
      </c>
      <c r="S19" t="s">
        <v>409</v>
      </c>
    </row>
    <row r="20" spans="2:19">
      <c r="B20" s="1189">
        <f t="shared" si="0"/>
        <v>6</v>
      </c>
      <c r="C20" s="1187" t="s">
        <v>473</v>
      </c>
      <c r="D20" s="1188"/>
      <c r="E20" s="46" t="s">
        <v>136</v>
      </c>
      <c r="I20" t="s">
        <v>428</v>
      </c>
      <c r="J20" s="319"/>
      <c r="L20" s="319" t="s">
        <v>429</v>
      </c>
      <c r="O20" s="319" t="s">
        <v>430</v>
      </c>
    </row>
    <row r="21" spans="2:19">
      <c r="B21" s="1189">
        <f t="shared" si="0"/>
        <v>7</v>
      </c>
      <c r="C21" s="1187" t="s">
        <v>474</v>
      </c>
      <c r="D21" s="1188"/>
      <c r="E21" s="46" t="s">
        <v>136</v>
      </c>
      <c r="H21" s="1" t="s">
        <v>381</v>
      </c>
      <c r="J21" s="42" t="str">
        <f>SF</f>
        <v>scale</v>
      </c>
      <c r="L21" s="46">
        <v>1</v>
      </c>
      <c r="N21" s="16" t="str">
        <f>$H$7&amp;$H$21&amp;REPT(" ",9-LEN($H$21))&amp;$H$7</f>
        <v>"Land     "</v>
      </c>
      <c r="Q21" s="320">
        <v>0</v>
      </c>
      <c r="S21" s="320">
        <v>359</v>
      </c>
    </row>
    <row r="22" spans="2:19">
      <c r="B22" s="1189">
        <f t="shared" si="0"/>
        <v>8</v>
      </c>
      <c r="C22" s="1187" t="s">
        <v>475</v>
      </c>
      <c r="D22" s="1188"/>
      <c r="E22" s="46" t="s">
        <v>136</v>
      </c>
      <c r="I22" t="s">
        <v>255</v>
      </c>
    </row>
    <row r="23" spans="2:19">
      <c r="B23" s="1189">
        <f t="shared" si="0"/>
        <v>9</v>
      </c>
      <c r="C23" s="1187" t="s">
        <v>476</v>
      </c>
      <c r="D23" s="1188"/>
      <c r="E23" s="46" t="s">
        <v>136</v>
      </c>
      <c r="I23" t="s">
        <v>410</v>
      </c>
    </row>
    <row r="24" spans="2:19">
      <c r="B24" s="1189">
        <f t="shared" si="0"/>
        <v>10</v>
      </c>
      <c r="C24" s="1187" t="s">
        <v>477</v>
      </c>
      <c r="D24" s="1188"/>
      <c r="E24" s="46" t="s">
        <v>136</v>
      </c>
      <c r="I24" t="s">
        <v>255</v>
      </c>
    </row>
    <row r="25" spans="2:19">
      <c r="B25" s="1189">
        <f t="shared" si="0"/>
        <v>11</v>
      </c>
      <c r="C25" s="1187" t="s">
        <v>478</v>
      </c>
      <c r="D25" s="1188"/>
      <c r="E25" s="46" t="s">
        <v>136</v>
      </c>
      <c r="I25" t="s">
        <v>255</v>
      </c>
      <c r="L25" t="s">
        <v>411</v>
      </c>
    </row>
    <row r="26" spans="2:19">
      <c r="B26" s="1189">
        <f t="shared" si="0"/>
        <v>12</v>
      </c>
      <c r="C26" s="1187" t="s">
        <v>479</v>
      </c>
      <c r="D26" s="1188"/>
      <c r="E26" s="46" t="s">
        <v>136</v>
      </c>
      <c r="I26" t="s">
        <v>255</v>
      </c>
      <c r="J26" t="s">
        <v>411</v>
      </c>
      <c r="L26" t="s">
        <v>412</v>
      </c>
    </row>
    <row r="27" spans="2:19">
      <c r="B27" s="1189">
        <f t="shared" si="0"/>
        <v>13</v>
      </c>
      <c r="C27" s="1187" t="s">
        <v>480</v>
      </c>
      <c r="D27" s="1188"/>
      <c r="E27" s="46" t="s">
        <v>136</v>
      </c>
      <c r="I27" t="s">
        <v>255</v>
      </c>
      <c r="J27" t="s">
        <v>412</v>
      </c>
      <c r="L27" t="s">
        <v>664</v>
      </c>
    </row>
    <row r="28" spans="2:19">
      <c r="B28" s="1189">
        <f t="shared" si="0"/>
        <v>14</v>
      </c>
      <c r="C28" s="1187" t="s">
        <v>481</v>
      </c>
      <c r="D28" s="1188"/>
      <c r="E28" s="46" t="s">
        <v>136</v>
      </c>
      <c r="I28" t="s">
        <v>255</v>
      </c>
      <c r="J28" t="s">
        <v>120</v>
      </c>
      <c r="L28" t="s">
        <v>413</v>
      </c>
    </row>
    <row r="29" spans="2:19">
      <c r="B29" s="1189">
        <f t="shared" si="0"/>
        <v>15</v>
      </c>
      <c r="C29" s="1187" t="s">
        <v>482</v>
      </c>
      <c r="D29" s="1188"/>
      <c r="E29" s="46" t="s">
        <v>136</v>
      </c>
      <c r="I29" t="s">
        <v>255</v>
      </c>
      <c r="J29" s="319" t="s">
        <v>403</v>
      </c>
      <c r="K29" t="s">
        <v>414</v>
      </c>
    </row>
    <row r="30" spans="2:19">
      <c r="B30" s="1189">
        <f t="shared" si="0"/>
        <v>16</v>
      </c>
      <c r="C30" s="1187" t="s">
        <v>483</v>
      </c>
      <c r="D30" s="1188"/>
      <c r="E30" s="46" t="s">
        <v>136</v>
      </c>
      <c r="J30" s="16">
        <f t="shared" ref="J30:J67" si="1">B15</f>
        <v>1</v>
      </c>
      <c r="L30" s="16" t="str">
        <f t="shared" ref="L30:L67" si="2">CONCATENATE($H$7,VLOOKUP(J30,$B$15:$C$152,2),REPT(" ",30-LEN(VLOOKUP(J30,$B$15:$C$152,2))),$H$7)</f>
        <v>"Receptor 1                    "</v>
      </c>
    </row>
    <row r="31" spans="2:19">
      <c r="B31" s="1189">
        <f t="shared" si="0"/>
        <v>17</v>
      </c>
      <c r="C31" s="1187" t="s">
        <v>484</v>
      </c>
      <c r="D31" s="1188"/>
      <c r="E31" s="46" t="s">
        <v>136</v>
      </c>
      <c r="J31" s="16">
        <f t="shared" si="1"/>
        <v>2</v>
      </c>
      <c r="L31" s="16" t="str">
        <f t="shared" si="2"/>
        <v>"Receptor 2                    "</v>
      </c>
    </row>
    <row r="32" spans="2:19">
      <c r="B32" s="1189">
        <f t="shared" si="0"/>
        <v>18</v>
      </c>
      <c r="C32" s="1187" t="s">
        <v>485</v>
      </c>
      <c r="D32" s="1188"/>
      <c r="E32" s="46" t="s">
        <v>136</v>
      </c>
      <c r="J32" s="16">
        <f t="shared" si="1"/>
        <v>3</v>
      </c>
      <c r="L32" s="16" t="str">
        <f t="shared" si="2"/>
        <v>"Receptor 3                    "</v>
      </c>
    </row>
    <row r="33" spans="2:12">
      <c r="B33" s="1189">
        <f t="shared" si="0"/>
        <v>19</v>
      </c>
      <c r="C33" s="1187" t="s">
        <v>486</v>
      </c>
      <c r="D33" s="1188"/>
      <c r="E33" s="46" t="s">
        <v>136</v>
      </c>
      <c r="J33" s="16">
        <f t="shared" si="1"/>
        <v>4</v>
      </c>
      <c r="L33" s="16" t="str">
        <f t="shared" si="2"/>
        <v>"Receptor 4                    "</v>
      </c>
    </row>
    <row r="34" spans="2:12">
      <c r="B34" s="1189">
        <f t="shared" si="0"/>
        <v>20</v>
      </c>
      <c r="C34" s="1187" t="s">
        <v>487</v>
      </c>
      <c r="D34" s="1188"/>
      <c r="E34" s="46" t="s">
        <v>136</v>
      </c>
      <c r="J34" s="16">
        <f t="shared" si="1"/>
        <v>5</v>
      </c>
      <c r="L34" s="16" t="str">
        <f t="shared" si="2"/>
        <v>"Receptor 5                    "</v>
      </c>
    </row>
    <row r="35" spans="2:12">
      <c r="B35" s="1189">
        <f t="shared" si="0"/>
        <v>21</v>
      </c>
      <c r="C35" s="1187" t="s">
        <v>488</v>
      </c>
      <c r="D35" s="1188"/>
      <c r="E35" s="46" t="s">
        <v>136</v>
      </c>
      <c r="J35" s="16">
        <f t="shared" si="1"/>
        <v>6</v>
      </c>
      <c r="L35" s="16" t="str">
        <f t="shared" si="2"/>
        <v>"Receptor 6                    "</v>
      </c>
    </row>
    <row r="36" spans="2:12">
      <c r="B36" s="1189">
        <f t="shared" si="0"/>
        <v>22</v>
      </c>
      <c r="C36" s="1187" t="s">
        <v>489</v>
      </c>
      <c r="D36" s="1188"/>
      <c r="E36" s="46" t="s">
        <v>136</v>
      </c>
      <c r="J36" s="16">
        <f t="shared" si="1"/>
        <v>7</v>
      </c>
      <c r="L36" s="16" t="str">
        <f t="shared" si="2"/>
        <v>"Receptor 7                    "</v>
      </c>
    </row>
    <row r="37" spans="2:12">
      <c r="B37" s="1189">
        <f t="shared" si="0"/>
        <v>23</v>
      </c>
      <c r="C37" s="1187" t="s">
        <v>490</v>
      </c>
      <c r="D37" s="1188"/>
      <c r="E37" s="46" t="s">
        <v>136</v>
      </c>
      <c r="J37" s="16">
        <f t="shared" si="1"/>
        <v>8</v>
      </c>
      <c r="L37" s="16" t="str">
        <f t="shared" si="2"/>
        <v>"Receptor 8                    "</v>
      </c>
    </row>
    <row r="38" spans="2:12">
      <c r="B38" s="1189">
        <f t="shared" si="0"/>
        <v>24</v>
      </c>
      <c r="C38" s="1187" t="s">
        <v>491</v>
      </c>
      <c r="D38" s="1188"/>
      <c r="E38" s="46" t="s">
        <v>136</v>
      </c>
      <c r="J38" s="16">
        <f t="shared" si="1"/>
        <v>9</v>
      </c>
      <c r="L38" s="16" t="str">
        <f t="shared" si="2"/>
        <v>"Receptor 9                    "</v>
      </c>
    </row>
    <row r="39" spans="2:12">
      <c r="B39" s="1189">
        <f t="shared" si="0"/>
        <v>25</v>
      </c>
      <c r="C39" s="1187" t="s">
        <v>492</v>
      </c>
      <c r="D39" s="1188"/>
      <c r="E39" s="46" t="s">
        <v>136</v>
      </c>
      <c r="J39" s="16">
        <f t="shared" si="1"/>
        <v>10</v>
      </c>
      <c r="L39" s="16" t="str">
        <f t="shared" si="2"/>
        <v>"Receptor 10                   "</v>
      </c>
    </row>
    <row r="40" spans="2:12">
      <c r="B40" s="1189">
        <f t="shared" si="0"/>
        <v>26</v>
      </c>
      <c r="C40" s="1187" t="s">
        <v>493</v>
      </c>
      <c r="D40" s="1188"/>
      <c r="E40" s="46" t="s">
        <v>136</v>
      </c>
      <c r="J40" s="16">
        <f t="shared" si="1"/>
        <v>11</v>
      </c>
      <c r="L40" s="16" t="str">
        <f t="shared" si="2"/>
        <v>"Receptor 11                   "</v>
      </c>
    </row>
    <row r="41" spans="2:12">
      <c r="B41" s="1189">
        <f t="shared" si="0"/>
        <v>27</v>
      </c>
      <c r="C41" s="1187" t="s">
        <v>494</v>
      </c>
      <c r="D41" s="1188"/>
      <c r="E41" s="46" t="s">
        <v>136</v>
      </c>
      <c r="J41" s="16">
        <f t="shared" si="1"/>
        <v>12</v>
      </c>
      <c r="L41" s="16" t="str">
        <f t="shared" si="2"/>
        <v>"Receptor 12                   "</v>
      </c>
    </row>
    <row r="42" spans="2:12">
      <c r="B42" s="1189">
        <f t="shared" si="0"/>
        <v>28</v>
      </c>
      <c r="C42" s="1187" t="s">
        <v>495</v>
      </c>
      <c r="D42" s="1188"/>
      <c r="E42" s="46" t="s">
        <v>136</v>
      </c>
      <c r="J42" s="16">
        <f t="shared" si="1"/>
        <v>13</v>
      </c>
      <c r="L42" s="16" t="str">
        <f t="shared" si="2"/>
        <v>"Receptor 13                   "</v>
      </c>
    </row>
    <row r="43" spans="2:12">
      <c r="B43" s="1189">
        <f>B42+1</f>
        <v>29</v>
      </c>
      <c r="C43" s="1187" t="s">
        <v>496</v>
      </c>
      <c r="D43" s="1188"/>
      <c r="E43" s="46" t="s">
        <v>136</v>
      </c>
      <c r="J43" s="16">
        <f t="shared" si="1"/>
        <v>14</v>
      </c>
      <c r="L43" s="16" t="str">
        <f t="shared" si="2"/>
        <v>"Receptor 14                   "</v>
      </c>
    </row>
    <row r="44" spans="2:12">
      <c r="B44" s="1189">
        <f t="shared" si="0"/>
        <v>30</v>
      </c>
      <c r="C44" s="1187" t="s">
        <v>497</v>
      </c>
      <c r="D44" s="1188"/>
      <c r="E44" s="46" t="s">
        <v>136</v>
      </c>
      <c r="J44" s="16">
        <f t="shared" si="1"/>
        <v>15</v>
      </c>
      <c r="L44" s="16" t="str">
        <f t="shared" si="2"/>
        <v>"Receptor 15                   "</v>
      </c>
    </row>
    <row r="45" spans="2:12">
      <c r="B45" s="1189">
        <f t="shared" si="0"/>
        <v>31</v>
      </c>
      <c r="C45" s="1187" t="s">
        <v>498</v>
      </c>
      <c r="D45" s="1188"/>
      <c r="E45" s="46" t="s">
        <v>136</v>
      </c>
      <c r="J45" s="16">
        <f t="shared" si="1"/>
        <v>16</v>
      </c>
      <c r="L45" s="16" t="str">
        <f t="shared" si="2"/>
        <v>"Receptor 16                   "</v>
      </c>
    </row>
    <row r="46" spans="2:12">
      <c r="B46" s="1189">
        <f t="shared" si="0"/>
        <v>32</v>
      </c>
      <c r="C46" s="1187" t="s">
        <v>499</v>
      </c>
      <c r="D46" s="1188"/>
      <c r="E46" s="46" t="s">
        <v>136</v>
      </c>
      <c r="J46" s="16">
        <f t="shared" si="1"/>
        <v>17</v>
      </c>
      <c r="L46" s="16" t="str">
        <f t="shared" si="2"/>
        <v>"Receptor 17                   "</v>
      </c>
    </row>
    <row r="47" spans="2:12">
      <c r="B47" s="1189">
        <f t="shared" si="0"/>
        <v>33</v>
      </c>
      <c r="C47" s="1187" t="s">
        <v>500</v>
      </c>
      <c r="D47" s="1188"/>
      <c r="E47" s="46" t="s">
        <v>136</v>
      </c>
      <c r="J47" s="16">
        <f t="shared" si="1"/>
        <v>18</v>
      </c>
      <c r="L47" s="16" t="str">
        <f t="shared" si="2"/>
        <v>"Receptor 18                   "</v>
      </c>
    </row>
    <row r="48" spans="2:12">
      <c r="B48" s="1189">
        <f t="shared" si="0"/>
        <v>34</v>
      </c>
      <c r="C48" s="1187" t="s">
        <v>501</v>
      </c>
      <c r="D48" s="1188"/>
      <c r="E48" s="46" t="s">
        <v>136</v>
      </c>
      <c r="J48" s="16">
        <f t="shared" si="1"/>
        <v>19</v>
      </c>
      <c r="L48" s="16" t="str">
        <f t="shared" si="2"/>
        <v>"Receptor 19                   "</v>
      </c>
    </row>
    <row r="49" spans="2:12">
      <c r="B49" s="1189">
        <f t="shared" si="0"/>
        <v>35</v>
      </c>
      <c r="C49" s="1187" t="s">
        <v>502</v>
      </c>
      <c r="D49" s="1188"/>
      <c r="E49" s="46" t="s">
        <v>136</v>
      </c>
      <c r="J49" s="16">
        <f t="shared" si="1"/>
        <v>20</v>
      </c>
      <c r="L49" s="16" t="str">
        <f t="shared" si="2"/>
        <v>"Receptor 20                   "</v>
      </c>
    </row>
    <row r="50" spans="2:12">
      <c r="B50" s="1189">
        <f t="shared" si="0"/>
        <v>36</v>
      </c>
      <c r="C50" s="1187" t="s">
        <v>503</v>
      </c>
      <c r="D50" s="1188"/>
      <c r="E50" s="46" t="s">
        <v>136</v>
      </c>
      <c r="J50" s="16">
        <f t="shared" si="1"/>
        <v>21</v>
      </c>
      <c r="L50" s="16" t="str">
        <f t="shared" si="2"/>
        <v>"Receptor 21                   "</v>
      </c>
    </row>
    <row r="51" spans="2:12">
      <c r="B51" s="1189">
        <f t="shared" si="0"/>
        <v>37</v>
      </c>
      <c r="C51" s="1187" t="s">
        <v>504</v>
      </c>
      <c r="D51" s="1188"/>
      <c r="E51" s="46" t="s">
        <v>136</v>
      </c>
      <c r="J51" s="16">
        <f t="shared" si="1"/>
        <v>22</v>
      </c>
      <c r="L51" s="16" t="str">
        <f t="shared" si="2"/>
        <v>"Receptor 22                   "</v>
      </c>
    </row>
    <row r="52" spans="2:12">
      <c r="B52" s="1190">
        <f t="shared" si="0"/>
        <v>38</v>
      </c>
      <c r="C52" s="1191" t="s">
        <v>505</v>
      </c>
      <c r="D52" s="1192"/>
      <c r="E52" s="46" t="s">
        <v>136</v>
      </c>
      <c r="J52" s="16">
        <f t="shared" si="1"/>
        <v>23</v>
      </c>
      <c r="L52" s="16" t="str">
        <f t="shared" si="2"/>
        <v>"Receptor 23                   "</v>
      </c>
    </row>
    <row r="53" spans="2:12">
      <c r="J53" s="16">
        <f t="shared" si="1"/>
        <v>24</v>
      </c>
      <c r="L53" s="16" t="str">
        <f t="shared" si="2"/>
        <v>"Receptor 24                   "</v>
      </c>
    </row>
    <row r="54" spans="2:12">
      <c r="B54" s="5" t="s">
        <v>336</v>
      </c>
      <c r="C54" t="s">
        <v>149</v>
      </c>
      <c r="E54" s="5" t="s">
        <v>156</v>
      </c>
      <c r="J54" s="16">
        <f t="shared" si="1"/>
        <v>25</v>
      </c>
      <c r="L54" s="16" t="str">
        <f t="shared" si="2"/>
        <v>"Receptor 25                   "</v>
      </c>
    </row>
    <row r="55" spans="2:12">
      <c r="B55" s="5" t="s">
        <v>337</v>
      </c>
      <c r="C55" t="s">
        <v>152</v>
      </c>
      <c r="E55" s="5" t="s">
        <v>156</v>
      </c>
      <c r="J55" s="16">
        <f t="shared" si="1"/>
        <v>26</v>
      </c>
      <c r="L55" s="16" t="str">
        <f t="shared" si="2"/>
        <v>"Receptor 26                   "</v>
      </c>
    </row>
    <row r="56" spans="2:12">
      <c r="B56" s="5" t="s">
        <v>338</v>
      </c>
      <c r="C56" t="s">
        <v>153</v>
      </c>
      <c r="E56" s="5" t="s">
        <v>156</v>
      </c>
      <c r="J56" s="16">
        <f t="shared" si="1"/>
        <v>27</v>
      </c>
      <c r="L56" s="16" t="str">
        <f t="shared" si="2"/>
        <v>"Receptor 27                   "</v>
      </c>
    </row>
    <row r="57" spans="2:12">
      <c r="B57" s="5" t="s">
        <v>339</v>
      </c>
      <c r="C57" t="s">
        <v>154</v>
      </c>
      <c r="E57" s="5" t="s">
        <v>156</v>
      </c>
      <c r="J57" s="16">
        <f t="shared" si="1"/>
        <v>28</v>
      </c>
      <c r="L57" s="16" t="str">
        <f t="shared" si="2"/>
        <v>"Receptor 28                   "</v>
      </c>
    </row>
    <row r="58" spans="2:12">
      <c r="B58" s="5" t="s">
        <v>340</v>
      </c>
      <c r="C58" t="s">
        <v>155</v>
      </c>
      <c r="E58" s="5" t="s">
        <v>156</v>
      </c>
      <c r="J58" s="16">
        <f t="shared" si="1"/>
        <v>29</v>
      </c>
      <c r="L58" s="16" t="str">
        <f t="shared" si="2"/>
        <v>"Receptor 29                   "</v>
      </c>
    </row>
    <row r="59" spans="2:12">
      <c r="B59" s="5" t="s">
        <v>156</v>
      </c>
      <c r="C59" t="s">
        <v>157</v>
      </c>
      <c r="E59" s="5" t="s">
        <v>156</v>
      </c>
      <c r="J59" s="16">
        <f t="shared" si="1"/>
        <v>30</v>
      </c>
      <c r="L59" s="16" t="str">
        <f t="shared" si="2"/>
        <v>"Receptor 30                   "</v>
      </c>
    </row>
    <row r="60" spans="2:12">
      <c r="J60" s="16">
        <f t="shared" si="1"/>
        <v>31</v>
      </c>
      <c r="L60" s="16" t="str">
        <f t="shared" si="2"/>
        <v>"Receptor 31                   "</v>
      </c>
    </row>
    <row r="61" spans="2:12">
      <c r="J61" s="16">
        <f t="shared" si="1"/>
        <v>32</v>
      </c>
      <c r="L61" s="16" t="str">
        <f t="shared" si="2"/>
        <v>"Receptor 32                   "</v>
      </c>
    </row>
    <row r="62" spans="2:12">
      <c r="J62" s="16">
        <f t="shared" si="1"/>
        <v>33</v>
      </c>
      <c r="L62" s="16" t="str">
        <f t="shared" si="2"/>
        <v>"Receptor 33                   "</v>
      </c>
    </row>
    <row r="63" spans="2:12">
      <c r="J63" s="16">
        <f t="shared" si="1"/>
        <v>34</v>
      </c>
      <c r="L63" s="16" t="str">
        <f t="shared" si="2"/>
        <v>"Receptor 34                   "</v>
      </c>
    </row>
    <row r="64" spans="2:12">
      <c r="J64" s="16">
        <f t="shared" si="1"/>
        <v>35</v>
      </c>
      <c r="L64" s="16" t="str">
        <f t="shared" si="2"/>
        <v>"Receptor 35                   "</v>
      </c>
    </row>
    <row r="65" spans="9:12">
      <c r="J65" s="16">
        <f t="shared" si="1"/>
        <v>36</v>
      </c>
      <c r="L65" s="16" t="str">
        <f t="shared" si="2"/>
        <v>"Receptor 36                   "</v>
      </c>
    </row>
    <row r="66" spans="9:12">
      <c r="J66" s="16">
        <f t="shared" si="1"/>
        <v>37</v>
      </c>
      <c r="L66" s="16" t="str">
        <f t="shared" si="2"/>
        <v>"Receptor 37                   "</v>
      </c>
    </row>
    <row r="67" spans="9:12">
      <c r="J67" s="16">
        <f t="shared" si="1"/>
        <v>38</v>
      </c>
      <c r="L67" s="16" t="str">
        <f t="shared" si="2"/>
        <v>"Receptor 38                   "</v>
      </c>
    </row>
    <row r="68" spans="9:12">
      <c r="J68" s="321" t="s">
        <v>415</v>
      </c>
    </row>
    <row r="69" spans="9:12">
      <c r="I69" t="s">
        <v>255</v>
      </c>
    </row>
  </sheetData>
  <phoneticPr fontId="0" type="noConversion"/>
  <printOptions horizontalCentered="1"/>
  <pageMargins left="1.00000003973643E-2" right="1.00000003973643E-2" top="1.00000003973643E-2" bottom="9.9999997350904701E-2" header="1.00000003973643E-2" footer="1.00000003973643E-2"/>
  <pageSetup paperSize="163" fitToHeight="0" orientation="portrait" useFirstPageNumber="1" r:id="rId1"/>
  <headerFooter scaleWithDoc="0" alignWithMargins="0">
    <oddFooter>&amp;C&amp;9Page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pageSetUpPr fitToPage="1"/>
  </sheetPr>
  <dimension ref="B1:AN94"/>
  <sheetViews>
    <sheetView view="pageBreakPreview" topLeftCell="A15" zoomScale="70" zoomScaleNormal="75" zoomScaleSheetLayoutView="70" workbookViewId="0">
      <selection activeCell="C47" sqref="C47"/>
    </sheetView>
  </sheetViews>
  <sheetFormatPr defaultRowHeight="15.75"/>
  <cols>
    <col min="2" max="2" width="26.25" customWidth="1"/>
    <col min="3" max="4" width="9.125" customWidth="1"/>
    <col min="5" max="5" width="10.5" customWidth="1"/>
    <col min="6" max="7" width="26.625" customWidth="1"/>
    <col min="8" max="9" width="20.625" customWidth="1"/>
    <col min="10" max="12" width="26.625" customWidth="1"/>
    <col min="13" max="15" width="20" style="1632" customWidth="1"/>
    <col min="16" max="21" width="20.625" customWidth="1"/>
    <col min="22" max="23" width="18.875" customWidth="1"/>
    <col min="24" max="25" width="29" customWidth="1"/>
    <col min="27" max="32" width="9" customWidth="1"/>
    <col min="36" max="36" width="10.625" bestFit="1" customWidth="1"/>
    <col min="37" max="37" width="13.625" bestFit="1" customWidth="1"/>
  </cols>
  <sheetData>
    <row r="1" spans="2:40" ht="20.25">
      <c r="B1" s="120" t="str">
        <f>SourceProjectName1</f>
        <v>Project Name 1</v>
      </c>
      <c r="AG1" s="1700" t="s">
        <v>598</v>
      </c>
      <c r="AH1" s="1700"/>
      <c r="AI1" s="1700"/>
      <c r="AJ1" s="1700"/>
      <c r="AK1" s="1700"/>
      <c r="AL1" s="1700"/>
      <c r="AM1" s="1700"/>
      <c r="AN1" s="1700"/>
    </row>
    <row r="2" spans="2:40" ht="20.25">
      <c r="B2" s="120" t="str">
        <f>SourceProjectName2</f>
        <v>Project Name 2</v>
      </c>
      <c r="AG2" s="1724" t="s">
        <v>599</v>
      </c>
      <c r="AH2" s="1725"/>
      <c r="AI2" s="73"/>
      <c r="AJ2" s="73"/>
      <c r="AK2" s="31"/>
      <c r="AL2" s="31"/>
      <c r="AM2" s="31"/>
      <c r="AN2" s="51"/>
    </row>
    <row r="3" spans="2:40" ht="20.25">
      <c r="B3" s="120" t="str">
        <f>SourceProjectNumber</f>
        <v>Project Number</v>
      </c>
      <c r="AG3" s="1710" t="s">
        <v>600</v>
      </c>
      <c r="AH3" s="1701"/>
      <c r="AI3" s="90"/>
      <c r="AJ3" s="90"/>
      <c r="AK3" s="1700" t="s">
        <v>608</v>
      </c>
      <c r="AL3" s="1700"/>
      <c r="AM3" s="1700"/>
      <c r="AN3" s="1701"/>
    </row>
    <row r="4" spans="2:40">
      <c r="F4" s="5" t="s">
        <v>17</v>
      </c>
      <c r="G4" s="5" t="s">
        <v>9</v>
      </c>
      <c r="AG4" s="410" t="s">
        <v>225</v>
      </c>
      <c r="AH4" s="410" t="s">
        <v>226</v>
      </c>
      <c r="AI4" s="410" t="s">
        <v>601</v>
      </c>
      <c r="AJ4" s="410" t="s">
        <v>602</v>
      </c>
      <c r="AK4" s="19" t="s">
        <v>605</v>
      </c>
      <c r="AL4" s="410" t="s">
        <v>603</v>
      </c>
      <c r="AM4" s="410" t="s">
        <v>606</v>
      </c>
      <c r="AN4" s="410" t="s">
        <v>607</v>
      </c>
    </row>
    <row r="5" spans="2:40" ht="20.25">
      <c r="B5" s="837" t="s">
        <v>151</v>
      </c>
      <c r="AG5" s="411"/>
      <c r="AH5" s="411"/>
      <c r="AI5" s="411"/>
      <c r="AJ5" s="411"/>
      <c r="AK5" s="50" t="s">
        <v>604</v>
      </c>
      <c r="AL5" s="411"/>
      <c r="AM5" s="411"/>
      <c r="AN5" s="411"/>
    </row>
    <row r="6" spans="2:40" ht="18.75">
      <c r="B6" s="839" t="s">
        <v>189</v>
      </c>
      <c r="AG6" s="412">
        <v>0</v>
      </c>
      <c r="AH6" s="412">
        <v>8</v>
      </c>
      <c r="AI6" s="412">
        <v>1</v>
      </c>
      <c r="AJ6" s="412">
        <v>2000</v>
      </c>
      <c r="AK6" s="67">
        <v>10.5</v>
      </c>
      <c r="AL6" s="67" t="e">
        <f>NA()</f>
        <v>#N/A</v>
      </c>
      <c r="AM6" s="67">
        <v>8</v>
      </c>
      <c r="AN6" s="407">
        <v>1</v>
      </c>
    </row>
    <row r="7" spans="2:40" ht="18.75">
      <c r="B7" s="839" t="s">
        <v>215</v>
      </c>
      <c r="AG7" s="412"/>
      <c r="AH7" s="412"/>
      <c r="AI7" s="412">
        <v>2</v>
      </c>
      <c r="AJ7" s="412">
        <v>2005</v>
      </c>
      <c r="AK7" s="67">
        <v>7.5</v>
      </c>
      <c r="AL7" s="67" t="e">
        <f>NA()</f>
        <v>#N/A</v>
      </c>
      <c r="AM7" s="67">
        <v>8</v>
      </c>
      <c r="AN7" s="407">
        <v>0.8</v>
      </c>
    </row>
    <row r="8" spans="2:40">
      <c r="AG8" s="412">
        <v>8</v>
      </c>
      <c r="AH8" s="412">
        <v>19</v>
      </c>
      <c r="AI8" s="412">
        <v>1</v>
      </c>
      <c r="AJ8" s="412">
        <v>2000</v>
      </c>
      <c r="AK8" s="67">
        <v>9.5</v>
      </c>
      <c r="AL8" s="67" t="e">
        <f>NA()</f>
        <v>#N/A</v>
      </c>
      <c r="AM8" s="67">
        <v>6.6</v>
      </c>
      <c r="AN8" s="407">
        <v>0.8</v>
      </c>
    </row>
    <row r="9" spans="2:40">
      <c r="B9" s="1173" t="s">
        <v>197</v>
      </c>
      <c r="C9" s="1174"/>
      <c r="D9" s="1174"/>
      <c r="E9" s="1175"/>
      <c r="AG9" s="90"/>
      <c r="AH9" s="90"/>
      <c r="AI9" s="412">
        <v>2</v>
      </c>
      <c r="AJ9" s="412">
        <v>2005</v>
      </c>
      <c r="AK9" s="67">
        <v>7.5</v>
      </c>
      <c r="AL9" s="67" t="e">
        <f>NA()</f>
        <v>#N/A</v>
      </c>
      <c r="AM9" s="67">
        <v>6.6</v>
      </c>
      <c r="AN9" s="407">
        <v>0.8</v>
      </c>
    </row>
    <row r="10" spans="2:40" ht="18.75">
      <c r="B10" s="1161"/>
      <c r="C10" s="1726" t="s">
        <v>5</v>
      </c>
      <c r="D10" s="1727"/>
      <c r="E10" s="13" t="s">
        <v>172</v>
      </c>
      <c r="F10" s="1160"/>
      <c r="AG10" s="412">
        <v>19</v>
      </c>
      <c r="AH10" s="412">
        <v>37</v>
      </c>
      <c r="AI10" s="412">
        <v>1</v>
      </c>
      <c r="AJ10" s="412">
        <v>1999</v>
      </c>
      <c r="AK10" s="67">
        <v>9.5</v>
      </c>
      <c r="AL10" s="67" t="e">
        <f>NA()</f>
        <v>#N/A</v>
      </c>
      <c r="AM10" s="67">
        <v>5.5</v>
      </c>
      <c r="AN10" s="407">
        <v>0.8</v>
      </c>
    </row>
    <row r="11" spans="2:40">
      <c r="B11" s="52"/>
      <c r="C11" s="77" t="s">
        <v>1</v>
      </c>
      <c r="D11" s="145" t="s">
        <v>0</v>
      </c>
      <c r="E11" s="14" t="s">
        <v>2</v>
      </c>
      <c r="F11" s="1160"/>
      <c r="AG11" s="412"/>
      <c r="AH11" s="412"/>
      <c r="AI11" s="412">
        <v>2</v>
      </c>
      <c r="AJ11" s="412">
        <v>2004</v>
      </c>
      <c r="AK11" s="67">
        <v>7.5</v>
      </c>
      <c r="AL11" s="67" t="e">
        <f>NA()</f>
        <v>#N/A</v>
      </c>
      <c r="AM11" s="67">
        <v>5.5</v>
      </c>
      <c r="AN11" s="407">
        <v>0.6</v>
      </c>
    </row>
    <row r="12" spans="2:40">
      <c r="B12" s="1288" t="s">
        <v>327</v>
      </c>
      <c r="C12" s="1162"/>
      <c r="D12" s="1162"/>
      <c r="E12" s="1177">
        <v>2000</v>
      </c>
      <c r="F12" s="1160"/>
      <c r="AG12" s="412">
        <v>37</v>
      </c>
      <c r="AH12" s="412">
        <v>75</v>
      </c>
      <c r="AI12" s="412">
        <v>1</v>
      </c>
      <c r="AJ12" s="412">
        <v>1998</v>
      </c>
      <c r="AK12" s="67">
        <v>9.1999999999999993</v>
      </c>
      <c r="AL12" s="67" t="e">
        <f>NA()</f>
        <v>#N/A</v>
      </c>
      <c r="AM12" s="67" t="e">
        <f>NA()</f>
        <v>#N/A</v>
      </c>
      <c r="AN12" s="407" t="e">
        <f>NA()</f>
        <v>#N/A</v>
      </c>
    </row>
    <row r="13" spans="2:40">
      <c r="B13" s="1288" t="s">
        <v>328</v>
      </c>
      <c r="C13" s="1162"/>
      <c r="D13" s="1162"/>
      <c r="E13" s="1177">
        <v>500</v>
      </c>
      <c r="F13" s="1160"/>
      <c r="AG13" s="412"/>
      <c r="AH13" s="412"/>
      <c r="AI13" s="412"/>
      <c r="AJ13" s="412"/>
      <c r="AK13" s="67"/>
      <c r="AL13" s="67"/>
      <c r="AM13" s="67"/>
      <c r="AN13" s="407"/>
    </row>
    <row r="14" spans="2:40" ht="18.75">
      <c r="B14" s="1164" t="s">
        <v>6</v>
      </c>
      <c r="C14" s="1165"/>
      <c r="D14" s="1176">
        <v>229000</v>
      </c>
      <c r="E14" s="1163" t="e">
        <f>NA()</f>
        <v>#N/A</v>
      </c>
      <c r="F14" s="1160"/>
      <c r="AG14" s="412"/>
      <c r="AH14" s="412"/>
      <c r="AI14" s="412">
        <v>2</v>
      </c>
      <c r="AJ14" s="412">
        <v>2004</v>
      </c>
      <c r="AK14" s="67">
        <v>7.5</v>
      </c>
      <c r="AL14" s="67" t="e">
        <f>NA()</f>
        <v>#N/A</v>
      </c>
      <c r="AM14" s="67">
        <v>5</v>
      </c>
      <c r="AN14" s="407">
        <v>0.4</v>
      </c>
    </row>
    <row r="15" spans="2:40" ht="18.75">
      <c r="B15" s="1164" t="s">
        <v>7</v>
      </c>
      <c r="C15" s="1176">
        <v>30000</v>
      </c>
      <c r="D15" s="1162">
        <f>C15*3</f>
        <v>90000</v>
      </c>
      <c r="E15" s="1177">
        <v>657</v>
      </c>
      <c r="F15" s="1160"/>
      <c r="AG15" s="412"/>
      <c r="AH15" s="412"/>
      <c r="AI15" s="412">
        <v>3</v>
      </c>
      <c r="AJ15" s="412">
        <v>2008</v>
      </c>
      <c r="AK15" s="67">
        <v>4.7</v>
      </c>
      <c r="AL15" s="67" t="e">
        <f>NA()</f>
        <v>#N/A</v>
      </c>
      <c r="AM15" s="67">
        <v>5</v>
      </c>
      <c r="AN15" s="407">
        <v>0.4</v>
      </c>
    </row>
    <row r="16" spans="2:40" ht="18.75" customHeight="1">
      <c r="B16" s="1164" t="s">
        <v>1212</v>
      </c>
      <c r="C16" s="1165"/>
      <c r="D16" s="1176">
        <v>1800</v>
      </c>
      <c r="E16" s="1177">
        <v>4472</v>
      </c>
      <c r="F16" s="1160"/>
      <c r="AG16" s="412">
        <v>75</v>
      </c>
      <c r="AH16" s="412">
        <v>130</v>
      </c>
      <c r="AI16" s="412">
        <v>1</v>
      </c>
      <c r="AJ16" s="412">
        <v>1997</v>
      </c>
      <c r="AK16" s="67">
        <v>9.1999999999999993</v>
      </c>
      <c r="AL16" s="67" t="e">
        <f>NA()</f>
        <v>#N/A</v>
      </c>
      <c r="AM16" s="67" t="e">
        <f>NA()</f>
        <v>#N/A</v>
      </c>
      <c r="AN16" s="407" t="e">
        <f>NA()</f>
        <v>#N/A</v>
      </c>
    </row>
    <row r="17" spans="2:40" ht="18.75" customHeight="1">
      <c r="B17" s="1164" t="s">
        <v>1664</v>
      </c>
      <c r="C17" s="1176">
        <v>380</v>
      </c>
      <c r="D17" s="1617">
        <f>C17*3</f>
        <v>1140</v>
      </c>
      <c r="E17" s="1177">
        <v>4472</v>
      </c>
      <c r="F17" s="1160"/>
      <c r="AG17" s="412">
        <v>75</v>
      </c>
      <c r="AH17" s="412">
        <v>130</v>
      </c>
      <c r="AI17" s="412">
        <v>1</v>
      </c>
      <c r="AJ17" s="412">
        <v>1997</v>
      </c>
      <c r="AK17" s="67">
        <v>9.1999999999999993</v>
      </c>
      <c r="AL17" s="67" t="e">
        <f>NA()</f>
        <v>#N/A</v>
      </c>
      <c r="AM17" s="67" t="e">
        <f>NA()</f>
        <v>#N/A</v>
      </c>
      <c r="AN17" s="407" t="e">
        <f>NA()</f>
        <v>#N/A</v>
      </c>
    </row>
    <row r="18" spans="2:40" ht="20.25">
      <c r="B18" s="1164" t="s">
        <v>1213</v>
      </c>
      <c r="C18" s="1165"/>
      <c r="D18" s="1176">
        <v>9000</v>
      </c>
      <c r="E18" s="1177">
        <v>4472</v>
      </c>
      <c r="F18" s="1160"/>
      <c r="AG18" s="412"/>
      <c r="AH18" s="412"/>
      <c r="AI18" s="412">
        <v>2</v>
      </c>
      <c r="AJ18" s="412">
        <v>2003</v>
      </c>
      <c r="AK18" s="67">
        <v>6.6</v>
      </c>
      <c r="AL18" s="67" t="e">
        <f>NA()</f>
        <v>#N/A</v>
      </c>
      <c r="AM18" s="67">
        <v>5</v>
      </c>
      <c r="AN18" s="407">
        <v>0.3</v>
      </c>
    </row>
    <row r="19" spans="2:40" ht="20.25">
      <c r="B19" s="1164" t="s">
        <v>1451</v>
      </c>
      <c r="C19" s="1176">
        <v>1800</v>
      </c>
      <c r="D19" s="1162">
        <f>C19*3</f>
        <v>5400</v>
      </c>
      <c r="E19" s="1177">
        <v>4472</v>
      </c>
      <c r="F19" s="1160"/>
      <c r="AG19" s="412"/>
      <c r="AH19" s="412"/>
      <c r="AI19" s="412"/>
      <c r="AJ19" s="412"/>
      <c r="AK19" s="67"/>
      <c r="AL19" s="67"/>
      <c r="AM19" s="67"/>
      <c r="AN19" s="407"/>
    </row>
    <row r="20" spans="2:40" ht="20.25">
      <c r="B20" s="1164" t="s">
        <v>1450</v>
      </c>
      <c r="C20" s="1165"/>
      <c r="D20" s="1176">
        <v>188</v>
      </c>
      <c r="E20" s="1177">
        <v>4472</v>
      </c>
      <c r="F20" s="1160"/>
      <c r="AG20" s="412"/>
      <c r="AH20" s="412"/>
      <c r="AI20" s="412"/>
      <c r="AJ20" s="412"/>
      <c r="AK20" s="67"/>
      <c r="AL20" s="67"/>
      <c r="AM20" s="67"/>
      <c r="AN20" s="407"/>
    </row>
    <row r="21" spans="2:40" ht="20.25">
      <c r="B21" s="1164" t="s">
        <v>1214</v>
      </c>
      <c r="C21" s="1165"/>
      <c r="D21" s="1176">
        <v>13000</v>
      </c>
      <c r="E21" s="1177">
        <v>3832</v>
      </c>
      <c r="F21" s="1160"/>
      <c r="AG21" s="412"/>
      <c r="AH21" s="412"/>
      <c r="AI21" s="412">
        <v>3</v>
      </c>
      <c r="AJ21" s="412">
        <v>2007</v>
      </c>
      <c r="AK21" s="67">
        <v>4</v>
      </c>
      <c r="AL21" s="67" t="e">
        <f>NA()</f>
        <v>#N/A</v>
      </c>
      <c r="AM21" s="67">
        <v>5</v>
      </c>
      <c r="AN21" s="407">
        <v>0.3</v>
      </c>
    </row>
    <row r="22" spans="2:40" ht="20.25">
      <c r="B22" s="1164" t="s">
        <v>1452</v>
      </c>
      <c r="C22" s="1165"/>
      <c r="D22" s="1176">
        <v>196</v>
      </c>
      <c r="E22" s="1177">
        <v>3832</v>
      </c>
      <c r="F22" s="1160"/>
      <c r="AG22" s="412"/>
      <c r="AH22" s="412"/>
      <c r="AI22" s="412"/>
      <c r="AJ22" s="412"/>
      <c r="AK22" s="67"/>
      <c r="AL22" s="67"/>
      <c r="AM22" s="67"/>
      <c r="AN22" s="407"/>
    </row>
    <row r="23" spans="2:40" ht="20.25">
      <c r="B23" s="1164" t="s">
        <v>1215</v>
      </c>
      <c r="C23" s="1176">
        <v>15000</v>
      </c>
      <c r="D23" s="1162">
        <f>C23*3</f>
        <v>45000</v>
      </c>
      <c r="E23" s="1163" t="e">
        <f>NA()</f>
        <v>#N/A</v>
      </c>
      <c r="F23" s="1160"/>
      <c r="AG23" s="412"/>
      <c r="AH23" s="412"/>
      <c r="AI23" s="412"/>
      <c r="AJ23" s="412"/>
      <c r="AK23" s="67"/>
      <c r="AL23" s="67"/>
      <c r="AM23" s="67"/>
      <c r="AN23" s="407"/>
    </row>
    <row r="24" spans="2:40" ht="20.25">
      <c r="B24" s="1164" t="s">
        <v>1216</v>
      </c>
      <c r="C24" s="1176">
        <v>5000</v>
      </c>
      <c r="D24" s="1162">
        <f>C24*3</f>
        <v>15000</v>
      </c>
      <c r="E24" s="1163" t="e">
        <f>NA()</f>
        <v>#N/A</v>
      </c>
      <c r="F24" s="1168"/>
      <c r="G24" s="5"/>
      <c r="AG24" s="412">
        <v>130</v>
      </c>
      <c r="AH24" s="412">
        <v>225</v>
      </c>
      <c r="AI24" s="412">
        <v>1</v>
      </c>
      <c r="AJ24" s="412">
        <v>1996</v>
      </c>
      <c r="AK24" s="67">
        <v>9.1999999999999993</v>
      </c>
      <c r="AL24" s="67">
        <v>1.3</v>
      </c>
      <c r="AM24" s="67">
        <v>11.4</v>
      </c>
      <c r="AN24" s="407">
        <v>0.54</v>
      </c>
    </row>
    <row r="25" spans="2:40" ht="20.25">
      <c r="B25" s="1164" t="s">
        <v>1453</v>
      </c>
      <c r="C25" s="1176"/>
      <c r="D25" s="1289">
        <f>150*(204/1)^0.2</f>
        <v>434.52752564720925</v>
      </c>
      <c r="E25" s="1287" t="e">
        <f>NA()</f>
        <v>#N/A</v>
      </c>
      <c r="F25" s="1168"/>
      <c r="G25" s="5"/>
      <c r="AG25" s="412"/>
      <c r="AH25" s="412"/>
      <c r="AI25" s="412"/>
      <c r="AJ25" s="412"/>
      <c r="AK25" s="67"/>
      <c r="AL25" s="67"/>
      <c r="AM25" s="67"/>
      <c r="AN25" s="407"/>
    </row>
    <row r="26" spans="2:40" ht="20.25">
      <c r="B26" s="1166" t="s">
        <v>1454</v>
      </c>
      <c r="C26" s="1178"/>
      <c r="D26" s="1290">
        <f>35*(204/1)^0.2</f>
        <v>101.38975598434882</v>
      </c>
      <c r="E26" s="1167" t="e">
        <f>NA()</f>
        <v>#N/A</v>
      </c>
      <c r="F26" s="1168"/>
      <c r="G26" s="5"/>
      <c r="AG26" s="412"/>
      <c r="AH26" s="412"/>
      <c r="AI26" s="412"/>
      <c r="AJ26" s="412"/>
      <c r="AK26" s="67"/>
      <c r="AL26" s="67"/>
      <c r="AM26" s="67"/>
      <c r="AN26" s="407"/>
    </row>
    <row r="27" spans="2:40" ht="31.5">
      <c r="F27" s="1636" t="str">
        <f>F39&amp;"kW Diesel Generator"</f>
        <v>550kW Diesel Generator</v>
      </c>
      <c r="G27" s="1636" t="str">
        <f>G39&amp;"kW Diesel Generator"</f>
        <v>1250kW Diesel Generator</v>
      </c>
      <c r="H27" s="1728" t="str">
        <f>H39&amp;"kW Diesel Generator"</f>
        <v>2000kW Diesel Generator</v>
      </c>
      <c r="I27" s="1729"/>
      <c r="J27" s="1637" t="s">
        <v>453</v>
      </c>
      <c r="K27" s="1638" t="s">
        <v>451</v>
      </c>
      <c r="L27" s="1638" t="s">
        <v>455</v>
      </c>
      <c r="M27" s="1633" t="s">
        <v>1687</v>
      </c>
      <c r="N27" s="1633" t="s">
        <v>1690</v>
      </c>
      <c r="O27" s="1639" t="s">
        <v>1692</v>
      </c>
      <c r="P27" s="1732" t="str">
        <f>P34&amp;" MMBTU Boiler"</f>
        <v>4.5 MMBTU Boiler</v>
      </c>
      <c r="Q27" s="1733"/>
      <c r="R27" s="1734"/>
      <c r="S27" s="1732" t="str">
        <f>S34&amp;" MMBTU Boiler"</f>
        <v>21 MMBTU Boiler</v>
      </c>
      <c r="T27" s="1733"/>
      <c r="U27" s="1734"/>
      <c r="V27" s="1731" t="s">
        <v>552</v>
      </c>
      <c r="W27" s="1731"/>
      <c r="X27" s="1731" t="s">
        <v>1656</v>
      </c>
      <c r="Y27" s="1731"/>
      <c r="AG27" s="412"/>
      <c r="AH27" s="412"/>
      <c r="AI27" s="412">
        <v>2</v>
      </c>
      <c r="AJ27" s="412">
        <v>2003</v>
      </c>
      <c r="AK27" s="67">
        <v>6.6</v>
      </c>
      <c r="AL27" s="67" t="e">
        <f>NA()</f>
        <v>#N/A</v>
      </c>
      <c r="AM27" s="67">
        <v>3.5</v>
      </c>
      <c r="AN27" s="407">
        <v>0.2</v>
      </c>
    </row>
    <row r="28" spans="2:40" ht="17.25">
      <c r="F28" s="1169" t="s">
        <v>8</v>
      </c>
      <c r="G28" s="1169" t="s">
        <v>69</v>
      </c>
      <c r="H28" s="1169" t="s">
        <v>1211</v>
      </c>
      <c r="I28" s="1170" t="s">
        <v>641</v>
      </c>
      <c r="J28" s="1682" t="s">
        <v>1725</v>
      </c>
      <c r="K28" s="1682" t="s">
        <v>1725</v>
      </c>
      <c r="L28" s="1682" t="s">
        <v>1725</v>
      </c>
      <c r="M28" s="1634" t="s">
        <v>1688</v>
      </c>
      <c r="N28" s="1634" t="s">
        <v>1691</v>
      </c>
      <c r="O28" s="1640" t="s">
        <v>1693</v>
      </c>
      <c r="P28" s="375" t="s">
        <v>356</v>
      </c>
      <c r="Q28" s="375" t="s">
        <v>357</v>
      </c>
      <c r="R28" s="375" t="s">
        <v>521</v>
      </c>
      <c r="S28" s="375" t="s">
        <v>356</v>
      </c>
      <c r="T28" s="375" t="s">
        <v>357</v>
      </c>
      <c r="U28" s="375" t="s">
        <v>521</v>
      </c>
      <c r="V28" s="375" t="s">
        <v>549</v>
      </c>
      <c r="W28" s="375" t="s">
        <v>550</v>
      </c>
      <c r="X28" s="375" t="s">
        <v>1657</v>
      </c>
      <c r="Y28" s="375" t="s">
        <v>1657</v>
      </c>
      <c r="AG28" s="412"/>
      <c r="AH28" s="412"/>
      <c r="AI28" s="412">
        <v>3</v>
      </c>
      <c r="AJ28" s="412">
        <v>2006</v>
      </c>
      <c r="AK28" s="67">
        <v>4</v>
      </c>
      <c r="AL28" s="67" t="e">
        <f>NA()</f>
        <v>#N/A</v>
      </c>
      <c r="AM28" s="67">
        <v>3.5</v>
      </c>
      <c r="AN28" s="407">
        <v>0.2</v>
      </c>
    </row>
    <row r="29" spans="2:40">
      <c r="B29" s="156" t="s">
        <v>209</v>
      </c>
      <c r="F29" s="1171" t="s">
        <v>369</v>
      </c>
      <c r="G29" s="1171" t="s">
        <v>369</v>
      </c>
      <c r="H29" s="1171" t="s">
        <v>596</v>
      </c>
      <c r="I29" s="1172" t="s">
        <v>596</v>
      </c>
      <c r="J29" s="1046" t="s">
        <v>371</v>
      </c>
      <c r="K29" s="1046" t="s">
        <v>371</v>
      </c>
      <c r="L29" s="1046" t="s">
        <v>371</v>
      </c>
      <c r="M29" s="1635" t="s">
        <v>371</v>
      </c>
      <c r="N29" s="1635" t="s">
        <v>371</v>
      </c>
      <c r="O29" s="1635" t="s">
        <v>371</v>
      </c>
      <c r="P29" s="1046" t="s">
        <v>373</v>
      </c>
      <c r="Q29" s="1046" t="s">
        <v>373</v>
      </c>
      <c r="R29" s="1046" t="s">
        <v>373</v>
      </c>
      <c r="S29" s="1046" t="s">
        <v>373</v>
      </c>
      <c r="T29" s="1046" t="s">
        <v>373</v>
      </c>
      <c r="U29" s="1046" t="s">
        <v>373</v>
      </c>
      <c r="V29" s="1046" t="s">
        <v>551</v>
      </c>
      <c r="W29" s="1046" t="s">
        <v>551</v>
      </c>
      <c r="X29" s="1046" t="s">
        <v>1658</v>
      </c>
      <c r="Y29" s="1046" t="s">
        <v>1659</v>
      </c>
      <c r="AG29" s="412"/>
      <c r="AH29" s="412"/>
      <c r="AI29" s="412"/>
      <c r="AJ29" s="412"/>
      <c r="AK29" s="67"/>
      <c r="AL29" s="67"/>
      <c r="AM29" s="67"/>
      <c r="AN29" s="407"/>
    </row>
    <row r="30" spans="2:40">
      <c r="B30" s="1139"/>
      <c r="C30" s="31"/>
      <c r="D30" s="31"/>
      <c r="E30" s="51"/>
      <c r="F30" s="1136"/>
      <c r="G30" s="1136"/>
      <c r="H30" s="1136"/>
      <c r="I30" s="1136"/>
      <c r="J30" s="375"/>
      <c r="K30" s="375"/>
      <c r="L30" s="375"/>
      <c r="M30" s="1625"/>
      <c r="N30" s="1625"/>
      <c r="O30" s="1625"/>
      <c r="P30" s="1137"/>
      <c r="Q30" s="1137"/>
      <c r="R30" s="1137"/>
      <c r="S30" s="1137"/>
      <c r="T30" s="1137"/>
      <c r="U30" s="1137"/>
      <c r="V30" s="1137"/>
      <c r="W30" s="1137"/>
      <c r="X30" s="1137"/>
      <c r="Y30" s="1137"/>
      <c r="AG30" s="412">
        <v>225</v>
      </c>
      <c r="AH30" s="412">
        <v>450</v>
      </c>
      <c r="AI30" s="412">
        <v>1</v>
      </c>
      <c r="AJ30" s="412">
        <v>1996</v>
      </c>
      <c r="AK30" s="67">
        <v>9.1999999999999993</v>
      </c>
      <c r="AL30" s="5">
        <v>1.3</v>
      </c>
      <c r="AM30" s="67">
        <v>11.4</v>
      </c>
      <c r="AN30" s="407">
        <v>0.54</v>
      </c>
    </row>
    <row r="31" spans="2:40">
      <c r="B31" s="33"/>
      <c r="E31" s="1138" t="s">
        <v>67</v>
      </c>
      <c r="F31" s="1150" t="s">
        <v>949</v>
      </c>
      <c r="G31" s="1150" t="s">
        <v>1467</v>
      </c>
      <c r="H31" s="1150" t="s">
        <v>117</v>
      </c>
      <c r="I31" s="1151" t="str">
        <f>H31</f>
        <v>DG</v>
      </c>
      <c r="J31" s="87" t="s">
        <v>1288</v>
      </c>
      <c r="K31" s="87" t="s">
        <v>1292</v>
      </c>
      <c r="L31" s="87" t="s">
        <v>1296</v>
      </c>
      <c r="M31" s="87" t="s">
        <v>350</v>
      </c>
      <c r="N31" s="87" t="s">
        <v>350</v>
      </c>
      <c r="O31" s="87" t="s">
        <v>350</v>
      </c>
      <c r="P31" s="87" t="s">
        <v>1669</v>
      </c>
      <c r="Q31" s="617" t="str">
        <f>P31</f>
        <v>DM</v>
      </c>
      <c r="R31" s="617" t="str">
        <f>Q31</f>
        <v>DM</v>
      </c>
      <c r="S31" s="87" t="s">
        <v>1670</v>
      </c>
      <c r="T31" s="617" t="str">
        <f>S31</f>
        <v>DN</v>
      </c>
      <c r="U31" s="617" t="str">
        <f>T31</f>
        <v>DN</v>
      </c>
      <c r="V31" s="87" t="s">
        <v>350</v>
      </c>
      <c r="W31" s="617" t="str">
        <f>V31</f>
        <v>DA</v>
      </c>
      <c r="X31" s="87" t="s">
        <v>66</v>
      </c>
      <c r="Y31" s="617" t="str">
        <f>X31</f>
        <v>BO</v>
      </c>
      <c r="AG31" s="412"/>
      <c r="AH31" s="412"/>
      <c r="AI31" s="412">
        <v>2</v>
      </c>
      <c r="AJ31" s="412">
        <v>2001</v>
      </c>
      <c r="AK31" s="67">
        <v>6.4</v>
      </c>
      <c r="AL31" s="67" t="e">
        <f>NA()</f>
        <v>#N/A</v>
      </c>
      <c r="AM31" s="67">
        <v>3.5</v>
      </c>
      <c r="AN31" s="407">
        <v>0.2</v>
      </c>
    </row>
    <row r="32" spans="2:40">
      <c r="B32" s="161"/>
      <c r="E32" s="636" t="s">
        <v>68</v>
      </c>
      <c r="F32" s="1720" t="str">
        <f>INDEX(SourceDescription,MATCH(F31,SourceNumber,0),1,1)</f>
        <v>550 kW Diesel Generator</v>
      </c>
      <c r="G32" s="1720" t="str">
        <f>INDEX(SourceDescription,MATCH(G31,SourceNumber,0),1,1)</f>
        <v>1250 kW Diesel Generator</v>
      </c>
      <c r="H32" s="1720" t="s">
        <v>463</v>
      </c>
      <c r="I32" s="1720"/>
      <c r="J32" s="1722" t="str">
        <f>INDEX(SourceDescription,MATCH(J31,SourceNumber,0),1,1)</f>
        <v>200 hp Diesel Truck</v>
      </c>
      <c r="K32" s="1722" t="str">
        <f>INDEX(SourceDescription,MATCH(K31,SourceNumber,0),1,1)</f>
        <v>200 hp Diesel Ambulance</v>
      </c>
      <c r="L32" s="1722" t="str">
        <f>INDEX(SourceDescription,MATCH(L31,SourceNumber,0),1,1)</f>
        <v>400 hp Diesel Truck</v>
      </c>
      <c r="M32" s="1722" t="str">
        <f>INDEX(SourceDescription,MATCH(M31,SourceNumber,0),1,1)</f>
        <v>Automobile (Each Vehicle)</v>
      </c>
      <c r="N32" s="1722" t="str">
        <f>INDEX(SourceDescription,MATCH(N31,SourceNumber,0),1,1)</f>
        <v>Automobile (Each Vehicle)</v>
      </c>
      <c r="O32" s="1722" t="str">
        <f>$O$36&amp;" Gas Vehicles and "&amp;ROUND($O$36*0.03,0)&amp;" Diesel Vehicles"</f>
        <v>200 Gas Vehicles and 6 Diesel Vehicles</v>
      </c>
      <c r="P32" s="1722" t="str">
        <f>INDEX(SourceDescription,MATCH(P31,SourceNumber,0),1,1)</f>
        <v>108 hp Bryan Boiler (4.5 MMBTU)</v>
      </c>
      <c r="Q32" s="1722"/>
      <c r="R32" s="1722"/>
      <c r="S32" s="1722" t="str">
        <f>INDEX(SourceDescription,MATCH(S31,SourceNumber,0),1,1)</f>
        <v>143 hp Bryan Boiler (6.0 MMBTU)</v>
      </c>
      <c r="T32" s="1722"/>
      <c r="U32" s="1722"/>
      <c r="V32" s="1722" t="str">
        <f>INDEX(SourceDescription,MATCH(V31,SourceNumber,0),1,1)</f>
        <v>Automobile (Each Vehicle)</v>
      </c>
      <c r="W32" s="1722"/>
      <c r="X32" s="1722" t="e">
        <f>INDEX(SourceDescription,MATCH(X31,SourceNumber,0),1,1)</f>
        <v>#N/A</v>
      </c>
      <c r="Y32" s="1722"/>
      <c r="AG32" s="412"/>
      <c r="AH32" s="412"/>
      <c r="AI32" s="412">
        <v>3</v>
      </c>
      <c r="AJ32" s="412">
        <v>2006</v>
      </c>
      <c r="AK32" s="67">
        <v>4</v>
      </c>
      <c r="AL32" s="67" t="e">
        <f>NA()</f>
        <v>#N/A</v>
      </c>
      <c r="AM32" s="67">
        <v>3.5</v>
      </c>
      <c r="AN32" s="407">
        <v>0.2</v>
      </c>
    </row>
    <row r="33" spans="2:40">
      <c r="B33" s="161"/>
      <c r="E33" s="636"/>
      <c r="F33" s="1721"/>
      <c r="G33" s="1721"/>
      <c r="H33" s="1721"/>
      <c r="I33" s="1721"/>
      <c r="J33" s="1723"/>
      <c r="K33" s="1723"/>
      <c r="L33" s="1723"/>
      <c r="M33" s="1723"/>
      <c r="N33" s="1723"/>
      <c r="O33" s="1723"/>
      <c r="P33" s="1723"/>
      <c r="Q33" s="1723"/>
      <c r="R33" s="1723"/>
      <c r="S33" s="1723"/>
      <c r="T33" s="1723"/>
      <c r="U33" s="1723"/>
      <c r="V33" s="1723"/>
      <c r="W33" s="1723"/>
      <c r="X33" s="1723"/>
      <c r="Y33" s="1723"/>
      <c r="AG33" s="412">
        <v>450</v>
      </c>
      <c r="AH33" s="412">
        <v>560</v>
      </c>
      <c r="AI33" s="412">
        <v>1</v>
      </c>
      <c r="AJ33" s="412">
        <v>1996</v>
      </c>
      <c r="AK33" s="67">
        <v>9.1999999999999993</v>
      </c>
      <c r="AL33" s="5">
        <v>1.3</v>
      </c>
      <c r="AM33" s="67">
        <v>11.4</v>
      </c>
      <c r="AN33" s="407">
        <v>0.54</v>
      </c>
    </row>
    <row r="34" spans="2:40" ht="15.75" customHeight="1">
      <c r="B34" s="161" t="s">
        <v>513</v>
      </c>
      <c r="E34" s="127" t="s">
        <v>514</v>
      </c>
      <c r="F34" s="1152"/>
      <c r="G34" s="1152"/>
      <c r="H34" s="1152"/>
      <c r="I34" s="1152"/>
      <c r="J34" s="166"/>
      <c r="K34" s="166"/>
      <c r="L34" s="166"/>
      <c r="M34" s="166"/>
      <c r="N34" s="166"/>
      <c r="O34" s="1730" t="s">
        <v>1689</v>
      </c>
      <c r="P34" s="158">
        <v>4.5</v>
      </c>
      <c r="Q34" s="85">
        <f>P34</f>
        <v>4.5</v>
      </c>
      <c r="R34" s="85">
        <f>Q34</f>
        <v>4.5</v>
      </c>
      <c r="S34" s="158">
        <v>21</v>
      </c>
      <c r="T34" s="85">
        <f>S34</f>
        <v>21</v>
      </c>
      <c r="U34" s="85">
        <f>T34</f>
        <v>21</v>
      </c>
      <c r="V34" s="90"/>
      <c r="W34" s="90"/>
      <c r="X34" s="90"/>
      <c r="Y34" s="90"/>
      <c r="AG34" s="412"/>
      <c r="AH34" s="412"/>
      <c r="AI34" s="412">
        <v>2</v>
      </c>
      <c r="AJ34" s="412">
        <v>2002</v>
      </c>
      <c r="AK34" s="67">
        <v>6.4</v>
      </c>
      <c r="AL34" s="67" t="e">
        <f>NA()</f>
        <v>#N/A</v>
      </c>
      <c r="AM34" s="67">
        <v>3.5</v>
      </c>
      <c r="AN34" s="407">
        <v>0.2</v>
      </c>
    </row>
    <row r="35" spans="2:40">
      <c r="B35" s="161"/>
      <c r="D35" s="1006"/>
      <c r="E35" s="1292" t="s">
        <v>1455</v>
      </c>
      <c r="F35" s="1297">
        <v>0.05</v>
      </c>
      <c r="G35" s="1297">
        <v>0.05</v>
      </c>
      <c r="H35" s="1297">
        <v>0.05</v>
      </c>
      <c r="I35" s="1297">
        <v>0.05</v>
      </c>
      <c r="J35" s="166"/>
      <c r="K35" s="166"/>
      <c r="L35" s="166"/>
      <c r="M35" s="166"/>
      <c r="N35" s="166"/>
      <c r="O35" s="1730"/>
      <c r="P35" s="158"/>
      <c r="Q35" s="85"/>
      <c r="R35" s="85"/>
      <c r="S35" s="158"/>
      <c r="T35" s="85"/>
      <c r="U35" s="85"/>
      <c r="V35" s="90"/>
      <c r="W35" s="90"/>
      <c r="X35" s="1297">
        <v>0.05</v>
      </c>
      <c r="Y35" s="1297">
        <v>0.05</v>
      </c>
      <c r="AG35" s="412"/>
      <c r="AH35" s="412"/>
      <c r="AI35" s="412"/>
      <c r="AJ35" s="412"/>
      <c r="AK35" s="67"/>
      <c r="AL35" s="67"/>
      <c r="AM35" s="67"/>
      <c r="AN35" s="407"/>
    </row>
    <row r="36" spans="2:40">
      <c r="B36" s="33"/>
      <c r="E36" s="127" t="s">
        <v>190</v>
      </c>
      <c r="F36" s="1152"/>
      <c r="G36" s="1152"/>
      <c r="H36" s="1152"/>
      <c r="I36" s="1152"/>
      <c r="J36" s="166"/>
      <c r="K36" s="166"/>
      <c r="L36" s="166"/>
      <c r="M36" s="166">
        <v>1</v>
      </c>
      <c r="N36" s="166">
        <v>1</v>
      </c>
      <c r="O36" s="1641">
        <v>200</v>
      </c>
      <c r="P36" s="166"/>
      <c r="Q36" s="166"/>
      <c r="R36" s="166"/>
      <c r="S36" s="166"/>
      <c r="T36" s="166"/>
      <c r="U36" s="166"/>
      <c r="V36" s="90"/>
      <c r="W36" s="380">
        <v>3397.2947467757158</v>
      </c>
      <c r="X36" s="90"/>
      <c r="Y36" s="380"/>
      <c r="AG36" s="90"/>
      <c r="AH36" s="90"/>
      <c r="AI36" s="412">
        <v>3</v>
      </c>
      <c r="AJ36" s="412">
        <v>2006</v>
      </c>
      <c r="AK36" s="67">
        <v>4</v>
      </c>
      <c r="AL36" s="67" t="e">
        <f>NA()</f>
        <v>#N/A</v>
      </c>
      <c r="AM36" s="67">
        <v>3.5</v>
      </c>
      <c r="AN36" s="407">
        <v>0.2</v>
      </c>
    </row>
    <row r="37" spans="2:40">
      <c r="B37" s="33"/>
      <c r="E37" s="127" t="s">
        <v>191</v>
      </c>
      <c r="F37" s="1152"/>
      <c r="G37" s="1152"/>
      <c r="H37" s="1152"/>
      <c r="I37" s="1152"/>
      <c r="J37" s="166"/>
      <c r="K37" s="166"/>
      <c r="L37" s="166"/>
      <c r="M37" s="166"/>
      <c r="N37" s="166"/>
      <c r="O37" s="166"/>
      <c r="P37" s="166"/>
      <c r="Q37" s="166"/>
      <c r="R37" s="166"/>
      <c r="S37" s="166"/>
      <c r="T37" s="166"/>
      <c r="U37" s="166"/>
      <c r="V37" s="380">
        <v>25</v>
      </c>
      <c r="W37" s="90"/>
      <c r="X37" s="380"/>
      <c r="Y37" s="90"/>
      <c r="AG37" s="412">
        <v>560</v>
      </c>
      <c r="AH37" s="412">
        <v>10000</v>
      </c>
      <c r="AI37" s="412">
        <v>1</v>
      </c>
      <c r="AJ37" s="412">
        <v>2000</v>
      </c>
      <c r="AK37" s="67">
        <v>9.1999999999999993</v>
      </c>
      <c r="AL37" s="5">
        <v>1.3</v>
      </c>
      <c r="AM37" s="67">
        <v>11.4</v>
      </c>
      <c r="AN37" s="407">
        <v>0.54</v>
      </c>
    </row>
    <row r="38" spans="2:40">
      <c r="B38" s="33"/>
      <c r="E38" s="127" t="s">
        <v>192</v>
      </c>
      <c r="F38" s="1153"/>
      <c r="G38" s="1153"/>
      <c r="H38" s="1153"/>
      <c r="I38" s="1153"/>
      <c r="J38" s="1045"/>
      <c r="K38" s="1045"/>
      <c r="L38" s="1045"/>
      <c r="M38" s="1045"/>
      <c r="N38" s="1045"/>
      <c r="O38" s="1045"/>
      <c r="P38" s="1045"/>
      <c r="Q38" s="1045"/>
      <c r="R38" s="1045"/>
      <c r="S38" s="1045"/>
      <c r="T38" s="1045"/>
      <c r="U38" s="1045"/>
      <c r="V38" s="1045">
        <v>0.25</v>
      </c>
      <c r="W38" s="141"/>
      <c r="X38" s="1045"/>
      <c r="Y38" s="141"/>
      <c r="AG38" s="411"/>
      <c r="AH38" s="411"/>
      <c r="AI38" s="411">
        <v>2</v>
      </c>
      <c r="AJ38" s="411">
        <v>2006</v>
      </c>
      <c r="AK38" s="408">
        <v>6.4</v>
      </c>
      <c r="AL38" s="408" t="e">
        <f>NA()</f>
        <v>#N/A</v>
      </c>
      <c r="AM38" s="408">
        <v>3.5</v>
      </c>
      <c r="AN38" s="409">
        <v>0.2</v>
      </c>
    </row>
    <row r="39" spans="2:40">
      <c r="B39" s="1036" t="s">
        <v>512</v>
      </c>
      <c r="C39" s="31"/>
      <c r="D39" s="31"/>
      <c r="E39" s="1035" t="s">
        <v>193</v>
      </c>
      <c r="F39" s="1154">
        <v>550</v>
      </c>
      <c r="G39" s="1154">
        <v>1250</v>
      </c>
      <c r="H39" s="1154">
        <v>2000</v>
      </c>
      <c r="I39" s="1155">
        <f>H39</f>
        <v>2000</v>
      </c>
      <c r="J39" s="357"/>
      <c r="K39" s="357"/>
      <c r="L39" s="357"/>
      <c r="M39" s="357"/>
      <c r="N39" s="357"/>
      <c r="O39" s="357"/>
      <c r="P39" s="1037"/>
      <c r="Q39" s="1037"/>
      <c r="R39" s="1037"/>
      <c r="S39" s="1037"/>
      <c r="T39" s="1037"/>
      <c r="U39" s="1037"/>
      <c r="V39" s="73"/>
      <c r="W39" s="73"/>
      <c r="X39" s="73"/>
      <c r="Y39" s="73"/>
    </row>
    <row r="40" spans="2:40">
      <c r="B40" s="161"/>
      <c r="E40" s="127" t="s">
        <v>194</v>
      </c>
      <c r="F40" s="1156">
        <f t="shared" ref="F40:U40" si="0">INDEX(SourceMassFlowRate,MATCH(F31,SourceNumber,0),1,1)*1000</f>
        <v>1048.2967682339133</v>
      </c>
      <c r="G40" s="1156">
        <f>INDEX(SourceMassFlowRate,MATCH(G31,SourceNumber,0),1,1)*1000</f>
        <v>2160.5246783972243</v>
      </c>
      <c r="H40" s="1156">
        <f t="shared" si="0"/>
        <v>1373.4544304920082</v>
      </c>
      <c r="I40" s="1156">
        <f t="shared" si="0"/>
        <v>1373.4544304920082</v>
      </c>
      <c r="J40" s="85">
        <f t="shared" si="0"/>
        <v>40.167837974105652</v>
      </c>
      <c r="K40" s="85">
        <f t="shared" si="0"/>
        <v>40.167837974105652</v>
      </c>
      <c r="L40" s="85">
        <f t="shared" si="0"/>
        <v>80.335675948211303</v>
      </c>
      <c r="M40" s="85" t="e">
        <f t="shared" ref="M40:N40" si="1">INDEX(SourceMassFlowRate,MATCH(M31,SourceNumber,0),1,1)*1000</f>
        <v>#VALUE!</v>
      </c>
      <c r="N40" s="85" t="e">
        <f t="shared" si="1"/>
        <v>#VALUE!</v>
      </c>
      <c r="O40" s="85" t="e">
        <f t="shared" ref="O40" si="2">INDEX(SourceMassFlowRate,MATCH(O31,SourceNumber,0),1,1)*1000</f>
        <v>#VALUE!</v>
      </c>
      <c r="P40" s="85">
        <f t="shared" si="0"/>
        <v>512.49999999999989</v>
      </c>
      <c r="Q40" s="85">
        <f t="shared" si="0"/>
        <v>512.49999999999989</v>
      </c>
      <c r="R40" s="85">
        <f t="shared" si="0"/>
        <v>512.49999999999989</v>
      </c>
      <c r="S40" s="85">
        <f t="shared" si="0"/>
        <v>683.33333333333326</v>
      </c>
      <c r="T40" s="85">
        <f t="shared" si="0"/>
        <v>683.33333333333326</v>
      </c>
      <c r="U40" s="85">
        <f t="shared" si="0"/>
        <v>683.33333333333326</v>
      </c>
      <c r="V40" s="166"/>
      <c r="W40" s="166"/>
      <c r="X40" s="85" t="e">
        <f t="shared" ref="X40" si="3">INDEX(SourceMassFlowRate,MATCH(X31,SourceNumber,0),1,1)*1000</f>
        <v>#N/A</v>
      </c>
      <c r="Y40" s="86" t="e">
        <f>X40/4</f>
        <v>#N/A</v>
      </c>
    </row>
    <row r="41" spans="2:40">
      <c r="B41" s="33"/>
      <c r="E41" s="127" t="s">
        <v>537</v>
      </c>
      <c r="F41" s="1141">
        <f t="shared" ref="F41:P41" si="4">F40*(3600/453.59)</f>
        <v>8319.9990423997187</v>
      </c>
      <c r="G41" s="1141">
        <f t="shared" si="4"/>
        <v>17147.399286205622</v>
      </c>
      <c r="H41" s="1141">
        <f t="shared" si="4"/>
        <v>10900.672302676932</v>
      </c>
      <c r="I41" s="1141">
        <f t="shared" si="4"/>
        <v>10900.672302676932</v>
      </c>
      <c r="J41" s="372">
        <f t="shared" si="4"/>
        <v>318.79939307916919</v>
      </c>
      <c r="K41" s="372">
        <f t="shared" si="4"/>
        <v>318.79939307916919</v>
      </c>
      <c r="L41" s="372">
        <f t="shared" si="4"/>
        <v>637.59878615833838</v>
      </c>
      <c r="M41" s="372" t="e">
        <f t="shared" ref="M41:N41" si="5">M40*(3600/453.59)</f>
        <v>#VALUE!</v>
      </c>
      <c r="N41" s="372" t="e">
        <f t="shared" si="5"/>
        <v>#VALUE!</v>
      </c>
      <c r="O41" s="372" t="e">
        <f t="shared" ref="O41" si="6">O40*(3600/453.59)</f>
        <v>#VALUE!</v>
      </c>
      <c r="P41" s="372">
        <f t="shared" si="4"/>
        <v>4067.5499900791456</v>
      </c>
      <c r="Q41" s="372">
        <f>Q40*(3600/453.59)</f>
        <v>4067.5499900791456</v>
      </c>
      <c r="R41" s="372">
        <f>R40*(3600/453.59)</f>
        <v>4067.5499900791456</v>
      </c>
      <c r="S41" s="372">
        <f>S40*(3600/453.59)</f>
        <v>5423.399986772195</v>
      </c>
      <c r="T41" s="372">
        <f>T40*(3600/453.59)</f>
        <v>5423.399986772195</v>
      </c>
      <c r="U41" s="372">
        <f>U40*(3600/453.59)</f>
        <v>5423.399986772195</v>
      </c>
      <c r="V41" s="90"/>
      <c r="W41" s="90"/>
      <c r="X41" s="1141" t="e">
        <f t="shared" ref="X41:Y41" si="7">X40*(3600/453.59)</f>
        <v>#N/A</v>
      </c>
      <c r="Y41" s="1141" t="e">
        <f t="shared" si="7"/>
        <v>#N/A</v>
      </c>
    </row>
    <row r="42" spans="2:40" ht="18.75">
      <c r="B42" s="33"/>
      <c r="E42" s="127" t="s">
        <v>210</v>
      </c>
      <c r="F42" s="1157">
        <f t="shared" ref="F42:U42" si="8">INDEX(SourceVolumeFlowRate,MATCH(F31,SourceNumber,0),1,1)</f>
        <v>2.1948249626383838</v>
      </c>
      <c r="G42" s="1157">
        <f t="shared" si="8"/>
        <v>4.881324723233849</v>
      </c>
      <c r="H42" s="1157">
        <f t="shared" si="8"/>
        <v>3.0988264643577437</v>
      </c>
      <c r="I42" s="1157">
        <f t="shared" si="8"/>
        <v>3.0988264643577437</v>
      </c>
      <c r="J42" s="1042">
        <f t="shared" si="8"/>
        <v>4.7231008449287362E-2</v>
      </c>
      <c r="K42" s="1042">
        <f t="shared" si="8"/>
        <v>4.7231008449287362E-2</v>
      </c>
      <c r="L42" s="1042">
        <f t="shared" si="8"/>
        <v>9.4462016898574724E-2</v>
      </c>
      <c r="M42" s="1042">
        <f t="shared" ref="M42:N42" si="9">INDEX(SourceVolumeFlowRate,MATCH(M31,SourceNumber,0),1,1)</f>
        <v>4.7231008449287362E-2</v>
      </c>
      <c r="N42" s="1042">
        <f t="shared" si="9"/>
        <v>4.7231008449287362E-2</v>
      </c>
      <c r="O42" s="1042">
        <f t="shared" ref="O42" si="10">INDEX(SourceVolumeFlowRate,MATCH(O31,SourceNumber,0),1,1)</f>
        <v>4.7231008449287362E-2</v>
      </c>
      <c r="P42" s="1042">
        <f t="shared" si="8"/>
        <v>0.60261873805267252</v>
      </c>
      <c r="Q42" s="1042">
        <f t="shared" si="8"/>
        <v>0.60261873805267252</v>
      </c>
      <c r="R42" s="1042">
        <f t="shared" si="8"/>
        <v>0.60261873805267252</v>
      </c>
      <c r="S42" s="1042">
        <f t="shared" si="8"/>
        <v>0.80349165073689688</v>
      </c>
      <c r="T42" s="1042">
        <f t="shared" si="8"/>
        <v>0.80349165073689688</v>
      </c>
      <c r="U42" s="1042">
        <f t="shared" si="8"/>
        <v>0.80349165073689688</v>
      </c>
      <c r="V42" s="141"/>
      <c r="W42" s="141"/>
      <c r="X42" s="1157" t="e">
        <f>INDEX(SourceVolumeFlowRate,MATCH(X31,SourceNumber,0),1,1)</f>
        <v>#N/A</v>
      </c>
      <c r="Y42" s="1616" t="e">
        <f>X42/4</f>
        <v>#N/A</v>
      </c>
    </row>
    <row r="43" spans="2:40">
      <c r="B43" s="1036" t="s">
        <v>361</v>
      </c>
      <c r="C43" s="31"/>
      <c r="D43" s="31"/>
      <c r="E43" s="1035" t="s">
        <v>518</v>
      </c>
      <c r="F43" s="1142"/>
      <c r="G43" s="1142"/>
      <c r="H43" s="1142"/>
      <c r="I43" s="1142"/>
      <c r="J43" s="73"/>
      <c r="K43" s="73"/>
      <c r="L43" s="73"/>
      <c r="M43" s="73"/>
      <c r="N43" s="73"/>
      <c r="O43" s="73"/>
      <c r="P43" s="1037">
        <v>47</v>
      </c>
      <c r="Q43" s="1037">
        <v>78</v>
      </c>
      <c r="R43" s="1037">
        <v>50</v>
      </c>
      <c r="S43" s="1037">
        <v>47</v>
      </c>
      <c r="T43" s="1037">
        <v>78</v>
      </c>
      <c r="U43" s="1037">
        <v>50</v>
      </c>
      <c r="V43" s="73"/>
      <c r="W43" s="73"/>
      <c r="X43" s="73"/>
      <c r="Y43" s="73"/>
    </row>
    <row r="44" spans="2:40" ht="18.75">
      <c r="B44" s="161"/>
      <c r="E44" s="127" t="s">
        <v>519</v>
      </c>
      <c r="F44" s="1140"/>
      <c r="G44" s="1140"/>
      <c r="H44" s="1140"/>
      <c r="I44" s="1140"/>
      <c r="J44" s="90"/>
      <c r="K44" s="90"/>
      <c r="L44" s="90"/>
      <c r="M44" s="90"/>
      <c r="N44" s="90"/>
      <c r="O44" s="90"/>
      <c r="P44" s="158">
        <v>150</v>
      </c>
      <c r="Q44" s="158">
        <v>75</v>
      </c>
      <c r="R44" s="158">
        <v>28</v>
      </c>
      <c r="S44" s="158">
        <v>150</v>
      </c>
      <c r="T44" s="158">
        <v>75</v>
      </c>
      <c r="U44" s="158">
        <v>28</v>
      </c>
      <c r="V44" s="90"/>
      <c r="W44" s="90"/>
      <c r="X44" s="90"/>
      <c r="Y44" s="90"/>
    </row>
    <row r="45" spans="2:40" ht="18.75">
      <c r="B45" s="161"/>
      <c r="E45" s="127" t="s">
        <v>520</v>
      </c>
      <c r="F45" s="1140"/>
      <c r="G45" s="1140"/>
      <c r="H45" s="1140"/>
      <c r="I45" s="1140"/>
      <c r="J45" s="90"/>
      <c r="K45" s="90"/>
      <c r="L45" s="90"/>
      <c r="M45" s="90"/>
      <c r="N45" s="90"/>
      <c r="O45" s="90"/>
      <c r="P45" s="158">
        <v>114</v>
      </c>
      <c r="Q45" s="159">
        <v>0.32</v>
      </c>
      <c r="R45" s="159">
        <v>0.32</v>
      </c>
      <c r="S45" s="158">
        <v>114</v>
      </c>
      <c r="T45" s="159">
        <v>0.32</v>
      </c>
      <c r="U45" s="159">
        <v>0.32</v>
      </c>
      <c r="V45" s="90"/>
      <c r="W45" s="90"/>
      <c r="X45" s="90"/>
      <c r="Y45" s="90"/>
    </row>
    <row r="46" spans="2:40" ht="18.75">
      <c r="B46" s="161"/>
      <c r="E46" s="127" t="s">
        <v>897</v>
      </c>
      <c r="F46" s="1140"/>
      <c r="G46" s="1140"/>
      <c r="H46" s="1140"/>
      <c r="I46" s="1140"/>
      <c r="J46" s="90"/>
      <c r="K46" s="90"/>
      <c r="L46" s="90"/>
      <c r="M46" s="90"/>
      <c r="N46" s="90"/>
      <c r="O46" s="90"/>
      <c r="P46" s="159" t="e">
        <f>NA()</f>
        <v>#N/A</v>
      </c>
      <c r="Q46" s="159" t="e">
        <f>NA()</f>
        <v>#N/A</v>
      </c>
      <c r="R46" s="159" t="e">
        <f>NA()</f>
        <v>#N/A</v>
      </c>
      <c r="S46" s="159" t="e">
        <f>NA()</f>
        <v>#N/A</v>
      </c>
      <c r="T46" s="159" t="e">
        <f>NA()</f>
        <v>#N/A</v>
      </c>
      <c r="U46" s="159" t="e">
        <f>NA()</f>
        <v>#N/A</v>
      </c>
      <c r="V46" s="90"/>
      <c r="W46" s="90"/>
      <c r="X46" s="90"/>
      <c r="Y46" s="90"/>
    </row>
    <row r="47" spans="2:40" ht="18.75">
      <c r="B47" s="161"/>
      <c r="E47" s="127" t="s">
        <v>898</v>
      </c>
      <c r="F47" s="1140"/>
      <c r="G47" s="1140"/>
      <c r="H47" s="1140"/>
      <c r="I47" s="1140"/>
      <c r="J47" s="90"/>
      <c r="K47" s="90"/>
      <c r="L47" s="90"/>
      <c r="M47" s="90"/>
      <c r="N47" s="90"/>
      <c r="O47" s="90"/>
      <c r="P47" s="159" t="e">
        <f>NA()</f>
        <v>#N/A</v>
      </c>
      <c r="Q47" s="159" t="e">
        <f>NA()</f>
        <v>#N/A</v>
      </c>
      <c r="R47" s="159" t="e">
        <f>NA()</f>
        <v>#N/A</v>
      </c>
      <c r="S47" s="159" t="e">
        <f>NA()</f>
        <v>#N/A</v>
      </c>
      <c r="T47" s="159" t="e">
        <f>NA()</f>
        <v>#N/A</v>
      </c>
      <c r="U47" s="159" t="e">
        <f>NA()</f>
        <v>#N/A</v>
      </c>
      <c r="V47" s="90"/>
      <c r="W47" s="90"/>
      <c r="X47" s="90"/>
      <c r="Y47" s="90"/>
    </row>
    <row r="48" spans="2:40">
      <c r="B48" s="33"/>
      <c r="E48" s="127" t="s">
        <v>515</v>
      </c>
      <c r="F48" s="1158">
        <v>3.5</v>
      </c>
      <c r="G48" s="1158">
        <v>3.5</v>
      </c>
      <c r="H48" s="1158">
        <v>3.35</v>
      </c>
      <c r="I48" s="1158">
        <v>3.35</v>
      </c>
      <c r="J48" s="90"/>
      <c r="K48" s="90"/>
      <c r="L48" s="90"/>
      <c r="M48" s="90"/>
      <c r="N48" s="90"/>
      <c r="O48" s="90"/>
      <c r="P48" s="367">
        <f>P43/1270</f>
        <v>3.7007874015748031E-2</v>
      </c>
      <c r="Q48" s="370">
        <f>Q43/1361</f>
        <v>5.7310800881704628E-2</v>
      </c>
      <c r="R48" s="370">
        <f>R43/1361</f>
        <v>3.6737692872887584E-2</v>
      </c>
      <c r="S48" s="367">
        <f>S43/1270</f>
        <v>3.7007874015748031E-2</v>
      </c>
      <c r="T48" s="370">
        <f>T43/1361</f>
        <v>5.7310800881704628E-2</v>
      </c>
      <c r="U48" s="370">
        <f>U43/1361</f>
        <v>3.6737692872887584E-2</v>
      </c>
      <c r="V48" s="328">
        <v>25.51</v>
      </c>
      <c r="W48" s="158">
        <v>302.54000000000002</v>
      </c>
      <c r="X48" s="328">
        <v>2.1</v>
      </c>
      <c r="Y48" s="158">
        <v>17.600000000000001</v>
      </c>
    </row>
    <row r="49" spans="2:26" ht="18.75">
      <c r="B49" s="33"/>
      <c r="E49" s="127" t="s">
        <v>516</v>
      </c>
      <c r="F49" s="1158">
        <v>4</v>
      </c>
      <c r="G49" s="1158">
        <v>6.4</v>
      </c>
      <c r="H49" s="1158">
        <v>14.6</v>
      </c>
      <c r="I49" s="1158">
        <v>7.9</v>
      </c>
      <c r="J49" s="90"/>
      <c r="K49" s="90"/>
      <c r="L49" s="90"/>
      <c r="M49" s="90"/>
      <c r="N49" s="90"/>
      <c r="O49" s="90"/>
      <c r="P49" s="367">
        <f>P44/763</f>
        <v>0.19659239842726081</v>
      </c>
      <c r="Q49" s="370">
        <f>Q44/829</f>
        <v>9.0470446320868522E-2</v>
      </c>
      <c r="R49" s="370">
        <f>R44/829</f>
        <v>3.3775633293124246E-2</v>
      </c>
      <c r="S49" s="367">
        <f>S44/763</f>
        <v>0.19659239842726081</v>
      </c>
      <c r="T49" s="370">
        <f>T44/829</f>
        <v>9.0470446320868522E-2</v>
      </c>
      <c r="U49" s="370">
        <f>U44/829</f>
        <v>3.3775633293124246E-2</v>
      </c>
      <c r="V49" s="328">
        <v>1.54</v>
      </c>
      <c r="W49" s="158">
        <v>5.78</v>
      </c>
      <c r="X49" s="328">
        <v>2.6</v>
      </c>
      <c r="Y49" s="158">
        <v>0.1</v>
      </c>
    </row>
    <row r="50" spans="2:26" ht="18.75">
      <c r="B50" s="33"/>
      <c r="E50" s="127" t="s">
        <v>517</v>
      </c>
      <c r="F50" s="86">
        <f>4.92*F35</f>
        <v>0.246</v>
      </c>
      <c r="G50" s="86">
        <f t="shared" ref="G50:I50" si="11">4.92*G35</f>
        <v>0.246</v>
      </c>
      <c r="H50" s="86">
        <f t="shared" si="11"/>
        <v>0.246</v>
      </c>
      <c r="I50" s="86">
        <f t="shared" si="11"/>
        <v>0.246</v>
      </c>
      <c r="J50" s="90"/>
      <c r="K50" s="90"/>
      <c r="L50" s="90"/>
      <c r="M50" s="90"/>
      <c r="N50" s="90"/>
      <c r="O50" s="90"/>
      <c r="P50" s="367">
        <f>P45/538</f>
        <v>0.21189591078066913</v>
      </c>
      <c r="Q50" s="371">
        <f>Q45/540</f>
        <v>5.9259259259259258E-4</v>
      </c>
      <c r="R50" s="371">
        <f>R45/540</f>
        <v>5.9259259259259258E-4</v>
      </c>
      <c r="S50" s="367">
        <f>S45/538</f>
        <v>0.21189591078066913</v>
      </c>
      <c r="T50" s="371">
        <f>T45/540</f>
        <v>5.9259259259259258E-4</v>
      </c>
      <c r="U50" s="371">
        <f>U45/540</f>
        <v>5.9259259259259258E-4</v>
      </c>
      <c r="V50" s="90"/>
      <c r="W50" s="90"/>
      <c r="X50" s="328">
        <v>0.4</v>
      </c>
      <c r="Y50" s="158">
        <v>0.1</v>
      </c>
    </row>
    <row r="51" spans="2:26" ht="18.75">
      <c r="B51" s="33"/>
      <c r="E51" s="127" t="s">
        <v>892</v>
      </c>
      <c r="F51" s="1159">
        <v>0.2</v>
      </c>
      <c r="G51" s="1159">
        <v>0.2</v>
      </c>
      <c r="H51" s="1159">
        <v>0.42599999999999999</v>
      </c>
      <c r="I51" s="1159">
        <v>0.42599999999999999</v>
      </c>
      <c r="J51" s="90"/>
      <c r="K51" s="90"/>
      <c r="L51" s="90"/>
      <c r="M51" s="90"/>
      <c r="N51" s="90"/>
      <c r="O51" s="90"/>
      <c r="P51" s="366">
        <v>1.4999999999999999E-2</v>
      </c>
      <c r="Q51" s="366">
        <v>5.0000000000000001E-3</v>
      </c>
      <c r="R51" s="366">
        <v>5.0000000000000001E-3</v>
      </c>
      <c r="S51" s="366">
        <v>1.4999999999999999E-2</v>
      </c>
      <c r="T51" s="366">
        <v>5.0000000000000001E-3</v>
      </c>
      <c r="U51" s="366">
        <v>5.0000000000000001E-3</v>
      </c>
      <c r="V51" s="90"/>
      <c r="W51" s="90"/>
      <c r="X51" s="90"/>
      <c r="Y51" s="90"/>
    </row>
    <row r="52" spans="2:26" ht="18.75">
      <c r="B52" s="33"/>
      <c r="E52" s="127" t="s">
        <v>893</v>
      </c>
      <c r="F52" s="1159">
        <v>0.2</v>
      </c>
      <c r="G52" s="1159">
        <v>0.2</v>
      </c>
      <c r="H52" s="1159">
        <v>0.42599999999999999</v>
      </c>
      <c r="I52" s="1159">
        <v>0.42599999999999999</v>
      </c>
      <c r="J52" s="90"/>
      <c r="K52" s="90"/>
      <c r="L52" s="90"/>
      <c r="M52" s="90"/>
      <c r="N52" s="90"/>
      <c r="O52" s="90"/>
      <c r="P52" s="366">
        <v>1.4999999999999999E-2</v>
      </c>
      <c r="Q52" s="366">
        <v>5.0000000000000001E-3</v>
      </c>
      <c r="R52" s="366">
        <v>5.0000000000000001E-3</v>
      </c>
      <c r="S52" s="366">
        <v>1.4999999999999999E-2</v>
      </c>
      <c r="T52" s="366">
        <v>5.0000000000000001E-3</v>
      </c>
      <c r="U52" s="366">
        <v>5.0000000000000001E-3</v>
      </c>
      <c r="V52" s="90"/>
      <c r="W52" s="90"/>
      <c r="X52" s="90"/>
      <c r="Y52" s="90"/>
    </row>
    <row r="53" spans="2:26" s="1652" customFormat="1" ht="18.75">
      <c r="B53" s="1683" t="s">
        <v>358</v>
      </c>
      <c r="C53" s="1684"/>
      <c r="D53" s="1684"/>
      <c r="E53" s="1685" t="s">
        <v>1466</v>
      </c>
      <c r="F53" s="1686">
        <v>0.2</v>
      </c>
      <c r="G53" s="1686">
        <v>0.2</v>
      </c>
      <c r="H53" s="1686">
        <v>0.2</v>
      </c>
      <c r="I53" s="1686">
        <v>0.2</v>
      </c>
      <c r="J53" s="1686">
        <v>0.2</v>
      </c>
      <c r="K53" s="1686">
        <v>0.2</v>
      </c>
      <c r="L53" s="1686">
        <v>0.2</v>
      </c>
      <c r="M53" s="1686">
        <v>0.2</v>
      </c>
      <c r="N53" s="1686">
        <v>0.2</v>
      </c>
      <c r="O53" s="1686">
        <v>0.2</v>
      </c>
      <c r="P53" s="1686">
        <v>0.2</v>
      </c>
      <c r="Q53" s="1686">
        <v>0.2</v>
      </c>
      <c r="R53" s="1686">
        <v>0.2</v>
      </c>
      <c r="S53" s="1686">
        <v>0.2</v>
      </c>
      <c r="T53" s="1686">
        <v>0.2</v>
      </c>
      <c r="U53" s="1686">
        <v>0.2</v>
      </c>
      <c r="V53" s="1686">
        <v>0.2</v>
      </c>
      <c r="W53" s="1686">
        <v>0.2</v>
      </c>
      <c r="X53" s="1686">
        <v>0.2</v>
      </c>
      <c r="Y53" s="1686">
        <v>0.2</v>
      </c>
    </row>
    <row r="54" spans="2:26">
      <c r="B54" s="1291"/>
      <c r="C54" s="109"/>
      <c r="D54" s="109"/>
      <c r="E54" s="127" t="s">
        <v>195</v>
      </c>
      <c r="F54" s="1143">
        <f t="shared" ref="F54:I55" si="12">(F$39*F48)/3600</f>
        <v>0.53472222222222221</v>
      </c>
      <c r="G54" s="1143">
        <f t="shared" si="12"/>
        <v>1.2152777777777777</v>
      </c>
      <c r="H54" s="1143">
        <f t="shared" si="12"/>
        <v>1.8611111111111112</v>
      </c>
      <c r="I54" s="1143">
        <f t="shared" si="12"/>
        <v>1.8611111111111112</v>
      </c>
      <c r="J54" s="366">
        <f>0.22/60</f>
        <v>3.6666666666666666E-3</v>
      </c>
      <c r="K54" s="366">
        <f>0.22/60</f>
        <v>3.6666666666666666E-3</v>
      </c>
      <c r="L54" s="366">
        <f>0.442/60</f>
        <v>7.3666666666666663E-3</v>
      </c>
      <c r="M54" s="1642">
        <f>(1.187/60)*M36</f>
        <v>1.9783333333333333E-2</v>
      </c>
      <c r="N54" s="1642">
        <f>(0.117/60)*N36</f>
        <v>1.9500000000000001E-3</v>
      </c>
      <c r="O54" s="381">
        <f>(M54*$O$36)+(N54*$O$36*0.03)</f>
        <v>3.9683666666666664</v>
      </c>
      <c r="P54" s="368">
        <f t="shared" ref="P54:U55" si="13">(P$34*P48)*(453.59/3600)</f>
        <v>2.0983001968503931E-2</v>
      </c>
      <c r="Q54" s="368">
        <f t="shared" si="13"/>
        <v>3.2494507714915501E-2</v>
      </c>
      <c r="R54" s="368">
        <f t="shared" si="13"/>
        <v>2.0829812637766346E-2</v>
      </c>
      <c r="S54" s="368">
        <f t="shared" si="13"/>
        <v>9.7920675853018363E-2</v>
      </c>
      <c r="T54" s="368">
        <f t="shared" si="13"/>
        <v>0.15164103600293899</v>
      </c>
      <c r="U54" s="368">
        <f t="shared" si="13"/>
        <v>9.720579230957628E-2</v>
      </c>
      <c r="V54" s="381">
        <f>V48*(V37/V38)*(V38/3600)</f>
        <v>0.17715277777777777</v>
      </c>
      <c r="W54" s="381">
        <f>W48/3600*W36</f>
        <v>285.50487574709035</v>
      </c>
      <c r="X54" s="381">
        <f>X48*453.59/3600</f>
        <v>0.26459416666666669</v>
      </c>
      <c r="Y54" s="381">
        <f t="shared" ref="Y54:Y55" si="14">Y48*453.59/3600</f>
        <v>2.2175511111111113</v>
      </c>
    </row>
    <row r="55" spans="2:26" ht="18.75">
      <c r="B55" s="165"/>
      <c r="C55" s="109"/>
      <c r="D55" s="109"/>
      <c r="E55" s="127" t="s">
        <v>198</v>
      </c>
      <c r="F55" s="1143">
        <f t="shared" si="12"/>
        <v>0.61111111111111116</v>
      </c>
      <c r="G55" s="1143">
        <f t="shared" si="12"/>
        <v>2.2222222222222223</v>
      </c>
      <c r="H55" s="1143">
        <f t="shared" si="12"/>
        <v>8.1111111111111107</v>
      </c>
      <c r="I55" s="1143">
        <f t="shared" si="12"/>
        <v>4.3888888888888893</v>
      </c>
      <c r="J55" s="366">
        <f>0.311/60</f>
        <v>5.1833333333333332E-3</v>
      </c>
      <c r="K55" s="366">
        <f>0.311/60</f>
        <v>5.1833333333333332E-3</v>
      </c>
      <c r="L55" s="366">
        <f>0.596/60</f>
        <v>9.9333333333333322E-3</v>
      </c>
      <c r="M55" s="1642">
        <f>(0.059/60)*M36</f>
        <v>9.8333333333333324E-4</v>
      </c>
      <c r="N55" s="1642">
        <f>(0.045/60)*N36</f>
        <v>7.5000000000000002E-4</v>
      </c>
      <c r="O55" s="381">
        <f t="shared" ref="O55:O57" si="15">(M55*$O$36)+(N55*$O$36*0.03)</f>
        <v>0.20116666666666666</v>
      </c>
      <c r="P55" s="368">
        <f t="shared" si="13"/>
        <v>0.11146543250327652</v>
      </c>
      <c r="Q55" s="368">
        <f t="shared" si="13"/>
        <v>5.1295612183353434E-2</v>
      </c>
      <c r="R55" s="368">
        <f t="shared" si="13"/>
        <v>1.9150361881785281E-2</v>
      </c>
      <c r="S55" s="368">
        <f t="shared" si="13"/>
        <v>0.5201720183486237</v>
      </c>
      <c r="T55" s="368">
        <f t="shared" si="13"/>
        <v>0.23937952352231603</v>
      </c>
      <c r="U55" s="368">
        <f t="shared" si="13"/>
        <v>8.9368355448331313E-2</v>
      </c>
      <c r="V55" s="381">
        <f>V49*(V37/V38)*(V38/3600)</f>
        <v>1.0694444444444444E-2</v>
      </c>
      <c r="W55" s="381">
        <f>W49/3600*W36</f>
        <v>5.454545454545455</v>
      </c>
      <c r="X55" s="381">
        <f>X49*453.59/3600</f>
        <v>0.32759277777777779</v>
      </c>
      <c r="Y55" s="381">
        <f t="shared" si="14"/>
        <v>1.2599722222222222E-2</v>
      </c>
    </row>
    <row r="56" spans="2:26">
      <c r="B56" s="165"/>
      <c r="C56" s="109"/>
      <c r="D56" s="109"/>
      <c r="E56" s="127" t="s">
        <v>196</v>
      </c>
      <c r="F56" s="1143">
        <f>F55*0.9</f>
        <v>0.55000000000000004</v>
      </c>
      <c r="G56" s="1143">
        <f t="shared" ref="G56:W56" si="16">G55*0.9</f>
        <v>2</v>
      </c>
      <c r="H56" s="1143">
        <f t="shared" si="16"/>
        <v>7.3</v>
      </c>
      <c r="I56" s="1143">
        <f t="shared" si="16"/>
        <v>3.9500000000000006</v>
      </c>
      <c r="J56" s="1293">
        <f t="shared" si="16"/>
        <v>4.6649999999999999E-3</v>
      </c>
      <c r="K56" s="1293">
        <f t="shared" si="16"/>
        <v>4.6649999999999999E-3</v>
      </c>
      <c r="L56" s="1293">
        <f t="shared" si="16"/>
        <v>8.94E-3</v>
      </c>
      <c r="M56" s="1293">
        <f t="shared" ref="M56:N56" si="17">M55*0.9</f>
        <v>8.8499999999999994E-4</v>
      </c>
      <c r="N56" s="1293">
        <f t="shared" si="17"/>
        <v>6.7500000000000004E-4</v>
      </c>
      <c r="O56" s="381">
        <f t="shared" si="15"/>
        <v>0.18104999999999999</v>
      </c>
      <c r="P56" s="1293">
        <f t="shared" si="16"/>
        <v>0.10031888925294886</v>
      </c>
      <c r="Q56" s="1293">
        <f t="shared" si="16"/>
        <v>4.6166050965018093E-2</v>
      </c>
      <c r="R56" s="1293">
        <f t="shared" si="16"/>
        <v>1.7235325693606755E-2</v>
      </c>
      <c r="S56" s="1293">
        <f t="shared" si="16"/>
        <v>0.46815481651376134</v>
      </c>
      <c r="T56" s="1293">
        <f t="shared" si="16"/>
        <v>0.21544157117008444</v>
      </c>
      <c r="U56" s="1293">
        <f t="shared" si="16"/>
        <v>8.0431519903498186E-2</v>
      </c>
      <c r="V56" s="1293">
        <f t="shared" si="16"/>
        <v>9.6249999999999999E-3</v>
      </c>
      <c r="W56" s="1293">
        <f t="shared" si="16"/>
        <v>4.9090909090909101</v>
      </c>
      <c r="X56" s="1293">
        <f t="shared" ref="X56:Y56" si="18">X55*0.9</f>
        <v>0.29483350000000003</v>
      </c>
      <c r="Y56" s="1293">
        <f t="shared" si="18"/>
        <v>1.1339750000000001E-2</v>
      </c>
      <c r="Z56" t="s">
        <v>1456</v>
      </c>
    </row>
    <row r="57" spans="2:26" ht="18.75">
      <c r="B57" s="165"/>
      <c r="C57" s="109"/>
      <c r="D57" s="109"/>
      <c r="E57" s="127" t="s">
        <v>199</v>
      </c>
      <c r="F57" s="1143">
        <f>F55*F53</f>
        <v>0.12222222222222223</v>
      </c>
      <c r="G57" s="1143">
        <f t="shared" ref="G57:W57" si="19">G55*G53</f>
        <v>0.44444444444444448</v>
      </c>
      <c r="H57" s="1143">
        <f t="shared" si="19"/>
        <v>1.6222222222222222</v>
      </c>
      <c r="I57" s="1143">
        <f t="shared" si="19"/>
        <v>0.87777777777777788</v>
      </c>
      <c r="J57" s="1293">
        <f t="shared" si="19"/>
        <v>1.0366666666666666E-3</v>
      </c>
      <c r="K57" s="1293">
        <f t="shared" si="19"/>
        <v>1.0366666666666666E-3</v>
      </c>
      <c r="L57" s="1293">
        <f t="shared" si="19"/>
        <v>1.9866666666666665E-3</v>
      </c>
      <c r="M57" s="1293">
        <f t="shared" ref="M57:N57" si="20">M55*M53</f>
        <v>1.9666666666666666E-4</v>
      </c>
      <c r="N57" s="1293">
        <f t="shared" si="20"/>
        <v>1.5000000000000001E-4</v>
      </c>
      <c r="O57" s="381">
        <f t="shared" si="15"/>
        <v>4.0233333333333329E-2</v>
      </c>
      <c r="P57" s="1293">
        <f t="shared" si="19"/>
        <v>2.2293086500655306E-2</v>
      </c>
      <c r="Q57" s="1293">
        <f t="shared" si="19"/>
        <v>1.0259122436670688E-2</v>
      </c>
      <c r="R57" s="1293">
        <f t="shared" si="19"/>
        <v>3.8300723763570565E-3</v>
      </c>
      <c r="S57" s="1293">
        <f t="shared" si="19"/>
        <v>0.10403440366972475</v>
      </c>
      <c r="T57" s="1293">
        <f t="shared" si="19"/>
        <v>4.7875904704463207E-2</v>
      </c>
      <c r="U57" s="1293">
        <f t="shared" si="19"/>
        <v>1.7873671089666265E-2</v>
      </c>
      <c r="V57" s="1293">
        <f t="shared" si="19"/>
        <v>2.138888888888889E-3</v>
      </c>
      <c r="W57" s="1293">
        <f t="shared" si="19"/>
        <v>1.0909090909090911</v>
      </c>
      <c r="X57" s="1293">
        <f t="shared" ref="X57:Y57" si="21">X55*X53</f>
        <v>6.5518555555555566E-2</v>
      </c>
      <c r="Y57" s="1293">
        <f t="shared" si="21"/>
        <v>2.5199444444444444E-3</v>
      </c>
    </row>
    <row r="58" spans="2:26" ht="18.75">
      <c r="B58" s="165"/>
      <c r="C58" s="109"/>
      <c r="D58" s="109"/>
      <c r="E58" s="127" t="s">
        <v>200</v>
      </c>
      <c r="F58" s="1143">
        <f t="shared" ref="F58:I60" si="22">(F$39*F50)/3600</f>
        <v>3.7583333333333337E-2</v>
      </c>
      <c r="G58" s="1143">
        <f t="shared" si="22"/>
        <v>8.5416666666666669E-2</v>
      </c>
      <c r="H58" s="1143">
        <f t="shared" si="22"/>
        <v>0.13666666666666666</v>
      </c>
      <c r="I58" s="1143">
        <f t="shared" si="22"/>
        <v>0.13666666666666666</v>
      </c>
      <c r="J58" s="159" t="e">
        <f>NA()</f>
        <v>#N/A</v>
      </c>
      <c r="K58" s="159" t="e">
        <f>NA()</f>
        <v>#N/A</v>
      </c>
      <c r="L58" s="159" t="e">
        <f>NA()</f>
        <v>#N/A</v>
      </c>
      <c r="M58" s="159" t="e">
        <f>NA()</f>
        <v>#N/A</v>
      </c>
      <c r="N58" s="159" t="e">
        <f>NA()</f>
        <v>#N/A</v>
      </c>
      <c r="O58" s="159" t="e">
        <f>NA()</f>
        <v>#N/A</v>
      </c>
      <c r="P58" s="368">
        <f t="shared" ref="P58:U60" si="23">(P$34*P50)*(453.59/3600)</f>
        <v>0.12014233271375462</v>
      </c>
      <c r="Q58" s="368">
        <f t="shared" si="23"/>
        <v>3.3599259259259253E-4</v>
      </c>
      <c r="R58" s="368">
        <f t="shared" si="23"/>
        <v>3.3599259259259253E-4</v>
      </c>
      <c r="S58" s="368">
        <f t="shared" si="23"/>
        <v>0.56066421933085486</v>
      </c>
      <c r="T58" s="368">
        <f t="shared" si="23"/>
        <v>1.5679654320987651E-3</v>
      </c>
      <c r="U58" s="368">
        <f t="shared" si="23"/>
        <v>1.5679654320987651E-3</v>
      </c>
      <c r="V58" s="366" t="e">
        <f>NA()</f>
        <v>#N/A</v>
      </c>
      <c r="W58" s="366" t="e">
        <f>NA()</f>
        <v>#N/A</v>
      </c>
      <c r="X58" s="366" t="e">
        <f>NA()</f>
        <v>#N/A</v>
      </c>
      <c r="Y58" s="366" t="e">
        <f>NA()</f>
        <v>#N/A</v>
      </c>
    </row>
    <row r="59" spans="2:26" ht="18.75">
      <c r="B59" s="165"/>
      <c r="C59" s="107"/>
      <c r="D59" s="109"/>
      <c r="E59" s="127" t="s">
        <v>201</v>
      </c>
      <c r="F59" s="1143">
        <f t="shared" si="22"/>
        <v>3.0555555555555555E-2</v>
      </c>
      <c r="G59" s="1143">
        <f t="shared" si="22"/>
        <v>6.9444444444444448E-2</v>
      </c>
      <c r="H59" s="1143">
        <f t="shared" si="22"/>
        <v>0.23666666666666666</v>
      </c>
      <c r="I59" s="1143">
        <f t="shared" si="22"/>
        <v>0.23666666666666666</v>
      </c>
      <c r="J59" s="159" t="e">
        <f>NA()</f>
        <v>#N/A</v>
      </c>
      <c r="K59" s="159" t="e">
        <f>NA()</f>
        <v>#N/A</v>
      </c>
      <c r="L59" s="159" t="e">
        <f>NA()</f>
        <v>#N/A</v>
      </c>
      <c r="M59" s="159" t="e">
        <f>NA()</f>
        <v>#N/A</v>
      </c>
      <c r="N59" s="159" t="e">
        <f>NA()</f>
        <v>#N/A</v>
      </c>
      <c r="O59" s="159" t="e">
        <f>NA()</f>
        <v>#N/A</v>
      </c>
      <c r="P59" s="369">
        <f t="shared" si="23"/>
        <v>8.5048125000000002E-3</v>
      </c>
      <c r="Q59" s="369">
        <f t="shared" si="23"/>
        <v>2.8349374999999994E-3</v>
      </c>
      <c r="R59" s="369">
        <f t="shared" si="23"/>
        <v>2.8349374999999994E-3</v>
      </c>
      <c r="S59" s="369">
        <f t="shared" si="23"/>
        <v>3.9689124999999992E-2</v>
      </c>
      <c r="T59" s="369">
        <f t="shared" si="23"/>
        <v>1.3229708333333331E-2</v>
      </c>
      <c r="U59" s="369">
        <f t="shared" si="23"/>
        <v>1.3229708333333331E-2</v>
      </c>
      <c r="V59" s="366" t="e">
        <f>NA()</f>
        <v>#N/A</v>
      </c>
      <c r="W59" s="366" t="e">
        <f>NA()</f>
        <v>#N/A</v>
      </c>
      <c r="X59" s="366" t="e">
        <f>NA()</f>
        <v>#N/A</v>
      </c>
      <c r="Y59" s="366" t="e">
        <f>NA()</f>
        <v>#N/A</v>
      </c>
    </row>
    <row r="60" spans="2:26" ht="18.75">
      <c r="B60" s="391"/>
      <c r="C60" s="1011"/>
      <c r="D60" s="1038"/>
      <c r="E60" s="723" t="s">
        <v>890</v>
      </c>
      <c r="F60" s="1144">
        <f t="shared" si="22"/>
        <v>3.0555555555555555E-2</v>
      </c>
      <c r="G60" s="1144">
        <f t="shared" si="22"/>
        <v>6.9444444444444448E-2</v>
      </c>
      <c r="H60" s="1144">
        <f t="shared" si="22"/>
        <v>0.23666666666666666</v>
      </c>
      <c r="I60" s="1144">
        <f t="shared" si="22"/>
        <v>0.23666666666666666</v>
      </c>
      <c r="J60" s="1039" t="e">
        <f>NA()</f>
        <v>#N/A</v>
      </c>
      <c r="K60" s="1039" t="e">
        <f>NA()</f>
        <v>#N/A</v>
      </c>
      <c r="L60" s="1039" t="e">
        <f>NA()</f>
        <v>#N/A</v>
      </c>
      <c r="M60" s="1039" t="e">
        <f>NA()</f>
        <v>#N/A</v>
      </c>
      <c r="N60" s="1039" t="e">
        <f>NA()</f>
        <v>#N/A</v>
      </c>
      <c r="O60" s="1039" t="e">
        <f>NA()</f>
        <v>#N/A</v>
      </c>
      <c r="P60" s="1040">
        <f t="shared" si="23"/>
        <v>8.5048125000000002E-3</v>
      </c>
      <c r="Q60" s="1040">
        <f t="shared" si="23"/>
        <v>2.8349374999999994E-3</v>
      </c>
      <c r="R60" s="1040">
        <f t="shared" si="23"/>
        <v>2.8349374999999994E-3</v>
      </c>
      <c r="S60" s="1040">
        <f t="shared" si="23"/>
        <v>3.9689124999999992E-2</v>
      </c>
      <c r="T60" s="1040">
        <f t="shared" si="23"/>
        <v>1.3229708333333331E-2</v>
      </c>
      <c r="U60" s="1040">
        <f t="shared" si="23"/>
        <v>1.3229708333333331E-2</v>
      </c>
      <c r="V60" s="1041" t="e">
        <f>NA()</f>
        <v>#N/A</v>
      </c>
      <c r="W60" s="1041" t="e">
        <f>NA()</f>
        <v>#N/A</v>
      </c>
      <c r="X60" s="1041" t="e">
        <f>NA()</f>
        <v>#N/A</v>
      </c>
      <c r="Y60" s="1041" t="e">
        <f>NA()</f>
        <v>#N/A</v>
      </c>
    </row>
    <row r="61" spans="2:26">
      <c r="B61" s="156" t="s">
        <v>189</v>
      </c>
      <c r="F61" s="1145"/>
      <c r="G61" s="1145"/>
      <c r="H61" s="1145"/>
      <c r="I61" s="1145"/>
    </row>
    <row r="62" spans="2:26">
      <c r="B62" s="1034" t="s">
        <v>202</v>
      </c>
      <c r="C62" s="31"/>
      <c r="D62" s="31"/>
      <c r="E62" s="114" t="s">
        <v>203</v>
      </c>
      <c r="F62" s="1146">
        <f t="shared" ref="F62:Y62" si="24">IF(AND(ISNUMBER($D$14),ISNUMBER(F$54)),$D$14/F$54,"#N/A")</f>
        <v>428259.74025974027</v>
      </c>
      <c r="G62" s="1146">
        <f t="shared" si="24"/>
        <v>188434.28571428574</v>
      </c>
      <c r="H62" s="1146">
        <f t="shared" si="24"/>
        <v>123044.77611940299</v>
      </c>
      <c r="I62" s="1146">
        <f t="shared" si="24"/>
        <v>123044.77611940299</v>
      </c>
      <c r="J62" s="168">
        <f t="shared" si="24"/>
        <v>62454545.454545453</v>
      </c>
      <c r="K62" s="168">
        <f t="shared" si="24"/>
        <v>62454545.454545453</v>
      </c>
      <c r="L62" s="168">
        <f t="shared" si="24"/>
        <v>31085972.850678734</v>
      </c>
      <c r="M62" s="168">
        <f t="shared" si="24"/>
        <v>11575400.168491997</v>
      </c>
      <c r="N62" s="168">
        <f t="shared" si="24"/>
        <v>117435897.43589742</v>
      </c>
      <c r="O62" s="168">
        <f t="shared" si="24"/>
        <v>57706.361139343644</v>
      </c>
      <c r="P62" s="251">
        <f t="shared" si="24"/>
        <v>10913595.697304673</v>
      </c>
      <c r="Q62" s="251">
        <f t="shared" si="24"/>
        <v>7047344.8008226119</v>
      </c>
      <c r="R62" s="251">
        <f t="shared" si="24"/>
        <v>10993857.889283275</v>
      </c>
      <c r="S62" s="251">
        <f t="shared" si="24"/>
        <v>2338627.6494224295</v>
      </c>
      <c r="T62" s="251">
        <f t="shared" si="24"/>
        <v>1510145.3144619884</v>
      </c>
      <c r="U62" s="251">
        <f t="shared" si="24"/>
        <v>2355826.6905607018</v>
      </c>
      <c r="V62" s="168">
        <f t="shared" si="24"/>
        <v>1292669.541356331</v>
      </c>
      <c r="W62" s="168">
        <f t="shared" si="24"/>
        <v>802.08787818690621</v>
      </c>
      <c r="X62" s="1146">
        <f t="shared" si="24"/>
        <v>865476.37419570214</v>
      </c>
      <c r="Y62" s="168">
        <f t="shared" si="24"/>
        <v>103267.06737562355</v>
      </c>
    </row>
    <row r="63" spans="2:26">
      <c r="B63" s="33"/>
      <c r="E63" s="107" t="s">
        <v>204</v>
      </c>
      <c r="F63" s="1147">
        <f t="shared" ref="F63:Y63" si="25">IF(AND(ISNUMBER($D$15),ISNUMBER(F$56)),$D$15/F$56,"#N/A")</f>
        <v>163636.36363636362</v>
      </c>
      <c r="G63" s="1147">
        <f t="shared" si="25"/>
        <v>45000</v>
      </c>
      <c r="H63" s="1147">
        <f t="shared" si="25"/>
        <v>12328.767123287671</v>
      </c>
      <c r="I63" s="1147">
        <f t="shared" si="25"/>
        <v>22784.810126582273</v>
      </c>
      <c r="J63" s="167">
        <f t="shared" si="25"/>
        <v>19292604.501607716</v>
      </c>
      <c r="K63" s="167">
        <f t="shared" si="25"/>
        <v>19292604.501607716</v>
      </c>
      <c r="L63" s="167">
        <f t="shared" si="25"/>
        <v>10067114.093959732</v>
      </c>
      <c r="M63" s="167">
        <f t="shared" si="25"/>
        <v>101694915.25423729</v>
      </c>
      <c r="N63" s="167">
        <f t="shared" si="25"/>
        <v>133333333.33333333</v>
      </c>
      <c r="O63" s="167">
        <f t="shared" si="25"/>
        <v>497100.24855012429</v>
      </c>
      <c r="P63" s="253">
        <f t="shared" si="25"/>
        <v>897139.11976307549</v>
      </c>
      <c r="Q63" s="253">
        <f t="shared" si="25"/>
        <v>1949484.4830500379</v>
      </c>
      <c r="R63" s="253">
        <f t="shared" si="25"/>
        <v>5221833.4367411733</v>
      </c>
      <c r="S63" s="253">
        <f t="shared" si="25"/>
        <v>192244.09709208761</v>
      </c>
      <c r="T63" s="253">
        <f t="shared" si="25"/>
        <v>417746.67493929382</v>
      </c>
      <c r="U63" s="253">
        <f t="shared" si="25"/>
        <v>1118964.3078731084</v>
      </c>
      <c r="V63" s="167">
        <f t="shared" si="25"/>
        <v>9350649.3506493513</v>
      </c>
      <c r="W63" s="167">
        <f t="shared" si="25"/>
        <v>18333.333333333328</v>
      </c>
      <c r="X63" s="1147">
        <f t="shared" si="25"/>
        <v>305257.03490275017</v>
      </c>
      <c r="Y63" s="167">
        <f t="shared" si="25"/>
        <v>7936682.9074715041</v>
      </c>
    </row>
    <row r="64" spans="2:26" ht="18.75">
      <c r="B64" s="33"/>
      <c r="E64" s="107" t="s">
        <v>3</v>
      </c>
      <c r="F64" s="1147">
        <f t="shared" ref="F64:Y64" si="26">IF(AND(ISNUMBER($D$16),ISNUMBER(F$57)),$D$16/F$57,"#N/A")</f>
        <v>14727.272727272726</v>
      </c>
      <c r="G64" s="1147">
        <f t="shared" si="26"/>
        <v>4049.9999999999995</v>
      </c>
      <c r="H64" s="1147">
        <f t="shared" si="26"/>
        <v>1109.5890410958905</v>
      </c>
      <c r="I64" s="1147">
        <f t="shared" si="26"/>
        <v>2050.6329113924048</v>
      </c>
      <c r="J64" s="167">
        <f t="shared" si="26"/>
        <v>1736334.4051446945</v>
      </c>
      <c r="K64" s="167">
        <f t="shared" si="26"/>
        <v>1736334.4051446945</v>
      </c>
      <c r="L64" s="167">
        <f t="shared" si="26"/>
        <v>906040.26845637592</v>
      </c>
      <c r="M64" s="167">
        <f t="shared" si="26"/>
        <v>9152542.3728813566</v>
      </c>
      <c r="N64" s="167">
        <f t="shared" si="26"/>
        <v>11999999.999999998</v>
      </c>
      <c r="O64" s="167">
        <f t="shared" si="26"/>
        <v>44739.022369511193</v>
      </c>
      <c r="P64" s="253">
        <f t="shared" si="26"/>
        <v>80742.520778676786</v>
      </c>
      <c r="Q64" s="253">
        <f t="shared" si="26"/>
        <v>175453.60347450338</v>
      </c>
      <c r="R64" s="253">
        <f t="shared" si="26"/>
        <v>469965.00930670556</v>
      </c>
      <c r="S64" s="253">
        <f t="shared" si="26"/>
        <v>17301.968738287884</v>
      </c>
      <c r="T64" s="253">
        <f t="shared" si="26"/>
        <v>37597.200744536443</v>
      </c>
      <c r="U64" s="253">
        <f t="shared" si="26"/>
        <v>100706.78770857977</v>
      </c>
      <c r="V64" s="167">
        <f t="shared" si="26"/>
        <v>841558.4415584415</v>
      </c>
      <c r="W64" s="167">
        <f t="shared" si="26"/>
        <v>1649.9999999999998</v>
      </c>
      <c r="X64" s="1147">
        <f t="shared" si="26"/>
        <v>27473.133141247512</v>
      </c>
      <c r="Y64" s="167">
        <f t="shared" si="26"/>
        <v>714301.46167243551</v>
      </c>
    </row>
    <row r="65" spans="2:25" ht="18.75">
      <c r="B65" s="33"/>
      <c r="E65" s="107" t="s">
        <v>1665</v>
      </c>
      <c r="F65" s="1147">
        <f>IF(AND(ISNUMBER($D$17),ISNUMBER(F$57)),$D$17/F$57,"#N/A")</f>
        <v>9327.2727272727261</v>
      </c>
      <c r="G65" s="1147">
        <f t="shared" ref="G65:Y65" si="27">IF(AND(ISNUMBER($D$17),ISNUMBER(G$57)),$D$17/G$57,"#N/A")</f>
        <v>2565</v>
      </c>
      <c r="H65" s="1147">
        <f t="shared" si="27"/>
        <v>702.7397260273973</v>
      </c>
      <c r="I65" s="1147">
        <f t="shared" si="27"/>
        <v>1298.7341772151897</v>
      </c>
      <c r="J65" s="1147">
        <f t="shared" si="27"/>
        <v>1099678.4565916399</v>
      </c>
      <c r="K65" s="1147">
        <f t="shared" si="27"/>
        <v>1099678.4565916399</v>
      </c>
      <c r="L65" s="1147">
        <f t="shared" si="27"/>
        <v>573825.50335570471</v>
      </c>
      <c r="M65" s="1147">
        <f t="shared" si="27"/>
        <v>5796610.1694915257</v>
      </c>
      <c r="N65" s="1147">
        <f t="shared" si="27"/>
        <v>7599999.9999999991</v>
      </c>
      <c r="O65" s="1147">
        <f t="shared" si="27"/>
        <v>28334.714167357088</v>
      </c>
      <c r="P65" s="1147">
        <f t="shared" si="27"/>
        <v>51136.929826495296</v>
      </c>
      <c r="Q65" s="1147">
        <f t="shared" si="27"/>
        <v>111120.61553385215</v>
      </c>
      <c r="R65" s="1147">
        <f t="shared" si="27"/>
        <v>297644.50589424686</v>
      </c>
      <c r="S65" s="1147">
        <f t="shared" si="27"/>
        <v>10957.913534248994</v>
      </c>
      <c r="T65" s="1147">
        <f t="shared" si="27"/>
        <v>23811.560471539749</v>
      </c>
      <c r="U65" s="1147">
        <f t="shared" si="27"/>
        <v>63780.965548767184</v>
      </c>
      <c r="V65" s="1147">
        <f t="shared" si="27"/>
        <v>532987.01298701297</v>
      </c>
      <c r="W65" s="1147">
        <f t="shared" si="27"/>
        <v>1044.9999999999998</v>
      </c>
      <c r="X65" s="1147">
        <f t="shared" si="27"/>
        <v>17399.650989456757</v>
      </c>
      <c r="Y65" s="1147">
        <f t="shared" si="27"/>
        <v>452390.92572587577</v>
      </c>
    </row>
    <row r="66" spans="2:25" ht="18.75">
      <c r="B66" s="33"/>
      <c r="E66" s="107" t="s">
        <v>4</v>
      </c>
      <c r="F66" s="1147">
        <f t="shared" ref="F66:Y66" si="28">IF(AND(ISNUMBER($D$18),ISNUMBER(F$57)),$D$18/F$57,"#N/A")</f>
        <v>73636.363636363632</v>
      </c>
      <c r="G66" s="1147">
        <f t="shared" si="28"/>
        <v>20250</v>
      </c>
      <c r="H66" s="1147">
        <f t="shared" si="28"/>
        <v>5547.9452054794519</v>
      </c>
      <c r="I66" s="1147">
        <f t="shared" si="28"/>
        <v>10253.164556962025</v>
      </c>
      <c r="J66" s="167">
        <f t="shared" si="28"/>
        <v>8681672.0257234722</v>
      </c>
      <c r="K66" s="167">
        <f t="shared" si="28"/>
        <v>8681672.0257234722</v>
      </c>
      <c r="L66" s="167">
        <f t="shared" si="28"/>
        <v>4530201.3422818799</v>
      </c>
      <c r="M66" s="167">
        <f t="shared" si="28"/>
        <v>45762711.864406779</v>
      </c>
      <c r="N66" s="167">
        <f t="shared" si="28"/>
        <v>59999999.999999993</v>
      </c>
      <c r="O66" s="167">
        <f t="shared" si="28"/>
        <v>223695.11184755593</v>
      </c>
      <c r="P66" s="253">
        <f t="shared" si="28"/>
        <v>403712.60389338393</v>
      </c>
      <c r="Q66" s="253">
        <f t="shared" si="28"/>
        <v>877268.01737251703</v>
      </c>
      <c r="R66" s="253">
        <f t="shared" si="28"/>
        <v>2349825.0465335278</v>
      </c>
      <c r="S66" s="253">
        <f t="shared" si="28"/>
        <v>86509.843691439426</v>
      </c>
      <c r="T66" s="253">
        <f t="shared" si="28"/>
        <v>187986.00372268222</v>
      </c>
      <c r="U66" s="253">
        <f t="shared" si="28"/>
        <v>503533.9385428988</v>
      </c>
      <c r="V66" s="167">
        <f t="shared" si="28"/>
        <v>4207792.2077922076</v>
      </c>
      <c r="W66" s="167">
        <f t="shared" si="28"/>
        <v>8249.9999999999982</v>
      </c>
      <c r="X66" s="1147">
        <f t="shared" si="28"/>
        <v>137365.66570623757</v>
      </c>
      <c r="Y66" s="167">
        <f t="shared" si="28"/>
        <v>3571507.3083621771</v>
      </c>
    </row>
    <row r="67" spans="2:25" ht="18.75">
      <c r="B67" s="33"/>
      <c r="E67" s="107" t="s">
        <v>1458</v>
      </c>
      <c r="F67" s="1147">
        <f>IF(AND(ISNUMBER($D$19),ISNUMBER(F$57)),$D$19/F$57,"#N/A")</f>
        <v>44181.818181818177</v>
      </c>
      <c r="G67" s="1147">
        <f t="shared" ref="G67:Y67" si="29">IF(AND(ISNUMBER($D$19),ISNUMBER(G$57)),$D$19/G$57,"#N/A")</f>
        <v>12150</v>
      </c>
      <c r="H67" s="1147">
        <f t="shared" si="29"/>
        <v>3328.7671232876714</v>
      </c>
      <c r="I67" s="1147">
        <f t="shared" si="29"/>
        <v>6151.8987341772145</v>
      </c>
      <c r="J67" s="1147">
        <f t="shared" si="29"/>
        <v>5209003.2154340837</v>
      </c>
      <c r="K67" s="1147">
        <f t="shared" si="29"/>
        <v>5209003.2154340837</v>
      </c>
      <c r="L67" s="1147">
        <f t="shared" si="29"/>
        <v>2718120.8053691275</v>
      </c>
      <c r="M67" s="1147">
        <f t="shared" si="29"/>
        <v>27457627.11864407</v>
      </c>
      <c r="N67" s="1147">
        <f t="shared" si="29"/>
        <v>36000000</v>
      </c>
      <c r="O67" s="1147">
        <f t="shared" si="29"/>
        <v>134217.06710853358</v>
      </c>
      <c r="P67" s="1147">
        <f t="shared" si="29"/>
        <v>242227.56233603036</v>
      </c>
      <c r="Q67" s="1147">
        <f t="shared" si="29"/>
        <v>526360.81042351015</v>
      </c>
      <c r="R67" s="1147">
        <f t="shared" si="29"/>
        <v>1409895.0279201167</v>
      </c>
      <c r="S67" s="1147">
        <f t="shared" si="29"/>
        <v>51905.906214863659</v>
      </c>
      <c r="T67" s="1147">
        <f t="shared" si="29"/>
        <v>112791.60223360933</v>
      </c>
      <c r="U67" s="1147">
        <f t="shared" si="29"/>
        <v>302120.36312573927</v>
      </c>
      <c r="V67" s="1147">
        <f t="shared" si="29"/>
        <v>2524675.3246753244</v>
      </c>
      <c r="W67" s="1147">
        <f t="shared" si="29"/>
        <v>4949.9999999999991</v>
      </c>
      <c r="X67" s="1147">
        <f t="shared" si="29"/>
        <v>82419.399423742536</v>
      </c>
      <c r="Y67" s="1147">
        <f t="shared" si="29"/>
        <v>2142904.3850173065</v>
      </c>
    </row>
    <row r="68" spans="2:25" ht="18.75">
      <c r="B68" s="33"/>
      <c r="E68" s="107" t="s">
        <v>1459</v>
      </c>
      <c r="F68" s="1147">
        <f>IF(AND(ISNUMBER($D$20),ISNUMBER(F$57)),$D$20/F$57,"#N/A")</f>
        <v>1538.181818181818</v>
      </c>
      <c r="G68" s="1147">
        <f t="shared" ref="G68:Y68" si="30">IF(AND(ISNUMBER($D$20),ISNUMBER(G$57)),$D$20/G$57,"#N/A")</f>
        <v>422.99999999999994</v>
      </c>
      <c r="H68" s="1147">
        <f t="shared" si="30"/>
        <v>115.89041095890411</v>
      </c>
      <c r="I68" s="1147">
        <f t="shared" si="30"/>
        <v>214.17721518987338</v>
      </c>
      <c r="J68" s="1147">
        <f t="shared" si="30"/>
        <v>181350.48231511255</v>
      </c>
      <c r="K68" s="1147">
        <f t="shared" si="30"/>
        <v>181350.48231511255</v>
      </c>
      <c r="L68" s="1147">
        <f t="shared" si="30"/>
        <v>94630.872483221479</v>
      </c>
      <c r="M68" s="1147">
        <f t="shared" si="30"/>
        <v>955932.20338983054</v>
      </c>
      <c r="N68" s="1147">
        <f t="shared" si="30"/>
        <v>1253333.3333333333</v>
      </c>
      <c r="O68" s="1147">
        <f t="shared" si="30"/>
        <v>4672.7423363711687</v>
      </c>
      <c r="P68" s="1147">
        <f t="shared" si="30"/>
        <v>8433.1077257729085</v>
      </c>
      <c r="Q68" s="1147">
        <f t="shared" si="30"/>
        <v>18325.154140670355</v>
      </c>
      <c r="R68" s="1147">
        <f t="shared" si="30"/>
        <v>49085.234305367027</v>
      </c>
      <c r="S68" s="1147">
        <f t="shared" si="30"/>
        <v>1807.0945126656236</v>
      </c>
      <c r="T68" s="1147">
        <f t="shared" si="30"/>
        <v>3926.8187444293621</v>
      </c>
      <c r="U68" s="1147">
        <f t="shared" si="30"/>
        <v>10518.264494007219</v>
      </c>
      <c r="V68" s="1147">
        <f t="shared" si="30"/>
        <v>87896.103896103887</v>
      </c>
      <c r="W68" s="1147">
        <f t="shared" si="30"/>
        <v>172.33333333333331</v>
      </c>
      <c r="X68" s="1147">
        <f t="shared" si="30"/>
        <v>2869.4161280858516</v>
      </c>
      <c r="Y68" s="1147">
        <f t="shared" si="30"/>
        <v>74604.819330232145</v>
      </c>
    </row>
    <row r="69" spans="2:25" ht="18.75">
      <c r="B69" s="33"/>
      <c r="E69" s="107" t="s">
        <v>1460</v>
      </c>
      <c r="F69" s="1147">
        <f t="shared" ref="F69:Y69" si="31">IF(AND(ISNUMBER($D$21),ISNUMBER(F$58)),$D$21/F$58,"#N/A")</f>
        <v>345898.00443458976</v>
      </c>
      <c r="G69" s="1147">
        <f t="shared" si="31"/>
        <v>152195.12195121951</v>
      </c>
      <c r="H69" s="1147">
        <f t="shared" si="31"/>
        <v>95121.951219512208</v>
      </c>
      <c r="I69" s="1147">
        <f t="shared" si="31"/>
        <v>95121.951219512208</v>
      </c>
      <c r="J69" s="1147" t="str">
        <f t="shared" si="31"/>
        <v>#N/A</v>
      </c>
      <c r="K69" s="1147" t="str">
        <f t="shared" si="31"/>
        <v>#N/A</v>
      </c>
      <c r="L69" s="1147" t="str">
        <f t="shared" si="31"/>
        <v>#N/A</v>
      </c>
      <c r="M69" s="1147" t="str">
        <f t="shared" si="31"/>
        <v>#N/A</v>
      </c>
      <c r="N69" s="1147" t="str">
        <f t="shared" si="31"/>
        <v>#N/A</v>
      </c>
      <c r="O69" s="1147" t="str">
        <f t="shared" si="31"/>
        <v>#N/A</v>
      </c>
      <c r="P69" s="1147">
        <f t="shared" si="31"/>
        <v>108204.99075020608</v>
      </c>
      <c r="Q69" s="1147">
        <f t="shared" si="31"/>
        <v>38691329.173923597</v>
      </c>
      <c r="R69" s="1147">
        <f t="shared" si="31"/>
        <v>38691329.173923597</v>
      </c>
      <c r="S69" s="1147">
        <f t="shared" si="31"/>
        <v>23186.783732187017</v>
      </c>
      <c r="T69" s="1147">
        <f t="shared" si="31"/>
        <v>8290999.1086979136</v>
      </c>
      <c r="U69" s="1147">
        <f t="shared" si="31"/>
        <v>8290999.1086979136</v>
      </c>
      <c r="V69" s="1147" t="str">
        <f t="shared" si="31"/>
        <v>#N/A</v>
      </c>
      <c r="W69" s="1147" t="str">
        <f t="shared" si="31"/>
        <v>#N/A</v>
      </c>
      <c r="X69" s="1147" t="str">
        <f t="shared" si="31"/>
        <v>#N/A</v>
      </c>
      <c r="Y69" s="1147" t="str">
        <f t="shared" si="31"/>
        <v>#N/A</v>
      </c>
    </row>
    <row r="70" spans="2:25" ht="18.75">
      <c r="B70" s="33"/>
      <c r="E70" s="107" t="s">
        <v>1461</v>
      </c>
      <c r="F70" s="1147">
        <f>IF(AND(ISNUMBER($D$22),ISNUMBER(F$58)),$D$22/F$58,"#N/A")</f>
        <v>5215.0776053215077</v>
      </c>
      <c r="G70" s="1147">
        <f t="shared" ref="G70:Y70" si="32">IF(AND(ISNUMBER($D$22),ISNUMBER(G$58)),$D$22/G$58,"#N/A")</f>
        <v>2294.6341463414633</v>
      </c>
      <c r="H70" s="1147">
        <f t="shared" si="32"/>
        <v>1434.1463414634147</v>
      </c>
      <c r="I70" s="1147">
        <f t="shared" si="32"/>
        <v>1434.1463414634147</v>
      </c>
      <c r="J70" s="1147" t="str">
        <f t="shared" si="32"/>
        <v>#N/A</v>
      </c>
      <c r="K70" s="1147" t="str">
        <f t="shared" si="32"/>
        <v>#N/A</v>
      </c>
      <c r="L70" s="1147" t="str">
        <f t="shared" si="32"/>
        <v>#N/A</v>
      </c>
      <c r="M70" s="1147" t="str">
        <f t="shared" si="32"/>
        <v>#N/A</v>
      </c>
      <c r="N70" s="1147" t="str">
        <f t="shared" si="32"/>
        <v>#N/A</v>
      </c>
      <c r="O70" s="1147" t="str">
        <f t="shared" si="32"/>
        <v>#N/A</v>
      </c>
      <c r="P70" s="1147">
        <f t="shared" si="32"/>
        <v>1631.3983220800301</v>
      </c>
      <c r="Q70" s="1147">
        <f t="shared" si="32"/>
        <v>583346.1936991557</v>
      </c>
      <c r="R70" s="1147">
        <f t="shared" si="32"/>
        <v>583346.1936991557</v>
      </c>
      <c r="S70" s="1147">
        <f t="shared" si="32"/>
        <v>349.58535473143507</v>
      </c>
      <c r="T70" s="1147">
        <f t="shared" si="32"/>
        <v>125002.75579267622</v>
      </c>
      <c r="U70" s="1147">
        <f t="shared" si="32"/>
        <v>125002.75579267622</v>
      </c>
      <c r="V70" s="1147" t="str">
        <f t="shared" si="32"/>
        <v>#N/A</v>
      </c>
      <c r="W70" s="1147" t="str">
        <f t="shared" si="32"/>
        <v>#N/A</v>
      </c>
      <c r="X70" s="1147" t="str">
        <f t="shared" si="32"/>
        <v>#N/A</v>
      </c>
      <c r="Y70" s="1147" t="str">
        <f t="shared" si="32"/>
        <v>#N/A</v>
      </c>
    </row>
    <row r="71" spans="2:25" ht="18.75">
      <c r="B71" s="33"/>
      <c r="C71" s="107"/>
      <c r="E71" s="127" t="s">
        <v>1462</v>
      </c>
      <c r="F71" s="1147">
        <f t="shared" ref="F71:Y71" si="33">IF(AND(ISNUMBER($D$23),ISNUMBER(F$59)),$D$23/F$59,"#N/A")</f>
        <v>1472727.2727272727</v>
      </c>
      <c r="G71" s="1147">
        <f t="shared" si="33"/>
        <v>648000</v>
      </c>
      <c r="H71" s="1147">
        <f t="shared" si="33"/>
        <v>190140.84507042254</v>
      </c>
      <c r="I71" s="1147">
        <f t="shared" si="33"/>
        <v>190140.84507042254</v>
      </c>
      <c r="J71" s="253" t="str">
        <f t="shared" si="33"/>
        <v>#N/A</v>
      </c>
      <c r="K71" s="253" t="str">
        <f t="shared" si="33"/>
        <v>#N/A</v>
      </c>
      <c r="L71" s="253" t="str">
        <f t="shared" si="33"/>
        <v>#N/A</v>
      </c>
      <c r="M71" s="253" t="str">
        <f t="shared" si="33"/>
        <v>#N/A</v>
      </c>
      <c r="N71" s="253" t="str">
        <f t="shared" si="33"/>
        <v>#N/A</v>
      </c>
      <c r="O71" s="253" t="str">
        <f t="shared" si="33"/>
        <v>#N/A</v>
      </c>
      <c r="P71" s="253">
        <f t="shared" si="33"/>
        <v>5291121.9383143364</v>
      </c>
      <c r="Q71" s="253">
        <f t="shared" si="33"/>
        <v>15873365.814943014</v>
      </c>
      <c r="R71" s="253">
        <f t="shared" si="33"/>
        <v>15873365.814943014</v>
      </c>
      <c r="S71" s="253">
        <f t="shared" si="33"/>
        <v>1133811.843924501</v>
      </c>
      <c r="T71" s="253">
        <f t="shared" si="33"/>
        <v>3401435.5317735029</v>
      </c>
      <c r="U71" s="253">
        <f t="shared" si="33"/>
        <v>3401435.5317735029</v>
      </c>
      <c r="V71" s="253" t="str">
        <f t="shared" si="33"/>
        <v>#N/A</v>
      </c>
      <c r="W71" s="253" t="str">
        <f t="shared" si="33"/>
        <v>#N/A</v>
      </c>
      <c r="X71" s="253" t="str">
        <f t="shared" si="33"/>
        <v>#N/A</v>
      </c>
      <c r="Y71" s="253" t="str">
        <f t="shared" si="33"/>
        <v>#N/A</v>
      </c>
    </row>
    <row r="72" spans="2:25" ht="18.75">
      <c r="B72" s="33"/>
      <c r="E72" s="127" t="s">
        <v>1463</v>
      </c>
      <c r="F72" s="1147">
        <f t="shared" ref="F72:Y72" si="34">IF(AND(ISNUMBER($D$24),ISNUMBER(F$60)),$D$24/F$60,"#N/A")</f>
        <v>490909.09090909094</v>
      </c>
      <c r="G72" s="1147">
        <f t="shared" si="34"/>
        <v>216000</v>
      </c>
      <c r="H72" s="1147">
        <f t="shared" si="34"/>
        <v>63380.281690140844</v>
      </c>
      <c r="I72" s="1147">
        <f t="shared" si="34"/>
        <v>63380.281690140844</v>
      </c>
      <c r="J72" s="253" t="str">
        <f t="shared" si="34"/>
        <v>#N/A</v>
      </c>
      <c r="K72" s="253" t="str">
        <f t="shared" si="34"/>
        <v>#N/A</v>
      </c>
      <c r="L72" s="253" t="str">
        <f t="shared" si="34"/>
        <v>#N/A</v>
      </c>
      <c r="M72" s="253" t="str">
        <f t="shared" si="34"/>
        <v>#N/A</v>
      </c>
      <c r="N72" s="253" t="str">
        <f t="shared" si="34"/>
        <v>#N/A</v>
      </c>
      <c r="O72" s="253" t="str">
        <f t="shared" si="34"/>
        <v>#N/A</v>
      </c>
      <c r="P72" s="253">
        <f t="shared" si="34"/>
        <v>1763707.3127714456</v>
      </c>
      <c r="Q72" s="253">
        <f t="shared" si="34"/>
        <v>5291121.9383143382</v>
      </c>
      <c r="R72" s="253">
        <f t="shared" si="34"/>
        <v>5291121.9383143382</v>
      </c>
      <c r="S72" s="253">
        <f t="shared" si="34"/>
        <v>377937.28130816697</v>
      </c>
      <c r="T72" s="253">
        <f t="shared" si="34"/>
        <v>1133811.843924501</v>
      </c>
      <c r="U72" s="253">
        <f t="shared" si="34"/>
        <v>1133811.843924501</v>
      </c>
      <c r="V72" s="253" t="str">
        <f t="shared" si="34"/>
        <v>#N/A</v>
      </c>
      <c r="W72" s="253" t="str">
        <f t="shared" si="34"/>
        <v>#N/A</v>
      </c>
      <c r="X72" s="253" t="str">
        <f t="shared" si="34"/>
        <v>#N/A</v>
      </c>
      <c r="Y72" s="253" t="str">
        <f t="shared" si="34"/>
        <v>#N/A</v>
      </c>
    </row>
    <row r="73" spans="2:25" ht="18.75">
      <c r="B73" s="33"/>
      <c r="C73" s="107"/>
      <c r="E73" s="127" t="s">
        <v>1464</v>
      </c>
      <c r="F73" s="1147">
        <f>IF(AND(ISNUMBER($D$25),ISNUMBER(F$59)),$D$25/F$59,"#N/A")</f>
        <v>14220.900839363212</v>
      </c>
      <c r="G73" s="1147">
        <f t="shared" ref="G73:Y73" si="35">IF(AND(ISNUMBER($D$25),ISNUMBER(G$59)),$D$25/G$59,"#N/A")</f>
        <v>6257.1963693198131</v>
      </c>
      <c r="H73" s="1147">
        <f t="shared" si="35"/>
        <v>1836.0317985093347</v>
      </c>
      <c r="I73" s="1147">
        <f t="shared" si="35"/>
        <v>1836.0317985093347</v>
      </c>
      <c r="J73" s="1147" t="str">
        <f t="shared" si="35"/>
        <v>#N/A</v>
      </c>
      <c r="K73" s="1147" t="str">
        <f t="shared" si="35"/>
        <v>#N/A</v>
      </c>
      <c r="L73" s="1147" t="str">
        <f t="shared" si="35"/>
        <v>#N/A</v>
      </c>
      <c r="M73" s="1147" t="str">
        <f t="shared" si="35"/>
        <v>#N/A</v>
      </c>
      <c r="N73" s="1147" t="str">
        <f t="shared" si="35"/>
        <v>#N/A</v>
      </c>
      <c r="O73" s="1147" t="str">
        <f t="shared" si="35"/>
        <v>#N/A</v>
      </c>
      <c r="P73" s="1147">
        <f t="shared" si="35"/>
        <v>51091.958305630986</v>
      </c>
      <c r="Q73" s="1147">
        <f t="shared" si="35"/>
        <v>153275.87491689299</v>
      </c>
      <c r="R73" s="1147">
        <f t="shared" si="35"/>
        <v>153275.87491689299</v>
      </c>
      <c r="S73" s="1147">
        <f t="shared" si="35"/>
        <v>10948.276779778071</v>
      </c>
      <c r="T73" s="1147">
        <f t="shared" si="35"/>
        <v>32844.830339334214</v>
      </c>
      <c r="U73" s="1147">
        <f t="shared" si="35"/>
        <v>32844.830339334214</v>
      </c>
      <c r="V73" s="1147" t="str">
        <f t="shared" si="35"/>
        <v>#N/A</v>
      </c>
      <c r="W73" s="1147" t="str">
        <f t="shared" si="35"/>
        <v>#N/A</v>
      </c>
      <c r="X73" s="1147" t="str">
        <f t="shared" si="35"/>
        <v>#N/A</v>
      </c>
      <c r="Y73" s="1147" t="str">
        <f t="shared" si="35"/>
        <v>#N/A</v>
      </c>
    </row>
    <row r="74" spans="2:25" ht="18.75">
      <c r="B74" s="52"/>
      <c r="C74" s="41"/>
      <c r="D74" s="41"/>
      <c r="E74" s="723" t="s">
        <v>1465</v>
      </c>
      <c r="F74" s="1148">
        <f>IF(AND(ISNUMBER($D$26),ISNUMBER(F$60)),$D$26/F$60,"#N/A")</f>
        <v>3318.2101958514163</v>
      </c>
      <c r="G74" s="1148">
        <f t="shared" ref="G74:Y74" si="36">IF(AND(ISNUMBER($D$26),ISNUMBER(G$60)),$D$26/G$60,"#N/A")</f>
        <v>1460.0124861746231</v>
      </c>
      <c r="H74" s="1148">
        <f t="shared" si="36"/>
        <v>428.40741965217813</v>
      </c>
      <c r="I74" s="1148">
        <f t="shared" si="36"/>
        <v>428.40741965217813</v>
      </c>
      <c r="J74" s="1148" t="str">
        <f t="shared" si="36"/>
        <v>#N/A</v>
      </c>
      <c r="K74" s="1148" t="str">
        <f t="shared" si="36"/>
        <v>#N/A</v>
      </c>
      <c r="L74" s="1148" t="str">
        <f t="shared" si="36"/>
        <v>#N/A</v>
      </c>
      <c r="M74" s="1148" t="str">
        <f t="shared" si="36"/>
        <v>#N/A</v>
      </c>
      <c r="N74" s="1148" t="str">
        <f t="shared" si="36"/>
        <v>#N/A</v>
      </c>
      <c r="O74" s="1148" t="str">
        <f t="shared" si="36"/>
        <v>#N/A</v>
      </c>
      <c r="P74" s="1148">
        <f t="shared" si="36"/>
        <v>11921.456937980563</v>
      </c>
      <c r="Q74" s="1148">
        <f t="shared" si="36"/>
        <v>35764.370813941699</v>
      </c>
      <c r="R74" s="1148">
        <f t="shared" si="36"/>
        <v>35764.370813941699</v>
      </c>
      <c r="S74" s="1148">
        <f t="shared" si="36"/>
        <v>2554.5979152815498</v>
      </c>
      <c r="T74" s="1148">
        <f t="shared" si="36"/>
        <v>7663.7937458446495</v>
      </c>
      <c r="U74" s="1148">
        <f t="shared" si="36"/>
        <v>7663.7937458446495</v>
      </c>
      <c r="V74" s="1148" t="str">
        <f t="shared" si="36"/>
        <v>#N/A</v>
      </c>
      <c r="W74" s="1148" t="str">
        <f t="shared" si="36"/>
        <v>#N/A</v>
      </c>
      <c r="X74" s="1148" t="str">
        <f t="shared" si="36"/>
        <v>#N/A</v>
      </c>
      <c r="Y74" s="1148" t="str">
        <f t="shared" si="36"/>
        <v>#N/A</v>
      </c>
    </row>
    <row r="75" spans="2:25">
      <c r="E75" s="115" t="s">
        <v>205</v>
      </c>
      <c r="F75" s="1149">
        <f>MIN(F62:F65,F71:F72,F69)</f>
        <v>9327.2727272727261</v>
      </c>
      <c r="G75" s="1149">
        <f t="shared" ref="G75:Y75" si="37">MIN(G62:G65,G71:G72,G69)</f>
        <v>2565</v>
      </c>
      <c r="H75" s="1149">
        <f t="shared" si="37"/>
        <v>702.7397260273973</v>
      </c>
      <c r="I75" s="1149">
        <f t="shared" si="37"/>
        <v>1298.7341772151897</v>
      </c>
      <c r="J75" s="1149">
        <f t="shared" si="37"/>
        <v>1099678.4565916399</v>
      </c>
      <c r="K75" s="1149">
        <f t="shared" si="37"/>
        <v>1099678.4565916399</v>
      </c>
      <c r="L75" s="1149">
        <f t="shared" si="37"/>
        <v>573825.50335570471</v>
      </c>
      <c r="M75" s="1149">
        <f t="shared" ref="M75:N75" si="38">MIN(M62:M65,M71:M72,M69)</f>
        <v>5796610.1694915257</v>
      </c>
      <c r="N75" s="1149">
        <f t="shared" si="38"/>
        <v>7599999.9999999991</v>
      </c>
      <c r="O75" s="1149">
        <f t="shared" ref="O75" si="39">MIN(O62:O65,O71:O72,O69)</f>
        <v>28334.714167357088</v>
      </c>
      <c r="P75" s="1149">
        <f t="shared" si="37"/>
        <v>51136.929826495296</v>
      </c>
      <c r="Q75" s="1149">
        <f t="shared" si="37"/>
        <v>111120.61553385215</v>
      </c>
      <c r="R75" s="1149">
        <f t="shared" si="37"/>
        <v>297644.50589424686</v>
      </c>
      <c r="S75" s="1149">
        <f t="shared" si="37"/>
        <v>10957.913534248994</v>
      </c>
      <c r="T75" s="1149">
        <f t="shared" si="37"/>
        <v>23811.560471539749</v>
      </c>
      <c r="U75" s="1149">
        <f t="shared" si="37"/>
        <v>63780.965548767184</v>
      </c>
      <c r="V75" s="1149">
        <f t="shared" si="37"/>
        <v>532987.01298701297</v>
      </c>
      <c r="W75" s="1149">
        <f t="shared" si="37"/>
        <v>802.08787818690621</v>
      </c>
      <c r="X75" s="1149">
        <f t="shared" si="37"/>
        <v>17399.650989456757</v>
      </c>
      <c r="Y75" s="1149">
        <f t="shared" si="37"/>
        <v>103267.06737562355</v>
      </c>
    </row>
    <row r="76" spans="2:25">
      <c r="E76" s="115" t="s">
        <v>947</v>
      </c>
      <c r="F76" s="1149">
        <f t="shared" ref="F76:W76" si="40">F66</f>
        <v>73636.363636363632</v>
      </c>
      <c r="G76" s="1149">
        <f t="shared" si="40"/>
        <v>20250</v>
      </c>
      <c r="H76" s="1149">
        <f t="shared" si="40"/>
        <v>5547.9452054794519</v>
      </c>
      <c r="I76" s="1149">
        <f t="shared" si="40"/>
        <v>10253.164556962025</v>
      </c>
      <c r="J76" s="255">
        <f t="shared" si="40"/>
        <v>8681672.0257234722</v>
      </c>
      <c r="K76" s="255">
        <f t="shared" si="40"/>
        <v>8681672.0257234722</v>
      </c>
      <c r="L76" s="255">
        <f t="shared" si="40"/>
        <v>4530201.3422818799</v>
      </c>
      <c r="M76" s="255">
        <f t="shared" ref="M76:N76" si="41">M66</f>
        <v>45762711.864406779</v>
      </c>
      <c r="N76" s="255">
        <f t="shared" si="41"/>
        <v>59999999.999999993</v>
      </c>
      <c r="O76" s="255">
        <f t="shared" ref="O76" si="42">O66</f>
        <v>223695.11184755593</v>
      </c>
      <c r="P76" s="255">
        <f t="shared" si="40"/>
        <v>403712.60389338393</v>
      </c>
      <c r="Q76" s="255">
        <f t="shared" si="40"/>
        <v>877268.01737251703</v>
      </c>
      <c r="R76" s="255">
        <f t="shared" si="40"/>
        <v>2349825.0465335278</v>
      </c>
      <c r="S76" s="255">
        <f t="shared" si="40"/>
        <v>86509.843691439426</v>
      </c>
      <c r="T76" s="255">
        <f t="shared" si="40"/>
        <v>187986.00372268222</v>
      </c>
      <c r="U76" s="255">
        <f t="shared" si="40"/>
        <v>503533.9385428988</v>
      </c>
      <c r="V76" s="255">
        <f t="shared" si="40"/>
        <v>4207792.2077922076</v>
      </c>
      <c r="W76" s="255">
        <f t="shared" si="40"/>
        <v>8249.9999999999982</v>
      </c>
      <c r="X76" s="255">
        <f t="shared" ref="X76:Y76" si="43">X66</f>
        <v>137365.66570623757</v>
      </c>
      <c r="Y76" s="255">
        <f t="shared" si="43"/>
        <v>3571507.3083621771</v>
      </c>
    </row>
    <row r="77" spans="2:25">
      <c r="E77" s="115" t="s">
        <v>1457</v>
      </c>
      <c r="F77" s="1149">
        <f>MIN(F68,F70,F73:F74)</f>
        <v>1538.181818181818</v>
      </c>
      <c r="G77" s="1149">
        <f>MIN(G68,G70,G73:G74)</f>
        <v>422.99999999999994</v>
      </c>
      <c r="H77" s="1149">
        <f t="shared" ref="H77:W77" si="44">MIN(H68,H70,H73:H74)</f>
        <v>115.89041095890411</v>
      </c>
      <c r="I77" s="1149">
        <f t="shared" si="44"/>
        <v>214.17721518987338</v>
      </c>
      <c r="J77" s="1149">
        <f t="shared" si="44"/>
        <v>181350.48231511255</v>
      </c>
      <c r="K77" s="1149">
        <f t="shared" si="44"/>
        <v>181350.48231511255</v>
      </c>
      <c r="L77" s="1149">
        <f t="shared" si="44"/>
        <v>94630.872483221479</v>
      </c>
      <c r="M77" s="1149">
        <f t="shared" ref="M77:N77" si="45">MIN(M68,M70,M73:M74)</f>
        <v>955932.20338983054</v>
      </c>
      <c r="N77" s="1149">
        <f t="shared" si="45"/>
        <v>1253333.3333333333</v>
      </c>
      <c r="O77" s="1149">
        <f t="shared" ref="O77" si="46">MIN(O68,O70,O73:O74)</f>
        <v>4672.7423363711687</v>
      </c>
      <c r="P77" s="1149">
        <f t="shared" si="44"/>
        <v>1631.3983220800301</v>
      </c>
      <c r="Q77" s="1149">
        <f t="shared" si="44"/>
        <v>18325.154140670355</v>
      </c>
      <c r="R77" s="1149">
        <f t="shared" si="44"/>
        <v>35764.370813941699</v>
      </c>
      <c r="S77" s="1149">
        <f t="shared" si="44"/>
        <v>349.58535473143507</v>
      </c>
      <c r="T77" s="1149">
        <f t="shared" si="44"/>
        <v>3926.8187444293621</v>
      </c>
      <c r="U77" s="1149">
        <f t="shared" si="44"/>
        <v>7663.7937458446495</v>
      </c>
      <c r="V77" s="1149">
        <f t="shared" si="44"/>
        <v>87896.103896103887</v>
      </c>
      <c r="W77" s="1149">
        <f t="shared" si="44"/>
        <v>172.33333333333331</v>
      </c>
      <c r="X77" s="1149">
        <f t="shared" ref="X77:Y77" si="47">MIN(X68,X70,X73:X74)</f>
        <v>2869.4161280858516</v>
      </c>
      <c r="Y77" s="1149">
        <f t="shared" si="47"/>
        <v>74604.819330232145</v>
      </c>
    </row>
    <row r="78" spans="2:25">
      <c r="B78" s="1034" t="s">
        <v>206</v>
      </c>
      <c r="C78" s="31"/>
      <c r="D78" s="31"/>
      <c r="E78" s="114" t="s">
        <v>207</v>
      </c>
      <c r="F78" s="1146">
        <f t="shared" ref="F78:L78" si="48">10^6/(F$42*$E$12)</f>
        <v>227.80859909619105</v>
      </c>
      <c r="G78" s="1146">
        <f t="shared" si="48"/>
        <v>102.43121044992739</v>
      </c>
      <c r="H78" s="1146">
        <f t="shared" si="48"/>
        <v>161.35140374942841</v>
      </c>
      <c r="I78" s="1146">
        <f t="shared" si="48"/>
        <v>161.35140374942841</v>
      </c>
      <c r="J78" s="168">
        <f t="shared" si="48"/>
        <v>10586.265599999997</v>
      </c>
      <c r="K78" s="168">
        <f t="shared" si="48"/>
        <v>10586.265599999997</v>
      </c>
      <c r="L78" s="168">
        <f t="shared" si="48"/>
        <v>5293.1327999999985</v>
      </c>
      <c r="M78" s="252" t="s">
        <v>359</v>
      </c>
      <c r="N78" s="252" t="s">
        <v>359</v>
      </c>
      <c r="O78" s="252" t="s">
        <v>359</v>
      </c>
      <c r="P78" s="252" t="s">
        <v>359</v>
      </c>
      <c r="Q78" s="252" t="s">
        <v>359</v>
      </c>
      <c r="R78" s="252" t="s">
        <v>359</v>
      </c>
      <c r="S78" s="252" t="s">
        <v>359</v>
      </c>
      <c r="T78" s="252" t="s">
        <v>359</v>
      </c>
      <c r="U78" s="252" t="s">
        <v>359</v>
      </c>
      <c r="V78" s="252" t="s">
        <v>359</v>
      </c>
      <c r="W78" s="252" t="s">
        <v>359</v>
      </c>
      <c r="X78" s="252" t="e">
        <f>10^6/(X$42*$E$13)</f>
        <v>#N/A</v>
      </c>
      <c r="Y78" s="252" t="e">
        <f>10^6/(Y$42*$E$13)</f>
        <v>#N/A</v>
      </c>
    </row>
    <row r="79" spans="2:25">
      <c r="B79" s="33"/>
      <c r="E79" s="107" t="s">
        <v>203</v>
      </c>
      <c r="F79" s="1147" t="str">
        <f t="shared" ref="F79:Y79" si="49">IF(AND(ISNUMBER($E$14),ISNUMBER(F$54)),$E$14/F$54,"#N/A")</f>
        <v>#N/A</v>
      </c>
      <c r="G79" s="1147" t="str">
        <f t="shared" si="49"/>
        <v>#N/A</v>
      </c>
      <c r="H79" s="1147" t="str">
        <f t="shared" si="49"/>
        <v>#N/A</v>
      </c>
      <c r="I79" s="1147" t="str">
        <f t="shared" si="49"/>
        <v>#N/A</v>
      </c>
      <c r="J79" s="167" t="str">
        <f t="shared" si="49"/>
        <v>#N/A</v>
      </c>
      <c r="K79" s="167" t="str">
        <f t="shared" si="49"/>
        <v>#N/A</v>
      </c>
      <c r="L79" s="167" t="str">
        <f t="shared" si="49"/>
        <v>#N/A</v>
      </c>
      <c r="M79" s="167" t="str">
        <f t="shared" si="49"/>
        <v>#N/A</v>
      </c>
      <c r="N79" s="167" t="str">
        <f t="shared" si="49"/>
        <v>#N/A</v>
      </c>
      <c r="O79" s="167" t="str">
        <f t="shared" si="49"/>
        <v>#N/A</v>
      </c>
      <c r="P79" s="253" t="str">
        <f t="shared" si="49"/>
        <v>#N/A</v>
      </c>
      <c r="Q79" s="253" t="str">
        <f t="shared" si="49"/>
        <v>#N/A</v>
      </c>
      <c r="R79" s="253" t="str">
        <f t="shared" si="49"/>
        <v>#N/A</v>
      </c>
      <c r="S79" s="253" t="str">
        <f t="shared" si="49"/>
        <v>#N/A</v>
      </c>
      <c r="T79" s="253" t="str">
        <f t="shared" si="49"/>
        <v>#N/A</v>
      </c>
      <c r="U79" s="253" t="str">
        <f t="shared" si="49"/>
        <v>#N/A</v>
      </c>
      <c r="V79" s="167" t="str">
        <f t="shared" si="49"/>
        <v>#N/A</v>
      </c>
      <c r="W79" s="167" t="str">
        <f t="shared" si="49"/>
        <v>#N/A</v>
      </c>
      <c r="X79" s="167" t="str">
        <f t="shared" si="49"/>
        <v>#N/A</v>
      </c>
      <c r="Y79" s="167" t="str">
        <f t="shared" si="49"/>
        <v>#N/A</v>
      </c>
    </row>
    <row r="80" spans="2:25">
      <c r="B80" s="33"/>
      <c r="E80" s="107" t="s">
        <v>204</v>
      </c>
      <c r="F80" s="1147">
        <f t="shared" ref="F80:Y80" si="50">IF(AND(ISNUMBER($E$15),ISNUMBER(F$56)),$E$15/F$56,"#N/A")</f>
        <v>1194.5454545454545</v>
      </c>
      <c r="G80" s="1147">
        <f t="shared" si="50"/>
        <v>328.5</v>
      </c>
      <c r="H80" s="1147">
        <f t="shared" si="50"/>
        <v>90</v>
      </c>
      <c r="I80" s="1147">
        <f t="shared" si="50"/>
        <v>166.3291139240506</v>
      </c>
      <c r="J80" s="167">
        <f t="shared" si="50"/>
        <v>140836.01286173635</v>
      </c>
      <c r="K80" s="167">
        <f t="shared" si="50"/>
        <v>140836.01286173635</v>
      </c>
      <c r="L80" s="167">
        <f t="shared" si="50"/>
        <v>73489.932885906033</v>
      </c>
      <c r="M80" s="167">
        <f t="shared" si="50"/>
        <v>742372.88135593222</v>
      </c>
      <c r="N80" s="167">
        <f t="shared" si="50"/>
        <v>973333.33333333326</v>
      </c>
      <c r="O80" s="167">
        <f t="shared" si="50"/>
        <v>3628.8318144159075</v>
      </c>
      <c r="P80" s="253">
        <f t="shared" si="50"/>
        <v>6549.1155742704514</v>
      </c>
      <c r="Q80" s="253">
        <f t="shared" si="50"/>
        <v>14231.236726265277</v>
      </c>
      <c r="R80" s="253">
        <f t="shared" si="50"/>
        <v>38119.384088210565</v>
      </c>
      <c r="S80" s="253">
        <f t="shared" si="50"/>
        <v>1403.3819087722397</v>
      </c>
      <c r="T80" s="253">
        <f t="shared" si="50"/>
        <v>3049.5507270568446</v>
      </c>
      <c r="U80" s="253">
        <f t="shared" si="50"/>
        <v>8168.4394474736919</v>
      </c>
      <c r="V80" s="167">
        <f t="shared" si="50"/>
        <v>68259.740259740254</v>
      </c>
      <c r="W80" s="167">
        <f t="shared" si="50"/>
        <v>133.83333333333331</v>
      </c>
      <c r="X80" s="167">
        <f t="shared" si="50"/>
        <v>2228.3763547900762</v>
      </c>
      <c r="Y80" s="167">
        <f t="shared" si="50"/>
        <v>57937.785224541985</v>
      </c>
    </row>
    <row r="81" spans="2:25" ht="18.75">
      <c r="B81" s="33"/>
      <c r="E81" s="107" t="s">
        <v>211</v>
      </c>
      <c r="F81" s="1147">
        <f t="shared" ref="F81:Y81" si="51">IF(AND(ISNUMBER($E$16),ISNUMBER(F$57)),$E$16/F$57,"#N/A")</f>
        <v>36589.090909090904</v>
      </c>
      <c r="G81" s="1147">
        <f t="shared" si="51"/>
        <v>10062</v>
      </c>
      <c r="H81" s="1147">
        <f t="shared" si="51"/>
        <v>2756.7123287671234</v>
      </c>
      <c r="I81" s="1147">
        <f t="shared" si="51"/>
        <v>5094.6835443037971</v>
      </c>
      <c r="J81" s="167">
        <f t="shared" si="51"/>
        <v>4313826.3665594859</v>
      </c>
      <c r="K81" s="167">
        <f t="shared" si="51"/>
        <v>4313826.3665594859</v>
      </c>
      <c r="L81" s="167">
        <f t="shared" si="51"/>
        <v>2251006.711409396</v>
      </c>
      <c r="M81" s="167">
        <f t="shared" si="51"/>
        <v>22738983.05084746</v>
      </c>
      <c r="N81" s="167">
        <f t="shared" si="51"/>
        <v>29813333.333333332</v>
      </c>
      <c r="O81" s="167">
        <f t="shared" si="51"/>
        <v>111151.61557580779</v>
      </c>
      <c r="P81" s="253">
        <f t="shared" si="51"/>
        <v>200600.30717902366</v>
      </c>
      <c r="Q81" s="253">
        <f t="shared" si="51"/>
        <v>435904.73040998843</v>
      </c>
      <c r="R81" s="253">
        <f t="shared" si="51"/>
        <v>1167601.9564553262</v>
      </c>
      <c r="S81" s="253">
        <f t="shared" si="51"/>
        <v>42985.780109790794</v>
      </c>
      <c r="T81" s="253">
        <f t="shared" si="51"/>
        <v>93408.156516426097</v>
      </c>
      <c r="U81" s="253">
        <f t="shared" si="51"/>
        <v>250200.41924042706</v>
      </c>
      <c r="V81" s="167">
        <f t="shared" si="51"/>
        <v>2090805.1948051946</v>
      </c>
      <c r="W81" s="167">
        <f t="shared" si="51"/>
        <v>4099.333333333333</v>
      </c>
      <c r="X81" s="167">
        <f t="shared" si="51"/>
        <v>68255.473004254934</v>
      </c>
      <c r="Y81" s="167">
        <f t="shared" si="51"/>
        <v>1774642.2981106285</v>
      </c>
    </row>
    <row r="82" spans="2:25" ht="18.75">
      <c r="B82" s="33"/>
      <c r="E82" s="107" t="s">
        <v>212</v>
      </c>
      <c r="F82" s="1147">
        <f t="shared" ref="F82:Y82" si="52">IF(AND(ISNUMBER($E$21),ISNUMBER(F$58)),$E$21/F$58,"#N/A")</f>
        <v>101960.088691796</v>
      </c>
      <c r="G82" s="1147">
        <f t="shared" si="52"/>
        <v>44862.439024390245</v>
      </c>
      <c r="H82" s="1147">
        <f t="shared" si="52"/>
        <v>28039.024390243903</v>
      </c>
      <c r="I82" s="1147">
        <f t="shared" si="52"/>
        <v>28039.024390243903</v>
      </c>
      <c r="J82" s="167" t="str">
        <f t="shared" si="52"/>
        <v>#N/A</v>
      </c>
      <c r="K82" s="167" t="str">
        <f t="shared" si="52"/>
        <v>#N/A</v>
      </c>
      <c r="L82" s="167" t="str">
        <f t="shared" si="52"/>
        <v>#N/A</v>
      </c>
      <c r="M82" s="167" t="str">
        <f t="shared" si="52"/>
        <v>#N/A</v>
      </c>
      <c r="N82" s="167" t="str">
        <f t="shared" si="52"/>
        <v>#N/A</v>
      </c>
      <c r="O82" s="167" t="str">
        <f t="shared" si="52"/>
        <v>#N/A</v>
      </c>
      <c r="P82" s="253">
        <f t="shared" si="52"/>
        <v>31895.501888829978</v>
      </c>
      <c r="Q82" s="253">
        <f t="shared" si="52"/>
        <v>11405013.338036556</v>
      </c>
      <c r="R82" s="253">
        <f t="shared" si="52"/>
        <v>11405013.338036556</v>
      </c>
      <c r="S82" s="253">
        <f t="shared" si="52"/>
        <v>6834.7504047492812</v>
      </c>
      <c r="T82" s="253">
        <f t="shared" si="52"/>
        <v>2443931.4295792617</v>
      </c>
      <c r="U82" s="253">
        <f t="shared" si="52"/>
        <v>2443931.4295792617</v>
      </c>
      <c r="V82" s="167" t="str">
        <f t="shared" si="52"/>
        <v>#N/A</v>
      </c>
      <c r="W82" s="167" t="str">
        <f t="shared" si="52"/>
        <v>#N/A</v>
      </c>
      <c r="X82" s="167" t="str">
        <f t="shared" si="52"/>
        <v>#N/A</v>
      </c>
      <c r="Y82" s="167" t="str">
        <f t="shared" si="52"/>
        <v>#N/A</v>
      </c>
    </row>
    <row r="83" spans="2:25" ht="18.75">
      <c r="B83" s="33"/>
      <c r="E83" s="127" t="s">
        <v>213</v>
      </c>
      <c r="F83" s="1147" t="str">
        <f t="shared" ref="F83:Y83" si="53">IF(AND(ISNUMBER($E$23),ISNUMBER(F$59)),$E$23/F$59,"#N/A")</f>
        <v>#N/A</v>
      </c>
      <c r="G83" s="1147" t="str">
        <f t="shared" si="53"/>
        <v>#N/A</v>
      </c>
      <c r="H83" s="1147" t="str">
        <f t="shared" si="53"/>
        <v>#N/A</v>
      </c>
      <c r="I83" s="1147" t="str">
        <f t="shared" si="53"/>
        <v>#N/A</v>
      </c>
      <c r="J83" s="253" t="str">
        <f t="shared" si="53"/>
        <v>#N/A</v>
      </c>
      <c r="K83" s="253" t="str">
        <f t="shared" si="53"/>
        <v>#N/A</v>
      </c>
      <c r="L83" s="253" t="str">
        <f t="shared" si="53"/>
        <v>#N/A</v>
      </c>
      <c r="M83" s="253" t="str">
        <f t="shared" si="53"/>
        <v>#N/A</v>
      </c>
      <c r="N83" s="253" t="str">
        <f t="shared" si="53"/>
        <v>#N/A</v>
      </c>
      <c r="O83" s="253" t="str">
        <f t="shared" si="53"/>
        <v>#N/A</v>
      </c>
      <c r="P83" s="253" t="str">
        <f t="shared" si="53"/>
        <v>#N/A</v>
      </c>
      <c r="Q83" s="253" t="str">
        <f t="shared" si="53"/>
        <v>#N/A</v>
      </c>
      <c r="R83" s="253" t="str">
        <f t="shared" si="53"/>
        <v>#N/A</v>
      </c>
      <c r="S83" s="253" t="str">
        <f t="shared" si="53"/>
        <v>#N/A</v>
      </c>
      <c r="T83" s="253" t="str">
        <f t="shared" si="53"/>
        <v>#N/A</v>
      </c>
      <c r="U83" s="253" t="str">
        <f t="shared" si="53"/>
        <v>#N/A</v>
      </c>
      <c r="V83" s="253" t="str">
        <f t="shared" si="53"/>
        <v>#N/A</v>
      </c>
      <c r="W83" s="253" t="str">
        <f t="shared" si="53"/>
        <v>#N/A</v>
      </c>
      <c r="X83" s="253" t="str">
        <f t="shared" si="53"/>
        <v>#N/A</v>
      </c>
      <c r="Y83" s="253" t="str">
        <f t="shared" si="53"/>
        <v>#N/A</v>
      </c>
    </row>
    <row r="84" spans="2:25" ht="18.75">
      <c r="B84" s="52"/>
      <c r="C84" s="41"/>
      <c r="D84" s="41"/>
      <c r="E84" s="723" t="s">
        <v>891</v>
      </c>
      <c r="F84" s="1148" t="str">
        <f t="shared" ref="F84:Y84" si="54">IF(AND(ISNUMBER($E$24),ISNUMBER(F$60)),$E$24/F$60,"#N/A")</f>
        <v>#N/A</v>
      </c>
      <c r="G84" s="1148" t="str">
        <f t="shared" si="54"/>
        <v>#N/A</v>
      </c>
      <c r="H84" s="1148" t="str">
        <f t="shared" si="54"/>
        <v>#N/A</v>
      </c>
      <c r="I84" s="1148" t="str">
        <f t="shared" si="54"/>
        <v>#N/A</v>
      </c>
      <c r="J84" s="254" t="str">
        <f t="shared" si="54"/>
        <v>#N/A</v>
      </c>
      <c r="K84" s="254" t="str">
        <f t="shared" si="54"/>
        <v>#N/A</v>
      </c>
      <c r="L84" s="254" t="str">
        <f t="shared" si="54"/>
        <v>#N/A</v>
      </c>
      <c r="M84" s="254" t="str">
        <f t="shared" si="54"/>
        <v>#N/A</v>
      </c>
      <c r="N84" s="254" t="str">
        <f t="shared" si="54"/>
        <v>#N/A</v>
      </c>
      <c r="O84" s="254" t="str">
        <f t="shared" si="54"/>
        <v>#N/A</v>
      </c>
      <c r="P84" s="254" t="str">
        <f t="shared" si="54"/>
        <v>#N/A</v>
      </c>
      <c r="Q84" s="254" t="str">
        <f t="shared" si="54"/>
        <v>#N/A</v>
      </c>
      <c r="R84" s="254" t="str">
        <f t="shared" si="54"/>
        <v>#N/A</v>
      </c>
      <c r="S84" s="254" t="str">
        <f t="shared" si="54"/>
        <v>#N/A</v>
      </c>
      <c r="T84" s="254" t="str">
        <f t="shared" si="54"/>
        <v>#N/A</v>
      </c>
      <c r="U84" s="254" t="str">
        <f t="shared" si="54"/>
        <v>#N/A</v>
      </c>
      <c r="V84" s="254" t="str">
        <f t="shared" si="54"/>
        <v>#N/A</v>
      </c>
      <c r="W84" s="254" t="str">
        <f t="shared" si="54"/>
        <v>#N/A</v>
      </c>
      <c r="X84" s="254" t="str">
        <f t="shared" si="54"/>
        <v>#N/A</v>
      </c>
      <c r="Y84" s="254" t="str">
        <f t="shared" si="54"/>
        <v>#N/A</v>
      </c>
    </row>
    <row r="85" spans="2:25">
      <c r="E85" s="115" t="s">
        <v>208</v>
      </c>
      <c r="F85" s="1149">
        <f t="shared" ref="F85:R85" si="55">MIN(F78:F84)</f>
        <v>227.80859909619105</v>
      </c>
      <c r="G85" s="1149">
        <f>MIN(G78:G84)</f>
        <v>102.43121044992739</v>
      </c>
      <c r="H85" s="1149">
        <f t="shared" si="55"/>
        <v>90</v>
      </c>
      <c r="I85" s="1149">
        <f t="shared" si="55"/>
        <v>161.35140374942841</v>
      </c>
      <c r="J85" s="250">
        <f t="shared" si="55"/>
        <v>10586.265599999997</v>
      </c>
      <c r="K85" s="250">
        <f t="shared" si="55"/>
        <v>10586.265599999997</v>
      </c>
      <c r="L85" s="250">
        <f t="shared" si="55"/>
        <v>5293.1327999999985</v>
      </c>
      <c r="M85" s="250">
        <f t="shared" ref="M85:N85" si="56">MIN(M78:M84)</f>
        <v>742372.88135593222</v>
      </c>
      <c r="N85" s="250">
        <f t="shared" si="56"/>
        <v>973333.33333333326</v>
      </c>
      <c r="O85" s="250">
        <f t="shared" ref="O85" si="57">MIN(O78:O84)</f>
        <v>3628.8318144159075</v>
      </c>
      <c r="P85" s="255">
        <f t="shared" si="55"/>
        <v>6549.1155742704514</v>
      </c>
      <c r="Q85" s="255">
        <f t="shared" si="55"/>
        <v>14231.236726265277</v>
      </c>
      <c r="R85" s="255">
        <f t="shared" si="55"/>
        <v>38119.384088210565</v>
      </c>
      <c r="S85" s="255">
        <f t="shared" ref="S85:Y85" si="58">MIN(S78:S84)</f>
        <v>1403.3819087722397</v>
      </c>
      <c r="T85" s="255">
        <f t="shared" si="58"/>
        <v>3049.5507270568446</v>
      </c>
      <c r="U85" s="255">
        <f t="shared" si="58"/>
        <v>8168.4394474736919</v>
      </c>
      <c r="V85" s="250">
        <f t="shared" si="58"/>
        <v>68259.740259740254</v>
      </c>
      <c r="W85" s="250">
        <f t="shared" si="58"/>
        <v>133.83333333333331</v>
      </c>
      <c r="X85" s="250" t="e">
        <f t="shared" si="58"/>
        <v>#N/A</v>
      </c>
      <c r="Y85" s="250" t="e">
        <f t="shared" si="58"/>
        <v>#N/A</v>
      </c>
    </row>
    <row r="86" spans="2:25">
      <c r="B86" s="2" t="s">
        <v>214</v>
      </c>
      <c r="F86" s="1145"/>
      <c r="G86" s="1145"/>
      <c r="H86" s="1145"/>
      <c r="I86" s="1145"/>
    </row>
    <row r="87" spans="2:25">
      <c r="B87" t="s">
        <v>1199</v>
      </c>
      <c r="F87" s="1145"/>
      <c r="G87" s="1145"/>
      <c r="H87" s="1145"/>
      <c r="I87" s="1145"/>
    </row>
    <row r="88" spans="2:25" ht="18.75">
      <c r="B88" s="1" t="s">
        <v>10</v>
      </c>
      <c r="F88" s="1145"/>
      <c r="G88" s="1145"/>
      <c r="H88" s="1145"/>
      <c r="I88" s="1145"/>
    </row>
    <row r="89" spans="2:25" ht="18.75">
      <c r="B89" s="1" t="s">
        <v>597</v>
      </c>
      <c r="F89" s="1145"/>
      <c r="G89" s="1145"/>
      <c r="H89" s="1145"/>
      <c r="I89" s="1145"/>
    </row>
    <row r="90" spans="2:25">
      <c r="B90" s="940" t="s">
        <v>1724</v>
      </c>
      <c r="F90" s="1145"/>
      <c r="G90" s="1145"/>
      <c r="H90" s="1145"/>
      <c r="I90" s="1145"/>
    </row>
    <row r="91" spans="2:25">
      <c r="B91" s="1" t="s">
        <v>1726</v>
      </c>
      <c r="F91" s="1145"/>
      <c r="G91" s="1145"/>
      <c r="H91" s="1145"/>
      <c r="I91" s="1145"/>
    </row>
    <row r="92" spans="2:25">
      <c r="B92" s="1" t="s">
        <v>1727</v>
      </c>
      <c r="F92" s="1145"/>
      <c r="G92" s="1145"/>
      <c r="H92" s="1145"/>
      <c r="I92" s="1145"/>
    </row>
    <row r="93" spans="2:25">
      <c r="B93" s="1" t="s">
        <v>18</v>
      </c>
    </row>
    <row r="94" spans="2:25">
      <c r="B94" s="1" t="s">
        <v>1662</v>
      </c>
    </row>
  </sheetData>
  <mergeCells count="24">
    <mergeCell ref="O34:O35"/>
    <mergeCell ref="X27:Y27"/>
    <mergeCell ref="X32:Y33"/>
    <mergeCell ref="V27:W27"/>
    <mergeCell ref="S27:U27"/>
    <mergeCell ref="P27:R27"/>
    <mergeCell ref="H27:I27"/>
    <mergeCell ref="L32:L33"/>
    <mergeCell ref="P32:R33"/>
    <mergeCell ref="S32:U33"/>
    <mergeCell ref="V32:W33"/>
    <mergeCell ref="M32:M33"/>
    <mergeCell ref="N32:N33"/>
    <mergeCell ref="O32:O33"/>
    <mergeCell ref="AG1:AN1"/>
    <mergeCell ref="AG2:AH2"/>
    <mergeCell ref="AG3:AH3"/>
    <mergeCell ref="AK3:AN3"/>
    <mergeCell ref="C10:D10"/>
    <mergeCell ref="F32:F33"/>
    <mergeCell ref="G32:G33"/>
    <mergeCell ref="H32:I33"/>
    <mergeCell ref="J32:J33"/>
    <mergeCell ref="K32:K33"/>
  </mergeCells>
  <phoneticPr fontId="0" type="noConversion"/>
  <printOptions horizontalCentered="1"/>
  <pageMargins left="1.38888888888889E-2" right="1.38888888888889E-2" top="1.38888888888889E-2" bottom="9.7222222222222196E-2" header="1.38888888888889E-2" footer="1.38888888888889E-2"/>
  <pageSetup paperSize="163" fitToWidth="0" orientation="portrait" blackAndWhite="1" useFirstPageNumber="1" r:id="rId1"/>
  <headerFooter scaleWithDoc="0" alignWithMargins="0">
    <oddFooter>&amp;C&amp;9Page &amp;P of &amp;N</oddFooter>
  </headerFooter>
  <colBreaks count="2" manualBreakCount="2">
    <brk id="15" min="30" max="75" man="1"/>
    <brk id="18" min="30" max="75" man="1"/>
  </colBreak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2">
    <pageSetUpPr fitToPage="1"/>
  </sheetPr>
  <dimension ref="B1:H21"/>
  <sheetViews>
    <sheetView view="pageBreakPreview" zoomScale="75" zoomScaleNormal="75" zoomScaleSheetLayoutView="100" workbookViewId="0">
      <selection activeCell="C28" sqref="C28"/>
    </sheetView>
  </sheetViews>
  <sheetFormatPr defaultRowHeight="15.75"/>
  <cols>
    <col min="2" max="2" width="10.625" customWidth="1"/>
    <col min="3" max="3" width="37.875" customWidth="1"/>
    <col min="4" max="4" width="9.875" bestFit="1" customWidth="1"/>
    <col min="5" max="5" width="10.625" customWidth="1"/>
    <col min="6" max="6" width="14.625" customWidth="1"/>
    <col min="7" max="7" width="12.625" customWidth="1"/>
    <col min="8" max="8" width="13.625" customWidth="1"/>
    <col min="9" max="64" width="9.125" customWidth="1"/>
  </cols>
  <sheetData>
    <row r="1" spans="2:8" ht="20.25">
      <c r="B1" s="120" t="str">
        <f>SourceProjectName1</f>
        <v>Project Name 1</v>
      </c>
    </row>
    <row r="2" spans="2:8" ht="20.25">
      <c r="B2" s="120" t="str">
        <f>SourceProjectName2</f>
        <v>Project Name 2</v>
      </c>
    </row>
    <row r="3" spans="2:8" ht="20.25">
      <c r="B3" s="120" t="str">
        <f>SourceProjectNumber</f>
        <v>Project Number</v>
      </c>
    </row>
    <row r="6" spans="2:8" ht="18.75">
      <c r="B6" s="839" t="s">
        <v>151</v>
      </c>
    </row>
    <row r="7" spans="2:8" ht="18.75">
      <c r="B7" s="839" t="s">
        <v>538</v>
      </c>
    </row>
    <row r="8" spans="2:8">
      <c r="B8" s="1226"/>
      <c r="C8" s="142" t="s">
        <v>663</v>
      </c>
      <c r="D8" s="143" t="s">
        <v>663</v>
      </c>
      <c r="E8" s="144" t="s">
        <v>540</v>
      </c>
      <c r="F8" s="144" t="s">
        <v>539</v>
      </c>
      <c r="G8" s="144" t="s">
        <v>676</v>
      </c>
      <c r="H8" s="375" t="s">
        <v>542</v>
      </c>
    </row>
    <row r="9" spans="2:8">
      <c r="B9" s="1228" t="s">
        <v>663</v>
      </c>
      <c r="C9" s="74" t="s">
        <v>664</v>
      </c>
      <c r="D9" s="75" t="s">
        <v>665</v>
      </c>
      <c r="E9" s="13" t="s">
        <v>541</v>
      </c>
      <c r="F9" s="13" t="s">
        <v>543</v>
      </c>
      <c r="G9" s="13" t="s">
        <v>677</v>
      </c>
      <c r="H9" s="160" t="s">
        <v>540</v>
      </c>
    </row>
    <row r="10" spans="2:8" ht="18.75">
      <c r="B10" s="1228" t="s">
        <v>591</v>
      </c>
      <c r="C10" s="77"/>
      <c r="D10" s="145"/>
      <c r="E10" s="38"/>
      <c r="F10" s="38"/>
      <c r="G10" s="14" t="s">
        <v>752</v>
      </c>
      <c r="H10" s="76" t="s">
        <v>175</v>
      </c>
    </row>
    <row r="11" spans="2:8">
      <c r="B11" s="37"/>
      <c r="C11" s="100"/>
      <c r="D11" s="51"/>
      <c r="E11" s="31"/>
      <c r="F11" s="31"/>
      <c r="G11" s="31"/>
      <c r="H11" s="73"/>
    </row>
    <row r="12" spans="2:8">
      <c r="B12" s="1227" t="s">
        <v>885</v>
      </c>
      <c r="C12" s="1031" t="str">
        <f>INDEX(SourceDescription,MATCH($B12,SourceNumber,0),1,1)</f>
        <v>Fume Hood Exhaust 1</v>
      </c>
      <c r="D12" s="276" t="str">
        <f>INDEX(SourceID,MATCH($B12,SourceNumber,0),1,1)</f>
        <v>EF-1</v>
      </c>
      <c r="E12" s="46" t="s">
        <v>172</v>
      </c>
      <c r="F12" s="373">
        <v>100</v>
      </c>
      <c r="G12" s="374">
        <f>INDEX(SourceVolumeFlowRate,MATCH($B12,SourceNumber,0),1,1)</f>
        <v>0.47231008449287359</v>
      </c>
      <c r="H12" s="376">
        <f>10^6/(G12*F12)</f>
        <v>21172.531199999994</v>
      </c>
    </row>
    <row r="13" spans="2:8">
      <c r="B13" s="106" t="str">
        <f t="shared" ref="B13:B20" si="0">IF((RIGHT(B12,1))&lt;&gt;"Z",CHAR(CODE(B12))&amp;CHAR(CODE(RIGHT(B12,1))+1),CHAR(CODE(B12)+1)&amp;"A")</f>
        <v>AB</v>
      </c>
      <c r="C13" s="1031" t="str">
        <f>INDEX(SourceDescription,MATCH($B13,SourceNumber,0),1,1)</f>
        <v>Fume Hood Exhaust 2</v>
      </c>
      <c r="D13" s="276" t="str">
        <f>INDEX(SourceID,MATCH($B13,SourceNumber,0),1,1)</f>
        <v>EF-2</v>
      </c>
      <c r="E13" s="46" t="s">
        <v>172</v>
      </c>
      <c r="F13" s="373">
        <v>300</v>
      </c>
      <c r="G13" s="374">
        <f>INDEX(SourceVolumeFlowRate,MATCH($B13,SourceNumber,0),1,1)</f>
        <v>2.3615504224643682</v>
      </c>
      <c r="H13" s="376">
        <f>10^6/(G13*F13)</f>
        <v>1411.5020799999995</v>
      </c>
    </row>
    <row r="14" spans="2:8">
      <c r="B14" s="106" t="str">
        <f t="shared" si="0"/>
        <v>AC</v>
      </c>
      <c r="C14" s="1031" t="str">
        <f>INDEX(SourceDescription,MATCH($B14,SourceNumber,0),1,1)</f>
        <v>Fume Hood Exhaust 3</v>
      </c>
      <c r="D14" s="276" t="str">
        <f>INDEX(SourceID,MATCH($B14,SourceNumber,0),1,1)</f>
        <v>EF-3</v>
      </c>
      <c r="E14" s="46" t="s">
        <v>172</v>
      </c>
      <c r="F14" s="373">
        <v>10</v>
      </c>
      <c r="G14" s="374">
        <f>INDEX(SourceVolumeFlowRate,MATCH($B14,SourceNumber,0),1,1)</f>
        <v>4.7231008449287364</v>
      </c>
      <c r="H14" s="376">
        <f>10^6/(G14*F14)</f>
        <v>21172.531199999994</v>
      </c>
    </row>
    <row r="15" spans="2:8">
      <c r="B15" s="106" t="str">
        <f t="shared" si="0"/>
        <v>AD</v>
      </c>
      <c r="C15" s="1031" t="str">
        <f t="shared" ref="C15:C20" si="1">INDEX(SourceDescription,MATCH($B15,SourceNumber,0),1,1)</f>
        <v>Vivarium Exhaust 1</v>
      </c>
      <c r="D15" s="276" t="str">
        <f t="shared" ref="D15:D20" si="2">INDEX(SourceID,MATCH($B15,SourceNumber,0),1,1)</f>
        <v>EF-4</v>
      </c>
      <c r="E15" s="46" t="s">
        <v>171</v>
      </c>
      <c r="F15" s="373">
        <v>10</v>
      </c>
      <c r="G15" s="374">
        <f t="shared" ref="G15:G20" si="3">INDEX(SourceVolumeFlowRate,MATCH($B15,SourceNumber,0),1,1)</f>
        <v>11.80775211232184</v>
      </c>
      <c r="H15" s="376">
        <f t="shared" ref="H15:H20" si="4">10^6/(G15*F15)</f>
        <v>8469.0124799999994</v>
      </c>
    </row>
    <row r="16" spans="2:8">
      <c r="B16" s="106" t="str">
        <f t="shared" si="0"/>
        <v>AE</v>
      </c>
      <c r="C16" s="1031" t="str">
        <f t="shared" si="1"/>
        <v>Vivarium Exhaust 2</v>
      </c>
      <c r="D16" s="276" t="str">
        <f t="shared" si="2"/>
        <v>EF-5</v>
      </c>
      <c r="E16" s="46" t="s">
        <v>171</v>
      </c>
      <c r="F16" s="373">
        <v>10</v>
      </c>
      <c r="G16" s="374">
        <f t="shared" si="3"/>
        <v>23.615504224643679</v>
      </c>
      <c r="H16" s="376">
        <f t="shared" si="4"/>
        <v>4234.5062399999997</v>
      </c>
    </row>
    <row r="17" spans="2:8">
      <c r="B17" s="106" t="str">
        <f t="shared" si="0"/>
        <v>AF</v>
      </c>
      <c r="C17" s="1031" t="str">
        <f t="shared" si="1"/>
        <v>Vivarium Exhaust 3</v>
      </c>
      <c r="D17" s="276" t="str">
        <f t="shared" si="2"/>
        <v>EF-6</v>
      </c>
      <c r="E17" s="46" t="s">
        <v>171</v>
      </c>
      <c r="F17" s="373">
        <v>10</v>
      </c>
      <c r="G17" s="374">
        <f t="shared" si="3"/>
        <v>35.423256336965522</v>
      </c>
      <c r="H17" s="376">
        <f t="shared" si="4"/>
        <v>2823.004159999999</v>
      </c>
    </row>
    <row r="18" spans="2:8">
      <c r="B18" s="106" t="str">
        <f t="shared" si="0"/>
        <v>AG</v>
      </c>
      <c r="C18" s="1031" t="str">
        <f t="shared" si="1"/>
        <v>Kitchen Exhaust 1</v>
      </c>
      <c r="D18" s="276" t="str">
        <f t="shared" si="2"/>
        <v>EF-7</v>
      </c>
      <c r="E18" s="46" t="s">
        <v>171</v>
      </c>
      <c r="F18" s="373">
        <v>10</v>
      </c>
      <c r="G18" s="374">
        <f t="shared" si="3"/>
        <v>47.231008449287359</v>
      </c>
      <c r="H18" s="376">
        <f t="shared" si="4"/>
        <v>2117.2531199999999</v>
      </c>
    </row>
    <row r="19" spans="2:8">
      <c r="B19" s="106" t="str">
        <f t="shared" si="0"/>
        <v>AH</v>
      </c>
      <c r="C19" s="1031" t="str">
        <f t="shared" si="1"/>
        <v>Kitchen Exhaust 2</v>
      </c>
      <c r="D19" s="276" t="str">
        <f t="shared" si="2"/>
        <v>EF-8</v>
      </c>
      <c r="E19" s="46" t="s">
        <v>171</v>
      </c>
      <c r="F19" s="373">
        <v>10</v>
      </c>
      <c r="G19" s="374">
        <f t="shared" si="3"/>
        <v>94.462016898574717</v>
      </c>
      <c r="H19" s="376">
        <f>10^6/(G19*F19)</f>
        <v>1058.6265599999999</v>
      </c>
    </row>
    <row r="20" spans="2:8">
      <c r="B20" s="106" t="str">
        <f t="shared" si="0"/>
        <v>AI</v>
      </c>
      <c r="C20" s="1031" t="str">
        <f t="shared" si="1"/>
        <v>Biological Safety Cabinet 1</v>
      </c>
      <c r="D20" s="276" t="str">
        <f t="shared" si="2"/>
        <v>EF-9</v>
      </c>
      <c r="E20" s="46" t="s">
        <v>171</v>
      </c>
      <c r="F20" s="373">
        <v>10</v>
      </c>
      <c r="G20" s="374">
        <f t="shared" si="3"/>
        <v>188.92403379714943</v>
      </c>
      <c r="H20" s="376">
        <f t="shared" si="4"/>
        <v>529.31327999999996</v>
      </c>
    </row>
    <row r="21" spans="2:8">
      <c r="B21" s="37"/>
      <c r="C21" s="52"/>
      <c r="D21" s="53"/>
      <c r="E21" s="41"/>
      <c r="F21" s="41"/>
      <c r="G21" s="41"/>
      <c r="H21" s="141"/>
    </row>
  </sheetData>
  <phoneticPr fontId="0" type="noConversion"/>
  <pageMargins left="0.75" right="0.75" top="0.75" bottom="0.75" header="0.5" footer="0.5"/>
  <pageSetup scale="84" fitToHeight="0" orientation="portrait" useFirstPageNumber="1" r:id="rId1"/>
  <headerFooter scaleWithDoc="0" alignWithMargins="0">
    <oddFooter>&amp;C&amp;9Page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N165"/>
  <sheetViews>
    <sheetView view="pageBreakPreview" zoomScale="75" zoomScaleNormal="70" zoomScaleSheetLayoutView="75" workbookViewId="0">
      <selection activeCell="E51" sqref="E51"/>
    </sheetView>
  </sheetViews>
  <sheetFormatPr defaultRowHeight="15.75"/>
  <cols>
    <col min="1" max="1" width="7.625" customWidth="1"/>
    <col min="2" max="2" width="26.625" customWidth="1"/>
    <col min="3" max="3" width="16.25" customWidth="1"/>
    <col min="4" max="4" width="12.625" customWidth="1"/>
    <col min="5" max="5" width="61" bestFit="1" customWidth="1"/>
    <col min="6" max="6" width="12" bestFit="1" customWidth="1"/>
    <col min="10" max="10" width="48" customWidth="1"/>
    <col min="11" max="11" width="14.625" customWidth="1"/>
    <col min="12" max="12" width="13.625" customWidth="1"/>
    <col min="13" max="13" width="52.25" customWidth="1"/>
    <col min="14" max="14" width="12.125" bestFit="1" customWidth="1"/>
    <col min="18" max="18" width="55" customWidth="1"/>
    <col min="19" max="19" width="18.125" customWidth="1"/>
    <col min="20" max="20" width="15.125" bestFit="1" customWidth="1"/>
    <col min="21" max="21" width="67.5" bestFit="1" customWidth="1"/>
    <col min="22" max="22" width="12.125" bestFit="1" customWidth="1"/>
  </cols>
  <sheetData>
    <row r="1" spans="1:14" ht="20.25">
      <c r="A1" s="120" t="str">
        <f>SourceProjectName1</f>
        <v>Project Name 1</v>
      </c>
      <c r="J1" s="397" t="s">
        <v>572</v>
      </c>
    </row>
    <row r="2" spans="1:14" ht="20.25">
      <c r="A2" s="120" t="str">
        <f>SourceProjectName2</f>
        <v>Project Name 2</v>
      </c>
      <c r="J2" s="397" t="s">
        <v>574</v>
      </c>
    </row>
    <row r="3" spans="1:14" ht="20.25">
      <c r="A3" s="120" t="str">
        <f>SourceProjectNumber</f>
        <v>Project Number</v>
      </c>
      <c r="J3" s="397" t="s">
        <v>575</v>
      </c>
    </row>
    <row r="5" spans="1:14" ht="20.25">
      <c r="C5" s="120"/>
    </row>
    <row r="6" spans="1:14" ht="20.25">
      <c r="C6" s="120"/>
    </row>
    <row r="8" spans="1:14">
      <c r="J8" s="392"/>
    </row>
    <row r="9" spans="1:14" ht="20.25">
      <c r="B9" s="837" t="s">
        <v>145</v>
      </c>
      <c r="C9" s="150"/>
      <c r="J9" s="392"/>
    </row>
    <row r="10" spans="1:14" ht="20.25">
      <c r="B10" s="837" t="s">
        <v>178</v>
      </c>
      <c r="C10" s="150"/>
      <c r="J10" s="393"/>
    </row>
    <row r="11" spans="1:14">
      <c r="J11" s="394" t="s">
        <v>576</v>
      </c>
      <c r="K11" s="2"/>
      <c r="M11" s="96"/>
    </row>
    <row r="12" spans="1:14" ht="18.75">
      <c r="A12" s="5" t="s">
        <v>663</v>
      </c>
      <c r="B12" s="142" t="s">
        <v>179</v>
      </c>
      <c r="C12" s="1726" t="s">
        <v>165</v>
      </c>
      <c r="D12" s="1727"/>
      <c r="E12" s="143" t="s">
        <v>181</v>
      </c>
      <c r="F12" s="102" t="s">
        <v>561</v>
      </c>
      <c r="I12" s="46" t="s">
        <v>401</v>
      </c>
      <c r="J12" s="395" t="e">
        <f>INDEX(SourceDescription,MATCH(I12,SourceNumber,0),1,1)</f>
        <v>#N/A</v>
      </c>
      <c r="K12" s="109" t="s">
        <v>171</v>
      </c>
      <c r="L12" s="314">
        <v>400</v>
      </c>
      <c r="M12" s="396" t="str">
        <f>IF(ISNUMBER(L12),INDEX(DesignCriteriaBasis,MATCH(N12,DesignCriteriaBasisNumber,0),1,1),"Not applicable")</f>
        <v>ASHRAE (2019) example criterion for an accidental spill in a fume hood</v>
      </c>
      <c r="N12" s="46">
        <v>4</v>
      </c>
    </row>
    <row r="13" spans="1:14">
      <c r="A13" s="5" t="s">
        <v>591</v>
      </c>
      <c r="B13" s="77"/>
      <c r="C13" s="77" t="s">
        <v>182</v>
      </c>
      <c r="D13" s="145" t="s">
        <v>180</v>
      </c>
      <c r="E13" s="145"/>
      <c r="F13" s="102" t="s">
        <v>562</v>
      </c>
      <c r="J13" s="338"/>
      <c r="K13" s="109" t="s">
        <v>172</v>
      </c>
      <c r="L13" s="314">
        <v>400</v>
      </c>
      <c r="M13" s="396" t="str">
        <f>IF(ISNUMBER(L13),INDEX(DesignCriteriaBasis,MATCH(N13,DesignCriteriaBasisNumber,0),1,1),"Not applicable")</f>
        <v>ASHRAE (2019) example criterion for an accidental spill in a fume hood</v>
      </c>
      <c r="N13" s="46">
        <v>4</v>
      </c>
    </row>
    <row r="14" spans="1:14">
      <c r="B14" s="33"/>
      <c r="C14" s="33"/>
      <c r="D14" s="37"/>
      <c r="E14" s="37"/>
      <c r="I14" s="46"/>
      <c r="J14" s="338"/>
      <c r="K14" s="109"/>
      <c r="L14" s="314"/>
      <c r="M14" s="396"/>
    </row>
    <row r="15" spans="1:14">
      <c r="B15" s="768" t="str">
        <f>'Stack Summary'!C22</f>
        <v>Project Name 2</v>
      </c>
      <c r="C15" s="124"/>
      <c r="D15" s="37"/>
      <c r="E15" s="37"/>
      <c r="J15" s="394" t="s">
        <v>577</v>
      </c>
      <c r="M15" s="96"/>
    </row>
    <row r="16" spans="1:14">
      <c r="A16" s="46" t="s">
        <v>885</v>
      </c>
      <c r="B16" s="1031" t="str">
        <f>INDEX(SourceDescription,MATCH(A16,SourceNumber,0),1,1)</f>
        <v>Fume Hood Exhaust 1</v>
      </c>
      <c r="C16" s="165" t="s">
        <v>319</v>
      </c>
      <c r="D16" s="386">
        <v>400</v>
      </c>
      <c r="E16" s="1077" t="str">
        <f>IF(ISNUMBER(D16),INDEX(DesignCriteriaBasis,MATCH(F16,DesignCriteriaBasisNumber,0),1,1),"Not applicable")</f>
        <v>ASHRAE (2019) example criterion for an accidental spill in a fume hood</v>
      </c>
      <c r="F16" s="46">
        <v>4</v>
      </c>
      <c r="I16" s="46" t="s">
        <v>855</v>
      </c>
      <c r="J16" s="395" t="e">
        <f>INDEX(SourceDescription,MATCH(I16,SourceNumber,0),1,1)</f>
        <v>#N/A</v>
      </c>
      <c r="K16" s="258" t="e">
        <f>IsotopeCriterionIsotope</f>
        <v>#NAME?</v>
      </c>
      <c r="L16" s="318" t="e">
        <f>IsotopeCriterion</f>
        <v>#NAME?</v>
      </c>
      <c r="M16" s="396" t="str">
        <f>IF(ISNUMBER(L16),INDEX(DesignCriteriaBasis,MATCH(N16,DesignCriteriaBasisNumber,0),1,1),"Not applicable")</f>
        <v>Not applicable</v>
      </c>
      <c r="N16" s="46">
        <v>6</v>
      </c>
    </row>
    <row r="17" spans="1:14">
      <c r="B17" s="33"/>
      <c r="C17" s="165" t="s">
        <v>319</v>
      </c>
      <c r="D17" s="386">
        <v>750</v>
      </c>
      <c r="E17" s="1077" t="str">
        <f>IF(ISNUMBER(D17),INDEX(DesignCriteriaBasis,MATCH(F17,DesignCriteriaBasisNumber,0),1,1),"Not applicable")</f>
        <v>ANSI/AIHA Z9.5 "as manufactured" fume hood containment criterion</v>
      </c>
      <c r="F17" s="46">
        <v>1</v>
      </c>
      <c r="J17" s="338"/>
      <c r="K17" s="109" t="s">
        <v>172</v>
      </c>
      <c r="L17" s="379" t="e">
        <f>NA()</f>
        <v>#N/A</v>
      </c>
      <c r="M17" s="396" t="str">
        <f>IF(ISNUMBER(L17),INDEX(DesignCriteriaBasis,MATCH(N17,DesignCriteriaBasisNumber,0),1,1),"Not applicable")</f>
        <v>Not applicable</v>
      </c>
      <c r="N17" s="46">
        <v>6</v>
      </c>
    </row>
    <row r="18" spans="1:14">
      <c r="B18" s="33"/>
      <c r="C18" s="165" t="s">
        <v>319</v>
      </c>
      <c r="D18" s="386">
        <v>1500</v>
      </c>
      <c r="E18" s="1077" t="str">
        <f>IF(ISNUMBER(D18),INDEX(DesignCriteriaBasis,MATCH(F18,DesignCriteriaBasisNumber,0),1,1),"Not applicable")</f>
        <v>ANSI/AIHA Z9.5 "as installed" fume hood containment criterion</v>
      </c>
      <c r="F18" s="46">
        <v>2</v>
      </c>
      <c r="I18" s="46"/>
      <c r="J18" s="338"/>
      <c r="K18" s="109"/>
      <c r="L18" s="314"/>
      <c r="M18" s="396"/>
    </row>
    <row r="19" spans="1:14">
      <c r="A19" s="46"/>
      <c r="B19" s="33"/>
      <c r="C19" s="165"/>
      <c r="D19" s="386"/>
      <c r="E19" s="1077"/>
      <c r="J19" s="338"/>
      <c r="M19" s="96"/>
    </row>
    <row r="20" spans="1:14">
      <c r="A20" s="46" t="s">
        <v>320</v>
      </c>
      <c r="B20" s="1031" t="str">
        <f>INDEX(SourceDescription,MATCH(A20,SourceNumber,0),1,1)</f>
        <v>Biological Safety Cabinet 1</v>
      </c>
      <c r="C20" s="165" t="s">
        <v>319</v>
      </c>
      <c r="D20" s="386">
        <v>2000</v>
      </c>
      <c r="E20" s="1077" t="str">
        <f>IF(ISNUMBER(D20),INDEX(DesignCriteriaBasis,MATCH(F20,DesignCriteriaBasisNumber,0),1,1),"Not applicable")</f>
        <v>20% of fume hood criteria which assumes limited chemical usage</v>
      </c>
      <c r="F20" s="46">
        <v>5</v>
      </c>
      <c r="I20" s="46"/>
      <c r="J20" s="394" t="s">
        <v>450</v>
      </c>
      <c r="K20" s="109"/>
      <c r="L20" s="314"/>
      <c r="M20" s="396"/>
    </row>
    <row r="21" spans="1:14">
      <c r="B21" s="33"/>
      <c r="C21" s="165" t="s">
        <v>319</v>
      </c>
      <c r="D21" s="386">
        <f>750/0.2</f>
        <v>3750</v>
      </c>
      <c r="E21" s="1077" t="str">
        <f>IF(ISNUMBER(D21),INDEX(DesignCriteriaBasis,MATCH(F21,DesignCriteriaBasisNumber,0),1,1),"Not applicable")</f>
        <v>20% of fume hood criteria which assumes limited chemical usage</v>
      </c>
      <c r="F21" s="46">
        <v>5</v>
      </c>
      <c r="I21" s="46" t="s">
        <v>862</v>
      </c>
      <c r="J21" s="395" t="e">
        <f>INDEX(SourceDescription,MATCH(I21,SourceNumber,0),1,1)</f>
        <v>#N/A</v>
      </c>
      <c r="K21" s="109" t="s">
        <v>545</v>
      </c>
      <c r="L21" s="318">
        <f>'Isolation Criteria'!$J$23</f>
        <v>166.68029550135086</v>
      </c>
      <c r="M21" s="396" t="str">
        <f>IF(ISNUMBER(L21),INDEX(DesignCriteriaBasis,MATCH(N21,DesignCriteriaBasisNumber,0),1,1),"Not applicable")</f>
        <v>0.001% PPD TB conversions for intubation without HEPA filter</v>
      </c>
      <c r="N21" s="46">
        <v>12</v>
      </c>
    </row>
    <row r="22" spans="1:14">
      <c r="B22" s="33"/>
      <c r="C22" s="165" t="s">
        <v>319</v>
      </c>
      <c r="D22" s="386">
        <f>1500/0.2</f>
        <v>7500</v>
      </c>
      <c r="E22" s="1077" t="str">
        <f>IF(ISNUMBER(D22),INDEX(DesignCriteriaBasis,MATCH(F22,DesignCriteriaBasisNumber,0),1,1),"Not applicable")</f>
        <v>20% of fume hood criteria which assumes limited chemical usage</v>
      </c>
      <c r="F22" s="46">
        <v>5</v>
      </c>
      <c r="I22" s="378"/>
      <c r="J22" s="395"/>
      <c r="K22" s="109" t="s">
        <v>546</v>
      </c>
      <c r="L22" s="318">
        <f>'Isolation Criteria'!$J$43</f>
        <v>630134.85714285693</v>
      </c>
      <c r="M22" s="396" t="str">
        <f>IF(ISNUMBER(L22),INDEX(DesignCriteriaBasis,MATCH(N22,DesignCriteriaBasisNumber,0),1,1),"Not applicable")</f>
        <v>0.001% PPD TB conversions for intubation with HEPA filter</v>
      </c>
      <c r="N22" s="46">
        <v>13</v>
      </c>
    </row>
    <row r="23" spans="1:14">
      <c r="A23" s="46"/>
      <c r="B23" s="33"/>
      <c r="C23" s="165"/>
      <c r="D23" s="386"/>
      <c r="E23" s="1077"/>
      <c r="J23" s="338"/>
      <c r="K23" s="109" t="s">
        <v>172</v>
      </c>
      <c r="L23" s="379" t="e">
        <f>NA()</f>
        <v>#N/A</v>
      </c>
      <c r="M23" s="396" t="str">
        <f>IF(ISNUMBER(L23),INDEX(DesignCriteriaBasis,MATCH(N23,DesignCriteriaBasisNumber,0),1,1),"Not applicable")</f>
        <v>Not applicable</v>
      </c>
      <c r="N23" s="46"/>
    </row>
    <row r="24" spans="1:14">
      <c r="A24" s="46" t="s">
        <v>11</v>
      </c>
      <c r="B24" s="1031" t="str">
        <f>INDEX(SourceDescription,MATCH(A24,SourceNumber,0),1,1)</f>
        <v>Fume Hood Exhaust 3</v>
      </c>
      <c r="C24" s="165" t="s">
        <v>171</v>
      </c>
      <c r="D24" s="386">
        <v>400</v>
      </c>
      <c r="E24" s="1077" t="str">
        <f>IF(ISNUMBER(D24),INDEX(DesignCriteriaBasis,MATCH(F24,DesignCriteriaBasisNumber,0),1,1),"Not applicable")</f>
        <v>20% of fume hood criteria which assumes limited chemical usage</v>
      </c>
      <c r="F24" s="46">
        <v>5</v>
      </c>
      <c r="I24" s="46"/>
      <c r="J24" s="338"/>
      <c r="K24" s="109"/>
      <c r="L24" s="314"/>
      <c r="M24" s="396"/>
    </row>
    <row r="25" spans="1:14">
      <c r="B25" s="33"/>
      <c r="C25" s="165" t="s">
        <v>172</v>
      </c>
      <c r="D25" s="386">
        <v>400</v>
      </c>
      <c r="E25" s="1077" t="str">
        <f>IF(ISNUMBER(D25),INDEX(DesignCriteriaBasis,MATCH(F25,DesignCriteriaBasisNumber,0),1,1),"Not applicable")</f>
        <v>20% of fume hood criteria which assumes limited chemical usage</v>
      </c>
      <c r="F25" s="46">
        <v>5</v>
      </c>
      <c r="J25" s="338"/>
      <c r="M25" s="96"/>
    </row>
    <row r="26" spans="1:14">
      <c r="A26" s="46"/>
      <c r="B26" s="33"/>
      <c r="C26" s="165"/>
      <c r="D26" s="386"/>
      <c r="E26" s="1077"/>
      <c r="I26" s="46"/>
      <c r="J26" s="394" t="s">
        <v>578</v>
      </c>
      <c r="K26" s="109"/>
      <c r="L26" s="314"/>
      <c r="M26" s="396"/>
    </row>
    <row r="27" spans="1:14">
      <c r="A27" s="46" t="s">
        <v>12</v>
      </c>
      <c r="B27" s="1031" t="str">
        <f>INDEX(SourceDescription,MATCH(A27,SourceNumber,0),1,1)</f>
        <v>Vivarium Exhaust 1</v>
      </c>
      <c r="C27" s="390" t="e">
        <f>"Health ("&amp;INDEX(IsotopeCriteriaIsotope,1,MATCH(A27,IsotopeCriteriaSourceNumber,0),1)&amp;")"</f>
        <v>#NAME?</v>
      </c>
      <c r="D27" s="387" t="e">
        <f>INDEX(IsotopeCriteria,1,MATCH(A27,IsotopeCriteriaSourceNumber,0),1)</f>
        <v>#NAME?</v>
      </c>
      <c r="E27" s="1077" t="str">
        <f>IF(ISNUMBER(D27),INDEX(DesignCriteriaBasis,MATCH(F27,DesignCriteriaBasisNumber,0),1,1),"Not applicable")</f>
        <v>Not applicable</v>
      </c>
      <c r="F27" s="46">
        <v>6</v>
      </c>
      <c r="I27" s="46" t="s">
        <v>863</v>
      </c>
      <c r="J27" s="395" t="e">
        <f>INDEX(SourceDescription,MATCH(I27,SourceNumber,0),1,1)</f>
        <v>#N/A</v>
      </c>
      <c r="K27" s="109" t="s">
        <v>171</v>
      </c>
      <c r="L27" s="379" t="e">
        <f>NA()</f>
        <v>#N/A</v>
      </c>
      <c r="M27" s="396" t="str">
        <f>IF(ISNUMBER(L27),INDEX(DesignCriteriaBasis,MATCH(N27,DesignCriteriaBasisNumber,0),1,1),"Not applicable")</f>
        <v>Not applicable</v>
      </c>
      <c r="N27" s="46"/>
    </row>
    <row r="28" spans="1:14">
      <c r="B28" s="33"/>
      <c r="C28" s="165" t="s">
        <v>172</v>
      </c>
      <c r="D28" s="388" t="e">
        <f>NA()</f>
        <v>#N/A</v>
      </c>
      <c r="E28" s="1077" t="str">
        <f>IF(ISNUMBER(D28),INDEX(DesignCriteriaBasis,MATCH(F28,DesignCriteriaBasisNumber,0),1,1),"Not applicable")</f>
        <v>Not applicable</v>
      </c>
      <c r="F28" s="46">
        <v>6</v>
      </c>
      <c r="J28" s="338"/>
      <c r="K28" s="109" t="s">
        <v>172</v>
      </c>
      <c r="L28" s="318" t="e">
        <f>INDEX(DilutionCriteria,MATCH(I27,DilutionCriteriaSourceNumber,0),1,1)</f>
        <v>#N/A</v>
      </c>
      <c r="M28" s="396" t="str">
        <f>IF(ISNUMBER(L28),INDEX(DesignCriteriaBasis,MATCH(N28,DesignCriteriaBasisNumber,0),1,1),"Not applicable")</f>
        <v>Not applicable</v>
      </c>
      <c r="N28" s="46">
        <v>10</v>
      </c>
    </row>
    <row r="29" spans="1:14">
      <c r="A29" s="46"/>
      <c r="B29" s="33"/>
      <c r="C29" s="165"/>
      <c r="D29" s="386"/>
      <c r="E29" s="1077"/>
      <c r="I29" s="46"/>
      <c r="J29" s="338"/>
      <c r="K29" s="109"/>
      <c r="L29" s="314"/>
      <c r="M29" s="396"/>
    </row>
    <row r="30" spans="1:14">
      <c r="A30" s="46" t="s">
        <v>13</v>
      </c>
      <c r="B30" s="1031" t="str">
        <f>INDEX(SourceDescription,MATCH(A30,SourceNumber,0),1,1)</f>
        <v>Vivarium Exhaust 2</v>
      </c>
      <c r="C30" s="165" t="s">
        <v>545</v>
      </c>
      <c r="D30" s="387">
        <f>'Isolation Criteria'!$J$23</f>
        <v>166.68029550135086</v>
      </c>
      <c r="E30" s="1077" t="str">
        <f>IF(ISNUMBER(D30),INDEX(DesignCriteriaBasis,MATCH(F30,DesignCriteriaBasisNumber,0),1,1),"Not applicable")</f>
        <v>0.001% PPD TB conversions for intubation without HEPA filter</v>
      </c>
      <c r="F30" s="46">
        <v>12</v>
      </c>
      <c r="J30" s="338"/>
      <c r="M30" s="96"/>
    </row>
    <row r="31" spans="1:14">
      <c r="A31" s="378"/>
      <c r="B31" s="1031"/>
      <c r="C31" s="165" t="s">
        <v>546</v>
      </c>
      <c r="D31" s="387">
        <f>'Isolation Criteria'!$J$43</f>
        <v>630134.85714285693</v>
      </c>
      <c r="E31" s="1077" t="str">
        <f>IF(ISNUMBER(D31),INDEX(DesignCriteriaBasis,MATCH(F31,DesignCriteriaBasisNumber,0),1,1),"Not applicable")</f>
        <v>0.001% PPD TB conversions for intubation with HEPA filter</v>
      </c>
      <c r="F31" s="46">
        <v>13</v>
      </c>
      <c r="I31" s="46"/>
      <c r="J31" s="394" t="s">
        <v>579</v>
      </c>
      <c r="K31" s="109"/>
      <c r="L31" s="314"/>
      <c r="M31" s="396"/>
    </row>
    <row r="32" spans="1:14">
      <c r="B32" s="33"/>
      <c r="C32" s="165" t="s">
        <v>172</v>
      </c>
      <c r="D32" s="388" t="e">
        <f>NA()</f>
        <v>#N/A</v>
      </c>
      <c r="E32" s="1077" t="str">
        <f>IF(ISNUMBER(D32),INDEX(DesignCriteriaBasis,MATCH(F32,DesignCriteriaBasisNumber,0),1,1),"Not applicable")</f>
        <v>Not applicable</v>
      </c>
      <c r="F32" s="46"/>
      <c r="I32" s="46" t="s">
        <v>864</v>
      </c>
      <c r="J32" s="395" t="e">
        <f>INDEX(SourceDescription,MATCH(I32,SourceNumber,0),1,1)</f>
        <v>#N/A</v>
      </c>
      <c r="K32" s="109" t="s">
        <v>171</v>
      </c>
      <c r="L32" s="318" t="e">
        <f>INDEX(DilutionCriteria,MATCH(I32,DilutionCriteriaSourceNumber,0),1,1)</f>
        <v>#N/A</v>
      </c>
      <c r="M32" s="396" t="str">
        <f>IF(ISNUMBER(L32),INDEX(DesignCriteriaBasis,MATCH(N32,DesignCriteriaBasisNumber,0),1,1),"Not applicable")</f>
        <v>Not applicable</v>
      </c>
      <c r="N32" s="46">
        <v>20</v>
      </c>
    </row>
    <row r="33" spans="1:14">
      <c r="A33" s="46"/>
      <c r="B33" s="33"/>
      <c r="C33" s="165"/>
      <c r="D33" s="386"/>
      <c r="E33" s="1077"/>
      <c r="J33" s="338"/>
      <c r="K33" s="109" t="s">
        <v>172</v>
      </c>
      <c r="L33" s="379" t="e">
        <f>NA()</f>
        <v>#N/A</v>
      </c>
      <c r="M33" s="396" t="str">
        <f>IF(ISNUMBER(L33),INDEX(DesignCriteriaBasis,MATCH(N33,DesignCriteriaBasisNumber,0),1,1),"Not applicable")</f>
        <v>Not applicable</v>
      </c>
      <c r="N33" s="46"/>
    </row>
    <row r="34" spans="1:14">
      <c r="A34" s="46" t="s">
        <v>14</v>
      </c>
      <c r="B34" s="1031" t="str">
        <f>INDEX(SourceDescription,MATCH(A34,SourceNumber,0),1,1)</f>
        <v>Vivarium Exhaust 3</v>
      </c>
      <c r="C34" s="165" t="s">
        <v>171</v>
      </c>
      <c r="D34" s="388" t="e">
        <f>NA()</f>
        <v>#N/A</v>
      </c>
      <c r="E34" s="1077" t="str">
        <f>IF(ISNUMBER(D34),INDEX(DesignCriteriaBasis,MATCH(F34,DesignCriteriaBasisNumber,0),1,1),"Not applicable")</f>
        <v>Not applicable</v>
      </c>
      <c r="F34" s="46"/>
      <c r="I34" s="46"/>
      <c r="J34" s="338"/>
      <c r="K34" s="109"/>
      <c r="L34" s="314"/>
      <c r="M34" s="396"/>
    </row>
    <row r="35" spans="1:14">
      <c r="B35" s="33"/>
      <c r="C35" s="165" t="s">
        <v>172</v>
      </c>
      <c r="D35" s="387">
        <f>INDEX(DilutionCriteria,MATCH(A34,DilutionCriteriaSourceNumber,0),1,1)</f>
        <v>2823.004159999999</v>
      </c>
      <c r="E35" s="1077" t="str">
        <f>IF(ISNUMBER(D35),INDEX(DesignCriteriaBasis,MATCH(F35,DesignCriteriaBasisNumber,0),1,1),"Not applicable")</f>
        <v>1:100 recommended dilution for a vivarium</v>
      </c>
      <c r="F35" s="46">
        <v>10</v>
      </c>
      <c r="J35" s="338"/>
      <c r="M35" s="96"/>
    </row>
    <row r="36" spans="1:14">
      <c r="A36" s="46"/>
      <c r="B36" s="33"/>
      <c r="C36" s="165"/>
      <c r="D36" s="386"/>
      <c r="E36" s="1077"/>
      <c r="J36" s="394" t="s">
        <v>581</v>
      </c>
      <c r="M36" s="96"/>
    </row>
    <row r="37" spans="1:14">
      <c r="A37" s="46" t="s">
        <v>15</v>
      </c>
      <c r="B37" s="1031" t="str">
        <f>INDEX(SourceDescription,MATCH(A37,SourceNumber,0),1,1)</f>
        <v>Kitchen Exhaust 1</v>
      </c>
      <c r="C37" s="165" t="s">
        <v>171</v>
      </c>
      <c r="D37" s="388" t="e">
        <f>NA()</f>
        <v>#N/A</v>
      </c>
      <c r="E37" s="1077" t="str">
        <f>IF(ISNUMBER(D37),INDEX(DesignCriteriaBasis,MATCH(F37,DesignCriteriaBasisNumber,0),1,1),"Not applicable")</f>
        <v>Not applicable</v>
      </c>
      <c r="F37" s="46"/>
      <c r="I37" s="46" t="s">
        <v>865</v>
      </c>
      <c r="J37" s="395" t="e">
        <f>INDEX(SourceDescription,MATCH(I37,SourceNumber,0),1,1)</f>
        <v>#N/A</v>
      </c>
      <c r="K37" s="109" t="s">
        <v>171</v>
      </c>
      <c r="L37" s="318" t="e">
        <f>INDEX(CombCriteriaHLm,1,MATCH(I37,CombCriteriaSourceNumber,0),1)</f>
        <v>#N/A</v>
      </c>
      <c r="M37" s="396" t="str">
        <f>IF(ISNUMBER(L37),INDEX(DesignCriteriaBasis,MATCH(N37,DesignCriteriaBasisNumber,0),1,1),"Not applicable")</f>
        <v>Not applicable</v>
      </c>
      <c r="N37" s="46">
        <v>14</v>
      </c>
    </row>
    <row r="38" spans="1:14">
      <c r="B38" s="33"/>
      <c r="C38" s="165" t="s">
        <v>172</v>
      </c>
      <c r="D38" s="387">
        <f>INDEX(DilutionCriteria,MATCH(A37,DilutionCriteriaSourceNumber,0),1,1)</f>
        <v>2117.2531199999999</v>
      </c>
      <c r="E38" s="1077" t="str">
        <f>IF(ISNUMBER(D38),INDEX(DesignCriteriaBasis,MATCH(F38,DesignCriteriaBasisNumber,0),1,1),"Not applicable")</f>
        <v>1:300 recommended dilution for kitchen exhaust</v>
      </c>
      <c r="F38" s="46">
        <v>8</v>
      </c>
      <c r="J38" s="338"/>
      <c r="K38" s="109" t="s">
        <v>172</v>
      </c>
      <c r="L38" s="318" t="e">
        <f>INDEX(CombCriteriaOTm,1,MATCH(I37,CombCriteriaSourceNumber,0),1)</f>
        <v>#N/A</v>
      </c>
      <c r="M38" s="396" t="str">
        <f>IF(ISNUMBER(L38),INDEX(DesignCriteriaBasis,MATCH(N38,DesignCriteriaBasisNumber,0),1,1),"Not applicable")</f>
        <v>Not applicable</v>
      </c>
      <c r="N38" s="46">
        <v>18</v>
      </c>
    </row>
    <row r="39" spans="1:14">
      <c r="A39" s="46"/>
      <c r="B39" s="52"/>
      <c r="C39" s="391"/>
      <c r="D39" s="389"/>
      <c r="E39" s="1078"/>
      <c r="I39" s="46"/>
      <c r="J39" s="338"/>
      <c r="K39" s="109"/>
      <c r="L39" s="314"/>
      <c r="M39" s="396"/>
    </row>
    <row r="40" spans="1:14">
      <c r="A40" s="46"/>
      <c r="B40" s="33"/>
      <c r="C40" s="165"/>
      <c r="D40" s="386"/>
      <c r="E40" s="1077"/>
      <c r="J40" s="338"/>
      <c r="M40" s="96"/>
    </row>
    <row r="41" spans="1:14">
      <c r="A41" s="46"/>
      <c r="B41" s="1015" t="s">
        <v>571</v>
      </c>
      <c r="C41" s="165"/>
      <c r="D41" s="386"/>
      <c r="E41" s="1077"/>
      <c r="J41" s="394" t="s">
        <v>582</v>
      </c>
      <c r="M41" s="96"/>
    </row>
    <row r="42" spans="1:14">
      <c r="A42" s="46" t="s">
        <v>16</v>
      </c>
      <c r="B42" s="1031" t="e">
        <f>INDEX(SourceDescription,MATCH(A42,SourceNumber,0),1,1)</f>
        <v>#N/A</v>
      </c>
      <c r="C42" s="165" t="s">
        <v>171</v>
      </c>
      <c r="D42" s="387" t="e">
        <f>MIN(INDEX(CombCriteriaHLm,1,MATCH(A42,CombCriteriaSourceNumber,0),1),INDEX(CombCriteriaHLm,1,MATCH(A42,CombCriteriaSourceNumber,0)+1,1))</f>
        <v>#N/A</v>
      </c>
      <c r="E42" s="1077" t="str">
        <f>IF(ISNUMBER(D42),INDEX(DesignCriteriaBasis,MATCH(F42,DesignCriteriaBasisNumber,0),1,1),"Not applicable")</f>
        <v>Not applicable</v>
      </c>
      <c r="F42" s="46">
        <v>14</v>
      </c>
      <c r="I42" s="46" t="s">
        <v>949</v>
      </c>
      <c r="J42" s="395" t="str">
        <f>INDEX(SourceDescription,MATCH(I42,SourceNumber,0),1,1)</f>
        <v>550 kW Diesel Generator</v>
      </c>
      <c r="K42" s="109" t="s">
        <v>1668</v>
      </c>
      <c r="L42" s="318">
        <f>INDEX(CombCriteriaHLm,1,MATCH(I42,CombCriteriaSourceNumber,0),1)</f>
        <v>9327.2727272727261</v>
      </c>
      <c r="M42" s="396" t="str">
        <f>IF(ISNUMBER(L42),INDEX(DesignCriteriaBasis,MATCH(N42,DesignCriteriaBasisNumber,0),1,1),"Not applicable")</f>
        <v>Health limit associated with NO2 emissions</v>
      </c>
      <c r="N42" s="46">
        <v>14</v>
      </c>
    </row>
    <row r="43" spans="1:14">
      <c r="B43" s="33"/>
      <c r="C43" s="165" t="s">
        <v>172</v>
      </c>
      <c r="D43" s="387" t="e">
        <f>MIN(INDEX(CombCriteriaOTm,1,MATCH(A42,CombCriteriaSourceNumber,0),1),INDEX(CombCriteriaOTm,1,MATCH(A42,CombCriteriaSourceNumber,0)+1,1))</f>
        <v>#N/A</v>
      </c>
      <c r="E43" s="1077" t="str">
        <f>IF(ISNUMBER(D43),INDEX(DesignCriteriaBasis,MATCH(F43,DesignCriteriaBasisNumber,0),1,1),"Not applicable")</f>
        <v>Not applicable</v>
      </c>
      <c r="F43" s="46">
        <v>18</v>
      </c>
      <c r="I43" s="46"/>
      <c r="J43" s="395"/>
      <c r="K43" s="109" t="s">
        <v>948</v>
      </c>
      <c r="L43" s="318">
        <f>INDEX(CombCriteriaHLmAlt,1,MATCH(I42,CombCriteriaSourceNumber,0),1)</f>
        <v>73636.363636363632</v>
      </c>
      <c r="M43" s="396" t="str">
        <f>IF(ISNUMBER(L43),INDEX(DesignCriteriaBasis,MATCH(N43,DesignCriteriaBasisNumber,0),1,1),"Not applicable")</f>
        <v>Health limit associated with NO2 emissions</v>
      </c>
      <c r="N43" s="46">
        <v>14</v>
      </c>
    </row>
    <row r="44" spans="1:14">
      <c r="A44" s="46"/>
      <c r="B44" s="33"/>
      <c r="C44" s="165"/>
      <c r="D44" s="386"/>
      <c r="E44" s="1077"/>
      <c r="I44" s="378"/>
      <c r="J44" s="395"/>
      <c r="K44" s="109" t="s">
        <v>172</v>
      </c>
      <c r="L44" s="318">
        <f>INDEX(CombCriteriaOTm,1,MATCH(I42,CombCriteriaSourceNumber,0),1)</f>
        <v>227.80859909619105</v>
      </c>
      <c r="M44" s="396" t="str">
        <f>IF(ISNUMBER(L44),INDEX(DesignCriteriaBasis,MATCH(N44,DesignCriteriaBasisNumber,0),1,1),"Not applicable")</f>
        <v>1:2000 odor dilution threshold for diesel exhaust</v>
      </c>
      <c r="N44" s="46">
        <v>15</v>
      </c>
    </row>
    <row r="45" spans="1:14">
      <c r="A45" s="46" t="s">
        <v>949</v>
      </c>
      <c r="B45" s="1079" t="str">
        <f>INDEX(SourceDescription,MATCH(A45,SourceNumber,0),1,1)</f>
        <v>550 kW Diesel Generator</v>
      </c>
      <c r="C45" s="109" t="s">
        <v>1668</v>
      </c>
      <c r="D45" s="318">
        <f>INDEX(CombCriteriaHLm,1,MATCH(A45,CombCriteriaSourceNumber,0),1)</f>
        <v>9327.2727272727261</v>
      </c>
      <c r="E45" s="1080" t="str">
        <f>IF(ISNUMBER(D45),INDEX(DesignCriteriaBasis,MATCH(F45,DesignCriteriaBasisNumber,0),1,1),"Not applicable")</f>
        <v>Health limit associated with NO2 emissions</v>
      </c>
      <c r="F45" s="46">
        <v>14</v>
      </c>
      <c r="J45" s="338"/>
      <c r="K45" s="109" t="s">
        <v>570</v>
      </c>
      <c r="L45" s="385">
        <f>L44/0.2</f>
        <v>1139.0429954809551</v>
      </c>
      <c r="M45" s="396" t="str">
        <f>IF(ISNUMBER(L45),INDEX(DesignCriteriaBasis,MATCH(N45,DesignCriteriaBasisNumber,0),1,1),"Not applicable")</f>
        <v>1:400 odor dilution threshold for filtered diesel exhaust</v>
      </c>
      <c r="N45" s="46">
        <v>16</v>
      </c>
    </row>
    <row r="46" spans="1:14">
      <c r="A46" s="46"/>
      <c r="B46" s="1079"/>
      <c r="C46" s="109" t="s">
        <v>948</v>
      </c>
      <c r="D46" s="318">
        <f>INDEX(CombCriteriaHLmAlt,1,MATCH(A45,CombCriteriaSourceNumber,0),1)</f>
        <v>73636.363636363632</v>
      </c>
      <c r="E46" s="1080" t="str">
        <f>IF(ISNUMBER(D46),INDEX(DesignCriteriaBasis,MATCH(F46,DesignCriteriaBasisNumber,0),1,1),"Not applicable")</f>
        <v>Health limit associated with NO2 emissions</v>
      </c>
      <c r="F46" s="46">
        <v>14</v>
      </c>
      <c r="I46" s="46"/>
      <c r="J46" s="338"/>
      <c r="K46" s="109"/>
      <c r="L46" s="314"/>
      <c r="M46" s="396"/>
      <c r="N46" s="46"/>
    </row>
    <row r="47" spans="1:14">
      <c r="A47" s="378"/>
      <c r="B47" s="1079"/>
      <c r="C47" s="109" t="s">
        <v>172</v>
      </c>
      <c r="D47" s="318">
        <f>INDEX(CombCriteriaOTm,1,MATCH(A45,CombCriteriaSourceNumber,0),1)</f>
        <v>227.80859909619105</v>
      </c>
      <c r="E47" s="1080" t="str">
        <f>IF(ISNUMBER(D47),INDEX(DesignCriteriaBasis,MATCH(F47,DesignCriteriaBasisNumber,0),1,1),"Not applicable")</f>
        <v>1:2000 odor dilution threshold for diesel exhaust</v>
      </c>
      <c r="F47" s="46">
        <v>15</v>
      </c>
      <c r="J47" s="338"/>
      <c r="M47" s="96"/>
    </row>
    <row r="48" spans="1:14">
      <c r="B48" s="90"/>
      <c r="C48" s="109" t="s">
        <v>570</v>
      </c>
      <c r="D48" s="385">
        <f>D47/0.2</f>
        <v>1139.0429954809551</v>
      </c>
      <c r="E48" s="1080" t="str">
        <f>IF(ISNUMBER(D48),INDEX(DesignCriteriaBasis,MATCH(F48,DesignCriteriaBasisNumber,0),1,1),"Not applicable")</f>
        <v>1:400 odor dilution threshold for filtered diesel exhaust</v>
      </c>
      <c r="F48" s="46">
        <v>16</v>
      </c>
      <c r="J48" s="394" t="s">
        <v>580</v>
      </c>
      <c r="M48" s="96"/>
    </row>
    <row r="49" spans="1:14">
      <c r="A49" s="46"/>
      <c r="B49" s="33"/>
      <c r="C49" s="165"/>
      <c r="D49" s="386"/>
      <c r="E49" s="1077"/>
      <c r="I49" s="46" t="s">
        <v>866</v>
      </c>
      <c r="J49" s="395" t="e">
        <f>INDEX(SourceDescription,MATCH(I49,SourceNumber,0),1,1)</f>
        <v>#N/A</v>
      </c>
      <c r="K49" s="109" t="s">
        <v>171</v>
      </c>
      <c r="L49" s="318" t="e">
        <f>MIN(INDEX(CombCriteriaHLm,1,MATCH(I49,CombCriteriaSourceNumber,0),1),INDEX(CombCriteriaHLm,1,MATCH(I49,CombCriteriaSourceNumber,0)+1,1))</f>
        <v>#N/A</v>
      </c>
      <c r="M49" s="396" t="str">
        <f>IF(ISNUMBER(L49),INDEX(DesignCriteriaBasis,MATCH(N49,DesignCriteriaBasisNumber,0),1,1),"Not applicable")</f>
        <v>Not applicable</v>
      </c>
      <c r="N49" s="46">
        <v>14</v>
      </c>
    </row>
    <row r="50" spans="1:14">
      <c r="A50" s="46" t="s">
        <v>117</v>
      </c>
      <c r="B50" s="1079" t="str">
        <f>INDEX(SourceDescription,MATCH(A50,SourceNumber,0),1,1)</f>
        <v>750 kW Diesel Generator</v>
      </c>
      <c r="C50" s="109" t="s">
        <v>1668</v>
      </c>
      <c r="D50" s="318">
        <f>INDEX(CombCriteriaHLm,1,MATCH(A50,CombCriteriaSourceNumber,0),1)</f>
        <v>702.7397260273973</v>
      </c>
      <c r="E50" s="1080" t="str">
        <f>IF(ISNUMBER(D50),INDEX(DesignCriteriaBasis,MATCH(F50,DesignCriteriaBasisNumber,0),1,1),"Not applicable")</f>
        <v>Health limit associated with NO2 emissions</v>
      </c>
      <c r="F50" s="46">
        <v>14</v>
      </c>
      <c r="J50" s="338"/>
      <c r="K50" s="109" t="s">
        <v>172</v>
      </c>
      <c r="L50" s="318" t="e">
        <f>MIN(INDEX(CombCriteriaOTm,1,MATCH(I49,CombCriteriaSourceNumber,0),1),INDEX(CombCriteriaOTm,1,MATCH(I49,CombCriteriaSourceNumber,0)+1,1))</f>
        <v>#N/A</v>
      </c>
      <c r="M50" s="396" t="str">
        <f>IF(ISNUMBER(L50),INDEX(DesignCriteriaBasis,MATCH(N50,DesignCriteriaBasisNumber,0),1,1),"Not applicable")</f>
        <v>Not applicable</v>
      </c>
      <c r="N50" s="46">
        <v>18</v>
      </c>
    </row>
    <row r="51" spans="1:14">
      <c r="A51" s="46"/>
      <c r="B51" s="1079"/>
      <c r="C51" s="109" t="s">
        <v>948</v>
      </c>
      <c r="D51" s="318">
        <f>INDEX(CombCriteriaHLmAlt,1,MATCH(A50,CombCriteriaSourceNumber,0),1)</f>
        <v>5547.9452054794519</v>
      </c>
      <c r="E51" s="1080" t="str">
        <f>IF(ISNUMBER(D51),INDEX(DesignCriteriaBasis,MATCH(F51,DesignCriteriaBasisNumber,0),1,1),"Not applicable")</f>
        <v>Health limit associated with NO2 emissions</v>
      </c>
      <c r="F51" s="46">
        <v>14</v>
      </c>
      <c r="I51" s="46"/>
      <c r="J51" s="338"/>
      <c r="K51" s="109"/>
      <c r="L51" s="314"/>
      <c r="M51" s="396"/>
    </row>
    <row r="52" spans="1:14">
      <c r="A52" s="378"/>
      <c r="B52" s="1079"/>
      <c r="C52" s="109" t="s">
        <v>172</v>
      </c>
      <c r="D52" s="318">
        <f>INDEX(CombCriteriaOTm,1,MATCH(A50,CombCriteriaSourceNumber,0),1)</f>
        <v>90</v>
      </c>
      <c r="E52" s="1080" t="str">
        <f>IF(ISNUMBER(D52),INDEX(DesignCriteriaBasis,MATCH(F52,DesignCriteriaBasisNumber,0),1,1),"Not applicable")</f>
        <v>1:2000 odor dilution threshold for diesel exhaust</v>
      </c>
      <c r="F52" s="46">
        <v>15</v>
      </c>
      <c r="J52" s="394" t="s">
        <v>583</v>
      </c>
      <c r="M52" s="96"/>
    </row>
    <row r="53" spans="1:14">
      <c r="B53" s="90"/>
      <c r="C53" s="109" t="s">
        <v>570</v>
      </c>
      <c r="D53" s="385">
        <f>D52/0.2</f>
        <v>450</v>
      </c>
      <c r="E53" s="1080" t="str">
        <f>IF(ISNUMBER(D53),INDEX(DesignCriteriaBasis,MATCH(F53,DesignCriteriaBasisNumber,0),1,1),"Not applicable")</f>
        <v>1:400 odor dilution threshold for filtered diesel exhaust</v>
      </c>
      <c r="F53" s="46">
        <v>16</v>
      </c>
      <c r="I53" s="46" t="s">
        <v>117</v>
      </c>
      <c r="J53" s="395" t="str">
        <f>INDEX(SourceDescription,MATCH(I53,SourceNumber,0),1,1)</f>
        <v>750 kW Diesel Generator</v>
      </c>
      <c r="K53" s="109" t="s">
        <v>1668</v>
      </c>
      <c r="L53" s="318">
        <f>INDEX(CombCriteriaHLm,1,MATCH(I53,CombCriteriaSourceNumber,0),1)</f>
        <v>702.7397260273973</v>
      </c>
      <c r="M53" s="396" t="str">
        <f>IF(ISNUMBER(L53),INDEX(DesignCriteriaBasis,MATCH(N53,DesignCriteriaBasisNumber,0),1,1),"Not applicable")</f>
        <v>Health limit associated with NO2 emissions</v>
      </c>
      <c r="N53" s="46">
        <v>14</v>
      </c>
    </row>
    <row r="54" spans="1:14">
      <c r="A54" s="46"/>
      <c r="B54" s="33"/>
      <c r="C54" s="165"/>
      <c r="D54" s="386"/>
      <c r="E54" s="1077"/>
      <c r="I54" s="46"/>
      <c r="J54" s="395"/>
      <c r="K54" s="109" t="s">
        <v>948</v>
      </c>
      <c r="L54" s="318">
        <f>INDEX(CombCriteriaHLmAlt,1,MATCH(I53,CombCriteriaSourceNumber,0),1)</f>
        <v>5547.9452054794519</v>
      </c>
      <c r="M54" s="396" t="str">
        <f>IF(ISNUMBER(L54),INDEX(DesignCriteriaBasis,MATCH(N54,DesignCriteriaBasisNumber,0),1,1),"Not applicable")</f>
        <v>Health limit associated with NO2 emissions</v>
      </c>
      <c r="N54" s="46">
        <v>14</v>
      </c>
    </row>
    <row r="55" spans="1:14">
      <c r="A55" s="1"/>
      <c r="B55" s="33"/>
      <c r="C55" s="165"/>
      <c r="D55" s="388"/>
      <c r="E55" s="1077"/>
      <c r="F55" s="46"/>
      <c r="I55" s="378"/>
      <c r="J55" s="395"/>
      <c r="K55" s="109" t="s">
        <v>172</v>
      </c>
      <c r="L55" s="318">
        <f>INDEX(CombCriteriaOTm,1,MATCH(I53,CombCriteriaSourceNumber,0),1)</f>
        <v>90</v>
      </c>
      <c r="M55" s="396" t="str">
        <f>IF(ISNUMBER(L55),INDEX(DesignCriteriaBasis,MATCH(N55,DesignCriteriaBasisNumber,0),1,1),"Not applicable")</f>
        <v>1:2000 odor dilution threshold for diesel exhaust</v>
      </c>
      <c r="N55" s="46">
        <v>15</v>
      </c>
    </row>
    <row r="56" spans="1:14">
      <c r="A56" s="46" t="s">
        <v>886</v>
      </c>
      <c r="B56" s="1031" t="e">
        <f>INDEX(SourceDescription,MATCH(A56,SourceNumber,0),1,1)</f>
        <v>#N/A</v>
      </c>
      <c r="C56" s="165" t="s">
        <v>171</v>
      </c>
      <c r="D56" s="387" t="e">
        <f>INDEX(DilutionCriteria,MATCH(A56,DilutionCriteriaSourceNumber,0),1,1)</f>
        <v>#N/A</v>
      </c>
      <c r="E56" s="1077" t="str">
        <f>IF(ISNUMBER(D56),INDEX(DesignCriteriaBasis,MATCH(F56,DesignCriteriaBasisNumber,0),1,1),"Not applicable")</f>
        <v>Not applicable</v>
      </c>
      <c r="F56" s="46">
        <v>20</v>
      </c>
      <c r="J56" s="338"/>
      <c r="K56" s="109" t="s">
        <v>570</v>
      </c>
      <c r="L56" s="385">
        <f>L55/0.2</f>
        <v>450</v>
      </c>
      <c r="M56" s="396" t="str">
        <f>IF(ISNUMBER(L56),INDEX(DesignCriteriaBasis,MATCH(N56,DesignCriteriaBasisNumber,0),1,1),"Not applicable")</f>
        <v>1:400 odor dilution threshold for filtered diesel exhaust</v>
      </c>
      <c r="N56" s="46">
        <v>16</v>
      </c>
    </row>
    <row r="57" spans="1:14">
      <c r="A57" s="1"/>
      <c r="B57" s="33"/>
      <c r="C57" s="165" t="s">
        <v>172</v>
      </c>
      <c r="D57" s="388" t="e">
        <f>NA()</f>
        <v>#N/A</v>
      </c>
      <c r="E57" s="1077" t="str">
        <f>IF(ISNUMBER(D57),INDEX(DesignCriteriaBasis,MATCH(F57,DesignCriteriaBasisNumber,0),1,1),"Not applicable")</f>
        <v>Not applicable</v>
      </c>
      <c r="F57" s="46"/>
      <c r="I57" s="46"/>
      <c r="J57" s="338"/>
      <c r="K57" s="109"/>
      <c r="L57" s="314"/>
      <c r="M57" s="396"/>
      <c r="N57" s="46"/>
    </row>
    <row r="58" spans="1:14">
      <c r="A58" s="1"/>
      <c r="B58" s="52"/>
      <c r="C58" s="391"/>
      <c r="D58" s="567"/>
      <c r="E58" s="53"/>
      <c r="J58" s="394" t="s">
        <v>584</v>
      </c>
      <c r="M58" s="96"/>
    </row>
    <row r="59" spans="1:14">
      <c r="A59" s="1"/>
      <c r="I59" s="46" t="s">
        <v>867</v>
      </c>
      <c r="J59" s="395" t="e">
        <f>INDEX(SourceDescription,MATCH(I59,SourceNumber,0),1,1)</f>
        <v>#N/A</v>
      </c>
      <c r="K59" s="109" t="s">
        <v>171</v>
      </c>
      <c r="L59" s="318" t="e">
        <f>MIN(INDEX(CombCriteriaHLm,1,MATCH(I59,CombCriteriaSourceNumber,0),1),INDEX(CombCriteriaHLm,1,MATCH(I59,CombCriteriaSourceNumber,0)+1,1),INDEX(CombCriteriaHLm,1,MATCH(I59,CombCriteriaSourceNumber,0)+2,1))</f>
        <v>#N/A</v>
      </c>
      <c r="M59" s="396" t="str">
        <f>IF(ISNUMBER(L59),INDEX(DesignCriteriaBasis,MATCH(N59,DesignCriteriaBasisNumber,0),1,1),"Not applicable")</f>
        <v>Not applicable</v>
      </c>
      <c r="N59" s="46">
        <v>14</v>
      </c>
    </row>
    <row r="60" spans="1:14">
      <c r="A60" s="1"/>
      <c r="B60" t="s">
        <v>143</v>
      </c>
      <c r="J60" s="338"/>
      <c r="K60" s="109" t="s">
        <v>172</v>
      </c>
      <c r="L60" s="318" t="e">
        <f>MIN(INDEX(CombCriteriaOTm,1,MATCH(I59,CombCriteriaSourceNumber,0),1),INDEX(CombCriteriaOTm,1,MATCH(I59,CombCriteriaSourceNumber,0)+1,1),INDEX(CombCriteriaOTm,1,MATCH(I59,CombCriteriaSourceNumber,0)+2,1))</f>
        <v>#N/A</v>
      </c>
      <c r="M60" s="396" t="str">
        <f>IF(ISNUMBER(L60),INDEX(DesignCriteriaBasis,MATCH(N60,DesignCriteriaBasisNumber,0),1,1),"Not applicable")</f>
        <v>Not applicable</v>
      </c>
      <c r="N60" s="46">
        <v>18</v>
      </c>
    </row>
    <row r="61" spans="1:14">
      <c r="A61" s="1"/>
      <c r="B61" t="s">
        <v>630</v>
      </c>
      <c r="I61" s="46"/>
      <c r="J61" s="338"/>
      <c r="K61" s="109"/>
      <c r="L61" s="314"/>
      <c r="M61" s="396"/>
    </row>
    <row r="62" spans="1:14">
      <c r="A62" s="1"/>
      <c r="J62" s="338"/>
      <c r="M62" s="96"/>
    </row>
    <row r="63" spans="1:14">
      <c r="A63" s="1"/>
      <c r="C63" s="13" t="s">
        <v>182</v>
      </c>
      <c r="D63" s="2" t="s">
        <v>183</v>
      </c>
      <c r="J63" s="394" t="s">
        <v>585</v>
      </c>
      <c r="M63" s="96"/>
    </row>
    <row r="64" spans="1:14">
      <c r="A64" s="1"/>
      <c r="B64" s="107" t="s">
        <v>558</v>
      </c>
      <c r="C64" s="5">
        <v>1</v>
      </c>
      <c r="D64" t="s">
        <v>344</v>
      </c>
      <c r="I64" s="46" t="s">
        <v>868</v>
      </c>
      <c r="J64" s="395" t="e">
        <f>INDEX(SourceDescription,MATCH(I64,SourceNumber,0),1,1)</f>
        <v>#N/A</v>
      </c>
      <c r="K64" s="109" t="s">
        <v>171</v>
      </c>
      <c r="L64" s="318" t="e">
        <f>MIN(INDEX(CombCriteriaHLm,1,MATCH(I64,CombCriteriaSourceNumber,0),1),INDEX(CombCriteriaHLm,1,MATCH(I64,CombCriteriaSourceNumber,0)+1,1),INDEX(CombCriteriaHLm,1,MATCH(I64,CombCriteriaSourceNumber,0)+2,1))</f>
        <v>#N/A</v>
      </c>
      <c r="M64" s="396" t="str">
        <f>IF(ISNUMBER(L64),INDEX(DesignCriteriaBasis,MATCH(N64,DesignCriteriaBasisNumber,0),1,1),"Not applicable")</f>
        <v>Not applicable</v>
      </c>
      <c r="N64" s="46">
        <v>14</v>
      </c>
    </row>
    <row r="65" spans="2:14">
      <c r="C65" s="5">
        <f>C64+1</f>
        <v>2</v>
      </c>
      <c r="D65" t="s">
        <v>343</v>
      </c>
      <c r="I65" s="378"/>
      <c r="J65" s="395"/>
      <c r="K65" s="109" t="s">
        <v>172</v>
      </c>
      <c r="L65" s="318" t="e">
        <f>MIN(INDEX(CombCriteriaOTm,1,MATCH(I64,CombCriteriaSourceNumber,0),1),INDEX(CombCriteriaOTm,1,MATCH(I64,CombCriteriaSourceNumber,0)+1,1),INDEX(CombCriteriaOTm,1,MATCH(I64,CombCriteriaSourceNumber,0)+2,1))</f>
        <v>#N/A</v>
      </c>
      <c r="M65" s="396" t="str">
        <f>IF(ISNUMBER(L65),INDEX(DesignCriteriaBasis,MATCH(N65,DesignCriteriaBasisNumber,0),1,1),"Not applicable")</f>
        <v>Not applicable</v>
      </c>
      <c r="N65" s="46">
        <v>15</v>
      </c>
    </row>
    <row r="66" spans="2:14">
      <c r="C66" s="5">
        <f t="shared" ref="C66:C137" si="0">C65+1</f>
        <v>3</v>
      </c>
      <c r="D66" t="s">
        <v>553</v>
      </c>
      <c r="J66" s="338"/>
      <c r="K66" s="109" t="s">
        <v>570</v>
      </c>
      <c r="L66" s="385" t="e">
        <f>L65/0.2</f>
        <v>#N/A</v>
      </c>
      <c r="M66" s="396" t="str">
        <f>IF(ISNUMBER(L66),INDEX(DesignCriteriaBasis,MATCH(N66,DesignCriteriaBasisNumber,0),1,1),"Not applicable")</f>
        <v>Not applicable</v>
      </c>
      <c r="N66" s="46">
        <v>16</v>
      </c>
    </row>
    <row r="67" spans="2:14">
      <c r="C67" s="5">
        <f t="shared" si="0"/>
        <v>4</v>
      </c>
      <c r="D67" t="s">
        <v>1743</v>
      </c>
      <c r="I67" s="46"/>
      <c r="J67" s="338"/>
      <c r="K67" s="109"/>
      <c r="L67" s="314"/>
      <c r="M67" s="396"/>
      <c r="N67" s="46"/>
    </row>
    <row r="68" spans="2:14">
      <c r="B68" s="107" t="s">
        <v>559</v>
      </c>
      <c r="C68" s="5">
        <f t="shared" si="0"/>
        <v>5</v>
      </c>
      <c r="D68" t="s">
        <v>1588</v>
      </c>
    </row>
    <row r="69" spans="2:14">
      <c r="C69" s="5">
        <f t="shared" si="0"/>
        <v>6</v>
      </c>
      <c r="D69" t="s">
        <v>569</v>
      </c>
    </row>
    <row r="70" spans="2:14">
      <c r="C70" s="5">
        <f t="shared" si="0"/>
        <v>7</v>
      </c>
      <c r="D70" t="s">
        <v>438</v>
      </c>
    </row>
    <row r="71" spans="2:14">
      <c r="C71" s="5">
        <f>C70+1</f>
        <v>8</v>
      </c>
      <c r="D71" t="s">
        <v>185</v>
      </c>
    </row>
    <row r="72" spans="2:14">
      <c r="C72" s="5">
        <f>C71+1</f>
        <v>9</v>
      </c>
      <c r="D72" t="s">
        <v>188</v>
      </c>
    </row>
    <row r="73" spans="2:14">
      <c r="C73" s="5">
        <f t="shared" si="0"/>
        <v>10</v>
      </c>
      <c r="D73" t="s">
        <v>187</v>
      </c>
    </row>
    <row r="74" spans="2:14">
      <c r="C74" s="5">
        <f t="shared" si="0"/>
        <v>11</v>
      </c>
      <c r="D74" t="s">
        <v>557</v>
      </c>
    </row>
    <row r="75" spans="2:14">
      <c r="C75" s="5">
        <f t="shared" si="0"/>
        <v>12</v>
      </c>
      <c r="D75" t="s">
        <v>555</v>
      </c>
    </row>
    <row r="76" spans="2:14">
      <c r="C76" s="5">
        <f t="shared" si="0"/>
        <v>13</v>
      </c>
      <c r="D76" t="s">
        <v>556</v>
      </c>
    </row>
    <row r="77" spans="2:14">
      <c r="B77" s="107" t="s">
        <v>560</v>
      </c>
      <c r="C77" s="5">
        <f t="shared" si="0"/>
        <v>14</v>
      </c>
      <c r="D77" t="s">
        <v>846</v>
      </c>
    </row>
    <row r="78" spans="2:14">
      <c r="C78" s="5">
        <f t="shared" si="0"/>
        <v>15</v>
      </c>
      <c r="D78" t="s">
        <v>184</v>
      </c>
    </row>
    <row r="79" spans="2:14">
      <c r="C79" s="5">
        <f t="shared" si="0"/>
        <v>16</v>
      </c>
      <c r="D79" t="s">
        <v>554</v>
      </c>
    </row>
    <row r="80" spans="2:14">
      <c r="C80" s="5">
        <f t="shared" si="0"/>
        <v>17</v>
      </c>
      <c r="D80" t="s">
        <v>436</v>
      </c>
    </row>
    <row r="81" spans="2:4">
      <c r="C81" s="5">
        <f t="shared" si="0"/>
        <v>18</v>
      </c>
      <c r="D81" t="s">
        <v>437</v>
      </c>
    </row>
    <row r="82" spans="2:4">
      <c r="C82" s="5">
        <f t="shared" si="0"/>
        <v>19</v>
      </c>
      <c r="D82" t="s">
        <v>447</v>
      </c>
    </row>
    <row r="83" spans="2:4">
      <c r="C83" s="5">
        <f t="shared" si="0"/>
        <v>20</v>
      </c>
      <c r="D83" t="s">
        <v>186</v>
      </c>
    </row>
    <row r="84" spans="2:4">
      <c r="C84" s="5">
        <f t="shared" si="0"/>
        <v>21</v>
      </c>
      <c r="D84" t="s">
        <v>345</v>
      </c>
    </row>
    <row r="85" spans="2:4">
      <c r="B85" s="107" t="s">
        <v>642</v>
      </c>
      <c r="C85" s="5">
        <f t="shared" si="0"/>
        <v>22</v>
      </c>
      <c r="D85" t="s">
        <v>1652</v>
      </c>
    </row>
    <row r="86" spans="2:4">
      <c r="C86" s="5">
        <f t="shared" si="0"/>
        <v>23</v>
      </c>
      <c r="D86" t="s">
        <v>1651</v>
      </c>
    </row>
    <row r="87" spans="2:4">
      <c r="B87" s="107" t="s">
        <v>1704</v>
      </c>
      <c r="C87" s="5">
        <f t="shared" si="0"/>
        <v>24</v>
      </c>
      <c r="D87" t="str">
        <f>"NIOSH exposure limit for fomaldehyde, assuming " &amp;'Formaldehyde Criteria'!$D$13 &amp; " cadavers"</f>
        <v>NIOSH exposure limit for fomaldehyde, assuming 56 cadavers</v>
      </c>
    </row>
    <row r="88" spans="2:4">
      <c r="C88" s="5">
        <f t="shared" si="0"/>
        <v>25</v>
      </c>
      <c r="D88" s="1632" t="str">
        <f>"ACGIH/OSHA exposure limit for fomaldehyde, assuming " &amp;'Formaldehyde Criteria'!$D$13 &amp; " cadavers"</f>
        <v>ACGIH/OSHA exposure limit for fomaldehyde, assuming 56 cadavers</v>
      </c>
    </row>
    <row r="89" spans="2:4">
      <c r="C89" s="5">
        <f t="shared" si="0"/>
        <v>26</v>
      </c>
      <c r="D89" s="1632" t="str">
        <f>"OSHA odor threshold for fomaldehyde, assuming " &amp;'Formaldehyde Criteria'!$D$13 &amp; " cadavers"</f>
        <v>OSHA odor threshold for fomaldehyde, assuming 56 cadavers</v>
      </c>
    </row>
    <row r="90" spans="2:4">
      <c r="C90" s="5">
        <f t="shared" si="0"/>
        <v>27</v>
      </c>
      <c r="D90" s="1632" t="str">
        <f>"Ruth odor threshold for fomaldehyde, assuming " &amp;'Formaldehyde Criteria'!$D$13 &amp; " cadavers"</f>
        <v>Ruth odor threshold for fomaldehyde, assuming 56 cadavers</v>
      </c>
    </row>
    <row r="91" spans="2:4">
      <c r="B91" s="107" t="s">
        <v>1730</v>
      </c>
      <c r="C91" s="5">
        <f t="shared" si="0"/>
        <v>28</v>
      </c>
      <c r="D91" t="s">
        <v>1729</v>
      </c>
    </row>
    <row r="92" spans="2:4">
      <c r="C92" s="5">
        <f t="shared" si="0"/>
        <v>29</v>
      </c>
      <c r="D92" t="s">
        <v>1728</v>
      </c>
    </row>
    <row r="93" spans="2:4">
      <c r="C93" s="5">
        <f t="shared" si="0"/>
        <v>30</v>
      </c>
    </row>
    <row r="94" spans="2:4">
      <c r="C94" s="5">
        <f t="shared" si="0"/>
        <v>31</v>
      </c>
    </row>
    <row r="95" spans="2:4">
      <c r="C95" s="5">
        <f t="shared" si="0"/>
        <v>32</v>
      </c>
    </row>
    <row r="96" spans="2:4">
      <c r="C96" s="5">
        <f t="shared" si="0"/>
        <v>33</v>
      </c>
    </row>
    <row r="97" spans="3:3">
      <c r="C97" s="5">
        <f t="shared" si="0"/>
        <v>34</v>
      </c>
    </row>
    <row r="98" spans="3:3">
      <c r="C98" s="5">
        <f t="shared" si="0"/>
        <v>35</v>
      </c>
    </row>
    <row r="99" spans="3:3">
      <c r="C99" s="5">
        <f t="shared" si="0"/>
        <v>36</v>
      </c>
    </row>
    <row r="100" spans="3:3">
      <c r="C100" s="5">
        <f t="shared" si="0"/>
        <v>37</v>
      </c>
    </row>
    <row r="101" spans="3:3">
      <c r="C101" s="5">
        <f t="shared" si="0"/>
        <v>38</v>
      </c>
    </row>
    <row r="102" spans="3:3">
      <c r="C102" s="5">
        <f t="shared" si="0"/>
        <v>39</v>
      </c>
    </row>
    <row r="103" spans="3:3">
      <c r="C103" s="5">
        <f t="shared" si="0"/>
        <v>40</v>
      </c>
    </row>
    <row r="104" spans="3:3">
      <c r="C104" s="5">
        <f t="shared" si="0"/>
        <v>41</v>
      </c>
    </row>
    <row r="105" spans="3:3">
      <c r="C105" s="5">
        <f t="shared" si="0"/>
        <v>42</v>
      </c>
    </row>
    <row r="106" spans="3:3">
      <c r="C106" s="5">
        <f t="shared" si="0"/>
        <v>43</v>
      </c>
    </row>
    <row r="107" spans="3:3">
      <c r="C107" s="5">
        <f t="shared" si="0"/>
        <v>44</v>
      </c>
    </row>
    <row r="108" spans="3:3">
      <c r="C108" s="5">
        <f t="shared" si="0"/>
        <v>45</v>
      </c>
    </row>
    <row r="109" spans="3:3">
      <c r="C109" s="5">
        <f t="shared" si="0"/>
        <v>46</v>
      </c>
    </row>
    <row r="110" spans="3:3">
      <c r="C110" s="5">
        <f t="shared" si="0"/>
        <v>47</v>
      </c>
    </row>
    <row r="111" spans="3:3">
      <c r="C111" s="5">
        <f t="shared" si="0"/>
        <v>48</v>
      </c>
    </row>
    <row r="112" spans="3:3">
      <c r="C112" s="5">
        <f t="shared" si="0"/>
        <v>49</v>
      </c>
    </row>
    <row r="113" spans="3:3">
      <c r="C113" s="5">
        <f t="shared" si="0"/>
        <v>50</v>
      </c>
    </row>
    <row r="114" spans="3:3">
      <c r="C114" s="5">
        <f t="shared" si="0"/>
        <v>51</v>
      </c>
    </row>
    <row r="115" spans="3:3">
      <c r="C115" s="5">
        <f t="shared" si="0"/>
        <v>52</v>
      </c>
    </row>
    <row r="116" spans="3:3">
      <c r="C116" s="5">
        <f t="shared" si="0"/>
        <v>53</v>
      </c>
    </row>
    <row r="117" spans="3:3">
      <c r="C117" s="5">
        <f t="shared" si="0"/>
        <v>54</v>
      </c>
    </row>
    <row r="118" spans="3:3">
      <c r="C118" s="5">
        <f t="shared" si="0"/>
        <v>55</v>
      </c>
    </row>
    <row r="119" spans="3:3">
      <c r="C119" s="5">
        <f t="shared" si="0"/>
        <v>56</v>
      </c>
    </row>
    <row r="120" spans="3:3">
      <c r="C120" s="5">
        <f t="shared" si="0"/>
        <v>57</v>
      </c>
    </row>
    <row r="121" spans="3:3">
      <c r="C121" s="5">
        <f t="shared" si="0"/>
        <v>58</v>
      </c>
    </row>
    <row r="122" spans="3:3">
      <c r="C122" s="5">
        <f t="shared" si="0"/>
        <v>59</v>
      </c>
    </row>
    <row r="123" spans="3:3">
      <c r="C123" s="5">
        <f t="shared" si="0"/>
        <v>60</v>
      </c>
    </row>
    <row r="124" spans="3:3">
      <c r="C124" s="5">
        <f t="shared" si="0"/>
        <v>61</v>
      </c>
    </row>
    <row r="125" spans="3:3">
      <c r="C125" s="5">
        <f t="shared" si="0"/>
        <v>62</v>
      </c>
    </row>
    <row r="126" spans="3:3">
      <c r="C126" s="5">
        <f t="shared" si="0"/>
        <v>63</v>
      </c>
    </row>
    <row r="127" spans="3:3">
      <c r="C127" s="5">
        <f t="shared" si="0"/>
        <v>64</v>
      </c>
    </row>
    <row r="128" spans="3:3">
      <c r="C128" s="5">
        <f t="shared" si="0"/>
        <v>65</v>
      </c>
    </row>
    <row r="129" spans="3:3">
      <c r="C129" s="5">
        <f t="shared" si="0"/>
        <v>66</v>
      </c>
    </row>
    <row r="130" spans="3:3">
      <c r="C130" s="5">
        <f t="shared" si="0"/>
        <v>67</v>
      </c>
    </row>
    <row r="131" spans="3:3">
      <c r="C131" s="5">
        <f t="shared" si="0"/>
        <v>68</v>
      </c>
    </row>
    <row r="132" spans="3:3">
      <c r="C132" s="5">
        <f t="shared" si="0"/>
        <v>69</v>
      </c>
    </row>
    <row r="133" spans="3:3">
      <c r="C133" s="5">
        <f t="shared" si="0"/>
        <v>70</v>
      </c>
    </row>
    <row r="134" spans="3:3">
      <c r="C134" s="5">
        <f t="shared" si="0"/>
        <v>71</v>
      </c>
    </row>
    <row r="135" spans="3:3">
      <c r="C135" s="5">
        <f t="shared" si="0"/>
        <v>72</v>
      </c>
    </row>
    <row r="136" spans="3:3">
      <c r="C136" s="5">
        <f t="shared" si="0"/>
        <v>73</v>
      </c>
    </row>
    <row r="137" spans="3:3">
      <c r="C137" s="5">
        <f t="shared" si="0"/>
        <v>74</v>
      </c>
    </row>
    <row r="138" spans="3:3">
      <c r="C138" s="5">
        <f t="shared" ref="C138:C165" si="1">C137+1</f>
        <v>75</v>
      </c>
    </row>
    <row r="139" spans="3:3">
      <c r="C139" s="5">
        <f t="shared" si="1"/>
        <v>76</v>
      </c>
    </row>
    <row r="140" spans="3:3">
      <c r="C140" s="5">
        <f t="shared" si="1"/>
        <v>77</v>
      </c>
    </row>
    <row r="141" spans="3:3">
      <c r="C141" s="5">
        <f t="shared" si="1"/>
        <v>78</v>
      </c>
    </row>
    <row r="142" spans="3:3">
      <c r="C142" s="5">
        <f t="shared" si="1"/>
        <v>79</v>
      </c>
    </row>
    <row r="143" spans="3:3">
      <c r="C143" s="5">
        <f t="shared" si="1"/>
        <v>80</v>
      </c>
    </row>
    <row r="144" spans="3:3">
      <c r="C144" s="5">
        <f t="shared" si="1"/>
        <v>81</v>
      </c>
    </row>
    <row r="145" spans="3:3">
      <c r="C145" s="5">
        <f t="shared" si="1"/>
        <v>82</v>
      </c>
    </row>
    <row r="146" spans="3:3">
      <c r="C146" s="5">
        <f t="shared" si="1"/>
        <v>83</v>
      </c>
    </row>
    <row r="147" spans="3:3">
      <c r="C147" s="5">
        <f t="shared" si="1"/>
        <v>84</v>
      </c>
    </row>
    <row r="148" spans="3:3">
      <c r="C148" s="5">
        <f t="shared" si="1"/>
        <v>85</v>
      </c>
    </row>
    <row r="149" spans="3:3">
      <c r="C149" s="5">
        <f t="shared" si="1"/>
        <v>86</v>
      </c>
    </row>
    <row r="150" spans="3:3">
      <c r="C150" s="5">
        <f t="shared" si="1"/>
        <v>87</v>
      </c>
    </row>
    <row r="151" spans="3:3">
      <c r="C151" s="5">
        <f t="shared" si="1"/>
        <v>88</v>
      </c>
    </row>
    <row r="152" spans="3:3">
      <c r="C152" s="5">
        <f t="shared" si="1"/>
        <v>89</v>
      </c>
    </row>
    <row r="153" spans="3:3">
      <c r="C153" s="5">
        <f t="shared" si="1"/>
        <v>90</v>
      </c>
    </row>
    <row r="154" spans="3:3">
      <c r="C154" s="5">
        <f t="shared" si="1"/>
        <v>91</v>
      </c>
    </row>
    <row r="155" spans="3:3">
      <c r="C155" s="5">
        <f t="shared" si="1"/>
        <v>92</v>
      </c>
    </row>
    <row r="156" spans="3:3">
      <c r="C156" s="5">
        <f t="shared" si="1"/>
        <v>93</v>
      </c>
    </row>
    <row r="157" spans="3:3">
      <c r="C157" s="5">
        <f t="shared" si="1"/>
        <v>94</v>
      </c>
    </row>
    <row r="158" spans="3:3">
      <c r="C158" s="5">
        <f t="shared" si="1"/>
        <v>95</v>
      </c>
    </row>
    <row r="159" spans="3:3">
      <c r="C159" s="5">
        <f t="shared" si="1"/>
        <v>96</v>
      </c>
    </row>
    <row r="160" spans="3:3">
      <c r="C160" s="5">
        <f t="shared" si="1"/>
        <v>97</v>
      </c>
    </row>
    <row r="161" spans="3:3">
      <c r="C161" s="5">
        <f t="shared" si="1"/>
        <v>98</v>
      </c>
    </row>
    <row r="162" spans="3:3">
      <c r="C162" s="5">
        <f t="shared" si="1"/>
        <v>99</v>
      </c>
    </row>
    <row r="163" spans="3:3">
      <c r="C163" s="5">
        <f t="shared" si="1"/>
        <v>100</v>
      </c>
    </row>
    <row r="164" spans="3:3">
      <c r="C164" s="5">
        <f t="shared" si="1"/>
        <v>101</v>
      </c>
    </row>
    <row r="165" spans="3:3">
      <c r="C165" s="5">
        <f t="shared" si="1"/>
        <v>102</v>
      </c>
    </row>
  </sheetData>
  <mergeCells count="1">
    <mergeCell ref="C12:D12"/>
  </mergeCells>
  <phoneticPr fontId="0" type="noConversion"/>
  <pageMargins left="0.75" right="0.75" top="0.75" bottom="0.75" header="0.5" footer="0.5"/>
  <pageSetup scale="71" fitToHeight="0" orientation="portrait" useFirstPageNumber="1" r:id="rId1"/>
  <headerFooter scaleWithDoc="0" alignWithMargins="0">
    <oddFooter>&amp;C&amp;9Page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CC00"/>
    <pageSetUpPr fitToPage="1"/>
  </sheetPr>
  <dimension ref="B1:BE51"/>
  <sheetViews>
    <sheetView view="pageBreakPreview" topLeftCell="A4" zoomScale="75" zoomScaleNormal="56" zoomScaleSheetLayoutView="75" workbookViewId="0">
      <selection activeCell="E21" sqref="E21"/>
    </sheetView>
  </sheetViews>
  <sheetFormatPr defaultRowHeight="15.75"/>
  <cols>
    <col min="2" max="2" width="12.125" customWidth="1"/>
    <col min="3" max="3" width="8" customWidth="1"/>
    <col min="4" max="4" width="4.5" customWidth="1"/>
    <col min="5" max="5" width="7" customWidth="1"/>
    <col min="6" max="7" width="7.25" customWidth="1"/>
    <col min="8" max="8" width="8.5" style="243" customWidth="1"/>
    <col min="9" max="9" width="12.25" style="261" customWidth="1"/>
    <col min="10" max="10" width="3.125" customWidth="1"/>
    <col min="11" max="11" width="12.625" customWidth="1"/>
    <col min="12" max="12" width="6.75" customWidth="1"/>
    <col min="13" max="13" width="9.5" customWidth="1"/>
    <col min="14" max="14" width="6.125" customWidth="1"/>
    <col min="15" max="15" width="6" customWidth="1"/>
    <col min="16" max="16" width="9.5" customWidth="1"/>
    <col min="17" max="17" width="6.5" customWidth="1"/>
    <col min="18" max="19" width="6" customWidth="1"/>
    <col min="20" max="20" width="9" style="1678" bestFit="1" customWidth="1"/>
    <col min="21" max="21" width="16" customWidth="1"/>
    <col min="22" max="22" width="14" bestFit="1" customWidth="1"/>
    <col min="23" max="23" width="15.125" bestFit="1" customWidth="1"/>
    <col min="24" max="24" width="10.375" customWidth="1"/>
    <col min="25" max="25" width="9.625" customWidth="1"/>
    <col min="26" max="26" width="10.625" customWidth="1"/>
    <col min="27" max="27" width="11.125" customWidth="1"/>
    <col min="28" max="31" width="8.625" customWidth="1"/>
    <col min="32" max="39" width="9.625" customWidth="1"/>
    <col min="40" max="40" width="10.625" customWidth="1"/>
    <col min="41" max="41" width="16" bestFit="1" customWidth="1"/>
    <col min="42" max="42" width="23.75" bestFit="1" customWidth="1"/>
    <col min="43" max="44" width="15.875" customWidth="1"/>
    <col min="45" max="48" width="10.625" customWidth="1"/>
    <col min="49" max="52" width="14.625" customWidth="1"/>
  </cols>
  <sheetData>
    <row r="1" spans="2:52" ht="20.25">
      <c r="C1" s="120"/>
      <c r="D1" s="120"/>
      <c r="E1" s="120" t="str">
        <f>SourceProjectName1</f>
        <v>Project Name 1</v>
      </c>
      <c r="F1" s="120"/>
    </row>
    <row r="2" spans="2:52" ht="20.25">
      <c r="C2" s="120"/>
      <c r="D2" s="120"/>
      <c r="E2" s="120" t="str">
        <f>SourceProjectName2</f>
        <v>Project Name 2</v>
      </c>
      <c r="F2" s="120"/>
    </row>
    <row r="3" spans="2:52" ht="20.25">
      <c r="C3" s="120"/>
      <c r="D3" s="120"/>
      <c r="E3" s="120" t="str">
        <f>SourceProjectNumber</f>
        <v>Project Number</v>
      </c>
      <c r="F3" s="120"/>
    </row>
    <row r="4" spans="2:52">
      <c r="E4" s="1748">
        <f ca="1">NOW()</f>
        <v>44384.464723611112</v>
      </c>
      <c r="F4" s="1748"/>
      <c r="G4" s="1748"/>
    </row>
    <row r="5" spans="2:52">
      <c r="E5" s="1749">
        <f ca="1">NOW()</f>
        <v>44384.464723611112</v>
      </c>
      <c r="F5" s="1749"/>
      <c r="G5" s="1749"/>
    </row>
    <row r="6" spans="2:52">
      <c r="C6" s="3"/>
      <c r="D6" s="3"/>
      <c r="E6" s="3"/>
      <c r="F6" s="3"/>
      <c r="G6" s="3"/>
      <c r="H6" s="262"/>
      <c r="I6" s="26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ht="20.25">
      <c r="C7" s="150"/>
      <c r="D7" s="150"/>
      <c r="E7" s="837" t="s">
        <v>609</v>
      </c>
      <c r="F7" s="150"/>
    </row>
    <row r="8" spans="2:52" ht="20.25">
      <c r="C8" s="150"/>
      <c r="D8" s="150"/>
      <c r="E8" s="837" t="s">
        <v>536</v>
      </c>
      <c r="F8" s="150"/>
    </row>
    <row r="9" spans="2:52" ht="20.25">
      <c r="C9" s="285"/>
      <c r="D9" s="285"/>
      <c r="E9" s="838" t="s">
        <v>535</v>
      </c>
      <c r="F9" s="285"/>
      <c r="G9" s="13"/>
      <c r="J9" s="153"/>
      <c r="K9" s="13"/>
      <c r="P9" s="13"/>
      <c r="Q9" s="13"/>
      <c r="R9" s="13"/>
      <c r="S9" s="13"/>
      <c r="T9" s="1674"/>
      <c r="AB9" s="13"/>
      <c r="AC9" s="13"/>
      <c r="AD9" s="13"/>
      <c r="AE9" s="13"/>
      <c r="AO9" s="1741" t="s">
        <v>443</v>
      </c>
      <c r="AP9" s="1741"/>
      <c r="AQ9" s="1741"/>
      <c r="AR9" s="1741"/>
      <c r="AS9" s="1741"/>
      <c r="AT9" s="1741"/>
      <c r="AU9" s="1741"/>
      <c r="AV9" s="1741"/>
      <c r="AW9" s="122"/>
      <c r="AX9" s="122"/>
      <c r="AY9" s="122"/>
      <c r="AZ9" s="122"/>
    </row>
    <row r="10" spans="2:52">
      <c r="C10" s="73"/>
      <c r="D10" s="1735" t="s">
        <v>1198</v>
      </c>
      <c r="E10" s="100"/>
      <c r="F10" s="1082" t="s">
        <v>449</v>
      </c>
      <c r="G10" s="31"/>
      <c r="H10" s="264" t="s">
        <v>118</v>
      </c>
      <c r="I10" s="348" t="s">
        <v>449</v>
      </c>
      <c r="J10" s="31"/>
      <c r="K10" s="31"/>
      <c r="L10" s="31"/>
      <c r="M10" s="348" t="s">
        <v>449</v>
      </c>
      <c r="N10" s="348" t="s">
        <v>449</v>
      </c>
      <c r="O10" s="348" t="s">
        <v>449</v>
      </c>
      <c r="P10" s="31"/>
      <c r="Q10" s="31"/>
      <c r="R10" s="348" t="s">
        <v>449</v>
      </c>
      <c r="S10" s="348" t="s">
        <v>449</v>
      </c>
      <c r="T10" s="1677"/>
      <c r="U10" s="265" t="s">
        <v>368</v>
      </c>
      <c r="V10" s="1365" t="s">
        <v>1561</v>
      </c>
      <c r="W10" s="1366" t="str">
        <f>SourceProjectNumber</f>
        <v>Project Number</v>
      </c>
      <c r="X10" s="1745" t="s">
        <v>369</v>
      </c>
      <c r="Y10" s="1746"/>
      <c r="Z10" s="1746"/>
      <c r="AA10" s="1747"/>
      <c r="AB10" s="1745" t="s">
        <v>371</v>
      </c>
      <c r="AC10" s="1746"/>
      <c r="AD10" s="1746"/>
      <c r="AE10" s="1747"/>
      <c r="AF10" s="1757" t="s">
        <v>449</v>
      </c>
      <c r="AG10" s="1758"/>
      <c r="AH10" s="1758"/>
      <c r="AI10" s="1759"/>
      <c r="AJ10" s="1745" t="s">
        <v>373</v>
      </c>
      <c r="AK10" s="1746"/>
      <c r="AL10" s="1746"/>
      <c r="AM10" s="1747"/>
      <c r="AN10" s="286"/>
      <c r="AO10" s="707" t="s">
        <v>439</v>
      </c>
      <c r="AP10" s="265"/>
      <c r="AQ10" s="733" t="s">
        <v>150</v>
      </c>
      <c r="AR10" s="733" t="s">
        <v>150</v>
      </c>
      <c r="AS10" s="707"/>
      <c r="AT10" s="265"/>
      <c r="AU10" s="265"/>
      <c r="AV10" s="708"/>
      <c r="AW10" s="707"/>
      <c r="AX10" s="265"/>
      <c r="AY10" s="265"/>
      <c r="AZ10" s="708"/>
    </row>
    <row r="11" spans="2:52">
      <c r="C11" s="90"/>
      <c r="D11" s="1736"/>
      <c r="E11" s="33"/>
      <c r="F11" s="1083"/>
      <c r="H11" s="266" t="s">
        <v>666</v>
      </c>
      <c r="I11" s="563" t="s">
        <v>118</v>
      </c>
      <c r="M11" s="1750" t="s">
        <v>118</v>
      </c>
      <c r="N11" s="1750"/>
      <c r="O11" s="349" t="s">
        <v>1195</v>
      </c>
      <c r="R11" s="349" t="s">
        <v>1196</v>
      </c>
      <c r="S11" s="349" t="s">
        <v>1196</v>
      </c>
      <c r="T11" s="1675"/>
      <c r="U11" s="286" t="s">
        <v>364</v>
      </c>
      <c r="V11" s="1367">
        <f ca="1">NOW()</f>
        <v>44384.464678240744</v>
      </c>
      <c r="W11" s="1368">
        <f ca="1">$E$5</f>
        <v>44384.464723611112</v>
      </c>
      <c r="X11" s="331"/>
      <c r="Y11" s="286"/>
      <c r="Z11" s="286"/>
      <c r="AA11" s="565"/>
      <c r="AB11" s="1738" t="s">
        <v>370</v>
      </c>
      <c r="AC11" s="1739"/>
      <c r="AD11" s="1739"/>
      <c r="AE11" s="1739"/>
      <c r="AF11" s="1743" t="s">
        <v>1406</v>
      </c>
      <c r="AG11" s="1742"/>
      <c r="AH11" s="1742"/>
      <c r="AI11" s="1744"/>
      <c r="AJ11" s="1739" t="s">
        <v>1407</v>
      </c>
      <c r="AK11" s="1739"/>
      <c r="AL11" s="1739"/>
      <c r="AM11" s="1740"/>
      <c r="AN11" s="13"/>
      <c r="AO11" s="74" t="s">
        <v>440</v>
      </c>
      <c r="AP11" s="286" t="s">
        <v>439</v>
      </c>
      <c r="AQ11" s="734" t="s">
        <v>908</v>
      </c>
      <c r="AR11" s="734" t="s">
        <v>907</v>
      </c>
      <c r="AS11" s="1738" t="s">
        <v>445</v>
      </c>
      <c r="AT11" s="1700"/>
      <c r="AU11" s="1700"/>
      <c r="AV11" s="1701"/>
      <c r="AW11" s="20"/>
      <c r="AX11" s="5"/>
      <c r="AY11" s="5"/>
      <c r="AZ11" s="21"/>
    </row>
    <row r="12" spans="2:52">
      <c r="B12" t="s">
        <v>318</v>
      </c>
      <c r="C12" s="160" t="s">
        <v>160</v>
      </c>
      <c r="D12" s="1736"/>
      <c r="E12" s="74" t="s">
        <v>160</v>
      </c>
      <c r="F12" s="1084" t="s">
        <v>663</v>
      </c>
      <c r="G12" s="13" t="s">
        <v>663</v>
      </c>
      <c r="H12" s="266" t="s">
        <v>1193</v>
      </c>
      <c r="I12" s="563" t="s">
        <v>666</v>
      </c>
      <c r="J12" s="1739" t="s">
        <v>147</v>
      </c>
      <c r="K12" s="1739"/>
      <c r="L12" s="13" t="s">
        <v>755</v>
      </c>
      <c r="M12" s="1751" t="s">
        <v>666</v>
      </c>
      <c r="N12" s="1751"/>
      <c r="O12" s="346" t="s">
        <v>779</v>
      </c>
      <c r="P12" s="13" t="s">
        <v>162</v>
      </c>
      <c r="Q12" s="13" t="s">
        <v>162</v>
      </c>
      <c r="R12" s="346" t="s">
        <v>1197</v>
      </c>
      <c r="S12" s="346" t="s">
        <v>1197</v>
      </c>
      <c r="T12" s="1679" t="s">
        <v>297</v>
      </c>
      <c r="U12" s="13" t="s">
        <v>365</v>
      </c>
      <c r="V12" s="346" t="s">
        <v>1565</v>
      </c>
      <c r="W12" s="346" t="s">
        <v>1566</v>
      </c>
      <c r="X12" s="74"/>
      <c r="Y12" s="13"/>
      <c r="Z12" s="13"/>
      <c r="AA12" s="75"/>
      <c r="AB12" s="1738" t="s">
        <v>164</v>
      </c>
      <c r="AC12" s="1739"/>
      <c r="AD12" s="1739"/>
      <c r="AE12" s="1740"/>
      <c r="AF12" s="1742" t="s">
        <v>165</v>
      </c>
      <c r="AG12" s="1742"/>
      <c r="AH12" s="1742"/>
      <c r="AI12" s="1742"/>
      <c r="AJ12" s="1738" t="s">
        <v>165</v>
      </c>
      <c r="AK12" s="1739"/>
      <c r="AL12" s="1739"/>
      <c r="AM12" s="1740"/>
      <c r="AN12" s="13"/>
      <c r="AO12" s="74" t="s">
        <v>441</v>
      </c>
      <c r="AP12" s="13" t="s">
        <v>440</v>
      </c>
      <c r="AQ12" s="160" t="s">
        <v>909</v>
      </c>
      <c r="AR12" s="160" t="s">
        <v>679</v>
      </c>
      <c r="AS12" s="1738" t="s">
        <v>446</v>
      </c>
      <c r="AT12" s="1700"/>
      <c r="AU12" s="1700"/>
      <c r="AV12" s="1701"/>
      <c r="AW12" s="1738" t="s">
        <v>746</v>
      </c>
      <c r="AX12" s="1700"/>
      <c r="AY12" s="1700"/>
      <c r="AZ12" s="1701"/>
    </row>
    <row r="13" spans="2:52">
      <c r="B13" t="s">
        <v>626</v>
      </c>
      <c r="C13" s="160" t="s">
        <v>591</v>
      </c>
      <c r="D13" s="1736"/>
      <c r="E13" s="74" t="s">
        <v>779</v>
      </c>
      <c r="F13" s="1084" t="s">
        <v>591</v>
      </c>
      <c r="G13" s="13" t="s">
        <v>665</v>
      </c>
      <c r="H13" s="266" t="s">
        <v>363</v>
      </c>
      <c r="I13" s="563" t="s">
        <v>667</v>
      </c>
      <c r="J13" s="1739" t="s">
        <v>158</v>
      </c>
      <c r="K13" s="1739"/>
      <c r="L13" s="13" t="s">
        <v>161</v>
      </c>
      <c r="M13" s="553"/>
      <c r="N13" s="346"/>
      <c r="O13" s="346"/>
      <c r="P13" s="13" t="s">
        <v>167</v>
      </c>
      <c r="Q13" s="13" t="s">
        <v>168</v>
      </c>
      <c r="R13" s="346" t="s">
        <v>297</v>
      </c>
      <c r="S13" s="346" t="s">
        <v>298</v>
      </c>
      <c r="T13" s="1679" t="s">
        <v>406</v>
      </c>
      <c r="U13" s="13" t="s">
        <v>163</v>
      </c>
      <c r="V13" s="346" t="s">
        <v>1562</v>
      </c>
      <c r="W13" s="346" t="s">
        <v>1562</v>
      </c>
      <c r="X13" s="1738" t="s">
        <v>165</v>
      </c>
      <c r="Y13" s="1739"/>
      <c r="Z13" s="1739"/>
      <c r="AA13" s="1740"/>
      <c r="AB13" s="1738" t="s">
        <v>169</v>
      </c>
      <c r="AC13" s="1739"/>
      <c r="AD13" s="1739"/>
      <c r="AE13" s="1740"/>
      <c r="AF13" s="1742" t="s">
        <v>170</v>
      </c>
      <c r="AG13" s="1742"/>
      <c r="AH13" s="1742"/>
      <c r="AI13" s="1742"/>
      <c r="AJ13" s="1738" t="s">
        <v>170</v>
      </c>
      <c r="AK13" s="1739"/>
      <c r="AL13" s="1739"/>
      <c r="AM13" s="1740"/>
      <c r="AN13" s="13"/>
      <c r="AO13" s="74" t="s">
        <v>442</v>
      </c>
      <c r="AP13" s="13" t="s">
        <v>444</v>
      </c>
      <c r="AQ13" s="160" t="s">
        <v>678</v>
      </c>
      <c r="AR13" s="160" t="s">
        <v>680</v>
      </c>
      <c r="AS13" s="74"/>
      <c r="AT13" s="157" t="s">
        <v>325</v>
      </c>
      <c r="AU13" s="13"/>
      <c r="AV13" s="75"/>
      <c r="AW13" s="74"/>
      <c r="AX13" s="1700" t="s">
        <v>747</v>
      </c>
      <c r="AY13" s="1700"/>
      <c r="AZ13" s="75"/>
    </row>
    <row r="14" spans="2:52">
      <c r="B14" t="s">
        <v>627</v>
      </c>
      <c r="C14" s="76"/>
      <c r="D14" s="1737"/>
      <c r="E14" s="77"/>
      <c r="F14" s="1085"/>
      <c r="G14" s="14"/>
      <c r="H14" s="267" t="s">
        <v>668</v>
      </c>
      <c r="I14" s="564" t="s">
        <v>173</v>
      </c>
      <c r="J14" s="41"/>
      <c r="K14" s="41"/>
      <c r="L14" s="14" t="s">
        <v>1194</v>
      </c>
      <c r="M14" s="346" t="s">
        <v>587</v>
      </c>
      <c r="N14" s="347" t="s">
        <v>587</v>
      </c>
      <c r="O14" s="14"/>
      <c r="P14" s="14" t="s">
        <v>174</v>
      </c>
      <c r="Q14" s="14" t="s">
        <v>703</v>
      </c>
      <c r="R14" s="14"/>
      <c r="S14" s="14"/>
      <c r="T14" s="1676"/>
      <c r="U14" s="14" t="s">
        <v>175</v>
      </c>
      <c r="V14" s="206">
        <v>4</v>
      </c>
      <c r="W14" s="206">
        <v>2</v>
      </c>
      <c r="X14" s="1754" t="s">
        <v>175</v>
      </c>
      <c r="Y14" s="1755"/>
      <c r="Z14" s="1755"/>
      <c r="AA14" s="1756"/>
      <c r="AB14" s="74"/>
      <c r="AC14" s="13"/>
      <c r="AD14" s="13"/>
      <c r="AE14" s="75"/>
      <c r="AF14" s="74"/>
      <c r="AG14" s="13"/>
      <c r="AH14" s="13"/>
      <c r="AI14" s="75"/>
      <c r="AJ14" s="74"/>
      <c r="AK14" s="13"/>
      <c r="AL14" s="13"/>
      <c r="AM14" s="75"/>
      <c r="AN14" s="13"/>
      <c r="AO14" s="77" t="s">
        <v>703</v>
      </c>
      <c r="AP14" s="14" t="s">
        <v>175</v>
      </c>
      <c r="AQ14" s="76"/>
      <c r="AR14" s="77"/>
      <c r="AS14" s="77"/>
      <c r="AT14" s="722" t="s">
        <v>326</v>
      </c>
      <c r="AU14" s="14"/>
      <c r="AV14" s="145"/>
      <c r="AW14" s="77"/>
      <c r="AX14" s="14"/>
      <c r="AY14" s="14"/>
      <c r="AZ14" s="145"/>
    </row>
    <row r="15" spans="2:52">
      <c r="C15" s="73"/>
      <c r="D15" s="100"/>
      <c r="E15" s="100"/>
      <c r="F15" s="31"/>
      <c r="G15" s="31"/>
      <c r="H15" s="268"/>
      <c r="I15" s="269"/>
      <c r="J15" s="31"/>
      <c r="K15" s="31"/>
      <c r="L15" s="31"/>
      <c r="M15" s="31"/>
      <c r="O15" s="31"/>
      <c r="P15" s="31"/>
      <c r="Q15" s="31"/>
      <c r="R15" s="31"/>
      <c r="S15" s="31"/>
      <c r="T15" s="31"/>
      <c r="U15" s="31"/>
      <c r="V15" s="31"/>
      <c r="W15" s="31"/>
      <c r="X15" s="100"/>
      <c r="Y15" s="31"/>
      <c r="Z15" s="31"/>
      <c r="AA15" s="51"/>
      <c r="AB15" s="100"/>
      <c r="AC15" s="31"/>
      <c r="AD15" s="31"/>
      <c r="AE15" s="51"/>
      <c r="AF15" s="658"/>
      <c r="AG15" s="659"/>
      <c r="AH15" s="659"/>
      <c r="AI15" s="660"/>
      <c r="AJ15" s="658"/>
      <c r="AK15" s="659"/>
      <c r="AL15" s="659"/>
      <c r="AM15" s="660"/>
      <c r="AN15" s="420"/>
      <c r="AO15" s="658"/>
      <c r="AP15" s="659"/>
      <c r="AQ15" s="735"/>
      <c r="AR15" s="658"/>
      <c r="AS15" s="658"/>
      <c r="AT15" s="659"/>
      <c r="AU15" s="659"/>
      <c r="AV15" s="660"/>
      <c r="AW15" s="279"/>
      <c r="AX15" s="420"/>
      <c r="AY15" s="420"/>
      <c r="AZ15" s="280"/>
    </row>
    <row r="16" spans="2:52">
      <c r="C16" s="710"/>
      <c r="D16" s="124"/>
      <c r="E16" s="1193" t="s">
        <v>509</v>
      </c>
      <c r="F16" s="2"/>
      <c r="X16" s="33"/>
      <c r="AA16" s="37"/>
      <c r="AB16" s="33"/>
      <c r="AE16" s="37"/>
      <c r="AF16" s="279"/>
      <c r="AG16" s="420"/>
      <c r="AH16" s="420"/>
      <c r="AI16" s="280"/>
      <c r="AJ16" s="279"/>
      <c r="AK16" s="420"/>
      <c r="AL16" s="420"/>
      <c r="AM16" s="280"/>
      <c r="AN16" s="420"/>
      <c r="AO16" s="279"/>
      <c r="AP16" s="420"/>
      <c r="AQ16" s="736"/>
      <c r="AR16" s="279"/>
      <c r="AS16" s="279"/>
      <c r="AT16" s="420"/>
      <c r="AU16" s="420"/>
      <c r="AV16" s="280"/>
      <c r="AW16" s="279"/>
      <c r="AX16" s="420"/>
      <c r="AY16" s="420"/>
      <c r="AZ16" s="280"/>
    </row>
    <row r="17" spans="2:57">
      <c r="C17" s="710"/>
      <c r="D17" s="124"/>
      <c r="E17" s="768" t="str">
        <f>INDEX(SourceDescription,MATCH($F21,SourceNumber,0),1,1)</f>
        <v>Fume Hood Exhaust 1</v>
      </c>
      <c r="F17" s="2"/>
      <c r="X17" s="33"/>
      <c r="AA17" s="37"/>
      <c r="AB17" s="33"/>
      <c r="AE17" s="37"/>
      <c r="AF17" s="279"/>
      <c r="AG17" s="420"/>
      <c r="AH17" s="420"/>
      <c r="AI17" s="280"/>
      <c r="AJ17" s="420"/>
      <c r="AK17" s="420"/>
      <c r="AL17" s="420"/>
      <c r="AM17" s="280"/>
      <c r="AN17" s="420"/>
      <c r="AO17" s="279"/>
      <c r="AP17" s="420"/>
      <c r="AQ17" s="736"/>
      <c r="AR17" s="279"/>
      <c r="AS17" s="279"/>
      <c r="AT17" s="420"/>
      <c r="AU17" s="420"/>
      <c r="AV17" s="280"/>
      <c r="AW17" s="279"/>
      <c r="AX17" s="420"/>
      <c r="AY17" s="420"/>
      <c r="AZ17" s="280"/>
    </row>
    <row r="18" spans="2:57">
      <c r="C18" s="711"/>
      <c r="D18" s="185"/>
      <c r="E18" s="992" t="s">
        <v>510</v>
      </c>
      <c r="F18" s="3"/>
      <c r="X18" s="126"/>
      <c r="Y18" s="46"/>
      <c r="Z18" s="46"/>
      <c r="AA18" s="106"/>
      <c r="AB18" s="126" t="str">
        <f>IF(ISBLANK(X18),"",X18)</f>
        <v/>
      </c>
      <c r="AC18" s="46" t="str">
        <f t="shared" ref="AC18:AC20" si="0">IF(ISBLANK(Y18),"",Y18)</f>
        <v/>
      </c>
      <c r="AD18" s="46" t="str">
        <f t="shared" ref="AD18:AD20" si="1">IF(ISBLANK(Z18),"",Z18)</f>
        <v/>
      </c>
      <c r="AE18" s="106" t="str">
        <f t="shared" ref="AE18:AE20" si="2">IF(ISBLANK(AA18),"",AA18)</f>
        <v/>
      </c>
      <c r="AF18" s="126" t="str">
        <f t="shared" ref="AF18:AF20" si="3">IF(ISBLANK(AB18),"",AB18)</f>
        <v/>
      </c>
      <c r="AG18" s="46" t="str">
        <f t="shared" ref="AG18:AG20" si="4">IF(ISBLANK(AC18),"",AC18)</f>
        <v/>
      </c>
      <c r="AH18" s="46" t="str">
        <f t="shared" ref="AH18:AH20" si="5">IF(ISBLANK(AD18),"",AD18)</f>
        <v/>
      </c>
      <c r="AI18" s="106" t="str">
        <f t="shared" ref="AI18:AI20" si="6">IF(ISBLANK(AE18),"",AE18)</f>
        <v/>
      </c>
      <c r="AJ18" s="126" t="str">
        <f t="shared" ref="AJ18:AJ20" si="7">IF(ISBLANK(AF18),"",AF18)</f>
        <v/>
      </c>
      <c r="AK18" s="46" t="str">
        <f t="shared" ref="AK18:AK20" si="8">IF(ISBLANK(AG18),"",AG18)</f>
        <v/>
      </c>
      <c r="AL18" s="46" t="str">
        <f t="shared" ref="AL18:AL20" si="9">IF(ISBLANK(AH18),"",AH18)</f>
        <v/>
      </c>
      <c r="AM18" s="106" t="str">
        <f t="shared" ref="AM18:AM20" si="10">IF(ISBLANK(AI18),"",AI18)</f>
        <v/>
      </c>
      <c r="AN18" s="420"/>
      <c r="AO18" s="279"/>
      <c r="AP18" s="420"/>
      <c r="AQ18" s="736"/>
      <c r="AR18" s="279"/>
      <c r="AS18" s="279"/>
      <c r="AT18" s="420"/>
      <c r="AU18" s="420"/>
      <c r="AV18" s="280"/>
      <c r="AW18" s="279"/>
      <c r="AX18" s="420"/>
      <c r="AY18" s="420"/>
      <c r="AZ18" s="280"/>
      <c r="BB18" s="1752" t="s">
        <v>655</v>
      </c>
      <c r="BC18" s="1752"/>
      <c r="BD18" s="1753"/>
      <c r="BE18" s="1753"/>
    </row>
    <row r="19" spans="2:57">
      <c r="C19" s="711"/>
      <c r="D19" s="185"/>
      <c r="E19" s="767" t="str">
        <f>"Source Base Height:  "&amp;INDEX(SourceBaseHeightAboveGrade,MATCH($F21,SourceNumber,0),1,1)*3.28&amp;" ft "&amp;"("&amp;INDEX(SourceComment,MATCH($F21,SourceNumber,0)*1,1)&amp;")"</f>
        <v>Source Base Height:  0 ft (Main Roof)</v>
      </c>
      <c r="F19" s="3"/>
      <c r="X19" s="126"/>
      <c r="Y19" s="46"/>
      <c r="Z19" s="46"/>
      <c r="AA19" s="106"/>
      <c r="AB19" s="126" t="str">
        <f t="shared" ref="AB19:AB20" si="11">IF(ISBLANK(X19),"",X19)</f>
        <v/>
      </c>
      <c r="AC19" s="46" t="str">
        <f t="shared" si="0"/>
        <v/>
      </c>
      <c r="AD19" s="46" t="str">
        <f t="shared" si="1"/>
        <v/>
      </c>
      <c r="AE19" s="106" t="str">
        <f t="shared" si="2"/>
        <v/>
      </c>
      <c r="AF19" s="126" t="str">
        <f t="shared" si="3"/>
        <v/>
      </c>
      <c r="AG19" s="46" t="str">
        <f t="shared" si="4"/>
        <v/>
      </c>
      <c r="AH19" s="46" t="str">
        <f t="shared" si="5"/>
        <v/>
      </c>
      <c r="AI19" s="106" t="str">
        <f t="shared" si="6"/>
        <v/>
      </c>
      <c r="AJ19" s="126" t="str">
        <f t="shared" si="7"/>
        <v/>
      </c>
      <c r="AK19" s="46" t="str">
        <f t="shared" si="8"/>
        <v/>
      </c>
      <c r="AL19" s="46" t="str">
        <f t="shared" si="9"/>
        <v/>
      </c>
      <c r="AM19" s="106" t="str">
        <f t="shared" si="10"/>
        <v/>
      </c>
      <c r="AN19" s="420"/>
      <c r="AO19" s="279"/>
      <c r="AP19" s="420"/>
      <c r="AQ19" s="736"/>
      <c r="AR19" s="279"/>
      <c r="AS19" s="279"/>
      <c r="AT19" s="420"/>
      <c r="AU19" s="420"/>
      <c r="AV19" s="280"/>
      <c r="AW19" s="279"/>
      <c r="AX19" s="420"/>
      <c r="AY19" s="420"/>
      <c r="AZ19" s="280"/>
      <c r="BB19" s="1183"/>
      <c r="BC19" s="1183"/>
      <c r="BD19" s="1184"/>
      <c r="BE19" s="1184"/>
    </row>
    <row r="20" spans="2:57">
      <c r="C20" s="712"/>
      <c r="D20" s="161"/>
      <c r="E20" s="767" t="str">
        <f>"("&amp;ROUND(INDEX(SourceVolumeFlowRateEnglish,MATCH($F21,SourceNumber,0),1,1),0)&amp;" cfm @ "&amp;ROUND(INDEX(SourceExitVelocityEnglish,MATCH($F21,SourceNumber,0),1,1),0)&amp;" fpm)"</f>
        <v>(1000 cfm @ 2865 fpm)</v>
      </c>
      <c r="F20" s="637"/>
      <c r="M20" s="3"/>
      <c r="X20" s="126" t="s">
        <v>321</v>
      </c>
      <c r="Y20" s="46" t="s">
        <v>322</v>
      </c>
      <c r="Z20" s="46" t="s">
        <v>323</v>
      </c>
      <c r="AA20" s="106" t="s">
        <v>324</v>
      </c>
      <c r="AB20" s="126" t="str">
        <f t="shared" si="11"/>
        <v>ASHRAE</v>
      </c>
      <c r="AC20" s="46" t="str">
        <f t="shared" si="0"/>
        <v>"as mfg"</v>
      </c>
      <c r="AD20" s="46" t="str">
        <f t="shared" si="1"/>
        <v>"as inst"</v>
      </c>
      <c r="AE20" s="106" t="str">
        <f t="shared" si="2"/>
        <v>tbd</v>
      </c>
      <c r="AF20" s="126" t="str">
        <f t="shared" si="3"/>
        <v>ASHRAE</v>
      </c>
      <c r="AG20" s="46" t="str">
        <f t="shared" si="4"/>
        <v>"as mfg"</v>
      </c>
      <c r="AH20" s="46" t="str">
        <f t="shared" si="5"/>
        <v>"as inst"</v>
      </c>
      <c r="AI20" s="106" t="str">
        <f t="shared" si="6"/>
        <v>tbd</v>
      </c>
      <c r="AJ20" s="126" t="str">
        <f t="shared" si="7"/>
        <v>ASHRAE</v>
      </c>
      <c r="AK20" s="46" t="str">
        <f t="shared" si="8"/>
        <v>"as mfg"</v>
      </c>
      <c r="AL20" s="46" t="str">
        <f t="shared" si="9"/>
        <v>"as inst"</v>
      </c>
      <c r="AM20" s="106" t="str">
        <f t="shared" si="10"/>
        <v>tbd</v>
      </c>
      <c r="AN20" s="420"/>
      <c r="AO20" s="279"/>
      <c r="AP20" s="420"/>
      <c r="AQ20" s="736"/>
      <c r="AR20" s="279"/>
      <c r="AS20" s="279"/>
      <c r="AT20" s="420"/>
      <c r="AU20" s="420"/>
      <c r="AV20" s="280"/>
      <c r="AW20" s="279"/>
      <c r="AX20" s="420"/>
      <c r="AY20" s="420"/>
      <c r="AZ20" s="280"/>
    </row>
    <row r="21" spans="2:57">
      <c r="B21" t="b">
        <f>OR(AB21="no",AC21="no",AD21="no",AE21="no")</f>
        <v>0</v>
      </c>
      <c r="C21" s="87"/>
      <c r="D21" s="126"/>
      <c r="E21" s="126">
        <v>101</v>
      </c>
      <c r="F21" s="46" t="s">
        <v>885</v>
      </c>
      <c r="G21" s="42" t="str">
        <f t="shared" ref="G21:G40" si="12">INDEX(SourceID,MATCH($F21,SourceNumber,0),1,1)</f>
        <v>EF-1</v>
      </c>
      <c r="H21" s="638">
        <f t="shared" ref="H21:H40" si="13">INDEX(SourceHeightAboveBase,MATCH($F21,SourceNumber,0),1,1)*3.28</f>
        <v>10</v>
      </c>
      <c r="I21" s="326" t="e">
        <f t="shared" ref="I21:I40" si="14">H21*12/SF</f>
        <v>#VALUE!</v>
      </c>
      <c r="J21" s="257">
        <v>1</v>
      </c>
      <c r="K21" s="258" t="str">
        <f t="shared" ref="K21:K40" si="15">CONCATENATE(" - ",INDEX(ReceptorID,MATCH(J21,ReceptorNumber,0),1,1))</f>
        <v xml:space="preserve"> - Receptor 1</v>
      </c>
      <c r="L21" s="42" t="str">
        <f t="shared" ref="L21:L40" si="16">INDEX(ReceptorOperating,MATCH(J21,ReceptorNumber,0),1,1)</f>
        <v>No</v>
      </c>
      <c r="M21" s="699" t="e">
        <f t="shared" ref="M21:M40" si="17">ROUNDUP(I21/12/3.28*SF,1)</f>
        <v>#VALUE!</v>
      </c>
      <c r="N21" s="312"/>
      <c r="O21" s="46"/>
      <c r="P21" s="314"/>
      <c r="Q21" s="312"/>
      <c r="R21" s="312"/>
      <c r="S21" s="312"/>
      <c r="T21" s="1680"/>
      <c r="U21" s="315"/>
      <c r="V21" s="345">
        <f>MIN(X21:AA21)/$V$14</f>
        <v>100</v>
      </c>
      <c r="W21" s="345">
        <f>MAX(X21:AA21)*$W$14</f>
        <v>4000</v>
      </c>
      <c r="X21" s="332">
        <f>'Design Criteria Summary'!$D$16</f>
        <v>400</v>
      </c>
      <c r="Y21" s="316">
        <f>'Design Criteria Summary'!$D$17</f>
        <v>750</v>
      </c>
      <c r="Z21" s="316">
        <f>'Design Criteria Summary'!$D$18</f>
        <v>1500</v>
      </c>
      <c r="AA21" s="566">
        <f>'Design Criteria Summary'!$D$20</f>
        <v>2000</v>
      </c>
      <c r="AB21" s="20" t="str">
        <f>IF(ISNUMBER(X21),(IF(U21&gt;X21,"No","Yes")),"")</f>
        <v>Yes</v>
      </c>
      <c r="AC21" s="5" t="str">
        <f>IF(ISNUMBER(Y21),(IF(U21&gt;Y21,"No","Yes")),"")</f>
        <v>Yes</v>
      </c>
      <c r="AD21" s="5" t="str">
        <f>IF(ISNUMBER(Z21),(IF(U21&gt;Z21,"No","Yes")),"")</f>
        <v>Yes</v>
      </c>
      <c r="AE21" s="21" t="str">
        <f>IF(ISNUMBER(AA21),(IF(U21&gt;AA21,"No","Yes")),"")</f>
        <v>Yes</v>
      </c>
      <c r="AF21" s="283">
        <f t="shared" ref="AF21:AF40" si="18">IF(ISERROR(INDEX(Prob_ProbTotal,MATCH(BB21,Prob_ProbRunandCrit,0),1)),0,INDEX(Prob_ProbTotal,MATCH(BB21,Prob_ProbRunandCrit,0),1))</f>
        <v>0</v>
      </c>
      <c r="AG21" s="421">
        <f t="shared" ref="AG21:AH40" si="19">IF(ISERROR(INDEX(Prob_ProbTotal,MATCH(BC21,Prob_ProbRunandCrit,0),1)),0,INDEX(Prob_ProbTotal,MATCH(BC21,Prob_ProbRunandCrit,0),1))</f>
        <v>0</v>
      </c>
      <c r="AH21" s="421">
        <f t="shared" si="19"/>
        <v>0</v>
      </c>
      <c r="AI21" s="284">
        <f t="shared" ref="AI21:AI40" si="20">IF(ISERROR(INDEX(Prob_ProbTotal,MATCH(BE21,Prob_ProbRunandCrit,0),1)),0,INDEX(Prob_ProbTotal,MATCH(BE21,Prob_ProbRunandCrit,0),1))</f>
        <v>0</v>
      </c>
      <c r="AJ21" s="1232">
        <f>IF(AF21&lt;0.01,AF21,IF(AF21&lt;0.15,ROUND(AF21,2),ROUND(AF21,1)))</f>
        <v>0</v>
      </c>
      <c r="AK21" s="1232">
        <f t="shared" ref="AK21:AK40" si="21">IF(AG21&lt;0.01,AG21,IF(AG21&lt;0.15,ROUND(AG21,2),ROUND(AG21,1)))</f>
        <v>0</v>
      </c>
      <c r="AL21" s="1232">
        <f t="shared" ref="AL21:AL40" si="22">IF(AH21&lt;0.01,AH21,IF(AH21&lt;0.15,ROUND(AH21,2),ROUND(AH21,1)))</f>
        <v>0</v>
      </c>
      <c r="AM21" s="1233">
        <f t="shared" ref="AM21:AM40" si="23">IF(AI21&lt;0.01,AI21,IF(AI21&lt;0.15,ROUND(AI21,2),ROUND(AI21,1)))</f>
        <v>0</v>
      </c>
      <c r="AN21" s="421"/>
      <c r="AO21" s="709"/>
      <c r="AP21" s="315"/>
      <c r="AQ21" s="738">
        <f t="shared" ref="AQ21:AQ40" si="24">ROUND(INDEX(SourceVolumeFlowRateEnglish,MATCH($F21,SourceNumber,0),1),0)</f>
        <v>1000</v>
      </c>
      <c r="AR21" s="741">
        <f t="shared" ref="AR21:AR40" si="25">ROUND(INDEX(SourceExitVelocityEnglish,MATCH($F21,SourceNumber,0),1),0)</f>
        <v>2865</v>
      </c>
      <c r="AS21" s="731">
        <f t="shared" ref="AS21:AV22" si="26">IF(X21="","",ROUND($AP21/X21,4))</f>
        <v>0</v>
      </c>
      <c r="AT21" s="719">
        <f t="shared" si="26"/>
        <v>0</v>
      </c>
      <c r="AU21" s="719">
        <f t="shared" si="26"/>
        <v>0</v>
      </c>
      <c r="AV21" s="732">
        <f t="shared" si="26"/>
        <v>0</v>
      </c>
      <c r="AW21" s="720" t="str">
        <f>ROUND($AQ21*AS21,0) &amp;" ("&amp; ROUND($AR21*AS21,0) &amp;")"</f>
        <v>0 (0)</v>
      </c>
      <c r="AX21" s="720" t="str">
        <f>ROUND($AQ21*AT21,0) &amp;" ("&amp; ROUND($AR21*AT21,0) &amp;")"</f>
        <v>0 (0)</v>
      </c>
      <c r="AY21" s="720" t="str">
        <f>ROUND($AQ21*AU21,0) &amp;" ("&amp; ROUND($AR21*AU21,0) &amp;")"</f>
        <v>0 (0)</v>
      </c>
      <c r="AZ21" s="721" t="str">
        <f>ROUND($AQ21*AV21,0) &amp;" ("&amp; ROUND($AR21*AV21,0) &amp;")"</f>
        <v>0 (0)</v>
      </c>
      <c r="BB21" t="str">
        <f>$E21&amp;ROUND(X21,0)</f>
        <v>101400</v>
      </c>
      <c r="BC21" t="str">
        <f>$E21&amp;ROUND(Y21,0)</f>
        <v>101750</v>
      </c>
      <c r="BD21" t="str">
        <f>$E21&amp;ROUND(Z21,0)</f>
        <v>1011500</v>
      </c>
      <c r="BE21" t="str">
        <f>$E21&amp;ROUND(AA21,0)</f>
        <v>1012000</v>
      </c>
    </row>
    <row r="22" spans="2:57">
      <c r="B22" t="b">
        <f t="shared" ref="B22:B40" si="27">OR(AB22="no",AC22="no",AD22="no",AE22="no")</f>
        <v>0</v>
      </c>
      <c r="C22" s="639"/>
      <c r="D22" s="256"/>
      <c r="E22" s="256">
        <f>E21+1</f>
        <v>102</v>
      </c>
      <c r="F22" s="5" t="str">
        <f>F21</f>
        <v>AA</v>
      </c>
      <c r="G22" s="42" t="str">
        <f t="shared" si="12"/>
        <v>EF-1</v>
      </c>
      <c r="H22" s="638">
        <f t="shared" si="13"/>
        <v>10</v>
      </c>
      <c r="I22" s="326" t="e">
        <f t="shared" si="14"/>
        <v>#VALUE!</v>
      </c>
      <c r="J22" s="257">
        <v>2</v>
      </c>
      <c r="K22" s="258" t="str">
        <f t="shared" si="15"/>
        <v xml:space="preserve"> - Receptor 2</v>
      </c>
      <c r="L22" s="42" t="str">
        <f t="shared" si="16"/>
        <v>No</v>
      </c>
      <c r="M22" s="699" t="e">
        <f t="shared" si="17"/>
        <v>#VALUE!</v>
      </c>
      <c r="N22" s="312"/>
      <c r="O22" s="46"/>
      <c r="P22" s="314"/>
      <c r="Q22" s="312"/>
      <c r="R22" s="312"/>
      <c r="S22" s="312"/>
      <c r="T22" s="1680"/>
      <c r="U22" s="315"/>
      <c r="V22" s="345">
        <f t="shared" ref="V22:V40" si="28">MIN(X22:AA22)/$V$14</f>
        <v>100</v>
      </c>
      <c r="W22" s="345">
        <f t="shared" ref="W22:W40" si="29">MAX(X22:AA22)*$W$14</f>
        <v>4000</v>
      </c>
      <c r="X22" s="332">
        <f>'Design Criteria Summary'!$D$16</f>
        <v>400</v>
      </c>
      <c r="Y22" s="316">
        <f>'Design Criteria Summary'!$D$17</f>
        <v>750</v>
      </c>
      <c r="Z22" s="316">
        <f>'Design Criteria Summary'!$D$18</f>
        <v>1500</v>
      </c>
      <c r="AA22" s="566">
        <f>'Design Criteria Summary'!$D$20</f>
        <v>2000</v>
      </c>
      <c r="AB22" s="20" t="str">
        <f t="shared" ref="AB22:AB40" si="30">IF(ISNUMBER(X22),(IF(U22&gt;X22,"No","Yes")),"")</f>
        <v>Yes</v>
      </c>
      <c r="AC22" s="5" t="str">
        <f t="shared" ref="AC22:AC40" si="31">IF(ISNUMBER(Y22),(IF(U22&gt;Y22,"No","Yes")),"")</f>
        <v>Yes</v>
      </c>
      <c r="AD22" s="5" t="str">
        <f t="shared" ref="AD22:AD40" si="32">IF(ISNUMBER(Z22),(IF(U22&gt;Z22,"No","Yes")),"")</f>
        <v>Yes</v>
      </c>
      <c r="AE22" s="21" t="str">
        <f t="shared" ref="AE22:AE40" si="33">IF(ISNUMBER(AA22),(IF(U22&gt;AA22,"No","Yes")),"")</f>
        <v>Yes</v>
      </c>
      <c r="AF22" s="283">
        <f t="shared" si="18"/>
        <v>0</v>
      </c>
      <c r="AG22" s="421">
        <f t="shared" si="19"/>
        <v>0</v>
      </c>
      <c r="AH22" s="421">
        <f t="shared" si="19"/>
        <v>0</v>
      </c>
      <c r="AI22" s="284">
        <f t="shared" si="20"/>
        <v>0</v>
      </c>
      <c r="AJ22" s="1232">
        <f t="shared" ref="AJ22:AJ40" si="34">IF(AF22&lt;0.01,AF22,IF(AF22&lt;0.15,ROUND(AF22,2),ROUND(AF22,1)))</f>
        <v>0</v>
      </c>
      <c r="AK22" s="1232">
        <f t="shared" si="21"/>
        <v>0</v>
      </c>
      <c r="AL22" s="1232">
        <f t="shared" si="22"/>
        <v>0</v>
      </c>
      <c r="AM22" s="1233">
        <f t="shared" si="23"/>
        <v>0</v>
      </c>
      <c r="AN22" s="421"/>
      <c r="AO22" s="709"/>
      <c r="AP22" s="315"/>
      <c r="AQ22" s="738">
        <f t="shared" si="24"/>
        <v>1000</v>
      </c>
      <c r="AR22" s="741">
        <f t="shared" si="25"/>
        <v>2865</v>
      </c>
      <c r="AS22" s="731">
        <f t="shared" si="26"/>
        <v>0</v>
      </c>
      <c r="AT22" s="719">
        <f t="shared" si="26"/>
        <v>0</v>
      </c>
      <c r="AU22" s="719">
        <f t="shared" si="26"/>
        <v>0</v>
      </c>
      <c r="AV22" s="732">
        <f t="shared" si="26"/>
        <v>0</v>
      </c>
      <c r="AW22" s="720" t="str">
        <f t="shared" ref="AW22:AW40" si="35">ROUND($AQ22*AS22,0) &amp;" ("&amp; ROUND($AR22*AS22,0) &amp;")"</f>
        <v>0 (0)</v>
      </c>
      <c r="AX22" s="720" t="str">
        <f t="shared" ref="AX22:AX40" si="36">ROUND($AQ22*AT22,0) &amp;" ("&amp; ROUND($AR22*AT22,0) &amp;")"</f>
        <v>0 (0)</v>
      </c>
      <c r="AY22" s="720" t="str">
        <f t="shared" ref="AY22:AY40" si="37">ROUND($AQ22*AU22,0) &amp;" ("&amp; ROUND($AR22*AU22,0) &amp;")"</f>
        <v>0 (0)</v>
      </c>
      <c r="AZ22" s="721" t="str">
        <f t="shared" ref="AZ22:AZ40" si="38">ROUND($AQ22*AV22,0) &amp;" ("&amp; ROUND($AR22*AV22,0) &amp;")"</f>
        <v>0 (0)</v>
      </c>
      <c r="BB22" t="str">
        <f t="shared" ref="BB22:BB40" si="39">$E22&amp;ROUND(X22,0)</f>
        <v>102400</v>
      </c>
      <c r="BC22" t="str">
        <f t="shared" ref="BC22:BC40" si="40">$E22&amp;ROUND(Y22,0)</f>
        <v>102750</v>
      </c>
      <c r="BD22" t="str">
        <f t="shared" ref="BD22:BD40" si="41">$E22&amp;ROUND(Z22,0)</f>
        <v>1021500</v>
      </c>
      <c r="BE22" t="str">
        <f t="shared" ref="BE22:BE40" si="42">$E22&amp;ROUND(AA22,0)</f>
        <v>1022000</v>
      </c>
    </row>
    <row r="23" spans="2:57">
      <c r="B23" t="b">
        <f t="shared" si="27"/>
        <v>0</v>
      </c>
      <c r="C23" s="639"/>
      <c r="D23" s="256"/>
      <c r="E23" s="256">
        <f t="shared" ref="E23:E40" si="43">E22+1</f>
        <v>103</v>
      </c>
      <c r="F23" s="5" t="str">
        <f t="shared" ref="F23:F40" si="44">F22</f>
        <v>AA</v>
      </c>
      <c r="G23" s="42" t="str">
        <f t="shared" si="12"/>
        <v>EF-1</v>
      </c>
      <c r="H23" s="638">
        <f t="shared" si="13"/>
        <v>10</v>
      </c>
      <c r="I23" s="326" t="e">
        <f t="shared" si="14"/>
        <v>#VALUE!</v>
      </c>
      <c r="J23" s="257">
        <v>3</v>
      </c>
      <c r="K23" s="258" t="str">
        <f t="shared" si="15"/>
        <v xml:space="preserve"> - Receptor 3</v>
      </c>
      <c r="L23" s="42" t="str">
        <f t="shared" si="16"/>
        <v>No</v>
      </c>
      <c r="M23" s="699" t="e">
        <f t="shared" si="17"/>
        <v>#VALUE!</v>
      </c>
      <c r="N23" s="312"/>
      <c r="O23" s="46"/>
      <c r="P23" s="314"/>
      <c r="Q23" s="312"/>
      <c r="R23" s="312"/>
      <c r="S23" s="312"/>
      <c r="T23" s="1680"/>
      <c r="U23" s="315"/>
      <c r="V23" s="345">
        <f t="shared" si="28"/>
        <v>100</v>
      </c>
      <c r="W23" s="345">
        <f t="shared" si="29"/>
        <v>4000</v>
      </c>
      <c r="X23" s="332">
        <f>'Design Criteria Summary'!$D$16</f>
        <v>400</v>
      </c>
      <c r="Y23" s="316">
        <f>'Design Criteria Summary'!$D$17</f>
        <v>750</v>
      </c>
      <c r="Z23" s="316">
        <f>'Design Criteria Summary'!$D$18</f>
        <v>1500</v>
      </c>
      <c r="AA23" s="566">
        <f>'Design Criteria Summary'!$D$20</f>
        <v>2000</v>
      </c>
      <c r="AB23" s="20" t="str">
        <f t="shared" si="30"/>
        <v>Yes</v>
      </c>
      <c r="AC23" s="5" t="str">
        <f t="shared" si="31"/>
        <v>Yes</v>
      </c>
      <c r="AD23" s="5" t="str">
        <f t="shared" si="32"/>
        <v>Yes</v>
      </c>
      <c r="AE23" s="21" t="str">
        <f t="shared" si="33"/>
        <v>Yes</v>
      </c>
      <c r="AF23" s="283">
        <f t="shared" si="18"/>
        <v>0</v>
      </c>
      <c r="AG23" s="421">
        <f t="shared" si="19"/>
        <v>0</v>
      </c>
      <c r="AH23" s="421">
        <f t="shared" si="19"/>
        <v>0</v>
      </c>
      <c r="AI23" s="284">
        <f t="shared" si="20"/>
        <v>0</v>
      </c>
      <c r="AJ23" s="1232">
        <f t="shared" si="34"/>
        <v>0</v>
      </c>
      <c r="AK23" s="1232">
        <f t="shared" si="21"/>
        <v>0</v>
      </c>
      <c r="AL23" s="1232">
        <f t="shared" si="22"/>
        <v>0</v>
      </c>
      <c r="AM23" s="1233">
        <f t="shared" si="23"/>
        <v>0</v>
      </c>
      <c r="AN23" s="421"/>
      <c r="AO23" s="709"/>
      <c r="AP23" s="315"/>
      <c r="AQ23" s="738">
        <f t="shared" si="24"/>
        <v>1000</v>
      </c>
      <c r="AR23" s="741">
        <f t="shared" si="25"/>
        <v>2865</v>
      </c>
      <c r="AS23" s="731">
        <f t="shared" ref="AS23:AS40" si="45">IF(X23="","",ROUND($AP23/X23,4))</f>
        <v>0</v>
      </c>
      <c r="AT23" s="719">
        <f t="shared" ref="AT23:AT40" si="46">IF(Y23="","",ROUND($AP23/Y23,4))</f>
        <v>0</v>
      </c>
      <c r="AU23" s="719">
        <f t="shared" ref="AU23:AU40" si="47">IF(Z23="","",ROUND($AP23/Z23,4))</f>
        <v>0</v>
      </c>
      <c r="AV23" s="732">
        <f t="shared" ref="AV23:AV40" si="48">IF(AA23="","",ROUND($AP23/AA23,4))</f>
        <v>0</v>
      </c>
      <c r="AW23" s="720" t="str">
        <f t="shared" si="35"/>
        <v>0 (0)</v>
      </c>
      <c r="AX23" s="720" t="str">
        <f t="shared" si="36"/>
        <v>0 (0)</v>
      </c>
      <c r="AY23" s="720" t="str">
        <f t="shared" si="37"/>
        <v>0 (0)</v>
      </c>
      <c r="AZ23" s="721" t="str">
        <f t="shared" si="38"/>
        <v>0 (0)</v>
      </c>
      <c r="BB23" t="str">
        <f t="shared" si="39"/>
        <v>103400</v>
      </c>
      <c r="BC23" t="str">
        <f t="shared" si="40"/>
        <v>103750</v>
      </c>
      <c r="BD23" t="str">
        <f t="shared" si="41"/>
        <v>1031500</v>
      </c>
      <c r="BE23" t="str">
        <f t="shared" si="42"/>
        <v>1032000</v>
      </c>
    </row>
    <row r="24" spans="2:57">
      <c r="B24" t="b">
        <f t="shared" si="27"/>
        <v>0</v>
      </c>
      <c r="C24" s="639"/>
      <c r="D24" s="256"/>
      <c r="E24" s="256">
        <f t="shared" si="43"/>
        <v>104</v>
      </c>
      <c r="F24" s="5" t="str">
        <f t="shared" si="44"/>
        <v>AA</v>
      </c>
      <c r="G24" s="42" t="str">
        <f t="shared" si="12"/>
        <v>EF-1</v>
      </c>
      <c r="H24" s="638">
        <f t="shared" si="13"/>
        <v>10</v>
      </c>
      <c r="I24" s="326" t="e">
        <f t="shared" si="14"/>
        <v>#VALUE!</v>
      </c>
      <c r="J24" s="257">
        <v>4</v>
      </c>
      <c r="K24" s="258" t="str">
        <f t="shared" si="15"/>
        <v xml:space="preserve"> - Receptor 4</v>
      </c>
      <c r="L24" s="42" t="str">
        <f t="shared" si="16"/>
        <v>No</v>
      </c>
      <c r="M24" s="699" t="e">
        <f t="shared" si="17"/>
        <v>#VALUE!</v>
      </c>
      <c r="N24" s="312"/>
      <c r="O24" s="46"/>
      <c r="P24" s="314"/>
      <c r="Q24" s="312"/>
      <c r="R24" s="312"/>
      <c r="S24" s="312"/>
      <c r="T24" s="1680"/>
      <c r="U24" s="315"/>
      <c r="V24" s="345">
        <f t="shared" si="28"/>
        <v>100</v>
      </c>
      <c r="W24" s="345">
        <f t="shared" si="29"/>
        <v>4000</v>
      </c>
      <c r="X24" s="332">
        <f>'Design Criteria Summary'!$D$16</f>
        <v>400</v>
      </c>
      <c r="Y24" s="316">
        <f>'Design Criteria Summary'!$D$17</f>
        <v>750</v>
      </c>
      <c r="Z24" s="316">
        <f>'Design Criteria Summary'!$D$18</f>
        <v>1500</v>
      </c>
      <c r="AA24" s="566">
        <f>'Design Criteria Summary'!$D$20</f>
        <v>2000</v>
      </c>
      <c r="AB24" s="20" t="str">
        <f t="shared" si="30"/>
        <v>Yes</v>
      </c>
      <c r="AC24" s="5" t="str">
        <f t="shared" si="31"/>
        <v>Yes</v>
      </c>
      <c r="AD24" s="5" t="str">
        <f t="shared" si="32"/>
        <v>Yes</v>
      </c>
      <c r="AE24" s="21" t="str">
        <f t="shared" si="33"/>
        <v>Yes</v>
      </c>
      <c r="AF24" s="283">
        <f t="shared" si="18"/>
        <v>0</v>
      </c>
      <c r="AG24" s="421">
        <f t="shared" si="19"/>
        <v>0</v>
      </c>
      <c r="AH24" s="421">
        <f t="shared" si="19"/>
        <v>0</v>
      </c>
      <c r="AI24" s="284">
        <f t="shared" si="20"/>
        <v>0</v>
      </c>
      <c r="AJ24" s="1232">
        <f t="shared" si="34"/>
        <v>0</v>
      </c>
      <c r="AK24" s="1232">
        <f t="shared" si="21"/>
        <v>0</v>
      </c>
      <c r="AL24" s="1232">
        <f t="shared" si="22"/>
        <v>0</v>
      </c>
      <c r="AM24" s="1233">
        <f t="shared" si="23"/>
        <v>0</v>
      </c>
      <c r="AN24" s="421"/>
      <c r="AO24" s="709"/>
      <c r="AP24" s="315"/>
      <c r="AQ24" s="738">
        <f t="shared" si="24"/>
        <v>1000</v>
      </c>
      <c r="AR24" s="741">
        <f t="shared" si="25"/>
        <v>2865</v>
      </c>
      <c r="AS24" s="731">
        <f t="shared" si="45"/>
        <v>0</v>
      </c>
      <c r="AT24" s="719">
        <f t="shared" si="46"/>
        <v>0</v>
      </c>
      <c r="AU24" s="719">
        <f t="shared" si="47"/>
        <v>0</v>
      </c>
      <c r="AV24" s="732">
        <f t="shared" si="48"/>
        <v>0</v>
      </c>
      <c r="AW24" s="720" t="str">
        <f t="shared" si="35"/>
        <v>0 (0)</v>
      </c>
      <c r="AX24" s="720" t="str">
        <f t="shared" si="36"/>
        <v>0 (0)</v>
      </c>
      <c r="AY24" s="720" t="str">
        <f t="shared" si="37"/>
        <v>0 (0)</v>
      </c>
      <c r="AZ24" s="721" t="str">
        <f t="shared" si="38"/>
        <v>0 (0)</v>
      </c>
      <c r="BB24" t="str">
        <f t="shared" si="39"/>
        <v>104400</v>
      </c>
      <c r="BC24" t="str">
        <f t="shared" si="40"/>
        <v>104750</v>
      </c>
      <c r="BD24" t="str">
        <f t="shared" si="41"/>
        <v>1041500</v>
      </c>
      <c r="BE24" t="str">
        <f t="shared" si="42"/>
        <v>1042000</v>
      </c>
    </row>
    <row r="25" spans="2:57">
      <c r="B25" t="b">
        <f t="shared" si="27"/>
        <v>0</v>
      </c>
      <c r="C25" s="639"/>
      <c r="D25" s="256"/>
      <c r="E25" s="256">
        <f t="shared" si="43"/>
        <v>105</v>
      </c>
      <c r="F25" s="5" t="str">
        <f t="shared" si="44"/>
        <v>AA</v>
      </c>
      <c r="G25" s="42" t="str">
        <f t="shared" si="12"/>
        <v>EF-1</v>
      </c>
      <c r="H25" s="638">
        <f t="shared" si="13"/>
        <v>10</v>
      </c>
      <c r="I25" s="326" t="e">
        <f t="shared" si="14"/>
        <v>#VALUE!</v>
      </c>
      <c r="J25" s="257">
        <v>5</v>
      </c>
      <c r="K25" s="258" t="str">
        <f t="shared" si="15"/>
        <v xml:space="preserve"> - Receptor 5</v>
      </c>
      <c r="L25" s="42" t="str">
        <f t="shared" si="16"/>
        <v>No</v>
      </c>
      <c r="M25" s="699" t="e">
        <f t="shared" si="17"/>
        <v>#VALUE!</v>
      </c>
      <c r="N25" s="312"/>
      <c r="O25" s="46"/>
      <c r="P25" s="314"/>
      <c r="Q25" s="312"/>
      <c r="R25" s="312"/>
      <c r="S25" s="312"/>
      <c r="T25" s="1680"/>
      <c r="U25" s="315"/>
      <c r="V25" s="345">
        <f t="shared" si="28"/>
        <v>100</v>
      </c>
      <c r="W25" s="345">
        <f t="shared" si="29"/>
        <v>4000</v>
      </c>
      <c r="X25" s="332">
        <f>'Design Criteria Summary'!$D$16</f>
        <v>400</v>
      </c>
      <c r="Y25" s="316">
        <f>'Design Criteria Summary'!$D$17</f>
        <v>750</v>
      </c>
      <c r="Z25" s="316">
        <f>'Design Criteria Summary'!$D$18</f>
        <v>1500</v>
      </c>
      <c r="AA25" s="566">
        <f>'Design Criteria Summary'!$D$20</f>
        <v>2000</v>
      </c>
      <c r="AB25" s="20" t="str">
        <f t="shared" si="30"/>
        <v>Yes</v>
      </c>
      <c r="AC25" s="5" t="str">
        <f t="shared" si="31"/>
        <v>Yes</v>
      </c>
      <c r="AD25" s="5" t="str">
        <f t="shared" si="32"/>
        <v>Yes</v>
      </c>
      <c r="AE25" s="21" t="str">
        <f t="shared" si="33"/>
        <v>Yes</v>
      </c>
      <c r="AF25" s="283">
        <f t="shared" si="18"/>
        <v>0</v>
      </c>
      <c r="AG25" s="421">
        <f t="shared" si="19"/>
        <v>0</v>
      </c>
      <c r="AH25" s="421">
        <f t="shared" si="19"/>
        <v>0</v>
      </c>
      <c r="AI25" s="284">
        <f t="shared" si="20"/>
        <v>0</v>
      </c>
      <c r="AJ25" s="1232">
        <f t="shared" si="34"/>
        <v>0</v>
      </c>
      <c r="AK25" s="1232">
        <f t="shared" si="21"/>
        <v>0</v>
      </c>
      <c r="AL25" s="1232">
        <f t="shared" si="22"/>
        <v>0</v>
      </c>
      <c r="AM25" s="1233">
        <f t="shared" si="23"/>
        <v>0</v>
      </c>
      <c r="AN25" s="421"/>
      <c r="AO25" s="709"/>
      <c r="AP25" s="315"/>
      <c r="AQ25" s="738">
        <f t="shared" si="24"/>
        <v>1000</v>
      </c>
      <c r="AR25" s="741">
        <f t="shared" si="25"/>
        <v>2865</v>
      </c>
      <c r="AS25" s="731">
        <f t="shared" si="45"/>
        <v>0</v>
      </c>
      <c r="AT25" s="719">
        <f t="shared" si="46"/>
        <v>0</v>
      </c>
      <c r="AU25" s="719">
        <f t="shared" si="47"/>
        <v>0</v>
      </c>
      <c r="AV25" s="732">
        <f t="shared" si="48"/>
        <v>0</v>
      </c>
      <c r="AW25" s="720" t="str">
        <f t="shared" si="35"/>
        <v>0 (0)</v>
      </c>
      <c r="AX25" s="720" t="str">
        <f t="shared" si="36"/>
        <v>0 (0)</v>
      </c>
      <c r="AY25" s="720" t="str">
        <f t="shared" si="37"/>
        <v>0 (0)</v>
      </c>
      <c r="AZ25" s="721" t="str">
        <f t="shared" si="38"/>
        <v>0 (0)</v>
      </c>
      <c r="BB25" t="str">
        <f t="shared" si="39"/>
        <v>105400</v>
      </c>
      <c r="BC25" t="str">
        <f t="shared" si="40"/>
        <v>105750</v>
      </c>
      <c r="BD25" t="str">
        <f t="shared" si="41"/>
        <v>1051500</v>
      </c>
      <c r="BE25" t="str">
        <f t="shared" si="42"/>
        <v>1052000</v>
      </c>
    </row>
    <row r="26" spans="2:57">
      <c r="B26" t="b">
        <f t="shared" si="27"/>
        <v>0</v>
      </c>
      <c r="C26" s="639"/>
      <c r="D26" s="256"/>
      <c r="E26" s="256">
        <f t="shared" si="43"/>
        <v>106</v>
      </c>
      <c r="F26" s="5" t="str">
        <f t="shared" si="44"/>
        <v>AA</v>
      </c>
      <c r="G26" s="42" t="str">
        <f t="shared" si="12"/>
        <v>EF-1</v>
      </c>
      <c r="H26" s="638">
        <f t="shared" si="13"/>
        <v>10</v>
      </c>
      <c r="I26" s="326" t="e">
        <f t="shared" si="14"/>
        <v>#VALUE!</v>
      </c>
      <c r="J26" s="257">
        <v>6</v>
      </c>
      <c r="K26" s="258" t="str">
        <f t="shared" si="15"/>
        <v xml:space="preserve"> - Receptor 6</v>
      </c>
      <c r="L26" s="42" t="str">
        <f t="shared" si="16"/>
        <v>No</v>
      </c>
      <c r="M26" s="699" t="e">
        <f t="shared" si="17"/>
        <v>#VALUE!</v>
      </c>
      <c r="N26" s="312"/>
      <c r="O26" s="46"/>
      <c r="P26" s="314"/>
      <c r="Q26" s="312"/>
      <c r="R26" s="312"/>
      <c r="S26" s="312"/>
      <c r="T26" s="1680"/>
      <c r="U26" s="315"/>
      <c r="V26" s="345">
        <f t="shared" si="28"/>
        <v>100</v>
      </c>
      <c r="W26" s="345">
        <f t="shared" si="29"/>
        <v>4000</v>
      </c>
      <c r="X26" s="332">
        <f>'Design Criteria Summary'!$D$16</f>
        <v>400</v>
      </c>
      <c r="Y26" s="316">
        <f>'Design Criteria Summary'!$D$17</f>
        <v>750</v>
      </c>
      <c r="Z26" s="316">
        <f>'Design Criteria Summary'!$D$18</f>
        <v>1500</v>
      </c>
      <c r="AA26" s="566">
        <f>'Design Criteria Summary'!$D$20</f>
        <v>2000</v>
      </c>
      <c r="AB26" s="20" t="str">
        <f t="shared" si="30"/>
        <v>Yes</v>
      </c>
      <c r="AC26" s="5" t="str">
        <f t="shared" si="31"/>
        <v>Yes</v>
      </c>
      <c r="AD26" s="5" t="str">
        <f t="shared" si="32"/>
        <v>Yes</v>
      </c>
      <c r="AE26" s="21" t="str">
        <f t="shared" si="33"/>
        <v>Yes</v>
      </c>
      <c r="AF26" s="283">
        <f t="shared" si="18"/>
        <v>0</v>
      </c>
      <c r="AG26" s="421">
        <f t="shared" si="19"/>
        <v>0</v>
      </c>
      <c r="AH26" s="421">
        <f t="shared" si="19"/>
        <v>0</v>
      </c>
      <c r="AI26" s="284">
        <f t="shared" si="20"/>
        <v>0</v>
      </c>
      <c r="AJ26" s="1232">
        <f t="shared" si="34"/>
        <v>0</v>
      </c>
      <c r="AK26" s="1232">
        <f t="shared" si="21"/>
        <v>0</v>
      </c>
      <c r="AL26" s="1232">
        <f t="shared" si="22"/>
        <v>0</v>
      </c>
      <c r="AM26" s="1233">
        <f t="shared" si="23"/>
        <v>0</v>
      </c>
      <c r="AN26" s="421"/>
      <c r="AO26" s="709"/>
      <c r="AP26" s="315"/>
      <c r="AQ26" s="738">
        <f t="shared" si="24"/>
        <v>1000</v>
      </c>
      <c r="AR26" s="741">
        <f t="shared" si="25"/>
        <v>2865</v>
      </c>
      <c r="AS26" s="731">
        <f t="shared" si="45"/>
        <v>0</v>
      </c>
      <c r="AT26" s="719">
        <f t="shared" si="46"/>
        <v>0</v>
      </c>
      <c r="AU26" s="719">
        <f t="shared" si="47"/>
        <v>0</v>
      </c>
      <c r="AV26" s="732">
        <f t="shared" si="48"/>
        <v>0</v>
      </c>
      <c r="AW26" s="720" t="str">
        <f t="shared" si="35"/>
        <v>0 (0)</v>
      </c>
      <c r="AX26" s="720" t="str">
        <f t="shared" si="36"/>
        <v>0 (0)</v>
      </c>
      <c r="AY26" s="720" t="str">
        <f t="shared" si="37"/>
        <v>0 (0)</v>
      </c>
      <c r="AZ26" s="721" t="str">
        <f t="shared" si="38"/>
        <v>0 (0)</v>
      </c>
      <c r="BB26" t="str">
        <f t="shared" si="39"/>
        <v>106400</v>
      </c>
      <c r="BC26" t="str">
        <f t="shared" si="40"/>
        <v>106750</v>
      </c>
      <c r="BD26" t="str">
        <f t="shared" si="41"/>
        <v>1061500</v>
      </c>
      <c r="BE26" t="str">
        <f t="shared" si="42"/>
        <v>1062000</v>
      </c>
    </row>
    <row r="27" spans="2:57">
      <c r="B27" t="b">
        <f t="shared" si="27"/>
        <v>0</v>
      </c>
      <c r="C27" s="639"/>
      <c r="D27" s="256"/>
      <c r="E27" s="256">
        <f t="shared" si="43"/>
        <v>107</v>
      </c>
      <c r="F27" s="5" t="str">
        <f t="shared" si="44"/>
        <v>AA</v>
      </c>
      <c r="G27" s="42" t="str">
        <f t="shared" si="12"/>
        <v>EF-1</v>
      </c>
      <c r="H27" s="638">
        <f t="shared" si="13"/>
        <v>10</v>
      </c>
      <c r="I27" s="326" t="e">
        <f t="shared" si="14"/>
        <v>#VALUE!</v>
      </c>
      <c r="J27" s="257">
        <v>7</v>
      </c>
      <c r="K27" s="258" t="str">
        <f t="shared" si="15"/>
        <v xml:space="preserve"> - Receptor 7</v>
      </c>
      <c r="L27" s="42" t="str">
        <f t="shared" si="16"/>
        <v>No</v>
      </c>
      <c r="M27" s="699" t="e">
        <f t="shared" si="17"/>
        <v>#VALUE!</v>
      </c>
      <c r="N27" s="312"/>
      <c r="O27" s="46"/>
      <c r="P27" s="314"/>
      <c r="Q27" s="312"/>
      <c r="R27" s="312"/>
      <c r="S27" s="312"/>
      <c r="T27" s="1680"/>
      <c r="U27" s="315"/>
      <c r="V27" s="345">
        <f t="shared" si="28"/>
        <v>100</v>
      </c>
      <c r="W27" s="345">
        <f t="shared" si="29"/>
        <v>4000</v>
      </c>
      <c r="X27" s="332">
        <f>'Design Criteria Summary'!$D$16</f>
        <v>400</v>
      </c>
      <c r="Y27" s="316">
        <f>'Design Criteria Summary'!$D$17</f>
        <v>750</v>
      </c>
      <c r="Z27" s="316">
        <f>'Design Criteria Summary'!$D$18</f>
        <v>1500</v>
      </c>
      <c r="AA27" s="566">
        <f>'Design Criteria Summary'!$D$20</f>
        <v>2000</v>
      </c>
      <c r="AB27" s="20" t="str">
        <f t="shared" si="30"/>
        <v>Yes</v>
      </c>
      <c r="AC27" s="5" t="str">
        <f t="shared" si="31"/>
        <v>Yes</v>
      </c>
      <c r="AD27" s="5" t="str">
        <f t="shared" si="32"/>
        <v>Yes</v>
      </c>
      <c r="AE27" s="21" t="str">
        <f t="shared" si="33"/>
        <v>Yes</v>
      </c>
      <c r="AF27" s="283">
        <f t="shared" si="18"/>
        <v>0</v>
      </c>
      <c r="AG27" s="421">
        <f t="shared" si="19"/>
        <v>0</v>
      </c>
      <c r="AH27" s="421">
        <f t="shared" si="19"/>
        <v>0</v>
      </c>
      <c r="AI27" s="284">
        <f t="shared" si="20"/>
        <v>0</v>
      </c>
      <c r="AJ27" s="1232">
        <f t="shared" si="34"/>
        <v>0</v>
      </c>
      <c r="AK27" s="1232">
        <f t="shared" si="21"/>
        <v>0</v>
      </c>
      <c r="AL27" s="1232">
        <f t="shared" si="22"/>
        <v>0</v>
      </c>
      <c r="AM27" s="1233">
        <f t="shared" si="23"/>
        <v>0</v>
      </c>
      <c r="AN27" s="421"/>
      <c r="AO27" s="709"/>
      <c r="AP27" s="315"/>
      <c r="AQ27" s="738">
        <f t="shared" si="24"/>
        <v>1000</v>
      </c>
      <c r="AR27" s="741">
        <f t="shared" si="25"/>
        <v>2865</v>
      </c>
      <c r="AS27" s="731">
        <f t="shared" si="45"/>
        <v>0</v>
      </c>
      <c r="AT27" s="719">
        <f t="shared" si="46"/>
        <v>0</v>
      </c>
      <c r="AU27" s="719">
        <f t="shared" si="47"/>
        <v>0</v>
      </c>
      <c r="AV27" s="732">
        <f t="shared" si="48"/>
        <v>0</v>
      </c>
      <c r="AW27" s="720" t="str">
        <f t="shared" si="35"/>
        <v>0 (0)</v>
      </c>
      <c r="AX27" s="720" t="str">
        <f t="shared" si="36"/>
        <v>0 (0)</v>
      </c>
      <c r="AY27" s="720" t="str">
        <f t="shared" si="37"/>
        <v>0 (0)</v>
      </c>
      <c r="AZ27" s="721" t="str">
        <f t="shared" si="38"/>
        <v>0 (0)</v>
      </c>
      <c r="BB27" t="str">
        <f t="shared" si="39"/>
        <v>107400</v>
      </c>
      <c r="BC27" t="str">
        <f t="shared" si="40"/>
        <v>107750</v>
      </c>
      <c r="BD27" t="str">
        <f t="shared" si="41"/>
        <v>1071500</v>
      </c>
      <c r="BE27" t="str">
        <f t="shared" si="42"/>
        <v>1072000</v>
      </c>
    </row>
    <row r="28" spans="2:57">
      <c r="B28" t="b">
        <f t="shared" si="27"/>
        <v>0</v>
      </c>
      <c r="C28" s="639"/>
      <c r="D28" s="256"/>
      <c r="E28" s="256">
        <f t="shared" si="43"/>
        <v>108</v>
      </c>
      <c r="F28" s="5" t="str">
        <f t="shared" si="44"/>
        <v>AA</v>
      </c>
      <c r="G28" s="42" t="str">
        <f t="shared" si="12"/>
        <v>EF-1</v>
      </c>
      <c r="H28" s="638">
        <f t="shared" si="13"/>
        <v>10</v>
      </c>
      <c r="I28" s="326" t="e">
        <f t="shared" si="14"/>
        <v>#VALUE!</v>
      </c>
      <c r="J28" s="257">
        <v>8</v>
      </c>
      <c r="K28" s="258" t="str">
        <f t="shared" si="15"/>
        <v xml:space="preserve"> - Receptor 8</v>
      </c>
      <c r="L28" s="42" t="str">
        <f t="shared" si="16"/>
        <v>No</v>
      </c>
      <c r="M28" s="699" t="e">
        <f t="shared" si="17"/>
        <v>#VALUE!</v>
      </c>
      <c r="N28" s="312"/>
      <c r="O28" s="46"/>
      <c r="P28" s="314"/>
      <c r="Q28" s="312"/>
      <c r="R28" s="312"/>
      <c r="S28" s="312"/>
      <c r="T28" s="1680"/>
      <c r="U28" s="315"/>
      <c r="V28" s="345">
        <f t="shared" si="28"/>
        <v>100</v>
      </c>
      <c r="W28" s="345">
        <f t="shared" si="29"/>
        <v>4000</v>
      </c>
      <c r="X28" s="332">
        <f>'Design Criteria Summary'!$D$16</f>
        <v>400</v>
      </c>
      <c r="Y28" s="316">
        <f>'Design Criteria Summary'!$D$17</f>
        <v>750</v>
      </c>
      <c r="Z28" s="316">
        <f>'Design Criteria Summary'!$D$18</f>
        <v>1500</v>
      </c>
      <c r="AA28" s="566">
        <f>'Design Criteria Summary'!$D$20</f>
        <v>2000</v>
      </c>
      <c r="AB28" s="20" t="str">
        <f t="shared" si="30"/>
        <v>Yes</v>
      </c>
      <c r="AC28" s="5" t="str">
        <f t="shared" si="31"/>
        <v>Yes</v>
      </c>
      <c r="AD28" s="5" t="str">
        <f t="shared" si="32"/>
        <v>Yes</v>
      </c>
      <c r="AE28" s="21" t="str">
        <f t="shared" si="33"/>
        <v>Yes</v>
      </c>
      <c r="AF28" s="283">
        <f t="shared" si="18"/>
        <v>0</v>
      </c>
      <c r="AG28" s="421">
        <f t="shared" si="19"/>
        <v>0</v>
      </c>
      <c r="AH28" s="421">
        <f t="shared" si="19"/>
        <v>0</v>
      </c>
      <c r="AI28" s="284">
        <f t="shared" si="20"/>
        <v>0</v>
      </c>
      <c r="AJ28" s="1232">
        <f t="shared" si="34"/>
        <v>0</v>
      </c>
      <c r="AK28" s="1232">
        <f t="shared" si="21"/>
        <v>0</v>
      </c>
      <c r="AL28" s="1232">
        <f t="shared" si="22"/>
        <v>0</v>
      </c>
      <c r="AM28" s="1233">
        <f t="shared" si="23"/>
        <v>0</v>
      </c>
      <c r="AN28" s="421"/>
      <c r="AO28" s="709"/>
      <c r="AP28" s="315"/>
      <c r="AQ28" s="738">
        <f t="shared" si="24"/>
        <v>1000</v>
      </c>
      <c r="AR28" s="741">
        <f t="shared" si="25"/>
        <v>2865</v>
      </c>
      <c r="AS28" s="731">
        <f t="shared" si="45"/>
        <v>0</v>
      </c>
      <c r="AT28" s="719">
        <f t="shared" si="46"/>
        <v>0</v>
      </c>
      <c r="AU28" s="719">
        <f t="shared" si="47"/>
        <v>0</v>
      </c>
      <c r="AV28" s="732">
        <f t="shared" si="48"/>
        <v>0</v>
      </c>
      <c r="AW28" s="720" t="str">
        <f t="shared" si="35"/>
        <v>0 (0)</v>
      </c>
      <c r="AX28" s="720" t="str">
        <f t="shared" si="36"/>
        <v>0 (0)</v>
      </c>
      <c r="AY28" s="720" t="str">
        <f t="shared" si="37"/>
        <v>0 (0)</v>
      </c>
      <c r="AZ28" s="721" t="str">
        <f t="shared" si="38"/>
        <v>0 (0)</v>
      </c>
      <c r="BB28" t="str">
        <f t="shared" si="39"/>
        <v>108400</v>
      </c>
      <c r="BC28" t="str">
        <f t="shared" si="40"/>
        <v>108750</v>
      </c>
      <c r="BD28" t="str">
        <f t="shared" si="41"/>
        <v>1081500</v>
      </c>
      <c r="BE28" t="str">
        <f t="shared" si="42"/>
        <v>1082000</v>
      </c>
    </row>
    <row r="29" spans="2:57">
      <c r="B29" t="b">
        <f t="shared" si="27"/>
        <v>0</v>
      </c>
      <c r="C29" s="639"/>
      <c r="D29" s="256"/>
      <c r="E29" s="256">
        <f t="shared" si="43"/>
        <v>109</v>
      </c>
      <c r="F29" s="5" t="str">
        <f t="shared" si="44"/>
        <v>AA</v>
      </c>
      <c r="G29" s="42" t="str">
        <f t="shared" si="12"/>
        <v>EF-1</v>
      </c>
      <c r="H29" s="638">
        <f t="shared" si="13"/>
        <v>10</v>
      </c>
      <c r="I29" s="326" t="e">
        <f t="shared" si="14"/>
        <v>#VALUE!</v>
      </c>
      <c r="J29" s="257">
        <v>9</v>
      </c>
      <c r="K29" s="258" t="str">
        <f t="shared" si="15"/>
        <v xml:space="preserve"> - Receptor 9</v>
      </c>
      <c r="L29" s="42" t="str">
        <f t="shared" si="16"/>
        <v>No</v>
      </c>
      <c r="M29" s="699" t="e">
        <f t="shared" si="17"/>
        <v>#VALUE!</v>
      </c>
      <c r="N29" s="312"/>
      <c r="O29" s="46"/>
      <c r="P29" s="314"/>
      <c r="Q29" s="312"/>
      <c r="R29" s="312"/>
      <c r="S29" s="312"/>
      <c r="T29" s="1680"/>
      <c r="U29" s="315"/>
      <c r="V29" s="345">
        <f t="shared" si="28"/>
        <v>100</v>
      </c>
      <c r="W29" s="345">
        <f t="shared" si="29"/>
        <v>4000</v>
      </c>
      <c r="X29" s="332">
        <f>'Design Criteria Summary'!$D$16</f>
        <v>400</v>
      </c>
      <c r="Y29" s="316">
        <f>'Design Criteria Summary'!$D$17</f>
        <v>750</v>
      </c>
      <c r="Z29" s="316">
        <f>'Design Criteria Summary'!$D$18</f>
        <v>1500</v>
      </c>
      <c r="AA29" s="566">
        <f>'Design Criteria Summary'!$D$20</f>
        <v>2000</v>
      </c>
      <c r="AB29" s="20" t="str">
        <f t="shared" si="30"/>
        <v>Yes</v>
      </c>
      <c r="AC29" s="5" t="str">
        <f t="shared" si="31"/>
        <v>Yes</v>
      </c>
      <c r="AD29" s="5" t="str">
        <f t="shared" si="32"/>
        <v>Yes</v>
      </c>
      <c r="AE29" s="21" t="str">
        <f t="shared" si="33"/>
        <v>Yes</v>
      </c>
      <c r="AF29" s="283">
        <f t="shared" si="18"/>
        <v>0</v>
      </c>
      <c r="AG29" s="421">
        <f t="shared" si="19"/>
        <v>0</v>
      </c>
      <c r="AH29" s="421">
        <f t="shared" si="19"/>
        <v>0</v>
      </c>
      <c r="AI29" s="284">
        <f t="shared" si="20"/>
        <v>0</v>
      </c>
      <c r="AJ29" s="1232">
        <f t="shared" si="34"/>
        <v>0</v>
      </c>
      <c r="AK29" s="1232">
        <f t="shared" si="21"/>
        <v>0</v>
      </c>
      <c r="AL29" s="1232">
        <f t="shared" si="22"/>
        <v>0</v>
      </c>
      <c r="AM29" s="1233">
        <f t="shared" si="23"/>
        <v>0</v>
      </c>
      <c r="AN29" s="421"/>
      <c r="AO29" s="709"/>
      <c r="AP29" s="315"/>
      <c r="AQ29" s="738">
        <f t="shared" si="24"/>
        <v>1000</v>
      </c>
      <c r="AR29" s="741">
        <f t="shared" si="25"/>
        <v>2865</v>
      </c>
      <c r="AS29" s="731">
        <f t="shared" si="45"/>
        <v>0</v>
      </c>
      <c r="AT29" s="719">
        <f t="shared" si="46"/>
        <v>0</v>
      </c>
      <c r="AU29" s="719">
        <f t="shared" si="47"/>
        <v>0</v>
      </c>
      <c r="AV29" s="732">
        <f t="shared" si="48"/>
        <v>0</v>
      </c>
      <c r="AW29" s="720" t="str">
        <f t="shared" si="35"/>
        <v>0 (0)</v>
      </c>
      <c r="AX29" s="720" t="str">
        <f t="shared" si="36"/>
        <v>0 (0)</v>
      </c>
      <c r="AY29" s="720" t="str">
        <f t="shared" si="37"/>
        <v>0 (0)</v>
      </c>
      <c r="AZ29" s="721" t="str">
        <f t="shared" si="38"/>
        <v>0 (0)</v>
      </c>
      <c r="BB29" t="str">
        <f t="shared" si="39"/>
        <v>109400</v>
      </c>
      <c r="BC29" t="str">
        <f t="shared" si="40"/>
        <v>109750</v>
      </c>
      <c r="BD29" t="str">
        <f t="shared" si="41"/>
        <v>1091500</v>
      </c>
      <c r="BE29" t="str">
        <f t="shared" si="42"/>
        <v>1092000</v>
      </c>
    </row>
    <row r="30" spans="2:57">
      <c r="B30" t="b">
        <f t="shared" si="27"/>
        <v>0</v>
      </c>
      <c r="C30" s="639"/>
      <c r="D30" s="256"/>
      <c r="E30" s="256">
        <f t="shared" si="43"/>
        <v>110</v>
      </c>
      <c r="F30" s="5" t="str">
        <f t="shared" si="44"/>
        <v>AA</v>
      </c>
      <c r="G30" s="42" t="str">
        <f t="shared" si="12"/>
        <v>EF-1</v>
      </c>
      <c r="H30" s="638">
        <f t="shared" si="13"/>
        <v>10</v>
      </c>
      <c r="I30" s="326" t="e">
        <f t="shared" si="14"/>
        <v>#VALUE!</v>
      </c>
      <c r="J30" s="257">
        <v>10</v>
      </c>
      <c r="K30" s="258" t="str">
        <f t="shared" si="15"/>
        <v xml:space="preserve"> - Receptor 10</v>
      </c>
      <c r="L30" s="42" t="str">
        <f t="shared" si="16"/>
        <v>No</v>
      </c>
      <c r="M30" s="699" t="e">
        <f t="shared" si="17"/>
        <v>#VALUE!</v>
      </c>
      <c r="N30" s="312"/>
      <c r="O30" s="46"/>
      <c r="P30" s="314"/>
      <c r="Q30" s="312"/>
      <c r="R30" s="312"/>
      <c r="S30" s="312"/>
      <c r="T30" s="1680"/>
      <c r="U30" s="315"/>
      <c r="V30" s="345">
        <f t="shared" si="28"/>
        <v>100</v>
      </c>
      <c r="W30" s="345">
        <f t="shared" si="29"/>
        <v>4000</v>
      </c>
      <c r="X30" s="332">
        <f>'Design Criteria Summary'!$D$16</f>
        <v>400</v>
      </c>
      <c r="Y30" s="316">
        <f>'Design Criteria Summary'!$D$17</f>
        <v>750</v>
      </c>
      <c r="Z30" s="316">
        <f>'Design Criteria Summary'!$D$18</f>
        <v>1500</v>
      </c>
      <c r="AA30" s="566">
        <f>'Design Criteria Summary'!$D$20</f>
        <v>2000</v>
      </c>
      <c r="AB30" s="20" t="str">
        <f t="shared" si="30"/>
        <v>Yes</v>
      </c>
      <c r="AC30" s="5" t="str">
        <f t="shared" si="31"/>
        <v>Yes</v>
      </c>
      <c r="AD30" s="5" t="str">
        <f t="shared" si="32"/>
        <v>Yes</v>
      </c>
      <c r="AE30" s="21" t="str">
        <f t="shared" si="33"/>
        <v>Yes</v>
      </c>
      <c r="AF30" s="283">
        <f t="shared" si="18"/>
        <v>0</v>
      </c>
      <c r="AG30" s="421">
        <f t="shared" si="19"/>
        <v>0</v>
      </c>
      <c r="AH30" s="421">
        <f t="shared" si="19"/>
        <v>0</v>
      </c>
      <c r="AI30" s="284">
        <f t="shared" si="20"/>
        <v>0</v>
      </c>
      <c r="AJ30" s="1232">
        <f t="shared" si="34"/>
        <v>0</v>
      </c>
      <c r="AK30" s="1232">
        <f t="shared" si="21"/>
        <v>0</v>
      </c>
      <c r="AL30" s="1232">
        <f t="shared" si="22"/>
        <v>0</v>
      </c>
      <c r="AM30" s="1233">
        <f t="shared" si="23"/>
        <v>0</v>
      </c>
      <c r="AN30" s="421"/>
      <c r="AO30" s="709"/>
      <c r="AP30" s="315"/>
      <c r="AQ30" s="738">
        <f t="shared" si="24"/>
        <v>1000</v>
      </c>
      <c r="AR30" s="741">
        <f t="shared" si="25"/>
        <v>2865</v>
      </c>
      <c r="AS30" s="731">
        <f t="shared" si="45"/>
        <v>0</v>
      </c>
      <c r="AT30" s="719">
        <f t="shared" si="46"/>
        <v>0</v>
      </c>
      <c r="AU30" s="719">
        <f t="shared" si="47"/>
        <v>0</v>
      </c>
      <c r="AV30" s="732">
        <f t="shared" si="48"/>
        <v>0</v>
      </c>
      <c r="AW30" s="720" t="str">
        <f t="shared" si="35"/>
        <v>0 (0)</v>
      </c>
      <c r="AX30" s="720" t="str">
        <f t="shared" si="36"/>
        <v>0 (0)</v>
      </c>
      <c r="AY30" s="720" t="str">
        <f t="shared" si="37"/>
        <v>0 (0)</v>
      </c>
      <c r="AZ30" s="721" t="str">
        <f t="shared" si="38"/>
        <v>0 (0)</v>
      </c>
      <c r="BB30" t="str">
        <f t="shared" si="39"/>
        <v>110400</v>
      </c>
      <c r="BC30" t="str">
        <f t="shared" si="40"/>
        <v>110750</v>
      </c>
      <c r="BD30" t="str">
        <f t="shared" si="41"/>
        <v>1101500</v>
      </c>
      <c r="BE30" t="str">
        <f t="shared" si="42"/>
        <v>1102000</v>
      </c>
    </row>
    <row r="31" spans="2:57">
      <c r="B31" t="b">
        <f t="shared" si="27"/>
        <v>0</v>
      </c>
      <c r="C31" s="639"/>
      <c r="D31" s="256"/>
      <c r="E31" s="256">
        <f t="shared" si="43"/>
        <v>111</v>
      </c>
      <c r="F31" s="5" t="str">
        <f t="shared" si="44"/>
        <v>AA</v>
      </c>
      <c r="G31" s="42" t="str">
        <f t="shared" si="12"/>
        <v>EF-1</v>
      </c>
      <c r="H31" s="638">
        <f t="shared" si="13"/>
        <v>10</v>
      </c>
      <c r="I31" s="326" t="e">
        <f t="shared" si="14"/>
        <v>#VALUE!</v>
      </c>
      <c r="J31" s="257">
        <v>11</v>
      </c>
      <c r="K31" s="258" t="str">
        <f t="shared" si="15"/>
        <v xml:space="preserve"> - Receptor 11</v>
      </c>
      <c r="L31" s="42" t="str">
        <f t="shared" si="16"/>
        <v>No</v>
      </c>
      <c r="M31" s="699" t="e">
        <f t="shared" si="17"/>
        <v>#VALUE!</v>
      </c>
      <c r="N31" s="312"/>
      <c r="O31" s="46"/>
      <c r="P31" s="314"/>
      <c r="Q31" s="312"/>
      <c r="R31" s="312"/>
      <c r="S31" s="312"/>
      <c r="T31" s="1680"/>
      <c r="U31" s="315"/>
      <c r="V31" s="345">
        <f t="shared" si="28"/>
        <v>100</v>
      </c>
      <c r="W31" s="345">
        <f t="shared" si="29"/>
        <v>4000</v>
      </c>
      <c r="X31" s="332">
        <f>'Design Criteria Summary'!$D$16</f>
        <v>400</v>
      </c>
      <c r="Y31" s="316">
        <f>'Design Criteria Summary'!$D$17</f>
        <v>750</v>
      </c>
      <c r="Z31" s="316">
        <f>'Design Criteria Summary'!$D$18</f>
        <v>1500</v>
      </c>
      <c r="AA31" s="566">
        <f>'Design Criteria Summary'!$D$20</f>
        <v>2000</v>
      </c>
      <c r="AB31" s="20" t="str">
        <f t="shared" si="30"/>
        <v>Yes</v>
      </c>
      <c r="AC31" s="5" t="str">
        <f t="shared" si="31"/>
        <v>Yes</v>
      </c>
      <c r="AD31" s="5" t="str">
        <f t="shared" si="32"/>
        <v>Yes</v>
      </c>
      <c r="AE31" s="21" t="str">
        <f t="shared" si="33"/>
        <v>Yes</v>
      </c>
      <c r="AF31" s="283">
        <f t="shared" si="18"/>
        <v>0</v>
      </c>
      <c r="AG31" s="421">
        <f t="shared" si="19"/>
        <v>0</v>
      </c>
      <c r="AH31" s="421">
        <f t="shared" si="19"/>
        <v>0</v>
      </c>
      <c r="AI31" s="284">
        <f t="shared" si="20"/>
        <v>0</v>
      </c>
      <c r="AJ31" s="1232">
        <f t="shared" si="34"/>
        <v>0</v>
      </c>
      <c r="AK31" s="1232">
        <f t="shared" si="21"/>
        <v>0</v>
      </c>
      <c r="AL31" s="1232">
        <f t="shared" si="22"/>
        <v>0</v>
      </c>
      <c r="AM31" s="1233">
        <f t="shared" si="23"/>
        <v>0</v>
      </c>
      <c r="AN31" s="421"/>
      <c r="AO31" s="709"/>
      <c r="AP31" s="315"/>
      <c r="AQ31" s="738">
        <f t="shared" si="24"/>
        <v>1000</v>
      </c>
      <c r="AR31" s="741">
        <f t="shared" si="25"/>
        <v>2865</v>
      </c>
      <c r="AS31" s="731">
        <f t="shared" si="45"/>
        <v>0</v>
      </c>
      <c r="AT31" s="719">
        <f t="shared" si="46"/>
        <v>0</v>
      </c>
      <c r="AU31" s="719">
        <f t="shared" si="47"/>
        <v>0</v>
      </c>
      <c r="AV31" s="732">
        <f t="shared" si="48"/>
        <v>0</v>
      </c>
      <c r="AW31" s="720" t="str">
        <f t="shared" si="35"/>
        <v>0 (0)</v>
      </c>
      <c r="AX31" s="720" t="str">
        <f t="shared" si="36"/>
        <v>0 (0)</v>
      </c>
      <c r="AY31" s="720" t="str">
        <f t="shared" si="37"/>
        <v>0 (0)</v>
      </c>
      <c r="AZ31" s="721" t="str">
        <f t="shared" si="38"/>
        <v>0 (0)</v>
      </c>
      <c r="BB31" t="str">
        <f t="shared" si="39"/>
        <v>111400</v>
      </c>
      <c r="BC31" t="str">
        <f t="shared" si="40"/>
        <v>111750</v>
      </c>
      <c r="BD31" t="str">
        <f t="shared" si="41"/>
        <v>1111500</v>
      </c>
      <c r="BE31" t="str">
        <f t="shared" si="42"/>
        <v>1112000</v>
      </c>
    </row>
    <row r="32" spans="2:57">
      <c r="B32" t="b">
        <f t="shared" si="27"/>
        <v>0</v>
      </c>
      <c r="C32" s="639"/>
      <c r="D32" s="256"/>
      <c r="E32" s="256">
        <f t="shared" si="43"/>
        <v>112</v>
      </c>
      <c r="F32" s="5" t="str">
        <f t="shared" si="44"/>
        <v>AA</v>
      </c>
      <c r="G32" s="42" t="str">
        <f t="shared" si="12"/>
        <v>EF-1</v>
      </c>
      <c r="H32" s="638">
        <f t="shared" si="13"/>
        <v>10</v>
      </c>
      <c r="I32" s="326" t="e">
        <f t="shared" si="14"/>
        <v>#VALUE!</v>
      </c>
      <c r="J32" s="257">
        <v>12</v>
      </c>
      <c r="K32" s="258" t="str">
        <f t="shared" si="15"/>
        <v xml:space="preserve"> - Receptor 12</v>
      </c>
      <c r="L32" s="42" t="str">
        <f t="shared" si="16"/>
        <v>No</v>
      </c>
      <c r="M32" s="699" t="e">
        <f t="shared" si="17"/>
        <v>#VALUE!</v>
      </c>
      <c r="N32" s="312"/>
      <c r="O32" s="46"/>
      <c r="P32" s="314"/>
      <c r="Q32" s="312"/>
      <c r="R32" s="312"/>
      <c r="S32" s="312"/>
      <c r="T32" s="1680"/>
      <c r="U32" s="315"/>
      <c r="V32" s="345">
        <f t="shared" si="28"/>
        <v>100</v>
      </c>
      <c r="W32" s="345">
        <f t="shared" si="29"/>
        <v>4000</v>
      </c>
      <c r="X32" s="332">
        <f>'Design Criteria Summary'!$D$16</f>
        <v>400</v>
      </c>
      <c r="Y32" s="316">
        <f>'Design Criteria Summary'!$D$17</f>
        <v>750</v>
      </c>
      <c r="Z32" s="316">
        <f>'Design Criteria Summary'!$D$18</f>
        <v>1500</v>
      </c>
      <c r="AA32" s="566">
        <f>'Design Criteria Summary'!$D$20</f>
        <v>2000</v>
      </c>
      <c r="AB32" s="20" t="str">
        <f t="shared" si="30"/>
        <v>Yes</v>
      </c>
      <c r="AC32" s="5" t="str">
        <f t="shared" si="31"/>
        <v>Yes</v>
      </c>
      <c r="AD32" s="5" t="str">
        <f t="shared" si="32"/>
        <v>Yes</v>
      </c>
      <c r="AE32" s="21" t="str">
        <f t="shared" si="33"/>
        <v>Yes</v>
      </c>
      <c r="AF32" s="283">
        <f t="shared" si="18"/>
        <v>0</v>
      </c>
      <c r="AG32" s="421">
        <f t="shared" si="19"/>
        <v>0</v>
      </c>
      <c r="AH32" s="421">
        <f t="shared" si="19"/>
        <v>0</v>
      </c>
      <c r="AI32" s="284">
        <f t="shared" si="20"/>
        <v>0</v>
      </c>
      <c r="AJ32" s="1232">
        <f t="shared" si="34"/>
        <v>0</v>
      </c>
      <c r="AK32" s="1232">
        <f t="shared" si="21"/>
        <v>0</v>
      </c>
      <c r="AL32" s="1232">
        <f t="shared" si="22"/>
        <v>0</v>
      </c>
      <c r="AM32" s="1233">
        <f t="shared" si="23"/>
        <v>0</v>
      </c>
      <c r="AN32" s="421"/>
      <c r="AO32" s="709"/>
      <c r="AP32" s="315"/>
      <c r="AQ32" s="738">
        <f t="shared" si="24"/>
        <v>1000</v>
      </c>
      <c r="AR32" s="741">
        <f t="shared" si="25"/>
        <v>2865</v>
      </c>
      <c r="AS32" s="731">
        <f t="shared" si="45"/>
        <v>0</v>
      </c>
      <c r="AT32" s="719">
        <f t="shared" si="46"/>
        <v>0</v>
      </c>
      <c r="AU32" s="719">
        <f t="shared" si="47"/>
        <v>0</v>
      </c>
      <c r="AV32" s="732">
        <f t="shared" si="48"/>
        <v>0</v>
      </c>
      <c r="AW32" s="720" t="str">
        <f t="shared" si="35"/>
        <v>0 (0)</v>
      </c>
      <c r="AX32" s="720" t="str">
        <f t="shared" si="36"/>
        <v>0 (0)</v>
      </c>
      <c r="AY32" s="720" t="str">
        <f t="shared" si="37"/>
        <v>0 (0)</v>
      </c>
      <c r="AZ32" s="721" t="str">
        <f t="shared" si="38"/>
        <v>0 (0)</v>
      </c>
      <c r="BB32" t="str">
        <f t="shared" si="39"/>
        <v>112400</v>
      </c>
      <c r="BC32" t="str">
        <f t="shared" si="40"/>
        <v>112750</v>
      </c>
      <c r="BD32" t="str">
        <f t="shared" si="41"/>
        <v>1121500</v>
      </c>
      <c r="BE32" t="str">
        <f t="shared" si="42"/>
        <v>1122000</v>
      </c>
    </row>
    <row r="33" spans="2:57">
      <c r="B33" t="b">
        <f t="shared" si="27"/>
        <v>0</v>
      </c>
      <c r="C33" s="639"/>
      <c r="D33" s="256"/>
      <c r="E33" s="256">
        <f t="shared" si="43"/>
        <v>113</v>
      </c>
      <c r="F33" s="5" t="str">
        <f t="shared" si="44"/>
        <v>AA</v>
      </c>
      <c r="G33" s="42" t="str">
        <f t="shared" si="12"/>
        <v>EF-1</v>
      </c>
      <c r="H33" s="638">
        <f t="shared" si="13"/>
        <v>10</v>
      </c>
      <c r="I33" s="326" t="e">
        <f t="shared" si="14"/>
        <v>#VALUE!</v>
      </c>
      <c r="J33" s="257">
        <v>13</v>
      </c>
      <c r="K33" s="258" t="str">
        <f t="shared" si="15"/>
        <v xml:space="preserve"> - Receptor 13</v>
      </c>
      <c r="L33" s="42" t="str">
        <f t="shared" si="16"/>
        <v>No</v>
      </c>
      <c r="M33" s="699" t="e">
        <f t="shared" si="17"/>
        <v>#VALUE!</v>
      </c>
      <c r="N33" s="312"/>
      <c r="O33" s="46"/>
      <c r="P33" s="314"/>
      <c r="Q33" s="312"/>
      <c r="R33" s="312"/>
      <c r="S33" s="312"/>
      <c r="T33" s="1680"/>
      <c r="U33" s="315"/>
      <c r="V33" s="345">
        <f t="shared" si="28"/>
        <v>100</v>
      </c>
      <c r="W33" s="345">
        <f t="shared" si="29"/>
        <v>4000</v>
      </c>
      <c r="X33" s="332">
        <f>'Design Criteria Summary'!$D$16</f>
        <v>400</v>
      </c>
      <c r="Y33" s="316">
        <f>'Design Criteria Summary'!$D$17</f>
        <v>750</v>
      </c>
      <c r="Z33" s="316">
        <f>'Design Criteria Summary'!$D$18</f>
        <v>1500</v>
      </c>
      <c r="AA33" s="566">
        <f>'Design Criteria Summary'!$D$20</f>
        <v>2000</v>
      </c>
      <c r="AB33" s="20" t="str">
        <f t="shared" si="30"/>
        <v>Yes</v>
      </c>
      <c r="AC33" s="5" t="str">
        <f t="shared" si="31"/>
        <v>Yes</v>
      </c>
      <c r="AD33" s="5" t="str">
        <f t="shared" si="32"/>
        <v>Yes</v>
      </c>
      <c r="AE33" s="21" t="str">
        <f t="shared" si="33"/>
        <v>Yes</v>
      </c>
      <c r="AF33" s="283">
        <f t="shared" si="18"/>
        <v>0</v>
      </c>
      <c r="AG33" s="421">
        <f t="shared" si="19"/>
        <v>0</v>
      </c>
      <c r="AH33" s="421">
        <f t="shared" si="19"/>
        <v>0</v>
      </c>
      <c r="AI33" s="284">
        <f t="shared" si="20"/>
        <v>0</v>
      </c>
      <c r="AJ33" s="1232">
        <f t="shared" si="34"/>
        <v>0</v>
      </c>
      <c r="AK33" s="1232">
        <f t="shared" si="21"/>
        <v>0</v>
      </c>
      <c r="AL33" s="1232">
        <f t="shared" si="22"/>
        <v>0</v>
      </c>
      <c r="AM33" s="1233">
        <f t="shared" si="23"/>
        <v>0</v>
      </c>
      <c r="AN33" s="421"/>
      <c r="AO33" s="709"/>
      <c r="AP33" s="315"/>
      <c r="AQ33" s="738">
        <f t="shared" si="24"/>
        <v>1000</v>
      </c>
      <c r="AR33" s="741">
        <f t="shared" si="25"/>
        <v>2865</v>
      </c>
      <c r="AS33" s="731">
        <f t="shared" si="45"/>
        <v>0</v>
      </c>
      <c r="AT33" s="719">
        <f t="shared" si="46"/>
        <v>0</v>
      </c>
      <c r="AU33" s="719">
        <f t="shared" si="47"/>
        <v>0</v>
      </c>
      <c r="AV33" s="732">
        <f t="shared" si="48"/>
        <v>0</v>
      </c>
      <c r="AW33" s="720" t="str">
        <f t="shared" si="35"/>
        <v>0 (0)</v>
      </c>
      <c r="AX33" s="720" t="str">
        <f t="shared" si="36"/>
        <v>0 (0)</v>
      </c>
      <c r="AY33" s="720" t="str">
        <f t="shared" si="37"/>
        <v>0 (0)</v>
      </c>
      <c r="AZ33" s="721" t="str">
        <f t="shared" si="38"/>
        <v>0 (0)</v>
      </c>
      <c r="BB33" t="str">
        <f t="shared" si="39"/>
        <v>113400</v>
      </c>
      <c r="BC33" t="str">
        <f t="shared" si="40"/>
        <v>113750</v>
      </c>
      <c r="BD33" t="str">
        <f t="shared" si="41"/>
        <v>1131500</v>
      </c>
      <c r="BE33" t="str">
        <f t="shared" si="42"/>
        <v>1132000</v>
      </c>
    </row>
    <row r="34" spans="2:57">
      <c r="B34" t="b">
        <f t="shared" si="27"/>
        <v>0</v>
      </c>
      <c r="C34" s="639"/>
      <c r="D34" s="256"/>
      <c r="E34" s="256">
        <f t="shared" si="43"/>
        <v>114</v>
      </c>
      <c r="F34" s="5" t="str">
        <f t="shared" si="44"/>
        <v>AA</v>
      </c>
      <c r="G34" s="42" t="str">
        <f t="shared" si="12"/>
        <v>EF-1</v>
      </c>
      <c r="H34" s="638">
        <f t="shared" si="13"/>
        <v>10</v>
      </c>
      <c r="I34" s="326" t="e">
        <f t="shared" si="14"/>
        <v>#VALUE!</v>
      </c>
      <c r="J34" s="257">
        <v>14</v>
      </c>
      <c r="K34" s="258" t="str">
        <f t="shared" si="15"/>
        <v xml:space="preserve"> - Receptor 14</v>
      </c>
      <c r="L34" s="42" t="str">
        <f t="shared" si="16"/>
        <v>No</v>
      </c>
      <c r="M34" s="699" t="e">
        <f t="shared" si="17"/>
        <v>#VALUE!</v>
      </c>
      <c r="N34" s="312"/>
      <c r="O34" s="46"/>
      <c r="P34" s="314"/>
      <c r="Q34" s="312"/>
      <c r="R34" s="312"/>
      <c r="S34" s="312"/>
      <c r="T34" s="1680"/>
      <c r="U34" s="315"/>
      <c r="V34" s="345">
        <f t="shared" si="28"/>
        <v>100</v>
      </c>
      <c r="W34" s="345">
        <f t="shared" si="29"/>
        <v>4000</v>
      </c>
      <c r="X34" s="332">
        <f>'Design Criteria Summary'!$D$16</f>
        <v>400</v>
      </c>
      <c r="Y34" s="316">
        <f>'Design Criteria Summary'!$D$17</f>
        <v>750</v>
      </c>
      <c r="Z34" s="316">
        <f>'Design Criteria Summary'!$D$18</f>
        <v>1500</v>
      </c>
      <c r="AA34" s="566">
        <f>'Design Criteria Summary'!$D$20</f>
        <v>2000</v>
      </c>
      <c r="AB34" s="20" t="str">
        <f t="shared" si="30"/>
        <v>Yes</v>
      </c>
      <c r="AC34" s="5" t="str">
        <f t="shared" si="31"/>
        <v>Yes</v>
      </c>
      <c r="AD34" s="5" t="str">
        <f t="shared" si="32"/>
        <v>Yes</v>
      </c>
      <c r="AE34" s="21" t="str">
        <f t="shared" si="33"/>
        <v>Yes</v>
      </c>
      <c r="AF34" s="283">
        <f t="shared" si="18"/>
        <v>0</v>
      </c>
      <c r="AG34" s="421">
        <f t="shared" si="19"/>
        <v>0</v>
      </c>
      <c r="AH34" s="421">
        <f t="shared" si="19"/>
        <v>0</v>
      </c>
      <c r="AI34" s="284">
        <f t="shared" si="20"/>
        <v>0</v>
      </c>
      <c r="AJ34" s="1232">
        <f t="shared" si="34"/>
        <v>0</v>
      </c>
      <c r="AK34" s="1232">
        <f t="shared" si="21"/>
        <v>0</v>
      </c>
      <c r="AL34" s="1232">
        <f t="shared" si="22"/>
        <v>0</v>
      </c>
      <c r="AM34" s="1233">
        <f t="shared" si="23"/>
        <v>0</v>
      </c>
      <c r="AN34" s="421"/>
      <c r="AO34" s="709"/>
      <c r="AP34" s="315"/>
      <c r="AQ34" s="738">
        <f t="shared" si="24"/>
        <v>1000</v>
      </c>
      <c r="AR34" s="741">
        <f t="shared" si="25"/>
        <v>2865</v>
      </c>
      <c r="AS34" s="731">
        <f t="shared" si="45"/>
        <v>0</v>
      </c>
      <c r="AT34" s="719">
        <f t="shared" si="46"/>
        <v>0</v>
      </c>
      <c r="AU34" s="719">
        <f t="shared" si="47"/>
        <v>0</v>
      </c>
      <c r="AV34" s="732">
        <f t="shared" si="48"/>
        <v>0</v>
      </c>
      <c r="AW34" s="720" t="str">
        <f t="shared" si="35"/>
        <v>0 (0)</v>
      </c>
      <c r="AX34" s="720" t="str">
        <f t="shared" si="36"/>
        <v>0 (0)</v>
      </c>
      <c r="AY34" s="720" t="str">
        <f t="shared" si="37"/>
        <v>0 (0)</v>
      </c>
      <c r="AZ34" s="721" t="str">
        <f t="shared" si="38"/>
        <v>0 (0)</v>
      </c>
      <c r="BB34" t="str">
        <f t="shared" si="39"/>
        <v>114400</v>
      </c>
      <c r="BC34" t="str">
        <f t="shared" si="40"/>
        <v>114750</v>
      </c>
      <c r="BD34" t="str">
        <f t="shared" si="41"/>
        <v>1141500</v>
      </c>
      <c r="BE34" t="str">
        <f t="shared" si="42"/>
        <v>1142000</v>
      </c>
    </row>
    <row r="35" spans="2:57">
      <c r="B35" t="b">
        <f t="shared" si="27"/>
        <v>0</v>
      </c>
      <c r="C35" s="639"/>
      <c r="D35" s="256"/>
      <c r="E35" s="256">
        <f t="shared" si="43"/>
        <v>115</v>
      </c>
      <c r="F35" s="5" t="str">
        <f t="shared" si="44"/>
        <v>AA</v>
      </c>
      <c r="G35" s="42" t="str">
        <f t="shared" si="12"/>
        <v>EF-1</v>
      </c>
      <c r="H35" s="638">
        <f t="shared" si="13"/>
        <v>10</v>
      </c>
      <c r="I35" s="326" t="e">
        <f t="shared" si="14"/>
        <v>#VALUE!</v>
      </c>
      <c r="J35" s="257">
        <v>15</v>
      </c>
      <c r="K35" s="258" t="str">
        <f t="shared" si="15"/>
        <v xml:space="preserve"> - Receptor 15</v>
      </c>
      <c r="L35" s="42" t="str">
        <f t="shared" si="16"/>
        <v>No</v>
      </c>
      <c r="M35" s="699" t="e">
        <f t="shared" si="17"/>
        <v>#VALUE!</v>
      </c>
      <c r="N35" s="312"/>
      <c r="O35" s="46"/>
      <c r="P35" s="314"/>
      <c r="Q35" s="312"/>
      <c r="R35" s="312"/>
      <c r="S35" s="312"/>
      <c r="T35" s="1680"/>
      <c r="U35" s="315"/>
      <c r="V35" s="345">
        <f t="shared" si="28"/>
        <v>100</v>
      </c>
      <c r="W35" s="345">
        <f t="shared" si="29"/>
        <v>4000</v>
      </c>
      <c r="X35" s="332">
        <f>'Design Criteria Summary'!$D$16</f>
        <v>400</v>
      </c>
      <c r="Y35" s="316">
        <f>'Design Criteria Summary'!$D$17</f>
        <v>750</v>
      </c>
      <c r="Z35" s="316">
        <f>'Design Criteria Summary'!$D$18</f>
        <v>1500</v>
      </c>
      <c r="AA35" s="566">
        <f>'Design Criteria Summary'!$D$20</f>
        <v>2000</v>
      </c>
      <c r="AB35" s="20" t="str">
        <f t="shared" si="30"/>
        <v>Yes</v>
      </c>
      <c r="AC35" s="5" t="str">
        <f t="shared" si="31"/>
        <v>Yes</v>
      </c>
      <c r="AD35" s="5" t="str">
        <f t="shared" si="32"/>
        <v>Yes</v>
      </c>
      <c r="AE35" s="21" t="str">
        <f t="shared" si="33"/>
        <v>Yes</v>
      </c>
      <c r="AF35" s="283">
        <f t="shared" si="18"/>
        <v>0</v>
      </c>
      <c r="AG35" s="421">
        <f t="shared" si="19"/>
        <v>0</v>
      </c>
      <c r="AH35" s="421">
        <f t="shared" si="19"/>
        <v>0</v>
      </c>
      <c r="AI35" s="284">
        <f t="shared" si="20"/>
        <v>0</v>
      </c>
      <c r="AJ35" s="1232">
        <f t="shared" si="34"/>
        <v>0</v>
      </c>
      <c r="AK35" s="1232">
        <f t="shared" si="21"/>
        <v>0</v>
      </c>
      <c r="AL35" s="1232">
        <f t="shared" si="22"/>
        <v>0</v>
      </c>
      <c r="AM35" s="1233">
        <f t="shared" si="23"/>
        <v>0</v>
      </c>
      <c r="AN35" s="421"/>
      <c r="AO35" s="709"/>
      <c r="AP35" s="315"/>
      <c r="AQ35" s="738">
        <f t="shared" si="24"/>
        <v>1000</v>
      </c>
      <c r="AR35" s="741">
        <f t="shared" si="25"/>
        <v>2865</v>
      </c>
      <c r="AS35" s="731">
        <f t="shared" si="45"/>
        <v>0</v>
      </c>
      <c r="AT35" s="719">
        <f t="shared" si="46"/>
        <v>0</v>
      </c>
      <c r="AU35" s="719">
        <f t="shared" si="47"/>
        <v>0</v>
      </c>
      <c r="AV35" s="732">
        <f t="shared" si="48"/>
        <v>0</v>
      </c>
      <c r="AW35" s="720" t="str">
        <f t="shared" si="35"/>
        <v>0 (0)</v>
      </c>
      <c r="AX35" s="720" t="str">
        <f t="shared" si="36"/>
        <v>0 (0)</v>
      </c>
      <c r="AY35" s="720" t="str">
        <f t="shared" si="37"/>
        <v>0 (0)</v>
      </c>
      <c r="AZ35" s="721" t="str">
        <f t="shared" si="38"/>
        <v>0 (0)</v>
      </c>
      <c r="BB35" t="str">
        <f t="shared" si="39"/>
        <v>115400</v>
      </c>
      <c r="BC35" t="str">
        <f t="shared" si="40"/>
        <v>115750</v>
      </c>
      <c r="BD35" t="str">
        <f t="shared" si="41"/>
        <v>1151500</v>
      </c>
      <c r="BE35" t="str">
        <f t="shared" si="42"/>
        <v>1152000</v>
      </c>
    </row>
    <row r="36" spans="2:57">
      <c r="B36" t="b">
        <f t="shared" si="27"/>
        <v>0</v>
      </c>
      <c r="C36" s="639"/>
      <c r="D36" s="256"/>
      <c r="E36" s="256">
        <f t="shared" si="43"/>
        <v>116</v>
      </c>
      <c r="F36" s="5" t="str">
        <f t="shared" si="44"/>
        <v>AA</v>
      </c>
      <c r="G36" s="42" t="str">
        <f t="shared" si="12"/>
        <v>EF-1</v>
      </c>
      <c r="H36" s="638">
        <f t="shared" si="13"/>
        <v>10</v>
      </c>
      <c r="I36" s="326" t="e">
        <f t="shared" si="14"/>
        <v>#VALUE!</v>
      </c>
      <c r="J36" s="257">
        <v>16</v>
      </c>
      <c r="K36" s="258" t="str">
        <f t="shared" si="15"/>
        <v xml:space="preserve"> - Receptor 16</v>
      </c>
      <c r="L36" s="42" t="str">
        <f t="shared" si="16"/>
        <v>No</v>
      </c>
      <c r="M36" s="699" t="e">
        <f t="shared" si="17"/>
        <v>#VALUE!</v>
      </c>
      <c r="N36" s="312"/>
      <c r="O36" s="46"/>
      <c r="P36" s="314"/>
      <c r="Q36" s="312"/>
      <c r="R36" s="312"/>
      <c r="S36" s="312"/>
      <c r="T36" s="1680"/>
      <c r="U36" s="315"/>
      <c r="V36" s="345">
        <f t="shared" si="28"/>
        <v>100</v>
      </c>
      <c r="W36" s="345">
        <f t="shared" si="29"/>
        <v>4000</v>
      </c>
      <c r="X36" s="332">
        <f>'Design Criteria Summary'!$D$16</f>
        <v>400</v>
      </c>
      <c r="Y36" s="316">
        <f>'Design Criteria Summary'!$D$17</f>
        <v>750</v>
      </c>
      <c r="Z36" s="316">
        <f>'Design Criteria Summary'!$D$18</f>
        <v>1500</v>
      </c>
      <c r="AA36" s="566">
        <f>'Design Criteria Summary'!$D$20</f>
        <v>2000</v>
      </c>
      <c r="AB36" s="20" t="str">
        <f t="shared" si="30"/>
        <v>Yes</v>
      </c>
      <c r="AC36" s="5" t="str">
        <f t="shared" si="31"/>
        <v>Yes</v>
      </c>
      <c r="AD36" s="5" t="str">
        <f t="shared" si="32"/>
        <v>Yes</v>
      </c>
      <c r="AE36" s="21" t="str">
        <f t="shared" si="33"/>
        <v>Yes</v>
      </c>
      <c r="AF36" s="283">
        <f t="shared" si="18"/>
        <v>0</v>
      </c>
      <c r="AG36" s="421">
        <f t="shared" si="19"/>
        <v>0</v>
      </c>
      <c r="AH36" s="421">
        <f t="shared" si="19"/>
        <v>0</v>
      </c>
      <c r="AI36" s="284">
        <f t="shared" si="20"/>
        <v>0</v>
      </c>
      <c r="AJ36" s="1232">
        <f t="shared" si="34"/>
        <v>0</v>
      </c>
      <c r="AK36" s="1232">
        <f t="shared" si="21"/>
        <v>0</v>
      </c>
      <c r="AL36" s="1232">
        <f t="shared" si="22"/>
        <v>0</v>
      </c>
      <c r="AM36" s="1233">
        <f t="shared" si="23"/>
        <v>0</v>
      </c>
      <c r="AN36" s="421"/>
      <c r="AO36" s="709"/>
      <c r="AP36" s="315"/>
      <c r="AQ36" s="738">
        <f t="shared" si="24"/>
        <v>1000</v>
      </c>
      <c r="AR36" s="741">
        <f t="shared" si="25"/>
        <v>2865</v>
      </c>
      <c r="AS36" s="731">
        <f t="shared" si="45"/>
        <v>0</v>
      </c>
      <c r="AT36" s="719">
        <f t="shared" si="46"/>
        <v>0</v>
      </c>
      <c r="AU36" s="719">
        <f t="shared" si="47"/>
        <v>0</v>
      </c>
      <c r="AV36" s="732">
        <f t="shared" si="48"/>
        <v>0</v>
      </c>
      <c r="AW36" s="720" t="str">
        <f t="shared" si="35"/>
        <v>0 (0)</v>
      </c>
      <c r="AX36" s="720" t="str">
        <f t="shared" si="36"/>
        <v>0 (0)</v>
      </c>
      <c r="AY36" s="720" t="str">
        <f t="shared" si="37"/>
        <v>0 (0)</v>
      </c>
      <c r="AZ36" s="721" t="str">
        <f t="shared" si="38"/>
        <v>0 (0)</v>
      </c>
      <c r="BB36" t="str">
        <f t="shared" si="39"/>
        <v>116400</v>
      </c>
      <c r="BC36" t="str">
        <f t="shared" si="40"/>
        <v>116750</v>
      </c>
      <c r="BD36" t="str">
        <f t="shared" si="41"/>
        <v>1161500</v>
      </c>
      <c r="BE36" t="str">
        <f t="shared" si="42"/>
        <v>1162000</v>
      </c>
    </row>
    <row r="37" spans="2:57">
      <c r="B37" t="b">
        <f t="shared" si="27"/>
        <v>0</v>
      </c>
      <c r="C37" s="639"/>
      <c r="D37" s="256"/>
      <c r="E37" s="256">
        <f t="shared" si="43"/>
        <v>117</v>
      </c>
      <c r="F37" s="5" t="str">
        <f t="shared" si="44"/>
        <v>AA</v>
      </c>
      <c r="G37" s="42" t="str">
        <f t="shared" si="12"/>
        <v>EF-1</v>
      </c>
      <c r="H37" s="638">
        <f t="shared" si="13"/>
        <v>10</v>
      </c>
      <c r="I37" s="326" t="e">
        <f t="shared" si="14"/>
        <v>#VALUE!</v>
      </c>
      <c r="J37" s="257">
        <v>17</v>
      </c>
      <c r="K37" s="258" t="str">
        <f t="shared" si="15"/>
        <v xml:space="preserve"> - Receptor 17</v>
      </c>
      <c r="L37" s="42" t="str">
        <f t="shared" si="16"/>
        <v>No</v>
      </c>
      <c r="M37" s="699" t="e">
        <f t="shared" si="17"/>
        <v>#VALUE!</v>
      </c>
      <c r="N37" s="312"/>
      <c r="O37" s="46"/>
      <c r="P37" s="314"/>
      <c r="Q37" s="312"/>
      <c r="R37" s="312"/>
      <c r="S37" s="312"/>
      <c r="T37" s="1680"/>
      <c r="U37" s="315"/>
      <c r="V37" s="345">
        <f t="shared" si="28"/>
        <v>100</v>
      </c>
      <c r="W37" s="345">
        <f t="shared" si="29"/>
        <v>4000</v>
      </c>
      <c r="X37" s="332">
        <f>'Design Criteria Summary'!$D$16</f>
        <v>400</v>
      </c>
      <c r="Y37" s="316">
        <f>'Design Criteria Summary'!$D$17</f>
        <v>750</v>
      </c>
      <c r="Z37" s="316">
        <f>'Design Criteria Summary'!$D$18</f>
        <v>1500</v>
      </c>
      <c r="AA37" s="566">
        <f>'Design Criteria Summary'!$D$20</f>
        <v>2000</v>
      </c>
      <c r="AB37" s="20" t="str">
        <f t="shared" si="30"/>
        <v>Yes</v>
      </c>
      <c r="AC37" s="5" t="str">
        <f t="shared" si="31"/>
        <v>Yes</v>
      </c>
      <c r="AD37" s="5" t="str">
        <f t="shared" si="32"/>
        <v>Yes</v>
      </c>
      <c r="AE37" s="21" t="str">
        <f t="shared" si="33"/>
        <v>Yes</v>
      </c>
      <c r="AF37" s="283">
        <f t="shared" si="18"/>
        <v>0</v>
      </c>
      <c r="AG37" s="421">
        <f t="shared" si="19"/>
        <v>0</v>
      </c>
      <c r="AH37" s="421">
        <f t="shared" si="19"/>
        <v>0</v>
      </c>
      <c r="AI37" s="284">
        <f t="shared" si="20"/>
        <v>0</v>
      </c>
      <c r="AJ37" s="1232">
        <f t="shared" si="34"/>
        <v>0</v>
      </c>
      <c r="AK37" s="1232">
        <f t="shared" si="21"/>
        <v>0</v>
      </c>
      <c r="AL37" s="1232">
        <f t="shared" si="22"/>
        <v>0</v>
      </c>
      <c r="AM37" s="1233">
        <f t="shared" si="23"/>
        <v>0</v>
      </c>
      <c r="AN37" s="421"/>
      <c r="AO37" s="709"/>
      <c r="AP37" s="315"/>
      <c r="AQ37" s="738">
        <f t="shared" si="24"/>
        <v>1000</v>
      </c>
      <c r="AR37" s="741">
        <f t="shared" si="25"/>
        <v>2865</v>
      </c>
      <c r="AS37" s="731">
        <f t="shared" si="45"/>
        <v>0</v>
      </c>
      <c r="AT37" s="719">
        <f t="shared" si="46"/>
        <v>0</v>
      </c>
      <c r="AU37" s="719">
        <f t="shared" si="47"/>
        <v>0</v>
      </c>
      <c r="AV37" s="732">
        <f t="shared" si="48"/>
        <v>0</v>
      </c>
      <c r="AW37" s="720" t="str">
        <f t="shared" si="35"/>
        <v>0 (0)</v>
      </c>
      <c r="AX37" s="720" t="str">
        <f t="shared" si="36"/>
        <v>0 (0)</v>
      </c>
      <c r="AY37" s="720" t="str">
        <f t="shared" si="37"/>
        <v>0 (0)</v>
      </c>
      <c r="AZ37" s="721" t="str">
        <f t="shared" si="38"/>
        <v>0 (0)</v>
      </c>
      <c r="BB37" t="str">
        <f t="shared" si="39"/>
        <v>117400</v>
      </c>
      <c r="BC37" t="str">
        <f t="shared" si="40"/>
        <v>117750</v>
      </c>
      <c r="BD37" t="str">
        <f t="shared" si="41"/>
        <v>1171500</v>
      </c>
      <c r="BE37" t="str">
        <f t="shared" si="42"/>
        <v>1172000</v>
      </c>
    </row>
    <row r="38" spans="2:57">
      <c r="B38" t="b">
        <f t="shared" si="27"/>
        <v>0</v>
      </c>
      <c r="C38" s="639"/>
      <c r="D38" s="256"/>
      <c r="E38" s="256">
        <f t="shared" si="43"/>
        <v>118</v>
      </c>
      <c r="F38" s="5" t="str">
        <f t="shared" si="44"/>
        <v>AA</v>
      </c>
      <c r="G38" s="42" t="str">
        <f t="shared" si="12"/>
        <v>EF-1</v>
      </c>
      <c r="H38" s="638">
        <f t="shared" si="13"/>
        <v>10</v>
      </c>
      <c r="I38" s="326" t="e">
        <f t="shared" si="14"/>
        <v>#VALUE!</v>
      </c>
      <c r="J38" s="257">
        <v>18</v>
      </c>
      <c r="K38" s="258" t="str">
        <f t="shared" si="15"/>
        <v xml:space="preserve"> - Receptor 18</v>
      </c>
      <c r="L38" s="42" t="str">
        <f t="shared" si="16"/>
        <v>No</v>
      </c>
      <c r="M38" s="699" t="e">
        <f t="shared" si="17"/>
        <v>#VALUE!</v>
      </c>
      <c r="N38" s="312"/>
      <c r="O38" s="46"/>
      <c r="P38" s="314"/>
      <c r="Q38" s="312"/>
      <c r="R38" s="312"/>
      <c r="S38" s="312"/>
      <c r="T38" s="1680"/>
      <c r="U38" s="315"/>
      <c r="V38" s="345">
        <f t="shared" si="28"/>
        <v>100</v>
      </c>
      <c r="W38" s="345">
        <f t="shared" si="29"/>
        <v>4000</v>
      </c>
      <c r="X38" s="332">
        <f>'Design Criteria Summary'!$D$16</f>
        <v>400</v>
      </c>
      <c r="Y38" s="316">
        <f>'Design Criteria Summary'!$D$17</f>
        <v>750</v>
      </c>
      <c r="Z38" s="316">
        <f>'Design Criteria Summary'!$D$18</f>
        <v>1500</v>
      </c>
      <c r="AA38" s="566">
        <f>'Design Criteria Summary'!$D$20</f>
        <v>2000</v>
      </c>
      <c r="AB38" s="20" t="str">
        <f t="shared" si="30"/>
        <v>Yes</v>
      </c>
      <c r="AC38" s="5" t="str">
        <f t="shared" si="31"/>
        <v>Yes</v>
      </c>
      <c r="AD38" s="5" t="str">
        <f t="shared" si="32"/>
        <v>Yes</v>
      </c>
      <c r="AE38" s="21" t="str">
        <f t="shared" si="33"/>
        <v>Yes</v>
      </c>
      <c r="AF38" s="283">
        <f t="shared" si="18"/>
        <v>0</v>
      </c>
      <c r="AG38" s="421">
        <f t="shared" si="19"/>
        <v>0</v>
      </c>
      <c r="AH38" s="421">
        <f t="shared" si="19"/>
        <v>0</v>
      </c>
      <c r="AI38" s="284">
        <f t="shared" si="20"/>
        <v>0</v>
      </c>
      <c r="AJ38" s="1232">
        <f t="shared" si="34"/>
        <v>0</v>
      </c>
      <c r="AK38" s="1232">
        <f t="shared" si="21"/>
        <v>0</v>
      </c>
      <c r="AL38" s="1232">
        <f t="shared" si="22"/>
        <v>0</v>
      </c>
      <c r="AM38" s="1233">
        <f t="shared" si="23"/>
        <v>0</v>
      </c>
      <c r="AN38" s="421"/>
      <c r="AO38" s="709"/>
      <c r="AP38" s="315"/>
      <c r="AQ38" s="738">
        <f t="shared" si="24"/>
        <v>1000</v>
      </c>
      <c r="AR38" s="741">
        <f t="shared" si="25"/>
        <v>2865</v>
      </c>
      <c r="AS38" s="731">
        <f t="shared" si="45"/>
        <v>0</v>
      </c>
      <c r="AT38" s="719">
        <f t="shared" si="46"/>
        <v>0</v>
      </c>
      <c r="AU38" s="719">
        <f t="shared" si="47"/>
        <v>0</v>
      </c>
      <c r="AV38" s="732">
        <f t="shared" si="48"/>
        <v>0</v>
      </c>
      <c r="AW38" s="720" t="str">
        <f t="shared" si="35"/>
        <v>0 (0)</v>
      </c>
      <c r="AX38" s="720" t="str">
        <f t="shared" si="36"/>
        <v>0 (0)</v>
      </c>
      <c r="AY38" s="720" t="str">
        <f t="shared" si="37"/>
        <v>0 (0)</v>
      </c>
      <c r="AZ38" s="721" t="str">
        <f t="shared" si="38"/>
        <v>0 (0)</v>
      </c>
      <c r="BB38" t="str">
        <f t="shared" si="39"/>
        <v>118400</v>
      </c>
      <c r="BC38" t="str">
        <f t="shared" si="40"/>
        <v>118750</v>
      </c>
      <c r="BD38" t="str">
        <f t="shared" si="41"/>
        <v>1181500</v>
      </c>
      <c r="BE38" t="str">
        <f t="shared" si="42"/>
        <v>1182000</v>
      </c>
    </row>
    <row r="39" spans="2:57">
      <c r="B39" t="b">
        <f t="shared" si="27"/>
        <v>0</v>
      </c>
      <c r="C39" s="639"/>
      <c r="D39" s="256"/>
      <c r="E39" s="256">
        <f t="shared" si="43"/>
        <v>119</v>
      </c>
      <c r="F39" s="5" t="str">
        <f t="shared" si="44"/>
        <v>AA</v>
      </c>
      <c r="G39" s="42" t="str">
        <f t="shared" si="12"/>
        <v>EF-1</v>
      </c>
      <c r="H39" s="638">
        <f t="shared" si="13"/>
        <v>10</v>
      </c>
      <c r="I39" s="326" t="e">
        <f t="shared" si="14"/>
        <v>#VALUE!</v>
      </c>
      <c r="J39" s="257">
        <v>19</v>
      </c>
      <c r="K39" s="258" t="str">
        <f t="shared" si="15"/>
        <v xml:space="preserve"> - Receptor 19</v>
      </c>
      <c r="L39" s="42" t="str">
        <f t="shared" si="16"/>
        <v>No</v>
      </c>
      <c r="M39" s="699" t="e">
        <f t="shared" si="17"/>
        <v>#VALUE!</v>
      </c>
      <c r="N39" s="312"/>
      <c r="O39" s="46"/>
      <c r="P39" s="314"/>
      <c r="Q39" s="312"/>
      <c r="R39" s="312"/>
      <c r="S39" s="312"/>
      <c r="T39" s="1680"/>
      <c r="U39" s="315"/>
      <c r="V39" s="345">
        <f t="shared" si="28"/>
        <v>100</v>
      </c>
      <c r="W39" s="345">
        <f t="shared" si="29"/>
        <v>4000</v>
      </c>
      <c r="X39" s="332">
        <f>'Design Criteria Summary'!$D$16</f>
        <v>400</v>
      </c>
      <c r="Y39" s="316">
        <f>'Design Criteria Summary'!$D$17</f>
        <v>750</v>
      </c>
      <c r="Z39" s="316">
        <f>'Design Criteria Summary'!$D$18</f>
        <v>1500</v>
      </c>
      <c r="AA39" s="566">
        <f>'Design Criteria Summary'!$D$20</f>
        <v>2000</v>
      </c>
      <c r="AB39" s="20" t="str">
        <f t="shared" si="30"/>
        <v>Yes</v>
      </c>
      <c r="AC39" s="5" t="str">
        <f t="shared" si="31"/>
        <v>Yes</v>
      </c>
      <c r="AD39" s="5" t="str">
        <f t="shared" si="32"/>
        <v>Yes</v>
      </c>
      <c r="AE39" s="21" t="str">
        <f t="shared" si="33"/>
        <v>Yes</v>
      </c>
      <c r="AF39" s="283">
        <f t="shared" si="18"/>
        <v>0</v>
      </c>
      <c r="AG39" s="421">
        <f t="shared" si="19"/>
        <v>0</v>
      </c>
      <c r="AH39" s="421">
        <f t="shared" si="19"/>
        <v>0</v>
      </c>
      <c r="AI39" s="284">
        <f t="shared" si="20"/>
        <v>0</v>
      </c>
      <c r="AJ39" s="1232">
        <f t="shared" si="34"/>
        <v>0</v>
      </c>
      <c r="AK39" s="1232">
        <f t="shared" si="21"/>
        <v>0</v>
      </c>
      <c r="AL39" s="1232">
        <f t="shared" si="22"/>
        <v>0</v>
      </c>
      <c r="AM39" s="1233">
        <f t="shared" si="23"/>
        <v>0</v>
      </c>
      <c r="AN39" s="421"/>
      <c r="AO39" s="709"/>
      <c r="AP39" s="315"/>
      <c r="AQ39" s="738">
        <f t="shared" si="24"/>
        <v>1000</v>
      </c>
      <c r="AR39" s="741">
        <f t="shared" si="25"/>
        <v>2865</v>
      </c>
      <c r="AS39" s="731">
        <f t="shared" si="45"/>
        <v>0</v>
      </c>
      <c r="AT39" s="719">
        <f t="shared" si="46"/>
        <v>0</v>
      </c>
      <c r="AU39" s="719">
        <f t="shared" si="47"/>
        <v>0</v>
      </c>
      <c r="AV39" s="732">
        <f t="shared" si="48"/>
        <v>0</v>
      </c>
      <c r="AW39" s="720" t="str">
        <f t="shared" si="35"/>
        <v>0 (0)</v>
      </c>
      <c r="AX39" s="720" t="str">
        <f t="shared" si="36"/>
        <v>0 (0)</v>
      </c>
      <c r="AY39" s="720" t="str">
        <f t="shared" si="37"/>
        <v>0 (0)</v>
      </c>
      <c r="AZ39" s="721" t="str">
        <f t="shared" si="38"/>
        <v>0 (0)</v>
      </c>
      <c r="BB39" t="str">
        <f t="shared" si="39"/>
        <v>119400</v>
      </c>
      <c r="BC39" t="str">
        <f t="shared" si="40"/>
        <v>119750</v>
      </c>
      <c r="BD39" t="str">
        <f t="shared" si="41"/>
        <v>1191500</v>
      </c>
      <c r="BE39" t="str">
        <f t="shared" si="42"/>
        <v>1192000</v>
      </c>
    </row>
    <row r="40" spans="2:57">
      <c r="B40" t="b">
        <f t="shared" si="27"/>
        <v>0</v>
      </c>
      <c r="C40" s="639"/>
      <c r="D40" s="256"/>
      <c r="E40" s="256">
        <f t="shared" si="43"/>
        <v>120</v>
      </c>
      <c r="F40" s="5" t="str">
        <f t="shared" si="44"/>
        <v>AA</v>
      </c>
      <c r="G40" s="42" t="str">
        <f t="shared" si="12"/>
        <v>EF-1</v>
      </c>
      <c r="H40" s="638">
        <f t="shared" si="13"/>
        <v>10</v>
      </c>
      <c r="I40" s="326" t="e">
        <f t="shared" si="14"/>
        <v>#VALUE!</v>
      </c>
      <c r="J40" s="257">
        <v>20</v>
      </c>
      <c r="K40" s="258" t="str">
        <f t="shared" si="15"/>
        <v xml:space="preserve"> - Receptor 20</v>
      </c>
      <c r="L40" s="42" t="str">
        <f t="shared" si="16"/>
        <v>No</v>
      </c>
      <c r="M40" s="699" t="e">
        <f t="shared" si="17"/>
        <v>#VALUE!</v>
      </c>
      <c r="N40" s="312"/>
      <c r="O40" s="46"/>
      <c r="P40" s="314"/>
      <c r="Q40" s="312"/>
      <c r="R40" s="312"/>
      <c r="S40" s="312"/>
      <c r="T40" s="1680"/>
      <c r="U40" s="315"/>
      <c r="V40" s="345">
        <f t="shared" si="28"/>
        <v>100</v>
      </c>
      <c r="W40" s="345">
        <f t="shared" si="29"/>
        <v>4000</v>
      </c>
      <c r="X40" s="332">
        <f>'Design Criteria Summary'!$D$16</f>
        <v>400</v>
      </c>
      <c r="Y40" s="316">
        <f>'Design Criteria Summary'!$D$17</f>
        <v>750</v>
      </c>
      <c r="Z40" s="316">
        <f>'Design Criteria Summary'!$D$18</f>
        <v>1500</v>
      </c>
      <c r="AA40" s="566">
        <f>'Design Criteria Summary'!$D$20</f>
        <v>2000</v>
      </c>
      <c r="AB40" s="20" t="str">
        <f t="shared" si="30"/>
        <v>Yes</v>
      </c>
      <c r="AC40" s="5" t="str">
        <f t="shared" si="31"/>
        <v>Yes</v>
      </c>
      <c r="AD40" s="5" t="str">
        <f t="shared" si="32"/>
        <v>Yes</v>
      </c>
      <c r="AE40" s="21" t="str">
        <f t="shared" si="33"/>
        <v>Yes</v>
      </c>
      <c r="AF40" s="283">
        <f t="shared" si="18"/>
        <v>0</v>
      </c>
      <c r="AG40" s="421">
        <f t="shared" si="19"/>
        <v>0</v>
      </c>
      <c r="AH40" s="421">
        <f t="shared" si="19"/>
        <v>0</v>
      </c>
      <c r="AI40" s="284">
        <f t="shared" si="20"/>
        <v>0</v>
      </c>
      <c r="AJ40" s="1232">
        <f t="shared" si="34"/>
        <v>0</v>
      </c>
      <c r="AK40" s="1232">
        <f t="shared" si="21"/>
        <v>0</v>
      </c>
      <c r="AL40" s="1232">
        <f t="shared" si="22"/>
        <v>0</v>
      </c>
      <c r="AM40" s="1233">
        <f t="shared" si="23"/>
        <v>0</v>
      </c>
      <c r="AN40" s="421"/>
      <c r="AO40" s="709"/>
      <c r="AP40" s="315"/>
      <c r="AQ40" s="738">
        <f t="shared" si="24"/>
        <v>1000</v>
      </c>
      <c r="AR40" s="741">
        <f t="shared" si="25"/>
        <v>2865</v>
      </c>
      <c r="AS40" s="731">
        <f t="shared" si="45"/>
        <v>0</v>
      </c>
      <c r="AT40" s="719">
        <f t="shared" si="46"/>
        <v>0</v>
      </c>
      <c r="AU40" s="719">
        <f t="shared" si="47"/>
        <v>0</v>
      </c>
      <c r="AV40" s="732">
        <f t="shared" si="48"/>
        <v>0</v>
      </c>
      <c r="AW40" s="720" t="str">
        <f t="shared" si="35"/>
        <v>0 (0)</v>
      </c>
      <c r="AX40" s="720" t="str">
        <f t="shared" si="36"/>
        <v>0 (0)</v>
      </c>
      <c r="AY40" s="720" t="str">
        <f t="shared" si="37"/>
        <v>0 (0)</v>
      </c>
      <c r="AZ40" s="721" t="str">
        <f t="shared" si="38"/>
        <v>0 (0)</v>
      </c>
      <c r="BB40" t="str">
        <f t="shared" si="39"/>
        <v>120400</v>
      </c>
      <c r="BC40" t="str">
        <f t="shared" si="40"/>
        <v>120750</v>
      </c>
      <c r="BD40" t="str">
        <f t="shared" si="41"/>
        <v>1201500</v>
      </c>
      <c r="BE40" t="str">
        <f t="shared" si="42"/>
        <v>1202000</v>
      </c>
    </row>
    <row r="41" spans="2:57">
      <c r="C41" s="639"/>
      <c r="D41" s="256"/>
      <c r="E41" s="256"/>
      <c r="F41" s="102"/>
      <c r="G41" s="46"/>
      <c r="H41" s="312"/>
      <c r="I41" s="326"/>
      <c r="J41" s="257"/>
      <c r="K41" s="258"/>
      <c r="L41" s="42"/>
      <c r="M41" s="102"/>
      <c r="N41" s="42"/>
      <c r="O41" s="42"/>
      <c r="P41" s="314"/>
      <c r="Q41" s="314"/>
      <c r="R41" s="314"/>
      <c r="S41" s="314"/>
      <c r="T41" s="1680"/>
      <c r="U41" s="315"/>
      <c r="V41" s="315"/>
      <c r="W41" s="315"/>
      <c r="X41" s="332"/>
      <c r="Y41" s="316"/>
      <c r="Z41" s="316"/>
      <c r="AA41" s="566"/>
      <c r="AB41" s="20"/>
      <c r="AC41" s="5"/>
      <c r="AD41" s="5"/>
      <c r="AE41" s="21"/>
      <c r="AF41" s="279"/>
      <c r="AG41" s="420"/>
      <c r="AH41" s="420"/>
      <c r="AI41" s="280"/>
      <c r="AJ41" s="279"/>
      <c r="AK41" s="420"/>
      <c r="AL41" s="420"/>
      <c r="AM41" s="280"/>
      <c r="AN41" s="420"/>
      <c r="AO41" s="279"/>
      <c r="AP41" s="420"/>
      <c r="AQ41" s="736"/>
      <c r="AR41" s="279"/>
      <c r="AS41" s="279"/>
      <c r="AT41" s="420"/>
      <c r="AU41" s="420"/>
      <c r="AV41" s="280"/>
      <c r="AW41" s="279"/>
      <c r="AX41" s="420"/>
      <c r="AY41" s="420"/>
      <c r="AZ41" s="280"/>
    </row>
    <row r="42" spans="2:57">
      <c r="C42" s="141"/>
      <c r="D42" s="52"/>
      <c r="E42" s="52"/>
      <c r="F42" s="41"/>
      <c r="G42" s="41"/>
      <c r="H42" s="313"/>
      <c r="I42" s="327"/>
      <c r="J42" s="41"/>
      <c r="K42" s="41"/>
      <c r="L42" s="41"/>
      <c r="M42" s="41"/>
      <c r="N42" s="41"/>
      <c r="O42" s="41"/>
      <c r="P42" s="317"/>
      <c r="Q42" s="317"/>
      <c r="R42" s="317"/>
      <c r="S42" s="317"/>
      <c r="T42" s="1681"/>
      <c r="U42" s="317"/>
      <c r="V42" s="317"/>
      <c r="W42" s="317"/>
      <c r="X42" s="333"/>
      <c r="Y42" s="317"/>
      <c r="Z42" s="317"/>
      <c r="AA42" s="567"/>
      <c r="AB42" s="52"/>
      <c r="AC42" s="41"/>
      <c r="AD42" s="41"/>
      <c r="AE42" s="53"/>
      <c r="AF42" s="281"/>
      <c r="AG42" s="422"/>
      <c r="AH42" s="422"/>
      <c r="AI42" s="282"/>
      <c r="AJ42" s="281"/>
      <c r="AK42" s="422"/>
      <c r="AL42" s="422"/>
      <c r="AM42" s="282"/>
      <c r="AN42" s="420"/>
      <c r="AO42" s="281"/>
      <c r="AP42" s="422"/>
      <c r="AQ42" s="737"/>
      <c r="AR42" s="281"/>
      <c r="AS42" s="281"/>
      <c r="AT42" s="422"/>
      <c r="AU42" s="422"/>
      <c r="AV42" s="282"/>
      <c r="AW42" s="279"/>
      <c r="AX42" s="420"/>
      <c r="AY42" s="420"/>
      <c r="AZ42" s="280"/>
    </row>
    <row r="43" spans="2:57">
      <c r="E43" t="s">
        <v>214</v>
      </c>
      <c r="U43" s="271"/>
      <c r="V43" s="271"/>
      <c r="W43" s="271"/>
      <c r="AW43" s="31"/>
      <c r="AX43" s="31"/>
      <c r="AY43" s="31"/>
      <c r="AZ43" s="31"/>
    </row>
    <row r="44" spans="2:57">
      <c r="C44" s="107"/>
      <c r="D44" s="107"/>
      <c r="E44" s="107" t="s">
        <v>216</v>
      </c>
      <c r="F44" s="107"/>
      <c r="G44" s="1" t="s">
        <v>631</v>
      </c>
      <c r="H44" s="717"/>
      <c r="I44" s="718"/>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row>
    <row r="45" spans="2:57">
      <c r="C45" s="107"/>
      <c r="D45" s="107"/>
      <c r="E45" s="107" t="s">
        <v>217</v>
      </c>
      <c r="F45" s="107"/>
      <c r="G45" s="1" t="s">
        <v>632</v>
      </c>
      <c r="H45" s="717"/>
      <c r="I45" s="718"/>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row>
    <row r="46" spans="2:57">
      <c r="C46" s="107"/>
      <c r="D46" s="107"/>
      <c r="E46" s="107" t="s">
        <v>218</v>
      </c>
      <c r="F46" s="107"/>
      <c r="G46" s="1" t="s">
        <v>367</v>
      </c>
      <c r="H46" s="717"/>
      <c r="I46" s="718"/>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row>
    <row r="47" spans="2:57">
      <c r="C47" s="272"/>
      <c r="D47" s="272"/>
      <c r="E47" s="272" t="s">
        <v>219</v>
      </c>
      <c r="F47" s="272"/>
      <c r="G47" s="840" t="s">
        <v>1447</v>
      </c>
      <c r="H47" s="840"/>
      <c r="I47" s="840"/>
      <c r="J47" s="840"/>
      <c r="K47" s="840"/>
      <c r="L47" s="840"/>
      <c r="M47" s="840"/>
      <c r="N47" s="840"/>
      <c r="O47" s="840"/>
      <c r="P47" s="840"/>
      <c r="Q47" s="840"/>
      <c r="R47" s="840"/>
      <c r="S47" s="840"/>
      <c r="T47" s="840"/>
      <c r="U47" s="840"/>
      <c r="V47" s="840"/>
      <c r="W47" s="840"/>
      <c r="X47" s="840"/>
      <c r="Y47" s="840"/>
      <c r="Z47" s="840"/>
      <c r="AA47" s="840"/>
      <c r="AB47" s="840"/>
      <c r="AC47" s="840"/>
      <c r="AD47" s="840"/>
      <c r="AE47" s="840"/>
      <c r="AF47" s="840"/>
      <c r="AG47" s="840"/>
      <c r="AH47" s="840"/>
      <c r="AI47" s="840"/>
      <c r="AJ47" s="840"/>
      <c r="AK47" s="840"/>
      <c r="AL47" s="840"/>
      <c r="AM47" s="840"/>
      <c r="AN47" s="273"/>
      <c r="AO47" s="273"/>
      <c r="AP47" s="273"/>
      <c r="AQ47" s="273"/>
      <c r="AR47" s="273"/>
      <c r="AS47" s="273"/>
      <c r="AT47" s="273"/>
      <c r="AU47" s="273"/>
      <c r="AV47" s="273"/>
      <c r="AW47" s="273"/>
      <c r="AX47" s="273"/>
      <c r="AY47" s="273"/>
      <c r="AZ47" s="273"/>
    </row>
    <row r="48" spans="2:57">
      <c r="C48" s="272"/>
      <c r="D48" s="272"/>
      <c r="E48" s="272"/>
      <c r="F48" s="272"/>
      <c r="G48" s="840"/>
      <c r="H48" s="840"/>
      <c r="I48" s="840"/>
      <c r="J48" s="840"/>
      <c r="K48" s="840"/>
      <c r="L48" s="840"/>
      <c r="M48" s="840"/>
      <c r="N48" s="840"/>
      <c r="O48" s="840"/>
      <c r="P48" s="840"/>
      <c r="Q48" s="840"/>
      <c r="R48" s="840"/>
      <c r="S48" s="840"/>
      <c r="T48" s="840"/>
      <c r="U48" s="840"/>
      <c r="V48" s="840"/>
      <c r="W48" s="840"/>
      <c r="X48" s="840"/>
      <c r="Y48" s="840"/>
      <c r="Z48" s="840"/>
      <c r="AA48" s="840"/>
      <c r="AB48" s="840"/>
      <c r="AC48" s="840"/>
      <c r="AD48" s="840"/>
      <c r="AE48" s="840"/>
      <c r="AF48" s="840"/>
      <c r="AG48" s="840"/>
      <c r="AH48" s="840"/>
      <c r="AI48" s="840"/>
      <c r="AJ48" s="840"/>
      <c r="AK48" s="840"/>
      <c r="AL48" s="840"/>
      <c r="AM48" s="840"/>
      <c r="AN48" s="273"/>
      <c r="AO48" s="273"/>
      <c r="AP48" s="273"/>
      <c r="AQ48" s="273"/>
      <c r="AR48" s="273"/>
      <c r="AS48" s="273"/>
      <c r="AT48" s="273"/>
      <c r="AU48" s="273"/>
      <c r="AV48" s="273"/>
      <c r="AW48" s="273"/>
      <c r="AX48" s="273"/>
      <c r="AY48" s="273"/>
      <c r="AZ48" s="273"/>
    </row>
    <row r="49" spans="7:16">
      <c r="G49" s="107" t="s">
        <v>220</v>
      </c>
      <c r="H49" s="1234">
        <f>COUNTA(G16:G42)</f>
        <v>20</v>
      </c>
      <c r="I49" s="274"/>
      <c r="J49" s="180"/>
      <c r="K49" s="180"/>
      <c r="M49" s="179"/>
      <c r="N49" s="179"/>
      <c r="O49" s="107" t="s">
        <v>221</v>
      </c>
      <c r="P49" s="1234">
        <f>COUNTA(P16:P42)</f>
        <v>0</v>
      </c>
    </row>
    <row r="50" spans="7:16">
      <c r="G50" s="107" t="s">
        <v>341</v>
      </c>
      <c r="H50" s="275">
        <v>20</v>
      </c>
      <c r="M50" s="179"/>
      <c r="N50" s="179"/>
      <c r="O50" s="107" t="s">
        <v>360</v>
      </c>
      <c r="P50" s="233">
        <f>H49-P49</f>
        <v>20</v>
      </c>
    </row>
    <row r="51" spans="7:16">
      <c r="G51" s="107" t="s">
        <v>352</v>
      </c>
      <c r="H51" s="1235">
        <f>H50-H49</f>
        <v>0</v>
      </c>
      <c r="M51" s="2"/>
      <c r="N51" s="2"/>
      <c r="O51" s="115" t="s">
        <v>544</v>
      </c>
      <c r="P51" s="683">
        <f>MIN(COUNT(H21:H42),COUNT(J21:J42))-P49</f>
        <v>20</v>
      </c>
    </row>
  </sheetData>
  <mergeCells count="28">
    <mergeCell ref="BB18:BE18"/>
    <mergeCell ref="AB10:AE10"/>
    <mergeCell ref="J13:K13"/>
    <mergeCell ref="X14:AA14"/>
    <mergeCell ref="AB11:AE11"/>
    <mergeCell ref="AB12:AE12"/>
    <mergeCell ref="AB13:AE13"/>
    <mergeCell ref="AF10:AI10"/>
    <mergeCell ref="AW12:AZ12"/>
    <mergeCell ref="AX13:AY13"/>
    <mergeCell ref="AJ10:AM10"/>
    <mergeCell ref="AJ11:AM11"/>
    <mergeCell ref="AJ12:AM12"/>
    <mergeCell ref="AJ13:AM13"/>
    <mergeCell ref="E4:G4"/>
    <mergeCell ref="E5:G5"/>
    <mergeCell ref="J12:K12"/>
    <mergeCell ref="M11:N11"/>
    <mergeCell ref="M12:N12"/>
    <mergeCell ref="D10:D14"/>
    <mergeCell ref="X13:AA13"/>
    <mergeCell ref="AO9:AV9"/>
    <mergeCell ref="AS11:AV11"/>
    <mergeCell ref="AS12:AV12"/>
    <mergeCell ref="AF12:AI12"/>
    <mergeCell ref="AF13:AI13"/>
    <mergeCell ref="AF11:AI11"/>
    <mergeCell ref="X10:AA10"/>
  </mergeCells>
  <phoneticPr fontId="0" type="noConversion"/>
  <conditionalFormatting sqref="N21:N40">
    <cfRule type="cellIs" dxfId="865" priority="7" stopIfTrue="1" operator="notEqual">
      <formula>M21</formula>
    </cfRule>
  </conditionalFormatting>
  <conditionalFormatting sqref="R21:R40">
    <cfRule type="expression" dxfId="864" priority="8" stopIfTrue="1">
      <formula>ISBLANK(R21)</formula>
    </cfRule>
    <cfRule type="cellIs" dxfId="863" priority="9" stopIfTrue="1" operator="greaterThanOrEqual">
      <formula>6.5</formula>
    </cfRule>
    <cfRule type="expression" dxfId="862" priority="10" stopIfTrue="1">
      <formula>IF(S21*2&gt;R21,1,0)</formula>
    </cfRule>
  </conditionalFormatting>
  <conditionalFormatting sqref="O21:O40">
    <cfRule type="expression" dxfId="861" priority="11" stopIfTrue="1">
      <formula>AND(ISNUMBER(O21),O21&lt;&gt;J21)</formula>
    </cfRule>
  </conditionalFormatting>
  <conditionalFormatting sqref="AB21:AE40">
    <cfRule type="cellIs" dxfId="860" priority="12" stopIfTrue="1" operator="equal">
      <formula>"No"</formula>
    </cfRule>
  </conditionalFormatting>
  <conditionalFormatting sqref="S21:S40">
    <cfRule type="expression" dxfId="859" priority="13" stopIfTrue="1">
      <formula>ISBLANK(S21)</formula>
    </cfRule>
    <cfRule type="cellIs" dxfId="858" priority="14" stopIfTrue="1" operator="greaterThanOrEqual">
      <formula>6.5</formula>
    </cfRule>
  </conditionalFormatting>
  <conditionalFormatting sqref="Q21:Q40">
    <cfRule type="expression" dxfId="857" priority="15" stopIfTrue="1">
      <formula>AND(ISNUMBER(Q21),OR(Q21&lt;1,Q21&gt;UAnem1percent))</formula>
    </cfRule>
  </conditionalFormatting>
  <conditionalFormatting sqref="L21:L40">
    <cfRule type="cellIs" dxfId="856" priority="16" stopIfTrue="1" operator="equal">
      <formula>"YES"</formula>
    </cfRule>
  </conditionalFormatting>
  <conditionalFormatting sqref="AS21:AV40">
    <cfRule type="cellIs" dxfId="855" priority="17" stopIfTrue="1" operator="greaterThan">
      <formula>1</formula>
    </cfRule>
  </conditionalFormatting>
  <conditionalFormatting sqref="AX21:AX40">
    <cfRule type="expression" dxfId="854" priority="18" stopIfTrue="1">
      <formula>AT21&gt;1=TRUE</formula>
    </cfRule>
  </conditionalFormatting>
  <conditionalFormatting sqref="E21:E40">
    <cfRule type="expression" dxfId="853" priority="19" stopIfTrue="1">
      <formula>B21=TRUE</formula>
    </cfRule>
  </conditionalFormatting>
  <conditionalFormatting sqref="AW21:AW40">
    <cfRule type="expression" dxfId="852" priority="6" stopIfTrue="1">
      <formula>AS21&gt;1=TRUE</formula>
    </cfRule>
  </conditionalFormatting>
  <conditionalFormatting sqref="AY21:AY40">
    <cfRule type="expression" dxfId="851" priority="5" stopIfTrue="1">
      <formula>AU21&gt;1=TRUE</formula>
    </cfRule>
  </conditionalFormatting>
  <conditionalFormatting sqref="AZ21:AZ40">
    <cfRule type="expression" dxfId="850" priority="4" stopIfTrue="1">
      <formula>AV21&gt;1=TRUE</formula>
    </cfRule>
  </conditionalFormatting>
  <conditionalFormatting sqref="AJ21:AM40">
    <cfRule type="cellIs" dxfId="849" priority="2" operator="between">
      <formula>0.0000000000001</formula>
      <formula>0.0099999999999</formula>
    </cfRule>
  </conditionalFormatting>
  <conditionalFormatting sqref="T21:T42">
    <cfRule type="cellIs" dxfId="848" priority="1" operator="greaterThanOrEqual">
      <formula>500</formula>
    </cfRule>
  </conditionalFormatting>
  <pageMargins left="1.00000003973643E-2" right="1.00000003973643E-2" top="1.00000003973643E-2" bottom="9.9999997350904701E-2" header="1.00000003973643E-2" footer="1.00000003973643E-2"/>
  <pageSetup paperSize="204" fitToHeight="0" orientation="landscape" useFirstPageNumber="1" r:id="rId1"/>
  <headerFooter scaleWithDoc="0" alignWithMargins="0">
    <oddFooter>&amp;C&amp;9Page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5">
    <tabColor rgb="FFFFC000"/>
    <pageSetUpPr fitToPage="1"/>
  </sheetPr>
  <dimension ref="B2:Q56"/>
  <sheetViews>
    <sheetView view="pageBreakPreview" topLeftCell="A4" zoomScale="75" zoomScaleNormal="55" zoomScaleSheetLayoutView="75" workbookViewId="0">
      <selection activeCell="R15" sqref="R15:V31"/>
    </sheetView>
  </sheetViews>
  <sheetFormatPr defaultRowHeight="15.75"/>
  <cols>
    <col min="2" max="2" width="9.625" bestFit="1" customWidth="1"/>
    <col min="5" max="5" width="10.125" customWidth="1"/>
    <col min="6" max="6" width="27.75" bestFit="1" customWidth="1"/>
    <col min="7" max="7" width="15.75" bestFit="1" customWidth="1"/>
    <col min="8" max="8" width="10.25" customWidth="1"/>
    <col min="9" max="9" width="14" bestFit="1" customWidth="1"/>
    <col min="10" max="10" width="15.5" bestFit="1" customWidth="1"/>
    <col min="11" max="11" width="14" bestFit="1" customWidth="1"/>
    <col min="12" max="13" width="12.5" bestFit="1" customWidth="1"/>
    <col min="14" max="14" width="15.25" bestFit="1" customWidth="1"/>
    <col min="15" max="16" width="12.5" bestFit="1" customWidth="1"/>
    <col min="17" max="17" width="15.25" bestFit="1" customWidth="1"/>
  </cols>
  <sheetData>
    <row r="2" spans="2:17" ht="20.25">
      <c r="B2" s="120" t="str">
        <f>SourceProjectName1</f>
        <v>Project Name 1</v>
      </c>
      <c r="F2" s="4" t="s">
        <v>1589</v>
      </c>
    </row>
    <row r="3" spans="2:17" ht="20.25">
      <c r="B3" s="120" t="str">
        <f>SourceProjectName2</f>
        <v>Project Name 2</v>
      </c>
      <c r="F3" s="4" t="s">
        <v>1476</v>
      </c>
    </row>
    <row r="4" spans="2:17" ht="20.25">
      <c r="B4" s="120" t="str">
        <f>SourceProjectNumber</f>
        <v>Project Number</v>
      </c>
      <c r="F4" s="4" t="s">
        <v>1477</v>
      </c>
    </row>
    <row r="5" spans="2:17" ht="20.25">
      <c r="B5" s="837" t="s">
        <v>159</v>
      </c>
    </row>
    <row r="6" spans="2:17" ht="20.25">
      <c r="B6" s="837" t="s">
        <v>1472</v>
      </c>
    </row>
    <row r="7" spans="2:17" ht="20.25">
      <c r="B7" s="285"/>
      <c r="C7" s="13"/>
      <c r="D7" s="13"/>
      <c r="E7" s="13"/>
      <c r="F7" s="13"/>
    </row>
    <row r="8" spans="2:17">
      <c r="B8" s="100"/>
      <c r="C8" s="1082" t="s">
        <v>449</v>
      </c>
      <c r="D8" s="31"/>
      <c r="E8" s="264" t="s">
        <v>118</v>
      </c>
      <c r="F8" s="144"/>
      <c r="G8" s="265" t="s">
        <v>368</v>
      </c>
      <c r="H8" s="1294" t="s">
        <v>369</v>
      </c>
      <c r="I8" s="1295" t="s">
        <v>371</v>
      </c>
      <c r="J8" s="1294" t="s">
        <v>373</v>
      </c>
      <c r="K8" s="1294"/>
      <c r="L8" s="1760" t="s">
        <v>165</v>
      </c>
      <c r="M8" s="1761"/>
      <c r="N8" s="1762"/>
      <c r="O8" s="1761" t="s">
        <v>1695</v>
      </c>
      <c r="P8" s="1761"/>
      <c r="Q8" s="1762"/>
    </row>
    <row r="9" spans="2:17" ht="17.25">
      <c r="B9" s="33"/>
      <c r="C9" s="1083"/>
      <c r="E9" s="266" t="s">
        <v>666</v>
      </c>
      <c r="F9" s="13" t="s">
        <v>147</v>
      </c>
      <c r="G9" s="286" t="s">
        <v>364</v>
      </c>
      <c r="H9" s="160" t="s">
        <v>1469</v>
      </c>
      <c r="I9" s="13" t="s">
        <v>1470</v>
      </c>
      <c r="J9" s="160" t="s">
        <v>1696</v>
      </c>
      <c r="K9" s="160" t="s">
        <v>1697</v>
      </c>
      <c r="L9" s="1630" t="s">
        <v>1698</v>
      </c>
      <c r="M9" s="1626" t="s">
        <v>1698</v>
      </c>
      <c r="N9" s="1631" t="s">
        <v>1698</v>
      </c>
      <c r="O9" s="1626" t="s">
        <v>1698</v>
      </c>
      <c r="P9" s="1626" t="s">
        <v>1698</v>
      </c>
      <c r="Q9" s="1631" t="s">
        <v>1698</v>
      </c>
    </row>
    <row r="10" spans="2:17">
      <c r="B10" s="74" t="s">
        <v>160</v>
      </c>
      <c r="C10" s="1084" t="s">
        <v>663</v>
      </c>
      <c r="D10" s="13" t="s">
        <v>663</v>
      </c>
      <c r="E10" s="266" t="s">
        <v>1193</v>
      </c>
      <c r="F10" s="13" t="s">
        <v>19</v>
      </c>
      <c r="G10" s="13" t="s">
        <v>365</v>
      </c>
      <c r="H10" s="160" t="s">
        <v>230</v>
      </c>
      <c r="I10" s="13" t="s">
        <v>163</v>
      </c>
      <c r="J10" s="160" t="s">
        <v>1699</v>
      </c>
      <c r="K10" s="160" t="s">
        <v>163</v>
      </c>
      <c r="L10" s="1630" t="s">
        <v>1700</v>
      </c>
      <c r="M10" s="1626" t="s">
        <v>1700</v>
      </c>
      <c r="N10" s="1631" t="s">
        <v>1701</v>
      </c>
      <c r="O10" s="1626" t="s">
        <v>1700</v>
      </c>
      <c r="P10" s="1626" t="s">
        <v>1700</v>
      </c>
      <c r="Q10" s="1631" t="s">
        <v>1701</v>
      </c>
    </row>
    <row r="11" spans="2:17">
      <c r="B11" s="74" t="s">
        <v>779</v>
      </c>
      <c r="C11" s="1084" t="s">
        <v>591</v>
      </c>
      <c r="D11" s="13" t="s">
        <v>665</v>
      </c>
      <c r="E11" s="266" t="s">
        <v>363</v>
      </c>
      <c r="F11" s="13" t="s">
        <v>222</v>
      </c>
      <c r="G11" s="13" t="s">
        <v>163</v>
      </c>
      <c r="H11" s="160" t="s">
        <v>232</v>
      </c>
      <c r="I11" s="13"/>
      <c r="J11" s="1298" t="s">
        <v>708</v>
      </c>
      <c r="K11" s="160"/>
      <c r="L11" s="1630" t="s">
        <v>1067</v>
      </c>
      <c r="M11" s="1626" t="s">
        <v>21</v>
      </c>
      <c r="N11" s="1631"/>
      <c r="O11" s="1626" t="s">
        <v>1067</v>
      </c>
      <c r="P11" s="1626" t="s">
        <v>21</v>
      </c>
      <c r="Q11" s="1631"/>
    </row>
    <row r="12" spans="2:17">
      <c r="B12" s="77"/>
      <c r="C12" s="1085"/>
      <c r="D12" s="14"/>
      <c r="E12" s="267" t="s">
        <v>668</v>
      </c>
      <c r="F12" s="14" t="s">
        <v>163</v>
      </c>
      <c r="G12" s="14" t="s">
        <v>175</v>
      </c>
      <c r="H12" s="76" t="s">
        <v>303</v>
      </c>
      <c r="I12" s="14" t="s">
        <v>1471</v>
      </c>
      <c r="J12" s="76"/>
      <c r="K12" s="76" t="s">
        <v>1471</v>
      </c>
      <c r="L12" s="1627" t="s">
        <v>1471</v>
      </c>
      <c r="M12" s="1628" t="s">
        <v>1471</v>
      </c>
      <c r="N12" s="1629" t="s">
        <v>1471</v>
      </c>
      <c r="O12" s="1628"/>
      <c r="P12" s="1628"/>
      <c r="Q12" s="1629"/>
    </row>
    <row r="13" spans="2:17">
      <c r="B13" s="33"/>
      <c r="H13" s="31"/>
      <c r="I13" s="31"/>
      <c r="J13" s="51"/>
      <c r="K13" s="73"/>
      <c r="L13" s="100"/>
      <c r="M13" s="31"/>
      <c r="N13" s="51"/>
      <c r="O13" s="31"/>
      <c r="P13" s="31"/>
      <c r="Q13" s="51"/>
    </row>
    <row r="14" spans="2:17">
      <c r="B14" s="768" t="str">
        <f>INDEX(SourceDescription,MATCH($C16,SourceNumber,0),1,1)</f>
        <v>Fume Hood Exhaust 1</v>
      </c>
      <c r="J14" s="37"/>
      <c r="K14" s="90"/>
      <c r="L14" s="33"/>
      <c r="M14" s="1643"/>
      <c r="N14" s="37"/>
      <c r="O14" s="1643"/>
      <c r="P14" s="1643"/>
      <c r="Q14" s="37"/>
    </row>
    <row r="15" spans="2:17">
      <c r="B15" s="767" t="str">
        <f>"("&amp;ROUND(INDEX(SourceVolumeFlowRateEnglish,MATCH($C16,SourceNumber,0),1,1),0)&amp;" cfm @ "&amp;ROUND(INDEX(SourceExitVelocityEnglish,MATCH($C16,SourceNumber,0),1,1),0)&amp;" fpm)"</f>
        <v>(1000 cfm @ 2865 fpm)</v>
      </c>
      <c r="J15" s="37"/>
      <c r="K15" s="90"/>
      <c r="L15" s="33"/>
      <c r="M15" s="1643"/>
      <c r="N15" s="37"/>
      <c r="O15" s="1643"/>
      <c r="P15" s="1643"/>
      <c r="Q15" s="37"/>
    </row>
    <row r="16" spans="2:17">
      <c r="B16" s="766">
        <v>101</v>
      </c>
      <c r="C16" s="42" t="str">
        <f t="shared" ref="C16:C30" si="0">INDEX(TPSourceLetter,MATCH($B16,TPRunNumber,0),1,1)</f>
        <v>AA</v>
      </c>
      <c r="D16" s="42" t="str">
        <f t="shared" ref="D16:D30" si="1">INDEX(SourceID,MATCH($C16,SourceNumber,0),1,1)</f>
        <v>EF-1</v>
      </c>
      <c r="E16" s="648">
        <f t="shared" ref="E16:E30" si="2">INDEX(TPSourceHeight,MATCH($B16,TPRunNumber,0),1,1)</f>
        <v>10</v>
      </c>
      <c r="F16" s="649" t="str">
        <f t="shared" ref="F16:F30" si="3">INDEX(TPReceptorID1,MATCH($B16,TPRunNumber,0),1,1)&amp;INDEX(TPReceptorID2,MATCH($B16,TPRunNumber,0),1,1)</f>
        <v>1 - Receptor 1</v>
      </c>
      <c r="G16" s="651">
        <f t="shared" ref="G16:G30" si="4">INDEX(TPMaxCm,MATCH($B16,TPRunNumber,0),1,1)</f>
        <v>0</v>
      </c>
      <c r="H16" s="241">
        <f>'Combustion Criteria'!F55</f>
        <v>0.61111111111111116</v>
      </c>
      <c r="I16" s="655">
        <f>G16*H16</f>
        <v>0</v>
      </c>
      <c r="J16" s="21">
        <f>MIN(MAX(-1.1723E-17*I16^6 + 0.000000000000042795*I16^5 - 0.000000000058345*I16^4 + 0.000000034555*I16^3 - 0.0000056062*I16^2 - 0.0027383*I16 + 1.2441,0.2),1)</f>
        <v>1</v>
      </c>
      <c r="K16" s="1644">
        <f>I16*J16</f>
        <v>0</v>
      </c>
      <c r="L16" s="1645">
        <f>'Combustion Criteria'!$D$17</f>
        <v>1140</v>
      </c>
      <c r="M16" s="1646">
        <f>'Combustion Criteria'!$D$18</f>
        <v>9000</v>
      </c>
      <c r="N16" s="1647">
        <f>'Combustion Criteria'!$E$17</f>
        <v>4472</v>
      </c>
      <c r="O16" s="1622" t="str">
        <f>IF($K16&gt;L16,"No","Yes")</f>
        <v>Yes</v>
      </c>
      <c r="P16" s="1622" t="str">
        <f t="shared" ref="P16:Q16" si="5">IF($K16&gt;M16,"No","Yes")</f>
        <v>Yes</v>
      </c>
      <c r="Q16" s="1623" t="str">
        <f t="shared" si="5"/>
        <v>Yes</v>
      </c>
    </row>
    <row r="17" spans="2:17">
      <c r="B17" s="126">
        <v>102</v>
      </c>
      <c r="C17" s="42" t="str">
        <f t="shared" si="0"/>
        <v>AA</v>
      </c>
      <c r="D17" s="42" t="str">
        <f t="shared" si="1"/>
        <v>EF-1</v>
      </c>
      <c r="E17" s="648">
        <f t="shared" si="2"/>
        <v>10</v>
      </c>
      <c r="F17" s="649" t="str">
        <f t="shared" si="3"/>
        <v>2 - Receptor 2</v>
      </c>
      <c r="G17" s="651">
        <f t="shared" si="4"/>
        <v>0</v>
      </c>
      <c r="H17" s="1296">
        <f>H16</f>
        <v>0.61111111111111116</v>
      </c>
      <c r="I17" s="655">
        <f t="shared" ref="I17:I29" si="6">G17*H17</f>
        <v>0</v>
      </c>
      <c r="J17" s="21">
        <f t="shared" ref="J17:J30" si="7">MIN(MAX(-1.1723E-17*I17^6 + 0.000000000000042795*I17^5 - 0.000000000058345*I17^4 + 0.000000034555*I17^3 - 0.0000056062*I17^2 - 0.0027383*I17 + 1.2441,0.2),1)</f>
        <v>1</v>
      </c>
      <c r="K17" s="1644">
        <f t="shared" ref="K17:K30" si="8">I17*J17</f>
        <v>0</v>
      </c>
      <c r="L17" s="1648">
        <f>L16</f>
        <v>1140</v>
      </c>
      <c r="M17" s="1649">
        <f>M16</f>
        <v>9000</v>
      </c>
      <c r="N17" s="1650">
        <f>N16</f>
        <v>4472</v>
      </c>
      <c r="O17" s="1622" t="str">
        <f t="shared" ref="O17:O30" si="9">IF($K17&gt;L17,"No","Yes")</f>
        <v>Yes</v>
      </c>
      <c r="P17" s="1622" t="str">
        <f t="shared" ref="P17:P30" si="10">IF($K17&gt;M17,"No","Yes")</f>
        <v>Yes</v>
      </c>
      <c r="Q17" s="1623" t="str">
        <f t="shared" ref="Q17:Q30" si="11">IF($K17&gt;N17,"No","Yes")</f>
        <v>Yes</v>
      </c>
    </row>
    <row r="18" spans="2:17">
      <c r="B18" s="126">
        <v>103</v>
      </c>
      <c r="C18" s="42" t="str">
        <f t="shared" si="0"/>
        <v>AA</v>
      </c>
      <c r="D18" s="42" t="str">
        <f t="shared" si="1"/>
        <v>EF-1</v>
      </c>
      <c r="E18" s="648">
        <f t="shared" si="2"/>
        <v>10</v>
      </c>
      <c r="F18" s="649" t="str">
        <f t="shared" si="3"/>
        <v>3 - Receptor 3</v>
      </c>
      <c r="G18" s="651">
        <f t="shared" si="4"/>
        <v>0</v>
      </c>
      <c r="H18" s="1296">
        <f t="shared" ref="H18:H29" si="12">H17</f>
        <v>0.61111111111111116</v>
      </c>
      <c r="I18" s="655">
        <f t="shared" si="6"/>
        <v>0</v>
      </c>
      <c r="J18" s="21">
        <f t="shared" si="7"/>
        <v>1</v>
      </c>
      <c r="K18" s="1644">
        <f t="shared" si="8"/>
        <v>0</v>
      </c>
      <c r="L18" s="1648">
        <f t="shared" ref="L18:L30" si="13">L17</f>
        <v>1140</v>
      </c>
      <c r="M18" s="1649">
        <f t="shared" ref="M18:M30" si="14">M17</f>
        <v>9000</v>
      </c>
      <c r="N18" s="1650">
        <f t="shared" ref="N18:N30" si="15">N17</f>
        <v>4472</v>
      </c>
      <c r="O18" s="1622" t="str">
        <f t="shared" si="9"/>
        <v>Yes</v>
      </c>
      <c r="P18" s="1622" t="str">
        <f t="shared" si="10"/>
        <v>Yes</v>
      </c>
      <c r="Q18" s="1623" t="str">
        <f t="shared" si="11"/>
        <v>Yes</v>
      </c>
    </row>
    <row r="19" spans="2:17">
      <c r="B19" s="126">
        <v>104</v>
      </c>
      <c r="C19" s="42" t="str">
        <f t="shared" si="0"/>
        <v>AA</v>
      </c>
      <c r="D19" s="42" t="str">
        <f t="shared" si="1"/>
        <v>EF-1</v>
      </c>
      <c r="E19" s="648">
        <f t="shared" si="2"/>
        <v>10</v>
      </c>
      <c r="F19" s="649" t="str">
        <f t="shared" si="3"/>
        <v>4 - Receptor 4</v>
      </c>
      <c r="G19" s="651">
        <f t="shared" si="4"/>
        <v>0</v>
      </c>
      <c r="H19" s="1296">
        <f t="shared" si="12"/>
        <v>0.61111111111111116</v>
      </c>
      <c r="I19" s="655">
        <f t="shared" si="6"/>
        <v>0</v>
      </c>
      <c r="J19" s="21">
        <f t="shared" si="7"/>
        <v>1</v>
      </c>
      <c r="K19" s="1644">
        <f t="shared" si="8"/>
        <v>0</v>
      </c>
      <c r="L19" s="1648">
        <f t="shared" si="13"/>
        <v>1140</v>
      </c>
      <c r="M19" s="1649">
        <f t="shared" si="14"/>
        <v>9000</v>
      </c>
      <c r="N19" s="1650">
        <f t="shared" si="15"/>
        <v>4472</v>
      </c>
      <c r="O19" s="1622" t="str">
        <f t="shared" si="9"/>
        <v>Yes</v>
      </c>
      <c r="P19" s="1622" t="str">
        <f t="shared" si="10"/>
        <v>Yes</v>
      </c>
      <c r="Q19" s="1623" t="str">
        <f t="shared" si="11"/>
        <v>Yes</v>
      </c>
    </row>
    <row r="20" spans="2:17">
      <c r="B20" s="126">
        <v>105</v>
      </c>
      <c r="C20" s="42" t="str">
        <f t="shared" si="0"/>
        <v>AA</v>
      </c>
      <c r="D20" s="42" t="str">
        <f t="shared" si="1"/>
        <v>EF-1</v>
      </c>
      <c r="E20" s="648">
        <f t="shared" si="2"/>
        <v>10</v>
      </c>
      <c r="F20" s="649" t="str">
        <f t="shared" si="3"/>
        <v>5 - Receptor 5</v>
      </c>
      <c r="G20" s="651">
        <f t="shared" si="4"/>
        <v>0</v>
      </c>
      <c r="H20" s="1296">
        <f t="shared" si="12"/>
        <v>0.61111111111111116</v>
      </c>
      <c r="I20" s="655">
        <f t="shared" si="6"/>
        <v>0</v>
      </c>
      <c r="J20" s="21">
        <f t="shared" si="7"/>
        <v>1</v>
      </c>
      <c r="K20" s="1644">
        <f t="shared" si="8"/>
        <v>0</v>
      </c>
      <c r="L20" s="1648">
        <f t="shared" si="13"/>
        <v>1140</v>
      </c>
      <c r="M20" s="1649">
        <f t="shared" si="14"/>
        <v>9000</v>
      </c>
      <c r="N20" s="1650">
        <f t="shared" si="15"/>
        <v>4472</v>
      </c>
      <c r="O20" s="1622" t="str">
        <f t="shared" si="9"/>
        <v>Yes</v>
      </c>
      <c r="P20" s="1622" t="str">
        <f t="shared" si="10"/>
        <v>Yes</v>
      </c>
      <c r="Q20" s="1623" t="str">
        <f t="shared" si="11"/>
        <v>Yes</v>
      </c>
    </row>
    <row r="21" spans="2:17">
      <c r="B21" s="126">
        <v>106</v>
      </c>
      <c r="C21" s="42" t="str">
        <f t="shared" si="0"/>
        <v>AA</v>
      </c>
      <c r="D21" s="42" t="str">
        <f t="shared" si="1"/>
        <v>EF-1</v>
      </c>
      <c r="E21" s="648">
        <f t="shared" si="2"/>
        <v>10</v>
      </c>
      <c r="F21" s="649" t="str">
        <f t="shared" si="3"/>
        <v>6 - Receptor 6</v>
      </c>
      <c r="G21" s="651">
        <f t="shared" si="4"/>
        <v>0</v>
      </c>
      <c r="H21" s="1296">
        <f t="shared" si="12"/>
        <v>0.61111111111111116</v>
      </c>
      <c r="I21" s="655">
        <f t="shared" si="6"/>
        <v>0</v>
      </c>
      <c r="J21" s="21">
        <f t="shared" si="7"/>
        <v>1</v>
      </c>
      <c r="K21" s="1644">
        <f t="shared" si="8"/>
        <v>0</v>
      </c>
      <c r="L21" s="1648">
        <f t="shared" si="13"/>
        <v>1140</v>
      </c>
      <c r="M21" s="1649">
        <f t="shared" si="14"/>
        <v>9000</v>
      </c>
      <c r="N21" s="1650">
        <f t="shared" si="15"/>
        <v>4472</v>
      </c>
      <c r="O21" s="1622" t="str">
        <f t="shared" si="9"/>
        <v>Yes</v>
      </c>
      <c r="P21" s="1622" t="str">
        <f t="shared" si="10"/>
        <v>Yes</v>
      </c>
      <c r="Q21" s="1623" t="str">
        <f t="shared" si="11"/>
        <v>Yes</v>
      </c>
    </row>
    <row r="22" spans="2:17">
      <c r="B22" s="126">
        <v>107</v>
      </c>
      <c r="C22" s="42" t="str">
        <f t="shared" si="0"/>
        <v>AA</v>
      </c>
      <c r="D22" s="42" t="str">
        <f t="shared" si="1"/>
        <v>EF-1</v>
      </c>
      <c r="E22" s="648">
        <f t="shared" si="2"/>
        <v>10</v>
      </c>
      <c r="F22" s="649" t="str">
        <f t="shared" si="3"/>
        <v>7 - Receptor 7</v>
      </c>
      <c r="G22" s="651">
        <f t="shared" si="4"/>
        <v>0</v>
      </c>
      <c r="H22" s="1296">
        <f t="shared" si="12"/>
        <v>0.61111111111111116</v>
      </c>
      <c r="I22" s="655">
        <f t="shared" si="6"/>
        <v>0</v>
      </c>
      <c r="J22" s="21">
        <f t="shared" si="7"/>
        <v>1</v>
      </c>
      <c r="K22" s="1644">
        <f t="shared" si="8"/>
        <v>0</v>
      </c>
      <c r="L22" s="1648">
        <f t="shared" si="13"/>
        <v>1140</v>
      </c>
      <c r="M22" s="1649">
        <f t="shared" si="14"/>
        <v>9000</v>
      </c>
      <c r="N22" s="1650">
        <f t="shared" si="15"/>
        <v>4472</v>
      </c>
      <c r="O22" s="1622" t="str">
        <f t="shared" si="9"/>
        <v>Yes</v>
      </c>
      <c r="P22" s="1622" t="str">
        <f t="shared" si="10"/>
        <v>Yes</v>
      </c>
      <c r="Q22" s="1623" t="str">
        <f t="shared" si="11"/>
        <v>Yes</v>
      </c>
    </row>
    <row r="23" spans="2:17">
      <c r="B23" s="126">
        <v>108</v>
      </c>
      <c r="C23" s="42" t="str">
        <f t="shared" si="0"/>
        <v>AA</v>
      </c>
      <c r="D23" s="42" t="str">
        <f t="shared" si="1"/>
        <v>EF-1</v>
      </c>
      <c r="E23" s="648">
        <f t="shared" si="2"/>
        <v>10</v>
      </c>
      <c r="F23" s="649" t="str">
        <f t="shared" si="3"/>
        <v>8 - Receptor 8</v>
      </c>
      <c r="G23" s="651">
        <f t="shared" si="4"/>
        <v>0</v>
      </c>
      <c r="H23" s="1296">
        <f t="shared" si="12"/>
        <v>0.61111111111111116</v>
      </c>
      <c r="I23" s="655">
        <f t="shared" si="6"/>
        <v>0</v>
      </c>
      <c r="J23" s="21">
        <f t="shared" si="7"/>
        <v>1</v>
      </c>
      <c r="K23" s="1644">
        <f t="shared" si="8"/>
        <v>0</v>
      </c>
      <c r="L23" s="1648">
        <f t="shared" si="13"/>
        <v>1140</v>
      </c>
      <c r="M23" s="1649">
        <f t="shared" si="14"/>
        <v>9000</v>
      </c>
      <c r="N23" s="1650">
        <f t="shared" si="15"/>
        <v>4472</v>
      </c>
      <c r="O23" s="1622" t="str">
        <f t="shared" si="9"/>
        <v>Yes</v>
      </c>
      <c r="P23" s="1622" t="str">
        <f t="shared" si="10"/>
        <v>Yes</v>
      </c>
      <c r="Q23" s="1623" t="str">
        <f t="shared" si="11"/>
        <v>Yes</v>
      </c>
    </row>
    <row r="24" spans="2:17">
      <c r="B24" s="126">
        <v>109</v>
      </c>
      <c r="C24" s="42" t="str">
        <f t="shared" si="0"/>
        <v>AA</v>
      </c>
      <c r="D24" s="42" t="str">
        <f t="shared" si="1"/>
        <v>EF-1</v>
      </c>
      <c r="E24" s="648">
        <f t="shared" si="2"/>
        <v>10</v>
      </c>
      <c r="F24" s="649" t="str">
        <f t="shared" si="3"/>
        <v>9 - Receptor 9</v>
      </c>
      <c r="G24" s="651">
        <f t="shared" si="4"/>
        <v>0</v>
      </c>
      <c r="H24" s="1296">
        <f t="shared" si="12"/>
        <v>0.61111111111111116</v>
      </c>
      <c r="I24" s="655">
        <f t="shared" si="6"/>
        <v>0</v>
      </c>
      <c r="J24" s="21">
        <f t="shared" si="7"/>
        <v>1</v>
      </c>
      <c r="K24" s="1644">
        <f t="shared" si="8"/>
        <v>0</v>
      </c>
      <c r="L24" s="1648">
        <f t="shared" si="13"/>
        <v>1140</v>
      </c>
      <c r="M24" s="1649">
        <f t="shared" si="14"/>
        <v>9000</v>
      </c>
      <c r="N24" s="1650">
        <f t="shared" si="15"/>
        <v>4472</v>
      </c>
      <c r="O24" s="1622" t="str">
        <f t="shared" si="9"/>
        <v>Yes</v>
      </c>
      <c r="P24" s="1622" t="str">
        <f t="shared" si="10"/>
        <v>Yes</v>
      </c>
      <c r="Q24" s="1623" t="str">
        <f t="shared" si="11"/>
        <v>Yes</v>
      </c>
    </row>
    <row r="25" spans="2:17">
      <c r="B25" s="126">
        <v>110</v>
      </c>
      <c r="C25" s="42" t="str">
        <f t="shared" si="0"/>
        <v>AA</v>
      </c>
      <c r="D25" s="42" t="str">
        <f t="shared" si="1"/>
        <v>EF-1</v>
      </c>
      <c r="E25" s="648">
        <f t="shared" si="2"/>
        <v>10</v>
      </c>
      <c r="F25" s="649" t="str">
        <f t="shared" si="3"/>
        <v>10 - Receptor 10</v>
      </c>
      <c r="G25" s="651">
        <f t="shared" si="4"/>
        <v>0</v>
      </c>
      <c r="H25" s="1296">
        <f t="shared" si="12"/>
        <v>0.61111111111111116</v>
      </c>
      <c r="I25" s="655">
        <f t="shared" si="6"/>
        <v>0</v>
      </c>
      <c r="J25" s="21">
        <f t="shared" si="7"/>
        <v>1</v>
      </c>
      <c r="K25" s="1644">
        <f t="shared" si="8"/>
        <v>0</v>
      </c>
      <c r="L25" s="1648">
        <f t="shared" si="13"/>
        <v>1140</v>
      </c>
      <c r="M25" s="1649">
        <f t="shared" si="14"/>
        <v>9000</v>
      </c>
      <c r="N25" s="1650">
        <f t="shared" si="15"/>
        <v>4472</v>
      </c>
      <c r="O25" s="1622" t="str">
        <f t="shared" si="9"/>
        <v>Yes</v>
      </c>
      <c r="P25" s="1622" t="str">
        <f t="shared" si="10"/>
        <v>Yes</v>
      </c>
      <c r="Q25" s="1623" t="str">
        <f t="shared" si="11"/>
        <v>Yes</v>
      </c>
    </row>
    <row r="26" spans="2:17">
      <c r="B26" s="126">
        <v>111</v>
      </c>
      <c r="C26" s="42" t="str">
        <f t="shared" si="0"/>
        <v>AA</v>
      </c>
      <c r="D26" s="42" t="str">
        <f t="shared" si="1"/>
        <v>EF-1</v>
      </c>
      <c r="E26" s="648">
        <f t="shared" si="2"/>
        <v>10</v>
      </c>
      <c r="F26" s="649" t="str">
        <f t="shared" si="3"/>
        <v>11 - Receptor 11</v>
      </c>
      <c r="G26" s="651">
        <f t="shared" si="4"/>
        <v>0</v>
      </c>
      <c r="H26" s="1296">
        <f t="shared" si="12"/>
        <v>0.61111111111111116</v>
      </c>
      <c r="I26" s="655">
        <f t="shared" si="6"/>
        <v>0</v>
      </c>
      <c r="J26" s="21">
        <f t="shared" si="7"/>
        <v>1</v>
      </c>
      <c r="K26" s="1644">
        <f t="shared" si="8"/>
        <v>0</v>
      </c>
      <c r="L26" s="1648">
        <f t="shared" si="13"/>
        <v>1140</v>
      </c>
      <c r="M26" s="1649">
        <f t="shared" si="14"/>
        <v>9000</v>
      </c>
      <c r="N26" s="1650">
        <f t="shared" si="15"/>
        <v>4472</v>
      </c>
      <c r="O26" s="1622" t="str">
        <f t="shared" si="9"/>
        <v>Yes</v>
      </c>
      <c r="P26" s="1622" t="str">
        <f t="shared" si="10"/>
        <v>Yes</v>
      </c>
      <c r="Q26" s="1623" t="str">
        <f t="shared" si="11"/>
        <v>Yes</v>
      </c>
    </row>
    <row r="27" spans="2:17">
      <c r="B27" s="126">
        <v>112</v>
      </c>
      <c r="C27" s="42" t="str">
        <f t="shared" si="0"/>
        <v>AA</v>
      </c>
      <c r="D27" s="42" t="str">
        <f t="shared" si="1"/>
        <v>EF-1</v>
      </c>
      <c r="E27" s="648">
        <f t="shared" si="2"/>
        <v>10</v>
      </c>
      <c r="F27" s="649" t="str">
        <f t="shared" si="3"/>
        <v>12 - Receptor 12</v>
      </c>
      <c r="G27" s="651">
        <f t="shared" si="4"/>
        <v>0</v>
      </c>
      <c r="H27" s="1296">
        <f t="shared" si="12"/>
        <v>0.61111111111111116</v>
      </c>
      <c r="I27" s="655">
        <f t="shared" si="6"/>
        <v>0</v>
      </c>
      <c r="J27" s="21">
        <f t="shared" si="7"/>
        <v>1</v>
      </c>
      <c r="K27" s="1644">
        <f t="shared" si="8"/>
        <v>0</v>
      </c>
      <c r="L27" s="1648">
        <f t="shared" si="13"/>
        <v>1140</v>
      </c>
      <c r="M27" s="1649">
        <f t="shared" si="14"/>
        <v>9000</v>
      </c>
      <c r="N27" s="1650">
        <f t="shared" si="15"/>
        <v>4472</v>
      </c>
      <c r="O27" s="1622" t="str">
        <f t="shared" si="9"/>
        <v>Yes</v>
      </c>
      <c r="P27" s="1622" t="str">
        <f t="shared" si="10"/>
        <v>Yes</v>
      </c>
      <c r="Q27" s="1623" t="str">
        <f t="shared" si="11"/>
        <v>Yes</v>
      </c>
    </row>
    <row r="28" spans="2:17">
      <c r="B28" s="126">
        <v>113</v>
      </c>
      <c r="C28" s="42" t="str">
        <f t="shared" si="0"/>
        <v>AA</v>
      </c>
      <c r="D28" s="42" t="str">
        <f t="shared" si="1"/>
        <v>EF-1</v>
      </c>
      <c r="E28" s="648">
        <f t="shared" si="2"/>
        <v>10</v>
      </c>
      <c r="F28" s="649" t="str">
        <f t="shared" si="3"/>
        <v>13 - Receptor 13</v>
      </c>
      <c r="G28" s="651">
        <f t="shared" si="4"/>
        <v>0</v>
      </c>
      <c r="H28" s="1296">
        <f t="shared" si="12"/>
        <v>0.61111111111111116</v>
      </c>
      <c r="I28" s="655">
        <f t="shared" si="6"/>
        <v>0</v>
      </c>
      <c r="J28" s="21">
        <f t="shared" si="7"/>
        <v>1</v>
      </c>
      <c r="K28" s="1644">
        <f t="shared" si="8"/>
        <v>0</v>
      </c>
      <c r="L28" s="1648">
        <f t="shared" si="13"/>
        <v>1140</v>
      </c>
      <c r="M28" s="1649">
        <f t="shared" si="14"/>
        <v>9000</v>
      </c>
      <c r="N28" s="1650">
        <f t="shared" si="15"/>
        <v>4472</v>
      </c>
      <c r="O28" s="1622" t="str">
        <f t="shared" si="9"/>
        <v>Yes</v>
      </c>
      <c r="P28" s="1622" t="str">
        <f t="shared" si="10"/>
        <v>Yes</v>
      </c>
      <c r="Q28" s="1623" t="str">
        <f t="shared" si="11"/>
        <v>Yes</v>
      </c>
    </row>
    <row r="29" spans="2:17">
      <c r="B29" s="126">
        <v>114</v>
      </c>
      <c r="C29" s="42" t="str">
        <f t="shared" si="0"/>
        <v>AA</v>
      </c>
      <c r="D29" s="42" t="str">
        <f t="shared" si="1"/>
        <v>EF-1</v>
      </c>
      <c r="E29" s="648">
        <f t="shared" si="2"/>
        <v>10</v>
      </c>
      <c r="F29" s="649" t="str">
        <f t="shared" si="3"/>
        <v>14 - Receptor 14</v>
      </c>
      <c r="G29" s="651">
        <f t="shared" si="4"/>
        <v>0</v>
      </c>
      <c r="H29" s="1296">
        <f t="shared" si="12"/>
        <v>0.61111111111111116</v>
      </c>
      <c r="I29" s="655">
        <f t="shared" si="6"/>
        <v>0</v>
      </c>
      <c r="J29" s="21">
        <f t="shared" si="7"/>
        <v>1</v>
      </c>
      <c r="K29" s="1644">
        <f t="shared" si="8"/>
        <v>0</v>
      </c>
      <c r="L29" s="1648">
        <f t="shared" si="13"/>
        <v>1140</v>
      </c>
      <c r="M29" s="1649">
        <f t="shared" si="14"/>
        <v>9000</v>
      </c>
      <c r="N29" s="1650">
        <f t="shared" si="15"/>
        <v>4472</v>
      </c>
      <c r="O29" s="1622" t="str">
        <f t="shared" si="9"/>
        <v>Yes</v>
      </c>
      <c r="P29" s="1622" t="str">
        <f t="shared" si="10"/>
        <v>Yes</v>
      </c>
      <c r="Q29" s="1623" t="str">
        <f t="shared" si="11"/>
        <v>Yes</v>
      </c>
    </row>
    <row r="30" spans="2:17">
      <c r="B30" s="126">
        <v>115</v>
      </c>
      <c r="C30" s="42" t="str">
        <f t="shared" si="0"/>
        <v>AA</v>
      </c>
      <c r="D30" s="42" t="str">
        <f t="shared" si="1"/>
        <v>EF-1</v>
      </c>
      <c r="E30" s="648">
        <f t="shared" si="2"/>
        <v>10</v>
      </c>
      <c r="F30" s="649" t="str">
        <f t="shared" si="3"/>
        <v>15 - Receptor 15</v>
      </c>
      <c r="G30" s="651">
        <f t="shared" si="4"/>
        <v>0</v>
      </c>
      <c r="H30" s="1296">
        <f t="shared" ref="H30" si="16">H29</f>
        <v>0.61111111111111116</v>
      </c>
      <c r="I30" s="655">
        <f t="shared" ref="I30" si="17">G30*H30</f>
        <v>0</v>
      </c>
      <c r="J30" s="21">
        <f t="shared" si="7"/>
        <v>1</v>
      </c>
      <c r="K30" s="1644">
        <f t="shared" si="8"/>
        <v>0</v>
      </c>
      <c r="L30" s="1648">
        <f t="shared" si="13"/>
        <v>1140</v>
      </c>
      <c r="M30" s="1649">
        <f t="shared" si="14"/>
        <v>9000</v>
      </c>
      <c r="N30" s="1650">
        <f t="shared" si="15"/>
        <v>4472</v>
      </c>
      <c r="O30" s="1622" t="str">
        <f t="shared" si="9"/>
        <v>Yes</v>
      </c>
      <c r="P30" s="1622" t="str">
        <f t="shared" si="10"/>
        <v>Yes</v>
      </c>
      <c r="Q30" s="1623" t="str">
        <f t="shared" si="11"/>
        <v>Yes</v>
      </c>
    </row>
    <row r="31" spans="2:17">
      <c r="B31" s="126"/>
      <c r="C31" s="42"/>
      <c r="D31" s="42"/>
      <c r="E31" s="648"/>
      <c r="F31" s="649"/>
      <c r="G31" s="651"/>
      <c r="J31" s="37"/>
      <c r="K31" s="90"/>
      <c r="L31" s="33"/>
      <c r="M31" s="1643"/>
      <c r="N31" s="37"/>
      <c r="O31" s="1643"/>
      <c r="P31" s="1643"/>
      <c r="Q31" s="37"/>
    </row>
    <row r="32" spans="2:17">
      <c r="B32" s="768" t="str">
        <f>INDEX(SourceDescription,MATCH($C34,SourceNumber,0),1,1)</f>
        <v>Fume Hood Exhaust 1</v>
      </c>
      <c r="E32" s="648"/>
      <c r="F32" s="649"/>
      <c r="G32" s="651"/>
      <c r="J32" s="37"/>
      <c r="K32" s="90"/>
      <c r="L32" s="33"/>
      <c r="M32" s="1643"/>
      <c r="N32" s="37"/>
      <c r="O32" s="1643"/>
      <c r="P32" s="1643"/>
      <c r="Q32" s="37"/>
    </row>
    <row r="33" spans="2:17">
      <c r="B33" s="767" t="str">
        <f>"("&amp;ROUND(INDEX(SourceVolumeFlowRateEnglish,MATCH($C34,SourceNumber,0),1,1),0)&amp;" cfm @ "&amp;ROUND(INDEX(SourceExitVelocityEnglish,MATCH($C34,SourceNumber,0),1,1),0)&amp;" fpm)"</f>
        <v>(1000 cfm @ 2865 fpm)</v>
      </c>
      <c r="J33" s="37"/>
      <c r="K33" s="90"/>
      <c r="L33" s="33"/>
      <c r="M33" s="1643"/>
      <c r="N33" s="37"/>
      <c r="O33" s="1643"/>
      <c r="P33" s="1643"/>
      <c r="Q33" s="37"/>
    </row>
    <row r="34" spans="2:17">
      <c r="B34" s="766">
        <v>101</v>
      </c>
      <c r="C34" s="42" t="str">
        <f t="shared" ref="C34:C48" si="18">INDEX(TPSourceLetter,MATCH($B34,TPRunNumber,0),1,1)</f>
        <v>AA</v>
      </c>
      <c r="D34" s="42" t="str">
        <f t="shared" ref="D34:D48" si="19">INDEX(SourceID,MATCH($C34,SourceNumber,0),1,1)</f>
        <v>EF-1</v>
      </c>
      <c r="E34" s="648">
        <f t="shared" ref="E34:E48" si="20">INDEX(TPSourceHeight,MATCH($B34,TPRunNumber,0),1,1)</f>
        <v>10</v>
      </c>
      <c r="F34" s="649" t="str">
        <f t="shared" ref="F34:F48" si="21">INDEX(TPReceptorID1,MATCH($B34,TPRunNumber,0),1,1)&amp;INDEX(TPReceptorID2,MATCH($B34,TPRunNumber,0),1,1)</f>
        <v>1 - Receptor 1</v>
      </c>
      <c r="G34" s="651">
        <f t="shared" ref="G34:G48" si="22">INDEX(TPMaxCm,MATCH($B34,TPRunNumber,0),1,1)</f>
        <v>0</v>
      </c>
      <c r="H34" s="241">
        <f>'Combustion Criteria'!G55</f>
        <v>2.2222222222222223</v>
      </c>
      <c r="I34" s="655">
        <f>G34*H34</f>
        <v>0</v>
      </c>
      <c r="J34" s="21">
        <f>MIN(MAX(-1.1723E-17*I34^6 + 0.000000000000042795*I34^5 - 0.000000000058345*I34^4 + 0.000000034555*I34^3 - 0.0000056062*I34^2 - 0.0027383*I34 + 1.2441,0.2),1)</f>
        <v>1</v>
      </c>
      <c r="K34" s="1644">
        <f>I34*J34</f>
        <v>0</v>
      </c>
      <c r="L34" s="1645">
        <f>'Combustion Criteria'!$D$17</f>
        <v>1140</v>
      </c>
      <c r="M34" s="1646">
        <f>'Combustion Criteria'!$D$18</f>
        <v>9000</v>
      </c>
      <c r="N34" s="1647">
        <f>'Combustion Criteria'!$E$17</f>
        <v>4472</v>
      </c>
      <c r="O34" s="1622" t="str">
        <f t="shared" ref="O34:O48" si="23">IF($K34&gt;L34,"No","Yes")</f>
        <v>Yes</v>
      </c>
      <c r="P34" s="1622" t="str">
        <f t="shared" ref="P34:P48" si="24">IF($K34&gt;M34,"No","Yes")</f>
        <v>Yes</v>
      </c>
      <c r="Q34" s="1623" t="str">
        <f t="shared" ref="Q34:Q48" si="25">IF($K34&gt;N34,"No","Yes")</f>
        <v>Yes</v>
      </c>
    </row>
    <row r="35" spans="2:17">
      <c r="B35" s="126">
        <v>102</v>
      </c>
      <c r="C35" s="42" t="str">
        <f t="shared" si="18"/>
        <v>AA</v>
      </c>
      <c r="D35" s="42" t="str">
        <f t="shared" si="19"/>
        <v>EF-1</v>
      </c>
      <c r="E35" s="648">
        <f t="shared" si="20"/>
        <v>10</v>
      </c>
      <c r="F35" s="649" t="str">
        <f t="shared" si="21"/>
        <v>2 - Receptor 2</v>
      </c>
      <c r="G35" s="651">
        <f t="shared" si="22"/>
        <v>0</v>
      </c>
      <c r="H35" s="1296">
        <f>H34</f>
        <v>2.2222222222222223</v>
      </c>
      <c r="I35" s="655">
        <f t="shared" ref="I35:I48" si="26">G35*H35</f>
        <v>0</v>
      </c>
      <c r="J35" s="21">
        <f t="shared" ref="J35:J48" si="27">MIN(MAX(-1.1723E-17*I35^6 + 0.000000000000042795*I35^5 - 0.000000000058345*I35^4 + 0.000000034555*I35^3 - 0.0000056062*I35^2 - 0.0027383*I35 + 1.2441,0.2),1)</f>
        <v>1</v>
      </c>
      <c r="K35" s="1644">
        <f t="shared" ref="K35:K48" si="28">I35*J35</f>
        <v>0</v>
      </c>
      <c r="L35" s="1648">
        <f>L34</f>
        <v>1140</v>
      </c>
      <c r="M35" s="1649">
        <f>M34</f>
        <v>9000</v>
      </c>
      <c r="N35" s="1650">
        <f>N34</f>
        <v>4472</v>
      </c>
      <c r="O35" s="1622" t="str">
        <f t="shared" si="23"/>
        <v>Yes</v>
      </c>
      <c r="P35" s="1622" t="str">
        <f t="shared" si="24"/>
        <v>Yes</v>
      </c>
      <c r="Q35" s="1623" t="str">
        <f t="shared" si="25"/>
        <v>Yes</v>
      </c>
    </row>
    <row r="36" spans="2:17">
      <c r="B36" s="126">
        <v>103</v>
      </c>
      <c r="C36" s="42" t="str">
        <f t="shared" si="18"/>
        <v>AA</v>
      </c>
      <c r="D36" s="42" t="str">
        <f t="shared" si="19"/>
        <v>EF-1</v>
      </c>
      <c r="E36" s="648">
        <f t="shared" si="20"/>
        <v>10</v>
      </c>
      <c r="F36" s="649" t="str">
        <f t="shared" si="21"/>
        <v>3 - Receptor 3</v>
      </c>
      <c r="G36" s="651">
        <f t="shared" si="22"/>
        <v>0</v>
      </c>
      <c r="H36" s="1296">
        <f t="shared" ref="H36:H48" si="29">H35</f>
        <v>2.2222222222222223</v>
      </c>
      <c r="I36" s="655">
        <f t="shared" si="26"/>
        <v>0</v>
      </c>
      <c r="J36" s="21">
        <f t="shared" si="27"/>
        <v>1</v>
      </c>
      <c r="K36" s="1644">
        <f t="shared" si="28"/>
        <v>0</v>
      </c>
      <c r="L36" s="1648">
        <f t="shared" ref="L36:L48" si="30">L35</f>
        <v>1140</v>
      </c>
      <c r="M36" s="1649">
        <f t="shared" ref="M36:M48" si="31">M35</f>
        <v>9000</v>
      </c>
      <c r="N36" s="1650">
        <f t="shared" ref="N36:N48" si="32">N35</f>
        <v>4472</v>
      </c>
      <c r="O36" s="1622" t="str">
        <f t="shared" si="23"/>
        <v>Yes</v>
      </c>
      <c r="P36" s="1622" t="str">
        <f t="shared" si="24"/>
        <v>Yes</v>
      </c>
      <c r="Q36" s="1623" t="str">
        <f t="shared" si="25"/>
        <v>Yes</v>
      </c>
    </row>
    <row r="37" spans="2:17">
      <c r="B37" s="126">
        <v>104</v>
      </c>
      <c r="C37" s="42" t="str">
        <f t="shared" si="18"/>
        <v>AA</v>
      </c>
      <c r="D37" s="42" t="str">
        <f t="shared" si="19"/>
        <v>EF-1</v>
      </c>
      <c r="E37" s="648">
        <f t="shared" si="20"/>
        <v>10</v>
      </c>
      <c r="F37" s="649" t="str">
        <f t="shared" si="21"/>
        <v>4 - Receptor 4</v>
      </c>
      <c r="G37" s="651">
        <f t="shared" si="22"/>
        <v>0</v>
      </c>
      <c r="H37" s="1296">
        <f t="shared" si="29"/>
        <v>2.2222222222222223</v>
      </c>
      <c r="I37" s="655">
        <f t="shared" si="26"/>
        <v>0</v>
      </c>
      <c r="J37" s="21">
        <f t="shared" si="27"/>
        <v>1</v>
      </c>
      <c r="K37" s="1644">
        <f t="shared" si="28"/>
        <v>0</v>
      </c>
      <c r="L37" s="1648">
        <f t="shared" si="30"/>
        <v>1140</v>
      </c>
      <c r="M37" s="1649">
        <f t="shared" si="31"/>
        <v>9000</v>
      </c>
      <c r="N37" s="1650">
        <f t="shared" si="32"/>
        <v>4472</v>
      </c>
      <c r="O37" s="1622" t="str">
        <f t="shared" si="23"/>
        <v>Yes</v>
      </c>
      <c r="P37" s="1622" t="str">
        <f t="shared" si="24"/>
        <v>Yes</v>
      </c>
      <c r="Q37" s="1623" t="str">
        <f t="shared" si="25"/>
        <v>Yes</v>
      </c>
    </row>
    <row r="38" spans="2:17">
      <c r="B38" s="126">
        <v>105</v>
      </c>
      <c r="C38" s="42" t="str">
        <f t="shared" si="18"/>
        <v>AA</v>
      </c>
      <c r="D38" s="42" t="str">
        <f t="shared" si="19"/>
        <v>EF-1</v>
      </c>
      <c r="E38" s="648">
        <f t="shared" si="20"/>
        <v>10</v>
      </c>
      <c r="F38" s="649" t="str">
        <f t="shared" si="21"/>
        <v>5 - Receptor 5</v>
      </c>
      <c r="G38" s="651">
        <f t="shared" si="22"/>
        <v>0</v>
      </c>
      <c r="H38" s="1296">
        <f t="shared" si="29"/>
        <v>2.2222222222222223</v>
      </c>
      <c r="I38" s="655">
        <f t="shared" si="26"/>
        <v>0</v>
      </c>
      <c r="J38" s="21">
        <f t="shared" si="27"/>
        <v>1</v>
      </c>
      <c r="K38" s="1644">
        <f t="shared" si="28"/>
        <v>0</v>
      </c>
      <c r="L38" s="1648">
        <f t="shared" si="30"/>
        <v>1140</v>
      </c>
      <c r="M38" s="1649">
        <f t="shared" si="31"/>
        <v>9000</v>
      </c>
      <c r="N38" s="1650">
        <f t="shared" si="32"/>
        <v>4472</v>
      </c>
      <c r="O38" s="1622" t="str">
        <f t="shared" si="23"/>
        <v>Yes</v>
      </c>
      <c r="P38" s="1622" t="str">
        <f t="shared" si="24"/>
        <v>Yes</v>
      </c>
      <c r="Q38" s="1623" t="str">
        <f t="shared" si="25"/>
        <v>Yes</v>
      </c>
    </row>
    <row r="39" spans="2:17">
      <c r="B39" s="126">
        <v>106</v>
      </c>
      <c r="C39" s="42" t="str">
        <f t="shared" si="18"/>
        <v>AA</v>
      </c>
      <c r="D39" s="42" t="str">
        <f t="shared" si="19"/>
        <v>EF-1</v>
      </c>
      <c r="E39" s="648">
        <f t="shared" si="20"/>
        <v>10</v>
      </c>
      <c r="F39" s="649" t="str">
        <f t="shared" si="21"/>
        <v>6 - Receptor 6</v>
      </c>
      <c r="G39" s="651">
        <f t="shared" si="22"/>
        <v>0</v>
      </c>
      <c r="H39" s="1296">
        <f t="shared" si="29"/>
        <v>2.2222222222222223</v>
      </c>
      <c r="I39" s="655">
        <f t="shared" si="26"/>
        <v>0</v>
      </c>
      <c r="J39" s="21">
        <f t="shared" si="27"/>
        <v>1</v>
      </c>
      <c r="K39" s="1644">
        <f t="shared" si="28"/>
        <v>0</v>
      </c>
      <c r="L39" s="1648">
        <f t="shared" si="30"/>
        <v>1140</v>
      </c>
      <c r="M39" s="1649">
        <f t="shared" si="31"/>
        <v>9000</v>
      </c>
      <c r="N39" s="1650">
        <f t="shared" si="32"/>
        <v>4472</v>
      </c>
      <c r="O39" s="1622" t="str">
        <f t="shared" si="23"/>
        <v>Yes</v>
      </c>
      <c r="P39" s="1622" t="str">
        <f t="shared" si="24"/>
        <v>Yes</v>
      </c>
      <c r="Q39" s="1623" t="str">
        <f t="shared" si="25"/>
        <v>Yes</v>
      </c>
    </row>
    <row r="40" spans="2:17">
      <c r="B40" s="126">
        <v>107</v>
      </c>
      <c r="C40" s="42" t="str">
        <f t="shared" si="18"/>
        <v>AA</v>
      </c>
      <c r="D40" s="42" t="str">
        <f t="shared" si="19"/>
        <v>EF-1</v>
      </c>
      <c r="E40" s="648">
        <f t="shared" si="20"/>
        <v>10</v>
      </c>
      <c r="F40" s="649" t="str">
        <f t="shared" si="21"/>
        <v>7 - Receptor 7</v>
      </c>
      <c r="G40" s="651">
        <f t="shared" si="22"/>
        <v>0</v>
      </c>
      <c r="H40" s="1296">
        <f t="shared" si="29"/>
        <v>2.2222222222222223</v>
      </c>
      <c r="I40" s="655">
        <f t="shared" si="26"/>
        <v>0</v>
      </c>
      <c r="J40" s="21">
        <f t="shared" si="27"/>
        <v>1</v>
      </c>
      <c r="K40" s="1644">
        <f t="shared" si="28"/>
        <v>0</v>
      </c>
      <c r="L40" s="1648">
        <f t="shared" si="30"/>
        <v>1140</v>
      </c>
      <c r="M40" s="1649">
        <f t="shared" si="31"/>
        <v>9000</v>
      </c>
      <c r="N40" s="1650">
        <f t="shared" si="32"/>
        <v>4472</v>
      </c>
      <c r="O40" s="1622" t="str">
        <f t="shared" si="23"/>
        <v>Yes</v>
      </c>
      <c r="P40" s="1622" t="str">
        <f t="shared" si="24"/>
        <v>Yes</v>
      </c>
      <c r="Q40" s="1623" t="str">
        <f t="shared" si="25"/>
        <v>Yes</v>
      </c>
    </row>
    <row r="41" spans="2:17">
      <c r="B41" s="126">
        <v>108</v>
      </c>
      <c r="C41" s="42" t="str">
        <f t="shared" si="18"/>
        <v>AA</v>
      </c>
      <c r="D41" s="42" t="str">
        <f t="shared" si="19"/>
        <v>EF-1</v>
      </c>
      <c r="E41" s="648">
        <f t="shared" si="20"/>
        <v>10</v>
      </c>
      <c r="F41" s="649" t="str">
        <f t="shared" si="21"/>
        <v>8 - Receptor 8</v>
      </c>
      <c r="G41" s="651">
        <f t="shared" si="22"/>
        <v>0</v>
      </c>
      <c r="H41" s="1296">
        <f t="shared" si="29"/>
        <v>2.2222222222222223</v>
      </c>
      <c r="I41" s="655">
        <f t="shared" si="26"/>
        <v>0</v>
      </c>
      <c r="J41" s="21">
        <f t="shared" si="27"/>
        <v>1</v>
      </c>
      <c r="K41" s="1644">
        <f t="shared" si="28"/>
        <v>0</v>
      </c>
      <c r="L41" s="1648">
        <f t="shared" si="30"/>
        <v>1140</v>
      </c>
      <c r="M41" s="1649">
        <f t="shared" si="31"/>
        <v>9000</v>
      </c>
      <c r="N41" s="1650">
        <f t="shared" si="32"/>
        <v>4472</v>
      </c>
      <c r="O41" s="1622" t="str">
        <f t="shared" si="23"/>
        <v>Yes</v>
      </c>
      <c r="P41" s="1622" t="str">
        <f t="shared" si="24"/>
        <v>Yes</v>
      </c>
      <c r="Q41" s="1623" t="str">
        <f t="shared" si="25"/>
        <v>Yes</v>
      </c>
    </row>
    <row r="42" spans="2:17">
      <c r="B42" s="126">
        <v>109</v>
      </c>
      <c r="C42" s="42" t="str">
        <f t="shared" si="18"/>
        <v>AA</v>
      </c>
      <c r="D42" s="42" t="str">
        <f t="shared" si="19"/>
        <v>EF-1</v>
      </c>
      <c r="E42" s="648">
        <f t="shared" si="20"/>
        <v>10</v>
      </c>
      <c r="F42" s="649" t="str">
        <f t="shared" si="21"/>
        <v>9 - Receptor 9</v>
      </c>
      <c r="G42" s="651">
        <f t="shared" si="22"/>
        <v>0</v>
      </c>
      <c r="H42" s="1296">
        <f t="shared" si="29"/>
        <v>2.2222222222222223</v>
      </c>
      <c r="I42" s="655">
        <f t="shared" si="26"/>
        <v>0</v>
      </c>
      <c r="J42" s="21">
        <f t="shared" si="27"/>
        <v>1</v>
      </c>
      <c r="K42" s="1644">
        <f t="shared" si="28"/>
        <v>0</v>
      </c>
      <c r="L42" s="1648">
        <f t="shared" si="30"/>
        <v>1140</v>
      </c>
      <c r="M42" s="1649">
        <f t="shared" si="31"/>
        <v>9000</v>
      </c>
      <c r="N42" s="1650">
        <f t="shared" si="32"/>
        <v>4472</v>
      </c>
      <c r="O42" s="1622" t="str">
        <f t="shared" si="23"/>
        <v>Yes</v>
      </c>
      <c r="P42" s="1622" t="str">
        <f t="shared" si="24"/>
        <v>Yes</v>
      </c>
      <c r="Q42" s="1623" t="str">
        <f t="shared" si="25"/>
        <v>Yes</v>
      </c>
    </row>
    <row r="43" spans="2:17">
      <c r="B43" s="126">
        <v>110</v>
      </c>
      <c r="C43" s="42" t="str">
        <f t="shared" si="18"/>
        <v>AA</v>
      </c>
      <c r="D43" s="42" t="str">
        <f t="shared" si="19"/>
        <v>EF-1</v>
      </c>
      <c r="E43" s="648">
        <f t="shared" si="20"/>
        <v>10</v>
      </c>
      <c r="F43" s="649" t="str">
        <f t="shared" si="21"/>
        <v>10 - Receptor 10</v>
      </c>
      <c r="G43" s="651">
        <f t="shared" si="22"/>
        <v>0</v>
      </c>
      <c r="H43" s="1296">
        <f t="shared" si="29"/>
        <v>2.2222222222222223</v>
      </c>
      <c r="I43" s="655">
        <f t="shared" si="26"/>
        <v>0</v>
      </c>
      <c r="J43" s="21">
        <f t="shared" si="27"/>
        <v>1</v>
      </c>
      <c r="K43" s="1644">
        <f t="shared" si="28"/>
        <v>0</v>
      </c>
      <c r="L43" s="1648">
        <f t="shared" si="30"/>
        <v>1140</v>
      </c>
      <c r="M43" s="1649">
        <f t="shared" si="31"/>
        <v>9000</v>
      </c>
      <c r="N43" s="1650">
        <f t="shared" si="32"/>
        <v>4472</v>
      </c>
      <c r="O43" s="1622" t="str">
        <f t="shared" si="23"/>
        <v>Yes</v>
      </c>
      <c r="P43" s="1622" t="str">
        <f t="shared" si="24"/>
        <v>Yes</v>
      </c>
      <c r="Q43" s="1623" t="str">
        <f t="shared" si="25"/>
        <v>Yes</v>
      </c>
    </row>
    <row r="44" spans="2:17">
      <c r="B44" s="126">
        <v>111</v>
      </c>
      <c r="C44" s="42" t="str">
        <f t="shared" si="18"/>
        <v>AA</v>
      </c>
      <c r="D44" s="42" t="str">
        <f t="shared" si="19"/>
        <v>EF-1</v>
      </c>
      <c r="E44" s="648">
        <f t="shared" si="20"/>
        <v>10</v>
      </c>
      <c r="F44" s="649" t="str">
        <f t="shared" si="21"/>
        <v>11 - Receptor 11</v>
      </c>
      <c r="G44" s="651">
        <f t="shared" si="22"/>
        <v>0</v>
      </c>
      <c r="H44" s="1296">
        <f t="shared" si="29"/>
        <v>2.2222222222222223</v>
      </c>
      <c r="I44" s="655">
        <f t="shared" si="26"/>
        <v>0</v>
      </c>
      <c r="J44" s="21">
        <f t="shared" si="27"/>
        <v>1</v>
      </c>
      <c r="K44" s="1644">
        <f t="shared" si="28"/>
        <v>0</v>
      </c>
      <c r="L44" s="1648">
        <f t="shared" si="30"/>
        <v>1140</v>
      </c>
      <c r="M44" s="1649">
        <f t="shared" si="31"/>
        <v>9000</v>
      </c>
      <c r="N44" s="1650">
        <f t="shared" si="32"/>
        <v>4472</v>
      </c>
      <c r="O44" s="1622" t="str">
        <f t="shared" si="23"/>
        <v>Yes</v>
      </c>
      <c r="P44" s="1622" t="str">
        <f t="shared" si="24"/>
        <v>Yes</v>
      </c>
      <c r="Q44" s="1623" t="str">
        <f t="shared" si="25"/>
        <v>Yes</v>
      </c>
    </row>
    <row r="45" spans="2:17">
      <c r="B45" s="126">
        <v>112</v>
      </c>
      <c r="C45" s="42" t="str">
        <f t="shared" si="18"/>
        <v>AA</v>
      </c>
      <c r="D45" s="42" t="str">
        <f t="shared" si="19"/>
        <v>EF-1</v>
      </c>
      <c r="E45" s="648">
        <f t="shared" si="20"/>
        <v>10</v>
      </c>
      <c r="F45" s="649" t="str">
        <f t="shared" si="21"/>
        <v>12 - Receptor 12</v>
      </c>
      <c r="G45" s="651">
        <f t="shared" si="22"/>
        <v>0</v>
      </c>
      <c r="H45" s="1296">
        <f t="shared" si="29"/>
        <v>2.2222222222222223</v>
      </c>
      <c r="I45" s="655">
        <f t="shared" si="26"/>
        <v>0</v>
      </c>
      <c r="J45" s="21">
        <f t="shared" si="27"/>
        <v>1</v>
      </c>
      <c r="K45" s="1644">
        <f t="shared" si="28"/>
        <v>0</v>
      </c>
      <c r="L45" s="1648">
        <f t="shared" si="30"/>
        <v>1140</v>
      </c>
      <c r="M45" s="1649">
        <f t="shared" si="31"/>
        <v>9000</v>
      </c>
      <c r="N45" s="1650">
        <f t="shared" si="32"/>
        <v>4472</v>
      </c>
      <c r="O45" s="1622" t="str">
        <f t="shared" si="23"/>
        <v>Yes</v>
      </c>
      <c r="P45" s="1622" t="str">
        <f t="shared" si="24"/>
        <v>Yes</v>
      </c>
      <c r="Q45" s="1623" t="str">
        <f t="shared" si="25"/>
        <v>Yes</v>
      </c>
    </row>
    <row r="46" spans="2:17">
      <c r="B46" s="126">
        <v>113</v>
      </c>
      <c r="C46" s="42" t="str">
        <f t="shared" si="18"/>
        <v>AA</v>
      </c>
      <c r="D46" s="42" t="str">
        <f t="shared" si="19"/>
        <v>EF-1</v>
      </c>
      <c r="E46" s="648">
        <f t="shared" si="20"/>
        <v>10</v>
      </c>
      <c r="F46" s="649" t="str">
        <f t="shared" si="21"/>
        <v>13 - Receptor 13</v>
      </c>
      <c r="G46" s="651">
        <f t="shared" si="22"/>
        <v>0</v>
      </c>
      <c r="H46" s="1296">
        <f t="shared" si="29"/>
        <v>2.2222222222222223</v>
      </c>
      <c r="I46" s="655">
        <f t="shared" si="26"/>
        <v>0</v>
      </c>
      <c r="J46" s="21">
        <f t="shared" si="27"/>
        <v>1</v>
      </c>
      <c r="K46" s="1644">
        <f t="shared" si="28"/>
        <v>0</v>
      </c>
      <c r="L46" s="1648">
        <f t="shared" si="30"/>
        <v>1140</v>
      </c>
      <c r="M46" s="1649">
        <f t="shared" si="31"/>
        <v>9000</v>
      </c>
      <c r="N46" s="1650">
        <f t="shared" si="32"/>
        <v>4472</v>
      </c>
      <c r="O46" s="1622" t="str">
        <f t="shared" si="23"/>
        <v>Yes</v>
      </c>
      <c r="P46" s="1622" t="str">
        <f t="shared" si="24"/>
        <v>Yes</v>
      </c>
      <c r="Q46" s="1623" t="str">
        <f t="shared" si="25"/>
        <v>Yes</v>
      </c>
    </row>
    <row r="47" spans="2:17">
      <c r="B47" s="126">
        <v>114</v>
      </c>
      <c r="C47" s="42" t="str">
        <f t="shared" si="18"/>
        <v>AA</v>
      </c>
      <c r="D47" s="42" t="str">
        <f t="shared" si="19"/>
        <v>EF-1</v>
      </c>
      <c r="E47" s="648">
        <f t="shared" si="20"/>
        <v>10</v>
      </c>
      <c r="F47" s="649" t="str">
        <f t="shared" si="21"/>
        <v>14 - Receptor 14</v>
      </c>
      <c r="G47" s="651">
        <f t="shared" si="22"/>
        <v>0</v>
      </c>
      <c r="H47" s="1296">
        <f t="shared" si="29"/>
        <v>2.2222222222222223</v>
      </c>
      <c r="I47" s="655">
        <f t="shared" si="26"/>
        <v>0</v>
      </c>
      <c r="J47" s="21">
        <f t="shared" si="27"/>
        <v>1</v>
      </c>
      <c r="K47" s="1644">
        <f t="shared" si="28"/>
        <v>0</v>
      </c>
      <c r="L47" s="1648">
        <f t="shared" si="30"/>
        <v>1140</v>
      </c>
      <c r="M47" s="1649">
        <f t="shared" si="31"/>
        <v>9000</v>
      </c>
      <c r="N47" s="1650">
        <f t="shared" si="32"/>
        <v>4472</v>
      </c>
      <c r="O47" s="1622" t="str">
        <f t="shared" si="23"/>
        <v>Yes</v>
      </c>
      <c r="P47" s="1622" t="str">
        <f t="shared" si="24"/>
        <v>Yes</v>
      </c>
      <c r="Q47" s="1623" t="str">
        <f t="shared" si="25"/>
        <v>Yes</v>
      </c>
    </row>
    <row r="48" spans="2:17">
      <c r="B48" s="126">
        <v>115</v>
      </c>
      <c r="C48" s="42" t="str">
        <f t="shared" si="18"/>
        <v>AA</v>
      </c>
      <c r="D48" s="42" t="str">
        <f t="shared" si="19"/>
        <v>EF-1</v>
      </c>
      <c r="E48" s="648">
        <f t="shared" si="20"/>
        <v>10</v>
      </c>
      <c r="F48" s="649" t="str">
        <f t="shared" si="21"/>
        <v>15 - Receptor 15</v>
      </c>
      <c r="G48" s="651">
        <f t="shared" si="22"/>
        <v>0</v>
      </c>
      <c r="H48" s="1296">
        <f t="shared" si="29"/>
        <v>2.2222222222222223</v>
      </c>
      <c r="I48" s="655">
        <f t="shared" si="26"/>
        <v>0</v>
      </c>
      <c r="J48" s="21">
        <f t="shared" si="27"/>
        <v>1</v>
      </c>
      <c r="K48" s="1644">
        <f t="shared" si="28"/>
        <v>0</v>
      </c>
      <c r="L48" s="1648">
        <f t="shared" si="30"/>
        <v>1140</v>
      </c>
      <c r="M48" s="1649">
        <f t="shared" si="31"/>
        <v>9000</v>
      </c>
      <c r="N48" s="1650">
        <f t="shared" si="32"/>
        <v>4472</v>
      </c>
      <c r="O48" s="1622" t="str">
        <f t="shared" si="23"/>
        <v>Yes</v>
      </c>
      <c r="P48" s="1622" t="str">
        <f t="shared" si="24"/>
        <v>Yes</v>
      </c>
      <c r="Q48" s="1623" t="str">
        <f t="shared" si="25"/>
        <v>Yes</v>
      </c>
    </row>
    <row r="49" spans="2:17">
      <c r="B49" s="52"/>
      <c r="C49" s="41"/>
      <c r="D49" s="41"/>
      <c r="E49" s="317"/>
      <c r="F49" s="41"/>
      <c r="G49" s="317"/>
      <c r="H49" s="41"/>
      <c r="I49" s="41"/>
      <c r="J49" s="53"/>
      <c r="K49" s="141"/>
      <c r="L49" s="52"/>
      <c r="M49" s="41"/>
      <c r="N49" s="1624"/>
      <c r="O49" s="41"/>
      <c r="P49" s="41"/>
      <c r="Q49" s="1624"/>
    </row>
    <row r="50" spans="2:17">
      <c r="G50" s="655"/>
    </row>
    <row r="51" spans="2:17">
      <c r="B51" t="s">
        <v>214</v>
      </c>
    </row>
    <row r="52" spans="2:17">
      <c r="B52" s="107" t="s">
        <v>216</v>
      </c>
      <c r="D52" s="16" t="str">
        <f>'Test Plan &amp; Results'!G44</f>
        <v>The maximum normalized concentration (C/m) measured in the wind tunnel for the specific source/receptor pair.</v>
      </c>
    </row>
    <row r="53" spans="2:17">
      <c r="B53" s="107" t="s">
        <v>217</v>
      </c>
      <c r="D53" s="940" t="s">
        <v>1473</v>
      </c>
    </row>
    <row r="54" spans="2:17">
      <c r="B54" s="107" t="s">
        <v>218</v>
      </c>
      <c r="D54" s="940" t="s">
        <v>1474</v>
      </c>
    </row>
    <row r="55" spans="2:17" ht="15.75" customHeight="1">
      <c r="B55" s="272" t="s">
        <v>219</v>
      </c>
      <c r="D55" s="940" t="s">
        <v>1475</v>
      </c>
      <c r="E55" s="1089"/>
      <c r="F55" s="1089"/>
      <c r="G55" s="1089"/>
    </row>
    <row r="56" spans="2:17" ht="18.75">
      <c r="B56" s="107" t="s">
        <v>1642</v>
      </c>
      <c r="C56" s="1632"/>
      <c r="D56" s="940" t="s">
        <v>1702</v>
      </c>
      <c r="E56" s="1632"/>
      <c r="F56" s="1632"/>
    </row>
  </sheetData>
  <mergeCells count="2">
    <mergeCell ref="L8:N8"/>
    <mergeCell ref="O8:Q8"/>
  </mergeCells>
  <conditionalFormatting sqref="B16">
    <cfRule type="expression" dxfId="847" priority="4" stopIfTrue="1">
      <formula>XEC16=TRUE</formula>
    </cfRule>
  </conditionalFormatting>
  <conditionalFormatting sqref="B34">
    <cfRule type="expression" dxfId="846" priority="3" stopIfTrue="1">
      <formula>XEC34=TRUE</formula>
    </cfRule>
  </conditionalFormatting>
  <conditionalFormatting sqref="O16:Q30">
    <cfRule type="cellIs" dxfId="845" priority="2" stopIfTrue="1" operator="equal">
      <formula>"No"</formula>
    </cfRule>
  </conditionalFormatting>
  <conditionalFormatting sqref="O34:Q48">
    <cfRule type="cellIs" dxfId="844" priority="1" stopIfTrue="1" operator="equal">
      <formula>"No"</formula>
    </cfRule>
  </conditionalFormatting>
  <pageMargins left="0.75" right="0.75" top="0.75" bottom="0.75" header="0.5" footer="0.5"/>
  <pageSetup scale="52" fitToHeight="0" orientation="landscape" useFirstPageNumber="1" r:id="rId1"/>
  <headerFooter scaleWithDoc="0" alignWithMargins="0">
    <oddFooter>&amp;C&amp;9Page &amp;P of &amp;N</oddFooter>
  </headerFooter>
  <ignoredErrors>
    <ignoredError sqref="J16:J30 J34:J49"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7030A0"/>
  </sheetPr>
  <dimension ref="A1:P10000"/>
  <sheetViews>
    <sheetView zoomScale="75" zoomScaleNormal="75" workbookViewId="0">
      <selection activeCell="H10" sqref="H10"/>
    </sheetView>
  </sheetViews>
  <sheetFormatPr defaultRowHeight="15.75"/>
  <cols>
    <col min="1" max="1" width="24.375" customWidth="1"/>
    <col min="2" max="2" width="5.875" customWidth="1"/>
    <col min="3" max="3" width="19.625" style="13" customWidth="1"/>
    <col min="4" max="4" width="7.375" customWidth="1"/>
    <col min="5" max="5" width="6.25" customWidth="1"/>
    <col min="6" max="6" width="4.875" customWidth="1"/>
    <col min="7" max="7" width="5.5" customWidth="1"/>
    <col min="8" max="8" width="5.375" customWidth="1"/>
    <col min="9" max="9" width="7.375" customWidth="1"/>
    <col min="10" max="10" width="9.5" customWidth="1"/>
    <col min="11" max="11" width="8.375" customWidth="1"/>
    <col min="12" max="12" width="9.875" bestFit="1" customWidth="1"/>
  </cols>
  <sheetData>
    <row r="1" spans="1:16" ht="20.25">
      <c r="D1" s="120" t="str">
        <f>SourceProjectName1</f>
        <v>Project Name 1</v>
      </c>
    </row>
    <row r="2" spans="1:16" ht="20.25">
      <c r="D2" s="120" t="str">
        <f>SourceProjectName2</f>
        <v>Project Name 2</v>
      </c>
    </row>
    <row r="3" spans="1:16" ht="20.25">
      <c r="A3" s="657" t="s">
        <v>22</v>
      </c>
      <c r="B3" s="657"/>
      <c r="D3" s="120" t="str">
        <f>SourceProjectNumber</f>
        <v>Project Number</v>
      </c>
    </row>
    <row r="4" spans="1:16">
      <c r="A4" s="1"/>
      <c r="B4" s="1"/>
      <c r="D4" s="1" t="s">
        <v>29</v>
      </c>
    </row>
    <row r="5" spans="1:16">
      <c r="A5" s="1"/>
      <c r="B5" s="1"/>
      <c r="D5" s="1" t="s">
        <v>27</v>
      </c>
    </row>
    <row r="6" spans="1:16">
      <c r="A6" s="1"/>
      <c r="B6" s="1"/>
      <c r="D6" s="1" t="s">
        <v>28</v>
      </c>
    </row>
    <row r="7" spans="1:16" ht="16.5" thickBot="1">
      <c r="D7" s="661" t="s">
        <v>25</v>
      </c>
      <c r="J7" s="228" t="s">
        <v>24</v>
      </c>
      <c r="L7" s="228" t="s">
        <v>23</v>
      </c>
    </row>
    <row r="8" spans="1:16">
      <c r="C8" s="13" t="s">
        <v>610</v>
      </c>
      <c r="D8" s="398"/>
      <c r="E8" s="399"/>
      <c r="F8" s="399"/>
      <c r="G8" s="399"/>
      <c r="H8" s="399"/>
      <c r="I8" s="399"/>
      <c r="J8" s="399"/>
      <c r="K8" s="400"/>
      <c r="L8" s="401" t="s">
        <v>132</v>
      </c>
      <c r="N8" s="1185" t="s">
        <v>1235</v>
      </c>
      <c r="O8" s="1185"/>
      <c r="P8" s="1185"/>
    </row>
    <row r="9" spans="1:16" ht="16.5" thickBot="1">
      <c r="C9" s="13" t="s">
        <v>525</v>
      </c>
      <c r="D9" s="402" t="s">
        <v>160</v>
      </c>
      <c r="E9" s="13" t="s">
        <v>160</v>
      </c>
      <c r="F9" s="13" t="s">
        <v>588</v>
      </c>
      <c r="G9" s="13"/>
      <c r="H9" s="13"/>
      <c r="I9" s="13" t="s">
        <v>370</v>
      </c>
      <c r="J9" s="13" t="s">
        <v>132</v>
      </c>
      <c r="K9" s="403" t="s">
        <v>589</v>
      </c>
      <c r="L9" s="403" t="s">
        <v>590</v>
      </c>
    </row>
    <row r="10" spans="1:16" ht="16.5" thickBot="1">
      <c r="C10" s="663" t="s">
        <v>26</v>
      </c>
      <c r="D10" s="405" t="s">
        <v>120</v>
      </c>
      <c r="E10" s="405" t="s">
        <v>591</v>
      </c>
      <c r="F10" s="405" t="s">
        <v>226</v>
      </c>
      <c r="G10" s="405" t="s">
        <v>592</v>
      </c>
      <c r="H10" s="405" t="s">
        <v>593</v>
      </c>
      <c r="I10" s="405" t="s">
        <v>164</v>
      </c>
      <c r="J10" s="405" t="s">
        <v>590</v>
      </c>
      <c r="K10" s="406" t="s">
        <v>594</v>
      </c>
      <c r="L10" s="406" t="s">
        <v>595</v>
      </c>
    </row>
    <row r="11" spans="1:16">
      <c r="C11" s="160"/>
      <c r="D11" s="102"/>
      <c r="E11" s="102"/>
      <c r="F11" s="102"/>
      <c r="G11" s="102"/>
      <c r="H11" s="102"/>
      <c r="I11" s="102"/>
      <c r="J11" s="102"/>
      <c r="K11" s="102"/>
      <c r="L11" s="3"/>
    </row>
    <row r="12" spans="1:16">
      <c r="C12" s="160" t="str">
        <f>D12&amp;I12</f>
        <v/>
      </c>
      <c r="D12" s="404"/>
      <c r="E12" s="404"/>
      <c r="F12" s="404"/>
      <c r="G12" s="404"/>
      <c r="H12" s="404"/>
      <c r="I12" s="404"/>
      <c r="J12" s="404"/>
      <c r="K12" s="404"/>
      <c r="L12" s="404" t="e">
        <f t="shared" ref="L12:L75" si="0">IF(C12=C11,NA(),SUMIF(Prob_ProbRunandCrit,C12,Prob_Prob))</f>
        <v>#N/A</v>
      </c>
    </row>
    <row r="13" spans="1:16">
      <c r="C13" s="160" t="str">
        <f t="shared" ref="C13:C76" si="1">D13&amp;I13</f>
        <v/>
      </c>
      <c r="D13" s="404"/>
      <c r="E13" s="404"/>
      <c r="F13" s="404"/>
      <c r="G13" s="404"/>
      <c r="H13" s="404"/>
      <c r="I13" s="404"/>
      <c r="J13" s="404"/>
      <c r="K13" s="404"/>
      <c r="L13" s="404" t="e">
        <f t="shared" si="0"/>
        <v>#N/A</v>
      </c>
    </row>
    <row r="14" spans="1:16">
      <c r="C14" s="160" t="str">
        <f t="shared" si="1"/>
        <v/>
      </c>
      <c r="D14" s="404"/>
      <c r="E14" s="404"/>
      <c r="F14" s="404"/>
      <c r="G14" s="404"/>
      <c r="H14" s="404"/>
      <c r="I14" s="404"/>
      <c r="J14" s="404"/>
      <c r="K14" s="404"/>
      <c r="L14" s="404" t="e">
        <f t="shared" si="0"/>
        <v>#N/A</v>
      </c>
    </row>
    <row r="15" spans="1:16">
      <c r="C15" s="160" t="str">
        <f t="shared" si="1"/>
        <v/>
      </c>
      <c r="D15" s="404"/>
      <c r="E15" s="404"/>
      <c r="F15" s="404"/>
      <c r="G15" s="404"/>
      <c r="H15" s="404"/>
      <c r="I15" s="404"/>
      <c r="J15" s="404"/>
      <c r="K15" s="404"/>
      <c r="L15" s="404" t="e">
        <f t="shared" si="0"/>
        <v>#N/A</v>
      </c>
    </row>
    <row r="16" spans="1:16">
      <c r="C16" s="160" t="str">
        <f t="shared" si="1"/>
        <v/>
      </c>
      <c r="D16" s="404"/>
      <c r="E16" s="404"/>
      <c r="F16" s="404"/>
      <c r="G16" s="404"/>
      <c r="H16" s="404"/>
      <c r="I16" s="404"/>
      <c r="J16" s="404"/>
      <c r="K16" s="404"/>
      <c r="L16" s="404" t="e">
        <f t="shared" si="0"/>
        <v>#N/A</v>
      </c>
    </row>
    <row r="17" spans="3:14">
      <c r="C17" s="160" t="str">
        <f t="shared" si="1"/>
        <v/>
      </c>
      <c r="D17" s="404"/>
      <c r="E17" s="404"/>
      <c r="F17" s="404"/>
      <c r="G17" s="404"/>
      <c r="H17" s="404"/>
      <c r="I17" s="404"/>
      <c r="J17" s="404"/>
      <c r="K17" s="404"/>
      <c r="L17" s="404" t="e">
        <f t="shared" si="0"/>
        <v>#N/A</v>
      </c>
    </row>
    <row r="18" spans="3:14">
      <c r="C18" s="160" t="str">
        <f t="shared" si="1"/>
        <v/>
      </c>
      <c r="D18" s="404"/>
      <c r="E18" s="404"/>
      <c r="F18" s="404"/>
      <c r="G18" s="404"/>
      <c r="H18" s="404"/>
      <c r="I18" s="404"/>
      <c r="J18" s="404"/>
      <c r="K18" s="404"/>
      <c r="L18" s="404" t="e">
        <f t="shared" si="0"/>
        <v>#N/A</v>
      </c>
    </row>
    <row r="19" spans="3:14">
      <c r="C19" s="160" t="str">
        <f t="shared" si="1"/>
        <v/>
      </c>
      <c r="D19" s="404"/>
      <c r="E19" s="404"/>
      <c r="F19" s="404"/>
      <c r="G19" s="404"/>
      <c r="H19" s="404"/>
      <c r="I19" s="404"/>
      <c r="J19" s="404"/>
      <c r="K19" s="404"/>
      <c r="L19" s="404" t="e">
        <f t="shared" si="0"/>
        <v>#N/A</v>
      </c>
    </row>
    <row r="20" spans="3:14">
      <c r="C20" s="160" t="str">
        <f t="shared" si="1"/>
        <v/>
      </c>
      <c r="D20" s="404"/>
      <c r="E20" s="404"/>
      <c r="F20" s="404"/>
      <c r="G20" s="404"/>
      <c r="H20" s="404"/>
      <c r="I20" s="404"/>
      <c r="J20" s="404"/>
      <c r="K20" s="404"/>
      <c r="L20" s="404" t="e">
        <f t="shared" si="0"/>
        <v>#N/A</v>
      </c>
    </row>
    <row r="21" spans="3:14">
      <c r="C21" s="160" t="str">
        <f t="shared" si="1"/>
        <v/>
      </c>
      <c r="D21" s="404"/>
      <c r="E21" s="404"/>
      <c r="F21" s="404"/>
      <c r="G21" s="404"/>
      <c r="H21" s="404"/>
      <c r="I21" s="404"/>
      <c r="J21" s="404"/>
      <c r="K21" s="404"/>
      <c r="L21" s="404" t="e">
        <f t="shared" si="0"/>
        <v>#N/A</v>
      </c>
    </row>
    <row r="22" spans="3:14">
      <c r="C22" s="160" t="str">
        <f t="shared" si="1"/>
        <v/>
      </c>
      <c r="D22" s="404"/>
      <c r="E22" s="404"/>
      <c r="F22" s="404"/>
      <c r="G22" s="404"/>
      <c r="H22" s="404"/>
      <c r="I22" s="404"/>
      <c r="J22" s="404"/>
      <c r="K22" s="404"/>
      <c r="L22" s="404" t="e">
        <f t="shared" si="0"/>
        <v>#N/A</v>
      </c>
    </row>
    <row r="23" spans="3:14">
      <c r="C23" s="160" t="str">
        <f t="shared" si="1"/>
        <v/>
      </c>
      <c r="L23" s="404" t="e">
        <f t="shared" si="0"/>
        <v>#N/A</v>
      </c>
      <c r="N23" s="16"/>
    </row>
    <row r="24" spans="3:14">
      <c r="C24" s="160" t="str">
        <f t="shared" si="1"/>
        <v/>
      </c>
      <c r="L24" s="404" t="e">
        <f t="shared" si="0"/>
        <v>#N/A</v>
      </c>
    </row>
    <row r="25" spans="3:14">
      <c r="C25" s="160" t="str">
        <f t="shared" si="1"/>
        <v/>
      </c>
      <c r="L25" s="404" t="e">
        <f t="shared" si="0"/>
        <v>#N/A</v>
      </c>
    </row>
    <row r="26" spans="3:14">
      <c r="C26" s="160" t="str">
        <f t="shared" si="1"/>
        <v/>
      </c>
      <c r="L26" s="404" t="e">
        <f t="shared" si="0"/>
        <v>#N/A</v>
      </c>
    </row>
    <row r="27" spans="3:14">
      <c r="C27" s="160" t="str">
        <f t="shared" si="1"/>
        <v/>
      </c>
      <c r="L27" s="404" t="e">
        <f t="shared" si="0"/>
        <v>#N/A</v>
      </c>
    </row>
    <row r="28" spans="3:14">
      <c r="C28" s="160" t="str">
        <f t="shared" si="1"/>
        <v/>
      </c>
      <c r="L28" s="404" t="e">
        <f t="shared" si="0"/>
        <v>#N/A</v>
      </c>
    </row>
    <row r="29" spans="3:14">
      <c r="C29" s="160" t="str">
        <f t="shared" si="1"/>
        <v/>
      </c>
      <c r="L29" s="404" t="e">
        <f t="shared" si="0"/>
        <v>#N/A</v>
      </c>
    </row>
    <row r="30" spans="3:14">
      <c r="C30" s="160" t="str">
        <f t="shared" si="1"/>
        <v/>
      </c>
      <c r="L30" s="404" t="e">
        <f t="shared" si="0"/>
        <v>#N/A</v>
      </c>
    </row>
    <row r="31" spans="3:14">
      <c r="C31" s="160" t="str">
        <f t="shared" si="1"/>
        <v/>
      </c>
      <c r="L31" s="404" t="e">
        <f t="shared" si="0"/>
        <v>#N/A</v>
      </c>
    </row>
    <row r="32" spans="3:14">
      <c r="C32" s="160" t="str">
        <f t="shared" si="1"/>
        <v/>
      </c>
      <c r="L32" s="404" t="e">
        <f t="shared" si="0"/>
        <v>#N/A</v>
      </c>
    </row>
    <row r="33" spans="3:12">
      <c r="C33" s="160" t="str">
        <f t="shared" si="1"/>
        <v/>
      </c>
      <c r="L33" s="404" t="e">
        <f t="shared" si="0"/>
        <v>#N/A</v>
      </c>
    </row>
    <row r="34" spans="3:12">
      <c r="C34" s="160" t="str">
        <f t="shared" si="1"/>
        <v/>
      </c>
      <c r="L34" s="404" t="e">
        <f t="shared" si="0"/>
        <v>#N/A</v>
      </c>
    </row>
    <row r="35" spans="3:12">
      <c r="C35" s="160" t="str">
        <f t="shared" si="1"/>
        <v/>
      </c>
      <c r="L35" s="404" t="e">
        <f t="shared" si="0"/>
        <v>#N/A</v>
      </c>
    </row>
    <row r="36" spans="3:12">
      <c r="C36" s="160" t="str">
        <f t="shared" si="1"/>
        <v/>
      </c>
      <c r="L36" s="404" t="e">
        <f t="shared" si="0"/>
        <v>#N/A</v>
      </c>
    </row>
    <row r="37" spans="3:12">
      <c r="C37" s="160" t="str">
        <f t="shared" si="1"/>
        <v/>
      </c>
      <c r="L37" s="404" t="e">
        <f t="shared" si="0"/>
        <v>#N/A</v>
      </c>
    </row>
    <row r="38" spans="3:12">
      <c r="C38" s="160" t="str">
        <f t="shared" si="1"/>
        <v/>
      </c>
      <c r="L38" s="404" t="e">
        <f t="shared" si="0"/>
        <v>#N/A</v>
      </c>
    </row>
    <row r="39" spans="3:12">
      <c r="C39" s="160" t="str">
        <f t="shared" si="1"/>
        <v/>
      </c>
      <c r="L39" s="404" t="e">
        <f t="shared" si="0"/>
        <v>#N/A</v>
      </c>
    </row>
    <row r="40" spans="3:12">
      <c r="C40" s="160" t="str">
        <f t="shared" si="1"/>
        <v/>
      </c>
      <c r="L40" s="404" t="e">
        <f t="shared" si="0"/>
        <v>#N/A</v>
      </c>
    </row>
    <row r="41" spans="3:12">
      <c r="C41" s="160" t="str">
        <f t="shared" si="1"/>
        <v/>
      </c>
      <c r="L41" s="404" t="e">
        <f t="shared" si="0"/>
        <v>#N/A</v>
      </c>
    </row>
    <row r="42" spans="3:12">
      <c r="C42" s="160" t="str">
        <f t="shared" si="1"/>
        <v/>
      </c>
      <c r="L42" s="404" t="e">
        <f t="shared" si="0"/>
        <v>#N/A</v>
      </c>
    </row>
    <row r="43" spans="3:12">
      <c r="C43" s="160" t="str">
        <f t="shared" si="1"/>
        <v/>
      </c>
      <c r="L43" s="404" t="e">
        <f t="shared" si="0"/>
        <v>#N/A</v>
      </c>
    </row>
    <row r="44" spans="3:12">
      <c r="C44" s="160" t="str">
        <f t="shared" si="1"/>
        <v/>
      </c>
      <c r="L44" s="404" t="e">
        <f t="shared" si="0"/>
        <v>#N/A</v>
      </c>
    </row>
    <row r="45" spans="3:12">
      <c r="C45" s="160" t="str">
        <f t="shared" si="1"/>
        <v/>
      </c>
      <c r="L45" s="404" t="e">
        <f t="shared" si="0"/>
        <v>#N/A</v>
      </c>
    </row>
    <row r="46" spans="3:12">
      <c r="C46" s="160" t="str">
        <f t="shared" si="1"/>
        <v/>
      </c>
      <c r="L46" s="404" t="e">
        <f t="shared" si="0"/>
        <v>#N/A</v>
      </c>
    </row>
    <row r="47" spans="3:12">
      <c r="C47" s="160" t="str">
        <f t="shared" si="1"/>
        <v/>
      </c>
      <c r="L47" s="404" t="e">
        <f t="shared" si="0"/>
        <v>#N/A</v>
      </c>
    </row>
    <row r="48" spans="3:12">
      <c r="C48" s="160" t="str">
        <f t="shared" si="1"/>
        <v/>
      </c>
      <c r="L48" s="404" t="e">
        <f t="shared" si="0"/>
        <v>#N/A</v>
      </c>
    </row>
    <row r="49" spans="3:12">
      <c r="C49" s="160" t="str">
        <f t="shared" si="1"/>
        <v/>
      </c>
      <c r="L49" s="404" t="e">
        <f t="shared" si="0"/>
        <v>#N/A</v>
      </c>
    </row>
    <row r="50" spans="3:12">
      <c r="C50" s="160" t="str">
        <f t="shared" si="1"/>
        <v/>
      </c>
      <c r="L50" s="404" t="e">
        <f t="shared" si="0"/>
        <v>#N/A</v>
      </c>
    </row>
    <row r="51" spans="3:12">
      <c r="C51" s="160" t="str">
        <f t="shared" si="1"/>
        <v/>
      </c>
      <c r="L51" s="404" t="e">
        <f t="shared" si="0"/>
        <v>#N/A</v>
      </c>
    </row>
    <row r="52" spans="3:12">
      <c r="C52" s="160" t="str">
        <f t="shared" si="1"/>
        <v/>
      </c>
      <c r="L52" s="404" t="e">
        <f t="shared" si="0"/>
        <v>#N/A</v>
      </c>
    </row>
    <row r="53" spans="3:12">
      <c r="C53" s="160" t="str">
        <f t="shared" si="1"/>
        <v/>
      </c>
      <c r="L53" s="404" t="e">
        <f t="shared" si="0"/>
        <v>#N/A</v>
      </c>
    </row>
    <row r="54" spans="3:12">
      <c r="C54" s="160" t="str">
        <f t="shared" si="1"/>
        <v/>
      </c>
      <c r="L54" s="404" t="e">
        <f t="shared" si="0"/>
        <v>#N/A</v>
      </c>
    </row>
    <row r="55" spans="3:12">
      <c r="C55" s="160" t="str">
        <f t="shared" si="1"/>
        <v/>
      </c>
      <c r="L55" s="404" t="e">
        <f t="shared" si="0"/>
        <v>#N/A</v>
      </c>
    </row>
    <row r="56" spans="3:12">
      <c r="C56" s="160" t="str">
        <f t="shared" si="1"/>
        <v/>
      </c>
      <c r="L56" s="404" t="e">
        <f t="shared" si="0"/>
        <v>#N/A</v>
      </c>
    </row>
    <row r="57" spans="3:12">
      <c r="C57" s="160" t="str">
        <f t="shared" si="1"/>
        <v/>
      </c>
      <c r="L57" s="404" t="e">
        <f t="shared" si="0"/>
        <v>#N/A</v>
      </c>
    </row>
    <row r="58" spans="3:12">
      <c r="C58" s="160" t="str">
        <f t="shared" si="1"/>
        <v/>
      </c>
      <c r="L58" s="404" t="e">
        <f t="shared" si="0"/>
        <v>#N/A</v>
      </c>
    </row>
    <row r="59" spans="3:12">
      <c r="C59" s="160" t="str">
        <f t="shared" si="1"/>
        <v/>
      </c>
      <c r="L59" s="404" t="e">
        <f t="shared" si="0"/>
        <v>#N/A</v>
      </c>
    </row>
    <row r="60" spans="3:12">
      <c r="C60" s="160" t="str">
        <f t="shared" si="1"/>
        <v/>
      </c>
      <c r="L60" s="404" t="e">
        <f t="shared" si="0"/>
        <v>#N/A</v>
      </c>
    </row>
    <row r="61" spans="3:12">
      <c r="C61" s="160" t="str">
        <f t="shared" si="1"/>
        <v/>
      </c>
      <c r="L61" s="404" t="e">
        <f t="shared" si="0"/>
        <v>#N/A</v>
      </c>
    </row>
    <row r="62" spans="3:12">
      <c r="C62" s="160" t="str">
        <f t="shared" si="1"/>
        <v/>
      </c>
      <c r="L62" s="404" t="e">
        <f t="shared" si="0"/>
        <v>#N/A</v>
      </c>
    </row>
    <row r="63" spans="3:12">
      <c r="C63" s="160" t="str">
        <f t="shared" si="1"/>
        <v/>
      </c>
      <c r="L63" s="404" t="e">
        <f t="shared" si="0"/>
        <v>#N/A</v>
      </c>
    </row>
    <row r="64" spans="3:12">
      <c r="C64" s="160" t="str">
        <f t="shared" si="1"/>
        <v/>
      </c>
      <c r="L64" s="404" t="e">
        <f t="shared" si="0"/>
        <v>#N/A</v>
      </c>
    </row>
    <row r="65" spans="3:12">
      <c r="C65" s="160" t="str">
        <f t="shared" si="1"/>
        <v/>
      </c>
      <c r="L65" s="404" t="e">
        <f t="shared" si="0"/>
        <v>#N/A</v>
      </c>
    </row>
    <row r="66" spans="3:12">
      <c r="C66" s="160" t="str">
        <f t="shared" si="1"/>
        <v/>
      </c>
      <c r="L66" s="404" t="e">
        <f t="shared" si="0"/>
        <v>#N/A</v>
      </c>
    </row>
    <row r="67" spans="3:12">
      <c r="C67" s="160" t="str">
        <f t="shared" si="1"/>
        <v/>
      </c>
      <c r="L67" s="404" t="e">
        <f t="shared" si="0"/>
        <v>#N/A</v>
      </c>
    </row>
    <row r="68" spans="3:12">
      <c r="C68" s="160" t="str">
        <f t="shared" si="1"/>
        <v/>
      </c>
      <c r="L68" s="404" t="e">
        <f t="shared" si="0"/>
        <v>#N/A</v>
      </c>
    </row>
    <row r="69" spans="3:12">
      <c r="C69" s="160" t="str">
        <f t="shared" si="1"/>
        <v/>
      </c>
      <c r="L69" s="404" t="e">
        <f t="shared" si="0"/>
        <v>#N/A</v>
      </c>
    </row>
    <row r="70" spans="3:12">
      <c r="C70" s="160" t="str">
        <f t="shared" si="1"/>
        <v/>
      </c>
      <c r="L70" s="404" t="e">
        <f t="shared" si="0"/>
        <v>#N/A</v>
      </c>
    </row>
    <row r="71" spans="3:12">
      <c r="C71" s="160" t="str">
        <f t="shared" si="1"/>
        <v/>
      </c>
      <c r="L71" s="404" t="e">
        <f t="shared" si="0"/>
        <v>#N/A</v>
      </c>
    </row>
    <row r="72" spans="3:12">
      <c r="C72" s="160" t="str">
        <f t="shared" si="1"/>
        <v/>
      </c>
      <c r="L72" s="404" t="e">
        <f t="shared" si="0"/>
        <v>#N/A</v>
      </c>
    </row>
    <row r="73" spans="3:12">
      <c r="C73" s="160" t="str">
        <f t="shared" si="1"/>
        <v/>
      </c>
      <c r="L73" s="404" t="e">
        <f t="shared" si="0"/>
        <v>#N/A</v>
      </c>
    </row>
    <row r="74" spans="3:12">
      <c r="C74" s="160" t="str">
        <f t="shared" si="1"/>
        <v/>
      </c>
      <c r="L74" s="404" t="e">
        <f t="shared" si="0"/>
        <v>#N/A</v>
      </c>
    </row>
    <row r="75" spans="3:12">
      <c r="C75" s="160" t="str">
        <f t="shared" si="1"/>
        <v/>
      </c>
      <c r="L75" s="404" t="e">
        <f t="shared" si="0"/>
        <v>#N/A</v>
      </c>
    </row>
    <row r="76" spans="3:12">
      <c r="C76" s="160" t="str">
        <f t="shared" si="1"/>
        <v/>
      </c>
      <c r="L76" s="404" t="e">
        <f t="shared" ref="L76:L139" si="2">IF(C76=C75,NA(),SUMIF(Prob_ProbRunandCrit,C76,Prob_Prob))</f>
        <v>#N/A</v>
      </c>
    </row>
    <row r="77" spans="3:12">
      <c r="C77" s="160" t="str">
        <f t="shared" ref="C77:C140" si="3">D77&amp;I77</f>
        <v/>
      </c>
      <c r="L77" s="404" t="e">
        <f t="shared" si="2"/>
        <v>#N/A</v>
      </c>
    </row>
    <row r="78" spans="3:12">
      <c r="C78" s="160" t="str">
        <f t="shared" si="3"/>
        <v/>
      </c>
      <c r="L78" s="404" t="e">
        <f t="shared" si="2"/>
        <v>#N/A</v>
      </c>
    </row>
    <row r="79" spans="3:12">
      <c r="C79" s="160" t="str">
        <f t="shared" si="3"/>
        <v/>
      </c>
      <c r="L79" s="404" t="e">
        <f t="shared" si="2"/>
        <v>#N/A</v>
      </c>
    </row>
    <row r="80" spans="3:12">
      <c r="C80" s="160" t="str">
        <f t="shared" si="3"/>
        <v/>
      </c>
      <c r="L80" s="404" t="e">
        <f t="shared" si="2"/>
        <v>#N/A</v>
      </c>
    </row>
    <row r="81" spans="3:12">
      <c r="C81" s="160" t="str">
        <f t="shared" si="3"/>
        <v/>
      </c>
      <c r="L81" s="404" t="e">
        <f t="shared" si="2"/>
        <v>#N/A</v>
      </c>
    </row>
    <row r="82" spans="3:12">
      <c r="C82" s="160" t="str">
        <f t="shared" si="3"/>
        <v/>
      </c>
      <c r="L82" s="404" t="e">
        <f t="shared" si="2"/>
        <v>#N/A</v>
      </c>
    </row>
    <row r="83" spans="3:12">
      <c r="C83" s="160" t="str">
        <f t="shared" si="3"/>
        <v/>
      </c>
      <c r="L83" s="404" t="e">
        <f t="shared" si="2"/>
        <v>#N/A</v>
      </c>
    </row>
    <row r="84" spans="3:12">
      <c r="C84" s="160" t="str">
        <f t="shared" si="3"/>
        <v/>
      </c>
      <c r="L84" s="404" t="e">
        <f t="shared" si="2"/>
        <v>#N/A</v>
      </c>
    </row>
    <row r="85" spans="3:12">
      <c r="C85" s="160" t="str">
        <f t="shared" si="3"/>
        <v/>
      </c>
      <c r="L85" s="404" t="e">
        <f t="shared" si="2"/>
        <v>#N/A</v>
      </c>
    </row>
    <row r="86" spans="3:12">
      <c r="C86" s="160" t="str">
        <f t="shared" si="3"/>
        <v/>
      </c>
      <c r="L86" s="404" t="e">
        <f t="shared" si="2"/>
        <v>#N/A</v>
      </c>
    </row>
    <row r="87" spans="3:12">
      <c r="C87" s="160" t="str">
        <f t="shared" si="3"/>
        <v/>
      </c>
      <c r="L87" s="404" t="e">
        <f t="shared" si="2"/>
        <v>#N/A</v>
      </c>
    </row>
    <row r="88" spans="3:12">
      <c r="C88" s="160" t="str">
        <f t="shared" si="3"/>
        <v/>
      </c>
      <c r="L88" s="404" t="e">
        <f t="shared" si="2"/>
        <v>#N/A</v>
      </c>
    </row>
    <row r="89" spans="3:12">
      <c r="C89" s="160" t="str">
        <f t="shared" si="3"/>
        <v/>
      </c>
      <c r="L89" s="404" t="e">
        <f t="shared" si="2"/>
        <v>#N/A</v>
      </c>
    </row>
    <row r="90" spans="3:12">
      <c r="C90" s="160" t="str">
        <f t="shared" si="3"/>
        <v/>
      </c>
      <c r="L90" s="404" t="e">
        <f t="shared" si="2"/>
        <v>#N/A</v>
      </c>
    </row>
    <row r="91" spans="3:12">
      <c r="C91" s="160" t="str">
        <f t="shared" si="3"/>
        <v/>
      </c>
      <c r="L91" s="404" t="e">
        <f t="shared" si="2"/>
        <v>#N/A</v>
      </c>
    </row>
    <row r="92" spans="3:12">
      <c r="C92" s="160" t="str">
        <f t="shared" si="3"/>
        <v/>
      </c>
      <c r="L92" s="404" t="e">
        <f t="shared" si="2"/>
        <v>#N/A</v>
      </c>
    </row>
    <row r="93" spans="3:12">
      <c r="C93" s="160" t="str">
        <f t="shared" si="3"/>
        <v/>
      </c>
      <c r="L93" s="404" t="e">
        <f t="shared" si="2"/>
        <v>#N/A</v>
      </c>
    </row>
    <row r="94" spans="3:12">
      <c r="C94" s="160" t="str">
        <f t="shared" si="3"/>
        <v/>
      </c>
      <c r="L94" s="404" t="e">
        <f t="shared" si="2"/>
        <v>#N/A</v>
      </c>
    </row>
    <row r="95" spans="3:12">
      <c r="C95" s="160" t="str">
        <f t="shared" si="3"/>
        <v/>
      </c>
      <c r="L95" s="404" t="e">
        <f t="shared" si="2"/>
        <v>#N/A</v>
      </c>
    </row>
    <row r="96" spans="3:12">
      <c r="C96" s="160" t="str">
        <f t="shared" si="3"/>
        <v/>
      </c>
      <c r="L96" s="404" t="e">
        <f t="shared" si="2"/>
        <v>#N/A</v>
      </c>
    </row>
    <row r="97" spans="3:12">
      <c r="C97" s="160" t="str">
        <f t="shared" si="3"/>
        <v/>
      </c>
      <c r="L97" s="404" t="e">
        <f t="shared" si="2"/>
        <v>#N/A</v>
      </c>
    </row>
    <row r="98" spans="3:12">
      <c r="C98" s="160" t="str">
        <f t="shared" si="3"/>
        <v/>
      </c>
      <c r="L98" s="404" t="e">
        <f t="shared" si="2"/>
        <v>#N/A</v>
      </c>
    </row>
    <row r="99" spans="3:12">
      <c r="C99" s="160" t="str">
        <f t="shared" si="3"/>
        <v/>
      </c>
      <c r="L99" s="404" t="e">
        <f t="shared" si="2"/>
        <v>#N/A</v>
      </c>
    </row>
    <row r="100" spans="3:12">
      <c r="C100" s="160" t="str">
        <f t="shared" si="3"/>
        <v/>
      </c>
      <c r="L100" s="404" t="e">
        <f t="shared" si="2"/>
        <v>#N/A</v>
      </c>
    </row>
    <row r="101" spans="3:12">
      <c r="C101" s="160" t="str">
        <f t="shared" si="3"/>
        <v/>
      </c>
      <c r="L101" s="404" t="e">
        <f t="shared" si="2"/>
        <v>#N/A</v>
      </c>
    </row>
    <row r="102" spans="3:12">
      <c r="C102" s="160" t="str">
        <f t="shared" si="3"/>
        <v/>
      </c>
      <c r="L102" s="404" t="e">
        <f t="shared" si="2"/>
        <v>#N/A</v>
      </c>
    </row>
    <row r="103" spans="3:12">
      <c r="C103" s="160" t="str">
        <f t="shared" si="3"/>
        <v/>
      </c>
      <c r="L103" s="404" t="e">
        <f t="shared" si="2"/>
        <v>#N/A</v>
      </c>
    </row>
    <row r="104" spans="3:12">
      <c r="C104" s="160" t="str">
        <f t="shared" si="3"/>
        <v/>
      </c>
      <c r="L104" s="404" t="e">
        <f t="shared" si="2"/>
        <v>#N/A</v>
      </c>
    </row>
    <row r="105" spans="3:12">
      <c r="C105" s="160" t="str">
        <f t="shared" si="3"/>
        <v/>
      </c>
      <c r="L105" s="404" t="e">
        <f t="shared" si="2"/>
        <v>#N/A</v>
      </c>
    </row>
    <row r="106" spans="3:12">
      <c r="C106" s="160" t="str">
        <f t="shared" si="3"/>
        <v/>
      </c>
      <c r="L106" s="404" t="e">
        <f t="shared" si="2"/>
        <v>#N/A</v>
      </c>
    </row>
    <row r="107" spans="3:12">
      <c r="C107" s="160" t="str">
        <f t="shared" si="3"/>
        <v/>
      </c>
      <c r="L107" s="404" t="e">
        <f t="shared" si="2"/>
        <v>#N/A</v>
      </c>
    </row>
    <row r="108" spans="3:12">
      <c r="C108" s="160" t="str">
        <f t="shared" si="3"/>
        <v/>
      </c>
      <c r="L108" s="404" t="e">
        <f t="shared" si="2"/>
        <v>#N/A</v>
      </c>
    </row>
    <row r="109" spans="3:12">
      <c r="C109" s="160" t="str">
        <f t="shared" si="3"/>
        <v/>
      </c>
      <c r="L109" s="404" t="e">
        <f t="shared" si="2"/>
        <v>#N/A</v>
      </c>
    </row>
    <row r="110" spans="3:12">
      <c r="C110" s="160" t="str">
        <f t="shared" si="3"/>
        <v/>
      </c>
      <c r="L110" s="404" t="e">
        <f t="shared" si="2"/>
        <v>#N/A</v>
      </c>
    </row>
    <row r="111" spans="3:12">
      <c r="C111" s="160" t="str">
        <f t="shared" si="3"/>
        <v/>
      </c>
      <c r="L111" s="404" t="e">
        <f t="shared" si="2"/>
        <v>#N/A</v>
      </c>
    </row>
    <row r="112" spans="3:12">
      <c r="C112" s="160" t="str">
        <f t="shared" si="3"/>
        <v/>
      </c>
      <c r="L112" s="404" t="e">
        <f t="shared" si="2"/>
        <v>#N/A</v>
      </c>
    </row>
    <row r="113" spans="3:12">
      <c r="C113" s="160" t="str">
        <f t="shared" si="3"/>
        <v/>
      </c>
      <c r="L113" s="404" t="e">
        <f t="shared" si="2"/>
        <v>#N/A</v>
      </c>
    </row>
    <row r="114" spans="3:12">
      <c r="C114" s="160" t="str">
        <f t="shared" si="3"/>
        <v/>
      </c>
      <c r="L114" s="404" t="e">
        <f t="shared" si="2"/>
        <v>#N/A</v>
      </c>
    </row>
    <row r="115" spans="3:12">
      <c r="C115" s="160" t="str">
        <f t="shared" si="3"/>
        <v/>
      </c>
      <c r="L115" s="404" t="e">
        <f t="shared" si="2"/>
        <v>#N/A</v>
      </c>
    </row>
    <row r="116" spans="3:12">
      <c r="C116" s="160" t="str">
        <f t="shared" si="3"/>
        <v/>
      </c>
      <c r="L116" s="404" t="e">
        <f t="shared" si="2"/>
        <v>#N/A</v>
      </c>
    </row>
    <row r="117" spans="3:12">
      <c r="C117" s="160" t="str">
        <f t="shared" si="3"/>
        <v/>
      </c>
      <c r="L117" s="404" t="e">
        <f t="shared" si="2"/>
        <v>#N/A</v>
      </c>
    </row>
    <row r="118" spans="3:12">
      <c r="C118" s="160" t="str">
        <f t="shared" si="3"/>
        <v/>
      </c>
      <c r="L118" s="404" t="e">
        <f t="shared" si="2"/>
        <v>#N/A</v>
      </c>
    </row>
    <row r="119" spans="3:12">
      <c r="C119" s="160" t="str">
        <f t="shared" si="3"/>
        <v/>
      </c>
      <c r="L119" s="404" t="e">
        <f t="shared" si="2"/>
        <v>#N/A</v>
      </c>
    </row>
    <row r="120" spans="3:12">
      <c r="C120" s="160" t="str">
        <f t="shared" si="3"/>
        <v/>
      </c>
      <c r="L120" s="404" t="e">
        <f t="shared" si="2"/>
        <v>#N/A</v>
      </c>
    </row>
    <row r="121" spans="3:12">
      <c r="C121" s="160" t="str">
        <f t="shared" si="3"/>
        <v/>
      </c>
      <c r="L121" s="404" t="e">
        <f t="shared" si="2"/>
        <v>#N/A</v>
      </c>
    </row>
    <row r="122" spans="3:12">
      <c r="C122" s="160" t="str">
        <f t="shared" si="3"/>
        <v/>
      </c>
      <c r="L122" s="404" t="e">
        <f t="shared" si="2"/>
        <v>#N/A</v>
      </c>
    </row>
    <row r="123" spans="3:12">
      <c r="C123" s="160" t="str">
        <f t="shared" si="3"/>
        <v/>
      </c>
      <c r="L123" s="404" t="e">
        <f t="shared" si="2"/>
        <v>#N/A</v>
      </c>
    </row>
    <row r="124" spans="3:12">
      <c r="C124" s="160" t="str">
        <f t="shared" si="3"/>
        <v/>
      </c>
      <c r="L124" s="404" t="e">
        <f t="shared" si="2"/>
        <v>#N/A</v>
      </c>
    </row>
    <row r="125" spans="3:12">
      <c r="C125" s="160" t="str">
        <f t="shared" si="3"/>
        <v/>
      </c>
      <c r="L125" s="404" t="e">
        <f t="shared" si="2"/>
        <v>#N/A</v>
      </c>
    </row>
    <row r="126" spans="3:12">
      <c r="C126" s="160" t="str">
        <f t="shared" si="3"/>
        <v/>
      </c>
      <c r="L126" s="404" t="e">
        <f t="shared" si="2"/>
        <v>#N/A</v>
      </c>
    </row>
    <row r="127" spans="3:12">
      <c r="C127" s="160" t="str">
        <f t="shared" si="3"/>
        <v/>
      </c>
      <c r="L127" s="404" t="e">
        <f t="shared" si="2"/>
        <v>#N/A</v>
      </c>
    </row>
    <row r="128" spans="3:12">
      <c r="C128" s="160" t="str">
        <f t="shared" si="3"/>
        <v/>
      </c>
      <c r="L128" s="404" t="e">
        <f t="shared" si="2"/>
        <v>#N/A</v>
      </c>
    </row>
    <row r="129" spans="3:12">
      <c r="C129" s="160" t="str">
        <f t="shared" si="3"/>
        <v/>
      </c>
      <c r="L129" s="404" t="e">
        <f t="shared" si="2"/>
        <v>#N/A</v>
      </c>
    </row>
    <row r="130" spans="3:12">
      <c r="C130" s="160" t="str">
        <f t="shared" si="3"/>
        <v/>
      </c>
      <c r="L130" s="404" t="e">
        <f t="shared" si="2"/>
        <v>#N/A</v>
      </c>
    </row>
    <row r="131" spans="3:12">
      <c r="C131" s="160" t="str">
        <f t="shared" si="3"/>
        <v/>
      </c>
      <c r="L131" s="404" t="e">
        <f t="shared" si="2"/>
        <v>#N/A</v>
      </c>
    </row>
    <row r="132" spans="3:12">
      <c r="C132" s="160" t="str">
        <f t="shared" si="3"/>
        <v/>
      </c>
      <c r="L132" s="404" t="e">
        <f t="shared" si="2"/>
        <v>#N/A</v>
      </c>
    </row>
    <row r="133" spans="3:12">
      <c r="C133" s="160" t="str">
        <f t="shared" si="3"/>
        <v/>
      </c>
      <c r="L133" s="404" t="e">
        <f t="shared" si="2"/>
        <v>#N/A</v>
      </c>
    </row>
    <row r="134" spans="3:12">
      <c r="C134" s="160" t="str">
        <f t="shared" si="3"/>
        <v/>
      </c>
      <c r="L134" s="404" t="e">
        <f t="shared" si="2"/>
        <v>#N/A</v>
      </c>
    </row>
    <row r="135" spans="3:12">
      <c r="C135" s="160" t="str">
        <f t="shared" si="3"/>
        <v/>
      </c>
      <c r="L135" s="404" t="e">
        <f t="shared" si="2"/>
        <v>#N/A</v>
      </c>
    </row>
    <row r="136" spans="3:12">
      <c r="C136" s="160" t="str">
        <f t="shared" si="3"/>
        <v/>
      </c>
      <c r="L136" s="404" t="e">
        <f t="shared" si="2"/>
        <v>#N/A</v>
      </c>
    </row>
    <row r="137" spans="3:12">
      <c r="C137" s="160" t="str">
        <f t="shared" si="3"/>
        <v/>
      </c>
      <c r="L137" s="404" t="e">
        <f t="shared" si="2"/>
        <v>#N/A</v>
      </c>
    </row>
    <row r="138" spans="3:12">
      <c r="C138" s="160" t="str">
        <f t="shared" si="3"/>
        <v/>
      </c>
      <c r="L138" s="404" t="e">
        <f t="shared" si="2"/>
        <v>#N/A</v>
      </c>
    </row>
    <row r="139" spans="3:12">
      <c r="C139" s="160" t="str">
        <f t="shared" si="3"/>
        <v/>
      </c>
      <c r="L139" s="404" t="e">
        <f t="shared" si="2"/>
        <v>#N/A</v>
      </c>
    </row>
    <row r="140" spans="3:12">
      <c r="C140" s="160" t="str">
        <f t="shared" si="3"/>
        <v/>
      </c>
      <c r="L140" s="404" t="e">
        <f t="shared" ref="L140:L203" si="4">IF(C140=C139,NA(),SUMIF(Prob_ProbRunandCrit,C140,Prob_Prob))</f>
        <v>#N/A</v>
      </c>
    </row>
    <row r="141" spans="3:12">
      <c r="C141" s="160" t="str">
        <f t="shared" ref="C141:C204" si="5">D141&amp;I141</f>
        <v/>
      </c>
      <c r="L141" s="404" t="e">
        <f t="shared" si="4"/>
        <v>#N/A</v>
      </c>
    </row>
    <row r="142" spans="3:12">
      <c r="C142" s="160" t="str">
        <f t="shared" si="5"/>
        <v/>
      </c>
      <c r="L142" s="404" t="e">
        <f t="shared" si="4"/>
        <v>#N/A</v>
      </c>
    </row>
    <row r="143" spans="3:12">
      <c r="C143" s="160" t="str">
        <f t="shared" si="5"/>
        <v/>
      </c>
      <c r="L143" s="404" t="e">
        <f t="shared" si="4"/>
        <v>#N/A</v>
      </c>
    </row>
    <row r="144" spans="3:12">
      <c r="C144" s="160" t="str">
        <f t="shared" si="5"/>
        <v/>
      </c>
      <c r="L144" s="404" t="e">
        <f t="shared" si="4"/>
        <v>#N/A</v>
      </c>
    </row>
    <row r="145" spans="3:12">
      <c r="C145" s="160" t="str">
        <f t="shared" si="5"/>
        <v/>
      </c>
      <c r="L145" s="404" t="e">
        <f t="shared" si="4"/>
        <v>#N/A</v>
      </c>
    </row>
    <row r="146" spans="3:12">
      <c r="C146" s="160" t="str">
        <f t="shared" si="5"/>
        <v/>
      </c>
      <c r="L146" s="404" t="e">
        <f t="shared" si="4"/>
        <v>#N/A</v>
      </c>
    </row>
    <row r="147" spans="3:12">
      <c r="C147" s="160" t="str">
        <f t="shared" si="5"/>
        <v/>
      </c>
      <c r="L147" s="404" t="e">
        <f t="shared" si="4"/>
        <v>#N/A</v>
      </c>
    </row>
    <row r="148" spans="3:12">
      <c r="C148" s="160" t="str">
        <f t="shared" si="5"/>
        <v/>
      </c>
      <c r="L148" s="404" t="e">
        <f t="shared" si="4"/>
        <v>#N/A</v>
      </c>
    </row>
    <row r="149" spans="3:12">
      <c r="C149" s="160" t="str">
        <f t="shared" si="5"/>
        <v/>
      </c>
      <c r="L149" s="404" t="e">
        <f t="shared" si="4"/>
        <v>#N/A</v>
      </c>
    </row>
    <row r="150" spans="3:12">
      <c r="C150" s="160" t="str">
        <f t="shared" si="5"/>
        <v/>
      </c>
      <c r="L150" s="404" t="e">
        <f t="shared" si="4"/>
        <v>#N/A</v>
      </c>
    </row>
    <row r="151" spans="3:12">
      <c r="C151" s="160" t="str">
        <f t="shared" si="5"/>
        <v/>
      </c>
      <c r="L151" s="404" t="e">
        <f t="shared" si="4"/>
        <v>#N/A</v>
      </c>
    </row>
    <row r="152" spans="3:12">
      <c r="C152" s="160" t="str">
        <f t="shared" si="5"/>
        <v/>
      </c>
      <c r="L152" s="404" t="e">
        <f t="shared" si="4"/>
        <v>#N/A</v>
      </c>
    </row>
    <row r="153" spans="3:12">
      <c r="C153" s="160" t="str">
        <f t="shared" si="5"/>
        <v/>
      </c>
      <c r="L153" s="404" t="e">
        <f t="shared" si="4"/>
        <v>#N/A</v>
      </c>
    </row>
    <row r="154" spans="3:12">
      <c r="C154" s="160" t="str">
        <f t="shared" si="5"/>
        <v/>
      </c>
      <c r="L154" s="404" t="e">
        <f t="shared" si="4"/>
        <v>#N/A</v>
      </c>
    </row>
    <row r="155" spans="3:12">
      <c r="C155" s="160" t="str">
        <f t="shared" si="5"/>
        <v/>
      </c>
      <c r="L155" s="404" t="e">
        <f t="shared" si="4"/>
        <v>#N/A</v>
      </c>
    </row>
    <row r="156" spans="3:12">
      <c r="C156" s="160" t="str">
        <f t="shared" si="5"/>
        <v/>
      </c>
      <c r="L156" s="404" t="e">
        <f t="shared" si="4"/>
        <v>#N/A</v>
      </c>
    </row>
    <row r="157" spans="3:12">
      <c r="C157" s="160" t="str">
        <f t="shared" si="5"/>
        <v/>
      </c>
      <c r="L157" s="404" t="e">
        <f t="shared" si="4"/>
        <v>#N/A</v>
      </c>
    </row>
    <row r="158" spans="3:12">
      <c r="C158" s="160" t="str">
        <f t="shared" si="5"/>
        <v/>
      </c>
      <c r="L158" s="404" t="e">
        <f t="shared" si="4"/>
        <v>#N/A</v>
      </c>
    </row>
    <row r="159" spans="3:12">
      <c r="C159" s="160" t="str">
        <f t="shared" si="5"/>
        <v/>
      </c>
      <c r="L159" s="404" t="e">
        <f t="shared" si="4"/>
        <v>#N/A</v>
      </c>
    </row>
    <row r="160" spans="3:12">
      <c r="C160" s="160" t="str">
        <f t="shared" si="5"/>
        <v/>
      </c>
      <c r="L160" s="404" t="e">
        <f t="shared" si="4"/>
        <v>#N/A</v>
      </c>
    </row>
    <row r="161" spans="3:12">
      <c r="C161" s="160" t="str">
        <f t="shared" si="5"/>
        <v/>
      </c>
      <c r="L161" s="404" t="e">
        <f t="shared" si="4"/>
        <v>#N/A</v>
      </c>
    </row>
    <row r="162" spans="3:12">
      <c r="C162" s="160" t="str">
        <f t="shared" si="5"/>
        <v/>
      </c>
      <c r="L162" s="404" t="e">
        <f t="shared" si="4"/>
        <v>#N/A</v>
      </c>
    </row>
    <row r="163" spans="3:12">
      <c r="C163" s="160" t="str">
        <f t="shared" si="5"/>
        <v/>
      </c>
      <c r="L163" s="404" t="e">
        <f t="shared" si="4"/>
        <v>#N/A</v>
      </c>
    </row>
    <row r="164" spans="3:12">
      <c r="C164" s="160" t="str">
        <f t="shared" si="5"/>
        <v/>
      </c>
      <c r="L164" s="404" t="e">
        <f t="shared" si="4"/>
        <v>#N/A</v>
      </c>
    </row>
    <row r="165" spans="3:12">
      <c r="C165" s="160" t="str">
        <f t="shared" si="5"/>
        <v/>
      </c>
      <c r="L165" s="404" t="e">
        <f t="shared" si="4"/>
        <v>#N/A</v>
      </c>
    </row>
    <row r="166" spans="3:12">
      <c r="C166" s="160" t="str">
        <f t="shared" si="5"/>
        <v/>
      </c>
      <c r="L166" s="404" t="e">
        <f t="shared" si="4"/>
        <v>#N/A</v>
      </c>
    </row>
    <row r="167" spans="3:12">
      <c r="C167" s="160" t="str">
        <f t="shared" si="5"/>
        <v/>
      </c>
      <c r="L167" s="404" t="e">
        <f t="shared" si="4"/>
        <v>#N/A</v>
      </c>
    </row>
    <row r="168" spans="3:12">
      <c r="C168" s="160" t="str">
        <f t="shared" si="5"/>
        <v/>
      </c>
      <c r="L168" s="404" t="e">
        <f t="shared" si="4"/>
        <v>#N/A</v>
      </c>
    </row>
    <row r="169" spans="3:12">
      <c r="C169" s="160" t="str">
        <f t="shared" si="5"/>
        <v/>
      </c>
      <c r="L169" s="404" t="e">
        <f t="shared" si="4"/>
        <v>#N/A</v>
      </c>
    </row>
    <row r="170" spans="3:12">
      <c r="C170" s="160" t="str">
        <f t="shared" si="5"/>
        <v/>
      </c>
      <c r="L170" s="404" t="e">
        <f t="shared" si="4"/>
        <v>#N/A</v>
      </c>
    </row>
    <row r="171" spans="3:12">
      <c r="C171" s="160" t="str">
        <f t="shared" si="5"/>
        <v/>
      </c>
      <c r="L171" s="404" t="e">
        <f t="shared" si="4"/>
        <v>#N/A</v>
      </c>
    </row>
    <row r="172" spans="3:12">
      <c r="C172" s="160" t="str">
        <f t="shared" si="5"/>
        <v/>
      </c>
      <c r="L172" s="404" t="e">
        <f t="shared" si="4"/>
        <v>#N/A</v>
      </c>
    </row>
    <row r="173" spans="3:12">
      <c r="C173" s="160" t="str">
        <f t="shared" si="5"/>
        <v/>
      </c>
      <c r="L173" s="404" t="e">
        <f t="shared" si="4"/>
        <v>#N/A</v>
      </c>
    </row>
    <row r="174" spans="3:12">
      <c r="C174" s="160" t="str">
        <f t="shared" si="5"/>
        <v/>
      </c>
      <c r="L174" s="404" t="e">
        <f t="shared" si="4"/>
        <v>#N/A</v>
      </c>
    </row>
    <row r="175" spans="3:12">
      <c r="C175" s="160" t="str">
        <f t="shared" si="5"/>
        <v/>
      </c>
      <c r="L175" s="404" t="e">
        <f t="shared" si="4"/>
        <v>#N/A</v>
      </c>
    </row>
    <row r="176" spans="3:12">
      <c r="C176" s="160" t="str">
        <f t="shared" si="5"/>
        <v/>
      </c>
      <c r="L176" s="404" t="e">
        <f t="shared" si="4"/>
        <v>#N/A</v>
      </c>
    </row>
    <row r="177" spans="3:12">
      <c r="C177" s="160" t="str">
        <f t="shared" si="5"/>
        <v/>
      </c>
      <c r="L177" s="404" t="e">
        <f t="shared" si="4"/>
        <v>#N/A</v>
      </c>
    </row>
    <row r="178" spans="3:12">
      <c r="C178" s="160" t="str">
        <f t="shared" si="5"/>
        <v/>
      </c>
      <c r="L178" s="404" t="e">
        <f t="shared" si="4"/>
        <v>#N/A</v>
      </c>
    </row>
    <row r="179" spans="3:12">
      <c r="C179" s="160" t="str">
        <f t="shared" si="5"/>
        <v/>
      </c>
      <c r="L179" s="404" t="e">
        <f t="shared" si="4"/>
        <v>#N/A</v>
      </c>
    </row>
    <row r="180" spans="3:12">
      <c r="C180" s="160" t="str">
        <f t="shared" si="5"/>
        <v/>
      </c>
      <c r="L180" s="404" t="e">
        <f t="shared" si="4"/>
        <v>#N/A</v>
      </c>
    </row>
    <row r="181" spans="3:12">
      <c r="C181" s="160" t="str">
        <f t="shared" si="5"/>
        <v/>
      </c>
      <c r="L181" s="404" t="e">
        <f t="shared" si="4"/>
        <v>#N/A</v>
      </c>
    </row>
    <row r="182" spans="3:12">
      <c r="C182" s="160" t="str">
        <f t="shared" si="5"/>
        <v/>
      </c>
      <c r="L182" s="404" t="e">
        <f t="shared" si="4"/>
        <v>#N/A</v>
      </c>
    </row>
    <row r="183" spans="3:12">
      <c r="C183" s="160" t="str">
        <f t="shared" si="5"/>
        <v/>
      </c>
      <c r="L183" s="404" t="e">
        <f t="shared" si="4"/>
        <v>#N/A</v>
      </c>
    </row>
    <row r="184" spans="3:12">
      <c r="C184" s="160" t="str">
        <f t="shared" si="5"/>
        <v/>
      </c>
      <c r="L184" s="404" t="e">
        <f t="shared" si="4"/>
        <v>#N/A</v>
      </c>
    </row>
    <row r="185" spans="3:12">
      <c r="C185" s="160" t="str">
        <f t="shared" si="5"/>
        <v/>
      </c>
      <c r="L185" s="404" t="e">
        <f t="shared" si="4"/>
        <v>#N/A</v>
      </c>
    </row>
    <row r="186" spans="3:12">
      <c r="C186" s="160" t="str">
        <f t="shared" si="5"/>
        <v/>
      </c>
      <c r="L186" s="404" t="e">
        <f t="shared" si="4"/>
        <v>#N/A</v>
      </c>
    </row>
    <row r="187" spans="3:12">
      <c r="C187" s="160" t="str">
        <f t="shared" si="5"/>
        <v/>
      </c>
      <c r="L187" s="404" t="e">
        <f t="shared" si="4"/>
        <v>#N/A</v>
      </c>
    </row>
    <row r="188" spans="3:12">
      <c r="C188" s="160" t="str">
        <f t="shared" si="5"/>
        <v/>
      </c>
      <c r="L188" s="404" t="e">
        <f t="shared" si="4"/>
        <v>#N/A</v>
      </c>
    </row>
    <row r="189" spans="3:12">
      <c r="C189" s="160" t="str">
        <f t="shared" si="5"/>
        <v/>
      </c>
      <c r="L189" s="404" t="e">
        <f t="shared" si="4"/>
        <v>#N/A</v>
      </c>
    </row>
    <row r="190" spans="3:12">
      <c r="C190" s="160" t="str">
        <f t="shared" si="5"/>
        <v/>
      </c>
      <c r="L190" s="404" t="e">
        <f t="shared" si="4"/>
        <v>#N/A</v>
      </c>
    </row>
    <row r="191" spans="3:12">
      <c r="C191" s="160" t="str">
        <f t="shared" si="5"/>
        <v/>
      </c>
      <c r="L191" s="404" t="e">
        <f t="shared" si="4"/>
        <v>#N/A</v>
      </c>
    </row>
    <row r="192" spans="3:12">
      <c r="C192" s="160" t="str">
        <f t="shared" si="5"/>
        <v/>
      </c>
      <c r="L192" s="404" t="e">
        <f t="shared" si="4"/>
        <v>#N/A</v>
      </c>
    </row>
    <row r="193" spans="3:12">
      <c r="C193" s="160" t="str">
        <f t="shared" si="5"/>
        <v/>
      </c>
      <c r="L193" s="404" t="e">
        <f t="shared" si="4"/>
        <v>#N/A</v>
      </c>
    </row>
    <row r="194" spans="3:12">
      <c r="C194" s="160" t="str">
        <f t="shared" si="5"/>
        <v/>
      </c>
      <c r="L194" s="404" t="e">
        <f t="shared" si="4"/>
        <v>#N/A</v>
      </c>
    </row>
    <row r="195" spans="3:12">
      <c r="C195" s="160" t="str">
        <f t="shared" si="5"/>
        <v/>
      </c>
      <c r="L195" s="404" t="e">
        <f t="shared" si="4"/>
        <v>#N/A</v>
      </c>
    </row>
    <row r="196" spans="3:12">
      <c r="C196" s="160" t="str">
        <f t="shared" si="5"/>
        <v/>
      </c>
      <c r="L196" s="404" t="e">
        <f t="shared" si="4"/>
        <v>#N/A</v>
      </c>
    </row>
    <row r="197" spans="3:12">
      <c r="C197" s="160" t="str">
        <f t="shared" si="5"/>
        <v/>
      </c>
      <c r="L197" s="404" t="e">
        <f t="shared" si="4"/>
        <v>#N/A</v>
      </c>
    </row>
    <row r="198" spans="3:12">
      <c r="C198" s="160" t="str">
        <f t="shared" si="5"/>
        <v/>
      </c>
      <c r="L198" s="404" t="e">
        <f t="shared" si="4"/>
        <v>#N/A</v>
      </c>
    </row>
    <row r="199" spans="3:12">
      <c r="C199" s="160" t="str">
        <f t="shared" si="5"/>
        <v/>
      </c>
      <c r="L199" s="404" t="e">
        <f t="shared" si="4"/>
        <v>#N/A</v>
      </c>
    </row>
    <row r="200" spans="3:12">
      <c r="C200" s="160" t="str">
        <f t="shared" si="5"/>
        <v/>
      </c>
      <c r="L200" s="404" t="e">
        <f t="shared" si="4"/>
        <v>#N/A</v>
      </c>
    </row>
    <row r="201" spans="3:12">
      <c r="C201" s="160" t="str">
        <f t="shared" si="5"/>
        <v/>
      </c>
      <c r="L201" s="404" t="e">
        <f t="shared" si="4"/>
        <v>#N/A</v>
      </c>
    </row>
    <row r="202" spans="3:12">
      <c r="C202" s="160" t="str">
        <f t="shared" si="5"/>
        <v/>
      </c>
      <c r="L202" s="404" t="e">
        <f t="shared" si="4"/>
        <v>#N/A</v>
      </c>
    </row>
    <row r="203" spans="3:12">
      <c r="C203" s="160" t="str">
        <f t="shared" si="5"/>
        <v/>
      </c>
      <c r="L203" s="404" t="e">
        <f t="shared" si="4"/>
        <v>#N/A</v>
      </c>
    </row>
    <row r="204" spans="3:12">
      <c r="C204" s="160" t="str">
        <f t="shared" si="5"/>
        <v/>
      </c>
      <c r="L204" s="404" t="e">
        <f t="shared" ref="L204:L267" si="6">IF(C204=C203,NA(),SUMIF(Prob_ProbRunandCrit,C204,Prob_Prob))</f>
        <v>#N/A</v>
      </c>
    </row>
    <row r="205" spans="3:12">
      <c r="C205" s="160" t="str">
        <f t="shared" ref="C205:C268" si="7">D205&amp;I205</f>
        <v/>
      </c>
      <c r="L205" s="404" t="e">
        <f t="shared" si="6"/>
        <v>#N/A</v>
      </c>
    </row>
    <row r="206" spans="3:12">
      <c r="C206" s="160" t="str">
        <f t="shared" si="7"/>
        <v/>
      </c>
      <c r="L206" s="404" t="e">
        <f t="shared" si="6"/>
        <v>#N/A</v>
      </c>
    </row>
    <row r="207" spans="3:12">
      <c r="C207" s="160" t="str">
        <f t="shared" si="7"/>
        <v/>
      </c>
      <c r="L207" s="404" t="e">
        <f t="shared" si="6"/>
        <v>#N/A</v>
      </c>
    </row>
    <row r="208" spans="3:12">
      <c r="C208" s="160" t="str">
        <f t="shared" si="7"/>
        <v/>
      </c>
      <c r="L208" s="404" t="e">
        <f t="shared" si="6"/>
        <v>#N/A</v>
      </c>
    </row>
    <row r="209" spans="3:12">
      <c r="C209" s="160" t="str">
        <f t="shared" si="7"/>
        <v/>
      </c>
      <c r="L209" s="404" t="e">
        <f t="shared" si="6"/>
        <v>#N/A</v>
      </c>
    </row>
    <row r="210" spans="3:12">
      <c r="C210" s="160" t="str">
        <f t="shared" si="7"/>
        <v/>
      </c>
      <c r="L210" s="404" t="e">
        <f t="shared" si="6"/>
        <v>#N/A</v>
      </c>
    </row>
    <row r="211" spans="3:12">
      <c r="C211" s="160" t="str">
        <f t="shared" si="7"/>
        <v/>
      </c>
      <c r="L211" s="404" t="e">
        <f t="shared" si="6"/>
        <v>#N/A</v>
      </c>
    </row>
    <row r="212" spans="3:12">
      <c r="C212" s="160" t="str">
        <f t="shared" si="7"/>
        <v/>
      </c>
      <c r="L212" s="404" t="e">
        <f t="shared" si="6"/>
        <v>#N/A</v>
      </c>
    </row>
    <row r="213" spans="3:12">
      <c r="C213" s="160" t="str">
        <f t="shared" si="7"/>
        <v/>
      </c>
      <c r="L213" s="404" t="e">
        <f t="shared" si="6"/>
        <v>#N/A</v>
      </c>
    </row>
    <row r="214" spans="3:12">
      <c r="C214" s="160" t="str">
        <f t="shared" si="7"/>
        <v/>
      </c>
      <c r="L214" s="404" t="e">
        <f t="shared" si="6"/>
        <v>#N/A</v>
      </c>
    </row>
    <row r="215" spans="3:12">
      <c r="C215" s="160" t="str">
        <f t="shared" si="7"/>
        <v/>
      </c>
      <c r="L215" s="404" t="e">
        <f t="shared" si="6"/>
        <v>#N/A</v>
      </c>
    </row>
    <row r="216" spans="3:12">
      <c r="C216" s="160" t="str">
        <f t="shared" si="7"/>
        <v/>
      </c>
      <c r="L216" s="404" t="e">
        <f t="shared" si="6"/>
        <v>#N/A</v>
      </c>
    </row>
    <row r="217" spans="3:12">
      <c r="C217" s="160" t="str">
        <f t="shared" si="7"/>
        <v/>
      </c>
      <c r="L217" s="404" t="e">
        <f t="shared" si="6"/>
        <v>#N/A</v>
      </c>
    </row>
    <row r="218" spans="3:12">
      <c r="C218" s="160" t="str">
        <f t="shared" si="7"/>
        <v/>
      </c>
      <c r="L218" s="404" t="e">
        <f t="shared" si="6"/>
        <v>#N/A</v>
      </c>
    </row>
    <row r="219" spans="3:12">
      <c r="C219" s="160" t="str">
        <f t="shared" si="7"/>
        <v/>
      </c>
      <c r="L219" s="404" t="e">
        <f t="shared" si="6"/>
        <v>#N/A</v>
      </c>
    </row>
    <row r="220" spans="3:12">
      <c r="C220" s="160" t="str">
        <f t="shared" si="7"/>
        <v/>
      </c>
      <c r="L220" s="404" t="e">
        <f t="shared" si="6"/>
        <v>#N/A</v>
      </c>
    </row>
    <row r="221" spans="3:12">
      <c r="C221" s="160" t="str">
        <f t="shared" si="7"/>
        <v/>
      </c>
      <c r="L221" s="404" t="e">
        <f t="shared" si="6"/>
        <v>#N/A</v>
      </c>
    </row>
    <row r="222" spans="3:12">
      <c r="C222" s="160" t="str">
        <f t="shared" si="7"/>
        <v/>
      </c>
      <c r="L222" s="404" t="e">
        <f t="shared" si="6"/>
        <v>#N/A</v>
      </c>
    </row>
    <row r="223" spans="3:12">
      <c r="C223" s="160" t="str">
        <f t="shared" si="7"/>
        <v/>
      </c>
      <c r="L223" s="404" t="e">
        <f t="shared" si="6"/>
        <v>#N/A</v>
      </c>
    </row>
    <row r="224" spans="3:12">
      <c r="C224" s="160" t="str">
        <f t="shared" si="7"/>
        <v/>
      </c>
      <c r="L224" s="404" t="e">
        <f t="shared" si="6"/>
        <v>#N/A</v>
      </c>
    </row>
    <row r="225" spans="3:12">
      <c r="C225" s="160" t="str">
        <f t="shared" si="7"/>
        <v/>
      </c>
      <c r="L225" s="404" t="e">
        <f t="shared" si="6"/>
        <v>#N/A</v>
      </c>
    </row>
    <row r="226" spans="3:12">
      <c r="C226" s="160" t="str">
        <f t="shared" si="7"/>
        <v/>
      </c>
      <c r="L226" s="404" t="e">
        <f t="shared" si="6"/>
        <v>#N/A</v>
      </c>
    </row>
    <row r="227" spans="3:12">
      <c r="C227" s="160" t="str">
        <f t="shared" si="7"/>
        <v/>
      </c>
      <c r="L227" s="404" t="e">
        <f t="shared" si="6"/>
        <v>#N/A</v>
      </c>
    </row>
    <row r="228" spans="3:12">
      <c r="C228" s="160" t="str">
        <f t="shared" si="7"/>
        <v/>
      </c>
      <c r="L228" s="404" t="e">
        <f t="shared" si="6"/>
        <v>#N/A</v>
      </c>
    </row>
    <row r="229" spans="3:12">
      <c r="C229" s="160" t="str">
        <f t="shared" si="7"/>
        <v/>
      </c>
      <c r="L229" s="404" t="e">
        <f t="shared" si="6"/>
        <v>#N/A</v>
      </c>
    </row>
    <row r="230" spans="3:12">
      <c r="C230" s="160" t="str">
        <f t="shared" si="7"/>
        <v/>
      </c>
      <c r="L230" s="404" t="e">
        <f t="shared" si="6"/>
        <v>#N/A</v>
      </c>
    </row>
    <row r="231" spans="3:12">
      <c r="C231" s="160" t="str">
        <f t="shared" si="7"/>
        <v/>
      </c>
      <c r="L231" s="404" t="e">
        <f t="shared" si="6"/>
        <v>#N/A</v>
      </c>
    </row>
    <row r="232" spans="3:12">
      <c r="C232" s="160" t="str">
        <f t="shared" si="7"/>
        <v/>
      </c>
      <c r="L232" s="404" t="e">
        <f t="shared" si="6"/>
        <v>#N/A</v>
      </c>
    </row>
    <row r="233" spans="3:12">
      <c r="C233" s="160" t="str">
        <f t="shared" si="7"/>
        <v/>
      </c>
      <c r="L233" s="404" t="e">
        <f t="shared" si="6"/>
        <v>#N/A</v>
      </c>
    </row>
    <row r="234" spans="3:12">
      <c r="C234" s="160" t="str">
        <f t="shared" si="7"/>
        <v/>
      </c>
      <c r="L234" s="404" t="e">
        <f t="shared" si="6"/>
        <v>#N/A</v>
      </c>
    </row>
    <row r="235" spans="3:12">
      <c r="C235" s="160" t="str">
        <f t="shared" si="7"/>
        <v/>
      </c>
      <c r="L235" s="404" t="e">
        <f t="shared" si="6"/>
        <v>#N/A</v>
      </c>
    </row>
    <row r="236" spans="3:12">
      <c r="C236" s="160" t="str">
        <f t="shared" si="7"/>
        <v/>
      </c>
      <c r="L236" s="404" t="e">
        <f t="shared" si="6"/>
        <v>#N/A</v>
      </c>
    </row>
    <row r="237" spans="3:12">
      <c r="C237" s="160" t="str">
        <f t="shared" si="7"/>
        <v/>
      </c>
      <c r="L237" s="404" t="e">
        <f t="shared" si="6"/>
        <v>#N/A</v>
      </c>
    </row>
    <row r="238" spans="3:12">
      <c r="C238" s="160" t="str">
        <f t="shared" si="7"/>
        <v/>
      </c>
      <c r="L238" s="404" t="e">
        <f t="shared" si="6"/>
        <v>#N/A</v>
      </c>
    </row>
    <row r="239" spans="3:12">
      <c r="C239" s="160" t="str">
        <f t="shared" si="7"/>
        <v/>
      </c>
      <c r="L239" s="404" t="e">
        <f t="shared" si="6"/>
        <v>#N/A</v>
      </c>
    </row>
    <row r="240" spans="3:12">
      <c r="C240" s="160" t="str">
        <f t="shared" si="7"/>
        <v/>
      </c>
      <c r="L240" s="404" t="e">
        <f t="shared" si="6"/>
        <v>#N/A</v>
      </c>
    </row>
    <row r="241" spans="3:12">
      <c r="C241" s="160" t="str">
        <f t="shared" si="7"/>
        <v/>
      </c>
      <c r="L241" s="404" t="e">
        <f t="shared" si="6"/>
        <v>#N/A</v>
      </c>
    </row>
    <row r="242" spans="3:12">
      <c r="C242" s="160" t="str">
        <f t="shared" si="7"/>
        <v/>
      </c>
      <c r="L242" s="404" t="e">
        <f t="shared" si="6"/>
        <v>#N/A</v>
      </c>
    </row>
    <row r="243" spans="3:12">
      <c r="C243" s="160" t="str">
        <f t="shared" si="7"/>
        <v/>
      </c>
      <c r="L243" s="404" t="e">
        <f t="shared" si="6"/>
        <v>#N/A</v>
      </c>
    </row>
    <row r="244" spans="3:12">
      <c r="C244" s="160" t="str">
        <f t="shared" si="7"/>
        <v/>
      </c>
      <c r="L244" s="404" t="e">
        <f t="shared" si="6"/>
        <v>#N/A</v>
      </c>
    </row>
    <row r="245" spans="3:12">
      <c r="C245" s="160" t="str">
        <f t="shared" si="7"/>
        <v/>
      </c>
      <c r="L245" s="404" t="e">
        <f t="shared" si="6"/>
        <v>#N/A</v>
      </c>
    </row>
    <row r="246" spans="3:12">
      <c r="C246" s="160" t="str">
        <f t="shared" si="7"/>
        <v/>
      </c>
      <c r="L246" s="404" t="e">
        <f t="shared" si="6"/>
        <v>#N/A</v>
      </c>
    </row>
    <row r="247" spans="3:12">
      <c r="C247" s="160" t="str">
        <f t="shared" si="7"/>
        <v/>
      </c>
      <c r="L247" s="404" t="e">
        <f t="shared" si="6"/>
        <v>#N/A</v>
      </c>
    </row>
    <row r="248" spans="3:12">
      <c r="C248" s="160" t="str">
        <f t="shared" si="7"/>
        <v/>
      </c>
      <c r="L248" s="404" t="e">
        <f t="shared" si="6"/>
        <v>#N/A</v>
      </c>
    </row>
    <row r="249" spans="3:12">
      <c r="C249" s="160" t="str">
        <f t="shared" si="7"/>
        <v/>
      </c>
      <c r="L249" s="404" t="e">
        <f t="shared" si="6"/>
        <v>#N/A</v>
      </c>
    </row>
    <row r="250" spans="3:12">
      <c r="C250" s="160" t="str">
        <f t="shared" si="7"/>
        <v/>
      </c>
      <c r="L250" s="404" t="e">
        <f t="shared" si="6"/>
        <v>#N/A</v>
      </c>
    </row>
    <row r="251" spans="3:12">
      <c r="C251" s="160" t="str">
        <f t="shared" si="7"/>
        <v/>
      </c>
      <c r="L251" s="404" t="e">
        <f t="shared" si="6"/>
        <v>#N/A</v>
      </c>
    </row>
    <row r="252" spans="3:12">
      <c r="C252" s="160" t="str">
        <f t="shared" si="7"/>
        <v/>
      </c>
      <c r="L252" s="404" t="e">
        <f t="shared" si="6"/>
        <v>#N/A</v>
      </c>
    </row>
    <row r="253" spans="3:12">
      <c r="C253" s="160" t="str">
        <f t="shared" si="7"/>
        <v/>
      </c>
      <c r="L253" s="404" t="e">
        <f t="shared" si="6"/>
        <v>#N/A</v>
      </c>
    </row>
    <row r="254" spans="3:12">
      <c r="C254" s="160" t="str">
        <f t="shared" si="7"/>
        <v/>
      </c>
      <c r="L254" s="404" t="e">
        <f t="shared" si="6"/>
        <v>#N/A</v>
      </c>
    </row>
    <row r="255" spans="3:12">
      <c r="C255" s="160" t="str">
        <f t="shared" si="7"/>
        <v/>
      </c>
      <c r="L255" s="404" t="e">
        <f t="shared" si="6"/>
        <v>#N/A</v>
      </c>
    </row>
    <row r="256" spans="3:12">
      <c r="C256" s="160" t="str">
        <f t="shared" si="7"/>
        <v/>
      </c>
      <c r="L256" s="404" t="e">
        <f t="shared" si="6"/>
        <v>#N/A</v>
      </c>
    </row>
    <row r="257" spans="3:12">
      <c r="C257" s="160" t="str">
        <f t="shared" si="7"/>
        <v/>
      </c>
      <c r="L257" s="404" t="e">
        <f t="shared" si="6"/>
        <v>#N/A</v>
      </c>
    </row>
    <row r="258" spans="3:12">
      <c r="C258" s="160" t="str">
        <f t="shared" si="7"/>
        <v/>
      </c>
      <c r="L258" s="404" t="e">
        <f t="shared" si="6"/>
        <v>#N/A</v>
      </c>
    </row>
    <row r="259" spans="3:12">
      <c r="C259" s="160" t="str">
        <f t="shared" si="7"/>
        <v/>
      </c>
      <c r="L259" s="404" t="e">
        <f t="shared" si="6"/>
        <v>#N/A</v>
      </c>
    </row>
    <row r="260" spans="3:12">
      <c r="C260" s="160" t="str">
        <f t="shared" si="7"/>
        <v/>
      </c>
      <c r="L260" s="404" t="e">
        <f t="shared" si="6"/>
        <v>#N/A</v>
      </c>
    </row>
    <row r="261" spans="3:12">
      <c r="C261" s="160" t="str">
        <f t="shared" si="7"/>
        <v/>
      </c>
      <c r="L261" s="404" t="e">
        <f t="shared" si="6"/>
        <v>#N/A</v>
      </c>
    </row>
    <row r="262" spans="3:12">
      <c r="C262" s="160" t="str">
        <f t="shared" si="7"/>
        <v/>
      </c>
      <c r="L262" s="404" t="e">
        <f t="shared" si="6"/>
        <v>#N/A</v>
      </c>
    </row>
    <row r="263" spans="3:12">
      <c r="C263" s="160" t="str">
        <f t="shared" si="7"/>
        <v/>
      </c>
      <c r="L263" s="404" t="e">
        <f t="shared" si="6"/>
        <v>#N/A</v>
      </c>
    </row>
    <row r="264" spans="3:12">
      <c r="C264" s="160" t="str">
        <f t="shared" si="7"/>
        <v/>
      </c>
      <c r="L264" s="404" t="e">
        <f t="shared" si="6"/>
        <v>#N/A</v>
      </c>
    </row>
    <row r="265" spans="3:12">
      <c r="C265" s="160" t="str">
        <f t="shared" si="7"/>
        <v/>
      </c>
      <c r="L265" s="404" t="e">
        <f t="shared" si="6"/>
        <v>#N/A</v>
      </c>
    </row>
    <row r="266" spans="3:12">
      <c r="C266" s="160" t="str">
        <f t="shared" si="7"/>
        <v/>
      </c>
      <c r="L266" s="404" t="e">
        <f t="shared" si="6"/>
        <v>#N/A</v>
      </c>
    </row>
    <row r="267" spans="3:12">
      <c r="C267" s="160" t="str">
        <f t="shared" si="7"/>
        <v/>
      </c>
      <c r="L267" s="404" t="e">
        <f t="shared" si="6"/>
        <v>#N/A</v>
      </c>
    </row>
    <row r="268" spans="3:12">
      <c r="C268" s="160" t="str">
        <f t="shared" si="7"/>
        <v/>
      </c>
      <c r="L268" s="404" t="e">
        <f t="shared" ref="L268:L331" si="8">IF(C268=C267,NA(),SUMIF(Prob_ProbRunandCrit,C268,Prob_Prob))</f>
        <v>#N/A</v>
      </c>
    </row>
    <row r="269" spans="3:12">
      <c r="C269" s="160" t="str">
        <f t="shared" ref="C269:C332" si="9">D269&amp;I269</f>
        <v/>
      </c>
      <c r="L269" s="404" t="e">
        <f t="shared" si="8"/>
        <v>#N/A</v>
      </c>
    </row>
    <row r="270" spans="3:12">
      <c r="C270" s="160" t="str">
        <f t="shared" si="9"/>
        <v/>
      </c>
      <c r="L270" s="404" t="e">
        <f t="shared" si="8"/>
        <v>#N/A</v>
      </c>
    </row>
    <row r="271" spans="3:12">
      <c r="C271" s="160" t="str">
        <f t="shared" si="9"/>
        <v/>
      </c>
      <c r="L271" s="404" t="e">
        <f t="shared" si="8"/>
        <v>#N/A</v>
      </c>
    </row>
    <row r="272" spans="3:12">
      <c r="C272" s="160" t="str">
        <f t="shared" si="9"/>
        <v/>
      </c>
      <c r="L272" s="404" t="e">
        <f t="shared" si="8"/>
        <v>#N/A</v>
      </c>
    </row>
    <row r="273" spans="3:12">
      <c r="C273" s="160" t="str">
        <f t="shared" si="9"/>
        <v/>
      </c>
      <c r="L273" s="404" t="e">
        <f t="shared" si="8"/>
        <v>#N/A</v>
      </c>
    </row>
    <row r="274" spans="3:12">
      <c r="C274" s="160" t="str">
        <f t="shared" si="9"/>
        <v/>
      </c>
      <c r="L274" s="404" t="e">
        <f t="shared" si="8"/>
        <v>#N/A</v>
      </c>
    </row>
    <row r="275" spans="3:12">
      <c r="C275" s="160" t="str">
        <f t="shared" si="9"/>
        <v/>
      </c>
      <c r="L275" s="404" t="e">
        <f t="shared" si="8"/>
        <v>#N/A</v>
      </c>
    </row>
    <row r="276" spans="3:12">
      <c r="C276" s="160" t="str">
        <f t="shared" si="9"/>
        <v/>
      </c>
      <c r="L276" s="404" t="e">
        <f t="shared" si="8"/>
        <v>#N/A</v>
      </c>
    </row>
    <row r="277" spans="3:12">
      <c r="C277" s="160" t="str">
        <f t="shared" si="9"/>
        <v/>
      </c>
      <c r="L277" s="404" t="e">
        <f t="shared" si="8"/>
        <v>#N/A</v>
      </c>
    </row>
    <row r="278" spans="3:12">
      <c r="C278" s="160" t="str">
        <f t="shared" si="9"/>
        <v/>
      </c>
      <c r="L278" s="404" t="e">
        <f t="shared" si="8"/>
        <v>#N/A</v>
      </c>
    </row>
    <row r="279" spans="3:12">
      <c r="C279" s="160" t="str">
        <f t="shared" si="9"/>
        <v/>
      </c>
      <c r="L279" s="404" t="e">
        <f t="shared" si="8"/>
        <v>#N/A</v>
      </c>
    </row>
    <row r="280" spans="3:12">
      <c r="C280" s="160" t="str">
        <f t="shared" si="9"/>
        <v/>
      </c>
      <c r="L280" s="404" t="e">
        <f t="shared" si="8"/>
        <v>#N/A</v>
      </c>
    </row>
    <row r="281" spans="3:12">
      <c r="C281" s="160" t="str">
        <f t="shared" si="9"/>
        <v/>
      </c>
      <c r="L281" s="404" t="e">
        <f t="shared" si="8"/>
        <v>#N/A</v>
      </c>
    </row>
    <row r="282" spans="3:12">
      <c r="C282" s="160" t="str">
        <f t="shared" si="9"/>
        <v/>
      </c>
      <c r="L282" s="404" t="e">
        <f t="shared" si="8"/>
        <v>#N/A</v>
      </c>
    </row>
    <row r="283" spans="3:12">
      <c r="C283" s="160" t="str">
        <f t="shared" si="9"/>
        <v/>
      </c>
      <c r="L283" s="404" t="e">
        <f t="shared" si="8"/>
        <v>#N/A</v>
      </c>
    </row>
    <row r="284" spans="3:12">
      <c r="C284" s="160" t="str">
        <f t="shared" si="9"/>
        <v/>
      </c>
      <c r="L284" s="404" t="e">
        <f t="shared" si="8"/>
        <v>#N/A</v>
      </c>
    </row>
    <row r="285" spans="3:12">
      <c r="C285" s="160" t="str">
        <f t="shared" si="9"/>
        <v/>
      </c>
      <c r="L285" s="404" t="e">
        <f t="shared" si="8"/>
        <v>#N/A</v>
      </c>
    </row>
    <row r="286" spans="3:12">
      <c r="C286" s="160" t="str">
        <f t="shared" si="9"/>
        <v/>
      </c>
      <c r="L286" s="404" t="e">
        <f t="shared" si="8"/>
        <v>#N/A</v>
      </c>
    </row>
    <row r="287" spans="3:12">
      <c r="C287" s="160" t="str">
        <f t="shared" si="9"/>
        <v/>
      </c>
      <c r="L287" s="404" t="e">
        <f t="shared" si="8"/>
        <v>#N/A</v>
      </c>
    </row>
    <row r="288" spans="3:12">
      <c r="C288" s="160" t="str">
        <f t="shared" si="9"/>
        <v/>
      </c>
      <c r="L288" s="404" t="e">
        <f t="shared" si="8"/>
        <v>#N/A</v>
      </c>
    </row>
    <row r="289" spans="3:12">
      <c r="C289" s="160" t="str">
        <f t="shared" si="9"/>
        <v/>
      </c>
      <c r="L289" s="404" t="e">
        <f t="shared" si="8"/>
        <v>#N/A</v>
      </c>
    </row>
    <row r="290" spans="3:12">
      <c r="C290" s="160" t="str">
        <f t="shared" si="9"/>
        <v/>
      </c>
      <c r="L290" s="404" t="e">
        <f t="shared" si="8"/>
        <v>#N/A</v>
      </c>
    </row>
    <row r="291" spans="3:12">
      <c r="C291" s="160" t="str">
        <f t="shared" si="9"/>
        <v/>
      </c>
      <c r="L291" s="404" t="e">
        <f t="shared" si="8"/>
        <v>#N/A</v>
      </c>
    </row>
    <row r="292" spans="3:12">
      <c r="C292" s="160" t="str">
        <f t="shared" si="9"/>
        <v/>
      </c>
      <c r="L292" s="404" t="e">
        <f t="shared" si="8"/>
        <v>#N/A</v>
      </c>
    </row>
    <row r="293" spans="3:12">
      <c r="C293" s="160" t="str">
        <f t="shared" si="9"/>
        <v/>
      </c>
      <c r="L293" s="404" t="e">
        <f t="shared" si="8"/>
        <v>#N/A</v>
      </c>
    </row>
    <row r="294" spans="3:12">
      <c r="C294" s="160" t="str">
        <f t="shared" si="9"/>
        <v/>
      </c>
      <c r="L294" s="404" t="e">
        <f t="shared" si="8"/>
        <v>#N/A</v>
      </c>
    </row>
    <row r="295" spans="3:12">
      <c r="C295" s="160" t="str">
        <f t="shared" si="9"/>
        <v/>
      </c>
      <c r="L295" s="404" t="e">
        <f t="shared" si="8"/>
        <v>#N/A</v>
      </c>
    </row>
    <row r="296" spans="3:12">
      <c r="C296" s="160" t="str">
        <f t="shared" si="9"/>
        <v/>
      </c>
      <c r="L296" s="404" t="e">
        <f t="shared" si="8"/>
        <v>#N/A</v>
      </c>
    </row>
    <row r="297" spans="3:12">
      <c r="C297" s="160" t="str">
        <f t="shared" si="9"/>
        <v/>
      </c>
      <c r="L297" s="404" t="e">
        <f t="shared" si="8"/>
        <v>#N/A</v>
      </c>
    </row>
    <row r="298" spans="3:12">
      <c r="C298" s="160" t="str">
        <f t="shared" si="9"/>
        <v/>
      </c>
      <c r="L298" s="404" t="e">
        <f t="shared" si="8"/>
        <v>#N/A</v>
      </c>
    </row>
    <row r="299" spans="3:12">
      <c r="C299" s="160" t="str">
        <f t="shared" si="9"/>
        <v/>
      </c>
      <c r="L299" s="404" t="e">
        <f t="shared" si="8"/>
        <v>#N/A</v>
      </c>
    </row>
    <row r="300" spans="3:12">
      <c r="C300" s="160" t="str">
        <f t="shared" si="9"/>
        <v/>
      </c>
      <c r="L300" s="404" t="e">
        <f t="shared" si="8"/>
        <v>#N/A</v>
      </c>
    </row>
    <row r="301" spans="3:12">
      <c r="C301" s="160" t="str">
        <f t="shared" si="9"/>
        <v/>
      </c>
      <c r="L301" s="404" t="e">
        <f t="shared" si="8"/>
        <v>#N/A</v>
      </c>
    </row>
    <row r="302" spans="3:12">
      <c r="C302" s="160" t="str">
        <f t="shared" si="9"/>
        <v/>
      </c>
      <c r="L302" s="404" t="e">
        <f t="shared" si="8"/>
        <v>#N/A</v>
      </c>
    </row>
    <row r="303" spans="3:12">
      <c r="C303" s="160" t="str">
        <f t="shared" si="9"/>
        <v/>
      </c>
      <c r="L303" s="404" t="e">
        <f t="shared" si="8"/>
        <v>#N/A</v>
      </c>
    </row>
    <row r="304" spans="3:12">
      <c r="C304" s="160" t="str">
        <f t="shared" si="9"/>
        <v/>
      </c>
      <c r="L304" s="404" t="e">
        <f t="shared" si="8"/>
        <v>#N/A</v>
      </c>
    </row>
    <row r="305" spans="3:12">
      <c r="C305" s="160" t="str">
        <f t="shared" si="9"/>
        <v/>
      </c>
      <c r="L305" s="404" t="e">
        <f t="shared" si="8"/>
        <v>#N/A</v>
      </c>
    </row>
    <row r="306" spans="3:12">
      <c r="C306" s="160" t="str">
        <f t="shared" si="9"/>
        <v/>
      </c>
      <c r="L306" s="404" t="e">
        <f t="shared" si="8"/>
        <v>#N/A</v>
      </c>
    </row>
    <row r="307" spans="3:12">
      <c r="C307" s="160" t="str">
        <f t="shared" si="9"/>
        <v/>
      </c>
      <c r="L307" s="404" t="e">
        <f t="shared" si="8"/>
        <v>#N/A</v>
      </c>
    </row>
    <row r="308" spans="3:12">
      <c r="C308" s="160" t="str">
        <f t="shared" si="9"/>
        <v/>
      </c>
      <c r="L308" s="404" t="e">
        <f t="shared" si="8"/>
        <v>#N/A</v>
      </c>
    </row>
    <row r="309" spans="3:12">
      <c r="C309" s="160" t="str">
        <f t="shared" si="9"/>
        <v/>
      </c>
      <c r="L309" s="404" t="e">
        <f t="shared" si="8"/>
        <v>#N/A</v>
      </c>
    </row>
    <row r="310" spans="3:12">
      <c r="C310" s="160" t="str">
        <f t="shared" si="9"/>
        <v/>
      </c>
      <c r="L310" s="404" t="e">
        <f t="shared" si="8"/>
        <v>#N/A</v>
      </c>
    </row>
    <row r="311" spans="3:12">
      <c r="C311" s="160" t="str">
        <f t="shared" si="9"/>
        <v/>
      </c>
      <c r="L311" s="404" t="e">
        <f t="shared" si="8"/>
        <v>#N/A</v>
      </c>
    </row>
    <row r="312" spans="3:12">
      <c r="C312" s="160" t="str">
        <f t="shared" si="9"/>
        <v/>
      </c>
      <c r="L312" s="404" t="e">
        <f t="shared" si="8"/>
        <v>#N/A</v>
      </c>
    </row>
    <row r="313" spans="3:12">
      <c r="C313" s="160" t="str">
        <f t="shared" si="9"/>
        <v/>
      </c>
      <c r="L313" s="404" t="e">
        <f t="shared" si="8"/>
        <v>#N/A</v>
      </c>
    </row>
    <row r="314" spans="3:12">
      <c r="C314" s="160" t="str">
        <f t="shared" si="9"/>
        <v/>
      </c>
      <c r="L314" s="404" t="e">
        <f t="shared" si="8"/>
        <v>#N/A</v>
      </c>
    </row>
    <row r="315" spans="3:12">
      <c r="C315" s="160" t="str">
        <f t="shared" si="9"/>
        <v/>
      </c>
      <c r="L315" s="404" t="e">
        <f t="shared" si="8"/>
        <v>#N/A</v>
      </c>
    </row>
    <row r="316" spans="3:12">
      <c r="C316" s="160" t="str">
        <f t="shared" si="9"/>
        <v/>
      </c>
      <c r="L316" s="404" t="e">
        <f t="shared" si="8"/>
        <v>#N/A</v>
      </c>
    </row>
    <row r="317" spans="3:12">
      <c r="C317" s="160" t="str">
        <f t="shared" si="9"/>
        <v/>
      </c>
      <c r="L317" s="404" t="e">
        <f t="shared" si="8"/>
        <v>#N/A</v>
      </c>
    </row>
    <row r="318" spans="3:12">
      <c r="C318" s="160" t="str">
        <f t="shared" si="9"/>
        <v/>
      </c>
      <c r="L318" s="404" t="e">
        <f t="shared" si="8"/>
        <v>#N/A</v>
      </c>
    </row>
    <row r="319" spans="3:12">
      <c r="C319" s="160" t="str">
        <f t="shared" si="9"/>
        <v/>
      </c>
      <c r="L319" s="404" t="e">
        <f t="shared" si="8"/>
        <v>#N/A</v>
      </c>
    </row>
    <row r="320" spans="3:12">
      <c r="C320" s="160" t="str">
        <f t="shared" si="9"/>
        <v/>
      </c>
      <c r="L320" s="404" t="e">
        <f t="shared" si="8"/>
        <v>#N/A</v>
      </c>
    </row>
    <row r="321" spans="3:12">
      <c r="C321" s="160" t="str">
        <f t="shared" si="9"/>
        <v/>
      </c>
      <c r="L321" s="404" t="e">
        <f t="shared" si="8"/>
        <v>#N/A</v>
      </c>
    </row>
    <row r="322" spans="3:12">
      <c r="C322" s="160" t="str">
        <f t="shared" si="9"/>
        <v/>
      </c>
      <c r="L322" s="404" t="e">
        <f t="shared" si="8"/>
        <v>#N/A</v>
      </c>
    </row>
    <row r="323" spans="3:12">
      <c r="C323" s="160" t="str">
        <f t="shared" si="9"/>
        <v/>
      </c>
      <c r="L323" s="404" t="e">
        <f t="shared" si="8"/>
        <v>#N/A</v>
      </c>
    </row>
    <row r="324" spans="3:12">
      <c r="C324" s="160" t="str">
        <f t="shared" si="9"/>
        <v/>
      </c>
      <c r="L324" s="404" t="e">
        <f t="shared" si="8"/>
        <v>#N/A</v>
      </c>
    </row>
    <row r="325" spans="3:12">
      <c r="C325" s="160" t="str">
        <f t="shared" si="9"/>
        <v/>
      </c>
      <c r="L325" s="404" t="e">
        <f t="shared" si="8"/>
        <v>#N/A</v>
      </c>
    </row>
    <row r="326" spans="3:12">
      <c r="C326" s="160" t="str">
        <f t="shared" si="9"/>
        <v/>
      </c>
      <c r="L326" s="404" t="e">
        <f t="shared" si="8"/>
        <v>#N/A</v>
      </c>
    </row>
    <row r="327" spans="3:12">
      <c r="C327" s="160" t="str">
        <f t="shared" si="9"/>
        <v/>
      </c>
      <c r="L327" s="404" t="e">
        <f t="shared" si="8"/>
        <v>#N/A</v>
      </c>
    </row>
    <row r="328" spans="3:12">
      <c r="C328" s="160" t="str">
        <f t="shared" si="9"/>
        <v/>
      </c>
      <c r="L328" s="404" t="e">
        <f t="shared" si="8"/>
        <v>#N/A</v>
      </c>
    </row>
    <row r="329" spans="3:12">
      <c r="C329" s="160" t="str">
        <f t="shared" si="9"/>
        <v/>
      </c>
      <c r="L329" s="404" t="e">
        <f t="shared" si="8"/>
        <v>#N/A</v>
      </c>
    </row>
    <row r="330" spans="3:12">
      <c r="C330" s="160" t="str">
        <f t="shared" si="9"/>
        <v/>
      </c>
      <c r="L330" s="404" t="e">
        <f t="shared" si="8"/>
        <v>#N/A</v>
      </c>
    </row>
    <row r="331" spans="3:12">
      <c r="C331" s="160" t="str">
        <f t="shared" si="9"/>
        <v/>
      </c>
      <c r="L331" s="404" t="e">
        <f t="shared" si="8"/>
        <v>#N/A</v>
      </c>
    </row>
    <row r="332" spans="3:12">
      <c r="C332" s="160" t="str">
        <f t="shared" si="9"/>
        <v/>
      </c>
      <c r="L332" s="404" t="e">
        <f t="shared" ref="L332:L395" si="10">IF(C332=C331,NA(),SUMIF(Prob_ProbRunandCrit,C332,Prob_Prob))</f>
        <v>#N/A</v>
      </c>
    </row>
    <row r="333" spans="3:12">
      <c r="C333" s="160" t="str">
        <f t="shared" ref="C333:C396" si="11">D333&amp;I333</f>
        <v/>
      </c>
      <c r="L333" s="404" t="e">
        <f t="shared" si="10"/>
        <v>#N/A</v>
      </c>
    </row>
    <row r="334" spans="3:12">
      <c r="C334" s="160" t="str">
        <f t="shared" si="11"/>
        <v/>
      </c>
      <c r="L334" s="404" t="e">
        <f t="shared" si="10"/>
        <v>#N/A</v>
      </c>
    </row>
    <row r="335" spans="3:12">
      <c r="C335" s="160" t="str">
        <f t="shared" si="11"/>
        <v/>
      </c>
      <c r="L335" s="404" t="e">
        <f t="shared" si="10"/>
        <v>#N/A</v>
      </c>
    </row>
    <row r="336" spans="3:12">
      <c r="C336" s="160" t="str">
        <f t="shared" si="11"/>
        <v/>
      </c>
      <c r="L336" s="404" t="e">
        <f t="shared" si="10"/>
        <v>#N/A</v>
      </c>
    </row>
    <row r="337" spans="3:12">
      <c r="C337" s="160" t="str">
        <f t="shared" si="11"/>
        <v/>
      </c>
      <c r="L337" s="404" t="e">
        <f t="shared" si="10"/>
        <v>#N/A</v>
      </c>
    </row>
    <row r="338" spans="3:12">
      <c r="C338" s="160" t="str">
        <f t="shared" si="11"/>
        <v/>
      </c>
      <c r="L338" s="404" t="e">
        <f t="shared" si="10"/>
        <v>#N/A</v>
      </c>
    </row>
    <row r="339" spans="3:12">
      <c r="C339" s="160" t="str">
        <f t="shared" si="11"/>
        <v/>
      </c>
      <c r="L339" s="404" t="e">
        <f t="shared" si="10"/>
        <v>#N/A</v>
      </c>
    </row>
    <row r="340" spans="3:12">
      <c r="C340" s="160" t="str">
        <f t="shared" si="11"/>
        <v/>
      </c>
      <c r="L340" s="404" t="e">
        <f t="shared" si="10"/>
        <v>#N/A</v>
      </c>
    </row>
    <row r="341" spans="3:12">
      <c r="C341" s="160" t="str">
        <f t="shared" si="11"/>
        <v/>
      </c>
      <c r="L341" s="404" t="e">
        <f t="shared" si="10"/>
        <v>#N/A</v>
      </c>
    </row>
    <row r="342" spans="3:12">
      <c r="C342" s="160" t="str">
        <f t="shared" si="11"/>
        <v/>
      </c>
      <c r="L342" s="404" t="e">
        <f t="shared" si="10"/>
        <v>#N/A</v>
      </c>
    </row>
    <row r="343" spans="3:12">
      <c r="C343" s="160" t="str">
        <f t="shared" si="11"/>
        <v/>
      </c>
      <c r="L343" s="404" t="e">
        <f t="shared" si="10"/>
        <v>#N/A</v>
      </c>
    </row>
    <row r="344" spans="3:12">
      <c r="C344" s="160" t="str">
        <f t="shared" si="11"/>
        <v/>
      </c>
      <c r="L344" s="404" t="e">
        <f t="shared" si="10"/>
        <v>#N/A</v>
      </c>
    </row>
    <row r="345" spans="3:12">
      <c r="C345" s="160" t="str">
        <f t="shared" si="11"/>
        <v/>
      </c>
      <c r="L345" s="404" t="e">
        <f t="shared" si="10"/>
        <v>#N/A</v>
      </c>
    </row>
    <row r="346" spans="3:12">
      <c r="C346" s="160" t="str">
        <f t="shared" si="11"/>
        <v/>
      </c>
      <c r="L346" s="404" t="e">
        <f t="shared" si="10"/>
        <v>#N/A</v>
      </c>
    </row>
    <row r="347" spans="3:12">
      <c r="C347" s="160" t="str">
        <f t="shared" si="11"/>
        <v/>
      </c>
      <c r="L347" s="404" t="e">
        <f t="shared" si="10"/>
        <v>#N/A</v>
      </c>
    </row>
    <row r="348" spans="3:12">
      <c r="C348" s="160" t="str">
        <f t="shared" si="11"/>
        <v/>
      </c>
      <c r="L348" s="404" t="e">
        <f t="shared" si="10"/>
        <v>#N/A</v>
      </c>
    </row>
    <row r="349" spans="3:12">
      <c r="C349" s="160" t="str">
        <f t="shared" si="11"/>
        <v/>
      </c>
      <c r="L349" s="404" t="e">
        <f t="shared" si="10"/>
        <v>#N/A</v>
      </c>
    </row>
    <row r="350" spans="3:12">
      <c r="C350" s="160" t="str">
        <f t="shared" si="11"/>
        <v/>
      </c>
      <c r="L350" s="404" t="e">
        <f t="shared" si="10"/>
        <v>#N/A</v>
      </c>
    </row>
    <row r="351" spans="3:12">
      <c r="C351" s="160" t="str">
        <f t="shared" si="11"/>
        <v/>
      </c>
      <c r="L351" s="404" t="e">
        <f t="shared" si="10"/>
        <v>#N/A</v>
      </c>
    </row>
    <row r="352" spans="3:12">
      <c r="C352" s="160" t="str">
        <f t="shared" si="11"/>
        <v/>
      </c>
      <c r="L352" s="404" t="e">
        <f t="shared" si="10"/>
        <v>#N/A</v>
      </c>
    </row>
    <row r="353" spans="3:12">
      <c r="C353" s="160" t="str">
        <f t="shared" si="11"/>
        <v/>
      </c>
      <c r="L353" s="404" t="e">
        <f t="shared" si="10"/>
        <v>#N/A</v>
      </c>
    </row>
    <row r="354" spans="3:12">
      <c r="C354" s="160" t="str">
        <f t="shared" si="11"/>
        <v/>
      </c>
      <c r="L354" s="404" t="e">
        <f t="shared" si="10"/>
        <v>#N/A</v>
      </c>
    </row>
    <row r="355" spans="3:12">
      <c r="C355" s="160" t="str">
        <f t="shared" si="11"/>
        <v/>
      </c>
      <c r="L355" s="404" t="e">
        <f t="shared" si="10"/>
        <v>#N/A</v>
      </c>
    </row>
    <row r="356" spans="3:12">
      <c r="C356" s="160" t="str">
        <f t="shared" si="11"/>
        <v/>
      </c>
      <c r="L356" s="404" t="e">
        <f t="shared" si="10"/>
        <v>#N/A</v>
      </c>
    </row>
    <row r="357" spans="3:12">
      <c r="C357" s="160" t="str">
        <f t="shared" si="11"/>
        <v/>
      </c>
      <c r="L357" s="404" t="e">
        <f t="shared" si="10"/>
        <v>#N/A</v>
      </c>
    </row>
    <row r="358" spans="3:12">
      <c r="C358" s="160" t="str">
        <f t="shared" si="11"/>
        <v/>
      </c>
      <c r="L358" s="404" t="e">
        <f t="shared" si="10"/>
        <v>#N/A</v>
      </c>
    </row>
    <row r="359" spans="3:12">
      <c r="C359" s="160" t="str">
        <f t="shared" si="11"/>
        <v/>
      </c>
      <c r="L359" s="404" t="e">
        <f t="shared" si="10"/>
        <v>#N/A</v>
      </c>
    </row>
    <row r="360" spans="3:12">
      <c r="C360" s="160" t="str">
        <f t="shared" si="11"/>
        <v/>
      </c>
      <c r="L360" s="404" t="e">
        <f t="shared" si="10"/>
        <v>#N/A</v>
      </c>
    </row>
    <row r="361" spans="3:12">
      <c r="C361" s="160" t="str">
        <f t="shared" si="11"/>
        <v/>
      </c>
      <c r="L361" s="404" t="e">
        <f t="shared" si="10"/>
        <v>#N/A</v>
      </c>
    </row>
    <row r="362" spans="3:12">
      <c r="C362" s="160" t="str">
        <f t="shared" si="11"/>
        <v/>
      </c>
      <c r="L362" s="404" t="e">
        <f t="shared" si="10"/>
        <v>#N/A</v>
      </c>
    </row>
    <row r="363" spans="3:12">
      <c r="C363" s="160" t="str">
        <f t="shared" si="11"/>
        <v/>
      </c>
      <c r="L363" s="404" t="e">
        <f t="shared" si="10"/>
        <v>#N/A</v>
      </c>
    </row>
    <row r="364" spans="3:12">
      <c r="C364" s="160" t="str">
        <f t="shared" si="11"/>
        <v/>
      </c>
      <c r="L364" s="404" t="e">
        <f t="shared" si="10"/>
        <v>#N/A</v>
      </c>
    </row>
    <row r="365" spans="3:12">
      <c r="C365" s="160" t="str">
        <f t="shared" si="11"/>
        <v/>
      </c>
      <c r="L365" s="404" t="e">
        <f t="shared" si="10"/>
        <v>#N/A</v>
      </c>
    </row>
    <row r="366" spans="3:12">
      <c r="C366" s="160" t="str">
        <f t="shared" si="11"/>
        <v/>
      </c>
      <c r="L366" s="404" t="e">
        <f t="shared" si="10"/>
        <v>#N/A</v>
      </c>
    </row>
    <row r="367" spans="3:12">
      <c r="C367" s="160" t="str">
        <f t="shared" si="11"/>
        <v/>
      </c>
      <c r="L367" s="404" t="e">
        <f t="shared" si="10"/>
        <v>#N/A</v>
      </c>
    </row>
    <row r="368" spans="3:12">
      <c r="C368" s="160" t="str">
        <f t="shared" si="11"/>
        <v/>
      </c>
      <c r="L368" s="404" t="e">
        <f t="shared" si="10"/>
        <v>#N/A</v>
      </c>
    </row>
    <row r="369" spans="3:12">
      <c r="C369" s="160" t="str">
        <f t="shared" si="11"/>
        <v/>
      </c>
      <c r="L369" s="404" t="e">
        <f t="shared" si="10"/>
        <v>#N/A</v>
      </c>
    </row>
    <row r="370" spans="3:12">
      <c r="C370" s="160" t="str">
        <f t="shared" si="11"/>
        <v/>
      </c>
      <c r="L370" s="404" t="e">
        <f t="shared" si="10"/>
        <v>#N/A</v>
      </c>
    </row>
    <row r="371" spans="3:12">
      <c r="C371" s="160" t="str">
        <f t="shared" si="11"/>
        <v/>
      </c>
      <c r="L371" s="404" t="e">
        <f t="shared" si="10"/>
        <v>#N/A</v>
      </c>
    </row>
    <row r="372" spans="3:12">
      <c r="C372" s="160" t="str">
        <f t="shared" si="11"/>
        <v/>
      </c>
      <c r="L372" s="404" t="e">
        <f t="shared" si="10"/>
        <v>#N/A</v>
      </c>
    </row>
    <row r="373" spans="3:12">
      <c r="C373" s="160" t="str">
        <f t="shared" si="11"/>
        <v/>
      </c>
      <c r="L373" s="404" t="e">
        <f t="shared" si="10"/>
        <v>#N/A</v>
      </c>
    </row>
    <row r="374" spans="3:12">
      <c r="C374" s="160" t="str">
        <f t="shared" si="11"/>
        <v/>
      </c>
      <c r="L374" s="404" t="e">
        <f t="shared" si="10"/>
        <v>#N/A</v>
      </c>
    </row>
    <row r="375" spans="3:12">
      <c r="C375" s="160" t="str">
        <f t="shared" si="11"/>
        <v/>
      </c>
      <c r="L375" s="404" t="e">
        <f t="shared" si="10"/>
        <v>#N/A</v>
      </c>
    </row>
    <row r="376" spans="3:12">
      <c r="C376" s="160" t="str">
        <f t="shared" si="11"/>
        <v/>
      </c>
      <c r="L376" s="404" t="e">
        <f t="shared" si="10"/>
        <v>#N/A</v>
      </c>
    </row>
    <row r="377" spans="3:12">
      <c r="C377" s="160" t="str">
        <f t="shared" si="11"/>
        <v/>
      </c>
      <c r="L377" s="404" t="e">
        <f t="shared" si="10"/>
        <v>#N/A</v>
      </c>
    </row>
    <row r="378" spans="3:12">
      <c r="C378" s="160" t="str">
        <f t="shared" si="11"/>
        <v/>
      </c>
      <c r="L378" s="404" t="e">
        <f t="shared" si="10"/>
        <v>#N/A</v>
      </c>
    </row>
    <row r="379" spans="3:12">
      <c r="C379" s="160" t="str">
        <f t="shared" si="11"/>
        <v/>
      </c>
      <c r="L379" s="404" t="e">
        <f t="shared" si="10"/>
        <v>#N/A</v>
      </c>
    </row>
    <row r="380" spans="3:12">
      <c r="C380" s="160" t="str">
        <f t="shared" si="11"/>
        <v/>
      </c>
      <c r="L380" s="404" t="e">
        <f t="shared" si="10"/>
        <v>#N/A</v>
      </c>
    </row>
    <row r="381" spans="3:12">
      <c r="C381" s="160" t="str">
        <f t="shared" si="11"/>
        <v/>
      </c>
      <c r="L381" s="404" t="e">
        <f t="shared" si="10"/>
        <v>#N/A</v>
      </c>
    </row>
    <row r="382" spans="3:12">
      <c r="C382" s="160" t="str">
        <f t="shared" si="11"/>
        <v/>
      </c>
      <c r="L382" s="404" t="e">
        <f t="shared" si="10"/>
        <v>#N/A</v>
      </c>
    </row>
    <row r="383" spans="3:12">
      <c r="C383" s="160" t="str">
        <f t="shared" si="11"/>
        <v/>
      </c>
      <c r="L383" s="404" t="e">
        <f t="shared" si="10"/>
        <v>#N/A</v>
      </c>
    </row>
    <row r="384" spans="3:12">
      <c r="C384" s="160" t="str">
        <f t="shared" si="11"/>
        <v/>
      </c>
      <c r="L384" s="404" t="e">
        <f t="shared" si="10"/>
        <v>#N/A</v>
      </c>
    </row>
    <row r="385" spans="3:12">
      <c r="C385" s="160" t="str">
        <f t="shared" si="11"/>
        <v/>
      </c>
      <c r="L385" s="404" t="e">
        <f t="shared" si="10"/>
        <v>#N/A</v>
      </c>
    </row>
    <row r="386" spans="3:12">
      <c r="C386" s="160" t="str">
        <f t="shared" si="11"/>
        <v/>
      </c>
      <c r="L386" s="404" t="e">
        <f t="shared" si="10"/>
        <v>#N/A</v>
      </c>
    </row>
    <row r="387" spans="3:12">
      <c r="C387" s="160" t="str">
        <f t="shared" si="11"/>
        <v/>
      </c>
      <c r="L387" s="404" t="e">
        <f t="shared" si="10"/>
        <v>#N/A</v>
      </c>
    </row>
    <row r="388" spans="3:12">
      <c r="C388" s="160" t="str">
        <f t="shared" si="11"/>
        <v/>
      </c>
      <c r="L388" s="404" t="e">
        <f t="shared" si="10"/>
        <v>#N/A</v>
      </c>
    </row>
    <row r="389" spans="3:12">
      <c r="C389" s="160" t="str">
        <f t="shared" si="11"/>
        <v/>
      </c>
      <c r="L389" s="404" t="e">
        <f t="shared" si="10"/>
        <v>#N/A</v>
      </c>
    </row>
    <row r="390" spans="3:12">
      <c r="C390" s="160" t="str">
        <f t="shared" si="11"/>
        <v/>
      </c>
      <c r="L390" s="404" t="e">
        <f t="shared" si="10"/>
        <v>#N/A</v>
      </c>
    </row>
    <row r="391" spans="3:12">
      <c r="C391" s="160" t="str">
        <f t="shared" si="11"/>
        <v/>
      </c>
      <c r="L391" s="404" t="e">
        <f t="shared" si="10"/>
        <v>#N/A</v>
      </c>
    </row>
    <row r="392" spans="3:12">
      <c r="C392" s="160" t="str">
        <f t="shared" si="11"/>
        <v/>
      </c>
      <c r="L392" s="404" t="e">
        <f t="shared" si="10"/>
        <v>#N/A</v>
      </c>
    </row>
    <row r="393" spans="3:12">
      <c r="C393" s="160" t="str">
        <f t="shared" si="11"/>
        <v/>
      </c>
      <c r="L393" s="404" t="e">
        <f t="shared" si="10"/>
        <v>#N/A</v>
      </c>
    </row>
    <row r="394" spans="3:12">
      <c r="C394" s="160" t="str">
        <f t="shared" si="11"/>
        <v/>
      </c>
      <c r="L394" s="404" t="e">
        <f t="shared" si="10"/>
        <v>#N/A</v>
      </c>
    </row>
    <row r="395" spans="3:12">
      <c r="C395" s="160" t="str">
        <f t="shared" si="11"/>
        <v/>
      </c>
      <c r="L395" s="404" t="e">
        <f t="shared" si="10"/>
        <v>#N/A</v>
      </c>
    </row>
    <row r="396" spans="3:12">
      <c r="C396" s="160" t="str">
        <f t="shared" si="11"/>
        <v/>
      </c>
      <c r="L396" s="404" t="e">
        <f t="shared" ref="L396:L459" si="12">IF(C396=C395,NA(),SUMIF(Prob_ProbRunandCrit,C396,Prob_Prob))</f>
        <v>#N/A</v>
      </c>
    </row>
    <row r="397" spans="3:12">
      <c r="C397" s="160" t="str">
        <f t="shared" ref="C397:C460" si="13">D397&amp;I397</f>
        <v/>
      </c>
      <c r="L397" s="404" t="e">
        <f t="shared" si="12"/>
        <v>#N/A</v>
      </c>
    </row>
    <row r="398" spans="3:12">
      <c r="C398" s="160" t="str">
        <f t="shared" si="13"/>
        <v/>
      </c>
      <c r="L398" s="404" t="e">
        <f t="shared" si="12"/>
        <v>#N/A</v>
      </c>
    </row>
    <row r="399" spans="3:12">
      <c r="C399" s="160" t="str">
        <f t="shared" si="13"/>
        <v/>
      </c>
      <c r="L399" s="404" t="e">
        <f t="shared" si="12"/>
        <v>#N/A</v>
      </c>
    </row>
    <row r="400" spans="3:12">
      <c r="C400" s="160" t="str">
        <f t="shared" si="13"/>
        <v/>
      </c>
      <c r="L400" s="404" t="e">
        <f t="shared" si="12"/>
        <v>#N/A</v>
      </c>
    </row>
    <row r="401" spans="3:12">
      <c r="C401" s="160" t="str">
        <f t="shared" si="13"/>
        <v/>
      </c>
      <c r="L401" s="404" t="e">
        <f t="shared" si="12"/>
        <v>#N/A</v>
      </c>
    </row>
    <row r="402" spans="3:12">
      <c r="C402" s="160" t="str">
        <f t="shared" si="13"/>
        <v/>
      </c>
      <c r="L402" s="404" t="e">
        <f t="shared" si="12"/>
        <v>#N/A</v>
      </c>
    </row>
    <row r="403" spans="3:12">
      <c r="C403" s="160" t="str">
        <f t="shared" si="13"/>
        <v/>
      </c>
      <c r="L403" s="404" t="e">
        <f t="shared" si="12"/>
        <v>#N/A</v>
      </c>
    </row>
    <row r="404" spans="3:12">
      <c r="C404" s="160" t="str">
        <f t="shared" si="13"/>
        <v/>
      </c>
      <c r="L404" s="404" t="e">
        <f t="shared" si="12"/>
        <v>#N/A</v>
      </c>
    </row>
    <row r="405" spans="3:12">
      <c r="C405" s="160" t="str">
        <f t="shared" si="13"/>
        <v/>
      </c>
      <c r="L405" s="404" t="e">
        <f t="shared" si="12"/>
        <v>#N/A</v>
      </c>
    </row>
    <row r="406" spans="3:12">
      <c r="C406" s="160" t="str">
        <f t="shared" si="13"/>
        <v/>
      </c>
      <c r="L406" s="404" t="e">
        <f t="shared" si="12"/>
        <v>#N/A</v>
      </c>
    </row>
    <row r="407" spans="3:12">
      <c r="C407" s="160" t="str">
        <f t="shared" si="13"/>
        <v/>
      </c>
      <c r="L407" s="404" t="e">
        <f t="shared" si="12"/>
        <v>#N/A</v>
      </c>
    </row>
    <row r="408" spans="3:12">
      <c r="C408" s="160" t="str">
        <f t="shared" si="13"/>
        <v/>
      </c>
      <c r="L408" s="404" t="e">
        <f t="shared" si="12"/>
        <v>#N/A</v>
      </c>
    </row>
    <row r="409" spans="3:12">
      <c r="C409" s="160" t="str">
        <f t="shared" si="13"/>
        <v/>
      </c>
      <c r="L409" s="404" t="e">
        <f t="shared" si="12"/>
        <v>#N/A</v>
      </c>
    </row>
    <row r="410" spans="3:12">
      <c r="C410" s="160" t="str">
        <f t="shared" si="13"/>
        <v/>
      </c>
      <c r="L410" s="404" t="e">
        <f t="shared" si="12"/>
        <v>#N/A</v>
      </c>
    </row>
    <row r="411" spans="3:12">
      <c r="C411" s="160" t="str">
        <f t="shared" si="13"/>
        <v/>
      </c>
      <c r="L411" s="404" t="e">
        <f t="shared" si="12"/>
        <v>#N/A</v>
      </c>
    </row>
    <row r="412" spans="3:12">
      <c r="C412" s="160" t="str">
        <f t="shared" si="13"/>
        <v/>
      </c>
      <c r="L412" s="404" t="e">
        <f t="shared" si="12"/>
        <v>#N/A</v>
      </c>
    </row>
    <row r="413" spans="3:12">
      <c r="C413" s="160" t="str">
        <f t="shared" si="13"/>
        <v/>
      </c>
      <c r="L413" s="404" t="e">
        <f t="shared" si="12"/>
        <v>#N/A</v>
      </c>
    </row>
    <row r="414" spans="3:12">
      <c r="C414" s="160" t="str">
        <f t="shared" si="13"/>
        <v/>
      </c>
      <c r="L414" s="404" t="e">
        <f t="shared" si="12"/>
        <v>#N/A</v>
      </c>
    </row>
    <row r="415" spans="3:12">
      <c r="C415" s="160" t="str">
        <f t="shared" si="13"/>
        <v/>
      </c>
      <c r="L415" s="404" t="e">
        <f t="shared" si="12"/>
        <v>#N/A</v>
      </c>
    </row>
    <row r="416" spans="3:12">
      <c r="C416" s="160" t="str">
        <f t="shared" si="13"/>
        <v/>
      </c>
      <c r="L416" s="404" t="e">
        <f t="shared" si="12"/>
        <v>#N/A</v>
      </c>
    </row>
    <row r="417" spans="3:12">
      <c r="C417" s="160" t="str">
        <f t="shared" si="13"/>
        <v/>
      </c>
      <c r="L417" s="404" t="e">
        <f t="shared" si="12"/>
        <v>#N/A</v>
      </c>
    </row>
    <row r="418" spans="3:12">
      <c r="C418" s="160" t="str">
        <f t="shared" si="13"/>
        <v/>
      </c>
      <c r="L418" s="404" t="e">
        <f t="shared" si="12"/>
        <v>#N/A</v>
      </c>
    </row>
    <row r="419" spans="3:12">
      <c r="C419" s="160" t="str">
        <f t="shared" si="13"/>
        <v/>
      </c>
      <c r="L419" s="404" t="e">
        <f t="shared" si="12"/>
        <v>#N/A</v>
      </c>
    </row>
    <row r="420" spans="3:12">
      <c r="C420" s="160" t="str">
        <f t="shared" si="13"/>
        <v/>
      </c>
      <c r="L420" s="404" t="e">
        <f t="shared" si="12"/>
        <v>#N/A</v>
      </c>
    </row>
    <row r="421" spans="3:12">
      <c r="C421" s="160" t="str">
        <f t="shared" si="13"/>
        <v/>
      </c>
      <c r="L421" s="404" t="e">
        <f t="shared" si="12"/>
        <v>#N/A</v>
      </c>
    </row>
    <row r="422" spans="3:12">
      <c r="C422" s="160" t="str">
        <f t="shared" si="13"/>
        <v/>
      </c>
      <c r="L422" s="404" t="e">
        <f t="shared" si="12"/>
        <v>#N/A</v>
      </c>
    </row>
    <row r="423" spans="3:12">
      <c r="C423" s="160" t="str">
        <f t="shared" si="13"/>
        <v/>
      </c>
      <c r="L423" s="404" t="e">
        <f t="shared" si="12"/>
        <v>#N/A</v>
      </c>
    </row>
    <row r="424" spans="3:12">
      <c r="C424" s="160" t="str">
        <f t="shared" si="13"/>
        <v/>
      </c>
      <c r="L424" s="404" t="e">
        <f t="shared" si="12"/>
        <v>#N/A</v>
      </c>
    </row>
    <row r="425" spans="3:12">
      <c r="C425" s="160" t="str">
        <f t="shared" si="13"/>
        <v/>
      </c>
      <c r="L425" s="404" t="e">
        <f t="shared" si="12"/>
        <v>#N/A</v>
      </c>
    </row>
    <row r="426" spans="3:12">
      <c r="C426" s="160" t="str">
        <f t="shared" si="13"/>
        <v/>
      </c>
      <c r="L426" s="404" t="e">
        <f t="shared" si="12"/>
        <v>#N/A</v>
      </c>
    </row>
    <row r="427" spans="3:12">
      <c r="C427" s="160" t="str">
        <f t="shared" si="13"/>
        <v/>
      </c>
      <c r="L427" s="404" t="e">
        <f t="shared" si="12"/>
        <v>#N/A</v>
      </c>
    </row>
    <row r="428" spans="3:12">
      <c r="C428" s="160" t="str">
        <f t="shared" si="13"/>
        <v/>
      </c>
      <c r="L428" s="404" t="e">
        <f t="shared" si="12"/>
        <v>#N/A</v>
      </c>
    </row>
    <row r="429" spans="3:12">
      <c r="C429" s="160" t="str">
        <f t="shared" si="13"/>
        <v/>
      </c>
      <c r="L429" s="404" t="e">
        <f t="shared" si="12"/>
        <v>#N/A</v>
      </c>
    </row>
    <row r="430" spans="3:12">
      <c r="C430" s="160" t="str">
        <f t="shared" si="13"/>
        <v/>
      </c>
      <c r="L430" s="404" t="e">
        <f t="shared" si="12"/>
        <v>#N/A</v>
      </c>
    </row>
    <row r="431" spans="3:12">
      <c r="C431" s="160" t="str">
        <f t="shared" si="13"/>
        <v/>
      </c>
      <c r="L431" s="404" t="e">
        <f t="shared" si="12"/>
        <v>#N/A</v>
      </c>
    </row>
    <row r="432" spans="3:12">
      <c r="C432" s="160" t="str">
        <f t="shared" si="13"/>
        <v/>
      </c>
      <c r="L432" s="404" t="e">
        <f t="shared" si="12"/>
        <v>#N/A</v>
      </c>
    </row>
    <row r="433" spans="3:12">
      <c r="C433" s="160" t="str">
        <f t="shared" si="13"/>
        <v/>
      </c>
      <c r="L433" s="404" t="e">
        <f t="shared" si="12"/>
        <v>#N/A</v>
      </c>
    </row>
    <row r="434" spans="3:12">
      <c r="C434" s="160" t="str">
        <f t="shared" si="13"/>
        <v/>
      </c>
      <c r="L434" s="404" t="e">
        <f t="shared" si="12"/>
        <v>#N/A</v>
      </c>
    </row>
    <row r="435" spans="3:12">
      <c r="C435" s="160" t="str">
        <f t="shared" si="13"/>
        <v/>
      </c>
      <c r="L435" s="404" t="e">
        <f t="shared" si="12"/>
        <v>#N/A</v>
      </c>
    </row>
    <row r="436" spans="3:12">
      <c r="C436" s="160" t="str">
        <f t="shared" si="13"/>
        <v/>
      </c>
      <c r="L436" s="404" t="e">
        <f t="shared" si="12"/>
        <v>#N/A</v>
      </c>
    </row>
    <row r="437" spans="3:12">
      <c r="C437" s="160" t="str">
        <f t="shared" si="13"/>
        <v/>
      </c>
      <c r="L437" s="404" t="e">
        <f t="shared" si="12"/>
        <v>#N/A</v>
      </c>
    </row>
    <row r="438" spans="3:12">
      <c r="C438" s="160" t="str">
        <f t="shared" si="13"/>
        <v/>
      </c>
      <c r="L438" s="404" t="e">
        <f t="shared" si="12"/>
        <v>#N/A</v>
      </c>
    </row>
    <row r="439" spans="3:12">
      <c r="C439" s="160" t="str">
        <f t="shared" si="13"/>
        <v/>
      </c>
      <c r="L439" s="404" t="e">
        <f t="shared" si="12"/>
        <v>#N/A</v>
      </c>
    </row>
    <row r="440" spans="3:12">
      <c r="C440" s="160" t="str">
        <f t="shared" si="13"/>
        <v/>
      </c>
      <c r="L440" s="404" t="e">
        <f t="shared" si="12"/>
        <v>#N/A</v>
      </c>
    </row>
    <row r="441" spans="3:12">
      <c r="C441" s="160" t="str">
        <f t="shared" si="13"/>
        <v/>
      </c>
      <c r="L441" s="404" t="e">
        <f t="shared" si="12"/>
        <v>#N/A</v>
      </c>
    </row>
    <row r="442" spans="3:12">
      <c r="C442" s="160" t="str">
        <f t="shared" si="13"/>
        <v/>
      </c>
      <c r="L442" s="404" t="e">
        <f t="shared" si="12"/>
        <v>#N/A</v>
      </c>
    </row>
    <row r="443" spans="3:12">
      <c r="C443" s="160" t="str">
        <f t="shared" si="13"/>
        <v/>
      </c>
      <c r="L443" s="404" t="e">
        <f t="shared" si="12"/>
        <v>#N/A</v>
      </c>
    </row>
    <row r="444" spans="3:12">
      <c r="C444" s="160" t="str">
        <f t="shared" si="13"/>
        <v/>
      </c>
      <c r="L444" s="404" t="e">
        <f t="shared" si="12"/>
        <v>#N/A</v>
      </c>
    </row>
    <row r="445" spans="3:12">
      <c r="C445" s="160" t="str">
        <f t="shared" si="13"/>
        <v/>
      </c>
      <c r="L445" s="404" t="e">
        <f t="shared" si="12"/>
        <v>#N/A</v>
      </c>
    </row>
    <row r="446" spans="3:12">
      <c r="C446" s="160" t="str">
        <f t="shared" si="13"/>
        <v/>
      </c>
      <c r="L446" s="404" t="e">
        <f t="shared" si="12"/>
        <v>#N/A</v>
      </c>
    </row>
    <row r="447" spans="3:12">
      <c r="C447" s="160" t="str">
        <f t="shared" si="13"/>
        <v/>
      </c>
      <c r="L447" s="404" t="e">
        <f t="shared" si="12"/>
        <v>#N/A</v>
      </c>
    </row>
    <row r="448" spans="3:12">
      <c r="C448" s="160" t="str">
        <f t="shared" si="13"/>
        <v/>
      </c>
      <c r="L448" s="404" t="e">
        <f t="shared" si="12"/>
        <v>#N/A</v>
      </c>
    </row>
    <row r="449" spans="3:12">
      <c r="C449" s="160" t="str">
        <f t="shared" si="13"/>
        <v/>
      </c>
      <c r="L449" s="404" t="e">
        <f t="shared" si="12"/>
        <v>#N/A</v>
      </c>
    </row>
    <row r="450" spans="3:12">
      <c r="C450" s="160" t="str">
        <f t="shared" si="13"/>
        <v/>
      </c>
      <c r="L450" s="404" t="e">
        <f t="shared" si="12"/>
        <v>#N/A</v>
      </c>
    </row>
    <row r="451" spans="3:12">
      <c r="C451" s="160" t="str">
        <f t="shared" si="13"/>
        <v/>
      </c>
      <c r="L451" s="404" t="e">
        <f t="shared" si="12"/>
        <v>#N/A</v>
      </c>
    </row>
    <row r="452" spans="3:12">
      <c r="C452" s="160" t="str">
        <f t="shared" si="13"/>
        <v/>
      </c>
      <c r="L452" s="404" t="e">
        <f t="shared" si="12"/>
        <v>#N/A</v>
      </c>
    </row>
    <row r="453" spans="3:12">
      <c r="C453" s="160" t="str">
        <f t="shared" si="13"/>
        <v/>
      </c>
      <c r="L453" s="404" t="e">
        <f t="shared" si="12"/>
        <v>#N/A</v>
      </c>
    </row>
    <row r="454" spans="3:12">
      <c r="C454" s="160" t="str">
        <f t="shared" si="13"/>
        <v/>
      </c>
      <c r="L454" s="404" t="e">
        <f t="shared" si="12"/>
        <v>#N/A</v>
      </c>
    </row>
    <row r="455" spans="3:12">
      <c r="C455" s="160" t="str">
        <f t="shared" si="13"/>
        <v/>
      </c>
      <c r="L455" s="404" t="e">
        <f t="shared" si="12"/>
        <v>#N/A</v>
      </c>
    </row>
    <row r="456" spans="3:12">
      <c r="C456" s="160" t="str">
        <f t="shared" si="13"/>
        <v/>
      </c>
      <c r="L456" s="404" t="e">
        <f t="shared" si="12"/>
        <v>#N/A</v>
      </c>
    </row>
    <row r="457" spans="3:12">
      <c r="C457" s="160" t="str">
        <f t="shared" si="13"/>
        <v/>
      </c>
      <c r="L457" s="404" t="e">
        <f t="shared" si="12"/>
        <v>#N/A</v>
      </c>
    </row>
    <row r="458" spans="3:12">
      <c r="C458" s="160" t="str">
        <f t="shared" si="13"/>
        <v/>
      </c>
      <c r="L458" s="404" t="e">
        <f t="shared" si="12"/>
        <v>#N/A</v>
      </c>
    </row>
    <row r="459" spans="3:12">
      <c r="C459" s="160" t="str">
        <f t="shared" si="13"/>
        <v/>
      </c>
      <c r="L459" s="404" t="e">
        <f t="shared" si="12"/>
        <v>#N/A</v>
      </c>
    </row>
    <row r="460" spans="3:12">
      <c r="C460" s="160" t="str">
        <f t="shared" si="13"/>
        <v/>
      </c>
      <c r="L460" s="404" t="e">
        <f t="shared" ref="L460:L523" si="14">IF(C460=C459,NA(),SUMIF(Prob_ProbRunandCrit,C460,Prob_Prob))</f>
        <v>#N/A</v>
      </c>
    </row>
    <row r="461" spans="3:12">
      <c r="C461" s="160" t="str">
        <f t="shared" ref="C461:C524" si="15">D461&amp;I461</f>
        <v/>
      </c>
      <c r="L461" s="404" t="e">
        <f t="shared" si="14"/>
        <v>#N/A</v>
      </c>
    </row>
    <row r="462" spans="3:12">
      <c r="C462" s="160" t="str">
        <f t="shared" si="15"/>
        <v/>
      </c>
      <c r="L462" s="404" t="e">
        <f t="shared" si="14"/>
        <v>#N/A</v>
      </c>
    </row>
    <row r="463" spans="3:12">
      <c r="C463" s="160" t="str">
        <f t="shared" si="15"/>
        <v/>
      </c>
      <c r="L463" s="404" t="e">
        <f t="shared" si="14"/>
        <v>#N/A</v>
      </c>
    </row>
    <row r="464" spans="3:12">
      <c r="C464" s="160" t="str">
        <f t="shared" si="15"/>
        <v/>
      </c>
      <c r="L464" s="404" t="e">
        <f t="shared" si="14"/>
        <v>#N/A</v>
      </c>
    </row>
    <row r="465" spans="3:12">
      <c r="C465" s="160" t="str">
        <f t="shared" si="15"/>
        <v/>
      </c>
      <c r="L465" s="404" t="e">
        <f t="shared" si="14"/>
        <v>#N/A</v>
      </c>
    </row>
    <row r="466" spans="3:12">
      <c r="C466" s="160" t="str">
        <f t="shared" si="15"/>
        <v/>
      </c>
      <c r="L466" s="404" t="e">
        <f t="shared" si="14"/>
        <v>#N/A</v>
      </c>
    </row>
    <row r="467" spans="3:12">
      <c r="C467" s="160" t="str">
        <f t="shared" si="15"/>
        <v/>
      </c>
      <c r="L467" s="404" t="e">
        <f t="shared" si="14"/>
        <v>#N/A</v>
      </c>
    </row>
    <row r="468" spans="3:12">
      <c r="C468" s="160" t="str">
        <f t="shared" si="15"/>
        <v/>
      </c>
      <c r="L468" s="404" t="e">
        <f t="shared" si="14"/>
        <v>#N/A</v>
      </c>
    </row>
    <row r="469" spans="3:12">
      <c r="C469" s="160" t="str">
        <f t="shared" si="15"/>
        <v/>
      </c>
      <c r="L469" s="404" t="e">
        <f t="shared" si="14"/>
        <v>#N/A</v>
      </c>
    </row>
    <row r="470" spans="3:12">
      <c r="C470" s="160" t="str">
        <f t="shared" si="15"/>
        <v/>
      </c>
      <c r="L470" s="404" t="e">
        <f t="shared" si="14"/>
        <v>#N/A</v>
      </c>
    </row>
    <row r="471" spans="3:12">
      <c r="C471" s="160" t="str">
        <f t="shared" si="15"/>
        <v/>
      </c>
      <c r="L471" s="404" t="e">
        <f t="shared" si="14"/>
        <v>#N/A</v>
      </c>
    </row>
    <row r="472" spans="3:12">
      <c r="C472" s="160" t="str">
        <f t="shared" si="15"/>
        <v/>
      </c>
      <c r="L472" s="404" t="e">
        <f t="shared" si="14"/>
        <v>#N/A</v>
      </c>
    </row>
    <row r="473" spans="3:12">
      <c r="C473" s="160" t="str">
        <f t="shared" si="15"/>
        <v/>
      </c>
      <c r="L473" s="404" t="e">
        <f t="shared" si="14"/>
        <v>#N/A</v>
      </c>
    </row>
    <row r="474" spans="3:12">
      <c r="C474" s="160" t="str">
        <f t="shared" si="15"/>
        <v/>
      </c>
      <c r="L474" s="404" t="e">
        <f t="shared" si="14"/>
        <v>#N/A</v>
      </c>
    </row>
    <row r="475" spans="3:12">
      <c r="C475" s="160" t="str">
        <f t="shared" si="15"/>
        <v/>
      </c>
      <c r="L475" s="404" t="e">
        <f t="shared" si="14"/>
        <v>#N/A</v>
      </c>
    </row>
    <row r="476" spans="3:12">
      <c r="C476" s="160" t="str">
        <f t="shared" si="15"/>
        <v/>
      </c>
      <c r="L476" s="404" t="e">
        <f t="shared" si="14"/>
        <v>#N/A</v>
      </c>
    </row>
    <row r="477" spans="3:12">
      <c r="C477" s="160" t="str">
        <f t="shared" si="15"/>
        <v/>
      </c>
      <c r="L477" s="404" t="e">
        <f t="shared" si="14"/>
        <v>#N/A</v>
      </c>
    </row>
    <row r="478" spans="3:12">
      <c r="C478" s="160" t="str">
        <f t="shared" si="15"/>
        <v/>
      </c>
      <c r="L478" s="404" t="e">
        <f t="shared" si="14"/>
        <v>#N/A</v>
      </c>
    </row>
    <row r="479" spans="3:12">
      <c r="C479" s="160" t="str">
        <f t="shared" si="15"/>
        <v/>
      </c>
      <c r="L479" s="404" t="e">
        <f t="shared" si="14"/>
        <v>#N/A</v>
      </c>
    </row>
    <row r="480" spans="3:12">
      <c r="C480" s="160" t="str">
        <f t="shared" si="15"/>
        <v/>
      </c>
      <c r="L480" s="404" t="e">
        <f t="shared" si="14"/>
        <v>#N/A</v>
      </c>
    </row>
    <row r="481" spans="3:12">
      <c r="C481" s="160" t="str">
        <f t="shared" si="15"/>
        <v/>
      </c>
      <c r="L481" s="404" t="e">
        <f t="shared" si="14"/>
        <v>#N/A</v>
      </c>
    </row>
    <row r="482" spans="3:12">
      <c r="C482" s="160" t="str">
        <f t="shared" si="15"/>
        <v/>
      </c>
      <c r="L482" s="404" t="e">
        <f t="shared" si="14"/>
        <v>#N/A</v>
      </c>
    </row>
    <row r="483" spans="3:12">
      <c r="C483" s="160" t="str">
        <f t="shared" si="15"/>
        <v/>
      </c>
      <c r="L483" s="404" t="e">
        <f t="shared" si="14"/>
        <v>#N/A</v>
      </c>
    </row>
    <row r="484" spans="3:12">
      <c r="C484" s="160" t="str">
        <f t="shared" si="15"/>
        <v/>
      </c>
      <c r="L484" s="404" t="e">
        <f t="shared" si="14"/>
        <v>#N/A</v>
      </c>
    </row>
    <row r="485" spans="3:12">
      <c r="C485" s="160" t="str">
        <f t="shared" si="15"/>
        <v/>
      </c>
      <c r="L485" s="404" t="e">
        <f t="shared" si="14"/>
        <v>#N/A</v>
      </c>
    </row>
    <row r="486" spans="3:12">
      <c r="C486" s="160" t="str">
        <f t="shared" si="15"/>
        <v/>
      </c>
      <c r="L486" s="404" t="e">
        <f t="shared" si="14"/>
        <v>#N/A</v>
      </c>
    </row>
    <row r="487" spans="3:12">
      <c r="C487" s="160" t="str">
        <f t="shared" si="15"/>
        <v/>
      </c>
      <c r="L487" s="404" t="e">
        <f t="shared" si="14"/>
        <v>#N/A</v>
      </c>
    </row>
    <row r="488" spans="3:12">
      <c r="C488" s="160" t="str">
        <f t="shared" si="15"/>
        <v/>
      </c>
      <c r="L488" s="404" t="e">
        <f t="shared" si="14"/>
        <v>#N/A</v>
      </c>
    </row>
    <row r="489" spans="3:12">
      <c r="C489" s="160" t="str">
        <f t="shared" si="15"/>
        <v/>
      </c>
      <c r="L489" s="404" t="e">
        <f t="shared" si="14"/>
        <v>#N/A</v>
      </c>
    </row>
    <row r="490" spans="3:12">
      <c r="C490" s="160" t="str">
        <f t="shared" si="15"/>
        <v/>
      </c>
      <c r="L490" s="404" t="e">
        <f t="shared" si="14"/>
        <v>#N/A</v>
      </c>
    </row>
    <row r="491" spans="3:12">
      <c r="C491" s="160" t="str">
        <f t="shared" si="15"/>
        <v/>
      </c>
      <c r="L491" s="404" t="e">
        <f t="shared" si="14"/>
        <v>#N/A</v>
      </c>
    </row>
    <row r="492" spans="3:12">
      <c r="C492" s="160" t="str">
        <f t="shared" si="15"/>
        <v/>
      </c>
      <c r="L492" s="404" t="e">
        <f t="shared" si="14"/>
        <v>#N/A</v>
      </c>
    </row>
    <row r="493" spans="3:12">
      <c r="C493" s="160" t="str">
        <f t="shared" si="15"/>
        <v/>
      </c>
      <c r="L493" s="404" t="e">
        <f t="shared" si="14"/>
        <v>#N/A</v>
      </c>
    </row>
    <row r="494" spans="3:12">
      <c r="C494" s="160" t="str">
        <f t="shared" si="15"/>
        <v/>
      </c>
      <c r="L494" s="404" t="e">
        <f t="shared" si="14"/>
        <v>#N/A</v>
      </c>
    </row>
    <row r="495" spans="3:12">
      <c r="C495" s="160" t="str">
        <f t="shared" si="15"/>
        <v/>
      </c>
      <c r="L495" s="404" t="e">
        <f t="shared" si="14"/>
        <v>#N/A</v>
      </c>
    </row>
    <row r="496" spans="3:12">
      <c r="C496" s="160" t="str">
        <f t="shared" si="15"/>
        <v/>
      </c>
      <c r="L496" s="404" t="e">
        <f t="shared" si="14"/>
        <v>#N/A</v>
      </c>
    </row>
    <row r="497" spans="3:12">
      <c r="C497" s="160" t="str">
        <f t="shared" si="15"/>
        <v/>
      </c>
      <c r="L497" s="404" t="e">
        <f t="shared" si="14"/>
        <v>#N/A</v>
      </c>
    </row>
    <row r="498" spans="3:12">
      <c r="C498" s="160" t="str">
        <f t="shared" si="15"/>
        <v/>
      </c>
      <c r="L498" s="404" t="e">
        <f t="shared" si="14"/>
        <v>#N/A</v>
      </c>
    </row>
    <row r="499" spans="3:12">
      <c r="C499" s="160" t="str">
        <f t="shared" si="15"/>
        <v/>
      </c>
      <c r="L499" s="404" t="e">
        <f t="shared" si="14"/>
        <v>#N/A</v>
      </c>
    </row>
    <row r="500" spans="3:12">
      <c r="C500" s="160" t="str">
        <f t="shared" si="15"/>
        <v/>
      </c>
      <c r="L500" s="404" t="e">
        <f t="shared" si="14"/>
        <v>#N/A</v>
      </c>
    </row>
    <row r="501" spans="3:12">
      <c r="C501" s="160" t="str">
        <f t="shared" si="15"/>
        <v/>
      </c>
      <c r="L501" s="404" t="e">
        <f t="shared" si="14"/>
        <v>#N/A</v>
      </c>
    </row>
    <row r="502" spans="3:12">
      <c r="C502" s="160" t="str">
        <f t="shared" si="15"/>
        <v/>
      </c>
      <c r="L502" s="404" t="e">
        <f t="shared" si="14"/>
        <v>#N/A</v>
      </c>
    </row>
    <row r="503" spans="3:12">
      <c r="C503" s="160" t="str">
        <f t="shared" si="15"/>
        <v/>
      </c>
      <c r="L503" s="404" t="e">
        <f t="shared" si="14"/>
        <v>#N/A</v>
      </c>
    </row>
    <row r="504" spans="3:12">
      <c r="C504" s="160" t="str">
        <f t="shared" si="15"/>
        <v/>
      </c>
      <c r="L504" s="404" t="e">
        <f t="shared" si="14"/>
        <v>#N/A</v>
      </c>
    </row>
    <row r="505" spans="3:12">
      <c r="C505" s="160" t="str">
        <f t="shared" si="15"/>
        <v/>
      </c>
      <c r="L505" s="404" t="e">
        <f t="shared" si="14"/>
        <v>#N/A</v>
      </c>
    </row>
    <row r="506" spans="3:12">
      <c r="C506" s="160" t="str">
        <f t="shared" si="15"/>
        <v/>
      </c>
      <c r="L506" s="404" t="e">
        <f t="shared" si="14"/>
        <v>#N/A</v>
      </c>
    </row>
    <row r="507" spans="3:12">
      <c r="C507" s="160" t="str">
        <f t="shared" si="15"/>
        <v/>
      </c>
      <c r="L507" s="404" t="e">
        <f t="shared" si="14"/>
        <v>#N/A</v>
      </c>
    </row>
    <row r="508" spans="3:12">
      <c r="C508" s="160" t="str">
        <f t="shared" si="15"/>
        <v/>
      </c>
      <c r="L508" s="404" t="e">
        <f t="shared" si="14"/>
        <v>#N/A</v>
      </c>
    </row>
    <row r="509" spans="3:12">
      <c r="C509" s="160" t="str">
        <f t="shared" si="15"/>
        <v/>
      </c>
      <c r="L509" s="404" t="e">
        <f t="shared" si="14"/>
        <v>#N/A</v>
      </c>
    </row>
    <row r="510" spans="3:12">
      <c r="C510" s="160" t="str">
        <f t="shared" si="15"/>
        <v/>
      </c>
      <c r="L510" s="404" t="e">
        <f t="shared" si="14"/>
        <v>#N/A</v>
      </c>
    </row>
    <row r="511" spans="3:12">
      <c r="C511" s="160" t="str">
        <f t="shared" si="15"/>
        <v/>
      </c>
      <c r="L511" s="404" t="e">
        <f t="shared" si="14"/>
        <v>#N/A</v>
      </c>
    </row>
    <row r="512" spans="3:12">
      <c r="C512" s="160" t="str">
        <f t="shared" si="15"/>
        <v/>
      </c>
      <c r="L512" s="404" t="e">
        <f t="shared" si="14"/>
        <v>#N/A</v>
      </c>
    </row>
    <row r="513" spans="3:12">
      <c r="C513" s="160" t="str">
        <f t="shared" si="15"/>
        <v/>
      </c>
      <c r="L513" s="404" t="e">
        <f t="shared" si="14"/>
        <v>#N/A</v>
      </c>
    </row>
    <row r="514" spans="3:12">
      <c r="C514" s="160" t="str">
        <f t="shared" si="15"/>
        <v/>
      </c>
      <c r="L514" s="404" t="e">
        <f t="shared" si="14"/>
        <v>#N/A</v>
      </c>
    </row>
    <row r="515" spans="3:12">
      <c r="C515" s="160" t="str">
        <f t="shared" si="15"/>
        <v/>
      </c>
      <c r="L515" s="404" t="e">
        <f t="shared" si="14"/>
        <v>#N/A</v>
      </c>
    </row>
    <row r="516" spans="3:12">
      <c r="C516" s="160" t="str">
        <f t="shared" si="15"/>
        <v/>
      </c>
      <c r="L516" s="404" t="e">
        <f t="shared" si="14"/>
        <v>#N/A</v>
      </c>
    </row>
    <row r="517" spans="3:12">
      <c r="C517" s="160" t="str">
        <f t="shared" si="15"/>
        <v/>
      </c>
      <c r="L517" s="404" t="e">
        <f t="shared" si="14"/>
        <v>#N/A</v>
      </c>
    </row>
    <row r="518" spans="3:12">
      <c r="C518" s="160" t="str">
        <f t="shared" si="15"/>
        <v/>
      </c>
      <c r="L518" s="404" t="e">
        <f t="shared" si="14"/>
        <v>#N/A</v>
      </c>
    </row>
    <row r="519" spans="3:12">
      <c r="C519" s="160" t="str">
        <f t="shared" si="15"/>
        <v/>
      </c>
      <c r="L519" s="404" t="e">
        <f t="shared" si="14"/>
        <v>#N/A</v>
      </c>
    </row>
    <row r="520" spans="3:12">
      <c r="C520" s="160" t="str">
        <f t="shared" si="15"/>
        <v/>
      </c>
      <c r="L520" s="404" t="e">
        <f t="shared" si="14"/>
        <v>#N/A</v>
      </c>
    </row>
    <row r="521" spans="3:12">
      <c r="C521" s="160" t="str">
        <f t="shared" si="15"/>
        <v/>
      </c>
      <c r="L521" s="404" t="e">
        <f t="shared" si="14"/>
        <v>#N/A</v>
      </c>
    </row>
    <row r="522" spans="3:12">
      <c r="C522" s="160" t="str">
        <f t="shared" si="15"/>
        <v/>
      </c>
      <c r="L522" s="404" t="e">
        <f t="shared" si="14"/>
        <v>#N/A</v>
      </c>
    </row>
    <row r="523" spans="3:12">
      <c r="C523" s="160" t="str">
        <f t="shared" si="15"/>
        <v/>
      </c>
      <c r="L523" s="404" t="e">
        <f t="shared" si="14"/>
        <v>#N/A</v>
      </c>
    </row>
    <row r="524" spans="3:12">
      <c r="C524" s="160" t="str">
        <f t="shared" si="15"/>
        <v/>
      </c>
      <c r="L524" s="404" t="e">
        <f t="shared" ref="L524:L587" si="16">IF(C524=C523,NA(),SUMIF(Prob_ProbRunandCrit,C524,Prob_Prob))</f>
        <v>#N/A</v>
      </c>
    </row>
    <row r="525" spans="3:12">
      <c r="C525" s="160" t="str">
        <f t="shared" ref="C525:C588" si="17">D525&amp;I525</f>
        <v/>
      </c>
      <c r="L525" s="404" t="e">
        <f t="shared" si="16"/>
        <v>#N/A</v>
      </c>
    </row>
    <row r="526" spans="3:12">
      <c r="C526" s="160" t="str">
        <f t="shared" si="17"/>
        <v/>
      </c>
      <c r="L526" s="404" t="e">
        <f t="shared" si="16"/>
        <v>#N/A</v>
      </c>
    </row>
    <row r="527" spans="3:12">
      <c r="C527" s="160" t="str">
        <f t="shared" si="17"/>
        <v/>
      </c>
      <c r="L527" s="404" t="e">
        <f t="shared" si="16"/>
        <v>#N/A</v>
      </c>
    </row>
    <row r="528" spans="3:12">
      <c r="C528" s="160" t="str">
        <f t="shared" si="17"/>
        <v/>
      </c>
      <c r="L528" s="404" t="e">
        <f t="shared" si="16"/>
        <v>#N/A</v>
      </c>
    </row>
    <row r="529" spans="3:12">
      <c r="C529" s="160" t="str">
        <f t="shared" si="17"/>
        <v/>
      </c>
      <c r="L529" s="404" t="e">
        <f t="shared" si="16"/>
        <v>#N/A</v>
      </c>
    </row>
    <row r="530" spans="3:12">
      <c r="C530" s="160" t="str">
        <f t="shared" si="17"/>
        <v/>
      </c>
      <c r="L530" s="404" t="e">
        <f t="shared" si="16"/>
        <v>#N/A</v>
      </c>
    </row>
    <row r="531" spans="3:12">
      <c r="C531" s="160" t="str">
        <f t="shared" si="17"/>
        <v/>
      </c>
      <c r="L531" s="404" t="e">
        <f t="shared" si="16"/>
        <v>#N/A</v>
      </c>
    </row>
    <row r="532" spans="3:12">
      <c r="C532" s="160" t="str">
        <f t="shared" si="17"/>
        <v/>
      </c>
      <c r="L532" s="404" t="e">
        <f t="shared" si="16"/>
        <v>#N/A</v>
      </c>
    </row>
    <row r="533" spans="3:12">
      <c r="C533" s="160" t="str">
        <f t="shared" si="17"/>
        <v/>
      </c>
      <c r="L533" s="404" t="e">
        <f t="shared" si="16"/>
        <v>#N/A</v>
      </c>
    </row>
    <row r="534" spans="3:12">
      <c r="C534" s="160" t="str">
        <f t="shared" si="17"/>
        <v/>
      </c>
      <c r="L534" s="404" t="e">
        <f t="shared" si="16"/>
        <v>#N/A</v>
      </c>
    </row>
    <row r="535" spans="3:12">
      <c r="C535" s="160" t="str">
        <f t="shared" si="17"/>
        <v/>
      </c>
      <c r="L535" s="404" t="e">
        <f t="shared" si="16"/>
        <v>#N/A</v>
      </c>
    </row>
    <row r="536" spans="3:12">
      <c r="C536" s="160" t="str">
        <f t="shared" si="17"/>
        <v/>
      </c>
      <c r="L536" s="404" t="e">
        <f t="shared" si="16"/>
        <v>#N/A</v>
      </c>
    </row>
    <row r="537" spans="3:12">
      <c r="C537" s="160" t="str">
        <f t="shared" si="17"/>
        <v/>
      </c>
      <c r="L537" s="404" t="e">
        <f t="shared" si="16"/>
        <v>#N/A</v>
      </c>
    </row>
    <row r="538" spans="3:12">
      <c r="C538" s="160" t="str">
        <f t="shared" si="17"/>
        <v/>
      </c>
      <c r="L538" s="404" t="e">
        <f t="shared" si="16"/>
        <v>#N/A</v>
      </c>
    </row>
    <row r="539" spans="3:12">
      <c r="C539" s="160" t="str">
        <f t="shared" si="17"/>
        <v/>
      </c>
      <c r="L539" s="404" t="e">
        <f t="shared" si="16"/>
        <v>#N/A</v>
      </c>
    </row>
    <row r="540" spans="3:12">
      <c r="C540" s="160" t="str">
        <f t="shared" si="17"/>
        <v/>
      </c>
      <c r="L540" s="404" t="e">
        <f t="shared" si="16"/>
        <v>#N/A</v>
      </c>
    </row>
    <row r="541" spans="3:12">
      <c r="C541" s="160" t="str">
        <f t="shared" si="17"/>
        <v/>
      </c>
      <c r="L541" s="404" t="e">
        <f t="shared" si="16"/>
        <v>#N/A</v>
      </c>
    </row>
    <row r="542" spans="3:12">
      <c r="C542" s="160" t="str">
        <f t="shared" si="17"/>
        <v/>
      </c>
      <c r="L542" s="404" t="e">
        <f t="shared" si="16"/>
        <v>#N/A</v>
      </c>
    </row>
    <row r="543" spans="3:12">
      <c r="C543" s="160" t="str">
        <f t="shared" si="17"/>
        <v/>
      </c>
      <c r="L543" s="404" t="e">
        <f t="shared" si="16"/>
        <v>#N/A</v>
      </c>
    </row>
    <row r="544" spans="3:12">
      <c r="C544" s="160" t="str">
        <f t="shared" si="17"/>
        <v/>
      </c>
      <c r="L544" s="404" t="e">
        <f t="shared" si="16"/>
        <v>#N/A</v>
      </c>
    </row>
    <row r="545" spans="3:12">
      <c r="C545" s="160" t="str">
        <f t="shared" si="17"/>
        <v/>
      </c>
      <c r="L545" s="404" t="e">
        <f t="shared" si="16"/>
        <v>#N/A</v>
      </c>
    </row>
    <row r="546" spans="3:12">
      <c r="C546" s="160" t="str">
        <f t="shared" si="17"/>
        <v/>
      </c>
      <c r="L546" s="404" t="e">
        <f t="shared" si="16"/>
        <v>#N/A</v>
      </c>
    </row>
    <row r="547" spans="3:12">
      <c r="C547" s="160" t="str">
        <f t="shared" si="17"/>
        <v/>
      </c>
      <c r="L547" s="404" t="e">
        <f t="shared" si="16"/>
        <v>#N/A</v>
      </c>
    </row>
    <row r="548" spans="3:12">
      <c r="C548" s="160" t="str">
        <f t="shared" si="17"/>
        <v/>
      </c>
      <c r="L548" s="404" t="e">
        <f t="shared" si="16"/>
        <v>#N/A</v>
      </c>
    </row>
    <row r="549" spans="3:12">
      <c r="C549" s="160" t="str">
        <f t="shared" si="17"/>
        <v/>
      </c>
      <c r="L549" s="404" t="e">
        <f t="shared" si="16"/>
        <v>#N/A</v>
      </c>
    </row>
    <row r="550" spans="3:12">
      <c r="C550" s="160" t="str">
        <f t="shared" si="17"/>
        <v/>
      </c>
      <c r="L550" s="404" t="e">
        <f t="shared" si="16"/>
        <v>#N/A</v>
      </c>
    </row>
    <row r="551" spans="3:12">
      <c r="C551" s="160" t="str">
        <f t="shared" si="17"/>
        <v/>
      </c>
      <c r="L551" s="404" t="e">
        <f t="shared" si="16"/>
        <v>#N/A</v>
      </c>
    </row>
    <row r="552" spans="3:12">
      <c r="C552" s="160" t="str">
        <f t="shared" si="17"/>
        <v/>
      </c>
      <c r="L552" s="404" t="e">
        <f t="shared" si="16"/>
        <v>#N/A</v>
      </c>
    </row>
    <row r="553" spans="3:12">
      <c r="C553" s="160" t="str">
        <f t="shared" si="17"/>
        <v/>
      </c>
      <c r="L553" s="404" t="e">
        <f t="shared" si="16"/>
        <v>#N/A</v>
      </c>
    </row>
    <row r="554" spans="3:12">
      <c r="C554" s="160" t="str">
        <f t="shared" si="17"/>
        <v/>
      </c>
      <c r="L554" s="404" t="e">
        <f t="shared" si="16"/>
        <v>#N/A</v>
      </c>
    </row>
    <row r="555" spans="3:12">
      <c r="C555" s="160" t="str">
        <f t="shared" si="17"/>
        <v/>
      </c>
      <c r="L555" s="404" t="e">
        <f t="shared" si="16"/>
        <v>#N/A</v>
      </c>
    </row>
    <row r="556" spans="3:12">
      <c r="C556" s="160" t="str">
        <f t="shared" si="17"/>
        <v/>
      </c>
      <c r="L556" s="404" t="e">
        <f t="shared" si="16"/>
        <v>#N/A</v>
      </c>
    </row>
    <row r="557" spans="3:12">
      <c r="C557" s="160" t="str">
        <f t="shared" si="17"/>
        <v/>
      </c>
      <c r="L557" s="404" t="e">
        <f t="shared" si="16"/>
        <v>#N/A</v>
      </c>
    </row>
    <row r="558" spans="3:12">
      <c r="C558" s="160" t="str">
        <f t="shared" si="17"/>
        <v/>
      </c>
      <c r="L558" s="404" t="e">
        <f t="shared" si="16"/>
        <v>#N/A</v>
      </c>
    </row>
    <row r="559" spans="3:12">
      <c r="C559" s="160" t="str">
        <f t="shared" si="17"/>
        <v/>
      </c>
      <c r="L559" s="404" t="e">
        <f t="shared" si="16"/>
        <v>#N/A</v>
      </c>
    </row>
    <row r="560" spans="3:12">
      <c r="C560" s="160" t="str">
        <f t="shared" si="17"/>
        <v/>
      </c>
      <c r="L560" s="404" t="e">
        <f t="shared" si="16"/>
        <v>#N/A</v>
      </c>
    </row>
    <row r="561" spans="3:12">
      <c r="C561" s="160" t="str">
        <f t="shared" si="17"/>
        <v/>
      </c>
      <c r="L561" s="404" t="e">
        <f t="shared" si="16"/>
        <v>#N/A</v>
      </c>
    </row>
    <row r="562" spans="3:12">
      <c r="C562" s="160" t="str">
        <f t="shared" si="17"/>
        <v/>
      </c>
      <c r="L562" s="404" t="e">
        <f t="shared" si="16"/>
        <v>#N/A</v>
      </c>
    </row>
    <row r="563" spans="3:12">
      <c r="C563" s="160" t="str">
        <f t="shared" si="17"/>
        <v/>
      </c>
      <c r="L563" s="404" t="e">
        <f t="shared" si="16"/>
        <v>#N/A</v>
      </c>
    </row>
    <row r="564" spans="3:12">
      <c r="C564" s="160" t="str">
        <f t="shared" si="17"/>
        <v/>
      </c>
      <c r="L564" s="404" t="e">
        <f t="shared" si="16"/>
        <v>#N/A</v>
      </c>
    </row>
    <row r="565" spans="3:12">
      <c r="C565" s="160" t="str">
        <f t="shared" si="17"/>
        <v/>
      </c>
      <c r="L565" s="404" t="e">
        <f t="shared" si="16"/>
        <v>#N/A</v>
      </c>
    </row>
    <row r="566" spans="3:12">
      <c r="C566" s="160" t="str">
        <f t="shared" si="17"/>
        <v/>
      </c>
      <c r="L566" s="404" t="e">
        <f t="shared" si="16"/>
        <v>#N/A</v>
      </c>
    </row>
    <row r="567" spans="3:12">
      <c r="C567" s="160" t="str">
        <f t="shared" si="17"/>
        <v/>
      </c>
      <c r="L567" s="404" t="e">
        <f t="shared" si="16"/>
        <v>#N/A</v>
      </c>
    </row>
    <row r="568" spans="3:12">
      <c r="C568" s="160" t="str">
        <f t="shared" si="17"/>
        <v/>
      </c>
      <c r="L568" s="404" t="e">
        <f t="shared" si="16"/>
        <v>#N/A</v>
      </c>
    </row>
    <row r="569" spans="3:12">
      <c r="C569" s="160" t="str">
        <f t="shared" si="17"/>
        <v/>
      </c>
      <c r="L569" s="404" t="e">
        <f t="shared" si="16"/>
        <v>#N/A</v>
      </c>
    </row>
    <row r="570" spans="3:12">
      <c r="C570" s="160" t="str">
        <f t="shared" si="17"/>
        <v/>
      </c>
      <c r="L570" s="404" t="e">
        <f t="shared" si="16"/>
        <v>#N/A</v>
      </c>
    </row>
    <row r="571" spans="3:12">
      <c r="C571" s="160" t="str">
        <f t="shared" si="17"/>
        <v/>
      </c>
      <c r="L571" s="404" t="e">
        <f t="shared" si="16"/>
        <v>#N/A</v>
      </c>
    </row>
    <row r="572" spans="3:12">
      <c r="C572" s="160" t="str">
        <f t="shared" si="17"/>
        <v/>
      </c>
      <c r="L572" s="404" t="e">
        <f t="shared" si="16"/>
        <v>#N/A</v>
      </c>
    </row>
    <row r="573" spans="3:12">
      <c r="C573" s="160" t="str">
        <f t="shared" si="17"/>
        <v/>
      </c>
      <c r="L573" s="404" t="e">
        <f t="shared" si="16"/>
        <v>#N/A</v>
      </c>
    </row>
    <row r="574" spans="3:12">
      <c r="C574" s="160" t="str">
        <f t="shared" si="17"/>
        <v/>
      </c>
      <c r="L574" s="404" t="e">
        <f t="shared" si="16"/>
        <v>#N/A</v>
      </c>
    </row>
    <row r="575" spans="3:12">
      <c r="C575" s="160" t="str">
        <f t="shared" si="17"/>
        <v/>
      </c>
      <c r="L575" s="404" t="e">
        <f t="shared" si="16"/>
        <v>#N/A</v>
      </c>
    </row>
    <row r="576" spans="3:12">
      <c r="C576" s="160" t="str">
        <f t="shared" si="17"/>
        <v/>
      </c>
      <c r="L576" s="404" t="e">
        <f t="shared" si="16"/>
        <v>#N/A</v>
      </c>
    </row>
    <row r="577" spans="3:12">
      <c r="C577" s="160" t="str">
        <f t="shared" si="17"/>
        <v/>
      </c>
      <c r="L577" s="404" t="e">
        <f t="shared" si="16"/>
        <v>#N/A</v>
      </c>
    </row>
    <row r="578" spans="3:12">
      <c r="C578" s="160" t="str">
        <f t="shared" si="17"/>
        <v/>
      </c>
      <c r="L578" s="404" t="e">
        <f t="shared" si="16"/>
        <v>#N/A</v>
      </c>
    </row>
    <row r="579" spans="3:12">
      <c r="C579" s="160" t="str">
        <f t="shared" si="17"/>
        <v/>
      </c>
      <c r="L579" s="404" t="e">
        <f t="shared" si="16"/>
        <v>#N/A</v>
      </c>
    </row>
    <row r="580" spans="3:12">
      <c r="C580" s="160" t="str">
        <f t="shared" si="17"/>
        <v/>
      </c>
      <c r="L580" s="404" t="e">
        <f t="shared" si="16"/>
        <v>#N/A</v>
      </c>
    </row>
    <row r="581" spans="3:12">
      <c r="C581" s="160" t="str">
        <f t="shared" si="17"/>
        <v/>
      </c>
      <c r="L581" s="404" t="e">
        <f t="shared" si="16"/>
        <v>#N/A</v>
      </c>
    </row>
    <row r="582" spans="3:12">
      <c r="C582" s="160" t="str">
        <f t="shared" si="17"/>
        <v/>
      </c>
      <c r="L582" s="404" t="e">
        <f t="shared" si="16"/>
        <v>#N/A</v>
      </c>
    </row>
    <row r="583" spans="3:12">
      <c r="C583" s="160" t="str">
        <f t="shared" si="17"/>
        <v/>
      </c>
      <c r="L583" s="404" t="e">
        <f t="shared" si="16"/>
        <v>#N/A</v>
      </c>
    </row>
    <row r="584" spans="3:12">
      <c r="C584" s="160" t="str">
        <f t="shared" si="17"/>
        <v/>
      </c>
      <c r="L584" s="404" t="e">
        <f t="shared" si="16"/>
        <v>#N/A</v>
      </c>
    </row>
    <row r="585" spans="3:12">
      <c r="C585" s="160" t="str">
        <f t="shared" si="17"/>
        <v/>
      </c>
      <c r="L585" s="404" t="e">
        <f t="shared" si="16"/>
        <v>#N/A</v>
      </c>
    </row>
    <row r="586" spans="3:12">
      <c r="C586" s="160" t="str">
        <f t="shared" si="17"/>
        <v/>
      </c>
      <c r="L586" s="404" t="e">
        <f t="shared" si="16"/>
        <v>#N/A</v>
      </c>
    </row>
    <row r="587" spans="3:12">
      <c r="C587" s="160" t="str">
        <f t="shared" si="17"/>
        <v/>
      </c>
      <c r="L587" s="404" t="e">
        <f t="shared" si="16"/>
        <v>#N/A</v>
      </c>
    </row>
    <row r="588" spans="3:12">
      <c r="C588" s="160" t="str">
        <f t="shared" si="17"/>
        <v/>
      </c>
      <c r="L588" s="404" t="e">
        <f t="shared" ref="L588:L651" si="18">IF(C588=C587,NA(),SUMIF(Prob_ProbRunandCrit,C588,Prob_Prob))</f>
        <v>#N/A</v>
      </c>
    </row>
    <row r="589" spans="3:12">
      <c r="C589" s="160" t="str">
        <f t="shared" ref="C589:C652" si="19">D589&amp;I589</f>
        <v/>
      </c>
      <c r="L589" s="404" t="e">
        <f t="shared" si="18"/>
        <v>#N/A</v>
      </c>
    </row>
    <row r="590" spans="3:12">
      <c r="C590" s="160" t="str">
        <f t="shared" si="19"/>
        <v/>
      </c>
      <c r="L590" s="404" t="e">
        <f t="shared" si="18"/>
        <v>#N/A</v>
      </c>
    </row>
    <row r="591" spans="3:12">
      <c r="C591" s="160" t="str">
        <f t="shared" si="19"/>
        <v/>
      </c>
      <c r="L591" s="404" t="e">
        <f t="shared" si="18"/>
        <v>#N/A</v>
      </c>
    </row>
    <row r="592" spans="3:12">
      <c r="C592" s="160" t="str">
        <f t="shared" si="19"/>
        <v/>
      </c>
      <c r="L592" s="404" t="e">
        <f t="shared" si="18"/>
        <v>#N/A</v>
      </c>
    </row>
    <row r="593" spans="3:12">
      <c r="C593" s="160" t="str">
        <f t="shared" si="19"/>
        <v/>
      </c>
      <c r="L593" s="404" t="e">
        <f t="shared" si="18"/>
        <v>#N/A</v>
      </c>
    </row>
    <row r="594" spans="3:12">
      <c r="C594" s="160" t="str">
        <f t="shared" si="19"/>
        <v/>
      </c>
      <c r="L594" s="404" t="e">
        <f t="shared" si="18"/>
        <v>#N/A</v>
      </c>
    </row>
    <row r="595" spans="3:12">
      <c r="C595" s="160" t="str">
        <f t="shared" si="19"/>
        <v/>
      </c>
      <c r="L595" s="404" t="e">
        <f t="shared" si="18"/>
        <v>#N/A</v>
      </c>
    </row>
    <row r="596" spans="3:12">
      <c r="C596" s="160" t="str">
        <f t="shared" si="19"/>
        <v/>
      </c>
      <c r="L596" s="404" t="e">
        <f t="shared" si="18"/>
        <v>#N/A</v>
      </c>
    </row>
    <row r="597" spans="3:12">
      <c r="C597" s="160" t="str">
        <f t="shared" si="19"/>
        <v/>
      </c>
      <c r="L597" s="404" t="e">
        <f t="shared" si="18"/>
        <v>#N/A</v>
      </c>
    </row>
    <row r="598" spans="3:12">
      <c r="C598" s="160" t="str">
        <f t="shared" si="19"/>
        <v/>
      </c>
      <c r="L598" s="404" t="e">
        <f t="shared" si="18"/>
        <v>#N/A</v>
      </c>
    </row>
    <row r="599" spans="3:12">
      <c r="C599" s="160" t="str">
        <f t="shared" si="19"/>
        <v/>
      </c>
      <c r="L599" s="404" t="e">
        <f t="shared" si="18"/>
        <v>#N/A</v>
      </c>
    </row>
    <row r="600" spans="3:12">
      <c r="C600" s="160" t="str">
        <f t="shared" si="19"/>
        <v/>
      </c>
      <c r="L600" s="404" t="e">
        <f t="shared" si="18"/>
        <v>#N/A</v>
      </c>
    </row>
    <row r="601" spans="3:12">
      <c r="C601" s="160" t="str">
        <f t="shared" si="19"/>
        <v/>
      </c>
      <c r="L601" s="404" t="e">
        <f t="shared" si="18"/>
        <v>#N/A</v>
      </c>
    </row>
    <row r="602" spans="3:12">
      <c r="C602" s="160" t="str">
        <f t="shared" si="19"/>
        <v/>
      </c>
      <c r="L602" s="404" t="e">
        <f t="shared" si="18"/>
        <v>#N/A</v>
      </c>
    </row>
    <row r="603" spans="3:12">
      <c r="C603" s="160" t="str">
        <f t="shared" si="19"/>
        <v/>
      </c>
      <c r="L603" s="404" t="e">
        <f t="shared" si="18"/>
        <v>#N/A</v>
      </c>
    </row>
    <row r="604" spans="3:12">
      <c r="C604" s="160" t="str">
        <f t="shared" si="19"/>
        <v/>
      </c>
      <c r="L604" s="404" t="e">
        <f t="shared" si="18"/>
        <v>#N/A</v>
      </c>
    </row>
    <row r="605" spans="3:12">
      <c r="C605" s="160" t="str">
        <f t="shared" si="19"/>
        <v/>
      </c>
      <c r="L605" s="404" t="e">
        <f t="shared" si="18"/>
        <v>#N/A</v>
      </c>
    </row>
    <row r="606" spans="3:12">
      <c r="C606" s="160" t="str">
        <f t="shared" si="19"/>
        <v/>
      </c>
      <c r="L606" s="404" t="e">
        <f t="shared" si="18"/>
        <v>#N/A</v>
      </c>
    </row>
    <row r="607" spans="3:12">
      <c r="C607" s="160" t="str">
        <f t="shared" si="19"/>
        <v/>
      </c>
      <c r="L607" s="404" t="e">
        <f t="shared" si="18"/>
        <v>#N/A</v>
      </c>
    </row>
    <row r="608" spans="3:12">
      <c r="C608" s="160" t="str">
        <f t="shared" si="19"/>
        <v/>
      </c>
      <c r="L608" s="404" t="e">
        <f t="shared" si="18"/>
        <v>#N/A</v>
      </c>
    </row>
    <row r="609" spans="3:12">
      <c r="C609" s="160" t="str">
        <f t="shared" si="19"/>
        <v/>
      </c>
      <c r="L609" s="404" t="e">
        <f t="shared" si="18"/>
        <v>#N/A</v>
      </c>
    </row>
    <row r="610" spans="3:12">
      <c r="C610" s="160" t="str">
        <f t="shared" si="19"/>
        <v/>
      </c>
      <c r="L610" s="404" t="e">
        <f t="shared" si="18"/>
        <v>#N/A</v>
      </c>
    </row>
    <row r="611" spans="3:12">
      <c r="C611" s="160" t="str">
        <f t="shared" si="19"/>
        <v/>
      </c>
      <c r="L611" s="404" t="e">
        <f t="shared" si="18"/>
        <v>#N/A</v>
      </c>
    </row>
    <row r="612" spans="3:12">
      <c r="C612" s="160" t="str">
        <f t="shared" si="19"/>
        <v/>
      </c>
      <c r="L612" s="404" t="e">
        <f t="shared" si="18"/>
        <v>#N/A</v>
      </c>
    </row>
    <row r="613" spans="3:12">
      <c r="C613" s="160" t="str">
        <f t="shared" si="19"/>
        <v/>
      </c>
      <c r="L613" s="404" t="e">
        <f t="shared" si="18"/>
        <v>#N/A</v>
      </c>
    </row>
    <row r="614" spans="3:12">
      <c r="C614" s="160" t="str">
        <f t="shared" si="19"/>
        <v/>
      </c>
      <c r="L614" s="404" t="e">
        <f t="shared" si="18"/>
        <v>#N/A</v>
      </c>
    </row>
    <row r="615" spans="3:12">
      <c r="C615" s="160" t="str">
        <f t="shared" si="19"/>
        <v/>
      </c>
      <c r="L615" s="404" t="e">
        <f t="shared" si="18"/>
        <v>#N/A</v>
      </c>
    </row>
    <row r="616" spans="3:12">
      <c r="C616" s="160" t="str">
        <f t="shared" si="19"/>
        <v/>
      </c>
      <c r="L616" s="404" t="e">
        <f t="shared" si="18"/>
        <v>#N/A</v>
      </c>
    </row>
    <row r="617" spans="3:12">
      <c r="C617" s="160" t="str">
        <f t="shared" si="19"/>
        <v/>
      </c>
      <c r="L617" s="404" t="e">
        <f t="shared" si="18"/>
        <v>#N/A</v>
      </c>
    </row>
    <row r="618" spans="3:12">
      <c r="C618" s="160" t="str">
        <f t="shared" si="19"/>
        <v/>
      </c>
      <c r="L618" s="404" t="e">
        <f t="shared" si="18"/>
        <v>#N/A</v>
      </c>
    </row>
    <row r="619" spans="3:12">
      <c r="C619" s="160" t="str">
        <f t="shared" si="19"/>
        <v/>
      </c>
      <c r="L619" s="404" t="e">
        <f t="shared" si="18"/>
        <v>#N/A</v>
      </c>
    </row>
    <row r="620" spans="3:12">
      <c r="C620" s="160" t="str">
        <f t="shared" si="19"/>
        <v/>
      </c>
      <c r="L620" s="404" t="e">
        <f t="shared" si="18"/>
        <v>#N/A</v>
      </c>
    </row>
    <row r="621" spans="3:12">
      <c r="C621" s="160" t="str">
        <f t="shared" si="19"/>
        <v/>
      </c>
      <c r="L621" s="404" t="e">
        <f t="shared" si="18"/>
        <v>#N/A</v>
      </c>
    </row>
    <row r="622" spans="3:12">
      <c r="C622" s="160" t="str">
        <f t="shared" si="19"/>
        <v/>
      </c>
      <c r="L622" s="404" t="e">
        <f t="shared" si="18"/>
        <v>#N/A</v>
      </c>
    </row>
    <row r="623" spans="3:12">
      <c r="C623" s="160" t="str">
        <f t="shared" si="19"/>
        <v/>
      </c>
      <c r="L623" s="404" t="e">
        <f t="shared" si="18"/>
        <v>#N/A</v>
      </c>
    </row>
    <row r="624" spans="3:12">
      <c r="C624" s="160" t="str">
        <f t="shared" si="19"/>
        <v/>
      </c>
      <c r="L624" s="404" t="e">
        <f t="shared" si="18"/>
        <v>#N/A</v>
      </c>
    </row>
    <row r="625" spans="3:12">
      <c r="C625" s="160" t="str">
        <f t="shared" si="19"/>
        <v/>
      </c>
      <c r="L625" s="404" t="e">
        <f t="shared" si="18"/>
        <v>#N/A</v>
      </c>
    </row>
    <row r="626" spans="3:12">
      <c r="C626" s="160" t="str">
        <f t="shared" si="19"/>
        <v/>
      </c>
      <c r="L626" s="404" t="e">
        <f t="shared" si="18"/>
        <v>#N/A</v>
      </c>
    </row>
    <row r="627" spans="3:12">
      <c r="C627" s="160" t="str">
        <f t="shared" si="19"/>
        <v/>
      </c>
      <c r="L627" s="404" t="e">
        <f t="shared" si="18"/>
        <v>#N/A</v>
      </c>
    </row>
    <row r="628" spans="3:12">
      <c r="C628" s="160" t="str">
        <f t="shared" si="19"/>
        <v/>
      </c>
      <c r="L628" s="404" t="e">
        <f t="shared" si="18"/>
        <v>#N/A</v>
      </c>
    </row>
    <row r="629" spans="3:12">
      <c r="C629" s="160" t="str">
        <f t="shared" si="19"/>
        <v/>
      </c>
      <c r="L629" s="404" t="e">
        <f t="shared" si="18"/>
        <v>#N/A</v>
      </c>
    </row>
    <row r="630" spans="3:12">
      <c r="C630" s="160" t="str">
        <f t="shared" si="19"/>
        <v/>
      </c>
      <c r="L630" s="404" t="e">
        <f t="shared" si="18"/>
        <v>#N/A</v>
      </c>
    </row>
    <row r="631" spans="3:12">
      <c r="C631" s="160" t="str">
        <f t="shared" si="19"/>
        <v/>
      </c>
      <c r="L631" s="404" t="e">
        <f t="shared" si="18"/>
        <v>#N/A</v>
      </c>
    </row>
    <row r="632" spans="3:12">
      <c r="C632" s="160" t="str">
        <f t="shared" si="19"/>
        <v/>
      </c>
      <c r="L632" s="404" t="e">
        <f t="shared" si="18"/>
        <v>#N/A</v>
      </c>
    </row>
    <row r="633" spans="3:12">
      <c r="C633" s="160" t="str">
        <f t="shared" si="19"/>
        <v/>
      </c>
      <c r="L633" s="404" t="e">
        <f t="shared" si="18"/>
        <v>#N/A</v>
      </c>
    </row>
    <row r="634" spans="3:12">
      <c r="C634" s="160" t="str">
        <f t="shared" si="19"/>
        <v/>
      </c>
      <c r="L634" s="404" t="e">
        <f t="shared" si="18"/>
        <v>#N/A</v>
      </c>
    </row>
    <row r="635" spans="3:12">
      <c r="C635" s="160" t="str">
        <f t="shared" si="19"/>
        <v/>
      </c>
      <c r="L635" s="404" t="e">
        <f t="shared" si="18"/>
        <v>#N/A</v>
      </c>
    </row>
    <row r="636" spans="3:12">
      <c r="C636" s="160" t="str">
        <f t="shared" si="19"/>
        <v/>
      </c>
      <c r="L636" s="404" t="e">
        <f t="shared" si="18"/>
        <v>#N/A</v>
      </c>
    </row>
    <row r="637" spans="3:12">
      <c r="C637" s="160" t="str">
        <f t="shared" si="19"/>
        <v/>
      </c>
      <c r="L637" s="404" t="e">
        <f t="shared" si="18"/>
        <v>#N/A</v>
      </c>
    </row>
    <row r="638" spans="3:12">
      <c r="C638" s="160" t="str">
        <f t="shared" si="19"/>
        <v/>
      </c>
      <c r="L638" s="404" t="e">
        <f t="shared" si="18"/>
        <v>#N/A</v>
      </c>
    </row>
    <row r="639" spans="3:12">
      <c r="C639" s="160" t="str">
        <f t="shared" si="19"/>
        <v/>
      </c>
      <c r="L639" s="404" t="e">
        <f t="shared" si="18"/>
        <v>#N/A</v>
      </c>
    </row>
    <row r="640" spans="3:12">
      <c r="C640" s="160" t="str">
        <f t="shared" si="19"/>
        <v/>
      </c>
      <c r="L640" s="404" t="e">
        <f t="shared" si="18"/>
        <v>#N/A</v>
      </c>
    </row>
    <row r="641" spans="3:12">
      <c r="C641" s="160" t="str">
        <f t="shared" si="19"/>
        <v/>
      </c>
      <c r="L641" s="404" t="e">
        <f t="shared" si="18"/>
        <v>#N/A</v>
      </c>
    </row>
    <row r="642" spans="3:12">
      <c r="C642" s="160" t="str">
        <f t="shared" si="19"/>
        <v/>
      </c>
      <c r="L642" s="404" t="e">
        <f t="shared" si="18"/>
        <v>#N/A</v>
      </c>
    </row>
    <row r="643" spans="3:12">
      <c r="C643" s="160" t="str">
        <f t="shared" si="19"/>
        <v/>
      </c>
      <c r="L643" s="404" t="e">
        <f t="shared" si="18"/>
        <v>#N/A</v>
      </c>
    </row>
    <row r="644" spans="3:12">
      <c r="C644" s="160" t="str">
        <f t="shared" si="19"/>
        <v/>
      </c>
      <c r="L644" s="404" t="e">
        <f t="shared" si="18"/>
        <v>#N/A</v>
      </c>
    </row>
    <row r="645" spans="3:12">
      <c r="C645" s="160" t="str">
        <f t="shared" si="19"/>
        <v/>
      </c>
      <c r="L645" s="404" t="e">
        <f t="shared" si="18"/>
        <v>#N/A</v>
      </c>
    </row>
    <row r="646" spans="3:12">
      <c r="C646" s="160" t="str">
        <f t="shared" si="19"/>
        <v/>
      </c>
      <c r="L646" s="404" t="e">
        <f t="shared" si="18"/>
        <v>#N/A</v>
      </c>
    </row>
    <row r="647" spans="3:12">
      <c r="C647" s="160" t="str">
        <f t="shared" si="19"/>
        <v/>
      </c>
      <c r="L647" s="404" t="e">
        <f t="shared" si="18"/>
        <v>#N/A</v>
      </c>
    </row>
    <row r="648" spans="3:12">
      <c r="C648" s="160" t="str">
        <f t="shared" si="19"/>
        <v/>
      </c>
      <c r="L648" s="404" t="e">
        <f t="shared" si="18"/>
        <v>#N/A</v>
      </c>
    </row>
    <row r="649" spans="3:12">
      <c r="C649" s="160" t="str">
        <f t="shared" si="19"/>
        <v/>
      </c>
      <c r="L649" s="404" t="e">
        <f t="shared" si="18"/>
        <v>#N/A</v>
      </c>
    </row>
    <row r="650" spans="3:12">
      <c r="C650" s="160" t="str">
        <f t="shared" si="19"/>
        <v/>
      </c>
      <c r="L650" s="404" t="e">
        <f t="shared" si="18"/>
        <v>#N/A</v>
      </c>
    </row>
    <row r="651" spans="3:12">
      <c r="C651" s="160" t="str">
        <f t="shared" si="19"/>
        <v/>
      </c>
      <c r="L651" s="404" t="e">
        <f t="shared" si="18"/>
        <v>#N/A</v>
      </c>
    </row>
    <row r="652" spans="3:12">
      <c r="C652" s="160" t="str">
        <f t="shared" si="19"/>
        <v/>
      </c>
      <c r="L652" s="404" t="e">
        <f t="shared" ref="L652:L715" si="20">IF(C652=C651,NA(),SUMIF(Prob_ProbRunandCrit,C652,Prob_Prob))</f>
        <v>#N/A</v>
      </c>
    </row>
    <row r="653" spans="3:12">
      <c r="C653" s="160" t="str">
        <f t="shared" ref="C653:C716" si="21">D653&amp;I653</f>
        <v/>
      </c>
      <c r="L653" s="404" t="e">
        <f t="shared" si="20"/>
        <v>#N/A</v>
      </c>
    </row>
    <row r="654" spans="3:12">
      <c r="C654" s="160" t="str">
        <f t="shared" si="21"/>
        <v/>
      </c>
      <c r="L654" s="404" t="e">
        <f t="shared" si="20"/>
        <v>#N/A</v>
      </c>
    </row>
    <row r="655" spans="3:12">
      <c r="C655" s="160" t="str">
        <f t="shared" si="21"/>
        <v/>
      </c>
      <c r="L655" s="404" t="e">
        <f t="shared" si="20"/>
        <v>#N/A</v>
      </c>
    </row>
    <row r="656" spans="3:12">
      <c r="C656" s="160" t="str">
        <f t="shared" si="21"/>
        <v/>
      </c>
      <c r="L656" s="404" t="e">
        <f t="shared" si="20"/>
        <v>#N/A</v>
      </c>
    </row>
    <row r="657" spans="3:12">
      <c r="C657" s="160" t="str">
        <f t="shared" si="21"/>
        <v/>
      </c>
      <c r="L657" s="404" t="e">
        <f t="shared" si="20"/>
        <v>#N/A</v>
      </c>
    </row>
    <row r="658" spans="3:12">
      <c r="C658" s="160" t="str">
        <f t="shared" si="21"/>
        <v/>
      </c>
      <c r="L658" s="404" t="e">
        <f t="shared" si="20"/>
        <v>#N/A</v>
      </c>
    </row>
    <row r="659" spans="3:12">
      <c r="C659" s="160" t="str">
        <f t="shared" si="21"/>
        <v/>
      </c>
      <c r="L659" s="404" t="e">
        <f t="shared" si="20"/>
        <v>#N/A</v>
      </c>
    </row>
    <row r="660" spans="3:12">
      <c r="C660" s="160" t="str">
        <f t="shared" si="21"/>
        <v/>
      </c>
      <c r="L660" s="404" t="e">
        <f t="shared" si="20"/>
        <v>#N/A</v>
      </c>
    </row>
    <row r="661" spans="3:12">
      <c r="C661" s="160" t="str">
        <f t="shared" si="21"/>
        <v/>
      </c>
      <c r="L661" s="404" t="e">
        <f t="shared" si="20"/>
        <v>#N/A</v>
      </c>
    </row>
    <row r="662" spans="3:12">
      <c r="C662" s="160" t="str">
        <f t="shared" si="21"/>
        <v/>
      </c>
      <c r="L662" s="404" t="e">
        <f t="shared" si="20"/>
        <v>#N/A</v>
      </c>
    </row>
    <row r="663" spans="3:12">
      <c r="C663" s="160" t="str">
        <f t="shared" si="21"/>
        <v/>
      </c>
      <c r="L663" s="404" t="e">
        <f t="shared" si="20"/>
        <v>#N/A</v>
      </c>
    </row>
    <row r="664" spans="3:12">
      <c r="C664" s="160" t="str">
        <f t="shared" si="21"/>
        <v/>
      </c>
      <c r="L664" s="404" t="e">
        <f t="shared" si="20"/>
        <v>#N/A</v>
      </c>
    </row>
    <row r="665" spans="3:12">
      <c r="C665" s="160" t="str">
        <f t="shared" si="21"/>
        <v/>
      </c>
      <c r="L665" s="404" t="e">
        <f t="shared" si="20"/>
        <v>#N/A</v>
      </c>
    </row>
    <row r="666" spans="3:12">
      <c r="C666" s="160" t="str">
        <f t="shared" si="21"/>
        <v/>
      </c>
      <c r="L666" s="404" t="e">
        <f t="shared" si="20"/>
        <v>#N/A</v>
      </c>
    </row>
    <row r="667" spans="3:12">
      <c r="C667" s="160" t="str">
        <f t="shared" si="21"/>
        <v/>
      </c>
      <c r="L667" s="404" t="e">
        <f t="shared" si="20"/>
        <v>#N/A</v>
      </c>
    </row>
    <row r="668" spans="3:12">
      <c r="C668" s="160" t="str">
        <f t="shared" si="21"/>
        <v/>
      </c>
      <c r="L668" s="404" t="e">
        <f t="shared" si="20"/>
        <v>#N/A</v>
      </c>
    </row>
    <row r="669" spans="3:12">
      <c r="C669" s="160" t="str">
        <f t="shared" si="21"/>
        <v/>
      </c>
      <c r="L669" s="404" t="e">
        <f t="shared" si="20"/>
        <v>#N/A</v>
      </c>
    </row>
    <row r="670" spans="3:12">
      <c r="C670" s="160" t="str">
        <f t="shared" si="21"/>
        <v/>
      </c>
      <c r="L670" s="404" t="e">
        <f t="shared" si="20"/>
        <v>#N/A</v>
      </c>
    </row>
    <row r="671" spans="3:12">
      <c r="C671" s="160" t="str">
        <f t="shared" si="21"/>
        <v/>
      </c>
      <c r="L671" s="404" t="e">
        <f t="shared" si="20"/>
        <v>#N/A</v>
      </c>
    </row>
    <row r="672" spans="3:12">
      <c r="C672" s="160" t="str">
        <f t="shared" si="21"/>
        <v/>
      </c>
      <c r="L672" s="404" t="e">
        <f t="shared" si="20"/>
        <v>#N/A</v>
      </c>
    </row>
    <row r="673" spans="3:12">
      <c r="C673" s="160" t="str">
        <f t="shared" si="21"/>
        <v/>
      </c>
      <c r="L673" s="404" t="e">
        <f t="shared" si="20"/>
        <v>#N/A</v>
      </c>
    </row>
    <row r="674" spans="3:12">
      <c r="C674" s="160" t="str">
        <f t="shared" si="21"/>
        <v/>
      </c>
      <c r="L674" s="404" t="e">
        <f t="shared" si="20"/>
        <v>#N/A</v>
      </c>
    </row>
    <row r="675" spans="3:12">
      <c r="C675" s="160" t="str">
        <f t="shared" si="21"/>
        <v/>
      </c>
      <c r="L675" s="404" t="e">
        <f t="shared" si="20"/>
        <v>#N/A</v>
      </c>
    </row>
    <row r="676" spans="3:12">
      <c r="C676" s="160" t="str">
        <f t="shared" si="21"/>
        <v/>
      </c>
      <c r="L676" s="404" t="e">
        <f t="shared" si="20"/>
        <v>#N/A</v>
      </c>
    </row>
    <row r="677" spans="3:12">
      <c r="C677" s="160" t="str">
        <f t="shared" si="21"/>
        <v/>
      </c>
      <c r="L677" s="404" t="e">
        <f t="shared" si="20"/>
        <v>#N/A</v>
      </c>
    </row>
    <row r="678" spans="3:12">
      <c r="C678" s="160" t="str">
        <f t="shared" si="21"/>
        <v/>
      </c>
      <c r="L678" s="404" t="e">
        <f t="shared" si="20"/>
        <v>#N/A</v>
      </c>
    </row>
    <row r="679" spans="3:12">
      <c r="C679" s="160" t="str">
        <f t="shared" si="21"/>
        <v/>
      </c>
      <c r="L679" s="404" t="e">
        <f t="shared" si="20"/>
        <v>#N/A</v>
      </c>
    </row>
    <row r="680" spans="3:12">
      <c r="C680" s="160" t="str">
        <f t="shared" si="21"/>
        <v/>
      </c>
      <c r="L680" s="404" t="e">
        <f t="shared" si="20"/>
        <v>#N/A</v>
      </c>
    </row>
    <row r="681" spans="3:12">
      <c r="C681" s="160" t="str">
        <f t="shared" si="21"/>
        <v/>
      </c>
      <c r="L681" s="404" t="e">
        <f t="shared" si="20"/>
        <v>#N/A</v>
      </c>
    </row>
    <row r="682" spans="3:12">
      <c r="C682" s="160" t="str">
        <f t="shared" si="21"/>
        <v/>
      </c>
      <c r="L682" s="404" t="e">
        <f t="shared" si="20"/>
        <v>#N/A</v>
      </c>
    </row>
    <row r="683" spans="3:12">
      <c r="C683" s="160" t="str">
        <f t="shared" si="21"/>
        <v/>
      </c>
      <c r="L683" s="404" t="e">
        <f t="shared" si="20"/>
        <v>#N/A</v>
      </c>
    </row>
    <row r="684" spans="3:12">
      <c r="C684" s="160" t="str">
        <f t="shared" si="21"/>
        <v/>
      </c>
      <c r="L684" s="404" t="e">
        <f t="shared" si="20"/>
        <v>#N/A</v>
      </c>
    </row>
    <row r="685" spans="3:12">
      <c r="C685" s="160" t="str">
        <f t="shared" si="21"/>
        <v/>
      </c>
      <c r="L685" s="404" t="e">
        <f t="shared" si="20"/>
        <v>#N/A</v>
      </c>
    </row>
    <row r="686" spans="3:12">
      <c r="C686" s="160" t="str">
        <f t="shared" si="21"/>
        <v/>
      </c>
      <c r="L686" s="404" t="e">
        <f t="shared" si="20"/>
        <v>#N/A</v>
      </c>
    </row>
    <row r="687" spans="3:12">
      <c r="C687" s="160" t="str">
        <f t="shared" si="21"/>
        <v/>
      </c>
      <c r="L687" s="404" t="e">
        <f t="shared" si="20"/>
        <v>#N/A</v>
      </c>
    </row>
    <row r="688" spans="3:12">
      <c r="C688" s="160" t="str">
        <f t="shared" si="21"/>
        <v/>
      </c>
      <c r="L688" s="404" t="e">
        <f t="shared" si="20"/>
        <v>#N/A</v>
      </c>
    </row>
    <row r="689" spans="3:12">
      <c r="C689" s="160" t="str">
        <f t="shared" si="21"/>
        <v/>
      </c>
      <c r="L689" s="404" t="e">
        <f t="shared" si="20"/>
        <v>#N/A</v>
      </c>
    </row>
    <row r="690" spans="3:12">
      <c r="C690" s="160" t="str">
        <f t="shared" si="21"/>
        <v/>
      </c>
      <c r="L690" s="404" t="e">
        <f t="shared" si="20"/>
        <v>#N/A</v>
      </c>
    </row>
    <row r="691" spans="3:12">
      <c r="C691" s="160" t="str">
        <f t="shared" si="21"/>
        <v/>
      </c>
      <c r="L691" s="404" t="e">
        <f t="shared" si="20"/>
        <v>#N/A</v>
      </c>
    </row>
    <row r="692" spans="3:12">
      <c r="C692" s="160" t="str">
        <f t="shared" si="21"/>
        <v/>
      </c>
      <c r="L692" s="404" t="e">
        <f t="shared" si="20"/>
        <v>#N/A</v>
      </c>
    </row>
    <row r="693" spans="3:12">
      <c r="C693" s="160" t="str">
        <f t="shared" si="21"/>
        <v/>
      </c>
      <c r="L693" s="404" t="e">
        <f t="shared" si="20"/>
        <v>#N/A</v>
      </c>
    </row>
    <row r="694" spans="3:12">
      <c r="C694" s="160" t="str">
        <f t="shared" si="21"/>
        <v/>
      </c>
      <c r="L694" s="404" t="e">
        <f t="shared" si="20"/>
        <v>#N/A</v>
      </c>
    </row>
    <row r="695" spans="3:12">
      <c r="C695" s="160" t="str">
        <f t="shared" si="21"/>
        <v/>
      </c>
      <c r="L695" s="404" t="e">
        <f t="shared" si="20"/>
        <v>#N/A</v>
      </c>
    </row>
    <row r="696" spans="3:12">
      <c r="C696" s="160" t="str">
        <f t="shared" si="21"/>
        <v/>
      </c>
      <c r="L696" s="404" t="e">
        <f t="shared" si="20"/>
        <v>#N/A</v>
      </c>
    </row>
    <row r="697" spans="3:12">
      <c r="C697" s="160" t="str">
        <f t="shared" si="21"/>
        <v/>
      </c>
      <c r="L697" s="404" t="e">
        <f t="shared" si="20"/>
        <v>#N/A</v>
      </c>
    </row>
    <row r="698" spans="3:12">
      <c r="C698" s="160" t="str">
        <f t="shared" si="21"/>
        <v/>
      </c>
      <c r="L698" s="404" t="e">
        <f t="shared" si="20"/>
        <v>#N/A</v>
      </c>
    </row>
    <row r="699" spans="3:12">
      <c r="C699" s="160" t="str">
        <f t="shared" si="21"/>
        <v/>
      </c>
      <c r="L699" s="404" t="e">
        <f t="shared" si="20"/>
        <v>#N/A</v>
      </c>
    </row>
    <row r="700" spans="3:12">
      <c r="C700" s="160" t="str">
        <f t="shared" si="21"/>
        <v/>
      </c>
      <c r="L700" s="404" t="e">
        <f t="shared" si="20"/>
        <v>#N/A</v>
      </c>
    </row>
    <row r="701" spans="3:12">
      <c r="C701" s="160" t="str">
        <f t="shared" si="21"/>
        <v/>
      </c>
      <c r="L701" s="404" t="e">
        <f t="shared" si="20"/>
        <v>#N/A</v>
      </c>
    </row>
    <row r="702" spans="3:12">
      <c r="C702" s="160" t="str">
        <f t="shared" si="21"/>
        <v/>
      </c>
      <c r="L702" s="404" t="e">
        <f t="shared" si="20"/>
        <v>#N/A</v>
      </c>
    </row>
    <row r="703" spans="3:12">
      <c r="C703" s="160" t="str">
        <f t="shared" si="21"/>
        <v/>
      </c>
      <c r="L703" s="404" t="e">
        <f t="shared" si="20"/>
        <v>#N/A</v>
      </c>
    </row>
    <row r="704" spans="3:12">
      <c r="C704" s="160" t="str">
        <f t="shared" si="21"/>
        <v/>
      </c>
      <c r="L704" s="404" t="e">
        <f t="shared" si="20"/>
        <v>#N/A</v>
      </c>
    </row>
    <row r="705" spans="3:12">
      <c r="C705" s="160" t="str">
        <f t="shared" si="21"/>
        <v/>
      </c>
      <c r="L705" s="404" t="e">
        <f t="shared" si="20"/>
        <v>#N/A</v>
      </c>
    </row>
    <row r="706" spans="3:12">
      <c r="C706" s="160" t="str">
        <f t="shared" si="21"/>
        <v/>
      </c>
      <c r="L706" s="404" t="e">
        <f t="shared" si="20"/>
        <v>#N/A</v>
      </c>
    </row>
    <row r="707" spans="3:12">
      <c r="C707" s="160" t="str">
        <f t="shared" si="21"/>
        <v/>
      </c>
      <c r="L707" s="404" t="e">
        <f t="shared" si="20"/>
        <v>#N/A</v>
      </c>
    </row>
    <row r="708" spans="3:12">
      <c r="C708" s="160" t="str">
        <f t="shared" si="21"/>
        <v/>
      </c>
      <c r="L708" s="404" t="e">
        <f t="shared" si="20"/>
        <v>#N/A</v>
      </c>
    </row>
    <row r="709" spans="3:12">
      <c r="C709" s="160" t="str">
        <f t="shared" si="21"/>
        <v/>
      </c>
      <c r="L709" s="404" t="e">
        <f t="shared" si="20"/>
        <v>#N/A</v>
      </c>
    </row>
    <row r="710" spans="3:12">
      <c r="C710" s="160" t="str">
        <f t="shared" si="21"/>
        <v/>
      </c>
      <c r="L710" s="404" t="e">
        <f t="shared" si="20"/>
        <v>#N/A</v>
      </c>
    </row>
    <row r="711" spans="3:12">
      <c r="C711" s="160" t="str">
        <f t="shared" si="21"/>
        <v/>
      </c>
      <c r="L711" s="404" t="e">
        <f t="shared" si="20"/>
        <v>#N/A</v>
      </c>
    </row>
    <row r="712" spans="3:12">
      <c r="C712" s="160" t="str">
        <f t="shared" si="21"/>
        <v/>
      </c>
      <c r="L712" s="404" t="e">
        <f t="shared" si="20"/>
        <v>#N/A</v>
      </c>
    </row>
    <row r="713" spans="3:12">
      <c r="C713" s="160" t="str">
        <f t="shared" si="21"/>
        <v/>
      </c>
      <c r="L713" s="404" t="e">
        <f t="shared" si="20"/>
        <v>#N/A</v>
      </c>
    </row>
    <row r="714" spans="3:12">
      <c r="C714" s="160" t="str">
        <f t="shared" si="21"/>
        <v/>
      </c>
      <c r="L714" s="404" t="e">
        <f t="shared" si="20"/>
        <v>#N/A</v>
      </c>
    </row>
    <row r="715" spans="3:12">
      <c r="C715" s="160" t="str">
        <f t="shared" si="21"/>
        <v/>
      </c>
      <c r="L715" s="404" t="e">
        <f t="shared" si="20"/>
        <v>#N/A</v>
      </c>
    </row>
    <row r="716" spans="3:12">
      <c r="C716" s="160" t="str">
        <f t="shared" si="21"/>
        <v/>
      </c>
      <c r="L716" s="404" t="e">
        <f t="shared" ref="L716:L779" si="22">IF(C716=C715,NA(),SUMIF(Prob_ProbRunandCrit,C716,Prob_Prob))</f>
        <v>#N/A</v>
      </c>
    </row>
    <row r="717" spans="3:12">
      <c r="C717" s="160" t="str">
        <f t="shared" ref="C717:C780" si="23">D717&amp;I717</f>
        <v/>
      </c>
      <c r="L717" s="404" t="e">
        <f t="shared" si="22"/>
        <v>#N/A</v>
      </c>
    </row>
    <row r="718" spans="3:12">
      <c r="C718" s="160" t="str">
        <f t="shared" si="23"/>
        <v/>
      </c>
      <c r="L718" s="404" t="e">
        <f t="shared" si="22"/>
        <v>#N/A</v>
      </c>
    </row>
    <row r="719" spans="3:12">
      <c r="C719" s="160" t="str">
        <f t="shared" si="23"/>
        <v/>
      </c>
      <c r="L719" s="404" t="e">
        <f t="shared" si="22"/>
        <v>#N/A</v>
      </c>
    </row>
    <row r="720" spans="3:12">
      <c r="C720" s="160" t="str">
        <f t="shared" si="23"/>
        <v/>
      </c>
      <c r="L720" s="404" t="e">
        <f t="shared" si="22"/>
        <v>#N/A</v>
      </c>
    </row>
    <row r="721" spans="3:12">
      <c r="C721" s="160" t="str">
        <f t="shared" si="23"/>
        <v/>
      </c>
      <c r="L721" s="404" t="e">
        <f t="shared" si="22"/>
        <v>#N/A</v>
      </c>
    </row>
    <row r="722" spans="3:12">
      <c r="C722" s="160" t="str">
        <f t="shared" si="23"/>
        <v/>
      </c>
      <c r="L722" s="404" t="e">
        <f t="shared" si="22"/>
        <v>#N/A</v>
      </c>
    </row>
    <row r="723" spans="3:12">
      <c r="C723" s="160" t="str">
        <f t="shared" si="23"/>
        <v/>
      </c>
      <c r="L723" s="404" t="e">
        <f t="shared" si="22"/>
        <v>#N/A</v>
      </c>
    </row>
    <row r="724" spans="3:12">
      <c r="C724" s="160" t="str">
        <f t="shared" si="23"/>
        <v/>
      </c>
      <c r="L724" s="404" t="e">
        <f t="shared" si="22"/>
        <v>#N/A</v>
      </c>
    </row>
    <row r="725" spans="3:12">
      <c r="C725" s="160" t="str">
        <f t="shared" si="23"/>
        <v/>
      </c>
      <c r="L725" s="404" t="e">
        <f t="shared" si="22"/>
        <v>#N/A</v>
      </c>
    </row>
    <row r="726" spans="3:12">
      <c r="C726" s="160" t="str">
        <f t="shared" si="23"/>
        <v/>
      </c>
      <c r="L726" s="404" t="e">
        <f t="shared" si="22"/>
        <v>#N/A</v>
      </c>
    </row>
    <row r="727" spans="3:12">
      <c r="C727" s="160" t="str">
        <f t="shared" si="23"/>
        <v/>
      </c>
      <c r="L727" s="404" t="e">
        <f t="shared" si="22"/>
        <v>#N/A</v>
      </c>
    </row>
    <row r="728" spans="3:12">
      <c r="C728" s="160" t="str">
        <f t="shared" si="23"/>
        <v/>
      </c>
      <c r="L728" s="404" t="e">
        <f t="shared" si="22"/>
        <v>#N/A</v>
      </c>
    </row>
    <row r="729" spans="3:12">
      <c r="C729" s="160" t="str">
        <f t="shared" si="23"/>
        <v/>
      </c>
      <c r="L729" s="404" t="e">
        <f t="shared" si="22"/>
        <v>#N/A</v>
      </c>
    </row>
    <row r="730" spans="3:12">
      <c r="C730" s="160" t="str">
        <f t="shared" si="23"/>
        <v/>
      </c>
      <c r="L730" s="404" t="e">
        <f t="shared" si="22"/>
        <v>#N/A</v>
      </c>
    </row>
    <row r="731" spans="3:12">
      <c r="C731" s="160" t="str">
        <f t="shared" si="23"/>
        <v/>
      </c>
      <c r="L731" s="404" t="e">
        <f t="shared" si="22"/>
        <v>#N/A</v>
      </c>
    </row>
    <row r="732" spans="3:12">
      <c r="C732" s="160" t="str">
        <f t="shared" si="23"/>
        <v/>
      </c>
      <c r="L732" s="404" t="e">
        <f t="shared" si="22"/>
        <v>#N/A</v>
      </c>
    </row>
    <row r="733" spans="3:12">
      <c r="C733" s="160" t="str">
        <f t="shared" si="23"/>
        <v/>
      </c>
      <c r="L733" s="404" t="e">
        <f t="shared" si="22"/>
        <v>#N/A</v>
      </c>
    </row>
    <row r="734" spans="3:12">
      <c r="C734" s="160" t="str">
        <f t="shared" si="23"/>
        <v/>
      </c>
      <c r="L734" s="404" t="e">
        <f t="shared" si="22"/>
        <v>#N/A</v>
      </c>
    </row>
    <row r="735" spans="3:12">
      <c r="C735" s="160" t="str">
        <f t="shared" si="23"/>
        <v/>
      </c>
      <c r="L735" s="404" t="e">
        <f t="shared" si="22"/>
        <v>#N/A</v>
      </c>
    </row>
    <row r="736" spans="3:12">
      <c r="C736" s="160" t="str">
        <f t="shared" si="23"/>
        <v/>
      </c>
      <c r="L736" s="404" t="e">
        <f t="shared" si="22"/>
        <v>#N/A</v>
      </c>
    </row>
    <row r="737" spans="3:12">
      <c r="C737" s="160" t="str">
        <f t="shared" si="23"/>
        <v/>
      </c>
      <c r="L737" s="404" t="e">
        <f t="shared" si="22"/>
        <v>#N/A</v>
      </c>
    </row>
    <row r="738" spans="3:12">
      <c r="C738" s="160" t="str">
        <f t="shared" si="23"/>
        <v/>
      </c>
      <c r="L738" s="404" t="e">
        <f t="shared" si="22"/>
        <v>#N/A</v>
      </c>
    </row>
    <row r="739" spans="3:12">
      <c r="C739" s="160" t="str">
        <f t="shared" si="23"/>
        <v/>
      </c>
      <c r="L739" s="404" t="e">
        <f t="shared" si="22"/>
        <v>#N/A</v>
      </c>
    </row>
    <row r="740" spans="3:12">
      <c r="C740" s="160" t="str">
        <f t="shared" si="23"/>
        <v/>
      </c>
      <c r="L740" s="404" t="e">
        <f t="shared" si="22"/>
        <v>#N/A</v>
      </c>
    </row>
    <row r="741" spans="3:12">
      <c r="C741" s="160" t="str">
        <f t="shared" si="23"/>
        <v/>
      </c>
      <c r="L741" s="404" t="e">
        <f t="shared" si="22"/>
        <v>#N/A</v>
      </c>
    </row>
    <row r="742" spans="3:12">
      <c r="C742" s="160" t="str">
        <f t="shared" si="23"/>
        <v/>
      </c>
      <c r="L742" s="404" t="e">
        <f t="shared" si="22"/>
        <v>#N/A</v>
      </c>
    </row>
    <row r="743" spans="3:12">
      <c r="C743" s="160" t="str">
        <f t="shared" si="23"/>
        <v/>
      </c>
      <c r="L743" s="404" t="e">
        <f t="shared" si="22"/>
        <v>#N/A</v>
      </c>
    </row>
    <row r="744" spans="3:12">
      <c r="C744" s="160" t="str">
        <f t="shared" si="23"/>
        <v/>
      </c>
      <c r="L744" s="404" t="e">
        <f t="shared" si="22"/>
        <v>#N/A</v>
      </c>
    </row>
    <row r="745" spans="3:12">
      <c r="C745" s="160" t="str">
        <f t="shared" si="23"/>
        <v/>
      </c>
      <c r="L745" s="404" t="e">
        <f t="shared" si="22"/>
        <v>#N/A</v>
      </c>
    </row>
    <row r="746" spans="3:12">
      <c r="C746" s="160" t="str">
        <f t="shared" si="23"/>
        <v/>
      </c>
      <c r="L746" s="404" t="e">
        <f t="shared" si="22"/>
        <v>#N/A</v>
      </c>
    </row>
    <row r="747" spans="3:12">
      <c r="C747" s="160" t="str">
        <f t="shared" si="23"/>
        <v/>
      </c>
      <c r="L747" s="404" t="e">
        <f t="shared" si="22"/>
        <v>#N/A</v>
      </c>
    </row>
    <row r="748" spans="3:12">
      <c r="C748" s="160" t="str">
        <f t="shared" si="23"/>
        <v/>
      </c>
      <c r="L748" s="404" t="e">
        <f t="shared" si="22"/>
        <v>#N/A</v>
      </c>
    </row>
    <row r="749" spans="3:12">
      <c r="C749" s="160" t="str">
        <f t="shared" si="23"/>
        <v/>
      </c>
      <c r="L749" s="404" t="e">
        <f t="shared" si="22"/>
        <v>#N/A</v>
      </c>
    </row>
    <row r="750" spans="3:12">
      <c r="C750" s="160" t="str">
        <f t="shared" si="23"/>
        <v/>
      </c>
      <c r="L750" s="404" t="e">
        <f t="shared" si="22"/>
        <v>#N/A</v>
      </c>
    </row>
    <row r="751" spans="3:12">
      <c r="C751" s="160" t="str">
        <f t="shared" si="23"/>
        <v/>
      </c>
      <c r="L751" s="404" t="e">
        <f t="shared" si="22"/>
        <v>#N/A</v>
      </c>
    </row>
    <row r="752" spans="3:12">
      <c r="C752" s="160" t="str">
        <f t="shared" si="23"/>
        <v/>
      </c>
      <c r="L752" s="404" t="e">
        <f t="shared" si="22"/>
        <v>#N/A</v>
      </c>
    </row>
    <row r="753" spans="3:12">
      <c r="C753" s="160" t="str">
        <f t="shared" si="23"/>
        <v/>
      </c>
      <c r="L753" s="404" t="e">
        <f t="shared" si="22"/>
        <v>#N/A</v>
      </c>
    </row>
    <row r="754" spans="3:12">
      <c r="C754" s="160" t="str">
        <f t="shared" si="23"/>
        <v/>
      </c>
      <c r="L754" s="404" t="e">
        <f t="shared" si="22"/>
        <v>#N/A</v>
      </c>
    </row>
    <row r="755" spans="3:12">
      <c r="C755" s="160" t="str">
        <f t="shared" si="23"/>
        <v/>
      </c>
      <c r="L755" s="404" t="e">
        <f t="shared" si="22"/>
        <v>#N/A</v>
      </c>
    </row>
    <row r="756" spans="3:12">
      <c r="C756" s="160" t="str">
        <f t="shared" si="23"/>
        <v/>
      </c>
      <c r="L756" s="404" t="e">
        <f t="shared" si="22"/>
        <v>#N/A</v>
      </c>
    </row>
    <row r="757" spans="3:12">
      <c r="C757" s="160" t="str">
        <f t="shared" si="23"/>
        <v/>
      </c>
      <c r="L757" s="404" t="e">
        <f t="shared" si="22"/>
        <v>#N/A</v>
      </c>
    </row>
    <row r="758" spans="3:12">
      <c r="C758" s="160" t="str">
        <f t="shared" si="23"/>
        <v/>
      </c>
      <c r="L758" s="404" t="e">
        <f t="shared" si="22"/>
        <v>#N/A</v>
      </c>
    </row>
    <row r="759" spans="3:12">
      <c r="C759" s="160" t="str">
        <f t="shared" si="23"/>
        <v/>
      </c>
      <c r="L759" s="404" t="e">
        <f t="shared" si="22"/>
        <v>#N/A</v>
      </c>
    </row>
    <row r="760" spans="3:12">
      <c r="C760" s="160" t="str">
        <f t="shared" si="23"/>
        <v/>
      </c>
      <c r="L760" s="404" t="e">
        <f t="shared" si="22"/>
        <v>#N/A</v>
      </c>
    </row>
    <row r="761" spans="3:12">
      <c r="C761" s="160" t="str">
        <f t="shared" si="23"/>
        <v/>
      </c>
      <c r="L761" s="404" t="e">
        <f t="shared" si="22"/>
        <v>#N/A</v>
      </c>
    </row>
    <row r="762" spans="3:12">
      <c r="C762" s="160" t="str">
        <f t="shared" si="23"/>
        <v/>
      </c>
      <c r="L762" s="404" t="e">
        <f t="shared" si="22"/>
        <v>#N/A</v>
      </c>
    </row>
    <row r="763" spans="3:12">
      <c r="C763" s="160" t="str">
        <f t="shared" si="23"/>
        <v/>
      </c>
      <c r="L763" s="404" t="e">
        <f t="shared" si="22"/>
        <v>#N/A</v>
      </c>
    </row>
    <row r="764" spans="3:12">
      <c r="C764" s="160" t="str">
        <f t="shared" si="23"/>
        <v/>
      </c>
      <c r="L764" s="404" t="e">
        <f t="shared" si="22"/>
        <v>#N/A</v>
      </c>
    </row>
    <row r="765" spans="3:12">
      <c r="C765" s="160" t="str">
        <f t="shared" si="23"/>
        <v/>
      </c>
      <c r="L765" s="404" t="e">
        <f t="shared" si="22"/>
        <v>#N/A</v>
      </c>
    </row>
    <row r="766" spans="3:12">
      <c r="C766" s="160" t="str">
        <f t="shared" si="23"/>
        <v/>
      </c>
      <c r="L766" s="404" t="e">
        <f t="shared" si="22"/>
        <v>#N/A</v>
      </c>
    </row>
    <row r="767" spans="3:12">
      <c r="C767" s="160" t="str">
        <f t="shared" si="23"/>
        <v/>
      </c>
      <c r="L767" s="404" t="e">
        <f t="shared" si="22"/>
        <v>#N/A</v>
      </c>
    </row>
    <row r="768" spans="3:12">
      <c r="C768" s="160" t="str">
        <f t="shared" si="23"/>
        <v/>
      </c>
      <c r="L768" s="404" t="e">
        <f t="shared" si="22"/>
        <v>#N/A</v>
      </c>
    </row>
    <row r="769" spans="3:12">
      <c r="C769" s="160" t="str">
        <f t="shared" si="23"/>
        <v/>
      </c>
      <c r="L769" s="404" t="e">
        <f t="shared" si="22"/>
        <v>#N/A</v>
      </c>
    </row>
    <row r="770" spans="3:12">
      <c r="C770" s="160" t="str">
        <f t="shared" si="23"/>
        <v/>
      </c>
      <c r="L770" s="404" t="e">
        <f t="shared" si="22"/>
        <v>#N/A</v>
      </c>
    </row>
    <row r="771" spans="3:12">
      <c r="C771" s="160" t="str">
        <f t="shared" si="23"/>
        <v/>
      </c>
      <c r="L771" s="404" t="e">
        <f t="shared" si="22"/>
        <v>#N/A</v>
      </c>
    </row>
    <row r="772" spans="3:12">
      <c r="C772" s="160" t="str">
        <f t="shared" si="23"/>
        <v/>
      </c>
      <c r="L772" s="404" t="e">
        <f t="shared" si="22"/>
        <v>#N/A</v>
      </c>
    </row>
    <row r="773" spans="3:12">
      <c r="C773" s="160" t="str">
        <f t="shared" si="23"/>
        <v/>
      </c>
      <c r="L773" s="404" t="e">
        <f t="shared" si="22"/>
        <v>#N/A</v>
      </c>
    </row>
    <row r="774" spans="3:12">
      <c r="C774" s="160" t="str">
        <f t="shared" si="23"/>
        <v/>
      </c>
      <c r="L774" s="404" t="e">
        <f t="shared" si="22"/>
        <v>#N/A</v>
      </c>
    </row>
    <row r="775" spans="3:12">
      <c r="C775" s="160" t="str">
        <f t="shared" si="23"/>
        <v/>
      </c>
      <c r="L775" s="404" t="e">
        <f t="shared" si="22"/>
        <v>#N/A</v>
      </c>
    </row>
    <row r="776" spans="3:12">
      <c r="C776" s="160" t="str">
        <f t="shared" si="23"/>
        <v/>
      </c>
      <c r="L776" s="404" t="e">
        <f t="shared" si="22"/>
        <v>#N/A</v>
      </c>
    </row>
    <row r="777" spans="3:12">
      <c r="C777" s="160" t="str">
        <f t="shared" si="23"/>
        <v/>
      </c>
      <c r="L777" s="404" t="e">
        <f t="shared" si="22"/>
        <v>#N/A</v>
      </c>
    </row>
    <row r="778" spans="3:12">
      <c r="C778" s="160" t="str">
        <f t="shared" si="23"/>
        <v/>
      </c>
      <c r="L778" s="404" t="e">
        <f t="shared" si="22"/>
        <v>#N/A</v>
      </c>
    </row>
    <row r="779" spans="3:12">
      <c r="C779" s="160" t="str">
        <f t="shared" si="23"/>
        <v/>
      </c>
      <c r="L779" s="404" t="e">
        <f t="shared" si="22"/>
        <v>#N/A</v>
      </c>
    </row>
    <row r="780" spans="3:12">
      <c r="C780" s="160" t="str">
        <f t="shared" si="23"/>
        <v/>
      </c>
      <c r="L780" s="404" t="e">
        <f t="shared" ref="L780:L843" si="24">IF(C780=C779,NA(),SUMIF(Prob_ProbRunandCrit,C780,Prob_Prob))</f>
        <v>#N/A</v>
      </c>
    </row>
    <row r="781" spans="3:12">
      <c r="C781" s="160" t="str">
        <f t="shared" ref="C781:C844" si="25">D781&amp;I781</f>
        <v/>
      </c>
      <c r="L781" s="404" t="e">
        <f t="shared" si="24"/>
        <v>#N/A</v>
      </c>
    </row>
    <row r="782" spans="3:12">
      <c r="C782" s="160" t="str">
        <f t="shared" si="25"/>
        <v/>
      </c>
      <c r="L782" s="404" t="e">
        <f t="shared" si="24"/>
        <v>#N/A</v>
      </c>
    </row>
    <row r="783" spans="3:12">
      <c r="C783" s="160" t="str">
        <f t="shared" si="25"/>
        <v/>
      </c>
      <c r="L783" s="404" t="e">
        <f t="shared" si="24"/>
        <v>#N/A</v>
      </c>
    </row>
    <row r="784" spans="3:12">
      <c r="C784" s="160" t="str">
        <f t="shared" si="25"/>
        <v/>
      </c>
      <c r="L784" s="404" t="e">
        <f t="shared" si="24"/>
        <v>#N/A</v>
      </c>
    </row>
    <row r="785" spans="3:12">
      <c r="C785" s="160" t="str">
        <f t="shared" si="25"/>
        <v/>
      </c>
      <c r="L785" s="404" t="e">
        <f t="shared" si="24"/>
        <v>#N/A</v>
      </c>
    </row>
    <row r="786" spans="3:12">
      <c r="C786" s="160" t="str">
        <f t="shared" si="25"/>
        <v/>
      </c>
      <c r="L786" s="404" t="e">
        <f t="shared" si="24"/>
        <v>#N/A</v>
      </c>
    </row>
    <row r="787" spans="3:12">
      <c r="C787" s="160" t="str">
        <f t="shared" si="25"/>
        <v/>
      </c>
      <c r="L787" s="404" t="e">
        <f t="shared" si="24"/>
        <v>#N/A</v>
      </c>
    </row>
    <row r="788" spans="3:12">
      <c r="C788" s="160" t="str">
        <f t="shared" si="25"/>
        <v/>
      </c>
      <c r="L788" s="404" t="e">
        <f t="shared" si="24"/>
        <v>#N/A</v>
      </c>
    </row>
    <row r="789" spans="3:12">
      <c r="C789" s="160" t="str">
        <f t="shared" si="25"/>
        <v/>
      </c>
      <c r="L789" s="404" t="e">
        <f t="shared" si="24"/>
        <v>#N/A</v>
      </c>
    </row>
    <row r="790" spans="3:12">
      <c r="C790" s="160" t="str">
        <f t="shared" si="25"/>
        <v/>
      </c>
      <c r="L790" s="404" t="e">
        <f t="shared" si="24"/>
        <v>#N/A</v>
      </c>
    </row>
    <row r="791" spans="3:12">
      <c r="C791" s="160" t="str">
        <f t="shared" si="25"/>
        <v/>
      </c>
      <c r="L791" s="404" t="e">
        <f t="shared" si="24"/>
        <v>#N/A</v>
      </c>
    </row>
    <row r="792" spans="3:12">
      <c r="C792" s="160" t="str">
        <f t="shared" si="25"/>
        <v/>
      </c>
      <c r="L792" s="404" t="e">
        <f t="shared" si="24"/>
        <v>#N/A</v>
      </c>
    </row>
    <row r="793" spans="3:12">
      <c r="C793" s="160" t="str">
        <f t="shared" si="25"/>
        <v/>
      </c>
      <c r="L793" s="404" t="e">
        <f t="shared" si="24"/>
        <v>#N/A</v>
      </c>
    </row>
    <row r="794" spans="3:12">
      <c r="C794" s="160" t="str">
        <f t="shared" si="25"/>
        <v/>
      </c>
      <c r="L794" s="404" t="e">
        <f t="shared" si="24"/>
        <v>#N/A</v>
      </c>
    </row>
    <row r="795" spans="3:12">
      <c r="C795" s="160" t="str">
        <f t="shared" si="25"/>
        <v/>
      </c>
      <c r="L795" s="404" t="e">
        <f t="shared" si="24"/>
        <v>#N/A</v>
      </c>
    </row>
    <row r="796" spans="3:12">
      <c r="C796" s="160" t="str">
        <f t="shared" si="25"/>
        <v/>
      </c>
      <c r="L796" s="404" t="e">
        <f t="shared" si="24"/>
        <v>#N/A</v>
      </c>
    </row>
    <row r="797" spans="3:12">
      <c r="C797" s="160" t="str">
        <f t="shared" si="25"/>
        <v/>
      </c>
      <c r="L797" s="404" t="e">
        <f t="shared" si="24"/>
        <v>#N/A</v>
      </c>
    </row>
    <row r="798" spans="3:12">
      <c r="C798" s="160" t="str">
        <f t="shared" si="25"/>
        <v/>
      </c>
      <c r="L798" s="404" t="e">
        <f t="shared" si="24"/>
        <v>#N/A</v>
      </c>
    </row>
    <row r="799" spans="3:12">
      <c r="C799" s="160" t="str">
        <f t="shared" si="25"/>
        <v/>
      </c>
      <c r="L799" s="404" t="e">
        <f t="shared" si="24"/>
        <v>#N/A</v>
      </c>
    </row>
    <row r="800" spans="3:12">
      <c r="C800" s="160" t="str">
        <f t="shared" si="25"/>
        <v/>
      </c>
      <c r="L800" s="404" t="e">
        <f t="shared" si="24"/>
        <v>#N/A</v>
      </c>
    </row>
    <row r="801" spans="3:12">
      <c r="C801" s="160" t="str">
        <f t="shared" si="25"/>
        <v/>
      </c>
      <c r="L801" s="404" t="e">
        <f t="shared" si="24"/>
        <v>#N/A</v>
      </c>
    </row>
    <row r="802" spans="3:12">
      <c r="C802" s="160" t="str">
        <f t="shared" si="25"/>
        <v/>
      </c>
      <c r="L802" s="404" t="e">
        <f t="shared" si="24"/>
        <v>#N/A</v>
      </c>
    </row>
    <row r="803" spans="3:12">
      <c r="C803" s="160" t="str">
        <f t="shared" si="25"/>
        <v/>
      </c>
      <c r="L803" s="404" t="e">
        <f t="shared" si="24"/>
        <v>#N/A</v>
      </c>
    </row>
    <row r="804" spans="3:12">
      <c r="C804" s="160" t="str">
        <f t="shared" si="25"/>
        <v/>
      </c>
      <c r="L804" s="404" t="e">
        <f t="shared" si="24"/>
        <v>#N/A</v>
      </c>
    </row>
    <row r="805" spans="3:12">
      <c r="C805" s="160" t="str">
        <f t="shared" si="25"/>
        <v/>
      </c>
      <c r="L805" s="404" t="e">
        <f t="shared" si="24"/>
        <v>#N/A</v>
      </c>
    </row>
    <row r="806" spans="3:12">
      <c r="C806" s="160" t="str">
        <f t="shared" si="25"/>
        <v/>
      </c>
      <c r="L806" s="404" t="e">
        <f t="shared" si="24"/>
        <v>#N/A</v>
      </c>
    </row>
    <row r="807" spans="3:12">
      <c r="C807" s="160" t="str">
        <f t="shared" si="25"/>
        <v/>
      </c>
      <c r="L807" s="404" t="e">
        <f t="shared" si="24"/>
        <v>#N/A</v>
      </c>
    </row>
    <row r="808" spans="3:12">
      <c r="C808" s="160" t="str">
        <f t="shared" si="25"/>
        <v/>
      </c>
      <c r="L808" s="404" t="e">
        <f t="shared" si="24"/>
        <v>#N/A</v>
      </c>
    </row>
    <row r="809" spans="3:12">
      <c r="C809" s="160" t="str">
        <f t="shared" si="25"/>
        <v/>
      </c>
      <c r="L809" s="404" t="e">
        <f t="shared" si="24"/>
        <v>#N/A</v>
      </c>
    </row>
    <row r="810" spans="3:12">
      <c r="C810" s="160" t="str">
        <f t="shared" si="25"/>
        <v/>
      </c>
      <c r="L810" s="404" t="e">
        <f t="shared" si="24"/>
        <v>#N/A</v>
      </c>
    </row>
    <row r="811" spans="3:12">
      <c r="C811" s="160" t="str">
        <f t="shared" si="25"/>
        <v/>
      </c>
      <c r="L811" s="404" t="e">
        <f t="shared" si="24"/>
        <v>#N/A</v>
      </c>
    </row>
    <row r="812" spans="3:12">
      <c r="C812" s="160" t="str">
        <f t="shared" si="25"/>
        <v/>
      </c>
      <c r="L812" s="404" t="e">
        <f t="shared" si="24"/>
        <v>#N/A</v>
      </c>
    </row>
    <row r="813" spans="3:12">
      <c r="C813" s="160" t="str">
        <f t="shared" si="25"/>
        <v/>
      </c>
      <c r="L813" s="404" t="e">
        <f t="shared" si="24"/>
        <v>#N/A</v>
      </c>
    </row>
    <row r="814" spans="3:12">
      <c r="C814" s="160" t="str">
        <f t="shared" si="25"/>
        <v/>
      </c>
      <c r="L814" s="404" t="e">
        <f t="shared" si="24"/>
        <v>#N/A</v>
      </c>
    </row>
    <row r="815" spans="3:12">
      <c r="C815" s="160" t="str">
        <f t="shared" si="25"/>
        <v/>
      </c>
      <c r="L815" s="404" t="e">
        <f t="shared" si="24"/>
        <v>#N/A</v>
      </c>
    </row>
    <row r="816" spans="3:12">
      <c r="C816" s="160" t="str">
        <f t="shared" si="25"/>
        <v/>
      </c>
      <c r="L816" s="404" t="e">
        <f t="shared" si="24"/>
        <v>#N/A</v>
      </c>
    </row>
    <row r="817" spans="3:12">
      <c r="C817" s="160" t="str">
        <f t="shared" si="25"/>
        <v/>
      </c>
      <c r="L817" s="404" t="e">
        <f t="shared" si="24"/>
        <v>#N/A</v>
      </c>
    </row>
    <row r="818" spans="3:12">
      <c r="C818" s="160" t="str">
        <f t="shared" si="25"/>
        <v/>
      </c>
      <c r="L818" s="404" t="e">
        <f t="shared" si="24"/>
        <v>#N/A</v>
      </c>
    </row>
    <row r="819" spans="3:12">
      <c r="C819" s="160" t="str">
        <f t="shared" si="25"/>
        <v/>
      </c>
      <c r="L819" s="404" t="e">
        <f t="shared" si="24"/>
        <v>#N/A</v>
      </c>
    </row>
    <row r="820" spans="3:12">
      <c r="C820" s="160" t="str">
        <f t="shared" si="25"/>
        <v/>
      </c>
      <c r="L820" s="404" t="e">
        <f t="shared" si="24"/>
        <v>#N/A</v>
      </c>
    </row>
    <row r="821" spans="3:12">
      <c r="C821" s="160" t="str">
        <f t="shared" si="25"/>
        <v/>
      </c>
      <c r="L821" s="404" t="e">
        <f t="shared" si="24"/>
        <v>#N/A</v>
      </c>
    </row>
    <row r="822" spans="3:12">
      <c r="C822" s="160" t="str">
        <f t="shared" si="25"/>
        <v/>
      </c>
      <c r="L822" s="404" t="e">
        <f t="shared" si="24"/>
        <v>#N/A</v>
      </c>
    </row>
    <row r="823" spans="3:12">
      <c r="C823" s="160" t="str">
        <f t="shared" si="25"/>
        <v/>
      </c>
      <c r="L823" s="404" t="e">
        <f t="shared" si="24"/>
        <v>#N/A</v>
      </c>
    </row>
    <row r="824" spans="3:12">
      <c r="C824" s="160" t="str">
        <f t="shared" si="25"/>
        <v/>
      </c>
      <c r="L824" s="404" t="e">
        <f t="shared" si="24"/>
        <v>#N/A</v>
      </c>
    </row>
    <row r="825" spans="3:12">
      <c r="C825" s="160" t="str">
        <f t="shared" si="25"/>
        <v/>
      </c>
      <c r="L825" s="404" t="e">
        <f t="shared" si="24"/>
        <v>#N/A</v>
      </c>
    </row>
    <row r="826" spans="3:12">
      <c r="C826" s="160" t="str">
        <f t="shared" si="25"/>
        <v/>
      </c>
      <c r="L826" s="404" t="e">
        <f t="shared" si="24"/>
        <v>#N/A</v>
      </c>
    </row>
    <row r="827" spans="3:12">
      <c r="C827" s="160" t="str">
        <f t="shared" si="25"/>
        <v/>
      </c>
      <c r="L827" s="404" t="e">
        <f t="shared" si="24"/>
        <v>#N/A</v>
      </c>
    </row>
    <row r="828" spans="3:12">
      <c r="C828" s="160" t="str">
        <f t="shared" si="25"/>
        <v/>
      </c>
      <c r="L828" s="404" t="e">
        <f t="shared" si="24"/>
        <v>#N/A</v>
      </c>
    </row>
    <row r="829" spans="3:12">
      <c r="C829" s="160" t="str">
        <f t="shared" si="25"/>
        <v/>
      </c>
      <c r="L829" s="404" t="e">
        <f t="shared" si="24"/>
        <v>#N/A</v>
      </c>
    </row>
    <row r="830" spans="3:12">
      <c r="C830" s="160" t="str">
        <f t="shared" si="25"/>
        <v/>
      </c>
      <c r="L830" s="404" t="e">
        <f t="shared" si="24"/>
        <v>#N/A</v>
      </c>
    </row>
    <row r="831" spans="3:12">
      <c r="C831" s="160" t="str">
        <f t="shared" si="25"/>
        <v/>
      </c>
      <c r="L831" s="404" t="e">
        <f t="shared" si="24"/>
        <v>#N/A</v>
      </c>
    </row>
    <row r="832" spans="3:12">
      <c r="C832" s="160" t="str">
        <f t="shared" si="25"/>
        <v/>
      </c>
      <c r="L832" s="404" t="e">
        <f t="shared" si="24"/>
        <v>#N/A</v>
      </c>
    </row>
    <row r="833" spans="3:12">
      <c r="C833" s="160" t="str">
        <f t="shared" si="25"/>
        <v/>
      </c>
      <c r="L833" s="404" t="e">
        <f t="shared" si="24"/>
        <v>#N/A</v>
      </c>
    </row>
    <row r="834" spans="3:12">
      <c r="C834" s="160" t="str">
        <f t="shared" si="25"/>
        <v/>
      </c>
      <c r="L834" s="404" t="e">
        <f t="shared" si="24"/>
        <v>#N/A</v>
      </c>
    </row>
    <row r="835" spans="3:12">
      <c r="C835" s="160" t="str">
        <f t="shared" si="25"/>
        <v/>
      </c>
      <c r="L835" s="404" t="e">
        <f t="shared" si="24"/>
        <v>#N/A</v>
      </c>
    </row>
    <row r="836" spans="3:12">
      <c r="C836" s="160" t="str">
        <f t="shared" si="25"/>
        <v/>
      </c>
      <c r="L836" s="404" t="e">
        <f t="shared" si="24"/>
        <v>#N/A</v>
      </c>
    </row>
    <row r="837" spans="3:12">
      <c r="C837" s="160" t="str">
        <f t="shared" si="25"/>
        <v/>
      </c>
      <c r="L837" s="404" t="e">
        <f t="shared" si="24"/>
        <v>#N/A</v>
      </c>
    </row>
    <row r="838" spans="3:12">
      <c r="C838" s="160" t="str">
        <f t="shared" si="25"/>
        <v/>
      </c>
      <c r="L838" s="404" t="e">
        <f t="shared" si="24"/>
        <v>#N/A</v>
      </c>
    </row>
    <row r="839" spans="3:12">
      <c r="C839" s="160" t="str">
        <f t="shared" si="25"/>
        <v/>
      </c>
      <c r="L839" s="404" t="e">
        <f t="shared" si="24"/>
        <v>#N/A</v>
      </c>
    </row>
    <row r="840" spans="3:12">
      <c r="C840" s="160" t="str">
        <f t="shared" si="25"/>
        <v/>
      </c>
      <c r="L840" s="404" t="e">
        <f t="shared" si="24"/>
        <v>#N/A</v>
      </c>
    </row>
    <row r="841" spans="3:12">
      <c r="C841" s="160" t="str">
        <f t="shared" si="25"/>
        <v/>
      </c>
      <c r="L841" s="404" t="e">
        <f t="shared" si="24"/>
        <v>#N/A</v>
      </c>
    </row>
    <row r="842" spans="3:12">
      <c r="C842" s="160" t="str">
        <f t="shared" si="25"/>
        <v/>
      </c>
      <c r="L842" s="404" t="e">
        <f t="shared" si="24"/>
        <v>#N/A</v>
      </c>
    </row>
    <row r="843" spans="3:12">
      <c r="C843" s="160" t="str">
        <f t="shared" si="25"/>
        <v/>
      </c>
      <c r="L843" s="404" t="e">
        <f t="shared" si="24"/>
        <v>#N/A</v>
      </c>
    </row>
    <row r="844" spans="3:12">
      <c r="C844" s="160" t="str">
        <f t="shared" si="25"/>
        <v/>
      </c>
      <c r="L844" s="404" t="e">
        <f t="shared" ref="L844:L907" si="26">IF(C844=C843,NA(),SUMIF(Prob_ProbRunandCrit,C844,Prob_Prob))</f>
        <v>#N/A</v>
      </c>
    </row>
    <row r="845" spans="3:12">
      <c r="C845" s="160" t="str">
        <f t="shared" ref="C845:C908" si="27">D845&amp;I845</f>
        <v/>
      </c>
      <c r="L845" s="404" t="e">
        <f t="shared" si="26"/>
        <v>#N/A</v>
      </c>
    </row>
    <row r="846" spans="3:12">
      <c r="C846" s="160" t="str">
        <f t="shared" si="27"/>
        <v/>
      </c>
      <c r="L846" s="404" t="e">
        <f t="shared" si="26"/>
        <v>#N/A</v>
      </c>
    </row>
    <row r="847" spans="3:12">
      <c r="C847" s="160" t="str">
        <f t="shared" si="27"/>
        <v/>
      </c>
      <c r="L847" s="404" t="e">
        <f t="shared" si="26"/>
        <v>#N/A</v>
      </c>
    </row>
    <row r="848" spans="3:12">
      <c r="C848" s="160" t="str">
        <f t="shared" si="27"/>
        <v/>
      </c>
      <c r="L848" s="404" t="e">
        <f t="shared" si="26"/>
        <v>#N/A</v>
      </c>
    </row>
    <row r="849" spans="3:12">
      <c r="C849" s="160" t="str">
        <f t="shared" si="27"/>
        <v/>
      </c>
      <c r="L849" s="404" t="e">
        <f t="shared" si="26"/>
        <v>#N/A</v>
      </c>
    </row>
    <row r="850" spans="3:12">
      <c r="C850" s="160" t="str">
        <f t="shared" si="27"/>
        <v/>
      </c>
      <c r="L850" s="404" t="e">
        <f t="shared" si="26"/>
        <v>#N/A</v>
      </c>
    </row>
    <row r="851" spans="3:12">
      <c r="C851" s="160" t="str">
        <f t="shared" si="27"/>
        <v/>
      </c>
      <c r="L851" s="404" t="e">
        <f t="shared" si="26"/>
        <v>#N/A</v>
      </c>
    </row>
    <row r="852" spans="3:12">
      <c r="C852" s="160" t="str">
        <f t="shared" si="27"/>
        <v/>
      </c>
      <c r="L852" s="404" t="e">
        <f t="shared" si="26"/>
        <v>#N/A</v>
      </c>
    </row>
    <row r="853" spans="3:12">
      <c r="C853" s="160" t="str">
        <f t="shared" si="27"/>
        <v/>
      </c>
      <c r="L853" s="404" t="e">
        <f t="shared" si="26"/>
        <v>#N/A</v>
      </c>
    </row>
    <row r="854" spans="3:12">
      <c r="C854" s="160" t="str">
        <f t="shared" si="27"/>
        <v/>
      </c>
      <c r="L854" s="404" t="e">
        <f t="shared" si="26"/>
        <v>#N/A</v>
      </c>
    </row>
    <row r="855" spans="3:12">
      <c r="C855" s="160" t="str">
        <f t="shared" si="27"/>
        <v/>
      </c>
      <c r="L855" s="404" t="e">
        <f t="shared" si="26"/>
        <v>#N/A</v>
      </c>
    </row>
    <row r="856" spans="3:12">
      <c r="C856" s="160" t="str">
        <f t="shared" si="27"/>
        <v/>
      </c>
      <c r="L856" s="404" t="e">
        <f t="shared" si="26"/>
        <v>#N/A</v>
      </c>
    </row>
    <row r="857" spans="3:12">
      <c r="C857" s="160" t="str">
        <f t="shared" si="27"/>
        <v/>
      </c>
      <c r="L857" s="404" t="e">
        <f t="shared" si="26"/>
        <v>#N/A</v>
      </c>
    </row>
    <row r="858" spans="3:12">
      <c r="C858" s="160" t="str">
        <f t="shared" si="27"/>
        <v/>
      </c>
      <c r="L858" s="404" t="e">
        <f t="shared" si="26"/>
        <v>#N/A</v>
      </c>
    </row>
    <row r="859" spans="3:12">
      <c r="C859" s="160" t="str">
        <f t="shared" si="27"/>
        <v/>
      </c>
      <c r="L859" s="404" t="e">
        <f t="shared" si="26"/>
        <v>#N/A</v>
      </c>
    </row>
    <row r="860" spans="3:12">
      <c r="C860" s="160" t="str">
        <f t="shared" si="27"/>
        <v/>
      </c>
      <c r="L860" s="404" t="e">
        <f t="shared" si="26"/>
        <v>#N/A</v>
      </c>
    </row>
    <row r="861" spans="3:12">
      <c r="C861" s="160" t="str">
        <f t="shared" si="27"/>
        <v/>
      </c>
      <c r="L861" s="404" t="e">
        <f t="shared" si="26"/>
        <v>#N/A</v>
      </c>
    </row>
    <row r="862" spans="3:12">
      <c r="C862" s="160" t="str">
        <f t="shared" si="27"/>
        <v/>
      </c>
      <c r="L862" s="404" t="e">
        <f t="shared" si="26"/>
        <v>#N/A</v>
      </c>
    </row>
    <row r="863" spans="3:12">
      <c r="C863" s="160" t="str">
        <f t="shared" si="27"/>
        <v/>
      </c>
      <c r="L863" s="404" t="e">
        <f t="shared" si="26"/>
        <v>#N/A</v>
      </c>
    </row>
    <row r="864" spans="3:12">
      <c r="C864" s="160" t="str">
        <f t="shared" si="27"/>
        <v/>
      </c>
      <c r="L864" s="404" t="e">
        <f t="shared" si="26"/>
        <v>#N/A</v>
      </c>
    </row>
    <row r="865" spans="3:12">
      <c r="C865" s="160" t="str">
        <f t="shared" si="27"/>
        <v/>
      </c>
      <c r="L865" s="404" t="e">
        <f t="shared" si="26"/>
        <v>#N/A</v>
      </c>
    </row>
    <row r="866" spans="3:12">
      <c r="C866" s="160" t="str">
        <f t="shared" si="27"/>
        <v/>
      </c>
      <c r="L866" s="404" t="e">
        <f t="shared" si="26"/>
        <v>#N/A</v>
      </c>
    </row>
    <row r="867" spans="3:12">
      <c r="C867" s="160" t="str">
        <f t="shared" si="27"/>
        <v/>
      </c>
      <c r="L867" s="404" t="e">
        <f t="shared" si="26"/>
        <v>#N/A</v>
      </c>
    </row>
    <row r="868" spans="3:12">
      <c r="C868" s="160" t="str">
        <f t="shared" si="27"/>
        <v/>
      </c>
      <c r="L868" s="404" t="e">
        <f t="shared" si="26"/>
        <v>#N/A</v>
      </c>
    </row>
    <row r="869" spans="3:12">
      <c r="C869" s="160" t="str">
        <f t="shared" si="27"/>
        <v/>
      </c>
      <c r="L869" s="404" t="e">
        <f t="shared" si="26"/>
        <v>#N/A</v>
      </c>
    </row>
    <row r="870" spans="3:12">
      <c r="C870" s="160" t="str">
        <f t="shared" si="27"/>
        <v/>
      </c>
      <c r="L870" s="404" t="e">
        <f t="shared" si="26"/>
        <v>#N/A</v>
      </c>
    </row>
    <row r="871" spans="3:12">
      <c r="C871" s="160" t="str">
        <f t="shared" si="27"/>
        <v/>
      </c>
      <c r="L871" s="404" t="e">
        <f t="shared" si="26"/>
        <v>#N/A</v>
      </c>
    </row>
    <row r="872" spans="3:12">
      <c r="C872" s="160" t="str">
        <f t="shared" si="27"/>
        <v/>
      </c>
      <c r="L872" s="404" t="e">
        <f t="shared" si="26"/>
        <v>#N/A</v>
      </c>
    </row>
    <row r="873" spans="3:12">
      <c r="C873" s="160" t="str">
        <f t="shared" si="27"/>
        <v/>
      </c>
      <c r="L873" s="404" t="e">
        <f t="shared" si="26"/>
        <v>#N/A</v>
      </c>
    </row>
    <row r="874" spans="3:12">
      <c r="C874" s="160" t="str">
        <f t="shared" si="27"/>
        <v/>
      </c>
      <c r="L874" s="404" t="e">
        <f t="shared" si="26"/>
        <v>#N/A</v>
      </c>
    </row>
    <row r="875" spans="3:12">
      <c r="C875" s="160" t="str">
        <f t="shared" si="27"/>
        <v/>
      </c>
      <c r="L875" s="404" t="e">
        <f t="shared" si="26"/>
        <v>#N/A</v>
      </c>
    </row>
    <row r="876" spans="3:12">
      <c r="C876" s="160" t="str">
        <f t="shared" si="27"/>
        <v/>
      </c>
      <c r="L876" s="404" t="e">
        <f t="shared" si="26"/>
        <v>#N/A</v>
      </c>
    </row>
    <row r="877" spans="3:12">
      <c r="C877" s="160" t="str">
        <f t="shared" si="27"/>
        <v/>
      </c>
      <c r="L877" s="404" t="e">
        <f t="shared" si="26"/>
        <v>#N/A</v>
      </c>
    </row>
    <row r="878" spans="3:12">
      <c r="C878" s="160" t="str">
        <f t="shared" si="27"/>
        <v/>
      </c>
      <c r="L878" s="404" t="e">
        <f t="shared" si="26"/>
        <v>#N/A</v>
      </c>
    </row>
    <row r="879" spans="3:12">
      <c r="C879" s="160" t="str">
        <f t="shared" si="27"/>
        <v/>
      </c>
      <c r="L879" s="404" t="e">
        <f t="shared" si="26"/>
        <v>#N/A</v>
      </c>
    </row>
    <row r="880" spans="3:12">
      <c r="C880" s="160" t="str">
        <f t="shared" si="27"/>
        <v/>
      </c>
      <c r="L880" s="404" t="e">
        <f t="shared" si="26"/>
        <v>#N/A</v>
      </c>
    </row>
    <row r="881" spans="3:12">
      <c r="C881" s="160" t="str">
        <f t="shared" si="27"/>
        <v/>
      </c>
      <c r="L881" s="404" t="e">
        <f t="shared" si="26"/>
        <v>#N/A</v>
      </c>
    </row>
    <row r="882" spans="3:12">
      <c r="C882" s="160" t="str">
        <f t="shared" si="27"/>
        <v/>
      </c>
      <c r="L882" s="404" t="e">
        <f t="shared" si="26"/>
        <v>#N/A</v>
      </c>
    </row>
    <row r="883" spans="3:12">
      <c r="C883" s="160" t="str">
        <f t="shared" si="27"/>
        <v/>
      </c>
      <c r="L883" s="404" t="e">
        <f t="shared" si="26"/>
        <v>#N/A</v>
      </c>
    </row>
    <row r="884" spans="3:12">
      <c r="C884" s="160" t="str">
        <f t="shared" si="27"/>
        <v/>
      </c>
      <c r="L884" s="404" t="e">
        <f t="shared" si="26"/>
        <v>#N/A</v>
      </c>
    </row>
    <row r="885" spans="3:12">
      <c r="C885" s="160" t="str">
        <f t="shared" si="27"/>
        <v/>
      </c>
      <c r="L885" s="404" t="e">
        <f t="shared" si="26"/>
        <v>#N/A</v>
      </c>
    </row>
    <row r="886" spans="3:12">
      <c r="C886" s="160" t="str">
        <f t="shared" si="27"/>
        <v/>
      </c>
      <c r="L886" s="404" t="e">
        <f t="shared" si="26"/>
        <v>#N/A</v>
      </c>
    </row>
    <row r="887" spans="3:12">
      <c r="C887" s="160" t="str">
        <f t="shared" si="27"/>
        <v/>
      </c>
      <c r="L887" s="404" t="e">
        <f t="shared" si="26"/>
        <v>#N/A</v>
      </c>
    </row>
    <row r="888" spans="3:12">
      <c r="C888" s="160" t="str">
        <f t="shared" si="27"/>
        <v/>
      </c>
      <c r="L888" s="404" t="e">
        <f t="shared" si="26"/>
        <v>#N/A</v>
      </c>
    </row>
    <row r="889" spans="3:12">
      <c r="C889" s="160" t="str">
        <f t="shared" si="27"/>
        <v/>
      </c>
      <c r="L889" s="404" t="e">
        <f t="shared" si="26"/>
        <v>#N/A</v>
      </c>
    </row>
    <row r="890" spans="3:12">
      <c r="C890" s="160" t="str">
        <f t="shared" si="27"/>
        <v/>
      </c>
      <c r="L890" s="404" t="e">
        <f t="shared" si="26"/>
        <v>#N/A</v>
      </c>
    </row>
    <row r="891" spans="3:12">
      <c r="C891" s="160" t="str">
        <f t="shared" si="27"/>
        <v/>
      </c>
      <c r="L891" s="404" t="e">
        <f t="shared" si="26"/>
        <v>#N/A</v>
      </c>
    </row>
    <row r="892" spans="3:12">
      <c r="C892" s="160" t="str">
        <f t="shared" si="27"/>
        <v/>
      </c>
      <c r="L892" s="404" t="e">
        <f t="shared" si="26"/>
        <v>#N/A</v>
      </c>
    </row>
    <row r="893" spans="3:12">
      <c r="C893" s="160" t="str">
        <f t="shared" si="27"/>
        <v/>
      </c>
      <c r="L893" s="404" t="e">
        <f t="shared" si="26"/>
        <v>#N/A</v>
      </c>
    </row>
    <row r="894" spans="3:12">
      <c r="C894" s="160" t="str">
        <f t="shared" si="27"/>
        <v/>
      </c>
      <c r="L894" s="404" t="e">
        <f t="shared" si="26"/>
        <v>#N/A</v>
      </c>
    </row>
    <row r="895" spans="3:12">
      <c r="C895" s="160" t="str">
        <f t="shared" si="27"/>
        <v/>
      </c>
      <c r="L895" s="404" t="e">
        <f t="shared" si="26"/>
        <v>#N/A</v>
      </c>
    </row>
    <row r="896" spans="3:12">
      <c r="C896" s="160" t="str">
        <f t="shared" si="27"/>
        <v/>
      </c>
      <c r="L896" s="404" t="e">
        <f t="shared" si="26"/>
        <v>#N/A</v>
      </c>
    </row>
    <row r="897" spans="3:12">
      <c r="C897" s="160" t="str">
        <f t="shared" si="27"/>
        <v/>
      </c>
      <c r="L897" s="404" t="e">
        <f t="shared" si="26"/>
        <v>#N/A</v>
      </c>
    </row>
    <row r="898" spans="3:12">
      <c r="C898" s="160" t="str">
        <f t="shared" si="27"/>
        <v/>
      </c>
      <c r="L898" s="404" t="e">
        <f t="shared" si="26"/>
        <v>#N/A</v>
      </c>
    </row>
    <row r="899" spans="3:12">
      <c r="C899" s="160" t="str">
        <f t="shared" si="27"/>
        <v/>
      </c>
      <c r="L899" s="404" t="e">
        <f t="shared" si="26"/>
        <v>#N/A</v>
      </c>
    </row>
    <row r="900" spans="3:12">
      <c r="C900" s="160" t="str">
        <f t="shared" si="27"/>
        <v/>
      </c>
      <c r="L900" s="404" t="e">
        <f t="shared" si="26"/>
        <v>#N/A</v>
      </c>
    </row>
    <row r="901" spans="3:12">
      <c r="C901" s="160" t="str">
        <f t="shared" si="27"/>
        <v/>
      </c>
      <c r="L901" s="404" t="e">
        <f t="shared" si="26"/>
        <v>#N/A</v>
      </c>
    </row>
    <row r="902" spans="3:12">
      <c r="C902" s="160" t="str">
        <f t="shared" si="27"/>
        <v/>
      </c>
      <c r="L902" s="404" t="e">
        <f t="shared" si="26"/>
        <v>#N/A</v>
      </c>
    </row>
    <row r="903" spans="3:12">
      <c r="C903" s="160" t="str">
        <f t="shared" si="27"/>
        <v/>
      </c>
      <c r="L903" s="404" t="e">
        <f t="shared" si="26"/>
        <v>#N/A</v>
      </c>
    </row>
    <row r="904" spans="3:12">
      <c r="C904" s="160" t="str">
        <f t="shared" si="27"/>
        <v/>
      </c>
      <c r="L904" s="404" t="e">
        <f t="shared" si="26"/>
        <v>#N/A</v>
      </c>
    </row>
    <row r="905" spans="3:12">
      <c r="C905" s="160" t="str">
        <f t="shared" si="27"/>
        <v/>
      </c>
      <c r="L905" s="404" t="e">
        <f t="shared" si="26"/>
        <v>#N/A</v>
      </c>
    </row>
    <row r="906" spans="3:12">
      <c r="C906" s="160" t="str">
        <f t="shared" si="27"/>
        <v/>
      </c>
      <c r="L906" s="404" t="e">
        <f t="shared" si="26"/>
        <v>#N/A</v>
      </c>
    </row>
    <row r="907" spans="3:12">
      <c r="C907" s="160" t="str">
        <f t="shared" si="27"/>
        <v/>
      </c>
      <c r="L907" s="404" t="e">
        <f t="shared" si="26"/>
        <v>#N/A</v>
      </c>
    </row>
    <row r="908" spans="3:12">
      <c r="C908" s="160" t="str">
        <f t="shared" si="27"/>
        <v/>
      </c>
      <c r="L908" s="404" t="e">
        <f t="shared" ref="L908:L971" si="28">IF(C908=C907,NA(),SUMIF(Prob_ProbRunandCrit,C908,Prob_Prob))</f>
        <v>#N/A</v>
      </c>
    </row>
    <row r="909" spans="3:12">
      <c r="C909" s="160" t="str">
        <f t="shared" ref="C909:C972" si="29">D909&amp;I909</f>
        <v/>
      </c>
      <c r="L909" s="404" t="e">
        <f t="shared" si="28"/>
        <v>#N/A</v>
      </c>
    </row>
    <row r="910" spans="3:12">
      <c r="C910" s="160" t="str">
        <f t="shared" si="29"/>
        <v/>
      </c>
      <c r="L910" s="404" t="e">
        <f t="shared" si="28"/>
        <v>#N/A</v>
      </c>
    </row>
    <row r="911" spans="3:12">
      <c r="C911" s="160" t="str">
        <f t="shared" si="29"/>
        <v/>
      </c>
      <c r="L911" s="404" t="e">
        <f t="shared" si="28"/>
        <v>#N/A</v>
      </c>
    </row>
    <row r="912" spans="3:12">
      <c r="C912" s="160" t="str">
        <f t="shared" si="29"/>
        <v/>
      </c>
      <c r="L912" s="404" t="e">
        <f t="shared" si="28"/>
        <v>#N/A</v>
      </c>
    </row>
    <row r="913" spans="3:12">
      <c r="C913" s="160" t="str">
        <f t="shared" si="29"/>
        <v/>
      </c>
      <c r="L913" s="404" t="e">
        <f t="shared" si="28"/>
        <v>#N/A</v>
      </c>
    </row>
    <row r="914" spans="3:12">
      <c r="C914" s="160" t="str">
        <f t="shared" si="29"/>
        <v/>
      </c>
      <c r="L914" s="404" t="e">
        <f t="shared" si="28"/>
        <v>#N/A</v>
      </c>
    </row>
    <row r="915" spans="3:12">
      <c r="C915" s="160" t="str">
        <f t="shared" si="29"/>
        <v/>
      </c>
      <c r="L915" s="404" t="e">
        <f t="shared" si="28"/>
        <v>#N/A</v>
      </c>
    </row>
    <row r="916" spans="3:12">
      <c r="C916" s="160" t="str">
        <f t="shared" si="29"/>
        <v/>
      </c>
      <c r="L916" s="404" t="e">
        <f t="shared" si="28"/>
        <v>#N/A</v>
      </c>
    </row>
    <row r="917" spans="3:12">
      <c r="C917" s="160" t="str">
        <f t="shared" si="29"/>
        <v/>
      </c>
      <c r="L917" s="404" t="e">
        <f t="shared" si="28"/>
        <v>#N/A</v>
      </c>
    </row>
    <row r="918" spans="3:12">
      <c r="C918" s="160" t="str">
        <f t="shared" si="29"/>
        <v/>
      </c>
      <c r="L918" s="404" t="e">
        <f t="shared" si="28"/>
        <v>#N/A</v>
      </c>
    </row>
    <row r="919" spans="3:12">
      <c r="C919" s="160" t="str">
        <f t="shared" si="29"/>
        <v/>
      </c>
      <c r="L919" s="404" t="e">
        <f t="shared" si="28"/>
        <v>#N/A</v>
      </c>
    </row>
    <row r="920" spans="3:12">
      <c r="C920" s="160" t="str">
        <f t="shared" si="29"/>
        <v/>
      </c>
      <c r="L920" s="404" t="e">
        <f t="shared" si="28"/>
        <v>#N/A</v>
      </c>
    </row>
    <row r="921" spans="3:12">
      <c r="C921" s="160" t="str">
        <f t="shared" si="29"/>
        <v/>
      </c>
      <c r="L921" s="404" t="e">
        <f t="shared" si="28"/>
        <v>#N/A</v>
      </c>
    </row>
    <row r="922" spans="3:12">
      <c r="C922" s="160" t="str">
        <f t="shared" si="29"/>
        <v/>
      </c>
      <c r="L922" s="404" t="e">
        <f t="shared" si="28"/>
        <v>#N/A</v>
      </c>
    </row>
    <row r="923" spans="3:12">
      <c r="C923" s="160" t="str">
        <f t="shared" si="29"/>
        <v/>
      </c>
      <c r="L923" s="404" t="e">
        <f t="shared" si="28"/>
        <v>#N/A</v>
      </c>
    </row>
    <row r="924" spans="3:12">
      <c r="C924" s="160" t="str">
        <f t="shared" si="29"/>
        <v/>
      </c>
      <c r="L924" s="404" t="e">
        <f t="shared" si="28"/>
        <v>#N/A</v>
      </c>
    </row>
    <row r="925" spans="3:12">
      <c r="C925" s="160" t="str">
        <f t="shared" si="29"/>
        <v/>
      </c>
      <c r="L925" s="404" t="e">
        <f t="shared" si="28"/>
        <v>#N/A</v>
      </c>
    </row>
    <row r="926" spans="3:12">
      <c r="C926" s="160" t="str">
        <f t="shared" si="29"/>
        <v/>
      </c>
      <c r="L926" s="404" t="e">
        <f t="shared" si="28"/>
        <v>#N/A</v>
      </c>
    </row>
    <row r="927" spans="3:12">
      <c r="C927" s="160" t="str">
        <f t="shared" si="29"/>
        <v/>
      </c>
      <c r="L927" s="404" t="e">
        <f t="shared" si="28"/>
        <v>#N/A</v>
      </c>
    </row>
    <row r="928" spans="3:12">
      <c r="C928" s="160" t="str">
        <f t="shared" si="29"/>
        <v/>
      </c>
      <c r="L928" s="404" t="e">
        <f t="shared" si="28"/>
        <v>#N/A</v>
      </c>
    </row>
    <row r="929" spans="3:12">
      <c r="C929" s="160" t="str">
        <f t="shared" si="29"/>
        <v/>
      </c>
      <c r="L929" s="404" t="e">
        <f t="shared" si="28"/>
        <v>#N/A</v>
      </c>
    </row>
    <row r="930" spans="3:12">
      <c r="C930" s="160" t="str">
        <f t="shared" si="29"/>
        <v/>
      </c>
      <c r="L930" s="404" t="e">
        <f t="shared" si="28"/>
        <v>#N/A</v>
      </c>
    </row>
    <row r="931" spans="3:12">
      <c r="C931" s="160" t="str">
        <f t="shared" si="29"/>
        <v/>
      </c>
      <c r="L931" s="404" t="e">
        <f t="shared" si="28"/>
        <v>#N/A</v>
      </c>
    </row>
    <row r="932" spans="3:12">
      <c r="C932" s="160" t="str">
        <f t="shared" si="29"/>
        <v/>
      </c>
      <c r="L932" s="404" t="e">
        <f t="shared" si="28"/>
        <v>#N/A</v>
      </c>
    </row>
    <row r="933" spans="3:12">
      <c r="C933" s="160" t="str">
        <f t="shared" si="29"/>
        <v/>
      </c>
      <c r="L933" s="404" t="e">
        <f t="shared" si="28"/>
        <v>#N/A</v>
      </c>
    </row>
    <row r="934" spans="3:12">
      <c r="C934" s="160" t="str">
        <f t="shared" si="29"/>
        <v/>
      </c>
      <c r="L934" s="404" t="e">
        <f t="shared" si="28"/>
        <v>#N/A</v>
      </c>
    </row>
    <row r="935" spans="3:12">
      <c r="C935" s="160" t="str">
        <f t="shared" si="29"/>
        <v/>
      </c>
      <c r="L935" s="404" t="e">
        <f t="shared" si="28"/>
        <v>#N/A</v>
      </c>
    </row>
    <row r="936" spans="3:12">
      <c r="C936" s="160" t="str">
        <f t="shared" si="29"/>
        <v/>
      </c>
      <c r="L936" s="404" t="e">
        <f t="shared" si="28"/>
        <v>#N/A</v>
      </c>
    </row>
    <row r="937" spans="3:12">
      <c r="C937" s="160" t="str">
        <f t="shared" si="29"/>
        <v/>
      </c>
      <c r="L937" s="404" t="e">
        <f t="shared" si="28"/>
        <v>#N/A</v>
      </c>
    </row>
    <row r="938" spans="3:12">
      <c r="C938" s="160" t="str">
        <f t="shared" si="29"/>
        <v/>
      </c>
      <c r="L938" s="404" t="e">
        <f t="shared" si="28"/>
        <v>#N/A</v>
      </c>
    </row>
    <row r="939" spans="3:12">
      <c r="C939" s="160" t="str">
        <f t="shared" si="29"/>
        <v/>
      </c>
      <c r="L939" s="404" t="e">
        <f t="shared" si="28"/>
        <v>#N/A</v>
      </c>
    </row>
    <row r="940" spans="3:12">
      <c r="C940" s="160" t="str">
        <f t="shared" si="29"/>
        <v/>
      </c>
      <c r="L940" s="404" t="e">
        <f t="shared" si="28"/>
        <v>#N/A</v>
      </c>
    </row>
    <row r="941" spans="3:12">
      <c r="C941" s="160" t="str">
        <f t="shared" si="29"/>
        <v/>
      </c>
      <c r="L941" s="404" t="e">
        <f t="shared" si="28"/>
        <v>#N/A</v>
      </c>
    </row>
    <row r="942" spans="3:12">
      <c r="C942" s="160" t="str">
        <f t="shared" si="29"/>
        <v/>
      </c>
      <c r="L942" s="404" t="e">
        <f t="shared" si="28"/>
        <v>#N/A</v>
      </c>
    </row>
    <row r="943" spans="3:12">
      <c r="C943" s="160" t="str">
        <f t="shared" si="29"/>
        <v/>
      </c>
      <c r="L943" s="404" t="e">
        <f t="shared" si="28"/>
        <v>#N/A</v>
      </c>
    </row>
    <row r="944" spans="3:12">
      <c r="C944" s="160" t="str">
        <f t="shared" si="29"/>
        <v/>
      </c>
      <c r="L944" s="404" t="e">
        <f t="shared" si="28"/>
        <v>#N/A</v>
      </c>
    </row>
    <row r="945" spans="3:12">
      <c r="C945" s="160" t="str">
        <f t="shared" si="29"/>
        <v/>
      </c>
      <c r="L945" s="404" t="e">
        <f t="shared" si="28"/>
        <v>#N/A</v>
      </c>
    </row>
    <row r="946" spans="3:12">
      <c r="C946" s="160" t="str">
        <f t="shared" si="29"/>
        <v/>
      </c>
      <c r="L946" s="404" t="e">
        <f t="shared" si="28"/>
        <v>#N/A</v>
      </c>
    </row>
    <row r="947" spans="3:12">
      <c r="C947" s="160" t="str">
        <f t="shared" si="29"/>
        <v/>
      </c>
      <c r="L947" s="404" t="e">
        <f t="shared" si="28"/>
        <v>#N/A</v>
      </c>
    </row>
    <row r="948" spans="3:12">
      <c r="C948" s="160" t="str">
        <f t="shared" si="29"/>
        <v/>
      </c>
      <c r="L948" s="404" t="e">
        <f t="shared" si="28"/>
        <v>#N/A</v>
      </c>
    </row>
    <row r="949" spans="3:12">
      <c r="C949" s="160" t="str">
        <f t="shared" si="29"/>
        <v/>
      </c>
      <c r="L949" s="404" t="e">
        <f t="shared" si="28"/>
        <v>#N/A</v>
      </c>
    </row>
    <row r="950" spans="3:12">
      <c r="C950" s="160" t="str">
        <f t="shared" si="29"/>
        <v/>
      </c>
      <c r="L950" s="404" t="e">
        <f t="shared" si="28"/>
        <v>#N/A</v>
      </c>
    </row>
    <row r="951" spans="3:12">
      <c r="C951" s="160" t="str">
        <f t="shared" si="29"/>
        <v/>
      </c>
      <c r="L951" s="404" t="e">
        <f t="shared" si="28"/>
        <v>#N/A</v>
      </c>
    </row>
    <row r="952" spans="3:12">
      <c r="C952" s="160" t="str">
        <f t="shared" si="29"/>
        <v/>
      </c>
      <c r="L952" s="404" t="e">
        <f t="shared" si="28"/>
        <v>#N/A</v>
      </c>
    </row>
    <row r="953" spans="3:12">
      <c r="C953" s="160" t="str">
        <f t="shared" si="29"/>
        <v/>
      </c>
      <c r="L953" s="404" t="e">
        <f t="shared" si="28"/>
        <v>#N/A</v>
      </c>
    </row>
    <row r="954" spans="3:12">
      <c r="C954" s="160" t="str">
        <f t="shared" si="29"/>
        <v/>
      </c>
      <c r="L954" s="404" t="e">
        <f t="shared" si="28"/>
        <v>#N/A</v>
      </c>
    </row>
    <row r="955" spans="3:12">
      <c r="C955" s="160" t="str">
        <f t="shared" si="29"/>
        <v/>
      </c>
      <c r="L955" s="404" t="e">
        <f t="shared" si="28"/>
        <v>#N/A</v>
      </c>
    </row>
    <row r="956" spans="3:12">
      <c r="C956" s="160" t="str">
        <f t="shared" si="29"/>
        <v/>
      </c>
      <c r="L956" s="404" t="e">
        <f t="shared" si="28"/>
        <v>#N/A</v>
      </c>
    </row>
    <row r="957" spans="3:12">
      <c r="C957" s="160" t="str">
        <f t="shared" si="29"/>
        <v/>
      </c>
      <c r="L957" s="404" t="e">
        <f t="shared" si="28"/>
        <v>#N/A</v>
      </c>
    </row>
    <row r="958" spans="3:12">
      <c r="C958" s="160" t="str">
        <f t="shared" si="29"/>
        <v/>
      </c>
      <c r="L958" s="404" t="e">
        <f t="shared" si="28"/>
        <v>#N/A</v>
      </c>
    </row>
    <row r="959" spans="3:12">
      <c r="C959" s="160" t="str">
        <f t="shared" si="29"/>
        <v/>
      </c>
      <c r="L959" s="404" t="e">
        <f t="shared" si="28"/>
        <v>#N/A</v>
      </c>
    </row>
    <row r="960" spans="3:12">
      <c r="C960" s="160" t="str">
        <f t="shared" si="29"/>
        <v/>
      </c>
      <c r="L960" s="404" t="e">
        <f t="shared" si="28"/>
        <v>#N/A</v>
      </c>
    </row>
    <row r="961" spans="3:12">
      <c r="C961" s="160" t="str">
        <f t="shared" si="29"/>
        <v/>
      </c>
      <c r="L961" s="404" t="e">
        <f t="shared" si="28"/>
        <v>#N/A</v>
      </c>
    </row>
    <row r="962" spans="3:12">
      <c r="C962" s="160" t="str">
        <f t="shared" si="29"/>
        <v/>
      </c>
      <c r="L962" s="404" t="e">
        <f t="shared" si="28"/>
        <v>#N/A</v>
      </c>
    </row>
    <row r="963" spans="3:12">
      <c r="C963" s="160" t="str">
        <f t="shared" si="29"/>
        <v/>
      </c>
      <c r="L963" s="404" t="e">
        <f t="shared" si="28"/>
        <v>#N/A</v>
      </c>
    </row>
    <row r="964" spans="3:12">
      <c r="C964" s="160" t="str">
        <f t="shared" si="29"/>
        <v/>
      </c>
      <c r="L964" s="404" t="e">
        <f t="shared" si="28"/>
        <v>#N/A</v>
      </c>
    </row>
    <row r="965" spans="3:12">
      <c r="C965" s="160" t="str">
        <f t="shared" si="29"/>
        <v/>
      </c>
      <c r="L965" s="404" t="e">
        <f t="shared" si="28"/>
        <v>#N/A</v>
      </c>
    </row>
    <row r="966" spans="3:12">
      <c r="C966" s="160" t="str">
        <f t="shared" si="29"/>
        <v/>
      </c>
      <c r="L966" s="404" t="e">
        <f t="shared" si="28"/>
        <v>#N/A</v>
      </c>
    </row>
    <row r="967" spans="3:12">
      <c r="C967" s="160" t="str">
        <f t="shared" si="29"/>
        <v/>
      </c>
      <c r="L967" s="404" t="e">
        <f t="shared" si="28"/>
        <v>#N/A</v>
      </c>
    </row>
    <row r="968" spans="3:12">
      <c r="C968" s="160" t="str">
        <f t="shared" si="29"/>
        <v/>
      </c>
      <c r="L968" s="404" t="e">
        <f t="shared" si="28"/>
        <v>#N/A</v>
      </c>
    </row>
    <row r="969" spans="3:12">
      <c r="C969" s="160" t="str">
        <f t="shared" si="29"/>
        <v/>
      </c>
      <c r="L969" s="404" t="e">
        <f t="shared" si="28"/>
        <v>#N/A</v>
      </c>
    </row>
    <row r="970" spans="3:12">
      <c r="C970" s="160" t="str">
        <f t="shared" si="29"/>
        <v/>
      </c>
      <c r="L970" s="404" t="e">
        <f t="shared" si="28"/>
        <v>#N/A</v>
      </c>
    </row>
    <row r="971" spans="3:12">
      <c r="C971" s="160" t="str">
        <f t="shared" si="29"/>
        <v/>
      </c>
      <c r="L971" s="404" t="e">
        <f t="shared" si="28"/>
        <v>#N/A</v>
      </c>
    </row>
    <row r="972" spans="3:12">
      <c r="C972" s="160" t="str">
        <f t="shared" si="29"/>
        <v/>
      </c>
      <c r="L972" s="404" t="e">
        <f t="shared" ref="L972:L1035" si="30">IF(C972=C971,NA(),SUMIF(Prob_ProbRunandCrit,C972,Prob_Prob))</f>
        <v>#N/A</v>
      </c>
    </row>
    <row r="973" spans="3:12">
      <c r="C973" s="160" t="str">
        <f t="shared" ref="C973:C1036" si="31">D973&amp;I973</f>
        <v/>
      </c>
      <c r="L973" s="404" t="e">
        <f t="shared" si="30"/>
        <v>#N/A</v>
      </c>
    </row>
    <row r="974" spans="3:12">
      <c r="C974" s="160" t="str">
        <f t="shared" si="31"/>
        <v/>
      </c>
      <c r="L974" s="404" t="e">
        <f t="shared" si="30"/>
        <v>#N/A</v>
      </c>
    </row>
    <row r="975" spans="3:12">
      <c r="C975" s="160" t="str">
        <f t="shared" si="31"/>
        <v/>
      </c>
      <c r="L975" s="404" t="e">
        <f t="shared" si="30"/>
        <v>#N/A</v>
      </c>
    </row>
    <row r="976" spans="3:12">
      <c r="C976" s="160" t="str">
        <f t="shared" si="31"/>
        <v/>
      </c>
      <c r="L976" s="404" t="e">
        <f t="shared" si="30"/>
        <v>#N/A</v>
      </c>
    </row>
    <row r="977" spans="3:12">
      <c r="C977" s="160" t="str">
        <f t="shared" si="31"/>
        <v/>
      </c>
      <c r="L977" s="404" t="e">
        <f t="shared" si="30"/>
        <v>#N/A</v>
      </c>
    </row>
    <row r="978" spans="3:12">
      <c r="C978" s="160" t="str">
        <f t="shared" si="31"/>
        <v/>
      </c>
      <c r="L978" s="404" t="e">
        <f t="shared" si="30"/>
        <v>#N/A</v>
      </c>
    </row>
    <row r="979" spans="3:12">
      <c r="C979" s="160" t="str">
        <f t="shared" si="31"/>
        <v/>
      </c>
      <c r="L979" s="404" t="e">
        <f t="shared" si="30"/>
        <v>#N/A</v>
      </c>
    </row>
    <row r="980" spans="3:12">
      <c r="C980" s="160" t="str">
        <f t="shared" si="31"/>
        <v/>
      </c>
      <c r="L980" s="404" t="e">
        <f t="shared" si="30"/>
        <v>#N/A</v>
      </c>
    </row>
    <row r="981" spans="3:12">
      <c r="C981" s="160" t="str">
        <f t="shared" si="31"/>
        <v/>
      </c>
      <c r="L981" s="404" t="e">
        <f t="shared" si="30"/>
        <v>#N/A</v>
      </c>
    </row>
    <row r="982" spans="3:12">
      <c r="C982" s="160" t="str">
        <f t="shared" si="31"/>
        <v/>
      </c>
      <c r="L982" s="404" t="e">
        <f t="shared" si="30"/>
        <v>#N/A</v>
      </c>
    </row>
    <row r="983" spans="3:12">
      <c r="C983" s="160" t="str">
        <f t="shared" si="31"/>
        <v/>
      </c>
      <c r="L983" s="404" t="e">
        <f t="shared" si="30"/>
        <v>#N/A</v>
      </c>
    </row>
    <row r="984" spans="3:12">
      <c r="C984" s="160" t="str">
        <f t="shared" si="31"/>
        <v/>
      </c>
      <c r="L984" s="404" t="e">
        <f t="shared" si="30"/>
        <v>#N/A</v>
      </c>
    </row>
    <row r="985" spans="3:12">
      <c r="C985" s="160" t="str">
        <f t="shared" si="31"/>
        <v/>
      </c>
      <c r="L985" s="404" t="e">
        <f t="shared" si="30"/>
        <v>#N/A</v>
      </c>
    </row>
    <row r="986" spans="3:12">
      <c r="C986" s="160" t="str">
        <f t="shared" si="31"/>
        <v/>
      </c>
      <c r="L986" s="404" t="e">
        <f t="shared" si="30"/>
        <v>#N/A</v>
      </c>
    </row>
    <row r="987" spans="3:12">
      <c r="C987" s="160" t="str">
        <f t="shared" si="31"/>
        <v/>
      </c>
      <c r="L987" s="404" t="e">
        <f t="shared" si="30"/>
        <v>#N/A</v>
      </c>
    </row>
    <row r="988" spans="3:12">
      <c r="C988" s="160" t="str">
        <f t="shared" si="31"/>
        <v/>
      </c>
      <c r="L988" s="404" t="e">
        <f t="shared" si="30"/>
        <v>#N/A</v>
      </c>
    </row>
    <row r="989" spans="3:12">
      <c r="C989" s="160" t="str">
        <f t="shared" si="31"/>
        <v/>
      </c>
      <c r="L989" s="404" t="e">
        <f t="shared" si="30"/>
        <v>#N/A</v>
      </c>
    </row>
    <row r="990" spans="3:12">
      <c r="C990" s="160" t="str">
        <f t="shared" si="31"/>
        <v/>
      </c>
      <c r="L990" s="404" t="e">
        <f t="shared" si="30"/>
        <v>#N/A</v>
      </c>
    </row>
    <row r="991" spans="3:12">
      <c r="C991" s="160" t="str">
        <f t="shared" si="31"/>
        <v/>
      </c>
      <c r="L991" s="404" t="e">
        <f t="shared" si="30"/>
        <v>#N/A</v>
      </c>
    </row>
    <row r="992" spans="3:12">
      <c r="C992" s="160" t="str">
        <f t="shared" si="31"/>
        <v/>
      </c>
      <c r="L992" s="404" t="e">
        <f t="shared" si="30"/>
        <v>#N/A</v>
      </c>
    </row>
    <row r="993" spans="3:12">
      <c r="C993" s="160" t="str">
        <f t="shared" si="31"/>
        <v/>
      </c>
      <c r="L993" s="404" t="e">
        <f t="shared" si="30"/>
        <v>#N/A</v>
      </c>
    </row>
    <row r="994" spans="3:12">
      <c r="C994" s="160" t="str">
        <f t="shared" si="31"/>
        <v/>
      </c>
      <c r="L994" s="404" t="e">
        <f t="shared" si="30"/>
        <v>#N/A</v>
      </c>
    </row>
    <row r="995" spans="3:12">
      <c r="C995" s="160" t="str">
        <f t="shared" si="31"/>
        <v/>
      </c>
      <c r="L995" s="404" t="e">
        <f t="shared" si="30"/>
        <v>#N/A</v>
      </c>
    </row>
    <row r="996" spans="3:12">
      <c r="C996" s="160" t="str">
        <f t="shared" si="31"/>
        <v/>
      </c>
      <c r="L996" s="404" t="e">
        <f t="shared" si="30"/>
        <v>#N/A</v>
      </c>
    </row>
    <row r="997" spans="3:12">
      <c r="C997" s="160" t="str">
        <f t="shared" si="31"/>
        <v/>
      </c>
      <c r="L997" s="404" t="e">
        <f t="shared" si="30"/>
        <v>#N/A</v>
      </c>
    </row>
    <row r="998" spans="3:12">
      <c r="C998" s="160" t="str">
        <f t="shared" si="31"/>
        <v/>
      </c>
      <c r="L998" s="404" t="e">
        <f t="shared" si="30"/>
        <v>#N/A</v>
      </c>
    </row>
    <row r="999" spans="3:12">
      <c r="C999" s="160" t="str">
        <f t="shared" si="31"/>
        <v/>
      </c>
      <c r="L999" s="404" t="e">
        <f t="shared" si="30"/>
        <v>#N/A</v>
      </c>
    </row>
    <row r="1000" spans="3:12">
      <c r="C1000" s="160" t="str">
        <f t="shared" si="31"/>
        <v/>
      </c>
      <c r="L1000" s="404" t="e">
        <f t="shared" si="30"/>
        <v>#N/A</v>
      </c>
    </row>
    <row r="1001" spans="3:12">
      <c r="C1001" s="160" t="str">
        <f t="shared" si="31"/>
        <v/>
      </c>
      <c r="L1001" s="404" t="e">
        <f t="shared" si="30"/>
        <v>#N/A</v>
      </c>
    </row>
    <row r="1002" spans="3:12">
      <c r="C1002" s="160" t="str">
        <f t="shared" si="31"/>
        <v/>
      </c>
      <c r="L1002" s="404" t="e">
        <f t="shared" si="30"/>
        <v>#N/A</v>
      </c>
    </row>
    <row r="1003" spans="3:12">
      <c r="C1003" s="160" t="str">
        <f t="shared" si="31"/>
        <v/>
      </c>
      <c r="L1003" s="404" t="e">
        <f t="shared" si="30"/>
        <v>#N/A</v>
      </c>
    </row>
    <row r="1004" spans="3:12">
      <c r="C1004" s="160" t="str">
        <f t="shared" si="31"/>
        <v/>
      </c>
      <c r="L1004" s="404" t="e">
        <f t="shared" si="30"/>
        <v>#N/A</v>
      </c>
    </row>
    <row r="1005" spans="3:12">
      <c r="C1005" s="160" t="str">
        <f t="shared" si="31"/>
        <v/>
      </c>
      <c r="L1005" s="404" t="e">
        <f t="shared" si="30"/>
        <v>#N/A</v>
      </c>
    </row>
    <row r="1006" spans="3:12">
      <c r="C1006" s="160" t="str">
        <f t="shared" si="31"/>
        <v/>
      </c>
      <c r="L1006" s="404" t="e">
        <f t="shared" si="30"/>
        <v>#N/A</v>
      </c>
    </row>
    <row r="1007" spans="3:12">
      <c r="C1007" s="160" t="str">
        <f t="shared" si="31"/>
        <v/>
      </c>
      <c r="L1007" s="404" t="e">
        <f t="shared" si="30"/>
        <v>#N/A</v>
      </c>
    </row>
    <row r="1008" spans="3:12">
      <c r="C1008" s="160" t="str">
        <f t="shared" si="31"/>
        <v/>
      </c>
      <c r="L1008" s="404" t="e">
        <f t="shared" si="30"/>
        <v>#N/A</v>
      </c>
    </row>
    <row r="1009" spans="3:12">
      <c r="C1009" s="160" t="str">
        <f t="shared" si="31"/>
        <v/>
      </c>
      <c r="L1009" s="404" t="e">
        <f t="shared" si="30"/>
        <v>#N/A</v>
      </c>
    </row>
    <row r="1010" spans="3:12">
      <c r="C1010" s="160" t="str">
        <f t="shared" si="31"/>
        <v/>
      </c>
      <c r="L1010" s="404" t="e">
        <f t="shared" si="30"/>
        <v>#N/A</v>
      </c>
    </row>
    <row r="1011" spans="3:12">
      <c r="C1011" s="160" t="str">
        <f t="shared" si="31"/>
        <v/>
      </c>
      <c r="L1011" s="404" t="e">
        <f t="shared" si="30"/>
        <v>#N/A</v>
      </c>
    </row>
    <row r="1012" spans="3:12">
      <c r="C1012" s="160" t="str">
        <f t="shared" si="31"/>
        <v/>
      </c>
      <c r="L1012" s="404" t="e">
        <f t="shared" si="30"/>
        <v>#N/A</v>
      </c>
    </row>
    <row r="1013" spans="3:12">
      <c r="C1013" s="160" t="str">
        <f t="shared" si="31"/>
        <v/>
      </c>
      <c r="L1013" s="404" t="e">
        <f t="shared" si="30"/>
        <v>#N/A</v>
      </c>
    </row>
    <row r="1014" spans="3:12">
      <c r="C1014" s="160" t="str">
        <f t="shared" si="31"/>
        <v/>
      </c>
      <c r="L1014" s="404" t="e">
        <f t="shared" si="30"/>
        <v>#N/A</v>
      </c>
    </row>
    <row r="1015" spans="3:12">
      <c r="C1015" s="160" t="str">
        <f t="shared" si="31"/>
        <v/>
      </c>
      <c r="L1015" s="404" t="e">
        <f t="shared" si="30"/>
        <v>#N/A</v>
      </c>
    </row>
    <row r="1016" spans="3:12">
      <c r="C1016" s="160" t="str">
        <f t="shared" si="31"/>
        <v/>
      </c>
      <c r="L1016" s="404" t="e">
        <f t="shared" si="30"/>
        <v>#N/A</v>
      </c>
    </row>
    <row r="1017" spans="3:12">
      <c r="C1017" s="160" t="str">
        <f t="shared" si="31"/>
        <v/>
      </c>
      <c r="L1017" s="404" t="e">
        <f t="shared" si="30"/>
        <v>#N/A</v>
      </c>
    </row>
    <row r="1018" spans="3:12">
      <c r="C1018" s="160" t="str">
        <f t="shared" si="31"/>
        <v/>
      </c>
      <c r="L1018" s="404" t="e">
        <f t="shared" si="30"/>
        <v>#N/A</v>
      </c>
    </row>
    <row r="1019" spans="3:12">
      <c r="C1019" s="160" t="str">
        <f t="shared" si="31"/>
        <v/>
      </c>
      <c r="L1019" s="404" t="e">
        <f t="shared" si="30"/>
        <v>#N/A</v>
      </c>
    </row>
    <row r="1020" spans="3:12">
      <c r="C1020" s="160" t="str">
        <f t="shared" si="31"/>
        <v/>
      </c>
      <c r="L1020" s="404" t="e">
        <f t="shared" si="30"/>
        <v>#N/A</v>
      </c>
    </row>
    <row r="1021" spans="3:12">
      <c r="C1021" s="160" t="str">
        <f t="shared" si="31"/>
        <v/>
      </c>
      <c r="L1021" s="404" t="e">
        <f t="shared" si="30"/>
        <v>#N/A</v>
      </c>
    </row>
    <row r="1022" spans="3:12">
      <c r="C1022" s="160" t="str">
        <f t="shared" si="31"/>
        <v/>
      </c>
      <c r="L1022" s="404" t="e">
        <f t="shared" si="30"/>
        <v>#N/A</v>
      </c>
    </row>
    <row r="1023" spans="3:12">
      <c r="C1023" s="160" t="str">
        <f t="shared" si="31"/>
        <v/>
      </c>
      <c r="L1023" s="404" t="e">
        <f t="shared" si="30"/>
        <v>#N/A</v>
      </c>
    </row>
    <row r="1024" spans="3:12">
      <c r="C1024" s="160" t="str">
        <f t="shared" si="31"/>
        <v/>
      </c>
      <c r="L1024" s="404" t="e">
        <f t="shared" si="30"/>
        <v>#N/A</v>
      </c>
    </row>
    <row r="1025" spans="3:12">
      <c r="C1025" s="160" t="str">
        <f t="shared" si="31"/>
        <v/>
      </c>
      <c r="L1025" s="404" t="e">
        <f t="shared" si="30"/>
        <v>#N/A</v>
      </c>
    </row>
    <row r="1026" spans="3:12">
      <c r="C1026" s="160" t="str">
        <f t="shared" si="31"/>
        <v/>
      </c>
      <c r="L1026" s="404" t="e">
        <f t="shared" si="30"/>
        <v>#N/A</v>
      </c>
    </row>
    <row r="1027" spans="3:12">
      <c r="C1027" s="160" t="str">
        <f t="shared" si="31"/>
        <v/>
      </c>
      <c r="L1027" s="404" t="e">
        <f t="shared" si="30"/>
        <v>#N/A</v>
      </c>
    </row>
    <row r="1028" spans="3:12">
      <c r="C1028" s="160" t="str">
        <f t="shared" si="31"/>
        <v/>
      </c>
      <c r="L1028" s="404" t="e">
        <f t="shared" si="30"/>
        <v>#N/A</v>
      </c>
    </row>
    <row r="1029" spans="3:12">
      <c r="C1029" s="160" t="str">
        <f t="shared" si="31"/>
        <v/>
      </c>
      <c r="L1029" s="404" t="e">
        <f t="shared" si="30"/>
        <v>#N/A</v>
      </c>
    </row>
    <row r="1030" spans="3:12">
      <c r="C1030" s="160" t="str">
        <f t="shared" si="31"/>
        <v/>
      </c>
      <c r="L1030" s="404" t="e">
        <f t="shared" si="30"/>
        <v>#N/A</v>
      </c>
    </row>
    <row r="1031" spans="3:12">
      <c r="C1031" s="160" t="str">
        <f t="shared" si="31"/>
        <v/>
      </c>
      <c r="L1031" s="404" t="e">
        <f t="shared" si="30"/>
        <v>#N/A</v>
      </c>
    </row>
    <row r="1032" spans="3:12">
      <c r="C1032" s="160" t="str">
        <f t="shared" si="31"/>
        <v/>
      </c>
      <c r="L1032" s="404" t="e">
        <f t="shared" si="30"/>
        <v>#N/A</v>
      </c>
    </row>
    <row r="1033" spans="3:12">
      <c r="C1033" s="160" t="str">
        <f t="shared" si="31"/>
        <v/>
      </c>
      <c r="L1033" s="404" t="e">
        <f t="shared" si="30"/>
        <v>#N/A</v>
      </c>
    </row>
    <row r="1034" spans="3:12">
      <c r="C1034" s="160" t="str">
        <f t="shared" si="31"/>
        <v/>
      </c>
      <c r="L1034" s="404" t="e">
        <f t="shared" si="30"/>
        <v>#N/A</v>
      </c>
    </row>
    <row r="1035" spans="3:12">
      <c r="C1035" s="160" t="str">
        <f t="shared" si="31"/>
        <v/>
      </c>
      <c r="L1035" s="404" t="e">
        <f t="shared" si="30"/>
        <v>#N/A</v>
      </c>
    </row>
    <row r="1036" spans="3:12">
      <c r="C1036" s="160" t="str">
        <f t="shared" si="31"/>
        <v/>
      </c>
      <c r="L1036" s="404" t="e">
        <f t="shared" ref="L1036:L1099" si="32">IF(C1036=C1035,NA(),SUMIF(Prob_ProbRunandCrit,C1036,Prob_Prob))</f>
        <v>#N/A</v>
      </c>
    </row>
    <row r="1037" spans="3:12">
      <c r="C1037" s="160" t="str">
        <f t="shared" ref="C1037:C1100" si="33">D1037&amp;I1037</f>
        <v/>
      </c>
      <c r="L1037" s="404" t="e">
        <f t="shared" si="32"/>
        <v>#N/A</v>
      </c>
    </row>
    <row r="1038" spans="3:12">
      <c r="C1038" s="160" t="str">
        <f t="shared" si="33"/>
        <v/>
      </c>
      <c r="L1038" s="404" t="e">
        <f t="shared" si="32"/>
        <v>#N/A</v>
      </c>
    </row>
    <row r="1039" spans="3:12">
      <c r="C1039" s="160" t="str">
        <f t="shared" si="33"/>
        <v/>
      </c>
      <c r="L1039" s="404" t="e">
        <f t="shared" si="32"/>
        <v>#N/A</v>
      </c>
    </row>
    <row r="1040" spans="3:12">
      <c r="C1040" s="160" t="str">
        <f t="shared" si="33"/>
        <v/>
      </c>
      <c r="L1040" s="404" t="e">
        <f t="shared" si="32"/>
        <v>#N/A</v>
      </c>
    </row>
    <row r="1041" spans="3:12">
      <c r="C1041" s="160" t="str">
        <f t="shared" si="33"/>
        <v/>
      </c>
      <c r="L1041" s="404" t="e">
        <f t="shared" si="32"/>
        <v>#N/A</v>
      </c>
    </row>
    <row r="1042" spans="3:12">
      <c r="C1042" s="160" t="str">
        <f t="shared" si="33"/>
        <v/>
      </c>
      <c r="L1042" s="404" t="e">
        <f t="shared" si="32"/>
        <v>#N/A</v>
      </c>
    </row>
    <row r="1043" spans="3:12">
      <c r="C1043" s="160" t="str">
        <f t="shared" si="33"/>
        <v/>
      </c>
      <c r="L1043" s="404" t="e">
        <f t="shared" si="32"/>
        <v>#N/A</v>
      </c>
    </row>
    <row r="1044" spans="3:12">
      <c r="C1044" s="160" t="str">
        <f t="shared" si="33"/>
        <v/>
      </c>
      <c r="L1044" s="404" t="e">
        <f t="shared" si="32"/>
        <v>#N/A</v>
      </c>
    </row>
    <row r="1045" spans="3:12">
      <c r="C1045" s="160" t="str">
        <f t="shared" si="33"/>
        <v/>
      </c>
      <c r="L1045" s="404" t="e">
        <f t="shared" si="32"/>
        <v>#N/A</v>
      </c>
    </row>
    <row r="1046" spans="3:12">
      <c r="C1046" s="160" t="str">
        <f t="shared" si="33"/>
        <v/>
      </c>
      <c r="L1046" s="404" t="e">
        <f t="shared" si="32"/>
        <v>#N/A</v>
      </c>
    </row>
    <row r="1047" spans="3:12">
      <c r="C1047" s="160" t="str">
        <f t="shared" si="33"/>
        <v/>
      </c>
      <c r="L1047" s="404" t="e">
        <f t="shared" si="32"/>
        <v>#N/A</v>
      </c>
    </row>
    <row r="1048" spans="3:12">
      <c r="C1048" s="160" t="str">
        <f t="shared" si="33"/>
        <v/>
      </c>
      <c r="L1048" s="404" t="e">
        <f t="shared" si="32"/>
        <v>#N/A</v>
      </c>
    </row>
    <row r="1049" spans="3:12">
      <c r="C1049" s="160" t="str">
        <f t="shared" si="33"/>
        <v/>
      </c>
      <c r="L1049" s="404" t="e">
        <f t="shared" si="32"/>
        <v>#N/A</v>
      </c>
    </row>
    <row r="1050" spans="3:12">
      <c r="C1050" s="160" t="str">
        <f t="shared" si="33"/>
        <v/>
      </c>
      <c r="L1050" s="404" t="e">
        <f t="shared" si="32"/>
        <v>#N/A</v>
      </c>
    </row>
    <row r="1051" spans="3:12">
      <c r="C1051" s="160" t="str">
        <f t="shared" si="33"/>
        <v/>
      </c>
      <c r="L1051" s="404" t="e">
        <f t="shared" si="32"/>
        <v>#N/A</v>
      </c>
    </row>
    <row r="1052" spans="3:12">
      <c r="C1052" s="160" t="str">
        <f t="shared" si="33"/>
        <v/>
      </c>
      <c r="L1052" s="404" t="e">
        <f t="shared" si="32"/>
        <v>#N/A</v>
      </c>
    </row>
    <row r="1053" spans="3:12">
      <c r="C1053" s="160" t="str">
        <f t="shared" si="33"/>
        <v/>
      </c>
      <c r="L1053" s="404" t="e">
        <f t="shared" si="32"/>
        <v>#N/A</v>
      </c>
    </row>
    <row r="1054" spans="3:12">
      <c r="C1054" s="160" t="str">
        <f t="shared" si="33"/>
        <v/>
      </c>
      <c r="L1054" s="404" t="e">
        <f t="shared" si="32"/>
        <v>#N/A</v>
      </c>
    </row>
    <row r="1055" spans="3:12">
      <c r="C1055" s="160" t="str">
        <f t="shared" si="33"/>
        <v/>
      </c>
      <c r="L1055" s="404" t="e">
        <f t="shared" si="32"/>
        <v>#N/A</v>
      </c>
    </row>
    <row r="1056" spans="3:12">
      <c r="C1056" s="160" t="str">
        <f t="shared" si="33"/>
        <v/>
      </c>
      <c r="L1056" s="404" t="e">
        <f t="shared" si="32"/>
        <v>#N/A</v>
      </c>
    </row>
    <row r="1057" spans="3:12">
      <c r="C1057" s="160" t="str">
        <f t="shared" si="33"/>
        <v/>
      </c>
      <c r="L1057" s="404" t="e">
        <f t="shared" si="32"/>
        <v>#N/A</v>
      </c>
    </row>
    <row r="1058" spans="3:12">
      <c r="C1058" s="160" t="str">
        <f t="shared" si="33"/>
        <v/>
      </c>
      <c r="L1058" s="404" t="e">
        <f t="shared" si="32"/>
        <v>#N/A</v>
      </c>
    </row>
    <row r="1059" spans="3:12">
      <c r="C1059" s="160" t="str">
        <f t="shared" si="33"/>
        <v/>
      </c>
      <c r="L1059" s="404" t="e">
        <f t="shared" si="32"/>
        <v>#N/A</v>
      </c>
    </row>
    <row r="1060" spans="3:12">
      <c r="C1060" s="160" t="str">
        <f t="shared" si="33"/>
        <v/>
      </c>
      <c r="L1060" s="404" t="e">
        <f t="shared" si="32"/>
        <v>#N/A</v>
      </c>
    </row>
    <row r="1061" spans="3:12">
      <c r="C1061" s="160" t="str">
        <f t="shared" si="33"/>
        <v/>
      </c>
      <c r="L1061" s="404" t="e">
        <f t="shared" si="32"/>
        <v>#N/A</v>
      </c>
    </row>
    <row r="1062" spans="3:12">
      <c r="C1062" s="160" t="str">
        <f t="shared" si="33"/>
        <v/>
      </c>
      <c r="L1062" s="404" t="e">
        <f t="shared" si="32"/>
        <v>#N/A</v>
      </c>
    </row>
    <row r="1063" spans="3:12">
      <c r="C1063" s="160" t="str">
        <f t="shared" si="33"/>
        <v/>
      </c>
      <c r="L1063" s="404" t="e">
        <f t="shared" si="32"/>
        <v>#N/A</v>
      </c>
    </row>
    <row r="1064" spans="3:12">
      <c r="C1064" s="160" t="str">
        <f t="shared" si="33"/>
        <v/>
      </c>
      <c r="L1064" s="404" t="e">
        <f t="shared" si="32"/>
        <v>#N/A</v>
      </c>
    </row>
    <row r="1065" spans="3:12">
      <c r="C1065" s="160" t="str">
        <f t="shared" si="33"/>
        <v/>
      </c>
      <c r="L1065" s="404" t="e">
        <f t="shared" si="32"/>
        <v>#N/A</v>
      </c>
    </row>
    <row r="1066" spans="3:12">
      <c r="C1066" s="160" t="str">
        <f t="shared" si="33"/>
        <v/>
      </c>
      <c r="L1066" s="404" t="e">
        <f t="shared" si="32"/>
        <v>#N/A</v>
      </c>
    </row>
    <row r="1067" spans="3:12">
      <c r="C1067" s="160" t="str">
        <f t="shared" si="33"/>
        <v/>
      </c>
      <c r="L1067" s="404" t="e">
        <f t="shared" si="32"/>
        <v>#N/A</v>
      </c>
    </row>
    <row r="1068" spans="3:12">
      <c r="C1068" s="160" t="str">
        <f t="shared" si="33"/>
        <v/>
      </c>
      <c r="L1068" s="404" t="e">
        <f t="shared" si="32"/>
        <v>#N/A</v>
      </c>
    </row>
    <row r="1069" spans="3:12">
      <c r="C1069" s="160" t="str">
        <f t="shared" si="33"/>
        <v/>
      </c>
      <c r="L1069" s="404" t="e">
        <f t="shared" si="32"/>
        <v>#N/A</v>
      </c>
    </row>
    <row r="1070" spans="3:12">
      <c r="C1070" s="160" t="str">
        <f t="shared" si="33"/>
        <v/>
      </c>
      <c r="L1070" s="404" t="e">
        <f t="shared" si="32"/>
        <v>#N/A</v>
      </c>
    </row>
    <row r="1071" spans="3:12">
      <c r="C1071" s="160" t="str">
        <f t="shared" si="33"/>
        <v/>
      </c>
      <c r="L1071" s="404" t="e">
        <f t="shared" si="32"/>
        <v>#N/A</v>
      </c>
    </row>
    <row r="1072" spans="3:12">
      <c r="C1072" s="160" t="str">
        <f t="shared" si="33"/>
        <v/>
      </c>
      <c r="L1072" s="404" t="e">
        <f t="shared" si="32"/>
        <v>#N/A</v>
      </c>
    </row>
    <row r="1073" spans="3:12">
      <c r="C1073" s="160" t="str">
        <f t="shared" si="33"/>
        <v/>
      </c>
      <c r="L1073" s="404" t="e">
        <f t="shared" si="32"/>
        <v>#N/A</v>
      </c>
    </row>
    <row r="1074" spans="3:12">
      <c r="C1074" s="160" t="str">
        <f t="shared" si="33"/>
        <v/>
      </c>
      <c r="L1074" s="404" t="e">
        <f t="shared" si="32"/>
        <v>#N/A</v>
      </c>
    </row>
    <row r="1075" spans="3:12">
      <c r="C1075" s="160" t="str">
        <f t="shared" si="33"/>
        <v/>
      </c>
      <c r="L1075" s="404" t="e">
        <f t="shared" si="32"/>
        <v>#N/A</v>
      </c>
    </row>
    <row r="1076" spans="3:12">
      <c r="C1076" s="160" t="str">
        <f t="shared" si="33"/>
        <v/>
      </c>
      <c r="L1076" s="404" t="e">
        <f t="shared" si="32"/>
        <v>#N/A</v>
      </c>
    </row>
    <row r="1077" spans="3:12">
      <c r="C1077" s="160" t="str">
        <f t="shared" si="33"/>
        <v/>
      </c>
      <c r="L1077" s="404" t="e">
        <f t="shared" si="32"/>
        <v>#N/A</v>
      </c>
    </row>
    <row r="1078" spans="3:12">
      <c r="C1078" s="160" t="str">
        <f t="shared" si="33"/>
        <v/>
      </c>
      <c r="L1078" s="404" t="e">
        <f t="shared" si="32"/>
        <v>#N/A</v>
      </c>
    </row>
    <row r="1079" spans="3:12">
      <c r="C1079" s="160" t="str">
        <f t="shared" si="33"/>
        <v/>
      </c>
      <c r="L1079" s="404" t="e">
        <f t="shared" si="32"/>
        <v>#N/A</v>
      </c>
    </row>
    <row r="1080" spans="3:12">
      <c r="C1080" s="160" t="str">
        <f t="shared" si="33"/>
        <v/>
      </c>
      <c r="L1080" s="404" t="e">
        <f t="shared" si="32"/>
        <v>#N/A</v>
      </c>
    </row>
    <row r="1081" spans="3:12">
      <c r="C1081" s="160" t="str">
        <f t="shared" si="33"/>
        <v/>
      </c>
      <c r="L1081" s="404" t="e">
        <f t="shared" si="32"/>
        <v>#N/A</v>
      </c>
    </row>
    <row r="1082" spans="3:12">
      <c r="C1082" s="160" t="str">
        <f t="shared" si="33"/>
        <v/>
      </c>
      <c r="L1082" s="404" t="e">
        <f t="shared" si="32"/>
        <v>#N/A</v>
      </c>
    </row>
    <row r="1083" spans="3:12">
      <c r="C1083" s="160" t="str">
        <f t="shared" si="33"/>
        <v/>
      </c>
      <c r="L1083" s="404" t="e">
        <f t="shared" si="32"/>
        <v>#N/A</v>
      </c>
    </row>
    <row r="1084" spans="3:12">
      <c r="C1084" s="160" t="str">
        <f t="shared" si="33"/>
        <v/>
      </c>
      <c r="L1084" s="404" t="e">
        <f t="shared" si="32"/>
        <v>#N/A</v>
      </c>
    </row>
    <row r="1085" spans="3:12">
      <c r="C1085" s="160" t="str">
        <f t="shared" si="33"/>
        <v/>
      </c>
      <c r="L1085" s="404" t="e">
        <f t="shared" si="32"/>
        <v>#N/A</v>
      </c>
    </row>
    <row r="1086" spans="3:12">
      <c r="C1086" s="160" t="str">
        <f t="shared" si="33"/>
        <v/>
      </c>
      <c r="L1086" s="404" t="e">
        <f t="shared" si="32"/>
        <v>#N/A</v>
      </c>
    </row>
    <row r="1087" spans="3:12">
      <c r="C1087" s="160" t="str">
        <f t="shared" si="33"/>
        <v/>
      </c>
      <c r="L1087" s="404" t="e">
        <f t="shared" si="32"/>
        <v>#N/A</v>
      </c>
    </row>
    <row r="1088" spans="3:12">
      <c r="C1088" s="160" t="str">
        <f t="shared" si="33"/>
        <v/>
      </c>
      <c r="L1088" s="404" t="e">
        <f t="shared" si="32"/>
        <v>#N/A</v>
      </c>
    </row>
    <row r="1089" spans="3:12">
      <c r="C1089" s="160" t="str">
        <f t="shared" si="33"/>
        <v/>
      </c>
      <c r="L1089" s="404" t="e">
        <f t="shared" si="32"/>
        <v>#N/A</v>
      </c>
    </row>
    <row r="1090" spans="3:12">
      <c r="C1090" s="160" t="str">
        <f t="shared" si="33"/>
        <v/>
      </c>
      <c r="L1090" s="404" t="e">
        <f t="shared" si="32"/>
        <v>#N/A</v>
      </c>
    </row>
    <row r="1091" spans="3:12">
      <c r="C1091" s="160" t="str">
        <f t="shared" si="33"/>
        <v/>
      </c>
      <c r="L1091" s="404" t="e">
        <f t="shared" si="32"/>
        <v>#N/A</v>
      </c>
    </row>
    <row r="1092" spans="3:12">
      <c r="C1092" s="160" t="str">
        <f t="shared" si="33"/>
        <v/>
      </c>
      <c r="L1092" s="404" t="e">
        <f t="shared" si="32"/>
        <v>#N/A</v>
      </c>
    </row>
    <row r="1093" spans="3:12">
      <c r="C1093" s="160" t="str">
        <f t="shared" si="33"/>
        <v/>
      </c>
      <c r="L1093" s="404" t="e">
        <f t="shared" si="32"/>
        <v>#N/A</v>
      </c>
    </row>
    <row r="1094" spans="3:12">
      <c r="C1094" s="160" t="str">
        <f t="shared" si="33"/>
        <v/>
      </c>
      <c r="L1094" s="404" t="e">
        <f t="shared" si="32"/>
        <v>#N/A</v>
      </c>
    </row>
    <row r="1095" spans="3:12">
      <c r="C1095" s="160" t="str">
        <f t="shared" si="33"/>
        <v/>
      </c>
      <c r="L1095" s="404" t="e">
        <f t="shared" si="32"/>
        <v>#N/A</v>
      </c>
    </row>
    <row r="1096" spans="3:12">
      <c r="C1096" s="160" t="str">
        <f t="shared" si="33"/>
        <v/>
      </c>
      <c r="L1096" s="404" t="e">
        <f t="shared" si="32"/>
        <v>#N/A</v>
      </c>
    </row>
    <row r="1097" spans="3:12">
      <c r="C1097" s="160" t="str">
        <f t="shared" si="33"/>
        <v/>
      </c>
      <c r="L1097" s="404" t="e">
        <f t="shared" si="32"/>
        <v>#N/A</v>
      </c>
    </row>
    <row r="1098" spans="3:12">
      <c r="C1098" s="160" t="str">
        <f t="shared" si="33"/>
        <v/>
      </c>
      <c r="L1098" s="404" t="e">
        <f t="shared" si="32"/>
        <v>#N/A</v>
      </c>
    </row>
    <row r="1099" spans="3:12">
      <c r="C1099" s="160" t="str">
        <f t="shared" si="33"/>
        <v/>
      </c>
      <c r="L1099" s="404" t="e">
        <f t="shared" si="32"/>
        <v>#N/A</v>
      </c>
    </row>
    <row r="1100" spans="3:12">
      <c r="C1100" s="160" t="str">
        <f t="shared" si="33"/>
        <v/>
      </c>
      <c r="L1100" s="404" t="e">
        <f t="shared" ref="L1100:L1163" si="34">IF(C1100=C1099,NA(),SUMIF(Prob_ProbRunandCrit,C1100,Prob_Prob))</f>
        <v>#N/A</v>
      </c>
    </row>
    <row r="1101" spans="3:12">
      <c r="C1101" s="160" t="str">
        <f t="shared" ref="C1101:C1164" si="35">D1101&amp;I1101</f>
        <v/>
      </c>
      <c r="L1101" s="404" t="e">
        <f t="shared" si="34"/>
        <v>#N/A</v>
      </c>
    </row>
    <row r="1102" spans="3:12">
      <c r="C1102" s="160" t="str">
        <f t="shared" si="35"/>
        <v/>
      </c>
      <c r="L1102" s="404" t="e">
        <f t="shared" si="34"/>
        <v>#N/A</v>
      </c>
    </row>
    <row r="1103" spans="3:12">
      <c r="C1103" s="160" t="str">
        <f t="shared" si="35"/>
        <v/>
      </c>
      <c r="L1103" s="404" t="e">
        <f t="shared" si="34"/>
        <v>#N/A</v>
      </c>
    </row>
    <row r="1104" spans="3:12">
      <c r="C1104" s="160" t="str">
        <f t="shared" si="35"/>
        <v/>
      </c>
      <c r="L1104" s="404" t="e">
        <f t="shared" si="34"/>
        <v>#N/A</v>
      </c>
    </row>
    <row r="1105" spans="3:12">
      <c r="C1105" s="160" t="str">
        <f t="shared" si="35"/>
        <v/>
      </c>
      <c r="L1105" s="404" t="e">
        <f t="shared" si="34"/>
        <v>#N/A</v>
      </c>
    </row>
    <row r="1106" spans="3:12">
      <c r="C1106" s="160" t="str">
        <f t="shared" si="35"/>
        <v/>
      </c>
      <c r="L1106" s="404" t="e">
        <f t="shared" si="34"/>
        <v>#N/A</v>
      </c>
    </row>
    <row r="1107" spans="3:12">
      <c r="C1107" s="160" t="str">
        <f t="shared" si="35"/>
        <v/>
      </c>
      <c r="L1107" s="404" t="e">
        <f t="shared" si="34"/>
        <v>#N/A</v>
      </c>
    </row>
    <row r="1108" spans="3:12">
      <c r="C1108" s="160" t="str">
        <f t="shared" si="35"/>
        <v/>
      </c>
      <c r="L1108" s="404" t="e">
        <f t="shared" si="34"/>
        <v>#N/A</v>
      </c>
    </row>
    <row r="1109" spans="3:12">
      <c r="C1109" s="160" t="str">
        <f t="shared" si="35"/>
        <v/>
      </c>
      <c r="L1109" s="404" t="e">
        <f t="shared" si="34"/>
        <v>#N/A</v>
      </c>
    </row>
    <row r="1110" spans="3:12">
      <c r="C1110" s="160" t="str">
        <f t="shared" si="35"/>
        <v/>
      </c>
      <c r="L1110" s="404" t="e">
        <f t="shared" si="34"/>
        <v>#N/A</v>
      </c>
    </row>
    <row r="1111" spans="3:12">
      <c r="C1111" s="160" t="str">
        <f t="shared" si="35"/>
        <v/>
      </c>
      <c r="L1111" s="404" t="e">
        <f t="shared" si="34"/>
        <v>#N/A</v>
      </c>
    </row>
    <row r="1112" spans="3:12">
      <c r="C1112" s="160" t="str">
        <f t="shared" si="35"/>
        <v/>
      </c>
      <c r="L1112" s="404" t="e">
        <f t="shared" si="34"/>
        <v>#N/A</v>
      </c>
    </row>
    <row r="1113" spans="3:12">
      <c r="C1113" s="160" t="str">
        <f t="shared" si="35"/>
        <v/>
      </c>
      <c r="L1113" s="404" t="e">
        <f t="shared" si="34"/>
        <v>#N/A</v>
      </c>
    </row>
    <row r="1114" spans="3:12">
      <c r="C1114" s="160" t="str">
        <f t="shared" si="35"/>
        <v/>
      </c>
      <c r="L1114" s="404" t="e">
        <f t="shared" si="34"/>
        <v>#N/A</v>
      </c>
    </row>
    <row r="1115" spans="3:12">
      <c r="C1115" s="160" t="str">
        <f t="shared" si="35"/>
        <v/>
      </c>
      <c r="L1115" s="404" t="e">
        <f t="shared" si="34"/>
        <v>#N/A</v>
      </c>
    </row>
    <row r="1116" spans="3:12">
      <c r="C1116" s="160" t="str">
        <f t="shared" si="35"/>
        <v/>
      </c>
      <c r="L1116" s="404" t="e">
        <f t="shared" si="34"/>
        <v>#N/A</v>
      </c>
    </row>
    <row r="1117" spans="3:12">
      <c r="C1117" s="160" t="str">
        <f t="shared" si="35"/>
        <v/>
      </c>
      <c r="L1117" s="404" t="e">
        <f t="shared" si="34"/>
        <v>#N/A</v>
      </c>
    </row>
    <row r="1118" spans="3:12">
      <c r="C1118" s="160" t="str">
        <f t="shared" si="35"/>
        <v/>
      </c>
      <c r="L1118" s="404" t="e">
        <f t="shared" si="34"/>
        <v>#N/A</v>
      </c>
    </row>
    <row r="1119" spans="3:12">
      <c r="C1119" s="160" t="str">
        <f t="shared" si="35"/>
        <v/>
      </c>
      <c r="L1119" s="404" t="e">
        <f t="shared" si="34"/>
        <v>#N/A</v>
      </c>
    </row>
    <row r="1120" spans="3:12">
      <c r="C1120" s="160" t="str">
        <f t="shared" si="35"/>
        <v/>
      </c>
      <c r="L1120" s="404" t="e">
        <f t="shared" si="34"/>
        <v>#N/A</v>
      </c>
    </row>
    <row r="1121" spans="3:12">
      <c r="C1121" s="160" t="str">
        <f t="shared" si="35"/>
        <v/>
      </c>
      <c r="L1121" s="404" t="e">
        <f t="shared" si="34"/>
        <v>#N/A</v>
      </c>
    </row>
    <row r="1122" spans="3:12">
      <c r="C1122" s="160" t="str">
        <f t="shared" si="35"/>
        <v/>
      </c>
      <c r="L1122" s="404" t="e">
        <f t="shared" si="34"/>
        <v>#N/A</v>
      </c>
    </row>
    <row r="1123" spans="3:12">
      <c r="C1123" s="160" t="str">
        <f t="shared" si="35"/>
        <v/>
      </c>
      <c r="L1123" s="404" t="e">
        <f t="shared" si="34"/>
        <v>#N/A</v>
      </c>
    </row>
    <row r="1124" spans="3:12">
      <c r="C1124" s="160" t="str">
        <f t="shared" si="35"/>
        <v/>
      </c>
      <c r="L1124" s="404" t="e">
        <f t="shared" si="34"/>
        <v>#N/A</v>
      </c>
    </row>
    <row r="1125" spans="3:12">
      <c r="C1125" s="160" t="str">
        <f t="shared" si="35"/>
        <v/>
      </c>
      <c r="L1125" s="404" t="e">
        <f t="shared" si="34"/>
        <v>#N/A</v>
      </c>
    </row>
    <row r="1126" spans="3:12">
      <c r="C1126" s="160" t="str">
        <f t="shared" si="35"/>
        <v/>
      </c>
      <c r="L1126" s="404" t="e">
        <f t="shared" si="34"/>
        <v>#N/A</v>
      </c>
    </row>
    <row r="1127" spans="3:12">
      <c r="C1127" s="160" t="str">
        <f t="shared" si="35"/>
        <v/>
      </c>
      <c r="L1127" s="404" t="e">
        <f t="shared" si="34"/>
        <v>#N/A</v>
      </c>
    </row>
    <row r="1128" spans="3:12">
      <c r="C1128" s="160" t="str">
        <f t="shared" si="35"/>
        <v/>
      </c>
      <c r="L1128" s="404" t="e">
        <f t="shared" si="34"/>
        <v>#N/A</v>
      </c>
    </row>
    <row r="1129" spans="3:12">
      <c r="C1129" s="160" t="str">
        <f t="shared" si="35"/>
        <v/>
      </c>
      <c r="L1129" s="404" t="e">
        <f t="shared" si="34"/>
        <v>#N/A</v>
      </c>
    </row>
    <row r="1130" spans="3:12">
      <c r="C1130" s="160" t="str">
        <f t="shared" si="35"/>
        <v/>
      </c>
      <c r="L1130" s="404" t="e">
        <f t="shared" si="34"/>
        <v>#N/A</v>
      </c>
    </row>
    <row r="1131" spans="3:12">
      <c r="C1131" s="160" t="str">
        <f t="shared" si="35"/>
        <v/>
      </c>
      <c r="L1131" s="404" t="e">
        <f t="shared" si="34"/>
        <v>#N/A</v>
      </c>
    </row>
    <row r="1132" spans="3:12">
      <c r="C1132" s="160" t="str">
        <f t="shared" si="35"/>
        <v/>
      </c>
      <c r="L1132" s="404" t="e">
        <f t="shared" si="34"/>
        <v>#N/A</v>
      </c>
    </row>
    <row r="1133" spans="3:12">
      <c r="C1133" s="160" t="str">
        <f t="shared" si="35"/>
        <v/>
      </c>
      <c r="L1133" s="404" t="e">
        <f t="shared" si="34"/>
        <v>#N/A</v>
      </c>
    </row>
    <row r="1134" spans="3:12">
      <c r="C1134" s="160" t="str">
        <f t="shared" si="35"/>
        <v/>
      </c>
      <c r="L1134" s="404" t="e">
        <f t="shared" si="34"/>
        <v>#N/A</v>
      </c>
    </row>
    <row r="1135" spans="3:12">
      <c r="C1135" s="160" t="str">
        <f t="shared" si="35"/>
        <v/>
      </c>
      <c r="L1135" s="404" t="e">
        <f t="shared" si="34"/>
        <v>#N/A</v>
      </c>
    </row>
    <row r="1136" spans="3:12">
      <c r="C1136" s="160" t="str">
        <f t="shared" si="35"/>
        <v/>
      </c>
      <c r="L1136" s="404" t="e">
        <f t="shared" si="34"/>
        <v>#N/A</v>
      </c>
    </row>
    <row r="1137" spans="3:12">
      <c r="C1137" s="160" t="str">
        <f t="shared" si="35"/>
        <v/>
      </c>
      <c r="L1137" s="404" t="e">
        <f t="shared" si="34"/>
        <v>#N/A</v>
      </c>
    </row>
    <row r="1138" spans="3:12">
      <c r="C1138" s="160" t="str">
        <f t="shared" si="35"/>
        <v/>
      </c>
      <c r="L1138" s="404" t="e">
        <f t="shared" si="34"/>
        <v>#N/A</v>
      </c>
    </row>
    <row r="1139" spans="3:12">
      <c r="C1139" s="160" t="str">
        <f t="shared" si="35"/>
        <v/>
      </c>
      <c r="L1139" s="404" t="e">
        <f t="shared" si="34"/>
        <v>#N/A</v>
      </c>
    </row>
    <row r="1140" spans="3:12">
      <c r="C1140" s="160" t="str">
        <f t="shared" si="35"/>
        <v/>
      </c>
      <c r="L1140" s="404" t="e">
        <f t="shared" si="34"/>
        <v>#N/A</v>
      </c>
    </row>
    <row r="1141" spans="3:12">
      <c r="C1141" s="160" t="str">
        <f t="shared" si="35"/>
        <v/>
      </c>
      <c r="L1141" s="404" t="e">
        <f t="shared" si="34"/>
        <v>#N/A</v>
      </c>
    </row>
    <row r="1142" spans="3:12">
      <c r="C1142" s="160" t="str">
        <f t="shared" si="35"/>
        <v/>
      </c>
      <c r="L1142" s="404" t="e">
        <f t="shared" si="34"/>
        <v>#N/A</v>
      </c>
    </row>
    <row r="1143" spans="3:12">
      <c r="C1143" s="160" t="str">
        <f t="shared" si="35"/>
        <v/>
      </c>
      <c r="L1143" s="404" t="e">
        <f t="shared" si="34"/>
        <v>#N/A</v>
      </c>
    </row>
    <row r="1144" spans="3:12">
      <c r="C1144" s="160" t="str">
        <f t="shared" si="35"/>
        <v/>
      </c>
      <c r="L1144" s="404" t="e">
        <f t="shared" si="34"/>
        <v>#N/A</v>
      </c>
    </row>
    <row r="1145" spans="3:12">
      <c r="C1145" s="160" t="str">
        <f t="shared" si="35"/>
        <v/>
      </c>
      <c r="L1145" s="404" t="e">
        <f t="shared" si="34"/>
        <v>#N/A</v>
      </c>
    </row>
    <row r="1146" spans="3:12">
      <c r="C1146" s="160" t="str">
        <f t="shared" si="35"/>
        <v/>
      </c>
      <c r="L1146" s="404" t="e">
        <f t="shared" si="34"/>
        <v>#N/A</v>
      </c>
    </row>
    <row r="1147" spans="3:12">
      <c r="C1147" s="160" t="str">
        <f t="shared" si="35"/>
        <v/>
      </c>
      <c r="L1147" s="404" t="e">
        <f t="shared" si="34"/>
        <v>#N/A</v>
      </c>
    </row>
    <row r="1148" spans="3:12">
      <c r="C1148" s="160" t="str">
        <f t="shared" si="35"/>
        <v/>
      </c>
      <c r="L1148" s="404" t="e">
        <f t="shared" si="34"/>
        <v>#N/A</v>
      </c>
    </row>
    <row r="1149" spans="3:12">
      <c r="C1149" s="160" t="str">
        <f t="shared" si="35"/>
        <v/>
      </c>
      <c r="L1149" s="404" t="e">
        <f t="shared" si="34"/>
        <v>#N/A</v>
      </c>
    </row>
    <row r="1150" spans="3:12">
      <c r="C1150" s="160" t="str">
        <f t="shared" si="35"/>
        <v/>
      </c>
      <c r="L1150" s="404" t="e">
        <f t="shared" si="34"/>
        <v>#N/A</v>
      </c>
    </row>
    <row r="1151" spans="3:12">
      <c r="C1151" s="160" t="str">
        <f t="shared" si="35"/>
        <v/>
      </c>
      <c r="L1151" s="404" t="e">
        <f t="shared" si="34"/>
        <v>#N/A</v>
      </c>
    </row>
    <row r="1152" spans="3:12">
      <c r="C1152" s="160" t="str">
        <f t="shared" si="35"/>
        <v/>
      </c>
      <c r="L1152" s="404" t="e">
        <f t="shared" si="34"/>
        <v>#N/A</v>
      </c>
    </row>
    <row r="1153" spans="3:12">
      <c r="C1153" s="160" t="str">
        <f t="shared" si="35"/>
        <v/>
      </c>
      <c r="L1153" s="404" t="e">
        <f t="shared" si="34"/>
        <v>#N/A</v>
      </c>
    </row>
    <row r="1154" spans="3:12">
      <c r="C1154" s="160" t="str">
        <f t="shared" si="35"/>
        <v/>
      </c>
      <c r="L1154" s="404" t="e">
        <f t="shared" si="34"/>
        <v>#N/A</v>
      </c>
    </row>
    <row r="1155" spans="3:12">
      <c r="C1155" s="160" t="str">
        <f t="shared" si="35"/>
        <v/>
      </c>
      <c r="L1155" s="404" t="e">
        <f t="shared" si="34"/>
        <v>#N/A</v>
      </c>
    </row>
    <row r="1156" spans="3:12">
      <c r="C1156" s="160" t="str">
        <f t="shared" si="35"/>
        <v/>
      </c>
      <c r="L1156" s="404" t="e">
        <f t="shared" si="34"/>
        <v>#N/A</v>
      </c>
    </row>
    <row r="1157" spans="3:12">
      <c r="C1157" s="160" t="str">
        <f t="shared" si="35"/>
        <v/>
      </c>
      <c r="L1157" s="404" t="e">
        <f t="shared" si="34"/>
        <v>#N/A</v>
      </c>
    </row>
    <row r="1158" spans="3:12">
      <c r="C1158" s="160" t="str">
        <f t="shared" si="35"/>
        <v/>
      </c>
      <c r="L1158" s="404" t="e">
        <f t="shared" si="34"/>
        <v>#N/A</v>
      </c>
    </row>
    <row r="1159" spans="3:12">
      <c r="C1159" s="160" t="str">
        <f t="shared" si="35"/>
        <v/>
      </c>
      <c r="L1159" s="404" t="e">
        <f t="shared" si="34"/>
        <v>#N/A</v>
      </c>
    </row>
    <row r="1160" spans="3:12">
      <c r="C1160" s="160" t="str">
        <f t="shared" si="35"/>
        <v/>
      </c>
      <c r="L1160" s="404" t="e">
        <f t="shared" si="34"/>
        <v>#N/A</v>
      </c>
    </row>
    <row r="1161" spans="3:12">
      <c r="C1161" s="160" t="str">
        <f t="shared" si="35"/>
        <v/>
      </c>
      <c r="L1161" s="404" t="e">
        <f t="shared" si="34"/>
        <v>#N/A</v>
      </c>
    </row>
    <row r="1162" spans="3:12">
      <c r="C1162" s="160" t="str">
        <f t="shared" si="35"/>
        <v/>
      </c>
      <c r="L1162" s="404" t="e">
        <f t="shared" si="34"/>
        <v>#N/A</v>
      </c>
    </row>
    <row r="1163" spans="3:12">
      <c r="C1163" s="160" t="str">
        <f t="shared" si="35"/>
        <v/>
      </c>
      <c r="L1163" s="404" t="e">
        <f t="shared" si="34"/>
        <v>#N/A</v>
      </c>
    </row>
    <row r="1164" spans="3:12">
      <c r="C1164" s="160" t="str">
        <f t="shared" si="35"/>
        <v/>
      </c>
      <c r="L1164" s="404" t="e">
        <f t="shared" ref="L1164:L1200" si="36">IF(C1164=C1163,NA(),SUMIF(Prob_ProbRunandCrit,C1164,Prob_Prob))</f>
        <v>#N/A</v>
      </c>
    </row>
    <row r="1165" spans="3:12">
      <c r="C1165" s="160" t="str">
        <f t="shared" ref="C1165:C1228" si="37">D1165&amp;I1165</f>
        <v/>
      </c>
      <c r="L1165" s="404" t="e">
        <f t="shared" si="36"/>
        <v>#N/A</v>
      </c>
    </row>
    <row r="1166" spans="3:12">
      <c r="C1166" s="160" t="str">
        <f t="shared" si="37"/>
        <v/>
      </c>
      <c r="L1166" s="404" t="e">
        <f t="shared" si="36"/>
        <v>#N/A</v>
      </c>
    </row>
    <row r="1167" spans="3:12">
      <c r="C1167" s="160" t="str">
        <f t="shared" si="37"/>
        <v/>
      </c>
      <c r="L1167" s="404" t="e">
        <f t="shared" si="36"/>
        <v>#N/A</v>
      </c>
    </row>
    <row r="1168" spans="3:12">
      <c r="C1168" s="160" t="str">
        <f t="shared" si="37"/>
        <v/>
      </c>
      <c r="L1168" s="404" t="e">
        <f t="shared" si="36"/>
        <v>#N/A</v>
      </c>
    </row>
    <row r="1169" spans="3:12">
      <c r="C1169" s="160" t="str">
        <f t="shared" si="37"/>
        <v/>
      </c>
      <c r="L1169" s="404" t="e">
        <f t="shared" si="36"/>
        <v>#N/A</v>
      </c>
    </row>
    <row r="1170" spans="3:12">
      <c r="C1170" s="160" t="str">
        <f t="shared" si="37"/>
        <v/>
      </c>
      <c r="L1170" s="404" t="e">
        <f t="shared" si="36"/>
        <v>#N/A</v>
      </c>
    </row>
    <row r="1171" spans="3:12">
      <c r="C1171" s="160" t="str">
        <f t="shared" si="37"/>
        <v/>
      </c>
      <c r="L1171" s="404" t="e">
        <f t="shared" si="36"/>
        <v>#N/A</v>
      </c>
    </row>
    <row r="1172" spans="3:12">
      <c r="C1172" s="160" t="str">
        <f t="shared" si="37"/>
        <v/>
      </c>
      <c r="L1172" s="404" t="e">
        <f t="shared" si="36"/>
        <v>#N/A</v>
      </c>
    </row>
    <row r="1173" spans="3:12">
      <c r="C1173" s="160" t="str">
        <f t="shared" si="37"/>
        <v/>
      </c>
      <c r="L1173" s="404" t="e">
        <f t="shared" si="36"/>
        <v>#N/A</v>
      </c>
    </row>
    <row r="1174" spans="3:12">
      <c r="C1174" s="160" t="str">
        <f t="shared" si="37"/>
        <v/>
      </c>
      <c r="L1174" s="404" t="e">
        <f t="shared" si="36"/>
        <v>#N/A</v>
      </c>
    </row>
    <row r="1175" spans="3:12">
      <c r="C1175" s="160" t="str">
        <f t="shared" si="37"/>
        <v/>
      </c>
      <c r="L1175" s="404" t="e">
        <f t="shared" si="36"/>
        <v>#N/A</v>
      </c>
    </row>
    <row r="1176" spans="3:12">
      <c r="C1176" s="160" t="str">
        <f t="shared" si="37"/>
        <v/>
      </c>
      <c r="L1176" s="404" t="e">
        <f t="shared" si="36"/>
        <v>#N/A</v>
      </c>
    </row>
    <row r="1177" spans="3:12">
      <c r="C1177" s="160" t="str">
        <f t="shared" si="37"/>
        <v/>
      </c>
      <c r="L1177" s="404" t="e">
        <f t="shared" si="36"/>
        <v>#N/A</v>
      </c>
    </row>
    <row r="1178" spans="3:12">
      <c r="C1178" s="160" t="str">
        <f t="shared" si="37"/>
        <v/>
      </c>
      <c r="L1178" s="404" t="e">
        <f t="shared" si="36"/>
        <v>#N/A</v>
      </c>
    </row>
    <row r="1179" spans="3:12">
      <c r="C1179" s="160" t="str">
        <f t="shared" si="37"/>
        <v/>
      </c>
      <c r="L1179" s="404" t="e">
        <f t="shared" si="36"/>
        <v>#N/A</v>
      </c>
    </row>
    <row r="1180" spans="3:12">
      <c r="C1180" s="160" t="str">
        <f t="shared" si="37"/>
        <v/>
      </c>
      <c r="L1180" s="404" t="e">
        <f t="shared" si="36"/>
        <v>#N/A</v>
      </c>
    </row>
    <row r="1181" spans="3:12">
      <c r="C1181" s="160" t="str">
        <f t="shared" si="37"/>
        <v/>
      </c>
      <c r="L1181" s="404" t="e">
        <f t="shared" si="36"/>
        <v>#N/A</v>
      </c>
    </row>
    <row r="1182" spans="3:12">
      <c r="C1182" s="160" t="str">
        <f t="shared" si="37"/>
        <v/>
      </c>
      <c r="L1182" s="404" t="e">
        <f t="shared" si="36"/>
        <v>#N/A</v>
      </c>
    </row>
    <row r="1183" spans="3:12">
      <c r="C1183" s="160" t="str">
        <f t="shared" si="37"/>
        <v/>
      </c>
      <c r="L1183" s="404" t="e">
        <f t="shared" si="36"/>
        <v>#N/A</v>
      </c>
    </row>
    <row r="1184" spans="3:12">
      <c r="C1184" s="160" t="str">
        <f t="shared" si="37"/>
        <v/>
      </c>
      <c r="L1184" s="404" t="e">
        <f t="shared" si="36"/>
        <v>#N/A</v>
      </c>
    </row>
    <row r="1185" spans="3:12">
      <c r="C1185" s="160" t="str">
        <f t="shared" si="37"/>
        <v/>
      </c>
      <c r="L1185" s="404" t="e">
        <f t="shared" si="36"/>
        <v>#N/A</v>
      </c>
    </row>
    <row r="1186" spans="3:12">
      <c r="C1186" s="160" t="str">
        <f t="shared" si="37"/>
        <v/>
      </c>
      <c r="L1186" s="404" t="e">
        <f t="shared" si="36"/>
        <v>#N/A</v>
      </c>
    </row>
    <row r="1187" spans="3:12">
      <c r="C1187" s="160" t="str">
        <f t="shared" si="37"/>
        <v/>
      </c>
      <c r="L1187" s="404" t="e">
        <f t="shared" si="36"/>
        <v>#N/A</v>
      </c>
    </row>
    <row r="1188" spans="3:12">
      <c r="C1188" s="160" t="str">
        <f t="shared" si="37"/>
        <v/>
      </c>
      <c r="L1188" s="404" t="e">
        <f t="shared" si="36"/>
        <v>#N/A</v>
      </c>
    </row>
    <row r="1189" spans="3:12">
      <c r="C1189" s="160" t="str">
        <f t="shared" si="37"/>
        <v/>
      </c>
      <c r="L1189" s="404" t="e">
        <f t="shared" si="36"/>
        <v>#N/A</v>
      </c>
    </row>
    <row r="1190" spans="3:12">
      <c r="C1190" s="160" t="str">
        <f t="shared" si="37"/>
        <v/>
      </c>
      <c r="L1190" s="404" t="e">
        <f t="shared" si="36"/>
        <v>#N/A</v>
      </c>
    </row>
    <row r="1191" spans="3:12">
      <c r="C1191" s="160" t="str">
        <f t="shared" si="37"/>
        <v/>
      </c>
      <c r="L1191" s="404" t="e">
        <f t="shared" si="36"/>
        <v>#N/A</v>
      </c>
    </row>
    <row r="1192" spans="3:12">
      <c r="C1192" s="160" t="str">
        <f t="shared" si="37"/>
        <v/>
      </c>
      <c r="L1192" s="404" t="e">
        <f t="shared" si="36"/>
        <v>#N/A</v>
      </c>
    </row>
    <row r="1193" spans="3:12">
      <c r="C1193" s="160" t="str">
        <f t="shared" si="37"/>
        <v/>
      </c>
      <c r="L1193" s="404" t="e">
        <f t="shared" si="36"/>
        <v>#N/A</v>
      </c>
    </row>
    <row r="1194" spans="3:12">
      <c r="C1194" s="160" t="str">
        <f t="shared" si="37"/>
        <v/>
      </c>
      <c r="L1194" s="404" t="e">
        <f t="shared" si="36"/>
        <v>#N/A</v>
      </c>
    </row>
    <row r="1195" spans="3:12">
      <c r="C1195" s="160" t="str">
        <f t="shared" si="37"/>
        <v/>
      </c>
      <c r="L1195" s="404" t="e">
        <f t="shared" si="36"/>
        <v>#N/A</v>
      </c>
    </row>
    <row r="1196" spans="3:12">
      <c r="C1196" s="160" t="str">
        <f t="shared" si="37"/>
        <v/>
      </c>
      <c r="L1196" s="404" t="e">
        <f t="shared" si="36"/>
        <v>#N/A</v>
      </c>
    </row>
    <row r="1197" spans="3:12">
      <c r="C1197" s="160" t="str">
        <f t="shared" si="37"/>
        <v/>
      </c>
      <c r="L1197" s="404" t="e">
        <f t="shared" si="36"/>
        <v>#N/A</v>
      </c>
    </row>
    <row r="1198" spans="3:12">
      <c r="C1198" s="160" t="str">
        <f t="shared" si="37"/>
        <v/>
      </c>
      <c r="L1198" s="404" t="e">
        <f t="shared" si="36"/>
        <v>#N/A</v>
      </c>
    </row>
    <row r="1199" spans="3:12">
      <c r="C1199" s="160" t="str">
        <f t="shared" si="37"/>
        <v/>
      </c>
      <c r="L1199" s="404" t="e">
        <f t="shared" si="36"/>
        <v>#N/A</v>
      </c>
    </row>
    <row r="1200" spans="3:12">
      <c r="C1200" s="160" t="str">
        <f t="shared" si="37"/>
        <v/>
      </c>
      <c r="L1200" s="404" t="e">
        <f t="shared" si="36"/>
        <v>#N/A</v>
      </c>
    </row>
    <row r="1201" spans="3:3">
      <c r="C1201" s="160" t="str">
        <f t="shared" si="37"/>
        <v/>
      </c>
    </row>
    <row r="1202" spans="3:3">
      <c r="C1202" s="160" t="str">
        <f t="shared" si="37"/>
        <v/>
      </c>
    </row>
    <row r="1203" spans="3:3">
      <c r="C1203" s="160" t="str">
        <f t="shared" si="37"/>
        <v/>
      </c>
    </row>
    <row r="1204" spans="3:3">
      <c r="C1204" s="160" t="str">
        <f t="shared" si="37"/>
        <v/>
      </c>
    </row>
    <row r="1205" spans="3:3">
      <c r="C1205" s="160" t="str">
        <f t="shared" si="37"/>
        <v/>
      </c>
    </row>
    <row r="1206" spans="3:3">
      <c r="C1206" s="160" t="str">
        <f t="shared" si="37"/>
        <v/>
      </c>
    </row>
    <row r="1207" spans="3:3">
      <c r="C1207" s="160" t="str">
        <f t="shared" si="37"/>
        <v/>
      </c>
    </row>
    <row r="1208" spans="3:3">
      <c r="C1208" s="160" t="str">
        <f t="shared" si="37"/>
        <v/>
      </c>
    </row>
    <row r="1209" spans="3:3">
      <c r="C1209" s="160" t="str">
        <f t="shared" si="37"/>
        <v/>
      </c>
    </row>
    <row r="1210" spans="3:3">
      <c r="C1210" s="160" t="str">
        <f t="shared" si="37"/>
        <v/>
      </c>
    </row>
    <row r="1211" spans="3:3">
      <c r="C1211" s="160" t="str">
        <f t="shared" si="37"/>
        <v/>
      </c>
    </row>
    <row r="1212" spans="3:3">
      <c r="C1212" s="160" t="str">
        <f t="shared" si="37"/>
        <v/>
      </c>
    </row>
    <row r="1213" spans="3:3">
      <c r="C1213" s="160" t="str">
        <f t="shared" si="37"/>
        <v/>
      </c>
    </row>
    <row r="1214" spans="3:3">
      <c r="C1214" s="160" t="str">
        <f t="shared" si="37"/>
        <v/>
      </c>
    </row>
    <row r="1215" spans="3:3">
      <c r="C1215" s="160" t="str">
        <f t="shared" si="37"/>
        <v/>
      </c>
    </row>
    <row r="1216" spans="3:3">
      <c r="C1216" s="160" t="str">
        <f t="shared" si="37"/>
        <v/>
      </c>
    </row>
    <row r="1217" spans="3:3">
      <c r="C1217" s="160" t="str">
        <f t="shared" si="37"/>
        <v/>
      </c>
    </row>
    <row r="1218" spans="3:3">
      <c r="C1218" s="160" t="str">
        <f t="shared" si="37"/>
        <v/>
      </c>
    </row>
    <row r="1219" spans="3:3">
      <c r="C1219" s="160" t="str">
        <f t="shared" si="37"/>
        <v/>
      </c>
    </row>
    <row r="1220" spans="3:3">
      <c r="C1220" s="160" t="str">
        <f t="shared" si="37"/>
        <v/>
      </c>
    </row>
    <row r="1221" spans="3:3">
      <c r="C1221" s="160" t="str">
        <f t="shared" si="37"/>
        <v/>
      </c>
    </row>
    <row r="1222" spans="3:3">
      <c r="C1222" s="160" t="str">
        <f t="shared" si="37"/>
        <v/>
      </c>
    </row>
    <row r="1223" spans="3:3">
      <c r="C1223" s="160" t="str">
        <f t="shared" si="37"/>
        <v/>
      </c>
    </row>
    <row r="1224" spans="3:3">
      <c r="C1224" s="160" t="str">
        <f t="shared" si="37"/>
        <v/>
      </c>
    </row>
    <row r="1225" spans="3:3">
      <c r="C1225" s="160" t="str">
        <f t="shared" si="37"/>
        <v/>
      </c>
    </row>
    <row r="1226" spans="3:3">
      <c r="C1226" s="160" t="str">
        <f t="shared" si="37"/>
        <v/>
      </c>
    </row>
    <row r="1227" spans="3:3">
      <c r="C1227" s="160" t="str">
        <f t="shared" si="37"/>
        <v/>
      </c>
    </row>
    <row r="1228" spans="3:3">
      <c r="C1228" s="160" t="str">
        <f t="shared" si="37"/>
        <v/>
      </c>
    </row>
    <row r="1229" spans="3:3">
      <c r="C1229" s="160" t="str">
        <f t="shared" ref="C1229:C1292" si="38">D1229&amp;I1229</f>
        <v/>
      </c>
    </row>
    <row r="1230" spans="3:3">
      <c r="C1230" s="160" t="str">
        <f t="shared" si="38"/>
        <v/>
      </c>
    </row>
    <row r="1231" spans="3:3">
      <c r="C1231" s="160" t="str">
        <f t="shared" si="38"/>
        <v/>
      </c>
    </row>
    <row r="1232" spans="3:3">
      <c r="C1232" s="160" t="str">
        <f t="shared" si="38"/>
        <v/>
      </c>
    </row>
    <row r="1233" spans="3:3">
      <c r="C1233" s="160" t="str">
        <f t="shared" si="38"/>
        <v/>
      </c>
    </row>
    <row r="1234" spans="3:3">
      <c r="C1234" s="160" t="str">
        <f t="shared" si="38"/>
        <v/>
      </c>
    </row>
    <row r="1235" spans="3:3">
      <c r="C1235" s="160" t="str">
        <f t="shared" si="38"/>
        <v/>
      </c>
    </row>
    <row r="1236" spans="3:3">
      <c r="C1236" s="160" t="str">
        <f t="shared" si="38"/>
        <v/>
      </c>
    </row>
    <row r="1237" spans="3:3">
      <c r="C1237" s="160" t="str">
        <f t="shared" si="38"/>
        <v/>
      </c>
    </row>
    <row r="1238" spans="3:3">
      <c r="C1238" s="160" t="str">
        <f t="shared" si="38"/>
        <v/>
      </c>
    </row>
    <row r="1239" spans="3:3">
      <c r="C1239" s="160" t="str">
        <f t="shared" si="38"/>
        <v/>
      </c>
    </row>
    <row r="1240" spans="3:3">
      <c r="C1240" s="160" t="str">
        <f t="shared" si="38"/>
        <v/>
      </c>
    </row>
    <row r="1241" spans="3:3">
      <c r="C1241" s="160" t="str">
        <f t="shared" si="38"/>
        <v/>
      </c>
    </row>
    <row r="1242" spans="3:3">
      <c r="C1242" s="160" t="str">
        <f t="shared" si="38"/>
        <v/>
      </c>
    </row>
    <row r="1243" spans="3:3">
      <c r="C1243" s="160" t="str">
        <f t="shared" si="38"/>
        <v/>
      </c>
    </row>
    <row r="1244" spans="3:3">
      <c r="C1244" s="160" t="str">
        <f t="shared" si="38"/>
        <v/>
      </c>
    </row>
    <row r="1245" spans="3:3">
      <c r="C1245" s="160" t="str">
        <f t="shared" si="38"/>
        <v/>
      </c>
    </row>
    <row r="1246" spans="3:3">
      <c r="C1246" s="160" t="str">
        <f t="shared" si="38"/>
        <v/>
      </c>
    </row>
    <row r="1247" spans="3:3">
      <c r="C1247" s="160" t="str">
        <f t="shared" si="38"/>
        <v/>
      </c>
    </row>
    <row r="1248" spans="3:3">
      <c r="C1248" s="160" t="str">
        <f t="shared" si="38"/>
        <v/>
      </c>
    </row>
    <row r="1249" spans="3:3">
      <c r="C1249" s="160" t="str">
        <f t="shared" si="38"/>
        <v/>
      </c>
    </row>
    <row r="1250" spans="3:3">
      <c r="C1250" s="160" t="str">
        <f t="shared" si="38"/>
        <v/>
      </c>
    </row>
    <row r="1251" spans="3:3">
      <c r="C1251" s="160" t="str">
        <f t="shared" si="38"/>
        <v/>
      </c>
    </row>
    <row r="1252" spans="3:3">
      <c r="C1252" s="160" t="str">
        <f t="shared" si="38"/>
        <v/>
      </c>
    </row>
    <row r="1253" spans="3:3">
      <c r="C1253" s="160" t="str">
        <f t="shared" si="38"/>
        <v/>
      </c>
    </row>
    <row r="1254" spans="3:3">
      <c r="C1254" s="160" t="str">
        <f t="shared" si="38"/>
        <v/>
      </c>
    </row>
    <row r="1255" spans="3:3">
      <c r="C1255" s="160" t="str">
        <f t="shared" si="38"/>
        <v/>
      </c>
    </row>
    <row r="1256" spans="3:3">
      <c r="C1256" s="160" t="str">
        <f t="shared" si="38"/>
        <v/>
      </c>
    </row>
    <row r="1257" spans="3:3">
      <c r="C1257" s="160" t="str">
        <f t="shared" si="38"/>
        <v/>
      </c>
    </row>
    <row r="1258" spans="3:3">
      <c r="C1258" s="160" t="str">
        <f t="shared" si="38"/>
        <v/>
      </c>
    </row>
    <row r="1259" spans="3:3">
      <c r="C1259" s="160" t="str">
        <f t="shared" si="38"/>
        <v/>
      </c>
    </row>
    <row r="1260" spans="3:3">
      <c r="C1260" s="160" t="str">
        <f t="shared" si="38"/>
        <v/>
      </c>
    </row>
    <row r="1261" spans="3:3">
      <c r="C1261" s="160" t="str">
        <f t="shared" si="38"/>
        <v/>
      </c>
    </row>
    <row r="1262" spans="3:3">
      <c r="C1262" s="160" t="str">
        <f t="shared" si="38"/>
        <v/>
      </c>
    </row>
    <row r="1263" spans="3:3">
      <c r="C1263" s="160" t="str">
        <f t="shared" si="38"/>
        <v/>
      </c>
    </row>
    <row r="1264" spans="3:3">
      <c r="C1264" s="160" t="str">
        <f t="shared" si="38"/>
        <v/>
      </c>
    </row>
    <row r="1265" spans="3:3">
      <c r="C1265" s="160" t="str">
        <f t="shared" si="38"/>
        <v/>
      </c>
    </row>
    <row r="1266" spans="3:3">
      <c r="C1266" s="160" t="str">
        <f t="shared" si="38"/>
        <v/>
      </c>
    </row>
    <row r="1267" spans="3:3">
      <c r="C1267" s="160" t="str">
        <f t="shared" si="38"/>
        <v/>
      </c>
    </row>
    <row r="1268" spans="3:3">
      <c r="C1268" s="160" t="str">
        <f t="shared" si="38"/>
        <v/>
      </c>
    </row>
    <row r="1269" spans="3:3">
      <c r="C1269" s="160" t="str">
        <f t="shared" si="38"/>
        <v/>
      </c>
    </row>
    <row r="1270" spans="3:3">
      <c r="C1270" s="160" t="str">
        <f t="shared" si="38"/>
        <v/>
      </c>
    </row>
    <row r="1271" spans="3:3">
      <c r="C1271" s="160" t="str">
        <f t="shared" si="38"/>
        <v/>
      </c>
    </row>
    <row r="1272" spans="3:3">
      <c r="C1272" s="160" t="str">
        <f t="shared" si="38"/>
        <v/>
      </c>
    </row>
    <row r="1273" spans="3:3">
      <c r="C1273" s="160" t="str">
        <f t="shared" si="38"/>
        <v/>
      </c>
    </row>
    <row r="1274" spans="3:3">
      <c r="C1274" s="160" t="str">
        <f t="shared" si="38"/>
        <v/>
      </c>
    </row>
    <row r="1275" spans="3:3">
      <c r="C1275" s="160" t="str">
        <f t="shared" si="38"/>
        <v/>
      </c>
    </row>
    <row r="1276" spans="3:3">
      <c r="C1276" s="160" t="str">
        <f t="shared" si="38"/>
        <v/>
      </c>
    </row>
    <row r="1277" spans="3:3">
      <c r="C1277" s="160" t="str">
        <f t="shared" si="38"/>
        <v/>
      </c>
    </row>
    <row r="1278" spans="3:3">
      <c r="C1278" s="160" t="str">
        <f t="shared" si="38"/>
        <v/>
      </c>
    </row>
    <row r="1279" spans="3:3">
      <c r="C1279" s="160" t="str">
        <f t="shared" si="38"/>
        <v/>
      </c>
    </row>
    <row r="1280" spans="3:3">
      <c r="C1280" s="160" t="str">
        <f t="shared" si="38"/>
        <v/>
      </c>
    </row>
    <row r="1281" spans="3:3">
      <c r="C1281" s="160" t="str">
        <f t="shared" si="38"/>
        <v/>
      </c>
    </row>
    <row r="1282" spans="3:3">
      <c r="C1282" s="160" t="str">
        <f t="shared" si="38"/>
        <v/>
      </c>
    </row>
    <row r="1283" spans="3:3">
      <c r="C1283" s="160" t="str">
        <f t="shared" si="38"/>
        <v/>
      </c>
    </row>
    <row r="1284" spans="3:3">
      <c r="C1284" s="160" t="str">
        <f t="shared" si="38"/>
        <v/>
      </c>
    </row>
    <row r="1285" spans="3:3">
      <c r="C1285" s="160" t="str">
        <f t="shared" si="38"/>
        <v/>
      </c>
    </row>
    <row r="1286" spans="3:3">
      <c r="C1286" s="160" t="str">
        <f t="shared" si="38"/>
        <v/>
      </c>
    </row>
    <row r="1287" spans="3:3">
      <c r="C1287" s="160" t="str">
        <f t="shared" si="38"/>
        <v/>
      </c>
    </row>
    <row r="1288" spans="3:3">
      <c r="C1288" s="160" t="str">
        <f t="shared" si="38"/>
        <v/>
      </c>
    </row>
    <row r="1289" spans="3:3">
      <c r="C1289" s="160" t="str">
        <f t="shared" si="38"/>
        <v/>
      </c>
    </row>
    <row r="1290" spans="3:3">
      <c r="C1290" s="160" t="str">
        <f t="shared" si="38"/>
        <v/>
      </c>
    </row>
    <row r="1291" spans="3:3">
      <c r="C1291" s="160" t="str">
        <f t="shared" si="38"/>
        <v/>
      </c>
    </row>
    <row r="1292" spans="3:3">
      <c r="C1292" s="160" t="str">
        <f t="shared" si="38"/>
        <v/>
      </c>
    </row>
    <row r="1293" spans="3:3">
      <c r="C1293" s="160" t="str">
        <f t="shared" ref="C1293:C1356" si="39">D1293&amp;I1293</f>
        <v/>
      </c>
    </row>
    <row r="1294" spans="3:3">
      <c r="C1294" s="160" t="str">
        <f t="shared" si="39"/>
        <v/>
      </c>
    </row>
    <row r="1295" spans="3:3">
      <c r="C1295" s="160" t="str">
        <f t="shared" si="39"/>
        <v/>
      </c>
    </row>
    <row r="1296" spans="3:3">
      <c r="C1296" s="160" t="str">
        <f t="shared" si="39"/>
        <v/>
      </c>
    </row>
    <row r="1297" spans="3:3">
      <c r="C1297" s="160" t="str">
        <f t="shared" si="39"/>
        <v/>
      </c>
    </row>
    <row r="1298" spans="3:3">
      <c r="C1298" s="160" t="str">
        <f t="shared" si="39"/>
        <v/>
      </c>
    </row>
    <row r="1299" spans="3:3">
      <c r="C1299" s="160" t="str">
        <f t="shared" si="39"/>
        <v/>
      </c>
    </row>
    <row r="1300" spans="3:3">
      <c r="C1300" s="160" t="str">
        <f t="shared" si="39"/>
        <v/>
      </c>
    </row>
    <row r="1301" spans="3:3">
      <c r="C1301" s="160" t="str">
        <f t="shared" si="39"/>
        <v/>
      </c>
    </row>
    <row r="1302" spans="3:3">
      <c r="C1302" s="160" t="str">
        <f t="shared" si="39"/>
        <v/>
      </c>
    </row>
    <row r="1303" spans="3:3">
      <c r="C1303" s="160" t="str">
        <f t="shared" si="39"/>
        <v/>
      </c>
    </row>
    <row r="1304" spans="3:3">
      <c r="C1304" s="160" t="str">
        <f t="shared" si="39"/>
        <v/>
      </c>
    </row>
    <row r="1305" spans="3:3">
      <c r="C1305" s="160" t="str">
        <f t="shared" si="39"/>
        <v/>
      </c>
    </row>
    <row r="1306" spans="3:3">
      <c r="C1306" s="160" t="str">
        <f t="shared" si="39"/>
        <v/>
      </c>
    </row>
    <row r="1307" spans="3:3">
      <c r="C1307" s="160" t="str">
        <f t="shared" si="39"/>
        <v/>
      </c>
    </row>
    <row r="1308" spans="3:3">
      <c r="C1308" s="160" t="str">
        <f t="shared" si="39"/>
        <v/>
      </c>
    </row>
    <row r="1309" spans="3:3">
      <c r="C1309" s="160" t="str">
        <f t="shared" si="39"/>
        <v/>
      </c>
    </row>
    <row r="1310" spans="3:3">
      <c r="C1310" s="160" t="str">
        <f t="shared" si="39"/>
        <v/>
      </c>
    </row>
    <row r="1311" spans="3:3">
      <c r="C1311" s="160" t="str">
        <f t="shared" si="39"/>
        <v/>
      </c>
    </row>
    <row r="1312" spans="3:3">
      <c r="C1312" s="160" t="str">
        <f t="shared" si="39"/>
        <v/>
      </c>
    </row>
    <row r="1313" spans="3:3">
      <c r="C1313" s="160" t="str">
        <f t="shared" si="39"/>
        <v/>
      </c>
    </row>
    <row r="1314" spans="3:3">
      <c r="C1314" s="160" t="str">
        <f t="shared" si="39"/>
        <v/>
      </c>
    </row>
    <row r="1315" spans="3:3">
      <c r="C1315" s="160" t="str">
        <f t="shared" si="39"/>
        <v/>
      </c>
    </row>
    <row r="1316" spans="3:3">
      <c r="C1316" s="160" t="str">
        <f t="shared" si="39"/>
        <v/>
      </c>
    </row>
    <row r="1317" spans="3:3">
      <c r="C1317" s="160" t="str">
        <f t="shared" si="39"/>
        <v/>
      </c>
    </row>
    <row r="1318" spans="3:3">
      <c r="C1318" s="160" t="str">
        <f t="shared" si="39"/>
        <v/>
      </c>
    </row>
    <row r="1319" spans="3:3">
      <c r="C1319" s="160" t="str">
        <f t="shared" si="39"/>
        <v/>
      </c>
    </row>
    <row r="1320" spans="3:3">
      <c r="C1320" s="160" t="str">
        <f t="shared" si="39"/>
        <v/>
      </c>
    </row>
    <row r="1321" spans="3:3">
      <c r="C1321" s="160" t="str">
        <f t="shared" si="39"/>
        <v/>
      </c>
    </row>
    <row r="1322" spans="3:3">
      <c r="C1322" s="160" t="str">
        <f t="shared" si="39"/>
        <v/>
      </c>
    </row>
    <row r="1323" spans="3:3">
      <c r="C1323" s="160" t="str">
        <f t="shared" si="39"/>
        <v/>
      </c>
    </row>
    <row r="1324" spans="3:3">
      <c r="C1324" s="160" t="str">
        <f t="shared" si="39"/>
        <v/>
      </c>
    </row>
    <row r="1325" spans="3:3">
      <c r="C1325" s="160" t="str">
        <f t="shared" si="39"/>
        <v/>
      </c>
    </row>
    <row r="1326" spans="3:3">
      <c r="C1326" s="160" t="str">
        <f t="shared" si="39"/>
        <v/>
      </c>
    </row>
    <row r="1327" spans="3:3">
      <c r="C1327" s="160" t="str">
        <f t="shared" si="39"/>
        <v/>
      </c>
    </row>
    <row r="1328" spans="3:3">
      <c r="C1328" s="160" t="str">
        <f t="shared" si="39"/>
        <v/>
      </c>
    </row>
    <row r="1329" spans="3:3">
      <c r="C1329" s="160" t="str">
        <f t="shared" si="39"/>
        <v/>
      </c>
    </row>
    <row r="1330" spans="3:3">
      <c r="C1330" s="160" t="str">
        <f t="shared" si="39"/>
        <v/>
      </c>
    </row>
    <row r="1331" spans="3:3">
      <c r="C1331" s="160" t="str">
        <f t="shared" si="39"/>
        <v/>
      </c>
    </row>
    <row r="1332" spans="3:3">
      <c r="C1332" s="160" t="str">
        <f t="shared" si="39"/>
        <v/>
      </c>
    </row>
    <row r="1333" spans="3:3">
      <c r="C1333" s="160" t="str">
        <f t="shared" si="39"/>
        <v/>
      </c>
    </row>
    <row r="1334" spans="3:3">
      <c r="C1334" s="160" t="str">
        <f t="shared" si="39"/>
        <v/>
      </c>
    </row>
    <row r="1335" spans="3:3">
      <c r="C1335" s="160" t="str">
        <f t="shared" si="39"/>
        <v/>
      </c>
    </row>
    <row r="1336" spans="3:3">
      <c r="C1336" s="160" t="str">
        <f t="shared" si="39"/>
        <v/>
      </c>
    </row>
    <row r="1337" spans="3:3">
      <c r="C1337" s="160" t="str">
        <f t="shared" si="39"/>
        <v/>
      </c>
    </row>
    <row r="1338" spans="3:3">
      <c r="C1338" s="160" t="str">
        <f t="shared" si="39"/>
        <v/>
      </c>
    </row>
    <row r="1339" spans="3:3">
      <c r="C1339" s="160" t="str">
        <f t="shared" si="39"/>
        <v/>
      </c>
    </row>
    <row r="1340" spans="3:3">
      <c r="C1340" s="160" t="str">
        <f t="shared" si="39"/>
        <v/>
      </c>
    </row>
    <row r="1341" spans="3:3">
      <c r="C1341" s="160" t="str">
        <f t="shared" si="39"/>
        <v/>
      </c>
    </row>
    <row r="1342" spans="3:3">
      <c r="C1342" s="160" t="str">
        <f t="shared" si="39"/>
        <v/>
      </c>
    </row>
    <row r="1343" spans="3:3">
      <c r="C1343" s="160" t="str">
        <f t="shared" si="39"/>
        <v/>
      </c>
    </row>
    <row r="1344" spans="3:3">
      <c r="C1344" s="160" t="str">
        <f t="shared" si="39"/>
        <v/>
      </c>
    </row>
    <row r="1345" spans="3:3">
      <c r="C1345" s="160" t="str">
        <f t="shared" si="39"/>
        <v/>
      </c>
    </row>
    <row r="1346" spans="3:3">
      <c r="C1346" s="160" t="str">
        <f t="shared" si="39"/>
        <v/>
      </c>
    </row>
    <row r="1347" spans="3:3">
      <c r="C1347" s="160" t="str">
        <f t="shared" si="39"/>
        <v/>
      </c>
    </row>
    <row r="1348" spans="3:3">
      <c r="C1348" s="160" t="str">
        <f t="shared" si="39"/>
        <v/>
      </c>
    </row>
    <row r="1349" spans="3:3">
      <c r="C1349" s="160" t="str">
        <f t="shared" si="39"/>
        <v/>
      </c>
    </row>
    <row r="1350" spans="3:3">
      <c r="C1350" s="160" t="str">
        <f t="shared" si="39"/>
        <v/>
      </c>
    </row>
    <row r="1351" spans="3:3">
      <c r="C1351" s="160" t="str">
        <f t="shared" si="39"/>
        <v/>
      </c>
    </row>
    <row r="1352" spans="3:3">
      <c r="C1352" s="160" t="str">
        <f t="shared" si="39"/>
        <v/>
      </c>
    </row>
    <row r="1353" spans="3:3">
      <c r="C1353" s="160" t="str">
        <f t="shared" si="39"/>
        <v/>
      </c>
    </row>
    <row r="1354" spans="3:3">
      <c r="C1354" s="160" t="str">
        <f t="shared" si="39"/>
        <v/>
      </c>
    </row>
    <row r="1355" spans="3:3">
      <c r="C1355" s="160" t="str">
        <f t="shared" si="39"/>
        <v/>
      </c>
    </row>
    <row r="1356" spans="3:3">
      <c r="C1356" s="160" t="str">
        <f t="shared" si="39"/>
        <v/>
      </c>
    </row>
    <row r="1357" spans="3:3">
      <c r="C1357" s="160" t="str">
        <f t="shared" ref="C1357:C1420" si="40">D1357&amp;I1357</f>
        <v/>
      </c>
    </row>
    <row r="1358" spans="3:3">
      <c r="C1358" s="160" t="str">
        <f t="shared" si="40"/>
        <v/>
      </c>
    </row>
    <row r="1359" spans="3:3">
      <c r="C1359" s="160" t="str">
        <f t="shared" si="40"/>
        <v/>
      </c>
    </row>
    <row r="1360" spans="3:3">
      <c r="C1360" s="160" t="str">
        <f t="shared" si="40"/>
        <v/>
      </c>
    </row>
    <row r="1361" spans="3:3">
      <c r="C1361" s="160" t="str">
        <f t="shared" si="40"/>
        <v/>
      </c>
    </row>
    <row r="1362" spans="3:3">
      <c r="C1362" s="160" t="str">
        <f t="shared" si="40"/>
        <v/>
      </c>
    </row>
    <row r="1363" spans="3:3">
      <c r="C1363" s="160" t="str">
        <f t="shared" si="40"/>
        <v/>
      </c>
    </row>
    <row r="1364" spans="3:3">
      <c r="C1364" s="160" t="str">
        <f t="shared" si="40"/>
        <v/>
      </c>
    </row>
    <row r="1365" spans="3:3">
      <c r="C1365" s="160" t="str">
        <f t="shared" si="40"/>
        <v/>
      </c>
    </row>
    <row r="1366" spans="3:3">
      <c r="C1366" s="160" t="str">
        <f t="shared" si="40"/>
        <v/>
      </c>
    </row>
    <row r="1367" spans="3:3">
      <c r="C1367" s="160" t="str">
        <f t="shared" si="40"/>
        <v/>
      </c>
    </row>
    <row r="1368" spans="3:3">
      <c r="C1368" s="160" t="str">
        <f t="shared" si="40"/>
        <v/>
      </c>
    </row>
    <row r="1369" spans="3:3">
      <c r="C1369" s="160" t="str">
        <f t="shared" si="40"/>
        <v/>
      </c>
    </row>
    <row r="1370" spans="3:3">
      <c r="C1370" s="160" t="str">
        <f t="shared" si="40"/>
        <v/>
      </c>
    </row>
    <row r="1371" spans="3:3">
      <c r="C1371" s="160" t="str">
        <f t="shared" si="40"/>
        <v/>
      </c>
    </row>
    <row r="1372" spans="3:3">
      <c r="C1372" s="160" t="str">
        <f t="shared" si="40"/>
        <v/>
      </c>
    </row>
    <row r="1373" spans="3:3">
      <c r="C1373" s="160" t="str">
        <f t="shared" si="40"/>
        <v/>
      </c>
    </row>
    <row r="1374" spans="3:3">
      <c r="C1374" s="160" t="str">
        <f t="shared" si="40"/>
        <v/>
      </c>
    </row>
    <row r="1375" spans="3:3">
      <c r="C1375" s="160" t="str">
        <f t="shared" si="40"/>
        <v/>
      </c>
    </row>
    <row r="1376" spans="3:3">
      <c r="C1376" s="160" t="str">
        <f t="shared" si="40"/>
        <v/>
      </c>
    </row>
    <row r="1377" spans="3:3">
      <c r="C1377" s="160" t="str">
        <f t="shared" si="40"/>
        <v/>
      </c>
    </row>
    <row r="1378" spans="3:3">
      <c r="C1378" s="160" t="str">
        <f t="shared" si="40"/>
        <v/>
      </c>
    </row>
    <row r="1379" spans="3:3">
      <c r="C1379" s="160" t="str">
        <f t="shared" si="40"/>
        <v/>
      </c>
    </row>
    <row r="1380" spans="3:3">
      <c r="C1380" s="160" t="str">
        <f t="shared" si="40"/>
        <v/>
      </c>
    </row>
    <row r="1381" spans="3:3">
      <c r="C1381" s="160" t="str">
        <f t="shared" si="40"/>
        <v/>
      </c>
    </row>
    <row r="1382" spans="3:3">
      <c r="C1382" s="160" t="str">
        <f t="shared" si="40"/>
        <v/>
      </c>
    </row>
    <row r="1383" spans="3:3">
      <c r="C1383" s="160" t="str">
        <f t="shared" si="40"/>
        <v/>
      </c>
    </row>
    <row r="1384" spans="3:3">
      <c r="C1384" s="160" t="str">
        <f t="shared" si="40"/>
        <v/>
      </c>
    </row>
    <row r="1385" spans="3:3">
      <c r="C1385" s="160" t="str">
        <f t="shared" si="40"/>
        <v/>
      </c>
    </row>
    <row r="1386" spans="3:3">
      <c r="C1386" s="160" t="str">
        <f t="shared" si="40"/>
        <v/>
      </c>
    </row>
    <row r="1387" spans="3:3">
      <c r="C1387" s="160" t="str">
        <f t="shared" si="40"/>
        <v/>
      </c>
    </row>
    <row r="1388" spans="3:3">
      <c r="C1388" s="160" t="str">
        <f t="shared" si="40"/>
        <v/>
      </c>
    </row>
    <row r="1389" spans="3:3">
      <c r="C1389" s="160" t="str">
        <f t="shared" si="40"/>
        <v/>
      </c>
    </row>
    <row r="1390" spans="3:3">
      <c r="C1390" s="160" t="str">
        <f t="shared" si="40"/>
        <v/>
      </c>
    </row>
    <row r="1391" spans="3:3">
      <c r="C1391" s="160" t="str">
        <f t="shared" si="40"/>
        <v/>
      </c>
    </row>
    <row r="1392" spans="3:3">
      <c r="C1392" s="160" t="str">
        <f t="shared" si="40"/>
        <v/>
      </c>
    </row>
    <row r="1393" spans="3:3">
      <c r="C1393" s="160" t="str">
        <f t="shared" si="40"/>
        <v/>
      </c>
    </row>
    <row r="1394" spans="3:3">
      <c r="C1394" s="160" t="str">
        <f t="shared" si="40"/>
        <v/>
      </c>
    </row>
    <row r="1395" spans="3:3">
      <c r="C1395" s="160" t="str">
        <f t="shared" si="40"/>
        <v/>
      </c>
    </row>
    <row r="1396" spans="3:3">
      <c r="C1396" s="160" t="str">
        <f t="shared" si="40"/>
        <v/>
      </c>
    </row>
    <row r="1397" spans="3:3">
      <c r="C1397" s="160" t="str">
        <f t="shared" si="40"/>
        <v/>
      </c>
    </row>
    <row r="1398" spans="3:3">
      <c r="C1398" s="160" t="str">
        <f t="shared" si="40"/>
        <v/>
      </c>
    </row>
    <row r="1399" spans="3:3">
      <c r="C1399" s="160" t="str">
        <f t="shared" si="40"/>
        <v/>
      </c>
    </row>
    <row r="1400" spans="3:3">
      <c r="C1400" s="160" t="str">
        <f t="shared" si="40"/>
        <v/>
      </c>
    </row>
    <row r="1401" spans="3:3">
      <c r="C1401" s="160" t="str">
        <f t="shared" si="40"/>
        <v/>
      </c>
    </row>
    <row r="1402" spans="3:3">
      <c r="C1402" s="160" t="str">
        <f t="shared" si="40"/>
        <v/>
      </c>
    </row>
    <row r="1403" spans="3:3">
      <c r="C1403" s="160" t="str">
        <f t="shared" si="40"/>
        <v/>
      </c>
    </row>
    <row r="1404" spans="3:3">
      <c r="C1404" s="160" t="str">
        <f t="shared" si="40"/>
        <v/>
      </c>
    </row>
    <row r="1405" spans="3:3">
      <c r="C1405" s="160" t="str">
        <f t="shared" si="40"/>
        <v/>
      </c>
    </row>
    <row r="1406" spans="3:3">
      <c r="C1406" s="160" t="str">
        <f t="shared" si="40"/>
        <v/>
      </c>
    </row>
    <row r="1407" spans="3:3">
      <c r="C1407" s="160" t="str">
        <f t="shared" si="40"/>
        <v/>
      </c>
    </row>
    <row r="1408" spans="3:3">
      <c r="C1408" s="160" t="str">
        <f t="shared" si="40"/>
        <v/>
      </c>
    </row>
    <row r="1409" spans="3:3">
      <c r="C1409" s="160" t="str">
        <f t="shared" si="40"/>
        <v/>
      </c>
    </row>
    <row r="1410" spans="3:3">
      <c r="C1410" s="160" t="str">
        <f t="shared" si="40"/>
        <v/>
      </c>
    </row>
    <row r="1411" spans="3:3">
      <c r="C1411" s="160" t="str">
        <f t="shared" si="40"/>
        <v/>
      </c>
    </row>
    <row r="1412" spans="3:3">
      <c r="C1412" s="160" t="str">
        <f t="shared" si="40"/>
        <v/>
      </c>
    </row>
    <row r="1413" spans="3:3">
      <c r="C1413" s="160" t="str">
        <f t="shared" si="40"/>
        <v/>
      </c>
    </row>
    <row r="1414" spans="3:3">
      <c r="C1414" s="160" t="str">
        <f t="shared" si="40"/>
        <v/>
      </c>
    </row>
    <row r="1415" spans="3:3">
      <c r="C1415" s="160" t="str">
        <f t="shared" si="40"/>
        <v/>
      </c>
    </row>
    <row r="1416" spans="3:3">
      <c r="C1416" s="160" t="str">
        <f t="shared" si="40"/>
        <v/>
      </c>
    </row>
    <row r="1417" spans="3:3">
      <c r="C1417" s="160" t="str">
        <f t="shared" si="40"/>
        <v/>
      </c>
    </row>
    <row r="1418" spans="3:3">
      <c r="C1418" s="160" t="str">
        <f t="shared" si="40"/>
        <v/>
      </c>
    </row>
    <row r="1419" spans="3:3">
      <c r="C1419" s="160" t="str">
        <f t="shared" si="40"/>
        <v/>
      </c>
    </row>
    <row r="1420" spans="3:3">
      <c r="C1420" s="160" t="str">
        <f t="shared" si="40"/>
        <v/>
      </c>
    </row>
    <row r="1421" spans="3:3">
      <c r="C1421" s="160" t="str">
        <f t="shared" ref="C1421:C1484" si="41">D1421&amp;I1421</f>
        <v/>
      </c>
    </row>
    <row r="1422" spans="3:3">
      <c r="C1422" s="160" t="str">
        <f t="shared" si="41"/>
        <v/>
      </c>
    </row>
    <row r="1423" spans="3:3">
      <c r="C1423" s="160" t="str">
        <f t="shared" si="41"/>
        <v/>
      </c>
    </row>
    <row r="1424" spans="3:3">
      <c r="C1424" s="160" t="str">
        <f t="shared" si="41"/>
        <v/>
      </c>
    </row>
    <row r="1425" spans="3:3">
      <c r="C1425" s="160" t="str">
        <f t="shared" si="41"/>
        <v/>
      </c>
    </row>
    <row r="1426" spans="3:3">
      <c r="C1426" s="160" t="str">
        <f t="shared" si="41"/>
        <v/>
      </c>
    </row>
    <row r="1427" spans="3:3">
      <c r="C1427" s="160" t="str">
        <f t="shared" si="41"/>
        <v/>
      </c>
    </row>
    <row r="1428" spans="3:3">
      <c r="C1428" s="160" t="str">
        <f t="shared" si="41"/>
        <v/>
      </c>
    </row>
    <row r="1429" spans="3:3">
      <c r="C1429" s="160" t="str">
        <f t="shared" si="41"/>
        <v/>
      </c>
    </row>
    <row r="1430" spans="3:3">
      <c r="C1430" s="160" t="str">
        <f t="shared" si="41"/>
        <v/>
      </c>
    </row>
    <row r="1431" spans="3:3">
      <c r="C1431" s="160" t="str">
        <f t="shared" si="41"/>
        <v/>
      </c>
    </row>
    <row r="1432" spans="3:3">
      <c r="C1432" s="160" t="str">
        <f t="shared" si="41"/>
        <v/>
      </c>
    </row>
    <row r="1433" spans="3:3">
      <c r="C1433" s="160" t="str">
        <f t="shared" si="41"/>
        <v/>
      </c>
    </row>
    <row r="1434" spans="3:3">
      <c r="C1434" s="160" t="str">
        <f t="shared" si="41"/>
        <v/>
      </c>
    </row>
    <row r="1435" spans="3:3">
      <c r="C1435" s="160" t="str">
        <f t="shared" si="41"/>
        <v/>
      </c>
    </row>
    <row r="1436" spans="3:3">
      <c r="C1436" s="160" t="str">
        <f t="shared" si="41"/>
        <v/>
      </c>
    </row>
    <row r="1437" spans="3:3">
      <c r="C1437" s="160" t="str">
        <f t="shared" si="41"/>
        <v/>
      </c>
    </row>
    <row r="1438" spans="3:3">
      <c r="C1438" s="160" t="str">
        <f t="shared" si="41"/>
        <v/>
      </c>
    </row>
    <row r="1439" spans="3:3">
      <c r="C1439" s="160" t="str">
        <f t="shared" si="41"/>
        <v/>
      </c>
    </row>
    <row r="1440" spans="3:3">
      <c r="C1440" s="160" t="str">
        <f t="shared" si="41"/>
        <v/>
      </c>
    </row>
    <row r="1441" spans="3:3">
      <c r="C1441" s="160" t="str">
        <f t="shared" si="41"/>
        <v/>
      </c>
    </row>
    <row r="1442" spans="3:3">
      <c r="C1442" s="160" t="str">
        <f t="shared" si="41"/>
        <v/>
      </c>
    </row>
    <row r="1443" spans="3:3">
      <c r="C1443" s="160" t="str">
        <f t="shared" si="41"/>
        <v/>
      </c>
    </row>
    <row r="1444" spans="3:3">
      <c r="C1444" s="160" t="str">
        <f t="shared" si="41"/>
        <v/>
      </c>
    </row>
    <row r="1445" spans="3:3">
      <c r="C1445" s="160" t="str">
        <f t="shared" si="41"/>
        <v/>
      </c>
    </row>
    <row r="1446" spans="3:3">
      <c r="C1446" s="160" t="str">
        <f t="shared" si="41"/>
        <v/>
      </c>
    </row>
    <row r="1447" spans="3:3">
      <c r="C1447" s="160" t="str">
        <f t="shared" si="41"/>
        <v/>
      </c>
    </row>
    <row r="1448" spans="3:3">
      <c r="C1448" s="160" t="str">
        <f t="shared" si="41"/>
        <v/>
      </c>
    </row>
    <row r="1449" spans="3:3">
      <c r="C1449" s="160" t="str">
        <f t="shared" si="41"/>
        <v/>
      </c>
    </row>
    <row r="1450" spans="3:3">
      <c r="C1450" s="160" t="str">
        <f t="shared" si="41"/>
        <v/>
      </c>
    </row>
    <row r="1451" spans="3:3">
      <c r="C1451" s="160" t="str">
        <f t="shared" si="41"/>
        <v/>
      </c>
    </row>
    <row r="1452" spans="3:3">
      <c r="C1452" s="160" t="str">
        <f t="shared" si="41"/>
        <v/>
      </c>
    </row>
    <row r="1453" spans="3:3">
      <c r="C1453" s="160" t="str">
        <f t="shared" si="41"/>
        <v/>
      </c>
    </row>
    <row r="1454" spans="3:3">
      <c r="C1454" s="160" t="str">
        <f t="shared" si="41"/>
        <v/>
      </c>
    </row>
    <row r="1455" spans="3:3">
      <c r="C1455" s="160" t="str">
        <f t="shared" si="41"/>
        <v/>
      </c>
    </row>
    <row r="1456" spans="3:3">
      <c r="C1456" s="160" t="str">
        <f t="shared" si="41"/>
        <v/>
      </c>
    </row>
    <row r="1457" spans="3:3">
      <c r="C1457" s="160" t="str">
        <f t="shared" si="41"/>
        <v/>
      </c>
    </row>
    <row r="1458" spans="3:3">
      <c r="C1458" s="160" t="str">
        <f t="shared" si="41"/>
        <v/>
      </c>
    </row>
    <row r="1459" spans="3:3">
      <c r="C1459" s="160" t="str">
        <f t="shared" si="41"/>
        <v/>
      </c>
    </row>
    <row r="1460" spans="3:3">
      <c r="C1460" s="160" t="str">
        <f t="shared" si="41"/>
        <v/>
      </c>
    </row>
    <row r="1461" spans="3:3">
      <c r="C1461" s="160" t="str">
        <f t="shared" si="41"/>
        <v/>
      </c>
    </row>
    <row r="1462" spans="3:3">
      <c r="C1462" s="160" t="str">
        <f t="shared" si="41"/>
        <v/>
      </c>
    </row>
    <row r="1463" spans="3:3">
      <c r="C1463" s="160" t="str">
        <f t="shared" si="41"/>
        <v/>
      </c>
    </row>
    <row r="1464" spans="3:3">
      <c r="C1464" s="160" t="str">
        <f t="shared" si="41"/>
        <v/>
      </c>
    </row>
    <row r="1465" spans="3:3">
      <c r="C1465" s="160" t="str">
        <f t="shared" si="41"/>
        <v/>
      </c>
    </row>
    <row r="1466" spans="3:3">
      <c r="C1466" s="160" t="str">
        <f t="shared" si="41"/>
        <v/>
      </c>
    </row>
    <row r="1467" spans="3:3">
      <c r="C1467" s="160" t="str">
        <f t="shared" si="41"/>
        <v/>
      </c>
    </row>
    <row r="1468" spans="3:3">
      <c r="C1468" s="160" t="str">
        <f t="shared" si="41"/>
        <v/>
      </c>
    </row>
    <row r="1469" spans="3:3">
      <c r="C1469" s="160" t="str">
        <f t="shared" si="41"/>
        <v/>
      </c>
    </row>
    <row r="1470" spans="3:3">
      <c r="C1470" s="160" t="str">
        <f t="shared" si="41"/>
        <v/>
      </c>
    </row>
    <row r="1471" spans="3:3">
      <c r="C1471" s="160" t="str">
        <f t="shared" si="41"/>
        <v/>
      </c>
    </row>
    <row r="1472" spans="3:3">
      <c r="C1472" s="160" t="str">
        <f t="shared" si="41"/>
        <v/>
      </c>
    </row>
    <row r="1473" spans="3:3">
      <c r="C1473" s="160" t="str">
        <f t="shared" si="41"/>
        <v/>
      </c>
    </row>
    <row r="1474" spans="3:3">
      <c r="C1474" s="160" t="str">
        <f t="shared" si="41"/>
        <v/>
      </c>
    </row>
    <row r="1475" spans="3:3">
      <c r="C1475" s="160" t="str">
        <f t="shared" si="41"/>
        <v/>
      </c>
    </row>
    <row r="1476" spans="3:3">
      <c r="C1476" s="160" t="str">
        <f t="shared" si="41"/>
        <v/>
      </c>
    </row>
    <row r="1477" spans="3:3">
      <c r="C1477" s="160" t="str">
        <f t="shared" si="41"/>
        <v/>
      </c>
    </row>
    <row r="1478" spans="3:3">
      <c r="C1478" s="160" t="str">
        <f t="shared" si="41"/>
        <v/>
      </c>
    </row>
    <row r="1479" spans="3:3">
      <c r="C1479" s="160" t="str">
        <f t="shared" si="41"/>
        <v/>
      </c>
    </row>
    <row r="1480" spans="3:3">
      <c r="C1480" s="160" t="str">
        <f t="shared" si="41"/>
        <v/>
      </c>
    </row>
    <row r="1481" spans="3:3">
      <c r="C1481" s="160" t="str">
        <f t="shared" si="41"/>
        <v/>
      </c>
    </row>
    <row r="1482" spans="3:3">
      <c r="C1482" s="160" t="str">
        <f t="shared" si="41"/>
        <v/>
      </c>
    </row>
    <row r="1483" spans="3:3">
      <c r="C1483" s="160" t="str">
        <f t="shared" si="41"/>
        <v/>
      </c>
    </row>
    <row r="1484" spans="3:3">
      <c r="C1484" s="160" t="str">
        <f t="shared" si="41"/>
        <v/>
      </c>
    </row>
    <row r="1485" spans="3:3">
      <c r="C1485" s="160" t="str">
        <f t="shared" ref="C1485:C1548" si="42">D1485&amp;I1485</f>
        <v/>
      </c>
    </row>
    <row r="1486" spans="3:3">
      <c r="C1486" s="160" t="str">
        <f t="shared" si="42"/>
        <v/>
      </c>
    </row>
    <row r="1487" spans="3:3">
      <c r="C1487" s="160" t="str">
        <f t="shared" si="42"/>
        <v/>
      </c>
    </row>
    <row r="1488" spans="3:3">
      <c r="C1488" s="160" t="str">
        <f t="shared" si="42"/>
        <v/>
      </c>
    </row>
    <row r="1489" spans="3:3">
      <c r="C1489" s="160" t="str">
        <f t="shared" si="42"/>
        <v/>
      </c>
    </row>
    <row r="1490" spans="3:3">
      <c r="C1490" s="160" t="str">
        <f t="shared" si="42"/>
        <v/>
      </c>
    </row>
    <row r="1491" spans="3:3">
      <c r="C1491" s="160" t="str">
        <f t="shared" si="42"/>
        <v/>
      </c>
    </row>
    <row r="1492" spans="3:3">
      <c r="C1492" s="160" t="str">
        <f t="shared" si="42"/>
        <v/>
      </c>
    </row>
    <row r="1493" spans="3:3">
      <c r="C1493" s="160" t="str">
        <f t="shared" si="42"/>
        <v/>
      </c>
    </row>
    <row r="1494" spans="3:3">
      <c r="C1494" s="160" t="str">
        <f t="shared" si="42"/>
        <v/>
      </c>
    </row>
    <row r="1495" spans="3:3">
      <c r="C1495" s="160" t="str">
        <f t="shared" si="42"/>
        <v/>
      </c>
    </row>
    <row r="1496" spans="3:3">
      <c r="C1496" s="160" t="str">
        <f t="shared" si="42"/>
        <v/>
      </c>
    </row>
    <row r="1497" spans="3:3">
      <c r="C1497" s="160" t="str">
        <f t="shared" si="42"/>
        <v/>
      </c>
    </row>
    <row r="1498" spans="3:3">
      <c r="C1498" s="160" t="str">
        <f t="shared" si="42"/>
        <v/>
      </c>
    </row>
    <row r="1499" spans="3:3">
      <c r="C1499" s="160" t="str">
        <f t="shared" si="42"/>
        <v/>
      </c>
    </row>
    <row r="1500" spans="3:3">
      <c r="C1500" s="160" t="str">
        <f t="shared" si="42"/>
        <v/>
      </c>
    </row>
    <row r="1501" spans="3:3">
      <c r="C1501" s="160" t="str">
        <f t="shared" si="42"/>
        <v/>
      </c>
    </row>
    <row r="1502" spans="3:3">
      <c r="C1502" s="160" t="str">
        <f t="shared" si="42"/>
        <v/>
      </c>
    </row>
    <row r="1503" spans="3:3">
      <c r="C1503" s="160" t="str">
        <f t="shared" si="42"/>
        <v/>
      </c>
    </row>
    <row r="1504" spans="3:3">
      <c r="C1504" s="160" t="str">
        <f t="shared" si="42"/>
        <v/>
      </c>
    </row>
    <row r="1505" spans="3:3">
      <c r="C1505" s="160" t="str">
        <f t="shared" si="42"/>
        <v/>
      </c>
    </row>
    <row r="1506" spans="3:3">
      <c r="C1506" s="160" t="str">
        <f t="shared" si="42"/>
        <v/>
      </c>
    </row>
    <row r="1507" spans="3:3">
      <c r="C1507" s="160" t="str">
        <f t="shared" si="42"/>
        <v/>
      </c>
    </row>
    <row r="1508" spans="3:3">
      <c r="C1508" s="160" t="str">
        <f t="shared" si="42"/>
        <v/>
      </c>
    </row>
    <row r="1509" spans="3:3">
      <c r="C1509" s="160" t="str">
        <f t="shared" si="42"/>
        <v/>
      </c>
    </row>
    <row r="1510" spans="3:3">
      <c r="C1510" s="160" t="str">
        <f t="shared" si="42"/>
        <v/>
      </c>
    </row>
    <row r="1511" spans="3:3">
      <c r="C1511" s="160" t="str">
        <f t="shared" si="42"/>
        <v/>
      </c>
    </row>
    <row r="1512" spans="3:3">
      <c r="C1512" s="160" t="str">
        <f t="shared" si="42"/>
        <v/>
      </c>
    </row>
    <row r="1513" spans="3:3">
      <c r="C1513" s="160" t="str">
        <f t="shared" si="42"/>
        <v/>
      </c>
    </row>
    <row r="1514" spans="3:3">
      <c r="C1514" s="160" t="str">
        <f t="shared" si="42"/>
        <v/>
      </c>
    </row>
    <row r="1515" spans="3:3">
      <c r="C1515" s="160" t="str">
        <f t="shared" si="42"/>
        <v/>
      </c>
    </row>
    <row r="1516" spans="3:3">
      <c r="C1516" s="160" t="str">
        <f t="shared" si="42"/>
        <v/>
      </c>
    </row>
    <row r="1517" spans="3:3">
      <c r="C1517" s="160" t="str">
        <f t="shared" si="42"/>
        <v/>
      </c>
    </row>
    <row r="1518" spans="3:3">
      <c r="C1518" s="160" t="str">
        <f t="shared" si="42"/>
        <v/>
      </c>
    </row>
    <row r="1519" spans="3:3">
      <c r="C1519" s="160" t="str">
        <f t="shared" si="42"/>
        <v/>
      </c>
    </row>
    <row r="1520" spans="3:3">
      <c r="C1520" s="160" t="str">
        <f t="shared" si="42"/>
        <v/>
      </c>
    </row>
    <row r="1521" spans="3:3">
      <c r="C1521" s="160" t="str">
        <f t="shared" si="42"/>
        <v/>
      </c>
    </row>
    <row r="1522" spans="3:3">
      <c r="C1522" s="160" t="str">
        <f t="shared" si="42"/>
        <v/>
      </c>
    </row>
    <row r="1523" spans="3:3">
      <c r="C1523" s="160" t="str">
        <f t="shared" si="42"/>
        <v/>
      </c>
    </row>
    <row r="1524" spans="3:3">
      <c r="C1524" s="160" t="str">
        <f t="shared" si="42"/>
        <v/>
      </c>
    </row>
    <row r="1525" spans="3:3">
      <c r="C1525" s="160" t="str">
        <f t="shared" si="42"/>
        <v/>
      </c>
    </row>
    <row r="1526" spans="3:3">
      <c r="C1526" s="160" t="str">
        <f t="shared" si="42"/>
        <v/>
      </c>
    </row>
    <row r="1527" spans="3:3">
      <c r="C1527" s="160" t="str">
        <f t="shared" si="42"/>
        <v/>
      </c>
    </row>
    <row r="1528" spans="3:3">
      <c r="C1528" s="160" t="str">
        <f t="shared" si="42"/>
        <v/>
      </c>
    </row>
    <row r="1529" spans="3:3">
      <c r="C1529" s="160" t="str">
        <f t="shared" si="42"/>
        <v/>
      </c>
    </row>
    <row r="1530" spans="3:3">
      <c r="C1530" s="160" t="str">
        <f t="shared" si="42"/>
        <v/>
      </c>
    </row>
    <row r="1531" spans="3:3">
      <c r="C1531" s="160" t="str">
        <f t="shared" si="42"/>
        <v/>
      </c>
    </row>
    <row r="1532" spans="3:3">
      <c r="C1532" s="160" t="str">
        <f t="shared" si="42"/>
        <v/>
      </c>
    </row>
    <row r="1533" spans="3:3">
      <c r="C1533" s="160" t="str">
        <f t="shared" si="42"/>
        <v/>
      </c>
    </row>
    <row r="1534" spans="3:3">
      <c r="C1534" s="160" t="str">
        <f t="shared" si="42"/>
        <v/>
      </c>
    </row>
    <row r="1535" spans="3:3">
      <c r="C1535" s="160" t="str">
        <f t="shared" si="42"/>
        <v/>
      </c>
    </row>
    <row r="1536" spans="3:3">
      <c r="C1536" s="160" t="str">
        <f t="shared" si="42"/>
        <v/>
      </c>
    </row>
    <row r="1537" spans="3:3">
      <c r="C1537" s="160" t="str">
        <f t="shared" si="42"/>
        <v/>
      </c>
    </row>
    <row r="1538" spans="3:3">
      <c r="C1538" s="160" t="str">
        <f t="shared" si="42"/>
        <v/>
      </c>
    </row>
    <row r="1539" spans="3:3">
      <c r="C1539" s="160" t="str">
        <f t="shared" si="42"/>
        <v/>
      </c>
    </row>
    <row r="1540" spans="3:3">
      <c r="C1540" s="160" t="str">
        <f t="shared" si="42"/>
        <v/>
      </c>
    </row>
    <row r="1541" spans="3:3">
      <c r="C1541" s="160" t="str">
        <f t="shared" si="42"/>
        <v/>
      </c>
    </row>
    <row r="1542" spans="3:3">
      <c r="C1542" s="160" t="str">
        <f t="shared" si="42"/>
        <v/>
      </c>
    </row>
    <row r="1543" spans="3:3">
      <c r="C1543" s="160" t="str">
        <f t="shared" si="42"/>
        <v/>
      </c>
    </row>
    <row r="1544" spans="3:3">
      <c r="C1544" s="160" t="str">
        <f t="shared" si="42"/>
        <v/>
      </c>
    </row>
    <row r="1545" spans="3:3">
      <c r="C1545" s="160" t="str">
        <f t="shared" si="42"/>
        <v/>
      </c>
    </row>
    <row r="1546" spans="3:3">
      <c r="C1546" s="160" t="str">
        <f t="shared" si="42"/>
        <v/>
      </c>
    </row>
    <row r="1547" spans="3:3">
      <c r="C1547" s="160" t="str">
        <f t="shared" si="42"/>
        <v/>
      </c>
    </row>
    <row r="1548" spans="3:3">
      <c r="C1548" s="160" t="str">
        <f t="shared" si="42"/>
        <v/>
      </c>
    </row>
    <row r="1549" spans="3:3">
      <c r="C1549" s="160" t="str">
        <f t="shared" ref="C1549:C1612" si="43">D1549&amp;I1549</f>
        <v/>
      </c>
    </row>
    <row r="1550" spans="3:3">
      <c r="C1550" s="160" t="str">
        <f t="shared" si="43"/>
        <v/>
      </c>
    </row>
    <row r="1551" spans="3:3">
      <c r="C1551" s="160" t="str">
        <f t="shared" si="43"/>
        <v/>
      </c>
    </row>
    <row r="1552" spans="3:3">
      <c r="C1552" s="160" t="str">
        <f t="shared" si="43"/>
        <v/>
      </c>
    </row>
    <row r="1553" spans="3:3">
      <c r="C1553" s="160" t="str">
        <f t="shared" si="43"/>
        <v/>
      </c>
    </row>
    <row r="1554" spans="3:3">
      <c r="C1554" s="160" t="str">
        <f t="shared" si="43"/>
        <v/>
      </c>
    </row>
    <row r="1555" spans="3:3">
      <c r="C1555" s="160" t="str">
        <f t="shared" si="43"/>
        <v/>
      </c>
    </row>
    <row r="1556" spans="3:3">
      <c r="C1556" s="160" t="str">
        <f t="shared" si="43"/>
        <v/>
      </c>
    </row>
    <row r="1557" spans="3:3">
      <c r="C1557" s="160" t="str">
        <f t="shared" si="43"/>
        <v/>
      </c>
    </row>
    <row r="1558" spans="3:3">
      <c r="C1558" s="160" t="str">
        <f t="shared" si="43"/>
        <v/>
      </c>
    </row>
    <row r="1559" spans="3:3">
      <c r="C1559" s="160" t="str">
        <f t="shared" si="43"/>
        <v/>
      </c>
    </row>
    <row r="1560" spans="3:3">
      <c r="C1560" s="160" t="str">
        <f t="shared" si="43"/>
        <v/>
      </c>
    </row>
    <row r="1561" spans="3:3">
      <c r="C1561" s="160" t="str">
        <f t="shared" si="43"/>
        <v/>
      </c>
    </row>
    <row r="1562" spans="3:3">
      <c r="C1562" s="160" t="str">
        <f t="shared" si="43"/>
        <v/>
      </c>
    </row>
    <row r="1563" spans="3:3">
      <c r="C1563" s="160" t="str">
        <f t="shared" si="43"/>
        <v/>
      </c>
    </row>
    <row r="1564" spans="3:3">
      <c r="C1564" s="160" t="str">
        <f t="shared" si="43"/>
        <v/>
      </c>
    </row>
    <row r="1565" spans="3:3">
      <c r="C1565" s="160" t="str">
        <f t="shared" si="43"/>
        <v/>
      </c>
    </row>
    <row r="1566" spans="3:3">
      <c r="C1566" s="160" t="str">
        <f t="shared" si="43"/>
        <v/>
      </c>
    </row>
    <row r="1567" spans="3:3">
      <c r="C1567" s="160" t="str">
        <f t="shared" si="43"/>
        <v/>
      </c>
    </row>
    <row r="1568" spans="3:3">
      <c r="C1568" s="160" t="str">
        <f t="shared" si="43"/>
        <v/>
      </c>
    </row>
    <row r="1569" spans="3:3">
      <c r="C1569" s="160" t="str">
        <f t="shared" si="43"/>
        <v/>
      </c>
    </row>
    <row r="1570" spans="3:3">
      <c r="C1570" s="160" t="str">
        <f t="shared" si="43"/>
        <v/>
      </c>
    </row>
    <row r="1571" spans="3:3">
      <c r="C1571" s="160" t="str">
        <f t="shared" si="43"/>
        <v/>
      </c>
    </row>
    <row r="1572" spans="3:3">
      <c r="C1572" s="160" t="str">
        <f t="shared" si="43"/>
        <v/>
      </c>
    </row>
    <row r="1573" spans="3:3">
      <c r="C1573" s="160" t="str">
        <f t="shared" si="43"/>
        <v/>
      </c>
    </row>
    <row r="1574" spans="3:3">
      <c r="C1574" s="160" t="str">
        <f t="shared" si="43"/>
        <v/>
      </c>
    </row>
    <row r="1575" spans="3:3">
      <c r="C1575" s="160" t="str">
        <f t="shared" si="43"/>
        <v/>
      </c>
    </row>
    <row r="1576" spans="3:3">
      <c r="C1576" s="160" t="str">
        <f t="shared" si="43"/>
        <v/>
      </c>
    </row>
    <row r="1577" spans="3:3">
      <c r="C1577" s="160" t="str">
        <f t="shared" si="43"/>
        <v/>
      </c>
    </row>
    <row r="1578" spans="3:3">
      <c r="C1578" s="160" t="str">
        <f t="shared" si="43"/>
        <v/>
      </c>
    </row>
    <row r="1579" spans="3:3">
      <c r="C1579" s="160" t="str">
        <f t="shared" si="43"/>
        <v/>
      </c>
    </row>
    <row r="1580" spans="3:3">
      <c r="C1580" s="160" t="str">
        <f t="shared" si="43"/>
        <v/>
      </c>
    </row>
    <row r="1581" spans="3:3">
      <c r="C1581" s="160" t="str">
        <f t="shared" si="43"/>
        <v/>
      </c>
    </row>
    <row r="1582" spans="3:3">
      <c r="C1582" s="160" t="str">
        <f t="shared" si="43"/>
        <v/>
      </c>
    </row>
    <row r="1583" spans="3:3">
      <c r="C1583" s="160" t="str">
        <f t="shared" si="43"/>
        <v/>
      </c>
    </row>
    <row r="1584" spans="3:3">
      <c r="C1584" s="160" t="str">
        <f t="shared" si="43"/>
        <v/>
      </c>
    </row>
    <row r="1585" spans="3:3">
      <c r="C1585" s="160" t="str">
        <f t="shared" si="43"/>
        <v/>
      </c>
    </row>
    <row r="1586" spans="3:3">
      <c r="C1586" s="160" t="str">
        <f t="shared" si="43"/>
        <v/>
      </c>
    </row>
    <row r="1587" spans="3:3">
      <c r="C1587" s="160" t="str">
        <f t="shared" si="43"/>
        <v/>
      </c>
    </row>
    <row r="1588" spans="3:3">
      <c r="C1588" s="160" t="str">
        <f t="shared" si="43"/>
        <v/>
      </c>
    </row>
    <row r="1589" spans="3:3">
      <c r="C1589" s="160" t="str">
        <f t="shared" si="43"/>
        <v/>
      </c>
    </row>
    <row r="1590" spans="3:3">
      <c r="C1590" s="160" t="str">
        <f t="shared" si="43"/>
        <v/>
      </c>
    </row>
    <row r="1591" spans="3:3">
      <c r="C1591" s="160" t="str">
        <f t="shared" si="43"/>
        <v/>
      </c>
    </row>
    <row r="1592" spans="3:3">
      <c r="C1592" s="160" t="str">
        <f t="shared" si="43"/>
        <v/>
      </c>
    </row>
    <row r="1593" spans="3:3">
      <c r="C1593" s="160" t="str">
        <f t="shared" si="43"/>
        <v/>
      </c>
    </row>
    <row r="1594" spans="3:3">
      <c r="C1594" s="160" t="str">
        <f t="shared" si="43"/>
        <v/>
      </c>
    </row>
    <row r="1595" spans="3:3">
      <c r="C1595" s="160" t="str">
        <f t="shared" si="43"/>
        <v/>
      </c>
    </row>
    <row r="1596" spans="3:3">
      <c r="C1596" s="160" t="str">
        <f t="shared" si="43"/>
        <v/>
      </c>
    </row>
    <row r="1597" spans="3:3">
      <c r="C1597" s="160" t="str">
        <f t="shared" si="43"/>
        <v/>
      </c>
    </row>
    <row r="1598" spans="3:3">
      <c r="C1598" s="160" t="str">
        <f t="shared" si="43"/>
        <v/>
      </c>
    </row>
    <row r="1599" spans="3:3">
      <c r="C1599" s="160" t="str">
        <f t="shared" si="43"/>
        <v/>
      </c>
    </row>
    <row r="1600" spans="3:3">
      <c r="C1600" s="160" t="str">
        <f t="shared" si="43"/>
        <v/>
      </c>
    </row>
    <row r="1601" spans="3:3">
      <c r="C1601" s="160" t="str">
        <f t="shared" si="43"/>
        <v/>
      </c>
    </row>
    <row r="1602" spans="3:3">
      <c r="C1602" s="160" t="str">
        <f t="shared" si="43"/>
        <v/>
      </c>
    </row>
    <row r="1603" spans="3:3">
      <c r="C1603" s="160" t="str">
        <f t="shared" si="43"/>
        <v/>
      </c>
    </row>
    <row r="1604" spans="3:3">
      <c r="C1604" s="160" t="str">
        <f t="shared" si="43"/>
        <v/>
      </c>
    </row>
    <row r="1605" spans="3:3">
      <c r="C1605" s="160" t="str">
        <f t="shared" si="43"/>
        <v/>
      </c>
    </row>
    <row r="1606" spans="3:3">
      <c r="C1606" s="160" t="str">
        <f t="shared" si="43"/>
        <v/>
      </c>
    </row>
    <row r="1607" spans="3:3">
      <c r="C1607" s="160" t="str">
        <f t="shared" si="43"/>
        <v/>
      </c>
    </row>
    <row r="1608" spans="3:3">
      <c r="C1608" s="160" t="str">
        <f t="shared" si="43"/>
        <v/>
      </c>
    </row>
    <row r="1609" spans="3:3">
      <c r="C1609" s="160" t="str">
        <f t="shared" si="43"/>
        <v/>
      </c>
    </row>
    <row r="1610" spans="3:3">
      <c r="C1610" s="160" t="str">
        <f t="shared" si="43"/>
        <v/>
      </c>
    </row>
    <row r="1611" spans="3:3">
      <c r="C1611" s="160" t="str">
        <f t="shared" si="43"/>
        <v/>
      </c>
    </row>
    <row r="1612" spans="3:3">
      <c r="C1612" s="160" t="str">
        <f t="shared" si="43"/>
        <v/>
      </c>
    </row>
    <row r="1613" spans="3:3">
      <c r="C1613" s="160" t="str">
        <f t="shared" ref="C1613:C1676" si="44">D1613&amp;I1613</f>
        <v/>
      </c>
    </row>
    <row r="1614" spans="3:3">
      <c r="C1614" s="160" t="str">
        <f t="shared" si="44"/>
        <v/>
      </c>
    </row>
    <row r="1615" spans="3:3">
      <c r="C1615" s="160" t="str">
        <f t="shared" si="44"/>
        <v/>
      </c>
    </row>
    <row r="1616" spans="3:3">
      <c r="C1616" s="160" t="str">
        <f t="shared" si="44"/>
        <v/>
      </c>
    </row>
    <row r="1617" spans="3:3">
      <c r="C1617" s="160" t="str">
        <f t="shared" si="44"/>
        <v/>
      </c>
    </row>
    <row r="1618" spans="3:3">
      <c r="C1618" s="160" t="str">
        <f t="shared" si="44"/>
        <v/>
      </c>
    </row>
    <row r="1619" spans="3:3">
      <c r="C1619" s="160" t="str">
        <f t="shared" si="44"/>
        <v/>
      </c>
    </row>
    <row r="1620" spans="3:3">
      <c r="C1620" s="160" t="str">
        <f t="shared" si="44"/>
        <v/>
      </c>
    </row>
    <row r="1621" spans="3:3">
      <c r="C1621" s="160" t="str">
        <f t="shared" si="44"/>
        <v/>
      </c>
    </row>
    <row r="1622" spans="3:3">
      <c r="C1622" s="160" t="str">
        <f t="shared" si="44"/>
        <v/>
      </c>
    </row>
    <row r="1623" spans="3:3">
      <c r="C1623" s="160" t="str">
        <f t="shared" si="44"/>
        <v/>
      </c>
    </row>
    <row r="1624" spans="3:3">
      <c r="C1624" s="160" t="str">
        <f t="shared" si="44"/>
        <v/>
      </c>
    </row>
    <row r="1625" spans="3:3">
      <c r="C1625" s="160" t="str">
        <f t="shared" si="44"/>
        <v/>
      </c>
    </row>
    <row r="1626" spans="3:3">
      <c r="C1626" s="160" t="str">
        <f t="shared" si="44"/>
        <v/>
      </c>
    </row>
    <row r="1627" spans="3:3">
      <c r="C1627" s="160" t="str">
        <f t="shared" si="44"/>
        <v/>
      </c>
    </row>
    <row r="1628" spans="3:3">
      <c r="C1628" s="160" t="str">
        <f t="shared" si="44"/>
        <v/>
      </c>
    </row>
    <row r="1629" spans="3:3">
      <c r="C1629" s="160" t="str">
        <f t="shared" si="44"/>
        <v/>
      </c>
    </row>
    <row r="1630" spans="3:3">
      <c r="C1630" s="160" t="str">
        <f t="shared" si="44"/>
        <v/>
      </c>
    </row>
    <row r="1631" spans="3:3">
      <c r="C1631" s="160" t="str">
        <f t="shared" si="44"/>
        <v/>
      </c>
    </row>
    <row r="1632" spans="3:3">
      <c r="C1632" s="160" t="str">
        <f t="shared" si="44"/>
        <v/>
      </c>
    </row>
    <row r="1633" spans="3:3">
      <c r="C1633" s="160" t="str">
        <f t="shared" si="44"/>
        <v/>
      </c>
    </row>
    <row r="1634" spans="3:3">
      <c r="C1634" s="160" t="str">
        <f t="shared" si="44"/>
        <v/>
      </c>
    </row>
    <row r="1635" spans="3:3">
      <c r="C1635" s="160" t="str">
        <f t="shared" si="44"/>
        <v/>
      </c>
    </row>
    <row r="1636" spans="3:3">
      <c r="C1636" s="160" t="str">
        <f t="shared" si="44"/>
        <v/>
      </c>
    </row>
    <row r="1637" spans="3:3">
      <c r="C1637" s="160" t="str">
        <f t="shared" si="44"/>
        <v/>
      </c>
    </row>
    <row r="1638" spans="3:3">
      <c r="C1638" s="160" t="str">
        <f t="shared" si="44"/>
        <v/>
      </c>
    </row>
    <row r="1639" spans="3:3">
      <c r="C1639" s="160" t="str">
        <f t="shared" si="44"/>
        <v/>
      </c>
    </row>
    <row r="1640" spans="3:3">
      <c r="C1640" s="160" t="str">
        <f t="shared" si="44"/>
        <v/>
      </c>
    </row>
    <row r="1641" spans="3:3">
      <c r="C1641" s="160" t="str">
        <f t="shared" si="44"/>
        <v/>
      </c>
    </row>
    <row r="1642" spans="3:3">
      <c r="C1642" s="160" t="str">
        <f t="shared" si="44"/>
        <v/>
      </c>
    </row>
    <row r="1643" spans="3:3">
      <c r="C1643" s="160" t="str">
        <f t="shared" si="44"/>
        <v/>
      </c>
    </row>
    <row r="1644" spans="3:3">
      <c r="C1644" s="160" t="str">
        <f t="shared" si="44"/>
        <v/>
      </c>
    </row>
    <row r="1645" spans="3:3">
      <c r="C1645" s="160" t="str">
        <f t="shared" si="44"/>
        <v/>
      </c>
    </row>
    <row r="1646" spans="3:3">
      <c r="C1646" s="160" t="str">
        <f t="shared" si="44"/>
        <v/>
      </c>
    </row>
    <row r="1647" spans="3:3">
      <c r="C1647" s="160" t="str">
        <f t="shared" si="44"/>
        <v/>
      </c>
    </row>
    <row r="1648" spans="3:3">
      <c r="C1648" s="160" t="str">
        <f t="shared" si="44"/>
        <v/>
      </c>
    </row>
    <row r="1649" spans="3:3">
      <c r="C1649" s="160" t="str">
        <f t="shared" si="44"/>
        <v/>
      </c>
    </row>
    <row r="1650" spans="3:3">
      <c r="C1650" s="160" t="str">
        <f t="shared" si="44"/>
        <v/>
      </c>
    </row>
    <row r="1651" spans="3:3">
      <c r="C1651" s="160" t="str">
        <f t="shared" si="44"/>
        <v/>
      </c>
    </row>
    <row r="1652" spans="3:3">
      <c r="C1652" s="160" t="str">
        <f t="shared" si="44"/>
        <v/>
      </c>
    </row>
    <row r="1653" spans="3:3">
      <c r="C1653" s="160" t="str">
        <f t="shared" si="44"/>
        <v/>
      </c>
    </row>
    <row r="1654" spans="3:3">
      <c r="C1654" s="160" t="str">
        <f t="shared" si="44"/>
        <v/>
      </c>
    </row>
    <row r="1655" spans="3:3">
      <c r="C1655" s="160" t="str">
        <f t="shared" si="44"/>
        <v/>
      </c>
    </row>
    <row r="1656" spans="3:3">
      <c r="C1656" s="160" t="str">
        <f t="shared" si="44"/>
        <v/>
      </c>
    </row>
    <row r="1657" spans="3:3">
      <c r="C1657" s="160" t="str">
        <f t="shared" si="44"/>
        <v/>
      </c>
    </row>
    <row r="1658" spans="3:3">
      <c r="C1658" s="160" t="str">
        <f t="shared" si="44"/>
        <v/>
      </c>
    </row>
    <row r="1659" spans="3:3">
      <c r="C1659" s="160" t="str">
        <f t="shared" si="44"/>
        <v/>
      </c>
    </row>
    <row r="1660" spans="3:3">
      <c r="C1660" s="160" t="str">
        <f t="shared" si="44"/>
        <v/>
      </c>
    </row>
    <row r="1661" spans="3:3">
      <c r="C1661" s="160" t="str">
        <f t="shared" si="44"/>
        <v/>
      </c>
    </row>
    <row r="1662" spans="3:3">
      <c r="C1662" s="160" t="str">
        <f t="shared" si="44"/>
        <v/>
      </c>
    </row>
    <row r="1663" spans="3:3">
      <c r="C1663" s="160" t="str">
        <f t="shared" si="44"/>
        <v/>
      </c>
    </row>
    <row r="1664" spans="3:3">
      <c r="C1664" s="160" t="str">
        <f t="shared" si="44"/>
        <v/>
      </c>
    </row>
    <row r="1665" spans="3:3">
      <c r="C1665" s="160" t="str">
        <f t="shared" si="44"/>
        <v/>
      </c>
    </row>
    <row r="1666" spans="3:3">
      <c r="C1666" s="160" t="str">
        <f t="shared" si="44"/>
        <v/>
      </c>
    </row>
    <row r="1667" spans="3:3">
      <c r="C1667" s="160" t="str">
        <f t="shared" si="44"/>
        <v/>
      </c>
    </row>
    <row r="1668" spans="3:3">
      <c r="C1668" s="160" t="str">
        <f t="shared" si="44"/>
        <v/>
      </c>
    </row>
    <row r="1669" spans="3:3">
      <c r="C1669" s="160" t="str">
        <f t="shared" si="44"/>
        <v/>
      </c>
    </row>
    <row r="1670" spans="3:3">
      <c r="C1670" s="160" t="str">
        <f t="shared" si="44"/>
        <v/>
      </c>
    </row>
    <row r="1671" spans="3:3">
      <c r="C1671" s="160" t="str">
        <f t="shared" si="44"/>
        <v/>
      </c>
    </row>
    <row r="1672" spans="3:3">
      <c r="C1672" s="160" t="str">
        <f t="shared" si="44"/>
        <v/>
      </c>
    </row>
    <row r="1673" spans="3:3">
      <c r="C1673" s="160" t="str">
        <f t="shared" si="44"/>
        <v/>
      </c>
    </row>
    <row r="1674" spans="3:3">
      <c r="C1674" s="160" t="str">
        <f t="shared" si="44"/>
        <v/>
      </c>
    </row>
    <row r="1675" spans="3:3">
      <c r="C1675" s="160" t="str">
        <f t="shared" si="44"/>
        <v/>
      </c>
    </row>
    <row r="1676" spans="3:3">
      <c r="C1676" s="160" t="str">
        <f t="shared" si="44"/>
        <v/>
      </c>
    </row>
    <row r="1677" spans="3:3">
      <c r="C1677" s="160" t="str">
        <f t="shared" ref="C1677:C1740" si="45">D1677&amp;I1677</f>
        <v/>
      </c>
    </row>
    <row r="1678" spans="3:3">
      <c r="C1678" s="160" t="str">
        <f t="shared" si="45"/>
        <v/>
      </c>
    </row>
    <row r="1679" spans="3:3">
      <c r="C1679" s="160" t="str">
        <f t="shared" si="45"/>
        <v/>
      </c>
    </row>
    <row r="1680" spans="3:3">
      <c r="C1680" s="160" t="str">
        <f t="shared" si="45"/>
        <v/>
      </c>
    </row>
    <row r="1681" spans="3:3">
      <c r="C1681" s="160" t="str">
        <f t="shared" si="45"/>
        <v/>
      </c>
    </row>
    <row r="1682" spans="3:3">
      <c r="C1682" s="160" t="str">
        <f t="shared" si="45"/>
        <v/>
      </c>
    </row>
    <row r="1683" spans="3:3">
      <c r="C1683" s="160" t="str">
        <f t="shared" si="45"/>
        <v/>
      </c>
    </row>
    <row r="1684" spans="3:3">
      <c r="C1684" s="160" t="str">
        <f t="shared" si="45"/>
        <v/>
      </c>
    </row>
    <row r="1685" spans="3:3">
      <c r="C1685" s="160" t="str">
        <f t="shared" si="45"/>
        <v/>
      </c>
    </row>
    <row r="1686" spans="3:3">
      <c r="C1686" s="160" t="str">
        <f t="shared" si="45"/>
        <v/>
      </c>
    </row>
    <row r="1687" spans="3:3">
      <c r="C1687" s="160" t="str">
        <f t="shared" si="45"/>
        <v/>
      </c>
    </row>
    <row r="1688" spans="3:3">
      <c r="C1688" s="160" t="str">
        <f t="shared" si="45"/>
        <v/>
      </c>
    </row>
    <row r="1689" spans="3:3">
      <c r="C1689" s="160" t="str">
        <f t="shared" si="45"/>
        <v/>
      </c>
    </row>
    <row r="1690" spans="3:3">
      <c r="C1690" s="160" t="str">
        <f t="shared" si="45"/>
        <v/>
      </c>
    </row>
    <row r="1691" spans="3:3">
      <c r="C1691" s="160" t="str">
        <f t="shared" si="45"/>
        <v/>
      </c>
    </row>
    <row r="1692" spans="3:3">
      <c r="C1692" s="160" t="str">
        <f t="shared" si="45"/>
        <v/>
      </c>
    </row>
    <row r="1693" spans="3:3">
      <c r="C1693" s="160" t="str">
        <f t="shared" si="45"/>
        <v/>
      </c>
    </row>
    <row r="1694" spans="3:3">
      <c r="C1694" s="160" t="str">
        <f t="shared" si="45"/>
        <v/>
      </c>
    </row>
    <row r="1695" spans="3:3">
      <c r="C1695" s="160" t="str">
        <f t="shared" si="45"/>
        <v/>
      </c>
    </row>
    <row r="1696" spans="3:3">
      <c r="C1696" s="160" t="str">
        <f t="shared" si="45"/>
        <v/>
      </c>
    </row>
    <row r="1697" spans="3:3">
      <c r="C1697" s="160" t="str">
        <f t="shared" si="45"/>
        <v/>
      </c>
    </row>
    <row r="1698" spans="3:3">
      <c r="C1698" s="160" t="str">
        <f t="shared" si="45"/>
        <v/>
      </c>
    </row>
    <row r="1699" spans="3:3">
      <c r="C1699" s="160" t="str">
        <f t="shared" si="45"/>
        <v/>
      </c>
    </row>
    <row r="1700" spans="3:3">
      <c r="C1700" s="160" t="str">
        <f t="shared" si="45"/>
        <v/>
      </c>
    </row>
    <row r="1701" spans="3:3">
      <c r="C1701" s="160" t="str">
        <f t="shared" si="45"/>
        <v/>
      </c>
    </row>
    <row r="1702" spans="3:3">
      <c r="C1702" s="160" t="str">
        <f t="shared" si="45"/>
        <v/>
      </c>
    </row>
    <row r="1703" spans="3:3">
      <c r="C1703" s="160" t="str">
        <f t="shared" si="45"/>
        <v/>
      </c>
    </row>
    <row r="1704" spans="3:3">
      <c r="C1704" s="160" t="str">
        <f t="shared" si="45"/>
        <v/>
      </c>
    </row>
    <row r="1705" spans="3:3">
      <c r="C1705" s="160" t="str">
        <f t="shared" si="45"/>
        <v/>
      </c>
    </row>
    <row r="1706" spans="3:3">
      <c r="C1706" s="160" t="str">
        <f t="shared" si="45"/>
        <v/>
      </c>
    </row>
    <row r="1707" spans="3:3">
      <c r="C1707" s="160" t="str">
        <f t="shared" si="45"/>
        <v/>
      </c>
    </row>
    <row r="1708" spans="3:3">
      <c r="C1708" s="160" t="str">
        <f t="shared" si="45"/>
        <v/>
      </c>
    </row>
    <row r="1709" spans="3:3">
      <c r="C1709" s="160" t="str">
        <f t="shared" si="45"/>
        <v/>
      </c>
    </row>
    <row r="1710" spans="3:3">
      <c r="C1710" s="160" t="str">
        <f t="shared" si="45"/>
        <v/>
      </c>
    </row>
    <row r="1711" spans="3:3">
      <c r="C1711" s="160" t="str">
        <f t="shared" si="45"/>
        <v/>
      </c>
    </row>
    <row r="1712" spans="3:3">
      <c r="C1712" s="160" t="str">
        <f t="shared" si="45"/>
        <v/>
      </c>
    </row>
    <row r="1713" spans="3:3">
      <c r="C1713" s="160" t="str">
        <f t="shared" si="45"/>
        <v/>
      </c>
    </row>
    <row r="1714" spans="3:3">
      <c r="C1714" s="160" t="str">
        <f t="shared" si="45"/>
        <v/>
      </c>
    </row>
    <row r="1715" spans="3:3">
      <c r="C1715" s="160" t="str">
        <f t="shared" si="45"/>
        <v/>
      </c>
    </row>
    <row r="1716" spans="3:3">
      <c r="C1716" s="160" t="str">
        <f t="shared" si="45"/>
        <v/>
      </c>
    </row>
    <row r="1717" spans="3:3">
      <c r="C1717" s="160" t="str">
        <f t="shared" si="45"/>
        <v/>
      </c>
    </row>
    <row r="1718" spans="3:3">
      <c r="C1718" s="160" t="str">
        <f t="shared" si="45"/>
        <v/>
      </c>
    </row>
    <row r="1719" spans="3:3">
      <c r="C1719" s="160" t="str">
        <f t="shared" si="45"/>
        <v/>
      </c>
    </row>
    <row r="1720" spans="3:3">
      <c r="C1720" s="160" t="str">
        <f t="shared" si="45"/>
        <v/>
      </c>
    </row>
    <row r="1721" spans="3:3">
      <c r="C1721" s="160" t="str">
        <f t="shared" si="45"/>
        <v/>
      </c>
    </row>
    <row r="1722" spans="3:3">
      <c r="C1722" s="160" t="str">
        <f t="shared" si="45"/>
        <v/>
      </c>
    </row>
    <row r="1723" spans="3:3">
      <c r="C1723" s="160" t="str">
        <f t="shared" si="45"/>
        <v/>
      </c>
    </row>
    <row r="1724" spans="3:3">
      <c r="C1724" s="160" t="str">
        <f t="shared" si="45"/>
        <v/>
      </c>
    </row>
    <row r="1725" spans="3:3">
      <c r="C1725" s="160" t="str">
        <f t="shared" si="45"/>
        <v/>
      </c>
    </row>
    <row r="1726" spans="3:3">
      <c r="C1726" s="160" t="str">
        <f t="shared" si="45"/>
        <v/>
      </c>
    </row>
    <row r="1727" spans="3:3">
      <c r="C1727" s="160" t="str">
        <f t="shared" si="45"/>
        <v/>
      </c>
    </row>
    <row r="1728" spans="3:3">
      <c r="C1728" s="160" t="str">
        <f t="shared" si="45"/>
        <v/>
      </c>
    </row>
    <row r="1729" spans="3:3">
      <c r="C1729" s="160" t="str">
        <f t="shared" si="45"/>
        <v/>
      </c>
    </row>
    <row r="1730" spans="3:3">
      <c r="C1730" s="160" t="str">
        <f t="shared" si="45"/>
        <v/>
      </c>
    </row>
    <row r="1731" spans="3:3">
      <c r="C1731" s="160" t="str">
        <f t="shared" si="45"/>
        <v/>
      </c>
    </row>
    <row r="1732" spans="3:3">
      <c r="C1732" s="160" t="str">
        <f t="shared" si="45"/>
        <v/>
      </c>
    </row>
    <row r="1733" spans="3:3">
      <c r="C1733" s="160" t="str">
        <f t="shared" si="45"/>
        <v/>
      </c>
    </row>
    <row r="1734" spans="3:3">
      <c r="C1734" s="160" t="str">
        <f t="shared" si="45"/>
        <v/>
      </c>
    </row>
    <row r="1735" spans="3:3">
      <c r="C1735" s="160" t="str">
        <f t="shared" si="45"/>
        <v/>
      </c>
    </row>
    <row r="1736" spans="3:3">
      <c r="C1736" s="160" t="str">
        <f t="shared" si="45"/>
        <v/>
      </c>
    </row>
    <row r="1737" spans="3:3">
      <c r="C1737" s="160" t="str">
        <f t="shared" si="45"/>
        <v/>
      </c>
    </row>
    <row r="1738" spans="3:3">
      <c r="C1738" s="160" t="str">
        <f t="shared" si="45"/>
        <v/>
      </c>
    </row>
    <row r="1739" spans="3:3">
      <c r="C1739" s="160" t="str">
        <f t="shared" si="45"/>
        <v/>
      </c>
    </row>
    <row r="1740" spans="3:3">
      <c r="C1740" s="160" t="str">
        <f t="shared" si="45"/>
        <v/>
      </c>
    </row>
    <row r="1741" spans="3:3">
      <c r="C1741" s="160" t="str">
        <f t="shared" ref="C1741:C1804" si="46">D1741&amp;I1741</f>
        <v/>
      </c>
    </row>
    <row r="1742" spans="3:3">
      <c r="C1742" s="160" t="str">
        <f t="shared" si="46"/>
        <v/>
      </c>
    </row>
    <row r="1743" spans="3:3">
      <c r="C1743" s="160" t="str">
        <f t="shared" si="46"/>
        <v/>
      </c>
    </row>
    <row r="1744" spans="3:3">
      <c r="C1744" s="160" t="str">
        <f t="shared" si="46"/>
        <v/>
      </c>
    </row>
    <row r="1745" spans="3:3">
      <c r="C1745" s="160" t="str">
        <f t="shared" si="46"/>
        <v/>
      </c>
    </row>
    <row r="1746" spans="3:3">
      <c r="C1746" s="160" t="str">
        <f t="shared" si="46"/>
        <v/>
      </c>
    </row>
    <row r="1747" spans="3:3">
      <c r="C1747" s="160" t="str">
        <f t="shared" si="46"/>
        <v/>
      </c>
    </row>
    <row r="1748" spans="3:3">
      <c r="C1748" s="160" t="str">
        <f t="shared" si="46"/>
        <v/>
      </c>
    </row>
    <row r="1749" spans="3:3">
      <c r="C1749" s="160" t="str">
        <f t="shared" si="46"/>
        <v/>
      </c>
    </row>
    <row r="1750" spans="3:3">
      <c r="C1750" s="160" t="str">
        <f t="shared" si="46"/>
        <v/>
      </c>
    </row>
    <row r="1751" spans="3:3">
      <c r="C1751" s="160" t="str">
        <f t="shared" si="46"/>
        <v/>
      </c>
    </row>
    <row r="1752" spans="3:3">
      <c r="C1752" s="160" t="str">
        <f t="shared" si="46"/>
        <v/>
      </c>
    </row>
    <row r="1753" spans="3:3">
      <c r="C1753" s="160" t="str">
        <f t="shared" si="46"/>
        <v/>
      </c>
    </row>
    <row r="1754" spans="3:3">
      <c r="C1754" s="160" t="str">
        <f t="shared" si="46"/>
        <v/>
      </c>
    </row>
    <row r="1755" spans="3:3">
      <c r="C1755" s="160" t="str">
        <f t="shared" si="46"/>
        <v/>
      </c>
    </row>
    <row r="1756" spans="3:3">
      <c r="C1756" s="160" t="str">
        <f t="shared" si="46"/>
        <v/>
      </c>
    </row>
    <row r="1757" spans="3:3">
      <c r="C1757" s="160" t="str">
        <f t="shared" si="46"/>
        <v/>
      </c>
    </row>
    <row r="1758" spans="3:3">
      <c r="C1758" s="160" t="str">
        <f t="shared" si="46"/>
        <v/>
      </c>
    </row>
    <row r="1759" spans="3:3">
      <c r="C1759" s="160" t="str">
        <f t="shared" si="46"/>
        <v/>
      </c>
    </row>
    <row r="1760" spans="3:3">
      <c r="C1760" s="160" t="str">
        <f t="shared" si="46"/>
        <v/>
      </c>
    </row>
    <row r="1761" spans="3:3">
      <c r="C1761" s="160" t="str">
        <f t="shared" si="46"/>
        <v/>
      </c>
    </row>
    <row r="1762" spans="3:3">
      <c r="C1762" s="160" t="str">
        <f t="shared" si="46"/>
        <v/>
      </c>
    </row>
    <row r="1763" spans="3:3">
      <c r="C1763" s="160" t="str">
        <f t="shared" si="46"/>
        <v/>
      </c>
    </row>
    <row r="1764" spans="3:3">
      <c r="C1764" s="160" t="str">
        <f t="shared" si="46"/>
        <v/>
      </c>
    </row>
    <row r="1765" spans="3:3">
      <c r="C1765" s="160" t="str">
        <f t="shared" si="46"/>
        <v/>
      </c>
    </row>
    <row r="1766" spans="3:3">
      <c r="C1766" s="160" t="str">
        <f t="shared" si="46"/>
        <v/>
      </c>
    </row>
    <row r="1767" spans="3:3">
      <c r="C1767" s="160" t="str">
        <f t="shared" si="46"/>
        <v/>
      </c>
    </row>
    <row r="1768" spans="3:3">
      <c r="C1768" s="160" t="str">
        <f t="shared" si="46"/>
        <v/>
      </c>
    </row>
    <row r="1769" spans="3:3">
      <c r="C1769" s="160" t="str">
        <f t="shared" si="46"/>
        <v/>
      </c>
    </row>
    <row r="1770" spans="3:3">
      <c r="C1770" s="160" t="str">
        <f t="shared" si="46"/>
        <v/>
      </c>
    </row>
    <row r="1771" spans="3:3">
      <c r="C1771" s="160" t="str">
        <f t="shared" si="46"/>
        <v/>
      </c>
    </row>
    <row r="1772" spans="3:3">
      <c r="C1772" s="160" t="str">
        <f t="shared" si="46"/>
        <v/>
      </c>
    </row>
    <row r="1773" spans="3:3">
      <c r="C1773" s="160" t="str">
        <f t="shared" si="46"/>
        <v/>
      </c>
    </row>
    <row r="1774" spans="3:3">
      <c r="C1774" s="160" t="str">
        <f t="shared" si="46"/>
        <v/>
      </c>
    </row>
    <row r="1775" spans="3:3">
      <c r="C1775" s="160" t="str">
        <f t="shared" si="46"/>
        <v/>
      </c>
    </row>
    <row r="1776" spans="3:3">
      <c r="C1776" s="160" t="str">
        <f t="shared" si="46"/>
        <v/>
      </c>
    </row>
    <row r="1777" spans="3:3">
      <c r="C1777" s="160" t="str">
        <f t="shared" si="46"/>
        <v/>
      </c>
    </row>
    <row r="1778" spans="3:3">
      <c r="C1778" s="160" t="str">
        <f t="shared" si="46"/>
        <v/>
      </c>
    </row>
    <row r="1779" spans="3:3">
      <c r="C1779" s="160" t="str">
        <f t="shared" si="46"/>
        <v/>
      </c>
    </row>
    <row r="1780" spans="3:3">
      <c r="C1780" s="160" t="str">
        <f t="shared" si="46"/>
        <v/>
      </c>
    </row>
    <row r="1781" spans="3:3">
      <c r="C1781" s="160" t="str">
        <f t="shared" si="46"/>
        <v/>
      </c>
    </row>
    <row r="1782" spans="3:3">
      <c r="C1782" s="160" t="str">
        <f t="shared" si="46"/>
        <v/>
      </c>
    </row>
    <row r="1783" spans="3:3">
      <c r="C1783" s="160" t="str">
        <f t="shared" si="46"/>
        <v/>
      </c>
    </row>
    <row r="1784" spans="3:3">
      <c r="C1784" s="160" t="str">
        <f t="shared" si="46"/>
        <v/>
      </c>
    </row>
    <row r="1785" spans="3:3">
      <c r="C1785" s="160" t="str">
        <f t="shared" si="46"/>
        <v/>
      </c>
    </row>
    <row r="1786" spans="3:3">
      <c r="C1786" s="160" t="str">
        <f t="shared" si="46"/>
        <v/>
      </c>
    </row>
    <row r="1787" spans="3:3">
      <c r="C1787" s="160" t="str">
        <f t="shared" si="46"/>
        <v/>
      </c>
    </row>
    <row r="1788" spans="3:3">
      <c r="C1788" s="160" t="str">
        <f t="shared" si="46"/>
        <v/>
      </c>
    </row>
    <row r="1789" spans="3:3">
      <c r="C1789" s="160" t="str">
        <f t="shared" si="46"/>
        <v/>
      </c>
    </row>
    <row r="1790" spans="3:3">
      <c r="C1790" s="160" t="str">
        <f t="shared" si="46"/>
        <v/>
      </c>
    </row>
    <row r="1791" spans="3:3">
      <c r="C1791" s="160" t="str">
        <f t="shared" si="46"/>
        <v/>
      </c>
    </row>
    <row r="1792" spans="3:3">
      <c r="C1792" s="160" t="str">
        <f t="shared" si="46"/>
        <v/>
      </c>
    </row>
    <row r="1793" spans="3:3">
      <c r="C1793" s="160" t="str">
        <f t="shared" si="46"/>
        <v/>
      </c>
    </row>
    <row r="1794" spans="3:3">
      <c r="C1794" s="160" t="str">
        <f t="shared" si="46"/>
        <v/>
      </c>
    </row>
    <row r="1795" spans="3:3">
      <c r="C1795" s="160" t="str">
        <f t="shared" si="46"/>
        <v/>
      </c>
    </row>
    <row r="1796" spans="3:3">
      <c r="C1796" s="160" t="str">
        <f t="shared" si="46"/>
        <v/>
      </c>
    </row>
    <row r="1797" spans="3:3">
      <c r="C1797" s="160" t="str">
        <f t="shared" si="46"/>
        <v/>
      </c>
    </row>
    <row r="1798" spans="3:3">
      <c r="C1798" s="160" t="str">
        <f t="shared" si="46"/>
        <v/>
      </c>
    </row>
    <row r="1799" spans="3:3">
      <c r="C1799" s="160" t="str">
        <f t="shared" si="46"/>
        <v/>
      </c>
    </row>
    <row r="1800" spans="3:3">
      <c r="C1800" s="160" t="str">
        <f t="shared" si="46"/>
        <v/>
      </c>
    </row>
    <row r="1801" spans="3:3">
      <c r="C1801" s="160" t="str">
        <f t="shared" si="46"/>
        <v/>
      </c>
    </row>
    <row r="1802" spans="3:3">
      <c r="C1802" s="160" t="str">
        <f t="shared" si="46"/>
        <v/>
      </c>
    </row>
    <row r="1803" spans="3:3">
      <c r="C1803" s="160" t="str">
        <f t="shared" si="46"/>
        <v/>
      </c>
    </row>
    <row r="1804" spans="3:3">
      <c r="C1804" s="160" t="str">
        <f t="shared" si="46"/>
        <v/>
      </c>
    </row>
    <row r="1805" spans="3:3">
      <c r="C1805" s="160" t="str">
        <f t="shared" ref="C1805:C1868" si="47">D1805&amp;I1805</f>
        <v/>
      </c>
    </row>
    <row r="1806" spans="3:3">
      <c r="C1806" s="160" t="str">
        <f t="shared" si="47"/>
        <v/>
      </c>
    </row>
    <row r="1807" spans="3:3">
      <c r="C1807" s="160" t="str">
        <f t="shared" si="47"/>
        <v/>
      </c>
    </row>
    <row r="1808" spans="3:3">
      <c r="C1808" s="160" t="str">
        <f t="shared" si="47"/>
        <v/>
      </c>
    </row>
    <row r="1809" spans="3:3">
      <c r="C1809" s="160" t="str">
        <f t="shared" si="47"/>
        <v/>
      </c>
    </row>
    <row r="1810" spans="3:3">
      <c r="C1810" s="160" t="str">
        <f t="shared" si="47"/>
        <v/>
      </c>
    </row>
    <row r="1811" spans="3:3">
      <c r="C1811" s="160" t="str">
        <f t="shared" si="47"/>
        <v/>
      </c>
    </row>
    <row r="1812" spans="3:3">
      <c r="C1812" s="160" t="str">
        <f t="shared" si="47"/>
        <v/>
      </c>
    </row>
    <row r="1813" spans="3:3">
      <c r="C1813" s="160" t="str">
        <f t="shared" si="47"/>
        <v/>
      </c>
    </row>
    <row r="1814" spans="3:3">
      <c r="C1814" s="160" t="str">
        <f t="shared" si="47"/>
        <v/>
      </c>
    </row>
    <row r="1815" spans="3:3">
      <c r="C1815" s="160" t="str">
        <f t="shared" si="47"/>
        <v/>
      </c>
    </row>
    <row r="1816" spans="3:3">
      <c r="C1816" s="160" t="str">
        <f t="shared" si="47"/>
        <v/>
      </c>
    </row>
    <row r="1817" spans="3:3">
      <c r="C1817" s="160" t="str">
        <f t="shared" si="47"/>
        <v/>
      </c>
    </row>
    <row r="1818" spans="3:3">
      <c r="C1818" s="160" t="str">
        <f t="shared" si="47"/>
        <v/>
      </c>
    </row>
    <row r="1819" spans="3:3">
      <c r="C1819" s="160" t="str">
        <f t="shared" si="47"/>
        <v/>
      </c>
    </row>
    <row r="1820" spans="3:3">
      <c r="C1820" s="160" t="str">
        <f t="shared" si="47"/>
        <v/>
      </c>
    </row>
    <row r="1821" spans="3:3">
      <c r="C1821" s="160" t="str">
        <f t="shared" si="47"/>
        <v/>
      </c>
    </row>
    <row r="1822" spans="3:3">
      <c r="C1822" s="160" t="str">
        <f t="shared" si="47"/>
        <v/>
      </c>
    </row>
    <row r="1823" spans="3:3">
      <c r="C1823" s="160" t="str">
        <f t="shared" si="47"/>
        <v/>
      </c>
    </row>
    <row r="1824" spans="3:3">
      <c r="C1824" s="160" t="str">
        <f t="shared" si="47"/>
        <v/>
      </c>
    </row>
    <row r="1825" spans="3:3">
      <c r="C1825" s="160" t="str">
        <f t="shared" si="47"/>
        <v/>
      </c>
    </row>
    <row r="1826" spans="3:3">
      <c r="C1826" s="160" t="str">
        <f t="shared" si="47"/>
        <v/>
      </c>
    </row>
    <row r="1827" spans="3:3">
      <c r="C1827" s="160" t="str">
        <f t="shared" si="47"/>
        <v/>
      </c>
    </row>
    <row r="1828" spans="3:3">
      <c r="C1828" s="160" t="str">
        <f t="shared" si="47"/>
        <v/>
      </c>
    </row>
    <row r="1829" spans="3:3">
      <c r="C1829" s="160" t="str">
        <f t="shared" si="47"/>
        <v/>
      </c>
    </row>
    <row r="1830" spans="3:3">
      <c r="C1830" s="160" t="str">
        <f t="shared" si="47"/>
        <v/>
      </c>
    </row>
    <row r="1831" spans="3:3">
      <c r="C1831" s="160" t="str">
        <f t="shared" si="47"/>
        <v/>
      </c>
    </row>
    <row r="1832" spans="3:3">
      <c r="C1832" s="160" t="str">
        <f t="shared" si="47"/>
        <v/>
      </c>
    </row>
    <row r="1833" spans="3:3">
      <c r="C1833" s="160" t="str">
        <f t="shared" si="47"/>
        <v/>
      </c>
    </row>
    <row r="1834" spans="3:3">
      <c r="C1834" s="160" t="str">
        <f t="shared" si="47"/>
        <v/>
      </c>
    </row>
    <row r="1835" spans="3:3">
      <c r="C1835" s="160" t="str">
        <f t="shared" si="47"/>
        <v/>
      </c>
    </row>
    <row r="1836" spans="3:3">
      <c r="C1836" s="160" t="str">
        <f t="shared" si="47"/>
        <v/>
      </c>
    </row>
    <row r="1837" spans="3:3">
      <c r="C1837" s="160" t="str">
        <f t="shared" si="47"/>
        <v/>
      </c>
    </row>
    <row r="1838" spans="3:3">
      <c r="C1838" s="160" t="str">
        <f t="shared" si="47"/>
        <v/>
      </c>
    </row>
    <row r="1839" spans="3:3">
      <c r="C1839" s="160" t="str">
        <f t="shared" si="47"/>
        <v/>
      </c>
    </row>
    <row r="1840" spans="3:3">
      <c r="C1840" s="160" t="str">
        <f t="shared" si="47"/>
        <v/>
      </c>
    </row>
    <row r="1841" spans="3:3">
      <c r="C1841" s="160" t="str">
        <f t="shared" si="47"/>
        <v/>
      </c>
    </row>
    <row r="1842" spans="3:3">
      <c r="C1842" s="160" t="str">
        <f t="shared" si="47"/>
        <v/>
      </c>
    </row>
    <row r="1843" spans="3:3">
      <c r="C1843" s="160" t="str">
        <f t="shared" si="47"/>
        <v/>
      </c>
    </row>
    <row r="1844" spans="3:3">
      <c r="C1844" s="160" t="str">
        <f t="shared" si="47"/>
        <v/>
      </c>
    </row>
    <row r="1845" spans="3:3">
      <c r="C1845" s="160" t="str">
        <f t="shared" si="47"/>
        <v/>
      </c>
    </row>
    <row r="1846" spans="3:3">
      <c r="C1846" s="160" t="str">
        <f t="shared" si="47"/>
        <v/>
      </c>
    </row>
    <row r="1847" spans="3:3">
      <c r="C1847" s="160" t="str">
        <f t="shared" si="47"/>
        <v/>
      </c>
    </row>
    <row r="1848" spans="3:3">
      <c r="C1848" s="160" t="str">
        <f t="shared" si="47"/>
        <v/>
      </c>
    </row>
    <row r="1849" spans="3:3">
      <c r="C1849" s="160" t="str">
        <f t="shared" si="47"/>
        <v/>
      </c>
    </row>
    <row r="1850" spans="3:3">
      <c r="C1850" s="160" t="str">
        <f t="shared" si="47"/>
        <v/>
      </c>
    </row>
    <row r="1851" spans="3:3">
      <c r="C1851" s="160" t="str">
        <f t="shared" si="47"/>
        <v/>
      </c>
    </row>
    <row r="1852" spans="3:3">
      <c r="C1852" s="160" t="str">
        <f t="shared" si="47"/>
        <v/>
      </c>
    </row>
    <row r="1853" spans="3:3">
      <c r="C1853" s="160" t="str">
        <f t="shared" si="47"/>
        <v/>
      </c>
    </row>
    <row r="1854" spans="3:3">
      <c r="C1854" s="160" t="str">
        <f t="shared" si="47"/>
        <v/>
      </c>
    </row>
    <row r="1855" spans="3:3">
      <c r="C1855" s="160" t="str">
        <f t="shared" si="47"/>
        <v/>
      </c>
    </row>
    <row r="1856" spans="3:3">
      <c r="C1856" s="160" t="str">
        <f t="shared" si="47"/>
        <v/>
      </c>
    </row>
    <row r="1857" spans="3:3">
      <c r="C1857" s="160" t="str">
        <f t="shared" si="47"/>
        <v/>
      </c>
    </row>
    <row r="1858" spans="3:3">
      <c r="C1858" s="160" t="str">
        <f t="shared" si="47"/>
        <v/>
      </c>
    </row>
    <row r="1859" spans="3:3">
      <c r="C1859" s="160" t="str">
        <f t="shared" si="47"/>
        <v/>
      </c>
    </row>
    <row r="1860" spans="3:3">
      <c r="C1860" s="160" t="str">
        <f t="shared" si="47"/>
        <v/>
      </c>
    </row>
    <row r="1861" spans="3:3">
      <c r="C1861" s="160" t="str">
        <f t="shared" si="47"/>
        <v/>
      </c>
    </row>
    <row r="1862" spans="3:3">
      <c r="C1862" s="160" t="str">
        <f t="shared" si="47"/>
        <v/>
      </c>
    </row>
    <row r="1863" spans="3:3">
      <c r="C1863" s="160" t="str">
        <f t="shared" si="47"/>
        <v/>
      </c>
    </row>
    <row r="1864" spans="3:3">
      <c r="C1864" s="160" t="str">
        <f t="shared" si="47"/>
        <v/>
      </c>
    </row>
    <row r="1865" spans="3:3">
      <c r="C1865" s="160" t="str">
        <f t="shared" si="47"/>
        <v/>
      </c>
    </row>
    <row r="1866" spans="3:3">
      <c r="C1866" s="160" t="str">
        <f t="shared" si="47"/>
        <v/>
      </c>
    </row>
    <row r="1867" spans="3:3">
      <c r="C1867" s="160" t="str">
        <f t="shared" si="47"/>
        <v/>
      </c>
    </row>
    <row r="1868" spans="3:3">
      <c r="C1868" s="160" t="str">
        <f t="shared" si="47"/>
        <v/>
      </c>
    </row>
    <row r="1869" spans="3:3">
      <c r="C1869" s="160" t="str">
        <f t="shared" ref="C1869:C1932" si="48">D1869&amp;I1869</f>
        <v/>
      </c>
    </row>
    <row r="1870" spans="3:3">
      <c r="C1870" s="160" t="str">
        <f t="shared" si="48"/>
        <v/>
      </c>
    </row>
    <row r="1871" spans="3:3">
      <c r="C1871" s="160" t="str">
        <f t="shared" si="48"/>
        <v/>
      </c>
    </row>
    <row r="1872" spans="3:3">
      <c r="C1872" s="160" t="str">
        <f t="shared" si="48"/>
        <v/>
      </c>
    </row>
    <row r="1873" spans="3:3">
      <c r="C1873" s="160" t="str">
        <f t="shared" si="48"/>
        <v/>
      </c>
    </row>
    <row r="1874" spans="3:3">
      <c r="C1874" s="160" t="str">
        <f t="shared" si="48"/>
        <v/>
      </c>
    </row>
    <row r="1875" spans="3:3">
      <c r="C1875" s="160" t="str">
        <f t="shared" si="48"/>
        <v/>
      </c>
    </row>
    <row r="1876" spans="3:3">
      <c r="C1876" s="160" t="str">
        <f t="shared" si="48"/>
        <v/>
      </c>
    </row>
    <row r="1877" spans="3:3">
      <c r="C1877" s="160" t="str">
        <f t="shared" si="48"/>
        <v/>
      </c>
    </row>
    <row r="1878" spans="3:3">
      <c r="C1878" s="160" t="str">
        <f t="shared" si="48"/>
        <v/>
      </c>
    </row>
    <row r="1879" spans="3:3">
      <c r="C1879" s="160" t="str">
        <f t="shared" si="48"/>
        <v/>
      </c>
    </row>
    <row r="1880" spans="3:3">
      <c r="C1880" s="160" t="str">
        <f t="shared" si="48"/>
        <v/>
      </c>
    </row>
    <row r="1881" spans="3:3">
      <c r="C1881" s="160" t="str">
        <f t="shared" si="48"/>
        <v/>
      </c>
    </row>
    <row r="1882" spans="3:3">
      <c r="C1882" s="160" t="str">
        <f t="shared" si="48"/>
        <v/>
      </c>
    </row>
    <row r="1883" spans="3:3">
      <c r="C1883" s="160" t="str">
        <f t="shared" si="48"/>
        <v/>
      </c>
    </row>
    <row r="1884" spans="3:3">
      <c r="C1884" s="160" t="str">
        <f t="shared" si="48"/>
        <v/>
      </c>
    </row>
    <row r="1885" spans="3:3">
      <c r="C1885" s="160" t="str">
        <f t="shared" si="48"/>
        <v/>
      </c>
    </row>
    <row r="1886" spans="3:3">
      <c r="C1886" s="160" t="str">
        <f t="shared" si="48"/>
        <v/>
      </c>
    </row>
    <row r="1887" spans="3:3">
      <c r="C1887" s="160" t="str">
        <f t="shared" si="48"/>
        <v/>
      </c>
    </row>
    <row r="1888" spans="3:3">
      <c r="C1888" s="160" t="str">
        <f t="shared" si="48"/>
        <v/>
      </c>
    </row>
    <row r="1889" spans="3:3">
      <c r="C1889" s="160" t="str">
        <f t="shared" si="48"/>
        <v/>
      </c>
    </row>
    <row r="1890" spans="3:3">
      <c r="C1890" s="160" t="str">
        <f t="shared" si="48"/>
        <v/>
      </c>
    </row>
    <row r="1891" spans="3:3">
      <c r="C1891" s="160" t="str">
        <f t="shared" si="48"/>
        <v/>
      </c>
    </row>
    <row r="1892" spans="3:3">
      <c r="C1892" s="160" t="str">
        <f t="shared" si="48"/>
        <v/>
      </c>
    </row>
    <row r="1893" spans="3:3">
      <c r="C1893" s="160" t="str">
        <f t="shared" si="48"/>
        <v/>
      </c>
    </row>
    <row r="1894" spans="3:3">
      <c r="C1894" s="160" t="str">
        <f t="shared" si="48"/>
        <v/>
      </c>
    </row>
    <row r="1895" spans="3:3">
      <c r="C1895" s="160" t="str">
        <f t="shared" si="48"/>
        <v/>
      </c>
    </row>
    <row r="1896" spans="3:3">
      <c r="C1896" s="160" t="str">
        <f t="shared" si="48"/>
        <v/>
      </c>
    </row>
    <row r="1897" spans="3:3">
      <c r="C1897" s="160" t="str">
        <f t="shared" si="48"/>
        <v/>
      </c>
    </row>
    <row r="1898" spans="3:3">
      <c r="C1898" s="160" t="str">
        <f t="shared" si="48"/>
        <v/>
      </c>
    </row>
    <row r="1899" spans="3:3">
      <c r="C1899" s="160" t="str">
        <f t="shared" si="48"/>
        <v/>
      </c>
    </row>
    <row r="1900" spans="3:3">
      <c r="C1900" s="160" t="str">
        <f t="shared" si="48"/>
        <v/>
      </c>
    </row>
    <row r="1901" spans="3:3">
      <c r="C1901" s="160" t="str">
        <f t="shared" si="48"/>
        <v/>
      </c>
    </row>
    <row r="1902" spans="3:3">
      <c r="C1902" s="160" t="str">
        <f t="shared" si="48"/>
        <v/>
      </c>
    </row>
    <row r="1903" spans="3:3">
      <c r="C1903" s="160" t="str">
        <f t="shared" si="48"/>
        <v/>
      </c>
    </row>
    <row r="1904" spans="3:3">
      <c r="C1904" s="160" t="str">
        <f t="shared" si="48"/>
        <v/>
      </c>
    </row>
    <row r="1905" spans="3:3">
      <c r="C1905" s="160" t="str">
        <f t="shared" si="48"/>
        <v/>
      </c>
    </row>
    <row r="1906" spans="3:3">
      <c r="C1906" s="160" t="str">
        <f t="shared" si="48"/>
        <v/>
      </c>
    </row>
    <row r="1907" spans="3:3">
      <c r="C1907" s="160" t="str">
        <f t="shared" si="48"/>
        <v/>
      </c>
    </row>
    <row r="1908" spans="3:3">
      <c r="C1908" s="160" t="str">
        <f t="shared" si="48"/>
        <v/>
      </c>
    </row>
    <row r="1909" spans="3:3">
      <c r="C1909" s="160" t="str">
        <f t="shared" si="48"/>
        <v/>
      </c>
    </row>
    <row r="1910" spans="3:3">
      <c r="C1910" s="160" t="str">
        <f t="shared" si="48"/>
        <v/>
      </c>
    </row>
    <row r="1911" spans="3:3">
      <c r="C1911" s="160" t="str">
        <f t="shared" si="48"/>
        <v/>
      </c>
    </row>
    <row r="1912" spans="3:3">
      <c r="C1912" s="160" t="str">
        <f t="shared" si="48"/>
        <v/>
      </c>
    </row>
    <row r="1913" spans="3:3">
      <c r="C1913" s="160" t="str">
        <f t="shared" si="48"/>
        <v/>
      </c>
    </row>
    <row r="1914" spans="3:3">
      <c r="C1914" s="160" t="str">
        <f t="shared" si="48"/>
        <v/>
      </c>
    </row>
    <row r="1915" spans="3:3">
      <c r="C1915" s="160" t="str">
        <f t="shared" si="48"/>
        <v/>
      </c>
    </row>
    <row r="1916" spans="3:3">
      <c r="C1916" s="160" t="str">
        <f t="shared" si="48"/>
        <v/>
      </c>
    </row>
    <row r="1917" spans="3:3">
      <c r="C1917" s="160" t="str">
        <f t="shared" si="48"/>
        <v/>
      </c>
    </row>
    <row r="1918" spans="3:3">
      <c r="C1918" s="160" t="str">
        <f t="shared" si="48"/>
        <v/>
      </c>
    </row>
    <row r="1919" spans="3:3">
      <c r="C1919" s="160" t="str">
        <f t="shared" si="48"/>
        <v/>
      </c>
    </row>
    <row r="1920" spans="3:3">
      <c r="C1920" s="160" t="str">
        <f t="shared" si="48"/>
        <v/>
      </c>
    </row>
    <row r="1921" spans="3:3">
      <c r="C1921" s="160" t="str">
        <f t="shared" si="48"/>
        <v/>
      </c>
    </row>
    <row r="1922" spans="3:3">
      <c r="C1922" s="160" t="str">
        <f t="shared" si="48"/>
        <v/>
      </c>
    </row>
    <row r="1923" spans="3:3">
      <c r="C1923" s="160" t="str">
        <f t="shared" si="48"/>
        <v/>
      </c>
    </row>
    <row r="1924" spans="3:3">
      <c r="C1924" s="160" t="str">
        <f t="shared" si="48"/>
        <v/>
      </c>
    </row>
    <row r="1925" spans="3:3">
      <c r="C1925" s="160" t="str">
        <f t="shared" si="48"/>
        <v/>
      </c>
    </row>
    <row r="1926" spans="3:3">
      <c r="C1926" s="160" t="str">
        <f t="shared" si="48"/>
        <v/>
      </c>
    </row>
    <row r="1927" spans="3:3">
      <c r="C1927" s="160" t="str">
        <f t="shared" si="48"/>
        <v/>
      </c>
    </row>
    <row r="1928" spans="3:3">
      <c r="C1928" s="160" t="str">
        <f t="shared" si="48"/>
        <v/>
      </c>
    </row>
    <row r="1929" spans="3:3">
      <c r="C1929" s="160" t="str">
        <f t="shared" si="48"/>
        <v/>
      </c>
    </row>
    <row r="1930" spans="3:3">
      <c r="C1930" s="160" t="str">
        <f t="shared" si="48"/>
        <v/>
      </c>
    </row>
    <row r="1931" spans="3:3">
      <c r="C1931" s="160" t="str">
        <f t="shared" si="48"/>
        <v/>
      </c>
    </row>
    <row r="1932" spans="3:3">
      <c r="C1932" s="160" t="str">
        <f t="shared" si="48"/>
        <v/>
      </c>
    </row>
    <row r="1933" spans="3:3">
      <c r="C1933" s="160" t="str">
        <f t="shared" ref="C1933:C1996" si="49">D1933&amp;I1933</f>
        <v/>
      </c>
    </row>
    <row r="1934" spans="3:3">
      <c r="C1934" s="160" t="str">
        <f t="shared" si="49"/>
        <v/>
      </c>
    </row>
    <row r="1935" spans="3:3">
      <c r="C1935" s="160" t="str">
        <f t="shared" si="49"/>
        <v/>
      </c>
    </row>
    <row r="1936" spans="3:3">
      <c r="C1936" s="160" t="str">
        <f t="shared" si="49"/>
        <v/>
      </c>
    </row>
    <row r="1937" spans="3:3">
      <c r="C1937" s="160" t="str">
        <f t="shared" si="49"/>
        <v/>
      </c>
    </row>
    <row r="1938" spans="3:3">
      <c r="C1938" s="160" t="str">
        <f t="shared" si="49"/>
        <v/>
      </c>
    </row>
    <row r="1939" spans="3:3">
      <c r="C1939" s="160" t="str">
        <f t="shared" si="49"/>
        <v/>
      </c>
    </row>
    <row r="1940" spans="3:3">
      <c r="C1940" s="160" t="str">
        <f t="shared" si="49"/>
        <v/>
      </c>
    </row>
    <row r="1941" spans="3:3">
      <c r="C1941" s="160" t="str">
        <f t="shared" si="49"/>
        <v/>
      </c>
    </row>
    <row r="1942" spans="3:3">
      <c r="C1942" s="160" t="str">
        <f t="shared" si="49"/>
        <v/>
      </c>
    </row>
    <row r="1943" spans="3:3">
      <c r="C1943" s="160" t="str">
        <f t="shared" si="49"/>
        <v/>
      </c>
    </row>
    <row r="1944" spans="3:3">
      <c r="C1944" s="160" t="str">
        <f t="shared" si="49"/>
        <v/>
      </c>
    </row>
    <row r="1945" spans="3:3">
      <c r="C1945" s="160" t="str">
        <f t="shared" si="49"/>
        <v/>
      </c>
    </row>
    <row r="1946" spans="3:3">
      <c r="C1946" s="160" t="str">
        <f t="shared" si="49"/>
        <v/>
      </c>
    </row>
    <row r="1947" spans="3:3">
      <c r="C1947" s="160" t="str">
        <f t="shared" si="49"/>
        <v/>
      </c>
    </row>
    <row r="1948" spans="3:3">
      <c r="C1948" s="160" t="str">
        <f t="shared" si="49"/>
        <v/>
      </c>
    </row>
    <row r="1949" spans="3:3">
      <c r="C1949" s="160" t="str">
        <f t="shared" si="49"/>
        <v/>
      </c>
    </row>
    <row r="1950" spans="3:3">
      <c r="C1950" s="160" t="str">
        <f t="shared" si="49"/>
        <v/>
      </c>
    </row>
    <row r="1951" spans="3:3">
      <c r="C1951" s="160" t="str">
        <f t="shared" si="49"/>
        <v/>
      </c>
    </row>
    <row r="1952" spans="3:3">
      <c r="C1952" s="160" t="str">
        <f t="shared" si="49"/>
        <v/>
      </c>
    </row>
    <row r="1953" spans="3:3">
      <c r="C1953" s="160" t="str">
        <f t="shared" si="49"/>
        <v/>
      </c>
    </row>
    <row r="1954" spans="3:3">
      <c r="C1954" s="160" t="str">
        <f t="shared" si="49"/>
        <v/>
      </c>
    </row>
    <row r="1955" spans="3:3">
      <c r="C1955" s="160" t="str">
        <f t="shared" si="49"/>
        <v/>
      </c>
    </row>
    <row r="1956" spans="3:3">
      <c r="C1956" s="160" t="str">
        <f t="shared" si="49"/>
        <v/>
      </c>
    </row>
    <row r="1957" spans="3:3">
      <c r="C1957" s="160" t="str">
        <f t="shared" si="49"/>
        <v/>
      </c>
    </row>
    <row r="1958" spans="3:3">
      <c r="C1958" s="160" t="str">
        <f t="shared" si="49"/>
        <v/>
      </c>
    </row>
    <row r="1959" spans="3:3">
      <c r="C1959" s="160" t="str">
        <f t="shared" si="49"/>
        <v/>
      </c>
    </row>
    <row r="1960" spans="3:3">
      <c r="C1960" s="160" t="str">
        <f t="shared" si="49"/>
        <v/>
      </c>
    </row>
    <row r="1961" spans="3:3">
      <c r="C1961" s="160" t="str">
        <f t="shared" si="49"/>
        <v/>
      </c>
    </row>
    <row r="1962" spans="3:3">
      <c r="C1962" s="160" t="str">
        <f t="shared" si="49"/>
        <v/>
      </c>
    </row>
    <row r="1963" spans="3:3">
      <c r="C1963" s="160" t="str">
        <f t="shared" si="49"/>
        <v/>
      </c>
    </row>
    <row r="1964" spans="3:3">
      <c r="C1964" s="160" t="str">
        <f t="shared" si="49"/>
        <v/>
      </c>
    </row>
    <row r="1965" spans="3:3">
      <c r="C1965" s="160" t="str">
        <f t="shared" si="49"/>
        <v/>
      </c>
    </row>
    <row r="1966" spans="3:3">
      <c r="C1966" s="160" t="str">
        <f t="shared" si="49"/>
        <v/>
      </c>
    </row>
    <row r="1967" spans="3:3">
      <c r="C1967" s="160" t="str">
        <f t="shared" si="49"/>
        <v/>
      </c>
    </row>
    <row r="1968" spans="3:3">
      <c r="C1968" s="160" t="str">
        <f t="shared" si="49"/>
        <v/>
      </c>
    </row>
    <row r="1969" spans="3:3">
      <c r="C1969" s="160" t="str">
        <f t="shared" si="49"/>
        <v/>
      </c>
    </row>
    <row r="1970" spans="3:3">
      <c r="C1970" s="160" t="str">
        <f t="shared" si="49"/>
        <v/>
      </c>
    </row>
    <row r="1971" spans="3:3">
      <c r="C1971" s="160" t="str">
        <f t="shared" si="49"/>
        <v/>
      </c>
    </row>
    <row r="1972" spans="3:3">
      <c r="C1972" s="160" t="str">
        <f t="shared" si="49"/>
        <v/>
      </c>
    </row>
    <row r="1973" spans="3:3">
      <c r="C1973" s="160" t="str">
        <f t="shared" si="49"/>
        <v/>
      </c>
    </row>
    <row r="1974" spans="3:3">
      <c r="C1974" s="160" t="str">
        <f t="shared" si="49"/>
        <v/>
      </c>
    </row>
    <row r="1975" spans="3:3">
      <c r="C1975" s="160" t="str">
        <f t="shared" si="49"/>
        <v/>
      </c>
    </row>
    <row r="1976" spans="3:3">
      <c r="C1976" s="160" t="str">
        <f t="shared" si="49"/>
        <v/>
      </c>
    </row>
    <row r="1977" spans="3:3">
      <c r="C1977" s="160" t="str">
        <f t="shared" si="49"/>
        <v/>
      </c>
    </row>
    <row r="1978" spans="3:3">
      <c r="C1978" s="160" t="str">
        <f t="shared" si="49"/>
        <v/>
      </c>
    </row>
    <row r="1979" spans="3:3">
      <c r="C1979" s="160" t="str">
        <f t="shared" si="49"/>
        <v/>
      </c>
    </row>
    <row r="1980" spans="3:3">
      <c r="C1980" s="160" t="str">
        <f t="shared" si="49"/>
        <v/>
      </c>
    </row>
    <row r="1981" spans="3:3">
      <c r="C1981" s="160" t="str">
        <f t="shared" si="49"/>
        <v/>
      </c>
    </row>
    <row r="1982" spans="3:3">
      <c r="C1982" s="160" t="str">
        <f t="shared" si="49"/>
        <v/>
      </c>
    </row>
    <row r="1983" spans="3:3">
      <c r="C1983" s="160" t="str">
        <f t="shared" si="49"/>
        <v/>
      </c>
    </row>
    <row r="1984" spans="3:3">
      <c r="C1984" s="160" t="str">
        <f t="shared" si="49"/>
        <v/>
      </c>
    </row>
    <row r="1985" spans="3:3">
      <c r="C1985" s="160" t="str">
        <f t="shared" si="49"/>
        <v/>
      </c>
    </row>
    <row r="1986" spans="3:3">
      <c r="C1986" s="160" t="str">
        <f t="shared" si="49"/>
        <v/>
      </c>
    </row>
    <row r="1987" spans="3:3">
      <c r="C1987" s="160" t="str">
        <f t="shared" si="49"/>
        <v/>
      </c>
    </row>
    <row r="1988" spans="3:3">
      <c r="C1988" s="160" t="str">
        <f t="shared" si="49"/>
        <v/>
      </c>
    </row>
    <row r="1989" spans="3:3">
      <c r="C1989" s="160" t="str">
        <f t="shared" si="49"/>
        <v/>
      </c>
    </row>
    <row r="1990" spans="3:3">
      <c r="C1990" s="160" t="str">
        <f t="shared" si="49"/>
        <v/>
      </c>
    </row>
    <row r="1991" spans="3:3">
      <c r="C1991" s="160" t="str">
        <f t="shared" si="49"/>
        <v/>
      </c>
    </row>
    <row r="1992" spans="3:3">
      <c r="C1992" s="160" t="str">
        <f t="shared" si="49"/>
        <v/>
      </c>
    </row>
    <row r="1993" spans="3:3">
      <c r="C1993" s="160" t="str">
        <f t="shared" si="49"/>
        <v/>
      </c>
    </row>
    <row r="1994" spans="3:3">
      <c r="C1994" s="160" t="str">
        <f t="shared" si="49"/>
        <v/>
      </c>
    </row>
    <row r="1995" spans="3:3">
      <c r="C1995" s="160" t="str">
        <f t="shared" si="49"/>
        <v/>
      </c>
    </row>
    <row r="1996" spans="3:3">
      <c r="C1996" s="160" t="str">
        <f t="shared" si="49"/>
        <v/>
      </c>
    </row>
    <row r="1997" spans="3:3">
      <c r="C1997" s="160" t="str">
        <f t="shared" ref="C1997:C2060" si="50">D1997&amp;I1997</f>
        <v/>
      </c>
    </row>
    <row r="1998" spans="3:3">
      <c r="C1998" s="160" t="str">
        <f t="shared" si="50"/>
        <v/>
      </c>
    </row>
    <row r="1999" spans="3:3">
      <c r="C1999" s="160" t="str">
        <f t="shared" si="50"/>
        <v/>
      </c>
    </row>
    <row r="2000" spans="3:3">
      <c r="C2000" s="160" t="str">
        <f t="shared" si="50"/>
        <v/>
      </c>
    </row>
    <row r="2001" spans="3:3">
      <c r="C2001" s="160" t="str">
        <f t="shared" si="50"/>
        <v/>
      </c>
    </row>
    <row r="2002" spans="3:3">
      <c r="C2002" s="160" t="str">
        <f t="shared" si="50"/>
        <v/>
      </c>
    </row>
    <row r="2003" spans="3:3">
      <c r="C2003" s="160" t="str">
        <f t="shared" si="50"/>
        <v/>
      </c>
    </row>
    <row r="2004" spans="3:3">
      <c r="C2004" s="160" t="str">
        <f t="shared" si="50"/>
        <v/>
      </c>
    </row>
    <row r="2005" spans="3:3">
      <c r="C2005" s="160" t="str">
        <f t="shared" si="50"/>
        <v/>
      </c>
    </row>
    <row r="2006" spans="3:3">
      <c r="C2006" s="160" t="str">
        <f t="shared" si="50"/>
        <v/>
      </c>
    </row>
    <row r="2007" spans="3:3">
      <c r="C2007" s="160" t="str">
        <f t="shared" si="50"/>
        <v/>
      </c>
    </row>
    <row r="2008" spans="3:3">
      <c r="C2008" s="160" t="str">
        <f t="shared" si="50"/>
        <v/>
      </c>
    </row>
    <row r="2009" spans="3:3">
      <c r="C2009" s="160" t="str">
        <f t="shared" si="50"/>
        <v/>
      </c>
    </row>
    <row r="2010" spans="3:3">
      <c r="C2010" s="160" t="str">
        <f t="shared" si="50"/>
        <v/>
      </c>
    </row>
    <row r="2011" spans="3:3">
      <c r="C2011" s="160" t="str">
        <f t="shared" si="50"/>
        <v/>
      </c>
    </row>
    <row r="2012" spans="3:3">
      <c r="C2012" s="160" t="str">
        <f t="shared" si="50"/>
        <v/>
      </c>
    </row>
    <row r="2013" spans="3:3">
      <c r="C2013" s="160" t="str">
        <f t="shared" si="50"/>
        <v/>
      </c>
    </row>
    <row r="2014" spans="3:3">
      <c r="C2014" s="160" t="str">
        <f t="shared" si="50"/>
        <v/>
      </c>
    </row>
    <row r="2015" spans="3:3">
      <c r="C2015" s="160" t="str">
        <f t="shared" si="50"/>
        <v/>
      </c>
    </row>
    <row r="2016" spans="3:3">
      <c r="C2016" s="160" t="str">
        <f t="shared" si="50"/>
        <v/>
      </c>
    </row>
    <row r="2017" spans="3:3">
      <c r="C2017" s="160" t="str">
        <f t="shared" si="50"/>
        <v/>
      </c>
    </row>
    <row r="2018" spans="3:3">
      <c r="C2018" s="160" t="str">
        <f t="shared" si="50"/>
        <v/>
      </c>
    </row>
    <row r="2019" spans="3:3">
      <c r="C2019" s="160" t="str">
        <f t="shared" si="50"/>
        <v/>
      </c>
    </row>
    <row r="2020" spans="3:3">
      <c r="C2020" s="160" t="str">
        <f t="shared" si="50"/>
        <v/>
      </c>
    </row>
    <row r="2021" spans="3:3">
      <c r="C2021" s="160" t="str">
        <f t="shared" si="50"/>
        <v/>
      </c>
    </row>
    <row r="2022" spans="3:3">
      <c r="C2022" s="160" t="str">
        <f t="shared" si="50"/>
        <v/>
      </c>
    </row>
    <row r="2023" spans="3:3">
      <c r="C2023" s="160" t="str">
        <f t="shared" si="50"/>
        <v/>
      </c>
    </row>
    <row r="2024" spans="3:3">
      <c r="C2024" s="160" t="str">
        <f t="shared" si="50"/>
        <v/>
      </c>
    </row>
    <row r="2025" spans="3:3">
      <c r="C2025" s="160" t="str">
        <f t="shared" si="50"/>
        <v/>
      </c>
    </row>
    <row r="2026" spans="3:3">
      <c r="C2026" s="160" t="str">
        <f t="shared" si="50"/>
        <v/>
      </c>
    </row>
    <row r="2027" spans="3:3">
      <c r="C2027" s="160" t="str">
        <f t="shared" si="50"/>
        <v/>
      </c>
    </row>
    <row r="2028" spans="3:3">
      <c r="C2028" s="160" t="str">
        <f t="shared" si="50"/>
        <v/>
      </c>
    </row>
    <row r="2029" spans="3:3">
      <c r="C2029" s="160" t="str">
        <f t="shared" si="50"/>
        <v/>
      </c>
    </row>
    <row r="2030" spans="3:3">
      <c r="C2030" s="160" t="str">
        <f t="shared" si="50"/>
        <v/>
      </c>
    </row>
    <row r="2031" spans="3:3">
      <c r="C2031" s="160" t="str">
        <f t="shared" si="50"/>
        <v/>
      </c>
    </row>
    <row r="2032" spans="3:3">
      <c r="C2032" s="160" t="str">
        <f t="shared" si="50"/>
        <v/>
      </c>
    </row>
    <row r="2033" spans="3:3">
      <c r="C2033" s="160" t="str">
        <f t="shared" si="50"/>
        <v/>
      </c>
    </row>
    <row r="2034" spans="3:3">
      <c r="C2034" s="160" t="str">
        <f t="shared" si="50"/>
        <v/>
      </c>
    </row>
    <row r="2035" spans="3:3">
      <c r="C2035" s="160" t="str">
        <f t="shared" si="50"/>
        <v/>
      </c>
    </row>
    <row r="2036" spans="3:3">
      <c r="C2036" s="160" t="str">
        <f t="shared" si="50"/>
        <v/>
      </c>
    </row>
    <row r="2037" spans="3:3">
      <c r="C2037" s="160" t="str">
        <f t="shared" si="50"/>
        <v/>
      </c>
    </row>
    <row r="2038" spans="3:3">
      <c r="C2038" s="160" t="str">
        <f t="shared" si="50"/>
        <v/>
      </c>
    </row>
    <row r="2039" spans="3:3">
      <c r="C2039" s="160" t="str">
        <f t="shared" si="50"/>
        <v/>
      </c>
    </row>
    <row r="2040" spans="3:3">
      <c r="C2040" s="160" t="str">
        <f t="shared" si="50"/>
        <v/>
      </c>
    </row>
    <row r="2041" spans="3:3">
      <c r="C2041" s="160" t="str">
        <f t="shared" si="50"/>
        <v/>
      </c>
    </row>
    <row r="2042" spans="3:3">
      <c r="C2042" s="160" t="str">
        <f t="shared" si="50"/>
        <v/>
      </c>
    </row>
    <row r="2043" spans="3:3">
      <c r="C2043" s="160" t="str">
        <f t="shared" si="50"/>
        <v/>
      </c>
    </row>
    <row r="2044" spans="3:3">
      <c r="C2044" s="160" t="str">
        <f t="shared" si="50"/>
        <v/>
      </c>
    </row>
    <row r="2045" spans="3:3">
      <c r="C2045" s="160" t="str">
        <f t="shared" si="50"/>
        <v/>
      </c>
    </row>
    <row r="2046" spans="3:3">
      <c r="C2046" s="160" t="str">
        <f t="shared" si="50"/>
        <v/>
      </c>
    </row>
    <row r="2047" spans="3:3">
      <c r="C2047" s="160" t="str">
        <f t="shared" si="50"/>
        <v/>
      </c>
    </row>
    <row r="2048" spans="3:3">
      <c r="C2048" s="160" t="str">
        <f t="shared" si="50"/>
        <v/>
      </c>
    </row>
    <row r="2049" spans="3:3">
      <c r="C2049" s="160" t="str">
        <f t="shared" si="50"/>
        <v/>
      </c>
    </row>
    <row r="2050" spans="3:3">
      <c r="C2050" s="160" t="str">
        <f t="shared" si="50"/>
        <v/>
      </c>
    </row>
    <row r="2051" spans="3:3">
      <c r="C2051" s="160" t="str">
        <f t="shared" si="50"/>
        <v/>
      </c>
    </row>
    <row r="2052" spans="3:3">
      <c r="C2052" s="160" t="str">
        <f t="shared" si="50"/>
        <v/>
      </c>
    </row>
    <row r="2053" spans="3:3">
      <c r="C2053" s="160" t="str">
        <f t="shared" si="50"/>
        <v/>
      </c>
    </row>
    <row r="2054" spans="3:3">
      <c r="C2054" s="160" t="str">
        <f t="shared" si="50"/>
        <v/>
      </c>
    </row>
    <row r="2055" spans="3:3">
      <c r="C2055" s="160" t="str">
        <f t="shared" si="50"/>
        <v/>
      </c>
    </row>
    <row r="2056" spans="3:3">
      <c r="C2056" s="160" t="str">
        <f t="shared" si="50"/>
        <v/>
      </c>
    </row>
    <row r="2057" spans="3:3">
      <c r="C2057" s="160" t="str">
        <f t="shared" si="50"/>
        <v/>
      </c>
    </row>
    <row r="2058" spans="3:3">
      <c r="C2058" s="160" t="str">
        <f t="shared" si="50"/>
        <v/>
      </c>
    </row>
    <row r="2059" spans="3:3">
      <c r="C2059" s="160" t="str">
        <f t="shared" si="50"/>
        <v/>
      </c>
    </row>
    <row r="2060" spans="3:3">
      <c r="C2060" s="160" t="str">
        <f t="shared" si="50"/>
        <v/>
      </c>
    </row>
    <row r="2061" spans="3:3">
      <c r="C2061" s="160" t="str">
        <f t="shared" ref="C2061:C2124" si="51">D2061&amp;I2061</f>
        <v/>
      </c>
    </row>
    <row r="2062" spans="3:3">
      <c r="C2062" s="160" t="str">
        <f t="shared" si="51"/>
        <v/>
      </c>
    </row>
    <row r="2063" spans="3:3">
      <c r="C2063" s="160" t="str">
        <f t="shared" si="51"/>
        <v/>
      </c>
    </row>
    <row r="2064" spans="3:3">
      <c r="C2064" s="160" t="str">
        <f t="shared" si="51"/>
        <v/>
      </c>
    </row>
    <row r="2065" spans="3:3">
      <c r="C2065" s="160" t="str">
        <f t="shared" si="51"/>
        <v/>
      </c>
    </row>
    <row r="2066" spans="3:3">
      <c r="C2066" s="160" t="str">
        <f t="shared" si="51"/>
        <v/>
      </c>
    </row>
    <row r="2067" spans="3:3">
      <c r="C2067" s="160" t="str">
        <f t="shared" si="51"/>
        <v/>
      </c>
    </row>
    <row r="2068" spans="3:3">
      <c r="C2068" s="160" t="str">
        <f t="shared" si="51"/>
        <v/>
      </c>
    </row>
    <row r="2069" spans="3:3">
      <c r="C2069" s="160" t="str">
        <f t="shared" si="51"/>
        <v/>
      </c>
    </row>
    <row r="2070" spans="3:3">
      <c r="C2070" s="160" t="str">
        <f t="shared" si="51"/>
        <v/>
      </c>
    </row>
    <row r="2071" spans="3:3">
      <c r="C2071" s="160" t="str">
        <f t="shared" si="51"/>
        <v/>
      </c>
    </row>
    <row r="2072" spans="3:3">
      <c r="C2072" s="160" t="str">
        <f t="shared" si="51"/>
        <v/>
      </c>
    </row>
    <row r="2073" spans="3:3">
      <c r="C2073" s="160" t="str">
        <f t="shared" si="51"/>
        <v/>
      </c>
    </row>
    <row r="2074" spans="3:3">
      <c r="C2074" s="160" t="str">
        <f t="shared" si="51"/>
        <v/>
      </c>
    </row>
    <row r="2075" spans="3:3">
      <c r="C2075" s="160" t="str">
        <f t="shared" si="51"/>
        <v/>
      </c>
    </row>
    <row r="2076" spans="3:3">
      <c r="C2076" s="160" t="str">
        <f t="shared" si="51"/>
        <v/>
      </c>
    </row>
    <row r="2077" spans="3:3">
      <c r="C2077" s="160" t="str">
        <f t="shared" si="51"/>
        <v/>
      </c>
    </row>
    <row r="2078" spans="3:3">
      <c r="C2078" s="160" t="str">
        <f t="shared" si="51"/>
        <v/>
      </c>
    </row>
    <row r="2079" spans="3:3">
      <c r="C2079" s="160" t="str">
        <f t="shared" si="51"/>
        <v/>
      </c>
    </row>
    <row r="2080" spans="3:3">
      <c r="C2080" s="160" t="str">
        <f t="shared" si="51"/>
        <v/>
      </c>
    </row>
    <row r="2081" spans="3:3">
      <c r="C2081" s="160" t="str">
        <f t="shared" si="51"/>
        <v/>
      </c>
    </row>
    <row r="2082" spans="3:3">
      <c r="C2082" s="160" t="str">
        <f t="shared" si="51"/>
        <v/>
      </c>
    </row>
    <row r="2083" spans="3:3">
      <c r="C2083" s="160" t="str">
        <f t="shared" si="51"/>
        <v/>
      </c>
    </row>
    <row r="2084" spans="3:3">
      <c r="C2084" s="160" t="str">
        <f t="shared" si="51"/>
        <v/>
      </c>
    </row>
    <row r="2085" spans="3:3">
      <c r="C2085" s="160" t="str">
        <f t="shared" si="51"/>
        <v/>
      </c>
    </row>
    <row r="2086" spans="3:3">
      <c r="C2086" s="160" t="str">
        <f t="shared" si="51"/>
        <v/>
      </c>
    </row>
    <row r="2087" spans="3:3">
      <c r="C2087" s="160" t="str">
        <f t="shared" si="51"/>
        <v/>
      </c>
    </row>
    <row r="2088" spans="3:3">
      <c r="C2088" s="160" t="str">
        <f t="shared" si="51"/>
        <v/>
      </c>
    </row>
    <row r="2089" spans="3:3">
      <c r="C2089" s="160" t="str">
        <f t="shared" si="51"/>
        <v/>
      </c>
    </row>
    <row r="2090" spans="3:3">
      <c r="C2090" s="160" t="str">
        <f t="shared" si="51"/>
        <v/>
      </c>
    </row>
    <row r="2091" spans="3:3">
      <c r="C2091" s="160" t="str">
        <f t="shared" si="51"/>
        <v/>
      </c>
    </row>
    <row r="2092" spans="3:3">
      <c r="C2092" s="160" t="str">
        <f t="shared" si="51"/>
        <v/>
      </c>
    </row>
    <row r="2093" spans="3:3">
      <c r="C2093" s="160" t="str">
        <f t="shared" si="51"/>
        <v/>
      </c>
    </row>
    <row r="2094" spans="3:3">
      <c r="C2094" s="160" t="str">
        <f t="shared" si="51"/>
        <v/>
      </c>
    </row>
    <row r="2095" spans="3:3">
      <c r="C2095" s="160" t="str">
        <f t="shared" si="51"/>
        <v/>
      </c>
    </row>
    <row r="2096" spans="3:3">
      <c r="C2096" s="160" t="str">
        <f t="shared" si="51"/>
        <v/>
      </c>
    </row>
    <row r="2097" spans="3:3">
      <c r="C2097" s="160" t="str">
        <f t="shared" si="51"/>
        <v/>
      </c>
    </row>
    <row r="2098" spans="3:3">
      <c r="C2098" s="160" t="str">
        <f t="shared" si="51"/>
        <v/>
      </c>
    </row>
    <row r="2099" spans="3:3">
      <c r="C2099" s="160" t="str">
        <f t="shared" si="51"/>
        <v/>
      </c>
    </row>
    <row r="2100" spans="3:3">
      <c r="C2100" s="160" t="str">
        <f t="shared" si="51"/>
        <v/>
      </c>
    </row>
    <row r="2101" spans="3:3">
      <c r="C2101" s="160" t="str">
        <f t="shared" si="51"/>
        <v/>
      </c>
    </row>
    <row r="2102" spans="3:3">
      <c r="C2102" s="160" t="str">
        <f t="shared" si="51"/>
        <v/>
      </c>
    </row>
    <row r="2103" spans="3:3">
      <c r="C2103" s="160" t="str">
        <f t="shared" si="51"/>
        <v/>
      </c>
    </row>
    <row r="2104" spans="3:3">
      <c r="C2104" s="160" t="str">
        <f t="shared" si="51"/>
        <v/>
      </c>
    </row>
    <row r="2105" spans="3:3">
      <c r="C2105" s="160" t="str">
        <f t="shared" si="51"/>
        <v/>
      </c>
    </row>
    <row r="2106" spans="3:3">
      <c r="C2106" s="160" t="str">
        <f t="shared" si="51"/>
        <v/>
      </c>
    </row>
    <row r="2107" spans="3:3">
      <c r="C2107" s="160" t="str">
        <f t="shared" si="51"/>
        <v/>
      </c>
    </row>
    <row r="2108" spans="3:3">
      <c r="C2108" s="160" t="str">
        <f t="shared" si="51"/>
        <v/>
      </c>
    </row>
    <row r="2109" spans="3:3">
      <c r="C2109" s="160" t="str">
        <f t="shared" si="51"/>
        <v/>
      </c>
    </row>
    <row r="2110" spans="3:3">
      <c r="C2110" s="160" t="str">
        <f t="shared" si="51"/>
        <v/>
      </c>
    </row>
    <row r="2111" spans="3:3">
      <c r="C2111" s="160" t="str">
        <f t="shared" si="51"/>
        <v/>
      </c>
    </row>
    <row r="2112" spans="3:3">
      <c r="C2112" s="160" t="str">
        <f t="shared" si="51"/>
        <v/>
      </c>
    </row>
    <row r="2113" spans="3:3">
      <c r="C2113" s="160" t="str">
        <f t="shared" si="51"/>
        <v/>
      </c>
    </row>
    <row r="2114" spans="3:3">
      <c r="C2114" s="160" t="str">
        <f t="shared" si="51"/>
        <v/>
      </c>
    </row>
    <row r="2115" spans="3:3">
      <c r="C2115" s="160" t="str">
        <f t="shared" si="51"/>
        <v/>
      </c>
    </row>
    <row r="2116" spans="3:3">
      <c r="C2116" s="160" t="str">
        <f t="shared" si="51"/>
        <v/>
      </c>
    </row>
    <row r="2117" spans="3:3">
      <c r="C2117" s="160" t="str">
        <f t="shared" si="51"/>
        <v/>
      </c>
    </row>
    <row r="2118" spans="3:3">
      <c r="C2118" s="160" t="str">
        <f t="shared" si="51"/>
        <v/>
      </c>
    </row>
    <row r="2119" spans="3:3">
      <c r="C2119" s="160" t="str">
        <f t="shared" si="51"/>
        <v/>
      </c>
    </row>
    <row r="2120" spans="3:3">
      <c r="C2120" s="160" t="str">
        <f t="shared" si="51"/>
        <v/>
      </c>
    </row>
    <row r="2121" spans="3:3">
      <c r="C2121" s="160" t="str">
        <f t="shared" si="51"/>
        <v/>
      </c>
    </row>
    <row r="2122" spans="3:3">
      <c r="C2122" s="160" t="str">
        <f t="shared" si="51"/>
        <v/>
      </c>
    </row>
    <row r="2123" spans="3:3">
      <c r="C2123" s="160" t="str">
        <f t="shared" si="51"/>
        <v/>
      </c>
    </row>
    <row r="2124" spans="3:3">
      <c r="C2124" s="160" t="str">
        <f t="shared" si="51"/>
        <v/>
      </c>
    </row>
    <row r="2125" spans="3:3">
      <c r="C2125" s="160" t="str">
        <f t="shared" ref="C2125:C2188" si="52">D2125&amp;I2125</f>
        <v/>
      </c>
    </row>
    <row r="2126" spans="3:3">
      <c r="C2126" s="160" t="str">
        <f t="shared" si="52"/>
        <v/>
      </c>
    </row>
    <row r="2127" spans="3:3">
      <c r="C2127" s="160" t="str">
        <f t="shared" si="52"/>
        <v/>
      </c>
    </row>
    <row r="2128" spans="3:3">
      <c r="C2128" s="160" t="str">
        <f t="shared" si="52"/>
        <v/>
      </c>
    </row>
    <row r="2129" spans="3:3">
      <c r="C2129" s="160" t="str">
        <f t="shared" si="52"/>
        <v/>
      </c>
    </row>
    <row r="2130" spans="3:3">
      <c r="C2130" s="160" t="str">
        <f t="shared" si="52"/>
        <v/>
      </c>
    </row>
    <row r="2131" spans="3:3">
      <c r="C2131" s="160" t="str">
        <f t="shared" si="52"/>
        <v/>
      </c>
    </row>
    <row r="2132" spans="3:3">
      <c r="C2132" s="160" t="str">
        <f t="shared" si="52"/>
        <v/>
      </c>
    </row>
    <row r="2133" spans="3:3">
      <c r="C2133" s="160" t="str">
        <f t="shared" si="52"/>
        <v/>
      </c>
    </row>
    <row r="2134" spans="3:3">
      <c r="C2134" s="160" t="str">
        <f t="shared" si="52"/>
        <v/>
      </c>
    </row>
    <row r="2135" spans="3:3">
      <c r="C2135" s="160" t="str">
        <f t="shared" si="52"/>
        <v/>
      </c>
    </row>
    <row r="2136" spans="3:3">
      <c r="C2136" s="160" t="str">
        <f t="shared" si="52"/>
        <v/>
      </c>
    </row>
    <row r="2137" spans="3:3">
      <c r="C2137" s="160" t="str">
        <f t="shared" si="52"/>
        <v/>
      </c>
    </row>
    <row r="2138" spans="3:3">
      <c r="C2138" s="160" t="str">
        <f t="shared" si="52"/>
        <v/>
      </c>
    </row>
    <row r="2139" spans="3:3">
      <c r="C2139" s="160" t="str">
        <f t="shared" si="52"/>
        <v/>
      </c>
    </row>
    <row r="2140" spans="3:3">
      <c r="C2140" s="160" t="str">
        <f t="shared" si="52"/>
        <v/>
      </c>
    </row>
    <row r="2141" spans="3:3">
      <c r="C2141" s="160" t="str">
        <f t="shared" si="52"/>
        <v/>
      </c>
    </row>
    <row r="2142" spans="3:3">
      <c r="C2142" s="160" t="str">
        <f t="shared" si="52"/>
        <v/>
      </c>
    </row>
    <row r="2143" spans="3:3">
      <c r="C2143" s="160" t="str">
        <f t="shared" si="52"/>
        <v/>
      </c>
    </row>
    <row r="2144" spans="3:3">
      <c r="C2144" s="160" t="str">
        <f t="shared" si="52"/>
        <v/>
      </c>
    </row>
    <row r="2145" spans="3:3">
      <c r="C2145" s="160" t="str">
        <f t="shared" si="52"/>
        <v/>
      </c>
    </row>
    <row r="2146" spans="3:3">
      <c r="C2146" s="160" t="str">
        <f t="shared" si="52"/>
        <v/>
      </c>
    </row>
    <row r="2147" spans="3:3">
      <c r="C2147" s="160" t="str">
        <f t="shared" si="52"/>
        <v/>
      </c>
    </row>
    <row r="2148" spans="3:3">
      <c r="C2148" s="160" t="str">
        <f t="shared" si="52"/>
        <v/>
      </c>
    </row>
    <row r="2149" spans="3:3">
      <c r="C2149" s="160" t="str">
        <f t="shared" si="52"/>
        <v/>
      </c>
    </row>
    <row r="2150" spans="3:3">
      <c r="C2150" s="160" t="str">
        <f t="shared" si="52"/>
        <v/>
      </c>
    </row>
    <row r="2151" spans="3:3">
      <c r="C2151" s="160" t="str">
        <f t="shared" si="52"/>
        <v/>
      </c>
    </row>
    <row r="2152" spans="3:3">
      <c r="C2152" s="160" t="str">
        <f t="shared" si="52"/>
        <v/>
      </c>
    </row>
    <row r="2153" spans="3:3">
      <c r="C2153" s="160" t="str">
        <f t="shared" si="52"/>
        <v/>
      </c>
    </row>
    <row r="2154" spans="3:3">
      <c r="C2154" s="160" t="str">
        <f t="shared" si="52"/>
        <v/>
      </c>
    </row>
    <row r="2155" spans="3:3">
      <c r="C2155" s="160" t="str">
        <f t="shared" si="52"/>
        <v/>
      </c>
    </row>
    <row r="2156" spans="3:3">
      <c r="C2156" s="160" t="str">
        <f t="shared" si="52"/>
        <v/>
      </c>
    </row>
    <row r="2157" spans="3:3">
      <c r="C2157" s="160" t="str">
        <f t="shared" si="52"/>
        <v/>
      </c>
    </row>
    <row r="2158" spans="3:3">
      <c r="C2158" s="160" t="str">
        <f t="shared" si="52"/>
        <v/>
      </c>
    </row>
    <row r="2159" spans="3:3">
      <c r="C2159" s="160" t="str">
        <f t="shared" si="52"/>
        <v/>
      </c>
    </row>
    <row r="2160" spans="3:3">
      <c r="C2160" s="160" t="str">
        <f t="shared" si="52"/>
        <v/>
      </c>
    </row>
    <row r="2161" spans="3:3">
      <c r="C2161" s="160" t="str">
        <f t="shared" si="52"/>
        <v/>
      </c>
    </row>
    <row r="2162" spans="3:3">
      <c r="C2162" s="160" t="str">
        <f t="shared" si="52"/>
        <v/>
      </c>
    </row>
    <row r="2163" spans="3:3">
      <c r="C2163" s="160" t="str">
        <f t="shared" si="52"/>
        <v/>
      </c>
    </row>
    <row r="2164" spans="3:3">
      <c r="C2164" s="160" t="str">
        <f t="shared" si="52"/>
        <v/>
      </c>
    </row>
    <row r="2165" spans="3:3">
      <c r="C2165" s="160" t="str">
        <f t="shared" si="52"/>
        <v/>
      </c>
    </row>
    <row r="2166" spans="3:3">
      <c r="C2166" s="160" t="str">
        <f t="shared" si="52"/>
        <v/>
      </c>
    </row>
    <row r="2167" spans="3:3">
      <c r="C2167" s="160" t="str">
        <f t="shared" si="52"/>
        <v/>
      </c>
    </row>
    <row r="2168" spans="3:3">
      <c r="C2168" s="160" t="str">
        <f t="shared" si="52"/>
        <v/>
      </c>
    </row>
    <row r="2169" spans="3:3">
      <c r="C2169" s="160" t="str">
        <f t="shared" si="52"/>
        <v/>
      </c>
    </row>
    <row r="2170" spans="3:3">
      <c r="C2170" s="160" t="str">
        <f t="shared" si="52"/>
        <v/>
      </c>
    </row>
    <row r="2171" spans="3:3">
      <c r="C2171" s="160" t="str">
        <f t="shared" si="52"/>
        <v/>
      </c>
    </row>
    <row r="2172" spans="3:3">
      <c r="C2172" s="160" t="str">
        <f t="shared" si="52"/>
        <v/>
      </c>
    </row>
    <row r="2173" spans="3:3">
      <c r="C2173" s="160" t="str">
        <f t="shared" si="52"/>
        <v/>
      </c>
    </row>
    <row r="2174" spans="3:3">
      <c r="C2174" s="160" t="str">
        <f t="shared" si="52"/>
        <v/>
      </c>
    </row>
    <row r="2175" spans="3:3">
      <c r="C2175" s="160" t="str">
        <f t="shared" si="52"/>
        <v/>
      </c>
    </row>
    <row r="2176" spans="3:3">
      <c r="C2176" s="160" t="str">
        <f t="shared" si="52"/>
        <v/>
      </c>
    </row>
    <row r="2177" spans="3:3">
      <c r="C2177" s="160" t="str">
        <f t="shared" si="52"/>
        <v/>
      </c>
    </row>
    <row r="2178" spans="3:3">
      <c r="C2178" s="160" t="str">
        <f t="shared" si="52"/>
        <v/>
      </c>
    </row>
    <row r="2179" spans="3:3">
      <c r="C2179" s="160" t="str">
        <f t="shared" si="52"/>
        <v/>
      </c>
    </row>
    <row r="2180" spans="3:3">
      <c r="C2180" s="160" t="str">
        <f t="shared" si="52"/>
        <v/>
      </c>
    </row>
    <row r="2181" spans="3:3">
      <c r="C2181" s="160" t="str">
        <f t="shared" si="52"/>
        <v/>
      </c>
    </row>
    <row r="2182" spans="3:3">
      <c r="C2182" s="160" t="str">
        <f t="shared" si="52"/>
        <v/>
      </c>
    </row>
    <row r="2183" spans="3:3">
      <c r="C2183" s="160" t="str">
        <f t="shared" si="52"/>
        <v/>
      </c>
    </row>
    <row r="2184" spans="3:3">
      <c r="C2184" s="160" t="str">
        <f t="shared" si="52"/>
        <v/>
      </c>
    </row>
    <row r="2185" spans="3:3">
      <c r="C2185" s="160" t="str">
        <f t="shared" si="52"/>
        <v/>
      </c>
    </row>
    <row r="2186" spans="3:3">
      <c r="C2186" s="160" t="str">
        <f t="shared" si="52"/>
        <v/>
      </c>
    </row>
    <row r="2187" spans="3:3">
      <c r="C2187" s="160" t="str">
        <f t="shared" si="52"/>
        <v/>
      </c>
    </row>
    <row r="2188" spans="3:3">
      <c r="C2188" s="160" t="str">
        <f t="shared" si="52"/>
        <v/>
      </c>
    </row>
    <row r="2189" spans="3:3">
      <c r="C2189" s="160" t="str">
        <f t="shared" ref="C2189:C2252" si="53">D2189&amp;I2189</f>
        <v/>
      </c>
    </row>
    <row r="2190" spans="3:3">
      <c r="C2190" s="160" t="str">
        <f t="shared" si="53"/>
        <v/>
      </c>
    </row>
    <row r="2191" spans="3:3">
      <c r="C2191" s="160" t="str">
        <f t="shared" si="53"/>
        <v/>
      </c>
    </row>
    <row r="2192" spans="3:3">
      <c r="C2192" s="160" t="str">
        <f t="shared" si="53"/>
        <v/>
      </c>
    </row>
    <row r="2193" spans="3:3">
      <c r="C2193" s="160" t="str">
        <f t="shared" si="53"/>
        <v/>
      </c>
    </row>
    <row r="2194" spans="3:3">
      <c r="C2194" s="160" t="str">
        <f t="shared" si="53"/>
        <v/>
      </c>
    </row>
    <row r="2195" spans="3:3">
      <c r="C2195" s="160" t="str">
        <f t="shared" si="53"/>
        <v/>
      </c>
    </row>
    <row r="2196" spans="3:3">
      <c r="C2196" s="160" t="str">
        <f t="shared" si="53"/>
        <v/>
      </c>
    </row>
    <row r="2197" spans="3:3">
      <c r="C2197" s="160" t="str">
        <f t="shared" si="53"/>
        <v/>
      </c>
    </row>
    <row r="2198" spans="3:3">
      <c r="C2198" s="160" t="str">
        <f t="shared" si="53"/>
        <v/>
      </c>
    </row>
    <row r="2199" spans="3:3">
      <c r="C2199" s="160" t="str">
        <f t="shared" si="53"/>
        <v/>
      </c>
    </row>
    <row r="2200" spans="3:3">
      <c r="C2200" s="160" t="str">
        <f t="shared" si="53"/>
        <v/>
      </c>
    </row>
    <row r="2201" spans="3:3">
      <c r="C2201" s="160" t="str">
        <f t="shared" si="53"/>
        <v/>
      </c>
    </row>
    <row r="2202" spans="3:3">
      <c r="C2202" s="160" t="str">
        <f t="shared" si="53"/>
        <v/>
      </c>
    </row>
    <row r="2203" spans="3:3">
      <c r="C2203" s="160" t="str">
        <f t="shared" si="53"/>
        <v/>
      </c>
    </row>
    <row r="2204" spans="3:3">
      <c r="C2204" s="160" t="str">
        <f t="shared" si="53"/>
        <v/>
      </c>
    </row>
    <row r="2205" spans="3:3">
      <c r="C2205" s="160" t="str">
        <f t="shared" si="53"/>
        <v/>
      </c>
    </row>
    <row r="2206" spans="3:3">
      <c r="C2206" s="160" t="str">
        <f t="shared" si="53"/>
        <v/>
      </c>
    </row>
    <row r="2207" spans="3:3">
      <c r="C2207" s="160" t="str">
        <f t="shared" si="53"/>
        <v/>
      </c>
    </row>
    <row r="2208" spans="3:3">
      <c r="C2208" s="160" t="str">
        <f t="shared" si="53"/>
        <v/>
      </c>
    </row>
    <row r="2209" spans="3:3">
      <c r="C2209" s="160" t="str">
        <f t="shared" si="53"/>
        <v/>
      </c>
    </row>
    <row r="2210" spans="3:3">
      <c r="C2210" s="160" t="str">
        <f t="shared" si="53"/>
        <v/>
      </c>
    </row>
    <row r="2211" spans="3:3">
      <c r="C2211" s="160" t="str">
        <f t="shared" si="53"/>
        <v/>
      </c>
    </row>
    <row r="2212" spans="3:3">
      <c r="C2212" s="160" t="str">
        <f t="shared" si="53"/>
        <v/>
      </c>
    </row>
    <row r="2213" spans="3:3">
      <c r="C2213" s="160" t="str">
        <f t="shared" si="53"/>
        <v/>
      </c>
    </row>
    <row r="2214" spans="3:3">
      <c r="C2214" s="160" t="str">
        <f t="shared" si="53"/>
        <v/>
      </c>
    </row>
    <row r="2215" spans="3:3">
      <c r="C2215" s="160" t="str">
        <f t="shared" si="53"/>
        <v/>
      </c>
    </row>
    <row r="2216" spans="3:3">
      <c r="C2216" s="160" t="str">
        <f t="shared" si="53"/>
        <v/>
      </c>
    </row>
    <row r="2217" spans="3:3">
      <c r="C2217" s="160" t="str">
        <f t="shared" si="53"/>
        <v/>
      </c>
    </row>
    <row r="2218" spans="3:3">
      <c r="C2218" s="160" t="str">
        <f t="shared" si="53"/>
        <v/>
      </c>
    </row>
    <row r="2219" spans="3:3">
      <c r="C2219" s="160" t="str">
        <f t="shared" si="53"/>
        <v/>
      </c>
    </row>
    <row r="2220" spans="3:3">
      <c r="C2220" s="160" t="str">
        <f t="shared" si="53"/>
        <v/>
      </c>
    </row>
    <row r="2221" spans="3:3">
      <c r="C2221" s="160" t="str">
        <f t="shared" si="53"/>
        <v/>
      </c>
    </row>
    <row r="2222" spans="3:3">
      <c r="C2222" s="160" t="str">
        <f t="shared" si="53"/>
        <v/>
      </c>
    </row>
    <row r="2223" spans="3:3">
      <c r="C2223" s="160" t="str">
        <f t="shared" si="53"/>
        <v/>
      </c>
    </row>
    <row r="2224" spans="3:3">
      <c r="C2224" s="160" t="str">
        <f t="shared" si="53"/>
        <v/>
      </c>
    </row>
    <row r="2225" spans="3:3">
      <c r="C2225" s="160" t="str">
        <f t="shared" si="53"/>
        <v/>
      </c>
    </row>
    <row r="2226" spans="3:3">
      <c r="C2226" s="160" t="str">
        <f t="shared" si="53"/>
        <v/>
      </c>
    </row>
    <row r="2227" spans="3:3">
      <c r="C2227" s="160" t="str">
        <f t="shared" si="53"/>
        <v/>
      </c>
    </row>
    <row r="2228" spans="3:3">
      <c r="C2228" s="160" t="str">
        <f t="shared" si="53"/>
        <v/>
      </c>
    </row>
    <row r="2229" spans="3:3">
      <c r="C2229" s="160" t="str">
        <f t="shared" si="53"/>
        <v/>
      </c>
    </row>
    <row r="2230" spans="3:3">
      <c r="C2230" s="160" t="str">
        <f t="shared" si="53"/>
        <v/>
      </c>
    </row>
    <row r="2231" spans="3:3">
      <c r="C2231" s="160" t="str">
        <f t="shared" si="53"/>
        <v/>
      </c>
    </row>
    <row r="2232" spans="3:3">
      <c r="C2232" s="160" t="str">
        <f t="shared" si="53"/>
        <v/>
      </c>
    </row>
    <row r="2233" spans="3:3">
      <c r="C2233" s="160" t="str">
        <f t="shared" si="53"/>
        <v/>
      </c>
    </row>
    <row r="2234" spans="3:3">
      <c r="C2234" s="160" t="str">
        <f t="shared" si="53"/>
        <v/>
      </c>
    </row>
    <row r="2235" spans="3:3">
      <c r="C2235" s="160" t="str">
        <f t="shared" si="53"/>
        <v/>
      </c>
    </row>
    <row r="2236" spans="3:3">
      <c r="C2236" s="160" t="str">
        <f t="shared" si="53"/>
        <v/>
      </c>
    </row>
    <row r="2237" spans="3:3">
      <c r="C2237" s="160" t="str">
        <f t="shared" si="53"/>
        <v/>
      </c>
    </row>
    <row r="2238" spans="3:3">
      <c r="C2238" s="160" t="str">
        <f t="shared" si="53"/>
        <v/>
      </c>
    </row>
    <row r="2239" spans="3:3">
      <c r="C2239" s="160" t="str">
        <f t="shared" si="53"/>
        <v/>
      </c>
    </row>
    <row r="2240" spans="3:3">
      <c r="C2240" s="160" t="str">
        <f t="shared" si="53"/>
        <v/>
      </c>
    </row>
    <row r="2241" spans="3:3">
      <c r="C2241" s="160" t="str">
        <f t="shared" si="53"/>
        <v/>
      </c>
    </row>
    <row r="2242" spans="3:3">
      <c r="C2242" s="160" t="str">
        <f t="shared" si="53"/>
        <v/>
      </c>
    </row>
    <row r="2243" spans="3:3">
      <c r="C2243" s="160" t="str">
        <f t="shared" si="53"/>
        <v/>
      </c>
    </row>
    <row r="2244" spans="3:3">
      <c r="C2244" s="160" t="str">
        <f t="shared" si="53"/>
        <v/>
      </c>
    </row>
    <row r="2245" spans="3:3">
      <c r="C2245" s="160" t="str">
        <f t="shared" si="53"/>
        <v/>
      </c>
    </row>
    <row r="2246" spans="3:3">
      <c r="C2246" s="160" t="str">
        <f t="shared" si="53"/>
        <v/>
      </c>
    </row>
    <row r="2247" spans="3:3">
      <c r="C2247" s="160" t="str">
        <f t="shared" si="53"/>
        <v/>
      </c>
    </row>
    <row r="2248" spans="3:3">
      <c r="C2248" s="160" t="str">
        <f t="shared" si="53"/>
        <v/>
      </c>
    </row>
    <row r="2249" spans="3:3">
      <c r="C2249" s="160" t="str">
        <f t="shared" si="53"/>
        <v/>
      </c>
    </row>
    <row r="2250" spans="3:3">
      <c r="C2250" s="160" t="str">
        <f t="shared" si="53"/>
        <v/>
      </c>
    </row>
    <row r="2251" spans="3:3">
      <c r="C2251" s="160" t="str">
        <f t="shared" si="53"/>
        <v/>
      </c>
    </row>
    <row r="2252" spans="3:3">
      <c r="C2252" s="160" t="str">
        <f t="shared" si="53"/>
        <v/>
      </c>
    </row>
    <row r="2253" spans="3:3">
      <c r="C2253" s="160" t="str">
        <f t="shared" ref="C2253:C2316" si="54">D2253&amp;I2253</f>
        <v/>
      </c>
    </row>
    <row r="2254" spans="3:3">
      <c r="C2254" s="160" t="str">
        <f t="shared" si="54"/>
        <v/>
      </c>
    </row>
    <row r="2255" spans="3:3">
      <c r="C2255" s="160" t="str">
        <f t="shared" si="54"/>
        <v/>
      </c>
    </row>
    <row r="2256" spans="3:3">
      <c r="C2256" s="160" t="str">
        <f t="shared" si="54"/>
        <v/>
      </c>
    </row>
    <row r="2257" spans="3:3">
      <c r="C2257" s="160" t="str">
        <f t="shared" si="54"/>
        <v/>
      </c>
    </row>
    <row r="2258" spans="3:3">
      <c r="C2258" s="160" t="str">
        <f t="shared" si="54"/>
        <v/>
      </c>
    </row>
    <row r="2259" spans="3:3">
      <c r="C2259" s="160" t="str">
        <f t="shared" si="54"/>
        <v/>
      </c>
    </row>
    <row r="2260" spans="3:3">
      <c r="C2260" s="160" t="str">
        <f t="shared" si="54"/>
        <v/>
      </c>
    </row>
    <row r="2261" spans="3:3">
      <c r="C2261" s="160" t="str">
        <f t="shared" si="54"/>
        <v/>
      </c>
    </row>
    <row r="2262" spans="3:3">
      <c r="C2262" s="160" t="str">
        <f t="shared" si="54"/>
        <v/>
      </c>
    </row>
    <row r="2263" spans="3:3">
      <c r="C2263" s="160" t="str">
        <f t="shared" si="54"/>
        <v/>
      </c>
    </row>
    <row r="2264" spans="3:3">
      <c r="C2264" s="160" t="str">
        <f t="shared" si="54"/>
        <v/>
      </c>
    </row>
    <row r="2265" spans="3:3">
      <c r="C2265" s="160" t="str">
        <f t="shared" si="54"/>
        <v/>
      </c>
    </row>
    <row r="2266" spans="3:3">
      <c r="C2266" s="160" t="str">
        <f t="shared" si="54"/>
        <v/>
      </c>
    </row>
    <row r="2267" spans="3:3">
      <c r="C2267" s="160" t="str">
        <f t="shared" si="54"/>
        <v/>
      </c>
    </row>
    <row r="2268" spans="3:3">
      <c r="C2268" s="160" t="str">
        <f t="shared" si="54"/>
        <v/>
      </c>
    </row>
    <row r="2269" spans="3:3">
      <c r="C2269" s="160" t="str">
        <f t="shared" si="54"/>
        <v/>
      </c>
    </row>
    <row r="2270" spans="3:3">
      <c r="C2270" s="160" t="str">
        <f t="shared" si="54"/>
        <v/>
      </c>
    </row>
    <row r="2271" spans="3:3">
      <c r="C2271" s="160" t="str">
        <f t="shared" si="54"/>
        <v/>
      </c>
    </row>
    <row r="2272" spans="3:3">
      <c r="C2272" s="160" t="str">
        <f t="shared" si="54"/>
        <v/>
      </c>
    </row>
    <row r="2273" spans="3:3">
      <c r="C2273" s="160" t="str">
        <f t="shared" si="54"/>
        <v/>
      </c>
    </row>
    <row r="2274" spans="3:3">
      <c r="C2274" s="160" t="str">
        <f t="shared" si="54"/>
        <v/>
      </c>
    </row>
    <row r="2275" spans="3:3">
      <c r="C2275" s="160" t="str">
        <f t="shared" si="54"/>
        <v/>
      </c>
    </row>
    <row r="2276" spans="3:3">
      <c r="C2276" s="160" t="str">
        <f t="shared" si="54"/>
        <v/>
      </c>
    </row>
    <row r="2277" spans="3:3">
      <c r="C2277" s="160" t="str">
        <f t="shared" si="54"/>
        <v/>
      </c>
    </row>
    <row r="2278" spans="3:3">
      <c r="C2278" s="160" t="str">
        <f t="shared" si="54"/>
        <v/>
      </c>
    </row>
    <row r="2279" spans="3:3">
      <c r="C2279" s="160" t="str">
        <f t="shared" si="54"/>
        <v/>
      </c>
    </row>
    <row r="2280" spans="3:3">
      <c r="C2280" s="160" t="str">
        <f t="shared" si="54"/>
        <v/>
      </c>
    </row>
    <row r="2281" spans="3:3">
      <c r="C2281" s="160" t="str">
        <f t="shared" si="54"/>
        <v/>
      </c>
    </row>
    <row r="2282" spans="3:3">
      <c r="C2282" s="160" t="str">
        <f t="shared" si="54"/>
        <v/>
      </c>
    </row>
    <row r="2283" spans="3:3">
      <c r="C2283" s="160" t="str">
        <f t="shared" si="54"/>
        <v/>
      </c>
    </row>
    <row r="2284" spans="3:3">
      <c r="C2284" s="160" t="str">
        <f t="shared" si="54"/>
        <v/>
      </c>
    </row>
    <row r="2285" spans="3:3">
      <c r="C2285" s="160" t="str">
        <f t="shared" si="54"/>
        <v/>
      </c>
    </row>
    <row r="2286" spans="3:3">
      <c r="C2286" s="160" t="str">
        <f t="shared" si="54"/>
        <v/>
      </c>
    </row>
    <row r="2287" spans="3:3">
      <c r="C2287" s="160" t="str">
        <f t="shared" si="54"/>
        <v/>
      </c>
    </row>
    <row r="2288" spans="3:3">
      <c r="C2288" s="160" t="str">
        <f t="shared" si="54"/>
        <v/>
      </c>
    </row>
    <row r="2289" spans="3:3">
      <c r="C2289" s="160" t="str">
        <f t="shared" si="54"/>
        <v/>
      </c>
    </row>
    <row r="2290" spans="3:3">
      <c r="C2290" s="160" t="str">
        <f t="shared" si="54"/>
        <v/>
      </c>
    </row>
    <row r="2291" spans="3:3">
      <c r="C2291" s="160" t="str">
        <f t="shared" si="54"/>
        <v/>
      </c>
    </row>
    <row r="2292" spans="3:3">
      <c r="C2292" s="160" t="str">
        <f t="shared" si="54"/>
        <v/>
      </c>
    </row>
    <row r="2293" spans="3:3">
      <c r="C2293" s="160" t="str">
        <f t="shared" si="54"/>
        <v/>
      </c>
    </row>
    <row r="2294" spans="3:3">
      <c r="C2294" s="160" t="str">
        <f t="shared" si="54"/>
        <v/>
      </c>
    </row>
    <row r="2295" spans="3:3">
      <c r="C2295" s="160" t="str">
        <f t="shared" si="54"/>
        <v/>
      </c>
    </row>
    <row r="2296" spans="3:3">
      <c r="C2296" s="160" t="str">
        <f t="shared" si="54"/>
        <v/>
      </c>
    </row>
    <row r="2297" spans="3:3">
      <c r="C2297" s="160" t="str">
        <f t="shared" si="54"/>
        <v/>
      </c>
    </row>
    <row r="2298" spans="3:3">
      <c r="C2298" s="160" t="str">
        <f t="shared" si="54"/>
        <v/>
      </c>
    </row>
    <row r="2299" spans="3:3">
      <c r="C2299" s="160" t="str">
        <f t="shared" si="54"/>
        <v/>
      </c>
    </row>
    <row r="2300" spans="3:3">
      <c r="C2300" s="160" t="str">
        <f t="shared" si="54"/>
        <v/>
      </c>
    </row>
    <row r="2301" spans="3:3">
      <c r="C2301" s="160" t="str">
        <f t="shared" si="54"/>
        <v/>
      </c>
    </row>
    <row r="2302" spans="3:3">
      <c r="C2302" s="160" t="str">
        <f t="shared" si="54"/>
        <v/>
      </c>
    </row>
    <row r="2303" spans="3:3">
      <c r="C2303" s="160" t="str">
        <f t="shared" si="54"/>
        <v/>
      </c>
    </row>
    <row r="2304" spans="3:3">
      <c r="C2304" s="160" t="str">
        <f t="shared" si="54"/>
        <v/>
      </c>
    </row>
    <row r="2305" spans="3:3">
      <c r="C2305" s="160" t="str">
        <f t="shared" si="54"/>
        <v/>
      </c>
    </row>
    <row r="2306" spans="3:3">
      <c r="C2306" s="160" t="str">
        <f t="shared" si="54"/>
        <v/>
      </c>
    </row>
    <row r="2307" spans="3:3">
      <c r="C2307" s="160" t="str">
        <f t="shared" si="54"/>
        <v/>
      </c>
    </row>
    <row r="2308" spans="3:3">
      <c r="C2308" s="160" t="str">
        <f t="shared" si="54"/>
        <v/>
      </c>
    </row>
    <row r="2309" spans="3:3">
      <c r="C2309" s="160" t="str">
        <f t="shared" si="54"/>
        <v/>
      </c>
    </row>
    <row r="2310" spans="3:3">
      <c r="C2310" s="160" t="str">
        <f t="shared" si="54"/>
        <v/>
      </c>
    </row>
    <row r="2311" spans="3:3">
      <c r="C2311" s="160" t="str">
        <f t="shared" si="54"/>
        <v/>
      </c>
    </row>
    <row r="2312" spans="3:3">
      <c r="C2312" s="160" t="str">
        <f t="shared" si="54"/>
        <v/>
      </c>
    </row>
    <row r="2313" spans="3:3">
      <c r="C2313" s="160" t="str">
        <f t="shared" si="54"/>
        <v/>
      </c>
    </row>
    <row r="2314" spans="3:3">
      <c r="C2314" s="160" t="str">
        <f t="shared" si="54"/>
        <v/>
      </c>
    </row>
    <row r="2315" spans="3:3">
      <c r="C2315" s="160" t="str">
        <f t="shared" si="54"/>
        <v/>
      </c>
    </row>
    <row r="2316" spans="3:3">
      <c r="C2316" s="160" t="str">
        <f t="shared" si="54"/>
        <v/>
      </c>
    </row>
    <row r="2317" spans="3:3">
      <c r="C2317" s="160" t="str">
        <f t="shared" ref="C2317:C2380" si="55">D2317&amp;I2317</f>
        <v/>
      </c>
    </row>
    <row r="2318" spans="3:3">
      <c r="C2318" s="160" t="str">
        <f t="shared" si="55"/>
        <v/>
      </c>
    </row>
    <row r="2319" spans="3:3">
      <c r="C2319" s="160" t="str">
        <f t="shared" si="55"/>
        <v/>
      </c>
    </row>
    <row r="2320" spans="3:3">
      <c r="C2320" s="160" t="str">
        <f t="shared" si="55"/>
        <v/>
      </c>
    </row>
    <row r="2321" spans="3:3">
      <c r="C2321" s="160" t="str">
        <f t="shared" si="55"/>
        <v/>
      </c>
    </row>
    <row r="2322" spans="3:3">
      <c r="C2322" s="160" t="str">
        <f t="shared" si="55"/>
        <v/>
      </c>
    </row>
    <row r="2323" spans="3:3">
      <c r="C2323" s="160" t="str">
        <f t="shared" si="55"/>
        <v/>
      </c>
    </row>
    <row r="2324" spans="3:3">
      <c r="C2324" s="160" t="str">
        <f t="shared" si="55"/>
        <v/>
      </c>
    </row>
    <row r="2325" spans="3:3">
      <c r="C2325" s="160" t="str">
        <f t="shared" si="55"/>
        <v/>
      </c>
    </row>
    <row r="2326" spans="3:3">
      <c r="C2326" s="160" t="str">
        <f t="shared" si="55"/>
        <v/>
      </c>
    </row>
    <row r="2327" spans="3:3">
      <c r="C2327" s="160" t="str">
        <f t="shared" si="55"/>
        <v/>
      </c>
    </row>
    <row r="2328" spans="3:3">
      <c r="C2328" s="160" t="str">
        <f t="shared" si="55"/>
        <v/>
      </c>
    </row>
    <row r="2329" spans="3:3">
      <c r="C2329" s="160" t="str">
        <f t="shared" si="55"/>
        <v/>
      </c>
    </row>
    <row r="2330" spans="3:3">
      <c r="C2330" s="160" t="str">
        <f t="shared" si="55"/>
        <v/>
      </c>
    </row>
    <row r="2331" spans="3:3">
      <c r="C2331" s="160" t="str">
        <f t="shared" si="55"/>
        <v/>
      </c>
    </row>
    <row r="2332" spans="3:3">
      <c r="C2332" s="160" t="str">
        <f t="shared" si="55"/>
        <v/>
      </c>
    </row>
    <row r="2333" spans="3:3">
      <c r="C2333" s="160" t="str">
        <f t="shared" si="55"/>
        <v/>
      </c>
    </row>
    <row r="2334" spans="3:3">
      <c r="C2334" s="160" t="str">
        <f t="shared" si="55"/>
        <v/>
      </c>
    </row>
    <row r="2335" spans="3:3">
      <c r="C2335" s="160" t="str">
        <f t="shared" si="55"/>
        <v/>
      </c>
    </row>
    <row r="2336" spans="3:3">
      <c r="C2336" s="160" t="str">
        <f t="shared" si="55"/>
        <v/>
      </c>
    </row>
    <row r="2337" spans="3:3">
      <c r="C2337" s="160" t="str">
        <f t="shared" si="55"/>
        <v/>
      </c>
    </row>
    <row r="2338" spans="3:3">
      <c r="C2338" s="160" t="str">
        <f t="shared" si="55"/>
        <v/>
      </c>
    </row>
    <row r="2339" spans="3:3">
      <c r="C2339" s="160" t="str">
        <f t="shared" si="55"/>
        <v/>
      </c>
    </row>
    <row r="2340" spans="3:3">
      <c r="C2340" s="160" t="str">
        <f t="shared" si="55"/>
        <v/>
      </c>
    </row>
    <row r="2341" spans="3:3">
      <c r="C2341" s="160" t="str">
        <f t="shared" si="55"/>
        <v/>
      </c>
    </row>
    <row r="2342" spans="3:3">
      <c r="C2342" s="160" t="str">
        <f t="shared" si="55"/>
        <v/>
      </c>
    </row>
    <row r="2343" spans="3:3">
      <c r="C2343" s="160" t="str">
        <f t="shared" si="55"/>
        <v/>
      </c>
    </row>
    <row r="2344" spans="3:3">
      <c r="C2344" s="160" t="str">
        <f t="shared" si="55"/>
        <v/>
      </c>
    </row>
    <row r="2345" spans="3:3">
      <c r="C2345" s="160" t="str">
        <f t="shared" si="55"/>
        <v/>
      </c>
    </row>
    <row r="2346" spans="3:3">
      <c r="C2346" s="160" t="str">
        <f t="shared" si="55"/>
        <v/>
      </c>
    </row>
    <row r="2347" spans="3:3">
      <c r="C2347" s="160" t="str">
        <f t="shared" si="55"/>
        <v/>
      </c>
    </row>
    <row r="2348" spans="3:3">
      <c r="C2348" s="160" t="str">
        <f t="shared" si="55"/>
        <v/>
      </c>
    </row>
    <row r="2349" spans="3:3">
      <c r="C2349" s="160" t="str">
        <f t="shared" si="55"/>
        <v/>
      </c>
    </row>
    <row r="2350" spans="3:3">
      <c r="C2350" s="160" t="str">
        <f t="shared" si="55"/>
        <v/>
      </c>
    </row>
    <row r="2351" spans="3:3">
      <c r="C2351" s="160" t="str">
        <f t="shared" si="55"/>
        <v/>
      </c>
    </row>
    <row r="2352" spans="3:3">
      <c r="C2352" s="160" t="str">
        <f t="shared" si="55"/>
        <v/>
      </c>
    </row>
    <row r="2353" spans="3:3">
      <c r="C2353" s="160" t="str">
        <f t="shared" si="55"/>
        <v/>
      </c>
    </row>
    <row r="2354" spans="3:3">
      <c r="C2354" s="160" t="str">
        <f t="shared" si="55"/>
        <v/>
      </c>
    </row>
    <row r="2355" spans="3:3">
      <c r="C2355" s="160" t="str">
        <f t="shared" si="55"/>
        <v/>
      </c>
    </row>
    <row r="2356" spans="3:3">
      <c r="C2356" s="160" t="str">
        <f t="shared" si="55"/>
        <v/>
      </c>
    </row>
    <row r="2357" spans="3:3">
      <c r="C2357" s="160" t="str">
        <f t="shared" si="55"/>
        <v/>
      </c>
    </row>
    <row r="2358" spans="3:3">
      <c r="C2358" s="160" t="str">
        <f t="shared" si="55"/>
        <v/>
      </c>
    </row>
    <row r="2359" spans="3:3">
      <c r="C2359" s="160" t="str">
        <f t="shared" si="55"/>
        <v/>
      </c>
    </row>
    <row r="2360" spans="3:3">
      <c r="C2360" s="160" t="str">
        <f t="shared" si="55"/>
        <v/>
      </c>
    </row>
    <row r="2361" spans="3:3">
      <c r="C2361" s="160" t="str">
        <f t="shared" si="55"/>
        <v/>
      </c>
    </row>
    <row r="2362" spans="3:3">
      <c r="C2362" s="160" t="str">
        <f t="shared" si="55"/>
        <v/>
      </c>
    </row>
    <row r="2363" spans="3:3">
      <c r="C2363" s="160" t="str">
        <f t="shared" si="55"/>
        <v/>
      </c>
    </row>
    <row r="2364" spans="3:3">
      <c r="C2364" s="160" t="str">
        <f t="shared" si="55"/>
        <v/>
      </c>
    </row>
    <row r="2365" spans="3:3">
      <c r="C2365" s="160" t="str">
        <f t="shared" si="55"/>
        <v/>
      </c>
    </row>
    <row r="2366" spans="3:3">
      <c r="C2366" s="160" t="str">
        <f t="shared" si="55"/>
        <v/>
      </c>
    </row>
    <row r="2367" spans="3:3">
      <c r="C2367" s="160" t="str">
        <f t="shared" si="55"/>
        <v/>
      </c>
    </row>
    <row r="2368" spans="3:3">
      <c r="C2368" s="160" t="str">
        <f t="shared" si="55"/>
        <v/>
      </c>
    </row>
    <row r="2369" spans="3:3">
      <c r="C2369" s="160" t="str">
        <f t="shared" si="55"/>
        <v/>
      </c>
    </row>
    <row r="2370" spans="3:3">
      <c r="C2370" s="160" t="str">
        <f t="shared" si="55"/>
        <v/>
      </c>
    </row>
    <row r="2371" spans="3:3">
      <c r="C2371" s="160" t="str">
        <f t="shared" si="55"/>
        <v/>
      </c>
    </row>
    <row r="2372" spans="3:3">
      <c r="C2372" s="160" t="str">
        <f t="shared" si="55"/>
        <v/>
      </c>
    </row>
    <row r="2373" spans="3:3">
      <c r="C2373" s="160" t="str">
        <f t="shared" si="55"/>
        <v/>
      </c>
    </row>
    <row r="2374" spans="3:3">
      <c r="C2374" s="160" t="str">
        <f t="shared" si="55"/>
        <v/>
      </c>
    </row>
    <row r="2375" spans="3:3">
      <c r="C2375" s="160" t="str">
        <f t="shared" si="55"/>
        <v/>
      </c>
    </row>
    <row r="2376" spans="3:3">
      <c r="C2376" s="160" t="str">
        <f t="shared" si="55"/>
        <v/>
      </c>
    </row>
    <row r="2377" spans="3:3">
      <c r="C2377" s="160" t="str">
        <f t="shared" si="55"/>
        <v/>
      </c>
    </row>
    <row r="2378" spans="3:3">
      <c r="C2378" s="160" t="str">
        <f t="shared" si="55"/>
        <v/>
      </c>
    </row>
    <row r="2379" spans="3:3">
      <c r="C2379" s="160" t="str">
        <f t="shared" si="55"/>
        <v/>
      </c>
    </row>
    <row r="2380" spans="3:3">
      <c r="C2380" s="160" t="str">
        <f t="shared" si="55"/>
        <v/>
      </c>
    </row>
    <row r="2381" spans="3:3">
      <c r="C2381" s="160" t="str">
        <f t="shared" ref="C2381:C2444" si="56">D2381&amp;I2381</f>
        <v/>
      </c>
    </row>
    <row r="2382" spans="3:3">
      <c r="C2382" s="160" t="str">
        <f t="shared" si="56"/>
        <v/>
      </c>
    </row>
    <row r="2383" spans="3:3">
      <c r="C2383" s="160" t="str">
        <f t="shared" si="56"/>
        <v/>
      </c>
    </row>
    <row r="2384" spans="3:3">
      <c r="C2384" s="160" t="str">
        <f t="shared" si="56"/>
        <v/>
      </c>
    </row>
    <row r="2385" spans="3:3">
      <c r="C2385" s="160" t="str">
        <f t="shared" si="56"/>
        <v/>
      </c>
    </row>
    <row r="2386" spans="3:3">
      <c r="C2386" s="160" t="str">
        <f t="shared" si="56"/>
        <v/>
      </c>
    </row>
    <row r="2387" spans="3:3">
      <c r="C2387" s="160" t="str">
        <f t="shared" si="56"/>
        <v/>
      </c>
    </row>
    <row r="2388" spans="3:3">
      <c r="C2388" s="160" t="str">
        <f t="shared" si="56"/>
        <v/>
      </c>
    </row>
    <row r="2389" spans="3:3">
      <c r="C2389" s="160" t="str">
        <f t="shared" si="56"/>
        <v/>
      </c>
    </row>
    <row r="2390" spans="3:3">
      <c r="C2390" s="160" t="str">
        <f t="shared" si="56"/>
        <v/>
      </c>
    </row>
    <row r="2391" spans="3:3">
      <c r="C2391" s="160" t="str">
        <f t="shared" si="56"/>
        <v/>
      </c>
    </row>
    <row r="2392" spans="3:3">
      <c r="C2392" s="160" t="str">
        <f t="shared" si="56"/>
        <v/>
      </c>
    </row>
    <row r="2393" spans="3:3">
      <c r="C2393" s="160" t="str">
        <f t="shared" si="56"/>
        <v/>
      </c>
    </row>
    <row r="2394" spans="3:3">
      <c r="C2394" s="160" t="str">
        <f t="shared" si="56"/>
        <v/>
      </c>
    </row>
    <row r="2395" spans="3:3">
      <c r="C2395" s="160" t="str">
        <f t="shared" si="56"/>
        <v/>
      </c>
    </row>
    <row r="2396" spans="3:3">
      <c r="C2396" s="160" t="str">
        <f t="shared" si="56"/>
        <v/>
      </c>
    </row>
    <row r="2397" spans="3:3">
      <c r="C2397" s="160" t="str">
        <f t="shared" si="56"/>
        <v/>
      </c>
    </row>
    <row r="2398" spans="3:3">
      <c r="C2398" s="160" t="str">
        <f t="shared" si="56"/>
        <v/>
      </c>
    </row>
    <row r="2399" spans="3:3">
      <c r="C2399" s="160" t="str">
        <f t="shared" si="56"/>
        <v/>
      </c>
    </row>
    <row r="2400" spans="3:3">
      <c r="C2400" s="160" t="str">
        <f t="shared" si="56"/>
        <v/>
      </c>
    </row>
    <row r="2401" spans="3:3">
      <c r="C2401" s="160" t="str">
        <f t="shared" si="56"/>
        <v/>
      </c>
    </row>
    <row r="2402" spans="3:3">
      <c r="C2402" s="160" t="str">
        <f t="shared" si="56"/>
        <v/>
      </c>
    </row>
    <row r="2403" spans="3:3">
      <c r="C2403" s="160" t="str">
        <f t="shared" si="56"/>
        <v/>
      </c>
    </row>
    <row r="2404" spans="3:3">
      <c r="C2404" s="160" t="str">
        <f t="shared" si="56"/>
        <v/>
      </c>
    </row>
    <row r="2405" spans="3:3">
      <c r="C2405" s="160" t="str">
        <f t="shared" si="56"/>
        <v/>
      </c>
    </row>
    <row r="2406" spans="3:3">
      <c r="C2406" s="160" t="str">
        <f t="shared" si="56"/>
        <v/>
      </c>
    </row>
    <row r="2407" spans="3:3">
      <c r="C2407" s="160" t="str">
        <f t="shared" si="56"/>
        <v/>
      </c>
    </row>
    <row r="2408" spans="3:3">
      <c r="C2408" s="160" t="str">
        <f t="shared" si="56"/>
        <v/>
      </c>
    </row>
    <row r="2409" spans="3:3">
      <c r="C2409" s="160" t="str">
        <f t="shared" si="56"/>
        <v/>
      </c>
    </row>
    <row r="2410" spans="3:3">
      <c r="C2410" s="160" t="str">
        <f t="shared" si="56"/>
        <v/>
      </c>
    </row>
    <row r="2411" spans="3:3">
      <c r="C2411" s="160" t="str">
        <f t="shared" si="56"/>
        <v/>
      </c>
    </row>
    <row r="2412" spans="3:3">
      <c r="C2412" s="160" t="str">
        <f t="shared" si="56"/>
        <v/>
      </c>
    </row>
    <row r="2413" spans="3:3">
      <c r="C2413" s="160" t="str">
        <f t="shared" si="56"/>
        <v/>
      </c>
    </row>
    <row r="2414" spans="3:3">
      <c r="C2414" s="160" t="str">
        <f t="shared" si="56"/>
        <v/>
      </c>
    </row>
    <row r="2415" spans="3:3">
      <c r="C2415" s="160" t="str">
        <f t="shared" si="56"/>
        <v/>
      </c>
    </row>
    <row r="2416" spans="3:3">
      <c r="C2416" s="160" t="str">
        <f t="shared" si="56"/>
        <v/>
      </c>
    </row>
    <row r="2417" spans="3:3">
      <c r="C2417" s="160" t="str">
        <f t="shared" si="56"/>
        <v/>
      </c>
    </row>
    <row r="2418" spans="3:3">
      <c r="C2418" s="160" t="str">
        <f t="shared" si="56"/>
        <v/>
      </c>
    </row>
    <row r="2419" spans="3:3">
      <c r="C2419" s="160" t="str">
        <f t="shared" si="56"/>
        <v/>
      </c>
    </row>
    <row r="2420" spans="3:3">
      <c r="C2420" s="160" t="str">
        <f t="shared" si="56"/>
        <v/>
      </c>
    </row>
    <row r="2421" spans="3:3">
      <c r="C2421" s="160" t="str">
        <f t="shared" si="56"/>
        <v/>
      </c>
    </row>
    <row r="2422" spans="3:3">
      <c r="C2422" s="160" t="str">
        <f t="shared" si="56"/>
        <v/>
      </c>
    </row>
    <row r="2423" spans="3:3">
      <c r="C2423" s="160" t="str">
        <f t="shared" si="56"/>
        <v/>
      </c>
    </row>
    <row r="2424" spans="3:3">
      <c r="C2424" s="160" t="str">
        <f t="shared" si="56"/>
        <v/>
      </c>
    </row>
    <row r="2425" spans="3:3">
      <c r="C2425" s="160" t="str">
        <f t="shared" si="56"/>
        <v/>
      </c>
    </row>
    <row r="2426" spans="3:3">
      <c r="C2426" s="160" t="str">
        <f t="shared" si="56"/>
        <v/>
      </c>
    </row>
    <row r="2427" spans="3:3">
      <c r="C2427" s="160" t="str">
        <f t="shared" si="56"/>
        <v/>
      </c>
    </row>
    <row r="2428" spans="3:3">
      <c r="C2428" s="160" t="str">
        <f t="shared" si="56"/>
        <v/>
      </c>
    </row>
    <row r="2429" spans="3:3">
      <c r="C2429" s="160" t="str">
        <f t="shared" si="56"/>
        <v/>
      </c>
    </row>
    <row r="2430" spans="3:3">
      <c r="C2430" s="160" t="str">
        <f t="shared" si="56"/>
        <v/>
      </c>
    </row>
    <row r="2431" spans="3:3">
      <c r="C2431" s="160" t="str">
        <f t="shared" si="56"/>
        <v/>
      </c>
    </row>
    <row r="2432" spans="3:3">
      <c r="C2432" s="160" t="str">
        <f t="shared" si="56"/>
        <v/>
      </c>
    </row>
    <row r="2433" spans="3:3">
      <c r="C2433" s="160" t="str">
        <f t="shared" si="56"/>
        <v/>
      </c>
    </row>
    <row r="2434" spans="3:3">
      <c r="C2434" s="160" t="str">
        <f t="shared" si="56"/>
        <v/>
      </c>
    </row>
    <row r="2435" spans="3:3">
      <c r="C2435" s="160" t="str">
        <f t="shared" si="56"/>
        <v/>
      </c>
    </row>
    <row r="2436" spans="3:3">
      <c r="C2436" s="160" t="str">
        <f t="shared" si="56"/>
        <v/>
      </c>
    </row>
    <row r="2437" spans="3:3">
      <c r="C2437" s="160" t="str">
        <f t="shared" si="56"/>
        <v/>
      </c>
    </row>
    <row r="2438" spans="3:3">
      <c r="C2438" s="160" t="str">
        <f t="shared" si="56"/>
        <v/>
      </c>
    </row>
    <row r="2439" spans="3:3">
      <c r="C2439" s="160" t="str">
        <f t="shared" si="56"/>
        <v/>
      </c>
    </row>
    <row r="2440" spans="3:3">
      <c r="C2440" s="160" t="str">
        <f t="shared" si="56"/>
        <v/>
      </c>
    </row>
    <row r="2441" spans="3:3">
      <c r="C2441" s="160" t="str">
        <f t="shared" si="56"/>
        <v/>
      </c>
    </row>
    <row r="2442" spans="3:3">
      <c r="C2442" s="160" t="str">
        <f t="shared" si="56"/>
        <v/>
      </c>
    </row>
    <row r="2443" spans="3:3">
      <c r="C2443" s="160" t="str">
        <f t="shared" si="56"/>
        <v/>
      </c>
    </row>
    <row r="2444" spans="3:3">
      <c r="C2444" s="160" t="str">
        <f t="shared" si="56"/>
        <v/>
      </c>
    </row>
    <row r="2445" spans="3:3">
      <c r="C2445" s="160" t="str">
        <f t="shared" ref="C2445:C2508" si="57">D2445&amp;I2445</f>
        <v/>
      </c>
    </row>
    <row r="2446" spans="3:3">
      <c r="C2446" s="160" t="str">
        <f t="shared" si="57"/>
        <v/>
      </c>
    </row>
    <row r="2447" spans="3:3">
      <c r="C2447" s="160" t="str">
        <f t="shared" si="57"/>
        <v/>
      </c>
    </row>
    <row r="2448" spans="3:3">
      <c r="C2448" s="160" t="str">
        <f t="shared" si="57"/>
        <v/>
      </c>
    </row>
    <row r="2449" spans="3:3">
      <c r="C2449" s="160" t="str">
        <f t="shared" si="57"/>
        <v/>
      </c>
    </row>
    <row r="2450" spans="3:3">
      <c r="C2450" s="160" t="str">
        <f t="shared" si="57"/>
        <v/>
      </c>
    </row>
    <row r="2451" spans="3:3">
      <c r="C2451" s="160" t="str">
        <f t="shared" si="57"/>
        <v/>
      </c>
    </row>
    <row r="2452" spans="3:3">
      <c r="C2452" s="160" t="str">
        <f t="shared" si="57"/>
        <v/>
      </c>
    </row>
    <row r="2453" spans="3:3">
      <c r="C2453" s="160" t="str">
        <f t="shared" si="57"/>
        <v/>
      </c>
    </row>
    <row r="2454" spans="3:3">
      <c r="C2454" s="160" t="str">
        <f t="shared" si="57"/>
        <v/>
      </c>
    </row>
    <row r="2455" spans="3:3">
      <c r="C2455" s="160" t="str">
        <f t="shared" si="57"/>
        <v/>
      </c>
    </row>
    <row r="2456" spans="3:3">
      <c r="C2456" s="160" t="str">
        <f t="shared" si="57"/>
        <v/>
      </c>
    </row>
    <row r="2457" spans="3:3">
      <c r="C2457" s="160" t="str">
        <f t="shared" si="57"/>
        <v/>
      </c>
    </row>
    <row r="2458" spans="3:3">
      <c r="C2458" s="160" t="str">
        <f t="shared" si="57"/>
        <v/>
      </c>
    </row>
    <row r="2459" spans="3:3">
      <c r="C2459" s="160" t="str">
        <f t="shared" si="57"/>
        <v/>
      </c>
    </row>
    <row r="2460" spans="3:3">
      <c r="C2460" s="160" t="str">
        <f t="shared" si="57"/>
        <v/>
      </c>
    </row>
    <row r="2461" spans="3:3">
      <c r="C2461" s="160" t="str">
        <f t="shared" si="57"/>
        <v/>
      </c>
    </row>
    <row r="2462" spans="3:3">
      <c r="C2462" s="160" t="str">
        <f t="shared" si="57"/>
        <v/>
      </c>
    </row>
    <row r="2463" spans="3:3">
      <c r="C2463" s="160" t="str">
        <f t="shared" si="57"/>
        <v/>
      </c>
    </row>
    <row r="2464" spans="3:3">
      <c r="C2464" s="160" t="str">
        <f t="shared" si="57"/>
        <v/>
      </c>
    </row>
    <row r="2465" spans="3:3">
      <c r="C2465" s="160" t="str">
        <f t="shared" si="57"/>
        <v/>
      </c>
    </row>
    <row r="2466" spans="3:3">
      <c r="C2466" s="160" t="str">
        <f t="shared" si="57"/>
        <v/>
      </c>
    </row>
    <row r="2467" spans="3:3">
      <c r="C2467" s="160" t="str">
        <f t="shared" si="57"/>
        <v/>
      </c>
    </row>
    <row r="2468" spans="3:3">
      <c r="C2468" s="160" t="str">
        <f t="shared" si="57"/>
        <v/>
      </c>
    </row>
    <row r="2469" spans="3:3">
      <c r="C2469" s="160" t="str">
        <f t="shared" si="57"/>
        <v/>
      </c>
    </row>
    <row r="2470" spans="3:3">
      <c r="C2470" s="160" t="str">
        <f t="shared" si="57"/>
        <v/>
      </c>
    </row>
    <row r="2471" spans="3:3">
      <c r="C2471" s="160" t="str">
        <f t="shared" si="57"/>
        <v/>
      </c>
    </row>
    <row r="2472" spans="3:3">
      <c r="C2472" s="160" t="str">
        <f t="shared" si="57"/>
        <v/>
      </c>
    </row>
    <row r="2473" spans="3:3">
      <c r="C2473" s="160" t="str">
        <f t="shared" si="57"/>
        <v/>
      </c>
    </row>
    <row r="2474" spans="3:3">
      <c r="C2474" s="160" t="str">
        <f t="shared" si="57"/>
        <v/>
      </c>
    </row>
    <row r="2475" spans="3:3">
      <c r="C2475" s="160" t="str">
        <f t="shared" si="57"/>
        <v/>
      </c>
    </row>
    <row r="2476" spans="3:3">
      <c r="C2476" s="160" t="str">
        <f t="shared" si="57"/>
        <v/>
      </c>
    </row>
    <row r="2477" spans="3:3">
      <c r="C2477" s="160" t="str">
        <f t="shared" si="57"/>
        <v/>
      </c>
    </row>
    <row r="2478" spans="3:3">
      <c r="C2478" s="160" t="str">
        <f t="shared" si="57"/>
        <v/>
      </c>
    </row>
    <row r="2479" spans="3:3">
      <c r="C2479" s="160" t="str">
        <f t="shared" si="57"/>
        <v/>
      </c>
    </row>
    <row r="2480" spans="3:3">
      <c r="C2480" s="160" t="str">
        <f t="shared" si="57"/>
        <v/>
      </c>
    </row>
    <row r="2481" spans="3:3">
      <c r="C2481" s="160" t="str">
        <f t="shared" si="57"/>
        <v/>
      </c>
    </row>
    <row r="2482" spans="3:3">
      <c r="C2482" s="160" t="str">
        <f t="shared" si="57"/>
        <v/>
      </c>
    </row>
    <row r="2483" spans="3:3">
      <c r="C2483" s="160" t="str">
        <f t="shared" si="57"/>
        <v/>
      </c>
    </row>
    <row r="2484" spans="3:3">
      <c r="C2484" s="160" t="str">
        <f t="shared" si="57"/>
        <v/>
      </c>
    </row>
    <row r="2485" spans="3:3">
      <c r="C2485" s="160" t="str">
        <f t="shared" si="57"/>
        <v/>
      </c>
    </row>
    <row r="2486" spans="3:3">
      <c r="C2486" s="160" t="str">
        <f t="shared" si="57"/>
        <v/>
      </c>
    </row>
    <row r="2487" spans="3:3">
      <c r="C2487" s="160" t="str">
        <f t="shared" si="57"/>
        <v/>
      </c>
    </row>
    <row r="2488" spans="3:3">
      <c r="C2488" s="160" t="str">
        <f t="shared" si="57"/>
        <v/>
      </c>
    </row>
    <row r="2489" spans="3:3">
      <c r="C2489" s="160" t="str">
        <f t="shared" si="57"/>
        <v/>
      </c>
    </row>
    <row r="2490" spans="3:3">
      <c r="C2490" s="160" t="str">
        <f t="shared" si="57"/>
        <v/>
      </c>
    </row>
    <row r="2491" spans="3:3">
      <c r="C2491" s="160" t="str">
        <f t="shared" si="57"/>
        <v/>
      </c>
    </row>
    <row r="2492" spans="3:3">
      <c r="C2492" s="160" t="str">
        <f t="shared" si="57"/>
        <v/>
      </c>
    </row>
    <row r="2493" spans="3:3">
      <c r="C2493" s="160" t="str">
        <f t="shared" si="57"/>
        <v/>
      </c>
    </row>
    <row r="2494" spans="3:3">
      <c r="C2494" s="160" t="str">
        <f t="shared" si="57"/>
        <v/>
      </c>
    </row>
    <row r="2495" spans="3:3">
      <c r="C2495" s="160" t="str">
        <f t="shared" si="57"/>
        <v/>
      </c>
    </row>
    <row r="2496" spans="3:3">
      <c r="C2496" s="160" t="str">
        <f t="shared" si="57"/>
        <v/>
      </c>
    </row>
    <row r="2497" spans="3:3">
      <c r="C2497" s="160" t="str">
        <f t="shared" si="57"/>
        <v/>
      </c>
    </row>
    <row r="2498" spans="3:3">
      <c r="C2498" s="160" t="str">
        <f t="shared" si="57"/>
        <v/>
      </c>
    </row>
    <row r="2499" spans="3:3">
      <c r="C2499" s="160" t="str">
        <f t="shared" si="57"/>
        <v/>
      </c>
    </row>
    <row r="2500" spans="3:3">
      <c r="C2500" s="160" t="str">
        <f t="shared" si="57"/>
        <v/>
      </c>
    </row>
    <row r="2501" spans="3:3">
      <c r="C2501" s="160" t="str">
        <f t="shared" si="57"/>
        <v/>
      </c>
    </row>
    <row r="2502" spans="3:3">
      <c r="C2502" s="160" t="str">
        <f t="shared" si="57"/>
        <v/>
      </c>
    </row>
    <row r="2503" spans="3:3">
      <c r="C2503" s="160" t="str">
        <f t="shared" si="57"/>
        <v/>
      </c>
    </row>
    <row r="2504" spans="3:3">
      <c r="C2504" s="160" t="str">
        <f t="shared" si="57"/>
        <v/>
      </c>
    </row>
    <row r="2505" spans="3:3">
      <c r="C2505" s="160" t="str">
        <f t="shared" si="57"/>
        <v/>
      </c>
    </row>
    <row r="2506" spans="3:3">
      <c r="C2506" s="160" t="str">
        <f t="shared" si="57"/>
        <v/>
      </c>
    </row>
    <row r="2507" spans="3:3">
      <c r="C2507" s="160" t="str">
        <f t="shared" si="57"/>
        <v/>
      </c>
    </row>
    <row r="2508" spans="3:3">
      <c r="C2508" s="160" t="str">
        <f t="shared" si="57"/>
        <v/>
      </c>
    </row>
    <row r="2509" spans="3:3">
      <c r="C2509" s="160" t="str">
        <f t="shared" ref="C2509:C2572" si="58">D2509&amp;I2509</f>
        <v/>
      </c>
    </row>
    <row r="2510" spans="3:3">
      <c r="C2510" s="160" t="str">
        <f t="shared" si="58"/>
        <v/>
      </c>
    </row>
    <row r="2511" spans="3:3">
      <c r="C2511" s="160" t="str">
        <f t="shared" si="58"/>
        <v/>
      </c>
    </row>
    <row r="2512" spans="3:3">
      <c r="C2512" s="160" t="str">
        <f t="shared" si="58"/>
        <v/>
      </c>
    </row>
    <row r="2513" spans="3:3">
      <c r="C2513" s="160" t="str">
        <f t="shared" si="58"/>
        <v/>
      </c>
    </row>
    <row r="2514" spans="3:3">
      <c r="C2514" s="160" t="str">
        <f t="shared" si="58"/>
        <v/>
      </c>
    </row>
    <row r="2515" spans="3:3">
      <c r="C2515" s="160" t="str">
        <f t="shared" si="58"/>
        <v/>
      </c>
    </row>
    <row r="2516" spans="3:3">
      <c r="C2516" s="160" t="str">
        <f t="shared" si="58"/>
        <v/>
      </c>
    </row>
    <row r="2517" spans="3:3">
      <c r="C2517" s="160" t="str">
        <f t="shared" si="58"/>
        <v/>
      </c>
    </row>
    <row r="2518" spans="3:3">
      <c r="C2518" s="160" t="str">
        <f t="shared" si="58"/>
        <v/>
      </c>
    </row>
    <row r="2519" spans="3:3">
      <c r="C2519" s="160" t="str">
        <f t="shared" si="58"/>
        <v/>
      </c>
    </row>
    <row r="2520" spans="3:3">
      <c r="C2520" s="160" t="str">
        <f t="shared" si="58"/>
        <v/>
      </c>
    </row>
    <row r="2521" spans="3:3">
      <c r="C2521" s="160" t="str">
        <f t="shared" si="58"/>
        <v/>
      </c>
    </row>
    <row r="2522" spans="3:3">
      <c r="C2522" s="160" t="str">
        <f t="shared" si="58"/>
        <v/>
      </c>
    </row>
    <row r="2523" spans="3:3">
      <c r="C2523" s="160" t="str">
        <f t="shared" si="58"/>
        <v/>
      </c>
    </row>
    <row r="2524" spans="3:3">
      <c r="C2524" s="160" t="str">
        <f t="shared" si="58"/>
        <v/>
      </c>
    </row>
    <row r="2525" spans="3:3">
      <c r="C2525" s="160" t="str">
        <f t="shared" si="58"/>
        <v/>
      </c>
    </row>
    <row r="2526" spans="3:3">
      <c r="C2526" s="160" t="str">
        <f t="shared" si="58"/>
        <v/>
      </c>
    </row>
    <row r="2527" spans="3:3">
      <c r="C2527" s="160" t="str">
        <f t="shared" si="58"/>
        <v/>
      </c>
    </row>
    <row r="2528" spans="3:3">
      <c r="C2528" s="160" t="str">
        <f t="shared" si="58"/>
        <v/>
      </c>
    </row>
    <row r="2529" spans="3:3">
      <c r="C2529" s="160" t="str">
        <f t="shared" si="58"/>
        <v/>
      </c>
    </row>
    <row r="2530" spans="3:3">
      <c r="C2530" s="160" t="str">
        <f t="shared" si="58"/>
        <v/>
      </c>
    </row>
    <row r="2531" spans="3:3">
      <c r="C2531" s="160" t="str">
        <f t="shared" si="58"/>
        <v/>
      </c>
    </row>
    <row r="2532" spans="3:3">
      <c r="C2532" s="160" t="str">
        <f t="shared" si="58"/>
        <v/>
      </c>
    </row>
    <row r="2533" spans="3:3">
      <c r="C2533" s="160" t="str">
        <f t="shared" si="58"/>
        <v/>
      </c>
    </row>
    <row r="2534" spans="3:3">
      <c r="C2534" s="160" t="str">
        <f t="shared" si="58"/>
        <v/>
      </c>
    </row>
    <row r="2535" spans="3:3">
      <c r="C2535" s="160" t="str">
        <f t="shared" si="58"/>
        <v/>
      </c>
    </row>
    <row r="2536" spans="3:3">
      <c r="C2536" s="160" t="str">
        <f t="shared" si="58"/>
        <v/>
      </c>
    </row>
    <row r="2537" spans="3:3">
      <c r="C2537" s="160" t="str">
        <f t="shared" si="58"/>
        <v/>
      </c>
    </row>
    <row r="2538" spans="3:3">
      <c r="C2538" s="160" t="str">
        <f t="shared" si="58"/>
        <v/>
      </c>
    </row>
    <row r="2539" spans="3:3">
      <c r="C2539" s="160" t="str">
        <f t="shared" si="58"/>
        <v/>
      </c>
    </row>
    <row r="2540" spans="3:3">
      <c r="C2540" s="160" t="str">
        <f t="shared" si="58"/>
        <v/>
      </c>
    </row>
    <row r="2541" spans="3:3">
      <c r="C2541" s="160" t="str">
        <f t="shared" si="58"/>
        <v/>
      </c>
    </row>
    <row r="2542" spans="3:3">
      <c r="C2542" s="160" t="str">
        <f t="shared" si="58"/>
        <v/>
      </c>
    </row>
    <row r="2543" spans="3:3">
      <c r="C2543" s="160" t="str">
        <f t="shared" si="58"/>
        <v/>
      </c>
    </row>
    <row r="2544" spans="3:3">
      <c r="C2544" s="160" t="str">
        <f t="shared" si="58"/>
        <v/>
      </c>
    </row>
    <row r="2545" spans="3:3">
      <c r="C2545" s="160" t="str">
        <f t="shared" si="58"/>
        <v/>
      </c>
    </row>
    <row r="2546" spans="3:3">
      <c r="C2546" s="160" t="str">
        <f t="shared" si="58"/>
        <v/>
      </c>
    </row>
    <row r="2547" spans="3:3">
      <c r="C2547" s="160" t="str">
        <f t="shared" si="58"/>
        <v/>
      </c>
    </row>
    <row r="2548" spans="3:3">
      <c r="C2548" s="160" t="str">
        <f t="shared" si="58"/>
        <v/>
      </c>
    </row>
    <row r="2549" spans="3:3">
      <c r="C2549" s="160" t="str">
        <f t="shared" si="58"/>
        <v/>
      </c>
    </row>
    <row r="2550" spans="3:3">
      <c r="C2550" s="160" t="str">
        <f t="shared" si="58"/>
        <v/>
      </c>
    </row>
    <row r="2551" spans="3:3">
      <c r="C2551" s="160" t="str">
        <f t="shared" si="58"/>
        <v/>
      </c>
    </row>
    <row r="2552" spans="3:3">
      <c r="C2552" s="160" t="str">
        <f t="shared" si="58"/>
        <v/>
      </c>
    </row>
    <row r="2553" spans="3:3">
      <c r="C2553" s="160" t="str">
        <f t="shared" si="58"/>
        <v/>
      </c>
    </row>
    <row r="2554" spans="3:3">
      <c r="C2554" s="160" t="str">
        <f t="shared" si="58"/>
        <v/>
      </c>
    </row>
    <row r="2555" spans="3:3">
      <c r="C2555" s="160" t="str">
        <f t="shared" si="58"/>
        <v/>
      </c>
    </row>
    <row r="2556" spans="3:3">
      <c r="C2556" s="160" t="str">
        <f t="shared" si="58"/>
        <v/>
      </c>
    </row>
    <row r="2557" spans="3:3">
      <c r="C2557" s="160" t="str">
        <f t="shared" si="58"/>
        <v/>
      </c>
    </row>
    <row r="2558" spans="3:3">
      <c r="C2558" s="160" t="str">
        <f t="shared" si="58"/>
        <v/>
      </c>
    </row>
    <row r="2559" spans="3:3">
      <c r="C2559" s="160" t="str">
        <f t="shared" si="58"/>
        <v/>
      </c>
    </row>
    <row r="2560" spans="3:3">
      <c r="C2560" s="160" t="str">
        <f t="shared" si="58"/>
        <v/>
      </c>
    </row>
    <row r="2561" spans="3:3">
      <c r="C2561" s="160" t="str">
        <f t="shared" si="58"/>
        <v/>
      </c>
    </row>
    <row r="2562" spans="3:3">
      <c r="C2562" s="160" t="str">
        <f t="shared" si="58"/>
        <v/>
      </c>
    </row>
    <row r="2563" spans="3:3">
      <c r="C2563" s="160" t="str">
        <f t="shared" si="58"/>
        <v/>
      </c>
    </row>
    <row r="2564" spans="3:3">
      <c r="C2564" s="160" t="str">
        <f t="shared" si="58"/>
        <v/>
      </c>
    </row>
    <row r="2565" spans="3:3">
      <c r="C2565" s="160" t="str">
        <f t="shared" si="58"/>
        <v/>
      </c>
    </row>
    <row r="2566" spans="3:3">
      <c r="C2566" s="160" t="str">
        <f t="shared" si="58"/>
        <v/>
      </c>
    </row>
    <row r="2567" spans="3:3">
      <c r="C2567" s="160" t="str">
        <f t="shared" si="58"/>
        <v/>
      </c>
    </row>
    <row r="2568" spans="3:3">
      <c r="C2568" s="160" t="str">
        <f t="shared" si="58"/>
        <v/>
      </c>
    </row>
    <row r="2569" spans="3:3">
      <c r="C2569" s="160" t="str">
        <f t="shared" si="58"/>
        <v/>
      </c>
    </row>
    <row r="2570" spans="3:3">
      <c r="C2570" s="160" t="str">
        <f t="shared" si="58"/>
        <v/>
      </c>
    </row>
    <row r="2571" spans="3:3">
      <c r="C2571" s="160" t="str">
        <f t="shared" si="58"/>
        <v/>
      </c>
    </row>
    <row r="2572" spans="3:3">
      <c r="C2572" s="160" t="str">
        <f t="shared" si="58"/>
        <v/>
      </c>
    </row>
    <row r="2573" spans="3:3">
      <c r="C2573" s="160" t="str">
        <f t="shared" ref="C2573:C2636" si="59">D2573&amp;I2573</f>
        <v/>
      </c>
    </row>
    <row r="2574" spans="3:3">
      <c r="C2574" s="160" t="str">
        <f t="shared" si="59"/>
        <v/>
      </c>
    </row>
    <row r="2575" spans="3:3">
      <c r="C2575" s="160" t="str">
        <f t="shared" si="59"/>
        <v/>
      </c>
    </row>
    <row r="2576" spans="3:3">
      <c r="C2576" s="160" t="str">
        <f t="shared" si="59"/>
        <v/>
      </c>
    </row>
    <row r="2577" spans="3:3">
      <c r="C2577" s="160" t="str">
        <f t="shared" si="59"/>
        <v/>
      </c>
    </row>
    <row r="2578" spans="3:3">
      <c r="C2578" s="160" t="str">
        <f t="shared" si="59"/>
        <v/>
      </c>
    </row>
    <row r="2579" spans="3:3">
      <c r="C2579" s="160" t="str">
        <f t="shared" si="59"/>
        <v/>
      </c>
    </row>
    <row r="2580" spans="3:3">
      <c r="C2580" s="160" t="str">
        <f t="shared" si="59"/>
        <v/>
      </c>
    </row>
    <row r="2581" spans="3:3">
      <c r="C2581" s="160" t="str">
        <f t="shared" si="59"/>
        <v/>
      </c>
    </row>
    <row r="2582" spans="3:3">
      <c r="C2582" s="160" t="str">
        <f t="shared" si="59"/>
        <v/>
      </c>
    </row>
    <row r="2583" spans="3:3">
      <c r="C2583" s="160" t="str">
        <f t="shared" si="59"/>
        <v/>
      </c>
    </row>
    <row r="2584" spans="3:3">
      <c r="C2584" s="160" t="str">
        <f t="shared" si="59"/>
        <v/>
      </c>
    </row>
    <row r="2585" spans="3:3">
      <c r="C2585" s="160" t="str">
        <f t="shared" si="59"/>
        <v/>
      </c>
    </row>
    <row r="2586" spans="3:3">
      <c r="C2586" s="160" t="str">
        <f t="shared" si="59"/>
        <v/>
      </c>
    </row>
    <row r="2587" spans="3:3">
      <c r="C2587" s="160" t="str">
        <f t="shared" si="59"/>
        <v/>
      </c>
    </row>
    <row r="2588" spans="3:3">
      <c r="C2588" s="160" t="str">
        <f t="shared" si="59"/>
        <v/>
      </c>
    </row>
    <row r="2589" spans="3:3">
      <c r="C2589" s="160" t="str">
        <f t="shared" si="59"/>
        <v/>
      </c>
    </row>
    <row r="2590" spans="3:3">
      <c r="C2590" s="160" t="str">
        <f t="shared" si="59"/>
        <v/>
      </c>
    </row>
    <row r="2591" spans="3:3">
      <c r="C2591" s="160" t="str">
        <f t="shared" si="59"/>
        <v/>
      </c>
    </row>
    <row r="2592" spans="3:3">
      <c r="C2592" s="160" t="str">
        <f t="shared" si="59"/>
        <v/>
      </c>
    </row>
    <row r="2593" spans="3:3">
      <c r="C2593" s="160" t="str">
        <f t="shared" si="59"/>
        <v/>
      </c>
    </row>
    <row r="2594" spans="3:3">
      <c r="C2594" s="160" t="str">
        <f t="shared" si="59"/>
        <v/>
      </c>
    </row>
    <row r="2595" spans="3:3">
      <c r="C2595" s="160" t="str">
        <f t="shared" si="59"/>
        <v/>
      </c>
    </row>
    <row r="2596" spans="3:3">
      <c r="C2596" s="160" t="str">
        <f t="shared" si="59"/>
        <v/>
      </c>
    </row>
    <row r="2597" spans="3:3">
      <c r="C2597" s="160" t="str">
        <f t="shared" si="59"/>
        <v/>
      </c>
    </row>
    <row r="2598" spans="3:3">
      <c r="C2598" s="160" t="str">
        <f t="shared" si="59"/>
        <v/>
      </c>
    </row>
    <row r="2599" spans="3:3">
      <c r="C2599" s="160" t="str">
        <f t="shared" si="59"/>
        <v/>
      </c>
    </row>
    <row r="2600" spans="3:3">
      <c r="C2600" s="160" t="str">
        <f t="shared" si="59"/>
        <v/>
      </c>
    </row>
    <row r="2601" spans="3:3">
      <c r="C2601" s="160" t="str">
        <f t="shared" si="59"/>
        <v/>
      </c>
    </row>
    <row r="2602" spans="3:3">
      <c r="C2602" s="160" t="str">
        <f t="shared" si="59"/>
        <v/>
      </c>
    </row>
    <row r="2603" spans="3:3">
      <c r="C2603" s="160" t="str">
        <f t="shared" si="59"/>
        <v/>
      </c>
    </row>
    <row r="2604" spans="3:3">
      <c r="C2604" s="160" t="str">
        <f t="shared" si="59"/>
        <v/>
      </c>
    </row>
    <row r="2605" spans="3:3">
      <c r="C2605" s="160" t="str">
        <f t="shared" si="59"/>
        <v/>
      </c>
    </row>
    <row r="2606" spans="3:3">
      <c r="C2606" s="160" t="str">
        <f t="shared" si="59"/>
        <v/>
      </c>
    </row>
    <row r="2607" spans="3:3">
      <c r="C2607" s="160" t="str">
        <f t="shared" si="59"/>
        <v/>
      </c>
    </row>
    <row r="2608" spans="3:3">
      <c r="C2608" s="160" t="str">
        <f t="shared" si="59"/>
        <v/>
      </c>
    </row>
    <row r="2609" spans="3:3">
      <c r="C2609" s="160" t="str">
        <f t="shared" si="59"/>
        <v/>
      </c>
    </row>
    <row r="2610" spans="3:3">
      <c r="C2610" s="160" t="str">
        <f t="shared" si="59"/>
        <v/>
      </c>
    </row>
    <row r="2611" spans="3:3">
      <c r="C2611" s="160" t="str">
        <f t="shared" si="59"/>
        <v/>
      </c>
    </row>
    <row r="2612" spans="3:3">
      <c r="C2612" s="160" t="str">
        <f t="shared" si="59"/>
        <v/>
      </c>
    </row>
    <row r="2613" spans="3:3">
      <c r="C2613" s="160" t="str">
        <f t="shared" si="59"/>
        <v/>
      </c>
    </row>
    <row r="2614" spans="3:3">
      <c r="C2614" s="160" t="str">
        <f t="shared" si="59"/>
        <v/>
      </c>
    </row>
    <row r="2615" spans="3:3">
      <c r="C2615" s="160" t="str">
        <f t="shared" si="59"/>
        <v/>
      </c>
    </row>
    <row r="2616" spans="3:3">
      <c r="C2616" s="160" t="str">
        <f t="shared" si="59"/>
        <v/>
      </c>
    </row>
    <row r="2617" spans="3:3">
      <c r="C2617" s="160" t="str">
        <f t="shared" si="59"/>
        <v/>
      </c>
    </row>
    <row r="2618" spans="3:3">
      <c r="C2618" s="160" t="str">
        <f t="shared" si="59"/>
        <v/>
      </c>
    </row>
    <row r="2619" spans="3:3">
      <c r="C2619" s="160" t="str">
        <f t="shared" si="59"/>
        <v/>
      </c>
    </row>
    <row r="2620" spans="3:3">
      <c r="C2620" s="160" t="str">
        <f t="shared" si="59"/>
        <v/>
      </c>
    </row>
    <row r="2621" spans="3:3">
      <c r="C2621" s="160" t="str">
        <f t="shared" si="59"/>
        <v/>
      </c>
    </row>
    <row r="2622" spans="3:3">
      <c r="C2622" s="160" t="str">
        <f t="shared" si="59"/>
        <v/>
      </c>
    </row>
    <row r="2623" spans="3:3">
      <c r="C2623" s="160" t="str">
        <f t="shared" si="59"/>
        <v/>
      </c>
    </row>
    <row r="2624" spans="3:3">
      <c r="C2624" s="160" t="str">
        <f t="shared" si="59"/>
        <v/>
      </c>
    </row>
    <row r="2625" spans="3:3">
      <c r="C2625" s="160" t="str">
        <f t="shared" si="59"/>
        <v/>
      </c>
    </row>
    <row r="2626" spans="3:3">
      <c r="C2626" s="160" t="str">
        <f t="shared" si="59"/>
        <v/>
      </c>
    </row>
    <row r="2627" spans="3:3">
      <c r="C2627" s="160" t="str">
        <f t="shared" si="59"/>
        <v/>
      </c>
    </row>
    <row r="2628" spans="3:3">
      <c r="C2628" s="160" t="str">
        <f t="shared" si="59"/>
        <v/>
      </c>
    </row>
    <row r="2629" spans="3:3">
      <c r="C2629" s="160" t="str">
        <f t="shared" si="59"/>
        <v/>
      </c>
    </row>
    <row r="2630" spans="3:3">
      <c r="C2630" s="160" t="str">
        <f t="shared" si="59"/>
        <v/>
      </c>
    </row>
    <row r="2631" spans="3:3">
      <c r="C2631" s="160" t="str">
        <f t="shared" si="59"/>
        <v/>
      </c>
    </row>
    <row r="2632" spans="3:3">
      <c r="C2632" s="160" t="str">
        <f t="shared" si="59"/>
        <v/>
      </c>
    </row>
    <row r="2633" spans="3:3">
      <c r="C2633" s="160" t="str">
        <f t="shared" si="59"/>
        <v/>
      </c>
    </row>
    <row r="2634" spans="3:3">
      <c r="C2634" s="160" t="str">
        <f t="shared" si="59"/>
        <v/>
      </c>
    </row>
    <row r="2635" spans="3:3">
      <c r="C2635" s="160" t="str">
        <f t="shared" si="59"/>
        <v/>
      </c>
    </row>
    <row r="2636" spans="3:3">
      <c r="C2636" s="160" t="str">
        <f t="shared" si="59"/>
        <v/>
      </c>
    </row>
    <row r="2637" spans="3:3">
      <c r="C2637" s="160" t="str">
        <f t="shared" ref="C2637:C2700" si="60">D2637&amp;I2637</f>
        <v/>
      </c>
    </row>
    <row r="2638" spans="3:3">
      <c r="C2638" s="160" t="str">
        <f t="shared" si="60"/>
        <v/>
      </c>
    </row>
    <row r="2639" spans="3:3">
      <c r="C2639" s="160" t="str">
        <f t="shared" si="60"/>
        <v/>
      </c>
    </row>
    <row r="2640" spans="3:3">
      <c r="C2640" s="160" t="str">
        <f t="shared" si="60"/>
        <v/>
      </c>
    </row>
    <row r="2641" spans="3:3">
      <c r="C2641" s="160" t="str">
        <f t="shared" si="60"/>
        <v/>
      </c>
    </row>
    <row r="2642" spans="3:3">
      <c r="C2642" s="160" t="str">
        <f t="shared" si="60"/>
        <v/>
      </c>
    </row>
    <row r="2643" spans="3:3">
      <c r="C2643" s="160" t="str">
        <f t="shared" si="60"/>
        <v/>
      </c>
    </row>
    <row r="2644" spans="3:3">
      <c r="C2644" s="160" t="str">
        <f t="shared" si="60"/>
        <v/>
      </c>
    </row>
    <row r="2645" spans="3:3">
      <c r="C2645" s="160" t="str">
        <f t="shared" si="60"/>
        <v/>
      </c>
    </row>
    <row r="2646" spans="3:3">
      <c r="C2646" s="160" t="str">
        <f t="shared" si="60"/>
        <v/>
      </c>
    </row>
    <row r="2647" spans="3:3">
      <c r="C2647" s="160" t="str">
        <f t="shared" si="60"/>
        <v/>
      </c>
    </row>
    <row r="2648" spans="3:3">
      <c r="C2648" s="160" t="str">
        <f t="shared" si="60"/>
        <v/>
      </c>
    </row>
    <row r="2649" spans="3:3">
      <c r="C2649" s="160" t="str">
        <f t="shared" si="60"/>
        <v/>
      </c>
    </row>
    <row r="2650" spans="3:3">
      <c r="C2650" s="160" t="str">
        <f t="shared" si="60"/>
        <v/>
      </c>
    </row>
    <row r="2651" spans="3:3">
      <c r="C2651" s="160" t="str">
        <f t="shared" si="60"/>
        <v/>
      </c>
    </row>
    <row r="2652" spans="3:3">
      <c r="C2652" s="160" t="str">
        <f t="shared" si="60"/>
        <v/>
      </c>
    </row>
    <row r="2653" spans="3:3">
      <c r="C2653" s="160" t="str">
        <f t="shared" si="60"/>
        <v/>
      </c>
    </row>
    <row r="2654" spans="3:3">
      <c r="C2654" s="160" t="str">
        <f t="shared" si="60"/>
        <v/>
      </c>
    </row>
    <row r="2655" spans="3:3">
      <c r="C2655" s="160" t="str">
        <f t="shared" si="60"/>
        <v/>
      </c>
    </row>
    <row r="2656" spans="3:3">
      <c r="C2656" s="160" t="str">
        <f t="shared" si="60"/>
        <v/>
      </c>
    </row>
    <row r="2657" spans="3:3">
      <c r="C2657" s="160" t="str">
        <f t="shared" si="60"/>
        <v/>
      </c>
    </row>
    <row r="2658" spans="3:3">
      <c r="C2658" s="160" t="str">
        <f t="shared" si="60"/>
        <v/>
      </c>
    </row>
    <row r="2659" spans="3:3">
      <c r="C2659" s="160" t="str">
        <f t="shared" si="60"/>
        <v/>
      </c>
    </row>
    <row r="2660" spans="3:3">
      <c r="C2660" s="160" t="str">
        <f t="shared" si="60"/>
        <v/>
      </c>
    </row>
    <row r="2661" spans="3:3">
      <c r="C2661" s="160" t="str">
        <f t="shared" si="60"/>
        <v/>
      </c>
    </row>
    <row r="2662" spans="3:3">
      <c r="C2662" s="160" t="str">
        <f t="shared" si="60"/>
        <v/>
      </c>
    </row>
    <row r="2663" spans="3:3">
      <c r="C2663" s="160" t="str">
        <f t="shared" si="60"/>
        <v/>
      </c>
    </row>
    <row r="2664" spans="3:3">
      <c r="C2664" s="160" t="str">
        <f t="shared" si="60"/>
        <v/>
      </c>
    </row>
    <row r="2665" spans="3:3">
      <c r="C2665" s="160" t="str">
        <f t="shared" si="60"/>
        <v/>
      </c>
    </row>
    <row r="2666" spans="3:3">
      <c r="C2666" s="160" t="str">
        <f t="shared" si="60"/>
        <v/>
      </c>
    </row>
    <row r="2667" spans="3:3">
      <c r="C2667" s="160" t="str">
        <f t="shared" si="60"/>
        <v/>
      </c>
    </row>
    <row r="2668" spans="3:3">
      <c r="C2668" s="160" t="str">
        <f t="shared" si="60"/>
        <v/>
      </c>
    </row>
    <row r="2669" spans="3:3">
      <c r="C2669" s="160" t="str">
        <f t="shared" si="60"/>
        <v/>
      </c>
    </row>
    <row r="2670" spans="3:3">
      <c r="C2670" s="160" t="str">
        <f t="shared" si="60"/>
        <v/>
      </c>
    </row>
    <row r="2671" spans="3:3">
      <c r="C2671" s="160" t="str">
        <f t="shared" si="60"/>
        <v/>
      </c>
    </row>
    <row r="2672" spans="3:3">
      <c r="C2672" s="160" t="str">
        <f t="shared" si="60"/>
        <v/>
      </c>
    </row>
    <row r="2673" spans="3:3">
      <c r="C2673" s="160" t="str">
        <f t="shared" si="60"/>
        <v/>
      </c>
    </row>
    <row r="2674" spans="3:3">
      <c r="C2674" s="160" t="str">
        <f t="shared" si="60"/>
        <v/>
      </c>
    </row>
    <row r="2675" spans="3:3">
      <c r="C2675" s="160" t="str">
        <f t="shared" si="60"/>
        <v/>
      </c>
    </row>
    <row r="2676" spans="3:3">
      <c r="C2676" s="160" t="str">
        <f t="shared" si="60"/>
        <v/>
      </c>
    </row>
    <row r="2677" spans="3:3">
      <c r="C2677" s="160" t="str">
        <f t="shared" si="60"/>
        <v/>
      </c>
    </row>
    <row r="2678" spans="3:3">
      <c r="C2678" s="160" t="str">
        <f t="shared" si="60"/>
        <v/>
      </c>
    </row>
    <row r="2679" spans="3:3">
      <c r="C2679" s="160" t="str">
        <f t="shared" si="60"/>
        <v/>
      </c>
    </row>
    <row r="2680" spans="3:3">
      <c r="C2680" s="160" t="str">
        <f t="shared" si="60"/>
        <v/>
      </c>
    </row>
    <row r="2681" spans="3:3">
      <c r="C2681" s="160" t="str">
        <f t="shared" si="60"/>
        <v/>
      </c>
    </row>
    <row r="2682" spans="3:3">
      <c r="C2682" s="160" t="str">
        <f t="shared" si="60"/>
        <v/>
      </c>
    </row>
    <row r="2683" spans="3:3">
      <c r="C2683" s="160" t="str">
        <f t="shared" si="60"/>
        <v/>
      </c>
    </row>
    <row r="2684" spans="3:3">
      <c r="C2684" s="160" t="str">
        <f t="shared" si="60"/>
        <v/>
      </c>
    </row>
    <row r="2685" spans="3:3">
      <c r="C2685" s="160" t="str">
        <f t="shared" si="60"/>
        <v/>
      </c>
    </row>
    <row r="2686" spans="3:3">
      <c r="C2686" s="160" t="str">
        <f t="shared" si="60"/>
        <v/>
      </c>
    </row>
    <row r="2687" spans="3:3">
      <c r="C2687" s="160" t="str">
        <f t="shared" si="60"/>
        <v/>
      </c>
    </row>
    <row r="2688" spans="3:3">
      <c r="C2688" s="160" t="str">
        <f t="shared" si="60"/>
        <v/>
      </c>
    </row>
    <row r="2689" spans="3:3">
      <c r="C2689" s="160" t="str">
        <f t="shared" si="60"/>
        <v/>
      </c>
    </row>
    <row r="2690" spans="3:3">
      <c r="C2690" s="160" t="str">
        <f t="shared" si="60"/>
        <v/>
      </c>
    </row>
    <row r="2691" spans="3:3">
      <c r="C2691" s="160" t="str">
        <f t="shared" si="60"/>
        <v/>
      </c>
    </row>
    <row r="2692" spans="3:3">
      <c r="C2692" s="160" t="str">
        <f t="shared" si="60"/>
        <v/>
      </c>
    </row>
    <row r="2693" spans="3:3">
      <c r="C2693" s="160" t="str">
        <f t="shared" si="60"/>
        <v/>
      </c>
    </row>
    <row r="2694" spans="3:3">
      <c r="C2694" s="160" t="str">
        <f t="shared" si="60"/>
        <v/>
      </c>
    </row>
    <row r="2695" spans="3:3">
      <c r="C2695" s="160" t="str">
        <f t="shared" si="60"/>
        <v/>
      </c>
    </row>
    <row r="2696" spans="3:3">
      <c r="C2696" s="160" t="str">
        <f t="shared" si="60"/>
        <v/>
      </c>
    </row>
    <row r="2697" spans="3:3">
      <c r="C2697" s="160" t="str">
        <f t="shared" si="60"/>
        <v/>
      </c>
    </row>
    <row r="2698" spans="3:3">
      <c r="C2698" s="160" t="str">
        <f t="shared" si="60"/>
        <v/>
      </c>
    </row>
    <row r="2699" spans="3:3">
      <c r="C2699" s="160" t="str">
        <f t="shared" si="60"/>
        <v/>
      </c>
    </row>
    <row r="2700" spans="3:3">
      <c r="C2700" s="160" t="str">
        <f t="shared" si="60"/>
        <v/>
      </c>
    </row>
    <row r="2701" spans="3:3">
      <c r="C2701" s="160" t="str">
        <f t="shared" ref="C2701:C2764" si="61">D2701&amp;I2701</f>
        <v/>
      </c>
    </row>
    <row r="2702" spans="3:3">
      <c r="C2702" s="160" t="str">
        <f t="shared" si="61"/>
        <v/>
      </c>
    </row>
    <row r="2703" spans="3:3">
      <c r="C2703" s="160" t="str">
        <f t="shared" si="61"/>
        <v/>
      </c>
    </row>
    <row r="2704" spans="3:3">
      <c r="C2704" s="160" t="str">
        <f t="shared" si="61"/>
        <v/>
      </c>
    </row>
    <row r="2705" spans="3:3">
      <c r="C2705" s="160" t="str">
        <f t="shared" si="61"/>
        <v/>
      </c>
    </row>
    <row r="2706" spans="3:3">
      <c r="C2706" s="160" t="str">
        <f t="shared" si="61"/>
        <v/>
      </c>
    </row>
    <row r="2707" spans="3:3">
      <c r="C2707" s="160" t="str">
        <f t="shared" si="61"/>
        <v/>
      </c>
    </row>
    <row r="2708" spans="3:3">
      <c r="C2708" s="160" t="str">
        <f t="shared" si="61"/>
        <v/>
      </c>
    </row>
    <row r="2709" spans="3:3">
      <c r="C2709" s="160" t="str">
        <f t="shared" si="61"/>
        <v/>
      </c>
    </row>
    <row r="2710" spans="3:3">
      <c r="C2710" s="160" t="str">
        <f t="shared" si="61"/>
        <v/>
      </c>
    </row>
    <row r="2711" spans="3:3">
      <c r="C2711" s="160" t="str">
        <f t="shared" si="61"/>
        <v/>
      </c>
    </row>
    <row r="2712" spans="3:3">
      <c r="C2712" s="160" t="str">
        <f t="shared" si="61"/>
        <v/>
      </c>
    </row>
    <row r="2713" spans="3:3">
      <c r="C2713" s="160" t="str">
        <f t="shared" si="61"/>
        <v/>
      </c>
    </row>
    <row r="2714" spans="3:3">
      <c r="C2714" s="160" t="str">
        <f t="shared" si="61"/>
        <v/>
      </c>
    </row>
    <row r="2715" spans="3:3">
      <c r="C2715" s="160" t="str">
        <f t="shared" si="61"/>
        <v/>
      </c>
    </row>
    <row r="2716" spans="3:3">
      <c r="C2716" s="160" t="str">
        <f t="shared" si="61"/>
        <v/>
      </c>
    </row>
    <row r="2717" spans="3:3">
      <c r="C2717" s="160" t="str">
        <f t="shared" si="61"/>
        <v/>
      </c>
    </row>
    <row r="2718" spans="3:3">
      <c r="C2718" s="160" t="str">
        <f t="shared" si="61"/>
        <v/>
      </c>
    </row>
    <row r="2719" spans="3:3">
      <c r="C2719" s="160" t="str">
        <f t="shared" si="61"/>
        <v/>
      </c>
    </row>
    <row r="2720" spans="3:3">
      <c r="C2720" s="160" t="str">
        <f t="shared" si="61"/>
        <v/>
      </c>
    </row>
    <row r="2721" spans="3:3">
      <c r="C2721" s="160" t="str">
        <f t="shared" si="61"/>
        <v/>
      </c>
    </row>
    <row r="2722" spans="3:3">
      <c r="C2722" s="160" t="str">
        <f t="shared" si="61"/>
        <v/>
      </c>
    </row>
    <row r="2723" spans="3:3">
      <c r="C2723" s="160" t="str">
        <f t="shared" si="61"/>
        <v/>
      </c>
    </row>
    <row r="2724" spans="3:3">
      <c r="C2724" s="160" t="str">
        <f t="shared" si="61"/>
        <v/>
      </c>
    </row>
    <row r="2725" spans="3:3">
      <c r="C2725" s="160" t="str">
        <f t="shared" si="61"/>
        <v/>
      </c>
    </row>
    <row r="2726" spans="3:3">
      <c r="C2726" s="160" t="str">
        <f t="shared" si="61"/>
        <v/>
      </c>
    </row>
    <row r="2727" spans="3:3">
      <c r="C2727" s="160" t="str">
        <f t="shared" si="61"/>
        <v/>
      </c>
    </row>
    <row r="2728" spans="3:3">
      <c r="C2728" s="160" t="str">
        <f t="shared" si="61"/>
        <v/>
      </c>
    </row>
    <row r="2729" spans="3:3">
      <c r="C2729" s="160" t="str">
        <f t="shared" si="61"/>
        <v/>
      </c>
    </row>
    <row r="2730" spans="3:3">
      <c r="C2730" s="160" t="str">
        <f t="shared" si="61"/>
        <v/>
      </c>
    </row>
    <row r="2731" spans="3:3">
      <c r="C2731" s="160" t="str">
        <f t="shared" si="61"/>
        <v/>
      </c>
    </row>
    <row r="2732" spans="3:3">
      <c r="C2732" s="160" t="str">
        <f t="shared" si="61"/>
        <v/>
      </c>
    </row>
    <row r="2733" spans="3:3">
      <c r="C2733" s="160" t="str">
        <f t="shared" si="61"/>
        <v/>
      </c>
    </row>
    <row r="2734" spans="3:3">
      <c r="C2734" s="160" t="str">
        <f t="shared" si="61"/>
        <v/>
      </c>
    </row>
    <row r="2735" spans="3:3">
      <c r="C2735" s="160" t="str">
        <f t="shared" si="61"/>
        <v/>
      </c>
    </row>
    <row r="2736" spans="3:3">
      <c r="C2736" s="160" t="str">
        <f t="shared" si="61"/>
        <v/>
      </c>
    </row>
    <row r="2737" spans="3:3">
      <c r="C2737" s="160" t="str">
        <f t="shared" si="61"/>
        <v/>
      </c>
    </row>
    <row r="2738" spans="3:3">
      <c r="C2738" s="160" t="str">
        <f t="shared" si="61"/>
        <v/>
      </c>
    </row>
    <row r="2739" spans="3:3">
      <c r="C2739" s="160" t="str">
        <f t="shared" si="61"/>
        <v/>
      </c>
    </row>
    <row r="2740" spans="3:3">
      <c r="C2740" s="160" t="str">
        <f t="shared" si="61"/>
        <v/>
      </c>
    </row>
    <row r="2741" spans="3:3">
      <c r="C2741" s="160" t="str">
        <f t="shared" si="61"/>
        <v/>
      </c>
    </row>
    <row r="2742" spans="3:3">
      <c r="C2742" s="160" t="str">
        <f t="shared" si="61"/>
        <v/>
      </c>
    </row>
    <row r="2743" spans="3:3">
      <c r="C2743" s="160" t="str">
        <f t="shared" si="61"/>
        <v/>
      </c>
    </row>
    <row r="2744" spans="3:3">
      <c r="C2744" s="160" t="str">
        <f t="shared" si="61"/>
        <v/>
      </c>
    </row>
    <row r="2745" spans="3:3">
      <c r="C2745" s="160" t="str">
        <f t="shared" si="61"/>
        <v/>
      </c>
    </row>
    <row r="2746" spans="3:3">
      <c r="C2746" s="160" t="str">
        <f t="shared" si="61"/>
        <v/>
      </c>
    </row>
    <row r="2747" spans="3:3">
      <c r="C2747" s="160" t="str">
        <f t="shared" si="61"/>
        <v/>
      </c>
    </row>
    <row r="2748" spans="3:3">
      <c r="C2748" s="160" t="str">
        <f t="shared" si="61"/>
        <v/>
      </c>
    </row>
    <row r="2749" spans="3:3">
      <c r="C2749" s="160" t="str">
        <f t="shared" si="61"/>
        <v/>
      </c>
    </row>
    <row r="2750" spans="3:3">
      <c r="C2750" s="160" t="str">
        <f t="shared" si="61"/>
        <v/>
      </c>
    </row>
    <row r="2751" spans="3:3">
      <c r="C2751" s="160" t="str">
        <f t="shared" si="61"/>
        <v/>
      </c>
    </row>
    <row r="2752" spans="3:3">
      <c r="C2752" s="160" t="str">
        <f t="shared" si="61"/>
        <v/>
      </c>
    </row>
    <row r="2753" spans="3:3">
      <c r="C2753" s="160" t="str">
        <f t="shared" si="61"/>
        <v/>
      </c>
    </row>
    <row r="2754" spans="3:3">
      <c r="C2754" s="160" t="str">
        <f t="shared" si="61"/>
        <v/>
      </c>
    </row>
    <row r="2755" spans="3:3">
      <c r="C2755" s="160" t="str">
        <f t="shared" si="61"/>
        <v/>
      </c>
    </row>
    <row r="2756" spans="3:3">
      <c r="C2756" s="160" t="str">
        <f t="shared" si="61"/>
        <v/>
      </c>
    </row>
    <row r="2757" spans="3:3">
      <c r="C2757" s="160" t="str">
        <f t="shared" si="61"/>
        <v/>
      </c>
    </row>
    <row r="2758" spans="3:3">
      <c r="C2758" s="160" t="str">
        <f t="shared" si="61"/>
        <v/>
      </c>
    </row>
    <row r="2759" spans="3:3">
      <c r="C2759" s="160" t="str">
        <f t="shared" si="61"/>
        <v/>
      </c>
    </row>
    <row r="2760" spans="3:3">
      <c r="C2760" s="160" t="str">
        <f t="shared" si="61"/>
        <v/>
      </c>
    </row>
    <row r="2761" spans="3:3">
      <c r="C2761" s="160" t="str">
        <f t="shared" si="61"/>
        <v/>
      </c>
    </row>
    <row r="2762" spans="3:3">
      <c r="C2762" s="160" t="str">
        <f t="shared" si="61"/>
        <v/>
      </c>
    </row>
    <row r="2763" spans="3:3">
      <c r="C2763" s="160" t="str">
        <f t="shared" si="61"/>
        <v/>
      </c>
    </row>
    <row r="2764" spans="3:3">
      <c r="C2764" s="160" t="str">
        <f t="shared" si="61"/>
        <v/>
      </c>
    </row>
    <row r="2765" spans="3:3">
      <c r="C2765" s="160" t="str">
        <f t="shared" ref="C2765:C2828" si="62">D2765&amp;I2765</f>
        <v/>
      </c>
    </row>
    <row r="2766" spans="3:3">
      <c r="C2766" s="160" t="str">
        <f t="shared" si="62"/>
        <v/>
      </c>
    </row>
    <row r="2767" spans="3:3">
      <c r="C2767" s="160" t="str">
        <f t="shared" si="62"/>
        <v/>
      </c>
    </row>
    <row r="2768" spans="3:3">
      <c r="C2768" s="160" t="str">
        <f t="shared" si="62"/>
        <v/>
      </c>
    </row>
    <row r="2769" spans="3:3">
      <c r="C2769" s="160" t="str">
        <f t="shared" si="62"/>
        <v/>
      </c>
    </row>
    <row r="2770" spans="3:3">
      <c r="C2770" s="160" t="str">
        <f t="shared" si="62"/>
        <v/>
      </c>
    </row>
    <row r="2771" spans="3:3">
      <c r="C2771" s="160" t="str">
        <f t="shared" si="62"/>
        <v/>
      </c>
    </row>
    <row r="2772" spans="3:3">
      <c r="C2772" s="160" t="str">
        <f t="shared" si="62"/>
        <v/>
      </c>
    </row>
    <row r="2773" spans="3:3">
      <c r="C2773" s="160" t="str">
        <f t="shared" si="62"/>
        <v/>
      </c>
    </row>
    <row r="2774" spans="3:3">
      <c r="C2774" s="160" t="str">
        <f t="shared" si="62"/>
        <v/>
      </c>
    </row>
    <row r="2775" spans="3:3">
      <c r="C2775" s="160" t="str">
        <f t="shared" si="62"/>
        <v/>
      </c>
    </row>
    <row r="2776" spans="3:3">
      <c r="C2776" s="160" t="str">
        <f t="shared" si="62"/>
        <v/>
      </c>
    </row>
    <row r="2777" spans="3:3">
      <c r="C2777" s="160" t="str">
        <f t="shared" si="62"/>
        <v/>
      </c>
    </row>
    <row r="2778" spans="3:3">
      <c r="C2778" s="160" t="str">
        <f t="shared" si="62"/>
        <v/>
      </c>
    </row>
    <row r="2779" spans="3:3">
      <c r="C2779" s="160" t="str">
        <f t="shared" si="62"/>
        <v/>
      </c>
    </row>
    <row r="2780" spans="3:3">
      <c r="C2780" s="160" t="str">
        <f t="shared" si="62"/>
        <v/>
      </c>
    </row>
    <row r="2781" spans="3:3">
      <c r="C2781" s="160" t="str">
        <f t="shared" si="62"/>
        <v/>
      </c>
    </row>
    <row r="2782" spans="3:3">
      <c r="C2782" s="160" t="str">
        <f t="shared" si="62"/>
        <v/>
      </c>
    </row>
    <row r="2783" spans="3:3">
      <c r="C2783" s="160" t="str">
        <f t="shared" si="62"/>
        <v/>
      </c>
    </row>
    <row r="2784" spans="3:3">
      <c r="C2784" s="160" t="str">
        <f t="shared" si="62"/>
        <v/>
      </c>
    </row>
    <row r="2785" spans="3:3">
      <c r="C2785" s="160" t="str">
        <f t="shared" si="62"/>
        <v/>
      </c>
    </row>
    <row r="2786" spans="3:3">
      <c r="C2786" s="160" t="str">
        <f t="shared" si="62"/>
        <v/>
      </c>
    </row>
    <row r="2787" spans="3:3">
      <c r="C2787" s="160" t="str">
        <f t="shared" si="62"/>
        <v/>
      </c>
    </row>
    <row r="2788" spans="3:3">
      <c r="C2788" s="160" t="str">
        <f t="shared" si="62"/>
        <v/>
      </c>
    </row>
    <row r="2789" spans="3:3">
      <c r="C2789" s="160" t="str">
        <f t="shared" si="62"/>
        <v/>
      </c>
    </row>
    <row r="2790" spans="3:3">
      <c r="C2790" s="160" t="str">
        <f t="shared" si="62"/>
        <v/>
      </c>
    </row>
    <row r="2791" spans="3:3">
      <c r="C2791" s="160" t="str">
        <f t="shared" si="62"/>
        <v/>
      </c>
    </row>
    <row r="2792" spans="3:3">
      <c r="C2792" s="160" t="str">
        <f t="shared" si="62"/>
        <v/>
      </c>
    </row>
    <row r="2793" spans="3:3">
      <c r="C2793" s="160" t="str">
        <f t="shared" si="62"/>
        <v/>
      </c>
    </row>
    <row r="2794" spans="3:3">
      <c r="C2794" s="160" t="str">
        <f t="shared" si="62"/>
        <v/>
      </c>
    </row>
    <row r="2795" spans="3:3">
      <c r="C2795" s="160" t="str">
        <f t="shared" si="62"/>
        <v/>
      </c>
    </row>
    <row r="2796" spans="3:3">
      <c r="C2796" s="160" t="str">
        <f t="shared" si="62"/>
        <v/>
      </c>
    </row>
    <row r="2797" spans="3:3">
      <c r="C2797" s="160" t="str">
        <f t="shared" si="62"/>
        <v/>
      </c>
    </row>
    <row r="2798" spans="3:3">
      <c r="C2798" s="160" t="str">
        <f t="shared" si="62"/>
        <v/>
      </c>
    </row>
    <row r="2799" spans="3:3">
      <c r="C2799" s="160" t="str">
        <f t="shared" si="62"/>
        <v/>
      </c>
    </row>
    <row r="2800" spans="3:3">
      <c r="C2800" s="160" t="str">
        <f t="shared" si="62"/>
        <v/>
      </c>
    </row>
    <row r="2801" spans="3:3">
      <c r="C2801" s="160" t="str">
        <f t="shared" si="62"/>
        <v/>
      </c>
    </row>
    <row r="2802" spans="3:3">
      <c r="C2802" s="160" t="str">
        <f t="shared" si="62"/>
        <v/>
      </c>
    </row>
    <row r="2803" spans="3:3">
      <c r="C2803" s="160" t="str">
        <f t="shared" si="62"/>
        <v/>
      </c>
    </row>
    <row r="2804" spans="3:3">
      <c r="C2804" s="160" t="str">
        <f t="shared" si="62"/>
        <v/>
      </c>
    </row>
    <row r="2805" spans="3:3">
      <c r="C2805" s="160" t="str">
        <f t="shared" si="62"/>
        <v/>
      </c>
    </row>
    <row r="2806" spans="3:3">
      <c r="C2806" s="160" t="str">
        <f t="shared" si="62"/>
        <v/>
      </c>
    </row>
    <row r="2807" spans="3:3">
      <c r="C2807" s="160" t="str">
        <f t="shared" si="62"/>
        <v/>
      </c>
    </row>
    <row r="2808" spans="3:3">
      <c r="C2808" s="160" t="str">
        <f t="shared" si="62"/>
        <v/>
      </c>
    </row>
    <row r="2809" spans="3:3">
      <c r="C2809" s="160" t="str">
        <f t="shared" si="62"/>
        <v/>
      </c>
    </row>
    <row r="2810" spans="3:3">
      <c r="C2810" s="160" t="str">
        <f t="shared" si="62"/>
        <v/>
      </c>
    </row>
    <row r="2811" spans="3:3">
      <c r="C2811" s="160" t="str">
        <f t="shared" si="62"/>
        <v/>
      </c>
    </row>
    <row r="2812" spans="3:3">
      <c r="C2812" s="160" t="str">
        <f t="shared" si="62"/>
        <v/>
      </c>
    </row>
    <row r="2813" spans="3:3">
      <c r="C2813" s="160" t="str">
        <f t="shared" si="62"/>
        <v/>
      </c>
    </row>
    <row r="2814" spans="3:3">
      <c r="C2814" s="160" t="str">
        <f t="shared" si="62"/>
        <v/>
      </c>
    </row>
    <row r="2815" spans="3:3">
      <c r="C2815" s="160" t="str">
        <f t="shared" si="62"/>
        <v/>
      </c>
    </row>
    <row r="2816" spans="3:3">
      <c r="C2816" s="160" t="str">
        <f t="shared" si="62"/>
        <v/>
      </c>
    </row>
    <row r="2817" spans="3:3">
      <c r="C2817" s="160" t="str">
        <f t="shared" si="62"/>
        <v/>
      </c>
    </row>
    <row r="2818" spans="3:3">
      <c r="C2818" s="160" t="str">
        <f t="shared" si="62"/>
        <v/>
      </c>
    </row>
    <row r="2819" spans="3:3">
      <c r="C2819" s="160" t="str">
        <f t="shared" si="62"/>
        <v/>
      </c>
    </row>
    <row r="2820" spans="3:3">
      <c r="C2820" s="160" t="str">
        <f t="shared" si="62"/>
        <v/>
      </c>
    </row>
    <row r="2821" spans="3:3">
      <c r="C2821" s="160" t="str">
        <f t="shared" si="62"/>
        <v/>
      </c>
    </row>
    <row r="2822" spans="3:3">
      <c r="C2822" s="160" t="str">
        <f t="shared" si="62"/>
        <v/>
      </c>
    </row>
    <row r="2823" spans="3:3">
      <c r="C2823" s="160" t="str">
        <f t="shared" si="62"/>
        <v/>
      </c>
    </row>
    <row r="2824" spans="3:3">
      <c r="C2824" s="160" t="str">
        <f t="shared" si="62"/>
        <v/>
      </c>
    </row>
    <row r="2825" spans="3:3">
      <c r="C2825" s="160" t="str">
        <f t="shared" si="62"/>
        <v/>
      </c>
    </row>
    <row r="2826" spans="3:3">
      <c r="C2826" s="160" t="str">
        <f t="shared" si="62"/>
        <v/>
      </c>
    </row>
    <row r="2827" spans="3:3">
      <c r="C2827" s="160" t="str">
        <f t="shared" si="62"/>
        <v/>
      </c>
    </row>
    <row r="2828" spans="3:3">
      <c r="C2828" s="160" t="str">
        <f t="shared" si="62"/>
        <v/>
      </c>
    </row>
    <row r="2829" spans="3:3">
      <c r="C2829" s="160" t="str">
        <f t="shared" ref="C2829:C2892" si="63">D2829&amp;I2829</f>
        <v/>
      </c>
    </row>
    <row r="2830" spans="3:3">
      <c r="C2830" s="160" t="str">
        <f t="shared" si="63"/>
        <v/>
      </c>
    </row>
    <row r="2831" spans="3:3">
      <c r="C2831" s="160" t="str">
        <f t="shared" si="63"/>
        <v/>
      </c>
    </row>
    <row r="2832" spans="3:3">
      <c r="C2832" s="160" t="str">
        <f t="shared" si="63"/>
        <v/>
      </c>
    </row>
    <row r="2833" spans="3:3">
      <c r="C2833" s="160" t="str">
        <f t="shared" si="63"/>
        <v/>
      </c>
    </row>
    <row r="2834" spans="3:3">
      <c r="C2834" s="160" t="str">
        <f t="shared" si="63"/>
        <v/>
      </c>
    </row>
    <row r="2835" spans="3:3">
      <c r="C2835" s="160" t="str">
        <f t="shared" si="63"/>
        <v/>
      </c>
    </row>
    <row r="2836" spans="3:3">
      <c r="C2836" s="160" t="str">
        <f t="shared" si="63"/>
        <v/>
      </c>
    </row>
    <row r="2837" spans="3:3">
      <c r="C2837" s="160" t="str">
        <f t="shared" si="63"/>
        <v/>
      </c>
    </row>
    <row r="2838" spans="3:3">
      <c r="C2838" s="160" t="str">
        <f t="shared" si="63"/>
        <v/>
      </c>
    </row>
    <row r="2839" spans="3:3">
      <c r="C2839" s="160" t="str">
        <f t="shared" si="63"/>
        <v/>
      </c>
    </row>
    <row r="2840" spans="3:3">
      <c r="C2840" s="160" t="str">
        <f t="shared" si="63"/>
        <v/>
      </c>
    </row>
    <row r="2841" spans="3:3">
      <c r="C2841" s="160" t="str">
        <f t="shared" si="63"/>
        <v/>
      </c>
    </row>
    <row r="2842" spans="3:3">
      <c r="C2842" s="160" t="str">
        <f t="shared" si="63"/>
        <v/>
      </c>
    </row>
    <row r="2843" spans="3:3">
      <c r="C2843" s="160" t="str">
        <f t="shared" si="63"/>
        <v/>
      </c>
    </row>
    <row r="2844" spans="3:3">
      <c r="C2844" s="160" t="str">
        <f t="shared" si="63"/>
        <v/>
      </c>
    </row>
    <row r="2845" spans="3:3">
      <c r="C2845" s="160" t="str">
        <f t="shared" si="63"/>
        <v/>
      </c>
    </row>
    <row r="2846" spans="3:3">
      <c r="C2846" s="160" t="str">
        <f t="shared" si="63"/>
        <v/>
      </c>
    </row>
    <row r="2847" spans="3:3">
      <c r="C2847" s="160" t="str">
        <f t="shared" si="63"/>
        <v/>
      </c>
    </row>
    <row r="2848" spans="3:3">
      <c r="C2848" s="160" t="str">
        <f t="shared" si="63"/>
        <v/>
      </c>
    </row>
    <row r="2849" spans="3:3">
      <c r="C2849" s="160" t="str">
        <f t="shared" si="63"/>
        <v/>
      </c>
    </row>
    <row r="2850" spans="3:3">
      <c r="C2850" s="160" t="str">
        <f t="shared" si="63"/>
        <v/>
      </c>
    </row>
    <row r="2851" spans="3:3">
      <c r="C2851" s="160" t="str">
        <f t="shared" si="63"/>
        <v/>
      </c>
    </row>
    <row r="2852" spans="3:3">
      <c r="C2852" s="160" t="str">
        <f t="shared" si="63"/>
        <v/>
      </c>
    </row>
    <row r="2853" spans="3:3">
      <c r="C2853" s="160" t="str">
        <f t="shared" si="63"/>
        <v/>
      </c>
    </row>
    <row r="2854" spans="3:3">
      <c r="C2854" s="160" t="str">
        <f t="shared" si="63"/>
        <v/>
      </c>
    </row>
    <row r="2855" spans="3:3">
      <c r="C2855" s="160" t="str">
        <f t="shared" si="63"/>
        <v/>
      </c>
    </row>
    <row r="2856" spans="3:3">
      <c r="C2856" s="160" t="str">
        <f t="shared" si="63"/>
        <v/>
      </c>
    </row>
    <row r="2857" spans="3:3">
      <c r="C2857" s="160" t="str">
        <f t="shared" si="63"/>
        <v/>
      </c>
    </row>
    <row r="2858" spans="3:3">
      <c r="C2858" s="160" t="str">
        <f t="shared" si="63"/>
        <v/>
      </c>
    </row>
    <row r="2859" spans="3:3">
      <c r="C2859" s="160" t="str">
        <f t="shared" si="63"/>
        <v/>
      </c>
    </row>
    <row r="2860" spans="3:3">
      <c r="C2860" s="160" t="str">
        <f t="shared" si="63"/>
        <v/>
      </c>
    </row>
    <row r="2861" spans="3:3">
      <c r="C2861" s="160" t="str">
        <f t="shared" si="63"/>
        <v/>
      </c>
    </row>
    <row r="2862" spans="3:3">
      <c r="C2862" s="160" t="str">
        <f t="shared" si="63"/>
        <v/>
      </c>
    </row>
    <row r="2863" spans="3:3">
      <c r="C2863" s="160" t="str">
        <f t="shared" si="63"/>
        <v/>
      </c>
    </row>
    <row r="2864" spans="3:3">
      <c r="C2864" s="160" t="str">
        <f t="shared" si="63"/>
        <v/>
      </c>
    </row>
    <row r="2865" spans="3:3">
      <c r="C2865" s="160" t="str">
        <f t="shared" si="63"/>
        <v/>
      </c>
    </row>
    <row r="2866" spans="3:3">
      <c r="C2866" s="160" t="str">
        <f t="shared" si="63"/>
        <v/>
      </c>
    </row>
    <row r="2867" spans="3:3">
      <c r="C2867" s="160" t="str">
        <f t="shared" si="63"/>
        <v/>
      </c>
    </row>
    <row r="2868" spans="3:3">
      <c r="C2868" s="160" t="str">
        <f t="shared" si="63"/>
        <v/>
      </c>
    </row>
    <row r="2869" spans="3:3">
      <c r="C2869" s="160" t="str">
        <f t="shared" si="63"/>
        <v/>
      </c>
    </row>
    <row r="2870" spans="3:3">
      <c r="C2870" s="160" t="str">
        <f t="shared" si="63"/>
        <v/>
      </c>
    </row>
    <row r="2871" spans="3:3">
      <c r="C2871" s="160" t="str">
        <f t="shared" si="63"/>
        <v/>
      </c>
    </row>
    <row r="2872" spans="3:3">
      <c r="C2872" s="160" t="str">
        <f t="shared" si="63"/>
        <v/>
      </c>
    </row>
    <row r="2873" spans="3:3">
      <c r="C2873" s="160" t="str">
        <f t="shared" si="63"/>
        <v/>
      </c>
    </row>
    <row r="2874" spans="3:3">
      <c r="C2874" s="160" t="str">
        <f t="shared" si="63"/>
        <v/>
      </c>
    </row>
    <row r="2875" spans="3:3">
      <c r="C2875" s="160" t="str">
        <f t="shared" si="63"/>
        <v/>
      </c>
    </row>
    <row r="2876" spans="3:3">
      <c r="C2876" s="160" t="str">
        <f t="shared" si="63"/>
        <v/>
      </c>
    </row>
    <row r="2877" spans="3:3">
      <c r="C2877" s="160" t="str">
        <f t="shared" si="63"/>
        <v/>
      </c>
    </row>
    <row r="2878" spans="3:3">
      <c r="C2878" s="160" t="str">
        <f t="shared" si="63"/>
        <v/>
      </c>
    </row>
    <row r="2879" spans="3:3">
      <c r="C2879" s="160" t="str">
        <f t="shared" si="63"/>
        <v/>
      </c>
    </row>
    <row r="2880" spans="3:3">
      <c r="C2880" s="160" t="str">
        <f t="shared" si="63"/>
        <v/>
      </c>
    </row>
    <row r="2881" spans="3:3">
      <c r="C2881" s="160" t="str">
        <f t="shared" si="63"/>
        <v/>
      </c>
    </row>
    <row r="2882" spans="3:3">
      <c r="C2882" s="160" t="str">
        <f t="shared" si="63"/>
        <v/>
      </c>
    </row>
    <row r="2883" spans="3:3">
      <c r="C2883" s="160" t="str">
        <f t="shared" si="63"/>
        <v/>
      </c>
    </row>
    <row r="2884" spans="3:3">
      <c r="C2884" s="160" t="str">
        <f t="shared" si="63"/>
        <v/>
      </c>
    </row>
    <row r="2885" spans="3:3">
      <c r="C2885" s="160" t="str">
        <f t="shared" si="63"/>
        <v/>
      </c>
    </row>
    <row r="2886" spans="3:3">
      <c r="C2886" s="160" t="str">
        <f t="shared" si="63"/>
        <v/>
      </c>
    </row>
    <row r="2887" spans="3:3">
      <c r="C2887" s="160" t="str">
        <f t="shared" si="63"/>
        <v/>
      </c>
    </row>
    <row r="2888" spans="3:3">
      <c r="C2888" s="160" t="str">
        <f t="shared" si="63"/>
        <v/>
      </c>
    </row>
    <row r="2889" spans="3:3">
      <c r="C2889" s="160" t="str">
        <f t="shared" si="63"/>
        <v/>
      </c>
    </row>
    <row r="2890" spans="3:3">
      <c r="C2890" s="160" t="str">
        <f t="shared" si="63"/>
        <v/>
      </c>
    </row>
    <row r="2891" spans="3:3">
      <c r="C2891" s="160" t="str">
        <f t="shared" si="63"/>
        <v/>
      </c>
    </row>
    <row r="2892" spans="3:3">
      <c r="C2892" s="160" t="str">
        <f t="shared" si="63"/>
        <v/>
      </c>
    </row>
    <row r="2893" spans="3:3">
      <c r="C2893" s="160" t="str">
        <f t="shared" ref="C2893:C2956" si="64">D2893&amp;I2893</f>
        <v/>
      </c>
    </row>
    <row r="2894" spans="3:3">
      <c r="C2894" s="160" t="str">
        <f t="shared" si="64"/>
        <v/>
      </c>
    </row>
    <row r="2895" spans="3:3">
      <c r="C2895" s="160" t="str">
        <f t="shared" si="64"/>
        <v/>
      </c>
    </row>
    <row r="2896" spans="3:3">
      <c r="C2896" s="160" t="str">
        <f t="shared" si="64"/>
        <v/>
      </c>
    </row>
    <row r="2897" spans="3:3">
      <c r="C2897" s="160" t="str">
        <f t="shared" si="64"/>
        <v/>
      </c>
    </row>
    <row r="2898" spans="3:3">
      <c r="C2898" s="160" t="str">
        <f t="shared" si="64"/>
        <v/>
      </c>
    </row>
    <row r="2899" spans="3:3">
      <c r="C2899" s="160" t="str">
        <f t="shared" si="64"/>
        <v/>
      </c>
    </row>
    <row r="2900" spans="3:3">
      <c r="C2900" s="160" t="str">
        <f t="shared" si="64"/>
        <v/>
      </c>
    </row>
    <row r="2901" spans="3:3">
      <c r="C2901" s="160" t="str">
        <f t="shared" si="64"/>
        <v/>
      </c>
    </row>
    <row r="2902" spans="3:3">
      <c r="C2902" s="160" t="str">
        <f t="shared" si="64"/>
        <v/>
      </c>
    </row>
    <row r="2903" spans="3:3">
      <c r="C2903" s="160" t="str">
        <f t="shared" si="64"/>
        <v/>
      </c>
    </row>
    <row r="2904" spans="3:3">
      <c r="C2904" s="160" t="str">
        <f t="shared" si="64"/>
        <v/>
      </c>
    </row>
    <row r="2905" spans="3:3">
      <c r="C2905" s="160" t="str">
        <f t="shared" si="64"/>
        <v/>
      </c>
    </row>
    <row r="2906" spans="3:3">
      <c r="C2906" s="160" t="str">
        <f t="shared" si="64"/>
        <v/>
      </c>
    </row>
    <row r="2907" spans="3:3">
      <c r="C2907" s="160" t="str">
        <f t="shared" si="64"/>
        <v/>
      </c>
    </row>
    <row r="2908" spans="3:3">
      <c r="C2908" s="160" t="str">
        <f t="shared" si="64"/>
        <v/>
      </c>
    </row>
    <row r="2909" spans="3:3">
      <c r="C2909" s="160" t="str">
        <f t="shared" si="64"/>
        <v/>
      </c>
    </row>
    <row r="2910" spans="3:3">
      <c r="C2910" s="160" t="str">
        <f t="shared" si="64"/>
        <v/>
      </c>
    </row>
    <row r="2911" spans="3:3">
      <c r="C2911" s="160" t="str">
        <f t="shared" si="64"/>
        <v/>
      </c>
    </row>
    <row r="2912" spans="3:3">
      <c r="C2912" s="160" t="str">
        <f t="shared" si="64"/>
        <v/>
      </c>
    </row>
    <row r="2913" spans="3:3">
      <c r="C2913" s="160" t="str">
        <f t="shared" si="64"/>
        <v/>
      </c>
    </row>
    <row r="2914" spans="3:3">
      <c r="C2914" s="160" t="str">
        <f t="shared" si="64"/>
        <v/>
      </c>
    </row>
    <row r="2915" spans="3:3">
      <c r="C2915" s="160" t="str">
        <f t="shared" si="64"/>
        <v/>
      </c>
    </row>
    <row r="2916" spans="3:3">
      <c r="C2916" s="160" t="str">
        <f t="shared" si="64"/>
        <v/>
      </c>
    </row>
    <row r="2917" spans="3:3">
      <c r="C2917" s="160" t="str">
        <f t="shared" si="64"/>
        <v/>
      </c>
    </row>
    <row r="2918" spans="3:3">
      <c r="C2918" s="160" t="str">
        <f t="shared" si="64"/>
        <v/>
      </c>
    </row>
    <row r="2919" spans="3:3">
      <c r="C2919" s="160" t="str">
        <f t="shared" si="64"/>
        <v/>
      </c>
    </row>
    <row r="2920" spans="3:3">
      <c r="C2920" s="160" t="str">
        <f t="shared" si="64"/>
        <v/>
      </c>
    </row>
    <row r="2921" spans="3:3">
      <c r="C2921" s="160" t="str">
        <f t="shared" si="64"/>
        <v/>
      </c>
    </row>
    <row r="2922" spans="3:3">
      <c r="C2922" s="160" t="str">
        <f t="shared" si="64"/>
        <v/>
      </c>
    </row>
    <row r="2923" spans="3:3">
      <c r="C2923" s="160" t="str">
        <f t="shared" si="64"/>
        <v/>
      </c>
    </row>
    <row r="2924" spans="3:3">
      <c r="C2924" s="160" t="str">
        <f t="shared" si="64"/>
        <v/>
      </c>
    </row>
    <row r="2925" spans="3:3">
      <c r="C2925" s="160" t="str">
        <f t="shared" si="64"/>
        <v/>
      </c>
    </row>
    <row r="2926" spans="3:3">
      <c r="C2926" s="160" t="str">
        <f t="shared" si="64"/>
        <v/>
      </c>
    </row>
    <row r="2927" spans="3:3">
      <c r="C2927" s="160" t="str">
        <f t="shared" si="64"/>
        <v/>
      </c>
    </row>
    <row r="2928" spans="3:3">
      <c r="C2928" s="160" t="str">
        <f t="shared" si="64"/>
        <v/>
      </c>
    </row>
    <row r="2929" spans="3:3">
      <c r="C2929" s="160" t="str">
        <f t="shared" si="64"/>
        <v/>
      </c>
    </row>
    <row r="2930" spans="3:3">
      <c r="C2930" s="160" t="str">
        <f t="shared" si="64"/>
        <v/>
      </c>
    </row>
    <row r="2931" spans="3:3">
      <c r="C2931" s="160" t="str">
        <f t="shared" si="64"/>
        <v/>
      </c>
    </row>
    <row r="2932" spans="3:3">
      <c r="C2932" s="160" t="str">
        <f t="shared" si="64"/>
        <v/>
      </c>
    </row>
    <row r="2933" spans="3:3">
      <c r="C2933" s="160" t="str">
        <f t="shared" si="64"/>
        <v/>
      </c>
    </row>
    <row r="2934" spans="3:3">
      <c r="C2934" s="160" t="str">
        <f t="shared" si="64"/>
        <v/>
      </c>
    </row>
    <row r="2935" spans="3:3">
      <c r="C2935" s="160" t="str">
        <f t="shared" si="64"/>
        <v/>
      </c>
    </row>
    <row r="2936" spans="3:3">
      <c r="C2936" s="160" t="str">
        <f t="shared" si="64"/>
        <v/>
      </c>
    </row>
    <row r="2937" spans="3:3">
      <c r="C2937" s="160" t="str">
        <f t="shared" si="64"/>
        <v/>
      </c>
    </row>
    <row r="2938" spans="3:3">
      <c r="C2938" s="160" t="str">
        <f t="shared" si="64"/>
        <v/>
      </c>
    </row>
    <row r="2939" spans="3:3">
      <c r="C2939" s="160" t="str">
        <f t="shared" si="64"/>
        <v/>
      </c>
    </row>
    <row r="2940" spans="3:3">
      <c r="C2940" s="160" t="str">
        <f t="shared" si="64"/>
        <v/>
      </c>
    </row>
    <row r="2941" spans="3:3">
      <c r="C2941" s="160" t="str">
        <f t="shared" si="64"/>
        <v/>
      </c>
    </row>
    <row r="2942" spans="3:3">
      <c r="C2942" s="160" t="str">
        <f t="shared" si="64"/>
        <v/>
      </c>
    </row>
    <row r="2943" spans="3:3">
      <c r="C2943" s="160" t="str">
        <f t="shared" si="64"/>
        <v/>
      </c>
    </row>
    <row r="2944" spans="3:3">
      <c r="C2944" s="160" t="str">
        <f t="shared" si="64"/>
        <v/>
      </c>
    </row>
    <row r="2945" spans="3:3">
      <c r="C2945" s="160" t="str">
        <f t="shared" si="64"/>
        <v/>
      </c>
    </row>
    <row r="2946" spans="3:3">
      <c r="C2946" s="160" t="str">
        <f t="shared" si="64"/>
        <v/>
      </c>
    </row>
    <row r="2947" spans="3:3">
      <c r="C2947" s="160" t="str">
        <f t="shared" si="64"/>
        <v/>
      </c>
    </row>
    <row r="2948" spans="3:3">
      <c r="C2948" s="160" t="str">
        <f t="shared" si="64"/>
        <v/>
      </c>
    </row>
    <row r="2949" spans="3:3">
      <c r="C2949" s="160" t="str">
        <f t="shared" si="64"/>
        <v/>
      </c>
    </row>
    <row r="2950" spans="3:3">
      <c r="C2950" s="160" t="str">
        <f t="shared" si="64"/>
        <v/>
      </c>
    </row>
    <row r="2951" spans="3:3">
      <c r="C2951" s="160" t="str">
        <f t="shared" si="64"/>
        <v/>
      </c>
    </row>
    <row r="2952" spans="3:3">
      <c r="C2952" s="160" t="str">
        <f t="shared" si="64"/>
        <v/>
      </c>
    </row>
    <row r="2953" spans="3:3">
      <c r="C2953" s="160" t="str">
        <f t="shared" si="64"/>
        <v/>
      </c>
    </row>
    <row r="2954" spans="3:3">
      <c r="C2954" s="160" t="str">
        <f t="shared" si="64"/>
        <v/>
      </c>
    </row>
    <row r="2955" spans="3:3">
      <c r="C2955" s="160" t="str">
        <f t="shared" si="64"/>
        <v/>
      </c>
    </row>
    <row r="2956" spans="3:3">
      <c r="C2956" s="160" t="str">
        <f t="shared" si="64"/>
        <v/>
      </c>
    </row>
    <row r="2957" spans="3:3">
      <c r="C2957" s="160" t="str">
        <f t="shared" ref="C2957:C3020" si="65">D2957&amp;I2957</f>
        <v/>
      </c>
    </row>
    <row r="2958" spans="3:3">
      <c r="C2958" s="160" t="str">
        <f t="shared" si="65"/>
        <v/>
      </c>
    </row>
    <row r="2959" spans="3:3">
      <c r="C2959" s="160" t="str">
        <f t="shared" si="65"/>
        <v/>
      </c>
    </row>
    <row r="2960" spans="3:3">
      <c r="C2960" s="160" t="str">
        <f t="shared" si="65"/>
        <v/>
      </c>
    </row>
    <row r="2961" spans="3:3">
      <c r="C2961" s="160" t="str">
        <f t="shared" si="65"/>
        <v/>
      </c>
    </row>
    <row r="2962" spans="3:3">
      <c r="C2962" s="160" t="str">
        <f t="shared" si="65"/>
        <v/>
      </c>
    </row>
    <row r="2963" spans="3:3">
      <c r="C2963" s="160" t="str">
        <f t="shared" si="65"/>
        <v/>
      </c>
    </row>
    <row r="2964" spans="3:3">
      <c r="C2964" s="160" t="str">
        <f t="shared" si="65"/>
        <v/>
      </c>
    </row>
    <row r="2965" spans="3:3">
      <c r="C2965" s="160" t="str">
        <f t="shared" si="65"/>
        <v/>
      </c>
    </row>
    <row r="2966" spans="3:3">
      <c r="C2966" s="160" t="str">
        <f t="shared" si="65"/>
        <v/>
      </c>
    </row>
    <row r="2967" spans="3:3">
      <c r="C2967" s="160" t="str">
        <f t="shared" si="65"/>
        <v/>
      </c>
    </row>
    <row r="2968" spans="3:3">
      <c r="C2968" s="160" t="str">
        <f t="shared" si="65"/>
        <v/>
      </c>
    </row>
    <row r="2969" spans="3:3">
      <c r="C2969" s="160" t="str">
        <f t="shared" si="65"/>
        <v/>
      </c>
    </row>
    <row r="2970" spans="3:3">
      <c r="C2970" s="160" t="str">
        <f t="shared" si="65"/>
        <v/>
      </c>
    </row>
    <row r="2971" spans="3:3">
      <c r="C2971" s="160" t="str">
        <f t="shared" si="65"/>
        <v/>
      </c>
    </row>
    <row r="2972" spans="3:3">
      <c r="C2972" s="160" t="str">
        <f t="shared" si="65"/>
        <v/>
      </c>
    </row>
    <row r="2973" spans="3:3">
      <c r="C2973" s="160" t="str">
        <f t="shared" si="65"/>
        <v/>
      </c>
    </row>
    <row r="2974" spans="3:3">
      <c r="C2974" s="160" t="str">
        <f t="shared" si="65"/>
        <v/>
      </c>
    </row>
    <row r="2975" spans="3:3">
      <c r="C2975" s="160" t="str">
        <f t="shared" si="65"/>
        <v/>
      </c>
    </row>
    <row r="2976" spans="3:3">
      <c r="C2976" s="160" t="str">
        <f t="shared" si="65"/>
        <v/>
      </c>
    </row>
    <row r="2977" spans="3:3">
      <c r="C2977" s="160" t="str">
        <f t="shared" si="65"/>
        <v/>
      </c>
    </row>
    <row r="2978" spans="3:3">
      <c r="C2978" s="160" t="str">
        <f t="shared" si="65"/>
        <v/>
      </c>
    </row>
    <row r="2979" spans="3:3">
      <c r="C2979" s="160" t="str">
        <f t="shared" si="65"/>
        <v/>
      </c>
    </row>
    <row r="2980" spans="3:3">
      <c r="C2980" s="160" t="str">
        <f t="shared" si="65"/>
        <v/>
      </c>
    </row>
    <row r="2981" spans="3:3">
      <c r="C2981" s="160" t="str">
        <f t="shared" si="65"/>
        <v/>
      </c>
    </row>
    <row r="2982" spans="3:3">
      <c r="C2982" s="160" t="str">
        <f t="shared" si="65"/>
        <v/>
      </c>
    </row>
    <row r="2983" spans="3:3">
      <c r="C2983" s="160" t="str">
        <f t="shared" si="65"/>
        <v/>
      </c>
    </row>
    <row r="2984" spans="3:3">
      <c r="C2984" s="160" t="str">
        <f t="shared" si="65"/>
        <v/>
      </c>
    </row>
    <row r="2985" spans="3:3">
      <c r="C2985" s="160" t="str">
        <f t="shared" si="65"/>
        <v/>
      </c>
    </row>
    <row r="2986" spans="3:3">
      <c r="C2986" s="160" t="str">
        <f t="shared" si="65"/>
        <v/>
      </c>
    </row>
    <row r="2987" spans="3:3">
      <c r="C2987" s="160" t="str">
        <f t="shared" si="65"/>
        <v/>
      </c>
    </row>
    <row r="2988" spans="3:3">
      <c r="C2988" s="160" t="str">
        <f t="shared" si="65"/>
        <v/>
      </c>
    </row>
    <row r="2989" spans="3:3">
      <c r="C2989" s="160" t="str">
        <f t="shared" si="65"/>
        <v/>
      </c>
    </row>
    <row r="2990" spans="3:3">
      <c r="C2990" s="160" t="str">
        <f t="shared" si="65"/>
        <v/>
      </c>
    </row>
    <row r="2991" spans="3:3">
      <c r="C2991" s="160" t="str">
        <f t="shared" si="65"/>
        <v/>
      </c>
    </row>
    <row r="2992" spans="3:3">
      <c r="C2992" s="160" t="str">
        <f t="shared" si="65"/>
        <v/>
      </c>
    </row>
    <row r="2993" spans="3:3">
      <c r="C2993" s="160" t="str">
        <f t="shared" si="65"/>
        <v/>
      </c>
    </row>
    <row r="2994" spans="3:3">
      <c r="C2994" s="160" t="str">
        <f t="shared" si="65"/>
        <v/>
      </c>
    </row>
    <row r="2995" spans="3:3">
      <c r="C2995" s="160" t="str">
        <f t="shared" si="65"/>
        <v/>
      </c>
    </row>
    <row r="2996" spans="3:3">
      <c r="C2996" s="160" t="str">
        <f t="shared" si="65"/>
        <v/>
      </c>
    </row>
    <row r="2997" spans="3:3">
      <c r="C2997" s="160" t="str">
        <f t="shared" si="65"/>
        <v/>
      </c>
    </row>
    <row r="2998" spans="3:3">
      <c r="C2998" s="160" t="str">
        <f t="shared" si="65"/>
        <v/>
      </c>
    </row>
    <row r="2999" spans="3:3">
      <c r="C2999" s="160" t="str">
        <f t="shared" si="65"/>
        <v/>
      </c>
    </row>
    <row r="3000" spans="3:3">
      <c r="C3000" s="160" t="str">
        <f t="shared" si="65"/>
        <v/>
      </c>
    </row>
    <row r="3001" spans="3:3">
      <c r="C3001" s="160" t="str">
        <f t="shared" si="65"/>
        <v/>
      </c>
    </row>
    <row r="3002" spans="3:3">
      <c r="C3002" s="160" t="str">
        <f t="shared" si="65"/>
        <v/>
      </c>
    </row>
    <row r="3003" spans="3:3">
      <c r="C3003" s="160" t="str">
        <f t="shared" si="65"/>
        <v/>
      </c>
    </row>
    <row r="3004" spans="3:3">
      <c r="C3004" s="160" t="str">
        <f t="shared" si="65"/>
        <v/>
      </c>
    </row>
    <row r="3005" spans="3:3">
      <c r="C3005" s="160" t="str">
        <f t="shared" si="65"/>
        <v/>
      </c>
    </row>
    <row r="3006" spans="3:3">
      <c r="C3006" s="160" t="str">
        <f t="shared" si="65"/>
        <v/>
      </c>
    </row>
    <row r="3007" spans="3:3">
      <c r="C3007" s="160" t="str">
        <f t="shared" si="65"/>
        <v/>
      </c>
    </row>
    <row r="3008" spans="3:3">
      <c r="C3008" s="160" t="str">
        <f t="shared" si="65"/>
        <v/>
      </c>
    </row>
    <row r="3009" spans="3:3">
      <c r="C3009" s="160" t="str">
        <f t="shared" si="65"/>
        <v/>
      </c>
    </row>
    <row r="3010" spans="3:3">
      <c r="C3010" s="160" t="str">
        <f t="shared" si="65"/>
        <v/>
      </c>
    </row>
    <row r="3011" spans="3:3">
      <c r="C3011" s="160" t="str">
        <f t="shared" si="65"/>
        <v/>
      </c>
    </row>
    <row r="3012" spans="3:3">
      <c r="C3012" s="160" t="str">
        <f t="shared" si="65"/>
        <v/>
      </c>
    </row>
    <row r="3013" spans="3:3">
      <c r="C3013" s="160" t="str">
        <f t="shared" si="65"/>
        <v/>
      </c>
    </row>
    <row r="3014" spans="3:3">
      <c r="C3014" s="160" t="str">
        <f t="shared" si="65"/>
        <v/>
      </c>
    </row>
    <row r="3015" spans="3:3">
      <c r="C3015" s="160" t="str">
        <f t="shared" si="65"/>
        <v/>
      </c>
    </row>
    <row r="3016" spans="3:3">
      <c r="C3016" s="160" t="str">
        <f t="shared" si="65"/>
        <v/>
      </c>
    </row>
    <row r="3017" spans="3:3">
      <c r="C3017" s="160" t="str">
        <f t="shared" si="65"/>
        <v/>
      </c>
    </row>
    <row r="3018" spans="3:3">
      <c r="C3018" s="160" t="str">
        <f t="shared" si="65"/>
        <v/>
      </c>
    </row>
    <row r="3019" spans="3:3">
      <c r="C3019" s="160" t="str">
        <f t="shared" si="65"/>
        <v/>
      </c>
    </row>
    <row r="3020" spans="3:3">
      <c r="C3020" s="160" t="str">
        <f t="shared" si="65"/>
        <v/>
      </c>
    </row>
    <row r="3021" spans="3:3">
      <c r="C3021" s="160" t="str">
        <f t="shared" ref="C3021:C3084" si="66">D3021&amp;I3021</f>
        <v/>
      </c>
    </row>
    <row r="3022" spans="3:3">
      <c r="C3022" s="160" t="str">
        <f t="shared" si="66"/>
        <v/>
      </c>
    </row>
    <row r="3023" spans="3:3">
      <c r="C3023" s="160" t="str">
        <f t="shared" si="66"/>
        <v/>
      </c>
    </row>
    <row r="3024" spans="3:3">
      <c r="C3024" s="160" t="str">
        <f t="shared" si="66"/>
        <v/>
      </c>
    </row>
    <row r="3025" spans="3:3">
      <c r="C3025" s="160" t="str">
        <f t="shared" si="66"/>
        <v/>
      </c>
    </row>
    <row r="3026" spans="3:3">
      <c r="C3026" s="160" t="str">
        <f t="shared" si="66"/>
        <v/>
      </c>
    </row>
    <row r="3027" spans="3:3">
      <c r="C3027" s="160" t="str">
        <f t="shared" si="66"/>
        <v/>
      </c>
    </row>
    <row r="3028" spans="3:3">
      <c r="C3028" s="160" t="str">
        <f t="shared" si="66"/>
        <v/>
      </c>
    </row>
    <row r="3029" spans="3:3">
      <c r="C3029" s="160" t="str">
        <f t="shared" si="66"/>
        <v/>
      </c>
    </row>
    <row r="3030" spans="3:3">
      <c r="C3030" s="160" t="str">
        <f t="shared" si="66"/>
        <v/>
      </c>
    </row>
    <row r="3031" spans="3:3">
      <c r="C3031" s="160" t="str">
        <f t="shared" si="66"/>
        <v/>
      </c>
    </row>
    <row r="3032" spans="3:3">
      <c r="C3032" s="160" t="str">
        <f t="shared" si="66"/>
        <v/>
      </c>
    </row>
    <row r="3033" spans="3:3">
      <c r="C3033" s="160" t="str">
        <f t="shared" si="66"/>
        <v/>
      </c>
    </row>
    <row r="3034" spans="3:3">
      <c r="C3034" s="160" t="str">
        <f t="shared" si="66"/>
        <v/>
      </c>
    </row>
    <row r="3035" spans="3:3">
      <c r="C3035" s="160" t="str">
        <f t="shared" si="66"/>
        <v/>
      </c>
    </row>
    <row r="3036" spans="3:3">
      <c r="C3036" s="160" t="str">
        <f t="shared" si="66"/>
        <v/>
      </c>
    </row>
    <row r="3037" spans="3:3">
      <c r="C3037" s="160" t="str">
        <f t="shared" si="66"/>
        <v/>
      </c>
    </row>
    <row r="3038" spans="3:3">
      <c r="C3038" s="160" t="str">
        <f t="shared" si="66"/>
        <v/>
      </c>
    </row>
    <row r="3039" spans="3:3">
      <c r="C3039" s="160" t="str">
        <f t="shared" si="66"/>
        <v/>
      </c>
    </row>
    <row r="3040" spans="3:3">
      <c r="C3040" s="160" t="str">
        <f t="shared" si="66"/>
        <v/>
      </c>
    </row>
    <row r="3041" spans="3:3">
      <c r="C3041" s="160" t="str">
        <f t="shared" si="66"/>
        <v/>
      </c>
    </row>
    <row r="3042" spans="3:3">
      <c r="C3042" s="160" t="str">
        <f t="shared" si="66"/>
        <v/>
      </c>
    </row>
    <row r="3043" spans="3:3">
      <c r="C3043" s="160" t="str">
        <f t="shared" si="66"/>
        <v/>
      </c>
    </row>
    <row r="3044" spans="3:3">
      <c r="C3044" s="160" t="str">
        <f t="shared" si="66"/>
        <v/>
      </c>
    </row>
    <row r="3045" spans="3:3">
      <c r="C3045" s="160" t="str">
        <f t="shared" si="66"/>
        <v/>
      </c>
    </row>
    <row r="3046" spans="3:3">
      <c r="C3046" s="160" t="str">
        <f t="shared" si="66"/>
        <v/>
      </c>
    </row>
    <row r="3047" spans="3:3">
      <c r="C3047" s="160" t="str">
        <f t="shared" si="66"/>
        <v/>
      </c>
    </row>
    <row r="3048" spans="3:3">
      <c r="C3048" s="160" t="str">
        <f t="shared" si="66"/>
        <v/>
      </c>
    </row>
    <row r="3049" spans="3:3">
      <c r="C3049" s="160" t="str">
        <f t="shared" si="66"/>
        <v/>
      </c>
    </row>
    <row r="3050" spans="3:3">
      <c r="C3050" s="160" t="str">
        <f t="shared" si="66"/>
        <v/>
      </c>
    </row>
    <row r="3051" spans="3:3">
      <c r="C3051" s="160" t="str">
        <f t="shared" si="66"/>
        <v/>
      </c>
    </row>
    <row r="3052" spans="3:3">
      <c r="C3052" s="160" t="str">
        <f t="shared" si="66"/>
        <v/>
      </c>
    </row>
    <row r="3053" spans="3:3">
      <c r="C3053" s="160" t="str">
        <f t="shared" si="66"/>
        <v/>
      </c>
    </row>
    <row r="3054" spans="3:3">
      <c r="C3054" s="160" t="str">
        <f t="shared" si="66"/>
        <v/>
      </c>
    </row>
    <row r="3055" spans="3:3">
      <c r="C3055" s="160" t="str">
        <f t="shared" si="66"/>
        <v/>
      </c>
    </row>
    <row r="3056" spans="3:3">
      <c r="C3056" s="160" t="str">
        <f t="shared" si="66"/>
        <v/>
      </c>
    </row>
    <row r="3057" spans="3:3">
      <c r="C3057" s="160" t="str">
        <f t="shared" si="66"/>
        <v/>
      </c>
    </row>
    <row r="3058" spans="3:3">
      <c r="C3058" s="160" t="str">
        <f t="shared" si="66"/>
        <v/>
      </c>
    </row>
    <row r="3059" spans="3:3">
      <c r="C3059" s="160" t="str">
        <f t="shared" si="66"/>
        <v/>
      </c>
    </row>
    <row r="3060" spans="3:3">
      <c r="C3060" s="160" t="str">
        <f t="shared" si="66"/>
        <v/>
      </c>
    </row>
    <row r="3061" spans="3:3">
      <c r="C3061" s="160" t="str">
        <f t="shared" si="66"/>
        <v/>
      </c>
    </row>
    <row r="3062" spans="3:3">
      <c r="C3062" s="160" t="str">
        <f t="shared" si="66"/>
        <v/>
      </c>
    </row>
    <row r="3063" spans="3:3">
      <c r="C3063" s="160" t="str">
        <f t="shared" si="66"/>
        <v/>
      </c>
    </row>
    <row r="3064" spans="3:3">
      <c r="C3064" s="160" t="str">
        <f t="shared" si="66"/>
        <v/>
      </c>
    </row>
    <row r="3065" spans="3:3">
      <c r="C3065" s="160" t="str">
        <f t="shared" si="66"/>
        <v/>
      </c>
    </row>
    <row r="3066" spans="3:3">
      <c r="C3066" s="160" t="str">
        <f t="shared" si="66"/>
        <v/>
      </c>
    </row>
    <row r="3067" spans="3:3">
      <c r="C3067" s="160" t="str">
        <f t="shared" si="66"/>
        <v/>
      </c>
    </row>
    <row r="3068" spans="3:3">
      <c r="C3068" s="160" t="str">
        <f t="shared" si="66"/>
        <v/>
      </c>
    </row>
    <row r="3069" spans="3:3">
      <c r="C3069" s="160" t="str">
        <f t="shared" si="66"/>
        <v/>
      </c>
    </row>
    <row r="3070" spans="3:3">
      <c r="C3070" s="160" t="str">
        <f t="shared" si="66"/>
        <v/>
      </c>
    </row>
    <row r="3071" spans="3:3">
      <c r="C3071" s="160" t="str">
        <f t="shared" si="66"/>
        <v/>
      </c>
    </row>
    <row r="3072" spans="3:3">
      <c r="C3072" s="160" t="str">
        <f t="shared" si="66"/>
        <v/>
      </c>
    </row>
    <row r="3073" spans="3:3">
      <c r="C3073" s="160" t="str">
        <f t="shared" si="66"/>
        <v/>
      </c>
    </row>
    <row r="3074" spans="3:3">
      <c r="C3074" s="160" t="str">
        <f t="shared" si="66"/>
        <v/>
      </c>
    </row>
    <row r="3075" spans="3:3">
      <c r="C3075" s="160" t="str">
        <f t="shared" si="66"/>
        <v/>
      </c>
    </row>
    <row r="3076" spans="3:3">
      <c r="C3076" s="160" t="str">
        <f t="shared" si="66"/>
        <v/>
      </c>
    </row>
    <row r="3077" spans="3:3">
      <c r="C3077" s="160" t="str">
        <f t="shared" si="66"/>
        <v/>
      </c>
    </row>
    <row r="3078" spans="3:3">
      <c r="C3078" s="160" t="str">
        <f t="shared" si="66"/>
        <v/>
      </c>
    </row>
    <row r="3079" spans="3:3">
      <c r="C3079" s="160" t="str">
        <f t="shared" si="66"/>
        <v/>
      </c>
    </row>
    <row r="3080" spans="3:3">
      <c r="C3080" s="160" t="str">
        <f t="shared" si="66"/>
        <v/>
      </c>
    </row>
    <row r="3081" spans="3:3">
      <c r="C3081" s="160" t="str">
        <f t="shared" si="66"/>
        <v/>
      </c>
    </row>
    <row r="3082" spans="3:3">
      <c r="C3082" s="160" t="str">
        <f t="shared" si="66"/>
        <v/>
      </c>
    </row>
    <row r="3083" spans="3:3">
      <c r="C3083" s="160" t="str">
        <f t="shared" si="66"/>
        <v/>
      </c>
    </row>
    <row r="3084" spans="3:3">
      <c r="C3084" s="160" t="str">
        <f t="shared" si="66"/>
        <v/>
      </c>
    </row>
    <row r="3085" spans="3:3">
      <c r="C3085" s="160" t="str">
        <f t="shared" ref="C3085:C3148" si="67">D3085&amp;I3085</f>
        <v/>
      </c>
    </row>
    <row r="3086" spans="3:3">
      <c r="C3086" s="160" t="str">
        <f t="shared" si="67"/>
        <v/>
      </c>
    </row>
    <row r="3087" spans="3:3">
      <c r="C3087" s="160" t="str">
        <f t="shared" si="67"/>
        <v/>
      </c>
    </row>
    <row r="3088" spans="3:3">
      <c r="C3088" s="160" t="str">
        <f t="shared" si="67"/>
        <v/>
      </c>
    </row>
    <row r="3089" spans="3:3">
      <c r="C3089" s="160" t="str">
        <f t="shared" si="67"/>
        <v/>
      </c>
    </row>
    <row r="3090" spans="3:3">
      <c r="C3090" s="160" t="str">
        <f t="shared" si="67"/>
        <v/>
      </c>
    </row>
    <row r="3091" spans="3:3">
      <c r="C3091" s="160" t="str">
        <f t="shared" si="67"/>
        <v/>
      </c>
    </row>
    <row r="3092" spans="3:3">
      <c r="C3092" s="160" t="str">
        <f t="shared" si="67"/>
        <v/>
      </c>
    </row>
    <row r="3093" spans="3:3">
      <c r="C3093" s="160" t="str">
        <f t="shared" si="67"/>
        <v/>
      </c>
    </row>
    <row r="3094" spans="3:3">
      <c r="C3094" s="160" t="str">
        <f t="shared" si="67"/>
        <v/>
      </c>
    </row>
    <row r="3095" spans="3:3">
      <c r="C3095" s="160" t="str">
        <f t="shared" si="67"/>
        <v/>
      </c>
    </row>
    <row r="3096" spans="3:3">
      <c r="C3096" s="160" t="str">
        <f t="shared" si="67"/>
        <v/>
      </c>
    </row>
    <row r="3097" spans="3:3">
      <c r="C3097" s="160" t="str">
        <f t="shared" si="67"/>
        <v/>
      </c>
    </row>
    <row r="3098" spans="3:3">
      <c r="C3098" s="160" t="str">
        <f t="shared" si="67"/>
        <v/>
      </c>
    </row>
    <row r="3099" spans="3:3">
      <c r="C3099" s="160" t="str">
        <f t="shared" si="67"/>
        <v/>
      </c>
    </row>
    <row r="3100" spans="3:3">
      <c r="C3100" s="160" t="str">
        <f t="shared" si="67"/>
        <v/>
      </c>
    </row>
    <row r="3101" spans="3:3">
      <c r="C3101" s="160" t="str">
        <f t="shared" si="67"/>
        <v/>
      </c>
    </row>
    <row r="3102" spans="3:3">
      <c r="C3102" s="160" t="str">
        <f t="shared" si="67"/>
        <v/>
      </c>
    </row>
    <row r="3103" spans="3:3">
      <c r="C3103" s="160" t="str">
        <f t="shared" si="67"/>
        <v/>
      </c>
    </row>
    <row r="3104" spans="3:3">
      <c r="C3104" s="160" t="str">
        <f t="shared" si="67"/>
        <v/>
      </c>
    </row>
    <row r="3105" spans="3:3">
      <c r="C3105" s="160" t="str">
        <f t="shared" si="67"/>
        <v/>
      </c>
    </row>
    <row r="3106" spans="3:3">
      <c r="C3106" s="160" t="str">
        <f t="shared" si="67"/>
        <v/>
      </c>
    </row>
    <row r="3107" spans="3:3">
      <c r="C3107" s="160" t="str">
        <f t="shared" si="67"/>
        <v/>
      </c>
    </row>
    <row r="3108" spans="3:3">
      <c r="C3108" s="160" t="str">
        <f t="shared" si="67"/>
        <v/>
      </c>
    </row>
    <row r="3109" spans="3:3">
      <c r="C3109" s="160" t="str">
        <f t="shared" si="67"/>
        <v/>
      </c>
    </row>
    <row r="3110" spans="3:3">
      <c r="C3110" s="160" t="str">
        <f t="shared" si="67"/>
        <v/>
      </c>
    </row>
    <row r="3111" spans="3:3">
      <c r="C3111" s="160" t="str">
        <f t="shared" si="67"/>
        <v/>
      </c>
    </row>
    <row r="3112" spans="3:3">
      <c r="C3112" s="160" t="str">
        <f t="shared" si="67"/>
        <v/>
      </c>
    </row>
    <row r="3113" spans="3:3">
      <c r="C3113" s="160" t="str">
        <f t="shared" si="67"/>
        <v/>
      </c>
    </row>
    <row r="3114" spans="3:3">
      <c r="C3114" s="160" t="str">
        <f t="shared" si="67"/>
        <v/>
      </c>
    </row>
    <row r="3115" spans="3:3">
      <c r="C3115" s="160" t="str">
        <f t="shared" si="67"/>
        <v/>
      </c>
    </row>
    <row r="3116" spans="3:3">
      <c r="C3116" s="160" t="str">
        <f t="shared" si="67"/>
        <v/>
      </c>
    </row>
    <row r="3117" spans="3:3">
      <c r="C3117" s="160" t="str">
        <f t="shared" si="67"/>
        <v/>
      </c>
    </row>
    <row r="3118" spans="3:3">
      <c r="C3118" s="160" t="str">
        <f t="shared" si="67"/>
        <v/>
      </c>
    </row>
    <row r="3119" spans="3:3">
      <c r="C3119" s="160" t="str">
        <f t="shared" si="67"/>
        <v/>
      </c>
    </row>
    <row r="3120" spans="3:3">
      <c r="C3120" s="160" t="str">
        <f t="shared" si="67"/>
        <v/>
      </c>
    </row>
    <row r="3121" spans="3:3">
      <c r="C3121" s="160" t="str">
        <f t="shared" si="67"/>
        <v/>
      </c>
    </row>
    <row r="3122" spans="3:3">
      <c r="C3122" s="160" t="str">
        <f t="shared" si="67"/>
        <v/>
      </c>
    </row>
    <row r="3123" spans="3:3">
      <c r="C3123" s="160" t="str">
        <f t="shared" si="67"/>
        <v/>
      </c>
    </row>
    <row r="3124" spans="3:3">
      <c r="C3124" s="160" t="str">
        <f t="shared" si="67"/>
        <v/>
      </c>
    </row>
    <row r="3125" spans="3:3">
      <c r="C3125" s="160" t="str">
        <f t="shared" si="67"/>
        <v/>
      </c>
    </row>
    <row r="3126" spans="3:3">
      <c r="C3126" s="160" t="str">
        <f t="shared" si="67"/>
        <v/>
      </c>
    </row>
    <row r="3127" spans="3:3">
      <c r="C3127" s="160" t="str">
        <f t="shared" si="67"/>
        <v/>
      </c>
    </row>
    <row r="3128" spans="3:3">
      <c r="C3128" s="160" t="str">
        <f t="shared" si="67"/>
        <v/>
      </c>
    </row>
    <row r="3129" spans="3:3">
      <c r="C3129" s="160" t="str">
        <f t="shared" si="67"/>
        <v/>
      </c>
    </row>
    <row r="3130" spans="3:3">
      <c r="C3130" s="160" t="str">
        <f t="shared" si="67"/>
        <v/>
      </c>
    </row>
    <row r="3131" spans="3:3">
      <c r="C3131" s="160" t="str">
        <f t="shared" si="67"/>
        <v/>
      </c>
    </row>
    <row r="3132" spans="3:3">
      <c r="C3132" s="160" t="str">
        <f t="shared" si="67"/>
        <v/>
      </c>
    </row>
    <row r="3133" spans="3:3">
      <c r="C3133" s="160" t="str">
        <f t="shared" si="67"/>
        <v/>
      </c>
    </row>
    <row r="3134" spans="3:3">
      <c r="C3134" s="160" t="str">
        <f t="shared" si="67"/>
        <v/>
      </c>
    </row>
    <row r="3135" spans="3:3">
      <c r="C3135" s="160" t="str">
        <f t="shared" si="67"/>
        <v/>
      </c>
    </row>
    <row r="3136" spans="3:3">
      <c r="C3136" s="160" t="str">
        <f t="shared" si="67"/>
        <v/>
      </c>
    </row>
    <row r="3137" spans="3:3">
      <c r="C3137" s="160" t="str">
        <f t="shared" si="67"/>
        <v/>
      </c>
    </row>
    <row r="3138" spans="3:3">
      <c r="C3138" s="160" t="str">
        <f t="shared" si="67"/>
        <v/>
      </c>
    </row>
    <row r="3139" spans="3:3">
      <c r="C3139" s="160" t="str">
        <f t="shared" si="67"/>
        <v/>
      </c>
    </row>
    <row r="3140" spans="3:3">
      <c r="C3140" s="160" t="str">
        <f t="shared" si="67"/>
        <v/>
      </c>
    </row>
    <row r="3141" spans="3:3">
      <c r="C3141" s="160" t="str">
        <f t="shared" si="67"/>
        <v/>
      </c>
    </row>
    <row r="3142" spans="3:3">
      <c r="C3142" s="160" t="str">
        <f t="shared" si="67"/>
        <v/>
      </c>
    </row>
    <row r="3143" spans="3:3">
      <c r="C3143" s="160" t="str">
        <f t="shared" si="67"/>
        <v/>
      </c>
    </row>
    <row r="3144" spans="3:3">
      <c r="C3144" s="160" t="str">
        <f t="shared" si="67"/>
        <v/>
      </c>
    </row>
    <row r="3145" spans="3:3">
      <c r="C3145" s="160" t="str">
        <f t="shared" si="67"/>
        <v/>
      </c>
    </row>
    <row r="3146" spans="3:3">
      <c r="C3146" s="160" t="str">
        <f t="shared" si="67"/>
        <v/>
      </c>
    </row>
    <row r="3147" spans="3:3">
      <c r="C3147" s="160" t="str">
        <f t="shared" si="67"/>
        <v/>
      </c>
    </row>
    <row r="3148" spans="3:3">
      <c r="C3148" s="160" t="str">
        <f t="shared" si="67"/>
        <v/>
      </c>
    </row>
    <row r="3149" spans="3:3">
      <c r="C3149" s="160" t="str">
        <f t="shared" ref="C3149:C3212" si="68">D3149&amp;I3149</f>
        <v/>
      </c>
    </row>
    <row r="3150" spans="3:3">
      <c r="C3150" s="160" t="str">
        <f t="shared" si="68"/>
        <v/>
      </c>
    </row>
    <row r="3151" spans="3:3">
      <c r="C3151" s="160" t="str">
        <f t="shared" si="68"/>
        <v/>
      </c>
    </row>
    <row r="3152" spans="3:3">
      <c r="C3152" s="160" t="str">
        <f t="shared" si="68"/>
        <v/>
      </c>
    </row>
    <row r="3153" spans="3:3">
      <c r="C3153" s="160" t="str">
        <f t="shared" si="68"/>
        <v/>
      </c>
    </row>
    <row r="3154" spans="3:3">
      <c r="C3154" s="160" t="str">
        <f t="shared" si="68"/>
        <v/>
      </c>
    </row>
    <row r="3155" spans="3:3">
      <c r="C3155" s="160" t="str">
        <f t="shared" si="68"/>
        <v/>
      </c>
    </row>
    <row r="3156" spans="3:3">
      <c r="C3156" s="160" t="str">
        <f t="shared" si="68"/>
        <v/>
      </c>
    </row>
    <row r="3157" spans="3:3">
      <c r="C3157" s="160" t="str">
        <f t="shared" si="68"/>
        <v/>
      </c>
    </row>
    <row r="3158" spans="3:3">
      <c r="C3158" s="160" t="str">
        <f t="shared" si="68"/>
        <v/>
      </c>
    </row>
    <row r="3159" spans="3:3">
      <c r="C3159" s="160" t="str">
        <f t="shared" si="68"/>
        <v/>
      </c>
    </row>
    <row r="3160" spans="3:3">
      <c r="C3160" s="160" t="str">
        <f t="shared" si="68"/>
        <v/>
      </c>
    </row>
    <row r="3161" spans="3:3">
      <c r="C3161" s="160" t="str">
        <f t="shared" si="68"/>
        <v/>
      </c>
    </row>
    <row r="3162" spans="3:3">
      <c r="C3162" s="160" t="str">
        <f t="shared" si="68"/>
        <v/>
      </c>
    </row>
    <row r="3163" spans="3:3">
      <c r="C3163" s="160" t="str">
        <f t="shared" si="68"/>
        <v/>
      </c>
    </row>
    <row r="3164" spans="3:3">
      <c r="C3164" s="160" t="str">
        <f t="shared" si="68"/>
        <v/>
      </c>
    </row>
    <row r="3165" spans="3:3">
      <c r="C3165" s="160" t="str">
        <f t="shared" si="68"/>
        <v/>
      </c>
    </row>
    <row r="3166" spans="3:3">
      <c r="C3166" s="160" t="str">
        <f t="shared" si="68"/>
        <v/>
      </c>
    </row>
    <row r="3167" spans="3:3">
      <c r="C3167" s="160" t="str">
        <f t="shared" si="68"/>
        <v/>
      </c>
    </row>
    <row r="3168" spans="3:3">
      <c r="C3168" s="160" t="str">
        <f t="shared" si="68"/>
        <v/>
      </c>
    </row>
    <row r="3169" spans="3:3">
      <c r="C3169" s="160" t="str">
        <f t="shared" si="68"/>
        <v/>
      </c>
    </row>
    <row r="3170" spans="3:3">
      <c r="C3170" s="160" t="str">
        <f t="shared" si="68"/>
        <v/>
      </c>
    </row>
    <row r="3171" spans="3:3">
      <c r="C3171" s="160" t="str">
        <f t="shared" si="68"/>
        <v/>
      </c>
    </row>
    <row r="3172" spans="3:3">
      <c r="C3172" s="160" t="str">
        <f t="shared" si="68"/>
        <v/>
      </c>
    </row>
    <row r="3173" spans="3:3">
      <c r="C3173" s="160" t="str">
        <f t="shared" si="68"/>
        <v/>
      </c>
    </row>
    <row r="3174" spans="3:3">
      <c r="C3174" s="160" t="str">
        <f t="shared" si="68"/>
        <v/>
      </c>
    </row>
    <row r="3175" spans="3:3">
      <c r="C3175" s="160" t="str">
        <f t="shared" si="68"/>
        <v/>
      </c>
    </row>
    <row r="3176" spans="3:3">
      <c r="C3176" s="160" t="str">
        <f t="shared" si="68"/>
        <v/>
      </c>
    </row>
    <row r="3177" spans="3:3">
      <c r="C3177" s="160" t="str">
        <f t="shared" si="68"/>
        <v/>
      </c>
    </row>
    <row r="3178" spans="3:3">
      <c r="C3178" s="160" t="str">
        <f t="shared" si="68"/>
        <v/>
      </c>
    </row>
    <row r="3179" spans="3:3">
      <c r="C3179" s="160" t="str">
        <f t="shared" si="68"/>
        <v/>
      </c>
    </row>
    <row r="3180" spans="3:3">
      <c r="C3180" s="160" t="str">
        <f t="shared" si="68"/>
        <v/>
      </c>
    </row>
    <row r="3181" spans="3:3">
      <c r="C3181" s="160" t="str">
        <f t="shared" si="68"/>
        <v/>
      </c>
    </row>
    <row r="3182" spans="3:3">
      <c r="C3182" s="160" t="str">
        <f t="shared" si="68"/>
        <v/>
      </c>
    </row>
    <row r="3183" spans="3:3">
      <c r="C3183" s="160" t="str">
        <f t="shared" si="68"/>
        <v/>
      </c>
    </row>
    <row r="3184" spans="3:3">
      <c r="C3184" s="160" t="str">
        <f t="shared" si="68"/>
        <v/>
      </c>
    </row>
    <row r="3185" spans="3:3">
      <c r="C3185" s="160" t="str">
        <f t="shared" si="68"/>
        <v/>
      </c>
    </row>
    <row r="3186" spans="3:3">
      <c r="C3186" s="160" t="str">
        <f t="shared" si="68"/>
        <v/>
      </c>
    </row>
    <row r="3187" spans="3:3">
      <c r="C3187" s="160" t="str">
        <f t="shared" si="68"/>
        <v/>
      </c>
    </row>
    <row r="3188" spans="3:3">
      <c r="C3188" s="160" t="str">
        <f t="shared" si="68"/>
        <v/>
      </c>
    </row>
    <row r="3189" spans="3:3">
      <c r="C3189" s="160" t="str">
        <f t="shared" si="68"/>
        <v/>
      </c>
    </row>
    <row r="3190" spans="3:3">
      <c r="C3190" s="160" t="str">
        <f t="shared" si="68"/>
        <v/>
      </c>
    </row>
    <row r="3191" spans="3:3">
      <c r="C3191" s="160" t="str">
        <f t="shared" si="68"/>
        <v/>
      </c>
    </row>
    <row r="3192" spans="3:3">
      <c r="C3192" s="160" t="str">
        <f t="shared" si="68"/>
        <v/>
      </c>
    </row>
    <row r="3193" spans="3:3">
      <c r="C3193" s="160" t="str">
        <f t="shared" si="68"/>
        <v/>
      </c>
    </row>
    <row r="3194" spans="3:3">
      <c r="C3194" s="160" t="str">
        <f t="shared" si="68"/>
        <v/>
      </c>
    </row>
    <row r="3195" spans="3:3">
      <c r="C3195" s="160" t="str">
        <f t="shared" si="68"/>
        <v/>
      </c>
    </row>
    <row r="3196" spans="3:3">
      <c r="C3196" s="160" t="str">
        <f t="shared" si="68"/>
        <v/>
      </c>
    </row>
    <row r="3197" spans="3:3">
      <c r="C3197" s="160" t="str">
        <f t="shared" si="68"/>
        <v/>
      </c>
    </row>
    <row r="3198" spans="3:3">
      <c r="C3198" s="160" t="str">
        <f t="shared" si="68"/>
        <v/>
      </c>
    </row>
    <row r="3199" spans="3:3">
      <c r="C3199" s="160" t="str">
        <f t="shared" si="68"/>
        <v/>
      </c>
    </row>
    <row r="3200" spans="3:3">
      <c r="C3200" s="160" t="str">
        <f t="shared" si="68"/>
        <v/>
      </c>
    </row>
    <row r="3201" spans="3:3">
      <c r="C3201" s="160" t="str">
        <f t="shared" si="68"/>
        <v/>
      </c>
    </row>
    <row r="3202" spans="3:3">
      <c r="C3202" s="160" t="str">
        <f t="shared" si="68"/>
        <v/>
      </c>
    </row>
    <row r="3203" spans="3:3">
      <c r="C3203" s="160" t="str">
        <f t="shared" si="68"/>
        <v/>
      </c>
    </row>
    <row r="3204" spans="3:3">
      <c r="C3204" s="160" t="str">
        <f t="shared" si="68"/>
        <v/>
      </c>
    </row>
    <row r="3205" spans="3:3">
      <c r="C3205" s="160" t="str">
        <f t="shared" si="68"/>
        <v/>
      </c>
    </row>
    <row r="3206" spans="3:3">
      <c r="C3206" s="160" t="str">
        <f t="shared" si="68"/>
        <v/>
      </c>
    </row>
    <row r="3207" spans="3:3">
      <c r="C3207" s="160" t="str">
        <f t="shared" si="68"/>
        <v/>
      </c>
    </row>
    <row r="3208" spans="3:3">
      <c r="C3208" s="160" t="str">
        <f t="shared" si="68"/>
        <v/>
      </c>
    </row>
    <row r="3209" spans="3:3">
      <c r="C3209" s="160" t="str">
        <f t="shared" si="68"/>
        <v/>
      </c>
    </row>
    <row r="3210" spans="3:3">
      <c r="C3210" s="160" t="str">
        <f t="shared" si="68"/>
        <v/>
      </c>
    </row>
    <row r="3211" spans="3:3">
      <c r="C3211" s="160" t="str">
        <f t="shared" si="68"/>
        <v/>
      </c>
    </row>
    <row r="3212" spans="3:3">
      <c r="C3212" s="160" t="str">
        <f t="shared" si="68"/>
        <v/>
      </c>
    </row>
    <row r="3213" spans="3:3">
      <c r="C3213" s="160" t="str">
        <f t="shared" ref="C3213:C3276" si="69">D3213&amp;I3213</f>
        <v/>
      </c>
    </row>
    <row r="3214" spans="3:3">
      <c r="C3214" s="160" t="str">
        <f t="shared" si="69"/>
        <v/>
      </c>
    </row>
    <row r="3215" spans="3:3">
      <c r="C3215" s="160" t="str">
        <f t="shared" si="69"/>
        <v/>
      </c>
    </row>
    <row r="3216" spans="3:3">
      <c r="C3216" s="160" t="str">
        <f t="shared" si="69"/>
        <v/>
      </c>
    </row>
    <row r="3217" spans="3:3">
      <c r="C3217" s="160" t="str">
        <f t="shared" si="69"/>
        <v/>
      </c>
    </row>
    <row r="3218" spans="3:3">
      <c r="C3218" s="160" t="str">
        <f t="shared" si="69"/>
        <v/>
      </c>
    </row>
    <row r="3219" spans="3:3">
      <c r="C3219" s="160" t="str">
        <f t="shared" si="69"/>
        <v/>
      </c>
    </row>
    <row r="3220" spans="3:3">
      <c r="C3220" s="160" t="str">
        <f t="shared" si="69"/>
        <v/>
      </c>
    </row>
    <row r="3221" spans="3:3">
      <c r="C3221" s="160" t="str">
        <f t="shared" si="69"/>
        <v/>
      </c>
    </row>
    <row r="3222" spans="3:3">
      <c r="C3222" s="160" t="str">
        <f t="shared" si="69"/>
        <v/>
      </c>
    </row>
    <row r="3223" spans="3:3">
      <c r="C3223" s="160" t="str">
        <f t="shared" si="69"/>
        <v/>
      </c>
    </row>
    <row r="3224" spans="3:3">
      <c r="C3224" s="160" t="str">
        <f t="shared" si="69"/>
        <v/>
      </c>
    </row>
    <row r="3225" spans="3:3">
      <c r="C3225" s="160" t="str">
        <f t="shared" si="69"/>
        <v/>
      </c>
    </row>
    <row r="3226" spans="3:3">
      <c r="C3226" s="160" t="str">
        <f t="shared" si="69"/>
        <v/>
      </c>
    </row>
    <row r="3227" spans="3:3">
      <c r="C3227" s="160" t="str">
        <f t="shared" si="69"/>
        <v/>
      </c>
    </row>
    <row r="3228" spans="3:3">
      <c r="C3228" s="160" t="str">
        <f t="shared" si="69"/>
        <v/>
      </c>
    </row>
    <row r="3229" spans="3:3">
      <c r="C3229" s="160" t="str">
        <f t="shared" si="69"/>
        <v/>
      </c>
    </row>
    <row r="3230" spans="3:3">
      <c r="C3230" s="160" t="str">
        <f t="shared" si="69"/>
        <v/>
      </c>
    </row>
    <row r="3231" spans="3:3">
      <c r="C3231" s="160" t="str">
        <f t="shared" si="69"/>
        <v/>
      </c>
    </row>
    <row r="3232" spans="3:3">
      <c r="C3232" s="160" t="str">
        <f t="shared" si="69"/>
        <v/>
      </c>
    </row>
    <row r="3233" spans="3:3">
      <c r="C3233" s="160" t="str">
        <f t="shared" si="69"/>
        <v/>
      </c>
    </row>
    <row r="3234" spans="3:3">
      <c r="C3234" s="160" t="str">
        <f t="shared" si="69"/>
        <v/>
      </c>
    </row>
    <row r="3235" spans="3:3">
      <c r="C3235" s="160" t="str">
        <f t="shared" si="69"/>
        <v/>
      </c>
    </row>
    <row r="3236" spans="3:3">
      <c r="C3236" s="160" t="str">
        <f t="shared" si="69"/>
        <v/>
      </c>
    </row>
    <row r="3237" spans="3:3">
      <c r="C3237" s="160" t="str">
        <f t="shared" si="69"/>
        <v/>
      </c>
    </row>
    <row r="3238" spans="3:3">
      <c r="C3238" s="160" t="str">
        <f t="shared" si="69"/>
        <v/>
      </c>
    </row>
    <row r="3239" spans="3:3">
      <c r="C3239" s="160" t="str">
        <f t="shared" si="69"/>
        <v/>
      </c>
    </row>
    <row r="3240" spans="3:3">
      <c r="C3240" s="160" t="str">
        <f t="shared" si="69"/>
        <v/>
      </c>
    </row>
    <row r="3241" spans="3:3">
      <c r="C3241" s="160" t="str">
        <f t="shared" si="69"/>
        <v/>
      </c>
    </row>
    <row r="3242" spans="3:3">
      <c r="C3242" s="160" t="str">
        <f t="shared" si="69"/>
        <v/>
      </c>
    </row>
    <row r="3243" spans="3:3">
      <c r="C3243" s="160" t="str">
        <f t="shared" si="69"/>
        <v/>
      </c>
    </row>
    <row r="3244" spans="3:3">
      <c r="C3244" s="160" t="str">
        <f t="shared" si="69"/>
        <v/>
      </c>
    </row>
    <row r="3245" spans="3:3">
      <c r="C3245" s="160" t="str">
        <f t="shared" si="69"/>
        <v/>
      </c>
    </row>
    <row r="3246" spans="3:3">
      <c r="C3246" s="160" t="str">
        <f t="shared" si="69"/>
        <v/>
      </c>
    </row>
    <row r="3247" spans="3:3">
      <c r="C3247" s="160" t="str">
        <f t="shared" si="69"/>
        <v/>
      </c>
    </row>
    <row r="3248" spans="3:3">
      <c r="C3248" s="160" t="str">
        <f t="shared" si="69"/>
        <v/>
      </c>
    </row>
    <row r="3249" spans="3:3">
      <c r="C3249" s="160" t="str">
        <f t="shared" si="69"/>
        <v/>
      </c>
    </row>
    <row r="3250" spans="3:3">
      <c r="C3250" s="160" t="str">
        <f t="shared" si="69"/>
        <v/>
      </c>
    </row>
    <row r="3251" spans="3:3">
      <c r="C3251" s="160" t="str">
        <f t="shared" si="69"/>
        <v/>
      </c>
    </row>
    <row r="3252" spans="3:3">
      <c r="C3252" s="160" t="str">
        <f t="shared" si="69"/>
        <v/>
      </c>
    </row>
    <row r="3253" spans="3:3">
      <c r="C3253" s="160" t="str">
        <f t="shared" si="69"/>
        <v/>
      </c>
    </row>
    <row r="3254" spans="3:3">
      <c r="C3254" s="160" t="str">
        <f t="shared" si="69"/>
        <v/>
      </c>
    </row>
    <row r="3255" spans="3:3">
      <c r="C3255" s="160" t="str">
        <f t="shared" si="69"/>
        <v/>
      </c>
    </row>
    <row r="3256" spans="3:3">
      <c r="C3256" s="160" t="str">
        <f t="shared" si="69"/>
        <v/>
      </c>
    </row>
    <row r="3257" spans="3:3">
      <c r="C3257" s="160" t="str">
        <f t="shared" si="69"/>
        <v/>
      </c>
    </row>
    <row r="3258" spans="3:3">
      <c r="C3258" s="160" t="str">
        <f t="shared" si="69"/>
        <v/>
      </c>
    </row>
    <row r="3259" spans="3:3">
      <c r="C3259" s="160" t="str">
        <f t="shared" si="69"/>
        <v/>
      </c>
    </row>
    <row r="3260" spans="3:3">
      <c r="C3260" s="160" t="str">
        <f t="shared" si="69"/>
        <v/>
      </c>
    </row>
    <row r="3261" spans="3:3">
      <c r="C3261" s="160" t="str">
        <f t="shared" si="69"/>
        <v/>
      </c>
    </row>
    <row r="3262" spans="3:3">
      <c r="C3262" s="160" t="str">
        <f t="shared" si="69"/>
        <v/>
      </c>
    </row>
    <row r="3263" spans="3:3">
      <c r="C3263" s="160" t="str">
        <f t="shared" si="69"/>
        <v/>
      </c>
    </row>
    <row r="3264" spans="3:3">
      <c r="C3264" s="160" t="str">
        <f t="shared" si="69"/>
        <v/>
      </c>
    </row>
    <row r="3265" spans="3:3">
      <c r="C3265" s="160" t="str">
        <f t="shared" si="69"/>
        <v/>
      </c>
    </row>
    <row r="3266" spans="3:3">
      <c r="C3266" s="160" t="str">
        <f t="shared" si="69"/>
        <v/>
      </c>
    </row>
    <row r="3267" spans="3:3">
      <c r="C3267" s="160" t="str">
        <f t="shared" si="69"/>
        <v/>
      </c>
    </row>
    <row r="3268" spans="3:3">
      <c r="C3268" s="160" t="str">
        <f t="shared" si="69"/>
        <v/>
      </c>
    </row>
    <row r="3269" spans="3:3">
      <c r="C3269" s="160" t="str">
        <f t="shared" si="69"/>
        <v/>
      </c>
    </row>
    <row r="3270" spans="3:3">
      <c r="C3270" s="160" t="str">
        <f t="shared" si="69"/>
        <v/>
      </c>
    </row>
    <row r="3271" spans="3:3">
      <c r="C3271" s="160" t="str">
        <f t="shared" si="69"/>
        <v/>
      </c>
    </row>
    <row r="3272" spans="3:3">
      <c r="C3272" s="160" t="str">
        <f t="shared" si="69"/>
        <v/>
      </c>
    </row>
    <row r="3273" spans="3:3">
      <c r="C3273" s="160" t="str">
        <f t="shared" si="69"/>
        <v/>
      </c>
    </row>
    <row r="3274" spans="3:3">
      <c r="C3274" s="160" t="str">
        <f t="shared" si="69"/>
        <v/>
      </c>
    </row>
    <row r="3275" spans="3:3">
      <c r="C3275" s="160" t="str">
        <f t="shared" si="69"/>
        <v/>
      </c>
    </row>
    <row r="3276" spans="3:3">
      <c r="C3276" s="160" t="str">
        <f t="shared" si="69"/>
        <v/>
      </c>
    </row>
    <row r="3277" spans="3:3">
      <c r="C3277" s="160" t="str">
        <f t="shared" ref="C3277:C3340" si="70">D3277&amp;I3277</f>
        <v/>
      </c>
    </row>
    <row r="3278" spans="3:3">
      <c r="C3278" s="160" t="str">
        <f t="shared" si="70"/>
        <v/>
      </c>
    </row>
    <row r="3279" spans="3:3">
      <c r="C3279" s="160" t="str">
        <f t="shared" si="70"/>
        <v/>
      </c>
    </row>
    <row r="3280" spans="3:3">
      <c r="C3280" s="160" t="str">
        <f t="shared" si="70"/>
        <v/>
      </c>
    </row>
    <row r="3281" spans="3:3">
      <c r="C3281" s="160" t="str">
        <f t="shared" si="70"/>
        <v/>
      </c>
    </row>
    <row r="3282" spans="3:3">
      <c r="C3282" s="160" t="str">
        <f t="shared" si="70"/>
        <v/>
      </c>
    </row>
    <row r="3283" spans="3:3">
      <c r="C3283" s="160" t="str">
        <f t="shared" si="70"/>
        <v/>
      </c>
    </row>
    <row r="3284" spans="3:3">
      <c r="C3284" s="160" t="str">
        <f t="shared" si="70"/>
        <v/>
      </c>
    </row>
    <row r="3285" spans="3:3">
      <c r="C3285" s="160" t="str">
        <f t="shared" si="70"/>
        <v/>
      </c>
    </row>
    <row r="3286" spans="3:3">
      <c r="C3286" s="160" t="str">
        <f t="shared" si="70"/>
        <v/>
      </c>
    </row>
    <row r="3287" spans="3:3">
      <c r="C3287" s="160" t="str">
        <f t="shared" si="70"/>
        <v/>
      </c>
    </row>
    <row r="3288" spans="3:3">
      <c r="C3288" s="160" t="str">
        <f t="shared" si="70"/>
        <v/>
      </c>
    </row>
    <row r="3289" spans="3:3">
      <c r="C3289" s="160" t="str">
        <f t="shared" si="70"/>
        <v/>
      </c>
    </row>
    <row r="3290" spans="3:3">
      <c r="C3290" s="160" t="str">
        <f t="shared" si="70"/>
        <v/>
      </c>
    </row>
    <row r="3291" spans="3:3">
      <c r="C3291" s="160" t="str">
        <f t="shared" si="70"/>
        <v/>
      </c>
    </row>
    <row r="3292" spans="3:3">
      <c r="C3292" s="160" t="str">
        <f t="shared" si="70"/>
        <v/>
      </c>
    </row>
    <row r="3293" spans="3:3">
      <c r="C3293" s="160" t="str">
        <f t="shared" si="70"/>
        <v/>
      </c>
    </row>
    <row r="3294" spans="3:3">
      <c r="C3294" s="160" t="str">
        <f t="shared" si="70"/>
        <v/>
      </c>
    </row>
    <row r="3295" spans="3:3">
      <c r="C3295" s="160" t="str">
        <f t="shared" si="70"/>
        <v/>
      </c>
    </row>
    <row r="3296" spans="3:3">
      <c r="C3296" s="160" t="str">
        <f t="shared" si="70"/>
        <v/>
      </c>
    </row>
    <row r="3297" spans="3:3">
      <c r="C3297" s="160" t="str">
        <f t="shared" si="70"/>
        <v/>
      </c>
    </row>
    <row r="3298" spans="3:3">
      <c r="C3298" s="160" t="str">
        <f t="shared" si="70"/>
        <v/>
      </c>
    </row>
    <row r="3299" spans="3:3">
      <c r="C3299" s="160" t="str">
        <f t="shared" si="70"/>
        <v/>
      </c>
    </row>
    <row r="3300" spans="3:3">
      <c r="C3300" s="160" t="str">
        <f t="shared" si="70"/>
        <v/>
      </c>
    </row>
    <row r="3301" spans="3:3">
      <c r="C3301" s="160" t="str">
        <f t="shared" si="70"/>
        <v/>
      </c>
    </row>
    <row r="3302" spans="3:3">
      <c r="C3302" s="160" t="str">
        <f t="shared" si="70"/>
        <v/>
      </c>
    </row>
    <row r="3303" spans="3:3">
      <c r="C3303" s="160" t="str">
        <f t="shared" si="70"/>
        <v/>
      </c>
    </row>
    <row r="3304" spans="3:3">
      <c r="C3304" s="160" t="str">
        <f t="shared" si="70"/>
        <v/>
      </c>
    </row>
    <row r="3305" spans="3:3">
      <c r="C3305" s="160" t="str">
        <f t="shared" si="70"/>
        <v/>
      </c>
    </row>
    <row r="3306" spans="3:3">
      <c r="C3306" s="160" t="str">
        <f t="shared" si="70"/>
        <v/>
      </c>
    </row>
    <row r="3307" spans="3:3">
      <c r="C3307" s="160" t="str">
        <f t="shared" si="70"/>
        <v/>
      </c>
    </row>
    <row r="3308" spans="3:3">
      <c r="C3308" s="160" t="str">
        <f t="shared" si="70"/>
        <v/>
      </c>
    </row>
    <row r="3309" spans="3:3">
      <c r="C3309" s="160" t="str">
        <f t="shared" si="70"/>
        <v/>
      </c>
    </row>
    <row r="3310" spans="3:3">
      <c r="C3310" s="160" t="str">
        <f t="shared" si="70"/>
        <v/>
      </c>
    </row>
    <row r="3311" spans="3:3">
      <c r="C3311" s="160" t="str">
        <f t="shared" si="70"/>
        <v/>
      </c>
    </row>
    <row r="3312" spans="3:3">
      <c r="C3312" s="160" t="str">
        <f t="shared" si="70"/>
        <v/>
      </c>
    </row>
    <row r="3313" spans="3:3">
      <c r="C3313" s="160" t="str">
        <f t="shared" si="70"/>
        <v/>
      </c>
    </row>
    <row r="3314" spans="3:3">
      <c r="C3314" s="160" t="str">
        <f t="shared" si="70"/>
        <v/>
      </c>
    </row>
    <row r="3315" spans="3:3">
      <c r="C3315" s="160" t="str">
        <f t="shared" si="70"/>
        <v/>
      </c>
    </row>
    <row r="3316" spans="3:3">
      <c r="C3316" s="160" t="str">
        <f t="shared" si="70"/>
        <v/>
      </c>
    </row>
    <row r="3317" spans="3:3">
      <c r="C3317" s="160" t="str">
        <f t="shared" si="70"/>
        <v/>
      </c>
    </row>
    <row r="3318" spans="3:3">
      <c r="C3318" s="160" t="str">
        <f t="shared" si="70"/>
        <v/>
      </c>
    </row>
    <row r="3319" spans="3:3">
      <c r="C3319" s="160" t="str">
        <f t="shared" si="70"/>
        <v/>
      </c>
    </row>
    <row r="3320" spans="3:3">
      <c r="C3320" s="160" t="str">
        <f t="shared" si="70"/>
        <v/>
      </c>
    </row>
    <row r="3321" spans="3:3">
      <c r="C3321" s="160" t="str">
        <f t="shared" si="70"/>
        <v/>
      </c>
    </row>
    <row r="3322" spans="3:3">
      <c r="C3322" s="160" t="str">
        <f t="shared" si="70"/>
        <v/>
      </c>
    </row>
    <row r="3323" spans="3:3">
      <c r="C3323" s="160" t="str">
        <f t="shared" si="70"/>
        <v/>
      </c>
    </row>
    <row r="3324" spans="3:3">
      <c r="C3324" s="160" t="str">
        <f t="shared" si="70"/>
        <v/>
      </c>
    </row>
    <row r="3325" spans="3:3">
      <c r="C3325" s="160" t="str">
        <f t="shared" si="70"/>
        <v/>
      </c>
    </row>
    <row r="3326" spans="3:3">
      <c r="C3326" s="160" t="str">
        <f t="shared" si="70"/>
        <v/>
      </c>
    </row>
    <row r="3327" spans="3:3">
      <c r="C3327" s="160" t="str">
        <f t="shared" si="70"/>
        <v/>
      </c>
    </row>
    <row r="3328" spans="3:3">
      <c r="C3328" s="160" t="str">
        <f t="shared" si="70"/>
        <v/>
      </c>
    </row>
    <row r="3329" spans="3:3">
      <c r="C3329" s="160" t="str">
        <f t="shared" si="70"/>
        <v/>
      </c>
    </row>
    <row r="3330" spans="3:3">
      <c r="C3330" s="160" t="str">
        <f t="shared" si="70"/>
        <v/>
      </c>
    </row>
    <row r="3331" spans="3:3">
      <c r="C3331" s="160" t="str">
        <f t="shared" si="70"/>
        <v/>
      </c>
    </row>
    <row r="3332" spans="3:3">
      <c r="C3332" s="160" t="str">
        <f t="shared" si="70"/>
        <v/>
      </c>
    </row>
    <row r="3333" spans="3:3">
      <c r="C3333" s="160" t="str">
        <f t="shared" si="70"/>
        <v/>
      </c>
    </row>
    <row r="3334" spans="3:3">
      <c r="C3334" s="160" t="str">
        <f t="shared" si="70"/>
        <v/>
      </c>
    </row>
    <row r="3335" spans="3:3">
      <c r="C3335" s="160" t="str">
        <f t="shared" si="70"/>
        <v/>
      </c>
    </row>
    <row r="3336" spans="3:3">
      <c r="C3336" s="160" t="str">
        <f t="shared" si="70"/>
        <v/>
      </c>
    </row>
    <row r="3337" spans="3:3">
      <c r="C3337" s="160" t="str">
        <f t="shared" si="70"/>
        <v/>
      </c>
    </row>
    <row r="3338" spans="3:3">
      <c r="C3338" s="160" t="str">
        <f t="shared" si="70"/>
        <v/>
      </c>
    </row>
    <row r="3339" spans="3:3">
      <c r="C3339" s="160" t="str">
        <f t="shared" si="70"/>
        <v/>
      </c>
    </row>
    <row r="3340" spans="3:3">
      <c r="C3340" s="160" t="str">
        <f t="shared" si="70"/>
        <v/>
      </c>
    </row>
    <row r="3341" spans="3:3">
      <c r="C3341" s="160" t="str">
        <f t="shared" ref="C3341:C3404" si="71">D3341&amp;I3341</f>
        <v/>
      </c>
    </row>
    <row r="3342" spans="3:3">
      <c r="C3342" s="160" t="str">
        <f t="shared" si="71"/>
        <v/>
      </c>
    </row>
    <row r="3343" spans="3:3">
      <c r="C3343" s="160" t="str">
        <f t="shared" si="71"/>
        <v/>
      </c>
    </row>
    <row r="3344" spans="3:3">
      <c r="C3344" s="160" t="str">
        <f t="shared" si="71"/>
        <v/>
      </c>
    </row>
    <row r="3345" spans="3:3">
      <c r="C3345" s="160" t="str">
        <f t="shared" si="71"/>
        <v/>
      </c>
    </row>
    <row r="3346" spans="3:3">
      <c r="C3346" s="160" t="str">
        <f t="shared" si="71"/>
        <v/>
      </c>
    </row>
    <row r="3347" spans="3:3">
      <c r="C3347" s="160" t="str">
        <f t="shared" si="71"/>
        <v/>
      </c>
    </row>
    <row r="3348" spans="3:3">
      <c r="C3348" s="160" t="str">
        <f t="shared" si="71"/>
        <v/>
      </c>
    </row>
    <row r="3349" spans="3:3">
      <c r="C3349" s="160" t="str">
        <f t="shared" si="71"/>
        <v/>
      </c>
    </row>
    <row r="3350" spans="3:3">
      <c r="C3350" s="160" t="str">
        <f t="shared" si="71"/>
        <v/>
      </c>
    </row>
    <row r="3351" spans="3:3">
      <c r="C3351" s="160" t="str">
        <f t="shared" si="71"/>
        <v/>
      </c>
    </row>
    <row r="3352" spans="3:3">
      <c r="C3352" s="160" t="str">
        <f t="shared" si="71"/>
        <v/>
      </c>
    </row>
    <row r="3353" spans="3:3">
      <c r="C3353" s="160" t="str">
        <f t="shared" si="71"/>
        <v/>
      </c>
    </row>
    <row r="3354" spans="3:3">
      <c r="C3354" s="160" t="str">
        <f t="shared" si="71"/>
        <v/>
      </c>
    </row>
    <row r="3355" spans="3:3">
      <c r="C3355" s="160" t="str">
        <f t="shared" si="71"/>
        <v/>
      </c>
    </row>
    <row r="3356" spans="3:3">
      <c r="C3356" s="160" t="str">
        <f t="shared" si="71"/>
        <v/>
      </c>
    </row>
    <row r="3357" spans="3:3">
      <c r="C3357" s="160" t="str">
        <f t="shared" si="71"/>
        <v/>
      </c>
    </row>
    <row r="3358" spans="3:3">
      <c r="C3358" s="160" t="str">
        <f t="shared" si="71"/>
        <v/>
      </c>
    </row>
    <row r="3359" spans="3:3">
      <c r="C3359" s="160" t="str">
        <f t="shared" si="71"/>
        <v/>
      </c>
    </row>
    <row r="3360" spans="3:3">
      <c r="C3360" s="160" t="str">
        <f t="shared" si="71"/>
        <v/>
      </c>
    </row>
    <row r="3361" spans="3:3">
      <c r="C3361" s="160" t="str">
        <f t="shared" si="71"/>
        <v/>
      </c>
    </row>
    <row r="3362" spans="3:3">
      <c r="C3362" s="160" t="str">
        <f t="shared" si="71"/>
        <v/>
      </c>
    </row>
    <row r="3363" spans="3:3">
      <c r="C3363" s="160" t="str">
        <f t="shared" si="71"/>
        <v/>
      </c>
    </row>
    <row r="3364" spans="3:3">
      <c r="C3364" s="160" t="str">
        <f t="shared" si="71"/>
        <v/>
      </c>
    </row>
    <row r="3365" spans="3:3">
      <c r="C3365" s="160" t="str">
        <f t="shared" si="71"/>
        <v/>
      </c>
    </row>
    <row r="3366" spans="3:3">
      <c r="C3366" s="160" t="str">
        <f t="shared" si="71"/>
        <v/>
      </c>
    </row>
    <row r="3367" spans="3:3">
      <c r="C3367" s="160" t="str">
        <f t="shared" si="71"/>
        <v/>
      </c>
    </row>
    <row r="3368" spans="3:3">
      <c r="C3368" s="160" t="str">
        <f t="shared" si="71"/>
        <v/>
      </c>
    </row>
    <row r="3369" spans="3:3">
      <c r="C3369" s="160" t="str">
        <f t="shared" si="71"/>
        <v/>
      </c>
    </row>
    <row r="3370" spans="3:3">
      <c r="C3370" s="160" t="str">
        <f t="shared" si="71"/>
        <v/>
      </c>
    </row>
    <row r="3371" spans="3:3">
      <c r="C3371" s="160" t="str">
        <f t="shared" si="71"/>
        <v/>
      </c>
    </row>
    <row r="3372" spans="3:3">
      <c r="C3372" s="160" t="str">
        <f t="shared" si="71"/>
        <v/>
      </c>
    </row>
    <row r="3373" spans="3:3">
      <c r="C3373" s="160" t="str">
        <f t="shared" si="71"/>
        <v/>
      </c>
    </row>
    <row r="3374" spans="3:3">
      <c r="C3374" s="160" t="str">
        <f t="shared" si="71"/>
        <v/>
      </c>
    </row>
    <row r="3375" spans="3:3">
      <c r="C3375" s="160" t="str">
        <f t="shared" si="71"/>
        <v/>
      </c>
    </row>
    <row r="3376" spans="3:3">
      <c r="C3376" s="160" t="str">
        <f t="shared" si="71"/>
        <v/>
      </c>
    </row>
    <row r="3377" spans="3:3">
      <c r="C3377" s="160" t="str">
        <f t="shared" si="71"/>
        <v/>
      </c>
    </row>
    <row r="3378" spans="3:3">
      <c r="C3378" s="160" t="str">
        <f t="shared" si="71"/>
        <v/>
      </c>
    </row>
    <row r="3379" spans="3:3">
      <c r="C3379" s="160" t="str">
        <f t="shared" si="71"/>
        <v/>
      </c>
    </row>
    <row r="3380" spans="3:3">
      <c r="C3380" s="160" t="str">
        <f t="shared" si="71"/>
        <v/>
      </c>
    </row>
    <row r="3381" spans="3:3">
      <c r="C3381" s="160" t="str">
        <f t="shared" si="71"/>
        <v/>
      </c>
    </row>
    <row r="3382" spans="3:3">
      <c r="C3382" s="160" t="str">
        <f t="shared" si="71"/>
        <v/>
      </c>
    </row>
    <row r="3383" spans="3:3">
      <c r="C3383" s="160" t="str">
        <f t="shared" si="71"/>
        <v/>
      </c>
    </row>
    <row r="3384" spans="3:3">
      <c r="C3384" s="160" t="str">
        <f t="shared" si="71"/>
        <v/>
      </c>
    </row>
    <row r="3385" spans="3:3">
      <c r="C3385" s="160" t="str">
        <f t="shared" si="71"/>
        <v/>
      </c>
    </row>
    <row r="3386" spans="3:3">
      <c r="C3386" s="160" t="str">
        <f t="shared" si="71"/>
        <v/>
      </c>
    </row>
    <row r="3387" spans="3:3">
      <c r="C3387" s="160" t="str">
        <f t="shared" si="71"/>
        <v/>
      </c>
    </row>
    <row r="3388" spans="3:3">
      <c r="C3388" s="160" t="str">
        <f t="shared" si="71"/>
        <v/>
      </c>
    </row>
    <row r="3389" spans="3:3">
      <c r="C3389" s="160" t="str">
        <f t="shared" si="71"/>
        <v/>
      </c>
    </row>
    <row r="3390" spans="3:3">
      <c r="C3390" s="160" t="str">
        <f t="shared" si="71"/>
        <v/>
      </c>
    </row>
    <row r="3391" spans="3:3">
      <c r="C3391" s="160" t="str">
        <f t="shared" si="71"/>
        <v/>
      </c>
    </row>
    <row r="3392" spans="3:3">
      <c r="C3392" s="160" t="str">
        <f t="shared" si="71"/>
        <v/>
      </c>
    </row>
    <row r="3393" spans="3:3">
      <c r="C3393" s="160" t="str">
        <f t="shared" si="71"/>
        <v/>
      </c>
    </row>
    <row r="3394" spans="3:3">
      <c r="C3394" s="160" t="str">
        <f t="shared" si="71"/>
        <v/>
      </c>
    </row>
    <row r="3395" spans="3:3">
      <c r="C3395" s="160" t="str">
        <f t="shared" si="71"/>
        <v/>
      </c>
    </row>
    <row r="3396" spans="3:3">
      <c r="C3396" s="160" t="str">
        <f t="shared" si="71"/>
        <v/>
      </c>
    </row>
    <row r="3397" spans="3:3">
      <c r="C3397" s="160" t="str">
        <f t="shared" si="71"/>
        <v/>
      </c>
    </row>
    <row r="3398" spans="3:3">
      <c r="C3398" s="160" t="str">
        <f t="shared" si="71"/>
        <v/>
      </c>
    </row>
    <row r="3399" spans="3:3">
      <c r="C3399" s="160" t="str">
        <f t="shared" si="71"/>
        <v/>
      </c>
    </row>
    <row r="3400" spans="3:3">
      <c r="C3400" s="160" t="str">
        <f t="shared" si="71"/>
        <v/>
      </c>
    </row>
    <row r="3401" spans="3:3">
      <c r="C3401" s="160" t="str">
        <f t="shared" si="71"/>
        <v/>
      </c>
    </row>
    <row r="3402" spans="3:3">
      <c r="C3402" s="160" t="str">
        <f t="shared" si="71"/>
        <v/>
      </c>
    </row>
    <row r="3403" spans="3:3">
      <c r="C3403" s="160" t="str">
        <f t="shared" si="71"/>
        <v/>
      </c>
    </row>
    <row r="3404" spans="3:3">
      <c r="C3404" s="160" t="str">
        <f t="shared" si="71"/>
        <v/>
      </c>
    </row>
    <row r="3405" spans="3:3">
      <c r="C3405" s="160" t="str">
        <f t="shared" ref="C3405:C3468" si="72">D3405&amp;I3405</f>
        <v/>
      </c>
    </row>
    <row r="3406" spans="3:3">
      <c r="C3406" s="160" t="str">
        <f t="shared" si="72"/>
        <v/>
      </c>
    </row>
    <row r="3407" spans="3:3">
      <c r="C3407" s="160" t="str">
        <f t="shared" si="72"/>
        <v/>
      </c>
    </row>
    <row r="3408" spans="3:3">
      <c r="C3408" s="160" t="str">
        <f t="shared" si="72"/>
        <v/>
      </c>
    </row>
    <row r="3409" spans="3:3">
      <c r="C3409" s="160" t="str">
        <f t="shared" si="72"/>
        <v/>
      </c>
    </row>
    <row r="3410" spans="3:3">
      <c r="C3410" s="160" t="str">
        <f t="shared" si="72"/>
        <v/>
      </c>
    </row>
    <row r="3411" spans="3:3">
      <c r="C3411" s="160" t="str">
        <f t="shared" si="72"/>
        <v/>
      </c>
    </row>
    <row r="3412" spans="3:3">
      <c r="C3412" s="160" t="str">
        <f t="shared" si="72"/>
        <v/>
      </c>
    </row>
    <row r="3413" spans="3:3">
      <c r="C3413" s="160" t="str">
        <f t="shared" si="72"/>
        <v/>
      </c>
    </row>
    <row r="3414" spans="3:3">
      <c r="C3414" s="160" t="str">
        <f t="shared" si="72"/>
        <v/>
      </c>
    </row>
    <row r="3415" spans="3:3">
      <c r="C3415" s="160" t="str">
        <f t="shared" si="72"/>
        <v/>
      </c>
    </row>
    <row r="3416" spans="3:3">
      <c r="C3416" s="160" t="str">
        <f t="shared" si="72"/>
        <v/>
      </c>
    </row>
    <row r="3417" spans="3:3">
      <c r="C3417" s="160" t="str">
        <f t="shared" si="72"/>
        <v/>
      </c>
    </row>
    <row r="3418" spans="3:3">
      <c r="C3418" s="160" t="str">
        <f t="shared" si="72"/>
        <v/>
      </c>
    </row>
    <row r="3419" spans="3:3">
      <c r="C3419" s="160" t="str">
        <f t="shared" si="72"/>
        <v/>
      </c>
    </row>
    <row r="3420" spans="3:3">
      <c r="C3420" s="160" t="str">
        <f t="shared" si="72"/>
        <v/>
      </c>
    </row>
    <row r="3421" spans="3:3">
      <c r="C3421" s="160" t="str">
        <f t="shared" si="72"/>
        <v/>
      </c>
    </row>
    <row r="3422" spans="3:3">
      <c r="C3422" s="160" t="str">
        <f t="shared" si="72"/>
        <v/>
      </c>
    </row>
    <row r="3423" spans="3:3">
      <c r="C3423" s="160" t="str">
        <f t="shared" si="72"/>
        <v/>
      </c>
    </row>
    <row r="3424" spans="3:3">
      <c r="C3424" s="160" t="str">
        <f t="shared" si="72"/>
        <v/>
      </c>
    </row>
    <row r="3425" spans="3:3">
      <c r="C3425" s="160" t="str">
        <f t="shared" si="72"/>
        <v/>
      </c>
    </row>
    <row r="3426" spans="3:3">
      <c r="C3426" s="160" t="str">
        <f t="shared" si="72"/>
        <v/>
      </c>
    </row>
    <row r="3427" spans="3:3">
      <c r="C3427" s="160" t="str">
        <f t="shared" si="72"/>
        <v/>
      </c>
    </row>
    <row r="3428" spans="3:3">
      <c r="C3428" s="160" t="str">
        <f t="shared" si="72"/>
        <v/>
      </c>
    </row>
    <row r="3429" spans="3:3">
      <c r="C3429" s="160" t="str">
        <f t="shared" si="72"/>
        <v/>
      </c>
    </row>
    <row r="3430" spans="3:3">
      <c r="C3430" s="160" t="str">
        <f t="shared" si="72"/>
        <v/>
      </c>
    </row>
    <row r="3431" spans="3:3">
      <c r="C3431" s="160" t="str">
        <f t="shared" si="72"/>
        <v/>
      </c>
    </row>
    <row r="3432" spans="3:3">
      <c r="C3432" s="160" t="str">
        <f t="shared" si="72"/>
        <v/>
      </c>
    </row>
    <row r="3433" spans="3:3">
      <c r="C3433" s="160" t="str">
        <f t="shared" si="72"/>
        <v/>
      </c>
    </row>
    <row r="3434" spans="3:3">
      <c r="C3434" s="160" t="str">
        <f t="shared" si="72"/>
        <v/>
      </c>
    </row>
    <row r="3435" spans="3:3">
      <c r="C3435" s="160" t="str">
        <f t="shared" si="72"/>
        <v/>
      </c>
    </row>
    <row r="3436" spans="3:3">
      <c r="C3436" s="160" t="str">
        <f t="shared" si="72"/>
        <v/>
      </c>
    </row>
    <row r="3437" spans="3:3">
      <c r="C3437" s="160" t="str">
        <f t="shared" si="72"/>
        <v/>
      </c>
    </row>
    <row r="3438" spans="3:3">
      <c r="C3438" s="160" t="str">
        <f t="shared" si="72"/>
        <v/>
      </c>
    </row>
    <row r="3439" spans="3:3">
      <c r="C3439" s="160" t="str">
        <f t="shared" si="72"/>
        <v/>
      </c>
    </row>
    <row r="3440" spans="3:3">
      <c r="C3440" s="160" t="str">
        <f t="shared" si="72"/>
        <v/>
      </c>
    </row>
    <row r="3441" spans="3:3">
      <c r="C3441" s="160" t="str">
        <f t="shared" si="72"/>
        <v/>
      </c>
    </row>
    <row r="3442" spans="3:3">
      <c r="C3442" s="160" t="str">
        <f t="shared" si="72"/>
        <v/>
      </c>
    </row>
    <row r="3443" spans="3:3">
      <c r="C3443" s="160" t="str">
        <f t="shared" si="72"/>
        <v/>
      </c>
    </row>
    <row r="3444" spans="3:3">
      <c r="C3444" s="160" t="str">
        <f t="shared" si="72"/>
        <v/>
      </c>
    </row>
    <row r="3445" spans="3:3">
      <c r="C3445" s="160" t="str">
        <f t="shared" si="72"/>
        <v/>
      </c>
    </row>
    <row r="3446" spans="3:3">
      <c r="C3446" s="160" t="str">
        <f t="shared" si="72"/>
        <v/>
      </c>
    </row>
    <row r="3447" spans="3:3">
      <c r="C3447" s="160" t="str">
        <f t="shared" si="72"/>
        <v/>
      </c>
    </row>
    <row r="3448" spans="3:3">
      <c r="C3448" s="160" t="str">
        <f t="shared" si="72"/>
        <v/>
      </c>
    </row>
    <row r="3449" spans="3:3">
      <c r="C3449" s="160" t="str">
        <f t="shared" si="72"/>
        <v/>
      </c>
    </row>
    <row r="3450" spans="3:3">
      <c r="C3450" s="160" t="str">
        <f t="shared" si="72"/>
        <v/>
      </c>
    </row>
    <row r="3451" spans="3:3">
      <c r="C3451" s="160" t="str">
        <f t="shared" si="72"/>
        <v/>
      </c>
    </row>
    <row r="3452" spans="3:3">
      <c r="C3452" s="160" t="str">
        <f t="shared" si="72"/>
        <v/>
      </c>
    </row>
    <row r="3453" spans="3:3">
      <c r="C3453" s="160" t="str">
        <f t="shared" si="72"/>
        <v/>
      </c>
    </row>
    <row r="3454" spans="3:3">
      <c r="C3454" s="160" t="str">
        <f t="shared" si="72"/>
        <v/>
      </c>
    </row>
    <row r="3455" spans="3:3">
      <c r="C3455" s="160" t="str">
        <f t="shared" si="72"/>
        <v/>
      </c>
    </row>
    <row r="3456" spans="3:3">
      <c r="C3456" s="160" t="str">
        <f t="shared" si="72"/>
        <v/>
      </c>
    </row>
    <row r="3457" spans="3:3">
      <c r="C3457" s="160" t="str">
        <f t="shared" si="72"/>
        <v/>
      </c>
    </row>
    <row r="3458" spans="3:3">
      <c r="C3458" s="160" t="str">
        <f t="shared" si="72"/>
        <v/>
      </c>
    </row>
    <row r="3459" spans="3:3">
      <c r="C3459" s="160" t="str">
        <f t="shared" si="72"/>
        <v/>
      </c>
    </row>
    <row r="3460" spans="3:3">
      <c r="C3460" s="160" t="str">
        <f t="shared" si="72"/>
        <v/>
      </c>
    </row>
    <row r="3461" spans="3:3">
      <c r="C3461" s="160" t="str">
        <f t="shared" si="72"/>
        <v/>
      </c>
    </row>
    <row r="3462" spans="3:3">
      <c r="C3462" s="160" t="str">
        <f t="shared" si="72"/>
        <v/>
      </c>
    </row>
    <row r="3463" spans="3:3">
      <c r="C3463" s="160" t="str">
        <f t="shared" si="72"/>
        <v/>
      </c>
    </row>
    <row r="3464" spans="3:3">
      <c r="C3464" s="160" t="str">
        <f t="shared" si="72"/>
        <v/>
      </c>
    </row>
    <row r="3465" spans="3:3">
      <c r="C3465" s="160" t="str">
        <f t="shared" si="72"/>
        <v/>
      </c>
    </row>
    <row r="3466" spans="3:3">
      <c r="C3466" s="160" t="str">
        <f t="shared" si="72"/>
        <v/>
      </c>
    </row>
    <row r="3467" spans="3:3">
      <c r="C3467" s="160" t="str">
        <f t="shared" si="72"/>
        <v/>
      </c>
    </row>
    <row r="3468" spans="3:3">
      <c r="C3468" s="160" t="str">
        <f t="shared" si="72"/>
        <v/>
      </c>
    </row>
    <row r="3469" spans="3:3">
      <c r="C3469" s="160" t="str">
        <f t="shared" ref="C3469:C3532" si="73">D3469&amp;I3469</f>
        <v/>
      </c>
    </row>
    <row r="3470" spans="3:3">
      <c r="C3470" s="160" t="str">
        <f t="shared" si="73"/>
        <v/>
      </c>
    </row>
    <row r="3471" spans="3:3">
      <c r="C3471" s="160" t="str">
        <f t="shared" si="73"/>
        <v/>
      </c>
    </row>
    <row r="3472" spans="3:3">
      <c r="C3472" s="160" t="str">
        <f t="shared" si="73"/>
        <v/>
      </c>
    </row>
    <row r="3473" spans="3:3">
      <c r="C3473" s="160" t="str">
        <f t="shared" si="73"/>
        <v/>
      </c>
    </row>
    <row r="3474" spans="3:3">
      <c r="C3474" s="160" t="str">
        <f t="shared" si="73"/>
        <v/>
      </c>
    </row>
    <row r="3475" spans="3:3">
      <c r="C3475" s="160" t="str">
        <f t="shared" si="73"/>
        <v/>
      </c>
    </row>
    <row r="3476" spans="3:3">
      <c r="C3476" s="160" t="str">
        <f t="shared" si="73"/>
        <v/>
      </c>
    </row>
    <row r="3477" spans="3:3">
      <c r="C3477" s="160" t="str">
        <f t="shared" si="73"/>
        <v/>
      </c>
    </row>
    <row r="3478" spans="3:3">
      <c r="C3478" s="160" t="str">
        <f t="shared" si="73"/>
        <v/>
      </c>
    </row>
    <row r="3479" spans="3:3">
      <c r="C3479" s="160" t="str">
        <f t="shared" si="73"/>
        <v/>
      </c>
    </row>
    <row r="3480" spans="3:3">
      <c r="C3480" s="160" t="str">
        <f t="shared" si="73"/>
        <v/>
      </c>
    </row>
    <row r="3481" spans="3:3">
      <c r="C3481" s="160" t="str">
        <f t="shared" si="73"/>
        <v/>
      </c>
    </row>
    <row r="3482" spans="3:3">
      <c r="C3482" s="160" t="str">
        <f t="shared" si="73"/>
        <v/>
      </c>
    </row>
    <row r="3483" spans="3:3">
      <c r="C3483" s="160" t="str">
        <f t="shared" si="73"/>
        <v/>
      </c>
    </row>
    <row r="3484" spans="3:3">
      <c r="C3484" s="160" t="str">
        <f t="shared" si="73"/>
        <v/>
      </c>
    </row>
    <row r="3485" spans="3:3">
      <c r="C3485" s="160" t="str">
        <f t="shared" si="73"/>
        <v/>
      </c>
    </row>
    <row r="3486" spans="3:3">
      <c r="C3486" s="160" t="str">
        <f t="shared" si="73"/>
        <v/>
      </c>
    </row>
    <row r="3487" spans="3:3">
      <c r="C3487" s="160" t="str">
        <f t="shared" si="73"/>
        <v/>
      </c>
    </row>
    <row r="3488" spans="3:3">
      <c r="C3488" s="160" t="str">
        <f t="shared" si="73"/>
        <v/>
      </c>
    </row>
    <row r="3489" spans="3:3">
      <c r="C3489" s="160" t="str">
        <f t="shared" si="73"/>
        <v/>
      </c>
    </row>
    <row r="3490" spans="3:3">
      <c r="C3490" s="160" t="str">
        <f t="shared" si="73"/>
        <v/>
      </c>
    </row>
    <row r="3491" spans="3:3">
      <c r="C3491" s="160" t="str">
        <f t="shared" si="73"/>
        <v/>
      </c>
    </row>
    <row r="3492" spans="3:3">
      <c r="C3492" s="160" t="str">
        <f t="shared" si="73"/>
        <v/>
      </c>
    </row>
    <row r="3493" spans="3:3">
      <c r="C3493" s="160" t="str">
        <f t="shared" si="73"/>
        <v/>
      </c>
    </row>
    <row r="3494" spans="3:3">
      <c r="C3494" s="160" t="str">
        <f t="shared" si="73"/>
        <v/>
      </c>
    </row>
    <row r="3495" spans="3:3">
      <c r="C3495" s="160" t="str">
        <f t="shared" si="73"/>
        <v/>
      </c>
    </row>
    <row r="3496" spans="3:3">
      <c r="C3496" s="160" t="str">
        <f t="shared" si="73"/>
        <v/>
      </c>
    </row>
    <row r="3497" spans="3:3">
      <c r="C3497" s="160" t="str">
        <f t="shared" si="73"/>
        <v/>
      </c>
    </row>
    <row r="3498" spans="3:3">
      <c r="C3498" s="160" t="str">
        <f t="shared" si="73"/>
        <v/>
      </c>
    </row>
    <row r="3499" spans="3:3">
      <c r="C3499" s="160" t="str">
        <f t="shared" si="73"/>
        <v/>
      </c>
    </row>
    <row r="3500" spans="3:3">
      <c r="C3500" s="160" t="str">
        <f t="shared" si="73"/>
        <v/>
      </c>
    </row>
    <row r="3501" spans="3:3">
      <c r="C3501" s="160" t="str">
        <f t="shared" si="73"/>
        <v/>
      </c>
    </row>
    <row r="3502" spans="3:3">
      <c r="C3502" s="160" t="str">
        <f t="shared" si="73"/>
        <v/>
      </c>
    </row>
    <row r="3503" spans="3:3">
      <c r="C3503" s="160" t="str">
        <f t="shared" si="73"/>
        <v/>
      </c>
    </row>
    <row r="3504" spans="3:3">
      <c r="C3504" s="160" t="str">
        <f t="shared" si="73"/>
        <v/>
      </c>
    </row>
    <row r="3505" spans="3:3">
      <c r="C3505" s="160" t="str">
        <f t="shared" si="73"/>
        <v/>
      </c>
    </row>
    <row r="3506" spans="3:3">
      <c r="C3506" s="160" t="str">
        <f t="shared" si="73"/>
        <v/>
      </c>
    </row>
    <row r="3507" spans="3:3">
      <c r="C3507" s="160" t="str">
        <f t="shared" si="73"/>
        <v/>
      </c>
    </row>
    <row r="3508" spans="3:3">
      <c r="C3508" s="160" t="str">
        <f t="shared" si="73"/>
        <v/>
      </c>
    </row>
    <row r="3509" spans="3:3">
      <c r="C3509" s="160" t="str">
        <f t="shared" si="73"/>
        <v/>
      </c>
    </row>
    <row r="3510" spans="3:3">
      <c r="C3510" s="160" t="str">
        <f t="shared" si="73"/>
        <v/>
      </c>
    </row>
    <row r="3511" spans="3:3">
      <c r="C3511" s="160" t="str">
        <f t="shared" si="73"/>
        <v/>
      </c>
    </row>
    <row r="3512" spans="3:3">
      <c r="C3512" s="160" t="str">
        <f t="shared" si="73"/>
        <v/>
      </c>
    </row>
    <row r="3513" spans="3:3">
      <c r="C3513" s="160" t="str">
        <f t="shared" si="73"/>
        <v/>
      </c>
    </row>
    <row r="3514" spans="3:3">
      <c r="C3514" s="160" t="str">
        <f t="shared" si="73"/>
        <v/>
      </c>
    </row>
    <row r="3515" spans="3:3">
      <c r="C3515" s="160" t="str">
        <f t="shared" si="73"/>
        <v/>
      </c>
    </row>
    <row r="3516" spans="3:3">
      <c r="C3516" s="160" t="str">
        <f t="shared" si="73"/>
        <v/>
      </c>
    </row>
    <row r="3517" spans="3:3">
      <c r="C3517" s="160" t="str">
        <f t="shared" si="73"/>
        <v/>
      </c>
    </row>
    <row r="3518" spans="3:3">
      <c r="C3518" s="160" t="str">
        <f t="shared" si="73"/>
        <v/>
      </c>
    </row>
    <row r="3519" spans="3:3">
      <c r="C3519" s="160" t="str">
        <f t="shared" si="73"/>
        <v/>
      </c>
    </row>
    <row r="3520" spans="3:3">
      <c r="C3520" s="160" t="str">
        <f t="shared" si="73"/>
        <v/>
      </c>
    </row>
    <row r="3521" spans="3:3">
      <c r="C3521" s="160" t="str">
        <f t="shared" si="73"/>
        <v/>
      </c>
    </row>
    <row r="3522" spans="3:3">
      <c r="C3522" s="160" t="str">
        <f t="shared" si="73"/>
        <v/>
      </c>
    </row>
    <row r="3523" spans="3:3">
      <c r="C3523" s="160" t="str">
        <f t="shared" si="73"/>
        <v/>
      </c>
    </row>
    <row r="3524" spans="3:3">
      <c r="C3524" s="160" t="str">
        <f t="shared" si="73"/>
        <v/>
      </c>
    </row>
    <row r="3525" spans="3:3">
      <c r="C3525" s="160" t="str">
        <f t="shared" si="73"/>
        <v/>
      </c>
    </row>
    <row r="3526" spans="3:3">
      <c r="C3526" s="160" t="str">
        <f t="shared" si="73"/>
        <v/>
      </c>
    </row>
    <row r="3527" spans="3:3">
      <c r="C3527" s="160" t="str">
        <f t="shared" si="73"/>
        <v/>
      </c>
    </row>
    <row r="3528" spans="3:3">
      <c r="C3528" s="160" t="str">
        <f t="shared" si="73"/>
        <v/>
      </c>
    </row>
    <row r="3529" spans="3:3">
      <c r="C3529" s="160" t="str">
        <f t="shared" si="73"/>
        <v/>
      </c>
    </row>
    <row r="3530" spans="3:3">
      <c r="C3530" s="160" t="str">
        <f t="shared" si="73"/>
        <v/>
      </c>
    </row>
    <row r="3531" spans="3:3">
      <c r="C3531" s="160" t="str">
        <f t="shared" si="73"/>
        <v/>
      </c>
    </row>
    <row r="3532" spans="3:3">
      <c r="C3532" s="160" t="str">
        <f t="shared" si="73"/>
        <v/>
      </c>
    </row>
    <row r="3533" spans="3:3">
      <c r="C3533" s="160" t="str">
        <f t="shared" ref="C3533:C3596" si="74">D3533&amp;I3533</f>
        <v/>
      </c>
    </row>
    <row r="3534" spans="3:3">
      <c r="C3534" s="160" t="str">
        <f t="shared" si="74"/>
        <v/>
      </c>
    </row>
    <row r="3535" spans="3:3">
      <c r="C3535" s="160" t="str">
        <f t="shared" si="74"/>
        <v/>
      </c>
    </row>
    <row r="3536" spans="3:3">
      <c r="C3536" s="160" t="str">
        <f t="shared" si="74"/>
        <v/>
      </c>
    </row>
    <row r="3537" spans="3:3">
      <c r="C3537" s="160" t="str">
        <f t="shared" si="74"/>
        <v/>
      </c>
    </row>
    <row r="3538" spans="3:3">
      <c r="C3538" s="160" t="str">
        <f t="shared" si="74"/>
        <v/>
      </c>
    </row>
    <row r="3539" spans="3:3">
      <c r="C3539" s="160" t="str">
        <f t="shared" si="74"/>
        <v/>
      </c>
    </row>
    <row r="3540" spans="3:3">
      <c r="C3540" s="160" t="str">
        <f t="shared" si="74"/>
        <v/>
      </c>
    </row>
    <row r="3541" spans="3:3">
      <c r="C3541" s="160" t="str">
        <f t="shared" si="74"/>
        <v/>
      </c>
    </row>
    <row r="3542" spans="3:3">
      <c r="C3542" s="160" t="str">
        <f t="shared" si="74"/>
        <v/>
      </c>
    </row>
    <row r="3543" spans="3:3">
      <c r="C3543" s="160" t="str">
        <f t="shared" si="74"/>
        <v/>
      </c>
    </row>
    <row r="3544" spans="3:3">
      <c r="C3544" s="160" t="str">
        <f t="shared" si="74"/>
        <v/>
      </c>
    </row>
    <row r="3545" spans="3:3">
      <c r="C3545" s="160" t="str">
        <f t="shared" si="74"/>
        <v/>
      </c>
    </row>
    <row r="3546" spans="3:3">
      <c r="C3546" s="160" t="str">
        <f t="shared" si="74"/>
        <v/>
      </c>
    </row>
    <row r="3547" spans="3:3">
      <c r="C3547" s="160" t="str">
        <f t="shared" si="74"/>
        <v/>
      </c>
    </row>
    <row r="3548" spans="3:3">
      <c r="C3548" s="160" t="str">
        <f t="shared" si="74"/>
        <v/>
      </c>
    </row>
    <row r="3549" spans="3:3">
      <c r="C3549" s="160" t="str">
        <f t="shared" si="74"/>
        <v/>
      </c>
    </row>
    <row r="3550" spans="3:3">
      <c r="C3550" s="160" t="str">
        <f t="shared" si="74"/>
        <v/>
      </c>
    </row>
    <row r="3551" spans="3:3">
      <c r="C3551" s="160" t="str">
        <f t="shared" si="74"/>
        <v/>
      </c>
    </row>
    <row r="3552" spans="3:3">
      <c r="C3552" s="160" t="str">
        <f t="shared" si="74"/>
        <v/>
      </c>
    </row>
    <row r="3553" spans="3:3">
      <c r="C3553" s="160" t="str">
        <f t="shared" si="74"/>
        <v/>
      </c>
    </row>
    <row r="3554" spans="3:3">
      <c r="C3554" s="160" t="str">
        <f t="shared" si="74"/>
        <v/>
      </c>
    </row>
    <row r="3555" spans="3:3">
      <c r="C3555" s="160" t="str">
        <f t="shared" si="74"/>
        <v/>
      </c>
    </row>
    <row r="3556" spans="3:3">
      <c r="C3556" s="160" t="str">
        <f t="shared" si="74"/>
        <v/>
      </c>
    </row>
    <row r="3557" spans="3:3">
      <c r="C3557" s="160" t="str">
        <f t="shared" si="74"/>
        <v/>
      </c>
    </row>
    <row r="3558" spans="3:3">
      <c r="C3558" s="160" t="str">
        <f t="shared" si="74"/>
        <v/>
      </c>
    </row>
    <row r="3559" spans="3:3">
      <c r="C3559" s="160" t="str">
        <f t="shared" si="74"/>
        <v/>
      </c>
    </row>
    <row r="3560" spans="3:3">
      <c r="C3560" s="160" t="str">
        <f t="shared" si="74"/>
        <v/>
      </c>
    </row>
    <row r="3561" spans="3:3">
      <c r="C3561" s="160" t="str">
        <f t="shared" si="74"/>
        <v/>
      </c>
    </row>
    <row r="3562" spans="3:3">
      <c r="C3562" s="160" t="str">
        <f t="shared" si="74"/>
        <v/>
      </c>
    </row>
    <row r="3563" spans="3:3">
      <c r="C3563" s="160" t="str">
        <f t="shared" si="74"/>
        <v/>
      </c>
    </row>
    <row r="3564" spans="3:3">
      <c r="C3564" s="160" t="str">
        <f t="shared" si="74"/>
        <v/>
      </c>
    </row>
    <row r="3565" spans="3:3">
      <c r="C3565" s="160" t="str">
        <f t="shared" si="74"/>
        <v/>
      </c>
    </row>
    <row r="3566" spans="3:3">
      <c r="C3566" s="160" t="str">
        <f t="shared" si="74"/>
        <v/>
      </c>
    </row>
    <row r="3567" spans="3:3">
      <c r="C3567" s="160" t="str">
        <f t="shared" si="74"/>
        <v/>
      </c>
    </row>
    <row r="3568" spans="3:3">
      <c r="C3568" s="160" t="str">
        <f t="shared" si="74"/>
        <v/>
      </c>
    </row>
    <row r="3569" spans="3:3">
      <c r="C3569" s="160" t="str">
        <f t="shared" si="74"/>
        <v/>
      </c>
    </row>
    <row r="3570" spans="3:3">
      <c r="C3570" s="160" t="str">
        <f t="shared" si="74"/>
        <v/>
      </c>
    </row>
    <row r="3571" spans="3:3">
      <c r="C3571" s="160" t="str">
        <f t="shared" si="74"/>
        <v/>
      </c>
    </row>
    <row r="3572" spans="3:3">
      <c r="C3572" s="160" t="str">
        <f t="shared" si="74"/>
        <v/>
      </c>
    </row>
    <row r="3573" spans="3:3">
      <c r="C3573" s="160" t="str">
        <f t="shared" si="74"/>
        <v/>
      </c>
    </row>
    <row r="3574" spans="3:3">
      <c r="C3574" s="160" t="str">
        <f t="shared" si="74"/>
        <v/>
      </c>
    </row>
    <row r="3575" spans="3:3">
      <c r="C3575" s="160" t="str">
        <f t="shared" si="74"/>
        <v/>
      </c>
    </row>
    <row r="3576" spans="3:3">
      <c r="C3576" s="160" t="str">
        <f t="shared" si="74"/>
        <v/>
      </c>
    </row>
    <row r="3577" spans="3:3">
      <c r="C3577" s="160" t="str">
        <f t="shared" si="74"/>
        <v/>
      </c>
    </row>
    <row r="3578" spans="3:3">
      <c r="C3578" s="160" t="str">
        <f t="shared" si="74"/>
        <v/>
      </c>
    </row>
    <row r="3579" spans="3:3">
      <c r="C3579" s="160" t="str">
        <f t="shared" si="74"/>
        <v/>
      </c>
    </row>
    <row r="3580" spans="3:3">
      <c r="C3580" s="160" t="str">
        <f t="shared" si="74"/>
        <v/>
      </c>
    </row>
    <row r="3581" spans="3:3">
      <c r="C3581" s="160" t="str">
        <f t="shared" si="74"/>
        <v/>
      </c>
    </row>
    <row r="3582" spans="3:3">
      <c r="C3582" s="160" t="str">
        <f t="shared" si="74"/>
        <v/>
      </c>
    </row>
    <row r="3583" spans="3:3">
      <c r="C3583" s="160" t="str">
        <f t="shared" si="74"/>
        <v/>
      </c>
    </row>
    <row r="3584" spans="3:3">
      <c r="C3584" s="160" t="str">
        <f t="shared" si="74"/>
        <v/>
      </c>
    </row>
    <row r="3585" spans="3:3">
      <c r="C3585" s="160" t="str">
        <f t="shared" si="74"/>
        <v/>
      </c>
    </row>
    <row r="3586" spans="3:3">
      <c r="C3586" s="160" t="str">
        <f t="shared" si="74"/>
        <v/>
      </c>
    </row>
    <row r="3587" spans="3:3">
      <c r="C3587" s="160" t="str">
        <f t="shared" si="74"/>
        <v/>
      </c>
    </row>
    <row r="3588" spans="3:3">
      <c r="C3588" s="160" t="str">
        <f t="shared" si="74"/>
        <v/>
      </c>
    </row>
    <row r="3589" spans="3:3">
      <c r="C3589" s="160" t="str">
        <f t="shared" si="74"/>
        <v/>
      </c>
    </row>
    <row r="3590" spans="3:3">
      <c r="C3590" s="160" t="str">
        <f t="shared" si="74"/>
        <v/>
      </c>
    </row>
    <row r="3591" spans="3:3">
      <c r="C3591" s="160" t="str">
        <f t="shared" si="74"/>
        <v/>
      </c>
    </row>
    <row r="3592" spans="3:3">
      <c r="C3592" s="160" t="str">
        <f t="shared" si="74"/>
        <v/>
      </c>
    </row>
    <row r="3593" spans="3:3">
      <c r="C3593" s="160" t="str">
        <f t="shared" si="74"/>
        <v/>
      </c>
    </row>
    <row r="3594" spans="3:3">
      <c r="C3594" s="160" t="str">
        <f t="shared" si="74"/>
        <v/>
      </c>
    </row>
    <row r="3595" spans="3:3">
      <c r="C3595" s="160" t="str">
        <f t="shared" si="74"/>
        <v/>
      </c>
    </row>
    <row r="3596" spans="3:3">
      <c r="C3596" s="160" t="str">
        <f t="shared" si="74"/>
        <v/>
      </c>
    </row>
    <row r="3597" spans="3:3">
      <c r="C3597" s="160" t="str">
        <f t="shared" ref="C3597:C3660" si="75">D3597&amp;I3597</f>
        <v/>
      </c>
    </row>
    <row r="3598" spans="3:3">
      <c r="C3598" s="160" t="str">
        <f t="shared" si="75"/>
        <v/>
      </c>
    </row>
    <row r="3599" spans="3:3">
      <c r="C3599" s="160" t="str">
        <f t="shared" si="75"/>
        <v/>
      </c>
    </row>
    <row r="3600" spans="3:3">
      <c r="C3600" s="160" t="str">
        <f t="shared" si="75"/>
        <v/>
      </c>
    </row>
    <row r="3601" spans="3:3">
      <c r="C3601" s="160" t="str">
        <f t="shared" si="75"/>
        <v/>
      </c>
    </row>
    <row r="3602" spans="3:3">
      <c r="C3602" s="160" t="str">
        <f t="shared" si="75"/>
        <v/>
      </c>
    </row>
    <row r="3603" spans="3:3">
      <c r="C3603" s="160" t="str">
        <f t="shared" si="75"/>
        <v/>
      </c>
    </row>
    <row r="3604" spans="3:3">
      <c r="C3604" s="160" t="str">
        <f t="shared" si="75"/>
        <v/>
      </c>
    </row>
    <row r="3605" spans="3:3">
      <c r="C3605" s="160" t="str">
        <f t="shared" si="75"/>
        <v/>
      </c>
    </row>
    <row r="3606" spans="3:3">
      <c r="C3606" s="160" t="str">
        <f t="shared" si="75"/>
        <v/>
      </c>
    </row>
    <row r="3607" spans="3:3">
      <c r="C3607" s="160" t="str">
        <f t="shared" si="75"/>
        <v/>
      </c>
    </row>
    <row r="3608" spans="3:3">
      <c r="C3608" s="160" t="str">
        <f t="shared" si="75"/>
        <v/>
      </c>
    </row>
    <row r="3609" spans="3:3">
      <c r="C3609" s="160" t="str">
        <f t="shared" si="75"/>
        <v/>
      </c>
    </row>
    <row r="3610" spans="3:3">
      <c r="C3610" s="160" t="str">
        <f t="shared" si="75"/>
        <v/>
      </c>
    </row>
    <row r="3611" spans="3:3">
      <c r="C3611" s="160" t="str">
        <f t="shared" si="75"/>
        <v/>
      </c>
    </row>
    <row r="3612" spans="3:3">
      <c r="C3612" s="160" t="str">
        <f t="shared" si="75"/>
        <v/>
      </c>
    </row>
    <row r="3613" spans="3:3">
      <c r="C3613" s="160" t="str">
        <f t="shared" si="75"/>
        <v/>
      </c>
    </row>
    <row r="3614" spans="3:3">
      <c r="C3614" s="160" t="str">
        <f t="shared" si="75"/>
        <v/>
      </c>
    </row>
    <row r="3615" spans="3:3">
      <c r="C3615" s="160" t="str">
        <f t="shared" si="75"/>
        <v/>
      </c>
    </row>
    <row r="3616" spans="3:3">
      <c r="C3616" s="160" t="str">
        <f t="shared" si="75"/>
        <v/>
      </c>
    </row>
    <row r="3617" spans="3:3">
      <c r="C3617" s="160" t="str">
        <f t="shared" si="75"/>
        <v/>
      </c>
    </row>
    <row r="3618" spans="3:3">
      <c r="C3618" s="160" t="str">
        <f t="shared" si="75"/>
        <v/>
      </c>
    </row>
    <row r="3619" spans="3:3">
      <c r="C3619" s="160" t="str">
        <f t="shared" si="75"/>
        <v/>
      </c>
    </row>
    <row r="3620" spans="3:3">
      <c r="C3620" s="160" t="str">
        <f t="shared" si="75"/>
        <v/>
      </c>
    </row>
    <row r="3621" spans="3:3">
      <c r="C3621" s="160" t="str">
        <f t="shared" si="75"/>
        <v/>
      </c>
    </row>
    <row r="3622" spans="3:3">
      <c r="C3622" s="160" t="str">
        <f t="shared" si="75"/>
        <v/>
      </c>
    </row>
    <row r="3623" spans="3:3">
      <c r="C3623" s="160" t="str">
        <f t="shared" si="75"/>
        <v/>
      </c>
    </row>
    <row r="3624" spans="3:3">
      <c r="C3624" s="160" t="str">
        <f t="shared" si="75"/>
        <v/>
      </c>
    </row>
    <row r="3625" spans="3:3">
      <c r="C3625" s="160" t="str">
        <f t="shared" si="75"/>
        <v/>
      </c>
    </row>
    <row r="3626" spans="3:3">
      <c r="C3626" s="160" t="str">
        <f t="shared" si="75"/>
        <v/>
      </c>
    </row>
    <row r="3627" spans="3:3">
      <c r="C3627" s="160" t="str">
        <f t="shared" si="75"/>
        <v/>
      </c>
    </row>
    <row r="3628" spans="3:3">
      <c r="C3628" s="160" t="str">
        <f t="shared" si="75"/>
        <v/>
      </c>
    </row>
    <row r="3629" spans="3:3">
      <c r="C3629" s="160" t="str">
        <f t="shared" si="75"/>
        <v/>
      </c>
    </row>
    <row r="3630" spans="3:3">
      <c r="C3630" s="160" t="str">
        <f t="shared" si="75"/>
        <v/>
      </c>
    </row>
    <row r="3631" spans="3:3">
      <c r="C3631" s="160" t="str">
        <f t="shared" si="75"/>
        <v/>
      </c>
    </row>
    <row r="3632" spans="3:3">
      <c r="C3632" s="160" t="str">
        <f t="shared" si="75"/>
        <v/>
      </c>
    </row>
    <row r="3633" spans="3:3">
      <c r="C3633" s="160" t="str">
        <f t="shared" si="75"/>
        <v/>
      </c>
    </row>
    <row r="3634" spans="3:3">
      <c r="C3634" s="160" t="str">
        <f t="shared" si="75"/>
        <v/>
      </c>
    </row>
    <row r="3635" spans="3:3">
      <c r="C3635" s="160" t="str">
        <f t="shared" si="75"/>
        <v/>
      </c>
    </row>
    <row r="3636" spans="3:3">
      <c r="C3636" s="160" t="str">
        <f t="shared" si="75"/>
        <v/>
      </c>
    </row>
    <row r="3637" spans="3:3">
      <c r="C3637" s="160" t="str">
        <f t="shared" si="75"/>
        <v/>
      </c>
    </row>
    <row r="3638" spans="3:3">
      <c r="C3638" s="160" t="str">
        <f t="shared" si="75"/>
        <v/>
      </c>
    </row>
    <row r="3639" spans="3:3">
      <c r="C3639" s="160" t="str">
        <f t="shared" si="75"/>
        <v/>
      </c>
    </row>
    <row r="3640" spans="3:3">
      <c r="C3640" s="160" t="str">
        <f t="shared" si="75"/>
        <v/>
      </c>
    </row>
    <row r="3641" spans="3:3">
      <c r="C3641" s="160" t="str">
        <f t="shared" si="75"/>
        <v/>
      </c>
    </row>
    <row r="3642" spans="3:3">
      <c r="C3642" s="160" t="str">
        <f t="shared" si="75"/>
        <v/>
      </c>
    </row>
    <row r="3643" spans="3:3">
      <c r="C3643" s="160" t="str">
        <f t="shared" si="75"/>
        <v/>
      </c>
    </row>
    <row r="3644" spans="3:3">
      <c r="C3644" s="160" t="str">
        <f t="shared" si="75"/>
        <v/>
      </c>
    </row>
    <row r="3645" spans="3:3">
      <c r="C3645" s="160" t="str">
        <f t="shared" si="75"/>
        <v/>
      </c>
    </row>
    <row r="3646" spans="3:3">
      <c r="C3646" s="160" t="str">
        <f t="shared" si="75"/>
        <v/>
      </c>
    </row>
    <row r="3647" spans="3:3">
      <c r="C3647" s="160" t="str">
        <f t="shared" si="75"/>
        <v/>
      </c>
    </row>
    <row r="3648" spans="3:3">
      <c r="C3648" s="160" t="str">
        <f t="shared" si="75"/>
        <v/>
      </c>
    </row>
    <row r="3649" spans="3:3">
      <c r="C3649" s="160" t="str">
        <f t="shared" si="75"/>
        <v/>
      </c>
    </row>
    <row r="3650" spans="3:3">
      <c r="C3650" s="160" t="str">
        <f t="shared" si="75"/>
        <v/>
      </c>
    </row>
    <row r="3651" spans="3:3">
      <c r="C3651" s="160" t="str">
        <f t="shared" si="75"/>
        <v/>
      </c>
    </row>
    <row r="3652" spans="3:3">
      <c r="C3652" s="160" t="str">
        <f t="shared" si="75"/>
        <v/>
      </c>
    </row>
    <row r="3653" spans="3:3">
      <c r="C3653" s="160" t="str">
        <f t="shared" si="75"/>
        <v/>
      </c>
    </row>
    <row r="3654" spans="3:3">
      <c r="C3654" s="160" t="str">
        <f t="shared" si="75"/>
        <v/>
      </c>
    </row>
    <row r="3655" spans="3:3">
      <c r="C3655" s="160" t="str">
        <f t="shared" si="75"/>
        <v/>
      </c>
    </row>
    <row r="3656" spans="3:3">
      <c r="C3656" s="160" t="str">
        <f t="shared" si="75"/>
        <v/>
      </c>
    </row>
    <row r="3657" spans="3:3">
      <c r="C3657" s="160" t="str">
        <f t="shared" si="75"/>
        <v/>
      </c>
    </row>
    <row r="3658" spans="3:3">
      <c r="C3658" s="160" t="str">
        <f t="shared" si="75"/>
        <v/>
      </c>
    </row>
    <row r="3659" spans="3:3">
      <c r="C3659" s="160" t="str">
        <f t="shared" si="75"/>
        <v/>
      </c>
    </row>
    <row r="3660" spans="3:3">
      <c r="C3660" s="160" t="str">
        <f t="shared" si="75"/>
        <v/>
      </c>
    </row>
    <row r="3661" spans="3:3">
      <c r="C3661" s="160" t="str">
        <f t="shared" ref="C3661:C3724" si="76">D3661&amp;I3661</f>
        <v/>
      </c>
    </row>
    <row r="3662" spans="3:3">
      <c r="C3662" s="160" t="str">
        <f t="shared" si="76"/>
        <v/>
      </c>
    </row>
    <row r="3663" spans="3:3">
      <c r="C3663" s="160" t="str">
        <f t="shared" si="76"/>
        <v/>
      </c>
    </row>
    <row r="3664" spans="3:3">
      <c r="C3664" s="160" t="str">
        <f t="shared" si="76"/>
        <v/>
      </c>
    </row>
    <row r="3665" spans="3:3">
      <c r="C3665" s="160" t="str">
        <f t="shared" si="76"/>
        <v/>
      </c>
    </row>
    <row r="3666" spans="3:3">
      <c r="C3666" s="160" t="str">
        <f t="shared" si="76"/>
        <v/>
      </c>
    </row>
    <row r="3667" spans="3:3">
      <c r="C3667" s="160" t="str">
        <f t="shared" si="76"/>
        <v/>
      </c>
    </row>
    <row r="3668" spans="3:3">
      <c r="C3668" s="160" t="str">
        <f t="shared" si="76"/>
        <v/>
      </c>
    </row>
    <row r="3669" spans="3:3">
      <c r="C3669" s="160" t="str">
        <f t="shared" si="76"/>
        <v/>
      </c>
    </row>
    <row r="3670" spans="3:3">
      <c r="C3670" s="160" t="str">
        <f t="shared" si="76"/>
        <v/>
      </c>
    </row>
    <row r="3671" spans="3:3">
      <c r="C3671" s="160" t="str">
        <f t="shared" si="76"/>
        <v/>
      </c>
    </row>
    <row r="3672" spans="3:3">
      <c r="C3672" s="160" t="str">
        <f t="shared" si="76"/>
        <v/>
      </c>
    </row>
    <row r="3673" spans="3:3">
      <c r="C3673" s="160" t="str">
        <f t="shared" si="76"/>
        <v/>
      </c>
    </row>
    <row r="3674" spans="3:3">
      <c r="C3674" s="160" t="str">
        <f t="shared" si="76"/>
        <v/>
      </c>
    </row>
    <row r="3675" spans="3:3">
      <c r="C3675" s="160" t="str">
        <f t="shared" si="76"/>
        <v/>
      </c>
    </row>
    <row r="3676" spans="3:3">
      <c r="C3676" s="160" t="str">
        <f t="shared" si="76"/>
        <v/>
      </c>
    </row>
    <row r="3677" spans="3:3">
      <c r="C3677" s="160" t="str">
        <f t="shared" si="76"/>
        <v/>
      </c>
    </row>
    <row r="3678" spans="3:3">
      <c r="C3678" s="160" t="str">
        <f t="shared" si="76"/>
        <v/>
      </c>
    </row>
    <row r="3679" spans="3:3">
      <c r="C3679" s="160" t="str">
        <f t="shared" si="76"/>
        <v/>
      </c>
    </row>
    <row r="3680" spans="3:3">
      <c r="C3680" s="160" t="str">
        <f t="shared" si="76"/>
        <v/>
      </c>
    </row>
    <row r="3681" spans="3:3">
      <c r="C3681" s="160" t="str">
        <f t="shared" si="76"/>
        <v/>
      </c>
    </row>
    <row r="3682" spans="3:3">
      <c r="C3682" s="160" t="str">
        <f t="shared" si="76"/>
        <v/>
      </c>
    </row>
    <row r="3683" spans="3:3">
      <c r="C3683" s="160" t="str">
        <f t="shared" si="76"/>
        <v/>
      </c>
    </row>
    <row r="3684" spans="3:3">
      <c r="C3684" s="160" t="str">
        <f t="shared" si="76"/>
        <v/>
      </c>
    </row>
    <row r="3685" spans="3:3">
      <c r="C3685" s="160" t="str">
        <f t="shared" si="76"/>
        <v/>
      </c>
    </row>
    <row r="3686" spans="3:3">
      <c r="C3686" s="160" t="str">
        <f t="shared" si="76"/>
        <v/>
      </c>
    </row>
    <row r="3687" spans="3:3">
      <c r="C3687" s="160" t="str">
        <f t="shared" si="76"/>
        <v/>
      </c>
    </row>
    <row r="3688" spans="3:3">
      <c r="C3688" s="160" t="str">
        <f t="shared" si="76"/>
        <v/>
      </c>
    </row>
    <row r="3689" spans="3:3">
      <c r="C3689" s="160" t="str">
        <f t="shared" si="76"/>
        <v/>
      </c>
    </row>
    <row r="3690" spans="3:3">
      <c r="C3690" s="160" t="str">
        <f t="shared" si="76"/>
        <v/>
      </c>
    </row>
    <row r="3691" spans="3:3">
      <c r="C3691" s="160" t="str">
        <f t="shared" si="76"/>
        <v/>
      </c>
    </row>
    <row r="3692" spans="3:3">
      <c r="C3692" s="160" t="str">
        <f t="shared" si="76"/>
        <v/>
      </c>
    </row>
    <row r="3693" spans="3:3">
      <c r="C3693" s="160" t="str">
        <f t="shared" si="76"/>
        <v/>
      </c>
    </row>
    <row r="3694" spans="3:3">
      <c r="C3694" s="160" t="str">
        <f t="shared" si="76"/>
        <v/>
      </c>
    </row>
    <row r="3695" spans="3:3">
      <c r="C3695" s="160" t="str">
        <f t="shared" si="76"/>
        <v/>
      </c>
    </row>
    <row r="3696" spans="3:3">
      <c r="C3696" s="160" t="str">
        <f t="shared" si="76"/>
        <v/>
      </c>
    </row>
    <row r="3697" spans="3:3">
      <c r="C3697" s="160" t="str">
        <f t="shared" si="76"/>
        <v/>
      </c>
    </row>
    <row r="3698" spans="3:3">
      <c r="C3698" s="160" t="str">
        <f t="shared" si="76"/>
        <v/>
      </c>
    </row>
    <row r="3699" spans="3:3">
      <c r="C3699" s="160" t="str">
        <f t="shared" si="76"/>
        <v/>
      </c>
    </row>
    <row r="3700" spans="3:3">
      <c r="C3700" s="160" t="str">
        <f t="shared" si="76"/>
        <v/>
      </c>
    </row>
    <row r="3701" spans="3:3">
      <c r="C3701" s="160" t="str">
        <f t="shared" si="76"/>
        <v/>
      </c>
    </row>
    <row r="3702" spans="3:3">
      <c r="C3702" s="160" t="str">
        <f t="shared" si="76"/>
        <v/>
      </c>
    </row>
    <row r="3703" spans="3:3">
      <c r="C3703" s="160" t="str">
        <f t="shared" si="76"/>
        <v/>
      </c>
    </row>
    <row r="3704" spans="3:3">
      <c r="C3704" s="160" t="str">
        <f t="shared" si="76"/>
        <v/>
      </c>
    </row>
    <row r="3705" spans="3:3">
      <c r="C3705" s="160" t="str">
        <f t="shared" si="76"/>
        <v/>
      </c>
    </row>
    <row r="3706" spans="3:3">
      <c r="C3706" s="160" t="str">
        <f t="shared" si="76"/>
        <v/>
      </c>
    </row>
    <row r="3707" spans="3:3">
      <c r="C3707" s="160" t="str">
        <f t="shared" si="76"/>
        <v/>
      </c>
    </row>
    <row r="3708" spans="3:3">
      <c r="C3708" s="160" t="str">
        <f t="shared" si="76"/>
        <v/>
      </c>
    </row>
    <row r="3709" spans="3:3">
      <c r="C3709" s="160" t="str">
        <f t="shared" si="76"/>
        <v/>
      </c>
    </row>
    <row r="3710" spans="3:3">
      <c r="C3710" s="160" t="str">
        <f t="shared" si="76"/>
        <v/>
      </c>
    </row>
    <row r="3711" spans="3:3">
      <c r="C3711" s="160" t="str">
        <f t="shared" si="76"/>
        <v/>
      </c>
    </row>
    <row r="3712" spans="3:3">
      <c r="C3712" s="160" t="str">
        <f t="shared" si="76"/>
        <v/>
      </c>
    </row>
    <row r="3713" spans="3:3">
      <c r="C3713" s="160" t="str">
        <f t="shared" si="76"/>
        <v/>
      </c>
    </row>
    <row r="3714" spans="3:3">
      <c r="C3714" s="160" t="str">
        <f t="shared" si="76"/>
        <v/>
      </c>
    </row>
    <row r="3715" spans="3:3">
      <c r="C3715" s="160" t="str">
        <f t="shared" si="76"/>
        <v/>
      </c>
    </row>
    <row r="3716" spans="3:3">
      <c r="C3716" s="160" t="str">
        <f t="shared" si="76"/>
        <v/>
      </c>
    </row>
    <row r="3717" spans="3:3">
      <c r="C3717" s="160" t="str">
        <f t="shared" si="76"/>
        <v/>
      </c>
    </row>
    <row r="3718" spans="3:3">
      <c r="C3718" s="160" t="str">
        <f t="shared" si="76"/>
        <v/>
      </c>
    </row>
    <row r="3719" spans="3:3">
      <c r="C3719" s="160" t="str">
        <f t="shared" si="76"/>
        <v/>
      </c>
    </row>
    <row r="3720" spans="3:3">
      <c r="C3720" s="160" t="str">
        <f t="shared" si="76"/>
        <v/>
      </c>
    </row>
    <row r="3721" spans="3:3">
      <c r="C3721" s="160" t="str">
        <f t="shared" si="76"/>
        <v/>
      </c>
    </row>
    <row r="3722" spans="3:3">
      <c r="C3722" s="160" t="str">
        <f t="shared" si="76"/>
        <v/>
      </c>
    </row>
    <row r="3723" spans="3:3">
      <c r="C3723" s="160" t="str">
        <f t="shared" si="76"/>
        <v/>
      </c>
    </row>
    <row r="3724" spans="3:3">
      <c r="C3724" s="160" t="str">
        <f t="shared" si="76"/>
        <v/>
      </c>
    </row>
    <row r="3725" spans="3:3">
      <c r="C3725" s="160" t="str">
        <f t="shared" ref="C3725:C3788" si="77">D3725&amp;I3725</f>
        <v/>
      </c>
    </row>
    <row r="3726" spans="3:3">
      <c r="C3726" s="160" t="str">
        <f t="shared" si="77"/>
        <v/>
      </c>
    </row>
    <row r="3727" spans="3:3">
      <c r="C3727" s="160" t="str">
        <f t="shared" si="77"/>
        <v/>
      </c>
    </row>
    <row r="3728" spans="3:3">
      <c r="C3728" s="160" t="str">
        <f t="shared" si="77"/>
        <v/>
      </c>
    </row>
    <row r="3729" spans="3:3">
      <c r="C3729" s="160" t="str">
        <f t="shared" si="77"/>
        <v/>
      </c>
    </row>
    <row r="3730" spans="3:3">
      <c r="C3730" s="160" t="str">
        <f t="shared" si="77"/>
        <v/>
      </c>
    </row>
    <row r="3731" spans="3:3">
      <c r="C3731" s="160" t="str">
        <f t="shared" si="77"/>
        <v/>
      </c>
    </row>
    <row r="3732" spans="3:3">
      <c r="C3732" s="160" t="str">
        <f t="shared" si="77"/>
        <v/>
      </c>
    </row>
    <row r="3733" spans="3:3">
      <c r="C3733" s="160" t="str">
        <f t="shared" si="77"/>
        <v/>
      </c>
    </row>
    <row r="3734" spans="3:3">
      <c r="C3734" s="160" t="str">
        <f t="shared" si="77"/>
        <v/>
      </c>
    </row>
    <row r="3735" spans="3:3">
      <c r="C3735" s="160" t="str">
        <f t="shared" si="77"/>
        <v/>
      </c>
    </row>
    <row r="3736" spans="3:3">
      <c r="C3736" s="160" t="str">
        <f t="shared" si="77"/>
        <v/>
      </c>
    </row>
    <row r="3737" spans="3:3">
      <c r="C3737" s="160" t="str">
        <f t="shared" si="77"/>
        <v/>
      </c>
    </row>
    <row r="3738" spans="3:3">
      <c r="C3738" s="160" t="str">
        <f t="shared" si="77"/>
        <v/>
      </c>
    </row>
    <row r="3739" spans="3:3">
      <c r="C3739" s="160" t="str">
        <f t="shared" si="77"/>
        <v/>
      </c>
    </row>
    <row r="3740" spans="3:3">
      <c r="C3740" s="160" t="str">
        <f t="shared" si="77"/>
        <v/>
      </c>
    </row>
    <row r="3741" spans="3:3">
      <c r="C3741" s="160" t="str">
        <f t="shared" si="77"/>
        <v/>
      </c>
    </row>
    <row r="3742" spans="3:3">
      <c r="C3742" s="160" t="str">
        <f t="shared" si="77"/>
        <v/>
      </c>
    </row>
    <row r="3743" spans="3:3">
      <c r="C3743" s="160" t="str">
        <f t="shared" si="77"/>
        <v/>
      </c>
    </row>
    <row r="3744" spans="3:3">
      <c r="C3744" s="160" t="str">
        <f t="shared" si="77"/>
        <v/>
      </c>
    </row>
    <row r="3745" spans="3:3">
      <c r="C3745" s="160" t="str">
        <f t="shared" si="77"/>
        <v/>
      </c>
    </row>
    <row r="3746" spans="3:3">
      <c r="C3746" s="160" t="str">
        <f t="shared" si="77"/>
        <v/>
      </c>
    </row>
    <row r="3747" spans="3:3">
      <c r="C3747" s="160" t="str">
        <f t="shared" si="77"/>
        <v/>
      </c>
    </row>
    <row r="3748" spans="3:3">
      <c r="C3748" s="160" t="str">
        <f t="shared" si="77"/>
        <v/>
      </c>
    </row>
    <row r="3749" spans="3:3">
      <c r="C3749" s="160" t="str">
        <f t="shared" si="77"/>
        <v/>
      </c>
    </row>
    <row r="3750" spans="3:3">
      <c r="C3750" s="160" t="str">
        <f t="shared" si="77"/>
        <v/>
      </c>
    </row>
    <row r="3751" spans="3:3">
      <c r="C3751" s="160" t="str">
        <f t="shared" si="77"/>
        <v/>
      </c>
    </row>
    <row r="3752" spans="3:3">
      <c r="C3752" s="160" t="str">
        <f t="shared" si="77"/>
        <v/>
      </c>
    </row>
    <row r="3753" spans="3:3">
      <c r="C3753" s="160" t="str">
        <f t="shared" si="77"/>
        <v/>
      </c>
    </row>
    <row r="3754" spans="3:3">
      <c r="C3754" s="160" t="str">
        <f t="shared" si="77"/>
        <v/>
      </c>
    </row>
    <row r="3755" spans="3:3">
      <c r="C3755" s="160" t="str">
        <f t="shared" si="77"/>
        <v/>
      </c>
    </row>
    <row r="3756" spans="3:3">
      <c r="C3756" s="160" t="str">
        <f t="shared" si="77"/>
        <v/>
      </c>
    </row>
    <row r="3757" spans="3:3">
      <c r="C3757" s="160" t="str">
        <f t="shared" si="77"/>
        <v/>
      </c>
    </row>
    <row r="3758" spans="3:3">
      <c r="C3758" s="160" t="str">
        <f t="shared" si="77"/>
        <v/>
      </c>
    </row>
    <row r="3759" spans="3:3">
      <c r="C3759" s="160" t="str">
        <f t="shared" si="77"/>
        <v/>
      </c>
    </row>
    <row r="3760" spans="3:3">
      <c r="C3760" s="160" t="str">
        <f t="shared" si="77"/>
        <v/>
      </c>
    </row>
    <row r="3761" spans="3:3">
      <c r="C3761" s="160" t="str">
        <f t="shared" si="77"/>
        <v/>
      </c>
    </row>
    <row r="3762" spans="3:3">
      <c r="C3762" s="160" t="str">
        <f t="shared" si="77"/>
        <v/>
      </c>
    </row>
    <row r="3763" spans="3:3">
      <c r="C3763" s="160" t="str">
        <f t="shared" si="77"/>
        <v/>
      </c>
    </row>
    <row r="3764" spans="3:3">
      <c r="C3764" s="160" t="str">
        <f t="shared" si="77"/>
        <v/>
      </c>
    </row>
    <row r="3765" spans="3:3">
      <c r="C3765" s="160" t="str">
        <f t="shared" si="77"/>
        <v/>
      </c>
    </row>
    <row r="3766" spans="3:3">
      <c r="C3766" s="160" t="str">
        <f t="shared" si="77"/>
        <v/>
      </c>
    </row>
    <row r="3767" spans="3:3">
      <c r="C3767" s="160" t="str">
        <f t="shared" si="77"/>
        <v/>
      </c>
    </row>
    <row r="3768" spans="3:3">
      <c r="C3768" s="160" t="str">
        <f t="shared" si="77"/>
        <v/>
      </c>
    </row>
    <row r="3769" spans="3:3">
      <c r="C3769" s="160" t="str">
        <f t="shared" si="77"/>
        <v/>
      </c>
    </row>
    <row r="3770" spans="3:3">
      <c r="C3770" s="160" t="str">
        <f t="shared" si="77"/>
        <v/>
      </c>
    </row>
    <row r="3771" spans="3:3">
      <c r="C3771" s="160" t="str">
        <f t="shared" si="77"/>
        <v/>
      </c>
    </row>
    <row r="3772" spans="3:3">
      <c r="C3772" s="160" t="str">
        <f t="shared" si="77"/>
        <v/>
      </c>
    </row>
    <row r="3773" spans="3:3">
      <c r="C3773" s="160" t="str">
        <f t="shared" si="77"/>
        <v/>
      </c>
    </row>
    <row r="3774" spans="3:3">
      <c r="C3774" s="160" t="str">
        <f t="shared" si="77"/>
        <v/>
      </c>
    </row>
    <row r="3775" spans="3:3">
      <c r="C3775" s="160" t="str">
        <f t="shared" si="77"/>
        <v/>
      </c>
    </row>
    <row r="3776" spans="3:3">
      <c r="C3776" s="160" t="str">
        <f t="shared" si="77"/>
        <v/>
      </c>
    </row>
    <row r="3777" spans="3:3">
      <c r="C3777" s="160" t="str">
        <f t="shared" si="77"/>
        <v/>
      </c>
    </row>
    <row r="3778" spans="3:3">
      <c r="C3778" s="160" t="str">
        <f t="shared" si="77"/>
        <v/>
      </c>
    </row>
    <row r="3779" spans="3:3">
      <c r="C3779" s="160" t="str">
        <f t="shared" si="77"/>
        <v/>
      </c>
    </row>
    <row r="3780" spans="3:3">
      <c r="C3780" s="160" t="str">
        <f t="shared" si="77"/>
        <v/>
      </c>
    </row>
    <row r="3781" spans="3:3">
      <c r="C3781" s="160" t="str">
        <f t="shared" si="77"/>
        <v/>
      </c>
    </row>
    <row r="3782" spans="3:3">
      <c r="C3782" s="160" t="str">
        <f t="shared" si="77"/>
        <v/>
      </c>
    </row>
    <row r="3783" spans="3:3">
      <c r="C3783" s="160" t="str">
        <f t="shared" si="77"/>
        <v/>
      </c>
    </row>
    <row r="3784" spans="3:3">
      <c r="C3784" s="160" t="str">
        <f t="shared" si="77"/>
        <v/>
      </c>
    </row>
    <row r="3785" spans="3:3">
      <c r="C3785" s="160" t="str">
        <f t="shared" si="77"/>
        <v/>
      </c>
    </row>
    <row r="3786" spans="3:3">
      <c r="C3786" s="160" t="str">
        <f t="shared" si="77"/>
        <v/>
      </c>
    </row>
    <row r="3787" spans="3:3">
      <c r="C3787" s="160" t="str">
        <f t="shared" si="77"/>
        <v/>
      </c>
    </row>
    <row r="3788" spans="3:3">
      <c r="C3788" s="160" t="str">
        <f t="shared" si="77"/>
        <v/>
      </c>
    </row>
    <row r="3789" spans="3:3">
      <c r="C3789" s="160" t="str">
        <f t="shared" ref="C3789:C3852" si="78">D3789&amp;I3789</f>
        <v/>
      </c>
    </row>
    <row r="3790" spans="3:3">
      <c r="C3790" s="160" t="str">
        <f t="shared" si="78"/>
        <v/>
      </c>
    </row>
    <row r="3791" spans="3:3">
      <c r="C3791" s="160" t="str">
        <f t="shared" si="78"/>
        <v/>
      </c>
    </row>
    <row r="3792" spans="3:3">
      <c r="C3792" s="160" t="str">
        <f t="shared" si="78"/>
        <v/>
      </c>
    </row>
    <row r="3793" spans="3:3">
      <c r="C3793" s="160" t="str">
        <f t="shared" si="78"/>
        <v/>
      </c>
    </row>
    <row r="3794" spans="3:3">
      <c r="C3794" s="160" t="str">
        <f t="shared" si="78"/>
        <v/>
      </c>
    </row>
    <row r="3795" spans="3:3">
      <c r="C3795" s="160" t="str">
        <f t="shared" si="78"/>
        <v/>
      </c>
    </row>
    <row r="3796" spans="3:3">
      <c r="C3796" s="160" t="str">
        <f t="shared" si="78"/>
        <v/>
      </c>
    </row>
    <row r="3797" spans="3:3">
      <c r="C3797" s="160" t="str">
        <f t="shared" si="78"/>
        <v/>
      </c>
    </row>
    <row r="3798" spans="3:3">
      <c r="C3798" s="160" t="str">
        <f t="shared" si="78"/>
        <v/>
      </c>
    </row>
    <row r="3799" spans="3:3">
      <c r="C3799" s="160" t="str">
        <f t="shared" si="78"/>
        <v/>
      </c>
    </row>
    <row r="3800" spans="3:3">
      <c r="C3800" s="160" t="str">
        <f t="shared" si="78"/>
        <v/>
      </c>
    </row>
    <row r="3801" spans="3:3">
      <c r="C3801" s="160" t="str">
        <f t="shared" si="78"/>
        <v/>
      </c>
    </row>
    <row r="3802" spans="3:3">
      <c r="C3802" s="160" t="str">
        <f t="shared" si="78"/>
        <v/>
      </c>
    </row>
    <row r="3803" spans="3:3">
      <c r="C3803" s="160" t="str">
        <f t="shared" si="78"/>
        <v/>
      </c>
    </row>
    <row r="3804" spans="3:3">
      <c r="C3804" s="160" t="str">
        <f t="shared" si="78"/>
        <v/>
      </c>
    </row>
    <row r="3805" spans="3:3">
      <c r="C3805" s="160" t="str">
        <f t="shared" si="78"/>
        <v/>
      </c>
    </row>
    <row r="3806" spans="3:3">
      <c r="C3806" s="160" t="str">
        <f t="shared" si="78"/>
        <v/>
      </c>
    </row>
    <row r="3807" spans="3:3">
      <c r="C3807" s="160" t="str">
        <f t="shared" si="78"/>
        <v/>
      </c>
    </row>
    <row r="3808" spans="3:3">
      <c r="C3808" s="160" t="str">
        <f t="shared" si="78"/>
        <v/>
      </c>
    </row>
    <row r="3809" spans="3:3">
      <c r="C3809" s="160" t="str">
        <f t="shared" si="78"/>
        <v/>
      </c>
    </row>
    <row r="3810" spans="3:3">
      <c r="C3810" s="160" t="str">
        <f t="shared" si="78"/>
        <v/>
      </c>
    </row>
    <row r="3811" spans="3:3">
      <c r="C3811" s="160" t="str">
        <f t="shared" si="78"/>
        <v/>
      </c>
    </row>
    <row r="3812" spans="3:3">
      <c r="C3812" s="160" t="str">
        <f t="shared" si="78"/>
        <v/>
      </c>
    </row>
    <row r="3813" spans="3:3">
      <c r="C3813" s="160" t="str">
        <f t="shared" si="78"/>
        <v/>
      </c>
    </row>
    <row r="3814" spans="3:3">
      <c r="C3814" s="160" t="str">
        <f t="shared" si="78"/>
        <v/>
      </c>
    </row>
    <row r="3815" spans="3:3">
      <c r="C3815" s="160" t="str">
        <f t="shared" si="78"/>
        <v/>
      </c>
    </row>
    <row r="3816" spans="3:3">
      <c r="C3816" s="160" t="str">
        <f t="shared" si="78"/>
        <v/>
      </c>
    </row>
    <row r="3817" spans="3:3">
      <c r="C3817" s="160" t="str">
        <f t="shared" si="78"/>
        <v/>
      </c>
    </row>
    <row r="3818" spans="3:3">
      <c r="C3818" s="160" t="str">
        <f t="shared" si="78"/>
        <v/>
      </c>
    </row>
    <row r="3819" spans="3:3">
      <c r="C3819" s="160" t="str">
        <f t="shared" si="78"/>
        <v/>
      </c>
    </row>
    <row r="3820" spans="3:3">
      <c r="C3820" s="160" t="str">
        <f t="shared" si="78"/>
        <v/>
      </c>
    </row>
    <row r="3821" spans="3:3">
      <c r="C3821" s="160" t="str">
        <f t="shared" si="78"/>
        <v/>
      </c>
    </row>
    <row r="3822" spans="3:3">
      <c r="C3822" s="160" t="str">
        <f t="shared" si="78"/>
        <v/>
      </c>
    </row>
    <row r="3823" spans="3:3">
      <c r="C3823" s="160" t="str">
        <f t="shared" si="78"/>
        <v/>
      </c>
    </row>
    <row r="3824" spans="3:3">
      <c r="C3824" s="160" t="str">
        <f t="shared" si="78"/>
        <v/>
      </c>
    </row>
    <row r="3825" spans="3:3">
      <c r="C3825" s="160" t="str">
        <f t="shared" si="78"/>
        <v/>
      </c>
    </row>
    <row r="3826" spans="3:3">
      <c r="C3826" s="160" t="str">
        <f t="shared" si="78"/>
        <v/>
      </c>
    </row>
    <row r="3827" spans="3:3">
      <c r="C3827" s="160" t="str">
        <f t="shared" si="78"/>
        <v/>
      </c>
    </row>
    <row r="3828" spans="3:3">
      <c r="C3828" s="160" t="str">
        <f t="shared" si="78"/>
        <v/>
      </c>
    </row>
    <row r="3829" spans="3:3">
      <c r="C3829" s="160" t="str">
        <f t="shared" si="78"/>
        <v/>
      </c>
    </row>
    <row r="3830" spans="3:3">
      <c r="C3830" s="160" t="str">
        <f t="shared" si="78"/>
        <v/>
      </c>
    </row>
    <row r="3831" spans="3:3">
      <c r="C3831" s="160" t="str">
        <f t="shared" si="78"/>
        <v/>
      </c>
    </row>
    <row r="3832" spans="3:3">
      <c r="C3832" s="160" t="str">
        <f t="shared" si="78"/>
        <v/>
      </c>
    </row>
    <row r="3833" spans="3:3">
      <c r="C3833" s="160" t="str">
        <f t="shared" si="78"/>
        <v/>
      </c>
    </row>
    <row r="3834" spans="3:3">
      <c r="C3834" s="160" t="str">
        <f t="shared" si="78"/>
        <v/>
      </c>
    </row>
    <row r="3835" spans="3:3">
      <c r="C3835" s="160" t="str">
        <f t="shared" si="78"/>
        <v/>
      </c>
    </row>
    <row r="3836" spans="3:3">
      <c r="C3836" s="160" t="str">
        <f t="shared" si="78"/>
        <v/>
      </c>
    </row>
    <row r="3837" spans="3:3">
      <c r="C3837" s="160" t="str">
        <f t="shared" si="78"/>
        <v/>
      </c>
    </row>
    <row r="3838" spans="3:3">
      <c r="C3838" s="160" t="str">
        <f t="shared" si="78"/>
        <v/>
      </c>
    </row>
    <row r="3839" spans="3:3">
      <c r="C3839" s="160" t="str">
        <f t="shared" si="78"/>
        <v/>
      </c>
    </row>
    <row r="3840" spans="3:3">
      <c r="C3840" s="160" t="str">
        <f t="shared" si="78"/>
        <v/>
      </c>
    </row>
    <row r="3841" spans="3:3">
      <c r="C3841" s="160" t="str">
        <f t="shared" si="78"/>
        <v/>
      </c>
    </row>
    <row r="3842" spans="3:3">
      <c r="C3842" s="160" t="str">
        <f t="shared" si="78"/>
        <v/>
      </c>
    </row>
    <row r="3843" spans="3:3">
      <c r="C3843" s="160" t="str">
        <f t="shared" si="78"/>
        <v/>
      </c>
    </row>
    <row r="3844" spans="3:3">
      <c r="C3844" s="160" t="str">
        <f t="shared" si="78"/>
        <v/>
      </c>
    </row>
    <row r="3845" spans="3:3">
      <c r="C3845" s="160" t="str">
        <f t="shared" si="78"/>
        <v/>
      </c>
    </row>
    <row r="3846" spans="3:3">
      <c r="C3846" s="160" t="str">
        <f t="shared" si="78"/>
        <v/>
      </c>
    </row>
    <row r="3847" spans="3:3">
      <c r="C3847" s="160" t="str">
        <f t="shared" si="78"/>
        <v/>
      </c>
    </row>
    <row r="3848" spans="3:3">
      <c r="C3848" s="160" t="str">
        <f t="shared" si="78"/>
        <v/>
      </c>
    </row>
    <row r="3849" spans="3:3">
      <c r="C3849" s="160" t="str">
        <f t="shared" si="78"/>
        <v/>
      </c>
    </row>
    <row r="3850" spans="3:3">
      <c r="C3850" s="160" t="str">
        <f t="shared" si="78"/>
        <v/>
      </c>
    </row>
    <row r="3851" spans="3:3">
      <c r="C3851" s="160" t="str">
        <f t="shared" si="78"/>
        <v/>
      </c>
    </row>
    <row r="3852" spans="3:3">
      <c r="C3852" s="160" t="str">
        <f t="shared" si="78"/>
        <v/>
      </c>
    </row>
    <row r="3853" spans="3:3">
      <c r="C3853" s="160" t="str">
        <f t="shared" ref="C3853:C3916" si="79">D3853&amp;I3853</f>
        <v/>
      </c>
    </row>
    <row r="3854" spans="3:3">
      <c r="C3854" s="160" t="str">
        <f t="shared" si="79"/>
        <v/>
      </c>
    </row>
    <row r="3855" spans="3:3">
      <c r="C3855" s="160" t="str">
        <f t="shared" si="79"/>
        <v/>
      </c>
    </row>
    <row r="3856" spans="3:3">
      <c r="C3856" s="160" t="str">
        <f t="shared" si="79"/>
        <v/>
      </c>
    </row>
    <row r="3857" spans="3:3">
      <c r="C3857" s="160" t="str">
        <f t="shared" si="79"/>
        <v/>
      </c>
    </row>
    <row r="3858" spans="3:3">
      <c r="C3858" s="160" t="str">
        <f t="shared" si="79"/>
        <v/>
      </c>
    </row>
    <row r="3859" spans="3:3">
      <c r="C3859" s="160" t="str">
        <f t="shared" si="79"/>
        <v/>
      </c>
    </row>
    <row r="3860" spans="3:3">
      <c r="C3860" s="160" t="str">
        <f t="shared" si="79"/>
        <v/>
      </c>
    </row>
    <row r="3861" spans="3:3">
      <c r="C3861" s="160" t="str">
        <f t="shared" si="79"/>
        <v/>
      </c>
    </row>
    <row r="3862" spans="3:3">
      <c r="C3862" s="160" t="str">
        <f t="shared" si="79"/>
        <v/>
      </c>
    </row>
    <row r="3863" spans="3:3">
      <c r="C3863" s="160" t="str">
        <f t="shared" si="79"/>
        <v/>
      </c>
    </row>
    <row r="3864" spans="3:3">
      <c r="C3864" s="160" t="str">
        <f t="shared" si="79"/>
        <v/>
      </c>
    </row>
    <row r="3865" spans="3:3">
      <c r="C3865" s="160" t="str">
        <f t="shared" si="79"/>
        <v/>
      </c>
    </row>
    <row r="3866" spans="3:3">
      <c r="C3866" s="160" t="str">
        <f t="shared" si="79"/>
        <v/>
      </c>
    </row>
    <row r="3867" spans="3:3">
      <c r="C3867" s="160" t="str">
        <f t="shared" si="79"/>
        <v/>
      </c>
    </row>
    <row r="3868" spans="3:3">
      <c r="C3868" s="160" t="str">
        <f t="shared" si="79"/>
        <v/>
      </c>
    </row>
    <row r="3869" spans="3:3">
      <c r="C3869" s="160" t="str">
        <f t="shared" si="79"/>
        <v/>
      </c>
    </row>
    <row r="3870" spans="3:3">
      <c r="C3870" s="160" t="str">
        <f t="shared" si="79"/>
        <v/>
      </c>
    </row>
    <row r="3871" spans="3:3">
      <c r="C3871" s="160" t="str">
        <f t="shared" si="79"/>
        <v/>
      </c>
    </row>
    <row r="3872" spans="3:3">
      <c r="C3872" s="160" t="str">
        <f t="shared" si="79"/>
        <v/>
      </c>
    </row>
    <row r="3873" spans="3:3">
      <c r="C3873" s="160" t="str">
        <f t="shared" si="79"/>
        <v/>
      </c>
    </row>
    <row r="3874" spans="3:3">
      <c r="C3874" s="160" t="str">
        <f t="shared" si="79"/>
        <v/>
      </c>
    </row>
    <row r="3875" spans="3:3">
      <c r="C3875" s="160" t="str">
        <f t="shared" si="79"/>
        <v/>
      </c>
    </row>
    <row r="3876" spans="3:3">
      <c r="C3876" s="160" t="str">
        <f t="shared" si="79"/>
        <v/>
      </c>
    </row>
    <row r="3877" spans="3:3">
      <c r="C3877" s="160" t="str">
        <f t="shared" si="79"/>
        <v/>
      </c>
    </row>
    <row r="3878" spans="3:3">
      <c r="C3878" s="160" t="str">
        <f t="shared" si="79"/>
        <v/>
      </c>
    </row>
    <row r="3879" spans="3:3">
      <c r="C3879" s="160" t="str">
        <f t="shared" si="79"/>
        <v/>
      </c>
    </row>
    <row r="3880" spans="3:3">
      <c r="C3880" s="160" t="str">
        <f t="shared" si="79"/>
        <v/>
      </c>
    </row>
    <row r="3881" spans="3:3">
      <c r="C3881" s="160" t="str">
        <f t="shared" si="79"/>
        <v/>
      </c>
    </row>
    <row r="3882" spans="3:3">
      <c r="C3882" s="160" t="str">
        <f t="shared" si="79"/>
        <v/>
      </c>
    </row>
    <row r="3883" spans="3:3">
      <c r="C3883" s="160" t="str">
        <f t="shared" si="79"/>
        <v/>
      </c>
    </row>
    <row r="3884" spans="3:3">
      <c r="C3884" s="160" t="str">
        <f t="shared" si="79"/>
        <v/>
      </c>
    </row>
    <row r="3885" spans="3:3">
      <c r="C3885" s="160" t="str">
        <f t="shared" si="79"/>
        <v/>
      </c>
    </row>
    <row r="3886" spans="3:3">
      <c r="C3886" s="160" t="str">
        <f t="shared" si="79"/>
        <v/>
      </c>
    </row>
    <row r="3887" spans="3:3">
      <c r="C3887" s="160" t="str">
        <f t="shared" si="79"/>
        <v/>
      </c>
    </row>
    <row r="3888" spans="3:3">
      <c r="C3888" s="160" t="str">
        <f t="shared" si="79"/>
        <v/>
      </c>
    </row>
    <row r="3889" spans="3:3">
      <c r="C3889" s="160" t="str">
        <f t="shared" si="79"/>
        <v/>
      </c>
    </row>
    <row r="3890" spans="3:3">
      <c r="C3890" s="160" t="str">
        <f t="shared" si="79"/>
        <v/>
      </c>
    </row>
    <row r="3891" spans="3:3">
      <c r="C3891" s="160" t="str">
        <f t="shared" si="79"/>
        <v/>
      </c>
    </row>
    <row r="3892" spans="3:3">
      <c r="C3892" s="160" t="str">
        <f t="shared" si="79"/>
        <v/>
      </c>
    </row>
    <row r="3893" spans="3:3">
      <c r="C3893" s="160" t="str">
        <f t="shared" si="79"/>
        <v/>
      </c>
    </row>
    <row r="3894" spans="3:3">
      <c r="C3894" s="160" t="str">
        <f t="shared" si="79"/>
        <v/>
      </c>
    </row>
    <row r="3895" spans="3:3">
      <c r="C3895" s="160" t="str">
        <f t="shared" si="79"/>
        <v/>
      </c>
    </row>
    <row r="3896" spans="3:3">
      <c r="C3896" s="160" t="str">
        <f t="shared" si="79"/>
        <v/>
      </c>
    </row>
    <row r="3897" spans="3:3">
      <c r="C3897" s="160" t="str">
        <f t="shared" si="79"/>
        <v/>
      </c>
    </row>
    <row r="3898" spans="3:3">
      <c r="C3898" s="160" t="str">
        <f t="shared" si="79"/>
        <v/>
      </c>
    </row>
    <row r="3899" spans="3:3">
      <c r="C3899" s="160" t="str">
        <f t="shared" si="79"/>
        <v/>
      </c>
    </row>
    <row r="3900" spans="3:3">
      <c r="C3900" s="160" t="str">
        <f t="shared" si="79"/>
        <v/>
      </c>
    </row>
    <row r="3901" spans="3:3">
      <c r="C3901" s="160" t="str">
        <f t="shared" si="79"/>
        <v/>
      </c>
    </row>
    <row r="3902" spans="3:3">
      <c r="C3902" s="160" t="str">
        <f t="shared" si="79"/>
        <v/>
      </c>
    </row>
    <row r="3903" spans="3:3">
      <c r="C3903" s="160" t="str">
        <f t="shared" si="79"/>
        <v/>
      </c>
    </row>
    <row r="3904" spans="3:3">
      <c r="C3904" s="160" t="str">
        <f t="shared" si="79"/>
        <v/>
      </c>
    </row>
    <row r="3905" spans="3:3">
      <c r="C3905" s="160" t="str">
        <f t="shared" si="79"/>
        <v/>
      </c>
    </row>
    <row r="3906" spans="3:3">
      <c r="C3906" s="160" t="str">
        <f t="shared" si="79"/>
        <v/>
      </c>
    </row>
    <row r="3907" spans="3:3">
      <c r="C3907" s="160" t="str">
        <f t="shared" si="79"/>
        <v/>
      </c>
    </row>
    <row r="3908" spans="3:3">
      <c r="C3908" s="160" t="str">
        <f t="shared" si="79"/>
        <v/>
      </c>
    </row>
    <row r="3909" spans="3:3">
      <c r="C3909" s="160" t="str">
        <f t="shared" si="79"/>
        <v/>
      </c>
    </row>
    <row r="3910" spans="3:3">
      <c r="C3910" s="160" t="str">
        <f t="shared" si="79"/>
        <v/>
      </c>
    </row>
    <row r="3911" spans="3:3">
      <c r="C3911" s="160" t="str">
        <f t="shared" si="79"/>
        <v/>
      </c>
    </row>
    <row r="3912" spans="3:3">
      <c r="C3912" s="160" t="str">
        <f t="shared" si="79"/>
        <v/>
      </c>
    </row>
    <row r="3913" spans="3:3">
      <c r="C3913" s="160" t="str">
        <f t="shared" si="79"/>
        <v/>
      </c>
    </row>
    <row r="3914" spans="3:3">
      <c r="C3914" s="160" t="str">
        <f t="shared" si="79"/>
        <v/>
      </c>
    </row>
    <row r="3915" spans="3:3">
      <c r="C3915" s="160" t="str">
        <f t="shared" si="79"/>
        <v/>
      </c>
    </row>
    <row r="3916" spans="3:3">
      <c r="C3916" s="160" t="str">
        <f t="shared" si="79"/>
        <v/>
      </c>
    </row>
    <row r="3917" spans="3:3">
      <c r="C3917" s="160" t="str">
        <f t="shared" ref="C3917:C3980" si="80">D3917&amp;I3917</f>
        <v/>
      </c>
    </row>
    <row r="3918" spans="3:3">
      <c r="C3918" s="160" t="str">
        <f t="shared" si="80"/>
        <v/>
      </c>
    </row>
    <row r="3919" spans="3:3">
      <c r="C3919" s="160" t="str">
        <f t="shared" si="80"/>
        <v/>
      </c>
    </row>
    <row r="3920" spans="3:3">
      <c r="C3920" s="160" t="str">
        <f t="shared" si="80"/>
        <v/>
      </c>
    </row>
    <row r="3921" spans="3:3">
      <c r="C3921" s="160" t="str">
        <f t="shared" si="80"/>
        <v/>
      </c>
    </row>
    <row r="3922" spans="3:3">
      <c r="C3922" s="160" t="str">
        <f t="shared" si="80"/>
        <v/>
      </c>
    </row>
    <row r="3923" spans="3:3">
      <c r="C3923" s="160" t="str">
        <f t="shared" si="80"/>
        <v/>
      </c>
    </row>
    <row r="3924" spans="3:3">
      <c r="C3924" s="160" t="str">
        <f t="shared" si="80"/>
        <v/>
      </c>
    </row>
    <row r="3925" spans="3:3">
      <c r="C3925" s="160" t="str">
        <f t="shared" si="80"/>
        <v/>
      </c>
    </row>
    <row r="3926" spans="3:3">
      <c r="C3926" s="160" t="str">
        <f t="shared" si="80"/>
        <v/>
      </c>
    </row>
    <row r="3927" spans="3:3">
      <c r="C3927" s="160" t="str">
        <f t="shared" si="80"/>
        <v/>
      </c>
    </row>
    <row r="3928" spans="3:3">
      <c r="C3928" s="160" t="str">
        <f t="shared" si="80"/>
        <v/>
      </c>
    </row>
    <row r="3929" spans="3:3">
      <c r="C3929" s="160" t="str">
        <f t="shared" si="80"/>
        <v/>
      </c>
    </row>
    <row r="3930" spans="3:3">
      <c r="C3930" s="160" t="str">
        <f t="shared" si="80"/>
        <v/>
      </c>
    </row>
    <row r="3931" spans="3:3">
      <c r="C3931" s="160" t="str">
        <f t="shared" si="80"/>
        <v/>
      </c>
    </row>
    <row r="3932" spans="3:3">
      <c r="C3932" s="160" t="str">
        <f t="shared" si="80"/>
        <v/>
      </c>
    </row>
    <row r="3933" spans="3:3">
      <c r="C3933" s="160" t="str">
        <f t="shared" si="80"/>
        <v/>
      </c>
    </row>
    <row r="3934" spans="3:3">
      <c r="C3934" s="160" t="str">
        <f t="shared" si="80"/>
        <v/>
      </c>
    </row>
    <row r="3935" spans="3:3">
      <c r="C3935" s="160" t="str">
        <f t="shared" si="80"/>
        <v/>
      </c>
    </row>
    <row r="3936" spans="3:3">
      <c r="C3936" s="160" t="str">
        <f t="shared" si="80"/>
        <v/>
      </c>
    </row>
    <row r="3937" spans="3:3">
      <c r="C3937" s="160" t="str">
        <f t="shared" si="80"/>
        <v/>
      </c>
    </row>
    <row r="3938" spans="3:3">
      <c r="C3938" s="160" t="str">
        <f t="shared" si="80"/>
        <v/>
      </c>
    </row>
    <row r="3939" spans="3:3">
      <c r="C3939" s="160" t="str">
        <f t="shared" si="80"/>
        <v/>
      </c>
    </row>
    <row r="3940" spans="3:3">
      <c r="C3940" s="160" t="str">
        <f t="shared" si="80"/>
        <v/>
      </c>
    </row>
    <row r="3941" spans="3:3">
      <c r="C3941" s="160" t="str">
        <f t="shared" si="80"/>
        <v/>
      </c>
    </row>
    <row r="3942" spans="3:3">
      <c r="C3942" s="160" t="str">
        <f t="shared" si="80"/>
        <v/>
      </c>
    </row>
    <row r="3943" spans="3:3">
      <c r="C3943" s="160" t="str">
        <f t="shared" si="80"/>
        <v/>
      </c>
    </row>
    <row r="3944" spans="3:3">
      <c r="C3944" s="160" t="str">
        <f t="shared" si="80"/>
        <v/>
      </c>
    </row>
    <row r="3945" spans="3:3">
      <c r="C3945" s="160" t="str">
        <f t="shared" si="80"/>
        <v/>
      </c>
    </row>
    <row r="3946" spans="3:3">
      <c r="C3946" s="160" t="str">
        <f t="shared" si="80"/>
        <v/>
      </c>
    </row>
    <row r="3947" spans="3:3">
      <c r="C3947" s="160" t="str">
        <f t="shared" si="80"/>
        <v/>
      </c>
    </row>
    <row r="3948" spans="3:3">
      <c r="C3948" s="160" t="str">
        <f t="shared" si="80"/>
        <v/>
      </c>
    </row>
    <row r="3949" spans="3:3">
      <c r="C3949" s="160" t="str">
        <f t="shared" si="80"/>
        <v/>
      </c>
    </row>
    <row r="3950" spans="3:3">
      <c r="C3950" s="160" t="str">
        <f t="shared" si="80"/>
        <v/>
      </c>
    </row>
    <row r="3951" spans="3:3">
      <c r="C3951" s="160" t="str">
        <f t="shared" si="80"/>
        <v/>
      </c>
    </row>
    <row r="3952" spans="3:3">
      <c r="C3952" s="160" t="str">
        <f t="shared" si="80"/>
        <v/>
      </c>
    </row>
    <row r="3953" spans="3:3">
      <c r="C3953" s="160" t="str">
        <f t="shared" si="80"/>
        <v/>
      </c>
    </row>
    <row r="3954" spans="3:3">
      <c r="C3954" s="160" t="str">
        <f t="shared" si="80"/>
        <v/>
      </c>
    </row>
    <row r="3955" spans="3:3">
      <c r="C3955" s="160" t="str">
        <f t="shared" si="80"/>
        <v/>
      </c>
    </row>
    <row r="3956" spans="3:3">
      <c r="C3956" s="160" t="str">
        <f t="shared" si="80"/>
        <v/>
      </c>
    </row>
    <row r="3957" spans="3:3">
      <c r="C3957" s="160" t="str">
        <f t="shared" si="80"/>
        <v/>
      </c>
    </row>
    <row r="3958" spans="3:3">
      <c r="C3958" s="160" t="str">
        <f t="shared" si="80"/>
        <v/>
      </c>
    </row>
    <row r="3959" spans="3:3">
      <c r="C3959" s="160" t="str">
        <f t="shared" si="80"/>
        <v/>
      </c>
    </row>
    <row r="3960" spans="3:3">
      <c r="C3960" s="160" t="str">
        <f t="shared" si="80"/>
        <v/>
      </c>
    </row>
    <row r="3961" spans="3:3">
      <c r="C3961" s="160" t="str">
        <f t="shared" si="80"/>
        <v/>
      </c>
    </row>
    <row r="3962" spans="3:3">
      <c r="C3962" s="160" t="str">
        <f t="shared" si="80"/>
        <v/>
      </c>
    </row>
    <row r="3963" spans="3:3">
      <c r="C3963" s="160" t="str">
        <f t="shared" si="80"/>
        <v/>
      </c>
    </row>
    <row r="3964" spans="3:3">
      <c r="C3964" s="160" t="str">
        <f t="shared" si="80"/>
        <v/>
      </c>
    </row>
    <row r="3965" spans="3:3">
      <c r="C3965" s="160" t="str">
        <f t="shared" si="80"/>
        <v/>
      </c>
    </row>
    <row r="3966" spans="3:3">
      <c r="C3966" s="160" t="str">
        <f t="shared" si="80"/>
        <v/>
      </c>
    </row>
    <row r="3967" spans="3:3">
      <c r="C3967" s="160" t="str">
        <f t="shared" si="80"/>
        <v/>
      </c>
    </row>
    <row r="3968" spans="3:3">
      <c r="C3968" s="160" t="str">
        <f t="shared" si="80"/>
        <v/>
      </c>
    </row>
    <row r="3969" spans="3:3">
      <c r="C3969" s="160" t="str">
        <f t="shared" si="80"/>
        <v/>
      </c>
    </row>
    <row r="3970" spans="3:3">
      <c r="C3970" s="160" t="str">
        <f t="shared" si="80"/>
        <v/>
      </c>
    </row>
    <row r="3971" spans="3:3">
      <c r="C3971" s="160" t="str">
        <f t="shared" si="80"/>
        <v/>
      </c>
    </row>
    <row r="3972" spans="3:3">
      <c r="C3972" s="160" t="str">
        <f t="shared" si="80"/>
        <v/>
      </c>
    </row>
    <row r="3973" spans="3:3">
      <c r="C3973" s="160" t="str">
        <f t="shared" si="80"/>
        <v/>
      </c>
    </row>
    <row r="3974" spans="3:3">
      <c r="C3974" s="160" t="str">
        <f t="shared" si="80"/>
        <v/>
      </c>
    </row>
    <row r="3975" spans="3:3">
      <c r="C3975" s="160" t="str">
        <f t="shared" si="80"/>
        <v/>
      </c>
    </row>
    <row r="3976" spans="3:3">
      <c r="C3976" s="160" t="str">
        <f t="shared" si="80"/>
        <v/>
      </c>
    </row>
    <row r="3977" spans="3:3">
      <c r="C3977" s="160" t="str">
        <f t="shared" si="80"/>
        <v/>
      </c>
    </row>
    <row r="3978" spans="3:3">
      <c r="C3978" s="160" t="str">
        <f t="shared" si="80"/>
        <v/>
      </c>
    </row>
    <row r="3979" spans="3:3">
      <c r="C3979" s="160" t="str">
        <f t="shared" si="80"/>
        <v/>
      </c>
    </row>
    <row r="3980" spans="3:3">
      <c r="C3980" s="160" t="str">
        <f t="shared" si="80"/>
        <v/>
      </c>
    </row>
    <row r="3981" spans="3:3">
      <c r="C3981" s="160" t="str">
        <f t="shared" ref="C3981:C4044" si="81">D3981&amp;I3981</f>
        <v/>
      </c>
    </row>
    <row r="3982" spans="3:3">
      <c r="C3982" s="160" t="str">
        <f t="shared" si="81"/>
        <v/>
      </c>
    </row>
    <row r="3983" spans="3:3">
      <c r="C3983" s="160" t="str">
        <f t="shared" si="81"/>
        <v/>
      </c>
    </row>
    <row r="3984" spans="3:3">
      <c r="C3984" s="160" t="str">
        <f t="shared" si="81"/>
        <v/>
      </c>
    </row>
    <row r="3985" spans="3:3">
      <c r="C3985" s="160" t="str">
        <f t="shared" si="81"/>
        <v/>
      </c>
    </row>
    <row r="3986" spans="3:3">
      <c r="C3986" s="160" t="str">
        <f t="shared" si="81"/>
        <v/>
      </c>
    </row>
    <row r="3987" spans="3:3">
      <c r="C3987" s="160" t="str">
        <f t="shared" si="81"/>
        <v/>
      </c>
    </row>
    <row r="3988" spans="3:3">
      <c r="C3988" s="160" t="str">
        <f t="shared" si="81"/>
        <v/>
      </c>
    </row>
    <row r="3989" spans="3:3">
      <c r="C3989" s="160" t="str">
        <f t="shared" si="81"/>
        <v/>
      </c>
    </row>
    <row r="3990" spans="3:3">
      <c r="C3990" s="160" t="str">
        <f t="shared" si="81"/>
        <v/>
      </c>
    </row>
    <row r="3991" spans="3:3">
      <c r="C3991" s="160" t="str">
        <f t="shared" si="81"/>
        <v/>
      </c>
    </row>
    <row r="3992" spans="3:3">
      <c r="C3992" s="160" t="str">
        <f t="shared" si="81"/>
        <v/>
      </c>
    </row>
    <row r="3993" spans="3:3">
      <c r="C3993" s="160" t="str">
        <f t="shared" si="81"/>
        <v/>
      </c>
    </row>
    <row r="3994" spans="3:3">
      <c r="C3994" s="160" t="str">
        <f t="shared" si="81"/>
        <v/>
      </c>
    </row>
    <row r="3995" spans="3:3">
      <c r="C3995" s="160" t="str">
        <f t="shared" si="81"/>
        <v/>
      </c>
    </row>
    <row r="3996" spans="3:3">
      <c r="C3996" s="160" t="str">
        <f t="shared" si="81"/>
        <v/>
      </c>
    </row>
    <row r="3997" spans="3:3">
      <c r="C3997" s="160" t="str">
        <f t="shared" si="81"/>
        <v/>
      </c>
    </row>
    <row r="3998" spans="3:3">
      <c r="C3998" s="160" t="str">
        <f t="shared" si="81"/>
        <v/>
      </c>
    </row>
    <row r="3999" spans="3:3">
      <c r="C3999" s="160" t="str">
        <f t="shared" si="81"/>
        <v/>
      </c>
    </row>
    <row r="4000" spans="3:3">
      <c r="C4000" s="160" t="str">
        <f t="shared" si="81"/>
        <v/>
      </c>
    </row>
    <row r="4001" spans="3:3">
      <c r="C4001" s="160" t="str">
        <f t="shared" si="81"/>
        <v/>
      </c>
    </row>
    <row r="4002" spans="3:3">
      <c r="C4002" s="160" t="str">
        <f t="shared" si="81"/>
        <v/>
      </c>
    </row>
    <row r="4003" spans="3:3">
      <c r="C4003" s="160" t="str">
        <f t="shared" si="81"/>
        <v/>
      </c>
    </row>
    <row r="4004" spans="3:3">
      <c r="C4004" s="160" t="str">
        <f t="shared" si="81"/>
        <v/>
      </c>
    </row>
    <row r="4005" spans="3:3">
      <c r="C4005" s="160" t="str">
        <f t="shared" si="81"/>
        <v/>
      </c>
    </row>
    <row r="4006" spans="3:3">
      <c r="C4006" s="160" t="str">
        <f t="shared" si="81"/>
        <v/>
      </c>
    </row>
    <row r="4007" spans="3:3">
      <c r="C4007" s="160" t="str">
        <f t="shared" si="81"/>
        <v/>
      </c>
    </row>
    <row r="4008" spans="3:3">
      <c r="C4008" s="160" t="str">
        <f t="shared" si="81"/>
        <v/>
      </c>
    </row>
    <row r="4009" spans="3:3">
      <c r="C4009" s="160" t="str">
        <f t="shared" si="81"/>
        <v/>
      </c>
    </row>
    <row r="4010" spans="3:3">
      <c r="C4010" s="160" t="str">
        <f t="shared" si="81"/>
        <v/>
      </c>
    </row>
    <row r="4011" spans="3:3">
      <c r="C4011" s="160" t="str">
        <f t="shared" si="81"/>
        <v/>
      </c>
    </row>
    <row r="4012" spans="3:3">
      <c r="C4012" s="160" t="str">
        <f t="shared" si="81"/>
        <v/>
      </c>
    </row>
    <row r="4013" spans="3:3">
      <c r="C4013" s="160" t="str">
        <f t="shared" si="81"/>
        <v/>
      </c>
    </row>
    <row r="4014" spans="3:3">
      <c r="C4014" s="160" t="str">
        <f t="shared" si="81"/>
        <v/>
      </c>
    </row>
    <row r="4015" spans="3:3">
      <c r="C4015" s="160" t="str">
        <f t="shared" si="81"/>
        <v/>
      </c>
    </row>
    <row r="4016" spans="3:3">
      <c r="C4016" s="160" t="str">
        <f t="shared" si="81"/>
        <v/>
      </c>
    </row>
    <row r="4017" spans="3:3">
      <c r="C4017" s="160" t="str">
        <f t="shared" si="81"/>
        <v/>
      </c>
    </row>
    <row r="4018" spans="3:3">
      <c r="C4018" s="160" t="str">
        <f t="shared" si="81"/>
        <v/>
      </c>
    </row>
    <row r="4019" spans="3:3">
      <c r="C4019" s="160" t="str">
        <f t="shared" si="81"/>
        <v/>
      </c>
    </row>
    <row r="4020" spans="3:3">
      <c r="C4020" s="160" t="str">
        <f t="shared" si="81"/>
        <v/>
      </c>
    </row>
    <row r="4021" spans="3:3">
      <c r="C4021" s="160" t="str">
        <f t="shared" si="81"/>
        <v/>
      </c>
    </row>
    <row r="4022" spans="3:3">
      <c r="C4022" s="160" t="str">
        <f t="shared" si="81"/>
        <v/>
      </c>
    </row>
    <row r="4023" spans="3:3">
      <c r="C4023" s="160" t="str">
        <f t="shared" si="81"/>
        <v/>
      </c>
    </row>
    <row r="4024" spans="3:3">
      <c r="C4024" s="160" t="str">
        <f t="shared" si="81"/>
        <v/>
      </c>
    </row>
    <row r="4025" spans="3:3">
      <c r="C4025" s="160" t="str">
        <f t="shared" si="81"/>
        <v/>
      </c>
    </row>
    <row r="4026" spans="3:3">
      <c r="C4026" s="160" t="str">
        <f t="shared" si="81"/>
        <v/>
      </c>
    </row>
    <row r="4027" spans="3:3">
      <c r="C4027" s="160" t="str">
        <f t="shared" si="81"/>
        <v/>
      </c>
    </row>
    <row r="4028" spans="3:3">
      <c r="C4028" s="160" t="str">
        <f t="shared" si="81"/>
        <v/>
      </c>
    </row>
    <row r="4029" spans="3:3">
      <c r="C4029" s="160" t="str">
        <f t="shared" si="81"/>
        <v/>
      </c>
    </row>
    <row r="4030" spans="3:3">
      <c r="C4030" s="160" t="str">
        <f t="shared" si="81"/>
        <v/>
      </c>
    </row>
    <row r="4031" spans="3:3">
      <c r="C4031" s="160" t="str">
        <f t="shared" si="81"/>
        <v/>
      </c>
    </row>
    <row r="4032" spans="3:3">
      <c r="C4032" s="160" t="str">
        <f t="shared" si="81"/>
        <v/>
      </c>
    </row>
    <row r="4033" spans="3:3">
      <c r="C4033" s="160" t="str">
        <f t="shared" si="81"/>
        <v/>
      </c>
    </row>
    <row r="4034" spans="3:3">
      <c r="C4034" s="160" t="str">
        <f t="shared" si="81"/>
        <v/>
      </c>
    </row>
    <row r="4035" spans="3:3">
      <c r="C4035" s="160" t="str">
        <f t="shared" si="81"/>
        <v/>
      </c>
    </row>
    <row r="4036" spans="3:3">
      <c r="C4036" s="160" t="str">
        <f t="shared" si="81"/>
        <v/>
      </c>
    </row>
    <row r="4037" spans="3:3">
      <c r="C4037" s="160" t="str">
        <f t="shared" si="81"/>
        <v/>
      </c>
    </row>
    <row r="4038" spans="3:3">
      <c r="C4038" s="160" t="str">
        <f t="shared" si="81"/>
        <v/>
      </c>
    </row>
    <row r="4039" spans="3:3">
      <c r="C4039" s="160" t="str">
        <f t="shared" si="81"/>
        <v/>
      </c>
    </row>
    <row r="4040" spans="3:3">
      <c r="C4040" s="160" t="str">
        <f t="shared" si="81"/>
        <v/>
      </c>
    </row>
    <row r="4041" spans="3:3">
      <c r="C4041" s="160" t="str">
        <f t="shared" si="81"/>
        <v/>
      </c>
    </row>
    <row r="4042" spans="3:3">
      <c r="C4042" s="160" t="str">
        <f t="shared" si="81"/>
        <v/>
      </c>
    </row>
    <row r="4043" spans="3:3">
      <c r="C4043" s="160" t="str">
        <f t="shared" si="81"/>
        <v/>
      </c>
    </row>
    <row r="4044" spans="3:3">
      <c r="C4044" s="160" t="str">
        <f t="shared" si="81"/>
        <v/>
      </c>
    </row>
    <row r="4045" spans="3:3">
      <c r="C4045" s="160" t="str">
        <f t="shared" ref="C4045:C4108" si="82">D4045&amp;I4045</f>
        <v/>
      </c>
    </row>
    <row r="4046" spans="3:3">
      <c r="C4046" s="160" t="str">
        <f t="shared" si="82"/>
        <v/>
      </c>
    </row>
    <row r="4047" spans="3:3">
      <c r="C4047" s="160" t="str">
        <f t="shared" si="82"/>
        <v/>
      </c>
    </row>
    <row r="4048" spans="3:3">
      <c r="C4048" s="160" t="str">
        <f t="shared" si="82"/>
        <v/>
      </c>
    </row>
    <row r="4049" spans="3:3">
      <c r="C4049" s="160" t="str">
        <f t="shared" si="82"/>
        <v/>
      </c>
    </row>
    <row r="4050" spans="3:3">
      <c r="C4050" s="160" t="str">
        <f t="shared" si="82"/>
        <v/>
      </c>
    </row>
    <row r="4051" spans="3:3">
      <c r="C4051" s="160" t="str">
        <f t="shared" si="82"/>
        <v/>
      </c>
    </row>
    <row r="4052" spans="3:3">
      <c r="C4052" s="160" t="str">
        <f t="shared" si="82"/>
        <v/>
      </c>
    </row>
    <row r="4053" spans="3:3">
      <c r="C4053" s="160" t="str">
        <f t="shared" si="82"/>
        <v/>
      </c>
    </row>
    <row r="4054" spans="3:3">
      <c r="C4054" s="160" t="str">
        <f t="shared" si="82"/>
        <v/>
      </c>
    </row>
    <row r="4055" spans="3:3">
      <c r="C4055" s="160" t="str">
        <f t="shared" si="82"/>
        <v/>
      </c>
    </row>
    <row r="4056" spans="3:3">
      <c r="C4056" s="160" t="str">
        <f t="shared" si="82"/>
        <v/>
      </c>
    </row>
    <row r="4057" spans="3:3">
      <c r="C4057" s="160" t="str">
        <f t="shared" si="82"/>
        <v/>
      </c>
    </row>
    <row r="4058" spans="3:3">
      <c r="C4058" s="160" t="str">
        <f t="shared" si="82"/>
        <v/>
      </c>
    </row>
    <row r="4059" spans="3:3">
      <c r="C4059" s="160" t="str">
        <f t="shared" si="82"/>
        <v/>
      </c>
    </row>
    <row r="4060" spans="3:3">
      <c r="C4060" s="160" t="str">
        <f t="shared" si="82"/>
        <v/>
      </c>
    </row>
    <row r="4061" spans="3:3">
      <c r="C4061" s="160" t="str">
        <f t="shared" si="82"/>
        <v/>
      </c>
    </row>
    <row r="4062" spans="3:3">
      <c r="C4062" s="160" t="str">
        <f t="shared" si="82"/>
        <v/>
      </c>
    </row>
    <row r="4063" spans="3:3">
      <c r="C4063" s="160" t="str">
        <f t="shared" si="82"/>
        <v/>
      </c>
    </row>
    <row r="4064" spans="3:3">
      <c r="C4064" s="160" t="str">
        <f t="shared" si="82"/>
        <v/>
      </c>
    </row>
    <row r="4065" spans="3:3">
      <c r="C4065" s="160" t="str">
        <f t="shared" si="82"/>
        <v/>
      </c>
    </row>
    <row r="4066" spans="3:3">
      <c r="C4066" s="160" t="str">
        <f t="shared" si="82"/>
        <v/>
      </c>
    </row>
    <row r="4067" spans="3:3">
      <c r="C4067" s="160" t="str">
        <f t="shared" si="82"/>
        <v/>
      </c>
    </row>
    <row r="4068" spans="3:3">
      <c r="C4068" s="160" t="str">
        <f t="shared" si="82"/>
        <v/>
      </c>
    </row>
    <row r="4069" spans="3:3">
      <c r="C4069" s="160" t="str">
        <f t="shared" si="82"/>
        <v/>
      </c>
    </row>
    <row r="4070" spans="3:3">
      <c r="C4070" s="160" t="str">
        <f t="shared" si="82"/>
        <v/>
      </c>
    </row>
    <row r="4071" spans="3:3">
      <c r="C4071" s="160" t="str">
        <f t="shared" si="82"/>
        <v/>
      </c>
    </row>
    <row r="4072" spans="3:3">
      <c r="C4072" s="160" t="str">
        <f t="shared" si="82"/>
        <v/>
      </c>
    </row>
    <row r="4073" spans="3:3">
      <c r="C4073" s="160" t="str">
        <f t="shared" si="82"/>
        <v/>
      </c>
    </row>
    <row r="4074" spans="3:3">
      <c r="C4074" s="160" t="str">
        <f t="shared" si="82"/>
        <v/>
      </c>
    </row>
    <row r="4075" spans="3:3">
      <c r="C4075" s="160" t="str">
        <f t="shared" si="82"/>
        <v/>
      </c>
    </row>
    <row r="4076" spans="3:3">
      <c r="C4076" s="160" t="str">
        <f t="shared" si="82"/>
        <v/>
      </c>
    </row>
    <row r="4077" spans="3:3">
      <c r="C4077" s="160" t="str">
        <f t="shared" si="82"/>
        <v/>
      </c>
    </row>
    <row r="4078" spans="3:3">
      <c r="C4078" s="160" t="str">
        <f t="shared" si="82"/>
        <v/>
      </c>
    </row>
    <row r="4079" spans="3:3">
      <c r="C4079" s="160" t="str">
        <f t="shared" si="82"/>
        <v/>
      </c>
    </row>
    <row r="4080" spans="3:3">
      <c r="C4080" s="160" t="str">
        <f t="shared" si="82"/>
        <v/>
      </c>
    </row>
    <row r="4081" spans="3:3">
      <c r="C4081" s="160" t="str">
        <f t="shared" si="82"/>
        <v/>
      </c>
    </row>
    <row r="4082" spans="3:3">
      <c r="C4082" s="160" t="str">
        <f t="shared" si="82"/>
        <v/>
      </c>
    </row>
    <row r="4083" spans="3:3">
      <c r="C4083" s="160" t="str">
        <f t="shared" si="82"/>
        <v/>
      </c>
    </row>
    <row r="4084" spans="3:3">
      <c r="C4084" s="160" t="str">
        <f t="shared" si="82"/>
        <v/>
      </c>
    </row>
    <row r="4085" spans="3:3">
      <c r="C4085" s="160" t="str">
        <f t="shared" si="82"/>
        <v/>
      </c>
    </row>
    <row r="4086" spans="3:3">
      <c r="C4086" s="160" t="str">
        <f t="shared" si="82"/>
        <v/>
      </c>
    </row>
    <row r="4087" spans="3:3">
      <c r="C4087" s="160" t="str">
        <f t="shared" si="82"/>
        <v/>
      </c>
    </row>
    <row r="4088" spans="3:3">
      <c r="C4088" s="160" t="str">
        <f t="shared" si="82"/>
        <v/>
      </c>
    </row>
    <row r="4089" spans="3:3">
      <c r="C4089" s="160" t="str">
        <f t="shared" si="82"/>
        <v/>
      </c>
    </row>
    <row r="4090" spans="3:3">
      <c r="C4090" s="160" t="str">
        <f t="shared" si="82"/>
        <v/>
      </c>
    </row>
    <row r="4091" spans="3:3">
      <c r="C4091" s="160" t="str">
        <f t="shared" si="82"/>
        <v/>
      </c>
    </row>
    <row r="4092" spans="3:3">
      <c r="C4092" s="160" t="str">
        <f t="shared" si="82"/>
        <v/>
      </c>
    </row>
    <row r="4093" spans="3:3">
      <c r="C4093" s="160" t="str">
        <f t="shared" si="82"/>
        <v/>
      </c>
    </row>
    <row r="4094" spans="3:3">
      <c r="C4094" s="160" t="str">
        <f t="shared" si="82"/>
        <v/>
      </c>
    </row>
    <row r="4095" spans="3:3">
      <c r="C4095" s="160" t="str">
        <f t="shared" si="82"/>
        <v/>
      </c>
    </row>
    <row r="4096" spans="3:3">
      <c r="C4096" s="160" t="str">
        <f t="shared" si="82"/>
        <v/>
      </c>
    </row>
    <row r="4097" spans="3:3">
      <c r="C4097" s="160" t="str">
        <f t="shared" si="82"/>
        <v/>
      </c>
    </row>
    <row r="4098" spans="3:3">
      <c r="C4098" s="160" t="str">
        <f t="shared" si="82"/>
        <v/>
      </c>
    </row>
    <row r="4099" spans="3:3">
      <c r="C4099" s="160" t="str">
        <f t="shared" si="82"/>
        <v/>
      </c>
    </row>
    <row r="4100" spans="3:3">
      <c r="C4100" s="160" t="str">
        <f t="shared" si="82"/>
        <v/>
      </c>
    </row>
    <row r="4101" spans="3:3">
      <c r="C4101" s="160" t="str">
        <f t="shared" si="82"/>
        <v/>
      </c>
    </row>
    <row r="4102" spans="3:3">
      <c r="C4102" s="160" t="str">
        <f t="shared" si="82"/>
        <v/>
      </c>
    </row>
    <row r="4103" spans="3:3">
      <c r="C4103" s="160" t="str">
        <f t="shared" si="82"/>
        <v/>
      </c>
    </row>
    <row r="4104" spans="3:3">
      <c r="C4104" s="160" t="str">
        <f t="shared" si="82"/>
        <v/>
      </c>
    </row>
    <row r="4105" spans="3:3">
      <c r="C4105" s="160" t="str">
        <f t="shared" si="82"/>
        <v/>
      </c>
    </row>
    <row r="4106" spans="3:3">
      <c r="C4106" s="160" t="str">
        <f t="shared" si="82"/>
        <v/>
      </c>
    </row>
    <row r="4107" spans="3:3">
      <c r="C4107" s="160" t="str">
        <f t="shared" si="82"/>
        <v/>
      </c>
    </row>
    <row r="4108" spans="3:3">
      <c r="C4108" s="160" t="str">
        <f t="shared" si="82"/>
        <v/>
      </c>
    </row>
    <row r="4109" spans="3:3">
      <c r="C4109" s="160" t="str">
        <f t="shared" ref="C4109:C4172" si="83">D4109&amp;I4109</f>
        <v/>
      </c>
    </row>
    <row r="4110" spans="3:3">
      <c r="C4110" s="160" t="str">
        <f t="shared" si="83"/>
        <v/>
      </c>
    </row>
    <row r="4111" spans="3:3">
      <c r="C4111" s="160" t="str">
        <f t="shared" si="83"/>
        <v/>
      </c>
    </row>
    <row r="4112" spans="3:3">
      <c r="C4112" s="160" t="str">
        <f t="shared" si="83"/>
        <v/>
      </c>
    </row>
    <row r="4113" spans="3:3">
      <c r="C4113" s="160" t="str">
        <f t="shared" si="83"/>
        <v/>
      </c>
    </row>
    <row r="4114" spans="3:3">
      <c r="C4114" s="160" t="str">
        <f t="shared" si="83"/>
        <v/>
      </c>
    </row>
    <row r="4115" spans="3:3">
      <c r="C4115" s="160" t="str">
        <f t="shared" si="83"/>
        <v/>
      </c>
    </row>
    <row r="4116" spans="3:3">
      <c r="C4116" s="160" t="str">
        <f t="shared" si="83"/>
        <v/>
      </c>
    </row>
    <row r="4117" spans="3:3">
      <c r="C4117" s="160" t="str">
        <f t="shared" si="83"/>
        <v/>
      </c>
    </row>
    <row r="4118" spans="3:3">
      <c r="C4118" s="160" t="str">
        <f t="shared" si="83"/>
        <v/>
      </c>
    </row>
    <row r="4119" spans="3:3">
      <c r="C4119" s="160" t="str">
        <f t="shared" si="83"/>
        <v/>
      </c>
    </row>
    <row r="4120" spans="3:3">
      <c r="C4120" s="160" t="str">
        <f t="shared" si="83"/>
        <v/>
      </c>
    </row>
    <row r="4121" spans="3:3">
      <c r="C4121" s="160" t="str">
        <f t="shared" si="83"/>
        <v/>
      </c>
    </row>
    <row r="4122" spans="3:3">
      <c r="C4122" s="160" t="str">
        <f t="shared" si="83"/>
        <v/>
      </c>
    </row>
    <row r="4123" spans="3:3">
      <c r="C4123" s="160" t="str">
        <f t="shared" si="83"/>
        <v/>
      </c>
    </row>
    <row r="4124" spans="3:3">
      <c r="C4124" s="160" t="str">
        <f t="shared" si="83"/>
        <v/>
      </c>
    </row>
    <row r="4125" spans="3:3">
      <c r="C4125" s="160" t="str">
        <f t="shared" si="83"/>
        <v/>
      </c>
    </row>
    <row r="4126" spans="3:3">
      <c r="C4126" s="160" t="str">
        <f t="shared" si="83"/>
        <v/>
      </c>
    </row>
    <row r="4127" spans="3:3">
      <c r="C4127" s="160" t="str">
        <f t="shared" si="83"/>
        <v/>
      </c>
    </row>
    <row r="4128" spans="3:3">
      <c r="C4128" s="160" t="str">
        <f t="shared" si="83"/>
        <v/>
      </c>
    </row>
    <row r="4129" spans="3:3">
      <c r="C4129" s="160" t="str">
        <f t="shared" si="83"/>
        <v/>
      </c>
    </row>
    <row r="4130" spans="3:3">
      <c r="C4130" s="160" t="str">
        <f t="shared" si="83"/>
        <v/>
      </c>
    </row>
    <row r="4131" spans="3:3">
      <c r="C4131" s="160" t="str">
        <f t="shared" si="83"/>
        <v/>
      </c>
    </row>
    <row r="4132" spans="3:3">
      <c r="C4132" s="160" t="str">
        <f t="shared" si="83"/>
        <v/>
      </c>
    </row>
    <row r="4133" spans="3:3">
      <c r="C4133" s="160" t="str">
        <f t="shared" si="83"/>
        <v/>
      </c>
    </row>
    <row r="4134" spans="3:3">
      <c r="C4134" s="160" t="str">
        <f t="shared" si="83"/>
        <v/>
      </c>
    </row>
    <row r="4135" spans="3:3">
      <c r="C4135" s="160" t="str">
        <f t="shared" si="83"/>
        <v/>
      </c>
    </row>
    <row r="4136" spans="3:3">
      <c r="C4136" s="160" t="str">
        <f t="shared" si="83"/>
        <v/>
      </c>
    </row>
    <row r="4137" spans="3:3">
      <c r="C4137" s="160" t="str">
        <f t="shared" si="83"/>
        <v/>
      </c>
    </row>
    <row r="4138" spans="3:3">
      <c r="C4138" s="160" t="str">
        <f t="shared" si="83"/>
        <v/>
      </c>
    </row>
    <row r="4139" spans="3:3">
      <c r="C4139" s="160" t="str">
        <f t="shared" si="83"/>
        <v/>
      </c>
    </row>
    <row r="4140" spans="3:3">
      <c r="C4140" s="160" t="str">
        <f t="shared" si="83"/>
        <v/>
      </c>
    </row>
    <row r="4141" spans="3:3">
      <c r="C4141" s="160" t="str">
        <f t="shared" si="83"/>
        <v/>
      </c>
    </row>
    <row r="4142" spans="3:3">
      <c r="C4142" s="160" t="str">
        <f t="shared" si="83"/>
        <v/>
      </c>
    </row>
    <row r="4143" spans="3:3">
      <c r="C4143" s="160" t="str">
        <f t="shared" si="83"/>
        <v/>
      </c>
    </row>
    <row r="4144" spans="3:3">
      <c r="C4144" s="160" t="str">
        <f t="shared" si="83"/>
        <v/>
      </c>
    </row>
    <row r="4145" spans="3:3">
      <c r="C4145" s="160" t="str">
        <f t="shared" si="83"/>
        <v/>
      </c>
    </row>
    <row r="4146" spans="3:3">
      <c r="C4146" s="160" t="str">
        <f t="shared" si="83"/>
        <v/>
      </c>
    </row>
    <row r="4147" spans="3:3">
      <c r="C4147" s="160" t="str">
        <f t="shared" si="83"/>
        <v/>
      </c>
    </row>
    <row r="4148" spans="3:3">
      <c r="C4148" s="160" t="str">
        <f t="shared" si="83"/>
        <v/>
      </c>
    </row>
    <row r="4149" spans="3:3">
      <c r="C4149" s="160" t="str">
        <f t="shared" si="83"/>
        <v/>
      </c>
    </row>
    <row r="4150" spans="3:3">
      <c r="C4150" s="160" t="str">
        <f t="shared" si="83"/>
        <v/>
      </c>
    </row>
    <row r="4151" spans="3:3">
      <c r="C4151" s="160" t="str">
        <f t="shared" si="83"/>
        <v/>
      </c>
    </row>
    <row r="4152" spans="3:3">
      <c r="C4152" s="160" t="str">
        <f t="shared" si="83"/>
        <v/>
      </c>
    </row>
    <row r="4153" spans="3:3">
      <c r="C4153" s="160" t="str">
        <f t="shared" si="83"/>
        <v/>
      </c>
    </row>
    <row r="4154" spans="3:3">
      <c r="C4154" s="160" t="str">
        <f t="shared" si="83"/>
        <v/>
      </c>
    </row>
    <row r="4155" spans="3:3">
      <c r="C4155" s="160" t="str">
        <f t="shared" si="83"/>
        <v/>
      </c>
    </row>
    <row r="4156" spans="3:3">
      <c r="C4156" s="160" t="str">
        <f t="shared" si="83"/>
        <v/>
      </c>
    </row>
    <row r="4157" spans="3:3">
      <c r="C4157" s="160" t="str">
        <f t="shared" si="83"/>
        <v/>
      </c>
    </row>
    <row r="4158" spans="3:3">
      <c r="C4158" s="160" t="str">
        <f t="shared" si="83"/>
        <v/>
      </c>
    </row>
    <row r="4159" spans="3:3">
      <c r="C4159" s="160" t="str">
        <f t="shared" si="83"/>
        <v/>
      </c>
    </row>
    <row r="4160" spans="3:3">
      <c r="C4160" s="160" t="str">
        <f t="shared" si="83"/>
        <v/>
      </c>
    </row>
    <row r="4161" spans="3:3">
      <c r="C4161" s="160" t="str">
        <f t="shared" si="83"/>
        <v/>
      </c>
    </row>
    <row r="4162" spans="3:3">
      <c r="C4162" s="160" t="str">
        <f t="shared" si="83"/>
        <v/>
      </c>
    </row>
    <row r="4163" spans="3:3">
      <c r="C4163" s="160" t="str">
        <f t="shared" si="83"/>
        <v/>
      </c>
    </row>
    <row r="4164" spans="3:3">
      <c r="C4164" s="160" t="str">
        <f t="shared" si="83"/>
        <v/>
      </c>
    </row>
    <row r="4165" spans="3:3">
      <c r="C4165" s="160" t="str">
        <f t="shared" si="83"/>
        <v/>
      </c>
    </row>
    <row r="4166" spans="3:3">
      <c r="C4166" s="160" t="str">
        <f t="shared" si="83"/>
        <v/>
      </c>
    </row>
    <row r="4167" spans="3:3">
      <c r="C4167" s="160" t="str">
        <f t="shared" si="83"/>
        <v/>
      </c>
    </row>
    <row r="4168" spans="3:3">
      <c r="C4168" s="160" t="str">
        <f t="shared" si="83"/>
        <v/>
      </c>
    </row>
    <row r="4169" spans="3:3">
      <c r="C4169" s="160" t="str">
        <f t="shared" si="83"/>
        <v/>
      </c>
    </row>
    <row r="4170" spans="3:3">
      <c r="C4170" s="160" t="str">
        <f t="shared" si="83"/>
        <v/>
      </c>
    </row>
    <row r="4171" spans="3:3">
      <c r="C4171" s="160" t="str">
        <f t="shared" si="83"/>
        <v/>
      </c>
    </row>
    <row r="4172" spans="3:3">
      <c r="C4172" s="160" t="str">
        <f t="shared" si="83"/>
        <v/>
      </c>
    </row>
    <row r="4173" spans="3:3">
      <c r="C4173" s="160" t="str">
        <f t="shared" ref="C4173:C4236" si="84">D4173&amp;I4173</f>
        <v/>
      </c>
    </row>
    <row r="4174" spans="3:3">
      <c r="C4174" s="160" t="str">
        <f t="shared" si="84"/>
        <v/>
      </c>
    </row>
    <row r="4175" spans="3:3">
      <c r="C4175" s="160" t="str">
        <f t="shared" si="84"/>
        <v/>
      </c>
    </row>
    <row r="4176" spans="3:3">
      <c r="C4176" s="160" t="str">
        <f t="shared" si="84"/>
        <v/>
      </c>
    </row>
    <row r="4177" spans="3:3">
      <c r="C4177" s="160" t="str">
        <f t="shared" si="84"/>
        <v/>
      </c>
    </row>
    <row r="4178" spans="3:3">
      <c r="C4178" s="160" t="str">
        <f t="shared" si="84"/>
        <v/>
      </c>
    </row>
    <row r="4179" spans="3:3">
      <c r="C4179" s="160" t="str">
        <f t="shared" si="84"/>
        <v/>
      </c>
    </row>
    <row r="4180" spans="3:3">
      <c r="C4180" s="160" t="str">
        <f t="shared" si="84"/>
        <v/>
      </c>
    </row>
    <row r="4181" spans="3:3">
      <c r="C4181" s="160" t="str">
        <f t="shared" si="84"/>
        <v/>
      </c>
    </row>
    <row r="4182" spans="3:3">
      <c r="C4182" s="160" t="str">
        <f t="shared" si="84"/>
        <v/>
      </c>
    </row>
    <row r="4183" spans="3:3">
      <c r="C4183" s="160" t="str">
        <f t="shared" si="84"/>
        <v/>
      </c>
    </row>
    <row r="4184" spans="3:3">
      <c r="C4184" s="160" t="str">
        <f t="shared" si="84"/>
        <v/>
      </c>
    </row>
    <row r="4185" spans="3:3">
      <c r="C4185" s="160" t="str">
        <f t="shared" si="84"/>
        <v/>
      </c>
    </row>
    <row r="4186" spans="3:3">
      <c r="C4186" s="160" t="str">
        <f t="shared" si="84"/>
        <v/>
      </c>
    </row>
    <row r="4187" spans="3:3">
      <c r="C4187" s="160" t="str">
        <f t="shared" si="84"/>
        <v/>
      </c>
    </row>
    <row r="4188" spans="3:3">
      <c r="C4188" s="160" t="str">
        <f t="shared" si="84"/>
        <v/>
      </c>
    </row>
    <row r="4189" spans="3:3">
      <c r="C4189" s="160" t="str">
        <f t="shared" si="84"/>
        <v/>
      </c>
    </row>
    <row r="4190" spans="3:3">
      <c r="C4190" s="160" t="str">
        <f t="shared" si="84"/>
        <v/>
      </c>
    </row>
    <row r="4191" spans="3:3">
      <c r="C4191" s="160" t="str">
        <f t="shared" si="84"/>
        <v/>
      </c>
    </row>
    <row r="4192" spans="3:3">
      <c r="C4192" s="160" t="str">
        <f t="shared" si="84"/>
        <v/>
      </c>
    </row>
    <row r="4193" spans="3:3">
      <c r="C4193" s="160" t="str">
        <f t="shared" si="84"/>
        <v/>
      </c>
    </row>
    <row r="4194" spans="3:3">
      <c r="C4194" s="160" t="str">
        <f t="shared" si="84"/>
        <v/>
      </c>
    </row>
    <row r="4195" spans="3:3">
      <c r="C4195" s="160" t="str">
        <f t="shared" si="84"/>
        <v/>
      </c>
    </row>
    <row r="4196" spans="3:3">
      <c r="C4196" s="160" t="str">
        <f t="shared" si="84"/>
        <v/>
      </c>
    </row>
    <row r="4197" spans="3:3">
      <c r="C4197" s="160" t="str">
        <f t="shared" si="84"/>
        <v/>
      </c>
    </row>
    <row r="4198" spans="3:3">
      <c r="C4198" s="160" t="str">
        <f t="shared" si="84"/>
        <v/>
      </c>
    </row>
    <row r="4199" spans="3:3">
      <c r="C4199" s="160" t="str">
        <f t="shared" si="84"/>
        <v/>
      </c>
    </row>
    <row r="4200" spans="3:3">
      <c r="C4200" s="160" t="str">
        <f t="shared" si="84"/>
        <v/>
      </c>
    </row>
    <row r="4201" spans="3:3">
      <c r="C4201" s="160" t="str">
        <f t="shared" si="84"/>
        <v/>
      </c>
    </row>
    <row r="4202" spans="3:3">
      <c r="C4202" s="160" t="str">
        <f t="shared" si="84"/>
        <v/>
      </c>
    </row>
    <row r="4203" spans="3:3">
      <c r="C4203" s="160" t="str">
        <f t="shared" si="84"/>
        <v/>
      </c>
    </row>
    <row r="4204" spans="3:3">
      <c r="C4204" s="160" t="str">
        <f t="shared" si="84"/>
        <v/>
      </c>
    </row>
    <row r="4205" spans="3:3">
      <c r="C4205" s="160" t="str">
        <f t="shared" si="84"/>
        <v/>
      </c>
    </row>
    <row r="4206" spans="3:3">
      <c r="C4206" s="160" t="str">
        <f t="shared" si="84"/>
        <v/>
      </c>
    </row>
    <row r="4207" spans="3:3">
      <c r="C4207" s="160" t="str">
        <f t="shared" si="84"/>
        <v/>
      </c>
    </row>
    <row r="4208" spans="3:3">
      <c r="C4208" s="160" t="str">
        <f t="shared" si="84"/>
        <v/>
      </c>
    </row>
    <row r="4209" spans="3:3">
      <c r="C4209" s="160" t="str">
        <f t="shared" si="84"/>
        <v/>
      </c>
    </row>
    <row r="4210" spans="3:3">
      <c r="C4210" s="160" t="str">
        <f t="shared" si="84"/>
        <v/>
      </c>
    </row>
    <row r="4211" spans="3:3">
      <c r="C4211" s="160" t="str">
        <f t="shared" si="84"/>
        <v/>
      </c>
    </row>
    <row r="4212" spans="3:3">
      <c r="C4212" s="160" t="str">
        <f t="shared" si="84"/>
        <v/>
      </c>
    </row>
    <row r="4213" spans="3:3">
      <c r="C4213" s="160" t="str">
        <f t="shared" si="84"/>
        <v/>
      </c>
    </row>
    <row r="4214" spans="3:3">
      <c r="C4214" s="160" t="str">
        <f t="shared" si="84"/>
        <v/>
      </c>
    </row>
    <row r="4215" spans="3:3">
      <c r="C4215" s="160" t="str">
        <f t="shared" si="84"/>
        <v/>
      </c>
    </row>
    <row r="4216" spans="3:3">
      <c r="C4216" s="160" t="str">
        <f t="shared" si="84"/>
        <v/>
      </c>
    </row>
    <row r="4217" spans="3:3">
      <c r="C4217" s="160" t="str">
        <f t="shared" si="84"/>
        <v/>
      </c>
    </row>
    <row r="4218" spans="3:3">
      <c r="C4218" s="160" t="str">
        <f t="shared" si="84"/>
        <v/>
      </c>
    </row>
    <row r="4219" spans="3:3">
      <c r="C4219" s="160" t="str">
        <f t="shared" si="84"/>
        <v/>
      </c>
    </row>
    <row r="4220" spans="3:3">
      <c r="C4220" s="160" t="str">
        <f t="shared" si="84"/>
        <v/>
      </c>
    </row>
    <row r="4221" spans="3:3">
      <c r="C4221" s="160" t="str">
        <f t="shared" si="84"/>
        <v/>
      </c>
    </row>
    <row r="4222" spans="3:3">
      <c r="C4222" s="160" t="str">
        <f t="shared" si="84"/>
        <v/>
      </c>
    </row>
    <row r="4223" spans="3:3">
      <c r="C4223" s="160" t="str">
        <f t="shared" si="84"/>
        <v/>
      </c>
    </row>
    <row r="4224" spans="3:3">
      <c r="C4224" s="160" t="str">
        <f t="shared" si="84"/>
        <v/>
      </c>
    </row>
    <row r="4225" spans="3:3">
      <c r="C4225" s="160" t="str">
        <f t="shared" si="84"/>
        <v/>
      </c>
    </row>
    <row r="4226" spans="3:3">
      <c r="C4226" s="160" t="str">
        <f t="shared" si="84"/>
        <v/>
      </c>
    </row>
    <row r="4227" spans="3:3">
      <c r="C4227" s="160" t="str">
        <f t="shared" si="84"/>
        <v/>
      </c>
    </row>
    <row r="4228" spans="3:3">
      <c r="C4228" s="160" t="str">
        <f t="shared" si="84"/>
        <v/>
      </c>
    </row>
    <row r="4229" spans="3:3">
      <c r="C4229" s="160" t="str">
        <f t="shared" si="84"/>
        <v/>
      </c>
    </row>
    <row r="4230" spans="3:3">
      <c r="C4230" s="160" t="str">
        <f t="shared" si="84"/>
        <v/>
      </c>
    </row>
    <row r="4231" spans="3:3">
      <c r="C4231" s="160" t="str">
        <f t="shared" si="84"/>
        <v/>
      </c>
    </row>
    <row r="4232" spans="3:3">
      <c r="C4232" s="160" t="str">
        <f t="shared" si="84"/>
        <v/>
      </c>
    </row>
    <row r="4233" spans="3:3">
      <c r="C4233" s="160" t="str">
        <f t="shared" si="84"/>
        <v/>
      </c>
    </row>
    <row r="4234" spans="3:3">
      <c r="C4234" s="160" t="str">
        <f t="shared" si="84"/>
        <v/>
      </c>
    </row>
    <row r="4235" spans="3:3">
      <c r="C4235" s="160" t="str">
        <f t="shared" si="84"/>
        <v/>
      </c>
    </row>
    <row r="4236" spans="3:3">
      <c r="C4236" s="160" t="str">
        <f t="shared" si="84"/>
        <v/>
      </c>
    </row>
    <row r="4237" spans="3:3">
      <c r="C4237" s="160" t="str">
        <f t="shared" ref="C4237:C4300" si="85">D4237&amp;I4237</f>
        <v/>
      </c>
    </row>
    <row r="4238" spans="3:3">
      <c r="C4238" s="160" t="str">
        <f t="shared" si="85"/>
        <v/>
      </c>
    </row>
    <row r="4239" spans="3:3">
      <c r="C4239" s="160" t="str">
        <f t="shared" si="85"/>
        <v/>
      </c>
    </row>
    <row r="4240" spans="3:3">
      <c r="C4240" s="160" t="str">
        <f t="shared" si="85"/>
        <v/>
      </c>
    </row>
    <row r="4241" spans="3:3">
      <c r="C4241" s="160" t="str">
        <f t="shared" si="85"/>
        <v/>
      </c>
    </row>
    <row r="4242" spans="3:3">
      <c r="C4242" s="160" t="str">
        <f t="shared" si="85"/>
        <v/>
      </c>
    </row>
    <row r="4243" spans="3:3">
      <c r="C4243" s="160" t="str">
        <f t="shared" si="85"/>
        <v/>
      </c>
    </row>
    <row r="4244" spans="3:3">
      <c r="C4244" s="160" t="str">
        <f t="shared" si="85"/>
        <v/>
      </c>
    </row>
    <row r="4245" spans="3:3">
      <c r="C4245" s="160" t="str">
        <f t="shared" si="85"/>
        <v/>
      </c>
    </row>
    <row r="4246" spans="3:3">
      <c r="C4246" s="160" t="str">
        <f t="shared" si="85"/>
        <v/>
      </c>
    </row>
    <row r="4247" spans="3:3">
      <c r="C4247" s="160" t="str">
        <f t="shared" si="85"/>
        <v/>
      </c>
    </row>
    <row r="4248" spans="3:3">
      <c r="C4248" s="160" t="str">
        <f t="shared" si="85"/>
        <v/>
      </c>
    </row>
    <row r="4249" spans="3:3">
      <c r="C4249" s="160" t="str">
        <f t="shared" si="85"/>
        <v/>
      </c>
    </row>
    <row r="4250" spans="3:3">
      <c r="C4250" s="160" t="str">
        <f t="shared" si="85"/>
        <v/>
      </c>
    </row>
    <row r="4251" spans="3:3">
      <c r="C4251" s="160" t="str">
        <f t="shared" si="85"/>
        <v/>
      </c>
    </row>
    <row r="4252" spans="3:3">
      <c r="C4252" s="160" t="str">
        <f t="shared" si="85"/>
        <v/>
      </c>
    </row>
    <row r="4253" spans="3:3">
      <c r="C4253" s="160" t="str">
        <f t="shared" si="85"/>
        <v/>
      </c>
    </row>
    <row r="4254" spans="3:3">
      <c r="C4254" s="160" t="str">
        <f t="shared" si="85"/>
        <v/>
      </c>
    </row>
    <row r="4255" spans="3:3">
      <c r="C4255" s="160" t="str">
        <f t="shared" si="85"/>
        <v/>
      </c>
    </row>
    <row r="4256" spans="3:3">
      <c r="C4256" s="160" t="str">
        <f t="shared" si="85"/>
        <v/>
      </c>
    </row>
    <row r="4257" spans="3:3">
      <c r="C4257" s="160" t="str">
        <f t="shared" si="85"/>
        <v/>
      </c>
    </row>
    <row r="4258" spans="3:3">
      <c r="C4258" s="160" t="str">
        <f t="shared" si="85"/>
        <v/>
      </c>
    </row>
    <row r="4259" spans="3:3">
      <c r="C4259" s="160" t="str">
        <f t="shared" si="85"/>
        <v/>
      </c>
    </row>
    <row r="4260" spans="3:3">
      <c r="C4260" s="160" t="str">
        <f t="shared" si="85"/>
        <v/>
      </c>
    </row>
    <row r="4261" spans="3:3">
      <c r="C4261" s="160" t="str">
        <f t="shared" si="85"/>
        <v/>
      </c>
    </row>
    <row r="4262" spans="3:3">
      <c r="C4262" s="160" t="str">
        <f t="shared" si="85"/>
        <v/>
      </c>
    </row>
    <row r="4263" spans="3:3">
      <c r="C4263" s="160" t="str">
        <f t="shared" si="85"/>
        <v/>
      </c>
    </row>
    <row r="4264" spans="3:3">
      <c r="C4264" s="160" t="str">
        <f t="shared" si="85"/>
        <v/>
      </c>
    </row>
    <row r="4265" spans="3:3">
      <c r="C4265" s="160" t="str">
        <f t="shared" si="85"/>
        <v/>
      </c>
    </row>
    <row r="4266" spans="3:3">
      <c r="C4266" s="160" t="str">
        <f t="shared" si="85"/>
        <v/>
      </c>
    </row>
    <row r="4267" spans="3:3">
      <c r="C4267" s="160" t="str">
        <f t="shared" si="85"/>
        <v/>
      </c>
    </row>
    <row r="4268" spans="3:3">
      <c r="C4268" s="160" t="str">
        <f t="shared" si="85"/>
        <v/>
      </c>
    </row>
    <row r="4269" spans="3:3">
      <c r="C4269" s="160" t="str">
        <f t="shared" si="85"/>
        <v/>
      </c>
    </row>
    <row r="4270" spans="3:3">
      <c r="C4270" s="160" t="str">
        <f t="shared" si="85"/>
        <v/>
      </c>
    </row>
    <row r="4271" spans="3:3">
      <c r="C4271" s="160" t="str">
        <f t="shared" si="85"/>
        <v/>
      </c>
    </row>
    <row r="4272" spans="3:3">
      <c r="C4272" s="160" t="str">
        <f t="shared" si="85"/>
        <v/>
      </c>
    </row>
    <row r="4273" spans="3:3">
      <c r="C4273" s="160" t="str">
        <f t="shared" si="85"/>
        <v/>
      </c>
    </row>
    <row r="4274" spans="3:3">
      <c r="C4274" s="160" t="str">
        <f t="shared" si="85"/>
        <v/>
      </c>
    </row>
    <row r="4275" spans="3:3">
      <c r="C4275" s="160" t="str">
        <f t="shared" si="85"/>
        <v/>
      </c>
    </row>
    <row r="4276" spans="3:3">
      <c r="C4276" s="160" t="str">
        <f t="shared" si="85"/>
        <v/>
      </c>
    </row>
    <row r="4277" spans="3:3">
      <c r="C4277" s="160" t="str">
        <f t="shared" si="85"/>
        <v/>
      </c>
    </row>
    <row r="4278" spans="3:3">
      <c r="C4278" s="160" t="str">
        <f t="shared" si="85"/>
        <v/>
      </c>
    </row>
    <row r="4279" spans="3:3">
      <c r="C4279" s="160" t="str">
        <f t="shared" si="85"/>
        <v/>
      </c>
    </row>
    <row r="4280" spans="3:3">
      <c r="C4280" s="160" t="str">
        <f t="shared" si="85"/>
        <v/>
      </c>
    </row>
    <row r="4281" spans="3:3">
      <c r="C4281" s="160" t="str">
        <f t="shared" si="85"/>
        <v/>
      </c>
    </row>
    <row r="4282" spans="3:3">
      <c r="C4282" s="160" t="str">
        <f t="shared" si="85"/>
        <v/>
      </c>
    </row>
    <row r="4283" spans="3:3">
      <c r="C4283" s="160" t="str">
        <f t="shared" si="85"/>
        <v/>
      </c>
    </row>
    <row r="4284" spans="3:3">
      <c r="C4284" s="160" t="str">
        <f t="shared" si="85"/>
        <v/>
      </c>
    </row>
    <row r="4285" spans="3:3">
      <c r="C4285" s="160" t="str">
        <f t="shared" si="85"/>
        <v/>
      </c>
    </row>
    <row r="4286" spans="3:3">
      <c r="C4286" s="160" t="str">
        <f t="shared" si="85"/>
        <v/>
      </c>
    </row>
    <row r="4287" spans="3:3">
      <c r="C4287" s="160" t="str">
        <f t="shared" si="85"/>
        <v/>
      </c>
    </row>
    <row r="4288" spans="3:3">
      <c r="C4288" s="160" t="str">
        <f t="shared" si="85"/>
        <v/>
      </c>
    </row>
    <row r="4289" spans="3:3">
      <c r="C4289" s="160" t="str">
        <f t="shared" si="85"/>
        <v/>
      </c>
    </row>
    <row r="4290" spans="3:3">
      <c r="C4290" s="160" t="str">
        <f t="shared" si="85"/>
        <v/>
      </c>
    </row>
    <row r="4291" spans="3:3">
      <c r="C4291" s="160" t="str">
        <f t="shared" si="85"/>
        <v/>
      </c>
    </row>
    <row r="4292" spans="3:3">
      <c r="C4292" s="160" t="str">
        <f t="shared" si="85"/>
        <v/>
      </c>
    </row>
    <row r="4293" spans="3:3">
      <c r="C4293" s="160" t="str">
        <f t="shared" si="85"/>
        <v/>
      </c>
    </row>
    <row r="4294" spans="3:3">
      <c r="C4294" s="160" t="str">
        <f t="shared" si="85"/>
        <v/>
      </c>
    </row>
    <row r="4295" spans="3:3">
      <c r="C4295" s="160" t="str">
        <f t="shared" si="85"/>
        <v/>
      </c>
    </row>
    <row r="4296" spans="3:3">
      <c r="C4296" s="160" t="str">
        <f t="shared" si="85"/>
        <v/>
      </c>
    </row>
    <row r="4297" spans="3:3">
      <c r="C4297" s="160" t="str">
        <f t="shared" si="85"/>
        <v/>
      </c>
    </row>
    <row r="4298" spans="3:3">
      <c r="C4298" s="160" t="str">
        <f t="shared" si="85"/>
        <v/>
      </c>
    </row>
    <row r="4299" spans="3:3">
      <c r="C4299" s="160" t="str">
        <f t="shared" si="85"/>
        <v/>
      </c>
    </row>
    <row r="4300" spans="3:3">
      <c r="C4300" s="160" t="str">
        <f t="shared" si="85"/>
        <v/>
      </c>
    </row>
    <row r="4301" spans="3:3">
      <c r="C4301" s="160" t="str">
        <f t="shared" ref="C4301:C4364" si="86">D4301&amp;I4301</f>
        <v/>
      </c>
    </row>
    <row r="4302" spans="3:3">
      <c r="C4302" s="160" t="str">
        <f t="shared" si="86"/>
        <v/>
      </c>
    </row>
    <row r="4303" spans="3:3">
      <c r="C4303" s="160" t="str">
        <f t="shared" si="86"/>
        <v/>
      </c>
    </row>
    <row r="4304" spans="3:3">
      <c r="C4304" s="160" t="str">
        <f t="shared" si="86"/>
        <v/>
      </c>
    </row>
    <row r="4305" spans="3:3">
      <c r="C4305" s="160" t="str">
        <f t="shared" si="86"/>
        <v/>
      </c>
    </row>
    <row r="4306" spans="3:3">
      <c r="C4306" s="160" t="str">
        <f t="shared" si="86"/>
        <v/>
      </c>
    </row>
    <row r="4307" spans="3:3">
      <c r="C4307" s="160" t="str">
        <f t="shared" si="86"/>
        <v/>
      </c>
    </row>
    <row r="4308" spans="3:3">
      <c r="C4308" s="160" t="str">
        <f t="shared" si="86"/>
        <v/>
      </c>
    </row>
    <row r="4309" spans="3:3">
      <c r="C4309" s="160" t="str">
        <f t="shared" si="86"/>
        <v/>
      </c>
    </row>
    <row r="4310" spans="3:3">
      <c r="C4310" s="160" t="str">
        <f t="shared" si="86"/>
        <v/>
      </c>
    </row>
    <row r="4311" spans="3:3">
      <c r="C4311" s="160" t="str">
        <f t="shared" si="86"/>
        <v/>
      </c>
    </row>
    <row r="4312" spans="3:3">
      <c r="C4312" s="160" t="str">
        <f t="shared" si="86"/>
        <v/>
      </c>
    </row>
    <row r="4313" spans="3:3">
      <c r="C4313" s="160" t="str">
        <f t="shared" si="86"/>
        <v/>
      </c>
    </row>
    <row r="4314" spans="3:3">
      <c r="C4314" s="160" t="str">
        <f t="shared" si="86"/>
        <v/>
      </c>
    </row>
    <row r="4315" spans="3:3">
      <c r="C4315" s="160" t="str">
        <f t="shared" si="86"/>
        <v/>
      </c>
    </row>
    <row r="4316" spans="3:3">
      <c r="C4316" s="160" t="str">
        <f t="shared" si="86"/>
        <v/>
      </c>
    </row>
    <row r="4317" spans="3:3">
      <c r="C4317" s="160" t="str">
        <f t="shared" si="86"/>
        <v/>
      </c>
    </row>
    <row r="4318" spans="3:3">
      <c r="C4318" s="160" t="str">
        <f t="shared" si="86"/>
        <v/>
      </c>
    </row>
    <row r="4319" spans="3:3">
      <c r="C4319" s="160" t="str">
        <f t="shared" si="86"/>
        <v/>
      </c>
    </row>
    <row r="4320" spans="3:3">
      <c r="C4320" s="160" t="str">
        <f t="shared" si="86"/>
        <v/>
      </c>
    </row>
    <row r="4321" spans="3:3">
      <c r="C4321" s="160" t="str">
        <f t="shared" si="86"/>
        <v/>
      </c>
    </row>
    <row r="4322" spans="3:3">
      <c r="C4322" s="160" t="str">
        <f t="shared" si="86"/>
        <v/>
      </c>
    </row>
    <row r="4323" spans="3:3">
      <c r="C4323" s="160" t="str">
        <f t="shared" si="86"/>
        <v/>
      </c>
    </row>
    <row r="4324" spans="3:3">
      <c r="C4324" s="160" t="str">
        <f t="shared" si="86"/>
        <v/>
      </c>
    </row>
    <row r="4325" spans="3:3">
      <c r="C4325" s="160" t="str">
        <f t="shared" si="86"/>
        <v/>
      </c>
    </row>
    <row r="4326" spans="3:3">
      <c r="C4326" s="160" t="str">
        <f t="shared" si="86"/>
        <v/>
      </c>
    </row>
    <row r="4327" spans="3:3">
      <c r="C4327" s="160" t="str">
        <f t="shared" si="86"/>
        <v/>
      </c>
    </row>
    <row r="4328" spans="3:3">
      <c r="C4328" s="160" t="str">
        <f t="shared" si="86"/>
        <v/>
      </c>
    </row>
    <row r="4329" spans="3:3">
      <c r="C4329" s="160" t="str">
        <f t="shared" si="86"/>
        <v/>
      </c>
    </row>
    <row r="4330" spans="3:3">
      <c r="C4330" s="160" t="str">
        <f t="shared" si="86"/>
        <v/>
      </c>
    </row>
    <row r="4331" spans="3:3">
      <c r="C4331" s="160" t="str">
        <f t="shared" si="86"/>
        <v/>
      </c>
    </row>
    <row r="4332" spans="3:3">
      <c r="C4332" s="160" t="str">
        <f t="shared" si="86"/>
        <v/>
      </c>
    </row>
    <row r="4333" spans="3:3">
      <c r="C4333" s="160" t="str">
        <f t="shared" si="86"/>
        <v/>
      </c>
    </row>
    <row r="4334" spans="3:3">
      <c r="C4334" s="160" t="str">
        <f t="shared" si="86"/>
        <v/>
      </c>
    </row>
    <row r="4335" spans="3:3">
      <c r="C4335" s="160" t="str">
        <f t="shared" si="86"/>
        <v/>
      </c>
    </row>
    <row r="4336" spans="3:3">
      <c r="C4336" s="160" t="str">
        <f t="shared" si="86"/>
        <v/>
      </c>
    </row>
    <row r="4337" spans="3:3">
      <c r="C4337" s="160" t="str">
        <f t="shared" si="86"/>
        <v/>
      </c>
    </row>
    <row r="4338" spans="3:3">
      <c r="C4338" s="160" t="str">
        <f t="shared" si="86"/>
        <v/>
      </c>
    </row>
    <row r="4339" spans="3:3">
      <c r="C4339" s="160" t="str">
        <f t="shared" si="86"/>
        <v/>
      </c>
    </row>
    <row r="4340" spans="3:3">
      <c r="C4340" s="160" t="str">
        <f t="shared" si="86"/>
        <v/>
      </c>
    </row>
    <row r="4341" spans="3:3">
      <c r="C4341" s="160" t="str">
        <f t="shared" si="86"/>
        <v/>
      </c>
    </row>
    <row r="4342" spans="3:3">
      <c r="C4342" s="160" t="str">
        <f t="shared" si="86"/>
        <v/>
      </c>
    </row>
    <row r="4343" spans="3:3">
      <c r="C4343" s="160" t="str">
        <f t="shared" si="86"/>
        <v/>
      </c>
    </row>
    <row r="4344" spans="3:3">
      <c r="C4344" s="160" t="str">
        <f t="shared" si="86"/>
        <v/>
      </c>
    </row>
    <row r="4345" spans="3:3">
      <c r="C4345" s="160" t="str">
        <f t="shared" si="86"/>
        <v/>
      </c>
    </row>
    <row r="4346" spans="3:3">
      <c r="C4346" s="160" t="str">
        <f t="shared" si="86"/>
        <v/>
      </c>
    </row>
    <row r="4347" spans="3:3">
      <c r="C4347" s="160" t="str">
        <f t="shared" si="86"/>
        <v/>
      </c>
    </row>
    <row r="4348" spans="3:3">
      <c r="C4348" s="160" t="str">
        <f t="shared" si="86"/>
        <v/>
      </c>
    </row>
    <row r="4349" spans="3:3">
      <c r="C4349" s="160" t="str">
        <f t="shared" si="86"/>
        <v/>
      </c>
    </row>
    <row r="4350" spans="3:3">
      <c r="C4350" s="160" t="str">
        <f t="shared" si="86"/>
        <v/>
      </c>
    </row>
    <row r="4351" spans="3:3">
      <c r="C4351" s="160" t="str">
        <f t="shared" si="86"/>
        <v/>
      </c>
    </row>
    <row r="4352" spans="3:3">
      <c r="C4352" s="160" t="str">
        <f t="shared" si="86"/>
        <v/>
      </c>
    </row>
    <row r="4353" spans="3:3">
      <c r="C4353" s="160" t="str">
        <f t="shared" si="86"/>
        <v/>
      </c>
    </row>
    <row r="4354" spans="3:3">
      <c r="C4354" s="160" t="str">
        <f t="shared" si="86"/>
        <v/>
      </c>
    </row>
    <row r="4355" spans="3:3">
      <c r="C4355" s="160" t="str">
        <f t="shared" si="86"/>
        <v/>
      </c>
    </row>
    <row r="4356" spans="3:3">
      <c r="C4356" s="160" t="str">
        <f t="shared" si="86"/>
        <v/>
      </c>
    </row>
    <row r="4357" spans="3:3">
      <c r="C4357" s="160" t="str">
        <f t="shared" si="86"/>
        <v/>
      </c>
    </row>
    <row r="4358" spans="3:3">
      <c r="C4358" s="160" t="str">
        <f t="shared" si="86"/>
        <v/>
      </c>
    </row>
    <row r="4359" spans="3:3">
      <c r="C4359" s="160" t="str">
        <f t="shared" si="86"/>
        <v/>
      </c>
    </row>
    <row r="4360" spans="3:3">
      <c r="C4360" s="160" t="str">
        <f t="shared" si="86"/>
        <v/>
      </c>
    </row>
    <row r="4361" spans="3:3">
      <c r="C4361" s="160" t="str">
        <f t="shared" si="86"/>
        <v/>
      </c>
    </row>
    <row r="4362" spans="3:3">
      <c r="C4362" s="160" t="str">
        <f t="shared" si="86"/>
        <v/>
      </c>
    </row>
    <row r="4363" spans="3:3">
      <c r="C4363" s="160" t="str">
        <f t="shared" si="86"/>
        <v/>
      </c>
    </row>
    <row r="4364" spans="3:3">
      <c r="C4364" s="160" t="str">
        <f t="shared" si="86"/>
        <v/>
      </c>
    </row>
    <row r="4365" spans="3:3">
      <c r="C4365" s="160" t="str">
        <f t="shared" ref="C4365:C4428" si="87">D4365&amp;I4365</f>
        <v/>
      </c>
    </row>
    <row r="4366" spans="3:3">
      <c r="C4366" s="160" t="str">
        <f t="shared" si="87"/>
        <v/>
      </c>
    </row>
    <row r="4367" spans="3:3">
      <c r="C4367" s="160" t="str">
        <f t="shared" si="87"/>
        <v/>
      </c>
    </row>
    <row r="4368" spans="3:3">
      <c r="C4368" s="160" t="str">
        <f t="shared" si="87"/>
        <v/>
      </c>
    </row>
    <row r="4369" spans="3:3">
      <c r="C4369" s="160" t="str">
        <f t="shared" si="87"/>
        <v/>
      </c>
    </row>
    <row r="4370" spans="3:3">
      <c r="C4370" s="160" t="str">
        <f t="shared" si="87"/>
        <v/>
      </c>
    </row>
    <row r="4371" spans="3:3">
      <c r="C4371" s="160" t="str">
        <f t="shared" si="87"/>
        <v/>
      </c>
    </row>
    <row r="4372" spans="3:3">
      <c r="C4372" s="160" t="str">
        <f t="shared" si="87"/>
        <v/>
      </c>
    </row>
    <row r="4373" spans="3:3">
      <c r="C4373" s="160" t="str">
        <f t="shared" si="87"/>
        <v/>
      </c>
    </row>
    <row r="4374" spans="3:3">
      <c r="C4374" s="160" t="str">
        <f t="shared" si="87"/>
        <v/>
      </c>
    </row>
    <row r="4375" spans="3:3">
      <c r="C4375" s="160" t="str">
        <f t="shared" si="87"/>
        <v/>
      </c>
    </row>
    <row r="4376" spans="3:3">
      <c r="C4376" s="160" t="str">
        <f t="shared" si="87"/>
        <v/>
      </c>
    </row>
    <row r="4377" spans="3:3">
      <c r="C4377" s="160" t="str">
        <f t="shared" si="87"/>
        <v/>
      </c>
    </row>
    <row r="4378" spans="3:3">
      <c r="C4378" s="160" t="str">
        <f t="shared" si="87"/>
        <v/>
      </c>
    </row>
    <row r="4379" spans="3:3">
      <c r="C4379" s="160" t="str">
        <f t="shared" si="87"/>
        <v/>
      </c>
    </row>
    <row r="4380" spans="3:3">
      <c r="C4380" s="160" t="str">
        <f t="shared" si="87"/>
        <v/>
      </c>
    </row>
    <row r="4381" spans="3:3">
      <c r="C4381" s="160" t="str">
        <f t="shared" si="87"/>
        <v/>
      </c>
    </row>
    <row r="4382" spans="3:3">
      <c r="C4382" s="160" t="str">
        <f t="shared" si="87"/>
        <v/>
      </c>
    </row>
    <row r="4383" spans="3:3">
      <c r="C4383" s="160" t="str">
        <f t="shared" si="87"/>
        <v/>
      </c>
    </row>
    <row r="4384" spans="3:3">
      <c r="C4384" s="160" t="str">
        <f t="shared" si="87"/>
        <v/>
      </c>
    </row>
    <row r="4385" spans="3:3">
      <c r="C4385" s="160" t="str">
        <f t="shared" si="87"/>
        <v/>
      </c>
    </row>
    <row r="4386" spans="3:3">
      <c r="C4386" s="160" t="str">
        <f t="shared" si="87"/>
        <v/>
      </c>
    </row>
    <row r="4387" spans="3:3">
      <c r="C4387" s="160" t="str">
        <f t="shared" si="87"/>
        <v/>
      </c>
    </row>
    <row r="4388" spans="3:3">
      <c r="C4388" s="160" t="str">
        <f t="shared" si="87"/>
        <v/>
      </c>
    </row>
    <row r="4389" spans="3:3">
      <c r="C4389" s="160" t="str">
        <f t="shared" si="87"/>
        <v/>
      </c>
    </row>
    <row r="4390" spans="3:3">
      <c r="C4390" s="160" t="str">
        <f t="shared" si="87"/>
        <v/>
      </c>
    </row>
    <row r="4391" spans="3:3">
      <c r="C4391" s="160" t="str">
        <f t="shared" si="87"/>
        <v/>
      </c>
    </row>
    <row r="4392" spans="3:3">
      <c r="C4392" s="160" t="str">
        <f t="shared" si="87"/>
        <v/>
      </c>
    </row>
    <row r="4393" spans="3:3">
      <c r="C4393" s="160" t="str">
        <f t="shared" si="87"/>
        <v/>
      </c>
    </row>
    <row r="4394" spans="3:3">
      <c r="C4394" s="160" t="str">
        <f t="shared" si="87"/>
        <v/>
      </c>
    </row>
    <row r="4395" spans="3:3">
      <c r="C4395" s="160" t="str">
        <f t="shared" si="87"/>
        <v/>
      </c>
    </row>
    <row r="4396" spans="3:3">
      <c r="C4396" s="160" t="str">
        <f t="shared" si="87"/>
        <v/>
      </c>
    </row>
    <row r="4397" spans="3:3">
      <c r="C4397" s="160" t="str">
        <f t="shared" si="87"/>
        <v/>
      </c>
    </row>
    <row r="4398" spans="3:3">
      <c r="C4398" s="160" t="str">
        <f t="shared" si="87"/>
        <v/>
      </c>
    </row>
    <row r="4399" spans="3:3">
      <c r="C4399" s="160" t="str">
        <f t="shared" si="87"/>
        <v/>
      </c>
    </row>
    <row r="4400" spans="3:3">
      <c r="C4400" s="160" t="str">
        <f t="shared" si="87"/>
        <v/>
      </c>
    </row>
    <row r="4401" spans="3:3">
      <c r="C4401" s="160" t="str">
        <f t="shared" si="87"/>
        <v/>
      </c>
    </row>
    <row r="4402" spans="3:3">
      <c r="C4402" s="160" t="str">
        <f t="shared" si="87"/>
        <v/>
      </c>
    </row>
    <row r="4403" spans="3:3">
      <c r="C4403" s="160" t="str">
        <f t="shared" si="87"/>
        <v/>
      </c>
    </row>
    <row r="4404" spans="3:3">
      <c r="C4404" s="160" t="str">
        <f t="shared" si="87"/>
        <v/>
      </c>
    </row>
    <row r="4405" spans="3:3">
      <c r="C4405" s="160" t="str">
        <f t="shared" si="87"/>
        <v/>
      </c>
    </row>
    <row r="4406" spans="3:3">
      <c r="C4406" s="160" t="str">
        <f t="shared" si="87"/>
        <v/>
      </c>
    </row>
    <row r="4407" spans="3:3">
      <c r="C4407" s="160" t="str">
        <f t="shared" si="87"/>
        <v/>
      </c>
    </row>
    <row r="4408" spans="3:3">
      <c r="C4408" s="160" t="str">
        <f t="shared" si="87"/>
        <v/>
      </c>
    </row>
    <row r="4409" spans="3:3">
      <c r="C4409" s="160" t="str">
        <f t="shared" si="87"/>
        <v/>
      </c>
    </row>
    <row r="4410" spans="3:3">
      <c r="C4410" s="160" t="str">
        <f t="shared" si="87"/>
        <v/>
      </c>
    </row>
    <row r="4411" spans="3:3">
      <c r="C4411" s="160" t="str">
        <f t="shared" si="87"/>
        <v/>
      </c>
    </row>
    <row r="4412" spans="3:3">
      <c r="C4412" s="160" t="str">
        <f t="shared" si="87"/>
        <v/>
      </c>
    </row>
    <row r="4413" spans="3:3">
      <c r="C4413" s="160" t="str">
        <f t="shared" si="87"/>
        <v/>
      </c>
    </row>
    <row r="4414" spans="3:3">
      <c r="C4414" s="160" t="str">
        <f t="shared" si="87"/>
        <v/>
      </c>
    </row>
    <row r="4415" spans="3:3">
      <c r="C4415" s="160" t="str">
        <f t="shared" si="87"/>
        <v/>
      </c>
    </row>
    <row r="4416" spans="3:3">
      <c r="C4416" s="160" t="str">
        <f t="shared" si="87"/>
        <v/>
      </c>
    </row>
    <row r="4417" spans="3:3">
      <c r="C4417" s="160" t="str">
        <f t="shared" si="87"/>
        <v/>
      </c>
    </row>
    <row r="4418" spans="3:3">
      <c r="C4418" s="160" t="str">
        <f t="shared" si="87"/>
        <v/>
      </c>
    </row>
    <row r="4419" spans="3:3">
      <c r="C4419" s="160" t="str">
        <f t="shared" si="87"/>
        <v/>
      </c>
    </row>
    <row r="4420" spans="3:3">
      <c r="C4420" s="160" t="str">
        <f t="shared" si="87"/>
        <v/>
      </c>
    </row>
    <row r="4421" spans="3:3">
      <c r="C4421" s="160" t="str">
        <f t="shared" si="87"/>
        <v/>
      </c>
    </row>
    <row r="4422" spans="3:3">
      <c r="C4422" s="160" t="str">
        <f t="shared" si="87"/>
        <v/>
      </c>
    </row>
    <row r="4423" spans="3:3">
      <c r="C4423" s="160" t="str">
        <f t="shared" si="87"/>
        <v/>
      </c>
    </row>
    <row r="4424" spans="3:3">
      <c r="C4424" s="160" t="str">
        <f t="shared" si="87"/>
        <v/>
      </c>
    </row>
    <row r="4425" spans="3:3">
      <c r="C4425" s="160" t="str">
        <f t="shared" si="87"/>
        <v/>
      </c>
    </row>
    <row r="4426" spans="3:3">
      <c r="C4426" s="160" t="str">
        <f t="shared" si="87"/>
        <v/>
      </c>
    </row>
    <row r="4427" spans="3:3">
      <c r="C4427" s="160" t="str">
        <f t="shared" si="87"/>
        <v/>
      </c>
    </row>
    <row r="4428" spans="3:3">
      <c r="C4428" s="160" t="str">
        <f t="shared" si="87"/>
        <v/>
      </c>
    </row>
    <row r="4429" spans="3:3">
      <c r="C4429" s="160" t="str">
        <f t="shared" ref="C4429:C4492" si="88">D4429&amp;I4429</f>
        <v/>
      </c>
    </row>
    <row r="4430" spans="3:3">
      <c r="C4430" s="160" t="str">
        <f t="shared" si="88"/>
        <v/>
      </c>
    </row>
    <row r="4431" spans="3:3">
      <c r="C4431" s="160" t="str">
        <f t="shared" si="88"/>
        <v/>
      </c>
    </row>
    <row r="4432" spans="3:3">
      <c r="C4432" s="160" t="str">
        <f t="shared" si="88"/>
        <v/>
      </c>
    </row>
    <row r="4433" spans="3:3">
      <c r="C4433" s="160" t="str">
        <f t="shared" si="88"/>
        <v/>
      </c>
    </row>
    <row r="4434" spans="3:3">
      <c r="C4434" s="160" t="str">
        <f t="shared" si="88"/>
        <v/>
      </c>
    </row>
    <row r="4435" spans="3:3">
      <c r="C4435" s="160" t="str">
        <f t="shared" si="88"/>
        <v/>
      </c>
    </row>
    <row r="4436" spans="3:3">
      <c r="C4436" s="160" t="str">
        <f t="shared" si="88"/>
        <v/>
      </c>
    </row>
    <row r="4437" spans="3:3">
      <c r="C4437" s="160" t="str">
        <f t="shared" si="88"/>
        <v/>
      </c>
    </row>
    <row r="4438" spans="3:3">
      <c r="C4438" s="160" t="str">
        <f t="shared" si="88"/>
        <v/>
      </c>
    </row>
    <row r="4439" spans="3:3">
      <c r="C4439" s="160" t="str">
        <f t="shared" si="88"/>
        <v/>
      </c>
    </row>
    <row r="4440" spans="3:3">
      <c r="C4440" s="160" t="str">
        <f t="shared" si="88"/>
        <v/>
      </c>
    </row>
    <row r="4441" spans="3:3">
      <c r="C4441" s="160" t="str">
        <f t="shared" si="88"/>
        <v/>
      </c>
    </row>
    <row r="4442" spans="3:3">
      <c r="C4442" s="160" t="str">
        <f t="shared" si="88"/>
        <v/>
      </c>
    </row>
    <row r="4443" spans="3:3">
      <c r="C4443" s="160" t="str">
        <f t="shared" si="88"/>
        <v/>
      </c>
    </row>
    <row r="4444" spans="3:3">
      <c r="C4444" s="160" t="str">
        <f t="shared" si="88"/>
        <v/>
      </c>
    </row>
    <row r="4445" spans="3:3">
      <c r="C4445" s="160" t="str">
        <f t="shared" si="88"/>
        <v/>
      </c>
    </row>
    <row r="4446" spans="3:3">
      <c r="C4446" s="160" t="str">
        <f t="shared" si="88"/>
        <v/>
      </c>
    </row>
    <row r="4447" spans="3:3">
      <c r="C4447" s="160" t="str">
        <f t="shared" si="88"/>
        <v/>
      </c>
    </row>
    <row r="4448" spans="3:3">
      <c r="C4448" s="160" t="str">
        <f t="shared" si="88"/>
        <v/>
      </c>
    </row>
    <row r="4449" spans="3:3">
      <c r="C4449" s="160" t="str">
        <f t="shared" si="88"/>
        <v/>
      </c>
    </row>
    <row r="4450" spans="3:3">
      <c r="C4450" s="160" t="str">
        <f t="shared" si="88"/>
        <v/>
      </c>
    </row>
    <row r="4451" spans="3:3">
      <c r="C4451" s="160" t="str">
        <f t="shared" si="88"/>
        <v/>
      </c>
    </row>
    <row r="4452" spans="3:3">
      <c r="C4452" s="160" t="str">
        <f t="shared" si="88"/>
        <v/>
      </c>
    </row>
    <row r="4453" spans="3:3">
      <c r="C4453" s="160" t="str">
        <f t="shared" si="88"/>
        <v/>
      </c>
    </row>
    <row r="4454" spans="3:3">
      <c r="C4454" s="160" t="str">
        <f t="shared" si="88"/>
        <v/>
      </c>
    </row>
    <row r="4455" spans="3:3">
      <c r="C4455" s="160" t="str">
        <f t="shared" si="88"/>
        <v/>
      </c>
    </row>
    <row r="4456" spans="3:3">
      <c r="C4456" s="160" t="str">
        <f t="shared" si="88"/>
        <v/>
      </c>
    </row>
    <row r="4457" spans="3:3">
      <c r="C4457" s="160" t="str">
        <f t="shared" si="88"/>
        <v/>
      </c>
    </row>
    <row r="4458" spans="3:3">
      <c r="C4458" s="160" t="str">
        <f t="shared" si="88"/>
        <v/>
      </c>
    </row>
    <row r="4459" spans="3:3">
      <c r="C4459" s="160" t="str">
        <f t="shared" si="88"/>
        <v/>
      </c>
    </row>
    <row r="4460" spans="3:3">
      <c r="C4460" s="160" t="str">
        <f t="shared" si="88"/>
        <v/>
      </c>
    </row>
    <row r="4461" spans="3:3">
      <c r="C4461" s="160" t="str">
        <f t="shared" si="88"/>
        <v/>
      </c>
    </row>
    <row r="4462" spans="3:3">
      <c r="C4462" s="160" t="str">
        <f t="shared" si="88"/>
        <v/>
      </c>
    </row>
    <row r="4463" spans="3:3">
      <c r="C4463" s="160" t="str">
        <f t="shared" si="88"/>
        <v/>
      </c>
    </row>
    <row r="4464" spans="3:3">
      <c r="C4464" s="160" t="str">
        <f t="shared" si="88"/>
        <v/>
      </c>
    </row>
    <row r="4465" spans="3:3">
      <c r="C4465" s="160" t="str">
        <f t="shared" si="88"/>
        <v/>
      </c>
    </row>
    <row r="4466" spans="3:3">
      <c r="C4466" s="160" t="str">
        <f t="shared" si="88"/>
        <v/>
      </c>
    </row>
    <row r="4467" spans="3:3">
      <c r="C4467" s="160" t="str">
        <f t="shared" si="88"/>
        <v/>
      </c>
    </row>
    <row r="4468" spans="3:3">
      <c r="C4468" s="160" t="str">
        <f t="shared" si="88"/>
        <v/>
      </c>
    </row>
    <row r="4469" spans="3:3">
      <c r="C4469" s="160" t="str">
        <f t="shared" si="88"/>
        <v/>
      </c>
    </row>
    <row r="4470" spans="3:3">
      <c r="C4470" s="160" t="str">
        <f t="shared" si="88"/>
        <v/>
      </c>
    </row>
    <row r="4471" spans="3:3">
      <c r="C4471" s="160" t="str">
        <f t="shared" si="88"/>
        <v/>
      </c>
    </row>
    <row r="4472" spans="3:3">
      <c r="C4472" s="160" t="str">
        <f t="shared" si="88"/>
        <v/>
      </c>
    </row>
    <row r="4473" spans="3:3">
      <c r="C4473" s="160" t="str">
        <f t="shared" si="88"/>
        <v/>
      </c>
    </row>
    <row r="4474" spans="3:3">
      <c r="C4474" s="160" t="str">
        <f t="shared" si="88"/>
        <v/>
      </c>
    </row>
    <row r="4475" spans="3:3">
      <c r="C4475" s="160" t="str">
        <f t="shared" si="88"/>
        <v/>
      </c>
    </row>
    <row r="4476" spans="3:3">
      <c r="C4476" s="160" t="str">
        <f t="shared" si="88"/>
        <v/>
      </c>
    </row>
    <row r="4477" spans="3:3">
      <c r="C4477" s="160" t="str">
        <f t="shared" si="88"/>
        <v/>
      </c>
    </row>
    <row r="4478" spans="3:3">
      <c r="C4478" s="160" t="str">
        <f t="shared" si="88"/>
        <v/>
      </c>
    </row>
    <row r="4479" spans="3:3">
      <c r="C4479" s="160" t="str">
        <f t="shared" si="88"/>
        <v/>
      </c>
    </row>
    <row r="4480" spans="3:3">
      <c r="C4480" s="160" t="str">
        <f t="shared" si="88"/>
        <v/>
      </c>
    </row>
    <row r="4481" spans="3:3">
      <c r="C4481" s="160" t="str">
        <f t="shared" si="88"/>
        <v/>
      </c>
    </row>
    <row r="4482" spans="3:3">
      <c r="C4482" s="160" t="str">
        <f t="shared" si="88"/>
        <v/>
      </c>
    </row>
    <row r="4483" spans="3:3">
      <c r="C4483" s="160" t="str">
        <f t="shared" si="88"/>
        <v/>
      </c>
    </row>
    <row r="4484" spans="3:3">
      <c r="C4484" s="160" t="str">
        <f t="shared" si="88"/>
        <v/>
      </c>
    </row>
    <row r="4485" spans="3:3">
      <c r="C4485" s="160" t="str">
        <f t="shared" si="88"/>
        <v/>
      </c>
    </row>
    <row r="4486" spans="3:3">
      <c r="C4486" s="160" t="str">
        <f t="shared" si="88"/>
        <v/>
      </c>
    </row>
    <row r="4487" spans="3:3">
      <c r="C4487" s="160" t="str">
        <f t="shared" si="88"/>
        <v/>
      </c>
    </row>
    <row r="4488" spans="3:3">
      <c r="C4488" s="160" t="str">
        <f t="shared" si="88"/>
        <v/>
      </c>
    </row>
    <row r="4489" spans="3:3">
      <c r="C4489" s="160" t="str">
        <f t="shared" si="88"/>
        <v/>
      </c>
    </row>
    <row r="4490" spans="3:3">
      <c r="C4490" s="160" t="str">
        <f t="shared" si="88"/>
        <v/>
      </c>
    </row>
    <row r="4491" spans="3:3">
      <c r="C4491" s="160" t="str">
        <f t="shared" si="88"/>
        <v/>
      </c>
    </row>
    <row r="4492" spans="3:3">
      <c r="C4492" s="160" t="str">
        <f t="shared" si="88"/>
        <v/>
      </c>
    </row>
    <row r="4493" spans="3:3">
      <c r="C4493" s="160" t="str">
        <f t="shared" ref="C4493:C4556" si="89">D4493&amp;I4493</f>
        <v/>
      </c>
    </row>
    <row r="4494" spans="3:3">
      <c r="C4494" s="160" t="str">
        <f t="shared" si="89"/>
        <v/>
      </c>
    </row>
    <row r="4495" spans="3:3">
      <c r="C4495" s="160" t="str">
        <f t="shared" si="89"/>
        <v/>
      </c>
    </row>
    <row r="4496" spans="3:3">
      <c r="C4496" s="160" t="str">
        <f t="shared" si="89"/>
        <v/>
      </c>
    </row>
    <row r="4497" spans="3:3">
      <c r="C4497" s="160" t="str">
        <f t="shared" si="89"/>
        <v/>
      </c>
    </row>
    <row r="4498" spans="3:3">
      <c r="C4498" s="160" t="str">
        <f t="shared" si="89"/>
        <v/>
      </c>
    </row>
    <row r="4499" spans="3:3">
      <c r="C4499" s="160" t="str">
        <f t="shared" si="89"/>
        <v/>
      </c>
    </row>
    <row r="4500" spans="3:3">
      <c r="C4500" s="160" t="str">
        <f t="shared" si="89"/>
        <v/>
      </c>
    </row>
    <row r="4501" spans="3:3">
      <c r="C4501" s="160" t="str">
        <f t="shared" si="89"/>
        <v/>
      </c>
    </row>
    <row r="4502" spans="3:3">
      <c r="C4502" s="160" t="str">
        <f t="shared" si="89"/>
        <v/>
      </c>
    </row>
    <row r="4503" spans="3:3">
      <c r="C4503" s="160" t="str">
        <f t="shared" si="89"/>
        <v/>
      </c>
    </row>
    <row r="4504" spans="3:3">
      <c r="C4504" s="160" t="str">
        <f t="shared" si="89"/>
        <v/>
      </c>
    </row>
    <row r="4505" spans="3:3">
      <c r="C4505" s="160" t="str">
        <f t="shared" si="89"/>
        <v/>
      </c>
    </row>
    <row r="4506" spans="3:3">
      <c r="C4506" s="160" t="str">
        <f t="shared" si="89"/>
        <v/>
      </c>
    </row>
    <row r="4507" spans="3:3">
      <c r="C4507" s="160" t="str">
        <f t="shared" si="89"/>
        <v/>
      </c>
    </row>
    <row r="4508" spans="3:3">
      <c r="C4508" s="160" t="str">
        <f t="shared" si="89"/>
        <v/>
      </c>
    </row>
    <row r="4509" spans="3:3">
      <c r="C4509" s="160" t="str">
        <f t="shared" si="89"/>
        <v/>
      </c>
    </row>
    <row r="4510" spans="3:3">
      <c r="C4510" s="160" t="str">
        <f t="shared" si="89"/>
        <v/>
      </c>
    </row>
    <row r="4511" spans="3:3">
      <c r="C4511" s="160" t="str">
        <f t="shared" si="89"/>
        <v/>
      </c>
    </row>
    <row r="4512" spans="3:3">
      <c r="C4512" s="160" t="str">
        <f t="shared" si="89"/>
        <v/>
      </c>
    </row>
    <row r="4513" spans="3:3">
      <c r="C4513" s="160" t="str">
        <f t="shared" si="89"/>
        <v/>
      </c>
    </row>
    <row r="4514" spans="3:3">
      <c r="C4514" s="160" t="str">
        <f t="shared" si="89"/>
        <v/>
      </c>
    </row>
    <row r="4515" spans="3:3">
      <c r="C4515" s="160" t="str">
        <f t="shared" si="89"/>
        <v/>
      </c>
    </row>
    <row r="4516" spans="3:3">
      <c r="C4516" s="160" t="str">
        <f t="shared" si="89"/>
        <v/>
      </c>
    </row>
    <row r="4517" spans="3:3">
      <c r="C4517" s="160" t="str">
        <f t="shared" si="89"/>
        <v/>
      </c>
    </row>
    <row r="4518" spans="3:3">
      <c r="C4518" s="160" t="str">
        <f t="shared" si="89"/>
        <v/>
      </c>
    </row>
    <row r="4519" spans="3:3">
      <c r="C4519" s="160" t="str">
        <f t="shared" si="89"/>
        <v/>
      </c>
    </row>
    <row r="4520" spans="3:3">
      <c r="C4520" s="160" t="str">
        <f t="shared" si="89"/>
        <v/>
      </c>
    </row>
    <row r="4521" spans="3:3">
      <c r="C4521" s="160" t="str">
        <f t="shared" si="89"/>
        <v/>
      </c>
    </row>
    <row r="4522" spans="3:3">
      <c r="C4522" s="160" t="str">
        <f t="shared" si="89"/>
        <v/>
      </c>
    </row>
    <row r="4523" spans="3:3">
      <c r="C4523" s="160" t="str">
        <f t="shared" si="89"/>
        <v/>
      </c>
    </row>
    <row r="4524" spans="3:3">
      <c r="C4524" s="160" t="str">
        <f t="shared" si="89"/>
        <v/>
      </c>
    </row>
    <row r="4525" spans="3:3">
      <c r="C4525" s="160" t="str">
        <f t="shared" si="89"/>
        <v/>
      </c>
    </row>
    <row r="4526" spans="3:3">
      <c r="C4526" s="160" t="str">
        <f t="shared" si="89"/>
        <v/>
      </c>
    </row>
    <row r="4527" spans="3:3">
      <c r="C4527" s="160" t="str">
        <f t="shared" si="89"/>
        <v/>
      </c>
    </row>
    <row r="4528" spans="3:3">
      <c r="C4528" s="160" t="str">
        <f t="shared" si="89"/>
        <v/>
      </c>
    </row>
    <row r="4529" spans="3:3">
      <c r="C4529" s="160" t="str">
        <f t="shared" si="89"/>
        <v/>
      </c>
    </row>
    <row r="4530" spans="3:3">
      <c r="C4530" s="160" t="str">
        <f t="shared" si="89"/>
        <v/>
      </c>
    </row>
    <row r="4531" spans="3:3">
      <c r="C4531" s="160" t="str">
        <f t="shared" si="89"/>
        <v/>
      </c>
    </row>
    <row r="4532" spans="3:3">
      <c r="C4532" s="160" t="str">
        <f t="shared" si="89"/>
        <v/>
      </c>
    </row>
    <row r="4533" spans="3:3">
      <c r="C4533" s="160" t="str">
        <f t="shared" si="89"/>
        <v/>
      </c>
    </row>
    <row r="4534" spans="3:3">
      <c r="C4534" s="160" t="str">
        <f t="shared" si="89"/>
        <v/>
      </c>
    </row>
    <row r="4535" spans="3:3">
      <c r="C4535" s="160" t="str">
        <f t="shared" si="89"/>
        <v/>
      </c>
    </row>
    <row r="4536" spans="3:3">
      <c r="C4536" s="160" t="str">
        <f t="shared" si="89"/>
        <v/>
      </c>
    </row>
    <row r="4537" spans="3:3">
      <c r="C4537" s="160" t="str">
        <f t="shared" si="89"/>
        <v/>
      </c>
    </row>
    <row r="4538" spans="3:3">
      <c r="C4538" s="160" t="str">
        <f t="shared" si="89"/>
        <v/>
      </c>
    </row>
    <row r="4539" spans="3:3">
      <c r="C4539" s="160" t="str">
        <f t="shared" si="89"/>
        <v/>
      </c>
    </row>
    <row r="4540" spans="3:3">
      <c r="C4540" s="160" t="str">
        <f t="shared" si="89"/>
        <v/>
      </c>
    </row>
    <row r="4541" spans="3:3">
      <c r="C4541" s="160" t="str">
        <f t="shared" si="89"/>
        <v/>
      </c>
    </row>
    <row r="4542" spans="3:3">
      <c r="C4542" s="160" t="str">
        <f t="shared" si="89"/>
        <v/>
      </c>
    </row>
    <row r="4543" spans="3:3">
      <c r="C4543" s="160" t="str">
        <f t="shared" si="89"/>
        <v/>
      </c>
    </row>
    <row r="4544" spans="3:3">
      <c r="C4544" s="160" t="str">
        <f t="shared" si="89"/>
        <v/>
      </c>
    </row>
    <row r="4545" spans="3:3">
      <c r="C4545" s="160" t="str">
        <f t="shared" si="89"/>
        <v/>
      </c>
    </row>
    <row r="4546" spans="3:3">
      <c r="C4546" s="160" t="str">
        <f t="shared" si="89"/>
        <v/>
      </c>
    </row>
    <row r="4547" spans="3:3">
      <c r="C4547" s="160" t="str">
        <f t="shared" si="89"/>
        <v/>
      </c>
    </row>
    <row r="4548" spans="3:3">
      <c r="C4548" s="160" t="str">
        <f t="shared" si="89"/>
        <v/>
      </c>
    </row>
    <row r="4549" spans="3:3">
      <c r="C4549" s="160" t="str">
        <f t="shared" si="89"/>
        <v/>
      </c>
    </row>
    <row r="4550" spans="3:3">
      <c r="C4550" s="160" t="str">
        <f t="shared" si="89"/>
        <v/>
      </c>
    </row>
    <row r="4551" spans="3:3">
      <c r="C4551" s="160" t="str">
        <f t="shared" si="89"/>
        <v/>
      </c>
    </row>
    <row r="4552" spans="3:3">
      <c r="C4552" s="160" t="str">
        <f t="shared" si="89"/>
        <v/>
      </c>
    </row>
    <row r="4553" spans="3:3">
      <c r="C4553" s="160" t="str">
        <f t="shared" si="89"/>
        <v/>
      </c>
    </row>
    <row r="4554" spans="3:3">
      <c r="C4554" s="160" t="str">
        <f t="shared" si="89"/>
        <v/>
      </c>
    </row>
    <row r="4555" spans="3:3">
      <c r="C4555" s="160" t="str">
        <f t="shared" si="89"/>
        <v/>
      </c>
    </row>
    <row r="4556" spans="3:3">
      <c r="C4556" s="160" t="str">
        <f t="shared" si="89"/>
        <v/>
      </c>
    </row>
    <row r="4557" spans="3:3">
      <c r="C4557" s="160" t="str">
        <f t="shared" ref="C4557:C4620" si="90">D4557&amp;I4557</f>
        <v/>
      </c>
    </row>
    <row r="4558" spans="3:3">
      <c r="C4558" s="160" t="str">
        <f t="shared" si="90"/>
        <v/>
      </c>
    </row>
    <row r="4559" spans="3:3">
      <c r="C4559" s="160" t="str">
        <f t="shared" si="90"/>
        <v/>
      </c>
    </row>
    <row r="4560" spans="3:3">
      <c r="C4560" s="160" t="str">
        <f t="shared" si="90"/>
        <v/>
      </c>
    </row>
    <row r="4561" spans="3:3">
      <c r="C4561" s="160" t="str">
        <f t="shared" si="90"/>
        <v/>
      </c>
    </row>
    <row r="4562" spans="3:3">
      <c r="C4562" s="160" t="str">
        <f t="shared" si="90"/>
        <v/>
      </c>
    </row>
    <row r="4563" spans="3:3">
      <c r="C4563" s="160" t="str">
        <f t="shared" si="90"/>
        <v/>
      </c>
    </row>
    <row r="4564" spans="3:3">
      <c r="C4564" s="160" t="str">
        <f t="shared" si="90"/>
        <v/>
      </c>
    </row>
    <row r="4565" spans="3:3">
      <c r="C4565" s="160" t="str">
        <f t="shared" si="90"/>
        <v/>
      </c>
    </row>
    <row r="4566" spans="3:3">
      <c r="C4566" s="160" t="str">
        <f t="shared" si="90"/>
        <v/>
      </c>
    </row>
    <row r="4567" spans="3:3">
      <c r="C4567" s="160" t="str">
        <f t="shared" si="90"/>
        <v/>
      </c>
    </row>
    <row r="4568" spans="3:3">
      <c r="C4568" s="160" t="str">
        <f t="shared" si="90"/>
        <v/>
      </c>
    </row>
    <row r="4569" spans="3:3">
      <c r="C4569" s="160" t="str">
        <f t="shared" si="90"/>
        <v/>
      </c>
    </row>
    <row r="4570" spans="3:3">
      <c r="C4570" s="160" t="str">
        <f t="shared" si="90"/>
        <v/>
      </c>
    </row>
    <row r="4571" spans="3:3">
      <c r="C4571" s="160" t="str">
        <f t="shared" si="90"/>
        <v/>
      </c>
    </row>
    <row r="4572" spans="3:3">
      <c r="C4572" s="160" t="str">
        <f t="shared" si="90"/>
        <v/>
      </c>
    </row>
    <row r="4573" spans="3:3">
      <c r="C4573" s="160" t="str">
        <f t="shared" si="90"/>
        <v/>
      </c>
    </row>
    <row r="4574" spans="3:3">
      <c r="C4574" s="160" t="str">
        <f t="shared" si="90"/>
        <v/>
      </c>
    </row>
    <row r="4575" spans="3:3">
      <c r="C4575" s="160" t="str">
        <f t="shared" si="90"/>
        <v/>
      </c>
    </row>
    <row r="4576" spans="3:3">
      <c r="C4576" s="160" t="str">
        <f t="shared" si="90"/>
        <v/>
      </c>
    </row>
    <row r="4577" spans="3:3">
      <c r="C4577" s="160" t="str">
        <f t="shared" si="90"/>
        <v/>
      </c>
    </row>
    <row r="4578" spans="3:3">
      <c r="C4578" s="160" t="str">
        <f t="shared" si="90"/>
        <v/>
      </c>
    </row>
    <row r="4579" spans="3:3">
      <c r="C4579" s="160" t="str">
        <f t="shared" si="90"/>
        <v/>
      </c>
    </row>
    <row r="4580" spans="3:3">
      <c r="C4580" s="160" t="str">
        <f t="shared" si="90"/>
        <v/>
      </c>
    </row>
    <row r="4581" spans="3:3">
      <c r="C4581" s="160" t="str">
        <f t="shared" si="90"/>
        <v/>
      </c>
    </row>
    <row r="4582" spans="3:3">
      <c r="C4582" s="160" t="str">
        <f t="shared" si="90"/>
        <v/>
      </c>
    </row>
    <row r="4583" spans="3:3">
      <c r="C4583" s="160" t="str">
        <f t="shared" si="90"/>
        <v/>
      </c>
    </row>
    <row r="4584" spans="3:3">
      <c r="C4584" s="160" t="str">
        <f t="shared" si="90"/>
        <v/>
      </c>
    </row>
    <row r="4585" spans="3:3">
      <c r="C4585" s="160" t="str">
        <f t="shared" si="90"/>
        <v/>
      </c>
    </row>
    <row r="4586" spans="3:3">
      <c r="C4586" s="160" t="str">
        <f t="shared" si="90"/>
        <v/>
      </c>
    </row>
    <row r="4587" spans="3:3">
      <c r="C4587" s="160" t="str">
        <f t="shared" si="90"/>
        <v/>
      </c>
    </row>
    <row r="4588" spans="3:3">
      <c r="C4588" s="160" t="str">
        <f t="shared" si="90"/>
        <v/>
      </c>
    </row>
    <row r="4589" spans="3:3">
      <c r="C4589" s="160" t="str">
        <f t="shared" si="90"/>
        <v/>
      </c>
    </row>
    <row r="4590" spans="3:3">
      <c r="C4590" s="160" t="str">
        <f t="shared" si="90"/>
        <v/>
      </c>
    </row>
    <row r="4591" spans="3:3">
      <c r="C4591" s="160" t="str">
        <f t="shared" si="90"/>
        <v/>
      </c>
    </row>
    <row r="4592" spans="3:3">
      <c r="C4592" s="160" t="str">
        <f t="shared" si="90"/>
        <v/>
      </c>
    </row>
    <row r="4593" spans="3:3">
      <c r="C4593" s="160" t="str">
        <f t="shared" si="90"/>
        <v/>
      </c>
    </row>
    <row r="4594" spans="3:3">
      <c r="C4594" s="160" t="str">
        <f t="shared" si="90"/>
        <v/>
      </c>
    </row>
    <row r="4595" spans="3:3">
      <c r="C4595" s="160" t="str">
        <f t="shared" si="90"/>
        <v/>
      </c>
    </row>
    <row r="4596" spans="3:3">
      <c r="C4596" s="160" t="str">
        <f t="shared" si="90"/>
        <v/>
      </c>
    </row>
    <row r="4597" spans="3:3">
      <c r="C4597" s="160" t="str">
        <f t="shared" si="90"/>
        <v/>
      </c>
    </row>
    <row r="4598" spans="3:3">
      <c r="C4598" s="160" t="str">
        <f t="shared" si="90"/>
        <v/>
      </c>
    </row>
    <row r="4599" spans="3:3">
      <c r="C4599" s="160" t="str">
        <f t="shared" si="90"/>
        <v/>
      </c>
    </row>
    <row r="4600" spans="3:3">
      <c r="C4600" s="160" t="str">
        <f t="shared" si="90"/>
        <v/>
      </c>
    </row>
    <row r="4601" spans="3:3">
      <c r="C4601" s="160" t="str">
        <f t="shared" si="90"/>
        <v/>
      </c>
    </row>
    <row r="4602" spans="3:3">
      <c r="C4602" s="160" t="str">
        <f t="shared" si="90"/>
        <v/>
      </c>
    </row>
    <row r="4603" spans="3:3">
      <c r="C4603" s="160" t="str">
        <f t="shared" si="90"/>
        <v/>
      </c>
    </row>
    <row r="4604" spans="3:3">
      <c r="C4604" s="160" t="str">
        <f t="shared" si="90"/>
        <v/>
      </c>
    </row>
    <row r="4605" spans="3:3">
      <c r="C4605" s="160" t="str">
        <f t="shared" si="90"/>
        <v/>
      </c>
    </row>
    <row r="4606" spans="3:3">
      <c r="C4606" s="160" t="str">
        <f t="shared" si="90"/>
        <v/>
      </c>
    </row>
    <row r="4607" spans="3:3">
      <c r="C4607" s="160" t="str">
        <f t="shared" si="90"/>
        <v/>
      </c>
    </row>
    <row r="4608" spans="3:3">
      <c r="C4608" s="160" t="str">
        <f t="shared" si="90"/>
        <v/>
      </c>
    </row>
    <row r="4609" spans="3:3">
      <c r="C4609" s="160" t="str">
        <f t="shared" si="90"/>
        <v/>
      </c>
    </row>
    <row r="4610" spans="3:3">
      <c r="C4610" s="160" t="str">
        <f t="shared" si="90"/>
        <v/>
      </c>
    </row>
    <row r="4611" spans="3:3">
      <c r="C4611" s="160" t="str">
        <f t="shared" si="90"/>
        <v/>
      </c>
    </row>
    <row r="4612" spans="3:3">
      <c r="C4612" s="160" t="str">
        <f t="shared" si="90"/>
        <v/>
      </c>
    </row>
    <row r="4613" spans="3:3">
      <c r="C4613" s="160" t="str">
        <f t="shared" si="90"/>
        <v/>
      </c>
    </row>
    <row r="4614" spans="3:3">
      <c r="C4614" s="160" t="str">
        <f t="shared" si="90"/>
        <v/>
      </c>
    </row>
    <row r="4615" spans="3:3">
      <c r="C4615" s="160" t="str">
        <f t="shared" si="90"/>
        <v/>
      </c>
    </row>
    <row r="4616" spans="3:3">
      <c r="C4616" s="160" t="str">
        <f t="shared" si="90"/>
        <v/>
      </c>
    </row>
    <row r="4617" spans="3:3">
      <c r="C4617" s="160" t="str">
        <f t="shared" si="90"/>
        <v/>
      </c>
    </row>
    <row r="4618" spans="3:3">
      <c r="C4618" s="160" t="str">
        <f t="shared" si="90"/>
        <v/>
      </c>
    </row>
    <row r="4619" spans="3:3">
      <c r="C4619" s="160" t="str">
        <f t="shared" si="90"/>
        <v/>
      </c>
    </row>
    <row r="4620" spans="3:3">
      <c r="C4620" s="160" t="str">
        <f t="shared" si="90"/>
        <v/>
      </c>
    </row>
    <row r="4621" spans="3:3">
      <c r="C4621" s="160" t="str">
        <f t="shared" ref="C4621:C4684" si="91">D4621&amp;I4621</f>
        <v/>
      </c>
    </row>
    <row r="4622" spans="3:3">
      <c r="C4622" s="160" t="str">
        <f t="shared" si="91"/>
        <v/>
      </c>
    </row>
    <row r="4623" spans="3:3">
      <c r="C4623" s="160" t="str">
        <f t="shared" si="91"/>
        <v/>
      </c>
    </row>
    <row r="4624" spans="3:3">
      <c r="C4624" s="160" t="str">
        <f t="shared" si="91"/>
        <v/>
      </c>
    </row>
    <row r="4625" spans="3:3">
      <c r="C4625" s="160" t="str">
        <f t="shared" si="91"/>
        <v/>
      </c>
    </row>
    <row r="4626" spans="3:3">
      <c r="C4626" s="160" t="str">
        <f t="shared" si="91"/>
        <v/>
      </c>
    </row>
    <row r="4627" spans="3:3">
      <c r="C4627" s="160" t="str">
        <f t="shared" si="91"/>
        <v/>
      </c>
    </row>
    <row r="4628" spans="3:3">
      <c r="C4628" s="160" t="str">
        <f t="shared" si="91"/>
        <v/>
      </c>
    </row>
    <row r="4629" spans="3:3">
      <c r="C4629" s="160" t="str">
        <f t="shared" si="91"/>
        <v/>
      </c>
    </row>
    <row r="4630" spans="3:3">
      <c r="C4630" s="160" t="str">
        <f t="shared" si="91"/>
        <v/>
      </c>
    </row>
    <row r="4631" spans="3:3">
      <c r="C4631" s="160" t="str">
        <f t="shared" si="91"/>
        <v/>
      </c>
    </row>
    <row r="4632" spans="3:3">
      <c r="C4632" s="160" t="str">
        <f t="shared" si="91"/>
        <v/>
      </c>
    </row>
    <row r="4633" spans="3:3">
      <c r="C4633" s="160" t="str">
        <f t="shared" si="91"/>
        <v/>
      </c>
    </row>
    <row r="4634" spans="3:3">
      <c r="C4634" s="160" t="str">
        <f t="shared" si="91"/>
        <v/>
      </c>
    </row>
    <row r="4635" spans="3:3">
      <c r="C4635" s="160" t="str">
        <f t="shared" si="91"/>
        <v/>
      </c>
    </row>
    <row r="4636" spans="3:3">
      <c r="C4636" s="160" t="str">
        <f t="shared" si="91"/>
        <v/>
      </c>
    </row>
    <row r="4637" spans="3:3">
      <c r="C4637" s="160" t="str">
        <f t="shared" si="91"/>
        <v/>
      </c>
    </row>
    <row r="4638" spans="3:3">
      <c r="C4638" s="160" t="str">
        <f t="shared" si="91"/>
        <v/>
      </c>
    </row>
    <row r="4639" spans="3:3">
      <c r="C4639" s="160" t="str">
        <f t="shared" si="91"/>
        <v/>
      </c>
    </row>
    <row r="4640" spans="3:3">
      <c r="C4640" s="160" t="str">
        <f t="shared" si="91"/>
        <v/>
      </c>
    </row>
    <row r="4641" spans="3:3">
      <c r="C4641" s="160" t="str">
        <f t="shared" si="91"/>
        <v/>
      </c>
    </row>
    <row r="4642" spans="3:3">
      <c r="C4642" s="160" t="str">
        <f t="shared" si="91"/>
        <v/>
      </c>
    </row>
    <row r="4643" spans="3:3">
      <c r="C4643" s="160" t="str">
        <f t="shared" si="91"/>
        <v/>
      </c>
    </row>
    <row r="4644" spans="3:3">
      <c r="C4644" s="160" t="str">
        <f t="shared" si="91"/>
        <v/>
      </c>
    </row>
    <row r="4645" spans="3:3">
      <c r="C4645" s="160" t="str">
        <f t="shared" si="91"/>
        <v/>
      </c>
    </row>
    <row r="4646" spans="3:3">
      <c r="C4646" s="160" t="str">
        <f t="shared" si="91"/>
        <v/>
      </c>
    </row>
    <row r="4647" spans="3:3">
      <c r="C4647" s="160" t="str">
        <f t="shared" si="91"/>
        <v/>
      </c>
    </row>
    <row r="4648" spans="3:3">
      <c r="C4648" s="160" t="str">
        <f t="shared" si="91"/>
        <v/>
      </c>
    </row>
    <row r="4649" spans="3:3">
      <c r="C4649" s="160" t="str">
        <f t="shared" si="91"/>
        <v/>
      </c>
    </row>
    <row r="4650" spans="3:3">
      <c r="C4650" s="160" t="str">
        <f t="shared" si="91"/>
        <v/>
      </c>
    </row>
    <row r="4651" spans="3:3">
      <c r="C4651" s="160" t="str">
        <f t="shared" si="91"/>
        <v/>
      </c>
    </row>
    <row r="4652" spans="3:3">
      <c r="C4652" s="160" t="str">
        <f t="shared" si="91"/>
        <v/>
      </c>
    </row>
    <row r="4653" spans="3:3">
      <c r="C4653" s="160" t="str">
        <f t="shared" si="91"/>
        <v/>
      </c>
    </row>
    <row r="4654" spans="3:3">
      <c r="C4654" s="160" t="str">
        <f t="shared" si="91"/>
        <v/>
      </c>
    </row>
    <row r="4655" spans="3:3">
      <c r="C4655" s="160" t="str">
        <f t="shared" si="91"/>
        <v/>
      </c>
    </row>
    <row r="4656" spans="3:3">
      <c r="C4656" s="160" t="str">
        <f t="shared" si="91"/>
        <v/>
      </c>
    </row>
    <row r="4657" spans="3:3">
      <c r="C4657" s="160" t="str">
        <f t="shared" si="91"/>
        <v/>
      </c>
    </row>
    <row r="4658" spans="3:3">
      <c r="C4658" s="160" t="str">
        <f t="shared" si="91"/>
        <v/>
      </c>
    </row>
    <row r="4659" spans="3:3">
      <c r="C4659" s="160" t="str">
        <f t="shared" si="91"/>
        <v/>
      </c>
    </row>
    <row r="4660" spans="3:3">
      <c r="C4660" s="160" t="str">
        <f t="shared" si="91"/>
        <v/>
      </c>
    </row>
    <row r="4661" spans="3:3">
      <c r="C4661" s="160" t="str">
        <f t="shared" si="91"/>
        <v/>
      </c>
    </row>
    <row r="4662" spans="3:3">
      <c r="C4662" s="160" t="str">
        <f t="shared" si="91"/>
        <v/>
      </c>
    </row>
    <row r="4663" spans="3:3">
      <c r="C4663" s="160" t="str">
        <f t="shared" si="91"/>
        <v/>
      </c>
    </row>
    <row r="4664" spans="3:3">
      <c r="C4664" s="160" t="str">
        <f t="shared" si="91"/>
        <v/>
      </c>
    </row>
    <row r="4665" spans="3:3">
      <c r="C4665" s="160" t="str">
        <f t="shared" si="91"/>
        <v/>
      </c>
    </row>
    <row r="4666" spans="3:3">
      <c r="C4666" s="160" t="str">
        <f t="shared" si="91"/>
        <v/>
      </c>
    </row>
    <row r="4667" spans="3:3">
      <c r="C4667" s="160" t="str">
        <f t="shared" si="91"/>
        <v/>
      </c>
    </row>
    <row r="4668" spans="3:3">
      <c r="C4668" s="160" t="str">
        <f t="shared" si="91"/>
        <v/>
      </c>
    </row>
    <row r="4669" spans="3:3">
      <c r="C4669" s="160" t="str">
        <f t="shared" si="91"/>
        <v/>
      </c>
    </row>
    <row r="4670" spans="3:3">
      <c r="C4670" s="160" t="str">
        <f t="shared" si="91"/>
        <v/>
      </c>
    </row>
    <row r="4671" spans="3:3">
      <c r="C4671" s="160" t="str">
        <f t="shared" si="91"/>
        <v/>
      </c>
    </row>
    <row r="4672" spans="3:3">
      <c r="C4672" s="160" t="str">
        <f t="shared" si="91"/>
        <v/>
      </c>
    </row>
    <row r="4673" spans="3:3">
      <c r="C4673" s="160" t="str">
        <f t="shared" si="91"/>
        <v/>
      </c>
    </row>
    <row r="4674" spans="3:3">
      <c r="C4674" s="160" t="str">
        <f t="shared" si="91"/>
        <v/>
      </c>
    </row>
    <row r="4675" spans="3:3">
      <c r="C4675" s="160" t="str">
        <f t="shared" si="91"/>
        <v/>
      </c>
    </row>
    <row r="4676" spans="3:3">
      <c r="C4676" s="160" t="str">
        <f t="shared" si="91"/>
        <v/>
      </c>
    </row>
    <row r="4677" spans="3:3">
      <c r="C4677" s="160" t="str">
        <f t="shared" si="91"/>
        <v/>
      </c>
    </row>
    <row r="4678" spans="3:3">
      <c r="C4678" s="160" t="str">
        <f t="shared" si="91"/>
        <v/>
      </c>
    </row>
    <row r="4679" spans="3:3">
      <c r="C4679" s="160" t="str">
        <f t="shared" si="91"/>
        <v/>
      </c>
    </row>
    <row r="4680" spans="3:3">
      <c r="C4680" s="160" t="str">
        <f t="shared" si="91"/>
        <v/>
      </c>
    </row>
    <row r="4681" spans="3:3">
      <c r="C4681" s="160" t="str">
        <f t="shared" si="91"/>
        <v/>
      </c>
    </row>
    <row r="4682" spans="3:3">
      <c r="C4682" s="160" t="str">
        <f t="shared" si="91"/>
        <v/>
      </c>
    </row>
    <row r="4683" spans="3:3">
      <c r="C4683" s="160" t="str">
        <f t="shared" si="91"/>
        <v/>
      </c>
    </row>
    <row r="4684" spans="3:3">
      <c r="C4684" s="160" t="str">
        <f t="shared" si="91"/>
        <v/>
      </c>
    </row>
    <row r="4685" spans="3:3">
      <c r="C4685" s="160" t="str">
        <f t="shared" ref="C4685:C4748" si="92">D4685&amp;I4685</f>
        <v/>
      </c>
    </row>
    <row r="4686" spans="3:3">
      <c r="C4686" s="160" t="str">
        <f t="shared" si="92"/>
        <v/>
      </c>
    </row>
    <row r="4687" spans="3:3">
      <c r="C4687" s="160" t="str">
        <f t="shared" si="92"/>
        <v/>
      </c>
    </row>
    <row r="4688" spans="3:3">
      <c r="C4688" s="160" t="str">
        <f t="shared" si="92"/>
        <v/>
      </c>
    </row>
    <row r="4689" spans="3:3">
      <c r="C4689" s="160" t="str">
        <f t="shared" si="92"/>
        <v/>
      </c>
    </row>
    <row r="4690" spans="3:3">
      <c r="C4690" s="160" t="str">
        <f t="shared" si="92"/>
        <v/>
      </c>
    </row>
    <row r="4691" spans="3:3">
      <c r="C4691" s="160" t="str">
        <f t="shared" si="92"/>
        <v/>
      </c>
    </row>
    <row r="4692" spans="3:3">
      <c r="C4692" s="160" t="str">
        <f t="shared" si="92"/>
        <v/>
      </c>
    </row>
    <row r="4693" spans="3:3">
      <c r="C4693" s="160" t="str">
        <f t="shared" si="92"/>
        <v/>
      </c>
    </row>
    <row r="4694" spans="3:3">
      <c r="C4694" s="160" t="str">
        <f t="shared" si="92"/>
        <v/>
      </c>
    </row>
    <row r="4695" spans="3:3">
      <c r="C4695" s="160" t="str">
        <f t="shared" si="92"/>
        <v/>
      </c>
    </row>
    <row r="4696" spans="3:3">
      <c r="C4696" s="160" t="str">
        <f t="shared" si="92"/>
        <v/>
      </c>
    </row>
    <row r="4697" spans="3:3">
      <c r="C4697" s="160" t="str">
        <f t="shared" si="92"/>
        <v/>
      </c>
    </row>
    <row r="4698" spans="3:3">
      <c r="C4698" s="160" t="str">
        <f t="shared" si="92"/>
        <v/>
      </c>
    </row>
    <row r="4699" spans="3:3">
      <c r="C4699" s="160" t="str">
        <f t="shared" si="92"/>
        <v/>
      </c>
    </row>
    <row r="4700" spans="3:3">
      <c r="C4700" s="160" t="str">
        <f t="shared" si="92"/>
        <v/>
      </c>
    </row>
    <row r="4701" spans="3:3">
      <c r="C4701" s="160" t="str">
        <f t="shared" si="92"/>
        <v/>
      </c>
    </row>
    <row r="4702" spans="3:3">
      <c r="C4702" s="160" t="str">
        <f t="shared" si="92"/>
        <v/>
      </c>
    </row>
    <row r="4703" spans="3:3">
      <c r="C4703" s="160" t="str">
        <f t="shared" si="92"/>
        <v/>
      </c>
    </row>
    <row r="4704" spans="3:3">
      <c r="C4704" s="160" t="str">
        <f t="shared" si="92"/>
        <v/>
      </c>
    </row>
    <row r="4705" spans="3:3">
      <c r="C4705" s="160" t="str">
        <f t="shared" si="92"/>
        <v/>
      </c>
    </row>
    <row r="4706" spans="3:3">
      <c r="C4706" s="160" t="str">
        <f t="shared" si="92"/>
        <v/>
      </c>
    </row>
    <row r="4707" spans="3:3">
      <c r="C4707" s="160" t="str">
        <f t="shared" si="92"/>
        <v/>
      </c>
    </row>
    <row r="4708" spans="3:3">
      <c r="C4708" s="160" t="str">
        <f t="shared" si="92"/>
        <v/>
      </c>
    </row>
    <row r="4709" spans="3:3">
      <c r="C4709" s="160" t="str">
        <f t="shared" si="92"/>
        <v/>
      </c>
    </row>
    <row r="4710" spans="3:3">
      <c r="C4710" s="160" t="str">
        <f t="shared" si="92"/>
        <v/>
      </c>
    </row>
    <row r="4711" spans="3:3">
      <c r="C4711" s="160" t="str">
        <f t="shared" si="92"/>
        <v/>
      </c>
    </row>
    <row r="4712" spans="3:3">
      <c r="C4712" s="160" t="str">
        <f t="shared" si="92"/>
        <v/>
      </c>
    </row>
    <row r="4713" spans="3:3">
      <c r="C4713" s="160" t="str">
        <f t="shared" si="92"/>
        <v/>
      </c>
    </row>
    <row r="4714" spans="3:3">
      <c r="C4714" s="160" t="str">
        <f t="shared" si="92"/>
        <v/>
      </c>
    </row>
    <row r="4715" spans="3:3">
      <c r="C4715" s="160" t="str">
        <f t="shared" si="92"/>
        <v/>
      </c>
    </row>
    <row r="4716" spans="3:3">
      <c r="C4716" s="160" t="str">
        <f t="shared" si="92"/>
        <v/>
      </c>
    </row>
    <row r="4717" spans="3:3">
      <c r="C4717" s="160" t="str">
        <f t="shared" si="92"/>
        <v/>
      </c>
    </row>
    <row r="4718" spans="3:3">
      <c r="C4718" s="160" t="str">
        <f t="shared" si="92"/>
        <v/>
      </c>
    </row>
    <row r="4719" spans="3:3">
      <c r="C4719" s="160" t="str">
        <f t="shared" si="92"/>
        <v/>
      </c>
    </row>
    <row r="4720" spans="3:3">
      <c r="C4720" s="160" t="str">
        <f t="shared" si="92"/>
        <v/>
      </c>
    </row>
    <row r="4721" spans="3:3">
      <c r="C4721" s="160" t="str">
        <f t="shared" si="92"/>
        <v/>
      </c>
    </row>
    <row r="4722" spans="3:3">
      <c r="C4722" s="160" t="str">
        <f t="shared" si="92"/>
        <v/>
      </c>
    </row>
    <row r="4723" spans="3:3">
      <c r="C4723" s="160" t="str">
        <f t="shared" si="92"/>
        <v/>
      </c>
    </row>
    <row r="4724" spans="3:3">
      <c r="C4724" s="160" t="str">
        <f t="shared" si="92"/>
        <v/>
      </c>
    </row>
    <row r="4725" spans="3:3">
      <c r="C4725" s="160" t="str">
        <f t="shared" si="92"/>
        <v/>
      </c>
    </row>
    <row r="4726" spans="3:3">
      <c r="C4726" s="160" t="str">
        <f t="shared" si="92"/>
        <v/>
      </c>
    </row>
    <row r="4727" spans="3:3">
      <c r="C4727" s="160" t="str">
        <f t="shared" si="92"/>
        <v/>
      </c>
    </row>
    <row r="4728" spans="3:3">
      <c r="C4728" s="160" t="str">
        <f t="shared" si="92"/>
        <v/>
      </c>
    </row>
    <row r="4729" spans="3:3">
      <c r="C4729" s="160" t="str">
        <f t="shared" si="92"/>
        <v/>
      </c>
    </row>
    <row r="4730" spans="3:3">
      <c r="C4730" s="160" t="str">
        <f t="shared" si="92"/>
        <v/>
      </c>
    </row>
    <row r="4731" spans="3:3">
      <c r="C4731" s="160" t="str">
        <f t="shared" si="92"/>
        <v/>
      </c>
    </row>
    <row r="4732" spans="3:3">
      <c r="C4732" s="160" t="str">
        <f t="shared" si="92"/>
        <v/>
      </c>
    </row>
    <row r="4733" spans="3:3">
      <c r="C4733" s="160" t="str">
        <f t="shared" si="92"/>
        <v/>
      </c>
    </row>
    <row r="4734" spans="3:3">
      <c r="C4734" s="160" t="str">
        <f t="shared" si="92"/>
        <v/>
      </c>
    </row>
    <row r="4735" spans="3:3">
      <c r="C4735" s="160" t="str">
        <f t="shared" si="92"/>
        <v/>
      </c>
    </row>
    <row r="4736" spans="3:3">
      <c r="C4736" s="160" t="str">
        <f t="shared" si="92"/>
        <v/>
      </c>
    </row>
    <row r="4737" spans="3:3">
      <c r="C4737" s="160" t="str">
        <f t="shared" si="92"/>
        <v/>
      </c>
    </row>
    <row r="4738" spans="3:3">
      <c r="C4738" s="160" t="str">
        <f t="shared" si="92"/>
        <v/>
      </c>
    </row>
    <row r="4739" spans="3:3">
      <c r="C4739" s="160" t="str">
        <f t="shared" si="92"/>
        <v/>
      </c>
    </row>
    <row r="4740" spans="3:3">
      <c r="C4740" s="160" t="str">
        <f t="shared" si="92"/>
        <v/>
      </c>
    </row>
    <row r="4741" spans="3:3">
      <c r="C4741" s="160" t="str">
        <f t="shared" si="92"/>
        <v/>
      </c>
    </row>
    <row r="4742" spans="3:3">
      <c r="C4742" s="160" t="str">
        <f t="shared" si="92"/>
        <v/>
      </c>
    </row>
    <row r="4743" spans="3:3">
      <c r="C4743" s="160" t="str">
        <f t="shared" si="92"/>
        <v/>
      </c>
    </row>
    <row r="4744" spans="3:3">
      <c r="C4744" s="160" t="str">
        <f t="shared" si="92"/>
        <v/>
      </c>
    </row>
    <row r="4745" spans="3:3">
      <c r="C4745" s="160" t="str">
        <f t="shared" si="92"/>
        <v/>
      </c>
    </row>
    <row r="4746" spans="3:3">
      <c r="C4746" s="160" t="str">
        <f t="shared" si="92"/>
        <v/>
      </c>
    </row>
    <row r="4747" spans="3:3">
      <c r="C4747" s="160" t="str">
        <f t="shared" si="92"/>
        <v/>
      </c>
    </row>
    <row r="4748" spans="3:3">
      <c r="C4748" s="160" t="str">
        <f t="shared" si="92"/>
        <v/>
      </c>
    </row>
    <row r="4749" spans="3:3">
      <c r="C4749" s="160" t="str">
        <f t="shared" ref="C4749:C4812" si="93">D4749&amp;I4749</f>
        <v/>
      </c>
    </row>
    <row r="4750" spans="3:3">
      <c r="C4750" s="160" t="str">
        <f t="shared" si="93"/>
        <v/>
      </c>
    </row>
    <row r="4751" spans="3:3">
      <c r="C4751" s="160" t="str">
        <f t="shared" si="93"/>
        <v/>
      </c>
    </row>
    <row r="4752" spans="3:3">
      <c r="C4752" s="160" t="str">
        <f t="shared" si="93"/>
        <v/>
      </c>
    </row>
    <row r="4753" spans="3:3">
      <c r="C4753" s="160" t="str">
        <f t="shared" si="93"/>
        <v/>
      </c>
    </row>
    <row r="4754" spans="3:3">
      <c r="C4754" s="160" t="str">
        <f t="shared" si="93"/>
        <v/>
      </c>
    </row>
    <row r="4755" spans="3:3">
      <c r="C4755" s="160" t="str">
        <f t="shared" si="93"/>
        <v/>
      </c>
    </row>
    <row r="4756" spans="3:3">
      <c r="C4756" s="160" t="str">
        <f t="shared" si="93"/>
        <v/>
      </c>
    </row>
    <row r="4757" spans="3:3">
      <c r="C4757" s="160" t="str">
        <f t="shared" si="93"/>
        <v/>
      </c>
    </row>
    <row r="4758" spans="3:3">
      <c r="C4758" s="160" t="str">
        <f t="shared" si="93"/>
        <v/>
      </c>
    </row>
    <row r="4759" spans="3:3">
      <c r="C4759" s="160" t="str">
        <f t="shared" si="93"/>
        <v/>
      </c>
    </row>
    <row r="4760" spans="3:3">
      <c r="C4760" s="160" t="str">
        <f t="shared" si="93"/>
        <v/>
      </c>
    </row>
    <row r="4761" spans="3:3">
      <c r="C4761" s="160" t="str">
        <f t="shared" si="93"/>
        <v/>
      </c>
    </row>
    <row r="4762" spans="3:3">
      <c r="C4762" s="160" t="str">
        <f t="shared" si="93"/>
        <v/>
      </c>
    </row>
    <row r="4763" spans="3:3">
      <c r="C4763" s="160" t="str">
        <f t="shared" si="93"/>
        <v/>
      </c>
    </row>
    <row r="4764" spans="3:3">
      <c r="C4764" s="160" t="str">
        <f t="shared" si="93"/>
        <v/>
      </c>
    </row>
    <row r="4765" spans="3:3">
      <c r="C4765" s="160" t="str">
        <f t="shared" si="93"/>
        <v/>
      </c>
    </row>
    <row r="4766" spans="3:3">
      <c r="C4766" s="160" t="str">
        <f t="shared" si="93"/>
        <v/>
      </c>
    </row>
    <row r="4767" spans="3:3">
      <c r="C4767" s="160" t="str">
        <f t="shared" si="93"/>
        <v/>
      </c>
    </row>
    <row r="4768" spans="3:3">
      <c r="C4768" s="160" t="str">
        <f t="shared" si="93"/>
        <v/>
      </c>
    </row>
    <row r="4769" spans="3:3">
      <c r="C4769" s="160" t="str">
        <f t="shared" si="93"/>
        <v/>
      </c>
    </row>
    <row r="4770" spans="3:3">
      <c r="C4770" s="160" t="str">
        <f t="shared" si="93"/>
        <v/>
      </c>
    </row>
    <row r="4771" spans="3:3">
      <c r="C4771" s="160" t="str">
        <f t="shared" si="93"/>
        <v/>
      </c>
    </row>
    <row r="4772" spans="3:3">
      <c r="C4772" s="160" t="str">
        <f t="shared" si="93"/>
        <v/>
      </c>
    </row>
    <row r="4773" spans="3:3">
      <c r="C4773" s="160" t="str">
        <f t="shared" si="93"/>
        <v/>
      </c>
    </row>
    <row r="4774" spans="3:3">
      <c r="C4774" s="160" t="str">
        <f t="shared" si="93"/>
        <v/>
      </c>
    </row>
    <row r="4775" spans="3:3">
      <c r="C4775" s="160" t="str">
        <f t="shared" si="93"/>
        <v/>
      </c>
    </row>
    <row r="4776" spans="3:3">
      <c r="C4776" s="160" t="str">
        <f t="shared" si="93"/>
        <v/>
      </c>
    </row>
    <row r="4777" spans="3:3">
      <c r="C4777" s="160" t="str">
        <f t="shared" si="93"/>
        <v/>
      </c>
    </row>
    <row r="4778" spans="3:3">
      <c r="C4778" s="160" t="str">
        <f t="shared" si="93"/>
        <v/>
      </c>
    </row>
    <row r="4779" spans="3:3">
      <c r="C4779" s="160" t="str">
        <f t="shared" si="93"/>
        <v/>
      </c>
    </row>
    <row r="4780" spans="3:3">
      <c r="C4780" s="160" t="str">
        <f t="shared" si="93"/>
        <v/>
      </c>
    </row>
    <row r="4781" spans="3:3">
      <c r="C4781" s="160" t="str">
        <f t="shared" si="93"/>
        <v/>
      </c>
    </row>
    <row r="4782" spans="3:3">
      <c r="C4782" s="160" t="str">
        <f t="shared" si="93"/>
        <v/>
      </c>
    </row>
    <row r="4783" spans="3:3">
      <c r="C4783" s="160" t="str">
        <f t="shared" si="93"/>
        <v/>
      </c>
    </row>
    <row r="4784" spans="3:3">
      <c r="C4784" s="160" t="str">
        <f t="shared" si="93"/>
        <v/>
      </c>
    </row>
    <row r="4785" spans="3:3">
      <c r="C4785" s="160" t="str">
        <f t="shared" si="93"/>
        <v/>
      </c>
    </row>
    <row r="4786" spans="3:3">
      <c r="C4786" s="160" t="str">
        <f t="shared" si="93"/>
        <v/>
      </c>
    </row>
    <row r="4787" spans="3:3">
      <c r="C4787" s="160" t="str">
        <f t="shared" si="93"/>
        <v/>
      </c>
    </row>
    <row r="4788" spans="3:3">
      <c r="C4788" s="160" t="str">
        <f t="shared" si="93"/>
        <v/>
      </c>
    </row>
    <row r="4789" spans="3:3">
      <c r="C4789" s="160" t="str">
        <f t="shared" si="93"/>
        <v/>
      </c>
    </row>
    <row r="4790" spans="3:3">
      <c r="C4790" s="160" t="str">
        <f t="shared" si="93"/>
        <v/>
      </c>
    </row>
    <row r="4791" spans="3:3">
      <c r="C4791" s="160" t="str">
        <f t="shared" si="93"/>
        <v/>
      </c>
    </row>
    <row r="4792" spans="3:3">
      <c r="C4792" s="160" t="str">
        <f t="shared" si="93"/>
        <v/>
      </c>
    </row>
    <row r="4793" spans="3:3">
      <c r="C4793" s="160" t="str">
        <f t="shared" si="93"/>
        <v/>
      </c>
    </row>
    <row r="4794" spans="3:3">
      <c r="C4794" s="160" t="str">
        <f t="shared" si="93"/>
        <v/>
      </c>
    </row>
    <row r="4795" spans="3:3">
      <c r="C4795" s="160" t="str">
        <f t="shared" si="93"/>
        <v/>
      </c>
    </row>
    <row r="4796" spans="3:3">
      <c r="C4796" s="160" t="str">
        <f t="shared" si="93"/>
        <v/>
      </c>
    </row>
    <row r="4797" spans="3:3">
      <c r="C4797" s="160" t="str">
        <f t="shared" si="93"/>
        <v/>
      </c>
    </row>
    <row r="4798" spans="3:3">
      <c r="C4798" s="160" t="str">
        <f t="shared" si="93"/>
        <v/>
      </c>
    </row>
    <row r="4799" spans="3:3">
      <c r="C4799" s="160" t="str">
        <f t="shared" si="93"/>
        <v/>
      </c>
    </row>
    <row r="4800" spans="3:3">
      <c r="C4800" s="160" t="str">
        <f t="shared" si="93"/>
        <v/>
      </c>
    </row>
    <row r="4801" spans="3:3">
      <c r="C4801" s="160" t="str">
        <f t="shared" si="93"/>
        <v/>
      </c>
    </row>
    <row r="4802" spans="3:3">
      <c r="C4802" s="160" t="str">
        <f t="shared" si="93"/>
        <v/>
      </c>
    </row>
    <row r="4803" spans="3:3">
      <c r="C4803" s="160" t="str">
        <f t="shared" si="93"/>
        <v/>
      </c>
    </row>
    <row r="4804" spans="3:3">
      <c r="C4804" s="160" t="str">
        <f t="shared" si="93"/>
        <v/>
      </c>
    </row>
    <row r="4805" spans="3:3">
      <c r="C4805" s="160" t="str">
        <f t="shared" si="93"/>
        <v/>
      </c>
    </row>
    <row r="4806" spans="3:3">
      <c r="C4806" s="160" t="str">
        <f t="shared" si="93"/>
        <v/>
      </c>
    </row>
    <row r="4807" spans="3:3">
      <c r="C4807" s="160" t="str">
        <f t="shared" si="93"/>
        <v/>
      </c>
    </row>
    <row r="4808" spans="3:3">
      <c r="C4808" s="160" t="str">
        <f t="shared" si="93"/>
        <v/>
      </c>
    </row>
    <row r="4809" spans="3:3">
      <c r="C4809" s="160" t="str">
        <f t="shared" si="93"/>
        <v/>
      </c>
    </row>
    <row r="4810" spans="3:3">
      <c r="C4810" s="160" t="str">
        <f t="shared" si="93"/>
        <v/>
      </c>
    </row>
    <row r="4811" spans="3:3">
      <c r="C4811" s="160" t="str">
        <f t="shared" si="93"/>
        <v/>
      </c>
    </row>
    <row r="4812" spans="3:3">
      <c r="C4812" s="160" t="str">
        <f t="shared" si="93"/>
        <v/>
      </c>
    </row>
    <row r="4813" spans="3:3">
      <c r="C4813" s="160" t="str">
        <f t="shared" ref="C4813:C4876" si="94">D4813&amp;I4813</f>
        <v/>
      </c>
    </row>
    <row r="4814" spans="3:3">
      <c r="C4814" s="160" t="str">
        <f t="shared" si="94"/>
        <v/>
      </c>
    </row>
    <row r="4815" spans="3:3">
      <c r="C4815" s="160" t="str">
        <f t="shared" si="94"/>
        <v/>
      </c>
    </row>
    <row r="4816" spans="3:3">
      <c r="C4816" s="160" t="str">
        <f t="shared" si="94"/>
        <v/>
      </c>
    </row>
    <row r="4817" spans="3:3">
      <c r="C4817" s="160" t="str">
        <f t="shared" si="94"/>
        <v/>
      </c>
    </row>
    <row r="4818" spans="3:3">
      <c r="C4818" s="160" t="str">
        <f t="shared" si="94"/>
        <v/>
      </c>
    </row>
    <row r="4819" spans="3:3">
      <c r="C4819" s="160" t="str">
        <f t="shared" si="94"/>
        <v/>
      </c>
    </row>
    <row r="4820" spans="3:3">
      <c r="C4820" s="160" t="str">
        <f t="shared" si="94"/>
        <v/>
      </c>
    </row>
    <row r="4821" spans="3:3">
      <c r="C4821" s="160" t="str">
        <f t="shared" si="94"/>
        <v/>
      </c>
    </row>
    <row r="4822" spans="3:3">
      <c r="C4822" s="160" t="str">
        <f t="shared" si="94"/>
        <v/>
      </c>
    </row>
    <row r="4823" spans="3:3">
      <c r="C4823" s="160" t="str">
        <f t="shared" si="94"/>
        <v/>
      </c>
    </row>
    <row r="4824" spans="3:3">
      <c r="C4824" s="160" t="str">
        <f t="shared" si="94"/>
        <v/>
      </c>
    </row>
    <row r="4825" spans="3:3">
      <c r="C4825" s="160" t="str">
        <f t="shared" si="94"/>
        <v/>
      </c>
    </row>
    <row r="4826" spans="3:3">
      <c r="C4826" s="160" t="str">
        <f t="shared" si="94"/>
        <v/>
      </c>
    </row>
    <row r="4827" spans="3:3">
      <c r="C4827" s="160" t="str">
        <f t="shared" si="94"/>
        <v/>
      </c>
    </row>
    <row r="4828" spans="3:3">
      <c r="C4828" s="160" t="str">
        <f t="shared" si="94"/>
        <v/>
      </c>
    </row>
    <row r="4829" spans="3:3">
      <c r="C4829" s="160" t="str">
        <f t="shared" si="94"/>
        <v/>
      </c>
    </row>
    <row r="4830" spans="3:3">
      <c r="C4830" s="160" t="str">
        <f t="shared" si="94"/>
        <v/>
      </c>
    </row>
    <row r="4831" spans="3:3">
      <c r="C4831" s="160" t="str">
        <f t="shared" si="94"/>
        <v/>
      </c>
    </row>
    <row r="4832" spans="3:3">
      <c r="C4832" s="160" t="str">
        <f t="shared" si="94"/>
        <v/>
      </c>
    </row>
    <row r="4833" spans="3:3">
      <c r="C4833" s="160" t="str">
        <f t="shared" si="94"/>
        <v/>
      </c>
    </row>
    <row r="4834" spans="3:3">
      <c r="C4834" s="160" t="str">
        <f t="shared" si="94"/>
        <v/>
      </c>
    </row>
    <row r="4835" spans="3:3">
      <c r="C4835" s="160" t="str">
        <f t="shared" si="94"/>
        <v/>
      </c>
    </row>
    <row r="4836" spans="3:3">
      <c r="C4836" s="160" t="str">
        <f t="shared" si="94"/>
        <v/>
      </c>
    </row>
    <row r="4837" spans="3:3">
      <c r="C4837" s="160" t="str">
        <f t="shared" si="94"/>
        <v/>
      </c>
    </row>
    <row r="4838" spans="3:3">
      <c r="C4838" s="160" t="str">
        <f t="shared" si="94"/>
        <v/>
      </c>
    </row>
    <row r="4839" spans="3:3">
      <c r="C4839" s="160" t="str">
        <f t="shared" si="94"/>
        <v/>
      </c>
    </row>
    <row r="4840" spans="3:3">
      <c r="C4840" s="160" t="str">
        <f t="shared" si="94"/>
        <v/>
      </c>
    </row>
    <row r="4841" spans="3:3">
      <c r="C4841" s="160" t="str">
        <f t="shared" si="94"/>
        <v/>
      </c>
    </row>
    <row r="4842" spans="3:3">
      <c r="C4842" s="160" t="str">
        <f t="shared" si="94"/>
        <v/>
      </c>
    </row>
    <row r="4843" spans="3:3">
      <c r="C4843" s="160" t="str">
        <f t="shared" si="94"/>
        <v/>
      </c>
    </row>
    <row r="4844" spans="3:3">
      <c r="C4844" s="160" t="str">
        <f t="shared" si="94"/>
        <v/>
      </c>
    </row>
    <row r="4845" spans="3:3">
      <c r="C4845" s="160" t="str">
        <f t="shared" si="94"/>
        <v/>
      </c>
    </row>
    <row r="4846" spans="3:3">
      <c r="C4846" s="160" t="str">
        <f t="shared" si="94"/>
        <v/>
      </c>
    </row>
    <row r="4847" spans="3:3">
      <c r="C4847" s="160" t="str">
        <f t="shared" si="94"/>
        <v/>
      </c>
    </row>
    <row r="4848" spans="3:3">
      <c r="C4848" s="160" t="str">
        <f t="shared" si="94"/>
        <v/>
      </c>
    </row>
    <row r="4849" spans="3:3">
      <c r="C4849" s="160" t="str">
        <f t="shared" si="94"/>
        <v/>
      </c>
    </row>
    <row r="4850" spans="3:3">
      <c r="C4850" s="160" t="str">
        <f t="shared" si="94"/>
        <v/>
      </c>
    </row>
    <row r="4851" spans="3:3">
      <c r="C4851" s="160" t="str">
        <f t="shared" si="94"/>
        <v/>
      </c>
    </row>
    <row r="4852" spans="3:3">
      <c r="C4852" s="160" t="str">
        <f t="shared" si="94"/>
        <v/>
      </c>
    </row>
    <row r="4853" spans="3:3">
      <c r="C4853" s="160" t="str">
        <f t="shared" si="94"/>
        <v/>
      </c>
    </row>
    <row r="4854" spans="3:3">
      <c r="C4854" s="160" t="str">
        <f t="shared" si="94"/>
        <v/>
      </c>
    </row>
    <row r="4855" spans="3:3">
      <c r="C4855" s="160" t="str">
        <f t="shared" si="94"/>
        <v/>
      </c>
    </row>
    <row r="4856" spans="3:3">
      <c r="C4856" s="160" t="str">
        <f t="shared" si="94"/>
        <v/>
      </c>
    </row>
    <row r="4857" spans="3:3">
      <c r="C4857" s="160" t="str">
        <f t="shared" si="94"/>
        <v/>
      </c>
    </row>
    <row r="4858" spans="3:3">
      <c r="C4858" s="160" t="str">
        <f t="shared" si="94"/>
        <v/>
      </c>
    </row>
    <row r="4859" spans="3:3">
      <c r="C4859" s="160" t="str">
        <f t="shared" si="94"/>
        <v/>
      </c>
    </row>
    <row r="4860" spans="3:3">
      <c r="C4860" s="160" t="str">
        <f t="shared" si="94"/>
        <v/>
      </c>
    </row>
    <row r="4861" spans="3:3">
      <c r="C4861" s="160" t="str">
        <f t="shared" si="94"/>
        <v/>
      </c>
    </row>
    <row r="4862" spans="3:3">
      <c r="C4862" s="160" t="str">
        <f t="shared" si="94"/>
        <v/>
      </c>
    </row>
    <row r="4863" spans="3:3">
      <c r="C4863" s="160" t="str">
        <f t="shared" si="94"/>
        <v/>
      </c>
    </row>
    <row r="4864" spans="3:3">
      <c r="C4864" s="160" t="str">
        <f t="shared" si="94"/>
        <v/>
      </c>
    </row>
    <row r="4865" spans="3:3">
      <c r="C4865" s="160" t="str">
        <f t="shared" si="94"/>
        <v/>
      </c>
    </row>
    <row r="4866" spans="3:3">
      <c r="C4866" s="160" t="str">
        <f t="shared" si="94"/>
        <v/>
      </c>
    </row>
    <row r="4867" spans="3:3">
      <c r="C4867" s="160" t="str">
        <f t="shared" si="94"/>
        <v/>
      </c>
    </row>
    <row r="4868" spans="3:3">
      <c r="C4868" s="160" t="str">
        <f t="shared" si="94"/>
        <v/>
      </c>
    </row>
    <row r="4869" spans="3:3">
      <c r="C4869" s="160" t="str">
        <f t="shared" si="94"/>
        <v/>
      </c>
    </row>
    <row r="4870" spans="3:3">
      <c r="C4870" s="160" t="str">
        <f t="shared" si="94"/>
        <v/>
      </c>
    </row>
    <row r="4871" spans="3:3">
      <c r="C4871" s="160" t="str">
        <f t="shared" si="94"/>
        <v/>
      </c>
    </row>
    <row r="4872" spans="3:3">
      <c r="C4872" s="160" t="str">
        <f t="shared" si="94"/>
        <v/>
      </c>
    </row>
    <row r="4873" spans="3:3">
      <c r="C4873" s="160" t="str">
        <f t="shared" si="94"/>
        <v/>
      </c>
    </row>
    <row r="4874" spans="3:3">
      <c r="C4874" s="160" t="str">
        <f t="shared" si="94"/>
        <v/>
      </c>
    </row>
    <row r="4875" spans="3:3">
      <c r="C4875" s="160" t="str">
        <f t="shared" si="94"/>
        <v/>
      </c>
    </row>
    <row r="4876" spans="3:3">
      <c r="C4876" s="160" t="str">
        <f t="shared" si="94"/>
        <v/>
      </c>
    </row>
    <row r="4877" spans="3:3">
      <c r="C4877" s="160" t="str">
        <f t="shared" ref="C4877:C4940" si="95">D4877&amp;I4877</f>
        <v/>
      </c>
    </row>
    <row r="4878" spans="3:3">
      <c r="C4878" s="160" t="str">
        <f t="shared" si="95"/>
        <v/>
      </c>
    </row>
    <row r="4879" spans="3:3">
      <c r="C4879" s="160" t="str">
        <f t="shared" si="95"/>
        <v/>
      </c>
    </row>
    <row r="4880" spans="3:3">
      <c r="C4880" s="160" t="str">
        <f t="shared" si="95"/>
        <v/>
      </c>
    </row>
    <row r="4881" spans="3:3">
      <c r="C4881" s="160" t="str">
        <f t="shared" si="95"/>
        <v/>
      </c>
    </row>
    <row r="4882" spans="3:3">
      <c r="C4882" s="160" t="str">
        <f t="shared" si="95"/>
        <v/>
      </c>
    </row>
    <row r="4883" spans="3:3">
      <c r="C4883" s="160" t="str">
        <f t="shared" si="95"/>
        <v/>
      </c>
    </row>
    <row r="4884" spans="3:3">
      <c r="C4884" s="160" t="str">
        <f t="shared" si="95"/>
        <v/>
      </c>
    </row>
    <row r="4885" spans="3:3">
      <c r="C4885" s="160" t="str">
        <f t="shared" si="95"/>
        <v/>
      </c>
    </row>
    <row r="4886" spans="3:3">
      <c r="C4886" s="160" t="str">
        <f t="shared" si="95"/>
        <v/>
      </c>
    </row>
    <row r="4887" spans="3:3">
      <c r="C4887" s="160" t="str">
        <f t="shared" si="95"/>
        <v/>
      </c>
    </row>
    <row r="4888" spans="3:3">
      <c r="C4888" s="160" t="str">
        <f t="shared" si="95"/>
        <v/>
      </c>
    </row>
    <row r="4889" spans="3:3">
      <c r="C4889" s="160" t="str">
        <f t="shared" si="95"/>
        <v/>
      </c>
    </row>
    <row r="4890" spans="3:3">
      <c r="C4890" s="160" t="str">
        <f t="shared" si="95"/>
        <v/>
      </c>
    </row>
    <row r="4891" spans="3:3">
      <c r="C4891" s="160" t="str">
        <f t="shared" si="95"/>
        <v/>
      </c>
    </row>
    <row r="4892" spans="3:3">
      <c r="C4892" s="160" t="str">
        <f t="shared" si="95"/>
        <v/>
      </c>
    </row>
    <row r="4893" spans="3:3">
      <c r="C4893" s="160" t="str">
        <f t="shared" si="95"/>
        <v/>
      </c>
    </row>
    <row r="4894" spans="3:3">
      <c r="C4894" s="160" t="str">
        <f t="shared" si="95"/>
        <v/>
      </c>
    </row>
    <row r="4895" spans="3:3">
      <c r="C4895" s="160" t="str">
        <f t="shared" si="95"/>
        <v/>
      </c>
    </row>
    <row r="4896" spans="3:3">
      <c r="C4896" s="160" t="str">
        <f t="shared" si="95"/>
        <v/>
      </c>
    </row>
    <row r="4897" spans="3:3">
      <c r="C4897" s="160" t="str">
        <f t="shared" si="95"/>
        <v/>
      </c>
    </row>
    <row r="4898" spans="3:3">
      <c r="C4898" s="160" t="str">
        <f t="shared" si="95"/>
        <v/>
      </c>
    </row>
    <row r="4899" spans="3:3">
      <c r="C4899" s="160" t="str">
        <f t="shared" si="95"/>
        <v/>
      </c>
    </row>
    <row r="4900" spans="3:3">
      <c r="C4900" s="160" t="str">
        <f t="shared" si="95"/>
        <v/>
      </c>
    </row>
    <row r="4901" spans="3:3">
      <c r="C4901" s="160" t="str">
        <f t="shared" si="95"/>
        <v/>
      </c>
    </row>
    <row r="4902" spans="3:3">
      <c r="C4902" s="160" t="str">
        <f t="shared" si="95"/>
        <v/>
      </c>
    </row>
    <row r="4903" spans="3:3">
      <c r="C4903" s="160" t="str">
        <f t="shared" si="95"/>
        <v/>
      </c>
    </row>
    <row r="4904" spans="3:3">
      <c r="C4904" s="160" t="str">
        <f t="shared" si="95"/>
        <v/>
      </c>
    </row>
    <row r="4905" spans="3:3">
      <c r="C4905" s="160" t="str">
        <f t="shared" si="95"/>
        <v/>
      </c>
    </row>
    <row r="4906" spans="3:3">
      <c r="C4906" s="160" t="str">
        <f t="shared" si="95"/>
        <v/>
      </c>
    </row>
    <row r="4907" spans="3:3">
      <c r="C4907" s="160" t="str">
        <f t="shared" si="95"/>
        <v/>
      </c>
    </row>
    <row r="4908" spans="3:3">
      <c r="C4908" s="160" t="str">
        <f t="shared" si="95"/>
        <v/>
      </c>
    </row>
    <row r="4909" spans="3:3">
      <c r="C4909" s="160" t="str">
        <f t="shared" si="95"/>
        <v/>
      </c>
    </row>
    <row r="4910" spans="3:3">
      <c r="C4910" s="160" t="str">
        <f t="shared" si="95"/>
        <v/>
      </c>
    </row>
    <row r="4911" spans="3:3">
      <c r="C4911" s="160" t="str">
        <f t="shared" si="95"/>
        <v/>
      </c>
    </row>
    <row r="4912" spans="3:3">
      <c r="C4912" s="160" t="str">
        <f t="shared" si="95"/>
        <v/>
      </c>
    </row>
    <row r="4913" spans="3:3">
      <c r="C4913" s="160" t="str">
        <f t="shared" si="95"/>
        <v/>
      </c>
    </row>
    <row r="4914" spans="3:3">
      <c r="C4914" s="160" t="str">
        <f t="shared" si="95"/>
        <v/>
      </c>
    </row>
    <row r="4915" spans="3:3">
      <c r="C4915" s="160" t="str">
        <f t="shared" si="95"/>
        <v/>
      </c>
    </row>
    <row r="4916" spans="3:3">
      <c r="C4916" s="160" t="str">
        <f t="shared" si="95"/>
        <v/>
      </c>
    </row>
    <row r="4917" spans="3:3">
      <c r="C4917" s="160" t="str">
        <f t="shared" si="95"/>
        <v/>
      </c>
    </row>
    <row r="4918" spans="3:3">
      <c r="C4918" s="160" t="str">
        <f t="shared" si="95"/>
        <v/>
      </c>
    </row>
    <row r="4919" spans="3:3">
      <c r="C4919" s="160" t="str">
        <f t="shared" si="95"/>
        <v/>
      </c>
    </row>
    <row r="4920" spans="3:3">
      <c r="C4920" s="160" t="str">
        <f t="shared" si="95"/>
        <v/>
      </c>
    </row>
    <row r="4921" spans="3:3">
      <c r="C4921" s="160" t="str">
        <f t="shared" si="95"/>
        <v/>
      </c>
    </row>
    <row r="4922" spans="3:3">
      <c r="C4922" s="160" t="str">
        <f t="shared" si="95"/>
        <v/>
      </c>
    </row>
    <row r="4923" spans="3:3">
      <c r="C4923" s="160" t="str">
        <f t="shared" si="95"/>
        <v/>
      </c>
    </row>
    <row r="4924" spans="3:3">
      <c r="C4924" s="160" t="str">
        <f t="shared" si="95"/>
        <v/>
      </c>
    </row>
    <row r="4925" spans="3:3">
      <c r="C4925" s="160" t="str">
        <f t="shared" si="95"/>
        <v/>
      </c>
    </row>
    <row r="4926" spans="3:3">
      <c r="C4926" s="160" t="str">
        <f t="shared" si="95"/>
        <v/>
      </c>
    </row>
    <row r="4927" spans="3:3">
      <c r="C4927" s="160" t="str">
        <f t="shared" si="95"/>
        <v/>
      </c>
    </row>
    <row r="4928" spans="3:3">
      <c r="C4928" s="160" t="str">
        <f t="shared" si="95"/>
        <v/>
      </c>
    </row>
    <row r="4929" spans="3:3">
      <c r="C4929" s="160" t="str">
        <f t="shared" si="95"/>
        <v/>
      </c>
    </row>
    <row r="4930" spans="3:3">
      <c r="C4930" s="160" t="str">
        <f t="shared" si="95"/>
        <v/>
      </c>
    </row>
    <row r="4931" spans="3:3">
      <c r="C4931" s="160" t="str">
        <f t="shared" si="95"/>
        <v/>
      </c>
    </row>
    <row r="4932" spans="3:3">
      <c r="C4932" s="160" t="str">
        <f t="shared" si="95"/>
        <v/>
      </c>
    </row>
    <row r="4933" spans="3:3">
      <c r="C4933" s="160" t="str">
        <f t="shared" si="95"/>
        <v/>
      </c>
    </row>
    <row r="4934" spans="3:3">
      <c r="C4934" s="160" t="str">
        <f t="shared" si="95"/>
        <v/>
      </c>
    </row>
    <row r="4935" spans="3:3">
      <c r="C4935" s="160" t="str">
        <f t="shared" si="95"/>
        <v/>
      </c>
    </row>
    <row r="4936" spans="3:3">
      <c r="C4936" s="160" t="str">
        <f t="shared" si="95"/>
        <v/>
      </c>
    </row>
    <row r="4937" spans="3:3">
      <c r="C4937" s="160" t="str">
        <f t="shared" si="95"/>
        <v/>
      </c>
    </row>
    <row r="4938" spans="3:3">
      <c r="C4938" s="160" t="str">
        <f t="shared" si="95"/>
        <v/>
      </c>
    </row>
    <row r="4939" spans="3:3">
      <c r="C4939" s="160" t="str">
        <f t="shared" si="95"/>
        <v/>
      </c>
    </row>
    <row r="4940" spans="3:3">
      <c r="C4940" s="160" t="str">
        <f t="shared" si="95"/>
        <v/>
      </c>
    </row>
    <row r="4941" spans="3:3">
      <c r="C4941" s="160" t="str">
        <f t="shared" ref="C4941:C5004" si="96">D4941&amp;I4941</f>
        <v/>
      </c>
    </row>
    <row r="4942" spans="3:3">
      <c r="C4942" s="160" t="str">
        <f t="shared" si="96"/>
        <v/>
      </c>
    </row>
    <row r="4943" spans="3:3">
      <c r="C4943" s="160" t="str">
        <f t="shared" si="96"/>
        <v/>
      </c>
    </row>
    <row r="4944" spans="3:3">
      <c r="C4944" s="160" t="str">
        <f t="shared" si="96"/>
        <v/>
      </c>
    </row>
    <row r="4945" spans="3:3">
      <c r="C4945" s="160" t="str">
        <f t="shared" si="96"/>
        <v/>
      </c>
    </row>
    <row r="4946" spans="3:3">
      <c r="C4946" s="160" t="str">
        <f t="shared" si="96"/>
        <v/>
      </c>
    </row>
    <row r="4947" spans="3:3">
      <c r="C4947" s="160" t="str">
        <f t="shared" si="96"/>
        <v/>
      </c>
    </row>
    <row r="4948" spans="3:3">
      <c r="C4948" s="160" t="str">
        <f t="shared" si="96"/>
        <v/>
      </c>
    </row>
    <row r="4949" spans="3:3">
      <c r="C4949" s="160" t="str">
        <f t="shared" si="96"/>
        <v/>
      </c>
    </row>
    <row r="4950" spans="3:3">
      <c r="C4950" s="160" t="str">
        <f t="shared" si="96"/>
        <v/>
      </c>
    </row>
    <row r="4951" spans="3:3">
      <c r="C4951" s="160" t="str">
        <f t="shared" si="96"/>
        <v/>
      </c>
    </row>
    <row r="4952" spans="3:3">
      <c r="C4952" s="160" t="str">
        <f t="shared" si="96"/>
        <v/>
      </c>
    </row>
    <row r="4953" spans="3:3">
      <c r="C4953" s="160" t="str">
        <f t="shared" si="96"/>
        <v/>
      </c>
    </row>
    <row r="4954" spans="3:3">
      <c r="C4954" s="160" t="str">
        <f t="shared" si="96"/>
        <v/>
      </c>
    </row>
    <row r="4955" spans="3:3">
      <c r="C4955" s="160" t="str">
        <f t="shared" si="96"/>
        <v/>
      </c>
    </row>
    <row r="4956" spans="3:3">
      <c r="C4956" s="160" t="str">
        <f t="shared" si="96"/>
        <v/>
      </c>
    </row>
    <row r="4957" spans="3:3">
      <c r="C4957" s="160" t="str">
        <f t="shared" si="96"/>
        <v/>
      </c>
    </row>
    <row r="4958" spans="3:3">
      <c r="C4958" s="160" t="str">
        <f t="shared" si="96"/>
        <v/>
      </c>
    </row>
    <row r="4959" spans="3:3">
      <c r="C4959" s="160" t="str">
        <f t="shared" si="96"/>
        <v/>
      </c>
    </row>
    <row r="4960" spans="3:3">
      <c r="C4960" s="160" t="str">
        <f t="shared" si="96"/>
        <v/>
      </c>
    </row>
    <row r="4961" spans="3:3">
      <c r="C4961" s="160" t="str">
        <f t="shared" si="96"/>
        <v/>
      </c>
    </row>
    <row r="4962" spans="3:3">
      <c r="C4962" s="160" t="str">
        <f t="shared" si="96"/>
        <v/>
      </c>
    </row>
    <row r="4963" spans="3:3">
      <c r="C4963" s="160" t="str">
        <f t="shared" si="96"/>
        <v/>
      </c>
    </row>
    <row r="4964" spans="3:3">
      <c r="C4964" s="160" t="str">
        <f t="shared" si="96"/>
        <v/>
      </c>
    </row>
    <row r="4965" spans="3:3">
      <c r="C4965" s="160" t="str">
        <f t="shared" si="96"/>
        <v/>
      </c>
    </row>
    <row r="4966" spans="3:3">
      <c r="C4966" s="160" t="str">
        <f t="shared" si="96"/>
        <v/>
      </c>
    </row>
    <row r="4967" spans="3:3">
      <c r="C4967" s="160" t="str">
        <f t="shared" si="96"/>
        <v/>
      </c>
    </row>
    <row r="4968" spans="3:3">
      <c r="C4968" s="160" t="str">
        <f t="shared" si="96"/>
        <v/>
      </c>
    </row>
    <row r="4969" spans="3:3">
      <c r="C4969" s="160" t="str">
        <f t="shared" si="96"/>
        <v/>
      </c>
    </row>
    <row r="4970" spans="3:3">
      <c r="C4970" s="160" t="str">
        <f t="shared" si="96"/>
        <v/>
      </c>
    </row>
    <row r="4971" spans="3:3">
      <c r="C4971" s="160" t="str">
        <f t="shared" si="96"/>
        <v/>
      </c>
    </row>
    <row r="4972" spans="3:3">
      <c r="C4972" s="160" t="str">
        <f t="shared" si="96"/>
        <v/>
      </c>
    </row>
    <row r="4973" spans="3:3">
      <c r="C4973" s="160" t="str">
        <f t="shared" si="96"/>
        <v/>
      </c>
    </row>
    <row r="4974" spans="3:3">
      <c r="C4974" s="160" t="str">
        <f t="shared" si="96"/>
        <v/>
      </c>
    </row>
    <row r="4975" spans="3:3">
      <c r="C4975" s="160" t="str">
        <f t="shared" si="96"/>
        <v/>
      </c>
    </row>
    <row r="4976" spans="3:3">
      <c r="C4976" s="160" t="str">
        <f t="shared" si="96"/>
        <v/>
      </c>
    </row>
    <row r="4977" spans="3:3">
      <c r="C4977" s="160" t="str">
        <f t="shared" si="96"/>
        <v/>
      </c>
    </row>
    <row r="4978" spans="3:3">
      <c r="C4978" s="160" t="str">
        <f t="shared" si="96"/>
        <v/>
      </c>
    </row>
    <row r="4979" spans="3:3">
      <c r="C4979" s="160" t="str">
        <f t="shared" si="96"/>
        <v/>
      </c>
    </row>
    <row r="4980" spans="3:3">
      <c r="C4980" s="160" t="str">
        <f t="shared" si="96"/>
        <v/>
      </c>
    </row>
    <row r="4981" spans="3:3">
      <c r="C4981" s="160" t="str">
        <f t="shared" si="96"/>
        <v/>
      </c>
    </row>
    <row r="4982" spans="3:3">
      <c r="C4982" s="160" t="str">
        <f t="shared" si="96"/>
        <v/>
      </c>
    </row>
    <row r="4983" spans="3:3">
      <c r="C4983" s="160" t="str">
        <f t="shared" si="96"/>
        <v/>
      </c>
    </row>
    <row r="4984" spans="3:3">
      <c r="C4984" s="160" t="str">
        <f t="shared" si="96"/>
        <v/>
      </c>
    </row>
    <row r="4985" spans="3:3">
      <c r="C4985" s="160" t="str">
        <f t="shared" si="96"/>
        <v/>
      </c>
    </row>
    <row r="4986" spans="3:3">
      <c r="C4986" s="160" t="str">
        <f t="shared" si="96"/>
        <v/>
      </c>
    </row>
    <row r="4987" spans="3:3">
      <c r="C4987" s="160" t="str">
        <f t="shared" si="96"/>
        <v/>
      </c>
    </row>
    <row r="4988" spans="3:3">
      <c r="C4988" s="160" t="str">
        <f t="shared" si="96"/>
        <v/>
      </c>
    </row>
    <row r="4989" spans="3:3">
      <c r="C4989" s="160" t="str">
        <f t="shared" si="96"/>
        <v/>
      </c>
    </row>
    <row r="4990" spans="3:3">
      <c r="C4990" s="160" t="str">
        <f t="shared" si="96"/>
        <v/>
      </c>
    </row>
    <row r="4991" spans="3:3">
      <c r="C4991" s="160" t="str">
        <f t="shared" si="96"/>
        <v/>
      </c>
    </row>
    <row r="4992" spans="3:3">
      <c r="C4992" s="160" t="str">
        <f t="shared" si="96"/>
        <v/>
      </c>
    </row>
    <row r="4993" spans="3:3">
      <c r="C4993" s="160" t="str">
        <f t="shared" si="96"/>
        <v/>
      </c>
    </row>
    <row r="4994" spans="3:3">
      <c r="C4994" s="160" t="str">
        <f t="shared" si="96"/>
        <v/>
      </c>
    </row>
    <row r="4995" spans="3:3">
      <c r="C4995" s="160" t="str">
        <f t="shared" si="96"/>
        <v/>
      </c>
    </row>
    <row r="4996" spans="3:3">
      <c r="C4996" s="160" t="str">
        <f t="shared" si="96"/>
        <v/>
      </c>
    </row>
    <row r="4997" spans="3:3">
      <c r="C4997" s="160" t="str">
        <f t="shared" si="96"/>
        <v/>
      </c>
    </row>
    <row r="4998" spans="3:3">
      <c r="C4998" s="160" t="str">
        <f t="shared" si="96"/>
        <v/>
      </c>
    </row>
    <row r="4999" spans="3:3">
      <c r="C4999" s="160" t="str">
        <f t="shared" si="96"/>
        <v/>
      </c>
    </row>
    <row r="5000" spans="3:3">
      <c r="C5000" s="160" t="str">
        <f t="shared" si="96"/>
        <v/>
      </c>
    </row>
    <row r="5001" spans="3:3">
      <c r="C5001" s="160" t="str">
        <f t="shared" si="96"/>
        <v/>
      </c>
    </row>
    <row r="5002" spans="3:3">
      <c r="C5002" s="160" t="str">
        <f t="shared" si="96"/>
        <v/>
      </c>
    </row>
    <row r="5003" spans="3:3">
      <c r="C5003" s="160" t="str">
        <f t="shared" si="96"/>
        <v/>
      </c>
    </row>
    <row r="5004" spans="3:3">
      <c r="C5004" s="160" t="str">
        <f t="shared" si="96"/>
        <v/>
      </c>
    </row>
    <row r="5005" spans="3:3">
      <c r="C5005" s="160" t="str">
        <f t="shared" ref="C5005:C5068" si="97">D5005&amp;I5005</f>
        <v/>
      </c>
    </row>
    <row r="5006" spans="3:3">
      <c r="C5006" s="160" t="str">
        <f t="shared" si="97"/>
        <v/>
      </c>
    </row>
    <row r="5007" spans="3:3">
      <c r="C5007" s="160" t="str">
        <f t="shared" si="97"/>
        <v/>
      </c>
    </row>
    <row r="5008" spans="3:3">
      <c r="C5008" s="160" t="str">
        <f t="shared" si="97"/>
        <v/>
      </c>
    </row>
    <row r="5009" spans="3:3">
      <c r="C5009" s="160" t="str">
        <f t="shared" si="97"/>
        <v/>
      </c>
    </row>
    <row r="5010" spans="3:3">
      <c r="C5010" s="160" t="str">
        <f t="shared" si="97"/>
        <v/>
      </c>
    </row>
    <row r="5011" spans="3:3">
      <c r="C5011" s="160" t="str">
        <f t="shared" si="97"/>
        <v/>
      </c>
    </row>
    <row r="5012" spans="3:3">
      <c r="C5012" s="160" t="str">
        <f t="shared" si="97"/>
        <v/>
      </c>
    </row>
    <row r="5013" spans="3:3">
      <c r="C5013" s="160" t="str">
        <f t="shared" si="97"/>
        <v/>
      </c>
    </row>
    <row r="5014" spans="3:3">
      <c r="C5014" s="160" t="str">
        <f t="shared" si="97"/>
        <v/>
      </c>
    </row>
    <row r="5015" spans="3:3">
      <c r="C5015" s="160" t="str">
        <f t="shared" si="97"/>
        <v/>
      </c>
    </row>
    <row r="5016" spans="3:3">
      <c r="C5016" s="160" t="str">
        <f t="shared" si="97"/>
        <v/>
      </c>
    </row>
    <row r="5017" spans="3:3">
      <c r="C5017" s="160" t="str">
        <f t="shared" si="97"/>
        <v/>
      </c>
    </row>
    <row r="5018" spans="3:3">
      <c r="C5018" s="160" t="str">
        <f t="shared" si="97"/>
        <v/>
      </c>
    </row>
    <row r="5019" spans="3:3">
      <c r="C5019" s="160" t="str">
        <f t="shared" si="97"/>
        <v/>
      </c>
    </row>
    <row r="5020" spans="3:3">
      <c r="C5020" s="160" t="str">
        <f t="shared" si="97"/>
        <v/>
      </c>
    </row>
    <row r="5021" spans="3:3">
      <c r="C5021" s="160" t="str">
        <f t="shared" si="97"/>
        <v/>
      </c>
    </row>
    <row r="5022" spans="3:3">
      <c r="C5022" s="160" t="str">
        <f t="shared" si="97"/>
        <v/>
      </c>
    </row>
    <row r="5023" spans="3:3">
      <c r="C5023" s="160" t="str">
        <f t="shared" si="97"/>
        <v/>
      </c>
    </row>
    <row r="5024" spans="3:3">
      <c r="C5024" s="160" t="str">
        <f t="shared" si="97"/>
        <v/>
      </c>
    </row>
    <row r="5025" spans="3:3">
      <c r="C5025" s="160" t="str">
        <f t="shared" si="97"/>
        <v/>
      </c>
    </row>
    <row r="5026" spans="3:3">
      <c r="C5026" s="160" t="str">
        <f t="shared" si="97"/>
        <v/>
      </c>
    </row>
    <row r="5027" spans="3:3">
      <c r="C5027" s="160" t="str">
        <f t="shared" si="97"/>
        <v/>
      </c>
    </row>
    <row r="5028" spans="3:3">
      <c r="C5028" s="160" t="str">
        <f t="shared" si="97"/>
        <v/>
      </c>
    </row>
    <row r="5029" spans="3:3">
      <c r="C5029" s="160" t="str">
        <f t="shared" si="97"/>
        <v/>
      </c>
    </row>
    <row r="5030" spans="3:3">
      <c r="C5030" s="160" t="str">
        <f t="shared" si="97"/>
        <v/>
      </c>
    </row>
    <row r="5031" spans="3:3">
      <c r="C5031" s="160" t="str">
        <f t="shared" si="97"/>
        <v/>
      </c>
    </row>
    <row r="5032" spans="3:3">
      <c r="C5032" s="160" t="str">
        <f t="shared" si="97"/>
        <v/>
      </c>
    </row>
    <row r="5033" spans="3:3">
      <c r="C5033" s="160" t="str">
        <f t="shared" si="97"/>
        <v/>
      </c>
    </row>
    <row r="5034" spans="3:3">
      <c r="C5034" s="160" t="str">
        <f t="shared" si="97"/>
        <v/>
      </c>
    </row>
    <row r="5035" spans="3:3">
      <c r="C5035" s="160" t="str">
        <f t="shared" si="97"/>
        <v/>
      </c>
    </row>
    <row r="5036" spans="3:3">
      <c r="C5036" s="160" t="str">
        <f t="shared" si="97"/>
        <v/>
      </c>
    </row>
    <row r="5037" spans="3:3">
      <c r="C5037" s="160" t="str">
        <f t="shared" si="97"/>
        <v/>
      </c>
    </row>
    <row r="5038" spans="3:3">
      <c r="C5038" s="160" t="str">
        <f t="shared" si="97"/>
        <v/>
      </c>
    </row>
    <row r="5039" spans="3:3">
      <c r="C5039" s="160" t="str">
        <f t="shared" si="97"/>
        <v/>
      </c>
    </row>
    <row r="5040" spans="3:3">
      <c r="C5040" s="160" t="str">
        <f t="shared" si="97"/>
        <v/>
      </c>
    </row>
    <row r="5041" spans="3:3">
      <c r="C5041" s="160" t="str">
        <f t="shared" si="97"/>
        <v/>
      </c>
    </row>
    <row r="5042" spans="3:3">
      <c r="C5042" s="160" t="str">
        <f t="shared" si="97"/>
        <v/>
      </c>
    </row>
    <row r="5043" spans="3:3">
      <c r="C5043" s="160" t="str">
        <f t="shared" si="97"/>
        <v/>
      </c>
    </row>
    <row r="5044" spans="3:3">
      <c r="C5044" s="160" t="str">
        <f t="shared" si="97"/>
        <v/>
      </c>
    </row>
    <row r="5045" spans="3:3">
      <c r="C5045" s="160" t="str">
        <f t="shared" si="97"/>
        <v/>
      </c>
    </row>
    <row r="5046" spans="3:3">
      <c r="C5046" s="160" t="str">
        <f t="shared" si="97"/>
        <v/>
      </c>
    </row>
    <row r="5047" spans="3:3">
      <c r="C5047" s="160" t="str">
        <f t="shared" si="97"/>
        <v/>
      </c>
    </row>
    <row r="5048" spans="3:3">
      <c r="C5048" s="160" t="str">
        <f t="shared" si="97"/>
        <v/>
      </c>
    </row>
    <row r="5049" spans="3:3">
      <c r="C5049" s="160" t="str">
        <f t="shared" si="97"/>
        <v/>
      </c>
    </row>
    <row r="5050" spans="3:3">
      <c r="C5050" s="160" t="str">
        <f t="shared" si="97"/>
        <v/>
      </c>
    </row>
    <row r="5051" spans="3:3">
      <c r="C5051" s="160" t="str">
        <f t="shared" si="97"/>
        <v/>
      </c>
    </row>
    <row r="5052" spans="3:3">
      <c r="C5052" s="160" t="str">
        <f t="shared" si="97"/>
        <v/>
      </c>
    </row>
    <row r="5053" spans="3:3">
      <c r="C5053" s="160" t="str">
        <f t="shared" si="97"/>
        <v/>
      </c>
    </row>
    <row r="5054" spans="3:3">
      <c r="C5054" s="160" t="str">
        <f t="shared" si="97"/>
        <v/>
      </c>
    </row>
    <row r="5055" spans="3:3">
      <c r="C5055" s="160" t="str">
        <f t="shared" si="97"/>
        <v/>
      </c>
    </row>
    <row r="5056" spans="3:3">
      <c r="C5056" s="160" t="str">
        <f t="shared" si="97"/>
        <v/>
      </c>
    </row>
    <row r="5057" spans="3:3">
      <c r="C5057" s="160" t="str">
        <f t="shared" si="97"/>
        <v/>
      </c>
    </row>
    <row r="5058" spans="3:3">
      <c r="C5058" s="160" t="str">
        <f t="shared" si="97"/>
        <v/>
      </c>
    </row>
    <row r="5059" spans="3:3">
      <c r="C5059" s="160" t="str">
        <f t="shared" si="97"/>
        <v/>
      </c>
    </row>
    <row r="5060" spans="3:3">
      <c r="C5060" s="160" t="str">
        <f t="shared" si="97"/>
        <v/>
      </c>
    </row>
    <row r="5061" spans="3:3">
      <c r="C5061" s="160" t="str">
        <f t="shared" si="97"/>
        <v/>
      </c>
    </row>
    <row r="5062" spans="3:3">
      <c r="C5062" s="160" t="str">
        <f t="shared" si="97"/>
        <v/>
      </c>
    </row>
    <row r="5063" spans="3:3">
      <c r="C5063" s="160" t="str">
        <f t="shared" si="97"/>
        <v/>
      </c>
    </row>
    <row r="5064" spans="3:3">
      <c r="C5064" s="160" t="str">
        <f t="shared" si="97"/>
        <v/>
      </c>
    </row>
    <row r="5065" spans="3:3">
      <c r="C5065" s="160" t="str">
        <f t="shared" si="97"/>
        <v/>
      </c>
    </row>
    <row r="5066" spans="3:3">
      <c r="C5066" s="160" t="str">
        <f t="shared" si="97"/>
        <v/>
      </c>
    </row>
    <row r="5067" spans="3:3">
      <c r="C5067" s="160" t="str">
        <f t="shared" si="97"/>
        <v/>
      </c>
    </row>
    <row r="5068" spans="3:3">
      <c r="C5068" s="160" t="str">
        <f t="shared" si="97"/>
        <v/>
      </c>
    </row>
    <row r="5069" spans="3:3">
      <c r="C5069" s="160" t="str">
        <f t="shared" ref="C5069:C5132" si="98">D5069&amp;I5069</f>
        <v/>
      </c>
    </row>
    <row r="5070" spans="3:3">
      <c r="C5070" s="160" t="str">
        <f t="shared" si="98"/>
        <v/>
      </c>
    </row>
    <row r="5071" spans="3:3">
      <c r="C5071" s="160" t="str">
        <f t="shared" si="98"/>
        <v/>
      </c>
    </row>
    <row r="5072" spans="3:3">
      <c r="C5072" s="160" t="str">
        <f t="shared" si="98"/>
        <v/>
      </c>
    </row>
    <row r="5073" spans="3:3">
      <c r="C5073" s="160" t="str">
        <f t="shared" si="98"/>
        <v/>
      </c>
    </row>
    <row r="5074" spans="3:3">
      <c r="C5074" s="160" t="str">
        <f t="shared" si="98"/>
        <v/>
      </c>
    </row>
    <row r="5075" spans="3:3">
      <c r="C5075" s="160" t="str">
        <f t="shared" si="98"/>
        <v/>
      </c>
    </row>
    <row r="5076" spans="3:3">
      <c r="C5076" s="160" t="str">
        <f t="shared" si="98"/>
        <v/>
      </c>
    </row>
    <row r="5077" spans="3:3">
      <c r="C5077" s="160" t="str">
        <f t="shared" si="98"/>
        <v/>
      </c>
    </row>
    <row r="5078" spans="3:3">
      <c r="C5078" s="160" t="str">
        <f t="shared" si="98"/>
        <v/>
      </c>
    </row>
    <row r="5079" spans="3:3">
      <c r="C5079" s="160" t="str">
        <f t="shared" si="98"/>
        <v/>
      </c>
    </row>
    <row r="5080" spans="3:3">
      <c r="C5080" s="160" t="str">
        <f t="shared" si="98"/>
        <v/>
      </c>
    </row>
    <row r="5081" spans="3:3">
      <c r="C5081" s="160" t="str">
        <f t="shared" si="98"/>
        <v/>
      </c>
    </row>
    <row r="5082" spans="3:3">
      <c r="C5082" s="160" t="str">
        <f t="shared" si="98"/>
        <v/>
      </c>
    </row>
    <row r="5083" spans="3:3">
      <c r="C5083" s="160" t="str">
        <f t="shared" si="98"/>
        <v/>
      </c>
    </row>
    <row r="5084" spans="3:3">
      <c r="C5084" s="160" t="str">
        <f t="shared" si="98"/>
        <v/>
      </c>
    </row>
    <row r="5085" spans="3:3">
      <c r="C5085" s="160" t="str">
        <f t="shared" si="98"/>
        <v/>
      </c>
    </row>
    <row r="5086" spans="3:3">
      <c r="C5086" s="160" t="str">
        <f t="shared" si="98"/>
        <v/>
      </c>
    </row>
    <row r="5087" spans="3:3">
      <c r="C5087" s="160" t="str">
        <f t="shared" si="98"/>
        <v/>
      </c>
    </row>
    <row r="5088" spans="3:3">
      <c r="C5088" s="160" t="str">
        <f t="shared" si="98"/>
        <v/>
      </c>
    </row>
    <row r="5089" spans="3:3">
      <c r="C5089" s="160" t="str">
        <f t="shared" si="98"/>
        <v/>
      </c>
    </row>
    <row r="5090" spans="3:3">
      <c r="C5090" s="160" t="str">
        <f t="shared" si="98"/>
        <v/>
      </c>
    </row>
    <row r="5091" spans="3:3">
      <c r="C5091" s="160" t="str">
        <f t="shared" si="98"/>
        <v/>
      </c>
    </row>
    <row r="5092" spans="3:3">
      <c r="C5092" s="160" t="str">
        <f t="shared" si="98"/>
        <v/>
      </c>
    </row>
    <row r="5093" spans="3:3">
      <c r="C5093" s="160" t="str">
        <f t="shared" si="98"/>
        <v/>
      </c>
    </row>
    <row r="5094" spans="3:3">
      <c r="C5094" s="160" t="str">
        <f t="shared" si="98"/>
        <v/>
      </c>
    </row>
    <row r="5095" spans="3:3">
      <c r="C5095" s="160" t="str">
        <f t="shared" si="98"/>
        <v/>
      </c>
    </row>
    <row r="5096" spans="3:3">
      <c r="C5096" s="160" t="str">
        <f t="shared" si="98"/>
        <v/>
      </c>
    </row>
    <row r="5097" spans="3:3">
      <c r="C5097" s="160" t="str">
        <f t="shared" si="98"/>
        <v/>
      </c>
    </row>
    <row r="5098" spans="3:3">
      <c r="C5098" s="160" t="str">
        <f t="shared" si="98"/>
        <v/>
      </c>
    </row>
    <row r="5099" spans="3:3">
      <c r="C5099" s="160" t="str">
        <f t="shared" si="98"/>
        <v/>
      </c>
    </row>
    <row r="5100" spans="3:3">
      <c r="C5100" s="160" t="str">
        <f t="shared" si="98"/>
        <v/>
      </c>
    </row>
    <row r="5101" spans="3:3">
      <c r="C5101" s="160" t="str">
        <f t="shared" si="98"/>
        <v/>
      </c>
    </row>
    <row r="5102" spans="3:3">
      <c r="C5102" s="160" t="str">
        <f t="shared" si="98"/>
        <v/>
      </c>
    </row>
    <row r="5103" spans="3:3">
      <c r="C5103" s="160" t="str">
        <f t="shared" si="98"/>
        <v/>
      </c>
    </row>
    <row r="5104" spans="3:3">
      <c r="C5104" s="160" t="str">
        <f t="shared" si="98"/>
        <v/>
      </c>
    </row>
    <row r="5105" spans="3:3">
      <c r="C5105" s="160" t="str">
        <f t="shared" si="98"/>
        <v/>
      </c>
    </row>
    <row r="5106" spans="3:3">
      <c r="C5106" s="160" t="str">
        <f t="shared" si="98"/>
        <v/>
      </c>
    </row>
    <row r="5107" spans="3:3">
      <c r="C5107" s="160" t="str">
        <f t="shared" si="98"/>
        <v/>
      </c>
    </row>
    <row r="5108" spans="3:3">
      <c r="C5108" s="160" t="str">
        <f t="shared" si="98"/>
        <v/>
      </c>
    </row>
    <row r="5109" spans="3:3">
      <c r="C5109" s="160" t="str">
        <f t="shared" si="98"/>
        <v/>
      </c>
    </row>
    <row r="5110" spans="3:3">
      <c r="C5110" s="160" t="str">
        <f t="shared" si="98"/>
        <v/>
      </c>
    </row>
    <row r="5111" spans="3:3">
      <c r="C5111" s="160" t="str">
        <f t="shared" si="98"/>
        <v/>
      </c>
    </row>
    <row r="5112" spans="3:3">
      <c r="C5112" s="160" t="str">
        <f t="shared" si="98"/>
        <v/>
      </c>
    </row>
    <row r="5113" spans="3:3">
      <c r="C5113" s="160" t="str">
        <f t="shared" si="98"/>
        <v/>
      </c>
    </row>
    <row r="5114" spans="3:3">
      <c r="C5114" s="160" t="str">
        <f t="shared" si="98"/>
        <v/>
      </c>
    </row>
    <row r="5115" spans="3:3">
      <c r="C5115" s="160" t="str">
        <f t="shared" si="98"/>
        <v/>
      </c>
    </row>
    <row r="5116" spans="3:3">
      <c r="C5116" s="160" t="str">
        <f t="shared" si="98"/>
        <v/>
      </c>
    </row>
    <row r="5117" spans="3:3">
      <c r="C5117" s="160" t="str">
        <f t="shared" si="98"/>
        <v/>
      </c>
    </row>
    <row r="5118" spans="3:3">
      <c r="C5118" s="160" t="str">
        <f t="shared" si="98"/>
        <v/>
      </c>
    </row>
    <row r="5119" spans="3:3">
      <c r="C5119" s="160" t="str">
        <f t="shared" si="98"/>
        <v/>
      </c>
    </row>
    <row r="5120" spans="3:3">
      <c r="C5120" s="160" t="str">
        <f t="shared" si="98"/>
        <v/>
      </c>
    </row>
    <row r="5121" spans="3:3">
      <c r="C5121" s="160" t="str">
        <f t="shared" si="98"/>
        <v/>
      </c>
    </row>
    <row r="5122" spans="3:3">
      <c r="C5122" s="160" t="str">
        <f t="shared" si="98"/>
        <v/>
      </c>
    </row>
    <row r="5123" spans="3:3">
      <c r="C5123" s="160" t="str">
        <f t="shared" si="98"/>
        <v/>
      </c>
    </row>
    <row r="5124" spans="3:3">
      <c r="C5124" s="160" t="str">
        <f t="shared" si="98"/>
        <v/>
      </c>
    </row>
    <row r="5125" spans="3:3">
      <c r="C5125" s="160" t="str">
        <f t="shared" si="98"/>
        <v/>
      </c>
    </row>
    <row r="5126" spans="3:3">
      <c r="C5126" s="160" t="str">
        <f t="shared" si="98"/>
        <v/>
      </c>
    </row>
    <row r="5127" spans="3:3">
      <c r="C5127" s="160" t="str">
        <f t="shared" si="98"/>
        <v/>
      </c>
    </row>
    <row r="5128" spans="3:3">
      <c r="C5128" s="160" t="str">
        <f t="shared" si="98"/>
        <v/>
      </c>
    </row>
    <row r="5129" spans="3:3">
      <c r="C5129" s="160" t="str">
        <f t="shared" si="98"/>
        <v/>
      </c>
    </row>
    <row r="5130" spans="3:3">
      <c r="C5130" s="160" t="str">
        <f t="shared" si="98"/>
        <v/>
      </c>
    </row>
    <row r="5131" spans="3:3">
      <c r="C5131" s="160" t="str">
        <f t="shared" si="98"/>
        <v/>
      </c>
    </row>
    <row r="5132" spans="3:3">
      <c r="C5132" s="160" t="str">
        <f t="shared" si="98"/>
        <v/>
      </c>
    </row>
    <row r="5133" spans="3:3">
      <c r="C5133" s="160" t="str">
        <f t="shared" ref="C5133:C5196" si="99">D5133&amp;I5133</f>
        <v/>
      </c>
    </row>
    <row r="5134" spans="3:3">
      <c r="C5134" s="160" t="str">
        <f t="shared" si="99"/>
        <v/>
      </c>
    </row>
    <row r="5135" spans="3:3">
      <c r="C5135" s="160" t="str">
        <f t="shared" si="99"/>
        <v/>
      </c>
    </row>
    <row r="5136" spans="3:3">
      <c r="C5136" s="160" t="str">
        <f t="shared" si="99"/>
        <v/>
      </c>
    </row>
    <row r="5137" spans="3:3">
      <c r="C5137" s="160" t="str">
        <f t="shared" si="99"/>
        <v/>
      </c>
    </row>
    <row r="5138" spans="3:3">
      <c r="C5138" s="160" t="str">
        <f t="shared" si="99"/>
        <v/>
      </c>
    </row>
    <row r="5139" spans="3:3">
      <c r="C5139" s="160" t="str">
        <f t="shared" si="99"/>
        <v/>
      </c>
    </row>
    <row r="5140" spans="3:3">
      <c r="C5140" s="160" t="str">
        <f t="shared" si="99"/>
        <v/>
      </c>
    </row>
    <row r="5141" spans="3:3">
      <c r="C5141" s="160" t="str">
        <f t="shared" si="99"/>
        <v/>
      </c>
    </row>
    <row r="5142" spans="3:3">
      <c r="C5142" s="160" t="str">
        <f t="shared" si="99"/>
        <v/>
      </c>
    </row>
    <row r="5143" spans="3:3">
      <c r="C5143" s="160" t="str">
        <f t="shared" si="99"/>
        <v/>
      </c>
    </row>
    <row r="5144" spans="3:3">
      <c r="C5144" s="160" t="str">
        <f t="shared" si="99"/>
        <v/>
      </c>
    </row>
    <row r="5145" spans="3:3">
      <c r="C5145" s="160" t="str">
        <f t="shared" si="99"/>
        <v/>
      </c>
    </row>
    <row r="5146" spans="3:3">
      <c r="C5146" s="160" t="str">
        <f t="shared" si="99"/>
        <v/>
      </c>
    </row>
    <row r="5147" spans="3:3">
      <c r="C5147" s="160" t="str">
        <f t="shared" si="99"/>
        <v/>
      </c>
    </row>
    <row r="5148" spans="3:3">
      <c r="C5148" s="160" t="str">
        <f t="shared" si="99"/>
        <v/>
      </c>
    </row>
    <row r="5149" spans="3:3">
      <c r="C5149" s="160" t="str">
        <f t="shared" si="99"/>
        <v/>
      </c>
    </row>
    <row r="5150" spans="3:3">
      <c r="C5150" s="160" t="str">
        <f t="shared" si="99"/>
        <v/>
      </c>
    </row>
    <row r="5151" spans="3:3">
      <c r="C5151" s="160" t="str">
        <f t="shared" si="99"/>
        <v/>
      </c>
    </row>
    <row r="5152" spans="3:3">
      <c r="C5152" s="160" t="str">
        <f t="shared" si="99"/>
        <v/>
      </c>
    </row>
    <row r="5153" spans="3:3">
      <c r="C5153" s="160" t="str">
        <f t="shared" si="99"/>
        <v/>
      </c>
    </row>
    <row r="5154" spans="3:3">
      <c r="C5154" s="160" t="str">
        <f t="shared" si="99"/>
        <v/>
      </c>
    </row>
    <row r="5155" spans="3:3">
      <c r="C5155" s="160" t="str">
        <f t="shared" si="99"/>
        <v/>
      </c>
    </row>
    <row r="5156" spans="3:3">
      <c r="C5156" s="160" t="str">
        <f t="shared" si="99"/>
        <v/>
      </c>
    </row>
    <row r="5157" spans="3:3">
      <c r="C5157" s="160" t="str">
        <f t="shared" si="99"/>
        <v/>
      </c>
    </row>
    <row r="5158" spans="3:3">
      <c r="C5158" s="160" t="str">
        <f t="shared" si="99"/>
        <v/>
      </c>
    </row>
    <row r="5159" spans="3:3">
      <c r="C5159" s="160" t="str">
        <f t="shared" si="99"/>
        <v/>
      </c>
    </row>
    <row r="5160" spans="3:3">
      <c r="C5160" s="160" t="str">
        <f t="shared" si="99"/>
        <v/>
      </c>
    </row>
    <row r="5161" spans="3:3">
      <c r="C5161" s="160" t="str">
        <f t="shared" si="99"/>
        <v/>
      </c>
    </row>
    <row r="5162" spans="3:3">
      <c r="C5162" s="160" t="str">
        <f t="shared" si="99"/>
        <v/>
      </c>
    </row>
    <row r="5163" spans="3:3">
      <c r="C5163" s="160" t="str">
        <f t="shared" si="99"/>
        <v/>
      </c>
    </row>
    <row r="5164" spans="3:3">
      <c r="C5164" s="160" t="str">
        <f t="shared" si="99"/>
        <v/>
      </c>
    </row>
    <row r="5165" spans="3:3">
      <c r="C5165" s="160" t="str">
        <f t="shared" si="99"/>
        <v/>
      </c>
    </row>
    <row r="5166" spans="3:3">
      <c r="C5166" s="160" t="str">
        <f t="shared" si="99"/>
        <v/>
      </c>
    </row>
    <row r="5167" spans="3:3">
      <c r="C5167" s="160" t="str">
        <f t="shared" si="99"/>
        <v/>
      </c>
    </row>
    <row r="5168" spans="3:3">
      <c r="C5168" s="160" t="str">
        <f t="shared" si="99"/>
        <v/>
      </c>
    </row>
    <row r="5169" spans="3:3">
      <c r="C5169" s="160" t="str">
        <f t="shared" si="99"/>
        <v/>
      </c>
    </row>
    <row r="5170" spans="3:3">
      <c r="C5170" s="160" t="str">
        <f t="shared" si="99"/>
        <v/>
      </c>
    </row>
    <row r="5171" spans="3:3">
      <c r="C5171" s="160" t="str">
        <f t="shared" si="99"/>
        <v/>
      </c>
    </row>
    <row r="5172" spans="3:3">
      <c r="C5172" s="160" t="str">
        <f t="shared" si="99"/>
        <v/>
      </c>
    </row>
    <row r="5173" spans="3:3">
      <c r="C5173" s="160" t="str">
        <f t="shared" si="99"/>
        <v/>
      </c>
    </row>
    <row r="5174" spans="3:3">
      <c r="C5174" s="160" t="str">
        <f t="shared" si="99"/>
        <v/>
      </c>
    </row>
    <row r="5175" spans="3:3">
      <c r="C5175" s="160" t="str">
        <f t="shared" si="99"/>
        <v/>
      </c>
    </row>
    <row r="5176" spans="3:3">
      <c r="C5176" s="160" t="str">
        <f t="shared" si="99"/>
        <v/>
      </c>
    </row>
    <row r="5177" spans="3:3">
      <c r="C5177" s="160" t="str">
        <f t="shared" si="99"/>
        <v/>
      </c>
    </row>
    <row r="5178" spans="3:3">
      <c r="C5178" s="160" t="str">
        <f t="shared" si="99"/>
        <v/>
      </c>
    </row>
    <row r="5179" spans="3:3">
      <c r="C5179" s="160" t="str">
        <f t="shared" si="99"/>
        <v/>
      </c>
    </row>
    <row r="5180" spans="3:3">
      <c r="C5180" s="160" t="str">
        <f t="shared" si="99"/>
        <v/>
      </c>
    </row>
    <row r="5181" spans="3:3">
      <c r="C5181" s="160" t="str">
        <f t="shared" si="99"/>
        <v/>
      </c>
    </row>
    <row r="5182" spans="3:3">
      <c r="C5182" s="160" t="str">
        <f t="shared" si="99"/>
        <v/>
      </c>
    </row>
    <row r="5183" spans="3:3">
      <c r="C5183" s="160" t="str">
        <f t="shared" si="99"/>
        <v/>
      </c>
    </row>
    <row r="5184" spans="3:3">
      <c r="C5184" s="160" t="str">
        <f t="shared" si="99"/>
        <v/>
      </c>
    </row>
    <row r="5185" spans="3:3">
      <c r="C5185" s="160" t="str">
        <f t="shared" si="99"/>
        <v/>
      </c>
    </row>
    <row r="5186" spans="3:3">
      <c r="C5186" s="160" t="str">
        <f t="shared" si="99"/>
        <v/>
      </c>
    </row>
    <row r="5187" spans="3:3">
      <c r="C5187" s="160" t="str">
        <f t="shared" si="99"/>
        <v/>
      </c>
    </row>
    <row r="5188" spans="3:3">
      <c r="C5188" s="160" t="str">
        <f t="shared" si="99"/>
        <v/>
      </c>
    </row>
    <row r="5189" spans="3:3">
      <c r="C5189" s="160" t="str">
        <f t="shared" si="99"/>
        <v/>
      </c>
    </row>
    <row r="5190" spans="3:3">
      <c r="C5190" s="160" t="str">
        <f t="shared" si="99"/>
        <v/>
      </c>
    </row>
    <row r="5191" spans="3:3">
      <c r="C5191" s="160" t="str">
        <f t="shared" si="99"/>
        <v/>
      </c>
    </row>
    <row r="5192" spans="3:3">
      <c r="C5192" s="160" t="str">
        <f t="shared" si="99"/>
        <v/>
      </c>
    </row>
    <row r="5193" spans="3:3">
      <c r="C5193" s="160" t="str">
        <f t="shared" si="99"/>
        <v/>
      </c>
    </row>
    <row r="5194" spans="3:3">
      <c r="C5194" s="160" t="str">
        <f t="shared" si="99"/>
        <v/>
      </c>
    </row>
    <row r="5195" spans="3:3">
      <c r="C5195" s="160" t="str">
        <f t="shared" si="99"/>
        <v/>
      </c>
    </row>
    <row r="5196" spans="3:3">
      <c r="C5196" s="160" t="str">
        <f t="shared" si="99"/>
        <v/>
      </c>
    </row>
    <row r="5197" spans="3:3">
      <c r="C5197" s="160" t="str">
        <f t="shared" ref="C5197:C5260" si="100">D5197&amp;I5197</f>
        <v/>
      </c>
    </row>
    <row r="5198" spans="3:3">
      <c r="C5198" s="160" t="str">
        <f t="shared" si="100"/>
        <v/>
      </c>
    </row>
    <row r="5199" spans="3:3">
      <c r="C5199" s="160" t="str">
        <f t="shared" si="100"/>
        <v/>
      </c>
    </row>
    <row r="5200" spans="3:3">
      <c r="C5200" s="160" t="str">
        <f t="shared" si="100"/>
        <v/>
      </c>
    </row>
    <row r="5201" spans="3:3">
      <c r="C5201" s="160" t="str">
        <f t="shared" si="100"/>
        <v/>
      </c>
    </row>
    <row r="5202" spans="3:3">
      <c r="C5202" s="160" t="str">
        <f t="shared" si="100"/>
        <v/>
      </c>
    </row>
    <row r="5203" spans="3:3">
      <c r="C5203" s="160" t="str">
        <f t="shared" si="100"/>
        <v/>
      </c>
    </row>
    <row r="5204" spans="3:3">
      <c r="C5204" s="160" t="str">
        <f t="shared" si="100"/>
        <v/>
      </c>
    </row>
    <row r="5205" spans="3:3">
      <c r="C5205" s="160" t="str">
        <f t="shared" si="100"/>
        <v/>
      </c>
    </row>
    <row r="5206" spans="3:3">
      <c r="C5206" s="160" t="str">
        <f t="shared" si="100"/>
        <v/>
      </c>
    </row>
    <row r="5207" spans="3:3">
      <c r="C5207" s="160" t="str">
        <f t="shared" si="100"/>
        <v/>
      </c>
    </row>
    <row r="5208" spans="3:3">
      <c r="C5208" s="160" t="str">
        <f t="shared" si="100"/>
        <v/>
      </c>
    </row>
    <row r="5209" spans="3:3">
      <c r="C5209" s="160" t="str">
        <f t="shared" si="100"/>
        <v/>
      </c>
    </row>
    <row r="5210" spans="3:3">
      <c r="C5210" s="160" t="str">
        <f t="shared" si="100"/>
        <v/>
      </c>
    </row>
    <row r="5211" spans="3:3">
      <c r="C5211" s="160" t="str">
        <f t="shared" si="100"/>
        <v/>
      </c>
    </row>
    <row r="5212" spans="3:3">
      <c r="C5212" s="160" t="str">
        <f t="shared" si="100"/>
        <v/>
      </c>
    </row>
    <row r="5213" spans="3:3">
      <c r="C5213" s="160" t="str">
        <f t="shared" si="100"/>
        <v/>
      </c>
    </row>
    <row r="5214" spans="3:3">
      <c r="C5214" s="160" t="str">
        <f t="shared" si="100"/>
        <v/>
      </c>
    </row>
    <row r="5215" spans="3:3">
      <c r="C5215" s="160" t="str">
        <f t="shared" si="100"/>
        <v/>
      </c>
    </row>
    <row r="5216" spans="3:3">
      <c r="C5216" s="160" t="str">
        <f t="shared" si="100"/>
        <v/>
      </c>
    </row>
    <row r="5217" spans="3:3">
      <c r="C5217" s="160" t="str">
        <f t="shared" si="100"/>
        <v/>
      </c>
    </row>
    <row r="5218" spans="3:3">
      <c r="C5218" s="160" t="str">
        <f t="shared" si="100"/>
        <v/>
      </c>
    </row>
    <row r="5219" spans="3:3">
      <c r="C5219" s="160" t="str">
        <f t="shared" si="100"/>
        <v/>
      </c>
    </row>
    <row r="5220" spans="3:3">
      <c r="C5220" s="160" t="str">
        <f t="shared" si="100"/>
        <v/>
      </c>
    </row>
    <row r="5221" spans="3:3">
      <c r="C5221" s="160" t="str">
        <f t="shared" si="100"/>
        <v/>
      </c>
    </row>
    <row r="5222" spans="3:3">
      <c r="C5222" s="160" t="str">
        <f t="shared" si="100"/>
        <v/>
      </c>
    </row>
    <row r="5223" spans="3:3">
      <c r="C5223" s="160" t="str">
        <f t="shared" si="100"/>
        <v/>
      </c>
    </row>
    <row r="5224" spans="3:3">
      <c r="C5224" s="160" t="str">
        <f t="shared" si="100"/>
        <v/>
      </c>
    </row>
    <row r="5225" spans="3:3">
      <c r="C5225" s="160" t="str">
        <f t="shared" si="100"/>
        <v/>
      </c>
    </row>
    <row r="5226" spans="3:3">
      <c r="C5226" s="160" t="str">
        <f t="shared" si="100"/>
        <v/>
      </c>
    </row>
    <row r="5227" spans="3:3">
      <c r="C5227" s="160" t="str">
        <f t="shared" si="100"/>
        <v/>
      </c>
    </row>
    <row r="5228" spans="3:3">
      <c r="C5228" s="160" t="str">
        <f t="shared" si="100"/>
        <v/>
      </c>
    </row>
    <row r="5229" spans="3:3">
      <c r="C5229" s="160" t="str">
        <f t="shared" si="100"/>
        <v/>
      </c>
    </row>
    <row r="5230" spans="3:3">
      <c r="C5230" s="160" t="str">
        <f t="shared" si="100"/>
        <v/>
      </c>
    </row>
    <row r="5231" spans="3:3">
      <c r="C5231" s="160" t="str">
        <f t="shared" si="100"/>
        <v/>
      </c>
    </row>
    <row r="5232" spans="3:3">
      <c r="C5232" s="160" t="str">
        <f t="shared" si="100"/>
        <v/>
      </c>
    </row>
    <row r="5233" spans="3:3">
      <c r="C5233" s="160" t="str">
        <f t="shared" si="100"/>
        <v/>
      </c>
    </row>
    <row r="5234" spans="3:3">
      <c r="C5234" s="160" t="str">
        <f t="shared" si="100"/>
        <v/>
      </c>
    </row>
    <row r="5235" spans="3:3">
      <c r="C5235" s="160" t="str">
        <f t="shared" si="100"/>
        <v/>
      </c>
    </row>
    <row r="5236" spans="3:3">
      <c r="C5236" s="160" t="str">
        <f t="shared" si="100"/>
        <v/>
      </c>
    </row>
    <row r="5237" spans="3:3">
      <c r="C5237" s="160" t="str">
        <f t="shared" si="100"/>
        <v/>
      </c>
    </row>
    <row r="5238" spans="3:3">
      <c r="C5238" s="160" t="str">
        <f t="shared" si="100"/>
        <v/>
      </c>
    </row>
    <row r="5239" spans="3:3">
      <c r="C5239" s="160" t="str">
        <f t="shared" si="100"/>
        <v/>
      </c>
    </row>
    <row r="5240" spans="3:3">
      <c r="C5240" s="160" t="str">
        <f t="shared" si="100"/>
        <v/>
      </c>
    </row>
    <row r="5241" spans="3:3">
      <c r="C5241" s="160" t="str">
        <f t="shared" si="100"/>
        <v/>
      </c>
    </row>
    <row r="5242" spans="3:3">
      <c r="C5242" s="160" t="str">
        <f t="shared" si="100"/>
        <v/>
      </c>
    </row>
    <row r="5243" spans="3:3">
      <c r="C5243" s="160" t="str">
        <f t="shared" si="100"/>
        <v/>
      </c>
    </row>
    <row r="5244" spans="3:3">
      <c r="C5244" s="160" t="str">
        <f t="shared" si="100"/>
        <v/>
      </c>
    </row>
    <row r="5245" spans="3:3">
      <c r="C5245" s="160" t="str">
        <f t="shared" si="100"/>
        <v/>
      </c>
    </row>
    <row r="5246" spans="3:3">
      <c r="C5246" s="160" t="str">
        <f t="shared" si="100"/>
        <v/>
      </c>
    </row>
    <row r="5247" spans="3:3">
      <c r="C5247" s="160" t="str">
        <f t="shared" si="100"/>
        <v/>
      </c>
    </row>
    <row r="5248" spans="3:3">
      <c r="C5248" s="160" t="str">
        <f t="shared" si="100"/>
        <v/>
      </c>
    </row>
    <row r="5249" spans="3:3">
      <c r="C5249" s="160" t="str">
        <f t="shared" si="100"/>
        <v/>
      </c>
    </row>
    <row r="5250" spans="3:3">
      <c r="C5250" s="160" t="str">
        <f t="shared" si="100"/>
        <v/>
      </c>
    </row>
    <row r="5251" spans="3:3">
      <c r="C5251" s="160" t="str">
        <f t="shared" si="100"/>
        <v/>
      </c>
    </row>
    <row r="5252" spans="3:3">
      <c r="C5252" s="160" t="str">
        <f t="shared" si="100"/>
        <v/>
      </c>
    </row>
    <row r="5253" spans="3:3">
      <c r="C5253" s="160" t="str">
        <f t="shared" si="100"/>
        <v/>
      </c>
    </row>
    <row r="5254" spans="3:3">
      <c r="C5254" s="160" t="str">
        <f t="shared" si="100"/>
        <v/>
      </c>
    </row>
    <row r="5255" spans="3:3">
      <c r="C5255" s="160" t="str">
        <f t="shared" si="100"/>
        <v/>
      </c>
    </row>
    <row r="5256" spans="3:3">
      <c r="C5256" s="160" t="str">
        <f t="shared" si="100"/>
        <v/>
      </c>
    </row>
    <row r="5257" spans="3:3">
      <c r="C5257" s="160" t="str">
        <f t="shared" si="100"/>
        <v/>
      </c>
    </row>
    <row r="5258" spans="3:3">
      <c r="C5258" s="160" t="str">
        <f t="shared" si="100"/>
        <v/>
      </c>
    </row>
    <row r="5259" spans="3:3">
      <c r="C5259" s="160" t="str">
        <f t="shared" si="100"/>
        <v/>
      </c>
    </row>
    <row r="5260" spans="3:3">
      <c r="C5260" s="160" t="str">
        <f t="shared" si="100"/>
        <v/>
      </c>
    </row>
    <row r="5261" spans="3:3">
      <c r="C5261" s="160" t="str">
        <f t="shared" ref="C5261:C5324" si="101">D5261&amp;I5261</f>
        <v/>
      </c>
    </row>
    <row r="5262" spans="3:3">
      <c r="C5262" s="160" t="str">
        <f t="shared" si="101"/>
        <v/>
      </c>
    </row>
    <row r="5263" spans="3:3">
      <c r="C5263" s="160" t="str">
        <f t="shared" si="101"/>
        <v/>
      </c>
    </row>
    <row r="5264" spans="3:3">
      <c r="C5264" s="160" t="str">
        <f t="shared" si="101"/>
        <v/>
      </c>
    </row>
    <row r="5265" spans="3:3">
      <c r="C5265" s="160" t="str">
        <f t="shared" si="101"/>
        <v/>
      </c>
    </row>
    <row r="5266" spans="3:3">
      <c r="C5266" s="160" t="str">
        <f t="shared" si="101"/>
        <v/>
      </c>
    </row>
    <row r="5267" spans="3:3">
      <c r="C5267" s="160" t="str">
        <f t="shared" si="101"/>
        <v/>
      </c>
    </row>
    <row r="5268" spans="3:3">
      <c r="C5268" s="160" t="str">
        <f t="shared" si="101"/>
        <v/>
      </c>
    </row>
    <row r="5269" spans="3:3">
      <c r="C5269" s="160" t="str">
        <f t="shared" si="101"/>
        <v/>
      </c>
    </row>
    <row r="5270" spans="3:3">
      <c r="C5270" s="160" t="str">
        <f t="shared" si="101"/>
        <v/>
      </c>
    </row>
    <row r="5271" spans="3:3">
      <c r="C5271" s="160" t="str">
        <f t="shared" si="101"/>
        <v/>
      </c>
    </row>
    <row r="5272" spans="3:3">
      <c r="C5272" s="160" t="str">
        <f t="shared" si="101"/>
        <v/>
      </c>
    </row>
    <row r="5273" spans="3:3">
      <c r="C5273" s="160" t="str">
        <f t="shared" si="101"/>
        <v/>
      </c>
    </row>
    <row r="5274" spans="3:3">
      <c r="C5274" s="160" t="str">
        <f t="shared" si="101"/>
        <v/>
      </c>
    </row>
    <row r="5275" spans="3:3">
      <c r="C5275" s="160" t="str">
        <f t="shared" si="101"/>
        <v/>
      </c>
    </row>
    <row r="5276" spans="3:3">
      <c r="C5276" s="160" t="str">
        <f t="shared" si="101"/>
        <v/>
      </c>
    </row>
    <row r="5277" spans="3:3">
      <c r="C5277" s="160" t="str">
        <f t="shared" si="101"/>
        <v/>
      </c>
    </row>
    <row r="5278" spans="3:3">
      <c r="C5278" s="160" t="str">
        <f t="shared" si="101"/>
        <v/>
      </c>
    </row>
    <row r="5279" spans="3:3">
      <c r="C5279" s="160" t="str">
        <f t="shared" si="101"/>
        <v/>
      </c>
    </row>
    <row r="5280" spans="3:3">
      <c r="C5280" s="160" t="str">
        <f t="shared" si="101"/>
        <v/>
      </c>
    </row>
    <row r="5281" spans="3:3">
      <c r="C5281" s="160" t="str">
        <f t="shared" si="101"/>
        <v/>
      </c>
    </row>
    <row r="5282" spans="3:3">
      <c r="C5282" s="160" t="str">
        <f t="shared" si="101"/>
        <v/>
      </c>
    </row>
    <row r="5283" spans="3:3">
      <c r="C5283" s="160" t="str">
        <f t="shared" si="101"/>
        <v/>
      </c>
    </row>
    <row r="5284" spans="3:3">
      <c r="C5284" s="160" t="str">
        <f t="shared" si="101"/>
        <v/>
      </c>
    </row>
    <row r="5285" spans="3:3">
      <c r="C5285" s="160" t="str">
        <f t="shared" si="101"/>
        <v/>
      </c>
    </row>
    <row r="5286" spans="3:3">
      <c r="C5286" s="160" t="str">
        <f t="shared" si="101"/>
        <v/>
      </c>
    </row>
    <row r="5287" spans="3:3">
      <c r="C5287" s="160" t="str">
        <f t="shared" si="101"/>
        <v/>
      </c>
    </row>
    <row r="5288" spans="3:3">
      <c r="C5288" s="160" t="str">
        <f t="shared" si="101"/>
        <v/>
      </c>
    </row>
    <row r="5289" spans="3:3">
      <c r="C5289" s="160" t="str">
        <f t="shared" si="101"/>
        <v/>
      </c>
    </row>
    <row r="5290" spans="3:3">
      <c r="C5290" s="160" t="str">
        <f t="shared" si="101"/>
        <v/>
      </c>
    </row>
    <row r="5291" spans="3:3">
      <c r="C5291" s="160" t="str">
        <f t="shared" si="101"/>
        <v/>
      </c>
    </row>
    <row r="5292" spans="3:3">
      <c r="C5292" s="160" t="str">
        <f t="shared" si="101"/>
        <v/>
      </c>
    </row>
    <row r="5293" spans="3:3">
      <c r="C5293" s="160" t="str">
        <f t="shared" si="101"/>
        <v/>
      </c>
    </row>
    <row r="5294" spans="3:3">
      <c r="C5294" s="160" t="str">
        <f t="shared" si="101"/>
        <v/>
      </c>
    </row>
    <row r="5295" spans="3:3">
      <c r="C5295" s="160" t="str">
        <f t="shared" si="101"/>
        <v/>
      </c>
    </row>
    <row r="5296" spans="3:3">
      <c r="C5296" s="160" t="str">
        <f t="shared" si="101"/>
        <v/>
      </c>
    </row>
    <row r="5297" spans="3:3">
      <c r="C5297" s="160" t="str">
        <f t="shared" si="101"/>
        <v/>
      </c>
    </row>
    <row r="5298" spans="3:3">
      <c r="C5298" s="160" t="str">
        <f t="shared" si="101"/>
        <v/>
      </c>
    </row>
    <row r="5299" spans="3:3">
      <c r="C5299" s="160" t="str">
        <f t="shared" si="101"/>
        <v/>
      </c>
    </row>
    <row r="5300" spans="3:3">
      <c r="C5300" s="160" t="str">
        <f t="shared" si="101"/>
        <v/>
      </c>
    </row>
    <row r="5301" spans="3:3">
      <c r="C5301" s="160" t="str">
        <f t="shared" si="101"/>
        <v/>
      </c>
    </row>
    <row r="5302" spans="3:3">
      <c r="C5302" s="160" t="str">
        <f t="shared" si="101"/>
        <v/>
      </c>
    </row>
    <row r="5303" spans="3:3">
      <c r="C5303" s="160" t="str">
        <f t="shared" si="101"/>
        <v/>
      </c>
    </row>
    <row r="5304" spans="3:3">
      <c r="C5304" s="160" t="str">
        <f t="shared" si="101"/>
        <v/>
      </c>
    </row>
    <row r="5305" spans="3:3">
      <c r="C5305" s="160" t="str">
        <f t="shared" si="101"/>
        <v/>
      </c>
    </row>
    <row r="5306" spans="3:3">
      <c r="C5306" s="160" t="str">
        <f t="shared" si="101"/>
        <v/>
      </c>
    </row>
    <row r="5307" spans="3:3">
      <c r="C5307" s="160" t="str">
        <f t="shared" si="101"/>
        <v/>
      </c>
    </row>
    <row r="5308" spans="3:3">
      <c r="C5308" s="160" t="str">
        <f t="shared" si="101"/>
        <v/>
      </c>
    </row>
    <row r="5309" spans="3:3">
      <c r="C5309" s="160" t="str">
        <f t="shared" si="101"/>
        <v/>
      </c>
    </row>
    <row r="5310" spans="3:3">
      <c r="C5310" s="160" t="str">
        <f t="shared" si="101"/>
        <v/>
      </c>
    </row>
    <row r="5311" spans="3:3">
      <c r="C5311" s="160" t="str">
        <f t="shared" si="101"/>
        <v/>
      </c>
    </row>
    <row r="5312" spans="3:3">
      <c r="C5312" s="160" t="str">
        <f t="shared" si="101"/>
        <v/>
      </c>
    </row>
    <row r="5313" spans="3:3">
      <c r="C5313" s="160" t="str">
        <f t="shared" si="101"/>
        <v/>
      </c>
    </row>
    <row r="5314" spans="3:3">
      <c r="C5314" s="160" t="str">
        <f t="shared" si="101"/>
        <v/>
      </c>
    </row>
    <row r="5315" spans="3:3">
      <c r="C5315" s="160" t="str">
        <f t="shared" si="101"/>
        <v/>
      </c>
    </row>
    <row r="5316" spans="3:3">
      <c r="C5316" s="160" t="str">
        <f t="shared" si="101"/>
        <v/>
      </c>
    </row>
    <row r="5317" spans="3:3">
      <c r="C5317" s="160" t="str">
        <f t="shared" si="101"/>
        <v/>
      </c>
    </row>
    <row r="5318" spans="3:3">
      <c r="C5318" s="160" t="str">
        <f t="shared" si="101"/>
        <v/>
      </c>
    </row>
    <row r="5319" spans="3:3">
      <c r="C5319" s="160" t="str">
        <f t="shared" si="101"/>
        <v/>
      </c>
    </row>
    <row r="5320" spans="3:3">
      <c r="C5320" s="160" t="str">
        <f t="shared" si="101"/>
        <v/>
      </c>
    </row>
    <row r="5321" spans="3:3">
      <c r="C5321" s="160" t="str">
        <f t="shared" si="101"/>
        <v/>
      </c>
    </row>
    <row r="5322" spans="3:3">
      <c r="C5322" s="160" t="str">
        <f t="shared" si="101"/>
        <v/>
      </c>
    </row>
    <row r="5323" spans="3:3">
      <c r="C5323" s="160" t="str">
        <f t="shared" si="101"/>
        <v/>
      </c>
    </row>
    <row r="5324" spans="3:3">
      <c r="C5324" s="160" t="str">
        <f t="shared" si="101"/>
        <v/>
      </c>
    </row>
    <row r="5325" spans="3:3">
      <c r="C5325" s="160" t="str">
        <f t="shared" ref="C5325:C5388" si="102">D5325&amp;I5325</f>
        <v/>
      </c>
    </row>
    <row r="5326" spans="3:3">
      <c r="C5326" s="160" t="str">
        <f t="shared" si="102"/>
        <v/>
      </c>
    </row>
    <row r="5327" spans="3:3">
      <c r="C5327" s="160" t="str">
        <f t="shared" si="102"/>
        <v/>
      </c>
    </row>
    <row r="5328" spans="3:3">
      <c r="C5328" s="160" t="str">
        <f t="shared" si="102"/>
        <v/>
      </c>
    </row>
    <row r="5329" spans="3:3">
      <c r="C5329" s="160" t="str">
        <f t="shared" si="102"/>
        <v/>
      </c>
    </row>
    <row r="5330" spans="3:3">
      <c r="C5330" s="160" t="str">
        <f t="shared" si="102"/>
        <v/>
      </c>
    </row>
    <row r="5331" spans="3:3">
      <c r="C5331" s="160" t="str">
        <f t="shared" si="102"/>
        <v/>
      </c>
    </row>
    <row r="5332" spans="3:3">
      <c r="C5332" s="160" t="str">
        <f t="shared" si="102"/>
        <v/>
      </c>
    </row>
    <row r="5333" spans="3:3">
      <c r="C5333" s="160" t="str">
        <f t="shared" si="102"/>
        <v/>
      </c>
    </row>
    <row r="5334" spans="3:3">
      <c r="C5334" s="160" t="str">
        <f t="shared" si="102"/>
        <v/>
      </c>
    </row>
    <row r="5335" spans="3:3">
      <c r="C5335" s="160" t="str">
        <f t="shared" si="102"/>
        <v/>
      </c>
    </row>
    <row r="5336" spans="3:3">
      <c r="C5336" s="160" t="str">
        <f t="shared" si="102"/>
        <v/>
      </c>
    </row>
    <row r="5337" spans="3:3">
      <c r="C5337" s="160" t="str">
        <f t="shared" si="102"/>
        <v/>
      </c>
    </row>
    <row r="5338" spans="3:3">
      <c r="C5338" s="160" t="str">
        <f t="shared" si="102"/>
        <v/>
      </c>
    </row>
    <row r="5339" spans="3:3">
      <c r="C5339" s="160" t="str">
        <f t="shared" si="102"/>
        <v/>
      </c>
    </row>
    <row r="5340" spans="3:3">
      <c r="C5340" s="160" t="str">
        <f t="shared" si="102"/>
        <v/>
      </c>
    </row>
    <row r="5341" spans="3:3">
      <c r="C5341" s="160" t="str">
        <f t="shared" si="102"/>
        <v/>
      </c>
    </row>
    <row r="5342" spans="3:3">
      <c r="C5342" s="160" t="str">
        <f t="shared" si="102"/>
        <v/>
      </c>
    </row>
    <row r="5343" spans="3:3">
      <c r="C5343" s="160" t="str">
        <f t="shared" si="102"/>
        <v/>
      </c>
    </row>
    <row r="5344" spans="3:3">
      <c r="C5344" s="160" t="str">
        <f t="shared" si="102"/>
        <v/>
      </c>
    </row>
    <row r="5345" spans="3:3">
      <c r="C5345" s="160" t="str">
        <f t="shared" si="102"/>
        <v/>
      </c>
    </row>
    <row r="5346" spans="3:3">
      <c r="C5346" s="160" t="str">
        <f t="shared" si="102"/>
        <v/>
      </c>
    </row>
    <row r="5347" spans="3:3">
      <c r="C5347" s="160" t="str">
        <f t="shared" si="102"/>
        <v/>
      </c>
    </row>
    <row r="5348" spans="3:3">
      <c r="C5348" s="160" t="str">
        <f t="shared" si="102"/>
        <v/>
      </c>
    </row>
    <row r="5349" spans="3:3">
      <c r="C5349" s="160" t="str">
        <f t="shared" si="102"/>
        <v/>
      </c>
    </row>
    <row r="5350" spans="3:3">
      <c r="C5350" s="160" t="str">
        <f t="shared" si="102"/>
        <v/>
      </c>
    </row>
    <row r="5351" spans="3:3">
      <c r="C5351" s="160" t="str">
        <f t="shared" si="102"/>
        <v/>
      </c>
    </row>
    <row r="5352" spans="3:3">
      <c r="C5352" s="160" t="str">
        <f t="shared" si="102"/>
        <v/>
      </c>
    </row>
    <row r="5353" spans="3:3">
      <c r="C5353" s="160" t="str">
        <f t="shared" si="102"/>
        <v/>
      </c>
    </row>
    <row r="5354" spans="3:3">
      <c r="C5354" s="160" t="str">
        <f t="shared" si="102"/>
        <v/>
      </c>
    </row>
    <row r="5355" spans="3:3">
      <c r="C5355" s="160" t="str">
        <f t="shared" si="102"/>
        <v/>
      </c>
    </row>
    <row r="5356" spans="3:3">
      <c r="C5356" s="160" t="str">
        <f t="shared" si="102"/>
        <v/>
      </c>
    </row>
    <row r="5357" spans="3:3">
      <c r="C5357" s="160" t="str">
        <f t="shared" si="102"/>
        <v/>
      </c>
    </row>
    <row r="5358" spans="3:3">
      <c r="C5358" s="160" t="str">
        <f t="shared" si="102"/>
        <v/>
      </c>
    </row>
    <row r="5359" spans="3:3">
      <c r="C5359" s="160" t="str">
        <f t="shared" si="102"/>
        <v/>
      </c>
    </row>
    <row r="5360" spans="3:3">
      <c r="C5360" s="160" t="str">
        <f t="shared" si="102"/>
        <v/>
      </c>
    </row>
    <row r="5361" spans="3:3">
      <c r="C5361" s="160" t="str">
        <f t="shared" si="102"/>
        <v/>
      </c>
    </row>
    <row r="5362" spans="3:3">
      <c r="C5362" s="160" t="str">
        <f t="shared" si="102"/>
        <v/>
      </c>
    </row>
    <row r="5363" spans="3:3">
      <c r="C5363" s="160" t="str">
        <f t="shared" si="102"/>
        <v/>
      </c>
    </row>
    <row r="5364" spans="3:3">
      <c r="C5364" s="160" t="str">
        <f t="shared" si="102"/>
        <v/>
      </c>
    </row>
    <row r="5365" spans="3:3">
      <c r="C5365" s="160" t="str">
        <f t="shared" si="102"/>
        <v/>
      </c>
    </row>
    <row r="5366" spans="3:3">
      <c r="C5366" s="160" t="str">
        <f t="shared" si="102"/>
        <v/>
      </c>
    </row>
    <row r="5367" spans="3:3">
      <c r="C5367" s="160" t="str">
        <f t="shared" si="102"/>
        <v/>
      </c>
    </row>
    <row r="5368" spans="3:3">
      <c r="C5368" s="160" t="str">
        <f t="shared" si="102"/>
        <v/>
      </c>
    </row>
    <row r="5369" spans="3:3">
      <c r="C5369" s="160" t="str">
        <f t="shared" si="102"/>
        <v/>
      </c>
    </row>
    <row r="5370" spans="3:3">
      <c r="C5370" s="160" t="str">
        <f t="shared" si="102"/>
        <v/>
      </c>
    </row>
    <row r="5371" spans="3:3">
      <c r="C5371" s="160" t="str">
        <f t="shared" si="102"/>
        <v/>
      </c>
    </row>
    <row r="5372" spans="3:3">
      <c r="C5372" s="160" t="str">
        <f t="shared" si="102"/>
        <v/>
      </c>
    </row>
    <row r="5373" spans="3:3">
      <c r="C5373" s="160" t="str">
        <f t="shared" si="102"/>
        <v/>
      </c>
    </row>
    <row r="5374" spans="3:3">
      <c r="C5374" s="160" t="str">
        <f t="shared" si="102"/>
        <v/>
      </c>
    </row>
    <row r="5375" spans="3:3">
      <c r="C5375" s="160" t="str">
        <f t="shared" si="102"/>
        <v/>
      </c>
    </row>
    <row r="5376" spans="3:3">
      <c r="C5376" s="160" t="str">
        <f t="shared" si="102"/>
        <v/>
      </c>
    </row>
    <row r="5377" spans="3:3">
      <c r="C5377" s="160" t="str">
        <f t="shared" si="102"/>
        <v/>
      </c>
    </row>
    <row r="5378" spans="3:3">
      <c r="C5378" s="160" t="str">
        <f t="shared" si="102"/>
        <v/>
      </c>
    </row>
    <row r="5379" spans="3:3">
      <c r="C5379" s="160" t="str">
        <f t="shared" si="102"/>
        <v/>
      </c>
    </row>
    <row r="5380" spans="3:3">
      <c r="C5380" s="160" t="str">
        <f t="shared" si="102"/>
        <v/>
      </c>
    </row>
    <row r="5381" spans="3:3">
      <c r="C5381" s="160" t="str">
        <f t="shared" si="102"/>
        <v/>
      </c>
    </row>
    <row r="5382" spans="3:3">
      <c r="C5382" s="160" t="str">
        <f t="shared" si="102"/>
        <v/>
      </c>
    </row>
    <row r="5383" spans="3:3">
      <c r="C5383" s="160" t="str">
        <f t="shared" si="102"/>
        <v/>
      </c>
    </row>
    <row r="5384" spans="3:3">
      <c r="C5384" s="160" t="str">
        <f t="shared" si="102"/>
        <v/>
      </c>
    </row>
    <row r="5385" spans="3:3">
      <c r="C5385" s="160" t="str">
        <f t="shared" si="102"/>
        <v/>
      </c>
    </row>
    <row r="5386" spans="3:3">
      <c r="C5386" s="160" t="str">
        <f t="shared" si="102"/>
        <v/>
      </c>
    </row>
    <row r="5387" spans="3:3">
      <c r="C5387" s="160" t="str">
        <f t="shared" si="102"/>
        <v/>
      </c>
    </row>
    <row r="5388" spans="3:3">
      <c r="C5388" s="160" t="str">
        <f t="shared" si="102"/>
        <v/>
      </c>
    </row>
    <row r="5389" spans="3:3">
      <c r="C5389" s="160" t="str">
        <f t="shared" ref="C5389:C5452" si="103">D5389&amp;I5389</f>
        <v/>
      </c>
    </row>
    <row r="5390" spans="3:3">
      <c r="C5390" s="160" t="str">
        <f t="shared" si="103"/>
        <v/>
      </c>
    </row>
    <row r="5391" spans="3:3">
      <c r="C5391" s="160" t="str">
        <f t="shared" si="103"/>
        <v/>
      </c>
    </row>
    <row r="5392" spans="3:3">
      <c r="C5392" s="160" t="str">
        <f t="shared" si="103"/>
        <v/>
      </c>
    </row>
    <row r="5393" spans="3:3">
      <c r="C5393" s="160" t="str">
        <f t="shared" si="103"/>
        <v/>
      </c>
    </row>
    <row r="5394" spans="3:3">
      <c r="C5394" s="160" t="str">
        <f t="shared" si="103"/>
        <v/>
      </c>
    </row>
    <row r="5395" spans="3:3">
      <c r="C5395" s="160" t="str">
        <f t="shared" si="103"/>
        <v/>
      </c>
    </row>
    <row r="5396" spans="3:3">
      <c r="C5396" s="160" t="str">
        <f t="shared" si="103"/>
        <v/>
      </c>
    </row>
    <row r="5397" spans="3:3">
      <c r="C5397" s="160" t="str">
        <f t="shared" si="103"/>
        <v/>
      </c>
    </row>
    <row r="5398" spans="3:3">
      <c r="C5398" s="160" t="str">
        <f t="shared" si="103"/>
        <v/>
      </c>
    </row>
    <row r="5399" spans="3:3">
      <c r="C5399" s="160" t="str">
        <f t="shared" si="103"/>
        <v/>
      </c>
    </row>
    <row r="5400" spans="3:3">
      <c r="C5400" s="160" t="str">
        <f t="shared" si="103"/>
        <v/>
      </c>
    </row>
    <row r="5401" spans="3:3">
      <c r="C5401" s="160" t="str">
        <f t="shared" si="103"/>
        <v/>
      </c>
    </row>
    <row r="5402" spans="3:3">
      <c r="C5402" s="160" t="str">
        <f t="shared" si="103"/>
        <v/>
      </c>
    </row>
    <row r="5403" spans="3:3">
      <c r="C5403" s="160" t="str">
        <f t="shared" si="103"/>
        <v/>
      </c>
    </row>
    <row r="5404" spans="3:3">
      <c r="C5404" s="160" t="str">
        <f t="shared" si="103"/>
        <v/>
      </c>
    </row>
    <row r="5405" spans="3:3">
      <c r="C5405" s="160" t="str">
        <f t="shared" si="103"/>
        <v/>
      </c>
    </row>
    <row r="5406" spans="3:3">
      <c r="C5406" s="160" t="str">
        <f t="shared" si="103"/>
        <v/>
      </c>
    </row>
    <row r="5407" spans="3:3">
      <c r="C5407" s="160" t="str">
        <f t="shared" si="103"/>
        <v/>
      </c>
    </row>
    <row r="5408" spans="3:3">
      <c r="C5408" s="160" t="str">
        <f t="shared" si="103"/>
        <v/>
      </c>
    </row>
    <row r="5409" spans="3:3">
      <c r="C5409" s="160" t="str">
        <f t="shared" si="103"/>
        <v/>
      </c>
    </row>
    <row r="5410" spans="3:3">
      <c r="C5410" s="160" t="str">
        <f t="shared" si="103"/>
        <v/>
      </c>
    </row>
    <row r="5411" spans="3:3">
      <c r="C5411" s="160" t="str">
        <f t="shared" si="103"/>
        <v/>
      </c>
    </row>
    <row r="5412" spans="3:3">
      <c r="C5412" s="160" t="str">
        <f t="shared" si="103"/>
        <v/>
      </c>
    </row>
    <row r="5413" spans="3:3">
      <c r="C5413" s="160" t="str">
        <f t="shared" si="103"/>
        <v/>
      </c>
    </row>
    <row r="5414" spans="3:3">
      <c r="C5414" s="160" t="str">
        <f t="shared" si="103"/>
        <v/>
      </c>
    </row>
    <row r="5415" spans="3:3">
      <c r="C5415" s="160" t="str">
        <f t="shared" si="103"/>
        <v/>
      </c>
    </row>
    <row r="5416" spans="3:3">
      <c r="C5416" s="160" t="str">
        <f t="shared" si="103"/>
        <v/>
      </c>
    </row>
    <row r="5417" spans="3:3">
      <c r="C5417" s="160" t="str">
        <f t="shared" si="103"/>
        <v/>
      </c>
    </row>
    <row r="5418" spans="3:3">
      <c r="C5418" s="160" t="str">
        <f t="shared" si="103"/>
        <v/>
      </c>
    </row>
    <row r="5419" spans="3:3">
      <c r="C5419" s="160" t="str">
        <f t="shared" si="103"/>
        <v/>
      </c>
    </row>
    <row r="5420" spans="3:3">
      <c r="C5420" s="160" t="str">
        <f t="shared" si="103"/>
        <v/>
      </c>
    </row>
    <row r="5421" spans="3:3">
      <c r="C5421" s="160" t="str">
        <f t="shared" si="103"/>
        <v/>
      </c>
    </row>
    <row r="5422" spans="3:3">
      <c r="C5422" s="160" t="str">
        <f t="shared" si="103"/>
        <v/>
      </c>
    </row>
    <row r="5423" spans="3:3">
      <c r="C5423" s="160" t="str">
        <f t="shared" si="103"/>
        <v/>
      </c>
    </row>
    <row r="5424" spans="3:3">
      <c r="C5424" s="160" t="str">
        <f t="shared" si="103"/>
        <v/>
      </c>
    </row>
    <row r="5425" spans="3:3">
      <c r="C5425" s="160" t="str">
        <f t="shared" si="103"/>
        <v/>
      </c>
    </row>
    <row r="5426" spans="3:3">
      <c r="C5426" s="160" t="str">
        <f t="shared" si="103"/>
        <v/>
      </c>
    </row>
    <row r="5427" spans="3:3">
      <c r="C5427" s="160" t="str">
        <f t="shared" si="103"/>
        <v/>
      </c>
    </row>
    <row r="5428" spans="3:3">
      <c r="C5428" s="160" t="str">
        <f t="shared" si="103"/>
        <v/>
      </c>
    </row>
    <row r="5429" spans="3:3">
      <c r="C5429" s="160" t="str">
        <f t="shared" si="103"/>
        <v/>
      </c>
    </row>
    <row r="5430" spans="3:3">
      <c r="C5430" s="160" t="str">
        <f t="shared" si="103"/>
        <v/>
      </c>
    </row>
    <row r="5431" spans="3:3">
      <c r="C5431" s="160" t="str">
        <f t="shared" si="103"/>
        <v/>
      </c>
    </row>
    <row r="5432" spans="3:3">
      <c r="C5432" s="160" t="str">
        <f t="shared" si="103"/>
        <v/>
      </c>
    </row>
    <row r="5433" spans="3:3">
      <c r="C5433" s="160" t="str">
        <f t="shared" si="103"/>
        <v/>
      </c>
    </row>
    <row r="5434" spans="3:3">
      <c r="C5434" s="160" t="str">
        <f t="shared" si="103"/>
        <v/>
      </c>
    </row>
    <row r="5435" spans="3:3">
      <c r="C5435" s="160" t="str">
        <f t="shared" si="103"/>
        <v/>
      </c>
    </row>
    <row r="5436" spans="3:3">
      <c r="C5436" s="160" t="str">
        <f t="shared" si="103"/>
        <v/>
      </c>
    </row>
    <row r="5437" spans="3:3">
      <c r="C5437" s="160" t="str">
        <f t="shared" si="103"/>
        <v/>
      </c>
    </row>
    <row r="5438" spans="3:3">
      <c r="C5438" s="160" t="str">
        <f t="shared" si="103"/>
        <v/>
      </c>
    </row>
    <row r="5439" spans="3:3">
      <c r="C5439" s="160" t="str">
        <f t="shared" si="103"/>
        <v/>
      </c>
    </row>
    <row r="5440" spans="3:3">
      <c r="C5440" s="160" t="str">
        <f t="shared" si="103"/>
        <v/>
      </c>
    </row>
    <row r="5441" spans="3:3">
      <c r="C5441" s="160" t="str">
        <f t="shared" si="103"/>
        <v/>
      </c>
    </row>
    <row r="5442" spans="3:3">
      <c r="C5442" s="160" t="str">
        <f t="shared" si="103"/>
        <v/>
      </c>
    </row>
    <row r="5443" spans="3:3">
      <c r="C5443" s="160" t="str">
        <f t="shared" si="103"/>
        <v/>
      </c>
    </row>
    <row r="5444" spans="3:3">
      <c r="C5444" s="160" t="str">
        <f t="shared" si="103"/>
        <v/>
      </c>
    </row>
    <row r="5445" spans="3:3">
      <c r="C5445" s="160" t="str">
        <f t="shared" si="103"/>
        <v/>
      </c>
    </row>
    <row r="5446" spans="3:3">
      <c r="C5446" s="160" t="str">
        <f t="shared" si="103"/>
        <v/>
      </c>
    </row>
    <row r="5447" spans="3:3">
      <c r="C5447" s="160" t="str">
        <f t="shared" si="103"/>
        <v/>
      </c>
    </row>
    <row r="5448" spans="3:3">
      <c r="C5448" s="160" t="str">
        <f t="shared" si="103"/>
        <v/>
      </c>
    </row>
    <row r="5449" spans="3:3">
      <c r="C5449" s="160" t="str">
        <f t="shared" si="103"/>
        <v/>
      </c>
    </row>
    <row r="5450" spans="3:3">
      <c r="C5450" s="160" t="str">
        <f t="shared" si="103"/>
        <v/>
      </c>
    </row>
    <row r="5451" spans="3:3">
      <c r="C5451" s="160" t="str">
        <f t="shared" si="103"/>
        <v/>
      </c>
    </row>
    <row r="5452" spans="3:3">
      <c r="C5452" s="160" t="str">
        <f t="shared" si="103"/>
        <v/>
      </c>
    </row>
    <row r="5453" spans="3:3">
      <c r="C5453" s="160" t="str">
        <f t="shared" ref="C5453:C5516" si="104">D5453&amp;I5453</f>
        <v/>
      </c>
    </row>
    <row r="5454" spans="3:3">
      <c r="C5454" s="160" t="str">
        <f t="shared" si="104"/>
        <v/>
      </c>
    </row>
    <row r="5455" spans="3:3">
      <c r="C5455" s="160" t="str">
        <f t="shared" si="104"/>
        <v/>
      </c>
    </row>
    <row r="5456" spans="3:3">
      <c r="C5456" s="160" t="str">
        <f t="shared" si="104"/>
        <v/>
      </c>
    </row>
    <row r="5457" spans="3:3">
      <c r="C5457" s="160" t="str">
        <f t="shared" si="104"/>
        <v/>
      </c>
    </row>
    <row r="5458" spans="3:3">
      <c r="C5458" s="160" t="str">
        <f t="shared" si="104"/>
        <v/>
      </c>
    </row>
    <row r="5459" spans="3:3">
      <c r="C5459" s="160" t="str">
        <f t="shared" si="104"/>
        <v/>
      </c>
    </row>
    <row r="5460" spans="3:3">
      <c r="C5460" s="160" t="str">
        <f t="shared" si="104"/>
        <v/>
      </c>
    </row>
    <row r="5461" spans="3:3">
      <c r="C5461" s="160" t="str">
        <f t="shared" si="104"/>
        <v/>
      </c>
    </row>
    <row r="5462" spans="3:3">
      <c r="C5462" s="160" t="str">
        <f t="shared" si="104"/>
        <v/>
      </c>
    </row>
    <row r="5463" spans="3:3">
      <c r="C5463" s="160" t="str">
        <f t="shared" si="104"/>
        <v/>
      </c>
    </row>
    <row r="5464" spans="3:3">
      <c r="C5464" s="160" t="str">
        <f t="shared" si="104"/>
        <v/>
      </c>
    </row>
    <row r="5465" spans="3:3">
      <c r="C5465" s="160" t="str">
        <f t="shared" si="104"/>
        <v/>
      </c>
    </row>
    <row r="5466" spans="3:3">
      <c r="C5466" s="160" t="str">
        <f t="shared" si="104"/>
        <v/>
      </c>
    </row>
    <row r="5467" spans="3:3">
      <c r="C5467" s="160" t="str">
        <f t="shared" si="104"/>
        <v/>
      </c>
    </row>
    <row r="5468" spans="3:3">
      <c r="C5468" s="160" t="str">
        <f t="shared" si="104"/>
        <v/>
      </c>
    </row>
    <row r="5469" spans="3:3">
      <c r="C5469" s="160" t="str">
        <f t="shared" si="104"/>
        <v/>
      </c>
    </row>
    <row r="5470" spans="3:3">
      <c r="C5470" s="160" t="str">
        <f t="shared" si="104"/>
        <v/>
      </c>
    </row>
    <row r="5471" spans="3:3">
      <c r="C5471" s="160" t="str">
        <f t="shared" si="104"/>
        <v/>
      </c>
    </row>
    <row r="5472" spans="3:3">
      <c r="C5472" s="160" t="str">
        <f t="shared" si="104"/>
        <v/>
      </c>
    </row>
    <row r="5473" spans="3:3">
      <c r="C5473" s="160" t="str">
        <f t="shared" si="104"/>
        <v/>
      </c>
    </row>
    <row r="5474" spans="3:3">
      <c r="C5474" s="160" t="str">
        <f t="shared" si="104"/>
        <v/>
      </c>
    </row>
    <row r="5475" spans="3:3">
      <c r="C5475" s="160" t="str">
        <f t="shared" si="104"/>
        <v/>
      </c>
    </row>
    <row r="5476" spans="3:3">
      <c r="C5476" s="160" t="str">
        <f t="shared" si="104"/>
        <v/>
      </c>
    </row>
    <row r="5477" spans="3:3">
      <c r="C5477" s="160" t="str">
        <f t="shared" si="104"/>
        <v/>
      </c>
    </row>
    <row r="5478" spans="3:3">
      <c r="C5478" s="160" t="str">
        <f t="shared" si="104"/>
        <v/>
      </c>
    </row>
    <row r="5479" spans="3:3">
      <c r="C5479" s="160" t="str">
        <f t="shared" si="104"/>
        <v/>
      </c>
    </row>
    <row r="5480" spans="3:3">
      <c r="C5480" s="160" t="str">
        <f t="shared" si="104"/>
        <v/>
      </c>
    </row>
    <row r="5481" spans="3:3">
      <c r="C5481" s="160" t="str">
        <f t="shared" si="104"/>
        <v/>
      </c>
    </row>
    <row r="5482" spans="3:3">
      <c r="C5482" s="160" t="str">
        <f t="shared" si="104"/>
        <v/>
      </c>
    </row>
    <row r="5483" spans="3:3">
      <c r="C5483" s="160" t="str">
        <f t="shared" si="104"/>
        <v/>
      </c>
    </row>
    <row r="5484" spans="3:3">
      <c r="C5484" s="160" t="str">
        <f t="shared" si="104"/>
        <v/>
      </c>
    </row>
    <row r="5485" spans="3:3">
      <c r="C5485" s="160" t="str">
        <f t="shared" si="104"/>
        <v/>
      </c>
    </row>
    <row r="5486" spans="3:3">
      <c r="C5486" s="160" t="str">
        <f t="shared" si="104"/>
        <v/>
      </c>
    </row>
    <row r="5487" spans="3:3">
      <c r="C5487" s="160" t="str">
        <f t="shared" si="104"/>
        <v/>
      </c>
    </row>
    <row r="5488" spans="3:3">
      <c r="C5488" s="160" t="str">
        <f t="shared" si="104"/>
        <v/>
      </c>
    </row>
    <row r="5489" spans="3:3">
      <c r="C5489" s="160" t="str">
        <f t="shared" si="104"/>
        <v/>
      </c>
    </row>
    <row r="5490" spans="3:3">
      <c r="C5490" s="160" t="str">
        <f t="shared" si="104"/>
        <v/>
      </c>
    </row>
    <row r="5491" spans="3:3">
      <c r="C5491" s="160" t="str">
        <f t="shared" si="104"/>
        <v/>
      </c>
    </row>
    <row r="5492" spans="3:3">
      <c r="C5492" s="160" t="str">
        <f t="shared" si="104"/>
        <v/>
      </c>
    </row>
    <row r="5493" spans="3:3">
      <c r="C5493" s="160" t="str">
        <f t="shared" si="104"/>
        <v/>
      </c>
    </row>
    <row r="5494" spans="3:3">
      <c r="C5494" s="160" t="str">
        <f t="shared" si="104"/>
        <v/>
      </c>
    </row>
    <row r="5495" spans="3:3">
      <c r="C5495" s="160" t="str">
        <f t="shared" si="104"/>
        <v/>
      </c>
    </row>
    <row r="5496" spans="3:3">
      <c r="C5496" s="160" t="str">
        <f t="shared" si="104"/>
        <v/>
      </c>
    </row>
    <row r="5497" spans="3:3">
      <c r="C5497" s="160" t="str">
        <f t="shared" si="104"/>
        <v/>
      </c>
    </row>
    <row r="5498" spans="3:3">
      <c r="C5498" s="160" t="str">
        <f t="shared" si="104"/>
        <v/>
      </c>
    </row>
    <row r="5499" spans="3:3">
      <c r="C5499" s="160" t="str">
        <f t="shared" si="104"/>
        <v/>
      </c>
    </row>
    <row r="5500" spans="3:3">
      <c r="C5500" s="160" t="str">
        <f t="shared" si="104"/>
        <v/>
      </c>
    </row>
    <row r="5501" spans="3:3">
      <c r="C5501" s="160" t="str">
        <f t="shared" si="104"/>
        <v/>
      </c>
    </row>
    <row r="5502" spans="3:3">
      <c r="C5502" s="160" t="str">
        <f t="shared" si="104"/>
        <v/>
      </c>
    </row>
    <row r="5503" spans="3:3">
      <c r="C5503" s="160" t="str">
        <f t="shared" si="104"/>
        <v/>
      </c>
    </row>
    <row r="5504" spans="3:3">
      <c r="C5504" s="160" t="str">
        <f t="shared" si="104"/>
        <v/>
      </c>
    </row>
    <row r="5505" spans="3:3">
      <c r="C5505" s="160" t="str">
        <f t="shared" si="104"/>
        <v/>
      </c>
    </row>
    <row r="5506" spans="3:3">
      <c r="C5506" s="160" t="str">
        <f t="shared" si="104"/>
        <v/>
      </c>
    </row>
    <row r="5507" spans="3:3">
      <c r="C5507" s="160" t="str">
        <f t="shared" si="104"/>
        <v/>
      </c>
    </row>
    <row r="5508" spans="3:3">
      <c r="C5508" s="160" t="str">
        <f t="shared" si="104"/>
        <v/>
      </c>
    </row>
    <row r="5509" spans="3:3">
      <c r="C5509" s="160" t="str">
        <f t="shared" si="104"/>
        <v/>
      </c>
    </row>
    <row r="5510" spans="3:3">
      <c r="C5510" s="160" t="str">
        <f t="shared" si="104"/>
        <v/>
      </c>
    </row>
    <row r="5511" spans="3:3">
      <c r="C5511" s="160" t="str">
        <f t="shared" si="104"/>
        <v/>
      </c>
    </row>
    <row r="5512" spans="3:3">
      <c r="C5512" s="160" t="str">
        <f t="shared" si="104"/>
        <v/>
      </c>
    </row>
    <row r="5513" spans="3:3">
      <c r="C5513" s="160" t="str">
        <f t="shared" si="104"/>
        <v/>
      </c>
    </row>
    <row r="5514" spans="3:3">
      <c r="C5514" s="160" t="str">
        <f t="shared" si="104"/>
        <v/>
      </c>
    </row>
    <row r="5515" spans="3:3">
      <c r="C5515" s="160" t="str">
        <f t="shared" si="104"/>
        <v/>
      </c>
    </row>
    <row r="5516" spans="3:3">
      <c r="C5516" s="160" t="str">
        <f t="shared" si="104"/>
        <v/>
      </c>
    </row>
    <row r="5517" spans="3:3">
      <c r="C5517" s="160" t="str">
        <f t="shared" ref="C5517:C5580" si="105">D5517&amp;I5517</f>
        <v/>
      </c>
    </row>
    <row r="5518" spans="3:3">
      <c r="C5518" s="160" t="str">
        <f t="shared" si="105"/>
        <v/>
      </c>
    </row>
    <row r="5519" spans="3:3">
      <c r="C5519" s="160" t="str">
        <f t="shared" si="105"/>
        <v/>
      </c>
    </row>
    <row r="5520" spans="3:3">
      <c r="C5520" s="160" t="str">
        <f t="shared" si="105"/>
        <v/>
      </c>
    </row>
    <row r="5521" spans="3:3">
      <c r="C5521" s="160" t="str">
        <f t="shared" si="105"/>
        <v/>
      </c>
    </row>
    <row r="5522" spans="3:3">
      <c r="C5522" s="160" t="str">
        <f t="shared" si="105"/>
        <v/>
      </c>
    </row>
    <row r="5523" spans="3:3">
      <c r="C5523" s="160" t="str">
        <f t="shared" si="105"/>
        <v/>
      </c>
    </row>
    <row r="5524" spans="3:3">
      <c r="C5524" s="160" t="str">
        <f t="shared" si="105"/>
        <v/>
      </c>
    </row>
    <row r="5525" spans="3:3">
      <c r="C5525" s="160" t="str">
        <f t="shared" si="105"/>
        <v/>
      </c>
    </row>
    <row r="5526" spans="3:3">
      <c r="C5526" s="160" t="str">
        <f t="shared" si="105"/>
        <v/>
      </c>
    </row>
    <row r="5527" spans="3:3">
      <c r="C5527" s="160" t="str">
        <f t="shared" si="105"/>
        <v/>
      </c>
    </row>
    <row r="5528" spans="3:3">
      <c r="C5528" s="160" t="str">
        <f t="shared" si="105"/>
        <v/>
      </c>
    </row>
    <row r="5529" spans="3:3">
      <c r="C5529" s="160" t="str">
        <f t="shared" si="105"/>
        <v/>
      </c>
    </row>
    <row r="5530" spans="3:3">
      <c r="C5530" s="160" t="str">
        <f t="shared" si="105"/>
        <v/>
      </c>
    </row>
    <row r="5531" spans="3:3">
      <c r="C5531" s="160" t="str">
        <f t="shared" si="105"/>
        <v/>
      </c>
    </row>
    <row r="5532" spans="3:3">
      <c r="C5532" s="160" t="str">
        <f t="shared" si="105"/>
        <v/>
      </c>
    </row>
    <row r="5533" spans="3:3">
      <c r="C5533" s="160" t="str">
        <f t="shared" si="105"/>
        <v/>
      </c>
    </row>
    <row r="5534" spans="3:3">
      <c r="C5534" s="160" t="str">
        <f t="shared" si="105"/>
        <v/>
      </c>
    </row>
    <row r="5535" spans="3:3">
      <c r="C5535" s="160" t="str">
        <f t="shared" si="105"/>
        <v/>
      </c>
    </row>
    <row r="5536" spans="3:3">
      <c r="C5536" s="160" t="str">
        <f t="shared" si="105"/>
        <v/>
      </c>
    </row>
    <row r="5537" spans="3:3">
      <c r="C5537" s="160" t="str">
        <f t="shared" si="105"/>
        <v/>
      </c>
    </row>
    <row r="5538" spans="3:3">
      <c r="C5538" s="160" t="str">
        <f t="shared" si="105"/>
        <v/>
      </c>
    </row>
    <row r="5539" spans="3:3">
      <c r="C5539" s="160" t="str">
        <f t="shared" si="105"/>
        <v/>
      </c>
    </row>
    <row r="5540" spans="3:3">
      <c r="C5540" s="160" t="str">
        <f t="shared" si="105"/>
        <v/>
      </c>
    </row>
    <row r="5541" spans="3:3">
      <c r="C5541" s="160" t="str">
        <f t="shared" si="105"/>
        <v/>
      </c>
    </row>
    <row r="5542" spans="3:3">
      <c r="C5542" s="160" t="str">
        <f t="shared" si="105"/>
        <v/>
      </c>
    </row>
    <row r="5543" spans="3:3">
      <c r="C5543" s="160" t="str">
        <f t="shared" si="105"/>
        <v/>
      </c>
    </row>
    <row r="5544" spans="3:3">
      <c r="C5544" s="160" t="str">
        <f t="shared" si="105"/>
        <v/>
      </c>
    </row>
    <row r="5545" spans="3:3">
      <c r="C5545" s="160" t="str">
        <f t="shared" si="105"/>
        <v/>
      </c>
    </row>
    <row r="5546" spans="3:3">
      <c r="C5546" s="160" t="str">
        <f t="shared" si="105"/>
        <v/>
      </c>
    </row>
    <row r="5547" spans="3:3">
      <c r="C5547" s="160" t="str">
        <f t="shared" si="105"/>
        <v/>
      </c>
    </row>
    <row r="5548" spans="3:3">
      <c r="C5548" s="160" t="str">
        <f t="shared" si="105"/>
        <v/>
      </c>
    </row>
    <row r="5549" spans="3:3">
      <c r="C5549" s="160" t="str">
        <f t="shared" si="105"/>
        <v/>
      </c>
    </row>
    <row r="5550" spans="3:3">
      <c r="C5550" s="160" t="str">
        <f t="shared" si="105"/>
        <v/>
      </c>
    </row>
    <row r="5551" spans="3:3">
      <c r="C5551" s="160" t="str">
        <f t="shared" si="105"/>
        <v/>
      </c>
    </row>
    <row r="5552" spans="3:3">
      <c r="C5552" s="160" t="str">
        <f t="shared" si="105"/>
        <v/>
      </c>
    </row>
    <row r="5553" spans="3:3">
      <c r="C5553" s="160" t="str">
        <f t="shared" si="105"/>
        <v/>
      </c>
    </row>
    <row r="5554" spans="3:3">
      <c r="C5554" s="160" t="str">
        <f t="shared" si="105"/>
        <v/>
      </c>
    </row>
    <row r="5555" spans="3:3">
      <c r="C5555" s="160" t="str">
        <f t="shared" si="105"/>
        <v/>
      </c>
    </row>
    <row r="5556" spans="3:3">
      <c r="C5556" s="160" t="str">
        <f t="shared" si="105"/>
        <v/>
      </c>
    </row>
    <row r="5557" spans="3:3">
      <c r="C5557" s="160" t="str">
        <f t="shared" si="105"/>
        <v/>
      </c>
    </row>
    <row r="5558" spans="3:3">
      <c r="C5558" s="160" t="str">
        <f t="shared" si="105"/>
        <v/>
      </c>
    </row>
    <row r="5559" spans="3:3">
      <c r="C5559" s="160" t="str">
        <f t="shared" si="105"/>
        <v/>
      </c>
    </row>
    <row r="5560" spans="3:3">
      <c r="C5560" s="160" t="str">
        <f t="shared" si="105"/>
        <v/>
      </c>
    </row>
    <row r="5561" spans="3:3">
      <c r="C5561" s="160" t="str">
        <f t="shared" si="105"/>
        <v/>
      </c>
    </row>
    <row r="5562" spans="3:3">
      <c r="C5562" s="160" t="str">
        <f t="shared" si="105"/>
        <v/>
      </c>
    </row>
    <row r="5563" spans="3:3">
      <c r="C5563" s="160" t="str">
        <f t="shared" si="105"/>
        <v/>
      </c>
    </row>
    <row r="5564" spans="3:3">
      <c r="C5564" s="160" t="str">
        <f t="shared" si="105"/>
        <v/>
      </c>
    </row>
    <row r="5565" spans="3:3">
      <c r="C5565" s="160" t="str">
        <f t="shared" si="105"/>
        <v/>
      </c>
    </row>
    <row r="5566" spans="3:3">
      <c r="C5566" s="160" t="str">
        <f t="shared" si="105"/>
        <v/>
      </c>
    </row>
    <row r="5567" spans="3:3">
      <c r="C5567" s="160" t="str">
        <f t="shared" si="105"/>
        <v/>
      </c>
    </row>
    <row r="5568" spans="3:3">
      <c r="C5568" s="160" t="str">
        <f t="shared" si="105"/>
        <v/>
      </c>
    </row>
    <row r="5569" spans="3:3">
      <c r="C5569" s="160" t="str">
        <f t="shared" si="105"/>
        <v/>
      </c>
    </row>
    <row r="5570" spans="3:3">
      <c r="C5570" s="160" t="str">
        <f t="shared" si="105"/>
        <v/>
      </c>
    </row>
    <row r="5571" spans="3:3">
      <c r="C5571" s="160" t="str">
        <f t="shared" si="105"/>
        <v/>
      </c>
    </row>
    <row r="5572" spans="3:3">
      <c r="C5572" s="160" t="str">
        <f t="shared" si="105"/>
        <v/>
      </c>
    </row>
    <row r="5573" spans="3:3">
      <c r="C5573" s="160" t="str">
        <f t="shared" si="105"/>
        <v/>
      </c>
    </row>
    <row r="5574" spans="3:3">
      <c r="C5574" s="160" t="str">
        <f t="shared" si="105"/>
        <v/>
      </c>
    </row>
    <row r="5575" spans="3:3">
      <c r="C5575" s="160" t="str">
        <f t="shared" si="105"/>
        <v/>
      </c>
    </row>
    <row r="5576" spans="3:3">
      <c r="C5576" s="160" t="str">
        <f t="shared" si="105"/>
        <v/>
      </c>
    </row>
    <row r="5577" spans="3:3">
      <c r="C5577" s="160" t="str">
        <f t="shared" si="105"/>
        <v/>
      </c>
    </row>
    <row r="5578" spans="3:3">
      <c r="C5578" s="160" t="str">
        <f t="shared" si="105"/>
        <v/>
      </c>
    </row>
    <row r="5579" spans="3:3">
      <c r="C5579" s="160" t="str">
        <f t="shared" si="105"/>
        <v/>
      </c>
    </row>
    <row r="5580" spans="3:3">
      <c r="C5580" s="160" t="str">
        <f t="shared" si="105"/>
        <v/>
      </c>
    </row>
    <row r="5581" spans="3:3">
      <c r="C5581" s="160" t="str">
        <f t="shared" ref="C5581:C5644" si="106">D5581&amp;I5581</f>
        <v/>
      </c>
    </row>
    <row r="5582" spans="3:3">
      <c r="C5582" s="160" t="str">
        <f t="shared" si="106"/>
        <v/>
      </c>
    </row>
    <row r="5583" spans="3:3">
      <c r="C5583" s="160" t="str">
        <f t="shared" si="106"/>
        <v/>
      </c>
    </row>
    <row r="5584" spans="3:3">
      <c r="C5584" s="160" t="str">
        <f t="shared" si="106"/>
        <v/>
      </c>
    </row>
    <row r="5585" spans="3:3">
      <c r="C5585" s="160" t="str">
        <f t="shared" si="106"/>
        <v/>
      </c>
    </row>
    <row r="5586" spans="3:3">
      <c r="C5586" s="160" t="str">
        <f t="shared" si="106"/>
        <v/>
      </c>
    </row>
    <row r="5587" spans="3:3">
      <c r="C5587" s="160" t="str">
        <f t="shared" si="106"/>
        <v/>
      </c>
    </row>
    <row r="5588" spans="3:3">
      <c r="C5588" s="160" t="str">
        <f t="shared" si="106"/>
        <v/>
      </c>
    </row>
    <row r="5589" spans="3:3">
      <c r="C5589" s="160" t="str">
        <f t="shared" si="106"/>
        <v/>
      </c>
    </row>
    <row r="5590" spans="3:3">
      <c r="C5590" s="160" t="str">
        <f t="shared" si="106"/>
        <v/>
      </c>
    </row>
    <row r="5591" spans="3:3">
      <c r="C5591" s="160" t="str">
        <f t="shared" si="106"/>
        <v/>
      </c>
    </row>
    <row r="5592" spans="3:3">
      <c r="C5592" s="160" t="str">
        <f t="shared" si="106"/>
        <v/>
      </c>
    </row>
    <row r="5593" spans="3:3">
      <c r="C5593" s="160" t="str">
        <f t="shared" si="106"/>
        <v/>
      </c>
    </row>
    <row r="5594" spans="3:3">
      <c r="C5594" s="160" t="str">
        <f t="shared" si="106"/>
        <v/>
      </c>
    </row>
    <row r="5595" spans="3:3">
      <c r="C5595" s="160" t="str">
        <f t="shared" si="106"/>
        <v/>
      </c>
    </row>
    <row r="5596" spans="3:3">
      <c r="C5596" s="160" t="str">
        <f t="shared" si="106"/>
        <v/>
      </c>
    </row>
    <row r="5597" spans="3:3">
      <c r="C5597" s="160" t="str">
        <f t="shared" si="106"/>
        <v/>
      </c>
    </row>
    <row r="5598" spans="3:3">
      <c r="C5598" s="160" t="str">
        <f t="shared" si="106"/>
        <v/>
      </c>
    </row>
    <row r="5599" spans="3:3">
      <c r="C5599" s="160" t="str">
        <f t="shared" si="106"/>
        <v/>
      </c>
    </row>
    <row r="5600" spans="3:3">
      <c r="C5600" s="160" t="str">
        <f t="shared" si="106"/>
        <v/>
      </c>
    </row>
    <row r="5601" spans="3:3">
      <c r="C5601" s="160" t="str">
        <f t="shared" si="106"/>
        <v/>
      </c>
    </row>
    <row r="5602" spans="3:3">
      <c r="C5602" s="160" t="str">
        <f t="shared" si="106"/>
        <v/>
      </c>
    </row>
    <row r="5603" spans="3:3">
      <c r="C5603" s="160" t="str">
        <f t="shared" si="106"/>
        <v/>
      </c>
    </row>
    <row r="5604" spans="3:3">
      <c r="C5604" s="160" t="str">
        <f t="shared" si="106"/>
        <v/>
      </c>
    </row>
    <row r="5605" spans="3:3">
      <c r="C5605" s="160" t="str">
        <f t="shared" si="106"/>
        <v/>
      </c>
    </row>
    <row r="5606" spans="3:3">
      <c r="C5606" s="160" t="str">
        <f t="shared" si="106"/>
        <v/>
      </c>
    </row>
    <row r="5607" spans="3:3">
      <c r="C5607" s="160" t="str">
        <f t="shared" si="106"/>
        <v/>
      </c>
    </row>
    <row r="5608" spans="3:3">
      <c r="C5608" s="160" t="str">
        <f t="shared" si="106"/>
        <v/>
      </c>
    </row>
    <row r="5609" spans="3:3">
      <c r="C5609" s="160" t="str">
        <f t="shared" si="106"/>
        <v/>
      </c>
    </row>
    <row r="5610" spans="3:3">
      <c r="C5610" s="160" t="str">
        <f t="shared" si="106"/>
        <v/>
      </c>
    </row>
    <row r="5611" spans="3:3">
      <c r="C5611" s="160" t="str">
        <f t="shared" si="106"/>
        <v/>
      </c>
    </row>
    <row r="5612" spans="3:3">
      <c r="C5612" s="160" t="str">
        <f t="shared" si="106"/>
        <v/>
      </c>
    </row>
    <row r="5613" spans="3:3">
      <c r="C5613" s="160" t="str">
        <f t="shared" si="106"/>
        <v/>
      </c>
    </row>
    <row r="5614" spans="3:3">
      <c r="C5614" s="160" t="str">
        <f t="shared" si="106"/>
        <v/>
      </c>
    </row>
    <row r="5615" spans="3:3">
      <c r="C5615" s="160" t="str">
        <f t="shared" si="106"/>
        <v/>
      </c>
    </row>
    <row r="5616" spans="3:3">
      <c r="C5616" s="160" t="str">
        <f t="shared" si="106"/>
        <v/>
      </c>
    </row>
    <row r="5617" spans="3:3">
      <c r="C5617" s="160" t="str">
        <f t="shared" si="106"/>
        <v/>
      </c>
    </row>
    <row r="5618" spans="3:3">
      <c r="C5618" s="160" t="str">
        <f t="shared" si="106"/>
        <v/>
      </c>
    </row>
    <row r="5619" spans="3:3">
      <c r="C5619" s="160" t="str">
        <f t="shared" si="106"/>
        <v/>
      </c>
    </row>
    <row r="5620" spans="3:3">
      <c r="C5620" s="160" t="str">
        <f t="shared" si="106"/>
        <v/>
      </c>
    </row>
    <row r="5621" spans="3:3">
      <c r="C5621" s="160" t="str">
        <f t="shared" si="106"/>
        <v/>
      </c>
    </row>
    <row r="5622" spans="3:3">
      <c r="C5622" s="160" t="str">
        <f t="shared" si="106"/>
        <v/>
      </c>
    </row>
    <row r="5623" spans="3:3">
      <c r="C5623" s="160" t="str">
        <f t="shared" si="106"/>
        <v/>
      </c>
    </row>
    <row r="5624" spans="3:3">
      <c r="C5624" s="160" t="str">
        <f t="shared" si="106"/>
        <v/>
      </c>
    </row>
    <row r="5625" spans="3:3">
      <c r="C5625" s="160" t="str">
        <f t="shared" si="106"/>
        <v/>
      </c>
    </row>
    <row r="5626" spans="3:3">
      <c r="C5626" s="160" t="str">
        <f t="shared" si="106"/>
        <v/>
      </c>
    </row>
    <row r="5627" spans="3:3">
      <c r="C5627" s="160" t="str">
        <f t="shared" si="106"/>
        <v/>
      </c>
    </row>
    <row r="5628" spans="3:3">
      <c r="C5628" s="160" t="str">
        <f t="shared" si="106"/>
        <v/>
      </c>
    </row>
    <row r="5629" spans="3:3">
      <c r="C5629" s="160" t="str">
        <f t="shared" si="106"/>
        <v/>
      </c>
    </row>
    <row r="5630" spans="3:3">
      <c r="C5630" s="160" t="str">
        <f t="shared" si="106"/>
        <v/>
      </c>
    </row>
    <row r="5631" spans="3:3">
      <c r="C5631" s="160" t="str">
        <f t="shared" si="106"/>
        <v/>
      </c>
    </row>
    <row r="5632" spans="3:3">
      <c r="C5632" s="160" t="str">
        <f t="shared" si="106"/>
        <v/>
      </c>
    </row>
    <row r="5633" spans="3:3">
      <c r="C5633" s="160" t="str">
        <f t="shared" si="106"/>
        <v/>
      </c>
    </row>
    <row r="5634" spans="3:3">
      <c r="C5634" s="160" t="str">
        <f t="shared" si="106"/>
        <v/>
      </c>
    </row>
    <row r="5635" spans="3:3">
      <c r="C5635" s="160" t="str">
        <f t="shared" si="106"/>
        <v/>
      </c>
    </row>
    <row r="5636" spans="3:3">
      <c r="C5636" s="160" t="str">
        <f t="shared" si="106"/>
        <v/>
      </c>
    </row>
    <row r="5637" spans="3:3">
      <c r="C5637" s="160" t="str">
        <f t="shared" si="106"/>
        <v/>
      </c>
    </row>
    <row r="5638" spans="3:3">
      <c r="C5638" s="160" t="str">
        <f t="shared" si="106"/>
        <v/>
      </c>
    </row>
    <row r="5639" spans="3:3">
      <c r="C5639" s="160" t="str">
        <f t="shared" si="106"/>
        <v/>
      </c>
    </row>
    <row r="5640" spans="3:3">
      <c r="C5640" s="160" t="str">
        <f t="shared" si="106"/>
        <v/>
      </c>
    </row>
    <row r="5641" spans="3:3">
      <c r="C5641" s="160" t="str">
        <f t="shared" si="106"/>
        <v/>
      </c>
    </row>
    <row r="5642" spans="3:3">
      <c r="C5642" s="160" t="str">
        <f t="shared" si="106"/>
        <v/>
      </c>
    </row>
    <row r="5643" spans="3:3">
      <c r="C5643" s="160" t="str">
        <f t="shared" si="106"/>
        <v/>
      </c>
    </row>
    <row r="5644" spans="3:3">
      <c r="C5644" s="160" t="str">
        <f t="shared" si="106"/>
        <v/>
      </c>
    </row>
    <row r="5645" spans="3:3">
      <c r="C5645" s="160" t="str">
        <f t="shared" ref="C5645:C5708" si="107">D5645&amp;I5645</f>
        <v/>
      </c>
    </row>
    <row r="5646" spans="3:3">
      <c r="C5646" s="160" t="str">
        <f t="shared" si="107"/>
        <v/>
      </c>
    </row>
    <row r="5647" spans="3:3">
      <c r="C5647" s="160" t="str">
        <f t="shared" si="107"/>
        <v/>
      </c>
    </row>
    <row r="5648" spans="3:3">
      <c r="C5648" s="160" t="str">
        <f t="shared" si="107"/>
        <v/>
      </c>
    </row>
    <row r="5649" spans="3:3">
      <c r="C5649" s="160" t="str">
        <f t="shared" si="107"/>
        <v/>
      </c>
    </row>
    <row r="5650" spans="3:3">
      <c r="C5650" s="160" t="str">
        <f t="shared" si="107"/>
        <v/>
      </c>
    </row>
    <row r="5651" spans="3:3">
      <c r="C5651" s="160" t="str">
        <f t="shared" si="107"/>
        <v/>
      </c>
    </row>
    <row r="5652" spans="3:3">
      <c r="C5652" s="160" t="str">
        <f t="shared" si="107"/>
        <v/>
      </c>
    </row>
    <row r="5653" spans="3:3">
      <c r="C5653" s="160" t="str">
        <f t="shared" si="107"/>
        <v/>
      </c>
    </row>
    <row r="5654" spans="3:3">
      <c r="C5654" s="160" t="str">
        <f t="shared" si="107"/>
        <v/>
      </c>
    </row>
    <row r="5655" spans="3:3">
      <c r="C5655" s="160" t="str">
        <f t="shared" si="107"/>
        <v/>
      </c>
    </row>
    <row r="5656" spans="3:3">
      <c r="C5656" s="160" t="str">
        <f t="shared" si="107"/>
        <v/>
      </c>
    </row>
    <row r="5657" spans="3:3">
      <c r="C5657" s="160" t="str">
        <f t="shared" si="107"/>
        <v/>
      </c>
    </row>
    <row r="5658" spans="3:3">
      <c r="C5658" s="160" t="str">
        <f t="shared" si="107"/>
        <v/>
      </c>
    </row>
    <row r="5659" spans="3:3">
      <c r="C5659" s="160" t="str">
        <f t="shared" si="107"/>
        <v/>
      </c>
    </row>
    <row r="5660" spans="3:3">
      <c r="C5660" s="160" t="str">
        <f t="shared" si="107"/>
        <v/>
      </c>
    </row>
    <row r="5661" spans="3:3">
      <c r="C5661" s="160" t="str">
        <f t="shared" si="107"/>
        <v/>
      </c>
    </row>
    <row r="5662" spans="3:3">
      <c r="C5662" s="160" t="str">
        <f t="shared" si="107"/>
        <v/>
      </c>
    </row>
    <row r="5663" spans="3:3">
      <c r="C5663" s="160" t="str">
        <f t="shared" si="107"/>
        <v/>
      </c>
    </row>
    <row r="5664" spans="3:3">
      <c r="C5664" s="160" t="str">
        <f t="shared" si="107"/>
        <v/>
      </c>
    </row>
    <row r="5665" spans="3:3">
      <c r="C5665" s="160" t="str">
        <f t="shared" si="107"/>
        <v/>
      </c>
    </row>
    <row r="5666" spans="3:3">
      <c r="C5666" s="160" t="str">
        <f t="shared" si="107"/>
        <v/>
      </c>
    </row>
    <row r="5667" spans="3:3">
      <c r="C5667" s="160" t="str">
        <f t="shared" si="107"/>
        <v/>
      </c>
    </row>
    <row r="5668" spans="3:3">
      <c r="C5668" s="160" t="str">
        <f t="shared" si="107"/>
        <v/>
      </c>
    </row>
    <row r="5669" spans="3:3">
      <c r="C5669" s="160" t="str">
        <f t="shared" si="107"/>
        <v/>
      </c>
    </row>
    <row r="5670" spans="3:3">
      <c r="C5670" s="160" t="str">
        <f t="shared" si="107"/>
        <v/>
      </c>
    </row>
    <row r="5671" spans="3:3">
      <c r="C5671" s="160" t="str">
        <f t="shared" si="107"/>
        <v/>
      </c>
    </row>
    <row r="5672" spans="3:3">
      <c r="C5672" s="160" t="str">
        <f t="shared" si="107"/>
        <v/>
      </c>
    </row>
    <row r="5673" spans="3:3">
      <c r="C5673" s="160" t="str">
        <f t="shared" si="107"/>
        <v/>
      </c>
    </row>
    <row r="5674" spans="3:3">
      <c r="C5674" s="160" t="str">
        <f t="shared" si="107"/>
        <v/>
      </c>
    </row>
    <row r="5675" spans="3:3">
      <c r="C5675" s="160" t="str">
        <f t="shared" si="107"/>
        <v/>
      </c>
    </row>
    <row r="5676" spans="3:3">
      <c r="C5676" s="160" t="str">
        <f t="shared" si="107"/>
        <v/>
      </c>
    </row>
    <row r="5677" spans="3:3">
      <c r="C5677" s="160" t="str">
        <f t="shared" si="107"/>
        <v/>
      </c>
    </row>
    <row r="5678" spans="3:3">
      <c r="C5678" s="160" t="str">
        <f t="shared" si="107"/>
        <v/>
      </c>
    </row>
    <row r="5679" spans="3:3">
      <c r="C5679" s="160" t="str">
        <f t="shared" si="107"/>
        <v/>
      </c>
    </row>
    <row r="5680" spans="3:3">
      <c r="C5680" s="160" t="str">
        <f t="shared" si="107"/>
        <v/>
      </c>
    </row>
    <row r="5681" spans="3:3">
      <c r="C5681" s="160" t="str">
        <f t="shared" si="107"/>
        <v/>
      </c>
    </row>
    <row r="5682" spans="3:3">
      <c r="C5682" s="160" t="str">
        <f t="shared" si="107"/>
        <v/>
      </c>
    </row>
    <row r="5683" spans="3:3">
      <c r="C5683" s="160" t="str">
        <f t="shared" si="107"/>
        <v/>
      </c>
    </row>
    <row r="5684" spans="3:3">
      <c r="C5684" s="160" t="str">
        <f t="shared" si="107"/>
        <v/>
      </c>
    </row>
    <row r="5685" spans="3:3">
      <c r="C5685" s="160" t="str">
        <f t="shared" si="107"/>
        <v/>
      </c>
    </row>
    <row r="5686" spans="3:3">
      <c r="C5686" s="160" t="str">
        <f t="shared" si="107"/>
        <v/>
      </c>
    </row>
    <row r="5687" spans="3:3">
      <c r="C5687" s="160" t="str">
        <f t="shared" si="107"/>
        <v/>
      </c>
    </row>
    <row r="5688" spans="3:3">
      <c r="C5688" s="160" t="str">
        <f t="shared" si="107"/>
        <v/>
      </c>
    </row>
    <row r="5689" spans="3:3">
      <c r="C5689" s="160" t="str">
        <f t="shared" si="107"/>
        <v/>
      </c>
    </row>
    <row r="5690" spans="3:3">
      <c r="C5690" s="160" t="str">
        <f t="shared" si="107"/>
        <v/>
      </c>
    </row>
    <row r="5691" spans="3:3">
      <c r="C5691" s="160" t="str">
        <f t="shared" si="107"/>
        <v/>
      </c>
    </row>
    <row r="5692" spans="3:3">
      <c r="C5692" s="160" t="str">
        <f t="shared" si="107"/>
        <v/>
      </c>
    </row>
    <row r="5693" spans="3:3">
      <c r="C5693" s="160" t="str">
        <f t="shared" si="107"/>
        <v/>
      </c>
    </row>
    <row r="5694" spans="3:3">
      <c r="C5694" s="160" t="str">
        <f t="shared" si="107"/>
        <v/>
      </c>
    </row>
    <row r="5695" spans="3:3">
      <c r="C5695" s="160" t="str">
        <f t="shared" si="107"/>
        <v/>
      </c>
    </row>
    <row r="5696" spans="3:3">
      <c r="C5696" s="160" t="str">
        <f t="shared" si="107"/>
        <v/>
      </c>
    </row>
    <row r="5697" spans="3:3">
      <c r="C5697" s="160" t="str">
        <f t="shared" si="107"/>
        <v/>
      </c>
    </row>
    <row r="5698" spans="3:3">
      <c r="C5698" s="160" t="str">
        <f t="shared" si="107"/>
        <v/>
      </c>
    </row>
    <row r="5699" spans="3:3">
      <c r="C5699" s="160" t="str">
        <f t="shared" si="107"/>
        <v/>
      </c>
    </row>
    <row r="5700" spans="3:3">
      <c r="C5700" s="160" t="str">
        <f t="shared" si="107"/>
        <v/>
      </c>
    </row>
    <row r="5701" spans="3:3">
      <c r="C5701" s="160" t="str">
        <f t="shared" si="107"/>
        <v/>
      </c>
    </row>
    <row r="5702" spans="3:3">
      <c r="C5702" s="160" t="str">
        <f t="shared" si="107"/>
        <v/>
      </c>
    </row>
    <row r="5703" spans="3:3">
      <c r="C5703" s="160" t="str">
        <f t="shared" si="107"/>
        <v/>
      </c>
    </row>
    <row r="5704" spans="3:3">
      <c r="C5704" s="160" t="str">
        <f t="shared" si="107"/>
        <v/>
      </c>
    </row>
    <row r="5705" spans="3:3">
      <c r="C5705" s="160" t="str">
        <f t="shared" si="107"/>
        <v/>
      </c>
    </row>
    <row r="5706" spans="3:3">
      <c r="C5706" s="160" t="str">
        <f t="shared" si="107"/>
        <v/>
      </c>
    </row>
    <row r="5707" spans="3:3">
      <c r="C5707" s="160" t="str">
        <f t="shared" si="107"/>
        <v/>
      </c>
    </row>
    <row r="5708" spans="3:3">
      <c r="C5708" s="160" t="str">
        <f t="shared" si="107"/>
        <v/>
      </c>
    </row>
    <row r="5709" spans="3:3">
      <c r="C5709" s="160" t="str">
        <f t="shared" ref="C5709:C5772" si="108">D5709&amp;I5709</f>
        <v/>
      </c>
    </row>
    <row r="5710" spans="3:3">
      <c r="C5710" s="160" t="str">
        <f t="shared" si="108"/>
        <v/>
      </c>
    </row>
    <row r="5711" spans="3:3">
      <c r="C5711" s="160" t="str">
        <f t="shared" si="108"/>
        <v/>
      </c>
    </row>
    <row r="5712" spans="3:3">
      <c r="C5712" s="160" t="str">
        <f t="shared" si="108"/>
        <v/>
      </c>
    </row>
    <row r="5713" spans="3:3">
      <c r="C5713" s="160" t="str">
        <f t="shared" si="108"/>
        <v/>
      </c>
    </row>
    <row r="5714" spans="3:3">
      <c r="C5714" s="160" t="str">
        <f t="shared" si="108"/>
        <v/>
      </c>
    </row>
    <row r="5715" spans="3:3">
      <c r="C5715" s="160" t="str">
        <f t="shared" si="108"/>
        <v/>
      </c>
    </row>
    <row r="5716" spans="3:3">
      <c r="C5716" s="160" t="str">
        <f t="shared" si="108"/>
        <v/>
      </c>
    </row>
    <row r="5717" spans="3:3">
      <c r="C5717" s="160" t="str">
        <f t="shared" si="108"/>
        <v/>
      </c>
    </row>
    <row r="5718" spans="3:3">
      <c r="C5718" s="160" t="str">
        <f t="shared" si="108"/>
        <v/>
      </c>
    </row>
    <row r="5719" spans="3:3">
      <c r="C5719" s="160" t="str">
        <f t="shared" si="108"/>
        <v/>
      </c>
    </row>
    <row r="5720" spans="3:3">
      <c r="C5720" s="160" t="str">
        <f t="shared" si="108"/>
        <v/>
      </c>
    </row>
    <row r="5721" spans="3:3">
      <c r="C5721" s="160" t="str">
        <f t="shared" si="108"/>
        <v/>
      </c>
    </row>
    <row r="5722" spans="3:3">
      <c r="C5722" s="160" t="str">
        <f t="shared" si="108"/>
        <v/>
      </c>
    </row>
    <row r="5723" spans="3:3">
      <c r="C5723" s="160" t="str">
        <f t="shared" si="108"/>
        <v/>
      </c>
    </row>
    <row r="5724" spans="3:3">
      <c r="C5724" s="160" t="str">
        <f t="shared" si="108"/>
        <v/>
      </c>
    </row>
    <row r="5725" spans="3:3">
      <c r="C5725" s="160" t="str">
        <f t="shared" si="108"/>
        <v/>
      </c>
    </row>
    <row r="5726" spans="3:3">
      <c r="C5726" s="160" t="str">
        <f t="shared" si="108"/>
        <v/>
      </c>
    </row>
    <row r="5727" spans="3:3">
      <c r="C5727" s="160" t="str">
        <f t="shared" si="108"/>
        <v/>
      </c>
    </row>
    <row r="5728" spans="3:3">
      <c r="C5728" s="160" t="str">
        <f t="shared" si="108"/>
        <v/>
      </c>
    </row>
    <row r="5729" spans="3:3">
      <c r="C5729" s="160" t="str">
        <f t="shared" si="108"/>
        <v/>
      </c>
    </row>
    <row r="5730" spans="3:3">
      <c r="C5730" s="160" t="str">
        <f t="shared" si="108"/>
        <v/>
      </c>
    </row>
    <row r="5731" spans="3:3">
      <c r="C5731" s="160" t="str">
        <f t="shared" si="108"/>
        <v/>
      </c>
    </row>
    <row r="5732" spans="3:3">
      <c r="C5732" s="160" t="str">
        <f t="shared" si="108"/>
        <v/>
      </c>
    </row>
    <row r="5733" spans="3:3">
      <c r="C5733" s="160" t="str">
        <f t="shared" si="108"/>
        <v/>
      </c>
    </row>
    <row r="5734" spans="3:3">
      <c r="C5734" s="160" t="str">
        <f t="shared" si="108"/>
        <v/>
      </c>
    </row>
    <row r="5735" spans="3:3">
      <c r="C5735" s="160" t="str">
        <f t="shared" si="108"/>
        <v/>
      </c>
    </row>
    <row r="5736" spans="3:3">
      <c r="C5736" s="160" t="str">
        <f t="shared" si="108"/>
        <v/>
      </c>
    </row>
    <row r="5737" spans="3:3">
      <c r="C5737" s="160" t="str">
        <f t="shared" si="108"/>
        <v/>
      </c>
    </row>
    <row r="5738" spans="3:3">
      <c r="C5738" s="160" t="str">
        <f t="shared" si="108"/>
        <v/>
      </c>
    </row>
    <row r="5739" spans="3:3">
      <c r="C5739" s="160" t="str">
        <f t="shared" si="108"/>
        <v/>
      </c>
    </row>
    <row r="5740" spans="3:3">
      <c r="C5740" s="160" t="str">
        <f t="shared" si="108"/>
        <v/>
      </c>
    </row>
    <row r="5741" spans="3:3">
      <c r="C5741" s="160" t="str">
        <f t="shared" si="108"/>
        <v/>
      </c>
    </row>
    <row r="5742" spans="3:3">
      <c r="C5742" s="160" t="str">
        <f t="shared" si="108"/>
        <v/>
      </c>
    </row>
    <row r="5743" spans="3:3">
      <c r="C5743" s="160" t="str">
        <f t="shared" si="108"/>
        <v/>
      </c>
    </row>
    <row r="5744" spans="3:3">
      <c r="C5744" s="160" t="str">
        <f t="shared" si="108"/>
        <v/>
      </c>
    </row>
    <row r="5745" spans="3:3">
      <c r="C5745" s="160" t="str">
        <f t="shared" si="108"/>
        <v/>
      </c>
    </row>
    <row r="5746" spans="3:3">
      <c r="C5746" s="160" t="str">
        <f t="shared" si="108"/>
        <v/>
      </c>
    </row>
    <row r="5747" spans="3:3">
      <c r="C5747" s="160" t="str">
        <f t="shared" si="108"/>
        <v/>
      </c>
    </row>
    <row r="5748" spans="3:3">
      <c r="C5748" s="160" t="str">
        <f t="shared" si="108"/>
        <v/>
      </c>
    </row>
    <row r="5749" spans="3:3">
      <c r="C5749" s="160" t="str">
        <f t="shared" si="108"/>
        <v/>
      </c>
    </row>
    <row r="5750" spans="3:3">
      <c r="C5750" s="160" t="str">
        <f t="shared" si="108"/>
        <v/>
      </c>
    </row>
    <row r="5751" spans="3:3">
      <c r="C5751" s="160" t="str">
        <f t="shared" si="108"/>
        <v/>
      </c>
    </row>
    <row r="5752" spans="3:3">
      <c r="C5752" s="160" t="str">
        <f t="shared" si="108"/>
        <v/>
      </c>
    </row>
    <row r="5753" spans="3:3">
      <c r="C5753" s="160" t="str">
        <f t="shared" si="108"/>
        <v/>
      </c>
    </row>
    <row r="5754" spans="3:3">
      <c r="C5754" s="160" t="str">
        <f t="shared" si="108"/>
        <v/>
      </c>
    </row>
    <row r="5755" spans="3:3">
      <c r="C5755" s="160" t="str">
        <f t="shared" si="108"/>
        <v/>
      </c>
    </row>
    <row r="5756" spans="3:3">
      <c r="C5756" s="160" t="str">
        <f t="shared" si="108"/>
        <v/>
      </c>
    </row>
    <row r="5757" spans="3:3">
      <c r="C5757" s="160" t="str">
        <f t="shared" si="108"/>
        <v/>
      </c>
    </row>
    <row r="5758" spans="3:3">
      <c r="C5758" s="160" t="str">
        <f t="shared" si="108"/>
        <v/>
      </c>
    </row>
    <row r="5759" spans="3:3">
      <c r="C5759" s="160" t="str">
        <f t="shared" si="108"/>
        <v/>
      </c>
    </row>
    <row r="5760" spans="3:3">
      <c r="C5760" s="160" t="str">
        <f t="shared" si="108"/>
        <v/>
      </c>
    </row>
    <row r="5761" spans="3:3">
      <c r="C5761" s="160" t="str">
        <f t="shared" si="108"/>
        <v/>
      </c>
    </row>
    <row r="5762" spans="3:3">
      <c r="C5762" s="160" t="str">
        <f t="shared" si="108"/>
        <v/>
      </c>
    </row>
    <row r="5763" spans="3:3">
      <c r="C5763" s="160" t="str">
        <f t="shared" si="108"/>
        <v/>
      </c>
    </row>
    <row r="5764" spans="3:3">
      <c r="C5764" s="160" t="str">
        <f t="shared" si="108"/>
        <v/>
      </c>
    </row>
    <row r="5765" spans="3:3">
      <c r="C5765" s="160" t="str">
        <f t="shared" si="108"/>
        <v/>
      </c>
    </row>
    <row r="5766" spans="3:3">
      <c r="C5766" s="160" t="str">
        <f t="shared" si="108"/>
        <v/>
      </c>
    </row>
    <row r="5767" spans="3:3">
      <c r="C5767" s="160" t="str">
        <f t="shared" si="108"/>
        <v/>
      </c>
    </row>
    <row r="5768" spans="3:3">
      <c r="C5768" s="160" t="str">
        <f t="shared" si="108"/>
        <v/>
      </c>
    </row>
    <row r="5769" spans="3:3">
      <c r="C5769" s="160" t="str">
        <f t="shared" si="108"/>
        <v/>
      </c>
    </row>
    <row r="5770" spans="3:3">
      <c r="C5770" s="160" t="str">
        <f t="shared" si="108"/>
        <v/>
      </c>
    </row>
    <row r="5771" spans="3:3">
      <c r="C5771" s="160" t="str">
        <f t="shared" si="108"/>
        <v/>
      </c>
    </row>
    <row r="5772" spans="3:3">
      <c r="C5772" s="160" t="str">
        <f t="shared" si="108"/>
        <v/>
      </c>
    </row>
    <row r="5773" spans="3:3">
      <c r="C5773" s="160" t="str">
        <f t="shared" ref="C5773:C5836" si="109">D5773&amp;I5773</f>
        <v/>
      </c>
    </row>
    <row r="5774" spans="3:3">
      <c r="C5774" s="160" t="str">
        <f t="shared" si="109"/>
        <v/>
      </c>
    </row>
    <row r="5775" spans="3:3">
      <c r="C5775" s="160" t="str">
        <f t="shared" si="109"/>
        <v/>
      </c>
    </row>
    <row r="5776" spans="3:3">
      <c r="C5776" s="160" t="str">
        <f t="shared" si="109"/>
        <v/>
      </c>
    </row>
    <row r="5777" spans="3:3">
      <c r="C5777" s="160" t="str">
        <f t="shared" si="109"/>
        <v/>
      </c>
    </row>
    <row r="5778" spans="3:3">
      <c r="C5778" s="160" t="str">
        <f t="shared" si="109"/>
        <v/>
      </c>
    </row>
    <row r="5779" spans="3:3">
      <c r="C5779" s="160" t="str">
        <f t="shared" si="109"/>
        <v/>
      </c>
    </row>
    <row r="5780" spans="3:3">
      <c r="C5780" s="160" t="str">
        <f t="shared" si="109"/>
        <v/>
      </c>
    </row>
    <row r="5781" spans="3:3">
      <c r="C5781" s="160" t="str">
        <f t="shared" si="109"/>
        <v/>
      </c>
    </row>
    <row r="5782" spans="3:3">
      <c r="C5782" s="160" t="str">
        <f t="shared" si="109"/>
        <v/>
      </c>
    </row>
    <row r="5783" spans="3:3">
      <c r="C5783" s="160" t="str">
        <f t="shared" si="109"/>
        <v/>
      </c>
    </row>
    <row r="5784" spans="3:3">
      <c r="C5784" s="160" t="str">
        <f t="shared" si="109"/>
        <v/>
      </c>
    </row>
    <row r="5785" spans="3:3">
      <c r="C5785" s="160" t="str">
        <f t="shared" si="109"/>
        <v/>
      </c>
    </row>
    <row r="5786" spans="3:3">
      <c r="C5786" s="160" t="str">
        <f t="shared" si="109"/>
        <v/>
      </c>
    </row>
    <row r="5787" spans="3:3">
      <c r="C5787" s="160" t="str">
        <f t="shared" si="109"/>
        <v/>
      </c>
    </row>
    <row r="5788" spans="3:3">
      <c r="C5788" s="160" t="str">
        <f t="shared" si="109"/>
        <v/>
      </c>
    </row>
    <row r="5789" spans="3:3">
      <c r="C5789" s="160" t="str">
        <f t="shared" si="109"/>
        <v/>
      </c>
    </row>
    <row r="5790" spans="3:3">
      <c r="C5790" s="160" t="str">
        <f t="shared" si="109"/>
        <v/>
      </c>
    </row>
    <row r="5791" spans="3:3">
      <c r="C5791" s="160" t="str">
        <f t="shared" si="109"/>
        <v/>
      </c>
    </row>
    <row r="5792" spans="3:3">
      <c r="C5792" s="160" t="str">
        <f t="shared" si="109"/>
        <v/>
      </c>
    </row>
    <row r="5793" spans="3:3">
      <c r="C5793" s="160" t="str">
        <f t="shared" si="109"/>
        <v/>
      </c>
    </row>
    <row r="5794" spans="3:3">
      <c r="C5794" s="160" t="str">
        <f t="shared" si="109"/>
        <v/>
      </c>
    </row>
    <row r="5795" spans="3:3">
      <c r="C5795" s="160" t="str">
        <f t="shared" si="109"/>
        <v/>
      </c>
    </row>
    <row r="5796" spans="3:3">
      <c r="C5796" s="160" t="str">
        <f t="shared" si="109"/>
        <v/>
      </c>
    </row>
    <row r="5797" spans="3:3">
      <c r="C5797" s="160" t="str">
        <f t="shared" si="109"/>
        <v/>
      </c>
    </row>
    <row r="5798" spans="3:3">
      <c r="C5798" s="160" t="str">
        <f t="shared" si="109"/>
        <v/>
      </c>
    </row>
    <row r="5799" spans="3:3">
      <c r="C5799" s="160" t="str">
        <f t="shared" si="109"/>
        <v/>
      </c>
    </row>
    <row r="5800" spans="3:3">
      <c r="C5800" s="160" t="str">
        <f t="shared" si="109"/>
        <v/>
      </c>
    </row>
    <row r="5801" spans="3:3">
      <c r="C5801" s="160" t="str">
        <f t="shared" si="109"/>
        <v/>
      </c>
    </row>
    <row r="5802" spans="3:3">
      <c r="C5802" s="160" t="str">
        <f t="shared" si="109"/>
        <v/>
      </c>
    </row>
    <row r="5803" spans="3:3">
      <c r="C5803" s="160" t="str">
        <f t="shared" si="109"/>
        <v/>
      </c>
    </row>
    <row r="5804" spans="3:3">
      <c r="C5804" s="160" t="str">
        <f t="shared" si="109"/>
        <v/>
      </c>
    </row>
    <row r="5805" spans="3:3">
      <c r="C5805" s="160" t="str">
        <f t="shared" si="109"/>
        <v/>
      </c>
    </row>
    <row r="5806" spans="3:3">
      <c r="C5806" s="160" t="str">
        <f t="shared" si="109"/>
        <v/>
      </c>
    </row>
    <row r="5807" spans="3:3">
      <c r="C5807" s="160" t="str">
        <f t="shared" si="109"/>
        <v/>
      </c>
    </row>
    <row r="5808" spans="3:3">
      <c r="C5808" s="160" t="str">
        <f t="shared" si="109"/>
        <v/>
      </c>
    </row>
    <row r="5809" spans="3:3">
      <c r="C5809" s="160" t="str">
        <f t="shared" si="109"/>
        <v/>
      </c>
    </row>
    <row r="5810" spans="3:3">
      <c r="C5810" s="160" t="str">
        <f t="shared" si="109"/>
        <v/>
      </c>
    </row>
    <row r="5811" spans="3:3">
      <c r="C5811" s="160" t="str">
        <f t="shared" si="109"/>
        <v/>
      </c>
    </row>
    <row r="5812" spans="3:3">
      <c r="C5812" s="160" t="str">
        <f t="shared" si="109"/>
        <v/>
      </c>
    </row>
    <row r="5813" spans="3:3">
      <c r="C5813" s="160" t="str">
        <f t="shared" si="109"/>
        <v/>
      </c>
    </row>
    <row r="5814" spans="3:3">
      <c r="C5814" s="160" t="str">
        <f t="shared" si="109"/>
        <v/>
      </c>
    </row>
    <row r="5815" spans="3:3">
      <c r="C5815" s="160" t="str">
        <f t="shared" si="109"/>
        <v/>
      </c>
    </row>
    <row r="5816" spans="3:3">
      <c r="C5816" s="160" t="str">
        <f t="shared" si="109"/>
        <v/>
      </c>
    </row>
    <row r="5817" spans="3:3">
      <c r="C5817" s="160" t="str">
        <f t="shared" si="109"/>
        <v/>
      </c>
    </row>
    <row r="5818" spans="3:3">
      <c r="C5818" s="160" t="str">
        <f t="shared" si="109"/>
        <v/>
      </c>
    </row>
    <row r="5819" spans="3:3">
      <c r="C5819" s="160" t="str">
        <f t="shared" si="109"/>
        <v/>
      </c>
    </row>
    <row r="5820" spans="3:3">
      <c r="C5820" s="160" t="str">
        <f t="shared" si="109"/>
        <v/>
      </c>
    </row>
    <row r="5821" spans="3:3">
      <c r="C5821" s="160" t="str">
        <f t="shared" si="109"/>
        <v/>
      </c>
    </row>
    <row r="5822" spans="3:3">
      <c r="C5822" s="160" t="str">
        <f t="shared" si="109"/>
        <v/>
      </c>
    </row>
    <row r="5823" spans="3:3">
      <c r="C5823" s="160" t="str">
        <f t="shared" si="109"/>
        <v/>
      </c>
    </row>
    <row r="5824" spans="3:3">
      <c r="C5824" s="160" t="str">
        <f t="shared" si="109"/>
        <v/>
      </c>
    </row>
    <row r="5825" spans="3:3">
      <c r="C5825" s="160" t="str">
        <f t="shared" si="109"/>
        <v/>
      </c>
    </row>
    <row r="5826" spans="3:3">
      <c r="C5826" s="160" t="str">
        <f t="shared" si="109"/>
        <v/>
      </c>
    </row>
    <row r="5827" spans="3:3">
      <c r="C5827" s="160" t="str">
        <f t="shared" si="109"/>
        <v/>
      </c>
    </row>
    <row r="5828" spans="3:3">
      <c r="C5828" s="160" t="str">
        <f t="shared" si="109"/>
        <v/>
      </c>
    </row>
    <row r="5829" spans="3:3">
      <c r="C5829" s="160" t="str">
        <f t="shared" si="109"/>
        <v/>
      </c>
    </row>
    <row r="5830" spans="3:3">
      <c r="C5830" s="160" t="str">
        <f t="shared" si="109"/>
        <v/>
      </c>
    </row>
    <row r="5831" spans="3:3">
      <c r="C5831" s="160" t="str">
        <f t="shared" si="109"/>
        <v/>
      </c>
    </row>
    <row r="5832" spans="3:3">
      <c r="C5832" s="160" t="str">
        <f t="shared" si="109"/>
        <v/>
      </c>
    </row>
    <row r="5833" spans="3:3">
      <c r="C5833" s="160" t="str">
        <f t="shared" si="109"/>
        <v/>
      </c>
    </row>
    <row r="5834" spans="3:3">
      <c r="C5834" s="160" t="str">
        <f t="shared" si="109"/>
        <v/>
      </c>
    </row>
    <row r="5835" spans="3:3">
      <c r="C5835" s="160" t="str">
        <f t="shared" si="109"/>
        <v/>
      </c>
    </row>
    <row r="5836" spans="3:3">
      <c r="C5836" s="160" t="str">
        <f t="shared" si="109"/>
        <v/>
      </c>
    </row>
    <row r="5837" spans="3:3">
      <c r="C5837" s="160" t="str">
        <f t="shared" ref="C5837:C5900" si="110">D5837&amp;I5837</f>
        <v/>
      </c>
    </row>
    <row r="5838" spans="3:3">
      <c r="C5838" s="160" t="str">
        <f t="shared" si="110"/>
        <v/>
      </c>
    </row>
    <row r="5839" spans="3:3">
      <c r="C5839" s="160" t="str">
        <f t="shared" si="110"/>
        <v/>
      </c>
    </row>
    <row r="5840" spans="3:3">
      <c r="C5840" s="160" t="str">
        <f t="shared" si="110"/>
        <v/>
      </c>
    </row>
    <row r="5841" spans="3:3">
      <c r="C5841" s="160" t="str">
        <f t="shared" si="110"/>
        <v/>
      </c>
    </row>
    <row r="5842" spans="3:3">
      <c r="C5842" s="160" t="str">
        <f t="shared" si="110"/>
        <v/>
      </c>
    </row>
    <row r="5843" spans="3:3">
      <c r="C5843" s="160" t="str">
        <f t="shared" si="110"/>
        <v/>
      </c>
    </row>
    <row r="5844" spans="3:3">
      <c r="C5844" s="160" t="str">
        <f t="shared" si="110"/>
        <v/>
      </c>
    </row>
    <row r="5845" spans="3:3">
      <c r="C5845" s="160" t="str">
        <f t="shared" si="110"/>
        <v/>
      </c>
    </row>
    <row r="5846" spans="3:3">
      <c r="C5846" s="160" t="str">
        <f t="shared" si="110"/>
        <v/>
      </c>
    </row>
    <row r="5847" spans="3:3">
      <c r="C5847" s="160" t="str">
        <f t="shared" si="110"/>
        <v/>
      </c>
    </row>
    <row r="5848" spans="3:3">
      <c r="C5848" s="160" t="str">
        <f t="shared" si="110"/>
        <v/>
      </c>
    </row>
    <row r="5849" spans="3:3">
      <c r="C5849" s="160" t="str">
        <f t="shared" si="110"/>
        <v/>
      </c>
    </row>
    <row r="5850" spans="3:3">
      <c r="C5850" s="160" t="str">
        <f t="shared" si="110"/>
        <v/>
      </c>
    </row>
    <row r="5851" spans="3:3">
      <c r="C5851" s="160" t="str">
        <f t="shared" si="110"/>
        <v/>
      </c>
    </row>
    <row r="5852" spans="3:3">
      <c r="C5852" s="160" t="str">
        <f t="shared" si="110"/>
        <v/>
      </c>
    </row>
    <row r="5853" spans="3:3">
      <c r="C5853" s="160" t="str">
        <f t="shared" si="110"/>
        <v/>
      </c>
    </row>
    <row r="5854" spans="3:3">
      <c r="C5854" s="160" t="str">
        <f t="shared" si="110"/>
        <v/>
      </c>
    </row>
    <row r="5855" spans="3:3">
      <c r="C5855" s="160" t="str">
        <f t="shared" si="110"/>
        <v/>
      </c>
    </row>
    <row r="5856" spans="3:3">
      <c r="C5856" s="160" t="str">
        <f t="shared" si="110"/>
        <v/>
      </c>
    </row>
    <row r="5857" spans="3:3">
      <c r="C5857" s="160" t="str">
        <f t="shared" si="110"/>
        <v/>
      </c>
    </row>
    <row r="5858" spans="3:3">
      <c r="C5858" s="160" t="str">
        <f t="shared" si="110"/>
        <v/>
      </c>
    </row>
    <row r="5859" spans="3:3">
      <c r="C5859" s="160" t="str">
        <f t="shared" si="110"/>
        <v/>
      </c>
    </row>
    <row r="5860" spans="3:3">
      <c r="C5860" s="160" t="str">
        <f t="shared" si="110"/>
        <v/>
      </c>
    </row>
    <row r="5861" spans="3:3">
      <c r="C5861" s="160" t="str">
        <f t="shared" si="110"/>
        <v/>
      </c>
    </row>
    <row r="5862" spans="3:3">
      <c r="C5862" s="160" t="str">
        <f t="shared" si="110"/>
        <v/>
      </c>
    </row>
    <row r="5863" spans="3:3">
      <c r="C5863" s="160" t="str">
        <f t="shared" si="110"/>
        <v/>
      </c>
    </row>
    <row r="5864" spans="3:3">
      <c r="C5864" s="160" t="str">
        <f t="shared" si="110"/>
        <v/>
      </c>
    </row>
    <row r="5865" spans="3:3">
      <c r="C5865" s="160" t="str">
        <f t="shared" si="110"/>
        <v/>
      </c>
    </row>
    <row r="5866" spans="3:3">
      <c r="C5866" s="160" t="str">
        <f t="shared" si="110"/>
        <v/>
      </c>
    </row>
    <row r="5867" spans="3:3">
      <c r="C5867" s="160" t="str">
        <f t="shared" si="110"/>
        <v/>
      </c>
    </row>
    <row r="5868" spans="3:3">
      <c r="C5868" s="160" t="str">
        <f t="shared" si="110"/>
        <v/>
      </c>
    </row>
    <row r="5869" spans="3:3">
      <c r="C5869" s="160" t="str">
        <f t="shared" si="110"/>
        <v/>
      </c>
    </row>
    <row r="5870" spans="3:3">
      <c r="C5870" s="160" t="str">
        <f t="shared" si="110"/>
        <v/>
      </c>
    </row>
    <row r="5871" spans="3:3">
      <c r="C5871" s="160" t="str">
        <f t="shared" si="110"/>
        <v/>
      </c>
    </row>
    <row r="5872" spans="3:3">
      <c r="C5872" s="160" t="str">
        <f t="shared" si="110"/>
        <v/>
      </c>
    </row>
    <row r="5873" spans="3:3">
      <c r="C5873" s="160" t="str">
        <f t="shared" si="110"/>
        <v/>
      </c>
    </row>
    <row r="5874" spans="3:3">
      <c r="C5874" s="160" t="str">
        <f t="shared" si="110"/>
        <v/>
      </c>
    </row>
    <row r="5875" spans="3:3">
      <c r="C5875" s="160" t="str">
        <f t="shared" si="110"/>
        <v/>
      </c>
    </row>
    <row r="5876" spans="3:3">
      <c r="C5876" s="160" t="str">
        <f t="shared" si="110"/>
        <v/>
      </c>
    </row>
    <row r="5877" spans="3:3">
      <c r="C5877" s="160" t="str">
        <f t="shared" si="110"/>
        <v/>
      </c>
    </row>
    <row r="5878" spans="3:3">
      <c r="C5878" s="160" t="str">
        <f t="shared" si="110"/>
        <v/>
      </c>
    </row>
    <row r="5879" spans="3:3">
      <c r="C5879" s="160" t="str">
        <f t="shared" si="110"/>
        <v/>
      </c>
    </row>
    <row r="5880" spans="3:3">
      <c r="C5880" s="160" t="str">
        <f t="shared" si="110"/>
        <v/>
      </c>
    </row>
    <row r="5881" spans="3:3">
      <c r="C5881" s="160" t="str">
        <f t="shared" si="110"/>
        <v/>
      </c>
    </row>
    <row r="5882" spans="3:3">
      <c r="C5882" s="160" t="str">
        <f t="shared" si="110"/>
        <v/>
      </c>
    </row>
    <row r="5883" spans="3:3">
      <c r="C5883" s="160" t="str">
        <f t="shared" si="110"/>
        <v/>
      </c>
    </row>
    <row r="5884" spans="3:3">
      <c r="C5884" s="160" t="str">
        <f t="shared" si="110"/>
        <v/>
      </c>
    </row>
    <row r="5885" spans="3:3">
      <c r="C5885" s="160" t="str">
        <f t="shared" si="110"/>
        <v/>
      </c>
    </row>
    <row r="5886" spans="3:3">
      <c r="C5886" s="160" t="str">
        <f t="shared" si="110"/>
        <v/>
      </c>
    </row>
    <row r="5887" spans="3:3">
      <c r="C5887" s="160" t="str">
        <f t="shared" si="110"/>
        <v/>
      </c>
    </row>
    <row r="5888" spans="3:3">
      <c r="C5888" s="160" t="str">
        <f t="shared" si="110"/>
        <v/>
      </c>
    </row>
    <row r="5889" spans="3:3">
      <c r="C5889" s="160" t="str">
        <f t="shared" si="110"/>
        <v/>
      </c>
    </row>
    <row r="5890" spans="3:3">
      <c r="C5890" s="160" t="str">
        <f t="shared" si="110"/>
        <v/>
      </c>
    </row>
    <row r="5891" spans="3:3">
      <c r="C5891" s="160" t="str">
        <f t="shared" si="110"/>
        <v/>
      </c>
    </row>
    <row r="5892" spans="3:3">
      <c r="C5892" s="160" t="str">
        <f t="shared" si="110"/>
        <v/>
      </c>
    </row>
    <row r="5893" spans="3:3">
      <c r="C5893" s="160" t="str">
        <f t="shared" si="110"/>
        <v/>
      </c>
    </row>
    <row r="5894" spans="3:3">
      <c r="C5894" s="160" t="str">
        <f t="shared" si="110"/>
        <v/>
      </c>
    </row>
    <row r="5895" spans="3:3">
      <c r="C5895" s="160" t="str">
        <f t="shared" si="110"/>
        <v/>
      </c>
    </row>
    <row r="5896" spans="3:3">
      <c r="C5896" s="160" t="str">
        <f t="shared" si="110"/>
        <v/>
      </c>
    </row>
    <row r="5897" spans="3:3">
      <c r="C5897" s="160" t="str">
        <f t="shared" si="110"/>
        <v/>
      </c>
    </row>
    <row r="5898" spans="3:3">
      <c r="C5898" s="160" t="str">
        <f t="shared" si="110"/>
        <v/>
      </c>
    </row>
    <row r="5899" spans="3:3">
      <c r="C5899" s="160" t="str">
        <f t="shared" si="110"/>
        <v/>
      </c>
    </row>
    <row r="5900" spans="3:3">
      <c r="C5900" s="160" t="str">
        <f t="shared" si="110"/>
        <v/>
      </c>
    </row>
    <row r="5901" spans="3:3">
      <c r="C5901" s="160" t="str">
        <f t="shared" ref="C5901:C5964" si="111">D5901&amp;I5901</f>
        <v/>
      </c>
    </row>
    <row r="5902" spans="3:3">
      <c r="C5902" s="160" t="str">
        <f t="shared" si="111"/>
        <v/>
      </c>
    </row>
    <row r="5903" spans="3:3">
      <c r="C5903" s="160" t="str">
        <f t="shared" si="111"/>
        <v/>
      </c>
    </row>
    <row r="5904" spans="3:3">
      <c r="C5904" s="160" t="str">
        <f t="shared" si="111"/>
        <v/>
      </c>
    </row>
    <row r="5905" spans="3:3">
      <c r="C5905" s="160" t="str">
        <f t="shared" si="111"/>
        <v/>
      </c>
    </row>
    <row r="5906" spans="3:3">
      <c r="C5906" s="160" t="str">
        <f t="shared" si="111"/>
        <v/>
      </c>
    </row>
    <row r="5907" spans="3:3">
      <c r="C5907" s="160" t="str">
        <f t="shared" si="111"/>
        <v/>
      </c>
    </row>
    <row r="5908" spans="3:3">
      <c r="C5908" s="160" t="str">
        <f t="shared" si="111"/>
        <v/>
      </c>
    </row>
    <row r="5909" spans="3:3">
      <c r="C5909" s="160" t="str">
        <f t="shared" si="111"/>
        <v/>
      </c>
    </row>
    <row r="5910" spans="3:3">
      <c r="C5910" s="160" t="str">
        <f t="shared" si="111"/>
        <v/>
      </c>
    </row>
    <row r="5911" spans="3:3">
      <c r="C5911" s="160" t="str">
        <f t="shared" si="111"/>
        <v/>
      </c>
    </row>
    <row r="5912" spans="3:3">
      <c r="C5912" s="160" t="str">
        <f t="shared" si="111"/>
        <v/>
      </c>
    </row>
    <row r="5913" spans="3:3">
      <c r="C5913" s="160" t="str">
        <f t="shared" si="111"/>
        <v/>
      </c>
    </row>
    <row r="5914" spans="3:3">
      <c r="C5914" s="160" t="str">
        <f t="shared" si="111"/>
        <v/>
      </c>
    </row>
    <row r="5915" spans="3:3">
      <c r="C5915" s="160" t="str">
        <f t="shared" si="111"/>
        <v/>
      </c>
    </row>
    <row r="5916" spans="3:3">
      <c r="C5916" s="160" t="str">
        <f t="shared" si="111"/>
        <v/>
      </c>
    </row>
    <row r="5917" spans="3:3">
      <c r="C5917" s="160" t="str">
        <f t="shared" si="111"/>
        <v/>
      </c>
    </row>
    <row r="5918" spans="3:3">
      <c r="C5918" s="160" t="str">
        <f t="shared" si="111"/>
        <v/>
      </c>
    </row>
    <row r="5919" spans="3:3">
      <c r="C5919" s="160" t="str">
        <f t="shared" si="111"/>
        <v/>
      </c>
    </row>
    <row r="5920" spans="3:3">
      <c r="C5920" s="160" t="str">
        <f t="shared" si="111"/>
        <v/>
      </c>
    </row>
    <row r="5921" spans="3:3">
      <c r="C5921" s="160" t="str">
        <f t="shared" si="111"/>
        <v/>
      </c>
    </row>
    <row r="5922" spans="3:3">
      <c r="C5922" s="160" t="str">
        <f t="shared" si="111"/>
        <v/>
      </c>
    </row>
    <row r="5923" spans="3:3">
      <c r="C5923" s="160" t="str">
        <f t="shared" si="111"/>
        <v/>
      </c>
    </row>
    <row r="5924" spans="3:3">
      <c r="C5924" s="160" t="str">
        <f t="shared" si="111"/>
        <v/>
      </c>
    </row>
    <row r="5925" spans="3:3">
      <c r="C5925" s="160" t="str">
        <f t="shared" si="111"/>
        <v/>
      </c>
    </row>
    <row r="5926" spans="3:3">
      <c r="C5926" s="160" t="str">
        <f t="shared" si="111"/>
        <v/>
      </c>
    </row>
    <row r="5927" spans="3:3">
      <c r="C5927" s="160" t="str">
        <f t="shared" si="111"/>
        <v/>
      </c>
    </row>
    <row r="5928" spans="3:3">
      <c r="C5928" s="160" t="str">
        <f t="shared" si="111"/>
        <v/>
      </c>
    </row>
    <row r="5929" spans="3:3">
      <c r="C5929" s="160" t="str">
        <f t="shared" si="111"/>
        <v/>
      </c>
    </row>
    <row r="5930" spans="3:3">
      <c r="C5930" s="160" t="str">
        <f t="shared" si="111"/>
        <v/>
      </c>
    </row>
    <row r="5931" spans="3:3">
      <c r="C5931" s="160" t="str">
        <f t="shared" si="111"/>
        <v/>
      </c>
    </row>
    <row r="5932" spans="3:3">
      <c r="C5932" s="160" t="str">
        <f t="shared" si="111"/>
        <v/>
      </c>
    </row>
    <row r="5933" spans="3:3">
      <c r="C5933" s="160" t="str">
        <f t="shared" si="111"/>
        <v/>
      </c>
    </row>
    <row r="5934" spans="3:3">
      <c r="C5934" s="160" t="str">
        <f t="shared" si="111"/>
        <v/>
      </c>
    </row>
    <row r="5935" spans="3:3">
      <c r="C5935" s="160" t="str">
        <f t="shared" si="111"/>
        <v/>
      </c>
    </row>
    <row r="5936" spans="3:3">
      <c r="C5936" s="160" t="str">
        <f t="shared" si="111"/>
        <v/>
      </c>
    </row>
    <row r="5937" spans="3:3">
      <c r="C5937" s="160" t="str">
        <f t="shared" si="111"/>
        <v/>
      </c>
    </row>
    <row r="5938" spans="3:3">
      <c r="C5938" s="160" t="str">
        <f t="shared" si="111"/>
        <v/>
      </c>
    </row>
    <row r="5939" spans="3:3">
      <c r="C5939" s="160" t="str">
        <f t="shared" si="111"/>
        <v/>
      </c>
    </row>
    <row r="5940" spans="3:3">
      <c r="C5940" s="160" t="str">
        <f t="shared" si="111"/>
        <v/>
      </c>
    </row>
    <row r="5941" spans="3:3">
      <c r="C5941" s="160" t="str">
        <f t="shared" si="111"/>
        <v/>
      </c>
    </row>
    <row r="5942" spans="3:3">
      <c r="C5942" s="160" t="str">
        <f t="shared" si="111"/>
        <v/>
      </c>
    </row>
    <row r="5943" spans="3:3">
      <c r="C5943" s="160" t="str">
        <f t="shared" si="111"/>
        <v/>
      </c>
    </row>
    <row r="5944" spans="3:3">
      <c r="C5944" s="160" t="str">
        <f t="shared" si="111"/>
        <v/>
      </c>
    </row>
    <row r="5945" spans="3:3">
      <c r="C5945" s="160" t="str">
        <f t="shared" si="111"/>
        <v/>
      </c>
    </row>
    <row r="5946" spans="3:3">
      <c r="C5946" s="160" t="str">
        <f t="shared" si="111"/>
        <v/>
      </c>
    </row>
    <row r="5947" spans="3:3">
      <c r="C5947" s="160" t="str">
        <f t="shared" si="111"/>
        <v/>
      </c>
    </row>
    <row r="5948" spans="3:3">
      <c r="C5948" s="160" t="str">
        <f t="shared" si="111"/>
        <v/>
      </c>
    </row>
    <row r="5949" spans="3:3">
      <c r="C5949" s="160" t="str">
        <f t="shared" si="111"/>
        <v/>
      </c>
    </row>
    <row r="5950" spans="3:3">
      <c r="C5950" s="160" t="str">
        <f t="shared" si="111"/>
        <v/>
      </c>
    </row>
    <row r="5951" spans="3:3">
      <c r="C5951" s="160" t="str">
        <f t="shared" si="111"/>
        <v/>
      </c>
    </row>
    <row r="5952" spans="3:3">
      <c r="C5952" s="160" t="str">
        <f t="shared" si="111"/>
        <v/>
      </c>
    </row>
    <row r="5953" spans="3:3">
      <c r="C5953" s="160" t="str">
        <f t="shared" si="111"/>
        <v/>
      </c>
    </row>
    <row r="5954" spans="3:3">
      <c r="C5954" s="160" t="str">
        <f t="shared" si="111"/>
        <v/>
      </c>
    </row>
    <row r="5955" spans="3:3">
      <c r="C5955" s="160" t="str">
        <f t="shared" si="111"/>
        <v/>
      </c>
    </row>
    <row r="5956" spans="3:3">
      <c r="C5956" s="160" t="str">
        <f t="shared" si="111"/>
        <v/>
      </c>
    </row>
    <row r="5957" spans="3:3">
      <c r="C5957" s="160" t="str">
        <f t="shared" si="111"/>
        <v/>
      </c>
    </row>
    <row r="5958" spans="3:3">
      <c r="C5958" s="160" t="str">
        <f t="shared" si="111"/>
        <v/>
      </c>
    </row>
    <row r="5959" spans="3:3">
      <c r="C5959" s="160" t="str">
        <f t="shared" si="111"/>
        <v/>
      </c>
    </row>
    <row r="5960" spans="3:3">
      <c r="C5960" s="160" t="str">
        <f t="shared" si="111"/>
        <v/>
      </c>
    </row>
    <row r="5961" spans="3:3">
      <c r="C5961" s="160" t="str">
        <f t="shared" si="111"/>
        <v/>
      </c>
    </row>
    <row r="5962" spans="3:3">
      <c r="C5962" s="160" t="str">
        <f t="shared" si="111"/>
        <v/>
      </c>
    </row>
    <row r="5963" spans="3:3">
      <c r="C5963" s="160" t="str">
        <f t="shared" si="111"/>
        <v/>
      </c>
    </row>
    <row r="5964" spans="3:3">
      <c r="C5964" s="160" t="str">
        <f t="shared" si="111"/>
        <v/>
      </c>
    </row>
    <row r="5965" spans="3:3">
      <c r="C5965" s="160" t="str">
        <f t="shared" ref="C5965:C6028" si="112">D5965&amp;I5965</f>
        <v/>
      </c>
    </row>
    <row r="5966" spans="3:3">
      <c r="C5966" s="160" t="str">
        <f t="shared" si="112"/>
        <v/>
      </c>
    </row>
    <row r="5967" spans="3:3">
      <c r="C5967" s="160" t="str">
        <f t="shared" si="112"/>
        <v/>
      </c>
    </row>
    <row r="5968" spans="3:3">
      <c r="C5968" s="160" t="str">
        <f t="shared" si="112"/>
        <v/>
      </c>
    </row>
    <row r="5969" spans="3:3">
      <c r="C5969" s="160" t="str">
        <f t="shared" si="112"/>
        <v/>
      </c>
    </row>
    <row r="5970" spans="3:3">
      <c r="C5970" s="160" t="str">
        <f t="shared" si="112"/>
        <v/>
      </c>
    </row>
    <row r="5971" spans="3:3">
      <c r="C5971" s="160" t="str">
        <f t="shared" si="112"/>
        <v/>
      </c>
    </row>
    <row r="5972" spans="3:3">
      <c r="C5972" s="160" t="str">
        <f t="shared" si="112"/>
        <v/>
      </c>
    </row>
    <row r="5973" spans="3:3">
      <c r="C5973" s="160" t="str">
        <f t="shared" si="112"/>
        <v/>
      </c>
    </row>
    <row r="5974" spans="3:3">
      <c r="C5974" s="160" t="str">
        <f t="shared" si="112"/>
        <v/>
      </c>
    </row>
    <row r="5975" spans="3:3">
      <c r="C5975" s="160" t="str">
        <f t="shared" si="112"/>
        <v/>
      </c>
    </row>
    <row r="5976" spans="3:3">
      <c r="C5976" s="160" t="str">
        <f t="shared" si="112"/>
        <v/>
      </c>
    </row>
    <row r="5977" spans="3:3">
      <c r="C5977" s="160" t="str">
        <f t="shared" si="112"/>
        <v/>
      </c>
    </row>
    <row r="5978" spans="3:3">
      <c r="C5978" s="160" t="str">
        <f t="shared" si="112"/>
        <v/>
      </c>
    </row>
    <row r="5979" spans="3:3">
      <c r="C5979" s="160" t="str">
        <f t="shared" si="112"/>
        <v/>
      </c>
    </row>
    <row r="5980" spans="3:3">
      <c r="C5980" s="160" t="str">
        <f t="shared" si="112"/>
        <v/>
      </c>
    </row>
    <row r="5981" spans="3:3">
      <c r="C5981" s="160" t="str">
        <f t="shared" si="112"/>
        <v/>
      </c>
    </row>
    <row r="5982" spans="3:3">
      <c r="C5982" s="160" t="str">
        <f t="shared" si="112"/>
        <v/>
      </c>
    </row>
    <row r="5983" spans="3:3">
      <c r="C5983" s="160" t="str">
        <f t="shared" si="112"/>
        <v/>
      </c>
    </row>
    <row r="5984" spans="3:3">
      <c r="C5984" s="160" t="str">
        <f t="shared" si="112"/>
        <v/>
      </c>
    </row>
    <row r="5985" spans="3:3">
      <c r="C5985" s="160" t="str">
        <f t="shared" si="112"/>
        <v/>
      </c>
    </row>
    <row r="5986" spans="3:3">
      <c r="C5986" s="160" t="str">
        <f t="shared" si="112"/>
        <v/>
      </c>
    </row>
    <row r="5987" spans="3:3">
      <c r="C5987" s="160" t="str">
        <f t="shared" si="112"/>
        <v/>
      </c>
    </row>
    <row r="5988" spans="3:3">
      <c r="C5988" s="160" t="str">
        <f t="shared" si="112"/>
        <v/>
      </c>
    </row>
    <row r="5989" spans="3:3">
      <c r="C5989" s="160" t="str">
        <f t="shared" si="112"/>
        <v/>
      </c>
    </row>
    <row r="5990" spans="3:3">
      <c r="C5990" s="160" t="str">
        <f t="shared" si="112"/>
        <v/>
      </c>
    </row>
    <row r="5991" spans="3:3">
      <c r="C5991" s="160" t="str">
        <f t="shared" si="112"/>
        <v/>
      </c>
    </row>
    <row r="5992" spans="3:3">
      <c r="C5992" s="160" t="str">
        <f t="shared" si="112"/>
        <v/>
      </c>
    </row>
    <row r="5993" spans="3:3">
      <c r="C5993" s="160" t="str">
        <f t="shared" si="112"/>
        <v/>
      </c>
    </row>
    <row r="5994" spans="3:3">
      <c r="C5994" s="160" t="str">
        <f t="shared" si="112"/>
        <v/>
      </c>
    </row>
    <row r="5995" spans="3:3">
      <c r="C5995" s="160" t="str">
        <f t="shared" si="112"/>
        <v/>
      </c>
    </row>
    <row r="5996" spans="3:3">
      <c r="C5996" s="160" t="str">
        <f t="shared" si="112"/>
        <v/>
      </c>
    </row>
    <row r="5997" spans="3:3">
      <c r="C5997" s="160" t="str">
        <f t="shared" si="112"/>
        <v/>
      </c>
    </row>
    <row r="5998" spans="3:3">
      <c r="C5998" s="160" t="str">
        <f t="shared" si="112"/>
        <v/>
      </c>
    </row>
    <row r="5999" spans="3:3">
      <c r="C5999" s="160" t="str">
        <f t="shared" si="112"/>
        <v/>
      </c>
    </row>
    <row r="6000" spans="3:3">
      <c r="C6000" s="160" t="str">
        <f t="shared" si="112"/>
        <v/>
      </c>
    </row>
    <row r="6001" spans="3:3">
      <c r="C6001" s="160" t="str">
        <f t="shared" si="112"/>
        <v/>
      </c>
    </row>
    <row r="6002" spans="3:3">
      <c r="C6002" s="160" t="str">
        <f t="shared" si="112"/>
        <v/>
      </c>
    </row>
    <row r="6003" spans="3:3">
      <c r="C6003" s="160" t="str">
        <f t="shared" si="112"/>
        <v/>
      </c>
    </row>
    <row r="6004" spans="3:3">
      <c r="C6004" s="160" t="str">
        <f t="shared" si="112"/>
        <v/>
      </c>
    </row>
    <row r="6005" spans="3:3">
      <c r="C6005" s="160" t="str">
        <f t="shared" si="112"/>
        <v/>
      </c>
    </row>
    <row r="6006" spans="3:3">
      <c r="C6006" s="160" t="str">
        <f t="shared" si="112"/>
        <v/>
      </c>
    </row>
    <row r="6007" spans="3:3">
      <c r="C6007" s="160" t="str">
        <f t="shared" si="112"/>
        <v/>
      </c>
    </row>
    <row r="6008" spans="3:3">
      <c r="C6008" s="160" t="str">
        <f t="shared" si="112"/>
        <v/>
      </c>
    </row>
    <row r="6009" spans="3:3">
      <c r="C6009" s="160" t="str">
        <f t="shared" si="112"/>
        <v/>
      </c>
    </row>
    <row r="6010" spans="3:3">
      <c r="C6010" s="160" t="str">
        <f t="shared" si="112"/>
        <v/>
      </c>
    </row>
    <row r="6011" spans="3:3">
      <c r="C6011" s="160" t="str">
        <f t="shared" si="112"/>
        <v/>
      </c>
    </row>
    <row r="6012" spans="3:3">
      <c r="C6012" s="160" t="str">
        <f t="shared" si="112"/>
        <v/>
      </c>
    </row>
    <row r="6013" spans="3:3">
      <c r="C6013" s="160" t="str">
        <f t="shared" si="112"/>
        <v/>
      </c>
    </row>
    <row r="6014" spans="3:3">
      <c r="C6014" s="160" t="str">
        <f t="shared" si="112"/>
        <v/>
      </c>
    </row>
    <row r="6015" spans="3:3">
      <c r="C6015" s="160" t="str">
        <f t="shared" si="112"/>
        <v/>
      </c>
    </row>
    <row r="6016" spans="3:3">
      <c r="C6016" s="160" t="str">
        <f t="shared" si="112"/>
        <v/>
      </c>
    </row>
    <row r="6017" spans="3:3">
      <c r="C6017" s="160" t="str">
        <f t="shared" si="112"/>
        <v/>
      </c>
    </row>
    <row r="6018" spans="3:3">
      <c r="C6018" s="160" t="str">
        <f t="shared" si="112"/>
        <v/>
      </c>
    </row>
    <row r="6019" spans="3:3">
      <c r="C6019" s="160" t="str">
        <f t="shared" si="112"/>
        <v/>
      </c>
    </row>
    <row r="6020" spans="3:3">
      <c r="C6020" s="160" t="str">
        <f t="shared" si="112"/>
        <v/>
      </c>
    </row>
    <row r="6021" spans="3:3">
      <c r="C6021" s="160" t="str">
        <f t="shared" si="112"/>
        <v/>
      </c>
    </row>
    <row r="6022" spans="3:3">
      <c r="C6022" s="160" t="str">
        <f t="shared" si="112"/>
        <v/>
      </c>
    </row>
    <row r="6023" spans="3:3">
      <c r="C6023" s="160" t="str">
        <f t="shared" si="112"/>
        <v/>
      </c>
    </row>
    <row r="6024" spans="3:3">
      <c r="C6024" s="160" t="str">
        <f t="shared" si="112"/>
        <v/>
      </c>
    </row>
    <row r="6025" spans="3:3">
      <c r="C6025" s="160" t="str">
        <f t="shared" si="112"/>
        <v/>
      </c>
    </row>
    <row r="6026" spans="3:3">
      <c r="C6026" s="160" t="str">
        <f t="shared" si="112"/>
        <v/>
      </c>
    </row>
    <row r="6027" spans="3:3">
      <c r="C6027" s="160" t="str">
        <f t="shared" si="112"/>
        <v/>
      </c>
    </row>
    <row r="6028" spans="3:3">
      <c r="C6028" s="160" t="str">
        <f t="shared" si="112"/>
        <v/>
      </c>
    </row>
    <row r="6029" spans="3:3">
      <c r="C6029" s="160" t="str">
        <f t="shared" ref="C6029:C6092" si="113">D6029&amp;I6029</f>
        <v/>
      </c>
    </row>
    <row r="6030" spans="3:3">
      <c r="C6030" s="160" t="str">
        <f t="shared" si="113"/>
        <v/>
      </c>
    </row>
    <row r="6031" spans="3:3">
      <c r="C6031" s="160" t="str">
        <f t="shared" si="113"/>
        <v/>
      </c>
    </row>
    <row r="6032" spans="3:3">
      <c r="C6032" s="160" t="str">
        <f t="shared" si="113"/>
        <v/>
      </c>
    </row>
    <row r="6033" spans="3:3">
      <c r="C6033" s="160" t="str">
        <f t="shared" si="113"/>
        <v/>
      </c>
    </row>
    <row r="6034" spans="3:3">
      <c r="C6034" s="160" t="str">
        <f t="shared" si="113"/>
        <v/>
      </c>
    </row>
    <row r="6035" spans="3:3">
      <c r="C6035" s="160" t="str">
        <f t="shared" si="113"/>
        <v/>
      </c>
    </row>
    <row r="6036" spans="3:3">
      <c r="C6036" s="160" t="str">
        <f t="shared" si="113"/>
        <v/>
      </c>
    </row>
    <row r="6037" spans="3:3">
      <c r="C6037" s="160" t="str">
        <f t="shared" si="113"/>
        <v/>
      </c>
    </row>
    <row r="6038" spans="3:3">
      <c r="C6038" s="160" t="str">
        <f t="shared" si="113"/>
        <v/>
      </c>
    </row>
    <row r="6039" spans="3:3">
      <c r="C6039" s="160" t="str">
        <f t="shared" si="113"/>
        <v/>
      </c>
    </row>
    <row r="6040" spans="3:3">
      <c r="C6040" s="160" t="str">
        <f t="shared" si="113"/>
        <v/>
      </c>
    </row>
    <row r="6041" spans="3:3">
      <c r="C6041" s="160" t="str">
        <f t="shared" si="113"/>
        <v/>
      </c>
    </row>
    <row r="6042" spans="3:3">
      <c r="C6042" s="160" t="str">
        <f t="shared" si="113"/>
        <v/>
      </c>
    </row>
    <row r="6043" spans="3:3">
      <c r="C6043" s="160" t="str">
        <f t="shared" si="113"/>
        <v/>
      </c>
    </row>
    <row r="6044" spans="3:3">
      <c r="C6044" s="160" t="str">
        <f t="shared" si="113"/>
        <v/>
      </c>
    </row>
    <row r="6045" spans="3:3">
      <c r="C6045" s="160" t="str">
        <f t="shared" si="113"/>
        <v/>
      </c>
    </row>
    <row r="6046" spans="3:3">
      <c r="C6046" s="160" t="str">
        <f t="shared" si="113"/>
        <v/>
      </c>
    </row>
    <row r="6047" spans="3:3">
      <c r="C6047" s="160" t="str">
        <f t="shared" si="113"/>
        <v/>
      </c>
    </row>
    <row r="6048" spans="3:3">
      <c r="C6048" s="160" t="str">
        <f t="shared" si="113"/>
        <v/>
      </c>
    </row>
    <row r="6049" spans="3:3">
      <c r="C6049" s="160" t="str">
        <f t="shared" si="113"/>
        <v/>
      </c>
    </row>
    <row r="6050" spans="3:3">
      <c r="C6050" s="160" t="str">
        <f t="shared" si="113"/>
        <v/>
      </c>
    </row>
    <row r="6051" spans="3:3">
      <c r="C6051" s="160" t="str">
        <f t="shared" si="113"/>
        <v/>
      </c>
    </row>
    <row r="6052" spans="3:3">
      <c r="C6052" s="160" t="str">
        <f t="shared" si="113"/>
        <v/>
      </c>
    </row>
    <row r="6053" spans="3:3">
      <c r="C6053" s="160" t="str">
        <f t="shared" si="113"/>
        <v/>
      </c>
    </row>
    <row r="6054" spans="3:3">
      <c r="C6054" s="160" t="str">
        <f t="shared" si="113"/>
        <v/>
      </c>
    </row>
    <row r="6055" spans="3:3">
      <c r="C6055" s="160" t="str">
        <f t="shared" si="113"/>
        <v/>
      </c>
    </row>
    <row r="6056" spans="3:3">
      <c r="C6056" s="160" t="str">
        <f t="shared" si="113"/>
        <v/>
      </c>
    </row>
    <row r="6057" spans="3:3">
      <c r="C6057" s="160" t="str">
        <f t="shared" si="113"/>
        <v/>
      </c>
    </row>
    <row r="6058" spans="3:3">
      <c r="C6058" s="160" t="str">
        <f t="shared" si="113"/>
        <v/>
      </c>
    </row>
    <row r="6059" spans="3:3">
      <c r="C6059" s="160" t="str">
        <f t="shared" si="113"/>
        <v/>
      </c>
    </row>
    <row r="6060" spans="3:3">
      <c r="C6060" s="160" t="str">
        <f t="shared" si="113"/>
        <v/>
      </c>
    </row>
    <row r="6061" spans="3:3">
      <c r="C6061" s="160" t="str">
        <f t="shared" si="113"/>
        <v/>
      </c>
    </row>
    <row r="6062" spans="3:3">
      <c r="C6062" s="160" t="str">
        <f t="shared" si="113"/>
        <v/>
      </c>
    </row>
    <row r="6063" spans="3:3">
      <c r="C6063" s="160" t="str">
        <f t="shared" si="113"/>
        <v/>
      </c>
    </row>
    <row r="6064" spans="3:3">
      <c r="C6064" s="160" t="str">
        <f t="shared" si="113"/>
        <v/>
      </c>
    </row>
    <row r="6065" spans="3:3">
      <c r="C6065" s="160" t="str">
        <f t="shared" si="113"/>
        <v/>
      </c>
    </row>
    <row r="6066" spans="3:3">
      <c r="C6066" s="160" t="str">
        <f t="shared" si="113"/>
        <v/>
      </c>
    </row>
    <row r="6067" spans="3:3">
      <c r="C6067" s="160" t="str">
        <f t="shared" si="113"/>
        <v/>
      </c>
    </row>
    <row r="6068" spans="3:3">
      <c r="C6068" s="160" t="str">
        <f t="shared" si="113"/>
        <v/>
      </c>
    </row>
    <row r="6069" spans="3:3">
      <c r="C6069" s="160" t="str">
        <f t="shared" si="113"/>
        <v/>
      </c>
    </row>
    <row r="6070" spans="3:3">
      <c r="C6070" s="160" t="str">
        <f t="shared" si="113"/>
        <v/>
      </c>
    </row>
    <row r="6071" spans="3:3">
      <c r="C6071" s="160" t="str">
        <f t="shared" si="113"/>
        <v/>
      </c>
    </row>
    <row r="6072" spans="3:3">
      <c r="C6072" s="160" t="str">
        <f t="shared" si="113"/>
        <v/>
      </c>
    </row>
    <row r="6073" spans="3:3">
      <c r="C6073" s="160" t="str">
        <f t="shared" si="113"/>
        <v/>
      </c>
    </row>
    <row r="6074" spans="3:3">
      <c r="C6074" s="160" t="str">
        <f t="shared" si="113"/>
        <v/>
      </c>
    </row>
    <row r="6075" spans="3:3">
      <c r="C6075" s="160" t="str">
        <f t="shared" si="113"/>
        <v/>
      </c>
    </row>
    <row r="6076" spans="3:3">
      <c r="C6076" s="160" t="str">
        <f t="shared" si="113"/>
        <v/>
      </c>
    </row>
    <row r="6077" spans="3:3">
      <c r="C6077" s="160" t="str">
        <f t="shared" si="113"/>
        <v/>
      </c>
    </row>
    <row r="6078" spans="3:3">
      <c r="C6078" s="160" t="str">
        <f t="shared" si="113"/>
        <v/>
      </c>
    </row>
    <row r="6079" spans="3:3">
      <c r="C6079" s="160" t="str">
        <f t="shared" si="113"/>
        <v/>
      </c>
    </row>
    <row r="6080" spans="3:3">
      <c r="C6080" s="160" t="str">
        <f t="shared" si="113"/>
        <v/>
      </c>
    </row>
    <row r="6081" spans="3:3">
      <c r="C6081" s="160" t="str">
        <f t="shared" si="113"/>
        <v/>
      </c>
    </row>
    <row r="6082" spans="3:3">
      <c r="C6082" s="160" t="str">
        <f t="shared" si="113"/>
        <v/>
      </c>
    </row>
    <row r="6083" spans="3:3">
      <c r="C6083" s="160" t="str">
        <f t="shared" si="113"/>
        <v/>
      </c>
    </row>
    <row r="6084" spans="3:3">
      <c r="C6084" s="160" t="str">
        <f t="shared" si="113"/>
        <v/>
      </c>
    </row>
    <row r="6085" spans="3:3">
      <c r="C6085" s="160" t="str">
        <f t="shared" si="113"/>
        <v/>
      </c>
    </row>
    <row r="6086" spans="3:3">
      <c r="C6086" s="160" t="str">
        <f t="shared" si="113"/>
        <v/>
      </c>
    </row>
    <row r="6087" spans="3:3">
      <c r="C6087" s="160" t="str">
        <f t="shared" si="113"/>
        <v/>
      </c>
    </row>
    <row r="6088" spans="3:3">
      <c r="C6088" s="160" t="str">
        <f t="shared" si="113"/>
        <v/>
      </c>
    </row>
    <row r="6089" spans="3:3">
      <c r="C6089" s="160" t="str">
        <f t="shared" si="113"/>
        <v/>
      </c>
    </row>
    <row r="6090" spans="3:3">
      <c r="C6090" s="160" t="str">
        <f t="shared" si="113"/>
        <v/>
      </c>
    </row>
    <row r="6091" spans="3:3">
      <c r="C6091" s="160" t="str">
        <f t="shared" si="113"/>
        <v/>
      </c>
    </row>
    <row r="6092" spans="3:3">
      <c r="C6092" s="160" t="str">
        <f t="shared" si="113"/>
        <v/>
      </c>
    </row>
    <row r="6093" spans="3:3">
      <c r="C6093" s="160" t="str">
        <f t="shared" ref="C6093:C6156" si="114">D6093&amp;I6093</f>
        <v/>
      </c>
    </row>
    <row r="6094" spans="3:3">
      <c r="C6094" s="160" t="str">
        <f t="shared" si="114"/>
        <v/>
      </c>
    </row>
    <row r="6095" spans="3:3">
      <c r="C6095" s="160" t="str">
        <f t="shared" si="114"/>
        <v/>
      </c>
    </row>
    <row r="6096" spans="3:3">
      <c r="C6096" s="160" t="str">
        <f t="shared" si="114"/>
        <v/>
      </c>
    </row>
    <row r="6097" spans="3:3">
      <c r="C6097" s="160" t="str">
        <f t="shared" si="114"/>
        <v/>
      </c>
    </row>
    <row r="6098" spans="3:3">
      <c r="C6098" s="160" t="str">
        <f t="shared" si="114"/>
        <v/>
      </c>
    </row>
    <row r="6099" spans="3:3">
      <c r="C6099" s="160" t="str">
        <f t="shared" si="114"/>
        <v/>
      </c>
    </row>
    <row r="6100" spans="3:3">
      <c r="C6100" s="160" t="str">
        <f t="shared" si="114"/>
        <v/>
      </c>
    </row>
    <row r="6101" spans="3:3">
      <c r="C6101" s="160" t="str">
        <f t="shared" si="114"/>
        <v/>
      </c>
    </row>
    <row r="6102" spans="3:3">
      <c r="C6102" s="160" t="str">
        <f t="shared" si="114"/>
        <v/>
      </c>
    </row>
    <row r="6103" spans="3:3">
      <c r="C6103" s="160" t="str">
        <f t="shared" si="114"/>
        <v/>
      </c>
    </row>
    <row r="6104" spans="3:3">
      <c r="C6104" s="160" t="str">
        <f t="shared" si="114"/>
        <v/>
      </c>
    </row>
    <row r="6105" spans="3:3">
      <c r="C6105" s="160" t="str">
        <f t="shared" si="114"/>
        <v/>
      </c>
    </row>
    <row r="6106" spans="3:3">
      <c r="C6106" s="160" t="str">
        <f t="shared" si="114"/>
        <v/>
      </c>
    </row>
    <row r="6107" spans="3:3">
      <c r="C6107" s="160" t="str">
        <f t="shared" si="114"/>
        <v/>
      </c>
    </row>
    <row r="6108" spans="3:3">
      <c r="C6108" s="160" t="str">
        <f t="shared" si="114"/>
        <v/>
      </c>
    </row>
    <row r="6109" spans="3:3">
      <c r="C6109" s="160" t="str">
        <f t="shared" si="114"/>
        <v/>
      </c>
    </row>
    <row r="6110" spans="3:3">
      <c r="C6110" s="160" t="str">
        <f t="shared" si="114"/>
        <v/>
      </c>
    </row>
    <row r="6111" spans="3:3">
      <c r="C6111" s="160" t="str">
        <f t="shared" si="114"/>
        <v/>
      </c>
    </row>
    <row r="6112" spans="3:3">
      <c r="C6112" s="160" t="str">
        <f t="shared" si="114"/>
        <v/>
      </c>
    </row>
    <row r="6113" spans="3:3">
      <c r="C6113" s="160" t="str">
        <f t="shared" si="114"/>
        <v/>
      </c>
    </row>
    <row r="6114" spans="3:3">
      <c r="C6114" s="160" t="str">
        <f t="shared" si="114"/>
        <v/>
      </c>
    </row>
    <row r="6115" spans="3:3">
      <c r="C6115" s="160" t="str">
        <f t="shared" si="114"/>
        <v/>
      </c>
    </row>
    <row r="6116" spans="3:3">
      <c r="C6116" s="160" t="str">
        <f t="shared" si="114"/>
        <v/>
      </c>
    </row>
    <row r="6117" spans="3:3">
      <c r="C6117" s="160" t="str">
        <f t="shared" si="114"/>
        <v/>
      </c>
    </row>
    <row r="6118" spans="3:3">
      <c r="C6118" s="160" t="str">
        <f t="shared" si="114"/>
        <v/>
      </c>
    </row>
    <row r="6119" spans="3:3">
      <c r="C6119" s="160" t="str">
        <f t="shared" si="114"/>
        <v/>
      </c>
    </row>
    <row r="6120" spans="3:3">
      <c r="C6120" s="160" t="str">
        <f t="shared" si="114"/>
        <v/>
      </c>
    </row>
    <row r="6121" spans="3:3">
      <c r="C6121" s="160" t="str">
        <f t="shared" si="114"/>
        <v/>
      </c>
    </row>
    <row r="6122" spans="3:3">
      <c r="C6122" s="160" t="str">
        <f t="shared" si="114"/>
        <v/>
      </c>
    </row>
    <row r="6123" spans="3:3">
      <c r="C6123" s="160" t="str">
        <f t="shared" si="114"/>
        <v/>
      </c>
    </row>
    <row r="6124" spans="3:3">
      <c r="C6124" s="160" t="str">
        <f t="shared" si="114"/>
        <v/>
      </c>
    </row>
    <row r="6125" spans="3:3">
      <c r="C6125" s="160" t="str">
        <f t="shared" si="114"/>
        <v/>
      </c>
    </row>
    <row r="6126" spans="3:3">
      <c r="C6126" s="160" t="str">
        <f t="shared" si="114"/>
        <v/>
      </c>
    </row>
    <row r="6127" spans="3:3">
      <c r="C6127" s="160" t="str">
        <f t="shared" si="114"/>
        <v/>
      </c>
    </row>
    <row r="6128" spans="3:3">
      <c r="C6128" s="160" t="str">
        <f t="shared" si="114"/>
        <v/>
      </c>
    </row>
    <row r="6129" spans="3:3">
      <c r="C6129" s="160" t="str">
        <f t="shared" si="114"/>
        <v/>
      </c>
    </row>
    <row r="6130" spans="3:3">
      <c r="C6130" s="160" t="str">
        <f t="shared" si="114"/>
        <v/>
      </c>
    </row>
    <row r="6131" spans="3:3">
      <c r="C6131" s="160" t="str">
        <f t="shared" si="114"/>
        <v/>
      </c>
    </row>
    <row r="6132" spans="3:3">
      <c r="C6132" s="160" t="str">
        <f t="shared" si="114"/>
        <v/>
      </c>
    </row>
    <row r="6133" spans="3:3">
      <c r="C6133" s="160" t="str">
        <f t="shared" si="114"/>
        <v/>
      </c>
    </row>
    <row r="6134" spans="3:3">
      <c r="C6134" s="160" t="str">
        <f t="shared" si="114"/>
        <v/>
      </c>
    </row>
    <row r="6135" spans="3:3">
      <c r="C6135" s="160" t="str">
        <f t="shared" si="114"/>
        <v/>
      </c>
    </row>
    <row r="6136" spans="3:3">
      <c r="C6136" s="160" t="str">
        <f t="shared" si="114"/>
        <v/>
      </c>
    </row>
    <row r="6137" spans="3:3">
      <c r="C6137" s="160" t="str">
        <f t="shared" si="114"/>
        <v/>
      </c>
    </row>
    <row r="6138" spans="3:3">
      <c r="C6138" s="160" t="str">
        <f t="shared" si="114"/>
        <v/>
      </c>
    </row>
    <row r="6139" spans="3:3">
      <c r="C6139" s="160" t="str">
        <f t="shared" si="114"/>
        <v/>
      </c>
    </row>
    <row r="6140" spans="3:3">
      <c r="C6140" s="160" t="str">
        <f t="shared" si="114"/>
        <v/>
      </c>
    </row>
    <row r="6141" spans="3:3">
      <c r="C6141" s="160" t="str">
        <f t="shared" si="114"/>
        <v/>
      </c>
    </row>
    <row r="6142" spans="3:3">
      <c r="C6142" s="160" t="str">
        <f t="shared" si="114"/>
        <v/>
      </c>
    </row>
    <row r="6143" spans="3:3">
      <c r="C6143" s="160" t="str">
        <f t="shared" si="114"/>
        <v/>
      </c>
    </row>
    <row r="6144" spans="3:3">
      <c r="C6144" s="160" t="str">
        <f t="shared" si="114"/>
        <v/>
      </c>
    </row>
    <row r="6145" spans="3:3">
      <c r="C6145" s="160" t="str">
        <f t="shared" si="114"/>
        <v/>
      </c>
    </row>
    <row r="6146" spans="3:3">
      <c r="C6146" s="160" t="str">
        <f t="shared" si="114"/>
        <v/>
      </c>
    </row>
    <row r="6147" spans="3:3">
      <c r="C6147" s="160" t="str">
        <f t="shared" si="114"/>
        <v/>
      </c>
    </row>
    <row r="6148" spans="3:3">
      <c r="C6148" s="160" t="str">
        <f t="shared" si="114"/>
        <v/>
      </c>
    </row>
    <row r="6149" spans="3:3">
      <c r="C6149" s="160" t="str">
        <f t="shared" si="114"/>
        <v/>
      </c>
    </row>
    <row r="6150" spans="3:3">
      <c r="C6150" s="160" t="str">
        <f t="shared" si="114"/>
        <v/>
      </c>
    </row>
    <row r="6151" spans="3:3">
      <c r="C6151" s="160" t="str">
        <f t="shared" si="114"/>
        <v/>
      </c>
    </row>
    <row r="6152" spans="3:3">
      <c r="C6152" s="160" t="str">
        <f t="shared" si="114"/>
        <v/>
      </c>
    </row>
    <row r="6153" spans="3:3">
      <c r="C6153" s="160" t="str">
        <f t="shared" si="114"/>
        <v/>
      </c>
    </row>
    <row r="6154" spans="3:3">
      <c r="C6154" s="160" t="str">
        <f t="shared" si="114"/>
        <v/>
      </c>
    </row>
    <row r="6155" spans="3:3">
      <c r="C6155" s="160" t="str">
        <f t="shared" si="114"/>
        <v/>
      </c>
    </row>
    <row r="6156" spans="3:3">
      <c r="C6156" s="160" t="str">
        <f t="shared" si="114"/>
        <v/>
      </c>
    </row>
    <row r="6157" spans="3:3">
      <c r="C6157" s="160" t="str">
        <f t="shared" ref="C6157:C6220" si="115">D6157&amp;I6157</f>
        <v/>
      </c>
    </row>
    <row r="6158" spans="3:3">
      <c r="C6158" s="160" t="str">
        <f t="shared" si="115"/>
        <v/>
      </c>
    </row>
    <row r="6159" spans="3:3">
      <c r="C6159" s="160" t="str">
        <f t="shared" si="115"/>
        <v/>
      </c>
    </row>
    <row r="6160" spans="3:3">
      <c r="C6160" s="160" t="str">
        <f t="shared" si="115"/>
        <v/>
      </c>
    </row>
    <row r="6161" spans="3:3">
      <c r="C6161" s="160" t="str">
        <f t="shared" si="115"/>
        <v/>
      </c>
    </row>
    <row r="6162" spans="3:3">
      <c r="C6162" s="160" t="str">
        <f t="shared" si="115"/>
        <v/>
      </c>
    </row>
    <row r="6163" spans="3:3">
      <c r="C6163" s="160" t="str">
        <f t="shared" si="115"/>
        <v/>
      </c>
    </row>
    <row r="6164" spans="3:3">
      <c r="C6164" s="160" t="str">
        <f t="shared" si="115"/>
        <v/>
      </c>
    </row>
    <row r="6165" spans="3:3">
      <c r="C6165" s="160" t="str">
        <f t="shared" si="115"/>
        <v/>
      </c>
    </row>
    <row r="6166" spans="3:3">
      <c r="C6166" s="160" t="str">
        <f t="shared" si="115"/>
        <v/>
      </c>
    </row>
    <row r="6167" spans="3:3">
      <c r="C6167" s="160" t="str">
        <f t="shared" si="115"/>
        <v/>
      </c>
    </row>
    <row r="6168" spans="3:3">
      <c r="C6168" s="160" t="str">
        <f t="shared" si="115"/>
        <v/>
      </c>
    </row>
    <row r="6169" spans="3:3">
      <c r="C6169" s="160" t="str">
        <f t="shared" si="115"/>
        <v/>
      </c>
    </row>
    <row r="6170" spans="3:3">
      <c r="C6170" s="160" t="str">
        <f t="shared" si="115"/>
        <v/>
      </c>
    </row>
    <row r="6171" spans="3:3">
      <c r="C6171" s="160" t="str">
        <f t="shared" si="115"/>
        <v/>
      </c>
    </row>
    <row r="6172" spans="3:3">
      <c r="C6172" s="160" t="str">
        <f t="shared" si="115"/>
        <v/>
      </c>
    </row>
    <row r="6173" spans="3:3">
      <c r="C6173" s="160" t="str">
        <f t="shared" si="115"/>
        <v/>
      </c>
    </row>
    <row r="6174" spans="3:3">
      <c r="C6174" s="160" t="str">
        <f t="shared" si="115"/>
        <v/>
      </c>
    </row>
    <row r="6175" spans="3:3">
      <c r="C6175" s="160" t="str">
        <f t="shared" si="115"/>
        <v/>
      </c>
    </row>
    <row r="6176" spans="3:3">
      <c r="C6176" s="160" t="str">
        <f t="shared" si="115"/>
        <v/>
      </c>
    </row>
    <row r="6177" spans="3:3">
      <c r="C6177" s="160" t="str">
        <f t="shared" si="115"/>
        <v/>
      </c>
    </row>
    <row r="6178" spans="3:3">
      <c r="C6178" s="160" t="str">
        <f t="shared" si="115"/>
        <v/>
      </c>
    </row>
    <row r="6179" spans="3:3">
      <c r="C6179" s="160" t="str">
        <f t="shared" si="115"/>
        <v/>
      </c>
    </row>
    <row r="6180" spans="3:3">
      <c r="C6180" s="160" t="str">
        <f t="shared" si="115"/>
        <v/>
      </c>
    </row>
    <row r="6181" spans="3:3">
      <c r="C6181" s="160" t="str">
        <f t="shared" si="115"/>
        <v/>
      </c>
    </row>
    <row r="6182" spans="3:3">
      <c r="C6182" s="160" t="str">
        <f t="shared" si="115"/>
        <v/>
      </c>
    </row>
    <row r="6183" spans="3:3">
      <c r="C6183" s="160" t="str">
        <f t="shared" si="115"/>
        <v/>
      </c>
    </row>
    <row r="6184" spans="3:3">
      <c r="C6184" s="160" t="str">
        <f t="shared" si="115"/>
        <v/>
      </c>
    </row>
    <row r="6185" spans="3:3">
      <c r="C6185" s="160" t="str">
        <f t="shared" si="115"/>
        <v/>
      </c>
    </row>
    <row r="6186" spans="3:3">
      <c r="C6186" s="160" t="str">
        <f t="shared" si="115"/>
        <v/>
      </c>
    </row>
    <row r="6187" spans="3:3">
      <c r="C6187" s="160" t="str">
        <f t="shared" si="115"/>
        <v/>
      </c>
    </row>
    <row r="6188" spans="3:3">
      <c r="C6188" s="160" t="str">
        <f t="shared" si="115"/>
        <v/>
      </c>
    </row>
    <row r="6189" spans="3:3">
      <c r="C6189" s="160" t="str">
        <f t="shared" si="115"/>
        <v/>
      </c>
    </row>
    <row r="6190" spans="3:3">
      <c r="C6190" s="160" t="str">
        <f t="shared" si="115"/>
        <v/>
      </c>
    </row>
    <row r="6191" spans="3:3">
      <c r="C6191" s="160" t="str">
        <f t="shared" si="115"/>
        <v/>
      </c>
    </row>
    <row r="6192" spans="3:3">
      <c r="C6192" s="160" t="str">
        <f t="shared" si="115"/>
        <v/>
      </c>
    </row>
    <row r="6193" spans="3:3">
      <c r="C6193" s="160" t="str">
        <f t="shared" si="115"/>
        <v/>
      </c>
    </row>
    <row r="6194" spans="3:3">
      <c r="C6194" s="160" t="str">
        <f t="shared" si="115"/>
        <v/>
      </c>
    </row>
    <row r="6195" spans="3:3">
      <c r="C6195" s="160" t="str">
        <f t="shared" si="115"/>
        <v/>
      </c>
    </row>
    <row r="6196" spans="3:3">
      <c r="C6196" s="160" t="str">
        <f t="shared" si="115"/>
        <v/>
      </c>
    </row>
    <row r="6197" spans="3:3">
      <c r="C6197" s="160" t="str">
        <f t="shared" si="115"/>
        <v/>
      </c>
    </row>
    <row r="6198" spans="3:3">
      <c r="C6198" s="160" t="str">
        <f t="shared" si="115"/>
        <v/>
      </c>
    </row>
    <row r="6199" spans="3:3">
      <c r="C6199" s="160" t="str">
        <f t="shared" si="115"/>
        <v/>
      </c>
    </row>
    <row r="6200" spans="3:3">
      <c r="C6200" s="160" t="str">
        <f t="shared" si="115"/>
        <v/>
      </c>
    </row>
    <row r="6201" spans="3:3">
      <c r="C6201" s="160" t="str">
        <f t="shared" si="115"/>
        <v/>
      </c>
    </row>
    <row r="6202" spans="3:3">
      <c r="C6202" s="160" t="str">
        <f t="shared" si="115"/>
        <v/>
      </c>
    </row>
    <row r="6203" spans="3:3">
      <c r="C6203" s="160" t="str">
        <f t="shared" si="115"/>
        <v/>
      </c>
    </row>
    <row r="6204" spans="3:3">
      <c r="C6204" s="160" t="str">
        <f t="shared" si="115"/>
        <v/>
      </c>
    </row>
    <row r="6205" spans="3:3">
      <c r="C6205" s="160" t="str">
        <f t="shared" si="115"/>
        <v/>
      </c>
    </row>
    <row r="6206" spans="3:3">
      <c r="C6206" s="160" t="str">
        <f t="shared" si="115"/>
        <v/>
      </c>
    </row>
    <row r="6207" spans="3:3">
      <c r="C6207" s="160" t="str">
        <f t="shared" si="115"/>
        <v/>
      </c>
    </row>
    <row r="6208" spans="3:3">
      <c r="C6208" s="160" t="str">
        <f t="shared" si="115"/>
        <v/>
      </c>
    </row>
    <row r="6209" spans="3:3">
      <c r="C6209" s="160" t="str">
        <f t="shared" si="115"/>
        <v/>
      </c>
    </row>
    <row r="6210" spans="3:3">
      <c r="C6210" s="160" t="str">
        <f t="shared" si="115"/>
        <v/>
      </c>
    </row>
    <row r="6211" spans="3:3">
      <c r="C6211" s="160" t="str">
        <f t="shared" si="115"/>
        <v/>
      </c>
    </row>
    <row r="6212" spans="3:3">
      <c r="C6212" s="160" t="str">
        <f t="shared" si="115"/>
        <v/>
      </c>
    </row>
    <row r="6213" spans="3:3">
      <c r="C6213" s="160" t="str">
        <f t="shared" si="115"/>
        <v/>
      </c>
    </row>
    <row r="6214" spans="3:3">
      <c r="C6214" s="160" t="str">
        <f t="shared" si="115"/>
        <v/>
      </c>
    </row>
    <row r="6215" spans="3:3">
      <c r="C6215" s="160" t="str">
        <f t="shared" si="115"/>
        <v/>
      </c>
    </row>
    <row r="6216" spans="3:3">
      <c r="C6216" s="160" t="str">
        <f t="shared" si="115"/>
        <v/>
      </c>
    </row>
    <row r="6217" spans="3:3">
      <c r="C6217" s="160" t="str">
        <f t="shared" si="115"/>
        <v/>
      </c>
    </row>
    <row r="6218" spans="3:3">
      <c r="C6218" s="160" t="str">
        <f t="shared" si="115"/>
        <v/>
      </c>
    </row>
    <row r="6219" spans="3:3">
      <c r="C6219" s="160" t="str">
        <f t="shared" si="115"/>
        <v/>
      </c>
    </row>
    <row r="6220" spans="3:3">
      <c r="C6220" s="160" t="str">
        <f t="shared" si="115"/>
        <v/>
      </c>
    </row>
    <row r="6221" spans="3:3">
      <c r="C6221" s="160" t="str">
        <f t="shared" ref="C6221:C6284" si="116">D6221&amp;I6221</f>
        <v/>
      </c>
    </row>
    <row r="6222" spans="3:3">
      <c r="C6222" s="160" t="str">
        <f t="shared" si="116"/>
        <v/>
      </c>
    </row>
    <row r="6223" spans="3:3">
      <c r="C6223" s="160" t="str">
        <f t="shared" si="116"/>
        <v/>
      </c>
    </row>
    <row r="6224" spans="3:3">
      <c r="C6224" s="160" t="str">
        <f t="shared" si="116"/>
        <v/>
      </c>
    </row>
    <row r="6225" spans="3:3">
      <c r="C6225" s="160" t="str">
        <f t="shared" si="116"/>
        <v/>
      </c>
    </row>
    <row r="6226" spans="3:3">
      <c r="C6226" s="160" t="str">
        <f t="shared" si="116"/>
        <v/>
      </c>
    </row>
    <row r="6227" spans="3:3">
      <c r="C6227" s="160" t="str">
        <f t="shared" si="116"/>
        <v/>
      </c>
    </row>
    <row r="6228" spans="3:3">
      <c r="C6228" s="160" t="str">
        <f t="shared" si="116"/>
        <v/>
      </c>
    </row>
    <row r="6229" spans="3:3">
      <c r="C6229" s="160" t="str">
        <f t="shared" si="116"/>
        <v/>
      </c>
    </row>
    <row r="6230" spans="3:3">
      <c r="C6230" s="160" t="str">
        <f t="shared" si="116"/>
        <v/>
      </c>
    </row>
    <row r="6231" spans="3:3">
      <c r="C6231" s="160" t="str">
        <f t="shared" si="116"/>
        <v/>
      </c>
    </row>
    <row r="6232" spans="3:3">
      <c r="C6232" s="160" t="str">
        <f t="shared" si="116"/>
        <v/>
      </c>
    </row>
    <row r="6233" spans="3:3">
      <c r="C6233" s="160" t="str">
        <f t="shared" si="116"/>
        <v/>
      </c>
    </row>
    <row r="6234" spans="3:3">
      <c r="C6234" s="160" t="str">
        <f t="shared" si="116"/>
        <v/>
      </c>
    </row>
    <row r="6235" spans="3:3">
      <c r="C6235" s="160" t="str">
        <f t="shared" si="116"/>
        <v/>
      </c>
    </row>
    <row r="6236" spans="3:3">
      <c r="C6236" s="160" t="str">
        <f t="shared" si="116"/>
        <v/>
      </c>
    </row>
    <row r="6237" spans="3:3">
      <c r="C6237" s="160" t="str">
        <f t="shared" si="116"/>
        <v/>
      </c>
    </row>
    <row r="6238" spans="3:3">
      <c r="C6238" s="160" t="str">
        <f t="shared" si="116"/>
        <v/>
      </c>
    </row>
    <row r="6239" spans="3:3">
      <c r="C6239" s="160" t="str">
        <f t="shared" si="116"/>
        <v/>
      </c>
    </row>
    <row r="6240" spans="3:3">
      <c r="C6240" s="160" t="str">
        <f t="shared" si="116"/>
        <v/>
      </c>
    </row>
    <row r="6241" spans="3:3">
      <c r="C6241" s="160" t="str">
        <f t="shared" si="116"/>
        <v/>
      </c>
    </row>
    <row r="6242" spans="3:3">
      <c r="C6242" s="160" t="str">
        <f t="shared" si="116"/>
        <v/>
      </c>
    </row>
    <row r="6243" spans="3:3">
      <c r="C6243" s="160" t="str">
        <f t="shared" si="116"/>
        <v/>
      </c>
    </row>
    <row r="6244" spans="3:3">
      <c r="C6244" s="160" t="str">
        <f t="shared" si="116"/>
        <v/>
      </c>
    </row>
    <row r="6245" spans="3:3">
      <c r="C6245" s="160" t="str">
        <f t="shared" si="116"/>
        <v/>
      </c>
    </row>
    <row r="6246" spans="3:3">
      <c r="C6246" s="160" t="str">
        <f t="shared" si="116"/>
        <v/>
      </c>
    </row>
    <row r="6247" spans="3:3">
      <c r="C6247" s="160" t="str">
        <f t="shared" si="116"/>
        <v/>
      </c>
    </row>
    <row r="6248" spans="3:3">
      <c r="C6248" s="160" t="str">
        <f t="shared" si="116"/>
        <v/>
      </c>
    </row>
    <row r="6249" spans="3:3">
      <c r="C6249" s="160" t="str">
        <f t="shared" si="116"/>
        <v/>
      </c>
    </row>
    <row r="6250" spans="3:3">
      <c r="C6250" s="160" t="str">
        <f t="shared" si="116"/>
        <v/>
      </c>
    </row>
    <row r="6251" spans="3:3">
      <c r="C6251" s="160" t="str">
        <f t="shared" si="116"/>
        <v/>
      </c>
    </row>
    <row r="6252" spans="3:3">
      <c r="C6252" s="160" t="str">
        <f t="shared" si="116"/>
        <v/>
      </c>
    </row>
    <row r="6253" spans="3:3">
      <c r="C6253" s="160" t="str">
        <f t="shared" si="116"/>
        <v/>
      </c>
    </row>
    <row r="6254" spans="3:3">
      <c r="C6254" s="160" t="str">
        <f t="shared" si="116"/>
        <v/>
      </c>
    </row>
    <row r="6255" spans="3:3">
      <c r="C6255" s="160" t="str">
        <f t="shared" si="116"/>
        <v/>
      </c>
    </row>
    <row r="6256" spans="3:3">
      <c r="C6256" s="160" t="str">
        <f t="shared" si="116"/>
        <v/>
      </c>
    </row>
    <row r="6257" spans="3:3">
      <c r="C6257" s="160" t="str">
        <f t="shared" si="116"/>
        <v/>
      </c>
    </row>
    <row r="6258" spans="3:3">
      <c r="C6258" s="160" t="str">
        <f t="shared" si="116"/>
        <v/>
      </c>
    </row>
    <row r="6259" spans="3:3">
      <c r="C6259" s="160" t="str">
        <f t="shared" si="116"/>
        <v/>
      </c>
    </row>
    <row r="6260" spans="3:3">
      <c r="C6260" s="160" t="str">
        <f t="shared" si="116"/>
        <v/>
      </c>
    </row>
    <row r="6261" spans="3:3">
      <c r="C6261" s="160" t="str">
        <f t="shared" si="116"/>
        <v/>
      </c>
    </row>
    <row r="6262" spans="3:3">
      <c r="C6262" s="160" t="str">
        <f t="shared" si="116"/>
        <v/>
      </c>
    </row>
    <row r="6263" spans="3:3">
      <c r="C6263" s="160" t="str">
        <f t="shared" si="116"/>
        <v/>
      </c>
    </row>
    <row r="6264" spans="3:3">
      <c r="C6264" s="160" t="str">
        <f t="shared" si="116"/>
        <v/>
      </c>
    </row>
    <row r="6265" spans="3:3">
      <c r="C6265" s="160" t="str">
        <f t="shared" si="116"/>
        <v/>
      </c>
    </row>
    <row r="6266" spans="3:3">
      <c r="C6266" s="160" t="str">
        <f t="shared" si="116"/>
        <v/>
      </c>
    </row>
    <row r="6267" spans="3:3">
      <c r="C6267" s="160" t="str">
        <f t="shared" si="116"/>
        <v/>
      </c>
    </row>
    <row r="6268" spans="3:3">
      <c r="C6268" s="160" t="str">
        <f t="shared" si="116"/>
        <v/>
      </c>
    </row>
    <row r="6269" spans="3:3">
      <c r="C6269" s="160" t="str">
        <f t="shared" si="116"/>
        <v/>
      </c>
    </row>
    <row r="6270" spans="3:3">
      <c r="C6270" s="160" t="str">
        <f t="shared" si="116"/>
        <v/>
      </c>
    </row>
    <row r="6271" spans="3:3">
      <c r="C6271" s="160" t="str">
        <f t="shared" si="116"/>
        <v/>
      </c>
    </row>
    <row r="6272" spans="3:3">
      <c r="C6272" s="160" t="str">
        <f t="shared" si="116"/>
        <v/>
      </c>
    </row>
    <row r="6273" spans="3:3">
      <c r="C6273" s="160" t="str">
        <f t="shared" si="116"/>
        <v/>
      </c>
    </row>
    <row r="6274" spans="3:3">
      <c r="C6274" s="160" t="str">
        <f t="shared" si="116"/>
        <v/>
      </c>
    </row>
    <row r="6275" spans="3:3">
      <c r="C6275" s="160" t="str">
        <f t="shared" si="116"/>
        <v/>
      </c>
    </row>
    <row r="6276" spans="3:3">
      <c r="C6276" s="160" t="str">
        <f t="shared" si="116"/>
        <v/>
      </c>
    </row>
    <row r="6277" spans="3:3">
      <c r="C6277" s="160" t="str">
        <f t="shared" si="116"/>
        <v/>
      </c>
    </row>
    <row r="6278" spans="3:3">
      <c r="C6278" s="160" t="str">
        <f t="shared" si="116"/>
        <v/>
      </c>
    </row>
    <row r="6279" spans="3:3">
      <c r="C6279" s="160" t="str">
        <f t="shared" si="116"/>
        <v/>
      </c>
    </row>
    <row r="6280" spans="3:3">
      <c r="C6280" s="160" t="str">
        <f t="shared" si="116"/>
        <v/>
      </c>
    </row>
    <row r="6281" spans="3:3">
      <c r="C6281" s="160" t="str">
        <f t="shared" si="116"/>
        <v/>
      </c>
    </row>
    <row r="6282" spans="3:3">
      <c r="C6282" s="160" t="str">
        <f t="shared" si="116"/>
        <v/>
      </c>
    </row>
    <row r="6283" spans="3:3">
      <c r="C6283" s="160" t="str">
        <f t="shared" si="116"/>
        <v/>
      </c>
    </row>
    <row r="6284" spans="3:3">
      <c r="C6284" s="160" t="str">
        <f t="shared" si="116"/>
        <v/>
      </c>
    </row>
    <row r="6285" spans="3:3">
      <c r="C6285" s="160" t="str">
        <f t="shared" ref="C6285:C6348" si="117">D6285&amp;I6285</f>
        <v/>
      </c>
    </row>
    <row r="6286" spans="3:3">
      <c r="C6286" s="160" t="str">
        <f t="shared" si="117"/>
        <v/>
      </c>
    </row>
    <row r="6287" spans="3:3">
      <c r="C6287" s="160" t="str">
        <f t="shared" si="117"/>
        <v/>
      </c>
    </row>
    <row r="6288" spans="3:3">
      <c r="C6288" s="160" t="str">
        <f t="shared" si="117"/>
        <v/>
      </c>
    </row>
    <row r="6289" spans="3:3">
      <c r="C6289" s="160" t="str">
        <f t="shared" si="117"/>
        <v/>
      </c>
    </row>
    <row r="6290" spans="3:3">
      <c r="C6290" s="160" t="str">
        <f t="shared" si="117"/>
        <v/>
      </c>
    </row>
    <row r="6291" spans="3:3">
      <c r="C6291" s="160" t="str">
        <f t="shared" si="117"/>
        <v/>
      </c>
    </row>
    <row r="6292" spans="3:3">
      <c r="C6292" s="160" t="str">
        <f t="shared" si="117"/>
        <v/>
      </c>
    </row>
    <row r="6293" spans="3:3">
      <c r="C6293" s="160" t="str">
        <f t="shared" si="117"/>
        <v/>
      </c>
    </row>
    <row r="6294" spans="3:3">
      <c r="C6294" s="160" t="str">
        <f t="shared" si="117"/>
        <v/>
      </c>
    </row>
    <row r="6295" spans="3:3">
      <c r="C6295" s="160" t="str">
        <f t="shared" si="117"/>
        <v/>
      </c>
    </row>
    <row r="6296" spans="3:3">
      <c r="C6296" s="160" t="str">
        <f t="shared" si="117"/>
        <v/>
      </c>
    </row>
    <row r="6297" spans="3:3">
      <c r="C6297" s="160" t="str">
        <f t="shared" si="117"/>
        <v/>
      </c>
    </row>
    <row r="6298" spans="3:3">
      <c r="C6298" s="160" t="str">
        <f t="shared" si="117"/>
        <v/>
      </c>
    </row>
    <row r="6299" spans="3:3">
      <c r="C6299" s="160" t="str">
        <f t="shared" si="117"/>
        <v/>
      </c>
    </row>
    <row r="6300" spans="3:3">
      <c r="C6300" s="160" t="str">
        <f t="shared" si="117"/>
        <v/>
      </c>
    </row>
    <row r="6301" spans="3:3">
      <c r="C6301" s="160" t="str">
        <f t="shared" si="117"/>
        <v/>
      </c>
    </row>
    <row r="6302" spans="3:3">
      <c r="C6302" s="160" t="str">
        <f t="shared" si="117"/>
        <v/>
      </c>
    </row>
    <row r="6303" spans="3:3">
      <c r="C6303" s="160" t="str">
        <f t="shared" si="117"/>
        <v/>
      </c>
    </row>
    <row r="6304" spans="3:3">
      <c r="C6304" s="160" t="str">
        <f t="shared" si="117"/>
        <v/>
      </c>
    </row>
    <row r="6305" spans="3:3">
      <c r="C6305" s="160" t="str">
        <f t="shared" si="117"/>
        <v/>
      </c>
    </row>
    <row r="6306" spans="3:3">
      <c r="C6306" s="160" t="str">
        <f t="shared" si="117"/>
        <v/>
      </c>
    </row>
    <row r="6307" spans="3:3">
      <c r="C6307" s="160" t="str">
        <f t="shared" si="117"/>
        <v/>
      </c>
    </row>
    <row r="6308" spans="3:3">
      <c r="C6308" s="160" t="str">
        <f t="shared" si="117"/>
        <v/>
      </c>
    </row>
    <row r="6309" spans="3:3">
      <c r="C6309" s="160" t="str">
        <f t="shared" si="117"/>
        <v/>
      </c>
    </row>
    <row r="6310" spans="3:3">
      <c r="C6310" s="160" t="str">
        <f t="shared" si="117"/>
        <v/>
      </c>
    </row>
    <row r="6311" spans="3:3">
      <c r="C6311" s="160" t="str">
        <f t="shared" si="117"/>
        <v/>
      </c>
    </row>
    <row r="6312" spans="3:3">
      <c r="C6312" s="160" t="str">
        <f t="shared" si="117"/>
        <v/>
      </c>
    </row>
    <row r="6313" spans="3:3">
      <c r="C6313" s="160" t="str">
        <f t="shared" si="117"/>
        <v/>
      </c>
    </row>
    <row r="6314" spans="3:3">
      <c r="C6314" s="160" t="str">
        <f t="shared" si="117"/>
        <v/>
      </c>
    </row>
    <row r="6315" spans="3:3">
      <c r="C6315" s="160" t="str">
        <f t="shared" si="117"/>
        <v/>
      </c>
    </row>
    <row r="6316" spans="3:3">
      <c r="C6316" s="160" t="str">
        <f t="shared" si="117"/>
        <v/>
      </c>
    </row>
    <row r="6317" spans="3:3">
      <c r="C6317" s="160" t="str">
        <f t="shared" si="117"/>
        <v/>
      </c>
    </row>
    <row r="6318" spans="3:3">
      <c r="C6318" s="160" t="str">
        <f t="shared" si="117"/>
        <v/>
      </c>
    </row>
    <row r="6319" spans="3:3">
      <c r="C6319" s="160" t="str">
        <f t="shared" si="117"/>
        <v/>
      </c>
    </row>
    <row r="6320" spans="3:3">
      <c r="C6320" s="160" t="str">
        <f t="shared" si="117"/>
        <v/>
      </c>
    </row>
    <row r="6321" spans="3:3">
      <c r="C6321" s="160" t="str">
        <f t="shared" si="117"/>
        <v/>
      </c>
    </row>
    <row r="6322" spans="3:3">
      <c r="C6322" s="160" t="str">
        <f t="shared" si="117"/>
        <v/>
      </c>
    </row>
    <row r="6323" spans="3:3">
      <c r="C6323" s="160" t="str">
        <f t="shared" si="117"/>
        <v/>
      </c>
    </row>
    <row r="6324" spans="3:3">
      <c r="C6324" s="160" t="str">
        <f t="shared" si="117"/>
        <v/>
      </c>
    </row>
    <row r="6325" spans="3:3">
      <c r="C6325" s="160" t="str">
        <f t="shared" si="117"/>
        <v/>
      </c>
    </row>
    <row r="6326" spans="3:3">
      <c r="C6326" s="160" t="str">
        <f t="shared" si="117"/>
        <v/>
      </c>
    </row>
    <row r="6327" spans="3:3">
      <c r="C6327" s="160" t="str">
        <f t="shared" si="117"/>
        <v/>
      </c>
    </row>
    <row r="6328" spans="3:3">
      <c r="C6328" s="160" t="str">
        <f t="shared" si="117"/>
        <v/>
      </c>
    </row>
    <row r="6329" spans="3:3">
      <c r="C6329" s="160" t="str">
        <f t="shared" si="117"/>
        <v/>
      </c>
    </row>
    <row r="6330" spans="3:3">
      <c r="C6330" s="160" t="str">
        <f t="shared" si="117"/>
        <v/>
      </c>
    </row>
    <row r="6331" spans="3:3">
      <c r="C6331" s="160" t="str">
        <f t="shared" si="117"/>
        <v/>
      </c>
    </row>
    <row r="6332" spans="3:3">
      <c r="C6332" s="160" t="str">
        <f t="shared" si="117"/>
        <v/>
      </c>
    </row>
    <row r="6333" spans="3:3">
      <c r="C6333" s="160" t="str">
        <f t="shared" si="117"/>
        <v/>
      </c>
    </row>
    <row r="6334" spans="3:3">
      <c r="C6334" s="160" t="str">
        <f t="shared" si="117"/>
        <v/>
      </c>
    </row>
    <row r="6335" spans="3:3">
      <c r="C6335" s="160" t="str">
        <f t="shared" si="117"/>
        <v/>
      </c>
    </row>
    <row r="6336" spans="3:3">
      <c r="C6336" s="160" t="str">
        <f t="shared" si="117"/>
        <v/>
      </c>
    </row>
    <row r="6337" spans="3:3">
      <c r="C6337" s="160" t="str">
        <f t="shared" si="117"/>
        <v/>
      </c>
    </row>
    <row r="6338" spans="3:3">
      <c r="C6338" s="160" t="str">
        <f t="shared" si="117"/>
        <v/>
      </c>
    </row>
    <row r="6339" spans="3:3">
      <c r="C6339" s="160" t="str">
        <f t="shared" si="117"/>
        <v/>
      </c>
    </row>
    <row r="6340" spans="3:3">
      <c r="C6340" s="160" t="str">
        <f t="shared" si="117"/>
        <v/>
      </c>
    </row>
    <row r="6341" spans="3:3">
      <c r="C6341" s="160" t="str">
        <f t="shared" si="117"/>
        <v/>
      </c>
    </row>
    <row r="6342" spans="3:3">
      <c r="C6342" s="160" t="str">
        <f t="shared" si="117"/>
        <v/>
      </c>
    </row>
    <row r="6343" spans="3:3">
      <c r="C6343" s="160" t="str">
        <f t="shared" si="117"/>
        <v/>
      </c>
    </row>
    <row r="6344" spans="3:3">
      <c r="C6344" s="160" t="str">
        <f t="shared" si="117"/>
        <v/>
      </c>
    </row>
    <row r="6345" spans="3:3">
      <c r="C6345" s="160" t="str">
        <f t="shared" si="117"/>
        <v/>
      </c>
    </row>
    <row r="6346" spans="3:3">
      <c r="C6346" s="160" t="str">
        <f t="shared" si="117"/>
        <v/>
      </c>
    </row>
    <row r="6347" spans="3:3">
      <c r="C6347" s="160" t="str">
        <f t="shared" si="117"/>
        <v/>
      </c>
    </row>
    <row r="6348" spans="3:3">
      <c r="C6348" s="160" t="str">
        <f t="shared" si="117"/>
        <v/>
      </c>
    </row>
    <row r="6349" spans="3:3">
      <c r="C6349" s="160" t="str">
        <f t="shared" ref="C6349:C6412" si="118">D6349&amp;I6349</f>
        <v/>
      </c>
    </row>
    <row r="6350" spans="3:3">
      <c r="C6350" s="160" t="str">
        <f t="shared" si="118"/>
        <v/>
      </c>
    </row>
    <row r="6351" spans="3:3">
      <c r="C6351" s="160" t="str">
        <f t="shared" si="118"/>
        <v/>
      </c>
    </row>
    <row r="6352" spans="3:3">
      <c r="C6352" s="160" t="str">
        <f t="shared" si="118"/>
        <v/>
      </c>
    </row>
    <row r="6353" spans="3:3">
      <c r="C6353" s="160" t="str">
        <f t="shared" si="118"/>
        <v/>
      </c>
    </row>
    <row r="6354" spans="3:3">
      <c r="C6354" s="160" t="str">
        <f t="shared" si="118"/>
        <v/>
      </c>
    </row>
    <row r="6355" spans="3:3">
      <c r="C6355" s="160" t="str">
        <f t="shared" si="118"/>
        <v/>
      </c>
    </row>
    <row r="6356" spans="3:3">
      <c r="C6356" s="160" t="str">
        <f t="shared" si="118"/>
        <v/>
      </c>
    </row>
    <row r="6357" spans="3:3">
      <c r="C6357" s="160" t="str">
        <f t="shared" si="118"/>
        <v/>
      </c>
    </row>
    <row r="6358" spans="3:3">
      <c r="C6358" s="160" t="str">
        <f t="shared" si="118"/>
        <v/>
      </c>
    </row>
    <row r="6359" spans="3:3">
      <c r="C6359" s="160" t="str">
        <f t="shared" si="118"/>
        <v/>
      </c>
    </row>
    <row r="6360" spans="3:3">
      <c r="C6360" s="160" t="str">
        <f t="shared" si="118"/>
        <v/>
      </c>
    </row>
    <row r="6361" spans="3:3">
      <c r="C6361" s="160" t="str">
        <f t="shared" si="118"/>
        <v/>
      </c>
    </row>
    <row r="6362" spans="3:3">
      <c r="C6362" s="160" t="str">
        <f t="shared" si="118"/>
        <v/>
      </c>
    </row>
    <row r="6363" spans="3:3">
      <c r="C6363" s="160" t="str">
        <f t="shared" si="118"/>
        <v/>
      </c>
    </row>
    <row r="6364" spans="3:3">
      <c r="C6364" s="160" t="str">
        <f t="shared" si="118"/>
        <v/>
      </c>
    </row>
    <row r="6365" spans="3:3">
      <c r="C6365" s="160" t="str">
        <f t="shared" si="118"/>
        <v/>
      </c>
    </row>
    <row r="6366" spans="3:3">
      <c r="C6366" s="160" t="str">
        <f t="shared" si="118"/>
        <v/>
      </c>
    </row>
    <row r="6367" spans="3:3">
      <c r="C6367" s="160" t="str">
        <f t="shared" si="118"/>
        <v/>
      </c>
    </row>
    <row r="6368" spans="3:3">
      <c r="C6368" s="160" t="str">
        <f t="shared" si="118"/>
        <v/>
      </c>
    </row>
    <row r="6369" spans="3:3">
      <c r="C6369" s="160" t="str">
        <f t="shared" si="118"/>
        <v/>
      </c>
    </row>
    <row r="6370" spans="3:3">
      <c r="C6370" s="160" t="str">
        <f t="shared" si="118"/>
        <v/>
      </c>
    </row>
    <row r="6371" spans="3:3">
      <c r="C6371" s="160" t="str">
        <f t="shared" si="118"/>
        <v/>
      </c>
    </row>
    <row r="6372" spans="3:3">
      <c r="C6372" s="160" t="str">
        <f t="shared" si="118"/>
        <v/>
      </c>
    </row>
    <row r="6373" spans="3:3">
      <c r="C6373" s="160" t="str">
        <f t="shared" si="118"/>
        <v/>
      </c>
    </row>
    <row r="6374" spans="3:3">
      <c r="C6374" s="160" t="str">
        <f t="shared" si="118"/>
        <v/>
      </c>
    </row>
    <row r="6375" spans="3:3">
      <c r="C6375" s="160" t="str">
        <f t="shared" si="118"/>
        <v/>
      </c>
    </row>
    <row r="6376" spans="3:3">
      <c r="C6376" s="160" t="str">
        <f t="shared" si="118"/>
        <v/>
      </c>
    </row>
    <row r="6377" spans="3:3">
      <c r="C6377" s="160" t="str">
        <f t="shared" si="118"/>
        <v/>
      </c>
    </row>
    <row r="6378" spans="3:3">
      <c r="C6378" s="160" t="str">
        <f t="shared" si="118"/>
        <v/>
      </c>
    </row>
    <row r="6379" spans="3:3">
      <c r="C6379" s="160" t="str">
        <f t="shared" si="118"/>
        <v/>
      </c>
    </row>
    <row r="6380" spans="3:3">
      <c r="C6380" s="160" t="str">
        <f t="shared" si="118"/>
        <v/>
      </c>
    </row>
    <row r="6381" spans="3:3">
      <c r="C6381" s="160" t="str">
        <f t="shared" si="118"/>
        <v/>
      </c>
    </row>
    <row r="6382" spans="3:3">
      <c r="C6382" s="160" t="str">
        <f t="shared" si="118"/>
        <v/>
      </c>
    </row>
    <row r="6383" spans="3:3">
      <c r="C6383" s="160" t="str">
        <f t="shared" si="118"/>
        <v/>
      </c>
    </row>
    <row r="6384" spans="3:3">
      <c r="C6384" s="160" t="str">
        <f t="shared" si="118"/>
        <v/>
      </c>
    </row>
    <row r="6385" spans="3:3">
      <c r="C6385" s="160" t="str">
        <f t="shared" si="118"/>
        <v/>
      </c>
    </row>
    <row r="6386" spans="3:3">
      <c r="C6386" s="160" t="str">
        <f t="shared" si="118"/>
        <v/>
      </c>
    </row>
    <row r="6387" spans="3:3">
      <c r="C6387" s="160" t="str">
        <f t="shared" si="118"/>
        <v/>
      </c>
    </row>
    <row r="6388" spans="3:3">
      <c r="C6388" s="160" t="str">
        <f t="shared" si="118"/>
        <v/>
      </c>
    </row>
    <row r="6389" spans="3:3">
      <c r="C6389" s="160" t="str">
        <f t="shared" si="118"/>
        <v/>
      </c>
    </row>
    <row r="6390" spans="3:3">
      <c r="C6390" s="160" t="str">
        <f t="shared" si="118"/>
        <v/>
      </c>
    </row>
    <row r="6391" spans="3:3">
      <c r="C6391" s="160" t="str">
        <f t="shared" si="118"/>
        <v/>
      </c>
    </row>
    <row r="6392" spans="3:3">
      <c r="C6392" s="160" t="str">
        <f t="shared" si="118"/>
        <v/>
      </c>
    </row>
    <row r="6393" spans="3:3">
      <c r="C6393" s="160" t="str">
        <f t="shared" si="118"/>
        <v/>
      </c>
    </row>
    <row r="6394" spans="3:3">
      <c r="C6394" s="160" t="str">
        <f t="shared" si="118"/>
        <v/>
      </c>
    </row>
    <row r="6395" spans="3:3">
      <c r="C6395" s="160" t="str">
        <f t="shared" si="118"/>
        <v/>
      </c>
    </row>
    <row r="6396" spans="3:3">
      <c r="C6396" s="160" t="str">
        <f t="shared" si="118"/>
        <v/>
      </c>
    </row>
    <row r="6397" spans="3:3">
      <c r="C6397" s="160" t="str">
        <f t="shared" si="118"/>
        <v/>
      </c>
    </row>
    <row r="6398" spans="3:3">
      <c r="C6398" s="160" t="str">
        <f t="shared" si="118"/>
        <v/>
      </c>
    </row>
    <row r="6399" spans="3:3">
      <c r="C6399" s="160" t="str">
        <f t="shared" si="118"/>
        <v/>
      </c>
    </row>
    <row r="6400" spans="3:3">
      <c r="C6400" s="160" t="str">
        <f t="shared" si="118"/>
        <v/>
      </c>
    </row>
    <row r="6401" spans="3:3">
      <c r="C6401" s="160" t="str">
        <f t="shared" si="118"/>
        <v/>
      </c>
    </row>
    <row r="6402" spans="3:3">
      <c r="C6402" s="160" t="str">
        <f t="shared" si="118"/>
        <v/>
      </c>
    </row>
    <row r="6403" spans="3:3">
      <c r="C6403" s="160" t="str">
        <f t="shared" si="118"/>
        <v/>
      </c>
    </row>
    <row r="6404" spans="3:3">
      <c r="C6404" s="160" t="str">
        <f t="shared" si="118"/>
        <v/>
      </c>
    </row>
    <row r="6405" spans="3:3">
      <c r="C6405" s="160" t="str">
        <f t="shared" si="118"/>
        <v/>
      </c>
    </row>
    <row r="6406" spans="3:3">
      <c r="C6406" s="160" t="str">
        <f t="shared" si="118"/>
        <v/>
      </c>
    </row>
    <row r="6407" spans="3:3">
      <c r="C6407" s="160" t="str">
        <f t="shared" si="118"/>
        <v/>
      </c>
    </row>
    <row r="6408" spans="3:3">
      <c r="C6408" s="160" t="str">
        <f t="shared" si="118"/>
        <v/>
      </c>
    </row>
    <row r="6409" spans="3:3">
      <c r="C6409" s="160" t="str">
        <f t="shared" si="118"/>
        <v/>
      </c>
    </row>
    <row r="6410" spans="3:3">
      <c r="C6410" s="160" t="str">
        <f t="shared" si="118"/>
        <v/>
      </c>
    </row>
    <row r="6411" spans="3:3">
      <c r="C6411" s="160" t="str">
        <f t="shared" si="118"/>
        <v/>
      </c>
    </row>
    <row r="6412" spans="3:3">
      <c r="C6412" s="160" t="str">
        <f t="shared" si="118"/>
        <v/>
      </c>
    </row>
    <row r="6413" spans="3:3">
      <c r="C6413" s="160" t="str">
        <f t="shared" ref="C6413:C6476" si="119">D6413&amp;I6413</f>
        <v/>
      </c>
    </row>
    <row r="6414" spans="3:3">
      <c r="C6414" s="160" t="str">
        <f t="shared" si="119"/>
        <v/>
      </c>
    </row>
    <row r="6415" spans="3:3">
      <c r="C6415" s="160" t="str">
        <f t="shared" si="119"/>
        <v/>
      </c>
    </row>
    <row r="6416" spans="3:3">
      <c r="C6416" s="160" t="str">
        <f t="shared" si="119"/>
        <v/>
      </c>
    </row>
    <row r="6417" spans="3:3">
      <c r="C6417" s="160" t="str">
        <f t="shared" si="119"/>
        <v/>
      </c>
    </row>
    <row r="6418" spans="3:3">
      <c r="C6418" s="160" t="str">
        <f t="shared" si="119"/>
        <v/>
      </c>
    </row>
    <row r="6419" spans="3:3">
      <c r="C6419" s="160" t="str">
        <f t="shared" si="119"/>
        <v/>
      </c>
    </row>
    <row r="6420" spans="3:3">
      <c r="C6420" s="160" t="str">
        <f t="shared" si="119"/>
        <v/>
      </c>
    </row>
    <row r="6421" spans="3:3">
      <c r="C6421" s="160" t="str">
        <f t="shared" si="119"/>
        <v/>
      </c>
    </row>
    <row r="6422" spans="3:3">
      <c r="C6422" s="160" t="str">
        <f t="shared" si="119"/>
        <v/>
      </c>
    </row>
    <row r="6423" spans="3:3">
      <c r="C6423" s="160" t="str">
        <f t="shared" si="119"/>
        <v/>
      </c>
    </row>
    <row r="6424" spans="3:3">
      <c r="C6424" s="160" t="str">
        <f t="shared" si="119"/>
        <v/>
      </c>
    </row>
    <row r="6425" spans="3:3">
      <c r="C6425" s="160" t="str">
        <f t="shared" si="119"/>
        <v/>
      </c>
    </row>
    <row r="6426" spans="3:3">
      <c r="C6426" s="160" t="str">
        <f t="shared" si="119"/>
        <v/>
      </c>
    </row>
    <row r="6427" spans="3:3">
      <c r="C6427" s="160" t="str">
        <f t="shared" si="119"/>
        <v/>
      </c>
    </row>
    <row r="6428" spans="3:3">
      <c r="C6428" s="160" t="str">
        <f t="shared" si="119"/>
        <v/>
      </c>
    </row>
    <row r="6429" spans="3:3">
      <c r="C6429" s="160" t="str">
        <f t="shared" si="119"/>
        <v/>
      </c>
    </row>
    <row r="6430" spans="3:3">
      <c r="C6430" s="160" t="str">
        <f t="shared" si="119"/>
        <v/>
      </c>
    </row>
    <row r="6431" spans="3:3">
      <c r="C6431" s="160" t="str">
        <f t="shared" si="119"/>
        <v/>
      </c>
    </row>
    <row r="6432" spans="3:3">
      <c r="C6432" s="160" t="str">
        <f t="shared" si="119"/>
        <v/>
      </c>
    </row>
    <row r="6433" spans="3:3">
      <c r="C6433" s="160" t="str">
        <f t="shared" si="119"/>
        <v/>
      </c>
    </row>
    <row r="6434" spans="3:3">
      <c r="C6434" s="160" t="str">
        <f t="shared" si="119"/>
        <v/>
      </c>
    </row>
    <row r="6435" spans="3:3">
      <c r="C6435" s="160" t="str">
        <f t="shared" si="119"/>
        <v/>
      </c>
    </row>
    <row r="6436" spans="3:3">
      <c r="C6436" s="160" t="str">
        <f t="shared" si="119"/>
        <v/>
      </c>
    </row>
    <row r="6437" spans="3:3">
      <c r="C6437" s="160" t="str">
        <f t="shared" si="119"/>
        <v/>
      </c>
    </row>
    <row r="6438" spans="3:3">
      <c r="C6438" s="160" t="str">
        <f t="shared" si="119"/>
        <v/>
      </c>
    </row>
    <row r="6439" spans="3:3">
      <c r="C6439" s="160" t="str">
        <f t="shared" si="119"/>
        <v/>
      </c>
    </row>
    <row r="6440" spans="3:3">
      <c r="C6440" s="160" t="str">
        <f t="shared" si="119"/>
        <v/>
      </c>
    </row>
    <row r="6441" spans="3:3">
      <c r="C6441" s="160" t="str">
        <f t="shared" si="119"/>
        <v/>
      </c>
    </row>
    <row r="6442" spans="3:3">
      <c r="C6442" s="160" t="str">
        <f t="shared" si="119"/>
        <v/>
      </c>
    </row>
    <row r="6443" spans="3:3">
      <c r="C6443" s="160" t="str">
        <f t="shared" si="119"/>
        <v/>
      </c>
    </row>
    <row r="6444" spans="3:3">
      <c r="C6444" s="160" t="str">
        <f t="shared" si="119"/>
        <v/>
      </c>
    </row>
    <row r="6445" spans="3:3">
      <c r="C6445" s="160" t="str">
        <f t="shared" si="119"/>
        <v/>
      </c>
    </row>
    <row r="6446" spans="3:3">
      <c r="C6446" s="160" t="str">
        <f t="shared" si="119"/>
        <v/>
      </c>
    </row>
    <row r="6447" spans="3:3">
      <c r="C6447" s="160" t="str">
        <f t="shared" si="119"/>
        <v/>
      </c>
    </row>
    <row r="6448" spans="3:3">
      <c r="C6448" s="160" t="str">
        <f t="shared" si="119"/>
        <v/>
      </c>
    </row>
    <row r="6449" spans="3:3">
      <c r="C6449" s="160" t="str">
        <f t="shared" si="119"/>
        <v/>
      </c>
    </row>
    <row r="6450" spans="3:3">
      <c r="C6450" s="160" t="str">
        <f t="shared" si="119"/>
        <v/>
      </c>
    </row>
    <row r="6451" spans="3:3">
      <c r="C6451" s="160" t="str">
        <f t="shared" si="119"/>
        <v/>
      </c>
    </row>
    <row r="6452" spans="3:3">
      <c r="C6452" s="160" t="str">
        <f t="shared" si="119"/>
        <v/>
      </c>
    </row>
    <row r="6453" spans="3:3">
      <c r="C6453" s="160" t="str">
        <f t="shared" si="119"/>
        <v/>
      </c>
    </row>
    <row r="6454" spans="3:3">
      <c r="C6454" s="160" t="str">
        <f t="shared" si="119"/>
        <v/>
      </c>
    </row>
    <row r="6455" spans="3:3">
      <c r="C6455" s="160" t="str">
        <f t="shared" si="119"/>
        <v/>
      </c>
    </row>
    <row r="6456" spans="3:3">
      <c r="C6456" s="160" t="str">
        <f t="shared" si="119"/>
        <v/>
      </c>
    </row>
    <row r="6457" spans="3:3">
      <c r="C6457" s="160" t="str">
        <f t="shared" si="119"/>
        <v/>
      </c>
    </row>
    <row r="6458" spans="3:3">
      <c r="C6458" s="160" t="str">
        <f t="shared" si="119"/>
        <v/>
      </c>
    </row>
    <row r="6459" spans="3:3">
      <c r="C6459" s="160" t="str">
        <f t="shared" si="119"/>
        <v/>
      </c>
    </row>
    <row r="6460" spans="3:3">
      <c r="C6460" s="160" t="str">
        <f t="shared" si="119"/>
        <v/>
      </c>
    </row>
    <row r="6461" spans="3:3">
      <c r="C6461" s="160" t="str">
        <f t="shared" si="119"/>
        <v/>
      </c>
    </row>
    <row r="6462" spans="3:3">
      <c r="C6462" s="160" t="str">
        <f t="shared" si="119"/>
        <v/>
      </c>
    </row>
    <row r="6463" spans="3:3">
      <c r="C6463" s="160" t="str">
        <f t="shared" si="119"/>
        <v/>
      </c>
    </row>
    <row r="6464" spans="3:3">
      <c r="C6464" s="160" t="str">
        <f t="shared" si="119"/>
        <v/>
      </c>
    </row>
    <row r="6465" spans="3:3">
      <c r="C6465" s="160" t="str">
        <f t="shared" si="119"/>
        <v/>
      </c>
    </row>
    <row r="6466" spans="3:3">
      <c r="C6466" s="160" t="str">
        <f t="shared" si="119"/>
        <v/>
      </c>
    </row>
    <row r="6467" spans="3:3">
      <c r="C6467" s="160" t="str">
        <f t="shared" si="119"/>
        <v/>
      </c>
    </row>
    <row r="6468" spans="3:3">
      <c r="C6468" s="160" t="str">
        <f t="shared" si="119"/>
        <v/>
      </c>
    </row>
    <row r="6469" spans="3:3">
      <c r="C6469" s="160" t="str">
        <f t="shared" si="119"/>
        <v/>
      </c>
    </row>
    <row r="6470" spans="3:3">
      <c r="C6470" s="160" t="str">
        <f t="shared" si="119"/>
        <v/>
      </c>
    </row>
    <row r="6471" spans="3:3">
      <c r="C6471" s="160" t="str">
        <f t="shared" si="119"/>
        <v/>
      </c>
    </row>
    <row r="6472" spans="3:3">
      <c r="C6472" s="160" t="str">
        <f t="shared" si="119"/>
        <v/>
      </c>
    </row>
    <row r="6473" spans="3:3">
      <c r="C6473" s="160" t="str">
        <f t="shared" si="119"/>
        <v/>
      </c>
    </row>
    <row r="6474" spans="3:3">
      <c r="C6474" s="160" t="str">
        <f t="shared" si="119"/>
        <v/>
      </c>
    </row>
    <row r="6475" spans="3:3">
      <c r="C6475" s="160" t="str">
        <f t="shared" si="119"/>
        <v/>
      </c>
    </row>
    <row r="6476" spans="3:3">
      <c r="C6476" s="160" t="str">
        <f t="shared" si="119"/>
        <v/>
      </c>
    </row>
    <row r="6477" spans="3:3">
      <c r="C6477" s="160" t="str">
        <f t="shared" ref="C6477:C6540" si="120">D6477&amp;I6477</f>
        <v/>
      </c>
    </row>
    <row r="6478" spans="3:3">
      <c r="C6478" s="160" t="str">
        <f t="shared" si="120"/>
        <v/>
      </c>
    </row>
    <row r="6479" spans="3:3">
      <c r="C6479" s="160" t="str">
        <f t="shared" si="120"/>
        <v/>
      </c>
    </row>
    <row r="6480" spans="3:3">
      <c r="C6480" s="160" t="str">
        <f t="shared" si="120"/>
        <v/>
      </c>
    </row>
    <row r="6481" spans="3:3">
      <c r="C6481" s="160" t="str">
        <f t="shared" si="120"/>
        <v/>
      </c>
    </row>
    <row r="6482" spans="3:3">
      <c r="C6482" s="160" t="str">
        <f t="shared" si="120"/>
        <v/>
      </c>
    </row>
    <row r="6483" spans="3:3">
      <c r="C6483" s="160" t="str">
        <f t="shared" si="120"/>
        <v/>
      </c>
    </row>
    <row r="6484" spans="3:3">
      <c r="C6484" s="160" t="str">
        <f t="shared" si="120"/>
        <v/>
      </c>
    </row>
    <row r="6485" spans="3:3">
      <c r="C6485" s="160" t="str">
        <f t="shared" si="120"/>
        <v/>
      </c>
    </row>
    <row r="6486" spans="3:3">
      <c r="C6486" s="160" t="str">
        <f t="shared" si="120"/>
        <v/>
      </c>
    </row>
    <row r="6487" spans="3:3">
      <c r="C6487" s="160" t="str">
        <f t="shared" si="120"/>
        <v/>
      </c>
    </row>
    <row r="6488" spans="3:3">
      <c r="C6488" s="160" t="str">
        <f t="shared" si="120"/>
        <v/>
      </c>
    </row>
    <row r="6489" spans="3:3">
      <c r="C6489" s="160" t="str">
        <f t="shared" si="120"/>
        <v/>
      </c>
    </row>
    <row r="6490" spans="3:3">
      <c r="C6490" s="160" t="str">
        <f t="shared" si="120"/>
        <v/>
      </c>
    </row>
    <row r="6491" spans="3:3">
      <c r="C6491" s="160" t="str">
        <f t="shared" si="120"/>
        <v/>
      </c>
    </row>
    <row r="6492" spans="3:3">
      <c r="C6492" s="160" t="str">
        <f t="shared" si="120"/>
        <v/>
      </c>
    </row>
    <row r="6493" spans="3:3">
      <c r="C6493" s="160" t="str">
        <f t="shared" si="120"/>
        <v/>
      </c>
    </row>
    <row r="6494" spans="3:3">
      <c r="C6494" s="160" t="str">
        <f t="shared" si="120"/>
        <v/>
      </c>
    </row>
    <row r="6495" spans="3:3">
      <c r="C6495" s="160" t="str">
        <f t="shared" si="120"/>
        <v/>
      </c>
    </row>
    <row r="6496" spans="3:3">
      <c r="C6496" s="160" t="str">
        <f t="shared" si="120"/>
        <v/>
      </c>
    </row>
    <row r="6497" spans="3:3">
      <c r="C6497" s="160" t="str">
        <f t="shared" si="120"/>
        <v/>
      </c>
    </row>
    <row r="6498" spans="3:3">
      <c r="C6498" s="160" t="str">
        <f t="shared" si="120"/>
        <v/>
      </c>
    </row>
    <row r="6499" spans="3:3">
      <c r="C6499" s="160" t="str">
        <f t="shared" si="120"/>
        <v/>
      </c>
    </row>
    <row r="6500" spans="3:3">
      <c r="C6500" s="160" t="str">
        <f t="shared" si="120"/>
        <v/>
      </c>
    </row>
    <row r="6501" spans="3:3">
      <c r="C6501" s="160" t="str">
        <f t="shared" si="120"/>
        <v/>
      </c>
    </row>
    <row r="6502" spans="3:3">
      <c r="C6502" s="160" t="str">
        <f t="shared" si="120"/>
        <v/>
      </c>
    </row>
    <row r="6503" spans="3:3">
      <c r="C6503" s="160" t="str">
        <f t="shared" si="120"/>
        <v/>
      </c>
    </row>
    <row r="6504" spans="3:3">
      <c r="C6504" s="160" t="str">
        <f t="shared" si="120"/>
        <v/>
      </c>
    </row>
    <row r="6505" spans="3:3">
      <c r="C6505" s="160" t="str">
        <f t="shared" si="120"/>
        <v/>
      </c>
    </row>
    <row r="6506" spans="3:3">
      <c r="C6506" s="160" t="str">
        <f t="shared" si="120"/>
        <v/>
      </c>
    </row>
    <row r="6507" spans="3:3">
      <c r="C6507" s="160" t="str">
        <f t="shared" si="120"/>
        <v/>
      </c>
    </row>
    <row r="6508" spans="3:3">
      <c r="C6508" s="160" t="str">
        <f t="shared" si="120"/>
        <v/>
      </c>
    </row>
    <row r="6509" spans="3:3">
      <c r="C6509" s="160" t="str">
        <f t="shared" si="120"/>
        <v/>
      </c>
    </row>
    <row r="6510" spans="3:3">
      <c r="C6510" s="160" t="str">
        <f t="shared" si="120"/>
        <v/>
      </c>
    </row>
    <row r="6511" spans="3:3">
      <c r="C6511" s="160" t="str">
        <f t="shared" si="120"/>
        <v/>
      </c>
    </row>
    <row r="6512" spans="3:3">
      <c r="C6512" s="160" t="str">
        <f t="shared" si="120"/>
        <v/>
      </c>
    </row>
    <row r="6513" spans="3:3">
      <c r="C6513" s="160" t="str">
        <f t="shared" si="120"/>
        <v/>
      </c>
    </row>
    <row r="6514" spans="3:3">
      <c r="C6514" s="160" t="str">
        <f t="shared" si="120"/>
        <v/>
      </c>
    </row>
    <row r="6515" spans="3:3">
      <c r="C6515" s="160" t="str">
        <f t="shared" si="120"/>
        <v/>
      </c>
    </row>
    <row r="6516" spans="3:3">
      <c r="C6516" s="160" t="str">
        <f t="shared" si="120"/>
        <v/>
      </c>
    </row>
    <row r="6517" spans="3:3">
      <c r="C6517" s="160" t="str">
        <f t="shared" si="120"/>
        <v/>
      </c>
    </row>
    <row r="6518" spans="3:3">
      <c r="C6518" s="160" t="str">
        <f t="shared" si="120"/>
        <v/>
      </c>
    </row>
    <row r="6519" spans="3:3">
      <c r="C6519" s="160" t="str">
        <f t="shared" si="120"/>
        <v/>
      </c>
    </row>
    <row r="6520" spans="3:3">
      <c r="C6520" s="160" t="str">
        <f t="shared" si="120"/>
        <v/>
      </c>
    </row>
    <row r="6521" spans="3:3">
      <c r="C6521" s="160" t="str">
        <f t="shared" si="120"/>
        <v/>
      </c>
    </row>
    <row r="6522" spans="3:3">
      <c r="C6522" s="160" t="str">
        <f t="shared" si="120"/>
        <v/>
      </c>
    </row>
    <row r="6523" spans="3:3">
      <c r="C6523" s="160" t="str">
        <f t="shared" si="120"/>
        <v/>
      </c>
    </row>
    <row r="6524" spans="3:3">
      <c r="C6524" s="160" t="str">
        <f t="shared" si="120"/>
        <v/>
      </c>
    </row>
    <row r="6525" spans="3:3">
      <c r="C6525" s="160" t="str">
        <f t="shared" si="120"/>
        <v/>
      </c>
    </row>
    <row r="6526" spans="3:3">
      <c r="C6526" s="160" t="str">
        <f t="shared" si="120"/>
        <v/>
      </c>
    </row>
    <row r="6527" spans="3:3">
      <c r="C6527" s="160" t="str">
        <f t="shared" si="120"/>
        <v/>
      </c>
    </row>
    <row r="6528" spans="3:3">
      <c r="C6528" s="160" t="str">
        <f t="shared" si="120"/>
        <v/>
      </c>
    </row>
    <row r="6529" spans="3:3">
      <c r="C6529" s="160" t="str">
        <f t="shared" si="120"/>
        <v/>
      </c>
    </row>
    <row r="6530" spans="3:3">
      <c r="C6530" s="160" t="str">
        <f t="shared" si="120"/>
        <v/>
      </c>
    </row>
    <row r="6531" spans="3:3">
      <c r="C6531" s="160" t="str">
        <f t="shared" si="120"/>
        <v/>
      </c>
    </row>
    <row r="6532" spans="3:3">
      <c r="C6532" s="160" t="str">
        <f t="shared" si="120"/>
        <v/>
      </c>
    </row>
    <row r="6533" spans="3:3">
      <c r="C6533" s="160" t="str">
        <f t="shared" si="120"/>
        <v/>
      </c>
    </row>
    <row r="6534" spans="3:3">
      <c r="C6534" s="160" t="str">
        <f t="shared" si="120"/>
        <v/>
      </c>
    </row>
    <row r="6535" spans="3:3">
      <c r="C6535" s="160" t="str">
        <f t="shared" si="120"/>
        <v/>
      </c>
    </row>
    <row r="6536" spans="3:3">
      <c r="C6536" s="160" t="str">
        <f t="shared" si="120"/>
        <v/>
      </c>
    </row>
    <row r="6537" spans="3:3">
      <c r="C6537" s="160" t="str">
        <f t="shared" si="120"/>
        <v/>
      </c>
    </row>
    <row r="6538" spans="3:3">
      <c r="C6538" s="160" t="str">
        <f t="shared" si="120"/>
        <v/>
      </c>
    </row>
    <row r="6539" spans="3:3">
      <c r="C6539" s="160" t="str">
        <f t="shared" si="120"/>
        <v/>
      </c>
    </row>
    <row r="6540" spans="3:3">
      <c r="C6540" s="160" t="str">
        <f t="shared" si="120"/>
        <v/>
      </c>
    </row>
    <row r="6541" spans="3:3">
      <c r="C6541" s="160" t="str">
        <f t="shared" ref="C6541:C6604" si="121">D6541&amp;I6541</f>
        <v/>
      </c>
    </row>
    <row r="6542" spans="3:3">
      <c r="C6542" s="160" t="str">
        <f t="shared" si="121"/>
        <v/>
      </c>
    </row>
    <row r="6543" spans="3:3">
      <c r="C6543" s="160" t="str">
        <f t="shared" si="121"/>
        <v/>
      </c>
    </row>
    <row r="6544" spans="3:3">
      <c r="C6544" s="160" t="str">
        <f t="shared" si="121"/>
        <v/>
      </c>
    </row>
    <row r="6545" spans="3:3">
      <c r="C6545" s="160" t="str">
        <f t="shared" si="121"/>
        <v/>
      </c>
    </row>
    <row r="6546" spans="3:3">
      <c r="C6546" s="160" t="str">
        <f t="shared" si="121"/>
        <v/>
      </c>
    </row>
    <row r="6547" spans="3:3">
      <c r="C6547" s="160" t="str">
        <f t="shared" si="121"/>
        <v/>
      </c>
    </row>
    <row r="6548" spans="3:3">
      <c r="C6548" s="160" t="str">
        <f t="shared" si="121"/>
        <v/>
      </c>
    </row>
    <row r="6549" spans="3:3">
      <c r="C6549" s="160" t="str">
        <f t="shared" si="121"/>
        <v/>
      </c>
    </row>
    <row r="6550" spans="3:3">
      <c r="C6550" s="160" t="str">
        <f t="shared" si="121"/>
        <v/>
      </c>
    </row>
    <row r="6551" spans="3:3">
      <c r="C6551" s="160" t="str">
        <f t="shared" si="121"/>
        <v/>
      </c>
    </row>
    <row r="6552" spans="3:3">
      <c r="C6552" s="160" t="str">
        <f t="shared" si="121"/>
        <v/>
      </c>
    </row>
    <row r="6553" spans="3:3">
      <c r="C6553" s="160" t="str">
        <f t="shared" si="121"/>
        <v/>
      </c>
    </row>
    <row r="6554" spans="3:3">
      <c r="C6554" s="160" t="str">
        <f t="shared" si="121"/>
        <v/>
      </c>
    </row>
    <row r="6555" spans="3:3">
      <c r="C6555" s="160" t="str">
        <f t="shared" si="121"/>
        <v/>
      </c>
    </row>
    <row r="6556" spans="3:3">
      <c r="C6556" s="160" t="str">
        <f t="shared" si="121"/>
        <v/>
      </c>
    </row>
    <row r="6557" spans="3:3">
      <c r="C6557" s="160" t="str">
        <f t="shared" si="121"/>
        <v/>
      </c>
    </row>
    <row r="6558" spans="3:3">
      <c r="C6558" s="160" t="str">
        <f t="shared" si="121"/>
        <v/>
      </c>
    </row>
    <row r="6559" spans="3:3">
      <c r="C6559" s="160" t="str">
        <f t="shared" si="121"/>
        <v/>
      </c>
    </row>
    <row r="6560" spans="3:3">
      <c r="C6560" s="160" t="str">
        <f t="shared" si="121"/>
        <v/>
      </c>
    </row>
    <row r="6561" spans="3:3">
      <c r="C6561" s="160" t="str">
        <f t="shared" si="121"/>
        <v/>
      </c>
    </row>
    <row r="6562" spans="3:3">
      <c r="C6562" s="160" t="str">
        <f t="shared" si="121"/>
        <v/>
      </c>
    </row>
    <row r="6563" spans="3:3">
      <c r="C6563" s="160" t="str">
        <f t="shared" si="121"/>
        <v/>
      </c>
    </row>
    <row r="6564" spans="3:3">
      <c r="C6564" s="160" t="str">
        <f t="shared" si="121"/>
        <v/>
      </c>
    </row>
    <row r="6565" spans="3:3">
      <c r="C6565" s="160" t="str">
        <f t="shared" si="121"/>
        <v/>
      </c>
    </row>
    <row r="6566" spans="3:3">
      <c r="C6566" s="160" t="str">
        <f t="shared" si="121"/>
        <v/>
      </c>
    </row>
    <row r="6567" spans="3:3">
      <c r="C6567" s="160" t="str">
        <f t="shared" si="121"/>
        <v/>
      </c>
    </row>
    <row r="6568" spans="3:3">
      <c r="C6568" s="160" t="str">
        <f t="shared" si="121"/>
        <v/>
      </c>
    </row>
    <row r="6569" spans="3:3">
      <c r="C6569" s="160" t="str">
        <f t="shared" si="121"/>
        <v/>
      </c>
    </row>
    <row r="6570" spans="3:3">
      <c r="C6570" s="160" t="str">
        <f t="shared" si="121"/>
        <v/>
      </c>
    </row>
    <row r="6571" spans="3:3">
      <c r="C6571" s="160" t="str">
        <f t="shared" si="121"/>
        <v/>
      </c>
    </row>
    <row r="6572" spans="3:3">
      <c r="C6572" s="160" t="str">
        <f t="shared" si="121"/>
        <v/>
      </c>
    </row>
    <row r="6573" spans="3:3">
      <c r="C6573" s="160" t="str">
        <f t="shared" si="121"/>
        <v/>
      </c>
    </row>
    <row r="6574" spans="3:3">
      <c r="C6574" s="160" t="str">
        <f t="shared" si="121"/>
        <v/>
      </c>
    </row>
    <row r="6575" spans="3:3">
      <c r="C6575" s="160" t="str">
        <f t="shared" si="121"/>
        <v/>
      </c>
    </row>
    <row r="6576" spans="3:3">
      <c r="C6576" s="160" t="str">
        <f t="shared" si="121"/>
        <v/>
      </c>
    </row>
    <row r="6577" spans="3:3">
      <c r="C6577" s="160" t="str">
        <f t="shared" si="121"/>
        <v/>
      </c>
    </row>
    <row r="6578" spans="3:3">
      <c r="C6578" s="160" t="str">
        <f t="shared" si="121"/>
        <v/>
      </c>
    </row>
    <row r="6579" spans="3:3">
      <c r="C6579" s="160" t="str">
        <f t="shared" si="121"/>
        <v/>
      </c>
    </row>
    <row r="6580" spans="3:3">
      <c r="C6580" s="160" t="str">
        <f t="shared" si="121"/>
        <v/>
      </c>
    </row>
    <row r="6581" spans="3:3">
      <c r="C6581" s="160" t="str">
        <f t="shared" si="121"/>
        <v/>
      </c>
    </row>
    <row r="6582" spans="3:3">
      <c r="C6582" s="160" t="str">
        <f t="shared" si="121"/>
        <v/>
      </c>
    </row>
    <row r="6583" spans="3:3">
      <c r="C6583" s="160" t="str">
        <f t="shared" si="121"/>
        <v/>
      </c>
    </row>
    <row r="6584" spans="3:3">
      <c r="C6584" s="160" t="str">
        <f t="shared" si="121"/>
        <v/>
      </c>
    </row>
    <row r="6585" spans="3:3">
      <c r="C6585" s="160" t="str">
        <f t="shared" si="121"/>
        <v/>
      </c>
    </row>
    <row r="6586" spans="3:3">
      <c r="C6586" s="160" t="str">
        <f t="shared" si="121"/>
        <v/>
      </c>
    </row>
    <row r="6587" spans="3:3">
      <c r="C6587" s="160" t="str">
        <f t="shared" si="121"/>
        <v/>
      </c>
    </row>
    <row r="6588" spans="3:3">
      <c r="C6588" s="160" t="str">
        <f t="shared" si="121"/>
        <v/>
      </c>
    </row>
    <row r="6589" spans="3:3">
      <c r="C6589" s="160" t="str">
        <f t="shared" si="121"/>
        <v/>
      </c>
    </row>
    <row r="6590" spans="3:3">
      <c r="C6590" s="160" t="str">
        <f t="shared" si="121"/>
        <v/>
      </c>
    </row>
    <row r="6591" spans="3:3">
      <c r="C6591" s="160" t="str">
        <f t="shared" si="121"/>
        <v/>
      </c>
    </row>
    <row r="6592" spans="3:3">
      <c r="C6592" s="160" t="str">
        <f t="shared" si="121"/>
        <v/>
      </c>
    </row>
    <row r="6593" spans="3:3">
      <c r="C6593" s="160" t="str">
        <f t="shared" si="121"/>
        <v/>
      </c>
    </row>
    <row r="6594" spans="3:3">
      <c r="C6594" s="160" t="str">
        <f t="shared" si="121"/>
        <v/>
      </c>
    </row>
    <row r="6595" spans="3:3">
      <c r="C6595" s="160" t="str">
        <f t="shared" si="121"/>
        <v/>
      </c>
    </row>
    <row r="6596" spans="3:3">
      <c r="C6596" s="160" t="str">
        <f t="shared" si="121"/>
        <v/>
      </c>
    </row>
    <row r="6597" spans="3:3">
      <c r="C6597" s="160" t="str">
        <f t="shared" si="121"/>
        <v/>
      </c>
    </row>
    <row r="6598" spans="3:3">
      <c r="C6598" s="160" t="str">
        <f t="shared" si="121"/>
        <v/>
      </c>
    </row>
    <row r="6599" spans="3:3">
      <c r="C6599" s="160" t="str">
        <f t="shared" si="121"/>
        <v/>
      </c>
    </row>
    <row r="6600" spans="3:3">
      <c r="C6600" s="160" t="str">
        <f t="shared" si="121"/>
        <v/>
      </c>
    </row>
    <row r="6601" spans="3:3">
      <c r="C6601" s="160" t="str">
        <f t="shared" si="121"/>
        <v/>
      </c>
    </row>
    <row r="6602" spans="3:3">
      <c r="C6602" s="160" t="str">
        <f t="shared" si="121"/>
        <v/>
      </c>
    </row>
    <row r="6603" spans="3:3">
      <c r="C6603" s="160" t="str">
        <f t="shared" si="121"/>
        <v/>
      </c>
    </row>
    <row r="6604" spans="3:3">
      <c r="C6604" s="160" t="str">
        <f t="shared" si="121"/>
        <v/>
      </c>
    </row>
    <row r="6605" spans="3:3">
      <c r="C6605" s="160" t="str">
        <f t="shared" ref="C6605:C6668" si="122">D6605&amp;I6605</f>
        <v/>
      </c>
    </row>
    <row r="6606" spans="3:3">
      <c r="C6606" s="160" t="str">
        <f t="shared" si="122"/>
        <v/>
      </c>
    </row>
    <row r="6607" spans="3:3">
      <c r="C6607" s="160" t="str">
        <f t="shared" si="122"/>
        <v/>
      </c>
    </row>
    <row r="6608" spans="3:3">
      <c r="C6608" s="160" t="str">
        <f t="shared" si="122"/>
        <v/>
      </c>
    </row>
    <row r="6609" spans="3:3">
      <c r="C6609" s="160" t="str">
        <f t="shared" si="122"/>
        <v/>
      </c>
    </row>
    <row r="6610" spans="3:3">
      <c r="C6610" s="160" t="str">
        <f t="shared" si="122"/>
        <v/>
      </c>
    </row>
    <row r="6611" spans="3:3">
      <c r="C6611" s="160" t="str">
        <f t="shared" si="122"/>
        <v/>
      </c>
    </row>
    <row r="6612" spans="3:3">
      <c r="C6612" s="160" t="str">
        <f t="shared" si="122"/>
        <v/>
      </c>
    </row>
    <row r="6613" spans="3:3">
      <c r="C6613" s="160" t="str">
        <f t="shared" si="122"/>
        <v/>
      </c>
    </row>
    <row r="6614" spans="3:3">
      <c r="C6614" s="160" t="str">
        <f t="shared" si="122"/>
        <v/>
      </c>
    </row>
    <row r="6615" spans="3:3">
      <c r="C6615" s="160" t="str">
        <f t="shared" si="122"/>
        <v/>
      </c>
    </row>
    <row r="6616" spans="3:3">
      <c r="C6616" s="160" t="str">
        <f t="shared" si="122"/>
        <v/>
      </c>
    </row>
    <row r="6617" spans="3:3">
      <c r="C6617" s="160" t="str">
        <f t="shared" si="122"/>
        <v/>
      </c>
    </row>
    <row r="6618" spans="3:3">
      <c r="C6618" s="160" t="str">
        <f t="shared" si="122"/>
        <v/>
      </c>
    </row>
    <row r="6619" spans="3:3">
      <c r="C6619" s="160" t="str">
        <f t="shared" si="122"/>
        <v/>
      </c>
    </row>
    <row r="6620" spans="3:3">
      <c r="C6620" s="160" t="str">
        <f t="shared" si="122"/>
        <v/>
      </c>
    </row>
    <row r="6621" spans="3:3">
      <c r="C6621" s="160" t="str">
        <f t="shared" si="122"/>
        <v/>
      </c>
    </row>
    <row r="6622" spans="3:3">
      <c r="C6622" s="160" t="str">
        <f t="shared" si="122"/>
        <v/>
      </c>
    </row>
    <row r="6623" spans="3:3">
      <c r="C6623" s="160" t="str">
        <f t="shared" si="122"/>
        <v/>
      </c>
    </row>
    <row r="6624" spans="3:3">
      <c r="C6624" s="160" t="str">
        <f t="shared" si="122"/>
        <v/>
      </c>
    </row>
    <row r="6625" spans="3:3">
      <c r="C6625" s="160" t="str">
        <f t="shared" si="122"/>
        <v/>
      </c>
    </row>
    <row r="6626" spans="3:3">
      <c r="C6626" s="160" t="str">
        <f t="shared" si="122"/>
        <v/>
      </c>
    </row>
    <row r="6627" spans="3:3">
      <c r="C6627" s="160" t="str">
        <f t="shared" si="122"/>
        <v/>
      </c>
    </row>
    <row r="6628" spans="3:3">
      <c r="C6628" s="160" t="str">
        <f t="shared" si="122"/>
        <v/>
      </c>
    </row>
    <row r="6629" spans="3:3">
      <c r="C6629" s="160" t="str">
        <f t="shared" si="122"/>
        <v/>
      </c>
    </row>
    <row r="6630" spans="3:3">
      <c r="C6630" s="160" t="str">
        <f t="shared" si="122"/>
        <v/>
      </c>
    </row>
    <row r="6631" spans="3:3">
      <c r="C6631" s="160" t="str">
        <f t="shared" si="122"/>
        <v/>
      </c>
    </row>
    <row r="6632" spans="3:3">
      <c r="C6632" s="160" t="str">
        <f t="shared" si="122"/>
        <v/>
      </c>
    </row>
    <row r="6633" spans="3:3">
      <c r="C6633" s="160" t="str">
        <f t="shared" si="122"/>
        <v/>
      </c>
    </row>
    <row r="6634" spans="3:3">
      <c r="C6634" s="160" t="str">
        <f t="shared" si="122"/>
        <v/>
      </c>
    </row>
    <row r="6635" spans="3:3">
      <c r="C6635" s="160" t="str">
        <f t="shared" si="122"/>
        <v/>
      </c>
    </row>
    <row r="6636" spans="3:3">
      <c r="C6636" s="160" t="str">
        <f t="shared" si="122"/>
        <v/>
      </c>
    </row>
    <row r="6637" spans="3:3">
      <c r="C6637" s="160" t="str">
        <f t="shared" si="122"/>
        <v/>
      </c>
    </row>
    <row r="6638" spans="3:3">
      <c r="C6638" s="160" t="str">
        <f t="shared" si="122"/>
        <v/>
      </c>
    </row>
    <row r="6639" spans="3:3">
      <c r="C6639" s="160" t="str">
        <f t="shared" si="122"/>
        <v/>
      </c>
    </row>
    <row r="6640" spans="3:3">
      <c r="C6640" s="160" t="str">
        <f t="shared" si="122"/>
        <v/>
      </c>
    </row>
    <row r="6641" spans="3:3">
      <c r="C6641" s="160" t="str">
        <f t="shared" si="122"/>
        <v/>
      </c>
    </row>
    <row r="6642" spans="3:3">
      <c r="C6642" s="160" t="str">
        <f t="shared" si="122"/>
        <v/>
      </c>
    </row>
    <row r="6643" spans="3:3">
      <c r="C6643" s="160" t="str">
        <f t="shared" si="122"/>
        <v/>
      </c>
    </row>
    <row r="6644" spans="3:3">
      <c r="C6644" s="160" t="str">
        <f t="shared" si="122"/>
        <v/>
      </c>
    </row>
    <row r="6645" spans="3:3">
      <c r="C6645" s="160" t="str">
        <f t="shared" si="122"/>
        <v/>
      </c>
    </row>
    <row r="6646" spans="3:3">
      <c r="C6646" s="160" t="str">
        <f t="shared" si="122"/>
        <v/>
      </c>
    </row>
    <row r="6647" spans="3:3">
      <c r="C6647" s="160" t="str">
        <f t="shared" si="122"/>
        <v/>
      </c>
    </row>
    <row r="6648" spans="3:3">
      <c r="C6648" s="160" t="str">
        <f t="shared" si="122"/>
        <v/>
      </c>
    </row>
    <row r="6649" spans="3:3">
      <c r="C6649" s="160" t="str">
        <f t="shared" si="122"/>
        <v/>
      </c>
    </row>
    <row r="6650" spans="3:3">
      <c r="C6650" s="160" t="str">
        <f t="shared" si="122"/>
        <v/>
      </c>
    </row>
    <row r="6651" spans="3:3">
      <c r="C6651" s="160" t="str">
        <f t="shared" si="122"/>
        <v/>
      </c>
    </row>
    <row r="6652" spans="3:3">
      <c r="C6652" s="160" t="str">
        <f t="shared" si="122"/>
        <v/>
      </c>
    </row>
    <row r="6653" spans="3:3">
      <c r="C6653" s="160" t="str">
        <f t="shared" si="122"/>
        <v/>
      </c>
    </row>
    <row r="6654" spans="3:3">
      <c r="C6654" s="160" t="str">
        <f t="shared" si="122"/>
        <v/>
      </c>
    </row>
    <row r="6655" spans="3:3">
      <c r="C6655" s="160" t="str">
        <f t="shared" si="122"/>
        <v/>
      </c>
    </row>
    <row r="6656" spans="3:3">
      <c r="C6656" s="160" t="str">
        <f t="shared" si="122"/>
        <v/>
      </c>
    </row>
    <row r="6657" spans="3:3">
      <c r="C6657" s="160" t="str">
        <f t="shared" si="122"/>
        <v/>
      </c>
    </row>
    <row r="6658" spans="3:3">
      <c r="C6658" s="160" t="str">
        <f t="shared" si="122"/>
        <v/>
      </c>
    </row>
    <row r="6659" spans="3:3">
      <c r="C6659" s="160" t="str">
        <f t="shared" si="122"/>
        <v/>
      </c>
    </row>
    <row r="6660" spans="3:3">
      <c r="C6660" s="160" t="str">
        <f t="shared" si="122"/>
        <v/>
      </c>
    </row>
    <row r="6661" spans="3:3">
      <c r="C6661" s="160" t="str">
        <f t="shared" si="122"/>
        <v/>
      </c>
    </row>
    <row r="6662" spans="3:3">
      <c r="C6662" s="160" t="str">
        <f t="shared" si="122"/>
        <v/>
      </c>
    </row>
    <row r="6663" spans="3:3">
      <c r="C6663" s="160" t="str">
        <f t="shared" si="122"/>
        <v/>
      </c>
    </row>
    <row r="6664" spans="3:3">
      <c r="C6664" s="160" t="str">
        <f t="shared" si="122"/>
        <v/>
      </c>
    </row>
    <row r="6665" spans="3:3">
      <c r="C6665" s="160" t="str">
        <f t="shared" si="122"/>
        <v/>
      </c>
    </row>
    <row r="6666" spans="3:3">
      <c r="C6666" s="160" t="str">
        <f t="shared" si="122"/>
        <v/>
      </c>
    </row>
    <row r="6667" spans="3:3">
      <c r="C6667" s="160" t="str">
        <f t="shared" si="122"/>
        <v/>
      </c>
    </row>
    <row r="6668" spans="3:3">
      <c r="C6668" s="160" t="str">
        <f t="shared" si="122"/>
        <v/>
      </c>
    </row>
    <row r="6669" spans="3:3">
      <c r="C6669" s="160" t="str">
        <f t="shared" ref="C6669:C6732" si="123">D6669&amp;I6669</f>
        <v/>
      </c>
    </row>
    <row r="6670" spans="3:3">
      <c r="C6670" s="160" t="str">
        <f t="shared" si="123"/>
        <v/>
      </c>
    </row>
    <row r="6671" spans="3:3">
      <c r="C6671" s="160" t="str">
        <f t="shared" si="123"/>
        <v/>
      </c>
    </row>
    <row r="6672" spans="3:3">
      <c r="C6672" s="160" t="str">
        <f t="shared" si="123"/>
        <v/>
      </c>
    </row>
    <row r="6673" spans="3:3">
      <c r="C6673" s="160" t="str">
        <f t="shared" si="123"/>
        <v/>
      </c>
    </row>
    <row r="6674" spans="3:3">
      <c r="C6674" s="160" t="str">
        <f t="shared" si="123"/>
        <v/>
      </c>
    </row>
    <row r="6675" spans="3:3">
      <c r="C6675" s="160" t="str">
        <f t="shared" si="123"/>
        <v/>
      </c>
    </row>
    <row r="6676" spans="3:3">
      <c r="C6676" s="160" t="str">
        <f t="shared" si="123"/>
        <v/>
      </c>
    </row>
    <row r="6677" spans="3:3">
      <c r="C6677" s="160" t="str">
        <f t="shared" si="123"/>
        <v/>
      </c>
    </row>
    <row r="6678" spans="3:3">
      <c r="C6678" s="160" t="str">
        <f t="shared" si="123"/>
        <v/>
      </c>
    </row>
    <row r="6679" spans="3:3">
      <c r="C6679" s="160" t="str">
        <f t="shared" si="123"/>
        <v/>
      </c>
    </row>
    <row r="6680" spans="3:3">
      <c r="C6680" s="160" t="str">
        <f t="shared" si="123"/>
        <v/>
      </c>
    </row>
    <row r="6681" spans="3:3">
      <c r="C6681" s="160" t="str">
        <f t="shared" si="123"/>
        <v/>
      </c>
    </row>
    <row r="6682" spans="3:3">
      <c r="C6682" s="160" t="str">
        <f t="shared" si="123"/>
        <v/>
      </c>
    </row>
    <row r="6683" spans="3:3">
      <c r="C6683" s="160" t="str">
        <f t="shared" si="123"/>
        <v/>
      </c>
    </row>
    <row r="6684" spans="3:3">
      <c r="C6684" s="160" t="str">
        <f t="shared" si="123"/>
        <v/>
      </c>
    </row>
    <row r="6685" spans="3:3">
      <c r="C6685" s="160" t="str">
        <f t="shared" si="123"/>
        <v/>
      </c>
    </row>
    <row r="6686" spans="3:3">
      <c r="C6686" s="160" t="str">
        <f t="shared" si="123"/>
        <v/>
      </c>
    </row>
    <row r="6687" spans="3:3">
      <c r="C6687" s="160" t="str">
        <f t="shared" si="123"/>
        <v/>
      </c>
    </row>
    <row r="6688" spans="3:3">
      <c r="C6688" s="160" t="str">
        <f t="shared" si="123"/>
        <v/>
      </c>
    </row>
    <row r="6689" spans="3:3">
      <c r="C6689" s="160" t="str">
        <f t="shared" si="123"/>
        <v/>
      </c>
    </row>
    <row r="6690" spans="3:3">
      <c r="C6690" s="160" t="str">
        <f t="shared" si="123"/>
        <v/>
      </c>
    </row>
    <row r="6691" spans="3:3">
      <c r="C6691" s="160" t="str">
        <f t="shared" si="123"/>
        <v/>
      </c>
    </row>
    <row r="6692" spans="3:3">
      <c r="C6692" s="160" t="str">
        <f t="shared" si="123"/>
        <v/>
      </c>
    </row>
    <row r="6693" spans="3:3">
      <c r="C6693" s="160" t="str">
        <f t="shared" si="123"/>
        <v/>
      </c>
    </row>
    <row r="6694" spans="3:3">
      <c r="C6694" s="160" t="str">
        <f t="shared" si="123"/>
        <v/>
      </c>
    </row>
    <row r="6695" spans="3:3">
      <c r="C6695" s="160" t="str">
        <f t="shared" si="123"/>
        <v/>
      </c>
    </row>
    <row r="6696" spans="3:3">
      <c r="C6696" s="160" t="str">
        <f t="shared" si="123"/>
        <v/>
      </c>
    </row>
    <row r="6697" spans="3:3">
      <c r="C6697" s="160" t="str">
        <f t="shared" si="123"/>
        <v/>
      </c>
    </row>
    <row r="6698" spans="3:3">
      <c r="C6698" s="160" t="str">
        <f t="shared" si="123"/>
        <v/>
      </c>
    </row>
    <row r="6699" spans="3:3">
      <c r="C6699" s="160" t="str">
        <f t="shared" si="123"/>
        <v/>
      </c>
    </row>
    <row r="6700" spans="3:3">
      <c r="C6700" s="160" t="str">
        <f t="shared" si="123"/>
        <v/>
      </c>
    </row>
    <row r="6701" spans="3:3">
      <c r="C6701" s="160" t="str">
        <f t="shared" si="123"/>
        <v/>
      </c>
    </row>
    <row r="6702" spans="3:3">
      <c r="C6702" s="160" t="str">
        <f t="shared" si="123"/>
        <v/>
      </c>
    </row>
    <row r="6703" spans="3:3">
      <c r="C6703" s="160" t="str">
        <f t="shared" si="123"/>
        <v/>
      </c>
    </row>
    <row r="6704" spans="3:3">
      <c r="C6704" s="160" t="str">
        <f t="shared" si="123"/>
        <v/>
      </c>
    </row>
    <row r="6705" spans="3:3">
      <c r="C6705" s="160" t="str">
        <f t="shared" si="123"/>
        <v/>
      </c>
    </row>
    <row r="6706" spans="3:3">
      <c r="C6706" s="160" t="str">
        <f t="shared" si="123"/>
        <v/>
      </c>
    </row>
    <row r="6707" spans="3:3">
      <c r="C6707" s="160" t="str">
        <f t="shared" si="123"/>
        <v/>
      </c>
    </row>
    <row r="6708" spans="3:3">
      <c r="C6708" s="160" t="str">
        <f t="shared" si="123"/>
        <v/>
      </c>
    </row>
    <row r="6709" spans="3:3">
      <c r="C6709" s="160" t="str">
        <f t="shared" si="123"/>
        <v/>
      </c>
    </row>
    <row r="6710" spans="3:3">
      <c r="C6710" s="160" t="str">
        <f t="shared" si="123"/>
        <v/>
      </c>
    </row>
    <row r="6711" spans="3:3">
      <c r="C6711" s="160" t="str">
        <f t="shared" si="123"/>
        <v/>
      </c>
    </row>
    <row r="6712" spans="3:3">
      <c r="C6712" s="160" t="str">
        <f t="shared" si="123"/>
        <v/>
      </c>
    </row>
    <row r="6713" spans="3:3">
      <c r="C6713" s="160" t="str">
        <f t="shared" si="123"/>
        <v/>
      </c>
    </row>
    <row r="6714" spans="3:3">
      <c r="C6714" s="160" t="str">
        <f t="shared" si="123"/>
        <v/>
      </c>
    </row>
    <row r="6715" spans="3:3">
      <c r="C6715" s="160" t="str">
        <f t="shared" si="123"/>
        <v/>
      </c>
    </row>
    <row r="6716" spans="3:3">
      <c r="C6716" s="160" t="str">
        <f t="shared" si="123"/>
        <v/>
      </c>
    </row>
    <row r="6717" spans="3:3">
      <c r="C6717" s="160" t="str">
        <f t="shared" si="123"/>
        <v/>
      </c>
    </row>
    <row r="6718" spans="3:3">
      <c r="C6718" s="160" t="str">
        <f t="shared" si="123"/>
        <v/>
      </c>
    </row>
    <row r="6719" spans="3:3">
      <c r="C6719" s="160" t="str">
        <f t="shared" si="123"/>
        <v/>
      </c>
    </row>
    <row r="6720" spans="3:3">
      <c r="C6720" s="160" t="str">
        <f t="shared" si="123"/>
        <v/>
      </c>
    </row>
    <row r="6721" spans="3:3">
      <c r="C6721" s="160" t="str">
        <f t="shared" si="123"/>
        <v/>
      </c>
    </row>
    <row r="6722" spans="3:3">
      <c r="C6722" s="160" t="str">
        <f t="shared" si="123"/>
        <v/>
      </c>
    </row>
    <row r="6723" spans="3:3">
      <c r="C6723" s="160" t="str">
        <f t="shared" si="123"/>
        <v/>
      </c>
    </row>
    <row r="6724" spans="3:3">
      <c r="C6724" s="160" t="str">
        <f t="shared" si="123"/>
        <v/>
      </c>
    </row>
    <row r="6725" spans="3:3">
      <c r="C6725" s="160" t="str">
        <f t="shared" si="123"/>
        <v/>
      </c>
    </row>
    <row r="6726" spans="3:3">
      <c r="C6726" s="160" t="str">
        <f t="shared" si="123"/>
        <v/>
      </c>
    </row>
    <row r="6727" spans="3:3">
      <c r="C6727" s="160" t="str">
        <f t="shared" si="123"/>
        <v/>
      </c>
    </row>
    <row r="6728" spans="3:3">
      <c r="C6728" s="160" t="str">
        <f t="shared" si="123"/>
        <v/>
      </c>
    </row>
    <row r="6729" spans="3:3">
      <c r="C6729" s="160" t="str">
        <f t="shared" si="123"/>
        <v/>
      </c>
    </row>
    <row r="6730" spans="3:3">
      <c r="C6730" s="160" t="str">
        <f t="shared" si="123"/>
        <v/>
      </c>
    </row>
    <row r="6731" spans="3:3">
      <c r="C6731" s="160" t="str">
        <f t="shared" si="123"/>
        <v/>
      </c>
    </row>
    <row r="6732" spans="3:3">
      <c r="C6732" s="160" t="str">
        <f t="shared" si="123"/>
        <v/>
      </c>
    </row>
    <row r="6733" spans="3:3">
      <c r="C6733" s="160" t="str">
        <f t="shared" ref="C6733:C6796" si="124">D6733&amp;I6733</f>
        <v/>
      </c>
    </row>
    <row r="6734" spans="3:3">
      <c r="C6734" s="160" t="str">
        <f t="shared" si="124"/>
        <v/>
      </c>
    </row>
    <row r="6735" spans="3:3">
      <c r="C6735" s="160" t="str">
        <f t="shared" si="124"/>
        <v/>
      </c>
    </row>
    <row r="6736" spans="3:3">
      <c r="C6736" s="160" t="str">
        <f t="shared" si="124"/>
        <v/>
      </c>
    </row>
    <row r="6737" spans="3:3">
      <c r="C6737" s="160" t="str">
        <f t="shared" si="124"/>
        <v/>
      </c>
    </row>
    <row r="6738" spans="3:3">
      <c r="C6738" s="160" t="str">
        <f t="shared" si="124"/>
        <v/>
      </c>
    </row>
    <row r="6739" spans="3:3">
      <c r="C6739" s="160" t="str">
        <f t="shared" si="124"/>
        <v/>
      </c>
    </row>
    <row r="6740" spans="3:3">
      <c r="C6740" s="160" t="str">
        <f t="shared" si="124"/>
        <v/>
      </c>
    </row>
    <row r="6741" spans="3:3">
      <c r="C6741" s="160" t="str">
        <f t="shared" si="124"/>
        <v/>
      </c>
    </row>
    <row r="6742" spans="3:3">
      <c r="C6742" s="160" t="str">
        <f t="shared" si="124"/>
        <v/>
      </c>
    </row>
    <row r="6743" spans="3:3">
      <c r="C6743" s="160" t="str">
        <f t="shared" si="124"/>
        <v/>
      </c>
    </row>
    <row r="6744" spans="3:3">
      <c r="C6744" s="160" t="str">
        <f t="shared" si="124"/>
        <v/>
      </c>
    </row>
    <row r="6745" spans="3:3">
      <c r="C6745" s="160" t="str">
        <f t="shared" si="124"/>
        <v/>
      </c>
    </row>
    <row r="6746" spans="3:3">
      <c r="C6746" s="160" t="str">
        <f t="shared" si="124"/>
        <v/>
      </c>
    </row>
    <row r="6747" spans="3:3">
      <c r="C6747" s="160" t="str">
        <f t="shared" si="124"/>
        <v/>
      </c>
    </row>
    <row r="6748" spans="3:3">
      <c r="C6748" s="160" t="str">
        <f t="shared" si="124"/>
        <v/>
      </c>
    </row>
    <row r="6749" spans="3:3">
      <c r="C6749" s="160" t="str">
        <f t="shared" si="124"/>
        <v/>
      </c>
    </row>
    <row r="6750" spans="3:3">
      <c r="C6750" s="160" t="str">
        <f t="shared" si="124"/>
        <v/>
      </c>
    </row>
    <row r="6751" spans="3:3">
      <c r="C6751" s="160" t="str">
        <f t="shared" si="124"/>
        <v/>
      </c>
    </row>
    <row r="6752" spans="3:3">
      <c r="C6752" s="160" t="str">
        <f t="shared" si="124"/>
        <v/>
      </c>
    </row>
    <row r="6753" spans="3:3">
      <c r="C6753" s="160" t="str">
        <f t="shared" si="124"/>
        <v/>
      </c>
    </row>
    <row r="6754" spans="3:3">
      <c r="C6754" s="160" t="str">
        <f t="shared" si="124"/>
        <v/>
      </c>
    </row>
    <row r="6755" spans="3:3">
      <c r="C6755" s="160" t="str">
        <f t="shared" si="124"/>
        <v/>
      </c>
    </row>
    <row r="6756" spans="3:3">
      <c r="C6756" s="160" t="str">
        <f t="shared" si="124"/>
        <v/>
      </c>
    </row>
    <row r="6757" spans="3:3">
      <c r="C6757" s="160" t="str">
        <f t="shared" si="124"/>
        <v/>
      </c>
    </row>
    <row r="6758" spans="3:3">
      <c r="C6758" s="160" t="str">
        <f t="shared" si="124"/>
        <v/>
      </c>
    </row>
    <row r="6759" spans="3:3">
      <c r="C6759" s="160" t="str">
        <f t="shared" si="124"/>
        <v/>
      </c>
    </row>
    <row r="6760" spans="3:3">
      <c r="C6760" s="160" t="str">
        <f t="shared" si="124"/>
        <v/>
      </c>
    </row>
    <row r="6761" spans="3:3">
      <c r="C6761" s="160" t="str">
        <f t="shared" si="124"/>
        <v/>
      </c>
    </row>
    <row r="6762" spans="3:3">
      <c r="C6762" s="160" t="str">
        <f t="shared" si="124"/>
        <v/>
      </c>
    </row>
    <row r="6763" spans="3:3">
      <c r="C6763" s="160" t="str">
        <f t="shared" si="124"/>
        <v/>
      </c>
    </row>
    <row r="6764" spans="3:3">
      <c r="C6764" s="160" t="str">
        <f t="shared" si="124"/>
        <v/>
      </c>
    </row>
    <row r="6765" spans="3:3">
      <c r="C6765" s="160" t="str">
        <f t="shared" si="124"/>
        <v/>
      </c>
    </row>
    <row r="6766" spans="3:3">
      <c r="C6766" s="160" t="str">
        <f t="shared" si="124"/>
        <v/>
      </c>
    </row>
    <row r="6767" spans="3:3">
      <c r="C6767" s="160" t="str">
        <f t="shared" si="124"/>
        <v/>
      </c>
    </row>
    <row r="6768" spans="3:3">
      <c r="C6768" s="160" t="str">
        <f t="shared" si="124"/>
        <v/>
      </c>
    </row>
    <row r="6769" spans="3:3">
      <c r="C6769" s="160" t="str">
        <f t="shared" si="124"/>
        <v/>
      </c>
    </row>
    <row r="6770" spans="3:3">
      <c r="C6770" s="160" t="str">
        <f t="shared" si="124"/>
        <v/>
      </c>
    </row>
    <row r="6771" spans="3:3">
      <c r="C6771" s="160" t="str">
        <f t="shared" si="124"/>
        <v/>
      </c>
    </row>
    <row r="6772" spans="3:3">
      <c r="C6772" s="160" t="str">
        <f t="shared" si="124"/>
        <v/>
      </c>
    </row>
    <row r="6773" spans="3:3">
      <c r="C6773" s="160" t="str">
        <f t="shared" si="124"/>
        <v/>
      </c>
    </row>
    <row r="6774" spans="3:3">
      <c r="C6774" s="160" t="str">
        <f t="shared" si="124"/>
        <v/>
      </c>
    </row>
    <row r="6775" spans="3:3">
      <c r="C6775" s="160" t="str">
        <f t="shared" si="124"/>
        <v/>
      </c>
    </row>
    <row r="6776" spans="3:3">
      <c r="C6776" s="160" t="str">
        <f t="shared" si="124"/>
        <v/>
      </c>
    </row>
    <row r="6777" spans="3:3">
      <c r="C6777" s="160" t="str">
        <f t="shared" si="124"/>
        <v/>
      </c>
    </row>
    <row r="6778" spans="3:3">
      <c r="C6778" s="160" t="str">
        <f t="shared" si="124"/>
        <v/>
      </c>
    </row>
    <row r="6779" spans="3:3">
      <c r="C6779" s="160" t="str">
        <f t="shared" si="124"/>
        <v/>
      </c>
    </row>
    <row r="6780" spans="3:3">
      <c r="C6780" s="160" t="str">
        <f t="shared" si="124"/>
        <v/>
      </c>
    </row>
    <row r="6781" spans="3:3">
      <c r="C6781" s="160" t="str">
        <f t="shared" si="124"/>
        <v/>
      </c>
    </row>
    <row r="6782" spans="3:3">
      <c r="C6782" s="160" t="str">
        <f t="shared" si="124"/>
        <v/>
      </c>
    </row>
    <row r="6783" spans="3:3">
      <c r="C6783" s="160" t="str">
        <f t="shared" si="124"/>
        <v/>
      </c>
    </row>
    <row r="6784" spans="3:3">
      <c r="C6784" s="160" t="str">
        <f t="shared" si="124"/>
        <v/>
      </c>
    </row>
    <row r="6785" spans="3:3">
      <c r="C6785" s="160" t="str">
        <f t="shared" si="124"/>
        <v/>
      </c>
    </row>
    <row r="6786" spans="3:3">
      <c r="C6786" s="160" t="str">
        <f t="shared" si="124"/>
        <v/>
      </c>
    </row>
    <row r="6787" spans="3:3">
      <c r="C6787" s="160" t="str">
        <f t="shared" si="124"/>
        <v/>
      </c>
    </row>
    <row r="6788" spans="3:3">
      <c r="C6788" s="160" t="str">
        <f t="shared" si="124"/>
        <v/>
      </c>
    </row>
    <row r="6789" spans="3:3">
      <c r="C6789" s="160" t="str">
        <f t="shared" si="124"/>
        <v/>
      </c>
    </row>
    <row r="6790" spans="3:3">
      <c r="C6790" s="160" t="str">
        <f t="shared" si="124"/>
        <v/>
      </c>
    </row>
    <row r="6791" spans="3:3">
      <c r="C6791" s="160" t="str">
        <f t="shared" si="124"/>
        <v/>
      </c>
    </row>
    <row r="6792" spans="3:3">
      <c r="C6792" s="160" t="str">
        <f t="shared" si="124"/>
        <v/>
      </c>
    </row>
    <row r="6793" spans="3:3">
      <c r="C6793" s="160" t="str">
        <f t="shared" si="124"/>
        <v/>
      </c>
    </row>
    <row r="6794" spans="3:3">
      <c r="C6794" s="160" t="str">
        <f t="shared" si="124"/>
        <v/>
      </c>
    </row>
    <row r="6795" spans="3:3">
      <c r="C6795" s="160" t="str">
        <f t="shared" si="124"/>
        <v/>
      </c>
    </row>
    <row r="6796" spans="3:3">
      <c r="C6796" s="160" t="str">
        <f t="shared" si="124"/>
        <v/>
      </c>
    </row>
    <row r="6797" spans="3:3">
      <c r="C6797" s="160" t="str">
        <f t="shared" ref="C6797:C6860" si="125">D6797&amp;I6797</f>
        <v/>
      </c>
    </row>
    <row r="6798" spans="3:3">
      <c r="C6798" s="160" t="str">
        <f t="shared" si="125"/>
        <v/>
      </c>
    </row>
    <row r="6799" spans="3:3">
      <c r="C6799" s="160" t="str">
        <f t="shared" si="125"/>
        <v/>
      </c>
    </row>
    <row r="6800" spans="3:3">
      <c r="C6800" s="160" t="str">
        <f t="shared" si="125"/>
        <v/>
      </c>
    </row>
    <row r="6801" spans="3:3">
      <c r="C6801" s="160" t="str">
        <f t="shared" si="125"/>
        <v/>
      </c>
    </row>
    <row r="6802" spans="3:3">
      <c r="C6802" s="160" t="str">
        <f t="shared" si="125"/>
        <v/>
      </c>
    </row>
    <row r="6803" spans="3:3">
      <c r="C6803" s="160" t="str">
        <f t="shared" si="125"/>
        <v/>
      </c>
    </row>
    <row r="6804" spans="3:3">
      <c r="C6804" s="160" t="str">
        <f t="shared" si="125"/>
        <v/>
      </c>
    </row>
    <row r="6805" spans="3:3">
      <c r="C6805" s="160" t="str">
        <f t="shared" si="125"/>
        <v/>
      </c>
    </row>
    <row r="6806" spans="3:3">
      <c r="C6806" s="160" t="str">
        <f t="shared" si="125"/>
        <v/>
      </c>
    </row>
    <row r="6807" spans="3:3">
      <c r="C6807" s="160" t="str">
        <f t="shared" si="125"/>
        <v/>
      </c>
    </row>
    <row r="6808" spans="3:3">
      <c r="C6808" s="160" t="str">
        <f t="shared" si="125"/>
        <v/>
      </c>
    </row>
    <row r="6809" spans="3:3">
      <c r="C6809" s="160" t="str">
        <f t="shared" si="125"/>
        <v/>
      </c>
    </row>
    <row r="6810" spans="3:3">
      <c r="C6810" s="160" t="str">
        <f t="shared" si="125"/>
        <v/>
      </c>
    </row>
    <row r="6811" spans="3:3">
      <c r="C6811" s="160" t="str">
        <f t="shared" si="125"/>
        <v/>
      </c>
    </row>
    <row r="6812" spans="3:3">
      <c r="C6812" s="160" t="str">
        <f t="shared" si="125"/>
        <v/>
      </c>
    </row>
    <row r="6813" spans="3:3">
      <c r="C6813" s="160" t="str">
        <f t="shared" si="125"/>
        <v/>
      </c>
    </row>
    <row r="6814" spans="3:3">
      <c r="C6814" s="160" t="str">
        <f t="shared" si="125"/>
        <v/>
      </c>
    </row>
    <row r="6815" spans="3:3">
      <c r="C6815" s="160" t="str">
        <f t="shared" si="125"/>
        <v/>
      </c>
    </row>
    <row r="6816" spans="3:3">
      <c r="C6816" s="160" t="str">
        <f t="shared" si="125"/>
        <v/>
      </c>
    </row>
    <row r="6817" spans="3:3">
      <c r="C6817" s="160" t="str">
        <f t="shared" si="125"/>
        <v/>
      </c>
    </row>
    <row r="6818" spans="3:3">
      <c r="C6818" s="160" t="str">
        <f t="shared" si="125"/>
        <v/>
      </c>
    </row>
    <row r="6819" spans="3:3">
      <c r="C6819" s="160" t="str">
        <f t="shared" si="125"/>
        <v/>
      </c>
    </row>
    <row r="6820" spans="3:3">
      <c r="C6820" s="160" t="str">
        <f t="shared" si="125"/>
        <v/>
      </c>
    </row>
    <row r="6821" spans="3:3">
      <c r="C6821" s="160" t="str">
        <f t="shared" si="125"/>
        <v/>
      </c>
    </row>
    <row r="6822" spans="3:3">
      <c r="C6822" s="160" t="str">
        <f t="shared" si="125"/>
        <v/>
      </c>
    </row>
    <row r="6823" spans="3:3">
      <c r="C6823" s="160" t="str">
        <f t="shared" si="125"/>
        <v/>
      </c>
    </row>
    <row r="6824" spans="3:3">
      <c r="C6824" s="160" t="str">
        <f t="shared" si="125"/>
        <v/>
      </c>
    </row>
    <row r="6825" spans="3:3">
      <c r="C6825" s="160" t="str">
        <f t="shared" si="125"/>
        <v/>
      </c>
    </row>
    <row r="6826" spans="3:3">
      <c r="C6826" s="160" t="str">
        <f t="shared" si="125"/>
        <v/>
      </c>
    </row>
    <row r="6827" spans="3:3">
      <c r="C6827" s="160" t="str">
        <f t="shared" si="125"/>
        <v/>
      </c>
    </row>
    <row r="6828" spans="3:3">
      <c r="C6828" s="160" t="str">
        <f t="shared" si="125"/>
        <v/>
      </c>
    </row>
    <row r="6829" spans="3:3">
      <c r="C6829" s="160" t="str">
        <f t="shared" si="125"/>
        <v/>
      </c>
    </row>
    <row r="6830" spans="3:3">
      <c r="C6830" s="160" t="str">
        <f t="shared" si="125"/>
        <v/>
      </c>
    </row>
    <row r="6831" spans="3:3">
      <c r="C6831" s="160" t="str">
        <f t="shared" si="125"/>
        <v/>
      </c>
    </row>
    <row r="6832" spans="3:3">
      <c r="C6832" s="160" t="str">
        <f t="shared" si="125"/>
        <v/>
      </c>
    </row>
    <row r="6833" spans="3:3">
      <c r="C6833" s="160" t="str">
        <f t="shared" si="125"/>
        <v/>
      </c>
    </row>
    <row r="6834" spans="3:3">
      <c r="C6834" s="160" t="str">
        <f t="shared" si="125"/>
        <v/>
      </c>
    </row>
    <row r="6835" spans="3:3">
      <c r="C6835" s="160" t="str">
        <f t="shared" si="125"/>
        <v/>
      </c>
    </row>
    <row r="6836" spans="3:3">
      <c r="C6836" s="160" t="str">
        <f t="shared" si="125"/>
        <v/>
      </c>
    </row>
    <row r="6837" spans="3:3">
      <c r="C6837" s="160" t="str">
        <f t="shared" si="125"/>
        <v/>
      </c>
    </row>
    <row r="6838" spans="3:3">
      <c r="C6838" s="160" t="str">
        <f t="shared" si="125"/>
        <v/>
      </c>
    </row>
    <row r="6839" spans="3:3">
      <c r="C6839" s="160" t="str">
        <f t="shared" si="125"/>
        <v/>
      </c>
    </row>
    <row r="6840" spans="3:3">
      <c r="C6840" s="160" t="str">
        <f t="shared" si="125"/>
        <v/>
      </c>
    </row>
    <row r="6841" spans="3:3">
      <c r="C6841" s="160" t="str">
        <f t="shared" si="125"/>
        <v/>
      </c>
    </row>
    <row r="6842" spans="3:3">
      <c r="C6842" s="160" t="str">
        <f t="shared" si="125"/>
        <v/>
      </c>
    </row>
    <row r="6843" spans="3:3">
      <c r="C6843" s="160" t="str">
        <f t="shared" si="125"/>
        <v/>
      </c>
    </row>
    <row r="6844" spans="3:3">
      <c r="C6844" s="160" t="str">
        <f t="shared" si="125"/>
        <v/>
      </c>
    </row>
    <row r="6845" spans="3:3">
      <c r="C6845" s="160" t="str">
        <f t="shared" si="125"/>
        <v/>
      </c>
    </row>
    <row r="6846" spans="3:3">
      <c r="C6846" s="160" t="str">
        <f t="shared" si="125"/>
        <v/>
      </c>
    </row>
    <row r="6847" spans="3:3">
      <c r="C6847" s="160" t="str">
        <f t="shared" si="125"/>
        <v/>
      </c>
    </row>
    <row r="6848" spans="3:3">
      <c r="C6848" s="160" t="str">
        <f t="shared" si="125"/>
        <v/>
      </c>
    </row>
    <row r="6849" spans="3:3">
      <c r="C6849" s="160" t="str">
        <f t="shared" si="125"/>
        <v/>
      </c>
    </row>
    <row r="6850" spans="3:3">
      <c r="C6850" s="160" t="str">
        <f t="shared" si="125"/>
        <v/>
      </c>
    </row>
    <row r="6851" spans="3:3">
      <c r="C6851" s="160" t="str">
        <f t="shared" si="125"/>
        <v/>
      </c>
    </row>
    <row r="6852" spans="3:3">
      <c r="C6852" s="160" t="str">
        <f t="shared" si="125"/>
        <v/>
      </c>
    </row>
    <row r="6853" spans="3:3">
      <c r="C6853" s="160" t="str">
        <f t="shared" si="125"/>
        <v/>
      </c>
    </row>
    <row r="6854" spans="3:3">
      <c r="C6854" s="160" t="str">
        <f t="shared" si="125"/>
        <v/>
      </c>
    </row>
    <row r="6855" spans="3:3">
      <c r="C6855" s="160" t="str">
        <f t="shared" si="125"/>
        <v/>
      </c>
    </row>
    <row r="6856" spans="3:3">
      <c r="C6856" s="160" t="str">
        <f t="shared" si="125"/>
        <v/>
      </c>
    </row>
    <row r="6857" spans="3:3">
      <c r="C6857" s="160" t="str">
        <f t="shared" si="125"/>
        <v/>
      </c>
    </row>
    <row r="6858" spans="3:3">
      <c r="C6858" s="160" t="str">
        <f t="shared" si="125"/>
        <v/>
      </c>
    </row>
    <row r="6859" spans="3:3">
      <c r="C6859" s="160" t="str">
        <f t="shared" si="125"/>
        <v/>
      </c>
    </row>
    <row r="6860" spans="3:3">
      <c r="C6860" s="160" t="str">
        <f t="shared" si="125"/>
        <v/>
      </c>
    </row>
    <row r="6861" spans="3:3">
      <c r="C6861" s="160" t="str">
        <f t="shared" ref="C6861:C6924" si="126">D6861&amp;I6861</f>
        <v/>
      </c>
    </row>
    <row r="6862" spans="3:3">
      <c r="C6862" s="160" t="str">
        <f t="shared" si="126"/>
        <v/>
      </c>
    </row>
    <row r="6863" spans="3:3">
      <c r="C6863" s="160" t="str">
        <f t="shared" si="126"/>
        <v/>
      </c>
    </row>
    <row r="6864" spans="3:3">
      <c r="C6864" s="160" t="str">
        <f t="shared" si="126"/>
        <v/>
      </c>
    </row>
    <row r="6865" spans="3:3">
      <c r="C6865" s="160" t="str">
        <f t="shared" si="126"/>
        <v/>
      </c>
    </row>
    <row r="6866" spans="3:3">
      <c r="C6866" s="160" t="str">
        <f t="shared" si="126"/>
        <v/>
      </c>
    </row>
    <row r="6867" spans="3:3">
      <c r="C6867" s="160" t="str">
        <f t="shared" si="126"/>
        <v/>
      </c>
    </row>
    <row r="6868" spans="3:3">
      <c r="C6868" s="160" t="str">
        <f t="shared" si="126"/>
        <v/>
      </c>
    </row>
    <row r="6869" spans="3:3">
      <c r="C6869" s="160" t="str">
        <f t="shared" si="126"/>
        <v/>
      </c>
    </row>
    <row r="6870" spans="3:3">
      <c r="C6870" s="160" t="str">
        <f t="shared" si="126"/>
        <v/>
      </c>
    </row>
    <row r="6871" spans="3:3">
      <c r="C6871" s="160" t="str">
        <f t="shared" si="126"/>
        <v/>
      </c>
    </row>
    <row r="6872" spans="3:3">
      <c r="C6872" s="160" t="str">
        <f t="shared" si="126"/>
        <v/>
      </c>
    </row>
    <row r="6873" spans="3:3">
      <c r="C6873" s="160" t="str">
        <f t="shared" si="126"/>
        <v/>
      </c>
    </row>
    <row r="6874" spans="3:3">
      <c r="C6874" s="160" t="str">
        <f t="shared" si="126"/>
        <v/>
      </c>
    </row>
    <row r="6875" spans="3:3">
      <c r="C6875" s="160" t="str">
        <f t="shared" si="126"/>
        <v/>
      </c>
    </row>
    <row r="6876" spans="3:3">
      <c r="C6876" s="160" t="str">
        <f t="shared" si="126"/>
        <v/>
      </c>
    </row>
    <row r="6877" spans="3:3">
      <c r="C6877" s="160" t="str">
        <f t="shared" si="126"/>
        <v/>
      </c>
    </row>
    <row r="6878" spans="3:3">
      <c r="C6878" s="160" t="str">
        <f t="shared" si="126"/>
        <v/>
      </c>
    </row>
    <row r="6879" spans="3:3">
      <c r="C6879" s="160" t="str">
        <f t="shared" si="126"/>
        <v/>
      </c>
    </row>
    <row r="6880" spans="3:3">
      <c r="C6880" s="160" t="str">
        <f t="shared" si="126"/>
        <v/>
      </c>
    </row>
    <row r="6881" spans="3:3">
      <c r="C6881" s="160" t="str">
        <f t="shared" si="126"/>
        <v/>
      </c>
    </row>
    <row r="6882" spans="3:3">
      <c r="C6882" s="160" t="str">
        <f t="shared" si="126"/>
        <v/>
      </c>
    </row>
    <row r="6883" spans="3:3">
      <c r="C6883" s="160" t="str">
        <f t="shared" si="126"/>
        <v/>
      </c>
    </row>
    <row r="6884" spans="3:3">
      <c r="C6884" s="160" t="str">
        <f t="shared" si="126"/>
        <v/>
      </c>
    </row>
    <row r="6885" spans="3:3">
      <c r="C6885" s="160" t="str">
        <f t="shared" si="126"/>
        <v/>
      </c>
    </row>
    <row r="6886" spans="3:3">
      <c r="C6886" s="160" t="str">
        <f t="shared" si="126"/>
        <v/>
      </c>
    </row>
    <row r="6887" spans="3:3">
      <c r="C6887" s="160" t="str">
        <f t="shared" si="126"/>
        <v/>
      </c>
    </row>
    <row r="6888" spans="3:3">
      <c r="C6888" s="160" t="str">
        <f t="shared" si="126"/>
        <v/>
      </c>
    </row>
    <row r="6889" spans="3:3">
      <c r="C6889" s="160" t="str">
        <f t="shared" si="126"/>
        <v/>
      </c>
    </row>
    <row r="6890" spans="3:3">
      <c r="C6890" s="160" t="str">
        <f t="shared" si="126"/>
        <v/>
      </c>
    </row>
    <row r="6891" spans="3:3">
      <c r="C6891" s="160" t="str">
        <f t="shared" si="126"/>
        <v/>
      </c>
    </row>
    <row r="6892" spans="3:3">
      <c r="C6892" s="160" t="str">
        <f t="shared" si="126"/>
        <v/>
      </c>
    </row>
    <row r="6893" spans="3:3">
      <c r="C6893" s="160" t="str">
        <f t="shared" si="126"/>
        <v/>
      </c>
    </row>
    <row r="6894" spans="3:3">
      <c r="C6894" s="160" t="str">
        <f t="shared" si="126"/>
        <v/>
      </c>
    </row>
    <row r="6895" spans="3:3">
      <c r="C6895" s="160" t="str">
        <f t="shared" si="126"/>
        <v/>
      </c>
    </row>
    <row r="6896" spans="3:3">
      <c r="C6896" s="160" t="str">
        <f t="shared" si="126"/>
        <v/>
      </c>
    </row>
    <row r="6897" spans="3:3">
      <c r="C6897" s="160" t="str">
        <f t="shared" si="126"/>
        <v/>
      </c>
    </row>
    <row r="6898" spans="3:3">
      <c r="C6898" s="160" t="str">
        <f t="shared" si="126"/>
        <v/>
      </c>
    </row>
    <row r="6899" spans="3:3">
      <c r="C6899" s="160" t="str">
        <f t="shared" si="126"/>
        <v/>
      </c>
    </row>
    <row r="6900" spans="3:3">
      <c r="C6900" s="160" t="str">
        <f t="shared" si="126"/>
        <v/>
      </c>
    </row>
    <row r="6901" spans="3:3">
      <c r="C6901" s="160" t="str">
        <f t="shared" si="126"/>
        <v/>
      </c>
    </row>
    <row r="6902" spans="3:3">
      <c r="C6902" s="160" t="str">
        <f t="shared" si="126"/>
        <v/>
      </c>
    </row>
    <row r="6903" spans="3:3">
      <c r="C6903" s="160" t="str">
        <f t="shared" si="126"/>
        <v/>
      </c>
    </row>
    <row r="6904" spans="3:3">
      <c r="C6904" s="160" t="str">
        <f t="shared" si="126"/>
        <v/>
      </c>
    </row>
    <row r="6905" spans="3:3">
      <c r="C6905" s="160" t="str">
        <f t="shared" si="126"/>
        <v/>
      </c>
    </row>
    <row r="6906" spans="3:3">
      <c r="C6906" s="160" t="str">
        <f t="shared" si="126"/>
        <v/>
      </c>
    </row>
    <row r="6907" spans="3:3">
      <c r="C6907" s="160" t="str">
        <f t="shared" si="126"/>
        <v/>
      </c>
    </row>
    <row r="6908" spans="3:3">
      <c r="C6908" s="160" t="str">
        <f t="shared" si="126"/>
        <v/>
      </c>
    </row>
    <row r="6909" spans="3:3">
      <c r="C6909" s="160" t="str">
        <f t="shared" si="126"/>
        <v/>
      </c>
    </row>
    <row r="6910" spans="3:3">
      <c r="C6910" s="160" t="str">
        <f t="shared" si="126"/>
        <v/>
      </c>
    </row>
    <row r="6911" spans="3:3">
      <c r="C6911" s="160" t="str">
        <f t="shared" si="126"/>
        <v/>
      </c>
    </row>
    <row r="6912" spans="3:3">
      <c r="C6912" s="160" t="str">
        <f t="shared" si="126"/>
        <v/>
      </c>
    </row>
    <row r="6913" spans="3:3">
      <c r="C6913" s="160" t="str">
        <f t="shared" si="126"/>
        <v/>
      </c>
    </row>
    <row r="6914" spans="3:3">
      <c r="C6914" s="160" t="str">
        <f t="shared" si="126"/>
        <v/>
      </c>
    </row>
    <row r="6915" spans="3:3">
      <c r="C6915" s="160" t="str">
        <f t="shared" si="126"/>
        <v/>
      </c>
    </row>
    <row r="6916" spans="3:3">
      <c r="C6916" s="160" t="str">
        <f t="shared" si="126"/>
        <v/>
      </c>
    </row>
    <row r="6917" spans="3:3">
      <c r="C6917" s="160" t="str">
        <f t="shared" si="126"/>
        <v/>
      </c>
    </row>
    <row r="6918" spans="3:3">
      <c r="C6918" s="160" t="str">
        <f t="shared" si="126"/>
        <v/>
      </c>
    </row>
    <row r="6919" spans="3:3">
      <c r="C6919" s="160" t="str">
        <f t="shared" si="126"/>
        <v/>
      </c>
    </row>
    <row r="6920" spans="3:3">
      <c r="C6920" s="160" t="str">
        <f t="shared" si="126"/>
        <v/>
      </c>
    </row>
    <row r="6921" spans="3:3">
      <c r="C6921" s="160" t="str">
        <f t="shared" si="126"/>
        <v/>
      </c>
    </row>
    <row r="6922" spans="3:3">
      <c r="C6922" s="160" t="str">
        <f t="shared" si="126"/>
        <v/>
      </c>
    </row>
    <row r="6923" spans="3:3">
      <c r="C6923" s="160" t="str">
        <f t="shared" si="126"/>
        <v/>
      </c>
    </row>
    <row r="6924" spans="3:3">
      <c r="C6924" s="160" t="str">
        <f t="shared" si="126"/>
        <v/>
      </c>
    </row>
    <row r="6925" spans="3:3">
      <c r="C6925" s="160" t="str">
        <f t="shared" ref="C6925:C6988" si="127">D6925&amp;I6925</f>
        <v/>
      </c>
    </row>
    <row r="6926" spans="3:3">
      <c r="C6926" s="160" t="str">
        <f t="shared" si="127"/>
        <v/>
      </c>
    </row>
    <row r="6927" spans="3:3">
      <c r="C6927" s="160" t="str">
        <f t="shared" si="127"/>
        <v/>
      </c>
    </row>
    <row r="6928" spans="3:3">
      <c r="C6928" s="160" t="str">
        <f t="shared" si="127"/>
        <v/>
      </c>
    </row>
    <row r="6929" spans="3:3">
      <c r="C6929" s="160" t="str">
        <f t="shared" si="127"/>
        <v/>
      </c>
    </row>
    <row r="6930" spans="3:3">
      <c r="C6930" s="160" t="str">
        <f t="shared" si="127"/>
        <v/>
      </c>
    </row>
    <row r="6931" spans="3:3">
      <c r="C6931" s="160" t="str">
        <f t="shared" si="127"/>
        <v/>
      </c>
    </row>
    <row r="6932" spans="3:3">
      <c r="C6932" s="160" t="str">
        <f t="shared" si="127"/>
        <v/>
      </c>
    </row>
    <row r="6933" spans="3:3">
      <c r="C6933" s="160" t="str">
        <f t="shared" si="127"/>
        <v/>
      </c>
    </row>
    <row r="6934" spans="3:3">
      <c r="C6934" s="160" t="str">
        <f t="shared" si="127"/>
        <v/>
      </c>
    </row>
    <row r="6935" spans="3:3">
      <c r="C6935" s="160" t="str">
        <f t="shared" si="127"/>
        <v/>
      </c>
    </row>
    <row r="6936" spans="3:3">
      <c r="C6936" s="160" t="str">
        <f t="shared" si="127"/>
        <v/>
      </c>
    </row>
    <row r="6937" spans="3:3">
      <c r="C6937" s="160" t="str">
        <f t="shared" si="127"/>
        <v/>
      </c>
    </row>
    <row r="6938" spans="3:3">
      <c r="C6938" s="160" t="str">
        <f t="shared" si="127"/>
        <v/>
      </c>
    </row>
    <row r="6939" spans="3:3">
      <c r="C6939" s="160" t="str">
        <f t="shared" si="127"/>
        <v/>
      </c>
    </row>
    <row r="6940" spans="3:3">
      <c r="C6940" s="160" t="str">
        <f t="shared" si="127"/>
        <v/>
      </c>
    </row>
    <row r="6941" spans="3:3">
      <c r="C6941" s="160" t="str">
        <f t="shared" si="127"/>
        <v/>
      </c>
    </row>
    <row r="6942" spans="3:3">
      <c r="C6942" s="160" t="str">
        <f t="shared" si="127"/>
        <v/>
      </c>
    </row>
    <row r="6943" spans="3:3">
      <c r="C6943" s="160" t="str">
        <f t="shared" si="127"/>
        <v/>
      </c>
    </row>
    <row r="6944" spans="3:3">
      <c r="C6944" s="160" t="str">
        <f t="shared" si="127"/>
        <v/>
      </c>
    </row>
    <row r="6945" spans="3:3">
      <c r="C6945" s="160" t="str">
        <f t="shared" si="127"/>
        <v/>
      </c>
    </row>
    <row r="6946" spans="3:3">
      <c r="C6946" s="160" t="str">
        <f t="shared" si="127"/>
        <v/>
      </c>
    </row>
    <row r="6947" spans="3:3">
      <c r="C6947" s="160" t="str">
        <f t="shared" si="127"/>
        <v/>
      </c>
    </row>
    <row r="6948" spans="3:3">
      <c r="C6948" s="160" t="str">
        <f t="shared" si="127"/>
        <v/>
      </c>
    </row>
    <row r="6949" spans="3:3">
      <c r="C6949" s="160" t="str">
        <f t="shared" si="127"/>
        <v/>
      </c>
    </row>
    <row r="6950" spans="3:3">
      <c r="C6950" s="160" t="str">
        <f t="shared" si="127"/>
        <v/>
      </c>
    </row>
    <row r="6951" spans="3:3">
      <c r="C6951" s="160" t="str">
        <f t="shared" si="127"/>
        <v/>
      </c>
    </row>
    <row r="6952" spans="3:3">
      <c r="C6952" s="160" t="str">
        <f t="shared" si="127"/>
        <v/>
      </c>
    </row>
    <row r="6953" spans="3:3">
      <c r="C6953" s="160" t="str">
        <f t="shared" si="127"/>
        <v/>
      </c>
    </row>
    <row r="6954" spans="3:3">
      <c r="C6954" s="160" t="str">
        <f t="shared" si="127"/>
        <v/>
      </c>
    </row>
    <row r="6955" spans="3:3">
      <c r="C6955" s="160" t="str">
        <f t="shared" si="127"/>
        <v/>
      </c>
    </row>
    <row r="6956" spans="3:3">
      <c r="C6956" s="160" t="str">
        <f t="shared" si="127"/>
        <v/>
      </c>
    </row>
    <row r="6957" spans="3:3">
      <c r="C6957" s="160" t="str">
        <f t="shared" si="127"/>
        <v/>
      </c>
    </row>
    <row r="6958" spans="3:3">
      <c r="C6958" s="160" t="str">
        <f t="shared" si="127"/>
        <v/>
      </c>
    </row>
    <row r="6959" spans="3:3">
      <c r="C6959" s="160" t="str">
        <f t="shared" si="127"/>
        <v/>
      </c>
    </row>
    <row r="6960" spans="3:3">
      <c r="C6960" s="160" t="str">
        <f t="shared" si="127"/>
        <v/>
      </c>
    </row>
    <row r="6961" spans="3:3">
      <c r="C6961" s="160" t="str">
        <f t="shared" si="127"/>
        <v/>
      </c>
    </row>
    <row r="6962" spans="3:3">
      <c r="C6962" s="160" t="str">
        <f t="shared" si="127"/>
        <v/>
      </c>
    </row>
    <row r="6963" spans="3:3">
      <c r="C6963" s="160" t="str">
        <f t="shared" si="127"/>
        <v/>
      </c>
    </row>
    <row r="6964" spans="3:3">
      <c r="C6964" s="160" t="str">
        <f t="shared" si="127"/>
        <v/>
      </c>
    </row>
    <row r="6965" spans="3:3">
      <c r="C6965" s="160" t="str">
        <f t="shared" si="127"/>
        <v/>
      </c>
    </row>
    <row r="6966" spans="3:3">
      <c r="C6966" s="160" t="str">
        <f t="shared" si="127"/>
        <v/>
      </c>
    </row>
    <row r="6967" spans="3:3">
      <c r="C6967" s="160" t="str">
        <f t="shared" si="127"/>
        <v/>
      </c>
    </row>
    <row r="6968" spans="3:3">
      <c r="C6968" s="160" t="str">
        <f t="shared" si="127"/>
        <v/>
      </c>
    </row>
    <row r="6969" spans="3:3">
      <c r="C6969" s="160" t="str">
        <f t="shared" si="127"/>
        <v/>
      </c>
    </row>
    <row r="6970" spans="3:3">
      <c r="C6970" s="160" t="str">
        <f t="shared" si="127"/>
        <v/>
      </c>
    </row>
    <row r="6971" spans="3:3">
      <c r="C6971" s="160" t="str">
        <f t="shared" si="127"/>
        <v/>
      </c>
    </row>
    <row r="6972" spans="3:3">
      <c r="C6972" s="160" t="str">
        <f t="shared" si="127"/>
        <v/>
      </c>
    </row>
    <row r="6973" spans="3:3">
      <c r="C6973" s="160" t="str">
        <f t="shared" si="127"/>
        <v/>
      </c>
    </row>
    <row r="6974" spans="3:3">
      <c r="C6974" s="160" t="str">
        <f t="shared" si="127"/>
        <v/>
      </c>
    </row>
    <row r="6975" spans="3:3">
      <c r="C6975" s="160" t="str">
        <f t="shared" si="127"/>
        <v/>
      </c>
    </row>
    <row r="6976" spans="3:3">
      <c r="C6976" s="160" t="str">
        <f t="shared" si="127"/>
        <v/>
      </c>
    </row>
    <row r="6977" spans="3:3">
      <c r="C6977" s="160" t="str">
        <f t="shared" si="127"/>
        <v/>
      </c>
    </row>
    <row r="6978" spans="3:3">
      <c r="C6978" s="160" t="str">
        <f t="shared" si="127"/>
        <v/>
      </c>
    </row>
    <row r="6979" spans="3:3">
      <c r="C6979" s="160" t="str">
        <f t="shared" si="127"/>
        <v/>
      </c>
    </row>
    <row r="6980" spans="3:3">
      <c r="C6980" s="160" t="str">
        <f t="shared" si="127"/>
        <v/>
      </c>
    </row>
    <row r="6981" spans="3:3">
      <c r="C6981" s="160" t="str">
        <f t="shared" si="127"/>
        <v/>
      </c>
    </row>
    <row r="6982" spans="3:3">
      <c r="C6982" s="160" t="str">
        <f t="shared" si="127"/>
        <v/>
      </c>
    </row>
    <row r="6983" spans="3:3">
      <c r="C6983" s="160" t="str">
        <f t="shared" si="127"/>
        <v/>
      </c>
    </row>
    <row r="6984" spans="3:3">
      <c r="C6984" s="160" t="str">
        <f t="shared" si="127"/>
        <v/>
      </c>
    </row>
    <row r="6985" spans="3:3">
      <c r="C6985" s="160" t="str">
        <f t="shared" si="127"/>
        <v/>
      </c>
    </row>
    <row r="6986" spans="3:3">
      <c r="C6986" s="160" t="str">
        <f t="shared" si="127"/>
        <v/>
      </c>
    </row>
    <row r="6987" spans="3:3">
      <c r="C6987" s="160" t="str">
        <f t="shared" si="127"/>
        <v/>
      </c>
    </row>
    <row r="6988" spans="3:3">
      <c r="C6988" s="160" t="str">
        <f t="shared" si="127"/>
        <v/>
      </c>
    </row>
    <row r="6989" spans="3:3">
      <c r="C6989" s="160" t="str">
        <f t="shared" ref="C6989:C7052" si="128">D6989&amp;I6989</f>
        <v/>
      </c>
    </row>
    <row r="6990" spans="3:3">
      <c r="C6990" s="160" t="str">
        <f t="shared" si="128"/>
        <v/>
      </c>
    </row>
    <row r="6991" spans="3:3">
      <c r="C6991" s="160" t="str">
        <f t="shared" si="128"/>
        <v/>
      </c>
    </row>
    <row r="6992" spans="3:3">
      <c r="C6992" s="160" t="str">
        <f t="shared" si="128"/>
        <v/>
      </c>
    </row>
    <row r="6993" spans="3:3">
      <c r="C6993" s="160" t="str">
        <f t="shared" si="128"/>
        <v/>
      </c>
    </row>
    <row r="6994" spans="3:3">
      <c r="C6994" s="160" t="str">
        <f t="shared" si="128"/>
        <v/>
      </c>
    </row>
    <row r="6995" spans="3:3">
      <c r="C6995" s="160" t="str">
        <f t="shared" si="128"/>
        <v/>
      </c>
    </row>
    <row r="6996" spans="3:3">
      <c r="C6996" s="160" t="str">
        <f t="shared" si="128"/>
        <v/>
      </c>
    </row>
    <row r="6997" spans="3:3">
      <c r="C6997" s="160" t="str">
        <f t="shared" si="128"/>
        <v/>
      </c>
    </row>
    <row r="6998" spans="3:3">
      <c r="C6998" s="160" t="str">
        <f t="shared" si="128"/>
        <v/>
      </c>
    </row>
    <row r="6999" spans="3:3">
      <c r="C6999" s="160" t="str">
        <f t="shared" si="128"/>
        <v/>
      </c>
    </row>
    <row r="7000" spans="3:3">
      <c r="C7000" s="160" t="str">
        <f t="shared" si="128"/>
        <v/>
      </c>
    </row>
    <row r="7001" spans="3:3">
      <c r="C7001" s="160" t="str">
        <f t="shared" si="128"/>
        <v/>
      </c>
    </row>
    <row r="7002" spans="3:3">
      <c r="C7002" s="160" t="str">
        <f t="shared" si="128"/>
        <v/>
      </c>
    </row>
    <row r="7003" spans="3:3">
      <c r="C7003" s="160" t="str">
        <f t="shared" si="128"/>
        <v/>
      </c>
    </row>
    <row r="7004" spans="3:3">
      <c r="C7004" s="160" t="str">
        <f t="shared" si="128"/>
        <v/>
      </c>
    </row>
    <row r="7005" spans="3:3">
      <c r="C7005" s="160" t="str">
        <f t="shared" si="128"/>
        <v/>
      </c>
    </row>
    <row r="7006" spans="3:3">
      <c r="C7006" s="160" t="str">
        <f t="shared" si="128"/>
        <v/>
      </c>
    </row>
    <row r="7007" spans="3:3">
      <c r="C7007" s="160" t="str">
        <f t="shared" si="128"/>
        <v/>
      </c>
    </row>
    <row r="7008" spans="3:3">
      <c r="C7008" s="160" t="str">
        <f t="shared" si="128"/>
        <v/>
      </c>
    </row>
    <row r="7009" spans="3:3">
      <c r="C7009" s="160" t="str">
        <f t="shared" si="128"/>
        <v/>
      </c>
    </row>
    <row r="7010" spans="3:3">
      <c r="C7010" s="160" t="str">
        <f t="shared" si="128"/>
        <v/>
      </c>
    </row>
    <row r="7011" spans="3:3">
      <c r="C7011" s="160" t="str">
        <f t="shared" si="128"/>
        <v/>
      </c>
    </row>
    <row r="7012" spans="3:3">
      <c r="C7012" s="160" t="str">
        <f t="shared" si="128"/>
        <v/>
      </c>
    </row>
    <row r="7013" spans="3:3">
      <c r="C7013" s="160" t="str">
        <f t="shared" si="128"/>
        <v/>
      </c>
    </row>
    <row r="7014" spans="3:3">
      <c r="C7014" s="160" t="str">
        <f t="shared" si="128"/>
        <v/>
      </c>
    </row>
    <row r="7015" spans="3:3">
      <c r="C7015" s="160" t="str">
        <f t="shared" si="128"/>
        <v/>
      </c>
    </row>
    <row r="7016" spans="3:3">
      <c r="C7016" s="160" t="str">
        <f t="shared" si="128"/>
        <v/>
      </c>
    </row>
    <row r="7017" spans="3:3">
      <c r="C7017" s="160" t="str">
        <f t="shared" si="128"/>
        <v/>
      </c>
    </row>
    <row r="7018" spans="3:3">
      <c r="C7018" s="160" t="str">
        <f t="shared" si="128"/>
        <v/>
      </c>
    </row>
    <row r="7019" spans="3:3">
      <c r="C7019" s="160" t="str">
        <f t="shared" si="128"/>
        <v/>
      </c>
    </row>
    <row r="7020" spans="3:3">
      <c r="C7020" s="160" t="str">
        <f t="shared" si="128"/>
        <v/>
      </c>
    </row>
    <row r="7021" spans="3:3">
      <c r="C7021" s="160" t="str">
        <f t="shared" si="128"/>
        <v/>
      </c>
    </row>
    <row r="7022" spans="3:3">
      <c r="C7022" s="160" t="str">
        <f t="shared" si="128"/>
        <v/>
      </c>
    </row>
    <row r="7023" spans="3:3">
      <c r="C7023" s="160" t="str">
        <f t="shared" si="128"/>
        <v/>
      </c>
    </row>
    <row r="7024" spans="3:3">
      <c r="C7024" s="160" t="str">
        <f t="shared" si="128"/>
        <v/>
      </c>
    </row>
    <row r="7025" spans="3:3">
      <c r="C7025" s="160" t="str">
        <f t="shared" si="128"/>
        <v/>
      </c>
    </row>
    <row r="7026" spans="3:3">
      <c r="C7026" s="160" t="str">
        <f t="shared" si="128"/>
        <v/>
      </c>
    </row>
    <row r="7027" spans="3:3">
      <c r="C7027" s="160" t="str">
        <f t="shared" si="128"/>
        <v/>
      </c>
    </row>
    <row r="7028" spans="3:3">
      <c r="C7028" s="160" t="str">
        <f t="shared" si="128"/>
        <v/>
      </c>
    </row>
    <row r="7029" spans="3:3">
      <c r="C7029" s="160" t="str">
        <f t="shared" si="128"/>
        <v/>
      </c>
    </row>
    <row r="7030" spans="3:3">
      <c r="C7030" s="160" t="str">
        <f t="shared" si="128"/>
        <v/>
      </c>
    </row>
    <row r="7031" spans="3:3">
      <c r="C7031" s="160" t="str">
        <f t="shared" si="128"/>
        <v/>
      </c>
    </row>
    <row r="7032" spans="3:3">
      <c r="C7032" s="160" t="str">
        <f t="shared" si="128"/>
        <v/>
      </c>
    </row>
    <row r="7033" spans="3:3">
      <c r="C7033" s="160" t="str">
        <f t="shared" si="128"/>
        <v/>
      </c>
    </row>
    <row r="7034" spans="3:3">
      <c r="C7034" s="160" t="str">
        <f t="shared" si="128"/>
        <v/>
      </c>
    </row>
    <row r="7035" spans="3:3">
      <c r="C7035" s="160" t="str">
        <f t="shared" si="128"/>
        <v/>
      </c>
    </row>
    <row r="7036" spans="3:3">
      <c r="C7036" s="160" t="str">
        <f t="shared" si="128"/>
        <v/>
      </c>
    </row>
    <row r="7037" spans="3:3">
      <c r="C7037" s="160" t="str">
        <f t="shared" si="128"/>
        <v/>
      </c>
    </row>
    <row r="7038" spans="3:3">
      <c r="C7038" s="160" t="str">
        <f t="shared" si="128"/>
        <v/>
      </c>
    </row>
    <row r="7039" spans="3:3">
      <c r="C7039" s="160" t="str">
        <f t="shared" si="128"/>
        <v/>
      </c>
    </row>
    <row r="7040" spans="3:3">
      <c r="C7040" s="160" t="str">
        <f t="shared" si="128"/>
        <v/>
      </c>
    </row>
    <row r="7041" spans="3:3">
      <c r="C7041" s="160" t="str">
        <f t="shared" si="128"/>
        <v/>
      </c>
    </row>
    <row r="7042" spans="3:3">
      <c r="C7042" s="160" t="str">
        <f t="shared" si="128"/>
        <v/>
      </c>
    </row>
    <row r="7043" spans="3:3">
      <c r="C7043" s="160" t="str">
        <f t="shared" si="128"/>
        <v/>
      </c>
    </row>
    <row r="7044" spans="3:3">
      <c r="C7044" s="160" t="str">
        <f t="shared" si="128"/>
        <v/>
      </c>
    </row>
    <row r="7045" spans="3:3">
      <c r="C7045" s="160" t="str">
        <f t="shared" si="128"/>
        <v/>
      </c>
    </row>
    <row r="7046" spans="3:3">
      <c r="C7046" s="160" t="str">
        <f t="shared" si="128"/>
        <v/>
      </c>
    </row>
    <row r="7047" spans="3:3">
      <c r="C7047" s="160" t="str">
        <f t="shared" si="128"/>
        <v/>
      </c>
    </row>
    <row r="7048" spans="3:3">
      <c r="C7048" s="160" t="str">
        <f t="shared" si="128"/>
        <v/>
      </c>
    </row>
    <row r="7049" spans="3:3">
      <c r="C7049" s="160" t="str">
        <f t="shared" si="128"/>
        <v/>
      </c>
    </row>
    <row r="7050" spans="3:3">
      <c r="C7050" s="160" t="str">
        <f t="shared" si="128"/>
        <v/>
      </c>
    </row>
    <row r="7051" spans="3:3">
      <c r="C7051" s="160" t="str">
        <f t="shared" si="128"/>
        <v/>
      </c>
    </row>
    <row r="7052" spans="3:3">
      <c r="C7052" s="160" t="str">
        <f t="shared" si="128"/>
        <v/>
      </c>
    </row>
    <row r="7053" spans="3:3">
      <c r="C7053" s="160" t="str">
        <f t="shared" ref="C7053:C7116" si="129">D7053&amp;I7053</f>
        <v/>
      </c>
    </row>
    <row r="7054" spans="3:3">
      <c r="C7054" s="160" t="str">
        <f t="shared" si="129"/>
        <v/>
      </c>
    </row>
    <row r="7055" spans="3:3">
      <c r="C7055" s="160" t="str">
        <f t="shared" si="129"/>
        <v/>
      </c>
    </row>
    <row r="7056" spans="3:3">
      <c r="C7056" s="160" t="str">
        <f t="shared" si="129"/>
        <v/>
      </c>
    </row>
    <row r="7057" spans="3:3">
      <c r="C7057" s="160" t="str">
        <f t="shared" si="129"/>
        <v/>
      </c>
    </row>
    <row r="7058" spans="3:3">
      <c r="C7058" s="160" t="str">
        <f t="shared" si="129"/>
        <v/>
      </c>
    </row>
    <row r="7059" spans="3:3">
      <c r="C7059" s="160" t="str">
        <f t="shared" si="129"/>
        <v/>
      </c>
    </row>
    <row r="7060" spans="3:3">
      <c r="C7060" s="160" t="str">
        <f t="shared" si="129"/>
        <v/>
      </c>
    </row>
    <row r="7061" spans="3:3">
      <c r="C7061" s="160" t="str">
        <f t="shared" si="129"/>
        <v/>
      </c>
    </row>
    <row r="7062" spans="3:3">
      <c r="C7062" s="160" t="str">
        <f t="shared" si="129"/>
        <v/>
      </c>
    </row>
    <row r="7063" spans="3:3">
      <c r="C7063" s="160" t="str">
        <f t="shared" si="129"/>
        <v/>
      </c>
    </row>
    <row r="7064" spans="3:3">
      <c r="C7064" s="160" t="str">
        <f t="shared" si="129"/>
        <v/>
      </c>
    </row>
    <row r="7065" spans="3:3">
      <c r="C7065" s="160" t="str">
        <f t="shared" si="129"/>
        <v/>
      </c>
    </row>
    <row r="7066" spans="3:3">
      <c r="C7066" s="160" t="str">
        <f t="shared" si="129"/>
        <v/>
      </c>
    </row>
    <row r="7067" spans="3:3">
      <c r="C7067" s="160" t="str">
        <f t="shared" si="129"/>
        <v/>
      </c>
    </row>
    <row r="7068" spans="3:3">
      <c r="C7068" s="160" t="str">
        <f t="shared" si="129"/>
        <v/>
      </c>
    </row>
    <row r="7069" spans="3:3">
      <c r="C7069" s="160" t="str">
        <f t="shared" si="129"/>
        <v/>
      </c>
    </row>
    <row r="7070" spans="3:3">
      <c r="C7070" s="160" t="str">
        <f t="shared" si="129"/>
        <v/>
      </c>
    </row>
    <row r="7071" spans="3:3">
      <c r="C7071" s="160" t="str">
        <f t="shared" si="129"/>
        <v/>
      </c>
    </row>
    <row r="7072" spans="3:3">
      <c r="C7072" s="160" t="str">
        <f t="shared" si="129"/>
        <v/>
      </c>
    </row>
    <row r="7073" spans="3:3">
      <c r="C7073" s="160" t="str">
        <f t="shared" si="129"/>
        <v/>
      </c>
    </row>
    <row r="7074" spans="3:3">
      <c r="C7074" s="160" t="str">
        <f t="shared" si="129"/>
        <v/>
      </c>
    </row>
    <row r="7075" spans="3:3">
      <c r="C7075" s="160" t="str">
        <f t="shared" si="129"/>
        <v/>
      </c>
    </row>
    <row r="7076" spans="3:3">
      <c r="C7076" s="160" t="str">
        <f t="shared" si="129"/>
        <v/>
      </c>
    </row>
    <row r="7077" spans="3:3">
      <c r="C7077" s="160" t="str">
        <f t="shared" si="129"/>
        <v/>
      </c>
    </row>
    <row r="7078" spans="3:3">
      <c r="C7078" s="160" t="str">
        <f t="shared" si="129"/>
        <v/>
      </c>
    </row>
    <row r="7079" spans="3:3">
      <c r="C7079" s="160" t="str">
        <f t="shared" si="129"/>
        <v/>
      </c>
    </row>
    <row r="7080" spans="3:3">
      <c r="C7080" s="160" t="str">
        <f t="shared" si="129"/>
        <v/>
      </c>
    </row>
    <row r="7081" spans="3:3">
      <c r="C7081" s="160" t="str">
        <f t="shared" si="129"/>
        <v/>
      </c>
    </row>
    <row r="7082" spans="3:3">
      <c r="C7082" s="160" t="str">
        <f t="shared" si="129"/>
        <v/>
      </c>
    </row>
    <row r="7083" spans="3:3">
      <c r="C7083" s="160" t="str">
        <f t="shared" si="129"/>
        <v/>
      </c>
    </row>
    <row r="7084" spans="3:3">
      <c r="C7084" s="160" t="str">
        <f t="shared" si="129"/>
        <v/>
      </c>
    </row>
    <row r="7085" spans="3:3">
      <c r="C7085" s="160" t="str">
        <f t="shared" si="129"/>
        <v/>
      </c>
    </row>
    <row r="7086" spans="3:3">
      <c r="C7086" s="160" t="str">
        <f t="shared" si="129"/>
        <v/>
      </c>
    </row>
    <row r="7087" spans="3:3">
      <c r="C7087" s="160" t="str">
        <f t="shared" si="129"/>
        <v/>
      </c>
    </row>
    <row r="7088" spans="3:3">
      <c r="C7088" s="160" t="str">
        <f t="shared" si="129"/>
        <v/>
      </c>
    </row>
    <row r="7089" spans="3:3">
      <c r="C7089" s="160" t="str">
        <f t="shared" si="129"/>
        <v/>
      </c>
    </row>
    <row r="7090" spans="3:3">
      <c r="C7090" s="160" t="str">
        <f t="shared" si="129"/>
        <v/>
      </c>
    </row>
    <row r="7091" spans="3:3">
      <c r="C7091" s="160" t="str">
        <f t="shared" si="129"/>
        <v/>
      </c>
    </row>
    <row r="7092" spans="3:3">
      <c r="C7092" s="160" t="str">
        <f t="shared" si="129"/>
        <v/>
      </c>
    </row>
    <row r="7093" spans="3:3">
      <c r="C7093" s="160" t="str">
        <f t="shared" si="129"/>
        <v/>
      </c>
    </row>
    <row r="7094" spans="3:3">
      <c r="C7094" s="160" t="str">
        <f t="shared" si="129"/>
        <v/>
      </c>
    </row>
    <row r="7095" spans="3:3">
      <c r="C7095" s="160" t="str">
        <f t="shared" si="129"/>
        <v/>
      </c>
    </row>
    <row r="7096" spans="3:3">
      <c r="C7096" s="160" t="str">
        <f t="shared" si="129"/>
        <v/>
      </c>
    </row>
    <row r="7097" spans="3:3">
      <c r="C7097" s="160" t="str">
        <f t="shared" si="129"/>
        <v/>
      </c>
    </row>
    <row r="7098" spans="3:3">
      <c r="C7098" s="160" t="str">
        <f t="shared" si="129"/>
        <v/>
      </c>
    </row>
    <row r="7099" spans="3:3">
      <c r="C7099" s="160" t="str">
        <f t="shared" si="129"/>
        <v/>
      </c>
    </row>
    <row r="7100" spans="3:3">
      <c r="C7100" s="160" t="str">
        <f t="shared" si="129"/>
        <v/>
      </c>
    </row>
    <row r="7101" spans="3:3">
      <c r="C7101" s="160" t="str">
        <f t="shared" si="129"/>
        <v/>
      </c>
    </row>
    <row r="7102" spans="3:3">
      <c r="C7102" s="160" t="str">
        <f t="shared" si="129"/>
        <v/>
      </c>
    </row>
    <row r="7103" spans="3:3">
      <c r="C7103" s="160" t="str">
        <f t="shared" si="129"/>
        <v/>
      </c>
    </row>
    <row r="7104" spans="3:3">
      <c r="C7104" s="160" t="str">
        <f t="shared" si="129"/>
        <v/>
      </c>
    </row>
    <row r="7105" spans="3:3">
      <c r="C7105" s="160" t="str">
        <f t="shared" si="129"/>
        <v/>
      </c>
    </row>
    <row r="7106" spans="3:3">
      <c r="C7106" s="160" t="str">
        <f t="shared" si="129"/>
        <v/>
      </c>
    </row>
    <row r="7107" spans="3:3">
      <c r="C7107" s="160" t="str">
        <f t="shared" si="129"/>
        <v/>
      </c>
    </row>
    <row r="7108" spans="3:3">
      <c r="C7108" s="160" t="str">
        <f t="shared" si="129"/>
        <v/>
      </c>
    </row>
    <row r="7109" spans="3:3">
      <c r="C7109" s="160" t="str">
        <f t="shared" si="129"/>
        <v/>
      </c>
    </row>
    <row r="7110" spans="3:3">
      <c r="C7110" s="160" t="str">
        <f t="shared" si="129"/>
        <v/>
      </c>
    </row>
    <row r="7111" spans="3:3">
      <c r="C7111" s="160" t="str">
        <f t="shared" si="129"/>
        <v/>
      </c>
    </row>
    <row r="7112" spans="3:3">
      <c r="C7112" s="160" t="str">
        <f t="shared" si="129"/>
        <v/>
      </c>
    </row>
    <row r="7113" spans="3:3">
      <c r="C7113" s="160" t="str">
        <f t="shared" si="129"/>
        <v/>
      </c>
    </row>
    <row r="7114" spans="3:3">
      <c r="C7114" s="160" t="str">
        <f t="shared" si="129"/>
        <v/>
      </c>
    </row>
    <row r="7115" spans="3:3">
      <c r="C7115" s="160" t="str">
        <f t="shared" si="129"/>
        <v/>
      </c>
    </row>
    <row r="7116" spans="3:3">
      <c r="C7116" s="160" t="str">
        <f t="shared" si="129"/>
        <v/>
      </c>
    </row>
    <row r="7117" spans="3:3">
      <c r="C7117" s="160" t="str">
        <f t="shared" ref="C7117:C7180" si="130">D7117&amp;I7117</f>
        <v/>
      </c>
    </row>
    <row r="7118" spans="3:3">
      <c r="C7118" s="160" t="str">
        <f t="shared" si="130"/>
        <v/>
      </c>
    </row>
    <row r="7119" spans="3:3">
      <c r="C7119" s="160" t="str">
        <f t="shared" si="130"/>
        <v/>
      </c>
    </row>
    <row r="7120" spans="3:3">
      <c r="C7120" s="160" t="str">
        <f t="shared" si="130"/>
        <v/>
      </c>
    </row>
    <row r="7121" spans="3:3">
      <c r="C7121" s="160" t="str">
        <f t="shared" si="130"/>
        <v/>
      </c>
    </row>
    <row r="7122" spans="3:3">
      <c r="C7122" s="160" t="str">
        <f t="shared" si="130"/>
        <v/>
      </c>
    </row>
    <row r="7123" spans="3:3">
      <c r="C7123" s="160" t="str">
        <f t="shared" si="130"/>
        <v/>
      </c>
    </row>
    <row r="7124" spans="3:3">
      <c r="C7124" s="160" t="str">
        <f t="shared" si="130"/>
        <v/>
      </c>
    </row>
    <row r="7125" spans="3:3">
      <c r="C7125" s="160" t="str">
        <f t="shared" si="130"/>
        <v/>
      </c>
    </row>
    <row r="7126" spans="3:3">
      <c r="C7126" s="160" t="str">
        <f t="shared" si="130"/>
        <v/>
      </c>
    </row>
    <row r="7127" spans="3:3">
      <c r="C7127" s="160" t="str">
        <f t="shared" si="130"/>
        <v/>
      </c>
    </row>
    <row r="7128" spans="3:3">
      <c r="C7128" s="160" t="str">
        <f t="shared" si="130"/>
        <v/>
      </c>
    </row>
    <row r="7129" spans="3:3">
      <c r="C7129" s="160" t="str">
        <f t="shared" si="130"/>
        <v/>
      </c>
    </row>
    <row r="7130" spans="3:3">
      <c r="C7130" s="160" t="str">
        <f t="shared" si="130"/>
        <v/>
      </c>
    </row>
    <row r="7131" spans="3:3">
      <c r="C7131" s="160" t="str">
        <f t="shared" si="130"/>
        <v/>
      </c>
    </row>
    <row r="7132" spans="3:3">
      <c r="C7132" s="160" t="str">
        <f t="shared" si="130"/>
        <v/>
      </c>
    </row>
    <row r="7133" spans="3:3">
      <c r="C7133" s="160" t="str">
        <f t="shared" si="130"/>
        <v/>
      </c>
    </row>
    <row r="7134" spans="3:3">
      <c r="C7134" s="160" t="str">
        <f t="shared" si="130"/>
        <v/>
      </c>
    </row>
    <row r="7135" spans="3:3">
      <c r="C7135" s="160" t="str">
        <f t="shared" si="130"/>
        <v/>
      </c>
    </row>
    <row r="7136" spans="3:3">
      <c r="C7136" s="160" t="str">
        <f t="shared" si="130"/>
        <v/>
      </c>
    </row>
    <row r="7137" spans="3:3">
      <c r="C7137" s="160" t="str">
        <f t="shared" si="130"/>
        <v/>
      </c>
    </row>
    <row r="7138" spans="3:3">
      <c r="C7138" s="160" t="str">
        <f t="shared" si="130"/>
        <v/>
      </c>
    </row>
    <row r="7139" spans="3:3">
      <c r="C7139" s="160" t="str">
        <f t="shared" si="130"/>
        <v/>
      </c>
    </row>
    <row r="7140" spans="3:3">
      <c r="C7140" s="160" t="str">
        <f t="shared" si="130"/>
        <v/>
      </c>
    </row>
    <row r="7141" spans="3:3">
      <c r="C7141" s="160" t="str">
        <f t="shared" si="130"/>
        <v/>
      </c>
    </row>
    <row r="7142" spans="3:3">
      <c r="C7142" s="160" t="str">
        <f t="shared" si="130"/>
        <v/>
      </c>
    </row>
    <row r="7143" spans="3:3">
      <c r="C7143" s="160" t="str">
        <f t="shared" si="130"/>
        <v/>
      </c>
    </row>
    <row r="7144" spans="3:3">
      <c r="C7144" s="160" t="str">
        <f t="shared" si="130"/>
        <v/>
      </c>
    </row>
    <row r="7145" spans="3:3">
      <c r="C7145" s="160" t="str">
        <f t="shared" si="130"/>
        <v/>
      </c>
    </row>
    <row r="7146" spans="3:3">
      <c r="C7146" s="160" t="str">
        <f t="shared" si="130"/>
        <v/>
      </c>
    </row>
    <row r="7147" spans="3:3">
      <c r="C7147" s="160" t="str">
        <f t="shared" si="130"/>
        <v/>
      </c>
    </row>
    <row r="7148" spans="3:3">
      <c r="C7148" s="160" t="str">
        <f t="shared" si="130"/>
        <v/>
      </c>
    </row>
    <row r="7149" spans="3:3">
      <c r="C7149" s="160" t="str">
        <f t="shared" si="130"/>
        <v/>
      </c>
    </row>
    <row r="7150" spans="3:3">
      <c r="C7150" s="160" t="str">
        <f t="shared" si="130"/>
        <v/>
      </c>
    </row>
    <row r="7151" spans="3:3">
      <c r="C7151" s="160" t="str">
        <f t="shared" si="130"/>
        <v/>
      </c>
    </row>
    <row r="7152" spans="3:3">
      <c r="C7152" s="160" t="str">
        <f t="shared" si="130"/>
        <v/>
      </c>
    </row>
    <row r="7153" spans="3:3">
      <c r="C7153" s="160" t="str">
        <f t="shared" si="130"/>
        <v/>
      </c>
    </row>
    <row r="7154" spans="3:3">
      <c r="C7154" s="160" t="str">
        <f t="shared" si="130"/>
        <v/>
      </c>
    </row>
    <row r="7155" spans="3:3">
      <c r="C7155" s="160" t="str">
        <f t="shared" si="130"/>
        <v/>
      </c>
    </row>
    <row r="7156" spans="3:3">
      <c r="C7156" s="160" t="str">
        <f t="shared" si="130"/>
        <v/>
      </c>
    </row>
    <row r="7157" spans="3:3">
      <c r="C7157" s="160" t="str">
        <f t="shared" si="130"/>
        <v/>
      </c>
    </row>
    <row r="7158" spans="3:3">
      <c r="C7158" s="160" t="str">
        <f t="shared" si="130"/>
        <v/>
      </c>
    </row>
    <row r="7159" spans="3:3">
      <c r="C7159" s="160" t="str">
        <f t="shared" si="130"/>
        <v/>
      </c>
    </row>
    <row r="7160" spans="3:3">
      <c r="C7160" s="160" t="str">
        <f t="shared" si="130"/>
        <v/>
      </c>
    </row>
    <row r="7161" spans="3:3">
      <c r="C7161" s="160" t="str">
        <f t="shared" si="130"/>
        <v/>
      </c>
    </row>
    <row r="7162" spans="3:3">
      <c r="C7162" s="160" t="str">
        <f t="shared" si="130"/>
        <v/>
      </c>
    </row>
    <row r="7163" spans="3:3">
      <c r="C7163" s="160" t="str">
        <f t="shared" si="130"/>
        <v/>
      </c>
    </row>
    <row r="7164" spans="3:3">
      <c r="C7164" s="160" t="str">
        <f t="shared" si="130"/>
        <v/>
      </c>
    </row>
    <row r="7165" spans="3:3">
      <c r="C7165" s="160" t="str">
        <f t="shared" si="130"/>
        <v/>
      </c>
    </row>
    <row r="7166" spans="3:3">
      <c r="C7166" s="160" t="str">
        <f t="shared" si="130"/>
        <v/>
      </c>
    </row>
    <row r="7167" spans="3:3">
      <c r="C7167" s="160" t="str">
        <f t="shared" si="130"/>
        <v/>
      </c>
    </row>
    <row r="7168" spans="3:3">
      <c r="C7168" s="160" t="str">
        <f t="shared" si="130"/>
        <v/>
      </c>
    </row>
    <row r="7169" spans="3:3">
      <c r="C7169" s="160" t="str">
        <f t="shared" si="130"/>
        <v/>
      </c>
    </row>
    <row r="7170" spans="3:3">
      <c r="C7170" s="160" t="str">
        <f t="shared" si="130"/>
        <v/>
      </c>
    </row>
    <row r="7171" spans="3:3">
      <c r="C7171" s="160" t="str">
        <f t="shared" si="130"/>
        <v/>
      </c>
    </row>
    <row r="7172" spans="3:3">
      <c r="C7172" s="160" t="str">
        <f t="shared" si="130"/>
        <v/>
      </c>
    </row>
    <row r="7173" spans="3:3">
      <c r="C7173" s="160" t="str">
        <f t="shared" si="130"/>
        <v/>
      </c>
    </row>
    <row r="7174" spans="3:3">
      <c r="C7174" s="160" t="str">
        <f t="shared" si="130"/>
        <v/>
      </c>
    </row>
    <row r="7175" spans="3:3">
      <c r="C7175" s="160" t="str">
        <f t="shared" si="130"/>
        <v/>
      </c>
    </row>
    <row r="7176" spans="3:3">
      <c r="C7176" s="160" t="str">
        <f t="shared" si="130"/>
        <v/>
      </c>
    </row>
    <row r="7177" spans="3:3">
      <c r="C7177" s="160" t="str">
        <f t="shared" si="130"/>
        <v/>
      </c>
    </row>
    <row r="7178" spans="3:3">
      <c r="C7178" s="160" t="str">
        <f t="shared" si="130"/>
        <v/>
      </c>
    </row>
    <row r="7179" spans="3:3">
      <c r="C7179" s="160" t="str">
        <f t="shared" si="130"/>
        <v/>
      </c>
    </row>
    <row r="7180" spans="3:3">
      <c r="C7180" s="160" t="str">
        <f t="shared" si="130"/>
        <v/>
      </c>
    </row>
    <row r="7181" spans="3:3">
      <c r="C7181" s="160" t="str">
        <f t="shared" ref="C7181:C7244" si="131">D7181&amp;I7181</f>
        <v/>
      </c>
    </row>
    <row r="7182" spans="3:3">
      <c r="C7182" s="160" t="str">
        <f t="shared" si="131"/>
        <v/>
      </c>
    </row>
    <row r="7183" spans="3:3">
      <c r="C7183" s="160" t="str">
        <f t="shared" si="131"/>
        <v/>
      </c>
    </row>
    <row r="7184" spans="3:3">
      <c r="C7184" s="160" t="str">
        <f t="shared" si="131"/>
        <v/>
      </c>
    </row>
    <row r="7185" spans="3:3">
      <c r="C7185" s="160" t="str">
        <f t="shared" si="131"/>
        <v/>
      </c>
    </row>
    <row r="7186" spans="3:3">
      <c r="C7186" s="160" t="str">
        <f t="shared" si="131"/>
        <v/>
      </c>
    </row>
    <row r="7187" spans="3:3">
      <c r="C7187" s="160" t="str">
        <f t="shared" si="131"/>
        <v/>
      </c>
    </row>
    <row r="7188" spans="3:3">
      <c r="C7188" s="160" t="str">
        <f t="shared" si="131"/>
        <v/>
      </c>
    </row>
    <row r="7189" spans="3:3">
      <c r="C7189" s="160" t="str">
        <f t="shared" si="131"/>
        <v/>
      </c>
    </row>
    <row r="7190" spans="3:3">
      <c r="C7190" s="160" t="str">
        <f t="shared" si="131"/>
        <v/>
      </c>
    </row>
    <row r="7191" spans="3:3">
      <c r="C7191" s="160" t="str">
        <f t="shared" si="131"/>
        <v/>
      </c>
    </row>
    <row r="7192" spans="3:3">
      <c r="C7192" s="160" t="str">
        <f t="shared" si="131"/>
        <v/>
      </c>
    </row>
    <row r="7193" spans="3:3">
      <c r="C7193" s="160" t="str">
        <f t="shared" si="131"/>
        <v/>
      </c>
    </row>
    <row r="7194" spans="3:3">
      <c r="C7194" s="160" t="str">
        <f t="shared" si="131"/>
        <v/>
      </c>
    </row>
    <row r="7195" spans="3:3">
      <c r="C7195" s="160" t="str">
        <f t="shared" si="131"/>
        <v/>
      </c>
    </row>
    <row r="7196" spans="3:3">
      <c r="C7196" s="160" t="str">
        <f t="shared" si="131"/>
        <v/>
      </c>
    </row>
    <row r="7197" spans="3:3">
      <c r="C7197" s="160" t="str">
        <f t="shared" si="131"/>
        <v/>
      </c>
    </row>
    <row r="7198" spans="3:3">
      <c r="C7198" s="160" t="str">
        <f t="shared" si="131"/>
        <v/>
      </c>
    </row>
    <row r="7199" spans="3:3">
      <c r="C7199" s="160" t="str">
        <f t="shared" si="131"/>
        <v/>
      </c>
    </row>
    <row r="7200" spans="3:3">
      <c r="C7200" s="160" t="str">
        <f t="shared" si="131"/>
        <v/>
      </c>
    </row>
    <row r="7201" spans="3:3">
      <c r="C7201" s="160" t="str">
        <f t="shared" si="131"/>
        <v/>
      </c>
    </row>
    <row r="7202" spans="3:3">
      <c r="C7202" s="160" t="str">
        <f t="shared" si="131"/>
        <v/>
      </c>
    </row>
    <row r="7203" spans="3:3">
      <c r="C7203" s="160" t="str">
        <f t="shared" si="131"/>
        <v/>
      </c>
    </row>
    <row r="7204" spans="3:3">
      <c r="C7204" s="160" t="str">
        <f t="shared" si="131"/>
        <v/>
      </c>
    </row>
    <row r="7205" spans="3:3">
      <c r="C7205" s="160" t="str">
        <f t="shared" si="131"/>
        <v/>
      </c>
    </row>
    <row r="7206" spans="3:3">
      <c r="C7206" s="160" t="str">
        <f t="shared" si="131"/>
        <v/>
      </c>
    </row>
    <row r="7207" spans="3:3">
      <c r="C7207" s="160" t="str">
        <f t="shared" si="131"/>
        <v/>
      </c>
    </row>
    <row r="7208" spans="3:3">
      <c r="C7208" s="160" t="str">
        <f t="shared" si="131"/>
        <v/>
      </c>
    </row>
    <row r="7209" spans="3:3">
      <c r="C7209" s="160" t="str">
        <f t="shared" si="131"/>
        <v/>
      </c>
    </row>
    <row r="7210" spans="3:3">
      <c r="C7210" s="160" t="str">
        <f t="shared" si="131"/>
        <v/>
      </c>
    </row>
    <row r="7211" spans="3:3">
      <c r="C7211" s="160" t="str">
        <f t="shared" si="131"/>
        <v/>
      </c>
    </row>
    <row r="7212" spans="3:3">
      <c r="C7212" s="160" t="str">
        <f t="shared" si="131"/>
        <v/>
      </c>
    </row>
    <row r="7213" spans="3:3">
      <c r="C7213" s="160" t="str">
        <f t="shared" si="131"/>
        <v/>
      </c>
    </row>
    <row r="7214" spans="3:3">
      <c r="C7214" s="160" t="str">
        <f t="shared" si="131"/>
        <v/>
      </c>
    </row>
    <row r="7215" spans="3:3">
      <c r="C7215" s="160" t="str">
        <f t="shared" si="131"/>
        <v/>
      </c>
    </row>
    <row r="7216" spans="3:3">
      <c r="C7216" s="160" t="str">
        <f t="shared" si="131"/>
        <v/>
      </c>
    </row>
    <row r="7217" spans="3:3">
      <c r="C7217" s="160" t="str">
        <f t="shared" si="131"/>
        <v/>
      </c>
    </row>
    <row r="7218" spans="3:3">
      <c r="C7218" s="160" t="str">
        <f t="shared" si="131"/>
        <v/>
      </c>
    </row>
    <row r="7219" spans="3:3">
      <c r="C7219" s="160" t="str">
        <f t="shared" si="131"/>
        <v/>
      </c>
    </row>
    <row r="7220" spans="3:3">
      <c r="C7220" s="160" t="str">
        <f t="shared" si="131"/>
        <v/>
      </c>
    </row>
    <row r="7221" spans="3:3">
      <c r="C7221" s="160" t="str">
        <f t="shared" si="131"/>
        <v/>
      </c>
    </row>
    <row r="7222" spans="3:3">
      <c r="C7222" s="160" t="str">
        <f t="shared" si="131"/>
        <v/>
      </c>
    </row>
    <row r="7223" spans="3:3">
      <c r="C7223" s="160" t="str">
        <f t="shared" si="131"/>
        <v/>
      </c>
    </row>
    <row r="7224" spans="3:3">
      <c r="C7224" s="160" t="str">
        <f t="shared" si="131"/>
        <v/>
      </c>
    </row>
    <row r="7225" spans="3:3">
      <c r="C7225" s="160" t="str">
        <f t="shared" si="131"/>
        <v/>
      </c>
    </row>
    <row r="7226" spans="3:3">
      <c r="C7226" s="160" t="str">
        <f t="shared" si="131"/>
        <v/>
      </c>
    </row>
    <row r="7227" spans="3:3">
      <c r="C7227" s="160" t="str">
        <f t="shared" si="131"/>
        <v/>
      </c>
    </row>
    <row r="7228" spans="3:3">
      <c r="C7228" s="160" t="str">
        <f t="shared" si="131"/>
        <v/>
      </c>
    </row>
    <row r="7229" spans="3:3">
      <c r="C7229" s="160" t="str">
        <f t="shared" si="131"/>
        <v/>
      </c>
    </row>
    <row r="7230" spans="3:3">
      <c r="C7230" s="160" t="str">
        <f t="shared" si="131"/>
        <v/>
      </c>
    </row>
    <row r="7231" spans="3:3">
      <c r="C7231" s="160" t="str">
        <f t="shared" si="131"/>
        <v/>
      </c>
    </row>
    <row r="7232" spans="3:3">
      <c r="C7232" s="160" t="str">
        <f t="shared" si="131"/>
        <v/>
      </c>
    </row>
    <row r="7233" spans="3:3">
      <c r="C7233" s="160" t="str">
        <f t="shared" si="131"/>
        <v/>
      </c>
    </row>
    <row r="7234" spans="3:3">
      <c r="C7234" s="160" t="str">
        <f t="shared" si="131"/>
        <v/>
      </c>
    </row>
    <row r="7235" spans="3:3">
      <c r="C7235" s="160" t="str">
        <f t="shared" si="131"/>
        <v/>
      </c>
    </row>
    <row r="7236" spans="3:3">
      <c r="C7236" s="160" t="str">
        <f t="shared" si="131"/>
        <v/>
      </c>
    </row>
    <row r="7237" spans="3:3">
      <c r="C7237" s="160" t="str">
        <f t="shared" si="131"/>
        <v/>
      </c>
    </row>
    <row r="7238" spans="3:3">
      <c r="C7238" s="160" t="str">
        <f t="shared" si="131"/>
        <v/>
      </c>
    </row>
    <row r="7239" spans="3:3">
      <c r="C7239" s="160" t="str">
        <f t="shared" si="131"/>
        <v/>
      </c>
    </row>
    <row r="7240" spans="3:3">
      <c r="C7240" s="160" t="str">
        <f t="shared" si="131"/>
        <v/>
      </c>
    </row>
    <row r="7241" spans="3:3">
      <c r="C7241" s="160" t="str">
        <f t="shared" si="131"/>
        <v/>
      </c>
    </row>
    <row r="7242" spans="3:3">
      <c r="C7242" s="160" t="str">
        <f t="shared" si="131"/>
        <v/>
      </c>
    </row>
    <row r="7243" spans="3:3">
      <c r="C7243" s="160" t="str">
        <f t="shared" si="131"/>
        <v/>
      </c>
    </row>
    <row r="7244" spans="3:3">
      <c r="C7244" s="160" t="str">
        <f t="shared" si="131"/>
        <v/>
      </c>
    </row>
    <row r="7245" spans="3:3">
      <c r="C7245" s="160" t="str">
        <f t="shared" ref="C7245:C7308" si="132">D7245&amp;I7245</f>
        <v/>
      </c>
    </row>
    <row r="7246" spans="3:3">
      <c r="C7246" s="160" t="str">
        <f t="shared" si="132"/>
        <v/>
      </c>
    </row>
    <row r="7247" spans="3:3">
      <c r="C7247" s="160" t="str">
        <f t="shared" si="132"/>
        <v/>
      </c>
    </row>
    <row r="7248" spans="3:3">
      <c r="C7248" s="160" t="str">
        <f t="shared" si="132"/>
        <v/>
      </c>
    </row>
    <row r="7249" spans="3:3">
      <c r="C7249" s="160" t="str">
        <f t="shared" si="132"/>
        <v/>
      </c>
    </row>
    <row r="7250" spans="3:3">
      <c r="C7250" s="160" t="str">
        <f t="shared" si="132"/>
        <v/>
      </c>
    </row>
    <row r="7251" spans="3:3">
      <c r="C7251" s="160" t="str">
        <f t="shared" si="132"/>
        <v/>
      </c>
    </row>
    <row r="7252" spans="3:3">
      <c r="C7252" s="160" t="str">
        <f t="shared" si="132"/>
        <v/>
      </c>
    </row>
    <row r="7253" spans="3:3">
      <c r="C7253" s="160" t="str">
        <f t="shared" si="132"/>
        <v/>
      </c>
    </row>
    <row r="7254" spans="3:3">
      <c r="C7254" s="160" t="str">
        <f t="shared" si="132"/>
        <v/>
      </c>
    </row>
    <row r="7255" spans="3:3">
      <c r="C7255" s="160" t="str">
        <f t="shared" si="132"/>
        <v/>
      </c>
    </row>
    <row r="7256" spans="3:3">
      <c r="C7256" s="160" t="str">
        <f t="shared" si="132"/>
        <v/>
      </c>
    </row>
    <row r="7257" spans="3:3">
      <c r="C7257" s="160" t="str">
        <f t="shared" si="132"/>
        <v/>
      </c>
    </row>
    <row r="7258" spans="3:3">
      <c r="C7258" s="160" t="str">
        <f t="shared" si="132"/>
        <v/>
      </c>
    </row>
    <row r="7259" spans="3:3">
      <c r="C7259" s="160" t="str">
        <f t="shared" si="132"/>
        <v/>
      </c>
    </row>
    <row r="7260" spans="3:3">
      <c r="C7260" s="160" t="str">
        <f t="shared" si="132"/>
        <v/>
      </c>
    </row>
    <row r="7261" spans="3:3">
      <c r="C7261" s="160" t="str">
        <f t="shared" si="132"/>
        <v/>
      </c>
    </row>
    <row r="7262" spans="3:3">
      <c r="C7262" s="160" t="str">
        <f t="shared" si="132"/>
        <v/>
      </c>
    </row>
    <row r="7263" spans="3:3">
      <c r="C7263" s="160" t="str">
        <f t="shared" si="132"/>
        <v/>
      </c>
    </row>
    <row r="7264" spans="3:3">
      <c r="C7264" s="160" t="str">
        <f t="shared" si="132"/>
        <v/>
      </c>
    </row>
    <row r="7265" spans="3:3">
      <c r="C7265" s="160" t="str">
        <f t="shared" si="132"/>
        <v/>
      </c>
    </row>
    <row r="7266" spans="3:3">
      <c r="C7266" s="160" t="str">
        <f t="shared" si="132"/>
        <v/>
      </c>
    </row>
    <row r="7267" spans="3:3">
      <c r="C7267" s="160" t="str">
        <f t="shared" si="132"/>
        <v/>
      </c>
    </row>
    <row r="7268" spans="3:3">
      <c r="C7268" s="160" t="str">
        <f t="shared" si="132"/>
        <v/>
      </c>
    </row>
    <row r="7269" spans="3:3">
      <c r="C7269" s="160" t="str">
        <f t="shared" si="132"/>
        <v/>
      </c>
    </row>
    <row r="7270" spans="3:3">
      <c r="C7270" s="160" t="str">
        <f t="shared" si="132"/>
        <v/>
      </c>
    </row>
    <row r="7271" spans="3:3">
      <c r="C7271" s="160" t="str">
        <f t="shared" si="132"/>
        <v/>
      </c>
    </row>
    <row r="7272" spans="3:3">
      <c r="C7272" s="160" t="str">
        <f t="shared" si="132"/>
        <v/>
      </c>
    </row>
    <row r="7273" spans="3:3">
      <c r="C7273" s="160" t="str">
        <f t="shared" si="132"/>
        <v/>
      </c>
    </row>
    <row r="7274" spans="3:3">
      <c r="C7274" s="160" t="str">
        <f t="shared" si="132"/>
        <v/>
      </c>
    </row>
    <row r="7275" spans="3:3">
      <c r="C7275" s="160" t="str">
        <f t="shared" si="132"/>
        <v/>
      </c>
    </row>
    <row r="7276" spans="3:3">
      <c r="C7276" s="160" t="str">
        <f t="shared" si="132"/>
        <v/>
      </c>
    </row>
    <row r="7277" spans="3:3">
      <c r="C7277" s="160" t="str">
        <f t="shared" si="132"/>
        <v/>
      </c>
    </row>
    <row r="7278" spans="3:3">
      <c r="C7278" s="160" t="str">
        <f t="shared" si="132"/>
        <v/>
      </c>
    </row>
    <row r="7279" spans="3:3">
      <c r="C7279" s="160" t="str">
        <f t="shared" si="132"/>
        <v/>
      </c>
    </row>
    <row r="7280" spans="3:3">
      <c r="C7280" s="160" t="str">
        <f t="shared" si="132"/>
        <v/>
      </c>
    </row>
    <row r="7281" spans="3:3">
      <c r="C7281" s="160" t="str">
        <f t="shared" si="132"/>
        <v/>
      </c>
    </row>
    <row r="7282" spans="3:3">
      <c r="C7282" s="160" t="str">
        <f t="shared" si="132"/>
        <v/>
      </c>
    </row>
    <row r="7283" spans="3:3">
      <c r="C7283" s="160" t="str">
        <f t="shared" si="132"/>
        <v/>
      </c>
    </row>
    <row r="7284" spans="3:3">
      <c r="C7284" s="160" t="str">
        <f t="shared" si="132"/>
        <v/>
      </c>
    </row>
    <row r="7285" spans="3:3">
      <c r="C7285" s="160" t="str">
        <f t="shared" si="132"/>
        <v/>
      </c>
    </row>
    <row r="7286" spans="3:3">
      <c r="C7286" s="160" t="str">
        <f t="shared" si="132"/>
        <v/>
      </c>
    </row>
    <row r="7287" spans="3:3">
      <c r="C7287" s="160" t="str">
        <f t="shared" si="132"/>
        <v/>
      </c>
    </row>
    <row r="7288" spans="3:3">
      <c r="C7288" s="160" t="str">
        <f t="shared" si="132"/>
        <v/>
      </c>
    </row>
    <row r="7289" spans="3:3">
      <c r="C7289" s="160" t="str">
        <f t="shared" si="132"/>
        <v/>
      </c>
    </row>
    <row r="7290" spans="3:3">
      <c r="C7290" s="160" t="str">
        <f t="shared" si="132"/>
        <v/>
      </c>
    </row>
    <row r="7291" spans="3:3">
      <c r="C7291" s="160" t="str">
        <f t="shared" si="132"/>
        <v/>
      </c>
    </row>
    <row r="7292" spans="3:3">
      <c r="C7292" s="160" t="str">
        <f t="shared" si="132"/>
        <v/>
      </c>
    </row>
    <row r="7293" spans="3:3">
      <c r="C7293" s="160" t="str">
        <f t="shared" si="132"/>
        <v/>
      </c>
    </row>
    <row r="7294" spans="3:3">
      <c r="C7294" s="160" t="str">
        <f t="shared" si="132"/>
        <v/>
      </c>
    </row>
    <row r="7295" spans="3:3">
      <c r="C7295" s="160" t="str">
        <f t="shared" si="132"/>
        <v/>
      </c>
    </row>
    <row r="7296" spans="3:3">
      <c r="C7296" s="160" t="str">
        <f t="shared" si="132"/>
        <v/>
      </c>
    </row>
    <row r="7297" spans="3:3">
      <c r="C7297" s="160" t="str">
        <f t="shared" si="132"/>
        <v/>
      </c>
    </row>
    <row r="7298" spans="3:3">
      <c r="C7298" s="160" t="str">
        <f t="shared" si="132"/>
        <v/>
      </c>
    </row>
    <row r="7299" spans="3:3">
      <c r="C7299" s="160" t="str">
        <f t="shared" si="132"/>
        <v/>
      </c>
    </row>
    <row r="7300" spans="3:3">
      <c r="C7300" s="160" t="str">
        <f t="shared" si="132"/>
        <v/>
      </c>
    </row>
    <row r="7301" spans="3:3">
      <c r="C7301" s="160" t="str">
        <f t="shared" si="132"/>
        <v/>
      </c>
    </row>
    <row r="7302" spans="3:3">
      <c r="C7302" s="160" t="str">
        <f t="shared" si="132"/>
        <v/>
      </c>
    </row>
    <row r="7303" spans="3:3">
      <c r="C7303" s="160" t="str">
        <f t="shared" si="132"/>
        <v/>
      </c>
    </row>
    <row r="7304" spans="3:3">
      <c r="C7304" s="160" t="str">
        <f t="shared" si="132"/>
        <v/>
      </c>
    </row>
    <row r="7305" spans="3:3">
      <c r="C7305" s="160" t="str">
        <f t="shared" si="132"/>
        <v/>
      </c>
    </row>
    <row r="7306" spans="3:3">
      <c r="C7306" s="160" t="str">
        <f t="shared" si="132"/>
        <v/>
      </c>
    </row>
    <row r="7307" spans="3:3">
      <c r="C7307" s="160" t="str">
        <f t="shared" si="132"/>
        <v/>
      </c>
    </row>
    <row r="7308" spans="3:3">
      <c r="C7308" s="160" t="str">
        <f t="shared" si="132"/>
        <v/>
      </c>
    </row>
    <row r="7309" spans="3:3">
      <c r="C7309" s="160" t="str">
        <f t="shared" ref="C7309:C7372" si="133">D7309&amp;I7309</f>
        <v/>
      </c>
    </row>
    <row r="7310" spans="3:3">
      <c r="C7310" s="160" t="str">
        <f t="shared" si="133"/>
        <v/>
      </c>
    </row>
    <row r="7311" spans="3:3">
      <c r="C7311" s="160" t="str">
        <f t="shared" si="133"/>
        <v/>
      </c>
    </row>
    <row r="7312" spans="3:3">
      <c r="C7312" s="160" t="str">
        <f t="shared" si="133"/>
        <v/>
      </c>
    </row>
    <row r="7313" spans="3:3">
      <c r="C7313" s="160" t="str">
        <f t="shared" si="133"/>
        <v/>
      </c>
    </row>
    <row r="7314" spans="3:3">
      <c r="C7314" s="160" t="str">
        <f t="shared" si="133"/>
        <v/>
      </c>
    </row>
    <row r="7315" spans="3:3">
      <c r="C7315" s="160" t="str">
        <f t="shared" si="133"/>
        <v/>
      </c>
    </row>
    <row r="7316" spans="3:3">
      <c r="C7316" s="160" t="str">
        <f t="shared" si="133"/>
        <v/>
      </c>
    </row>
    <row r="7317" spans="3:3">
      <c r="C7317" s="160" t="str">
        <f t="shared" si="133"/>
        <v/>
      </c>
    </row>
    <row r="7318" spans="3:3">
      <c r="C7318" s="160" t="str">
        <f t="shared" si="133"/>
        <v/>
      </c>
    </row>
    <row r="7319" spans="3:3">
      <c r="C7319" s="160" t="str">
        <f t="shared" si="133"/>
        <v/>
      </c>
    </row>
    <row r="7320" spans="3:3">
      <c r="C7320" s="160" t="str">
        <f t="shared" si="133"/>
        <v/>
      </c>
    </row>
    <row r="7321" spans="3:3">
      <c r="C7321" s="160" t="str">
        <f t="shared" si="133"/>
        <v/>
      </c>
    </row>
    <row r="7322" spans="3:3">
      <c r="C7322" s="160" t="str">
        <f t="shared" si="133"/>
        <v/>
      </c>
    </row>
    <row r="7323" spans="3:3">
      <c r="C7323" s="160" t="str">
        <f t="shared" si="133"/>
        <v/>
      </c>
    </row>
    <row r="7324" spans="3:3">
      <c r="C7324" s="160" t="str">
        <f t="shared" si="133"/>
        <v/>
      </c>
    </row>
    <row r="7325" spans="3:3">
      <c r="C7325" s="160" t="str">
        <f t="shared" si="133"/>
        <v/>
      </c>
    </row>
    <row r="7326" spans="3:3">
      <c r="C7326" s="160" t="str">
        <f t="shared" si="133"/>
        <v/>
      </c>
    </row>
    <row r="7327" spans="3:3">
      <c r="C7327" s="160" t="str">
        <f t="shared" si="133"/>
        <v/>
      </c>
    </row>
    <row r="7328" spans="3:3">
      <c r="C7328" s="160" t="str">
        <f t="shared" si="133"/>
        <v/>
      </c>
    </row>
    <row r="7329" spans="3:3">
      <c r="C7329" s="160" t="str">
        <f t="shared" si="133"/>
        <v/>
      </c>
    </row>
    <row r="7330" spans="3:3">
      <c r="C7330" s="160" t="str">
        <f t="shared" si="133"/>
        <v/>
      </c>
    </row>
    <row r="7331" spans="3:3">
      <c r="C7331" s="160" t="str">
        <f t="shared" si="133"/>
        <v/>
      </c>
    </row>
    <row r="7332" spans="3:3">
      <c r="C7332" s="160" t="str">
        <f t="shared" si="133"/>
        <v/>
      </c>
    </row>
    <row r="7333" spans="3:3">
      <c r="C7333" s="160" t="str">
        <f t="shared" si="133"/>
        <v/>
      </c>
    </row>
    <row r="7334" spans="3:3">
      <c r="C7334" s="160" t="str">
        <f t="shared" si="133"/>
        <v/>
      </c>
    </row>
    <row r="7335" spans="3:3">
      <c r="C7335" s="160" t="str">
        <f t="shared" si="133"/>
        <v/>
      </c>
    </row>
    <row r="7336" spans="3:3">
      <c r="C7336" s="160" t="str">
        <f t="shared" si="133"/>
        <v/>
      </c>
    </row>
    <row r="7337" spans="3:3">
      <c r="C7337" s="160" t="str">
        <f t="shared" si="133"/>
        <v/>
      </c>
    </row>
    <row r="7338" spans="3:3">
      <c r="C7338" s="160" t="str">
        <f t="shared" si="133"/>
        <v/>
      </c>
    </row>
    <row r="7339" spans="3:3">
      <c r="C7339" s="160" t="str">
        <f t="shared" si="133"/>
        <v/>
      </c>
    </row>
    <row r="7340" spans="3:3">
      <c r="C7340" s="160" t="str">
        <f t="shared" si="133"/>
        <v/>
      </c>
    </row>
    <row r="7341" spans="3:3">
      <c r="C7341" s="160" t="str">
        <f t="shared" si="133"/>
        <v/>
      </c>
    </row>
    <row r="7342" spans="3:3">
      <c r="C7342" s="160" t="str">
        <f t="shared" si="133"/>
        <v/>
      </c>
    </row>
    <row r="7343" spans="3:3">
      <c r="C7343" s="160" t="str">
        <f t="shared" si="133"/>
        <v/>
      </c>
    </row>
    <row r="7344" spans="3:3">
      <c r="C7344" s="160" t="str">
        <f t="shared" si="133"/>
        <v/>
      </c>
    </row>
    <row r="7345" spans="3:3">
      <c r="C7345" s="160" t="str">
        <f t="shared" si="133"/>
        <v/>
      </c>
    </row>
    <row r="7346" spans="3:3">
      <c r="C7346" s="160" t="str">
        <f t="shared" si="133"/>
        <v/>
      </c>
    </row>
    <row r="7347" spans="3:3">
      <c r="C7347" s="160" t="str">
        <f t="shared" si="133"/>
        <v/>
      </c>
    </row>
    <row r="7348" spans="3:3">
      <c r="C7348" s="160" t="str">
        <f t="shared" si="133"/>
        <v/>
      </c>
    </row>
    <row r="7349" spans="3:3">
      <c r="C7349" s="160" t="str">
        <f t="shared" si="133"/>
        <v/>
      </c>
    </row>
    <row r="7350" spans="3:3">
      <c r="C7350" s="160" t="str">
        <f t="shared" si="133"/>
        <v/>
      </c>
    </row>
    <row r="7351" spans="3:3">
      <c r="C7351" s="160" t="str">
        <f t="shared" si="133"/>
        <v/>
      </c>
    </row>
    <row r="7352" spans="3:3">
      <c r="C7352" s="160" t="str">
        <f t="shared" si="133"/>
        <v/>
      </c>
    </row>
    <row r="7353" spans="3:3">
      <c r="C7353" s="160" t="str">
        <f t="shared" si="133"/>
        <v/>
      </c>
    </row>
    <row r="7354" spans="3:3">
      <c r="C7354" s="160" t="str">
        <f t="shared" si="133"/>
        <v/>
      </c>
    </row>
    <row r="7355" spans="3:3">
      <c r="C7355" s="160" t="str">
        <f t="shared" si="133"/>
        <v/>
      </c>
    </row>
    <row r="7356" spans="3:3">
      <c r="C7356" s="160" t="str">
        <f t="shared" si="133"/>
        <v/>
      </c>
    </row>
    <row r="7357" spans="3:3">
      <c r="C7357" s="160" t="str">
        <f t="shared" si="133"/>
        <v/>
      </c>
    </row>
    <row r="7358" spans="3:3">
      <c r="C7358" s="160" t="str">
        <f t="shared" si="133"/>
        <v/>
      </c>
    </row>
    <row r="7359" spans="3:3">
      <c r="C7359" s="160" t="str">
        <f t="shared" si="133"/>
        <v/>
      </c>
    </row>
    <row r="7360" spans="3:3">
      <c r="C7360" s="160" t="str">
        <f t="shared" si="133"/>
        <v/>
      </c>
    </row>
    <row r="7361" spans="3:3">
      <c r="C7361" s="160" t="str">
        <f t="shared" si="133"/>
        <v/>
      </c>
    </row>
    <row r="7362" spans="3:3">
      <c r="C7362" s="160" t="str">
        <f t="shared" si="133"/>
        <v/>
      </c>
    </row>
    <row r="7363" spans="3:3">
      <c r="C7363" s="160" t="str">
        <f t="shared" si="133"/>
        <v/>
      </c>
    </row>
    <row r="7364" spans="3:3">
      <c r="C7364" s="160" t="str">
        <f t="shared" si="133"/>
        <v/>
      </c>
    </row>
    <row r="7365" spans="3:3">
      <c r="C7365" s="160" t="str">
        <f t="shared" si="133"/>
        <v/>
      </c>
    </row>
    <row r="7366" spans="3:3">
      <c r="C7366" s="160" t="str">
        <f t="shared" si="133"/>
        <v/>
      </c>
    </row>
    <row r="7367" spans="3:3">
      <c r="C7367" s="160" t="str">
        <f t="shared" si="133"/>
        <v/>
      </c>
    </row>
    <row r="7368" spans="3:3">
      <c r="C7368" s="160" t="str">
        <f t="shared" si="133"/>
        <v/>
      </c>
    </row>
    <row r="7369" spans="3:3">
      <c r="C7369" s="160" t="str">
        <f t="shared" si="133"/>
        <v/>
      </c>
    </row>
    <row r="7370" spans="3:3">
      <c r="C7370" s="160" t="str">
        <f t="shared" si="133"/>
        <v/>
      </c>
    </row>
    <row r="7371" spans="3:3">
      <c r="C7371" s="160" t="str">
        <f t="shared" si="133"/>
        <v/>
      </c>
    </row>
    <row r="7372" spans="3:3">
      <c r="C7372" s="160" t="str">
        <f t="shared" si="133"/>
        <v/>
      </c>
    </row>
    <row r="7373" spans="3:3">
      <c r="C7373" s="160" t="str">
        <f t="shared" ref="C7373:C7436" si="134">D7373&amp;I7373</f>
        <v/>
      </c>
    </row>
    <row r="7374" spans="3:3">
      <c r="C7374" s="160" t="str">
        <f t="shared" si="134"/>
        <v/>
      </c>
    </row>
    <row r="7375" spans="3:3">
      <c r="C7375" s="160" t="str">
        <f t="shared" si="134"/>
        <v/>
      </c>
    </row>
    <row r="7376" spans="3:3">
      <c r="C7376" s="160" t="str">
        <f t="shared" si="134"/>
        <v/>
      </c>
    </row>
    <row r="7377" spans="3:3">
      <c r="C7377" s="160" t="str">
        <f t="shared" si="134"/>
        <v/>
      </c>
    </row>
    <row r="7378" spans="3:3">
      <c r="C7378" s="160" t="str">
        <f t="shared" si="134"/>
        <v/>
      </c>
    </row>
    <row r="7379" spans="3:3">
      <c r="C7379" s="160" t="str">
        <f t="shared" si="134"/>
        <v/>
      </c>
    </row>
    <row r="7380" spans="3:3">
      <c r="C7380" s="160" t="str">
        <f t="shared" si="134"/>
        <v/>
      </c>
    </row>
    <row r="7381" spans="3:3">
      <c r="C7381" s="160" t="str">
        <f t="shared" si="134"/>
        <v/>
      </c>
    </row>
    <row r="7382" spans="3:3">
      <c r="C7382" s="160" t="str">
        <f t="shared" si="134"/>
        <v/>
      </c>
    </row>
    <row r="7383" spans="3:3">
      <c r="C7383" s="160" t="str">
        <f t="shared" si="134"/>
        <v/>
      </c>
    </row>
    <row r="7384" spans="3:3">
      <c r="C7384" s="160" t="str">
        <f t="shared" si="134"/>
        <v/>
      </c>
    </row>
    <row r="7385" spans="3:3">
      <c r="C7385" s="160" t="str">
        <f t="shared" si="134"/>
        <v/>
      </c>
    </row>
    <row r="7386" spans="3:3">
      <c r="C7386" s="160" t="str">
        <f t="shared" si="134"/>
        <v/>
      </c>
    </row>
    <row r="7387" spans="3:3">
      <c r="C7387" s="160" t="str">
        <f t="shared" si="134"/>
        <v/>
      </c>
    </row>
    <row r="7388" spans="3:3">
      <c r="C7388" s="160" t="str">
        <f t="shared" si="134"/>
        <v/>
      </c>
    </row>
    <row r="7389" spans="3:3">
      <c r="C7389" s="160" t="str">
        <f t="shared" si="134"/>
        <v/>
      </c>
    </row>
    <row r="7390" spans="3:3">
      <c r="C7390" s="160" t="str">
        <f t="shared" si="134"/>
        <v/>
      </c>
    </row>
    <row r="7391" spans="3:3">
      <c r="C7391" s="160" t="str">
        <f t="shared" si="134"/>
        <v/>
      </c>
    </row>
    <row r="7392" spans="3:3">
      <c r="C7392" s="160" t="str">
        <f t="shared" si="134"/>
        <v/>
      </c>
    </row>
    <row r="7393" spans="3:3">
      <c r="C7393" s="160" t="str">
        <f t="shared" si="134"/>
        <v/>
      </c>
    </row>
    <row r="7394" spans="3:3">
      <c r="C7394" s="160" t="str">
        <f t="shared" si="134"/>
        <v/>
      </c>
    </row>
    <row r="7395" spans="3:3">
      <c r="C7395" s="160" t="str">
        <f t="shared" si="134"/>
        <v/>
      </c>
    </row>
    <row r="7396" spans="3:3">
      <c r="C7396" s="160" t="str">
        <f t="shared" si="134"/>
        <v/>
      </c>
    </row>
    <row r="7397" spans="3:3">
      <c r="C7397" s="160" t="str">
        <f t="shared" si="134"/>
        <v/>
      </c>
    </row>
    <row r="7398" spans="3:3">
      <c r="C7398" s="160" t="str">
        <f t="shared" si="134"/>
        <v/>
      </c>
    </row>
    <row r="7399" spans="3:3">
      <c r="C7399" s="160" t="str">
        <f t="shared" si="134"/>
        <v/>
      </c>
    </row>
    <row r="7400" spans="3:3">
      <c r="C7400" s="160" t="str">
        <f t="shared" si="134"/>
        <v/>
      </c>
    </row>
    <row r="7401" spans="3:3">
      <c r="C7401" s="160" t="str">
        <f t="shared" si="134"/>
        <v/>
      </c>
    </row>
    <row r="7402" spans="3:3">
      <c r="C7402" s="160" t="str">
        <f t="shared" si="134"/>
        <v/>
      </c>
    </row>
    <row r="7403" spans="3:3">
      <c r="C7403" s="160" t="str">
        <f t="shared" si="134"/>
        <v/>
      </c>
    </row>
    <row r="7404" spans="3:3">
      <c r="C7404" s="160" t="str">
        <f t="shared" si="134"/>
        <v/>
      </c>
    </row>
    <row r="7405" spans="3:3">
      <c r="C7405" s="160" t="str">
        <f t="shared" si="134"/>
        <v/>
      </c>
    </row>
    <row r="7406" spans="3:3">
      <c r="C7406" s="160" t="str">
        <f t="shared" si="134"/>
        <v/>
      </c>
    </row>
    <row r="7407" spans="3:3">
      <c r="C7407" s="160" t="str">
        <f t="shared" si="134"/>
        <v/>
      </c>
    </row>
    <row r="7408" spans="3:3">
      <c r="C7408" s="160" t="str">
        <f t="shared" si="134"/>
        <v/>
      </c>
    </row>
    <row r="7409" spans="3:3">
      <c r="C7409" s="160" t="str">
        <f t="shared" si="134"/>
        <v/>
      </c>
    </row>
    <row r="7410" spans="3:3">
      <c r="C7410" s="160" t="str">
        <f t="shared" si="134"/>
        <v/>
      </c>
    </row>
    <row r="7411" spans="3:3">
      <c r="C7411" s="160" t="str">
        <f t="shared" si="134"/>
        <v/>
      </c>
    </row>
    <row r="7412" spans="3:3">
      <c r="C7412" s="160" t="str">
        <f t="shared" si="134"/>
        <v/>
      </c>
    </row>
    <row r="7413" spans="3:3">
      <c r="C7413" s="160" t="str">
        <f t="shared" si="134"/>
        <v/>
      </c>
    </row>
    <row r="7414" spans="3:3">
      <c r="C7414" s="160" t="str">
        <f t="shared" si="134"/>
        <v/>
      </c>
    </row>
    <row r="7415" spans="3:3">
      <c r="C7415" s="160" t="str">
        <f t="shared" si="134"/>
        <v/>
      </c>
    </row>
    <row r="7416" spans="3:3">
      <c r="C7416" s="160" t="str">
        <f t="shared" si="134"/>
        <v/>
      </c>
    </row>
    <row r="7417" spans="3:3">
      <c r="C7417" s="160" t="str">
        <f t="shared" si="134"/>
        <v/>
      </c>
    </row>
    <row r="7418" spans="3:3">
      <c r="C7418" s="160" t="str">
        <f t="shared" si="134"/>
        <v/>
      </c>
    </row>
    <row r="7419" spans="3:3">
      <c r="C7419" s="160" t="str">
        <f t="shared" si="134"/>
        <v/>
      </c>
    </row>
    <row r="7420" spans="3:3">
      <c r="C7420" s="160" t="str">
        <f t="shared" si="134"/>
        <v/>
      </c>
    </row>
    <row r="7421" spans="3:3">
      <c r="C7421" s="160" t="str">
        <f t="shared" si="134"/>
        <v/>
      </c>
    </row>
    <row r="7422" spans="3:3">
      <c r="C7422" s="160" t="str">
        <f t="shared" si="134"/>
        <v/>
      </c>
    </row>
    <row r="7423" spans="3:3">
      <c r="C7423" s="160" t="str">
        <f t="shared" si="134"/>
        <v/>
      </c>
    </row>
    <row r="7424" spans="3:3">
      <c r="C7424" s="160" t="str">
        <f t="shared" si="134"/>
        <v/>
      </c>
    </row>
    <row r="7425" spans="3:3">
      <c r="C7425" s="160" t="str">
        <f t="shared" si="134"/>
        <v/>
      </c>
    </row>
    <row r="7426" spans="3:3">
      <c r="C7426" s="160" t="str">
        <f t="shared" si="134"/>
        <v/>
      </c>
    </row>
    <row r="7427" spans="3:3">
      <c r="C7427" s="160" t="str">
        <f t="shared" si="134"/>
        <v/>
      </c>
    </row>
    <row r="7428" spans="3:3">
      <c r="C7428" s="160" t="str">
        <f t="shared" si="134"/>
        <v/>
      </c>
    </row>
    <row r="7429" spans="3:3">
      <c r="C7429" s="160" t="str">
        <f t="shared" si="134"/>
        <v/>
      </c>
    </row>
    <row r="7430" spans="3:3">
      <c r="C7430" s="160" t="str">
        <f t="shared" si="134"/>
        <v/>
      </c>
    </row>
    <row r="7431" spans="3:3">
      <c r="C7431" s="160" t="str">
        <f t="shared" si="134"/>
        <v/>
      </c>
    </row>
    <row r="7432" spans="3:3">
      <c r="C7432" s="160" t="str">
        <f t="shared" si="134"/>
        <v/>
      </c>
    </row>
    <row r="7433" spans="3:3">
      <c r="C7433" s="160" t="str">
        <f t="shared" si="134"/>
        <v/>
      </c>
    </row>
    <row r="7434" spans="3:3">
      <c r="C7434" s="160" t="str">
        <f t="shared" si="134"/>
        <v/>
      </c>
    </row>
    <row r="7435" spans="3:3">
      <c r="C7435" s="160" t="str">
        <f t="shared" si="134"/>
        <v/>
      </c>
    </row>
    <row r="7436" spans="3:3">
      <c r="C7436" s="160" t="str">
        <f t="shared" si="134"/>
        <v/>
      </c>
    </row>
    <row r="7437" spans="3:3">
      <c r="C7437" s="160" t="str">
        <f t="shared" ref="C7437:C7500" si="135">D7437&amp;I7437</f>
        <v/>
      </c>
    </row>
    <row r="7438" spans="3:3">
      <c r="C7438" s="160" t="str">
        <f t="shared" si="135"/>
        <v/>
      </c>
    </row>
    <row r="7439" spans="3:3">
      <c r="C7439" s="160" t="str">
        <f t="shared" si="135"/>
        <v/>
      </c>
    </row>
    <row r="7440" spans="3:3">
      <c r="C7440" s="160" t="str">
        <f t="shared" si="135"/>
        <v/>
      </c>
    </row>
    <row r="7441" spans="3:3">
      <c r="C7441" s="160" t="str">
        <f t="shared" si="135"/>
        <v/>
      </c>
    </row>
    <row r="7442" spans="3:3">
      <c r="C7442" s="160" t="str">
        <f t="shared" si="135"/>
        <v/>
      </c>
    </row>
    <row r="7443" spans="3:3">
      <c r="C7443" s="160" t="str">
        <f t="shared" si="135"/>
        <v/>
      </c>
    </row>
    <row r="7444" spans="3:3">
      <c r="C7444" s="160" t="str">
        <f t="shared" si="135"/>
        <v/>
      </c>
    </row>
    <row r="7445" spans="3:3">
      <c r="C7445" s="160" t="str">
        <f t="shared" si="135"/>
        <v/>
      </c>
    </row>
    <row r="7446" spans="3:3">
      <c r="C7446" s="160" t="str">
        <f t="shared" si="135"/>
        <v/>
      </c>
    </row>
    <row r="7447" spans="3:3">
      <c r="C7447" s="160" t="str">
        <f t="shared" si="135"/>
        <v/>
      </c>
    </row>
    <row r="7448" spans="3:3">
      <c r="C7448" s="160" t="str">
        <f t="shared" si="135"/>
        <v/>
      </c>
    </row>
    <row r="7449" spans="3:3">
      <c r="C7449" s="160" t="str">
        <f t="shared" si="135"/>
        <v/>
      </c>
    </row>
    <row r="7450" spans="3:3">
      <c r="C7450" s="160" t="str">
        <f t="shared" si="135"/>
        <v/>
      </c>
    </row>
    <row r="7451" spans="3:3">
      <c r="C7451" s="160" t="str">
        <f t="shared" si="135"/>
        <v/>
      </c>
    </row>
    <row r="7452" spans="3:3">
      <c r="C7452" s="160" t="str">
        <f t="shared" si="135"/>
        <v/>
      </c>
    </row>
    <row r="7453" spans="3:3">
      <c r="C7453" s="160" t="str">
        <f t="shared" si="135"/>
        <v/>
      </c>
    </row>
    <row r="7454" spans="3:3">
      <c r="C7454" s="160" t="str">
        <f t="shared" si="135"/>
        <v/>
      </c>
    </row>
    <row r="7455" spans="3:3">
      <c r="C7455" s="160" t="str">
        <f t="shared" si="135"/>
        <v/>
      </c>
    </row>
    <row r="7456" spans="3:3">
      <c r="C7456" s="160" t="str">
        <f t="shared" si="135"/>
        <v/>
      </c>
    </row>
    <row r="7457" spans="3:3">
      <c r="C7457" s="160" t="str">
        <f t="shared" si="135"/>
        <v/>
      </c>
    </row>
    <row r="7458" spans="3:3">
      <c r="C7458" s="160" t="str">
        <f t="shared" si="135"/>
        <v/>
      </c>
    </row>
    <row r="7459" spans="3:3">
      <c r="C7459" s="160" t="str">
        <f t="shared" si="135"/>
        <v/>
      </c>
    </row>
    <row r="7460" spans="3:3">
      <c r="C7460" s="160" t="str">
        <f t="shared" si="135"/>
        <v/>
      </c>
    </row>
    <row r="7461" spans="3:3">
      <c r="C7461" s="160" t="str">
        <f t="shared" si="135"/>
        <v/>
      </c>
    </row>
    <row r="7462" spans="3:3">
      <c r="C7462" s="160" t="str">
        <f t="shared" si="135"/>
        <v/>
      </c>
    </row>
    <row r="7463" spans="3:3">
      <c r="C7463" s="160" t="str">
        <f t="shared" si="135"/>
        <v/>
      </c>
    </row>
    <row r="7464" spans="3:3">
      <c r="C7464" s="160" t="str">
        <f t="shared" si="135"/>
        <v/>
      </c>
    </row>
    <row r="7465" spans="3:3">
      <c r="C7465" s="160" t="str">
        <f t="shared" si="135"/>
        <v/>
      </c>
    </row>
    <row r="7466" spans="3:3">
      <c r="C7466" s="160" t="str">
        <f t="shared" si="135"/>
        <v/>
      </c>
    </row>
    <row r="7467" spans="3:3">
      <c r="C7467" s="160" t="str">
        <f t="shared" si="135"/>
        <v/>
      </c>
    </row>
    <row r="7468" spans="3:3">
      <c r="C7468" s="160" t="str">
        <f t="shared" si="135"/>
        <v/>
      </c>
    </row>
    <row r="7469" spans="3:3">
      <c r="C7469" s="160" t="str">
        <f t="shared" si="135"/>
        <v/>
      </c>
    </row>
    <row r="7470" spans="3:3">
      <c r="C7470" s="160" t="str">
        <f t="shared" si="135"/>
        <v/>
      </c>
    </row>
    <row r="7471" spans="3:3">
      <c r="C7471" s="160" t="str">
        <f t="shared" si="135"/>
        <v/>
      </c>
    </row>
    <row r="7472" spans="3:3">
      <c r="C7472" s="160" t="str">
        <f t="shared" si="135"/>
        <v/>
      </c>
    </row>
    <row r="7473" spans="3:3">
      <c r="C7473" s="160" t="str">
        <f t="shared" si="135"/>
        <v/>
      </c>
    </row>
    <row r="7474" spans="3:3">
      <c r="C7474" s="160" t="str">
        <f t="shared" si="135"/>
        <v/>
      </c>
    </row>
    <row r="7475" spans="3:3">
      <c r="C7475" s="160" t="str">
        <f t="shared" si="135"/>
        <v/>
      </c>
    </row>
    <row r="7476" spans="3:3">
      <c r="C7476" s="160" t="str">
        <f t="shared" si="135"/>
        <v/>
      </c>
    </row>
    <row r="7477" spans="3:3">
      <c r="C7477" s="160" t="str">
        <f t="shared" si="135"/>
        <v/>
      </c>
    </row>
    <row r="7478" spans="3:3">
      <c r="C7478" s="160" t="str">
        <f t="shared" si="135"/>
        <v/>
      </c>
    </row>
    <row r="7479" spans="3:3">
      <c r="C7479" s="160" t="str">
        <f t="shared" si="135"/>
        <v/>
      </c>
    </row>
    <row r="7480" spans="3:3">
      <c r="C7480" s="160" t="str">
        <f t="shared" si="135"/>
        <v/>
      </c>
    </row>
    <row r="7481" spans="3:3">
      <c r="C7481" s="160" t="str">
        <f t="shared" si="135"/>
        <v/>
      </c>
    </row>
    <row r="7482" spans="3:3">
      <c r="C7482" s="160" t="str">
        <f t="shared" si="135"/>
        <v/>
      </c>
    </row>
    <row r="7483" spans="3:3">
      <c r="C7483" s="160" t="str">
        <f t="shared" si="135"/>
        <v/>
      </c>
    </row>
    <row r="7484" spans="3:3">
      <c r="C7484" s="160" t="str">
        <f t="shared" si="135"/>
        <v/>
      </c>
    </row>
    <row r="7485" spans="3:3">
      <c r="C7485" s="160" t="str">
        <f t="shared" si="135"/>
        <v/>
      </c>
    </row>
    <row r="7486" spans="3:3">
      <c r="C7486" s="160" t="str">
        <f t="shared" si="135"/>
        <v/>
      </c>
    </row>
    <row r="7487" spans="3:3">
      <c r="C7487" s="160" t="str">
        <f t="shared" si="135"/>
        <v/>
      </c>
    </row>
    <row r="7488" spans="3:3">
      <c r="C7488" s="160" t="str">
        <f t="shared" si="135"/>
        <v/>
      </c>
    </row>
    <row r="7489" spans="3:3">
      <c r="C7489" s="160" t="str">
        <f t="shared" si="135"/>
        <v/>
      </c>
    </row>
    <row r="7490" spans="3:3">
      <c r="C7490" s="160" t="str">
        <f t="shared" si="135"/>
        <v/>
      </c>
    </row>
    <row r="7491" spans="3:3">
      <c r="C7491" s="160" t="str">
        <f t="shared" si="135"/>
        <v/>
      </c>
    </row>
    <row r="7492" spans="3:3">
      <c r="C7492" s="160" t="str">
        <f t="shared" si="135"/>
        <v/>
      </c>
    </row>
    <row r="7493" spans="3:3">
      <c r="C7493" s="160" t="str">
        <f t="shared" si="135"/>
        <v/>
      </c>
    </row>
    <row r="7494" spans="3:3">
      <c r="C7494" s="160" t="str">
        <f t="shared" si="135"/>
        <v/>
      </c>
    </row>
    <row r="7495" spans="3:3">
      <c r="C7495" s="160" t="str">
        <f t="shared" si="135"/>
        <v/>
      </c>
    </row>
    <row r="7496" spans="3:3">
      <c r="C7496" s="160" t="str">
        <f t="shared" si="135"/>
        <v/>
      </c>
    </row>
    <row r="7497" spans="3:3">
      <c r="C7497" s="160" t="str">
        <f t="shared" si="135"/>
        <v/>
      </c>
    </row>
    <row r="7498" spans="3:3">
      <c r="C7498" s="160" t="str">
        <f t="shared" si="135"/>
        <v/>
      </c>
    </row>
    <row r="7499" spans="3:3">
      <c r="C7499" s="160" t="str">
        <f t="shared" si="135"/>
        <v/>
      </c>
    </row>
    <row r="7500" spans="3:3">
      <c r="C7500" s="160" t="str">
        <f t="shared" si="135"/>
        <v/>
      </c>
    </row>
    <row r="7501" spans="3:3">
      <c r="C7501" s="160" t="str">
        <f t="shared" ref="C7501:C7564" si="136">D7501&amp;I7501</f>
        <v/>
      </c>
    </row>
    <row r="7502" spans="3:3">
      <c r="C7502" s="160" t="str">
        <f t="shared" si="136"/>
        <v/>
      </c>
    </row>
    <row r="7503" spans="3:3">
      <c r="C7503" s="160" t="str">
        <f t="shared" si="136"/>
        <v/>
      </c>
    </row>
    <row r="7504" spans="3:3">
      <c r="C7504" s="160" t="str">
        <f t="shared" si="136"/>
        <v/>
      </c>
    </row>
    <row r="7505" spans="3:3">
      <c r="C7505" s="160" t="str">
        <f t="shared" si="136"/>
        <v/>
      </c>
    </row>
    <row r="7506" spans="3:3">
      <c r="C7506" s="160" t="str">
        <f t="shared" si="136"/>
        <v/>
      </c>
    </row>
    <row r="7507" spans="3:3">
      <c r="C7507" s="160" t="str">
        <f t="shared" si="136"/>
        <v/>
      </c>
    </row>
    <row r="7508" spans="3:3">
      <c r="C7508" s="160" t="str">
        <f t="shared" si="136"/>
        <v/>
      </c>
    </row>
    <row r="7509" spans="3:3">
      <c r="C7509" s="160" t="str">
        <f t="shared" si="136"/>
        <v/>
      </c>
    </row>
    <row r="7510" spans="3:3">
      <c r="C7510" s="160" t="str">
        <f t="shared" si="136"/>
        <v/>
      </c>
    </row>
    <row r="7511" spans="3:3">
      <c r="C7511" s="160" t="str">
        <f t="shared" si="136"/>
        <v/>
      </c>
    </row>
    <row r="7512" spans="3:3">
      <c r="C7512" s="160" t="str">
        <f t="shared" si="136"/>
        <v/>
      </c>
    </row>
    <row r="7513" spans="3:3">
      <c r="C7513" s="160" t="str">
        <f t="shared" si="136"/>
        <v/>
      </c>
    </row>
    <row r="7514" spans="3:3">
      <c r="C7514" s="160" t="str">
        <f t="shared" si="136"/>
        <v/>
      </c>
    </row>
    <row r="7515" spans="3:3">
      <c r="C7515" s="160" t="str">
        <f t="shared" si="136"/>
        <v/>
      </c>
    </row>
    <row r="7516" spans="3:3">
      <c r="C7516" s="160" t="str">
        <f t="shared" si="136"/>
        <v/>
      </c>
    </row>
    <row r="7517" spans="3:3">
      <c r="C7517" s="160" t="str">
        <f t="shared" si="136"/>
        <v/>
      </c>
    </row>
    <row r="7518" spans="3:3">
      <c r="C7518" s="160" t="str">
        <f t="shared" si="136"/>
        <v/>
      </c>
    </row>
    <row r="7519" spans="3:3">
      <c r="C7519" s="160" t="str">
        <f t="shared" si="136"/>
        <v/>
      </c>
    </row>
    <row r="7520" spans="3:3">
      <c r="C7520" s="160" t="str">
        <f t="shared" si="136"/>
        <v/>
      </c>
    </row>
    <row r="7521" spans="3:3">
      <c r="C7521" s="160" t="str">
        <f t="shared" si="136"/>
        <v/>
      </c>
    </row>
    <row r="7522" spans="3:3">
      <c r="C7522" s="160" t="str">
        <f t="shared" si="136"/>
        <v/>
      </c>
    </row>
    <row r="7523" spans="3:3">
      <c r="C7523" s="160" t="str">
        <f t="shared" si="136"/>
        <v/>
      </c>
    </row>
    <row r="7524" spans="3:3">
      <c r="C7524" s="160" t="str">
        <f t="shared" si="136"/>
        <v/>
      </c>
    </row>
    <row r="7525" spans="3:3">
      <c r="C7525" s="160" t="str">
        <f t="shared" si="136"/>
        <v/>
      </c>
    </row>
    <row r="7526" spans="3:3">
      <c r="C7526" s="160" t="str">
        <f t="shared" si="136"/>
        <v/>
      </c>
    </row>
    <row r="7527" spans="3:3">
      <c r="C7527" s="160" t="str">
        <f t="shared" si="136"/>
        <v/>
      </c>
    </row>
    <row r="7528" spans="3:3">
      <c r="C7528" s="160" t="str">
        <f t="shared" si="136"/>
        <v/>
      </c>
    </row>
    <row r="7529" spans="3:3">
      <c r="C7529" s="160" t="str">
        <f t="shared" si="136"/>
        <v/>
      </c>
    </row>
    <row r="7530" spans="3:3">
      <c r="C7530" s="160" t="str">
        <f t="shared" si="136"/>
        <v/>
      </c>
    </row>
    <row r="7531" spans="3:3">
      <c r="C7531" s="160" t="str">
        <f t="shared" si="136"/>
        <v/>
      </c>
    </row>
    <row r="7532" spans="3:3">
      <c r="C7532" s="160" t="str">
        <f t="shared" si="136"/>
        <v/>
      </c>
    </row>
    <row r="7533" spans="3:3">
      <c r="C7533" s="160" t="str">
        <f t="shared" si="136"/>
        <v/>
      </c>
    </row>
    <row r="7534" spans="3:3">
      <c r="C7534" s="160" t="str">
        <f t="shared" si="136"/>
        <v/>
      </c>
    </row>
    <row r="7535" spans="3:3">
      <c r="C7535" s="160" t="str">
        <f t="shared" si="136"/>
        <v/>
      </c>
    </row>
    <row r="7536" spans="3:3">
      <c r="C7536" s="160" t="str">
        <f t="shared" si="136"/>
        <v/>
      </c>
    </row>
    <row r="7537" spans="3:3">
      <c r="C7537" s="160" t="str">
        <f t="shared" si="136"/>
        <v/>
      </c>
    </row>
    <row r="7538" spans="3:3">
      <c r="C7538" s="160" t="str">
        <f t="shared" si="136"/>
        <v/>
      </c>
    </row>
    <row r="7539" spans="3:3">
      <c r="C7539" s="160" t="str">
        <f t="shared" si="136"/>
        <v/>
      </c>
    </row>
    <row r="7540" spans="3:3">
      <c r="C7540" s="160" t="str">
        <f t="shared" si="136"/>
        <v/>
      </c>
    </row>
    <row r="7541" spans="3:3">
      <c r="C7541" s="160" t="str">
        <f t="shared" si="136"/>
        <v/>
      </c>
    </row>
    <row r="7542" spans="3:3">
      <c r="C7542" s="160" t="str">
        <f t="shared" si="136"/>
        <v/>
      </c>
    </row>
    <row r="7543" spans="3:3">
      <c r="C7543" s="160" t="str">
        <f t="shared" si="136"/>
        <v/>
      </c>
    </row>
    <row r="7544" spans="3:3">
      <c r="C7544" s="160" t="str">
        <f t="shared" si="136"/>
        <v/>
      </c>
    </row>
    <row r="7545" spans="3:3">
      <c r="C7545" s="160" t="str">
        <f t="shared" si="136"/>
        <v/>
      </c>
    </row>
    <row r="7546" spans="3:3">
      <c r="C7546" s="160" t="str">
        <f t="shared" si="136"/>
        <v/>
      </c>
    </row>
    <row r="7547" spans="3:3">
      <c r="C7547" s="160" t="str">
        <f t="shared" si="136"/>
        <v/>
      </c>
    </row>
    <row r="7548" spans="3:3">
      <c r="C7548" s="160" t="str">
        <f t="shared" si="136"/>
        <v/>
      </c>
    </row>
    <row r="7549" spans="3:3">
      <c r="C7549" s="160" t="str">
        <f t="shared" si="136"/>
        <v/>
      </c>
    </row>
    <row r="7550" spans="3:3">
      <c r="C7550" s="160" t="str">
        <f t="shared" si="136"/>
        <v/>
      </c>
    </row>
    <row r="7551" spans="3:3">
      <c r="C7551" s="160" t="str">
        <f t="shared" si="136"/>
        <v/>
      </c>
    </row>
    <row r="7552" spans="3:3">
      <c r="C7552" s="160" t="str">
        <f t="shared" si="136"/>
        <v/>
      </c>
    </row>
    <row r="7553" spans="3:3">
      <c r="C7553" s="160" t="str">
        <f t="shared" si="136"/>
        <v/>
      </c>
    </row>
    <row r="7554" spans="3:3">
      <c r="C7554" s="160" t="str">
        <f t="shared" si="136"/>
        <v/>
      </c>
    </row>
    <row r="7555" spans="3:3">
      <c r="C7555" s="160" t="str">
        <f t="shared" si="136"/>
        <v/>
      </c>
    </row>
    <row r="7556" spans="3:3">
      <c r="C7556" s="160" t="str">
        <f t="shared" si="136"/>
        <v/>
      </c>
    </row>
    <row r="7557" spans="3:3">
      <c r="C7557" s="160" t="str">
        <f t="shared" si="136"/>
        <v/>
      </c>
    </row>
    <row r="7558" spans="3:3">
      <c r="C7558" s="160" t="str">
        <f t="shared" si="136"/>
        <v/>
      </c>
    </row>
    <row r="7559" spans="3:3">
      <c r="C7559" s="160" t="str">
        <f t="shared" si="136"/>
        <v/>
      </c>
    </row>
    <row r="7560" spans="3:3">
      <c r="C7560" s="160" t="str">
        <f t="shared" si="136"/>
        <v/>
      </c>
    </row>
    <row r="7561" spans="3:3">
      <c r="C7561" s="160" t="str">
        <f t="shared" si="136"/>
        <v/>
      </c>
    </row>
    <row r="7562" spans="3:3">
      <c r="C7562" s="160" t="str">
        <f t="shared" si="136"/>
        <v/>
      </c>
    </row>
    <row r="7563" spans="3:3">
      <c r="C7563" s="160" t="str">
        <f t="shared" si="136"/>
        <v/>
      </c>
    </row>
    <row r="7564" spans="3:3">
      <c r="C7564" s="160" t="str">
        <f t="shared" si="136"/>
        <v/>
      </c>
    </row>
    <row r="7565" spans="3:3">
      <c r="C7565" s="160" t="str">
        <f t="shared" ref="C7565:C7628" si="137">D7565&amp;I7565</f>
        <v/>
      </c>
    </row>
    <row r="7566" spans="3:3">
      <c r="C7566" s="160" t="str">
        <f t="shared" si="137"/>
        <v/>
      </c>
    </row>
    <row r="7567" spans="3:3">
      <c r="C7567" s="160" t="str">
        <f t="shared" si="137"/>
        <v/>
      </c>
    </row>
    <row r="7568" spans="3:3">
      <c r="C7568" s="160" t="str">
        <f t="shared" si="137"/>
        <v/>
      </c>
    </row>
    <row r="7569" spans="3:3">
      <c r="C7569" s="160" t="str">
        <f t="shared" si="137"/>
        <v/>
      </c>
    </row>
    <row r="7570" spans="3:3">
      <c r="C7570" s="160" t="str">
        <f t="shared" si="137"/>
        <v/>
      </c>
    </row>
    <row r="7571" spans="3:3">
      <c r="C7571" s="160" t="str">
        <f t="shared" si="137"/>
        <v/>
      </c>
    </row>
    <row r="7572" spans="3:3">
      <c r="C7572" s="160" t="str">
        <f t="shared" si="137"/>
        <v/>
      </c>
    </row>
    <row r="7573" spans="3:3">
      <c r="C7573" s="160" t="str">
        <f t="shared" si="137"/>
        <v/>
      </c>
    </row>
    <row r="7574" spans="3:3">
      <c r="C7574" s="160" t="str">
        <f t="shared" si="137"/>
        <v/>
      </c>
    </row>
    <row r="7575" spans="3:3">
      <c r="C7575" s="160" t="str">
        <f t="shared" si="137"/>
        <v/>
      </c>
    </row>
    <row r="7576" spans="3:3">
      <c r="C7576" s="160" t="str">
        <f t="shared" si="137"/>
        <v/>
      </c>
    </row>
    <row r="7577" spans="3:3">
      <c r="C7577" s="160" t="str">
        <f t="shared" si="137"/>
        <v/>
      </c>
    </row>
    <row r="7578" spans="3:3">
      <c r="C7578" s="160" t="str">
        <f t="shared" si="137"/>
        <v/>
      </c>
    </row>
    <row r="7579" spans="3:3">
      <c r="C7579" s="160" t="str">
        <f t="shared" si="137"/>
        <v/>
      </c>
    </row>
    <row r="7580" spans="3:3">
      <c r="C7580" s="160" t="str">
        <f t="shared" si="137"/>
        <v/>
      </c>
    </row>
    <row r="7581" spans="3:3">
      <c r="C7581" s="160" t="str">
        <f t="shared" si="137"/>
        <v/>
      </c>
    </row>
    <row r="7582" spans="3:3">
      <c r="C7582" s="160" t="str">
        <f t="shared" si="137"/>
        <v/>
      </c>
    </row>
    <row r="7583" spans="3:3">
      <c r="C7583" s="160" t="str">
        <f t="shared" si="137"/>
        <v/>
      </c>
    </row>
    <row r="7584" spans="3:3">
      <c r="C7584" s="160" t="str">
        <f t="shared" si="137"/>
        <v/>
      </c>
    </row>
    <row r="7585" spans="3:3">
      <c r="C7585" s="160" t="str">
        <f t="shared" si="137"/>
        <v/>
      </c>
    </row>
    <row r="7586" spans="3:3">
      <c r="C7586" s="160" t="str">
        <f t="shared" si="137"/>
        <v/>
      </c>
    </row>
    <row r="7587" spans="3:3">
      <c r="C7587" s="160" t="str">
        <f t="shared" si="137"/>
        <v/>
      </c>
    </row>
    <row r="7588" spans="3:3">
      <c r="C7588" s="160" t="str">
        <f t="shared" si="137"/>
        <v/>
      </c>
    </row>
    <row r="7589" spans="3:3">
      <c r="C7589" s="160" t="str">
        <f t="shared" si="137"/>
        <v/>
      </c>
    </row>
    <row r="7590" spans="3:3">
      <c r="C7590" s="160" t="str">
        <f t="shared" si="137"/>
        <v/>
      </c>
    </row>
    <row r="7591" spans="3:3">
      <c r="C7591" s="160" t="str">
        <f t="shared" si="137"/>
        <v/>
      </c>
    </row>
    <row r="7592" spans="3:3">
      <c r="C7592" s="160" t="str">
        <f t="shared" si="137"/>
        <v/>
      </c>
    </row>
    <row r="7593" spans="3:3">
      <c r="C7593" s="160" t="str">
        <f t="shared" si="137"/>
        <v/>
      </c>
    </row>
    <row r="7594" spans="3:3">
      <c r="C7594" s="160" t="str">
        <f t="shared" si="137"/>
        <v/>
      </c>
    </row>
    <row r="7595" spans="3:3">
      <c r="C7595" s="160" t="str">
        <f t="shared" si="137"/>
        <v/>
      </c>
    </row>
    <row r="7596" spans="3:3">
      <c r="C7596" s="160" t="str">
        <f t="shared" si="137"/>
        <v/>
      </c>
    </row>
    <row r="7597" spans="3:3">
      <c r="C7597" s="160" t="str">
        <f t="shared" si="137"/>
        <v/>
      </c>
    </row>
    <row r="7598" spans="3:3">
      <c r="C7598" s="160" t="str">
        <f t="shared" si="137"/>
        <v/>
      </c>
    </row>
    <row r="7599" spans="3:3">
      <c r="C7599" s="160" t="str">
        <f t="shared" si="137"/>
        <v/>
      </c>
    </row>
    <row r="7600" spans="3:3">
      <c r="C7600" s="160" t="str">
        <f t="shared" si="137"/>
        <v/>
      </c>
    </row>
    <row r="7601" spans="3:3">
      <c r="C7601" s="160" t="str">
        <f t="shared" si="137"/>
        <v/>
      </c>
    </row>
    <row r="7602" spans="3:3">
      <c r="C7602" s="160" t="str">
        <f t="shared" si="137"/>
        <v/>
      </c>
    </row>
    <row r="7603" spans="3:3">
      <c r="C7603" s="160" t="str">
        <f t="shared" si="137"/>
        <v/>
      </c>
    </row>
    <row r="7604" spans="3:3">
      <c r="C7604" s="160" t="str">
        <f t="shared" si="137"/>
        <v/>
      </c>
    </row>
    <row r="7605" spans="3:3">
      <c r="C7605" s="160" t="str">
        <f t="shared" si="137"/>
        <v/>
      </c>
    </row>
    <row r="7606" spans="3:3">
      <c r="C7606" s="160" t="str">
        <f t="shared" si="137"/>
        <v/>
      </c>
    </row>
    <row r="7607" spans="3:3">
      <c r="C7607" s="160" t="str">
        <f t="shared" si="137"/>
        <v/>
      </c>
    </row>
    <row r="7608" spans="3:3">
      <c r="C7608" s="160" t="str">
        <f t="shared" si="137"/>
        <v/>
      </c>
    </row>
    <row r="7609" spans="3:3">
      <c r="C7609" s="160" t="str">
        <f t="shared" si="137"/>
        <v/>
      </c>
    </row>
    <row r="7610" spans="3:3">
      <c r="C7610" s="160" t="str">
        <f t="shared" si="137"/>
        <v/>
      </c>
    </row>
    <row r="7611" spans="3:3">
      <c r="C7611" s="160" t="str">
        <f t="shared" si="137"/>
        <v/>
      </c>
    </row>
    <row r="7612" spans="3:3">
      <c r="C7612" s="160" t="str">
        <f t="shared" si="137"/>
        <v/>
      </c>
    </row>
    <row r="7613" spans="3:3">
      <c r="C7613" s="160" t="str">
        <f t="shared" si="137"/>
        <v/>
      </c>
    </row>
    <row r="7614" spans="3:3">
      <c r="C7614" s="160" t="str">
        <f t="shared" si="137"/>
        <v/>
      </c>
    </row>
    <row r="7615" spans="3:3">
      <c r="C7615" s="160" t="str">
        <f t="shared" si="137"/>
        <v/>
      </c>
    </row>
    <row r="7616" spans="3:3">
      <c r="C7616" s="160" t="str">
        <f t="shared" si="137"/>
        <v/>
      </c>
    </row>
    <row r="7617" spans="3:3">
      <c r="C7617" s="160" t="str">
        <f t="shared" si="137"/>
        <v/>
      </c>
    </row>
    <row r="7618" spans="3:3">
      <c r="C7618" s="160" t="str">
        <f t="shared" si="137"/>
        <v/>
      </c>
    </row>
    <row r="7619" spans="3:3">
      <c r="C7619" s="160" t="str">
        <f t="shared" si="137"/>
        <v/>
      </c>
    </row>
    <row r="7620" spans="3:3">
      <c r="C7620" s="160" t="str">
        <f t="shared" si="137"/>
        <v/>
      </c>
    </row>
    <row r="7621" spans="3:3">
      <c r="C7621" s="160" t="str">
        <f t="shared" si="137"/>
        <v/>
      </c>
    </row>
    <row r="7622" spans="3:3">
      <c r="C7622" s="160" t="str">
        <f t="shared" si="137"/>
        <v/>
      </c>
    </row>
    <row r="7623" spans="3:3">
      <c r="C7623" s="160" t="str">
        <f t="shared" si="137"/>
        <v/>
      </c>
    </row>
    <row r="7624" spans="3:3">
      <c r="C7624" s="160" t="str">
        <f t="shared" si="137"/>
        <v/>
      </c>
    </row>
    <row r="7625" spans="3:3">
      <c r="C7625" s="160" t="str">
        <f t="shared" si="137"/>
        <v/>
      </c>
    </row>
    <row r="7626" spans="3:3">
      <c r="C7626" s="160" t="str">
        <f t="shared" si="137"/>
        <v/>
      </c>
    </row>
    <row r="7627" spans="3:3">
      <c r="C7627" s="160" t="str">
        <f t="shared" si="137"/>
        <v/>
      </c>
    </row>
    <row r="7628" spans="3:3">
      <c r="C7628" s="160" t="str">
        <f t="shared" si="137"/>
        <v/>
      </c>
    </row>
    <row r="7629" spans="3:3">
      <c r="C7629" s="160" t="str">
        <f t="shared" ref="C7629:C7692" si="138">D7629&amp;I7629</f>
        <v/>
      </c>
    </row>
    <row r="7630" spans="3:3">
      <c r="C7630" s="160" t="str">
        <f t="shared" si="138"/>
        <v/>
      </c>
    </row>
    <row r="7631" spans="3:3">
      <c r="C7631" s="160" t="str">
        <f t="shared" si="138"/>
        <v/>
      </c>
    </row>
    <row r="7632" spans="3:3">
      <c r="C7632" s="160" t="str">
        <f t="shared" si="138"/>
        <v/>
      </c>
    </row>
    <row r="7633" spans="3:3">
      <c r="C7633" s="160" t="str">
        <f t="shared" si="138"/>
        <v/>
      </c>
    </row>
    <row r="7634" spans="3:3">
      <c r="C7634" s="160" t="str">
        <f t="shared" si="138"/>
        <v/>
      </c>
    </row>
    <row r="7635" spans="3:3">
      <c r="C7635" s="160" t="str">
        <f t="shared" si="138"/>
        <v/>
      </c>
    </row>
    <row r="7636" spans="3:3">
      <c r="C7636" s="160" t="str">
        <f t="shared" si="138"/>
        <v/>
      </c>
    </row>
    <row r="7637" spans="3:3">
      <c r="C7637" s="160" t="str">
        <f t="shared" si="138"/>
        <v/>
      </c>
    </row>
    <row r="7638" spans="3:3">
      <c r="C7638" s="160" t="str">
        <f t="shared" si="138"/>
        <v/>
      </c>
    </row>
    <row r="7639" spans="3:3">
      <c r="C7639" s="160" t="str">
        <f t="shared" si="138"/>
        <v/>
      </c>
    </row>
    <row r="7640" spans="3:3">
      <c r="C7640" s="160" t="str">
        <f t="shared" si="138"/>
        <v/>
      </c>
    </row>
    <row r="7641" spans="3:3">
      <c r="C7641" s="160" t="str">
        <f t="shared" si="138"/>
        <v/>
      </c>
    </row>
    <row r="7642" spans="3:3">
      <c r="C7642" s="160" t="str">
        <f t="shared" si="138"/>
        <v/>
      </c>
    </row>
    <row r="7643" spans="3:3">
      <c r="C7643" s="160" t="str">
        <f t="shared" si="138"/>
        <v/>
      </c>
    </row>
    <row r="7644" spans="3:3">
      <c r="C7644" s="160" t="str">
        <f t="shared" si="138"/>
        <v/>
      </c>
    </row>
    <row r="7645" spans="3:3">
      <c r="C7645" s="160" t="str">
        <f t="shared" si="138"/>
        <v/>
      </c>
    </row>
    <row r="7646" spans="3:3">
      <c r="C7646" s="160" t="str">
        <f t="shared" si="138"/>
        <v/>
      </c>
    </row>
    <row r="7647" spans="3:3">
      <c r="C7647" s="160" t="str">
        <f t="shared" si="138"/>
        <v/>
      </c>
    </row>
    <row r="7648" spans="3:3">
      <c r="C7648" s="160" t="str">
        <f t="shared" si="138"/>
        <v/>
      </c>
    </row>
    <row r="7649" spans="3:3">
      <c r="C7649" s="160" t="str">
        <f t="shared" si="138"/>
        <v/>
      </c>
    </row>
    <row r="7650" spans="3:3">
      <c r="C7650" s="160" t="str">
        <f t="shared" si="138"/>
        <v/>
      </c>
    </row>
    <row r="7651" spans="3:3">
      <c r="C7651" s="160" t="str">
        <f t="shared" si="138"/>
        <v/>
      </c>
    </row>
    <row r="7652" spans="3:3">
      <c r="C7652" s="160" t="str">
        <f t="shared" si="138"/>
        <v/>
      </c>
    </row>
    <row r="7653" spans="3:3">
      <c r="C7653" s="160" t="str">
        <f t="shared" si="138"/>
        <v/>
      </c>
    </row>
    <row r="7654" spans="3:3">
      <c r="C7654" s="160" t="str">
        <f t="shared" si="138"/>
        <v/>
      </c>
    </row>
    <row r="7655" spans="3:3">
      <c r="C7655" s="160" t="str">
        <f t="shared" si="138"/>
        <v/>
      </c>
    </row>
    <row r="7656" spans="3:3">
      <c r="C7656" s="160" t="str">
        <f t="shared" si="138"/>
        <v/>
      </c>
    </row>
    <row r="7657" spans="3:3">
      <c r="C7657" s="160" t="str">
        <f t="shared" si="138"/>
        <v/>
      </c>
    </row>
    <row r="7658" spans="3:3">
      <c r="C7658" s="160" t="str">
        <f t="shared" si="138"/>
        <v/>
      </c>
    </row>
    <row r="7659" spans="3:3">
      <c r="C7659" s="160" t="str">
        <f t="shared" si="138"/>
        <v/>
      </c>
    </row>
    <row r="7660" spans="3:3">
      <c r="C7660" s="160" t="str">
        <f t="shared" si="138"/>
        <v/>
      </c>
    </row>
    <row r="7661" spans="3:3">
      <c r="C7661" s="160" t="str">
        <f t="shared" si="138"/>
        <v/>
      </c>
    </row>
    <row r="7662" spans="3:3">
      <c r="C7662" s="160" t="str">
        <f t="shared" si="138"/>
        <v/>
      </c>
    </row>
    <row r="7663" spans="3:3">
      <c r="C7663" s="160" t="str">
        <f t="shared" si="138"/>
        <v/>
      </c>
    </row>
    <row r="7664" spans="3:3">
      <c r="C7664" s="160" t="str">
        <f t="shared" si="138"/>
        <v/>
      </c>
    </row>
    <row r="7665" spans="3:3">
      <c r="C7665" s="160" t="str">
        <f t="shared" si="138"/>
        <v/>
      </c>
    </row>
    <row r="7666" spans="3:3">
      <c r="C7666" s="160" t="str">
        <f t="shared" si="138"/>
        <v/>
      </c>
    </row>
    <row r="7667" spans="3:3">
      <c r="C7667" s="160" t="str">
        <f t="shared" si="138"/>
        <v/>
      </c>
    </row>
    <row r="7668" spans="3:3">
      <c r="C7668" s="160" t="str">
        <f t="shared" si="138"/>
        <v/>
      </c>
    </row>
    <row r="7669" spans="3:3">
      <c r="C7669" s="160" t="str">
        <f t="shared" si="138"/>
        <v/>
      </c>
    </row>
    <row r="7670" spans="3:3">
      <c r="C7670" s="160" t="str">
        <f t="shared" si="138"/>
        <v/>
      </c>
    </row>
    <row r="7671" spans="3:3">
      <c r="C7671" s="160" t="str">
        <f t="shared" si="138"/>
        <v/>
      </c>
    </row>
    <row r="7672" spans="3:3">
      <c r="C7672" s="160" t="str">
        <f t="shared" si="138"/>
        <v/>
      </c>
    </row>
    <row r="7673" spans="3:3">
      <c r="C7673" s="160" t="str">
        <f t="shared" si="138"/>
        <v/>
      </c>
    </row>
    <row r="7674" spans="3:3">
      <c r="C7674" s="160" t="str">
        <f t="shared" si="138"/>
        <v/>
      </c>
    </row>
    <row r="7675" spans="3:3">
      <c r="C7675" s="160" t="str">
        <f t="shared" si="138"/>
        <v/>
      </c>
    </row>
    <row r="7676" spans="3:3">
      <c r="C7676" s="160" t="str">
        <f t="shared" si="138"/>
        <v/>
      </c>
    </row>
    <row r="7677" spans="3:3">
      <c r="C7677" s="160" t="str">
        <f t="shared" si="138"/>
        <v/>
      </c>
    </row>
    <row r="7678" spans="3:3">
      <c r="C7678" s="160" t="str">
        <f t="shared" si="138"/>
        <v/>
      </c>
    </row>
    <row r="7679" spans="3:3">
      <c r="C7679" s="160" t="str">
        <f t="shared" si="138"/>
        <v/>
      </c>
    </row>
    <row r="7680" spans="3:3">
      <c r="C7680" s="160" t="str">
        <f t="shared" si="138"/>
        <v/>
      </c>
    </row>
    <row r="7681" spans="3:3">
      <c r="C7681" s="160" t="str">
        <f t="shared" si="138"/>
        <v/>
      </c>
    </row>
    <row r="7682" spans="3:3">
      <c r="C7682" s="160" t="str">
        <f t="shared" si="138"/>
        <v/>
      </c>
    </row>
    <row r="7683" spans="3:3">
      <c r="C7683" s="160" t="str">
        <f t="shared" si="138"/>
        <v/>
      </c>
    </row>
    <row r="7684" spans="3:3">
      <c r="C7684" s="160" t="str">
        <f t="shared" si="138"/>
        <v/>
      </c>
    </row>
    <row r="7685" spans="3:3">
      <c r="C7685" s="160" t="str">
        <f t="shared" si="138"/>
        <v/>
      </c>
    </row>
    <row r="7686" spans="3:3">
      <c r="C7686" s="160" t="str">
        <f t="shared" si="138"/>
        <v/>
      </c>
    </row>
    <row r="7687" spans="3:3">
      <c r="C7687" s="160" t="str">
        <f t="shared" si="138"/>
        <v/>
      </c>
    </row>
    <row r="7688" spans="3:3">
      <c r="C7688" s="160" t="str">
        <f t="shared" si="138"/>
        <v/>
      </c>
    </row>
    <row r="7689" spans="3:3">
      <c r="C7689" s="160" t="str">
        <f t="shared" si="138"/>
        <v/>
      </c>
    </row>
    <row r="7690" spans="3:3">
      <c r="C7690" s="160" t="str">
        <f t="shared" si="138"/>
        <v/>
      </c>
    </row>
    <row r="7691" spans="3:3">
      <c r="C7691" s="160" t="str">
        <f t="shared" si="138"/>
        <v/>
      </c>
    </row>
    <row r="7692" spans="3:3">
      <c r="C7692" s="160" t="str">
        <f t="shared" si="138"/>
        <v/>
      </c>
    </row>
    <row r="7693" spans="3:3">
      <c r="C7693" s="160" t="str">
        <f t="shared" ref="C7693:C7756" si="139">D7693&amp;I7693</f>
        <v/>
      </c>
    </row>
    <row r="7694" spans="3:3">
      <c r="C7694" s="160" t="str">
        <f t="shared" si="139"/>
        <v/>
      </c>
    </row>
    <row r="7695" spans="3:3">
      <c r="C7695" s="160" t="str">
        <f t="shared" si="139"/>
        <v/>
      </c>
    </row>
    <row r="7696" spans="3:3">
      <c r="C7696" s="160" t="str">
        <f t="shared" si="139"/>
        <v/>
      </c>
    </row>
    <row r="7697" spans="3:3">
      <c r="C7697" s="160" t="str">
        <f t="shared" si="139"/>
        <v/>
      </c>
    </row>
    <row r="7698" spans="3:3">
      <c r="C7698" s="160" t="str">
        <f t="shared" si="139"/>
        <v/>
      </c>
    </row>
    <row r="7699" spans="3:3">
      <c r="C7699" s="160" t="str">
        <f t="shared" si="139"/>
        <v/>
      </c>
    </row>
    <row r="7700" spans="3:3">
      <c r="C7700" s="160" t="str">
        <f t="shared" si="139"/>
        <v/>
      </c>
    </row>
    <row r="7701" spans="3:3">
      <c r="C7701" s="160" t="str">
        <f t="shared" si="139"/>
        <v/>
      </c>
    </row>
    <row r="7702" spans="3:3">
      <c r="C7702" s="160" t="str">
        <f t="shared" si="139"/>
        <v/>
      </c>
    </row>
    <row r="7703" spans="3:3">
      <c r="C7703" s="160" t="str">
        <f t="shared" si="139"/>
        <v/>
      </c>
    </row>
    <row r="7704" spans="3:3">
      <c r="C7704" s="160" t="str">
        <f t="shared" si="139"/>
        <v/>
      </c>
    </row>
    <row r="7705" spans="3:3">
      <c r="C7705" s="160" t="str">
        <f t="shared" si="139"/>
        <v/>
      </c>
    </row>
    <row r="7706" spans="3:3">
      <c r="C7706" s="160" t="str">
        <f t="shared" si="139"/>
        <v/>
      </c>
    </row>
    <row r="7707" spans="3:3">
      <c r="C7707" s="160" t="str">
        <f t="shared" si="139"/>
        <v/>
      </c>
    </row>
    <row r="7708" spans="3:3">
      <c r="C7708" s="160" t="str">
        <f t="shared" si="139"/>
        <v/>
      </c>
    </row>
    <row r="7709" spans="3:3">
      <c r="C7709" s="160" t="str">
        <f t="shared" si="139"/>
        <v/>
      </c>
    </row>
    <row r="7710" spans="3:3">
      <c r="C7710" s="160" t="str">
        <f t="shared" si="139"/>
        <v/>
      </c>
    </row>
    <row r="7711" spans="3:3">
      <c r="C7711" s="160" t="str">
        <f t="shared" si="139"/>
        <v/>
      </c>
    </row>
    <row r="7712" spans="3:3">
      <c r="C7712" s="160" t="str">
        <f t="shared" si="139"/>
        <v/>
      </c>
    </row>
    <row r="7713" spans="3:3">
      <c r="C7713" s="160" t="str">
        <f t="shared" si="139"/>
        <v/>
      </c>
    </row>
    <row r="7714" spans="3:3">
      <c r="C7714" s="160" t="str">
        <f t="shared" si="139"/>
        <v/>
      </c>
    </row>
    <row r="7715" spans="3:3">
      <c r="C7715" s="160" t="str">
        <f t="shared" si="139"/>
        <v/>
      </c>
    </row>
    <row r="7716" spans="3:3">
      <c r="C7716" s="160" t="str">
        <f t="shared" si="139"/>
        <v/>
      </c>
    </row>
    <row r="7717" spans="3:3">
      <c r="C7717" s="160" t="str">
        <f t="shared" si="139"/>
        <v/>
      </c>
    </row>
    <row r="7718" spans="3:3">
      <c r="C7718" s="160" t="str">
        <f t="shared" si="139"/>
        <v/>
      </c>
    </row>
    <row r="7719" spans="3:3">
      <c r="C7719" s="160" t="str">
        <f t="shared" si="139"/>
        <v/>
      </c>
    </row>
    <row r="7720" spans="3:3">
      <c r="C7720" s="160" t="str">
        <f t="shared" si="139"/>
        <v/>
      </c>
    </row>
    <row r="7721" spans="3:3">
      <c r="C7721" s="160" t="str">
        <f t="shared" si="139"/>
        <v/>
      </c>
    </row>
    <row r="7722" spans="3:3">
      <c r="C7722" s="160" t="str">
        <f t="shared" si="139"/>
        <v/>
      </c>
    </row>
    <row r="7723" spans="3:3">
      <c r="C7723" s="160" t="str">
        <f t="shared" si="139"/>
        <v/>
      </c>
    </row>
    <row r="7724" spans="3:3">
      <c r="C7724" s="160" t="str">
        <f t="shared" si="139"/>
        <v/>
      </c>
    </row>
    <row r="7725" spans="3:3">
      <c r="C7725" s="160" t="str">
        <f t="shared" si="139"/>
        <v/>
      </c>
    </row>
    <row r="7726" spans="3:3">
      <c r="C7726" s="160" t="str">
        <f t="shared" si="139"/>
        <v/>
      </c>
    </row>
    <row r="7727" spans="3:3">
      <c r="C7727" s="160" t="str">
        <f t="shared" si="139"/>
        <v/>
      </c>
    </row>
    <row r="7728" spans="3:3">
      <c r="C7728" s="160" t="str">
        <f t="shared" si="139"/>
        <v/>
      </c>
    </row>
    <row r="7729" spans="3:3">
      <c r="C7729" s="160" t="str">
        <f t="shared" si="139"/>
        <v/>
      </c>
    </row>
    <row r="7730" spans="3:3">
      <c r="C7730" s="160" t="str">
        <f t="shared" si="139"/>
        <v/>
      </c>
    </row>
    <row r="7731" spans="3:3">
      <c r="C7731" s="160" t="str">
        <f t="shared" si="139"/>
        <v/>
      </c>
    </row>
    <row r="7732" spans="3:3">
      <c r="C7732" s="160" t="str">
        <f t="shared" si="139"/>
        <v/>
      </c>
    </row>
    <row r="7733" spans="3:3">
      <c r="C7733" s="160" t="str">
        <f t="shared" si="139"/>
        <v/>
      </c>
    </row>
    <row r="7734" spans="3:3">
      <c r="C7734" s="160" t="str">
        <f t="shared" si="139"/>
        <v/>
      </c>
    </row>
    <row r="7735" spans="3:3">
      <c r="C7735" s="160" t="str">
        <f t="shared" si="139"/>
        <v/>
      </c>
    </row>
    <row r="7736" spans="3:3">
      <c r="C7736" s="160" t="str">
        <f t="shared" si="139"/>
        <v/>
      </c>
    </row>
    <row r="7737" spans="3:3">
      <c r="C7737" s="160" t="str">
        <f t="shared" si="139"/>
        <v/>
      </c>
    </row>
    <row r="7738" spans="3:3">
      <c r="C7738" s="160" t="str">
        <f t="shared" si="139"/>
        <v/>
      </c>
    </row>
    <row r="7739" spans="3:3">
      <c r="C7739" s="160" t="str">
        <f t="shared" si="139"/>
        <v/>
      </c>
    </row>
    <row r="7740" spans="3:3">
      <c r="C7740" s="160" t="str">
        <f t="shared" si="139"/>
        <v/>
      </c>
    </row>
    <row r="7741" spans="3:3">
      <c r="C7741" s="160" t="str">
        <f t="shared" si="139"/>
        <v/>
      </c>
    </row>
    <row r="7742" spans="3:3">
      <c r="C7742" s="160" t="str">
        <f t="shared" si="139"/>
        <v/>
      </c>
    </row>
    <row r="7743" spans="3:3">
      <c r="C7743" s="160" t="str">
        <f t="shared" si="139"/>
        <v/>
      </c>
    </row>
    <row r="7744" spans="3:3">
      <c r="C7744" s="160" t="str">
        <f t="shared" si="139"/>
        <v/>
      </c>
    </row>
    <row r="7745" spans="3:3">
      <c r="C7745" s="160" t="str">
        <f t="shared" si="139"/>
        <v/>
      </c>
    </row>
    <row r="7746" spans="3:3">
      <c r="C7746" s="160" t="str">
        <f t="shared" si="139"/>
        <v/>
      </c>
    </row>
    <row r="7747" spans="3:3">
      <c r="C7747" s="160" t="str">
        <f t="shared" si="139"/>
        <v/>
      </c>
    </row>
    <row r="7748" spans="3:3">
      <c r="C7748" s="160" t="str">
        <f t="shared" si="139"/>
        <v/>
      </c>
    </row>
    <row r="7749" spans="3:3">
      <c r="C7749" s="160" t="str">
        <f t="shared" si="139"/>
        <v/>
      </c>
    </row>
    <row r="7750" spans="3:3">
      <c r="C7750" s="160" t="str">
        <f t="shared" si="139"/>
        <v/>
      </c>
    </row>
    <row r="7751" spans="3:3">
      <c r="C7751" s="160" t="str">
        <f t="shared" si="139"/>
        <v/>
      </c>
    </row>
    <row r="7752" spans="3:3">
      <c r="C7752" s="160" t="str">
        <f t="shared" si="139"/>
        <v/>
      </c>
    </row>
    <row r="7753" spans="3:3">
      <c r="C7753" s="160" t="str">
        <f t="shared" si="139"/>
        <v/>
      </c>
    </row>
    <row r="7754" spans="3:3">
      <c r="C7754" s="160" t="str">
        <f t="shared" si="139"/>
        <v/>
      </c>
    </row>
    <row r="7755" spans="3:3">
      <c r="C7755" s="160" t="str">
        <f t="shared" si="139"/>
        <v/>
      </c>
    </row>
    <row r="7756" spans="3:3">
      <c r="C7756" s="160" t="str">
        <f t="shared" si="139"/>
        <v/>
      </c>
    </row>
    <row r="7757" spans="3:3">
      <c r="C7757" s="160" t="str">
        <f t="shared" ref="C7757:C7820" si="140">D7757&amp;I7757</f>
        <v/>
      </c>
    </row>
    <row r="7758" spans="3:3">
      <c r="C7758" s="160" t="str">
        <f t="shared" si="140"/>
        <v/>
      </c>
    </row>
    <row r="7759" spans="3:3">
      <c r="C7759" s="160" t="str">
        <f t="shared" si="140"/>
        <v/>
      </c>
    </row>
    <row r="7760" spans="3:3">
      <c r="C7760" s="160" t="str">
        <f t="shared" si="140"/>
        <v/>
      </c>
    </row>
    <row r="7761" spans="3:3">
      <c r="C7761" s="160" t="str">
        <f t="shared" si="140"/>
        <v/>
      </c>
    </row>
    <row r="7762" spans="3:3">
      <c r="C7762" s="160" t="str">
        <f t="shared" si="140"/>
        <v/>
      </c>
    </row>
    <row r="7763" spans="3:3">
      <c r="C7763" s="160" t="str">
        <f t="shared" si="140"/>
        <v/>
      </c>
    </row>
    <row r="7764" spans="3:3">
      <c r="C7764" s="160" t="str">
        <f t="shared" si="140"/>
        <v/>
      </c>
    </row>
    <row r="7765" spans="3:3">
      <c r="C7765" s="160" t="str">
        <f t="shared" si="140"/>
        <v/>
      </c>
    </row>
    <row r="7766" spans="3:3">
      <c r="C7766" s="160" t="str">
        <f t="shared" si="140"/>
        <v/>
      </c>
    </row>
    <row r="7767" spans="3:3">
      <c r="C7767" s="160" t="str">
        <f t="shared" si="140"/>
        <v/>
      </c>
    </row>
    <row r="7768" spans="3:3">
      <c r="C7768" s="160" t="str">
        <f t="shared" si="140"/>
        <v/>
      </c>
    </row>
    <row r="7769" spans="3:3">
      <c r="C7769" s="160" t="str">
        <f t="shared" si="140"/>
        <v/>
      </c>
    </row>
    <row r="7770" spans="3:3">
      <c r="C7770" s="160" t="str">
        <f t="shared" si="140"/>
        <v/>
      </c>
    </row>
    <row r="7771" spans="3:3">
      <c r="C7771" s="160" t="str">
        <f t="shared" si="140"/>
        <v/>
      </c>
    </row>
    <row r="7772" spans="3:3">
      <c r="C7772" s="160" t="str">
        <f t="shared" si="140"/>
        <v/>
      </c>
    </row>
    <row r="7773" spans="3:3">
      <c r="C7773" s="160" t="str">
        <f t="shared" si="140"/>
        <v/>
      </c>
    </row>
    <row r="7774" spans="3:3">
      <c r="C7774" s="160" t="str">
        <f t="shared" si="140"/>
        <v/>
      </c>
    </row>
    <row r="7775" spans="3:3">
      <c r="C7775" s="160" t="str">
        <f t="shared" si="140"/>
        <v/>
      </c>
    </row>
    <row r="7776" spans="3:3">
      <c r="C7776" s="160" t="str">
        <f t="shared" si="140"/>
        <v/>
      </c>
    </row>
    <row r="7777" spans="3:3">
      <c r="C7777" s="160" t="str">
        <f t="shared" si="140"/>
        <v/>
      </c>
    </row>
    <row r="7778" spans="3:3">
      <c r="C7778" s="160" t="str">
        <f t="shared" si="140"/>
        <v/>
      </c>
    </row>
    <row r="7779" spans="3:3">
      <c r="C7779" s="160" t="str">
        <f t="shared" si="140"/>
        <v/>
      </c>
    </row>
    <row r="7780" spans="3:3">
      <c r="C7780" s="160" t="str">
        <f t="shared" si="140"/>
        <v/>
      </c>
    </row>
    <row r="7781" spans="3:3">
      <c r="C7781" s="160" t="str">
        <f t="shared" si="140"/>
        <v/>
      </c>
    </row>
    <row r="7782" spans="3:3">
      <c r="C7782" s="160" t="str">
        <f t="shared" si="140"/>
        <v/>
      </c>
    </row>
    <row r="7783" spans="3:3">
      <c r="C7783" s="160" t="str">
        <f t="shared" si="140"/>
        <v/>
      </c>
    </row>
    <row r="7784" spans="3:3">
      <c r="C7784" s="160" t="str">
        <f t="shared" si="140"/>
        <v/>
      </c>
    </row>
    <row r="7785" spans="3:3">
      <c r="C7785" s="160" t="str">
        <f t="shared" si="140"/>
        <v/>
      </c>
    </row>
    <row r="7786" spans="3:3">
      <c r="C7786" s="160" t="str">
        <f t="shared" si="140"/>
        <v/>
      </c>
    </row>
    <row r="7787" spans="3:3">
      <c r="C7787" s="160" t="str">
        <f t="shared" si="140"/>
        <v/>
      </c>
    </row>
    <row r="7788" spans="3:3">
      <c r="C7788" s="160" t="str">
        <f t="shared" si="140"/>
        <v/>
      </c>
    </row>
    <row r="7789" spans="3:3">
      <c r="C7789" s="160" t="str">
        <f t="shared" si="140"/>
        <v/>
      </c>
    </row>
    <row r="7790" spans="3:3">
      <c r="C7790" s="160" t="str">
        <f t="shared" si="140"/>
        <v/>
      </c>
    </row>
    <row r="7791" spans="3:3">
      <c r="C7791" s="160" t="str">
        <f t="shared" si="140"/>
        <v/>
      </c>
    </row>
    <row r="7792" spans="3:3">
      <c r="C7792" s="160" t="str">
        <f t="shared" si="140"/>
        <v/>
      </c>
    </row>
    <row r="7793" spans="3:3">
      <c r="C7793" s="160" t="str">
        <f t="shared" si="140"/>
        <v/>
      </c>
    </row>
    <row r="7794" spans="3:3">
      <c r="C7794" s="160" t="str">
        <f t="shared" si="140"/>
        <v/>
      </c>
    </row>
    <row r="7795" spans="3:3">
      <c r="C7795" s="160" t="str">
        <f t="shared" si="140"/>
        <v/>
      </c>
    </row>
    <row r="7796" spans="3:3">
      <c r="C7796" s="160" t="str">
        <f t="shared" si="140"/>
        <v/>
      </c>
    </row>
    <row r="7797" spans="3:3">
      <c r="C7797" s="160" t="str">
        <f t="shared" si="140"/>
        <v/>
      </c>
    </row>
    <row r="7798" spans="3:3">
      <c r="C7798" s="160" t="str">
        <f t="shared" si="140"/>
        <v/>
      </c>
    </row>
    <row r="7799" spans="3:3">
      <c r="C7799" s="160" t="str">
        <f t="shared" si="140"/>
        <v/>
      </c>
    </row>
    <row r="7800" spans="3:3">
      <c r="C7800" s="160" t="str">
        <f t="shared" si="140"/>
        <v/>
      </c>
    </row>
    <row r="7801" spans="3:3">
      <c r="C7801" s="160" t="str">
        <f t="shared" si="140"/>
        <v/>
      </c>
    </row>
    <row r="7802" spans="3:3">
      <c r="C7802" s="160" t="str">
        <f t="shared" si="140"/>
        <v/>
      </c>
    </row>
    <row r="7803" spans="3:3">
      <c r="C7803" s="160" t="str">
        <f t="shared" si="140"/>
        <v/>
      </c>
    </row>
    <row r="7804" spans="3:3">
      <c r="C7804" s="160" t="str">
        <f t="shared" si="140"/>
        <v/>
      </c>
    </row>
    <row r="7805" spans="3:3">
      <c r="C7805" s="160" t="str">
        <f t="shared" si="140"/>
        <v/>
      </c>
    </row>
    <row r="7806" spans="3:3">
      <c r="C7806" s="160" t="str">
        <f t="shared" si="140"/>
        <v/>
      </c>
    </row>
    <row r="7807" spans="3:3">
      <c r="C7807" s="160" t="str">
        <f t="shared" si="140"/>
        <v/>
      </c>
    </row>
    <row r="7808" spans="3:3">
      <c r="C7808" s="160" t="str">
        <f t="shared" si="140"/>
        <v/>
      </c>
    </row>
    <row r="7809" spans="3:3">
      <c r="C7809" s="160" t="str">
        <f t="shared" si="140"/>
        <v/>
      </c>
    </row>
    <row r="7810" spans="3:3">
      <c r="C7810" s="160" t="str">
        <f t="shared" si="140"/>
        <v/>
      </c>
    </row>
    <row r="7811" spans="3:3">
      <c r="C7811" s="160" t="str">
        <f t="shared" si="140"/>
        <v/>
      </c>
    </row>
    <row r="7812" spans="3:3">
      <c r="C7812" s="160" t="str">
        <f t="shared" si="140"/>
        <v/>
      </c>
    </row>
    <row r="7813" spans="3:3">
      <c r="C7813" s="160" t="str">
        <f t="shared" si="140"/>
        <v/>
      </c>
    </row>
    <row r="7814" spans="3:3">
      <c r="C7814" s="160" t="str">
        <f t="shared" si="140"/>
        <v/>
      </c>
    </row>
    <row r="7815" spans="3:3">
      <c r="C7815" s="160" t="str">
        <f t="shared" si="140"/>
        <v/>
      </c>
    </row>
    <row r="7816" spans="3:3">
      <c r="C7816" s="160" t="str">
        <f t="shared" si="140"/>
        <v/>
      </c>
    </row>
    <row r="7817" spans="3:3">
      <c r="C7817" s="160" t="str">
        <f t="shared" si="140"/>
        <v/>
      </c>
    </row>
    <row r="7818" spans="3:3">
      <c r="C7818" s="160" t="str">
        <f t="shared" si="140"/>
        <v/>
      </c>
    </row>
    <row r="7819" spans="3:3">
      <c r="C7819" s="160" t="str">
        <f t="shared" si="140"/>
        <v/>
      </c>
    </row>
    <row r="7820" spans="3:3">
      <c r="C7820" s="160" t="str">
        <f t="shared" si="140"/>
        <v/>
      </c>
    </row>
    <row r="7821" spans="3:3">
      <c r="C7821" s="160" t="str">
        <f t="shared" ref="C7821:C7884" si="141">D7821&amp;I7821</f>
        <v/>
      </c>
    </row>
    <row r="7822" spans="3:3">
      <c r="C7822" s="160" t="str">
        <f t="shared" si="141"/>
        <v/>
      </c>
    </row>
    <row r="7823" spans="3:3">
      <c r="C7823" s="160" t="str">
        <f t="shared" si="141"/>
        <v/>
      </c>
    </row>
    <row r="7824" spans="3:3">
      <c r="C7824" s="160" t="str">
        <f t="shared" si="141"/>
        <v/>
      </c>
    </row>
    <row r="7825" spans="3:3">
      <c r="C7825" s="160" t="str">
        <f t="shared" si="141"/>
        <v/>
      </c>
    </row>
    <row r="7826" spans="3:3">
      <c r="C7826" s="160" t="str">
        <f t="shared" si="141"/>
        <v/>
      </c>
    </row>
    <row r="7827" spans="3:3">
      <c r="C7827" s="160" t="str">
        <f t="shared" si="141"/>
        <v/>
      </c>
    </row>
    <row r="7828" spans="3:3">
      <c r="C7828" s="160" t="str">
        <f t="shared" si="141"/>
        <v/>
      </c>
    </row>
    <row r="7829" spans="3:3">
      <c r="C7829" s="160" t="str">
        <f t="shared" si="141"/>
        <v/>
      </c>
    </row>
    <row r="7830" spans="3:3">
      <c r="C7830" s="160" t="str">
        <f t="shared" si="141"/>
        <v/>
      </c>
    </row>
    <row r="7831" spans="3:3">
      <c r="C7831" s="160" t="str">
        <f t="shared" si="141"/>
        <v/>
      </c>
    </row>
    <row r="7832" spans="3:3">
      <c r="C7832" s="160" t="str">
        <f t="shared" si="141"/>
        <v/>
      </c>
    </row>
    <row r="7833" spans="3:3">
      <c r="C7833" s="160" t="str">
        <f t="shared" si="141"/>
        <v/>
      </c>
    </row>
    <row r="7834" spans="3:3">
      <c r="C7834" s="160" t="str">
        <f t="shared" si="141"/>
        <v/>
      </c>
    </row>
    <row r="7835" spans="3:3">
      <c r="C7835" s="160" t="str">
        <f t="shared" si="141"/>
        <v/>
      </c>
    </row>
    <row r="7836" spans="3:3">
      <c r="C7836" s="160" t="str">
        <f t="shared" si="141"/>
        <v/>
      </c>
    </row>
    <row r="7837" spans="3:3">
      <c r="C7837" s="160" t="str">
        <f t="shared" si="141"/>
        <v/>
      </c>
    </row>
    <row r="7838" spans="3:3">
      <c r="C7838" s="160" t="str">
        <f t="shared" si="141"/>
        <v/>
      </c>
    </row>
    <row r="7839" spans="3:3">
      <c r="C7839" s="160" t="str">
        <f t="shared" si="141"/>
        <v/>
      </c>
    </row>
    <row r="7840" spans="3:3">
      <c r="C7840" s="160" t="str">
        <f t="shared" si="141"/>
        <v/>
      </c>
    </row>
    <row r="7841" spans="3:3">
      <c r="C7841" s="160" t="str">
        <f t="shared" si="141"/>
        <v/>
      </c>
    </row>
    <row r="7842" spans="3:3">
      <c r="C7842" s="160" t="str">
        <f t="shared" si="141"/>
        <v/>
      </c>
    </row>
    <row r="7843" spans="3:3">
      <c r="C7843" s="160" t="str">
        <f t="shared" si="141"/>
        <v/>
      </c>
    </row>
    <row r="7844" spans="3:3">
      <c r="C7844" s="160" t="str">
        <f t="shared" si="141"/>
        <v/>
      </c>
    </row>
    <row r="7845" spans="3:3">
      <c r="C7845" s="160" t="str">
        <f t="shared" si="141"/>
        <v/>
      </c>
    </row>
    <row r="7846" spans="3:3">
      <c r="C7846" s="160" t="str">
        <f t="shared" si="141"/>
        <v/>
      </c>
    </row>
    <row r="7847" spans="3:3">
      <c r="C7847" s="160" t="str">
        <f t="shared" si="141"/>
        <v/>
      </c>
    </row>
    <row r="7848" spans="3:3">
      <c r="C7848" s="160" t="str">
        <f t="shared" si="141"/>
        <v/>
      </c>
    </row>
    <row r="7849" spans="3:3">
      <c r="C7849" s="160" t="str">
        <f t="shared" si="141"/>
        <v/>
      </c>
    </row>
    <row r="7850" spans="3:3">
      <c r="C7850" s="160" t="str">
        <f t="shared" si="141"/>
        <v/>
      </c>
    </row>
    <row r="7851" spans="3:3">
      <c r="C7851" s="160" t="str">
        <f t="shared" si="141"/>
        <v/>
      </c>
    </row>
    <row r="7852" spans="3:3">
      <c r="C7852" s="160" t="str">
        <f t="shared" si="141"/>
        <v/>
      </c>
    </row>
    <row r="7853" spans="3:3">
      <c r="C7853" s="160" t="str">
        <f t="shared" si="141"/>
        <v/>
      </c>
    </row>
    <row r="7854" spans="3:3">
      <c r="C7854" s="160" t="str">
        <f t="shared" si="141"/>
        <v/>
      </c>
    </row>
    <row r="7855" spans="3:3">
      <c r="C7855" s="160" t="str">
        <f t="shared" si="141"/>
        <v/>
      </c>
    </row>
    <row r="7856" spans="3:3">
      <c r="C7856" s="160" t="str">
        <f t="shared" si="141"/>
        <v/>
      </c>
    </row>
    <row r="7857" spans="3:3">
      <c r="C7857" s="160" t="str">
        <f t="shared" si="141"/>
        <v/>
      </c>
    </row>
    <row r="7858" spans="3:3">
      <c r="C7858" s="160" t="str">
        <f t="shared" si="141"/>
        <v/>
      </c>
    </row>
    <row r="7859" spans="3:3">
      <c r="C7859" s="160" t="str">
        <f t="shared" si="141"/>
        <v/>
      </c>
    </row>
    <row r="7860" spans="3:3">
      <c r="C7860" s="160" t="str">
        <f t="shared" si="141"/>
        <v/>
      </c>
    </row>
    <row r="7861" spans="3:3">
      <c r="C7861" s="160" t="str">
        <f t="shared" si="141"/>
        <v/>
      </c>
    </row>
    <row r="7862" spans="3:3">
      <c r="C7862" s="160" t="str">
        <f t="shared" si="141"/>
        <v/>
      </c>
    </row>
    <row r="7863" spans="3:3">
      <c r="C7863" s="160" t="str">
        <f t="shared" si="141"/>
        <v/>
      </c>
    </row>
    <row r="7864" spans="3:3">
      <c r="C7864" s="160" t="str">
        <f t="shared" si="141"/>
        <v/>
      </c>
    </row>
    <row r="7865" spans="3:3">
      <c r="C7865" s="160" t="str">
        <f t="shared" si="141"/>
        <v/>
      </c>
    </row>
    <row r="7866" spans="3:3">
      <c r="C7866" s="160" t="str">
        <f t="shared" si="141"/>
        <v/>
      </c>
    </row>
    <row r="7867" spans="3:3">
      <c r="C7867" s="160" t="str">
        <f t="shared" si="141"/>
        <v/>
      </c>
    </row>
    <row r="7868" spans="3:3">
      <c r="C7868" s="160" t="str">
        <f t="shared" si="141"/>
        <v/>
      </c>
    </row>
    <row r="7869" spans="3:3">
      <c r="C7869" s="160" t="str">
        <f t="shared" si="141"/>
        <v/>
      </c>
    </row>
    <row r="7870" spans="3:3">
      <c r="C7870" s="160" t="str">
        <f t="shared" si="141"/>
        <v/>
      </c>
    </row>
    <row r="7871" spans="3:3">
      <c r="C7871" s="160" t="str">
        <f t="shared" si="141"/>
        <v/>
      </c>
    </row>
    <row r="7872" spans="3:3">
      <c r="C7872" s="160" t="str">
        <f t="shared" si="141"/>
        <v/>
      </c>
    </row>
    <row r="7873" spans="3:3">
      <c r="C7873" s="160" t="str">
        <f t="shared" si="141"/>
        <v/>
      </c>
    </row>
    <row r="7874" spans="3:3">
      <c r="C7874" s="160" t="str">
        <f t="shared" si="141"/>
        <v/>
      </c>
    </row>
    <row r="7875" spans="3:3">
      <c r="C7875" s="160" t="str">
        <f t="shared" si="141"/>
        <v/>
      </c>
    </row>
    <row r="7876" spans="3:3">
      <c r="C7876" s="160" t="str">
        <f t="shared" si="141"/>
        <v/>
      </c>
    </row>
    <row r="7877" spans="3:3">
      <c r="C7877" s="160" t="str">
        <f t="shared" si="141"/>
        <v/>
      </c>
    </row>
    <row r="7878" spans="3:3">
      <c r="C7878" s="160" t="str">
        <f t="shared" si="141"/>
        <v/>
      </c>
    </row>
    <row r="7879" spans="3:3">
      <c r="C7879" s="160" t="str">
        <f t="shared" si="141"/>
        <v/>
      </c>
    </row>
    <row r="7880" spans="3:3">
      <c r="C7880" s="160" t="str">
        <f t="shared" si="141"/>
        <v/>
      </c>
    </row>
    <row r="7881" spans="3:3">
      <c r="C7881" s="160" t="str">
        <f t="shared" si="141"/>
        <v/>
      </c>
    </row>
    <row r="7882" spans="3:3">
      <c r="C7882" s="160" t="str">
        <f t="shared" si="141"/>
        <v/>
      </c>
    </row>
    <row r="7883" spans="3:3">
      <c r="C7883" s="160" t="str">
        <f t="shared" si="141"/>
        <v/>
      </c>
    </row>
    <row r="7884" spans="3:3">
      <c r="C7884" s="160" t="str">
        <f t="shared" si="141"/>
        <v/>
      </c>
    </row>
    <row r="7885" spans="3:3">
      <c r="C7885" s="160" t="str">
        <f t="shared" ref="C7885:C7948" si="142">D7885&amp;I7885</f>
        <v/>
      </c>
    </row>
    <row r="7886" spans="3:3">
      <c r="C7886" s="160" t="str">
        <f t="shared" si="142"/>
        <v/>
      </c>
    </row>
    <row r="7887" spans="3:3">
      <c r="C7887" s="160" t="str">
        <f t="shared" si="142"/>
        <v/>
      </c>
    </row>
    <row r="7888" spans="3:3">
      <c r="C7888" s="160" t="str">
        <f t="shared" si="142"/>
        <v/>
      </c>
    </row>
    <row r="7889" spans="3:3">
      <c r="C7889" s="160" t="str">
        <f t="shared" si="142"/>
        <v/>
      </c>
    </row>
    <row r="7890" spans="3:3">
      <c r="C7890" s="160" t="str">
        <f t="shared" si="142"/>
        <v/>
      </c>
    </row>
    <row r="7891" spans="3:3">
      <c r="C7891" s="160" t="str">
        <f t="shared" si="142"/>
        <v/>
      </c>
    </row>
    <row r="7892" spans="3:3">
      <c r="C7892" s="160" t="str">
        <f t="shared" si="142"/>
        <v/>
      </c>
    </row>
    <row r="7893" spans="3:3">
      <c r="C7893" s="160" t="str">
        <f t="shared" si="142"/>
        <v/>
      </c>
    </row>
    <row r="7894" spans="3:3">
      <c r="C7894" s="160" t="str">
        <f t="shared" si="142"/>
        <v/>
      </c>
    </row>
    <row r="7895" spans="3:3">
      <c r="C7895" s="160" t="str">
        <f t="shared" si="142"/>
        <v/>
      </c>
    </row>
    <row r="7896" spans="3:3">
      <c r="C7896" s="160" t="str">
        <f t="shared" si="142"/>
        <v/>
      </c>
    </row>
    <row r="7897" spans="3:3">
      <c r="C7897" s="160" t="str">
        <f t="shared" si="142"/>
        <v/>
      </c>
    </row>
    <row r="7898" spans="3:3">
      <c r="C7898" s="160" t="str">
        <f t="shared" si="142"/>
        <v/>
      </c>
    </row>
    <row r="7899" spans="3:3">
      <c r="C7899" s="160" t="str">
        <f t="shared" si="142"/>
        <v/>
      </c>
    </row>
    <row r="7900" spans="3:3">
      <c r="C7900" s="160" t="str">
        <f t="shared" si="142"/>
        <v/>
      </c>
    </row>
    <row r="7901" spans="3:3">
      <c r="C7901" s="160" t="str">
        <f t="shared" si="142"/>
        <v/>
      </c>
    </row>
    <row r="7902" spans="3:3">
      <c r="C7902" s="160" t="str">
        <f t="shared" si="142"/>
        <v/>
      </c>
    </row>
    <row r="7903" spans="3:3">
      <c r="C7903" s="160" t="str">
        <f t="shared" si="142"/>
        <v/>
      </c>
    </row>
    <row r="7904" spans="3:3">
      <c r="C7904" s="160" t="str">
        <f t="shared" si="142"/>
        <v/>
      </c>
    </row>
    <row r="7905" spans="3:3">
      <c r="C7905" s="160" t="str">
        <f t="shared" si="142"/>
        <v/>
      </c>
    </row>
    <row r="7906" spans="3:3">
      <c r="C7906" s="160" t="str">
        <f t="shared" si="142"/>
        <v/>
      </c>
    </row>
    <row r="7907" spans="3:3">
      <c r="C7907" s="160" t="str">
        <f t="shared" si="142"/>
        <v/>
      </c>
    </row>
    <row r="7908" spans="3:3">
      <c r="C7908" s="160" t="str">
        <f t="shared" si="142"/>
        <v/>
      </c>
    </row>
    <row r="7909" spans="3:3">
      <c r="C7909" s="160" t="str">
        <f t="shared" si="142"/>
        <v/>
      </c>
    </row>
    <row r="7910" spans="3:3">
      <c r="C7910" s="160" t="str">
        <f t="shared" si="142"/>
        <v/>
      </c>
    </row>
    <row r="7911" spans="3:3">
      <c r="C7911" s="160" t="str">
        <f t="shared" si="142"/>
        <v/>
      </c>
    </row>
    <row r="7912" spans="3:3">
      <c r="C7912" s="160" t="str">
        <f t="shared" si="142"/>
        <v/>
      </c>
    </row>
    <row r="7913" spans="3:3">
      <c r="C7913" s="160" t="str">
        <f t="shared" si="142"/>
        <v/>
      </c>
    </row>
    <row r="7914" spans="3:3">
      <c r="C7914" s="160" t="str">
        <f t="shared" si="142"/>
        <v/>
      </c>
    </row>
    <row r="7915" spans="3:3">
      <c r="C7915" s="160" t="str">
        <f t="shared" si="142"/>
        <v/>
      </c>
    </row>
    <row r="7916" spans="3:3">
      <c r="C7916" s="160" t="str">
        <f t="shared" si="142"/>
        <v/>
      </c>
    </row>
    <row r="7917" spans="3:3">
      <c r="C7917" s="160" t="str">
        <f t="shared" si="142"/>
        <v/>
      </c>
    </row>
    <row r="7918" spans="3:3">
      <c r="C7918" s="160" t="str">
        <f t="shared" si="142"/>
        <v/>
      </c>
    </row>
    <row r="7919" spans="3:3">
      <c r="C7919" s="160" t="str">
        <f t="shared" si="142"/>
        <v/>
      </c>
    </row>
    <row r="7920" spans="3:3">
      <c r="C7920" s="160" t="str">
        <f t="shared" si="142"/>
        <v/>
      </c>
    </row>
    <row r="7921" spans="3:3">
      <c r="C7921" s="160" t="str">
        <f t="shared" si="142"/>
        <v/>
      </c>
    </row>
    <row r="7922" spans="3:3">
      <c r="C7922" s="160" t="str">
        <f t="shared" si="142"/>
        <v/>
      </c>
    </row>
    <row r="7923" spans="3:3">
      <c r="C7923" s="160" t="str">
        <f t="shared" si="142"/>
        <v/>
      </c>
    </row>
    <row r="7924" spans="3:3">
      <c r="C7924" s="160" t="str">
        <f t="shared" si="142"/>
        <v/>
      </c>
    </row>
    <row r="7925" spans="3:3">
      <c r="C7925" s="160" t="str">
        <f t="shared" si="142"/>
        <v/>
      </c>
    </row>
    <row r="7926" spans="3:3">
      <c r="C7926" s="160" t="str">
        <f t="shared" si="142"/>
        <v/>
      </c>
    </row>
    <row r="7927" spans="3:3">
      <c r="C7927" s="160" t="str">
        <f t="shared" si="142"/>
        <v/>
      </c>
    </row>
    <row r="7928" spans="3:3">
      <c r="C7928" s="160" t="str">
        <f t="shared" si="142"/>
        <v/>
      </c>
    </row>
    <row r="7929" spans="3:3">
      <c r="C7929" s="160" t="str">
        <f t="shared" si="142"/>
        <v/>
      </c>
    </row>
    <row r="7930" spans="3:3">
      <c r="C7930" s="160" t="str">
        <f t="shared" si="142"/>
        <v/>
      </c>
    </row>
    <row r="7931" spans="3:3">
      <c r="C7931" s="160" t="str">
        <f t="shared" si="142"/>
        <v/>
      </c>
    </row>
    <row r="7932" spans="3:3">
      <c r="C7932" s="160" t="str">
        <f t="shared" si="142"/>
        <v/>
      </c>
    </row>
    <row r="7933" spans="3:3">
      <c r="C7933" s="160" t="str">
        <f t="shared" si="142"/>
        <v/>
      </c>
    </row>
    <row r="7934" spans="3:3">
      <c r="C7934" s="160" t="str">
        <f t="shared" si="142"/>
        <v/>
      </c>
    </row>
    <row r="7935" spans="3:3">
      <c r="C7935" s="160" t="str">
        <f t="shared" si="142"/>
        <v/>
      </c>
    </row>
    <row r="7936" spans="3:3">
      <c r="C7936" s="160" t="str">
        <f t="shared" si="142"/>
        <v/>
      </c>
    </row>
    <row r="7937" spans="3:3">
      <c r="C7937" s="160" t="str">
        <f t="shared" si="142"/>
        <v/>
      </c>
    </row>
    <row r="7938" spans="3:3">
      <c r="C7938" s="160" t="str">
        <f t="shared" si="142"/>
        <v/>
      </c>
    </row>
    <row r="7939" spans="3:3">
      <c r="C7939" s="160" t="str">
        <f t="shared" si="142"/>
        <v/>
      </c>
    </row>
    <row r="7940" spans="3:3">
      <c r="C7940" s="160" t="str">
        <f t="shared" si="142"/>
        <v/>
      </c>
    </row>
    <row r="7941" spans="3:3">
      <c r="C7941" s="160" t="str">
        <f t="shared" si="142"/>
        <v/>
      </c>
    </row>
    <row r="7942" spans="3:3">
      <c r="C7942" s="160" t="str">
        <f t="shared" si="142"/>
        <v/>
      </c>
    </row>
    <row r="7943" spans="3:3">
      <c r="C7943" s="160" t="str">
        <f t="shared" si="142"/>
        <v/>
      </c>
    </row>
    <row r="7944" spans="3:3">
      <c r="C7944" s="160" t="str">
        <f t="shared" si="142"/>
        <v/>
      </c>
    </row>
    <row r="7945" spans="3:3">
      <c r="C7945" s="160" t="str">
        <f t="shared" si="142"/>
        <v/>
      </c>
    </row>
    <row r="7946" spans="3:3">
      <c r="C7946" s="160" t="str">
        <f t="shared" si="142"/>
        <v/>
      </c>
    </row>
    <row r="7947" spans="3:3">
      <c r="C7947" s="160" t="str">
        <f t="shared" si="142"/>
        <v/>
      </c>
    </row>
    <row r="7948" spans="3:3">
      <c r="C7948" s="160" t="str">
        <f t="shared" si="142"/>
        <v/>
      </c>
    </row>
    <row r="7949" spans="3:3">
      <c r="C7949" s="160" t="str">
        <f t="shared" ref="C7949:C8012" si="143">D7949&amp;I7949</f>
        <v/>
      </c>
    </row>
    <row r="7950" spans="3:3">
      <c r="C7950" s="160" t="str">
        <f t="shared" si="143"/>
        <v/>
      </c>
    </row>
    <row r="7951" spans="3:3">
      <c r="C7951" s="160" t="str">
        <f t="shared" si="143"/>
        <v/>
      </c>
    </row>
    <row r="7952" spans="3:3">
      <c r="C7952" s="160" t="str">
        <f t="shared" si="143"/>
        <v/>
      </c>
    </row>
    <row r="7953" spans="3:3">
      <c r="C7953" s="160" t="str">
        <f t="shared" si="143"/>
        <v/>
      </c>
    </row>
    <row r="7954" spans="3:3">
      <c r="C7954" s="160" t="str">
        <f t="shared" si="143"/>
        <v/>
      </c>
    </row>
    <row r="7955" spans="3:3">
      <c r="C7955" s="160" t="str">
        <f t="shared" si="143"/>
        <v/>
      </c>
    </row>
    <row r="7956" spans="3:3">
      <c r="C7956" s="160" t="str">
        <f t="shared" si="143"/>
        <v/>
      </c>
    </row>
    <row r="7957" spans="3:3">
      <c r="C7957" s="160" t="str">
        <f t="shared" si="143"/>
        <v/>
      </c>
    </row>
    <row r="7958" spans="3:3">
      <c r="C7958" s="160" t="str">
        <f t="shared" si="143"/>
        <v/>
      </c>
    </row>
    <row r="7959" spans="3:3">
      <c r="C7959" s="160" t="str">
        <f t="shared" si="143"/>
        <v/>
      </c>
    </row>
    <row r="7960" spans="3:3">
      <c r="C7960" s="160" t="str">
        <f t="shared" si="143"/>
        <v/>
      </c>
    </row>
    <row r="7961" spans="3:3">
      <c r="C7961" s="160" t="str">
        <f t="shared" si="143"/>
        <v/>
      </c>
    </row>
    <row r="7962" spans="3:3">
      <c r="C7962" s="160" t="str">
        <f t="shared" si="143"/>
        <v/>
      </c>
    </row>
    <row r="7963" spans="3:3">
      <c r="C7963" s="160" t="str">
        <f t="shared" si="143"/>
        <v/>
      </c>
    </row>
    <row r="7964" spans="3:3">
      <c r="C7964" s="160" t="str">
        <f t="shared" si="143"/>
        <v/>
      </c>
    </row>
    <row r="7965" spans="3:3">
      <c r="C7965" s="160" t="str">
        <f t="shared" si="143"/>
        <v/>
      </c>
    </row>
    <row r="7966" spans="3:3">
      <c r="C7966" s="160" t="str">
        <f t="shared" si="143"/>
        <v/>
      </c>
    </row>
    <row r="7967" spans="3:3">
      <c r="C7967" s="160" t="str">
        <f t="shared" si="143"/>
        <v/>
      </c>
    </row>
    <row r="7968" spans="3:3">
      <c r="C7968" s="160" t="str">
        <f t="shared" si="143"/>
        <v/>
      </c>
    </row>
    <row r="7969" spans="3:3">
      <c r="C7969" s="160" t="str">
        <f t="shared" si="143"/>
        <v/>
      </c>
    </row>
    <row r="7970" spans="3:3">
      <c r="C7970" s="160" t="str">
        <f t="shared" si="143"/>
        <v/>
      </c>
    </row>
    <row r="7971" spans="3:3">
      <c r="C7971" s="160" t="str">
        <f t="shared" si="143"/>
        <v/>
      </c>
    </row>
    <row r="7972" spans="3:3">
      <c r="C7972" s="160" t="str">
        <f t="shared" si="143"/>
        <v/>
      </c>
    </row>
    <row r="7973" spans="3:3">
      <c r="C7973" s="160" t="str">
        <f t="shared" si="143"/>
        <v/>
      </c>
    </row>
    <row r="7974" spans="3:3">
      <c r="C7974" s="160" t="str">
        <f t="shared" si="143"/>
        <v/>
      </c>
    </row>
    <row r="7975" spans="3:3">
      <c r="C7975" s="160" t="str">
        <f t="shared" si="143"/>
        <v/>
      </c>
    </row>
    <row r="7976" spans="3:3">
      <c r="C7976" s="160" t="str">
        <f t="shared" si="143"/>
        <v/>
      </c>
    </row>
    <row r="7977" spans="3:3">
      <c r="C7977" s="160" t="str">
        <f t="shared" si="143"/>
        <v/>
      </c>
    </row>
    <row r="7978" spans="3:3">
      <c r="C7978" s="160" t="str">
        <f t="shared" si="143"/>
        <v/>
      </c>
    </row>
    <row r="7979" spans="3:3">
      <c r="C7979" s="160" t="str">
        <f t="shared" si="143"/>
        <v/>
      </c>
    </row>
    <row r="7980" spans="3:3">
      <c r="C7980" s="160" t="str">
        <f t="shared" si="143"/>
        <v/>
      </c>
    </row>
    <row r="7981" spans="3:3">
      <c r="C7981" s="160" t="str">
        <f t="shared" si="143"/>
        <v/>
      </c>
    </row>
    <row r="7982" spans="3:3">
      <c r="C7982" s="160" t="str">
        <f t="shared" si="143"/>
        <v/>
      </c>
    </row>
    <row r="7983" spans="3:3">
      <c r="C7983" s="160" t="str">
        <f t="shared" si="143"/>
        <v/>
      </c>
    </row>
    <row r="7984" spans="3:3">
      <c r="C7984" s="160" t="str">
        <f t="shared" si="143"/>
        <v/>
      </c>
    </row>
    <row r="7985" spans="3:3">
      <c r="C7985" s="160" t="str">
        <f t="shared" si="143"/>
        <v/>
      </c>
    </row>
    <row r="7986" spans="3:3">
      <c r="C7986" s="160" t="str">
        <f t="shared" si="143"/>
        <v/>
      </c>
    </row>
    <row r="7987" spans="3:3">
      <c r="C7987" s="160" t="str">
        <f t="shared" si="143"/>
        <v/>
      </c>
    </row>
    <row r="7988" spans="3:3">
      <c r="C7988" s="160" t="str">
        <f t="shared" si="143"/>
        <v/>
      </c>
    </row>
    <row r="7989" spans="3:3">
      <c r="C7989" s="160" t="str">
        <f t="shared" si="143"/>
        <v/>
      </c>
    </row>
    <row r="7990" spans="3:3">
      <c r="C7990" s="160" t="str">
        <f t="shared" si="143"/>
        <v/>
      </c>
    </row>
    <row r="7991" spans="3:3">
      <c r="C7991" s="160" t="str">
        <f t="shared" si="143"/>
        <v/>
      </c>
    </row>
    <row r="7992" spans="3:3">
      <c r="C7992" s="160" t="str">
        <f t="shared" si="143"/>
        <v/>
      </c>
    </row>
    <row r="7993" spans="3:3">
      <c r="C7993" s="160" t="str">
        <f t="shared" si="143"/>
        <v/>
      </c>
    </row>
    <row r="7994" spans="3:3">
      <c r="C7994" s="160" t="str">
        <f t="shared" si="143"/>
        <v/>
      </c>
    </row>
    <row r="7995" spans="3:3">
      <c r="C7995" s="160" t="str">
        <f t="shared" si="143"/>
        <v/>
      </c>
    </row>
    <row r="7996" spans="3:3">
      <c r="C7996" s="160" t="str">
        <f t="shared" si="143"/>
        <v/>
      </c>
    </row>
    <row r="7997" spans="3:3">
      <c r="C7997" s="160" t="str">
        <f t="shared" si="143"/>
        <v/>
      </c>
    </row>
    <row r="7998" spans="3:3">
      <c r="C7998" s="160" t="str">
        <f t="shared" si="143"/>
        <v/>
      </c>
    </row>
    <row r="7999" spans="3:3">
      <c r="C7999" s="160" t="str">
        <f t="shared" si="143"/>
        <v/>
      </c>
    </row>
    <row r="8000" spans="3:3">
      <c r="C8000" s="160" t="str">
        <f t="shared" si="143"/>
        <v/>
      </c>
    </row>
    <row r="8001" spans="3:3">
      <c r="C8001" s="160" t="str">
        <f t="shared" si="143"/>
        <v/>
      </c>
    </row>
    <row r="8002" spans="3:3">
      <c r="C8002" s="160" t="str">
        <f t="shared" si="143"/>
        <v/>
      </c>
    </row>
    <row r="8003" spans="3:3">
      <c r="C8003" s="160" t="str">
        <f t="shared" si="143"/>
        <v/>
      </c>
    </row>
    <row r="8004" spans="3:3">
      <c r="C8004" s="160" t="str">
        <f t="shared" si="143"/>
        <v/>
      </c>
    </row>
    <row r="8005" spans="3:3">
      <c r="C8005" s="160" t="str">
        <f t="shared" si="143"/>
        <v/>
      </c>
    </row>
    <row r="8006" spans="3:3">
      <c r="C8006" s="160" t="str">
        <f t="shared" si="143"/>
        <v/>
      </c>
    </row>
    <row r="8007" spans="3:3">
      <c r="C8007" s="160" t="str">
        <f t="shared" si="143"/>
        <v/>
      </c>
    </row>
    <row r="8008" spans="3:3">
      <c r="C8008" s="160" t="str">
        <f t="shared" si="143"/>
        <v/>
      </c>
    </row>
    <row r="8009" spans="3:3">
      <c r="C8009" s="160" t="str">
        <f t="shared" si="143"/>
        <v/>
      </c>
    </row>
    <row r="8010" spans="3:3">
      <c r="C8010" s="160" t="str">
        <f t="shared" si="143"/>
        <v/>
      </c>
    </row>
    <row r="8011" spans="3:3">
      <c r="C8011" s="160" t="str">
        <f t="shared" si="143"/>
        <v/>
      </c>
    </row>
    <row r="8012" spans="3:3">
      <c r="C8012" s="160" t="str">
        <f t="shared" si="143"/>
        <v/>
      </c>
    </row>
    <row r="8013" spans="3:3">
      <c r="C8013" s="160" t="str">
        <f t="shared" ref="C8013:C8076" si="144">D8013&amp;I8013</f>
        <v/>
      </c>
    </row>
    <row r="8014" spans="3:3">
      <c r="C8014" s="160" t="str">
        <f t="shared" si="144"/>
        <v/>
      </c>
    </row>
    <row r="8015" spans="3:3">
      <c r="C8015" s="160" t="str">
        <f t="shared" si="144"/>
        <v/>
      </c>
    </row>
    <row r="8016" spans="3:3">
      <c r="C8016" s="160" t="str">
        <f t="shared" si="144"/>
        <v/>
      </c>
    </row>
    <row r="8017" spans="3:3">
      <c r="C8017" s="160" t="str">
        <f t="shared" si="144"/>
        <v/>
      </c>
    </row>
    <row r="8018" spans="3:3">
      <c r="C8018" s="160" t="str">
        <f t="shared" si="144"/>
        <v/>
      </c>
    </row>
    <row r="8019" spans="3:3">
      <c r="C8019" s="160" t="str">
        <f t="shared" si="144"/>
        <v/>
      </c>
    </row>
    <row r="8020" spans="3:3">
      <c r="C8020" s="160" t="str">
        <f t="shared" si="144"/>
        <v/>
      </c>
    </row>
    <row r="8021" spans="3:3">
      <c r="C8021" s="160" t="str">
        <f t="shared" si="144"/>
        <v/>
      </c>
    </row>
    <row r="8022" spans="3:3">
      <c r="C8022" s="160" t="str">
        <f t="shared" si="144"/>
        <v/>
      </c>
    </row>
    <row r="8023" spans="3:3">
      <c r="C8023" s="160" t="str">
        <f t="shared" si="144"/>
        <v/>
      </c>
    </row>
    <row r="8024" spans="3:3">
      <c r="C8024" s="160" t="str">
        <f t="shared" si="144"/>
        <v/>
      </c>
    </row>
    <row r="8025" spans="3:3">
      <c r="C8025" s="160" t="str">
        <f t="shared" si="144"/>
        <v/>
      </c>
    </row>
    <row r="8026" spans="3:3">
      <c r="C8026" s="160" t="str">
        <f t="shared" si="144"/>
        <v/>
      </c>
    </row>
    <row r="8027" spans="3:3">
      <c r="C8027" s="160" t="str">
        <f t="shared" si="144"/>
        <v/>
      </c>
    </row>
    <row r="8028" spans="3:3">
      <c r="C8028" s="160" t="str">
        <f t="shared" si="144"/>
        <v/>
      </c>
    </row>
    <row r="8029" spans="3:3">
      <c r="C8029" s="160" t="str">
        <f t="shared" si="144"/>
        <v/>
      </c>
    </row>
    <row r="8030" spans="3:3">
      <c r="C8030" s="160" t="str">
        <f t="shared" si="144"/>
        <v/>
      </c>
    </row>
    <row r="8031" spans="3:3">
      <c r="C8031" s="160" t="str">
        <f t="shared" si="144"/>
        <v/>
      </c>
    </row>
    <row r="8032" spans="3:3">
      <c r="C8032" s="160" t="str">
        <f t="shared" si="144"/>
        <v/>
      </c>
    </row>
    <row r="8033" spans="3:3">
      <c r="C8033" s="160" t="str">
        <f t="shared" si="144"/>
        <v/>
      </c>
    </row>
    <row r="8034" spans="3:3">
      <c r="C8034" s="160" t="str">
        <f t="shared" si="144"/>
        <v/>
      </c>
    </row>
    <row r="8035" spans="3:3">
      <c r="C8035" s="160" t="str">
        <f t="shared" si="144"/>
        <v/>
      </c>
    </row>
    <row r="8036" spans="3:3">
      <c r="C8036" s="160" t="str">
        <f t="shared" si="144"/>
        <v/>
      </c>
    </row>
    <row r="8037" spans="3:3">
      <c r="C8037" s="160" t="str">
        <f t="shared" si="144"/>
        <v/>
      </c>
    </row>
    <row r="8038" spans="3:3">
      <c r="C8038" s="160" t="str">
        <f t="shared" si="144"/>
        <v/>
      </c>
    </row>
    <row r="8039" spans="3:3">
      <c r="C8039" s="160" t="str">
        <f t="shared" si="144"/>
        <v/>
      </c>
    </row>
    <row r="8040" spans="3:3">
      <c r="C8040" s="160" t="str">
        <f t="shared" si="144"/>
        <v/>
      </c>
    </row>
    <row r="8041" spans="3:3">
      <c r="C8041" s="160" t="str">
        <f t="shared" si="144"/>
        <v/>
      </c>
    </row>
    <row r="8042" spans="3:3">
      <c r="C8042" s="160" t="str">
        <f t="shared" si="144"/>
        <v/>
      </c>
    </row>
    <row r="8043" spans="3:3">
      <c r="C8043" s="160" t="str">
        <f t="shared" si="144"/>
        <v/>
      </c>
    </row>
    <row r="8044" spans="3:3">
      <c r="C8044" s="160" t="str">
        <f t="shared" si="144"/>
        <v/>
      </c>
    </row>
    <row r="8045" spans="3:3">
      <c r="C8045" s="160" t="str">
        <f t="shared" si="144"/>
        <v/>
      </c>
    </row>
    <row r="8046" spans="3:3">
      <c r="C8046" s="160" t="str">
        <f t="shared" si="144"/>
        <v/>
      </c>
    </row>
    <row r="8047" spans="3:3">
      <c r="C8047" s="160" t="str">
        <f t="shared" si="144"/>
        <v/>
      </c>
    </row>
    <row r="8048" spans="3:3">
      <c r="C8048" s="160" t="str">
        <f t="shared" si="144"/>
        <v/>
      </c>
    </row>
    <row r="8049" spans="3:3">
      <c r="C8049" s="160" t="str">
        <f t="shared" si="144"/>
        <v/>
      </c>
    </row>
    <row r="8050" spans="3:3">
      <c r="C8050" s="160" t="str">
        <f t="shared" si="144"/>
        <v/>
      </c>
    </row>
    <row r="8051" spans="3:3">
      <c r="C8051" s="160" t="str">
        <f t="shared" si="144"/>
        <v/>
      </c>
    </row>
    <row r="8052" spans="3:3">
      <c r="C8052" s="160" t="str">
        <f t="shared" si="144"/>
        <v/>
      </c>
    </row>
    <row r="8053" spans="3:3">
      <c r="C8053" s="160" t="str">
        <f t="shared" si="144"/>
        <v/>
      </c>
    </row>
    <row r="8054" spans="3:3">
      <c r="C8054" s="160" t="str">
        <f t="shared" si="144"/>
        <v/>
      </c>
    </row>
    <row r="8055" spans="3:3">
      <c r="C8055" s="160" t="str">
        <f t="shared" si="144"/>
        <v/>
      </c>
    </row>
    <row r="8056" spans="3:3">
      <c r="C8056" s="160" t="str">
        <f t="shared" si="144"/>
        <v/>
      </c>
    </row>
    <row r="8057" spans="3:3">
      <c r="C8057" s="160" t="str">
        <f t="shared" si="144"/>
        <v/>
      </c>
    </row>
    <row r="8058" spans="3:3">
      <c r="C8058" s="160" t="str">
        <f t="shared" si="144"/>
        <v/>
      </c>
    </row>
    <row r="8059" spans="3:3">
      <c r="C8059" s="160" t="str">
        <f t="shared" si="144"/>
        <v/>
      </c>
    </row>
    <row r="8060" spans="3:3">
      <c r="C8060" s="160" t="str">
        <f t="shared" si="144"/>
        <v/>
      </c>
    </row>
    <row r="8061" spans="3:3">
      <c r="C8061" s="160" t="str">
        <f t="shared" si="144"/>
        <v/>
      </c>
    </row>
    <row r="8062" spans="3:3">
      <c r="C8062" s="160" t="str">
        <f t="shared" si="144"/>
        <v/>
      </c>
    </row>
    <row r="8063" spans="3:3">
      <c r="C8063" s="160" t="str">
        <f t="shared" si="144"/>
        <v/>
      </c>
    </row>
    <row r="8064" spans="3:3">
      <c r="C8064" s="160" t="str">
        <f t="shared" si="144"/>
        <v/>
      </c>
    </row>
    <row r="8065" spans="3:3">
      <c r="C8065" s="160" t="str">
        <f t="shared" si="144"/>
        <v/>
      </c>
    </row>
    <row r="8066" spans="3:3">
      <c r="C8066" s="160" t="str">
        <f t="shared" si="144"/>
        <v/>
      </c>
    </row>
    <row r="8067" spans="3:3">
      <c r="C8067" s="160" t="str">
        <f t="shared" si="144"/>
        <v/>
      </c>
    </row>
    <row r="8068" spans="3:3">
      <c r="C8068" s="160" t="str">
        <f t="shared" si="144"/>
        <v/>
      </c>
    </row>
    <row r="8069" spans="3:3">
      <c r="C8069" s="160" t="str">
        <f t="shared" si="144"/>
        <v/>
      </c>
    </row>
    <row r="8070" spans="3:3">
      <c r="C8070" s="160" t="str">
        <f t="shared" si="144"/>
        <v/>
      </c>
    </row>
    <row r="8071" spans="3:3">
      <c r="C8071" s="160" t="str">
        <f t="shared" si="144"/>
        <v/>
      </c>
    </row>
    <row r="8072" spans="3:3">
      <c r="C8072" s="160" t="str">
        <f t="shared" si="144"/>
        <v/>
      </c>
    </row>
    <row r="8073" spans="3:3">
      <c r="C8073" s="160" t="str">
        <f t="shared" si="144"/>
        <v/>
      </c>
    </row>
    <row r="8074" spans="3:3">
      <c r="C8074" s="160" t="str">
        <f t="shared" si="144"/>
        <v/>
      </c>
    </row>
    <row r="8075" spans="3:3">
      <c r="C8075" s="160" t="str">
        <f t="shared" si="144"/>
        <v/>
      </c>
    </row>
    <row r="8076" spans="3:3">
      <c r="C8076" s="160" t="str">
        <f t="shared" si="144"/>
        <v/>
      </c>
    </row>
    <row r="8077" spans="3:3">
      <c r="C8077" s="160" t="str">
        <f t="shared" ref="C8077:C8140" si="145">D8077&amp;I8077</f>
        <v/>
      </c>
    </row>
    <row r="8078" spans="3:3">
      <c r="C8078" s="160" t="str">
        <f t="shared" si="145"/>
        <v/>
      </c>
    </row>
    <row r="8079" spans="3:3">
      <c r="C8079" s="160" t="str">
        <f t="shared" si="145"/>
        <v/>
      </c>
    </row>
    <row r="8080" spans="3:3">
      <c r="C8080" s="160" t="str">
        <f t="shared" si="145"/>
        <v/>
      </c>
    </row>
    <row r="8081" spans="3:3">
      <c r="C8081" s="160" t="str">
        <f t="shared" si="145"/>
        <v/>
      </c>
    </row>
    <row r="8082" spans="3:3">
      <c r="C8082" s="160" t="str">
        <f t="shared" si="145"/>
        <v/>
      </c>
    </row>
    <row r="8083" spans="3:3">
      <c r="C8083" s="160" t="str">
        <f t="shared" si="145"/>
        <v/>
      </c>
    </row>
    <row r="8084" spans="3:3">
      <c r="C8084" s="160" t="str">
        <f t="shared" si="145"/>
        <v/>
      </c>
    </row>
    <row r="8085" spans="3:3">
      <c r="C8085" s="160" t="str">
        <f t="shared" si="145"/>
        <v/>
      </c>
    </row>
    <row r="8086" spans="3:3">
      <c r="C8086" s="160" t="str">
        <f t="shared" si="145"/>
        <v/>
      </c>
    </row>
    <row r="8087" spans="3:3">
      <c r="C8087" s="160" t="str">
        <f t="shared" si="145"/>
        <v/>
      </c>
    </row>
    <row r="8088" spans="3:3">
      <c r="C8088" s="160" t="str">
        <f t="shared" si="145"/>
        <v/>
      </c>
    </row>
    <row r="8089" spans="3:3">
      <c r="C8089" s="160" t="str">
        <f t="shared" si="145"/>
        <v/>
      </c>
    </row>
    <row r="8090" spans="3:3">
      <c r="C8090" s="160" t="str">
        <f t="shared" si="145"/>
        <v/>
      </c>
    </row>
    <row r="8091" spans="3:3">
      <c r="C8091" s="160" t="str">
        <f t="shared" si="145"/>
        <v/>
      </c>
    </row>
    <row r="8092" spans="3:3">
      <c r="C8092" s="160" t="str">
        <f t="shared" si="145"/>
        <v/>
      </c>
    </row>
    <row r="8093" spans="3:3">
      <c r="C8093" s="160" t="str">
        <f t="shared" si="145"/>
        <v/>
      </c>
    </row>
    <row r="8094" spans="3:3">
      <c r="C8094" s="160" t="str">
        <f t="shared" si="145"/>
        <v/>
      </c>
    </row>
    <row r="8095" spans="3:3">
      <c r="C8095" s="160" t="str">
        <f t="shared" si="145"/>
        <v/>
      </c>
    </row>
    <row r="8096" spans="3:3">
      <c r="C8096" s="160" t="str">
        <f t="shared" si="145"/>
        <v/>
      </c>
    </row>
    <row r="8097" spans="3:3">
      <c r="C8097" s="160" t="str">
        <f t="shared" si="145"/>
        <v/>
      </c>
    </row>
    <row r="8098" spans="3:3">
      <c r="C8098" s="160" t="str">
        <f t="shared" si="145"/>
        <v/>
      </c>
    </row>
    <row r="8099" spans="3:3">
      <c r="C8099" s="160" t="str">
        <f t="shared" si="145"/>
        <v/>
      </c>
    </row>
    <row r="8100" spans="3:3">
      <c r="C8100" s="160" t="str">
        <f t="shared" si="145"/>
        <v/>
      </c>
    </row>
    <row r="8101" spans="3:3">
      <c r="C8101" s="160" t="str">
        <f t="shared" si="145"/>
        <v/>
      </c>
    </row>
    <row r="8102" spans="3:3">
      <c r="C8102" s="160" t="str">
        <f t="shared" si="145"/>
        <v/>
      </c>
    </row>
    <row r="8103" spans="3:3">
      <c r="C8103" s="160" t="str">
        <f t="shared" si="145"/>
        <v/>
      </c>
    </row>
    <row r="8104" spans="3:3">
      <c r="C8104" s="160" t="str">
        <f t="shared" si="145"/>
        <v/>
      </c>
    </row>
    <row r="8105" spans="3:3">
      <c r="C8105" s="160" t="str">
        <f t="shared" si="145"/>
        <v/>
      </c>
    </row>
    <row r="8106" spans="3:3">
      <c r="C8106" s="160" t="str">
        <f t="shared" si="145"/>
        <v/>
      </c>
    </row>
    <row r="8107" spans="3:3">
      <c r="C8107" s="160" t="str">
        <f t="shared" si="145"/>
        <v/>
      </c>
    </row>
    <row r="8108" spans="3:3">
      <c r="C8108" s="160" t="str">
        <f t="shared" si="145"/>
        <v/>
      </c>
    </row>
    <row r="8109" spans="3:3">
      <c r="C8109" s="160" t="str">
        <f t="shared" si="145"/>
        <v/>
      </c>
    </row>
    <row r="8110" spans="3:3">
      <c r="C8110" s="160" t="str">
        <f t="shared" si="145"/>
        <v/>
      </c>
    </row>
    <row r="8111" spans="3:3">
      <c r="C8111" s="160" t="str">
        <f t="shared" si="145"/>
        <v/>
      </c>
    </row>
    <row r="8112" spans="3:3">
      <c r="C8112" s="160" t="str">
        <f t="shared" si="145"/>
        <v/>
      </c>
    </row>
    <row r="8113" spans="3:3">
      <c r="C8113" s="160" t="str">
        <f t="shared" si="145"/>
        <v/>
      </c>
    </row>
    <row r="8114" spans="3:3">
      <c r="C8114" s="160" t="str">
        <f t="shared" si="145"/>
        <v/>
      </c>
    </row>
    <row r="8115" spans="3:3">
      <c r="C8115" s="160" t="str">
        <f t="shared" si="145"/>
        <v/>
      </c>
    </row>
    <row r="8116" spans="3:3">
      <c r="C8116" s="160" t="str">
        <f t="shared" si="145"/>
        <v/>
      </c>
    </row>
    <row r="8117" spans="3:3">
      <c r="C8117" s="160" t="str">
        <f t="shared" si="145"/>
        <v/>
      </c>
    </row>
    <row r="8118" spans="3:3">
      <c r="C8118" s="160" t="str">
        <f t="shared" si="145"/>
        <v/>
      </c>
    </row>
    <row r="8119" spans="3:3">
      <c r="C8119" s="160" t="str">
        <f t="shared" si="145"/>
        <v/>
      </c>
    </row>
    <row r="8120" spans="3:3">
      <c r="C8120" s="160" t="str">
        <f t="shared" si="145"/>
        <v/>
      </c>
    </row>
    <row r="8121" spans="3:3">
      <c r="C8121" s="160" t="str">
        <f t="shared" si="145"/>
        <v/>
      </c>
    </row>
    <row r="8122" spans="3:3">
      <c r="C8122" s="160" t="str">
        <f t="shared" si="145"/>
        <v/>
      </c>
    </row>
    <row r="8123" spans="3:3">
      <c r="C8123" s="160" t="str">
        <f t="shared" si="145"/>
        <v/>
      </c>
    </row>
    <row r="8124" spans="3:3">
      <c r="C8124" s="160" t="str">
        <f t="shared" si="145"/>
        <v/>
      </c>
    </row>
    <row r="8125" spans="3:3">
      <c r="C8125" s="160" t="str">
        <f t="shared" si="145"/>
        <v/>
      </c>
    </row>
    <row r="8126" spans="3:3">
      <c r="C8126" s="160" t="str">
        <f t="shared" si="145"/>
        <v/>
      </c>
    </row>
    <row r="8127" spans="3:3">
      <c r="C8127" s="160" t="str">
        <f t="shared" si="145"/>
        <v/>
      </c>
    </row>
    <row r="8128" spans="3:3">
      <c r="C8128" s="160" t="str">
        <f t="shared" si="145"/>
        <v/>
      </c>
    </row>
    <row r="8129" spans="3:3">
      <c r="C8129" s="160" t="str">
        <f t="shared" si="145"/>
        <v/>
      </c>
    </row>
    <row r="8130" spans="3:3">
      <c r="C8130" s="160" t="str">
        <f t="shared" si="145"/>
        <v/>
      </c>
    </row>
    <row r="8131" spans="3:3">
      <c r="C8131" s="160" t="str">
        <f t="shared" si="145"/>
        <v/>
      </c>
    </row>
    <row r="8132" spans="3:3">
      <c r="C8132" s="160" t="str">
        <f t="shared" si="145"/>
        <v/>
      </c>
    </row>
    <row r="8133" spans="3:3">
      <c r="C8133" s="160" t="str">
        <f t="shared" si="145"/>
        <v/>
      </c>
    </row>
    <row r="8134" spans="3:3">
      <c r="C8134" s="160" t="str">
        <f t="shared" si="145"/>
        <v/>
      </c>
    </row>
    <row r="8135" spans="3:3">
      <c r="C8135" s="160" t="str">
        <f t="shared" si="145"/>
        <v/>
      </c>
    </row>
    <row r="8136" spans="3:3">
      <c r="C8136" s="160" t="str">
        <f t="shared" si="145"/>
        <v/>
      </c>
    </row>
    <row r="8137" spans="3:3">
      <c r="C8137" s="160" t="str">
        <f t="shared" si="145"/>
        <v/>
      </c>
    </row>
    <row r="8138" spans="3:3">
      <c r="C8138" s="160" t="str">
        <f t="shared" si="145"/>
        <v/>
      </c>
    </row>
    <row r="8139" spans="3:3">
      <c r="C8139" s="160" t="str">
        <f t="shared" si="145"/>
        <v/>
      </c>
    </row>
    <row r="8140" spans="3:3">
      <c r="C8140" s="160" t="str">
        <f t="shared" si="145"/>
        <v/>
      </c>
    </row>
    <row r="8141" spans="3:3">
      <c r="C8141" s="160" t="str">
        <f t="shared" ref="C8141:C8204" si="146">D8141&amp;I8141</f>
        <v/>
      </c>
    </row>
    <row r="8142" spans="3:3">
      <c r="C8142" s="160" t="str">
        <f t="shared" si="146"/>
        <v/>
      </c>
    </row>
    <row r="8143" spans="3:3">
      <c r="C8143" s="160" t="str">
        <f t="shared" si="146"/>
        <v/>
      </c>
    </row>
    <row r="8144" spans="3:3">
      <c r="C8144" s="160" t="str">
        <f t="shared" si="146"/>
        <v/>
      </c>
    </row>
    <row r="8145" spans="3:3">
      <c r="C8145" s="160" t="str">
        <f t="shared" si="146"/>
        <v/>
      </c>
    </row>
    <row r="8146" spans="3:3">
      <c r="C8146" s="160" t="str">
        <f t="shared" si="146"/>
        <v/>
      </c>
    </row>
    <row r="8147" spans="3:3">
      <c r="C8147" s="160" t="str">
        <f t="shared" si="146"/>
        <v/>
      </c>
    </row>
    <row r="8148" spans="3:3">
      <c r="C8148" s="160" t="str">
        <f t="shared" si="146"/>
        <v/>
      </c>
    </row>
    <row r="8149" spans="3:3">
      <c r="C8149" s="160" t="str">
        <f t="shared" si="146"/>
        <v/>
      </c>
    </row>
    <row r="8150" spans="3:3">
      <c r="C8150" s="160" t="str">
        <f t="shared" si="146"/>
        <v/>
      </c>
    </row>
    <row r="8151" spans="3:3">
      <c r="C8151" s="160" t="str">
        <f t="shared" si="146"/>
        <v/>
      </c>
    </row>
    <row r="8152" spans="3:3">
      <c r="C8152" s="160" t="str">
        <f t="shared" si="146"/>
        <v/>
      </c>
    </row>
    <row r="8153" spans="3:3">
      <c r="C8153" s="160" t="str">
        <f t="shared" si="146"/>
        <v/>
      </c>
    </row>
    <row r="8154" spans="3:3">
      <c r="C8154" s="160" t="str">
        <f t="shared" si="146"/>
        <v/>
      </c>
    </row>
    <row r="8155" spans="3:3">
      <c r="C8155" s="160" t="str">
        <f t="shared" si="146"/>
        <v/>
      </c>
    </row>
    <row r="8156" spans="3:3">
      <c r="C8156" s="160" t="str">
        <f t="shared" si="146"/>
        <v/>
      </c>
    </row>
    <row r="8157" spans="3:3">
      <c r="C8157" s="160" t="str">
        <f t="shared" si="146"/>
        <v/>
      </c>
    </row>
    <row r="8158" spans="3:3">
      <c r="C8158" s="160" t="str">
        <f t="shared" si="146"/>
        <v/>
      </c>
    </row>
    <row r="8159" spans="3:3">
      <c r="C8159" s="160" t="str">
        <f t="shared" si="146"/>
        <v/>
      </c>
    </row>
    <row r="8160" spans="3:3">
      <c r="C8160" s="160" t="str">
        <f t="shared" si="146"/>
        <v/>
      </c>
    </row>
    <row r="8161" spans="3:3">
      <c r="C8161" s="160" t="str">
        <f t="shared" si="146"/>
        <v/>
      </c>
    </row>
    <row r="8162" spans="3:3">
      <c r="C8162" s="160" t="str">
        <f t="shared" si="146"/>
        <v/>
      </c>
    </row>
    <row r="8163" spans="3:3">
      <c r="C8163" s="160" t="str">
        <f t="shared" si="146"/>
        <v/>
      </c>
    </row>
    <row r="8164" spans="3:3">
      <c r="C8164" s="160" t="str">
        <f t="shared" si="146"/>
        <v/>
      </c>
    </row>
    <row r="8165" spans="3:3">
      <c r="C8165" s="160" t="str">
        <f t="shared" si="146"/>
        <v/>
      </c>
    </row>
    <row r="8166" spans="3:3">
      <c r="C8166" s="160" t="str">
        <f t="shared" si="146"/>
        <v/>
      </c>
    </row>
    <row r="8167" spans="3:3">
      <c r="C8167" s="160" t="str">
        <f t="shared" si="146"/>
        <v/>
      </c>
    </row>
    <row r="8168" spans="3:3">
      <c r="C8168" s="160" t="str">
        <f t="shared" si="146"/>
        <v/>
      </c>
    </row>
    <row r="8169" spans="3:3">
      <c r="C8169" s="160" t="str">
        <f t="shared" si="146"/>
        <v/>
      </c>
    </row>
    <row r="8170" spans="3:3">
      <c r="C8170" s="160" t="str">
        <f t="shared" si="146"/>
        <v/>
      </c>
    </row>
    <row r="8171" spans="3:3">
      <c r="C8171" s="160" t="str">
        <f t="shared" si="146"/>
        <v/>
      </c>
    </row>
    <row r="8172" spans="3:3">
      <c r="C8172" s="160" t="str">
        <f t="shared" si="146"/>
        <v/>
      </c>
    </row>
    <row r="8173" spans="3:3">
      <c r="C8173" s="160" t="str">
        <f t="shared" si="146"/>
        <v/>
      </c>
    </row>
    <row r="8174" spans="3:3">
      <c r="C8174" s="160" t="str">
        <f t="shared" si="146"/>
        <v/>
      </c>
    </row>
    <row r="8175" spans="3:3">
      <c r="C8175" s="160" t="str">
        <f t="shared" si="146"/>
        <v/>
      </c>
    </row>
    <row r="8176" spans="3:3">
      <c r="C8176" s="160" t="str">
        <f t="shared" si="146"/>
        <v/>
      </c>
    </row>
    <row r="8177" spans="3:3">
      <c r="C8177" s="160" t="str">
        <f t="shared" si="146"/>
        <v/>
      </c>
    </row>
    <row r="8178" spans="3:3">
      <c r="C8178" s="160" t="str">
        <f t="shared" si="146"/>
        <v/>
      </c>
    </row>
    <row r="8179" spans="3:3">
      <c r="C8179" s="160" t="str">
        <f t="shared" si="146"/>
        <v/>
      </c>
    </row>
    <row r="8180" spans="3:3">
      <c r="C8180" s="160" t="str">
        <f t="shared" si="146"/>
        <v/>
      </c>
    </row>
    <row r="8181" spans="3:3">
      <c r="C8181" s="160" t="str">
        <f t="shared" si="146"/>
        <v/>
      </c>
    </row>
    <row r="8182" spans="3:3">
      <c r="C8182" s="160" t="str">
        <f t="shared" si="146"/>
        <v/>
      </c>
    </row>
    <row r="8183" spans="3:3">
      <c r="C8183" s="160" t="str">
        <f t="shared" si="146"/>
        <v/>
      </c>
    </row>
    <row r="8184" spans="3:3">
      <c r="C8184" s="160" t="str">
        <f t="shared" si="146"/>
        <v/>
      </c>
    </row>
    <row r="8185" spans="3:3">
      <c r="C8185" s="160" t="str">
        <f t="shared" si="146"/>
        <v/>
      </c>
    </row>
    <row r="8186" spans="3:3">
      <c r="C8186" s="160" t="str">
        <f t="shared" si="146"/>
        <v/>
      </c>
    </row>
    <row r="8187" spans="3:3">
      <c r="C8187" s="160" t="str">
        <f t="shared" si="146"/>
        <v/>
      </c>
    </row>
    <row r="8188" spans="3:3">
      <c r="C8188" s="160" t="str">
        <f t="shared" si="146"/>
        <v/>
      </c>
    </row>
    <row r="8189" spans="3:3">
      <c r="C8189" s="160" t="str">
        <f t="shared" si="146"/>
        <v/>
      </c>
    </row>
    <row r="8190" spans="3:3">
      <c r="C8190" s="160" t="str">
        <f t="shared" si="146"/>
        <v/>
      </c>
    </row>
    <row r="8191" spans="3:3">
      <c r="C8191" s="160" t="str">
        <f t="shared" si="146"/>
        <v/>
      </c>
    </row>
    <row r="8192" spans="3:3">
      <c r="C8192" s="160" t="str">
        <f t="shared" si="146"/>
        <v/>
      </c>
    </row>
    <row r="8193" spans="3:3">
      <c r="C8193" s="160" t="str">
        <f t="shared" si="146"/>
        <v/>
      </c>
    </row>
    <row r="8194" spans="3:3">
      <c r="C8194" s="160" t="str">
        <f t="shared" si="146"/>
        <v/>
      </c>
    </row>
    <row r="8195" spans="3:3">
      <c r="C8195" s="160" t="str">
        <f t="shared" si="146"/>
        <v/>
      </c>
    </row>
    <row r="8196" spans="3:3">
      <c r="C8196" s="160" t="str">
        <f t="shared" si="146"/>
        <v/>
      </c>
    </row>
    <row r="8197" spans="3:3">
      <c r="C8197" s="160" t="str">
        <f t="shared" si="146"/>
        <v/>
      </c>
    </row>
    <row r="8198" spans="3:3">
      <c r="C8198" s="160" t="str">
        <f t="shared" si="146"/>
        <v/>
      </c>
    </row>
    <row r="8199" spans="3:3">
      <c r="C8199" s="160" t="str">
        <f t="shared" si="146"/>
        <v/>
      </c>
    </row>
    <row r="8200" spans="3:3">
      <c r="C8200" s="160" t="str">
        <f t="shared" si="146"/>
        <v/>
      </c>
    </row>
    <row r="8201" spans="3:3">
      <c r="C8201" s="160" t="str">
        <f t="shared" si="146"/>
        <v/>
      </c>
    </row>
    <row r="8202" spans="3:3">
      <c r="C8202" s="160" t="str">
        <f t="shared" si="146"/>
        <v/>
      </c>
    </row>
    <row r="8203" spans="3:3">
      <c r="C8203" s="160" t="str">
        <f t="shared" si="146"/>
        <v/>
      </c>
    </row>
    <row r="8204" spans="3:3">
      <c r="C8204" s="160" t="str">
        <f t="shared" si="146"/>
        <v/>
      </c>
    </row>
    <row r="8205" spans="3:3">
      <c r="C8205" s="160" t="str">
        <f t="shared" ref="C8205:C8268" si="147">D8205&amp;I8205</f>
        <v/>
      </c>
    </row>
    <row r="8206" spans="3:3">
      <c r="C8206" s="160" t="str">
        <f t="shared" si="147"/>
        <v/>
      </c>
    </row>
    <row r="8207" spans="3:3">
      <c r="C8207" s="160" t="str">
        <f t="shared" si="147"/>
        <v/>
      </c>
    </row>
    <row r="8208" spans="3:3">
      <c r="C8208" s="160" t="str">
        <f t="shared" si="147"/>
        <v/>
      </c>
    </row>
    <row r="8209" spans="3:3">
      <c r="C8209" s="160" t="str">
        <f t="shared" si="147"/>
        <v/>
      </c>
    </row>
    <row r="8210" spans="3:3">
      <c r="C8210" s="160" t="str">
        <f t="shared" si="147"/>
        <v/>
      </c>
    </row>
    <row r="8211" spans="3:3">
      <c r="C8211" s="160" t="str">
        <f t="shared" si="147"/>
        <v/>
      </c>
    </row>
    <row r="8212" spans="3:3">
      <c r="C8212" s="160" t="str">
        <f t="shared" si="147"/>
        <v/>
      </c>
    </row>
    <row r="8213" spans="3:3">
      <c r="C8213" s="160" t="str">
        <f t="shared" si="147"/>
        <v/>
      </c>
    </row>
    <row r="8214" spans="3:3">
      <c r="C8214" s="160" t="str">
        <f t="shared" si="147"/>
        <v/>
      </c>
    </row>
    <row r="8215" spans="3:3">
      <c r="C8215" s="160" t="str">
        <f t="shared" si="147"/>
        <v/>
      </c>
    </row>
    <row r="8216" spans="3:3">
      <c r="C8216" s="160" t="str">
        <f t="shared" si="147"/>
        <v/>
      </c>
    </row>
    <row r="8217" spans="3:3">
      <c r="C8217" s="160" t="str">
        <f t="shared" si="147"/>
        <v/>
      </c>
    </row>
    <row r="8218" spans="3:3">
      <c r="C8218" s="160" t="str">
        <f t="shared" si="147"/>
        <v/>
      </c>
    </row>
    <row r="8219" spans="3:3">
      <c r="C8219" s="160" t="str">
        <f t="shared" si="147"/>
        <v/>
      </c>
    </row>
    <row r="8220" spans="3:3">
      <c r="C8220" s="160" t="str">
        <f t="shared" si="147"/>
        <v/>
      </c>
    </row>
    <row r="8221" spans="3:3">
      <c r="C8221" s="160" t="str">
        <f t="shared" si="147"/>
        <v/>
      </c>
    </row>
    <row r="8222" spans="3:3">
      <c r="C8222" s="160" t="str">
        <f t="shared" si="147"/>
        <v/>
      </c>
    </row>
    <row r="8223" spans="3:3">
      <c r="C8223" s="160" t="str">
        <f t="shared" si="147"/>
        <v/>
      </c>
    </row>
    <row r="8224" spans="3:3">
      <c r="C8224" s="160" t="str">
        <f t="shared" si="147"/>
        <v/>
      </c>
    </row>
    <row r="8225" spans="3:3">
      <c r="C8225" s="160" t="str">
        <f t="shared" si="147"/>
        <v/>
      </c>
    </row>
    <row r="8226" spans="3:3">
      <c r="C8226" s="160" t="str">
        <f t="shared" si="147"/>
        <v/>
      </c>
    </row>
    <row r="8227" spans="3:3">
      <c r="C8227" s="160" t="str">
        <f t="shared" si="147"/>
        <v/>
      </c>
    </row>
    <row r="8228" spans="3:3">
      <c r="C8228" s="160" t="str">
        <f t="shared" si="147"/>
        <v/>
      </c>
    </row>
    <row r="8229" spans="3:3">
      <c r="C8229" s="160" t="str">
        <f t="shared" si="147"/>
        <v/>
      </c>
    </row>
    <row r="8230" spans="3:3">
      <c r="C8230" s="160" t="str">
        <f t="shared" si="147"/>
        <v/>
      </c>
    </row>
    <row r="8231" spans="3:3">
      <c r="C8231" s="160" t="str">
        <f t="shared" si="147"/>
        <v/>
      </c>
    </row>
    <row r="8232" spans="3:3">
      <c r="C8232" s="160" t="str">
        <f t="shared" si="147"/>
        <v/>
      </c>
    </row>
    <row r="8233" spans="3:3">
      <c r="C8233" s="160" t="str">
        <f t="shared" si="147"/>
        <v/>
      </c>
    </row>
    <row r="8234" spans="3:3">
      <c r="C8234" s="160" t="str">
        <f t="shared" si="147"/>
        <v/>
      </c>
    </row>
    <row r="8235" spans="3:3">
      <c r="C8235" s="160" t="str">
        <f t="shared" si="147"/>
        <v/>
      </c>
    </row>
    <row r="8236" spans="3:3">
      <c r="C8236" s="160" t="str">
        <f t="shared" si="147"/>
        <v/>
      </c>
    </row>
    <row r="8237" spans="3:3">
      <c r="C8237" s="160" t="str">
        <f t="shared" si="147"/>
        <v/>
      </c>
    </row>
    <row r="8238" spans="3:3">
      <c r="C8238" s="160" t="str">
        <f t="shared" si="147"/>
        <v/>
      </c>
    </row>
    <row r="8239" spans="3:3">
      <c r="C8239" s="160" t="str">
        <f t="shared" si="147"/>
        <v/>
      </c>
    </row>
    <row r="8240" spans="3:3">
      <c r="C8240" s="160" t="str">
        <f t="shared" si="147"/>
        <v/>
      </c>
    </row>
    <row r="8241" spans="3:3">
      <c r="C8241" s="160" t="str">
        <f t="shared" si="147"/>
        <v/>
      </c>
    </row>
    <row r="8242" spans="3:3">
      <c r="C8242" s="160" t="str">
        <f t="shared" si="147"/>
        <v/>
      </c>
    </row>
    <row r="8243" spans="3:3">
      <c r="C8243" s="160" t="str">
        <f t="shared" si="147"/>
        <v/>
      </c>
    </row>
    <row r="8244" spans="3:3">
      <c r="C8244" s="160" t="str">
        <f t="shared" si="147"/>
        <v/>
      </c>
    </row>
    <row r="8245" spans="3:3">
      <c r="C8245" s="160" t="str">
        <f t="shared" si="147"/>
        <v/>
      </c>
    </row>
    <row r="8246" spans="3:3">
      <c r="C8246" s="160" t="str">
        <f t="shared" si="147"/>
        <v/>
      </c>
    </row>
    <row r="8247" spans="3:3">
      <c r="C8247" s="160" t="str">
        <f t="shared" si="147"/>
        <v/>
      </c>
    </row>
    <row r="8248" spans="3:3">
      <c r="C8248" s="160" t="str">
        <f t="shared" si="147"/>
        <v/>
      </c>
    </row>
    <row r="8249" spans="3:3">
      <c r="C8249" s="160" t="str">
        <f t="shared" si="147"/>
        <v/>
      </c>
    </row>
    <row r="8250" spans="3:3">
      <c r="C8250" s="160" t="str">
        <f t="shared" si="147"/>
        <v/>
      </c>
    </row>
    <row r="8251" spans="3:3">
      <c r="C8251" s="160" t="str">
        <f t="shared" si="147"/>
        <v/>
      </c>
    </row>
    <row r="8252" spans="3:3">
      <c r="C8252" s="160" t="str">
        <f t="shared" si="147"/>
        <v/>
      </c>
    </row>
    <row r="8253" spans="3:3">
      <c r="C8253" s="160" t="str">
        <f t="shared" si="147"/>
        <v/>
      </c>
    </row>
    <row r="8254" spans="3:3">
      <c r="C8254" s="160" t="str">
        <f t="shared" si="147"/>
        <v/>
      </c>
    </row>
    <row r="8255" spans="3:3">
      <c r="C8255" s="160" t="str">
        <f t="shared" si="147"/>
        <v/>
      </c>
    </row>
    <row r="8256" spans="3:3">
      <c r="C8256" s="160" t="str">
        <f t="shared" si="147"/>
        <v/>
      </c>
    </row>
    <row r="8257" spans="3:3">
      <c r="C8257" s="160" t="str">
        <f t="shared" si="147"/>
        <v/>
      </c>
    </row>
    <row r="8258" spans="3:3">
      <c r="C8258" s="160" t="str">
        <f t="shared" si="147"/>
        <v/>
      </c>
    </row>
    <row r="8259" spans="3:3">
      <c r="C8259" s="160" t="str">
        <f t="shared" si="147"/>
        <v/>
      </c>
    </row>
    <row r="8260" spans="3:3">
      <c r="C8260" s="160" t="str">
        <f t="shared" si="147"/>
        <v/>
      </c>
    </row>
    <row r="8261" spans="3:3">
      <c r="C8261" s="160" t="str">
        <f t="shared" si="147"/>
        <v/>
      </c>
    </row>
    <row r="8262" spans="3:3">
      <c r="C8262" s="160" t="str">
        <f t="shared" si="147"/>
        <v/>
      </c>
    </row>
    <row r="8263" spans="3:3">
      <c r="C8263" s="160" t="str">
        <f t="shared" si="147"/>
        <v/>
      </c>
    </row>
    <row r="8264" spans="3:3">
      <c r="C8264" s="160" t="str">
        <f t="shared" si="147"/>
        <v/>
      </c>
    </row>
    <row r="8265" spans="3:3">
      <c r="C8265" s="160" t="str">
        <f t="shared" si="147"/>
        <v/>
      </c>
    </row>
    <row r="8266" spans="3:3">
      <c r="C8266" s="160" t="str">
        <f t="shared" si="147"/>
        <v/>
      </c>
    </row>
    <row r="8267" spans="3:3">
      <c r="C8267" s="160" t="str">
        <f t="shared" si="147"/>
        <v/>
      </c>
    </row>
    <row r="8268" spans="3:3">
      <c r="C8268" s="160" t="str">
        <f t="shared" si="147"/>
        <v/>
      </c>
    </row>
    <row r="8269" spans="3:3">
      <c r="C8269" s="160" t="str">
        <f t="shared" ref="C8269:C8332" si="148">D8269&amp;I8269</f>
        <v/>
      </c>
    </row>
    <row r="8270" spans="3:3">
      <c r="C8270" s="160" t="str">
        <f t="shared" si="148"/>
        <v/>
      </c>
    </row>
    <row r="8271" spans="3:3">
      <c r="C8271" s="160" t="str">
        <f t="shared" si="148"/>
        <v/>
      </c>
    </row>
    <row r="8272" spans="3:3">
      <c r="C8272" s="160" t="str">
        <f t="shared" si="148"/>
        <v/>
      </c>
    </row>
    <row r="8273" spans="3:3">
      <c r="C8273" s="160" t="str">
        <f t="shared" si="148"/>
        <v/>
      </c>
    </row>
    <row r="8274" spans="3:3">
      <c r="C8274" s="160" t="str">
        <f t="shared" si="148"/>
        <v/>
      </c>
    </row>
    <row r="8275" spans="3:3">
      <c r="C8275" s="160" t="str">
        <f t="shared" si="148"/>
        <v/>
      </c>
    </row>
    <row r="8276" spans="3:3">
      <c r="C8276" s="160" t="str">
        <f t="shared" si="148"/>
        <v/>
      </c>
    </row>
    <row r="8277" spans="3:3">
      <c r="C8277" s="160" t="str">
        <f t="shared" si="148"/>
        <v/>
      </c>
    </row>
    <row r="8278" spans="3:3">
      <c r="C8278" s="160" t="str">
        <f t="shared" si="148"/>
        <v/>
      </c>
    </row>
    <row r="8279" spans="3:3">
      <c r="C8279" s="160" t="str">
        <f t="shared" si="148"/>
        <v/>
      </c>
    </row>
    <row r="8280" spans="3:3">
      <c r="C8280" s="160" t="str">
        <f t="shared" si="148"/>
        <v/>
      </c>
    </row>
    <row r="8281" spans="3:3">
      <c r="C8281" s="160" t="str">
        <f t="shared" si="148"/>
        <v/>
      </c>
    </row>
    <row r="8282" spans="3:3">
      <c r="C8282" s="160" t="str">
        <f t="shared" si="148"/>
        <v/>
      </c>
    </row>
    <row r="8283" spans="3:3">
      <c r="C8283" s="160" t="str">
        <f t="shared" si="148"/>
        <v/>
      </c>
    </row>
    <row r="8284" spans="3:3">
      <c r="C8284" s="160" t="str">
        <f t="shared" si="148"/>
        <v/>
      </c>
    </row>
    <row r="8285" spans="3:3">
      <c r="C8285" s="160" t="str">
        <f t="shared" si="148"/>
        <v/>
      </c>
    </row>
    <row r="8286" spans="3:3">
      <c r="C8286" s="160" t="str">
        <f t="shared" si="148"/>
        <v/>
      </c>
    </row>
    <row r="8287" spans="3:3">
      <c r="C8287" s="160" t="str">
        <f t="shared" si="148"/>
        <v/>
      </c>
    </row>
    <row r="8288" spans="3:3">
      <c r="C8288" s="160" t="str">
        <f t="shared" si="148"/>
        <v/>
      </c>
    </row>
    <row r="8289" spans="3:3">
      <c r="C8289" s="160" t="str">
        <f t="shared" si="148"/>
        <v/>
      </c>
    </row>
    <row r="8290" spans="3:3">
      <c r="C8290" s="160" t="str">
        <f t="shared" si="148"/>
        <v/>
      </c>
    </row>
    <row r="8291" spans="3:3">
      <c r="C8291" s="160" t="str">
        <f t="shared" si="148"/>
        <v/>
      </c>
    </row>
    <row r="8292" spans="3:3">
      <c r="C8292" s="160" t="str">
        <f t="shared" si="148"/>
        <v/>
      </c>
    </row>
    <row r="8293" spans="3:3">
      <c r="C8293" s="160" t="str">
        <f t="shared" si="148"/>
        <v/>
      </c>
    </row>
    <row r="8294" spans="3:3">
      <c r="C8294" s="160" t="str">
        <f t="shared" si="148"/>
        <v/>
      </c>
    </row>
    <row r="8295" spans="3:3">
      <c r="C8295" s="160" t="str">
        <f t="shared" si="148"/>
        <v/>
      </c>
    </row>
    <row r="8296" spans="3:3">
      <c r="C8296" s="160" t="str">
        <f t="shared" si="148"/>
        <v/>
      </c>
    </row>
    <row r="8297" spans="3:3">
      <c r="C8297" s="160" t="str">
        <f t="shared" si="148"/>
        <v/>
      </c>
    </row>
    <row r="8298" spans="3:3">
      <c r="C8298" s="160" t="str">
        <f t="shared" si="148"/>
        <v/>
      </c>
    </row>
    <row r="8299" spans="3:3">
      <c r="C8299" s="160" t="str">
        <f t="shared" si="148"/>
        <v/>
      </c>
    </row>
    <row r="8300" spans="3:3">
      <c r="C8300" s="160" t="str">
        <f t="shared" si="148"/>
        <v/>
      </c>
    </row>
    <row r="8301" spans="3:3">
      <c r="C8301" s="160" t="str">
        <f t="shared" si="148"/>
        <v/>
      </c>
    </row>
    <row r="8302" spans="3:3">
      <c r="C8302" s="160" t="str">
        <f t="shared" si="148"/>
        <v/>
      </c>
    </row>
    <row r="8303" spans="3:3">
      <c r="C8303" s="160" t="str">
        <f t="shared" si="148"/>
        <v/>
      </c>
    </row>
    <row r="8304" spans="3:3">
      <c r="C8304" s="160" t="str">
        <f t="shared" si="148"/>
        <v/>
      </c>
    </row>
    <row r="8305" spans="3:3">
      <c r="C8305" s="160" t="str">
        <f t="shared" si="148"/>
        <v/>
      </c>
    </row>
    <row r="8306" spans="3:3">
      <c r="C8306" s="160" t="str">
        <f t="shared" si="148"/>
        <v/>
      </c>
    </row>
    <row r="8307" spans="3:3">
      <c r="C8307" s="160" t="str">
        <f t="shared" si="148"/>
        <v/>
      </c>
    </row>
    <row r="8308" spans="3:3">
      <c r="C8308" s="160" t="str">
        <f t="shared" si="148"/>
        <v/>
      </c>
    </row>
    <row r="8309" spans="3:3">
      <c r="C8309" s="160" t="str">
        <f t="shared" si="148"/>
        <v/>
      </c>
    </row>
    <row r="8310" spans="3:3">
      <c r="C8310" s="160" t="str">
        <f t="shared" si="148"/>
        <v/>
      </c>
    </row>
    <row r="8311" spans="3:3">
      <c r="C8311" s="160" t="str">
        <f t="shared" si="148"/>
        <v/>
      </c>
    </row>
    <row r="8312" spans="3:3">
      <c r="C8312" s="160" t="str">
        <f t="shared" si="148"/>
        <v/>
      </c>
    </row>
    <row r="8313" spans="3:3">
      <c r="C8313" s="160" t="str">
        <f t="shared" si="148"/>
        <v/>
      </c>
    </row>
    <row r="8314" spans="3:3">
      <c r="C8314" s="160" t="str">
        <f t="shared" si="148"/>
        <v/>
      </c>
    </row>
    <row r="8315" spans="3:3">
      <c r="C8315" s="160" t="str">
        <f t="shared" si="148"/>
        <v/>
      </c>
    </row>
    <row r="8316" spans="3:3">
      <c r="C8316" s="160" t="str">
        <f t="shared" si="148"/>
        <v/>
      </c>
    </row>
    <row r="8317" spans="3:3">
      <c r="C8317" s="160" t="str">
        <f t="shared" si="148"/>
        <v/>
      </c>
    </row>
    <row r="8318" spans="3:3">
      <c r="C8318" s="160" t="str">
        <f t="shared" si="148"/>
        <v/>
      </c>
    </row>
    <row r="8319" spans="3:3">
      <c r="C8319" s="160" t="str">
        <f t="shared" si="148"/>
        <v/>
      </c>
    </row>
    <row r="8320" spans="3:3">
      <c r="C8320" s="160" t="str">
        <f t="shared" si="148"/>
        <v/>
      </c>
    </row>
    <row r="8321" spans="3:3">
      <c r="C8321" s="160" t="str">
        <f t="shared" si="148"/>
        <v/>
      </c>
    </row>
    <row r="8322" spans="3:3">
      <c r="C8322" s="160" t="str">
        <f t="shared" si="148"/>
        <v/>
      </c>
    </row>
    <row r="8323" spans="3:3">
      <c r="C8323" s="160" t="str">
        <f t="shared" si="148"/>
        <v/>
      </c>
    </row>
    <row r="8324" spans="3:3">
      <c r="C8324" s="160" t="str">
        <f t="shared" si="148"/>
        <v/>
      </c>
    </row>
    <row r="8325" spans="3:3">
      <c r="C8325" s="160" t="str">
        <f t="shared" si="148"/>
        <v/>
      </c>
    </row>
    <row r="8326" spans="3:3">
      <c r="C8326" s="160" t="str">
        <f t="shared" si="148"/>
        <v/>
      </c>
    </row>
    <row r="8327" spans="3:3">
      <c r="C8327" s="160" t="str">
        <f t="shared" si="148"/>
        <v/>
      </c>
    </row>
    <row r="8328" spans="3:3">
      <c r="C8328" s="160" t="str">
        <f t="shared" si="148"/>
        <v/>
      </c>
    </row>
    <row r="8329" spans="3:3">
      <c r="C8329" s="160" t="str">
        <f t="shared" si="148"/>
        <v/>
      </c>
    </row>
    <row r="8330" spans="3:3">
      <c r="C8330" s="160" t="str">
        <f t="shared" si="148"/>
        <v/>
      </c>
    </row>
    <row r="8331" spans="3:3">
      <c r="C8331" s="160" t="str">
        <f t="shared" si="148"/>
        <v/>
      </c>
    </row>
    <row r="8332" spans="3:3">
      <c r="C8332" s="160" t="str">
        <f t="shared" si="148"/>
        <v/>
      </c>
    </row>
    <row r="8333" spans="3:3">
      <c r="C8333" s="160" t="str">
        <f t="shared" ref="C8333:C8396" si="149">D8333&amp;I8333</f>
        <v/>
      </c>
    </row>
    <row r="8334" spans="3:3">
      <c r="C8334" s="160" t="str">
        <f t="shared" si="149"/>
        <v/>
      </c>
    </row>
    <row r="8335" spans="3:3">
      <c r="C8335" s="160" t="str">
        <f t="shared" si="149"/>
        <v/>
      </c>
    </row>
    <row r="8336" spans="3:3">
      <c r="C8336" s="160" t="str">
        <f t="shared" si="149"/>
        <v/>
      </c>
    </row>
    <row r="8337" spans="3:3">
      <c r="C8337" s="160" t="str">
        <f t="shared" si="149"/>
        <v/>
      </c>
    </row>
    <row r="8338" spans="3:3">
      <c r="C8338" s="160" t="str">
        <f t="shared" si="149"/>
        <v/>
      </c>
    </row>
    <row r="8339" spans="3:3">
      <c r="C8339" s="160" t="str">
        <f t="shared" si="149"/>
        <v/>
      </c>
    </row>
    <row r="8340" spans="3:3">
      <c r="C8340" s="160" t="str">
        <f t="shared" si="149"/>
        <v/>
      </c>
    </row>
    <row r="8341" spans="3:3">
      <c r="C8341" s="160" t="str">
        <f t="shared" si="149"/>
        <v/>
      </c>
    </row>
    <row r="8342" spans="3:3">
      <c r="C8342" s="160" t="str">
        <f t="shared" si="149"/>
        <v/>
      </c>
    </row>
    <row r="8343" spans="3:3">
      <c r="C8343" s="160" t="str">
        <f t="shared" si="149"/>
        <v/>
      </c>
    </row>
    <row r="8344" spans="3:3">
      <c r="C8344" s="160" t="str">
        <f t="shared" si="149"/>
        <v/>
      </c>
    </row>
    <row r="8345" spans="3:3">
      <c r="C8345" s="160" t="str">
        <f t="shared" si="149"/>
        <v/>
      </c>
    </row>
    <row r="8346" spans="3:3">
      <c r="C8346" s="160" t="str">
        <f t="shared" si="149"/>
        <v/>
      </c>
    </row>
    <row r="8347" spans="3:3">
      <c r="C8347" s="160" t="str">
        <f t="shared" si="149"/>
        <v/>
      </c>
    </row>
    <row r="8348" spans="3:3">
      <c r="C8348" s="160" t="str">
        <f t="shared" si="149"/>
        <v/>
      </c>
    </row>
    <row r="8349" spans="3:3">
      <c r="C8349" s="160" t="str">
        <f t="shared" si="149"/>
        <v/>
      </c>
    </row>
    <row r="8350" spans="3:3">
      <c r="C8350" s="160" t="str">
        <f t="shared" si="149"/>
        <v/>
      </c>
    </row>
    <row r="8351" spans="3:3">
      <c r="C8351" s="160" t="str">
        <f t="shared" si="149"/>
        <v/>
      </c>
    </row>
    <row r="8352" spans="3:3">
      <c r="C8352" s="160" t="str">
        <f t="shared" si="149"/>
        <v/>
      </c>
    </row>
    <row r="8353" spans="3:3">
      <c r="C8353" s="160" t="str">
        <f t="shared" si="149"/>
        <v/>
      </c>
    </row>
    <row r="8354" spans="3:3">
      <c r="C8354" s="160" t="str">
        <f t="shared" si="149"/>
        <v/>
      </c>
    </row>
    <row r="8355" spans="3:3">
      <c r="C8355" s="160" t="str">
        <f t="shared" si="149"/>
        <v/>
      </c>
    </row>
    <row r="8356" spans="3:3">
      <c r="C8356" s="160" t="str">
        <f t="shared" si="149"/>
        <v/>
      </c>
    </row>
    <row r="8357" spans="3:3">
      <c r="C8357" s="160" t="str">
        <f t="shared" si="149"/>
        <v/>
      </c>
    </row>
    <row r="8358" spans="3:3">
      <c r="C8358" s="160" t="str">
        <f t="shared" si="149"/>
        <v/>
      </c>
    </row>
    <row r="8359" spans="3:3">
      <c r="C8359" s="160" t="str">
        <f t="shared" si="149"/>
        <v/>
      </c>
    </row>
    <row r="8360" spans="3:3">
      <c r="C8360" s="160" t="str">
        <f t="shared" si="149"/>
        <v/>
      </c>
    </row>
    <row r="8361" spans="3:3">
      <c r="C8361" s="160" t="str">
        <f t="shared" si="149"/>
        <v/>
      </c>
    </row>
    <row r="8362" spans="3:3">
      <c r="C8362" s="160" t="str">
        <f t="shared" si="149"/>
        <v/>
      </c>
    </row>
    <row r="8363" spans="3:3">
      <c r="C8363" s="160" t="str">
        <f t="shared" si="149"/>
        <v/>
      </c>
    </row>
    <row r="8364" spans="3:3">
      <c r="C8364" s="160" t="str">
        <f t="shared" si="149"/>
        <v/>
      </c>
    </row>
    <row r="8365" spans="3:3">
      <c r="C8365" s="160" t="str">
        <f t="shared" si="149"/>
        <v/>
      </c>
    </row>
    <row r="8366" spans="3:3">
      <c r="C8366" s="160" t="str">
        <f t="shared" si="149"/>
        <v/>
      </c>
    </row>
    <row r="8367" spans="3:3">
      <c r="C8367" s="160" t="str">
        <f t="shared" si="149"/>
        <v/>
      </c>
    </row>
    <row r="8368" spans="3:3">
      <c r="C8368" s="160" t="str">
        <f t="shared" si="149"/>
        <v/>
      </c>
    </row>
    <row r="8369" spans="3:3">
      <c r="C8369" s="160" t="str">
        <f t="shared" si="149"/>
        <v/>
      </c>
    </row>
    <row r="8370" spans="3:3">
      <c r="C8370" s="160" t="str">
        <f t="shared" si="149"/>
        <v/>
      </c>
    </row>
    <row r="8371" spans="3:3">
      <c r="C8371" s="160" t="str">
        <f t="shared" si="149"/>
        <v/>
      </c>
    </row>
    <row r="8372" spans="3:3">
      <c r="C8372" s="160" t="str">
        <f t="shared" si="149"/>
        <v/>
      </c>
    </row>
    <row r="8373" spans="3:3">
      <c r="C8373" s="160" t="str">
        <f t="shared" si="149"/>
        <v/>
      </c>
    </row>
    <row r="8374" spans="3:3">
      <c r="C8374" s="160" t="str">
        <f t="shared" si="149"/>
        <v/>
      </c>
    </row>
    <row r="8375" spans="3:3">
      <c r="C8375" s="160" t="str">
        <f t="shared" si="149"/>
        <v/>
      </c>
    </row>
    <row r="8376" spans="3:3">
      <c r="C8376" s="160" t="str">
        <f t="shared" si="149"/>
        <v/>
      </c>
    </row>
    <row r="8377" spans="3:3">
      <c r="C8377" s="160" t="str">
        <f t="shared" si="149"/>
        <v/>
      </c>
    </row>
    <row r="8378" spans="3:3">
      <c r="C8378" s="160" t="str">
        <f t="shared" si="149"/>
        <v/>
      </c>
    </row>
    <row r="8379" spans="3:3">
      <c r="C8379" s="160" t="str">
        <f t="shared" si="149"/>
        <v/>
      </c>
    </row>
    <row r="8380" spans="3:3">
      <c r="C8380" s="160" t="str">
        <f t="shared" si="149"/>
        <v/>
      </c>
    </row>
    <row r="8381" spans="3:3">
      <c r="C8381" s="160" t="str">
        <f t="shared" si="149"/>
        <v/>
      </c>
    </row>
    <row r="8382" spans="3:3">
      <c r="C8382" s="160" t="str">
        <f t="shared" si="149"/>
        <v/>
      </c>
    </row>
    <row r="8383" spans="3:3">
      <c r="C8383" s="160" t="str">
        <f t="shared" si="149"/>
        <v/>
      </c>
    </row>
    <row r="8384" spans="3:3">
      <c r="C8384" s="160" t="str">
        <f t="shared" si="149"/>
        <v/>
      </c>
    </row>
    <row r="8385" spans="3:3">
      <c r="C8385" s="160" t="str">
        <f t="shared" si="149"/>
        <v/>
      </c>
    </row>
    <row r="8386" spans="3:3">
      <c r="C8386" s="160" t="str">
        <f t="shared" si="149"/>
        <v/>
      </c>
    </row>
    <row r="8387" spans="3:3">
      <c r="C8387" s="160" t="str">
        <f t="shared" si="149"/>
        <v/>
      </c>
    </row>
    <row r="8388" spans="3:3">
      <c r="C8388" s="160" t="str">
        <f t="shared" si="149"/>
        <v/>
      </c>
    </row>
    <row r="8389" spans="3:3">
      <c r="C8389" s="160" t="str">
        <f t="shared" si="149"/>
        <v/>
      </c>
    </row>
    <row r="8390" spans="3:3">
      <c r="C8390" s="160" t="str">
        <f t="shared" si="149"/>
        <v/>
      </c>
    </row>
    <row r="8391" spans="3:3">
      <c r="C8391" s="160" t="str">
        <f t="shared" si="149"/>
        <v/>
      </c>
    </row>
    <row r="8392" spans="3:3">
      <c r="C8392" s="160" t="str">
        <f t="shared" si="149"/>
        <v/>
      </c>
    </row>
    <row r="8393" spans="3:3">
      <c r="C8393" s="160" t="str">
        <f t="shared" si="149"/>
        <v/>
      </c>
    </row>
    <row r="8394" spans="3:3">
      <c r="C8394" s="160" t="str">
        <f t="shared" si="149"/>
        <v/>
      </c>
    </row>
    <row r="8395" spans="3:3">
      <c r="C8395" s="160" t="str">
        <f t="shared" si="149"/>
        <v/>
      </c>
    </row>
    <row r="8396" spans="3:3">
      <c r="C8396" s="160" t="str">
        <f t="shared" si="149"/>
        <v/>
      </c>
    </row>
    <row r="8397" spans="3:3">
      <c r="C8397" s="160" t="str">
        <f t="shared" ref="C8397:C8460" si="150">D8397&amp;I8397</f>
        <v/>
      </c>
    </row>
    <row r="8398" spans="3:3">
      <c r="C8398" s="160" t="str">
        <f t="shared" si="150"/>
        <v/>
      </c>
    </row>
    <row r="8399" spans="3:3">
      <c r="C8399" s="160" t="str">
        <f t="shared" si="150"/>
        <v/>
      </c>
    </row>
    <row r="8400" spans="3:3">
      <c r="C8400" s="160" t="str">
        <f t="shared" si="150"/>
        <v/>
      </c>
    </row>
    <row r="8401" spans="3:3">
      <c r="C8401" s="160" t="str">
        <f t="shared" si="150"/>
        <v/>
      </c>
    </row>
    <row r="8402" spans="3:3">
      <c r="C8402" s="160" t="str">
        <f t="shared" si="150"/>
        <v/>
      </c>
    </row>
    <row r="8403" spans="3:3">
      <c r="C8403" s="160" t="str">
        <f t="shared" si="150"/>
        <v/>
      </c>
    </row>
    <row r="8404" spans="3:3">
      <c r="C8404" s="160" t="str">
        <f t="shared" si="150"/>
        <v/>
      </c>
    </row>
    <row r="8405" spans="3:3">
      <c r="C8405" s="160" t="str">
        <f t="shared" si="150"/>
        <v/>
      </c>
    </row>
    <row r="8406" spans="3:3">
      <c r="C8406" s="160" t="str">
        <f t="shared" si="150"/>
        <v/>
      </c>
    </row>
    <row r="8407" spans="3:3">
      <c r="C8407" s="160" t="str">
        <f t="shared" si="150"/>
        <v/>
      </c>
    </row>
    <row r="8408" spans="3:3">
      <c r="C8408" s="160" t="str">
        <f t="shared" si="150"/>
        <v/>
      </c>
    </row>
    <row r="8409" spans="3:3">
      <c r="C8409" s="160" t="str">
        <f t="shared" si="150"/>
        <v/>
      </c>
    </row>
    <row r="8410" spans="3:3">
      <c r="C8410" s="160" t="str">
        <f t="shared" si="150"/>
        <v/>
      </c>
    </row>
    <row r="8411" spans="3:3">
      <c r="C8411" s="160" t="str">
        <f t="shared" si="150"/>
        <v/>
      </c>
    </row>
    <row r="8412" spans="3:3">
      <c r="C8412" s="160" t="str">
        <f t="shared" si="150"/>
        <v/>
      </c>
    </row>
    <row r="8413" spans="3:3">
      <c r="C8413" s="160" t="str">
        <f t="shared" si="150"/>
        <v/>
      </c>
    </row>
    <row r="8414" spans="3:3">
      <c r="C8414" s="160" t="str">
        <f t="shared" si="150"/>
        <v/>
      </c>
    </row>
    <row r="8415" spans="3:3">
      <c r="C8415" s="160" t="str">
        <f t="shared" si="150"/>
        <v/>
      </c>
    </row>
    <row r="8416" spans="3:3">
      <c r="C8416" s="160" t="str">
        <f t="shared" si="150"/>
        <v/>
      </c>
    </row>
    <row r="8417" spans="3:3">
      <c r="C8417" s="160" t="str">
        <f t="shared" si="150"/>
        <v/>
      </c>
    </row>
    <row r="8418" spans="3:3">
      <c r="C8418" s="160" t="str">
        <f t="shared" si="150"/>
        <v/>
      </c>
    </row>
    <row r="8419" spans="3:3">
      <c r="C8419" s="160" t="str">
        <f t="shared" si="150"/>
        <v/>
      </c>
    </row>
    <row r="8420" spans="3:3">
      <c r="C8420" s="160" t="str">
        <f t="shared" si="150"/>
        <v/>
      </c>
    </row>
    <row r="8421" spans="3:3">
      <c r="C8421" s="160" t="str">
        <f t="shared" si="150"/>
        <v/>
      </c>
    </row>
    <row r="8422" spans="3:3">
      <c r="C8422" s="160" t="str">
        <f t="shared" si="150"/>
        <v/>
      </c>
    </row>
    <row r="8423" spans="3:3">
      <c r="C8423" s="160" t="str">
        <f t="shared" si="150"/>
        <v/>
      </c>
    </row>
    <row r="8424" spans="3:3">
      <c r="C8424" s="160" t="str">
        <f t="shared" si="150"/>
        <v/>
      </c>
    </row>
    <row r="8425" spans="3:3">
      <c r="C8425" s="160" t="str">
        <f t="shared" si="150"/>
        <v/>
      </c>
    </row>
    <row r="8426" spans="3:3">
      <c r="C8426" s="160" t="str">
        <f t="shared" si="150"/>
        <v/>
      </c>
    </row>
    <row r="8427" spans="3:3">
      <c r="C8427" s="160" t="str">
        <f t="shared" si="150"/>
        <v/>
      </c>
    </row>
    <row r="8428" spans="3:3">
      <c r="C8428" s="160" t="str">
        <f t="shared" si="150"/>
        <v/>
      </c>
    </row>
    <row r="8429" spans="3:3">
      <c r="C8429" s="160" t="str">
        <f t="shared" si="150"/>
        <v/>
      </c>
    </row>
    <row r="8430" spans="3:3">
      <c r="C8430" s="160" t="str">
        <f t="shared" si="150"/>
        <v/>
      </c>
    </row>
    <row r="8431" spans="3:3">
      <c r="C8431" s="160" t="str">
        <f t="shared" si="150"/>
        <v/>
      </c>
    </row>
    <row r="8432" spans="3:3">
      <c r="C8432" s="160" t="str">
        <f t="shared" si="150"/>
        <v/>
      </c>
    </row>
    <row r="8433" spans="3:3">
      <c r="C8433" s="160" t="str">
        <f t="shared" si="150"/>
        <v/>
      </c>
    </row>
    <row r="8434" spans="3:3">
      <c r="C8434" s="160" t="str">
        <f t="shared" si="150"/>
        <v/>
      </c>
    </row>
    <row r="8435" spans="3:3">
      <c r="C8435" s="160" t="str">
        <f t="shared" si="150"/>
        <v/>
      </c>
    </row>
    <row r="8436" spans="3:3">
      <c r="C8436" s="160" t="str">
        <f t="shared" si="150"/>
        <v/>
      </c>
    </row>
    <row r="8437" spans="3:3">
      <c r="C8437" s="160" t="str">
        <f t="shared" si="150"/>
        <v/>
      </c>
    </row>
    <row r="8438" spans="3:3">
      <c r="C8438" s="160" t="str">
        <f t="shared" si="150"/>
        <v/>
      </c>
    </row>
    <row r="8439" spans="3:3">
      <c r="C8439" s="160" t="str">
        <f t="shared" si="150"/>
        <v/>
      </c>
    </row>
    <row r="8440" spans="3:3">
      <c r="C8440" s="160" t="str">
        <f t="shared" si="150"/>
        <v/>
      </c>
    </row>
    <row r="8441" spans="3:3">
      <c r="C8441" s="160" t="str">
        <f t="shared" si="150"/>
        <v/>
      </c>
    </row>
    <row r="8442" spans="3:3">
      <c r="C8442" s="160" t="str">
        <f t="shared" si="150"/>
        <v/>
      </c>
    </row>
    <row r="8443" spans="3:3">
      <c r="C8443" s="160" t="str">
        <f t="shared" si="150"/>
        <v/>
      </c>
    </row>
    <row r="8444" spans="3:3">
      <c r="C8444" s="160" t="str">
        <f t="shared" si="150"/>
        <v/>
      </c>
    </row>
    <row r="8445" spans="3:3">
      <c r="C8445" s="160" t="str">
        <f t="shared" si="150"/>
        <v/>
      </c>
    </row>
    <row r="8446" spans="3:3">
      <c r="C8446" s="160" t="str">
        <f t="shared" si="150"/>
        <v/>
      </c>
    </row>
    <row r="8447" spans="3:3">
      <c r="C8447" s="160" t="str">
        <f t="shared" si="150"/>
        <v/>
      </c>
    </row>
    <row r="8448" spans="3:3">
      <c r="C8448" s="160" t="str">
        <f t="shared" si="150"/>
        <v/>
      </c>
    </row>
    <row r="8449" spans="3:3">
      <c r="C8449" s="160" t="str">
        <f t="shared" si="150"/>
        <v/>
      </c>
    </row>
    <row r="8450" spans="3:3">
      <c r="C8450" s="160" t="str">
        <f t="shared" si="150"/>
        <v/>
      </c>
    </row>
    <row r="8451" spans="3:3">
      <c r="C8451" s="160" t="str">
        <f t="shared" si="150"/>
        <v/>
      </c>
    </row>
    <row r="8452" spans="3:3">
      <c r="C8452" s="160" t="str">
        <f t="shared" si="150"/>
        <v/>
      </c>
    </row>
    <row r="8453" spans="3:3">
      <c r="C8453" s="160" t="str">
        <f t="shared" si="150"/>
        <v/>
      </c>
    </row>
    <row r="8454" spans="3:3">
      <c r="C8454" s="160" t="str">
        <f t="shared" si="150"/>
        <v/>
      </c>
    </row>
    <row r="8455" spans="3:3">
      <c r="C8455" s="160" t="str">
        <f t="shared" si="150"/>
        <v/>
      </c>
    </row>
    <row r="8456" spans="3:3">
      <c r="C8456" s="160" t="str">
        <f t="shared" si="150"/>
        <v/>
      </c>
    </row>
    <row r="8457" spans="3:3">
      <c r="C8457" s="160" t="str">
        <f t="shared" si="150"/>
        <v/>
      </c>
    </row>
    <row r="8458" spans="3:3">
      <c r="C8458" s="160" t="str">
        <f t="shared" si="150"/>
        <v/>
      </c>
    </row>
    <row r="8459" spans="3:3">
      <c r="C8459" s="160" t="str">
        <f t="shared" si="150"/>
        <v/>
      </c>
    </row>
    <row r="8460" spans="3:3">
      <c r="C8460" s="160" t="str">
        <f t="shared" si="150"/>
        <v/>
      </c>
    </row>
    <row r="8461" spans="3:3">
      <c r="C8461" s="160" t="str">
        <f t="shared" ref="C8461:C8524" si="151">D8461&amp;I8461</f>
        <v/>
      </c>
    </row>
    <row r="8462" spans="3:3">
      <c r="C8462" s="160" t="str">
        <f t="shared" si="151"/>
        <v/>
      </c>
    </row>
    <row r="8463" spans="3:3">
      <c r="C8463" s="160" t="str">
        <f t="shared" si="151"/>
        <v/>
      </c>
    </row>
    <row r="8464" spans="3:3">
      <c r="C8464" s="160" t="str">
        <f t="shared" si="151"/>
        <v/>
      </c>
    </row>
    <row r="8465" spans="3:3">
      <c r="C8465" s="160" t="str">
        <f t="shared" si="151"/>
        <v/>
      </c>
    </row>
    <row r="8466" spans="3:3">
      <c r="C8466" s="160" t="str">
        <f t="shared" si="151"/>
        <v/>
      </c>
    </row>
    <row r="8467" spans="3:3">
      <c r="C8467" s="160" t="str">
        <f t="shared" si="151"/>
        <v/>
      </c>
    </row>
    <row r="8468" spans="3:3">
      <c r="C8468" s="160" t="str">
        <f t="shared" si="151"/>
        <v/>
      </c>
    </row>
    <row r="8469" spans="3:3">
      <c r="C8469" s="160" t="str">
        <f t="shared" si="151"/>
        <v/>
      </c>
    </row>
    <row r="8470" spans="3:3">
      <c r="C8470" s="160" t="str">
        <f t="shared" si="151"/>
        <v/>
      </c>
    </row>
    <row r="8471" spans="3:3">
      <c r="C8471" s="160" t="str">
        <f t="shared" si="151"/>
        <v/>
      </c>
    </row>
    <row r="8472" spans="3:3">
      <c r="C8472" s="160" t="str">
        <f t="shared" si="151"/>
        <v/>
      </c>
    </row>
    <row r="8473" spans="3:3">
      <c r="C8473" s="160" t="str">
        <f t="shared" si="151"/>
        <v/>
      </c>
    </row>
    <row r="8474" spans="3:3">
      <c r="C8474" s="160" t="str">
        <f t="shared" si="151"/>
        <v/>
      </c>
    </row>
    <row r="8475" spans="3:3">
      <c r="C8475" s="160" t="str">
        <f t="shared" si="151"/>
        <v/>
      </c>
    </row>
    <row r="8476" spans="3:3">
      <c r="C8476" s="160" t="str">
        <f t="shared" si="151"/>
        <v/>
      </c>
    </row>
    <row r="8477" spans="3:3">
      <c r="C8477" s="160" t="str">
        <f t="shared" si="151"/>
        <v/>
      </c>
    </row>
    <row r="8478" spans="3:3">
      <c r="C8478" s="160" t="str">
        <f t="shared" si="151"/>
        <v/>
      </c>
    </row>
    <row r="8479" spans="3:3">
      <c r="C8479" s="160" t="str">
        <f t="shared" si="151"/>
        <v/>
      </c>
    </row>
    <row r="8480" spans="3:3">
      <c r="C8480" s="160" t="str">
        <f t="shared" si="151"/>
        <v/>
      </c>
    </row>
    <row r="8481" spans="3:3">
      <c r="C8481" s="160" t="str">
        <f t="shared" si="151"/>
        <v/>
      </c>
    </row>
    <row r="8482" spans="3:3">
      <c r="C8482" s="160" t="str">
        <f t="shared" si="151"/>
        <v/>
      </c>
    </row>
    <row r="8483" spans="3:3">
      <c r="C8483" s="160" t="str">
        <f t="shared" si="151"/>
        <v/>
      </c>
    </row>
    <row r="8484" spans="3:3">
      <c r="C8484" s="160" t="str">
        <f t="shared" si="151"/>
        <v/>
      </c>
    </row>
    <row r="8485" spans="3:3">
      <c r="C8485" s="160" t="str">
        <f t="shared" si="151"/>
        <v/>
      </c>
    </row>
    <row r="8486" spans="3:3">
      <c r="C8486" s="160" t="str">
        <f t="shared" si="151"/>
        <v/>
      </c>
    </row>
    <row r="8487" spans="3:3">
      <c r="C8487" s="160" t="str">
        <f t="shared" si="151"/>
        <v/>
      </c>
    </row>
    <row r="8488" spans="3:3">
      <c r="C8488" s="160" t="str">
        <f t="shared" si="151"/>
        <v/>
      </c>
    </row>
    <row r="8489" spans="3:3">
      <c r="C8489" s="160" t="str">
        <f t="shared" si="151"/>
        <v/>
      </c>
    </row>
    <row r="8490" spans="3:3">
      <c r="C8490" s="160" t="str">
        <f t="shared" si="151"/>
        <v/>
      </c>
    </row>
    <row r="8491" spans="3:3">
      <c r="C8491" s="160" t="str">
        <f t="shared" si="151"/>
        <v/>
      </c>
    </row>
    <row r="8492" spans="3:3">
      <c r="C8492" s="160" t="str">
        <f t="shared" si="151"/>
        <v/>
      </c>
    </row>
    <row r="8493" spans="3:3">
      <c r="C8493" s="160" t="str">
        <f t="shared" si="151"/>
        <v/>
      </c>
    </row>
    <row r="8494" spans="3:3">
      <c r="C8494" s="160" t="str">
        <f t="shared" si="151"/>
        <v/>
      </c>
    </row>
    <row r="8495" spans="3:3">
      <c r="C8495" s="160" t="str">
        <f t="shared" si="151"/>
        <v/>
      </c>
    </row>
    <row r="8496" spans="3:3">
      <c r="C8496" s="160" t="str">
        <f t="shared" si="151"/>
        <v/>
      </c>
    </row>
    <row r="8497" spans="3:3">
      <c r="C8497" s="160" t="str">
        <f t="shared" si="151"/>
        <v/>
      </c>
    </row>
    <row r="8498" spans="3:3">
      <c r="C8498" s="160" t="str">
        <f t="shared" si="151"/>
        <v/>
      </c>
    </row>
    <row r="8499" spans="3:3">
      <c r="C8499" s="160" t="str">
        <f t="shared" si="151"/>
        <v/>
      </c>
    </row>
    <row r="8500" spans="3:3">
      <c r="C8500" s="160" t="str">
        <f t="shared" si="151"/>
        <v/>
      </c>
    </row>
    <row r="8501" spans="3:3">
      <c r="C8501" s="160" t="str">
        <f t="shared" si="151"/>
        <v/>
      </c>
    </row>
    <row r="8502" spans="3:3">
      <c r="C8502" s="160" t="str">
        <f t="shared" si="151"/>
        <v/>
      </c>
    </row>
    <row r="8503" spans="3:3">
      <c r="C8503" s="160" t="str">
        <f t="shared" si="151"/>
        <v/>
      </c>
    </row>
    <row r="8504" spans="3:3">
      <c r="C8504" s="160" t="str">
        <f t="shared" si="151"/>
        <v/>
      </c>
    </row>
    <row r="8505" spans="3:3">
      <c r="C8505" s="160" t="str">
        <f t="shared" si="151"/>
        <v/>
      </c>
    </row>
    <row r="8506" spans="3:3">
      <c r="C8506" s="160" t="str">
        <f t="shared" si="151"/>
        <v/>
      </c>
    </row>
    <row r="8507" spans="3:3">
      <c r="C8507" s="160" t="str">
        <f t="shared" si="151"/>
        <v/>
      </c>
    </row>
    <row r="8508" spans="3:3">
      <c r="C8508" s="160" t="str">
        <f t="shared" si="151"/>
        <v/>
      </c>
    </row>
    <row r="8509" spans="3:3">
      <c r="C8509" s="160" t="str">
        <f t="shared" si="151"/>
        <v/>
      </c>
    </row>
    <row r="8510" spans="3:3">
      <c r="C8510" s="160" t="str">
        <f t="shared" si="151"/>
        <v/>
      </c>
    </row>
    <row r="8511" spans="3:3">
      <c r="C8511" s="160" t="str">
        <f t="shared" si="151"/>
        <v/>
      </c>
    </row>
    <row r="8512" spans="3:3">
      <c r="C8512" s="160" t="str">
        <f t="shared" si="151"/>
        <v/>
      </c>
    </row>
    <row r="8513" spans="3:3">
      <c r="C8513" s="160" t="str">
        <f t="shared" si="151"/>
        <v/>
      </c>
    </row>
    <row r="8514" spans="3:3">
      <c r="C8514" s="160" t="str">
        <f t="shared" si="151"/>
        <v/>
      </c>
    </row>
    <row r="8515" spans="3:3">
      <c r="C8515" s="160" t="str">
        <f t="shared" si="151"/>
        <v/>
      </c>
    </row>
    <row r="8516" spans="3:3">
      <c r="C8516" s="160" t="str">
        <f t="shared" si="151"/>
        <v/>
      </c>
    </row>
    <row r="8517" spans="3:3">
      <c r="C8517" s="160" t="str">
        <f t="shared" si="151"/>
        <v/>
      </c>
    </row>
    <row r="8518" spans="3:3">
      <c r="C8518" s="160" t="str">
        <f t="shared" si="151"/>
        <v/>
      </c>
    </row>
    <row r="8519" spans="3:3">
      <c r="C8519" s="160" t="str">
        <f t="shared" si="151"/>
        <v/>
      </c>
    </row>
    <row r="8520" spans="3:3">
      <c r="C8520" s="160" t="str">
        <f t="shared" si="151"/>
        <v/>
      </c>
    </row>
    <row r="8521" spans="3:3">
      <c r="C8521" s="160" t="str">
        <f t="shared" si="151"/>
        <v/>
      </c>
    </row>
    <row r="8522" spans="3:3">
      <c r="C8522" s="160" t="str">
        <f t="shared" si="151"/>
        <v/>
      </c>
    </row>
    <row r="8523" spans="3:3">
      <c r="C8523" s="160" t="str">
        <f t="shared" si="151"/>
        <v/>
      </c>
    </row>
    <row r="8524" spans="3:3">
      <c r="C8524" s="160" t="str">
        <f t="shared" si="151"/>
        <v/>
      </c>
    </row>
    <row r="8525" spans="3:3">
      <c r="C8525" s="160" t="str">
        <f t="shared" ref="C8525:C8588" si="152">D8525&amp;I8525</f>
        <v/>
      </c>
    </row>
    <row r="8526" spans="3:3">
      <c r="C8526" s="160" t="str">
        <f t="shared" si="152"/>
        <v/>
      </c>
    </row>
    <row r="8527" spans="3:3">
      <c r="C8527" s="160" t="str">
        <f t="shared" si="152"/>
        <v/>
      </c>
    </row>
    <row r="8528" spans="3:3">
      <c r="C8528" s="160" t="str">
        <f t="shared" si="152"/>
        <v/>
      </c>
    </row>
    <row r="8529" spans="3:3">
      <c r="C8529" s="160" t="str">
        <f t="shared" si="152"/>
        <v/>
      </c>
    </row>
    <row r="8530" spans="3:3">
      <c r="C8530" s="160" t="str">
        <f t="shared" si="152"/>
        <v/>
      </c>
    </row>
    <row r="8531" spans="3:3">
      <c r="C8531" s="160" t="str">
        <f t="shared" si="152"/>
        <v/>
      </c>
    </row>
    <row r="8532" spans="3:3">
      <c r="C8532" s="160" t="str">
        <f t="shared" si="152"/>
        <v/>
      </c>
    </row>
    <row r="8533" spans="3:3">
      <c r="C8533" s="160" t="str">
        <f t="shared" si="152"/>
        <v/>
      </c>
    </row>
    <row r="8534" spans="3:3">
      <c r="C8534" s="160" t="str">
        <f t="shared" si="152"/>
        <v/>
      </c>
    </row>
    <row r="8535" spans="3:3">
      <c r="C8535" s="160" t="str">
        <f t="shared" si="152"/>
        <v/>
      </c>
    </row>
    <row r="8536" spans="3:3">
      <c r="C8536" s="160" t="str">
        <f t="shared" si="152"/>
        <v/>
      </c>
    </row>
    <row r="8537" spans="3:3">
      <c r="C8537" s="160" t="str">
        <f t="shared" si="152"/>
        <v/>
      </c>
    </row>
    <row r="8538" spans="3:3">
      <c r="C8538" s="160" t="str">
        <f t="shared" si="152"/>
        <v/>
      </c>
    </row>
    <row r="8539" spans="3:3">
      <c r="C8539" s="160" t="str">
        <f t="shared" si="152"/>
        <v/>
      </c>
    </row>
    <row r="8540" spans="3:3">
      <c r="C8540" s="160" t="str">
        <f t="shared" si="152"/>
        <v/>
      </c>
    </row>
    <row r="8541" spans="3:3">
      <c r="C8541" s="160" t="str">
        <f t="shared" si="152"/>
        <v/>
      </c>
    </row>
    <row r="8542" spans="3:3">
      <c r="C8542" s="160" t="str">
        <f t="shared" si="152"/>
        <v/>
      </c>
    </row>
    <row r="8543" spans="3:3">
      <c r="C8543" s="160" t="str">
        <f t="shared" si="152"/>
        <v/>
      </c>
    </row>
    <row r="8544" spans="3:3">
      <c r="C8544" s="160" t="str">
        <f t="shared" si="152"/>
        <v/>
      </c>
    </row>
    <row r="8545" spans="3:3">
      <c r="C8545" s="160" t="str">
        <f t="shared" si="152"/>
        <v/>
      </c>
    </row>
    <row r="8546" spans="3:3">
      <c r="C8546" s="160" t="str">
        <f t="shared" si="152"/>
        <v/>
      </c>
    </row>
    <row r="8547" spans="3:3">
      <c r="C8547" s="160" t="str">
        <f t="shared" si="152"/>
        <v/>
      </c>
    </row>
    <row r="8548" spans="3:3">
      <c r="C8548" s="160" t="str">
        <f t="shared" si="152"/>
        <v/>
      </c>
    </row>
    <row r="8549" spans="3:3">
      <c r="C8549" s="160" t="str">
        <f t="shared" si="152"/>
        <v/>
      </c>
    </row>
    <row r="8550" spans="3:3">
      <c r="C8550" s="160" t="str">
        <f t="shared" si="152"/>
        <v/>
      </c>
    </row>
    <row r="8551" spans="3:3">
      <c r="C8551" s="160" t="str">
        <f t="shared" si="152"/>
        <v/>
      </c>
    </row>
    <row r="8552" spans="3:3">
      <c r="C8552" s="160" t="str">
        <f t="shared" si="152"/>
        <v/>
      </c>
    </row>
    <row r="8553" spans="3:3">
      <c r="C8553" s="160" t="str">
        <f t="shared" si="152"/>
        <v/>
      </c>
    </row>
    <row r="8554" spans="3:3">
      <c r="C8554" s="160" t="str">
        <f t="shared" si="152"/>
        <v/>
      </c>
    </row>
    <row r="8555" spans="3:3">
      <c r="C8555" s="160" t="str">
        <f t="shared" si="152"/>
        <v/>
      </c>
    </row>
    <row r="8556" spans="3:3">
      <c r="C8556" s="160" t="str">
        <f t="shared" si="152"/>
        <v/>
      </c>
    </row>
    <row r="8557" spans="3:3">
      <c r="C8557" s="160" t="str">
        <f t="shared" si="152"/>
        <v/>
      </c>
    </row>
    <row r="8558" spans="3:3">
      <c r="C8558" s="160" t="str">
        <f t="shared" si="152"/>
        <v/>
      </c>
    </row>
    <row r="8559" spans="3:3">
      <c r="C8559" s="160" t="str">
        <f t="shared" si="152"/>
        <v/>
      </c>
    </row>
    <row r="8560" spans="3:3">
      <c r="C8560" s="160" t="str">
        <f t="shared" si="152"/>
        <v/>
      </c>
    </row>
    <row r="8561" spans="3:3">
      <c r="C8561" s="160" t="str">
        <f t="shared" si="152"/>
        <v/>
      </c>
    </row>
    <row r="8562" spans="3:3">
      <c r="C8562" s="160" t="str">
        <f t="shared" si="152"/>
        <v/>
      </c>
    </row>
    <row r="8563" spans="3:3">
      <c r="C8563" s="160" t="str">
        <f t="shared" si="152"/>
        <v/>
      </c>
    </row>
    <row r="8564" spans="3:3">
      <c r="C8564" s="160" t="str">
        <f t="shared" si="152"/>
        <v/>
      </c>
    </row>
    <row r="8565" spans="3:3">
      <c r="C8565" s="160" t="str">
        <f t="shared" si="152"/>
        <v/>
      </c>
    </row>
    <row r="8566" spans="3:3">
      <c r="C8566" s="160" t="str">
        <f t="shared" si="152"/>
        <v/>
      </c>
    </row>
    <row r="8567" spans="3:3">
      <c r="C8567" s="160" t="str">
        <f t="shared" si="152"/>
        <v/>
      </c>
    </row>
    <row r="8568" spans="3:3">
      <c r="C8568" s="160" t="str">
        <f t="shared" si="152"/>
        <v/>
      </c>
    </row>
    <row r="8569" spans="3:3">
      <c r="C8569" s="160" t="str">
        <f t="shared" si="152"/>
        <v/>
      </c>
    </row>
    <row r="8570" spans="3:3">
      <c r="C8570" s="160" t="str">
        <f t="shared" si="152"/>
        <v/>
      </c>
    </row>
    <row r="8571" spans="3:3">
      <c r="C8571" s="160" t="str">
        <f t="shared" si="152"/>
        <v/>
      </c>
    </row>
    <row r="8572" spans="3:3">
      <c r="C8572" s="160" t="str">
        <f t="shared" si="152"/>
        <v/>
      </c>
    </row>
    <row r="8573" spans="3:3">
      <c r="C8573" s="160" t="str">
        <f t="shared" si="152"/>
        <v/>
      </c>
    </row>
    <row r="8574" spans="3:3">
      <c r="C8574" s="160" t="str">
        <f t="shared" si="152"/>
        <v/>
      </c>
    </row>
    <row r="8575" spans="3:3">
      <c r="C8575" s="160" t="str">
        <f t="shared" si="152"/>
        <v/>
      </c>
    </row>
    <row r="8576" spans="3:3">
      <c r="C8576" s="160" t="str">
        <f t="shared" si="152"/>
        <v/>
      </c>
    </row>
    <row r="8577" spans="3:3">
      <c r="C8577" s="160" t="str">
        <f t="shared" si="152"/>
        <v/>
      </c>
    </row>
    <row r="8578" spans="3:3">
      <c r="C8578" s="160" t="str">
        <f t="shared" si="152"/>
        <v/>
      </c>
    </row>
    <row r="8579" spans="3:3">
      <c r="C8579" s="160" t="str">
        <f t="shared" si="152"/>
        <v/>
      </c>
    </row>
    <row r="8580" spans="3:3">
      <c r="C8580" s="160" t="str">
        <f t="shared" si="152"/>
        <v/>
      </c>
    </row>
    <row r="8581" spans="3:3">
      <c r="C8581" s="160" t="str">
        <f t="shared" si="152"/>
        <v/>
      </c>
    </row>
    <row r="8582" spans="3:3">
      <c r="C8582" s="160" t="str">
        <f t="shared" si="152"/>
        <v/>
      </c>
    </row>
    <row r="8583" spans="3:3">
      <c r="C8583" s="160" t="str">
        <f t="shared" si="152"/>
        <v/>
      </c>
    </row>
    <row r="8584" spans="3:3">
      <c r="C8584" s="160" t="str">
        <f t="shared" si="152"/>
        <v/>
      </c>
    </row>
    <row r="8585" spans="3:3">
      <c r="C8585" s="160" t="str">
        <f t="shared" si="152"/>
        <v/>
      </c>
    </row>
    <row r="8586" spans="3:3">
      <c r="C8586" s="160" t="str">
        <f t="shared" si="152"/>
        <v/>
      </c>
    </row>
    <row r="8587" spans="3:3">
      <c r="C8587" s="160" t="str">
        <f t="shared" si="152"/>
        <v/>
      </c>
    </row>
    <row r="8588" spans="3:3">
      <c r="C8588" s="160" t="str">
        <f t="shared" si="152"/>
        <v/>
      </c>
    </row>
    <row r="8589" spans="3:3">
      <c r="C8589" s="160" t="str">
        <f t="shared" ref="C8589:C8652" si="153">D8589&amp;I8589</f>
        <v/>
      </c>
    </row>
    <row r="8590" spans="3:3">
      <c r="C8590" s="160" t="str">
        <f t="shared" si="153"/>
        <v/>
      </c>
    </row>
    <row r="8591" spans="3:3">
      <c r="C8591" s="160" t="str">
        <f t="shared" si="153"/>
        <v/>
      </c>
    </row>
    <row r="8592" spans="3:3">
      <c r="C8592" s="160" t="str">
        <f t="shared" si="153"/>
        <v/>
      </c>
    </row>
    <row r="8593" spans="3:3">
      <c r="C8593" s="160" t="str">
        <f t="shared" si="153"/>
        <v/>
      </c>
    </row>
    <row r="8594" spans="3:3">
      <c r="C8594" s="160" t="str">
        <f t="shared" si="153"/>
        <v/>
      </c>
    </row>
    <row r="8595" spans="3:3">
      <c r="C8595" s="160" t="str">
        <f t="shared" si="153"/>
        <v/>
      </c>
    </row>
    <row r="8596" spans="3:3">
      <c r="C8596" s="160" t="str">
        <f t="shared" si="153"/>
        <v/>
      </c>
    </row>
    <row r="8597" spans="3:3">
      <c r="C8597" s="160" t="str">
        <f t="shared" si="153"/>
        <v/>
      </c>
    </row>
    <row r="8598" spans="3:3">
      <c r="C8598" s="160" t="str">
        <f t="shared" si="153"/>
        <v/>
      </c>
    </row>
    <row r="8599" spans="3:3">
      <c r="C8599" s="160" t="str">
        <f t="shared" si="153"/>
        <v/>
      </c>
    </row>
    <row r="8600" spans="3:3">
      <c r="C8600" s="160" t="str">
        <f t="shared" si="153"/>
        <v/>
      </c>
    </row>
    <row r="8601" spans="3:3">
      <c r="C8601" s="160" t="str">
        <f t="shared" si="153"/>
        <v/>
      </c>
    </row>
    <row r="8602" spans="3:3">
      <c r="C8602" s="160" t="str">
        <f t="shared" si="153"/>
        <v/>
      </c>
    </row>
    <row r="8603" spans="3:3">
      <c r="C8603" s="160" t="str">
        <f t="shared" si="153"/>
        <v/>
      </c>
    </row>
    <row r="8604" spans="3:3">
      <c r="C8604" s="160" t="str">
        <f t="shared" si="153"/>
        <v/>
      </c>
    </row>
    <row r="8605" spans="3:3">
      <c r="C8605" s="160" t="str">
        <f t="shared" si="153"/>
        <v/>
      </c>
    </row>
    <row r="8606" spans="3:3">
      <c r="C8606" s="160" t="str">
        <f t="shared" si="153"/>
        <v/>
      </c>
    </row>
    <row r="8607" spans="3:3">
      <c r="C8607" s="160" t="str">
        <f t="shared" si="153"/>
        <v/>
      </c>
    </row>
    <row r="8608" spans="3:3">
      <c r="C8608" s="160" t="str">
        <f t="shared" si="153"/>
        <v/>
      </c>
    </row>
    <row r="8609" spans="3:3">
      <c r="C8609" s="160" t="str">
        <f t="shared" si="153"/>
        <v/>
      </c>
    </row>
    <row r="8610" spans="3:3">
      <c r="C8610" s="160" t="str">
        <f t="shared" si="153"/>
        <v/>
      </c>
    </row>
    <row r="8611" spans="3:3">
      <c r="C8611" s="160" t="str">
        <f t="shared" si="153"/>
        <v/>
      </c>
    </row>
    <row r="8612" spans="3:3">
      <c r="C8612" s="160" t="str">
        <f t="shared" si="153"/>
        <v/>
      </c>
    </row>
    <row r="8613" spans="3:3">
      <c r="C8613" s="160" t="str">
        <f t="shared" si="153"/>
        <v/>
      </c>
    </row>
    <row r="8614" spans="3:3">
      <c r="C8614" s="160" t="str">
        <f t="shared" si="153"/>
        <v/>
      </c>
    </row>
    <row r="8615" spans="3:3">
      <c r="C8615" s="160" t="str">
        <f t="shared" si="153"/>
        <v/>
      </c>
    </row>
    <row r="8616" spans="3:3">
      <c r="C8616" s="160" t="str">
        <f t="shared" si="153"/>
        <v/>
      </c>
    </row>
    <row r="8617" spans="3:3">
      <c r="C8617" s="160" t="str">
        <f t="shared" si="153"/>
        <v/>
      </c>
    </row>
    <row r="8618" spans="3:3">
      <c r="C8618" s="160" t="str">
        <f t="shared" si="153"/>
        <v/>
      </c>
    </row>
    <row r="8619" spans="3:3">
      <c r="C8619" s="160" t="str">
        <f t="shared" si="153"/>
        <v/>
      </c>
    </row>
    <row r="8620" spans="3:3">
      <c r="C8620" s="160" t="str">
        <f t="shared" si="153"/>
        <v/>
      </c>
    </row>
    <row r="8621" spans="3:3">
      <c r="C8621" s="160" t="str">
        <f t="shared" si="153"/>
        <v/>
      </c>
    </row>
    <row r="8622" spans="3:3">
      <c r="C8622" s="160" t="str">
        <f t="shared" si="153"/>
        <v/>
      </c>
    </row>
    <row r="8623" spans="3:3">
      <c r="C8623" s="160" t="str">
        <f t="shared" si="153"/>
        <v/>
      </c>
    </row>
    <row r="8624" spans="3:3">
      <c r="C8624" s="160" t="str">
        <f t="shared" si="153"/>
        <v/>
      </c>
    </row>
    <row r="8625" spans="3:3">
      <c r="C8625" s="160" t="str">
        <f t="shared" si="153"/>
        <v/>
      </c>
    </row>
    <row r="8626" spans="3:3">
      <c r="C8626" s="160" t="str">
        <f t="shared" si="153"/>
        <v/>
      </c>
    </row>
    <row r="8627" spans="3:3">
      <c r="C8627" s="160" t="str">
        <f t="shared" si="153"/>
        <v/>
      </c>
    </row>
    <row r="8628" spans="3:3">
      <c r="C8628" s="160" t="str">
        <f t="shared" si="153"/>
        <v/>
      </c>
    </row>
    <row r="8629" spans="3:3">
      <c r="C8629" s="160" t="str">
        <f t="shared" si="153"/>
        <v/>
      </c>
    </row>
    <row r="8630" spans="3:3">
      <c r="C8630" s="160" t="str">
        <f t="shared" si="153"/>
        <v/>
      </c>
    </row>
    <row r="8631" spans="3:3">
      <c r="C8631" s="160" t="str">
        <f t="shared" si="153"/>
        <v/>
      </c>
    </row>
    <row r="8632" spans="3:3">
      <c r="C8632" s="160" t="str">
        <f t="shared" si="153"/>
        <v/>
      </c>
    </row>
    <row r="8633" spans="3:3">
      <c r="C8633" s="160" t="str">
        <f t="shared" si="153"/>
        <v/>
      </c>
    </row>
    <row r="8634" spans="3:3">
      <c r="C8634" s="160" t="str">
        <f t="shared" si="153"/>
        <v/>
      </c>
    </row>
    <row r="8635" spans="3:3">
      <c r="C8635" s="160" t="str">
        <f t="shared" si="153"/>
        <v/>
      </c>
    </row>
    <row r="8636" spans="3:3">
      <c r="C8636" s="160" t="str">
        <f t="shared" si="153"/>
        <v/>
      </c>
    </row>
    <row r="8637" spans="3:3">
      <c r="C8637" s="160" t="str">
        <f t="shared" si="153"/>
        <v/>
      </c>
    </row>
    <row r="8638" spans="3:3">
      <c r="C8638" s="160" t="str">
        <f t="shared" si="153"/>
        <v/>
      </c>
    </row>
    <row r="8639" spans="3:3">
      <c r="C8639" s="160" t="str">
        <f t="shared" si="153"/>
        <v/>
      </c>
    </row>
    <row r="8640" spans="3:3">
      <c r="C8640" s="160" t="str">
        <f t="shared" si="153"/>
        <v/>
      </c>
    </row>
    <row r="8641" spans="3:3">
      <c r="C8641" s="160" t="str">
        <f t="shared" si="153"/>
        <v/>
      </c>
    </row>
    <row r="8642" spans="3:3">
      <c r="C8642" s="160" t="str">
        <f t="shared" si="153"/>
        <v/>
      </c>
    </row>
    <row r="8643" spans="3:3">
      <c r="C8643" s="160" t="str">
        <f t="shared" si="153"/>
        <v/>
      </c>
    </row>
    <row r="8644" spans="3:3">
      <c r="C8644" s="160" t="str">
        <f t="shared" si="153"/>
        <v/>
      </c>
    </row>
    <row r="8645" spans="3:3">
      <c r="C8645" s="160" t="str">
        <f t="shared" si="153"/>
        <v/>
      </c>
    </row>
    <row r="8646" spans="3:3">
      <c r="C8646" s="160" t="str">
        <f t="shared" si="153"/>
        <v/>
      </c>
    </row>
    <row r="8647" spans="3:3">
      <c r="C8647" s="160" t="str">
        <f t="shared" si="153"/>
        <v/>
      </c>
    </row>
    <row r="8648" spans="3:3">
      <c r="C8648" s="160" t="str">
        <f t="shared" si="153"/>
        <v/>
      </c>
    </row>
    <row r="8649" spans="3:3">
      <c r="C8649" s="160" t="str">
        <f t="shared" si="153"/>
        <v/>
      </c>
    </row>
    <row r="8650" spans="3:3">
      <c r="C8650" s="160" t="str">
        <f t="shared" si="153"/>
        <v/>
      </c>
    </row>
    <row r="8651" spans="3:3">
      <c r="C8651" s="160" t="str">
        <f t="shared" si="153"/>
        <v/>
      </c>
    </row>
    <row r="8652" spans="3:3">
      <c r="C8652" s="160" t="str">
        <f t="shared" si="153"/>
        <v/>
      </c>
    </row>
    <row r="8653" spans="3:3">
      <c r="C8653" s="160" t="str">
        <f t="shared" ref="C8653:C8716" si="154">D8653&amp;I8653</f>
        <v/>
      </c>
    </row>
    <row r="8654" spans="3:3">
      <c r="C8654" s="160" t="str">
        <f t="shared" si="154"/>
        <v/>
      </c>
    </row>
    <row r="8655" spans="3:3">
      <c r="C8655" s="160" t="str">
        <f t="shared" si="154"/>
        <v/>
      </c>
    </row>
    <row r="8656" spans="3:3">
      <c r="C8656" s="160" t="str">
        <f t="shared" si="154"/>
        <v/>
      </c>
    </row>
    <row r="8657" spans="3:3">
      <c r="C8657" s="160" t="str">
        <f t="shared" si="154"/>
        <v/>
      </c>
    </row>
    <row r="8658" spans="3:3">
      <c r="C8658" s="160" t="str">
        <f t="shared" si="154"/>
        <v/>
      </c>
    </row>
    <row r="8659" spans="3:3">
      <c r="C8659" s="160" t="str">
        <f t="shared" si="154"/>
        <v/>
      </c>
    </row>
    <row r="8660" spans="3:3">
      <c r="C8660" s="160" t="str">
        <f t="shared" si="154"/>
        <v/>
      </c>
    </row>
    <row r="8661" spans="3:3">
      <c r="C8661" s="160" t="str">
        <f t="shared" si="154"/>
        <v/>
      </c>
    </row>
    <row r="8662" spans="3:3">
      <c r="C8662" s="160" t="str">
        <f t="shared" si="154"/>
        <v/>
      </c>
    </row>
    <row r="8663" spans="3:3">
      <c r="C8663" s="160" t="str">
        <f t="shared" si="154"/>
        <v/>
      </c>
    </row>
    <row r="8664" spans="3:3">
      <c r="C8664" s="160" t="str">
        <f t="shared" si="154"/>
        <v/>
      </c>
    </row>
    <row r="8665" spans="3:3">
      <c r="C8665" s="160" t="str">
        <f t="shared" si="154"/>
        <v/>
      </c>
    </row>
    <row r="8666" spans="3:3">
      <c r="C8666" s="160" t="str">
        <f t="shared" si="154"/>
        <v/>
      </c>
    </row>
    <row r="8667" spans="3:3">
      <c r="C8667" s="160" t="str">
        <f t="shared" si="154"/>
        <v/>
      </c>
    </row>
    <row r="8668" spans="3:3">
      <c r="C8668" s="160" t="str">
        <f t="shared" si="154"/>
        <v/>
      </c>
    </row>
    <row r="8669" spans="3:3">
      <c r="C8669" s="160" t="str">
        <f t="shared" si="154"/>
        <v/>
      </c>
    </row>
    <row r="8670" spans="3:3">
      <c r="C8670" s="160" t="str">
        <f t="shared" si="154"/>
        <v/>
      </c>
    </row>
    <row r="8671" spans="3:3">
      <c r="C8671" s="160" t="str">
        <f t="shared" si="154"/>
        <v/>
      </c>
    </row>
    <row r="8672" spans="3:3">
      <c r="C8672" s="160" t="str">
        <f t="shared" si="154"/>
        <v/>
      </c>
    </row>
    <row r="8673" spans="3:3">
      <c r="C8673" s="160" t="str">
        <f t="shared" si="154"/>
        <v/>
      </c>
    </row>
    <row r="8674" spans="3:3">
      <c r="C8674" s="160" t="str">
        <f t="shared" si="154"/>
        <v/>
      </c>
    </row>
    <row r="8675" spans="3:3">
      <c r="C8675" s="160" t="str">
        <f t="shared" si="154"/>
        <v/>
      </c>
    </row>
    <row r="8676" spans="3:3">
      <c r="C8676" s="160" t="str">
        <f t="shared" si="154"/>
        <v/>
      </c>
    </row>
    <row r="8677" spans="3:3">
      <c r="C8677" s="160" t="str">
        <f t="shared" si="154"/>
        <v/>
      </c>
    </row>
    <row r="8678" spans="3:3">
      <c r="C8678" s="160" t="str">
        <f t="shared" si="154"/>
        <v/>
      </c>
    </row>
    <row r="8679" spans="3:3">
      <c r="C8679" s="160" t="str">
        <f t="shared" si="154"/>
        <v/>
      </c>
    </row>
    <row r="8680" spans="3:3">
      <c r="C8680" s="160" t="str">
        <f t="shared" si="154"/>
        <v/>
      </c>
    </row>
    <row r="8681" spans="3:3">
      <c r="C8681" s="160" t="str">
        <f t="shared" si="154"/>
        <v/>
      </c>
    </row>
    <row r="8682" spans="3:3">
      <c r="C8682" s="160" t="str">
        <f t="shared" si="154"/>
        <v/>
      </c>
    </row>
    <row r="8683" spans="3:3">
      <c r="C8683" s="160" t="str">
        <f t="shared" si="154"/>
        <v/>
      </c>
    </row>
    <row r="8684" spans="3:3">
      <c r="C8684" s="160" t="str">
        <f t="shared" si="154"/>
        <v/>
      </c>
    </row>
    <row r="8685" spans="3:3">
      <c r="C8685" s="160" t="str">
        <f t="shared" si="154"/>
        <v/>
      </c>
    </row>
    <row r="8686" spans="3:3">
      <c r="C8686" s="160" t="str">
        <f t="shared" si="154"/>
        <v/>
      </c>
    </row>
    <row r="8687" spans="3:3">
      <c r="C8687" s="160" t="str">
        <f t="shared" si="154"/>
        <v/>
      </c>
    </row>
    <row r="8688" spans="3:3">
      <c r="C8688" s="160" t="str">
        <f t="shared" si="154"/>
        <v/>
      </c>
    </row>
    <row r="8689" spans="3:3">
      <c r="C8689" s="160" t="str">
        <f t="shared" si="154"/>
        <v/>
      </c>
    </row>
    <row r="8690" spans="3:3">
      <c r="C8690" s="160" t="str">
        <f t="shared" si="154"/>
        <v/>
      </c>
    </row>
    <row r="8691" spans="3:3">
      <c r="C8691" s="160" t="str">
        <f t="shared" si="154"/>
        <v/>
      </c>
    </row>
    <row r="8692" spans="3:3">
      <c r="C8692" s="160" t="str">
        <f t="shared" si="154"/>
        <v/>
      </c>
    </row>
    <row r="8693" spans="3:3">
      <c r="C8693" s="160" t="str">
        <f t="shared" si="154"/>
        <v/>
      </c>
    </row>
    <row r="8694" spans="3:3">
      <c r="C8694" s="160" t="str">
        <f t="shared" si="154"/>
        <v/>
      </c>
    </row>
    <row r="8695" spans="3:3">
      <c r="C8695" s="160" t="str">
        <f t="shared" si="154"/>
        <v/>
      </c>
    </row>
    <row r="8696" spans="3:3">
      <c r="C8696" s="160" t="str">
        <f t="shared" si="154"/>
        <v/>
      </c>
    </row>
    <row r="8697" spans="3:3">
      <c r="C8697" s="160" t="str">
        <f t="shared" si="154"/>
        <v/>
      </c>
    </row>
    <row r="8698" spans="3:3">
      <c r="C8698" s="160" t="str">
        <f t="shared" si="154"/>
        <v/>
      </c>
    </row>
    <row r="8699" spans="3:3">
      <c r="C8699" s="160" t="str">
        <f t="shared" si="154"/>
        <v/>
      </c>
    </row>
    <row r="8700" spans="3:3">
      <c r="C8700" s="160" t="str">
        <f t="shared" si="154"/>
        <v/>
      </c>
    </row>
    <row r="8701" spans="3:3">
      <c r="C8701" s="160" t="str">
        <f t="shared" si="154"/>
        <v/>
      </c>
    </row>
    <row r="8702" spans="3:3">
      <c r="C8702" s="160" t="str">
        <f t="shared" si="154"/>
        <v/>
      </c>
    </row>
    <row r="8703" spans="3:3">
      <c r="C8703" s="160" t="str">
        <f t="shared" si="154"/>
        <v/>
      </c>
    </row>
    <row r="8704" spans="3:3">
      <c r="C8704" s="160" t="str">
        <f t="shared" si="154"/>
        <v/>
      </c>
    </row>
    <row r="8705" spans="3:3">
      <c r="C8705" s="160" t="str">
        <f t="shared" si="154"/>
        <v/>
      </c>
    </row>
    <row r="8706" spans="3:3">
      <c r="C8706" s="160" t="str">
        <f t="shared" si="154"/>
        <v/>
      </c>
    </row>
    <row r="8707" spans="3:3">
      <c r="C8707" s="160" t="str">
        <f t="shared" si="154"/>
        <v/>
      </c>
    </row>
    <row r="8708" spans="3:3">
      <c r="C8708" s="160" t="str">
        <f t="shared" si="154"/>
        <v/>
      </c>
    </row>
    <row r="8709" spans="3:3">
      <c r="C8709" s="160" t="str">
        <f t="shared" si="154"/>
        <v/>
      </c>
    </row>
    <row r="8710" spans="3:3">
      <c r="C8710" s="160" t="str">
        <f t="shared" si="154"/>
        <v/>
      </c>
    </row>
    <row r="8711" spans="3:3">
      <c r="C8711" s="160" t="str">
        <f t="shared" si="154"/>
        <v/>
      </c>
    </row>
    <row r="8712" spans="3:3">
      <c r="C8712" s="160" t="str">
        <f t="shared" si="154"/>
        <v/>
      </c>
    </row>
    <row r="8713" spans="3:3">
      <c r="C8713" s="160" t="str">
        <f t="shared" si="154"/>
        <v/>
      </c>
    </row>
    <row r="8714" spans="3:3">
      <c r="C8714" s="160" t="str">
        <f t="shared" si="154"/>
        <v/>
      </c>
    </row>
    <row r="8715" spans="3:3">
      <c r="C8715" s="160" t="str">
        <f t="shared" si="154"/>
        <v/>
      </c>
    </row>
    <row r="8716" spans="3:3">
      <c r="C8716" s="160" t="str">
        <f t="shared" si="154"/>
        <v/>
      </c>
    </row>
    <row r="8717" spans="3:3">
      <c r="C8717" s="160" t="str">
        <f t="shared" ref="C8717:C8780" si="155">D8717&amp;I8717</f>
        <v/>
      </c>
    </row>
    <row r="8718" spans="3:3">
      <c r="C8718" s="160" t="str">
        <f t="shared" si="155"/>
        <v/>
      </c>
    </row>
    <row r="8719" spans="3:3">
      <c r="C8719" s="160" t="str">
        <f t="shared" si="155"/>
        <v/>
      </c>
    </row>
    <row r="8720" spans="3:3">
      <c r="C8720" s="160" t="str">
        <f t="shared" si="155"/>
        <v/>
      </c>
    </row>
    <row r="8721" spans="3:3">
      <c r="C8721" s="160" t="str">
        <f t="shared" si="155"/>
        <v/>
      </c>
    </row>
    <row r="8722" spans="3:3">
      <c r="C8722" s="160" t="str">
        <f t="shared" si="155"/>
        <v/>
      </c>
    </row>
    <row r="8723" spans="3:3">
      <c r="C8723" s="160" t="str">
        <f t="shared" si="155"/>
        <v/>
      </c>
    </row>
    <row r="8724" spans="3:3">
      <c r="C8724" s="160" t="str">
        <f t="shared" si="155"/>
        <v/>
      </c>
    </row>
    <row r="8725" spans="3:3">
      <c r="C8725" s="160" t="str">
        <f t="shared" si="155"/>
        <v/>
      </c>
    </row>
    <row r="8726" spans="3:3">
      <c r="C8726" s="160" t="str">
        <f t="shared" si="155"/>
        <v/>
      </c>
    </row>
    <row r="8727" spans="3:3">
      <c r="C8727" s="160" t="str">
        <f t="shared" si="155"/>
        <v/>
      </c>
    </row>
    <row r="8728" spans="3:3">
      <c r="C8728" s="160" t="str">
        <f t="shared" si="155"/>
        <v/>
      </c>
    </row>
    <row r="8729" spans="3:3">
      <c r="C8729" s="160" t="str">
        <f t="shared" si="155"/>
        <v/>
      </c>
    </row>
    <row r="8730" spans="3:3">
      <c r="C8730" s="160" t="str">
        <f t="shared" si="155"/>
        <v/>
      </c>
    </row>
    <row r="8731" spans="3:3">
      <c r="C8731" s="160" t="str">
        <f t="shared" si="155"/>
        <v/>
      </c>
    </row>
    <row r="8732" spans="3:3">
      <c r="C8732" s="160" t="str">
        <f t="shared" si="155"/>
        <v/>
      </c>
    </row>
    <row r="8733" spans="3:3">
      <c r="C8733" s="160" t="str">
        <f t="shared" si="155"/>
        <v/>
      </c>
    </row>
    <row r="8734" spans="3:3">
      <c r="C8734" s="160" t="str">
        <f t="shared" si="155"/>
        <v/>
      </c>
    </row>
    <row r="8735" spans="3:3">
      <c r="C8735" s="160" t="str">
        <f t="shared" si="155"/>
        <v/>
      </c>
    </row>
    <row r="8736" spans="3:3">
      <c r="C8736" s="160" t="str">
        <f t="shared" si="155"/>
        <v/>
      </c>
    </row>
    <row r="8737" spans="3:3">
      <c r="C8737" s="160" t="str">
        <f t="shared" si="155"/>
        <v/>
      </c>
    </row>
    <row r="8738" spans="3:3">
      <c r="C8738" s="160" t="str">
        <f t="shared" si="155"/>
        <v/>
      </c>
    </row>
    <row r="8739" spans="3:3">
      <c r="C8739" s="160" t="str">
        <f t="shared" si="155"/>
        <v/>
      </c>
    </row>
    <row r="8740" spans="3:3">
      <c r="C8740" s="160" t="str">
        <f t="shared" si="155"/>
        <v/>
      </c>
    </row>
    <row r="8741" spans="3:3">
      <c r="C8741" s="160" t="str">
        <f t="shared" si="155"/>
        <v/>
      </c>
    </row>
    <row r="8742" spans="3:3">
      <c r="C8742" s="160" t="str">
        <f t="shared" si="155"/>
        <v/>
      </c>
    </row>
    <row r="8743" spans="3:3">
      <c r="C8743" s="160" t="str">
        <f t="shared" si="155"/>
        <v/>
      </c>
    </row>
    <row r="8744" spans="3:3">
      <c r="C8744" s="160" t="str">
        <f t="shared" si="155"/>
        <v/>
      </c>
    </row>
    <row r="8745" spans="3:3">
      <c r="C8745" s="160" t="str">
        <f t="shared" si="155"/>
        <v/>
      </c>
    </row>
    <row r="8746" spans="3:3">
      <c r="C8746" s="160" t="str">
        <f t="shared" si="155"/>
        <v/>
      </c>
    </row>
    <row r="8747" spans="3:3">
      <c r="C8747" s="160" t="str">
        <f t="shared" si="155"/>
        <v/>
      </c>
    </row>
    <row r="8748" spans="3:3">
      <c r="C8748" s="160" t="str">
        <f t="shared" si="155"/>
        <v/>
      </c>
    </row>
    <row r="8749" spans="3:3">
      <c r="C8749" s="160" t="str">
        <f t="shared" si="155"/>
        <v/>
      </c>
    </row>
    <row r="8750" spans="3:3">
      <c r="C8750" s="160" t="str">
        <f t="shared" si="155"/>
        <v/>
      </c>
    </row>
    <row r="8751" spans="3:3">
      <c r="C8751" s="160" t="str">
        <f t="shared" si="155"/>
        <v/>
      </c>
    </row>
    <row r="8752" spans="3:3">
      <c r="C8752" s="160" t="str">
        <f t="shared" si="155"/>
        <v/>
      </c>
    </row>
    <row r="8753" spans="3:3">
      <c r="C8753" s="160" t="str">
        <f t="shared" si="155"/>
        <v/>
      </c>
    </row>
    <row r="8754" spans="3:3">
      <c r="C8754" s="160" t="str">
        <f t="shared" si="155"/>
        <v/>
      </c>
    </row>
    <row r="8755" spans="3:3">
      <c r="C8755" s="160" t="str">
        <f t="shared" si="155"/>
        <v/>
      </c>
    </row>
    <row r="8756" spans="3:3">
      <c r="C8756" s="160" t="str">
        <f t="shared" si="155"/>
        <v/>
      </c>
    </row>
    <row r="8757" spans="3:3">
      <c r="C8757" s="160" t="str">
        <f t="shared" si="155"/>
        <v/>
      </c>
    </row>
    <row r="8758" spans="3:3">
      <c r="C8758" s="160" t="str">
        <f t="shared" si="155"/>
        <v/>
      </c>
    </row>
    <row r="8759" spans="3:3">
      <c r="C8759" s="160" t="str">
        <f t="shared" si="155"/>
        <v/>
      </c>
    </row>
    <row r="8760" spans="3:3">
      <c r="C8760" s="160" t="str">
        <f t="shared" si="155"/>
        <v/>
      </c>
    </row>
    <row r="8761" spans="3:3">
      <c r="C8761" s="160" t="str">
        <f t="shared" si="155"/>
        <v/>
      </c>
    </row>
    <row r="8762" spans="3:3">
      <c r="C8762" s="160" t="str">
        <f t="shared" si="155"/>
        <v/>
      </c>
    </row>
    <row r="8763" spans="3:3">
      <c r="C8763" s="160" t="str">
        <f t="shared" si="155"/>
        <v/>
      </c>
    </row>
    <row r="8764" spans="3:3">
      <c r="C8764" s="160" t="str">
        <f t="shared" si="155"/>
        <v/>
      </c>
    </row>
    <row r="8765" spans="3:3">
      <c r="C8765" s="160" t="str">
        <f t="shared" si="155"/>
        <v/>
      </c>
    </row>
    <row r="8766" spans="3:3">
      <c r="C8766" s="160" t="str">
        <f t="shared" si="155"/>
        <v/>
      </c>
    </row>
    <row r="8767" spans="3:3">
      <c r="C8767" s="160" t="str">
        <f t="shared" si="155"/>
        <v/>
      </c>
    </row>
    <row r="8768" spans="3:3">
      <c r="C8768" s="160" t="str">
        <f t="shared" si="155"/>
        <v/>
      </c>
    </row>
    <row r="8769" spans="3:3">
      <c r="C8769" s="160" t="str">
        <f t="shared" si="155"/>
        <v/>
      </c>
    </row>
    <row r="8770" spans="3:3">
      <c r="C8770" s="160" t="str">
        <f t="shared" si="155"/>
        <v/>
      </c>
    </row>
    <row r="8771" spans="3:3">
      <c r="C8771" s="160" t="str">
        <f t="shared" si="155"/>
        <v/>
      </c>
    </row>
    <row r="8772" spans="3:3">
      <c r="C8772" s="160" t="str">
        <f t="shared" si="155"/>
        <v/>
      </c>
    </row>
    <row r="8773" spans="3:3">
      <c r="C8773" s="160" t="str">
        <f t="shared" si="155"/>
        <v/>
      </c>
    </row>
    <row r="8774" spans="3:3">
      <c r="C8774" s="160" t="str">
        <f t="shared" si="155"/>
        <v/>
      </c>
    </row>
    <row r="8775" spans="3:3">
      <c r="C8775" s="160" t="str">
        <f t="shared" si="155"/>
        <v/>
      </c>
    </row>
    <row r="8776" spans="3:3">
      <c r="C8776" s="160" t="str">
        <f t="shared" si="155"/>
        <v/>
      </c>
    </row>
    <row r="8777" spans="3:3">
      <c r="C8777" s="160" t="str">
        <f t="shared" si="155"/>
        <v/>
      </c>
    </row>
    <row r="8778" spans="3:3">
      <c r="C8778" s="160" t="str">
        <f t="shared" si="155"/>
        <v/>
      </c>
    </row>
    <row r="8779" spans="3:3">
      <c r="C8779" s="160" t="str">
        <f t="shared" si="155"/>
        <v/>
      </c>
    </row>
    <row r="8780" spans="3:3">
      <c r="C8780" s="160" t="str">
        <f t="shared" si="155"/>
        <v/>
      </c>
    </row>
    <row r="8781" spans="3:3">
      <c r="C8781" s="160" t="str">
        <f t="shared" ref="C8781:C8844" si="156">D8781&amp;I8781</f>
        <v/>
      </c>
    </row>
    <row r="8782" spans="3:3">
      <c r="C8782" s="160" t="str">
        <f t="shared" si="156"/>
        <v/>
      </c>
    </row>
    <row r="8783" spans="3:3">
      <c r="C8783" s="160" t="str">
        <f t="shared" si="156"/>
        <v/>
      </c>
    </row>
    <row r="8784" spans="3:3">
      <c r="C8784" s="160" t="str">
        <f t="shared" si="156"/>
        <v/>
      </c>
    </row>
    <row r="8785" spans="3:3">
      <c r="C8785" s="160" t="str">
        <f t="shared" si="156"/>
        <v/>
      </c>
    </row>
    <row r="8786" spans="3:3">
      <c r="C8786" s="160" t="str">
        <f t="shared" si="156"/>
        <v/>
      </c>
    </row>
    <row r="8787" spans="3:3">
      <c r="C8787" s="160" t="str">
        <f t="shared" si="156"/>
        <v/>
      </c>
    </row>
    <row r="8788" spans="3:3">
      <c r="C8788" s="160" t="str">
        <f t="shared" si="156"/>
        <v/>
      </c>
    </row>
    <row r="8789" spans="3:3">
      <c r="C8789" s="160" t="str">
        <f t="shared" si="156"/>
        <v/>
      </c>
    </row>
    <row r="8790" spans="3:3">
      <c r="C8790" s="160" t="str">
        <f t="shared" si="156"/>
        <v/>
      </c>
    </row>
    <row r="8791" spans="3:3">
      <c r="C8791" s="160" t="str">
        <f t="shared" si="156"/>
        <v/>
      </c>
    </row>
    <row r="8792" spans="3:3">
      <c r="C8792" s="160" t="str">
        <f t="shared" si="156"/>
        <v/>
      </c>
    </row>
    <row r="8793" spans="3:3">
      <c r="C8793" s="160" t="str">
        <f t="shared" si="156"/>
        <v/>
      </c>
    </row>
    <row r="8794" spans="3:3">
      <c r="C8794" s="160" t="str">
        <f t="shared" si="156"/>
        <v/>
      </c>
    </row>
    <row r="8795" spans="3:3">
      <c r="C8795" s="160" t="str">
        <f t="shared" si="156"/>
        <v/>
      </c>
    </row>
    <row r="8796" spans="3:3">
      <c r="C8796" s="160" t="str">
        <f t="shared" si="156"/>
        <v/>
      </c>
    </row>
    <row r="8797" spans="3:3">
      <c r="C8797" s="160" t="str">
        <f t="shared" si="156"/>
        <v/>
      </c>
    </row>
    <row r="8798" spans="3:3">
      <c r="C8798" s="160" t="str">
        <f t="shared" si="156"/>
        <v/>
      </c>
    </row>
    <row r="8799" spans="3:3">
      <c r="C8799" s="160" t="str">
        <f t="shared" si="156"/>
        <v/>
      </c>
    </row>
    <row r="8800" spans="3:3">
      <c r="C8800" s="160" t="str">
        <f t="shared" si="156"/>
        <v/>
      </c>
    </row>
    <row r="8801" spans="3:3">
      <c r="C8801" s="160" t="str">
        <f t="shared" si="156"/>
        <v/>
      </c>
    </row>
    <row r="8802" spans="3:3">
      <c r="C8802" s="160" t="str">
        <f t="shared" si="156"/>
        <v/>
      </c>
    </row>
    <row r="8803" spans="3:3">
      <c r="C8803" s="160" t="str">
        <f t="shared" si="156"/>
        <v/>
      </c>
    </row>
    <row r="8804" spans="3:3">
      <c r="C8804" s="160" t="str">
        <f t="shared" si="156"/>
        <v/>
      </c>
    </row>
    <row r="8805" spans="3:3">
      <c r="C8805" s="160" t="str">
        <f t="shared" si="156"/>
        <v/>
      </c>
    </row>
    <row r="8806" spans="3:3">
      <c r="C8806" s="160" t="str">
        <f t="shared" si="156"/>
        <v/>
      </c>
    </row>
    <row r="8807" spans="3:3">
      <c r="C8807" s="160" t="str">
        <f t="shared" si="156"/>
        <v/>
      </c>
    </row>
    <row r="8808" spans="3:3">
      <c r="C8808" s="160" t="str">
        <f t="shared" si="156"/>
        <v/>
      </c>
    </row>
    <row r="8809" spans="3:3">
      <c r="C8809" s="160" t="str">
        <f t="shared" si="156"/>
        <v/>
      </c>
    </row>
    <row r="8810" spans="3:3">
      <c r="C8810" s="160" t="str">
        <f t="shared" si="156"/>
        <v/>
      </c>
    </row>
    <row r="8811" spans="3:3">
      <c r="C8811" s="160" t="str">
        <f t="shared" si="156"/>
        <v/>
      </c>
    </row>
    <row r="8812" spans="3:3">
      <c r="C8812" s="160" t="str">
        <f t="shared" si="156"/>
        <v/>
      </c>
    </row>
    <row r="8813" spans="3:3">
      <c r="C8813" s="160" t="str">
        <f t="shared" si="156"/>
        <v/>
      </c>
    </row>
    <row r="8814" spans="3:3">
      <c r="C8814" s="160" t="str">
        <f t="shared" si="156"/>
        <v/>
      </c>
    </row>
    <row r="8815" spans="3:3">
      <c r="C8815" s="160" t="str">
        <f t="shared" si="156"/>
        <v/>
      </c>
    </row>
    <row r="8816" spans="3:3">
      <c r="C8816" s="160" t="str">
        <f t="shared" si="156"/>
        <v/>
      </c>
    </row>
    <row r="8817" spans="3:3">
      <c r="C8817" s="160" t="str">
        <f t="shared" si="156"/>
        <v/>
      </c>
    </row>
    <row r="8818" spans="3:3">
      <c r="C8818" s="160" t="str">
        <f t="shared" si="156"/>
        <v/>
      </c>
    </row>
    <row r="8819" spans="3:3">
      <c r="C8819" s="160" t="str">
        <f t="shared" si="156"/>
        <v/>
      </c>
    </row>
    <row r="8820" spans="3:3">
      <c r="C8820" s="160" t="str">
        <f t="shared" si="156"/>
        <v/>
      </c>
    </row>
    <row r="8821" spans="3:3">
      <c r="C8821" s="160" t="str">
        <f t="shared" si="156"/>
        <v/>
      </c>
    </row>
    <row r="8822" spans="3:3">
      <c r="C8822" s="160" t="str">
        <f t="shared" si="156"/>
        <v/>
      </c>
    </row>
    <row r="8823" spans="3:3">
      <c r="C8823" s="160" t="str">
        <f t="shared" si="156"/>
        <v/>
      </c>
    </row>
    <row r="8824" spans="3:3">
      <c r="C8824" s="160" t="str">
        <f t="shared" si="156"/>
        <v/>
      </c>
    </row>
    <row r="8825" spans="3:3">
      <c r="C8825" s="160" t="str">
        <f t="shared" si="156"/>
        <v/>
      </c>
    </row>
    <row r="8826" spans="3:3">
      <c r="C8826" s="160" t="str">
        <f t="shared" si="156"/>
        <v/>
      </c>
    </row>
    <row r="8827" spans="3:3">
      <c r="C8827" s="160" t="str">
        <f t="shared" si="156"/>
        <v/>
      </c>
    </row>
    <row r="8828" spans="3:3">
      <c r="C8828" s="160" t="str">
        <f t="shared" si="156"/>
        <v/>
      </c>
    </row>
    <row r="8829" spans="3:3">
      <c r="C8829" s="160" t="str">
        <f t="shared" si="156"/>
        <v/>
      </c>
    </row>
    <row r="8830" spans="3:3">
      <c r="C8830" s="160" t="str">
        <f t="shared" si="156"/>
        <v/>
      </c>
    </row>
    <row r="8831" spans="3:3">
      <c r="C8831" s="160" t="str">
        <f t="shared" si="156"/>
        <v/>
      </c>
    </row>
    <row r="8832" spans="3:3">
      <c r="C8832" s="160" t="str">
        <f t="shared" si="156"/>
        <v/>
      </c>
    </row>
    <row r="8833" spans="3:3">
      <c r="C8833" s="160" t="str">
        <f t="shared" si="156"/>
        <v/>
      </c>
    </row>
    <row r="8834" spans="3:3">
      <c r="C8834" s="160" t="str">
        <f t="shared" si="156"/>
        <v/>
      </c>
    </row>
    <row r="8835" spans="3:3">
      <c r="C8835" s="160" t="str">
        <f t="shared" si="156"/>
        <v/>
      </c>
    </row>
    <row r="8836" spans="3:3">
      <c r="C8836" s="160" t="str">
        <f t="shared" si="156"/>
        <v/>
      </c>
    </row>
    <row r="8837" spans="3:3">
      <c r="C8837" s="160" t="str">
        <f t="shared" si="156"/>
        <v/>
      </c>
    </row>
    <row r="8838" spans="3:3">
      <c r="C8838" s="160" t="str">
        <f t="shared" si="156"/>
        <v/>
      </c>
    </row>
    <row r="8839" spans="3:3">
      <c r="C8839" s="160" t="str">
        <f t="shared" si="156"/>
        <v/>
      </c>
    </row>
    <row r="8840" spans="3:3">
      <c r="C8840" s="160" t="str">
        <f t="shared" si="156"/>
        <v/>
      </c>
    </row>
    <row r="8841" spans="3:3">
      <c r="C8841" s="160" t="str">
        <f t="shared" si="156"/>
        <v/>
      </c>
    </row>
    <row r="8842" spans="3:3">
      <c r="C8842" s="160" t="str">
        <f t="shared" si="156"/>
        <v/>
      </c>
    </row>
    <row r="8843" spans="3:3">
      <c r="C8843" s="160" t="str">
        <f t="shared" si="156"/>
        <v/>
      </c>
    </row>
    <row r="8844" spans="3:3">
      <c r="C8844" s="160" t="str">
        <f t="shared" si="156"/>
        <v/>
      </c>
    </row>
    <row r="8845" spans="3:3">
      <c r="C8845" s="160" t="str">
        <f t="shared" ref="C8845:C8908" si="157">D8845&amp;I8845</f>
        <v/>
      </c>
    </row>
    <row r="8846" spans="3:3">
      <c r="C8846" s="160" t="str">
        <f t="shared" si="157"/>
        <v/>
      </c>
    </row>
    <row r="8847" spans="3:3">
      <c r="C8847" s="160" t="str">
        <f t="shared" si="157"/>
        <v/>
      </c>
    </row>
    <row r="8848" spans="3:3">
      <c r="C8848" s="160" t="str">
        <f t="shared" si="157"/>
        <v/>
      </c>
    </row>
    <row r="8849" spans="3:3">
      <c r="C8849" s="160" t="str">
        <f t="shared" si="157"/>
        <v/>
      </c>
    </row>
    <row r="8850" spans="3:3">
      <c r="C8850" s="160" t="str">
        <f t="shared" si="157"/>
        <v/>
      </c>
    </row>
    <row r="8851" spans="3:3">
      <c r="C8851" s="160" t="str">
        <f t="shared" si="157"/>
        <v/>
      </c>
    </row>
    <row r="8852" spans="3:3">
      <c r="C8852" s="160" t="str">
        <f t="shared" si="157"/>
        <v/>
      </c>
    </row>
    <row r="8853" spans="3:3">
      <c r="C8853" s="160" t="str">
        <f t="shared" si="157"/>
        <v/>
      </c>
    </row>
    <row r="8854" spans="3:3">
      <c r="C8854" s="160" t="str">
        <f t="shared" si="157"/>
        <v/>
      </c>
    </row>
    <row r="8855" spans="3:3">
      <c r="C8855" s="160" t="str">
        <f t="shared" si="157"/>
        <v/>
      </c>
    </row>
    <row r="8856" spans="3:3">
      <c r="C8856" s="160" t="str">
        <f t="shared" si="157"/>
        <v/>
      </c>
    </row>
    <row r="8857" spans="3:3">
      <c r="C8857" s="160" t="str">
        <f t="shared" si="157"/>
        <v/>
      </c>
    </row>
    <row r="8858" spans="3:3">
      <c r="C8858" s="160" t="str">
        <f t="shared" si="157"/>
        <v/>
      </c>
    </row>
    <row r="8859" spans="3:3">
      <c r="C8859" s="160" t="str">
        <f t="shared" si="157"/>
        <v/>
      </c>
    </row>
    <row r="8860" spans="3:3">
      <c r="C8860" s="160" t="str">
        <f t="shared" si="157"/>
        <v/>
      </c>
    </row>
    <row r="8861" spans="3:3">
      <c r="C8861" s="160" t="str">
        <f t="shared" si="157"/>
        <v/>
      </c>
    </row>
    <row r="8862" spans="3:3">
      <c r="C8862" s="160" t="str">
        <f t="shared" si="157"/>
        <v/>
      </c>
    </row>
    <row r="8863" spans="3:3">
      <c r="C8863" s="160" t="str">
        <f t="shared" si="157"/>
        <v/>
      </c>
    </row>
    <row r="8864" spans="3:3">
      <c r="C8864" s="160" t="str">
        <f t="shared" si="157"/>
        <v/>
      </c>
    </row>
    <row r="8865" spans="3:3">
      <c r="C8865" s="160" t="str">
        <f t="shared" si="157"/>
        <v/>
      </c>
    </row>
    <row r="8866" spans="3:3">
      <c r="C8866" s="160" t="str">
        <f t="shared" si="157"/>
        <v/>
      </c>
    </row>
    <row r="8867" spans="3:3">
      <c r="C8867" s="160" t="str">
        <f t="shared" si="157"/>
        <v/>
      </c>
    </row>
    <row r="8868" spans="3:3">
      <c r="C8868" s="160" t="str">
        <f t="shared" si="157"/>
        <v/>
      </c>
    </row>
    <row r="8869" spans="3:3">
      <c r="C8869" s="160" t="str">
        <f t="shared" si="157"/>
        <v/>
      </c>
    </row>
    <row r="8870" spans="3:3">
      <c r="C8870" s="160" t="str">
        <f t="shared" si="157"/>
        <v/>
      </c>
    </row>
    <row r="8871" spans="3:3">
      <c r="C8871" s="160" t="str">
        <f t="shared" si="157"/>
        <v/>
      </c>
    </row>
    <row r="8872" spans="3:3">
      <c r="C8872" s="160" t="str">
        <f t="shared" si="157"/>
        <v/>
      </c>
    </row>
    <row r="8873" spans="3:3">
      <c r="C8873" s="160" t="str">
        <f t="shared" si="157"/>
        <v/>
      </c>
    </row>
    <row r="8874" spans="3:3">
      <c r="C8874" s="160" t="str">
        <f t="shared" si="157"/>
        <v/>
      </c>
    </row>
    <row r="8875" spans="3:3">
      <c r="C8875" s="160" t="str">
        <f t="shared" si="157"/>
        <v/>
      </c>
    </row>
    <row r="8876" spans="3:3">
      <c r="C8876" s="160" t="str">
        <f t="shared" si="157"/>
        <v/>
      </c>
    </row>
    <row r="8877" spans="3:3">
      <c r="C8877" s="160" t="str">
        <f t="shared" si="157"/>
        <v/>
      </c>
    </row>
    <row r="8878" spans="3:3">
      <c r="C8878" s="160" t="str">
        <f t="shared" si="157"/>
        <v/>
      </c>
    </row>
    <row r="8879" spans="3:3">
      <c r="C8879" s="160" t="str">
        <f t="shared" si="157"/>
        <v/>
      </c>
    </row>
    <row r="8880" spans="3:3">
      <c r="C8880" s="160" t="str">
        <f t="shared" si="157"/>
        <v/>
      </c>
    </row>
    <row r="8881" spans="3:3">
      <c r="C8881" s="160" t="str">
        <f t="shared" si="157"/>
        <v/>
      </c>
    </row>
    <row r="8882" spans="3:3">
      <c r="C8882" s="160" t="str">
        <f t="shared" si="157"/>
        <v/>
      </c>
    </row>
    <row r="8883" spans="3:3">
      <c r="C8883" s="160" t="str">
        <f t="shared" si="157"/>
        <v/>
      </c>
    </row>
    <row r="8884" spans="3:3">
      <c r="C8884" s="160" t="str">
        <f t="shared" si="157"/>
        <v/>
      </c>
    </row>
    <row r="8885" spans="3:3">
      <c r="C8885" s="160" t="str">
        <f t="shared" si="157"/>
        <v/>
      </c>
    </row>
    <row r="8886" spans="3:3">
      <c r="C8886" s="160" t="str">
        <f t="shared" si="157"/>
        <v/>
      </c>
    </row>
    <row r="8887" spans="3:3">
      <c r="C8887" s="160" t="str">
        <f t="shared" si="157"/>
        <v/>
      </c>
    </row>
    <row r="8888" spans="3:3">
      <c r="C8888" s="160" t="str">
        <f t="shared" si="157"/>
        <v/>
      </c>
    </row>
    <row r="8889" spans="3:3">
      <c r="C8889" s="160" t="str">
        <f t="shared" si="157"/>
        <v/>
      </c>
    </row>
    <row r="8890" spans="3:3">
      <c r="C8890" s="160" t="str">
        <f t="shared" si="157"/>
        <v/>
      </c>
    </row>
    <row r="8891" spans="3:3">
      <c r="C8891" s="160" t="str">
        <f t="shared" si="157"/>
        <v/>
      </c>
    </row>
    <row r="8892" spans="3:3">
      <c r="C8892" s="160" t="str">
        <f t="shared" si="157"/>
        <v/>
      </c>
    </row>
    <row r="8893" spans="3:3">
      <c r="C8893" s="160" t="str">
        <f t="shared" si="157"/>
        <v/>
      </c>
    </row>
    <row r="8894" spans="3:3">
      <c r="C8894" s="160" t="str">
        <f t="shared" si="157"/>
        <v/>
      </c>
    </row>
    <row r="8895" spans="3:3">
      <c r="C8895" s="160" t="str">
        <f t="shared" si="157"/>
        <v/>
      </c>
    </row>
    <row r="8896" spans="3:3">
      <c r="C8896" s="160" t="str">
        <f t="shared" si="157"/>
        <v/>
      </c>
    </row>
    <row r="8897" spans="3:3">
      <c r="C8897" s="160" t="str">
        <f t="shared" si="157"/>
        <v/>
      </c>
    </row>
    <row r="8898" spans="3:3">
      <c r="C8898" s="160" t="str">
        <f t="shared" si="157"/>
        <v/>
      </c>
    </row>
    <row r="8899" spans="3:3">
      <c r="C8899" s="160" t="str">
        <f t="shared" si="157"/>
        <v/>
      </c>
    </row>
    <row r="8900" spans="3:3">
      <c r="C8900" s="160" t="str">
        <f t="shared" si="157"/>
        <v/>
      </c>
    </row>
    <row r="8901" spans="3:3">
      <c r="C8901" s="160" t="str">
        <f t="shared" si="157"/>
        <v/>
      </c>
    </row>
    <row r="8902" spans="3:3">
      <c r="C8902" s="160" t="str">
        <f t="shared" si="157"/>
        <v/>
      </c>
    </row>
    <row r="8903" spans="3:3">
      <c r="C8903" s="160" t="str">
        <f t="shared" si="157"/>
        <v/>
      </c>
    </row>
    <row r="8904" spans="3:3">
      <c r="C8904" s="160" t="str">
        <f t="shared" si="157"/>
        <v/>
      </c>
    </row>
    <row r="8905" spans="3:3">
      <c r="C8905" s="160" t="str">
        <f t="shared" si="157"/>
        <v/>
      </c>
    </row>
    <row r="8906" spans="3:3">
      <c r="C8906" s="160" t="str">
        <f t="shared" si="157"/>
        <v/>
      </c>
    </row>
    <row r="8907" spans="3:3">
      <c r="C8907" s="160" t="str">
        <f t="shared" si="157"/>
        <v/>
      </c>
    </row>
    <row r="8908" spans="3:3">
      <c r="C8908" s="160" t="str">
        <f t="shared" si="157"/>
        <v/>
      </c>
    </row>
    <row r="8909" spans="3:3">
      <c r="C8909" s="160" t="str">
        <f t="shared" ref="C8909:C8972" si="158">D8909&amp;I8909</f>
        <v/>
      </c>
    </row>
    <row r="8910" spans="3:3">
      <c r="C8910" s="160" t="str">
        <f t="shared" si="158"/>
        <v/>
      </c>
    </row>
    <row r="8911" spans="3:3">
      <c r="C8911" s="160" t="str">
        <f t="shared" si="158"/>
        <v/>
      </c>
    </row>
    <row r="8912" spans="3:3">
      <c r="C8912" s="160" t="str">
        <f t="shared" si="158"/>
        <v/>
      </c>
    </row>
    <row r="8913" spans="3:3">
      <c r="C8913" s="160" t="str">
        <f t="shared" si="158"/>
        <v/>
      </c>
    </row>
    <row r="8914" spans="3:3">
      <c r="C8914" s="160" t="str">
        <f t="shared" si="158"/>
        <v/>
      </c>
    </row>
    <row r="8915" spans="3:3">
      <c r="C8915" s="160" t="str">
        <f t="shared" si="158"/>
        <v/>
      </c>
    </row>
    <row r="8916" spans="3:3">
      <c r="C8916" s="160" t="str">
        <f t="shared" si="158"/>
        <v/>
      </c>
    </row>
    <row r="8917" spans="3:3">
      <c r="C8917" s="160" t="str">
        <f t="shared" si="158"/>
        <v/>
      </c>
    </row>
    <row r="8918" spans="3:3">
      <c r="C8918" s="160" t="str">
        <f t="shared" si="158"/>
        <v/>
      </c>
    </row>
    <row r="8919" spans="3:3">
      <c r="C8919" s="160" t="str">
        <f t="shared" si="158"/>
        <v/>
      </c>
    </row>
    <row r="8920" spans="3:3">
      <c r="C8920" s="160" t="str">
        <f t="shared" si="158"/>
        <v/>
      </c>
    </row>
    <row r="8921" spans="3:3">
      <c r="C8921" s="160" t="str">
        <f t="shared" si="158"/>
        <v/>
      </c>
    </row>
    <row r="8922" spans="3:3">
      <c r="C8922" s="160" t="str">
        <f t="shared" si="158"/>
        <v/>
      </c>
    </row>
    <row r="8923" spans="3:3">
      <c r="C8923" s="160" t="str">
        <f t="shared" si="158"/>
        <v/>
      </c>
    </row>
    <row r="8924" spans="3:3">
      <c r="C8924" s="160" t="str">
        <f t="shared" si="158"/>
        <v/>
      </c>
    </row>
    <row r="8925" spans="3:3">
      <c r="C8925" s="160" t="str">
        <f t="shared" si="158"/>
        <v/>
      </c>
    </row>
    <row r="8926" spans="3:3">
      <c r="C8926" s="160" t="str">
        <f t="shared" si="158"/>
        <v/>
      </c>
    </row>
    <row r="8927" spans="3:3">
      <c r="C8927" s="160" t="str">
        <f t="shared" si="158"/>
        <v/>
      </c>
    </row>
    <row r="8928" spans="3:3">
      <c r="C8928" s="160" t="str">
        <f t="shared" si="158"/>
        <v/>
      </c>
    </row>
    <row r="8929" spans="3:3">
      <c r="C8929" s="160" t="str">
        <f t="shared" si="158"/>
        <v/>
      </c>
    </row>
    <row r="8930" spans="3:3">
      <c r="C8930" s="160" t="str">
        <f t="shared" si="158"/>
        <v/>
      </c>
    </row>
    <row r="8931" spans="3:3">
      <c r="C8931" s="160" t="str">
        <f t="shared" si="158"/>
        <v/>
      </c>
    </row>
    <row r="8932" spans="3:3">
      <c r="C8932" s="160" t="str">
        <f t="shared" si="158"/>
        <v/>
      </c>
    </row>
    <row r="8933" spans="3:3">
      <c r="C8933" s="160" t="str">
        <f t="shared" si="158"/>
        <v/>
      </c>
    </row>
    <row r="8934" spans="3:3">
      <c r="C8934" s="160" t="str">
        <f t="shared" si="158"/>
        <v/>
      </c>
    </row>
    <row r="8935" spans="3:3">
      <c r="C8935" s="160" t="str">
        <f t="shared" si="158"/>
        <v/>
      </c>
    </row>
    <row r="8936" spans="3:3">
      <c r="C8936" s="160" t="str">
        <f t="shared" si="158"/>
        <v/>
      </c>
    </row>
    <row r="8937" spans="3:3">
      <c r="C8937" s="160" t="str">
        <f t="shared" si="158"/>
        <v/>
      </c>
    </row>
    <row r="8938" spans="3:3">
      <c r="C8938" s="160" t="str">
        <f t="shared" si="158"/>
        <v/>
      </c>
    </row>
    <row r="8939" spans="3:3">
      <c r="C8939" s="160" t="str">
        <f t="shared" si="158"/>
        <v/>
      </c>
    </row>
    <row r="8940" spans="3:3">
      <c r="C8940" s="160" t="str">
        <f t="shared" si="158"/>
        <v/>
      </c>
    </row>
    <row r="8941" spans="3:3">
      <c r="C8941" s="160" t="str">
        <f t="shared" si="158"/>
        <v/>
      </c>
    </row>
    <row r="8942" spans="3:3">
      <c r="C8942" s="160" t="str">
        <f t="shared" si="158"/>
        <v/>
      </c>
    </row>
    <row r="8943" spans="3:3">
      <c r="C8943" s="160" t="str">
        <f t="shared" si="158"/>
        <v/>
      </c>
    </row>
    <row r="8944" spans="3:3">
      <c r="C8944" s="160" t="str">
        <f t="shared" si="158"/>
        <v/>
      </c>
    </row>
    <row r="8945" spans="3:3">
      <c r="C8945" s="160" t="str">
        <f t="shared" si="158"/>
        <v/>
      </c>
    </row>
    <row r="8946" spans="3:3">
      <c r="C8946" s="160" t="str">
        <f t="shared" si="158"/>
        <v/>
      </c>
    </row>
    <row r="8947" spans="3:3">
      <c r="C8947" s="160" t="str">
        <f t="shared" si="158"/>
        <v/>
      </c>
    </row>
    <row r="8948" spans="3:3">
      <c r="C8948" s="160" t="str">
        <f t="shared" si="158"/>
        <v/>
      </c>
    </row>
    <row r="8949" spans="3:3">
      <c r="C8949" s="160" t="str">
        <f t="shared" si="158"/>
        <v/>
      </c>
    </row>
    <row r="8950" spans="3:3">
      <c r="C8950" s="160" t="str">
        <f t="shared" si="158"/>
        <v/>
      </c>
    </row>
    <row r="8951" spans="3:3">
      <c r="C8951" s="160" t="str">
        <f t="shared" si="158"/>
        <v/>
      </c>
    </row>
    <row r="8952" spans="3:3">
      <c r="C8952" s="160" t="str">
        <f t="shared" si="158"/>
        <v/>
      </c>
    </row>
    <row r="8953" spans="3:3">
      <c r="C8953" s="160" t="str">
        <f t="shared" si="158"/>
        <v/>
      </c>
    </row>
    <row r="8954" spans="3:3">
      <c r="C8954" s="160" t="str">
        <f t="shared" si="158"/>
        <v/>
      </c>
    </row>
    <row r="8955" spans="3:3">
      <c r="C8955" s="160" t="str">
        <f t="shared" si="158"/>
        <v/>
      </c>
    </row>
    <row r="8956" spans="3:3">
      <c r="C8956" s="160" t="str">
        <f t="shared" si="158"/>
        <v/>
      </c>
    </row>
    <row r="8957" spans="3:3">
      <c r="C8957" s="160" t="str">
        <f t="shared" si="158"/>
        <v/>
      </c>
    </row>
    <row r="8958" spans="3:3">
      <c r="C8958" s="160" t="str">
        <f t="shared" si="158"/>
        <v/>
      </c>
    </row>
    <row r="8959" spans="3:3">
      <c r="C8959" s="160" t="str">
        <f t="shared" si="158"/>
        <v/>
      </c>
    </row>
    <row r="8960" spans="3:3">
      <c r="C8960" s="160" t="str">
        <f t="shared" si="158"/>
        <v/>
      </c>
    </row>
    <row r="8961" spans="3:3">
      <c r="C8961" s="160" t="str">
        <f t="shared" si="158"/>
        <v/>
      </c>
    </row>
    <row r="8962" spans="3:3">
      <c r="C8962" s="160" t="str">
        <f t="shared" si="158"/>
        <v/>
      </c>
    </row>
    <row r="8963" spans="3:3">
      <c r="C8963" s="160" t="str">
        <f t="shared" si="158"/>
        <v/>
      </c>
    </row>
    <row r="8964" spans="3:3">
      <c r="C8964" s="160" t="str">
        <f t="shared" si="158"/>
        <v/>
      </c>
    </row>
    <row r="8965" spans="3:3">
      <c r="C8965" s="160" t="str">
        <f t="shared" si="158"/>
        <v/>
      </c>
    </row>
    <row r="8966" spans="3:3">
      <c r="C8966" s="160" t="str">
        <f t="shared" si="158"/>
        <v/>
      </c>
    </row>
    <row r="8967" spans="3:3">
      <c r="C8967" s="160" t="str">
        <f t="shared" si="158"/>
        <v/>
      </c>
    </row>
    <row r="8968" spans="3:3">
      <c r="C8968" s="160" t="str">
        <f t="shared" si="158"/>
        <v/>
      </c>
    </row>
    <row r="8969" spans="3:3">
      <c r="C8969" s="160" t="str">
        <f t="shared" si="158"/>
        <v/>
      </c>
    </row>
    <row r="8970" spans="3:3">
      <c r="C8970" s="160" t="str">
        <f t="shared" si="158"/>
        <v/>
      </c>
    </row>
    <row r="8971" spans="3:3">
      <c r="C8971" s="160" t="str">
        <f t="shared" si="158"/>
        <v/>
      </c>
    </row>
    <row r="8972" spans="3:3">
      <c r="C8972" s="160" t="str">
        <f t="shared" si="158"/>
        <v/>
      </c>
    </row>
    <row r="8973" spans="3:3">
      <c r="C8973" s="160" t="str">
        <f t="shared" ref="C8973:C9036" si="159">D8973&amp;I8973</f>
        <v/>
      </c>
    </row>
    <row r="8974" spans="3:3">
      <c r="C8974" s="160" t="str">
        <f t="shared" si="159"/>
        <v/>
      </c>
    </row>
    <row r="8975" spans="3:3">
      <c r="C8975" s="160" t="str">
        <f t="shared" si="159"/>
        <v/>
      </c>
    </row>
    <row r="8976" spans="3:3">
      <c r="C8976" s="160" t="str">
        <f t="shared" si="159"/>
        <v/>
      </c>
    </row>
    <row r="8977" spans="3:3">
      <c r="C8977" s="160" t="str">
        <f t="shared" si="159"/>
        <v/>
      </c>
    </row>
    <row r="8978" spans="3:3">
      <c r="C8978" s="160" t="str">
        <f t="shared" si="159"/>
        <v/>
      </c>
    </row>
    <row r="8979" spans="3:3">
      <c r="C8979" s="160" t="str">
        <f t="shared" si="159"/>
        <v/>
      </c>
    </row>
    <row r="8980" spans="3:3">
      <c r="C8980" s="160" t="str">
        <f t="shared" si="159"/>
        <v/>
      </c>
    </row>
    <row r="8981" spans="3:3">
      <c r="C8981" s="160" t="str">
        <f t="shared" si="159"/>
        <v/>
      </c>
    </row>
    <row r="8982" spans="3:3">
      <c r="C8982" s="160" t="str">
        <f t="shared" si="159"/>
        <v/>
      </c>
    </row>
    <row r="8983" spans="3:3">
      <c r="C8983" s="160" t="str">
        <f t="shared" si="159"/>
        <v/>
      </c>
    </row>
    <row r="8984" spans="3:3">
      <c r="C8984" s="160" t="str">
        <f t="shared" si="159"/>
        <v/>
      </c>
    </row>
    <row r="8985" spans="3:3">
      <c r="C8985" s="160" t="str">
        <f t="shared" si="159"/>
        <v/>
      </c>
    </row>
    <row r="8986" spans="3:3">
      <c r="C8986" s="160" t="str">
        <f t="shared" si="159"/>
        <v/>
      </c>
    </row>
    <row r="8987" spans="3:3">
      <c r="C8987" s="160" t="str">
        <f t="shared" si="159"/>
        <v/>
      </c>
    </row>
    <row r="8988" spans="3:3">
      <c r="C8988" s="160" t="str">
        <f t="shared" si="159"/>
        <v/>
      </c>
    </row>
    <row r="8989" spans="3:3">
      <c r="C8989" s="160" t="str">
        <f t="shared" si="159"/>
        <v/>
      </c>
    </row>
    <row r="8990" spans="3:3">
      <c r="C8990" s="160" t="str">
        <f t="shared" si="159"/>
        <v/>
      </c>
    </row>
    <row r="8991" spans="3:3">
      <c r="C8991" s="160" t="str">
        <f t="shared" si="159"/>
        <v/>
      </c>
    </row>
    <row r="8992" spans="3:3">
      <c r="C8992" s="160" t="str">
        <f t="shared" si="159"/>
        <v/>
      </c>
    </row>
    <row r="8993" spans="3:3">
      <c r="C8993" s="160" t="str">
        <f t="shared" si="159"/>
        <v/>
      </c>
    </row>
    <row r="8994" spans="3:3">
      <c r="C8994" s="160" t="str">
        <f t="shared" si="159"/>
        <v/>
      </c>
    </row>
    <row r="8995" spans="3:3">
      <c r="C8995" s="160" t="str">
        <f t="shared" si="159"/>
        <v/>
      </c>
    </row>
    <row r="8996" spans="3:3">
      <c r="C8996" s="160" t="str">
        <f t="shared" si="159"/>
        <v/>
      </c>
    </row>
    <row r="8997" spans="3:3">
      <c r="C8997" s="160" t="str">
        <f t="shared" si="159"/>
        <v/>
      </c>
    </row>
    <row r="8998" spans="3:3">
      <c r="C8998" s="160" t="str">
        <f t="shared" si="159"/>
        <v/>
      </c>
    </row>
    <row r="8999" spans="3:3">
      <c r="C8999" s="160" t="str">
        <f t="shared" si="159"/>
        <v/>
      </c>
    </row>
    <row r="9000" spans="3:3">
      <c r="C9000" s="160" t="str">
        <f t="shared" si="159"/>
        <v/>
      </c>
    </row>
    <row r="9001" spans="3:3">
      <c r="C9001" s="160" t="str">
        <f t="shared" si="159"/>
        <v/>
      </c>
    </row>
    <row r="9002" spans="3:3">
      <c r="C9002" s="160" t="str">
        <f t="shared" si="159"/>
        <v/>
      </c>
    </row>
    <row r="9003" spans="3:3">
      <c r="C9003" s="160" t="str">
        <f t="shared" si="159"/>
        <v/>
      </c>
    </row>
    <row r="9004" spans="3:3">
      <c r="C9004" s="160" t="str">
        <f t="shared" si="159"/>
        <v/>
      </c>
    </row>
    <row r="9005" spans="3:3">
      <c r="C9005" s="160" t="str">
        <f t="shared" si="159"/>
        <v/>
      </c>
    </row>
    <row r="9006" spans="3:3">
      <c r="C9006" s="160" t="str">
        <f t="shared" si="159"/>
        <v/>
      </c>
    </row>
    <row r="9007" spans="3:3">
      <c r="C9007" s="160" t="str">
        <f t="shared" si="159"/>
        <v/>
      </c>
    </row>
    <row r="9008" spans="3:3">
      <c r="C9008" s="160" t="str">
        <f t="shared" si="159"/>
        <v/>
      </c>
    </row>
    <row r="9009" spans="3:3">
      <c r="C9009" s="160" t="str">
        <f t="shared" si="159"/>
        <v/>
      </c>
    </row>
    <row r="9010" spans="3:3">
      <c r="C9010" s="160" t="str">
        <f t="shared" si="159"/>
        <v/>
      </c>
    </row>
    <row r="9011" spans="3:3">
      <c r="C9011" s="160" t="str">
        <f t="shared" si="159"/>
        <v/>
      </c>
    </row>
    <row r="9012" spans="3:3">
      <c r="C9012" s="160" t="str">
        <f t="shared" si="159"/>
        <v/>
      </c>
    </row>
    <row r="9013" spans="3:3">
      <c r="C9013" s="160" t="str">
        <f t="shared" si="159"/>
        <v/>
      </c>
    </row>
    <row r="9014" spans="3:3">
      <c r="C9014" s="160" t="str">
        <f t="shared" si="159"/>
        <v/>
      </c>
    </row>
    <row r="9015" spans="3:3">
      <c r="C9015" s="160" t="str">
        <f t="shared" si="159"/>
        <v/>
      </c>
    </row>
    <row r="9016" spans="3:3">
      <c r="C9016" s="160" t="str">
        <f t="shared" si="159"/>
        <v/>
      </c>
    </row>
    <row r="9017" spans="3:3">
      <c r="C9017" s="160" t="str">
        <f t="shared" si="159"/>
        <v/>
      </c>
    </row>
    <row r="9018" spans="3:3">
      <c r="C9018" s="160" t="str">
        <f t="shared" si="159"/>
        <v/>
      </c>
    </row>
    <row r="9019" spans="3:3">
      <c r="C9019" s="160" t="str">
        <f t="shared" si="159"/>
        <v/>
      </c>
    </row>
    <row r="9020" spans="3:3">
      <c r="C9020" s="160" t="str">
        <f t="shared" si="159"/>
        <v/>
      </c>
    </row>
    <row r="9021" spans="3:3">
      <c r="C9021" s="160" t="str">
        <f t="shared" si="159"/>
        <v/>
      </c>
    </row>
    <row r="9022" spans="3:3">
      <c r="C9022" s="160" t="str">
        <f t="shared" si="159"/>
        <v/>
      </c>
    </row>
    <row r="9023" spans="3:3">
      <c r="C9023" s="160" t="str">
        <f t="shared" si="159"/>
        <v/>
      </c>
    </row>
    <row r="9024" spans="3:3">
      <c r="C9024" s="160" t="str">
        <f t="shared" si="159"/>
        <v/>
      </c>
    </row>
    <row r="9025" spans="3:3">
      <c r="C9025" s="160" t="str">
        <f t="shared" si="159"/>
        <v/>
      </c>
    </row>
    <row r="9026" spans="3:3">
      <c r="C9026" s="160" t="str">
        <f t="shared" si="159"/>
        <v/>
      </c>
    </row>
    <row r="9027" spans="3:3">
      <c r="C9027" s="160" t="str">
        <f t="shared" si="159"/>
        <v/>
      </c>
    </row>
    <row r="9028" spans="3:3">
      <c r="C9028" s="160" t="str">
        <f t="shared" si="159"/>
        <v/>
      </c>
    </row>
    <row r="9029" spans="3:3">
      <c r="C9029" s="160" t="str">
        <f t="shared" si="159"/>
        <v/>
      </c>
    </row>
    <row r="9030" spans="3:3">
      <c r="C9030" s="160" t="str">
        <f t="shared" si="159"/>
        <v/>
      </c>
    </row>
    <row r="9031" spans="3:3">
      <c r="C9031" s="160" t="str">
        <f t="shared" si="159"/>
        <v/>
      </c>
    </row>
    <row r="9032" spans="3:3">
      <c r="C9032" s="160" t="str">
        <f t="shared" si="159"/>
        <v/>
      </c>
    </row>
    <row r="9033" spans="3:3">
      <c r="C9033" s="160" t="str">
        <f t="shared" si="159"/>
        <v/>
      </c>
    </row>
    <row r="9034" spans="3:3">
      <c r="C9034" s="160" t="str">
        <f t="shared" si="159"/>
        <v/>
      </c>
    </row>
    <row r="9035" spans="3:3">
      <c r="C9035" s="160" t="str">
        <f t="shared" si="159"/>
        <v/>
      </c>
    </row>
    <row r="9036" spans="3:3">
      <c r="C9036" s="160" t="str">
        <f t="shared" si="159"/>
        <v/>
      </c>
    </row>
    <row r="9037" spans="3:3">
      <c r="C9037" s="160" t="str">
        <f t="shared" ref="C9037:C9100" si="160">D9037&amp;I9037</f>
        <v/>
      </c>
    </row>
    <row r="9038" spans="3:3">
      <c r="C9038" s="160" t="str">
        <f t="shared" si="160"/>
        <v/>
      </c>
    </row>
    <row r="9039" spans="3:3">
      <c r="C9039" s="160" t="str">
        <f t="shared" si="160"/>
        <v/>
      </c>
    </row>
    <row r="9040" spans="3:3">
      <c r="C9040" s="160" t="str">
        <f t="shared" si="160"/>
        <v/>
      </c>
    </row>
    <row r="9041" spans="3:3">
      <c r="C9041" s="160" t="str">
        <f t="shared" si="160"/>
        <v/>
      </c>
    </row>
    <row r="9042" spans="3:3">
      <c r="C9042" s="160" t="str">
        <f t="shared" si="160"/>
        <v/>
      </c>
    </row>
    <row r="9043" spans="3:3">
      <c r="C9043" s="160" t="str">
        <f t="shared" si="160"/>
        <v/>
      </c>
    </row>
    <row r="9044" spans="3:3">
      <c r="C9044" s="160" t="str">
        <f t="shared" si="160"/>
        <v/>
      </c>
    </row>
    <row r="9045" spans="3:3">
      <c r="C9045" s="160" t="str">
        <f t="shared" si="160"/>
        <v/>
      </c>
    </row>
    <row r="9046" spans="3:3">
      <c r="C9046" s="160" t="str">
        <f t="shared" si="160"/>
        <v/>
      </c>
    </row>
    <row r="9047" spans="3:3">
      <c r="C9047" s="160" t="str">
        <f t="shared" si="160"/>
        <v/>
      </c>
    </row>
    <row r="9048" spans="3:3">
      <c r="C9048" s="160" t="str">
        <f t="shared" si="160"/>
        <v/>
      </c>
    </row>
    <row r="9049" spans="3:3">
      <c r="C9049" s="160" t="str">
        <f t="shared" si="160"/>
        <v/>
      </c>
    </row>
    <row r="9050" spans="3:3">
      <c r="C9050" s="160" t="str">
        <f t="shared" si="160"/>
        <v/>
      </c>
    </row>
    <row r="9051" spans="3:3">
      <c r="C9051" s="160" t="str">
        <f t="shared" si="160"/>
        <v/>
      </c>
    </row>
    <row r="9052" spans="3:3">
      <c r="C9052" s="160" t="str">
        <f t="shared" si="160"/>
        <v/>
      </c>
    </row>
    <row r="9053" spans="3:3">
      <c r="C9053" s="160" t="str">
        <f t="shared" si="160"/>
        <v/>
      </c>
    </row>
    <row r="9054" spans="3:3">
      <c r="C9054" s="160" t="str">
        <f t="shared" si="160"/>
        <v/>
      </c>
    </row>
    <row r="9055" spans="3:3">
      <c r="C9055" s="160" t="str">
        <f t="shared" si="160"/>
        <v/>
      </c>
    </row>
    <row r="9056" spans="3:3">
      <c r="C9056" s="160" t="str">
        <f t="shared" si="160"/>
        <v/>
      </c>
    </row>
    <row r="9057" spans="3:3">
      <c r="C9057" s="160" t="str">
        <f t="shared" si="160"/>
        <v/>
      </c>
    </row>
    <row r="9058" spans="3:3">
      <c r="C9058" s="160" t="str">
        <f t="shared" si="160"/>
        <v/>
      </c>
    </row>
    <row r="9059" spans="3:3">
      <c r="C9059" s="160" t="str">
        <f t="shared" si="160"/>
        <v/>
      </c>
    </row>
    <row r="9060" spans="3:3">
      <c r="C9060" s="160" t="str">
        <f t="shared" si="160"/>
        <v/>
      </c>
    </row>
    <row r="9061" spans="3:3">
      <c r="C9061" s="160" t="str">
        <f t="shared" si="160"/>
        <v/>
      </c>
    </row>
    <row r="9062" spans="3:3">
      <c r="C9062" s="160" t="str">
        <f t="shared" si="160"/>
        <v/>
      </c>
    </row>
    <row r="9063" spans="3:3">
      <c r="C9063" s="160" t="str">
        <f t="shared" si="160"/>
        <v/>
      </c>
    </row>
    <row r="9064" spans="3:3">
      <c r="C9064" s="160" t="str">
        <f t="shared" si="160"/>
        <v/>
      </c>
    </row>
    <row r="9065" spans="3:3">
      <c r="C9065" s="160" t="str">
        <f t="shared" si="160"/>
        <v/>
      </c>
    </row>
    <row r="9066" spans="3:3">
      <c r="C9066" s="160" t="str">
        <f t="shared" si="160"/>
        <v/>
      </c>
    </row>
    <row r="9067" spans="3:3">
      <c r="C9067" s="160" t="str">
        <f t="shared" si="160"/>
        <v/>
      </c>
    </row>
    <row r="9068" spans="3:3">
      <c r="C9068" s="160" t="str">
        <f t="shared" si="160"/>
        <v/>
      </c>
    </row>
    <row r="9069" spans="3:3">
      <c r="C9069" s="160" t="str">
        <f t="shared" si="160"/>
        <v/>
      </c>
    </row>
    <row r="9070" spans="3:3">
      <c r="C9070" s="160" t="str">
        <f t="shared" si="160"/>
        <v/>
      </c>
    </row>
    <row r="9071" spans="3:3">
      <c r="C9071" s="160" t="str">
        <f t="shared" si="160"/>
        <v/>
      </c>
    </row>
    <row r="9072" spans="3:3">
      <c r="C9072" s="160" t="str">
        <f t="shared" si="160"/>
        <v/>
      </c>
    </row>
    <row r="9073" spans="3:3">
      <c r="C9073" s="160" t="str">
        <f t="shared" si="160"/>
        <v/>
      </c>
    </row>
    <row r="9074" spans="3:3">
      <c r="C9074" s="160" t="str">
        <f t="shared" si="160"/>
        <v/>
      </c>
    </row>
    <row r="9075" spans="3:3">
      <c r="C9075" s="160" t="str">
        <f t="shared" si="160"/>
        <v/>
      </c>
    </row>
    <row r="9076" spans="3:3">
      <c r="C9076" s="160" t="str">
        <f t="shared" si="160"/>
        <v/>
      </c>
    </row>
    <row r="9077" spans="3:3">
      <c r="C9077" s="160" t="str">
        <f t="shared" si="160"/>
        <v/>
      </c>
    </row>
    <row r="9078" spans="3:3">
      <c r="C9078" s="160" t="str">
        <f t="shared" si="160"/>
        <v/>
      </c>
    </row>
    <row r="9079" spans="3:3">
      <c r="C9079" s="160" t="str">
        <f t="shared" si="160"/>
        <v/>
      </c>
    </row>
    <row r="9080" spans="3:3">
      <c r="C9080" s="160" t="str">
        <f t="shared" si="160"/>
        <v/>
      </c>
    </row>
    <row r="9081" spans="3:3">
      <c r="C9081" s="160" t="str">
        <f t="shared" si="160"/>
        <v/>
      </c>
    </row>
    <row r="9082" spans="3:3">
      <c r="C9082" s="160" t="str">
        <f t="shared" si="160"/>
        <v/>
      </c>
    </row>
    <row r="9083" spans="3:3">
      <c r="C9083" s="160" t="str">
        <f t="shared" si="160"/>
        <v/>
      </c>
    </row>
    <row r="9084" spans="3:3">
      <c r="C9084" s="160" t="str">
        <f t="shared" si="160"/>
        <v/>
      </c>
    </row>
    <row r="9085" spans="3:3">
      <c r="C9085" s="160" t="str">
        <f t="shared" si="160"/>
        <v/>
      </c>
    </row>
    <row r="9086" spans="3:3">
      <c r="C9086" s="160" t="str">
        <f t="shared" si="160"/>
        <v/>
      </c>
    </row>
    <row r="9087" spans="3:3">
      <c r="C9087" s="160" t="str">
        <f t="shared" si="160"/>
        <v/>
      </c>
    </row>
    <row r="9088" spans="3:3">
      <c r="C9088" s="160" t="str">
        <f t="shared" si="160"/>
        <v/>
      </c>
    </row>
    <row r="9089" spans="3:3">
      <c r="C9089" s="160" t="str">
        <f t="shared" si="160"/>
        <v/>
      </c>
    </row>
    <row r="9090" spans="3:3">
      <c r="C9090" s="160" t="str">
        <f t="shared" si="160"/>
        <v/>
      </c>
    </row>
    <row r="9091" spans="3:3">
      <c r="C9091" s="160" t="str">
        <f t="shared" si="160"/>
        <v/>
      </c>
    </row>
    <row r="9092" spans="3:3">
      <c r="C9092" s="160" t="str">
        <f t="shared" si="160"/>
        <v/>
      </c>
    </row>
    <row r="9093" spans="3:3">
      <c r="C9093" s="160" t="str">
        <f t="shared" si="160"/>
        <v/>
      </c>
    </row>
    <row r="9094" spans="3:3">
      <c r="C9094" s="160" t="str">
        <f t="shared" si="160"/>
        <v/>
      </c>
    </row>
    <row r="9095" spans="3:3">
      <c r="C9095" s="160" t="str">
        <f t="shared" si="160"/>
        <v/>
      </c>
    </row>
    <row r="9096" spans="3:3">
      <c r="C9096" s="160" t="str">
        <f t="shared" si="160"/>
        <v/>
      </c>
    </row>
    <row r="9097" spans="3:3">
      <c r="C9097" s="160" t="str">
        <f t="shared" si="160"/>
        <v/>
      </c>
    </row>
    <row r="9098" spans="3:3">
      <c r="C9098" s="160" t="str">
        <f t="shared" si="160"/>
        <v/>
      </c>
    </row>
    <row r="9099" spans="3:3">
      <c r="C9099" s="160" t="str">
        <f t="shared" si="160"/>
        <v/>
      </c>
    </row>
    <row r="9100" spans="3:3">
      <c r="C9100" s="160" t="str">
        <f t="shared" si="160"/>
        <v/>
      </c>
    </row>
    <row r="9101" spans="3:3">
      <c r="C9101" s="160" t="str">
        <f t="shared" ref="C9101:C9164" si="161">D9101&amp;I9101</f>
        <v/>
      </c>
    </row>
    <row r="9102" spans="3:3">
      <c r="C9102" s="160" t="str">
        <f t="shared" si="161"/>
        <v/>
      </c>
    </row>
    <row r="9103" spans="3:3">
      <c r="C9103" s="160" t="str">
        <f t="shared" si="161"/>
        <v/>
      </c>
    </row>
    <row r="9104" spans="3:3">
      <c r="C9104" s="160" t="str">
        <f t="shared" si="161"/>
        <v/>
      </c>
    </row>
    <row r="9105" spans="3:3">
      <c r="C9105" s="160" t="str">
        <f t="shared" si="161"/>
        <v/>
      </c>
    </row>
    <row r="9106" spans="3:3">
      <c r="C9106" s="160" t="str">
        <f t="shared" si="161"/>
        <v/>
      </c>
    </row>
    <row r="9107" spans="3:3">
      <c r="C9107" s="160" t="str">
        <f t="shared" si="161"/>
        <v/>
      </c>
    </row>
    <row r="9108" spans="3:3">
      <c r="C9108" s="160" t="str">
        <f t="shared" si="161"/>
        <v/>
      </c>
    </row>
    <row r="9109" spans="3:3">
      <c r="C9109" s="160" t="str">
        <f t="shared" si="161"/>
        <v/>
      </c>
    </row>
    <row r="9110" spans="3:3">
      <c r="C9110" s="160" t="str">
        <f t="shared" si="161"/>
        <v/>
      </c>
    </row>
    <row r="9111" spans="3:3">
      <c r="C9111" s="160" t="str">
        <f t="shared" si="161"/>
        <v/>
      </c>
    </row>
    <row r="9112" spans="3:3">
      <c r="C9112" s="160" t="str">
        <f t="shared" si="161"/>
        <v/>
      </c>
    </row>
    <row r="9113" spans="3:3">
      <c r="C9113" s="160" t="str">
        <f t="shared" si="161"/>
        <v/>
      </c>
    </row>
    <row r="9114" spans="3:3">
      <c r="C9114" s="160" t="str">
        <f t="shared" si="161"/>
        <v/>
      </c>
    </row>
    <row r="9115" spans="3:3">
      <c r="C9115" s="160" t="str">
        <f t="shared" si="161"/>
        <v/>
      </c>
    </row>
    <row r="9116" spans="3:3">
      <c r="C9116" s="160" t="str">
        <f t="shared" si="161"/>
        <v/>
      </c>
    </row>
    <row r="9117" spans="3:3">
      <c r="C9117" s="160" t="str">
        <f t="shared" si="161"/>
        <v/>
      </c>
    </row>
    <row r="9118" spans="3:3">
      <c r="C9118" s="160" t="str">
        <f t="shared" si="161"/>
        <v/>
      </c>
    </row>
    <row r="9119" spans="3:3">
      <c r="C9119" s="160" t="str">
        <f t="shared" si="161"/>
        <v/>
      </c>
    </row>
    <row r="9120" spans="3:3">
      <c r="C9120" s="160" t="str">
        <f t="shared" si="161"/>
        <v/>
      </c>
    </row>
    <row r="9121" spans="3:3">
      <c r="C9121" s="160" t="str">
        <f t="shared" si="161"/>
        <v/>
      </c>
    </row>
    <row r="9122" spans="3:3">
      <c r="C9122" s="160" t="str">
        <f t="shared" si="161"/>
        <v/>
      </c>
    </row>
    <row r="9123" spans="3:3">
      <c r="C9123" s="160" t="str">
        <f t="shared" si="161"/>
        <v/>
      </c>
    </row>
    <row r="9124" spans="3:3">
      <c r="C9124" s="160" t="str">
        <f t="shared" si="161"/>
        <v/>
      </c>
    </row>
    <row r="9125" spans="3:3">
      <c r="C9125" s="160" t="str">
        <f t="shared" si="161"/>
        <v/>
      </c>
    </row>
    <row r="9126" spans="3:3">
      <c r="C9126" s="160" t="str">
        <f t="shared" si="161"/>
        <v/>
      </c>
    </row>
    <row r="9127" spans="3:3">
      <c r="C9127" s="160" t="str">
        <f t="shared" si="161"/>
        <v/>
      </c>
    </row>
    <row r="9128" spans="3:3">
      <c r="C9128" s="160" t="str">
        <f t="shared" si="161"/>
        <v/>
      </c>
    </row>
    <row r="9129" spans="3:3">
      <c r="C9129" s="160" t="str">
        <f t="shared" si="161"/>
        <v/>
      </c>
    </row>
    <row r="9130" spans="3:3">
      <c r="C9130" s="160" t="str">
        <f t="shared" si="161"/>
        <v/>
      </c>
    </row>
    <row r="9131" spans="3:3">
      <c r="C9131" s="160" t="str">
        <f t="shared" si="161"/>
        <v/>
      </c>
    </row>
    <row r="9132" spans="3:3">
      <c r="C9132" s="160" t="str">
        <f t="shared" si="161"/>
        <v/>
      </c>
    </row>
    <row r="9133" spans="3:3">
      <c r="C9133" s="160" t="str">
        <f t="shared" si="161"/>
        <v/>
      </c>
    </row>
    <row r="9134" spans="3:3">
      <c r="C9134" s="160" t="str">
        <f t="shared" si="161"/>
        <v/>
      </c>
    </row>
    <row r="9135" spans="3:3">
      <c r="C9135" s="160" t="str">
        <f t="shared" si="161"/>
        <v/>
      </c>
    </row>
    <row r="9136" spans="3:3">
      <c r="C9136" s="160" t="str">
        <f t="shared" si="161"/>
        <v/>
      </c>
    </row>
    <row r="9137" spans="3:3">
      <c r="C9137" s="160" t="str">
        <f t="shared" si="161"/>
        <v/>
      </c>
    </row>
    <row r="9138" spans="3:3">
      <c r="C9138" s="160" t="str">
        <f t="shared" si="161"/>
        <v/>
      </c>
    </row>
    <row r="9139" spans="3:3">
      <c r="C9139" s="160" t="str">
        <f t="shared" si="161"/>
        <v/>
      </c>
    </row>
    <row r="9140" spans="3:3">
      <c r="C9140" s="160" t="str">
        <f t="shared" si="161"/>
        <v/>
      </c>
    </row>
    <row r="9141" spans="3:3">
      <c r="C9141" s="160" t="str">
        <f t="shared" si="161"/>
        <v/>
      </c>
    </row>
    <row r="9142" spans="3:3">
      <c r="C9142" s="160" t="str">
        <f t="shared" si="161"/>
        <v/>
      </c>
    </row>
    <row r="9143" spans="3:3">
      <c r="C9143" s="160" t="str">
        <f t="shared" si="161"/>
        <v/>
      </c>
    </row>
    <row r="9144" spans="3:3">
      <c r="C9144" s="160" t="str">
        <f t="shared" si="161"/>
        <v/>
      </c>
    </row>
    <row r="9145" spans="3:3">
      <c r="C9145" s="160" t="str">
        <f t="shared" si="161"/>
        <v/>
      </c>
    </row>
    <row r="9146" spans="3:3">
      <c r="C9146" s="160" t="str">
        <f t="shared" si="161"/>
        <v/>
      </c>
    </row>
    <row r="9147" spans="3:3">
      <c r="C9147" s="160" t="str">
        <f t="shared" si="161"/>
        <v/>
      </c>
    </row>
    <row r="9148" spans="3:3">
      <c r="C9148" s="160" t="str">
        <f t="shared" si="161"/>
        <v/>
      </c>
    </row>
    <row r="9149" spans="3:3">
      <c r="C9149" s="160" t="str">
        <f t="shared" si="161"/>
        <v/>
      </c>
    </row>
    <row r="9150" spans="3:3">
      <c r="C9150" s="160" t="str">
        <f t="shared" si="161"/>
        <v/>
      </c>
    </row>
    <row r="9151" spans="3:3">
      <c r="C9151" s="160" t="str">
        <f t="shared" si="161"/>
        <v/>
      </c>
    </row>
    <row r="9152" spans="3:3">
      <c r="C9152" s="160" t="str">
        <f t="shared" si="161"/>
        <v/>
      </c>
    </row>
    <row r="9153" spans="3:3">
      <c r="C9153" s="160" t="str">
        <f t="shared" si="161"/>
        <v/>
      </c>
    </row>
    <row r="9154" spans="3:3">
      <c r="C9154" s="160" t="str">
        <f t="shared" si="161"/>
        <v/>
      </c>
    </row>
    <row r="9155" spans="3:3">
      <c r="C9155" s="160" t="str">
        <f t="shared" si="161"/>
        <v/>
      </c>
    </row>
    <row r="9156" spans="3:3">
      <c r="C9156" s="160" t="str">
        <f t="shared" si="161"/>
        <v/>
      </c>
    </row>
    <row r="9157" spans="3:3">
      <c r="C9157" s="160" t="str">
        <f t="shared" si="161"/>
        <v/>
      </c>
    </row>
    <row r="9158" spans="3:3">
      <c r="C9158" s="160" t="str">
        <f t="shared" si="161"/>
        <v/>
      </c>
    </row>
    <row r="9159" spans="3:3">
      <c r="C9159" s="160" t="str">
        <f t="shared" si="161"/>
        <v/>
      </c>
    </row>
    <row r="9160" spans="3:3">
      <c r="C9160" s="160" t="str">
        <f t="shared" si="161"/>
        <v/>
      </c>
    </row>
    <row r="9161" spans="3:3">
      <c r="C9161" s="160" t="str">
        <f t="shared" si="161"/>
        <v/>
      </c>
    </row>
    <row r="9162" spans="3:3">
      <c r="C9162" s="160" t="str">
        <f t="shared" si="161"/>
        <v/>
      </c>
    </row>
    <row r="9163" spans="3:3">
      <c r="C9163" s="160" t="str">
        <f t="shared" si="161"/>
        <v/>
      </c>
    </row>
    <row r="9164" spans="3:3">
      <c r="C9164" s="160" t="str">
        <f t="shared" si="161"/>
        <v/>
      </c>
    </row>
    <row r="9165" spans="3:3">
      <c r="C9165" s="160" t="str">
        <f t="shared" ref="C9165:C9228" si="162">D9165&amp;I9165</f>
        <v/>
      </c>
    </row>
    <row r="9166" spans="3:3">
      <c r="C9166" s="160" t="str">
        <f t="shared" si="162"/>
        <v/>
      </c>
    </row>
    <row r="9167" spans="3:3">
      <c r="C9167" s="160" t="str">
        <f t="shared" si="162"/>
        <v/>
      </c>
    </row>
    <row r="9168" spans="3:3">
      <c r="C9168" s="160" t="str">
        <f t="shared" si="162"/>
        <v/>
      </c>
    </row>
    <row r="9169" spans="3:3">
      <c r="C9169" s="160" t="str">
        <f t="shared" si="162"/>
        <v/>
      </c>
    </row>
    <row r="9170" spans="3:3">
      <c r="C9170" s="160" t="str">
        <f t="shared" si="162"/>
        <v/>
      </c>
    </row>
    <row r="9171" spans="3:3">
      <c r="C9171" s="160" t="str">
        <f t="shared" si="162"/>
        <v/>
      </c>
    </row>
    <row r="9172" spans="3:3">
      <c r="C9172" s="160" t="str">
        <f t="shared" si="162"/>
        <v/>
      </c>
    </row>
    <row r="9173" spans="3:3">
      <c r="C9173" s="160" t="str">
        <f t="shared" si="162"/>
        <v/>
      </c>
    </row>
    <row r="9174" spans="3:3">
      <c r="C9174" s="160" t="str">
        <f t="shared" si="162"/>
        <v/>
      </c>
    </row>
    <row r="9175" spans="3:3">
      <c r="C9175" s="160" t="str">
        <f t="shared" si="162"/>
        <v/>
      </c>
    </row>
    <row r="9176" spans="3:3">
      <c r="C9176" s="160" t="str">
        <f t="shared" si="162"/>
        <v/>
      </c>
    </row>
    <row r="9177" spans="3:3">
      <c r="C9177" s="160" t="str">
        <f t="shared" si="162"/>
        <v/>
      </c>
    </row>
    <row r="9178" spans="3:3">
      <c r="C9178" s="160" t="str">
        <f t="shared" si="162"/>
        <v/>
      </c>
    </row>
    <row r="9179" spans="3:3">
      <c r="C9179" s="160" t="str">
        <f t="shared" si="162"/>
        <v/>
      </c>
    </row>
    <row r="9180" spans="3:3">
      <c r="C9180" s="160" t="str">
        <f t="shared" si="162"/>
        <v/>
      </c>
    </row>
    <row r="9181" spans="3:3">
      <c r="C9181" s="160" t="str">
        <f t="shared" si="162"/>
        <v/>
      </c>
    </row>
    <row r="9182" spans="3:3">
      <c r="C9182" s="160" t="str">
        <f t="shared" si="162"/>
        <v/>
      </c>
    </row>
    <row r="9183" spans="3:3">
      <c r="C9183" s="160" t="str">
        <f t="shared" si="162"/>
        <v/>
      </c>
    </row>
    <row r="9184" spans="3:3">
      <c r="C9184" s="160" t="str">
        <f t="shared" si="162"/>
        <v/>
      </c>
    </row>
    <row r="9185" spans="3:3">
      <c r="C9185" s="160" t="str">
        <f t="shared" si="162"/>
        <v/>
      </c>
    </row>
    <row r="9186" spans="3:3">
      <c r="C9186" s="160" t="str">
        <f t="shared" si="162"/>
        <v/>
      </c>
    </row>
    <row r="9187" spans="3:3">
      <c r="C9187" s="160" t="str">
        <f t="shared" si="162"/>
        <v/>
      </c>
    </row>
    <row r="9188" spans="3:3">
      <c r="C9188" s="160" t="str">
        <f t="shared" si="162"/>
        <v/>
      </c>
    </row>
    <row r="9189" spans="3:3">
      <c r="C9189" s="160" t="str">
        <f t="shared" si="162"/>
        <v/>
      </c>
    </row>
    <row r="9190" spans="3:3">
      <c r="C9190" s="160" t="str">
        <f t="shared" si="162"/>
        <v/>
      </c>
    </row>
    <row r="9191" spans="3:3">
      <c r="C9191" s="160" t="str">
        <f t="shared" si="162"/>
        <v/>
      </c>
    </row>
    <row r="9192" spans="3:3">
      <c r="C9192" s="160" t="str">
        <f t="shared" si="162"/>
        <v/>
      </c>
    </row>
    <row r="9193" spans="3:3">
      <c r="C9193" s="160" t="str">
        <f t="shared" si="162"/>
        <v/>
      </c>
    </row>
    <row r="9194" spans="3:3">
      <c r="C9194" s="160" t="str">
        <f t="shared" si="162"/>
        <v/>
      </c>
    </row>
    <row r="9195" spans="3:3">
      <c r="C9195" s="160" t="str">
        <f t="shared" si="162"/>
        <v/>
      </c>
    </row>
    <row r="9196" spans="3:3">
      <c r="C9196" s="160" t="str">
        <f t="shared" si="162"/>
        <v/>
      </c>
    </row>
    <row r="9197" spans="3:3">
      <c r="C9197" s="160" t="str">
        <f t="shared" si="162"/>
        <v/>
      </c>
    </row>
    <row r="9198" spans="3:3">
      <c r="C9198" s="160" t="str">
        <f t="shared" si="162"/>
        <v/>
      </c>
    </row>
    <row r="9199" spans="3:3">
      <c r="C9199" s="160" t="str">
        <f t="shared" si="162"/>
        <v/>
      </c>
    </row>
    <row r="9200" spans="3:3">
      <c r="C9200" s="160" t="str">
        <f t="shared" si="162"/>
        <v/>
      </c>
    </row>
    <row r="9201" spans="3:3">
      <c r="C9201" s="160" t="str">
        <f t="shared" si="162"/>
        <v/>
      </c>
    </row>
    <row r="9202" spans="3:3">
      <c r="C9202" s="160" t="str">
        <f t="shared" si="162"/>
        <v/>
      </c>
    </row>
    <row r="9203" spans="3:3">
      <c r="C9203" s="160" t="str">
        <f t="shared" si="162"/>
        <v/>
      </c>
    </row>
    <row r="9204" spans="3:3">
      <c r="C9204" s="160" t="str">
        <f t="shared" si="162"/>
        <v/>
      </c>
    </row>
    <row r="9205" spans="3:3">
      <c r="C9205" s="160" t="str">
        <f t="shared" si="162"/>
        <v/>
      </c>
    </row>
    <row r="9206" spans="3:3">
      <c r="C9206" s="160" t="str">
        <f t="shared" si="162"/>
        <v/>
      </c>
    </row>
    <row r="9207" spans="3:3">
      <c r="C9207" s="160" t="str">
        <f t="shared" si="162"/>
        <v/>
      </c>
    </row>
    <row r="9208" spans="3:3">
      <c r="C9208" s="160" t="str">
        <f t="shared" si="162"/>
        <v/>
      </c>
    </row>
    <row r="9209" spans="3:3">
      <c r="C9209" s="160" t="str">
        <f t="shared" si="162"/>
        <v/>
      </c>
    </row>
    <row r="9210" spans="3:3">
      <c r="C9210" s="160" t="str">
        <f t="shared" si="162"/>
        <v/>
      </c>
    </row>
    <row r="9211" spans="3:3">
      <c r="C9211" s="160" t="str">
        <f t="shared" si="162"/>
        <v/>
      </c>
    </row>
    <row r="9212" spans="3:3">
      <c r="C9212" s="160" t="str">
        <f t="shared" si="162"/>
        <v/>
      </c>
    </row>
    <row r="9213" spans="3:3">
      <c r="C9213" s="160" t="str">
        <f t="shared" si="162"/>
        <v/>
      </c>
    </row>
    <row r="9214" spans="3:3">
      <c r="C9214" s="160" t="str">
        <f t="shared" si="162"/>
        <v/>
      </c>
    </row>
    <row r="9215" spans="3:3">
      <c r="C9215" s="160" t="str">
        <f t="shared" si="162"/>
        <v/>
      </c>
    </row>
    <row r="9216" spans="3:3">
      <c r="C9216" s="160" t="str">
        <f t="shared" si="162"/>
        <v/>
      </c>
    </row>
    <row r="9217" spans="3:3">
      <c r="C9217" s="160" t="str">
        <f t="shared" si="162"/>
        <v/>
      </c>
    </row>
    <row r="9218" spans="3:3">
      <c r="C9218" s="160" t="str">
        <f t="shared" si="162"/>
        <v/>
      </c>
    </row>
    <row r="9219" spans="3:3">
      <c r="C9219" s="160" t="str">
        <f t="shared" si="162"/>
        <v/>
      </c>
    </row>
    <row r="9220" spans="3:3">
      <c r="C9220" s="160" t="str">
        <f t="shared" si="162"/>
        <v/>
      </c>
    </row>
    <row r="9221" spans="3:3">
      <c r="C9221" s="160" t="str">
        <f t="shared" si="162"/>
        <v/>
      </c>
    </row>
    <row r="9222" spans="3:3">
      <c r="C9222" s="160" t="str">
        <f t="shared" si="162"/>
        <v/>
      </c>
    </row>
    <row r="9223" spans="3:3">
      <c r="C9223" s="160" t="str">
        <f t="shared" si="162"/>
        <v/>
      </c>
    </row>
    <row r="9224" spans="3:3">
      <c r="C9224" s="160" t="str">
        <f t="shared" si="162"/>
        <v/>
      </c>
    </row>
    <row r="9225" spans="3:3">
      <c r="C9225" s="160" t="str">
        <f t="shared" si="162"/>
        <v/>
      </c>
    </row>
    <row r="9226" spans="3:3">
      <c r="C9226" s="160" t="str">
        <f t="shared" si="162"/>
        <v/>
      </c>
    </row>
    <row r="9227" spans="3:3">
      <c r="C9227" s="160" t="str">
        <f t="shared" si="162"/>
        <v/>
      </c>
    </row>
    <row r="9228" spans="3:3">
      <c r="C9228" s="160" t="str">
        <f t="shared" si="162"/>
        <v/>
      </c>
    </row>
    <row r="9229" spans="3:3">
      <c r="C9229" s="160" t="str">
        <f t="shared" ref="C9229:C9292" si="163">D9229&amp;I9229</f>
        <v/>
      </c>
    </row>
    <row r="9230" spans="3:3">
      <c r="C9230" s="160" t="str">
        <f t="shared" si="163"/>
        <v/>
      </c>
    </row>
    <row r="9231" spans="3:3">
      <c r="C9231" s="160" t="str">
        <f t="shared" si="163"/>
        <v/>
      </c>
    </row>
    <row r="9232" spans="3:3">
      <c r="C9232" s="160" t="str">
        <f t="shared" si="163"/>
        <v/>
      </c>
    </row>
    <row r="9233" spans="3:3">
      <c r="C9233" s="160" t="str">
        <f t="shared" si="163"/>
        <v/>
      </c>
    </row>
    <row r="9234" spans="3:3">
      <c r="C9234" s="160" t="str">
        <f t="shared" si="163"/>
        <v/>
      </c>
    </row>
    <row r="9235" spans="3:3">
      <c r="C9235" s="160" t="str">
        <f t="shared" si="163"/>
        <v/>
      </c>
    </row>
    <row r="9236" spans="3:3">
      <c r="C9236" s="160" t="str">
        <f t="shared" si="163"/>
        <v/>
      </c>
    </row>
    <row r="9237" spans="3:3">
      <c r="C9237" s="160" t="str">
        <f t="shared" si="163"/>
        <v/>
      </c>
    </row>
    <row r="9238" spans="3:3">
      <c r="C9238" s="160" t="str">
        <f t="shared" si="163"/>
        <v/>
      </c>
    </row>
    <row r="9239" spans="3:3">
      <c r="C9239" s="160" t="str">
        <f t="shared" si="163"/>
        <v/>
      </c>
    </row>
    <row r="9240" spans="3:3">
      <c r="C9240" s="160" t="str">
        <f t="shared" si="163"/>
        <v/>
      </c>
    </row>
    <row r="9241" spans="3:3">
      <c r="C9241" s="160" t="str">
        <f t="shared" si="163"/>
        <v/>
      </c>
    </row>
    <row r="9242" spans="3:3">
      <c r="C9242" s="160" t="str">
        <f t="shared" si="163"/>
        <v/>
      </c>
    </row>
    <row r="9243" spans="3:3">
      <c r="C9243" s="160" t="str">
        <f t="shared" si="163"/>
        <v/>
      </c>
    </row>
    <row r="9244" spans="3:3">
      <c r="C9244" s="160" t="str">
        <f t="shared" si="163"/>
        <v/>
      </c>
    </row>
    <row r="9245" spans="3:3">
      <c r="C9245" s="160" t="str">
        <f t="shared" si="163"/>
        <v/>
      </c>
    </row>
    <row r="9246" spans="3:3">
      <c r="C9246" s="160" t="str">
        <f t="shared" si="163"/>
        <v/>
      </c>
    </row>
    <row r="9247" spans="3:3">
      <c r="C9247" s="160" t="str">
        <f t="shared" si="163"/>
        <v/>
      </c>
    </row>
    <row r="9248" spans="3:3">
      <c r="C9248" s="160" t="str">
        <f t="shared" si="163"/>
        <v/>
      </c>
    </row>
    <row r="9249" spans="3:3">
      <c r="C9249" s="160" t="str">
        <f t="shared" si="163"/>
        <v/>
      </c>
    </row>
    <row r="9250" spans="3:3">
      <c r="C9250" s="160" t="str">
        <f t="shared" si="163"/>
        <v/>
      </c>
    </row>
    <row r="9251" spans="3:3">
      <c r="C9251" s="160" t="str">
        <f t="shared" si="163"/>
        <v/>
      </c>
    </row>
    <row r="9252" spans="3:3">
      <c r="C9252" s="160" t="str">
        <f t="shared" si="163"/>
        <v/>
      </c>
    </row>
    <row r="9253" spans="3:3">
      <c r="C9253" s="160" t="str">
        <f t="shared" si="163"/>
        <v/>
      </c>
    </row>
    <row r="9254" spans="3:3">
      <c r="C9254" s="160" t="str">
        <f t="shared" si="163"/>
        <v/>
      </c>
    </row>
    <row r="9255" spans="3:3">
      <c r="C9255" s="160" t="str">
        <f t="shared" si="163"/>
        <v/>
      </c>
    </row>
    <row r="9256" spans="3:3">
      <c r="C9256" s="160" t="str">
        <f t="shared" si="163"/>
        <v/>
      </c>
    </row>
    <row r="9257" spans="3:3">
      <c r="C9257" s="160" t="str">
        <f t="shared" si="163"/>
        <v/>
      </c>
    </row>
    <row r="9258" spans="3:3">
      <c r="C9258" s="160" t="str">
        <f t="shared" si="163"/>
        <v/>
      </c>
    </row>
    <row r="9259" spans="3:3">
      <c r="C9259" s="160" t="str">
        <f t="shared" si="163"/>
        <v/>
      </c>
    </row>
    <row r="9260" spans="3:3">
      <c r="C9260" s="160" t="str">
        <f t="shared" si="163"/>
        <v/>
      </c>
    </row>
    <row r="9261" spans="3:3">
      <c r="C9261" s="160" t="str">
        <f t="shared" si="163"/>
        <v/>
      </c>
    </row>
    <row r="9262" spans="3:3">
      <c r="C9262" s="160" t="str">
        <f t="shared" si="163"/>
        <v/>
      </c>
    </row>
    <row r="9263" spans="3:3">
      <c r="C9263" s="160" t="str">
        <f t="shared" si="163"/>
        <v/>
      </c>
    </row>
    <row r="9264" spans="3:3">
      <c r="C9264" s="160" t="str">
        <f t="shared" si="163"/>
        <v/>
      </c>
    </row>
    <row r="9265" spans="3:3">
      <c r="C9265" s="160" t="str">
        <f t="shared" si="163"/>
        <v/>
      </c>
    </row>
    <row r="9266" spans="3:3">
      <c r="C9266" s="160" t="str">
        <f t="shared" si="163"/>
        <v/>
      </c>
    </row>
    <row r="9267" spans="3:3">
      <c r="C9267" s="160" t="str">
        <f t="shared" si="163"/>
        <v/>
      </c>
    </row>
    <row r="9268" spans="3:3">
      <c r="C9268" s="160" t="str">
        <f t="shared" si="163"/>
        <v/>
      </c>
    </row>
    <row r="9269" spans="3:3">
      <c r="C9269" s="160" t="str">
        <f t="shared" si="163"/>
        <v/>
      </c>
    </row>
    <row r="9270" spans="3:3">
      <c r="C9270" s="160" t="str">
        <f t="shared" si="163"/>
        <v/>
      </c>
    </row>
    <row r="9271" spans="3:3">
      <c r="C9271" s="160" t="str">
        <f t="shared" si="163"/>
        <v/>
      </c>
    </row>
    <row r="9272" spans="3:3">
      <c r="C9272" s="160" t="str">
        <f t="shared" si="163"/>
        <v/>
      </c>
    </row>
    <row r="9273" spans="3:3">
      <c r="C9273" s="160" t="str">
        <f t="shared" si="163"/>
        <v/>
      </c>
    </row>
    <row r="9274" spans="3:3">
      <c r="C9274" s="160" t="str">
        <f t="shared" si="163"/>
        <v/>
      </c>
    </row>
    <row r="9275" spans="3:3">
      <c r="C9275" s="160" t="str">
        <f t="shared" si="163"/>
        <v/>
      </c>
    </row>
    <row r="9276" spans="3:3">
      <c r="C9276" s="160" t="str">
        <f t="shared" si="163"/>
        <v/>
      </c>
    </row>
    <row r="9277" spans="3:3">
      <c r="C9277" s="160" t="str">
        <f t="shared" si="163"/>
        <v/>
      </c>
    </row>
    <row r="9278" spans="3:3">
      <c r="C9278" s="160" t="str">
        <f t="shared" si="163"/>
        <v/>
      </c>
    </row>
    <row r="9279" spans="3:3">
      <c r="C9279" s="160" t="str">
        <f t="shared" si="163"/>
        <v/>
      </c>
    </row>
    <row r="9280" spans="3:3">
      <c r="C9280" s="160" t="str">
        <f t="shared" si="163"/>
        <v/>
      </c>
    </row>
    <row r="9281" spans="3:3">
      <c r="C9281" s="160" t="str">
        <f t="shared" si="163"/>
        <v/>
      </c>
    </row>
    <row r="9282" spans="3:3">
      <c r="C9282" s="160" t="str">
        <f t="shared" si="163"/>
        <v/>
      </c>
    </row>
    <row r="9283" spans="3:3">
      <c r="C9283" s="160" t="str">
        <f t="shared" si="163"/>
        <v/>
      </c>
    </row>
    <row r="9284" spans="3:3">
      <c r="C9284" s="160" t="str">
        <f t="shared" si="163"/>
        <v/>
      </c>
    </row>
    <row r="9285" spans="3:3">
      <c r="C9285" s="160" t="str">
        <f t="shared" si="163"/>
        <v/>
      </c>
    </row>
    <row r="9286" spans="3:3">
      <c r="C9286" s="160" t="str">
        <f t="shared" si="163"/>
        <v/>
      </c>
    </row>
    <row r="9287" spans="3:3">
      <c r="C9287" s="160" t="str">
        <f t="shared" si="163"/>
        <v/>
      </c>
    </row>
    <row r="9288" spans="3:3">
      <c r="C9288" s="160" t="str">
        <f t="shared" si="163"/>
        <v/>
      </c>
    </row>
    <row r="9289" spans="3:3">
      <c r="C9289" s="160" t="str">
        <f t="shared" si="163"/>
        <v/>
      </c>
    </row>
    <row r="9290" spans="3:3">
      <c r="C9290" s="160" t="str">
        <f t="shared" si="163"/>
        <v/>
      </c>
    </row>
    <row r="9291" spans="3:3">
      <c r="C9291" s="160" t="str">
        <f t="shared" si="163"/>
        <v/>
      </c>
    </row>
    <row r="9292" spans="3:3">
      <c r="C9292" s="160" t="str">
        <f t="shared" si="163"/>
        <v/>
      </c>
    </row>
    <row r="9293" spans="3:3">
      <c r="C9293" s="160" t="str">
        <f t="shared" ref="C9293:C9356" si="164">D9293&amp;I9293</f>
        <v/>
      </c>
    </row>
    <row r="9294" spans="3:3">
      <c r="C9294" s="160" t="str">
        <f t="shared" si="164"/>
        <v/>
      </c>
    </row>
    <row r="9295" spans="3:3">
      <c r="C9295" s="160" t="str">
        <f t="shared" si="164"/>
        <v/>
      </c>
    </row>
    <row r="9296" spans="3:3">
      <c r="C9296" s="160" t="str">
        <f t="shared" si="164"/>
        <v/>
      </c>
    </row>
    <row r="9297" spans="3:3">
      <c r="C9297" s="160" t="str">
        <f t="shared" si="164"/>
        <v/>
      </c>
    </row>
    <row r="9298" spans="3:3">
      <c r="C9298" s="160" t="str">
        <f t="shared" si="164"/>
        <v/>
      </c>
    </row>
    <row r="9299" spans="3:3">
      <c r="C9299" s="160" t="str">
        <f t="shared" si="164"/>
        <v/>
      </c>
    </row>
    <row r="9300" spans="3:3">
      <c r="C9300" s="160" t="str">
        <f t="shared" si="164"/>
        <v/>
      </c>
    </row>
    <row r="9301" spans="3:3">
      <c r="C9301" s="160" t="str">
        <f t="shared" si="164"/>
        <v/>
      </c>
    </row>
    <row r="9302" spans="3:3">
      <c r="C9302" s="160" t="str">
        <f t="shared" si="164"/>
        <v/>
      </c>
    </row>
    <row r="9303" spans="3:3">
      <c r="C9303" s="160" t="str">
        <f t="shared" si="164"/>
        <v/>
      </c>
    </row>
    <row r="9304" spans="3:3">
      <c r="C9304" s="160" t="str">
        <f t="shared" si="164"/>
        <v/>
      </c>
    </row>
    <row r="9305" spans="3:3">
      <c r="C9305" s="160" t="str">
        <f t="shared" si="164"/>
        <v/>
      </c>
    </row>
    <row r="9306" spans="3:3">
      <c r="C9306" s="160" t="str">
        <f t="shared" si="164"/>
        <v/>
      </c>
    </row>
    <row r="9307" spans="3:3">
      <c r="C9307" s="160" t="str">
        <f t="shared" si="164"/>
        <v/>
      </c>
    </row>
    <row r="9308" spans="3:3">
      <c r="C9308" s="160" t="str">
        <f t="shared" si="164"/>
        <v/>
      </c>
    </row>
    <row r="9309" spans="3:3">
      <c r="C9309" s="160" t="str">
        <f t="shared" si="164"/>
        <v/>
      </c>
    </row>
    <row r="9310" spans="3:3">
      <c r="C9310" s="160" t="str">
        <f t="shared" si="164"/>
        <v/>
      </c>
    </row>
    <row r="9311" spans="3:3">
      <c r="C9311" s="160" t="str">
        <f t="shared" si="164"/>
        <v/>
      </c>
    </row>
    <row r="9312" spans="3:3">
      <c r="C9312" s="160" t="str">
        <f t="shared" si="164"/>
        <v/>
      </c>
    </row>
    <row r="9313" spans="3:3">
      <c r="C9313" s="160" t="str">
        <f t="shared" si="164"/>
        <v/>
      </c>
    </row>
    <row r="9314" spans="3:3">
      <c r="C9314" s="160" t="str">
        <f t="shared" si="164"/>
        <v/>
      </c>
    </row>
    <row r="9315" spans="3:3">
      <c r="C9315" s="160" t="str">
        <f t="shared" si="164"/>
        <v/>
      </c>
    </row>
    <row r="9316" spans="3:3">
      <c r="C9316" s="160" t="str">
        <f t="shared" si="164"/>
        <v/>
      </c>
    </row>
    <row r="9317" spans="3:3">
      <c r="C9317" s="160" t="str">
        <f t="shared" si="164"/>
        <v/>
      </c>
    </row>
    <row r="9318" spans="3:3">
      <c r="C9318" s="160" t="str">
        <f t="shared" si="164"/>
        <v/>
      </c>
    </row>
    <row r="9319" spans="3:3">
      <c r="C9319" s="160" t="str">
        <f t="shared" si="164"/>
        <v/>
      </c>
    </row>
    <row r="9320" spans="3:3">
      <c r="C9320" s="160" t="str">
        <f t="shared" si="164"/>
        <v/>
      </c>
    </row>
    <row r="9321" spans="3:3">
      <c r="C9321" s="160" t="str">
        <f t="shared" si="164"/>
        <v/>
      </c>
    </row>
    <row r="9322" spans="3:3">
      <c r="C9322" s="160" t="str">
        <f t="shared" si="164"/>
        <v/>
      </c>
    </row>
    <row r="9323" spans="3:3">
      <c r="C9323" s="160" t="str">
        <f t="shared" si="164"/>
        <v/>
      </c>
    </row>
    <row r="9324" spans="3:3">
      <c r="C9324" s="160" t="str">
        <f t="shared" si="164"/>
        <v/>
      </c>
    </row>
    <row r="9325" spans="3:3">
      <c r="C9325" s="160" t="str">
        <f t="shared" si="164"/>
        <v/>
      </c>
    </row>
    <row r="9326" spans="3:3">
      <c r="C9326" s="160" t="str">
        <f t="shared" si="164"/>
        <v/>
      </c>
    </row>
    <row r="9327" spans="3:3">
      <c r="C9327" s="160" t="str">
        <f t="shared" si="164"/>
        <v/>
      </c>
    </row>
    <row r="9328" spans="3:3">
      <c r="C9328" s="160" t="str">
        <f t="shared" si="164"/>
        <v/>
      </c>
    </row>
    <row r="9329" spans="3:3">
      <c r="C9329" s="160" t="str">
        <f t="shared" si="164"/>
        <v/>
      </c>
    </row>
    <row r="9330" spans="3:3">
      <c r="C9330" s="160" t="str">
        <f t="shared" si="164"/>
        <v/>
      </c>
    </row>
    <row r="9331" spans="3:3">
      <c r="C9331" s="160" t="str">
        <f t="shared" si="164"/>
        <v/>
      </c>
    </row>
    <row r="9332" spans="3:3">
      <c r="C9332" s="160" t="str">
        <f t="shared" si="164"/>
        <v/>
      </c>
    </row>
    <row r="9333" spans="3:3">
      <c r="C9333" s="160" t="str">
        <f t="shared" si="164"/>
        <v/>
      </c>
    </row>
    <row r="9334" spans="3:3">
      <c r="C9334" s="160" t="str">
        <f t="shared" si="164"/>
        <v/>
      </c>
    </row>
    <row r="9335" spans="3:3">
      <c r="C9335" s="160" t="str">
        <f t="shared" si="164"/>
        <v/>
      </c>
    </row>
    <row r="9336" spans="3:3">
      <c r="C9336" s="160" t="str">
        <f t="shared" si="164"/>
        <v/>
      </c>
    </row>
    <row r="9337" spans="3:3">
      <c r="C9337" s="160" t="str">
        <f t="shared" si="164"/>
        <v/>
      </c>
    </row>
    <row r="9338" spans="3:3">
      <c r="C9338" s="160" t="str">
        <f t="shared" si="164"/>
        <v/>
      </c>
    </row>
    <row r="9339" spans="3:3">
      <c r="C9339" s="160" t="str">
        <f t="shared" si="164"/>
        <v/>
      </c>
    </row>
    <row r="9340" spans="3:3">
      <c r="C9340" s="160" t="str">
        <f t="shared" si="164"/>
        <v/>
      </c>
    </row>
    <row r="9341" spans="3:3">
      <c r="C9341" s="160" t="str">
        <f t="shared" si="164"/>
        <v/>
      </c>
    </row>
    <row r="9342" spans="3:3">
      <c r="C9342" s="160" t="str">
        <f t="shared" si="164"/>
        <v/>
      </c>
    </row>
    <row r="9343" spans="3:3">
      <c r="C9343" s="160" t="str">
        <f t="shared" si="164"/>
        <v/>
      </c>
    </row>
    <row r="9344" spans="3:3">
      <c r="C9344" s="160" t="str">
        <f t="shared" si="164"/>
        <v/>
      </c>
    </row>
    <row r="9345" spans="3:3">
      <c r="C9345" s="160" t="str">
        <f t="shared" si="164"/>
        <v/>
      </c>
    </row>
    <row r="9346" spans="3:3">
      <c r="C9346" s="160" t="str">
        <f t="shared" si="164"/>
        <v/>
      </c>
    </row>
    <row r="9347" spans="3:3">
      <c r="C9347" s="160" t="str">
        <f t="shared" si="164"/>
        <v/>
      </c>
    </row>
    <row r="9348" spans="3:3">
      <c r="C9348" s="160" t="str">
        <f t="shared" si="164"/>
        <v/>
      </c>
    </row>
    <row r="9349" spans="3:3">
      <c r="C9349" s="160" t="str">
        <f t="shared" si="164"/>
        <v/>
      </c>
    </row>
    <row r="9350" spans="3:3">
      <c r="C9350" s="160" t="str">
        <f t="shared" si="164"/>
        <v/>
      </c>
    </row>
    <row r="9351" spans="3:3">
      <c r="C9351" s="160" t="str">
        <f t="shared" si="164"/>
        <v/>
      </c>
    </row>
    <row r="9352" spans="3:3">
      <c r="C9352" s="160" t="str">
        <f t="shared" si="164"/>
        <v/>
      </c>
    </row>
    <row r="9353" spans="3:3">
      <c r="C9353" s="160" t="str">
        <f t="shared" si="164"/>
        <v/>
      </c>
    </row>
    <row r="9354" spans="3:3">
      <c r="C9354" s="160" t="str">
        <f t="shared" si="164"/>
        <v/>
      </c>
    </row>
    <row r="9355" spans="3:3">
      <c r="C9355" s="160" t="str">
        <f t="shared" si="164"/>
        <v/>
      </c>
    </row>
    <row r="9356" spans="3:3">
      <c r="C9356" s="160" t="str">
        <f t="shared" si="164"/>
        <v/>
      </c>
    </row>
    <row r="9357" spans="3:3">
      <c r="C9357" s="160" t="str">
        <f t="shared" ref="C9357:C9420" si="165">D9357&amp;I9357</f>
        <v/>
      </c>
    </row>
    <row r="9358" spans="3:3">
      <c r="C9358" s="160" t="str">
        <f t="shared" si="165"/>
        <v/>
      </c>
    </row>
    <row r="9359" spans="3:3">
      <c r="C9359" s="160" t="str">
        <f t="shared" si="165"/>
        <v/>
      </c>
    </row>
    <row r="9360" spans="3:3">
      <c r="C9360" s="160" t="str">
        <f t="shared" si="165"/>
        <v/>
      </c>
    </row>
    <row r="9361" spans="3:3">
      <c r="C9361" s="160" t="str">
        <f t="shared" si="165"/>
        <v/>
      </c>
    </row>
    <row r="9362" spans="3:3">
      <c r="C9362" s="160" t="str">
        <f t="shared" si="165"/>
        <v/>
      </c>
    </row>
    <row r="9363" spans="3:3">
      <c r="C9363" s="160" t="str">
        <f t="shared" si="165"/>
        <v/>
      </c>
    </row>
    <row r="9364" spans="3:3">
      <c r="C9364" s="160" t="str">
        <f t="shared" si="165"/>
        <v/>
      </c>
    </row>
    <row r="9365" spans="3:3">
      <c r="C9365" s="160" t="str">
        <f t="shared" si="165"/>
        <v/>
      </c>
    </row>
    <row r="9366" spans="3:3">
      <c r="C9366" s="160" t="str">
        <f t="shared" si="165"/>
        <v/>
      </c>
    </row>
    <row r="9367" spans="3:3">
      <c r="C9367" s="160" t="str">
        <f t="shared" si="165"/>
        <v/>
      </c>
    </row>
    <row r="9368" spans="3:3">
      <c r="C9368" s="160" t="str">
        <f t="shared" si="165"/>
        <v/>
      </c>
    </row>
    <row r="9369" spans="3:3">
      <c r="C9369" s="160" t="str">
        <f t="shared" si="165"/>
        <v/>
      </c>
    </row>
    <row r="9370" spans="3:3">
      <c r="C9370" s="160" t="str">
        <f t="shared" si="165"/>
        <v/>
      </c>
    </row>
    <row r="9371" spans="3:3">
      <c r="C9371" s="160" t="str">
        <f t="shared" si="165"/>
        <v/>
      </c>
    </row>
    <row r="9372" spans="3:3">
      <c r="C9372" s="160" t="str">
        <f t="shared" si="165"/>
        <v/>
      </c>
    </row>
    <row r="9373" spans="3:3">
      <c r="C9373" s="160" t="str">
        <f t="shared" si="165"/>
        <v/>
      </c>
    </row>
    <row r="9374" spans="3:3">
      <c r="C9374" s="160" t="str">
        <f t="shared" si="165"/>
        <v/>
      </c>
    </row>
    <row r="9375" spans="3:3">
      <c r="C9375" s="160" t="str">
        <f t="shared" si="165"/>
        <v/>
      </c>
    </row>
    <row r="9376" spans="3:3">
      <c r="C9376" s="160" t="str">
        <f t="shared" si="165"/>
        <v/>
      </c>
    </row>
    <row r="9377" spans="3:3">
      <c r="C9377" s="160" t="str">
        <f t="shared" si="165"/>
        <v/>
      </c>
    </row>
    <row r="9378" spans="3:3">
      <c r="C9378" s="160" t="str">
        <f t="shared" si="165"/>
        <v/>
      </c>
    </row>
    <row r="9379" spans="3:3">
      <c r="C9379" s="160" t="str">
        <f t="shared" si="165"/>
        <v/>
      </c>
    </row>
    <row r="9380" spans="3:3">
      <c r="C9380" s="160" t="str">
        <f t="shared" si="165"/>
        <v/>
      </c>
    </row>
    <row r="9381" spans="3:3">
      <c r="C9381" s="160" t="str">
        <f t="shared" si="165"/>
        <v/>
      </c>
    </row>
    <row r="9382" spans="3:3">
      <c r="C9382" s="160" t="str">
        <f t="shared" si="165"/>
        <v/>
      </c>
    </row>
    <row r="9383" spans="3:3">
      <c r="C9383" s="160" t="str">
        <f t="shared" si="165"/>
        <v/>
      </c>
    </row>
    <row r="9384" spans="3:3">
      <c r="C9384" s="160" t="str">
        <f t="shared" si="165"/>
        <v/>
      </c>
    </row>
    <row r="9385" spans="3:3">
      <c r="C9385" s="160" t="str">
        <f t="shared" si="165"/>
        <v/>
      </c>
    </row>
    <row r="9386" spans="3:3">
      <c r="C9386" s="160" t="str">
        <f t="shared" si="165"/>
        <v/>
      </c>
    </row>
    <row r="9387" spans="3:3">
      <c r="C9387" s="160" t="str">
        <f t="shared" si="165"/>
        <v/>
      </c>
    </row>
    <row r="9388" spans="3:3">
      <c r="C9388" s="160" t="str">
        <f t="shared" si="165"/>
        <v/>
      </c>
    </row>
    <row r="9389" spans="3:3">
      <c r="C9389" s="160" t="str">
        <f t="shared" si="165"/>
        <v/>
      </c>
    </row>
    <row r="9390" spans="3:3">
      <c r="C9390" s="160" t="str">
        <f t="shared" si="165"/>
        <v/>
      </c>
    </row>
    <row r="9391" spans="3:3">
      <c r="C9391" s="160" t="str">
        <f t="shared" si="165"/>
        <v/>
      </c>
    </row>
    <row r="9392" spans="3:3">
      <c r="C9392" s="160" t="str">
        <f t="shared" si="165"/>
        <v/>
      </c>
    </row>
    <row r="9393" spans="3:3">
      <c r="C9393" s="160" t="str">
        <f t="shared" si="165"/>
        <v/>
      </c>
    </row>
    <row r="9394" spans="3:3">
      <c r="C9394" s="160" t="str">
        <f t="shared" si="165"/>
        <v/>
      </c>
    </row>
    <row r="9395" spans="3:3">
      <c r="C9395" s="160" t="str">
        <f t="shared" si="165"/>
        <v/>
      </c>
    </row>
    <row r="9396" spans="3:3">
      <c r="C9396" s="160" t="str">
        <f t="shared" si="165"/>
        <v/>
      </c>
    </row>
    <row r="9397" spans="3:3">
      <c r="C9397" s="160" t="str">
        <f t="shared" si="165"/>
        <v/>
      </c>
    </row>
    <row r="9398" spans="3:3">
      <c r="C9398" s="160" t="str">
        <f t="shared" si="165"/>
        <v/>
      </c>
    </row>
    <row r="9399" spans="3:3">
      <c r="C9399" s="160" t="str">
        <f t="shared" si="165"/>
        <v/>
      </c>
    </row>
    <row r="9400" spans="3:3">
      <c r="C9400" s="160" t="str">
        <f t="shared" si="165"/>
        <v/>
      </c>
    </row>
    <row r="9401" spans="3:3">
      <c r="C9401" s="160" t="str">
        <f t="shared" si="165"/>
        <v/>
      </c>
    </row>
    <row r="9402" spans="3:3">
      <c r="C9402" s="160" t="str">
        <f t="shared" si="165"/>
        <v/>
      </c>
    </row>
    <row r="9403" spans="3:3">
      <c r="C9403" s="160" t="str">
        <f t="shared" si="165"/>
        <v/>
      </c>
    </row>
    <row r="9404" spans="3:3">
      <c r="C9404" s="160" t="str">
        <f t="shared" si="165"/>
        <v/>
      </c>
    </row>
    <row r="9405" spans="3:3">
      <c r="C9405" s="160" t="str">
        <f t="shared" si="165"/>
        <v/>
      </c>
    </row>
    <row r="9406" spans="3:3">
      <c r="C9406" s="160" t="str">
        <f t="shared" si="165"/>
        <v/>
      </c>
    </row>
    <row r="9407" spans="3:3">
      <c r="C9407" s="160" t="str">
        <f t="shared" si="165"/>
        <v/>
      </c>
    </row>
    <row r="9408" spans="3:3">
      <c r="C9408" s="160" t="str">
        <f t="shared" si="165"/>
        <v/>
      </c>
    </row>
    <row r="9409" spans="3:3">
      <c r="C9409" s="160" t="str">
        <f t="shared" si="165"/>
        <v/>
      </c>
    </row>
    <row r="9410" spans="3:3">
      <c r="C9410" s="160" t="str">
        <f t="shared" si="165"/>
        <v/>
      </c>
    </row>
    <row r="9411" spans="3:3">
      <c r="C9411" s="160" t="str">
        <f t="shared" si="165"/>
        <v/>
      </c>
    </row>
    <row r="9412" spans="3:3">
      <c r="C9412" s="160" t="str">
        <f t="shared" si="165"/>
        <v/>
      </c>
    </row>
    <row r="9413" spans="3:3">
      <c r="C9413" s="160" t="str">
        <f t="shared" si="165"/>
        <v/>
      </c>
    </row>
    <row r="9414" spans="3:3">
      <c r="C9414" s="160" t="str">
        <f t="shared" si="165"/>
        <v/>
      </c>
    </row>
    <row r="9415" spans="3:3">
      <c r="C9415" s="160" t="str">
        <f t="shared" si="165"/>
        <v/>
      </c>
    </row>
    <row r="9416" spans="3:3">
      <c r="C9416" s="160" t="str">
        <f t="shared" si="165"/>
        <v/>
      </c>
    </row>
    <row r="9417" spans="3:3">
      <c r="C9417" s="160" t="str">
        <f t="shared" si="165"/>
        <v/>
      </c>
    </row>
    <row r="9418" spans="3:3">
      <c r="C9418" s="160" t="str">
        <f t="shared" si="165"/>
        <v/>
      </c>
    </row>
    <row r="9419" spans="3:3">
      <c r="C9419" s="160" t="str">
        <f t="shared" si="165"/>
        <v/>
      </c>
    </row>
    <row r="9420" spans="3:3">
      <c r="C9420" s="160" t="str">
        <f t="shared" si="165"/>
        <v/>
      </c>
    </row>
    <row r="9421" spans="3:3">
      <c r="C9421" s="160" t="str">
        <f t="shared" ref="C9421:C9484" si="166">D9421&amp;I9421</f>
        <v/>
      </c>
    </row>
    <row r="9422" spans="3:3">
      <c r="C9422" s="160" t="str">
        <f t="shared" si="166"/>
        <v/>
      </c>
    </row>
    <row r="9423" spans="3:3">
      <c r="C9423" s="160" t="str">
        <f t="shared" si="166"/>
        <v/>
      </c>
    </row>
    <row r="9424" spans="3:3">
      <c r="C9424" s="160" t="str">
        <f t="shared" si="166"/>
        <v/>
      </c>
    </row>
    <row r="9425" spans="3:3">
      <c r="C9425" s="160" t="str">
        <f t="shared" si="166"/>
        <v/>
      </c>
    </row>
    <row r="9426" spans="3:3">
      <c r="C9426" s="160" t="str">
        <f t="shared" si="166"/>
        <v/>
      </c>
    </row>
    <row r="9427" spans="3:3">
      <c r="C9427" s="160" t="str">
        <f t="shared" si="166"/>
        <v/>
      </c>
    </row>
    <row r="9428" spans="3:3">
      <c r="C9428" s="160" t="str">
        <f t="shared" si="166"/>
        <v/>
      </c>
    </row>
    <row r="9429" spans="3:3">
      <c r="C9429" s="160" t="str">
        <f t="shared" si="166"/>
        <v/>
      </c>
    </row>
    <row r="9430" spans="3:3">
      <c r="C9430" s="160" t="str">
        <f t="shared" si="166"/>
        <v/>
      </c>
    </row>
    <row r="9431" spans="3:3">
      <c r="C9431" s="160" t="str">
        <f t="shared" si="166"/>
        <v/>
      </c>
    </row>
    <row r="9432" spans="3:3">
      <c r="C9432" s="160" t="str">
        <f t="shared" si="166"/>
        <v/>
      </c>
    </row>
    <row r="9433" spans="3:3">
      <c r="C9433" s="160" t="str">
        <f t="shared" si="166"/>
        <v/>
      </c>
    </row>
    <row r="9434" spans="3:3">
      <c r="C9434" s="160" t="str">
        <f t="shared" si="166"/>
        <v/>
      </c>
    </row>
    <row r="9435" spans="3:3">
      <c r="C9435" s="160" t="str">
        <f t="shared" si="166"/>
        <v/>
      </c>
    </row>
    <row r="9436" spans="3:3">
      <c r="C9436" s="160" t="str">
        <f t="shared" si="166"/>
        <v/>
      </c>
    </row>
    <row r="9437" spans="3:3">
      <c r="C9437" s="160" t="str">
        <f t="shared" si="166"/>
        <v/>
      </c>
    </row>
    <row r="9438" spans="3:3">
      <c r="C9438" s="160" t="str">
        <f t="shared" si="166"/>
        <v/>
      </c>
    </row>
    <row r="9439" spans="3:3">
      <c r="C9439" s="160" t="str">
        <f t="shared" si="166"/>
        <v/>
      </c>
    </row>
    <row r="9440" spans="3:3">
      <c r="C9440" s="160" t="str">
        <f t="shared" si="166"/>
        <v/>
      </c>
    </row>
    <row r="9441" spans="3:3">
      <c r="C9441" s="160" t="str">
        <f t="shared" si="166"/>
        <v/>
      </c>
    </row>
    <row r="9442" spans="3:3">
      <c r="C9442" s="160" t="str">
        <f t="shared" si="166"/>
        <v/>
      </c>
    </row>
    <row r="9443" spans="3:3">
      <c r="C9443" s="160" t="str">
        <f t="shared" si="166"/>
        <v/>
      </c>
    </row>
    <row r="9444" spans="3:3">
      <c r="C9444" s="160" t="str">
        <f t="shared" si="166"/>
        <v/>
      </c>
    </row>
    <row r="9445" spans="3:3">
      <c r="C9445" s="160" t="str">
        <f t="shared" si="166"/>
        <v/>
      </c>
    </row>
    <row r="9446" spans="3:3">
      <c r="C9446" s="160" t="str">
        <f t="shared" si="166"/>
        <v/>
      </c>
    </row>
    <row r="9447" spans="3:3">
      <c r="C9447" s="160" t="str">
        <f t="shared" si="166"/>
        <v/>
      </c>
    </row>
    <row r="9448" spans="3:3">
      <c r="C9448" s="160" t="str">
        <f t="shared" si="166"/>
        <v/>
      </c>
    </row>
    <row r="9449" spans="3:3">
      <c r="C9449" s="160" t="str">
        <f t="shared" si="166"/>
        <v/>
      </c>
    </row>
    <row r="9450" spans="3:3">
      <c r="C9450" s="160" t="str">
        <f t="shared" si="166"/>
        <v/>
      </c>
    </row>
    <row r="9451" spans="3:3">
      <c r="C9451" s="160" t="str">
        <f t="shared" si="166"/>
        <v/>
      </c>
    </row>
    <row r="9452" spans="3:3">
      <c r="C9452" s="160" t="str">
        <f t="shared" si="166"/>
        <v/>
      </c>
    </row>
    <row r="9453" spans="3:3">
      <c r="C9453" s="160" t="str">
        <f t="shared" si="166"/>
        <v/>
      </c>
    </row>
    <row r="9454" spans="3:3">
      <c r="C9454" s="160" t="str">
        <f t="shared" si="166"/>
        <v/>
      </c>
    </row>
    <row r="9455" spans="3:3">
      <c r="C9455" s="160" t="str">
        <f t="shared" si="166"/>
        <v/>
      </c>
    </row>
    <row r="9456" spans="3:3">
      <c r="C9456" s="160" t="str">
        <f t="shared" si="166"/>
        <v/>
      </c>
    </row>
    <row r="9457" spans="3:3">
      <c r="C9457" s="160" t="str">
        <f t="shared" si="166"/>
        <v/>
      </c>
    </row>
    <row r="9458" spans="3:3">
      <c r="C9458" s="160" t="str">
        <f t="shared" si="166"/>
        <v/>
      </c>
    </row>
    <row r="9459" spans="3:3">
      <c r="C9459" s="160" t="str">
        <f t="shared" si="166"/>
        <v/>
      </c>
    </row>
    <row r="9460" spans="3:3">
      <c r="C9460" s="160" t="str">
        <f t="shared" si="166"/>
        <v/>
      </c>
    </row>
    <row r="9461" spans="3:3">
      <c r="C9461" s="160" t="str">
        <f t="shared" si="166"/>
        <v/>
      </c>
    </row>
    <row r="9462" spans="3:3">
      <c r="C9462" s="160" t="str">
        <f t="shared" si="166"/>
        <v/>
      </c>
    </row>
    <row r="9463" spans="3:3">
      <c r="C9463" s="160" t="str">
        <f t="shared" si="166"/>
        <v/>
      </c>
    </row>
    <row r="9464" spans="3:3">
      <c r="C9464" s="160" t="str">
        <f t="shared" si="166"/>
        <v/>
      </c>
    </row>
    <row r="9465" spans="3:3">
      <c r="C9465" s="160" t="str">
        <f t="shared" si="166"/>
        <v/>
      </c>
    </row>
    <row r="9466" spans="3:3">
      <c r="C9466" s="160" t="str">
        <f t="shared" si="166"/>
        <v/>
      </c>
    </row>
    <row r="9467" spans="3:3">
      <c r="C9467" s="160" t="str">
        <f t="shared" si="166"/>
        <v/>
      </c>
    </row>
    <row r="9468" spans="3:3">
      <c r="C9468" s="160" t="str">
        <f t="shared" si="166"/>
        <v/>
      </c>
    </row>
    <row r="9469" spans="3:3">
      <c r="C9469" s="160" t="str">
        <f t="shared" si="166"/>
        <v/>
      </c>
    </row>
    <row r="9470" spans="3:3">
      <c r="C9470" s="160" t="str">
        <f t="shared" si="166"/>
        <v/>
      </c>
    </row>
    <row r="9471" spans="3:3">
      <c r="C9471" s="160" t="str">
        <f t="shared" si="166"/>
        <v/>
      </c>
    </row>
    <row r="9472" spans="3:3">
      <c r="C9472" s="160" t="str">
        <f t="shared" si="166"/>
        <v/>
      </c>
    </row>
    <row r="9473" spans="3:3">
      <c r="C9473" s="160" t="str">
        <f t="shared" si="166"/>
        <v/>
      </c>
    </row>
    <row r="9474" spans="3:3">
      <c r="C9474" s="160" t="str">
        <f t="shared" si="166"/>
        <v/>
      </c>
    </row>
    <row r="9475" spans="3:3">
      <c r="C9475" s="160" t="str">
        <f t="shared" si="166"/>
        <v/>
      </c>
    </row>
    <row r="9476" spans="3:3">
      <c r="C9476" s="160" t="str">
        <f t="shared" si="166"/>
        <v/>
      </c>
    </row>
    <row r="9477" spans="3:3">
      <c r="C9477" s="160" t="str">
        <f t="shared" si="166"/>
        <v/>
      </c>
    </row>
    <row r="9478" spans="3:3">
      <c r="C9478" s="160" t="str">
        <f t="shared" si="166"/>
        <v/>
      </c>
    </row>
    <row r="9479" spans="3:3">
      <c r="C9479" s="160" t="str">
        <f t="shared" si="166"/>
        <v/>
      </c>
    </row>
    <row r="9480" spans="3:3">
      <c r="C9480" s="160" t="str">
        <f t="shared" si="166"/>
        <v/>
      </c>
    </row>
    <row r="9481" spans="3:3">
      <c r="C9481" s="160" t="str">
        <f t="shared" si="166"/>
        <v/>
      </c>
    </row>
    <row r="9482" spans="3:3">
      <c r="C9482" s="160" t="str">
        <f t="shared" si="166"/>
        <v/>
      </c>
    </row>
    <row r="9483" spans="3:3">
      <c r="C9483" s="160" t="str">
        <f t="shared" si="166"/>
        <v/>
      </c>
    </row>
    <row r="9484" spans="3:3">
      <c r="C9484" s="160" t="str">
        <f t="shared" si="166"/>
        <v/>
      </c>
    </row>
    <row r="9485" spans="3:3">
      <c r="C9485" s="160" t="str">
        <f t="shared" ref="C9485:C9548" si="167">D9485&amp;I9485</f>
        <v/>
      </c>
    </row>
    <row r="9486" spans="3:3">
      <c r="C9486" s="160" t="str">
        <f t="shared" si="167"/>
        <v/>
      </c>
    </row>
    <row r="9487" spans="3:3">
      <c r="C9487" s="160" t="str">
        <f t="shared" si="167"/>
        <v/>
      </c>
    </row>
    <row r="9488" spans="3:3">
      <c r="C9488" s="160" t="str">
        <f t="shared" si="167"/>
        <v/>
      </c>
    </row>
    <row r="9489" spans="3:3">
      <c r="C9489" s="160" t="str">
        <f t="shared" si="167"/>
        <v/>
      </c>
    </row>
    <row r="9490" spans="3:3">
      <c r="C9490" s="160" t="str">
        <f t="shared" si="167"/>
        <v/>
      </c>
    </row>
    <row r="9491" spans="3:3">
      <c r="C9491" s="160" t="str">
        <f t="shared" si="167"/>
        <v/>
      </c>
    </row>
    <row r="9492" spans="3:3">
      <c r="C9492" s="160" t="str">
        <f t="shared" si="167"/>
        <v/>
      </c>
    </row>
    <row r="9493" spans="3:3">
      <c r="C9493" s="160" t="str">
        <f t="shared" si="167"/>
        <v/>
      </c>
    </row>
    <row r="9494" spans="3:3">
      <c r="C9494" s="160" t="str">
        <f t="shared" si="167"/>
        <v/>
      </c>
    </row>
    <row r="9495" spans="3:3">
      <c r="C9495" s="160" t="str">
        <f t="shared" si="167"/>
        <v/>
      </c>
    </row>
    <row r="9496" spans="3:3">
      <c r="C9496" s="160" t="str">
        <f t="shared" si="167"/>
        <v/>
      </c>
    </row>
    <row r="9497" spans="3:3">
      <c r="C9497" s="160" t="str">
        <f t="shared" si="167"/>
        <v/>
      </c>
    </row>
    <row r="9498" spans="3:3">
      <c r="C9498" s="160" t="str">
        <f t="shared" si="167"/>
        <v/>
      </c>
    </row>
    <row r="9499" spans="3:3">
      <c r="C9499" s="160" t="str">
        <f t="shared" si="167"/>
        <v/>
      </c>
    </row>
    <row r="9500" spans="3:3">
      <c r="C9500" s="160" t="str">
        <f t="shared" si="167"/>
        <v/>
      </c>
    </row>
    <row r="9501" spans="3:3">
      <c r="C9501" s="160" t="str">
        <f t="shared" si="167"/>
        <v/>
      </c>
    </row>
    <row r="9502" spans="3:3">
      <c r="C9502" s="160" t="str">
        <f t="shared" si="167"/>
        <v/>
      </c>
    </row>
    <row r="9503" spans="3:3">
      <c r="C9503" s="160" t="str">
        <f t="shared" si="167"/>
        <v/>
      </c>
    </row>
    <row r="9504" spans="3:3">
      <c r="C9504" s="160" t="str">
        <f t="shared" si="167"/>
        <v/>
      </c>
    </row>
    <row r="9505" spans="3:3">
      <c r="C9505" s="160" t="str">
        <f t="shared" si="167"/>
        <v/>
      </c>
    </row>
    <row r="9506" spans="3:3">
      <c r="C9506" s="160" t="str">
        <f t="shared" si="167"/>
        <v/>
      </c>
    </row>
    <row r="9507" spans="3:3">
      <c r="C9507" s="160" t="str">
        <f t="shared" si="167"/>
        <v/>
      </c>
    </row>
    <row r="9508" spans="3:3">
      <c r="C9508" s="160" t="str">
        <f t="shared" si="167"/>
        <v/>
      </c>
    </row>
    <row r="9509" spans="3:3">
      <c r="C9509" s="160" t="str">
        <f t="shared" si="167"/>
        <v/>
      </c>
    </row>
    <row r="9510" spans="3:3">
      <c r="C9510" s="160" t="str">
        <f t="shared" si="167"/>
        <v/>
      </c>
    </row>
    <row r="9511" spans="3:3">
      <c r="C9511" s="160" t="str">
        <f t="shared" si="167"/>
        <v/>
      </c>
    </row>
    <row r="9512" spans="3:3">
      <c r="C9512" s="160" t="str">
        <f t="shared" si="167"/>
        <v/>
      </c>
    </row>
    <row r="9513" spans="3:3">
      <c r="C9513" s="160" t="str">
        <f t="shared" si="167"/>
        <v/>
      </c>
    </row>
    <row r="9514" spans="3:3">
      <c r="C9514" s="160" t="str">
        <f t="shared" si="167"/>
        <v/>
      </c>
    </row>
    <row r="9515" spans="3:3">
      <c r="C9515" s="160" t="str">
        <f t="shared" si="167"/>
        <v/>
      </c>
    </row>
    <row r="9516" spans="3:3">
      <c r="C9516" s="160" t="str">
        <f t="shared" si="167"/>
        <v/>
      </c>
    </row>
    <row r="9517" spans="3:3">
      <c r="C9517" s="160" t="str">
        <f t="shared" si="167"/>
        <v/>
      </c>
    </row>
    <row r="9518" spans="3:3">
      <c r="C9518" s="160" t="str">
        <f t="shared" si="167"/>
        <v/>
      </c>
    </row>
    <row r="9519" spans="3:3">
      <c r="C9519" s="160" t="str">
        <f t="shared" si="167"/>
        <v/>
      </c>
    </row>
    <row r="9520" spans="3:3">
      <c r="C9520" s="160" t="str">
        <f t="shared" si="167"/>
        <v/>
      </c>
    </row>
    <row r="9521" spans="3:3">
      <c r="C9521" s="160" t="str">
        <f t="shared" si="167"/>
        <v/>
      </c>
    </row>
    <row r="9522" spans="3:3">
      <c r="C9522" s="160" t="str">
        <f t="shared" si="167"/>
        <v/>
      </c>
    </row>
    <row r="9523" spans="3:3">
      <c r="C9523" s="160" t="str">
        <f t="shared" si="167"/>
        <v/>
      </c>
    </row>
    <row r="9524" spans="3:3">
      <c r="C9524" s="160" t="str">
        <f t="shared" si="167"/>
        <v/>
      </c>
    </row>
    <row r="9525" spans="3:3">
      <c r="C9525" s="160" t="str">
        <f t="shared" si="167"/>
        <v/>
      </c>
    </row>
    <row r="9526" spans="3:3">
      <c r="C9526" s="160" t="str">
        <f t="shared" si="167"/>
        <v/>
      </c>
    </row>
    <row r="9527" spans="3:3">
      <c r="C9527" s="160" t="str">
        <f t="shared" si="167"/>
        <v/>
      </c>
    </row>
    <row r="9528" spans="3:3">
      <c r="C9528" s="160" t="str">
        <f t="shared" si="167"/>
        <v/>
      </c>
    </row>
    <row r="9529" spans="3:3">
      <c r="C9529" s="160" t="str">
        <f t="shared" si="167"/>
        <v/>
      </c>
    </row>
    <row r="9530" spans="3:3">
      <c r="C9530" s="160" t="str">
        <f t="shared" si="167"/>
        <v/>
      </c>
    </row>
    <row r="9531" spans="3:3">
      <c r="C9531" s="160" t="str">
        <f t="shared" si="167"/>
        <v/>
      </c>
    </row>
    <row r="9532" spans="3:3">
      <c r="C9532" s="160" t="str">
        <f t="shared" si="167"/>
        <v/>
      </c>
    </row>
    <row r="9533" spans="3:3">
      <c r="C9533" s="160" t="str">
        <f t="shared" si="167"/>
        <v/>
      </c>
    </row>
    <row r="9534" spans="3:3">
      <c r="C9534" s="160" t="str">
        <f t="shared" si="167"/>
        <v/>
      </c>
    </row>
    <row r="9535" spans="3:3">
      <c r="C9535" s="160" t="str">
        <f t="shared" si="167"/>
        <v/>
      </c>
    </row>
    <row r="9536" spans="3:3">
      <c r="C9536" s="160" t="str">
        <f t="shared" si="167"/>
        <v/>
      </c>
    </row>
    <row r="9537" spans="3:3">
      <c r="C9537" s="160" t="str">
        <f t="shared" si="167"/>
        <v/>
      </c>
    </row>
    <row r="9538" spans="3:3">
      <c r="C9538" s="160" t="str">
        <f t="shared" si="167"/>
        <v/>
      </c>
    </row>
    <row r="9539" spans="3:3">
      <c r="C9539" s="160" t="str">
        <f t="shared" si="167"/>
        <v/>
      </c>
    </row>
    <row r="9540" spans="3:3">
      <c r="C9540" s="160" t="str">
        <f t="shared" si="167"/>
        <v/>
      </c>
    </row>
    <row r="9541" spans="3:3">
      <c r="C9541" s="160" t="str">
        <f t="shared" si="167"/>
        <v/>
      </c>
    </row>
    <row r="9542" spans="3:3">
      <c r="C9542" s="160" t="str">
        <f t="shared" si="167"/>
        <v/>
      </c>
    </row>
    <row r="9543" spans="3:3">
      <c r="C9543" s="160" t="str">
        <f t="shared" si="167"/>
        <v/>
      </c>
    </row>
    <row r="9544" spans="3:3">
      <c r="C9544" s="160" t="str">
        <f t="shared" si="167"/>
        <v/>
      </c>
    </row>
    <row r="9545" spans="3:3">
      <c r="C9545" s="160" t="str">
        <f t="shared" si="167"/>
        <v/>
      </c>
    </row>
    <row r="9546" spans="3:3">
      <c r="C9546" s="160" t="str">
        <f t="shared" si="167"/>
        <v/>
      </c>
    </row>
    <row r="9547" spans="3:3">
      <c r="C9547" s="160" t="str">
        <f t="shared" si="167"/>
        <v/>
      </c>
    </row>
    <row r="9548" spans="3:3">
      <c r="C9548" s="160" t="str">
        <f t="shared" si="167"/>
        <v/>
      </c>
    </row>
    <row r="9549" spans="3:3">
      <c r="C9549" s="160" t="str">
        <f t="shared" ref="C9549:C9612" si="168">D9549&amp;I9549</f>
        <v/>
      </c>
    </row>
    <row r="9550" spans="3:3">
      <c r="C9550" s="160" t="str">
        <f t="shared" si="168"/>
        <v/>
      </c>
    </row>
    <row r="9551" spans="3:3">
      <c r="C9551" s="160" t="str">
        <f t="shared" si="168"/>
        <v/>
      </c>
    </row>
    <row r="9552" spans="3:3">
      <c r="C9552" s="160" t="str">
        <f t="shared" si="168"/>
        <v/>
      </c>
    </row>
    <row r="9553" spans="3:3">
      <c r="C9553" s="160" t="str">
        <f t="shared" si="168"/>
        <v/>
      </c>
    </row>
    <row r="9554" spans="3:3">
      <c r="C9554" s="160" t="str">
        <f t="shared" si="168"/>
        <v/>
      </c>
    </row>
    <row r="9555" spans="3:3">
      <c r="C9555" s="160" t="str">
        <f t="shared" si="168"/>
        <v/>
      </c>
    </row>
    <row r="9556" spans="3:3">
      <c r="C9556" s="160" t="str">
        <f t="shared" si="168"/>
        <v/>
      </c>
    </row>
    <row r="9557" spans="3:3">
      <c r="C9557" s="160" t="str">
        <f t="shared" si="168"/>
        <v/>
      </c>
    </row>
    <row r="9558" spans="3:3">
      <c r="C9558" s="160" t="str">
        <f t="shared" si="168"/>
        <v/>
      </c>
    </row>
    <row r="9559" spans="3:3">
      <c r="C9559" s="160" t="str">
        <f t="shared" si="168"/>
        <v/>
      </c>
    </row>
    <row r="9560" spans="3:3">
      <c r="C9560" s="160" t="str">
        <f t="shared" si="168"/>
        <v/>
      </c>
    </row>
    <row r="9561" spans="3:3">
      <c r="C9561" s="160" t="str">
        <f t="shared" si="168"/>
        <v/>
      </c>
    </row>
    <row r="9562" spans="3:3">
      <c r="C9562" s="160" t="str">
        <f t="shared" si="168"/>
        <v/>
      </c>
    </row>
    <row r="9563" spans="3:3">
      <c r="C9563" s="160" t="str">
        <f t="shared" si="168"/>
        <v/>
      </c>
    </row>
    <row r="9564" spans="3:3">
      <c r="C9564" s="160" t="str">
        <f t="shared" si="168"/>
        <v/>
      </c>
    </row>
    <row r="9565" spans="3:3">
      <c r="C9565" s="160" t="str">
        <f t="shared" si="168"/>
        <v/>
      </c>
    </row>
    <row r="9566" spans="3:3">
      <c r="C9566" s="160" t="str">
        <f t="shared" si="168"/>
        <v/>
      </c>
    </row>
    <row r="9567" spans="3:3">
      <c r="C9567" s="160" t="str">
        <f t="shared" si="168"/>
        <v/>
      </c>
    </row>
    <row r="9568" spans="3:3">
      <c r="C9568" s="160" t="str">
        <f t="shared" si="168"/>
        <v/>
      </c>
    </row>
    <row r="9569" spans="3:3">
      <c r="C9569" s="160" t="str">
        <f t="shared" si="168"/>
        <v/>
      </c>
    </row>
    <row r="9570" spans="3:3">
      <c r="C9570" s="160" t="str">
        <f t="shared" si="168"/>
        <v/>
      </c>
    </row>
    <row r="9571" spans="3:3">
      <c r="C9571" s="160" t="str">
        <f t="shared" si="168"/>
        <v/>
      </c>
    </row>
    <row r="9572" spans="3:3">
      <c r="C9572" s="160" t="str">
        <f t="shared" si="168"/>
        <v/>
      </c>
    </row>
    <row r="9573" spans="3:3">
      <c r="C9573" s="160" t="str">
        <f t="shared" si="168"/>
        <v/>
      </c>
    </row>
    <row r="9574" spans="3:3">
      <c r="C9574" s="160" t="str">
        <f t="shared" si="168"/>
        <v/>
      </c>
    </row>
    <row r="9575" spans="3:3">
      <c r="C9575" s="160" t="str">
        <f t="shared" si="168"/>
        <v/>
      </c>
    </row>
    <row r="9576" spans="3:3">
      <c r="C9576" s="160" t="str">
        <f t="shared" si="168"/>
        <v/>
      </c>
    </row>
    <row r="9577" spans="3:3">
      <c r="C9577" s="160" t="str">
        <f t="shared" si="168"/>
        <v/>
      </c>
    </row>
    <row r="9578" spans="3:3">
      <c r="C9578" s="160" t="str">
        <f t="shared" si="168"/>
        <v/>
      </c>
    </row>
    <row r="9579" spans="3:3">
      <c r="C9579" s="160" t="str">
        <f t="shared" si="168"/>
        <v/>
      </c>
    </row>
    <row r="9580" spans="3:3">
      <c r="C9580" s="160" t="str">
        <f t="shared" si="168"/>
        <v/>
      </c>
    </row>
    <row r="9581" spans="3:3">
      <c r="C9581" s="160" t="str">
        <f t="shared" si="168"/>
        <v/>
      </c>
    </row>
    <row r="9582" spans="3:3">
      <c r="C9582" s="160" t="str">
        <f t="shared" si="168"/>
        <v/>
      </c>
    </row>
    <row r="9583" spans="3:3">
      <c r="C9583" s="160" t="str">
        <f t="shared" si="168"/>
        <v/>
      </c>
    </row>
    <row r="9584" spans="3:3">
      <c r="C9584" s="160" t="str">
        <f t="shared" si="168"/>
        <v/>
      </c>
    </row>
    <row r="9585" spans="3:3">
      <c r="C9585" s="160" t="str">
        <f t="shared" si="168"/>
        <v/>
      </c>
    </row>
    <row r="9586" spans="3:3">
      <c r="C9586" s="160" t="str">
        <f t="shared" si="168"/>
        <v/>
      </c>
    </row>
    <row r="9587" spans="3:3">
      <c r="C9587" s="160" t="str">
        <f t="shared" si="168"/>
        <v/>
      </c>
    </row>
    <row r="9588" spans="3:3">
      <c r="C9588" s="160" t="str">
        <f t="shared" si="168"/>
        <v/>
      </c>
    </row>
    <row r="9589" spans="3:3">
      <c r="C9589" s="160" t="str">
        <f t="shared" si="168"/>
        <v/>
      </c>
    </row>
    <row r="9590" spans="3:3">
      <c r="C9590" s="160" t="str">
        <f t="shared" si="168"/>
        <v/>
      </c>
    </row>
    <row r="9591" spans="3:3">
      <c r="C9591" s="160" t="str">
        <f t="shared" si="168"/>
        <v/>
      </c>
    </row>
    <row r="9592" spans="3:3">
      <c r="C9592" s="160" t="str">
        <f t="shared" si="168"/>
        <v/>
      </c>
    </row>
    <row r="9593" spans="3:3">
      <c r="C9593" s="160" t="str">
        <f t="shared" si="168"/>
        <v/>
      </c>
    </row>
    <row r="9594" spans="3:3">
      <c r="C9594" s="160" t="str">
        <f t="shared" si="168"/>
        <v/>
      </c>
    </row>
    <row r="9595" spans="3:3">
      <c r="C9595" s="160" t="str">
        <f t="shared" si="168"/>
        <v/>
      </c>
    </row>
    <row r="9596" spans="3:3">
      <c r="C9596" s="160" t="str">
        <f t="shared" si="168"/>
        <v/>
      </c>
    </row>
    <row r="9597" spans="3:3">
      <c r="C9597" s="160" t="str">
        <f t="shared" si="168"/>
        <v/>
      </c>
    </row>
    <row r="9598" spans="3:3">
      <c r="C9598" s="160" t="str">
        <f t="shared" si="168"/>
        <v/>
      </c>
    </row>
    <row r="9599" spans="3:3">
      <c r="C9599" s="160" t="str">
        <f t="shared" si="168"/>
        <v/>
      </c>
    </row>
    <row r="9600" spans="3:3">
      <c r="C9600" s="160" t="str">
        <f t="shared" si="168"/>
        <v/>
      </c>
    </row>
    <row r="9601" spans="3:3">
      <c r="C9601" s="160" t="str">
        <f t="shared" si="168"/>
        <v/>
      </c>
    </row>
    <row r="9602" spans="3:3">
      <c r="C9602" s="160" t="str">
        <f t="shared" si="168"/>
        <v/>
      </c>
    </row>
    <row r="9603" spans="3:3">
      <c r="C9603" s="160" t="str">
        <f t="shared" si="168"/>
        <v/>
      </c>
    </row>
    <row r="9604" spans="3:3">
      <c r="C9604" s="160" t="str">
        <f t="shared" si="168"/>
        <v/>
      </c>
    </row>
    <row r="9605" spans="3:3">
      <c r="C9605" s="160" t="str">
        <f t="shared" si="168"/>
        <v/>
      </c>
    </row>
    <row r="9606" spans="3:3">
      <c r="C9606" s="160" t="str">
        <f t="shared" si="168"/>
        <v/>
      </c>
    </row>
    <row r="9607" spans="3:3">
      <c r="C9607" s="160" t="str">
        <f t="shared" si="168"/>
        <v/>
      </c>
    </row>
    <row r="9608" spans="3:3">
      <c r="C9608" s="160" t="str">
        <f t="shared" si="168"/>
        <v/>
      </c>
    </row>
    <row r="9609" spans="3:3">
      <c r="C9609" s="160" t="str">
        <f t="shared" si="168"/>
        <v/>
      </c>
    </row>
    <row r="9610" spans="3:3">
      <c r="C9610" s="160" t="str">
        <f t="shared" si="168"/>
        <v/>
      </c>
    </row>
    <row r="9611" spans="3:3">
      <c r="C9611" s="160" t="str">
        <f t="shared" si="168"/>
        <v/>
      </c>
    </row>
    <row r="9612" spans="3:3">
      <c r="C9612" s="160" t="str">
        <f t="shared" si="168"/>
        <v/>
      </c>
    </row>
    <row r="9613" spans="3:3">
      <c r="C9613" s="160" t="str">
        <f t="shared" ref="C9613:C9676" si="169">D9613&amp;I9613</f>
        <v/>
      </c>
    </row>
    <row r="9614" spans="3:3">
      <c r="C9614" s="160" t="str">
        <f t="shared" si="169"/>
        <v/>
      </c>
    </row>
    <row r="9615" spans="3:3">
      <c r="C9615" s="160" t="str">
        <f t="shared" si="169"/>
        <v/>
      </c>
    </row>
    <row r="9616" spans="3:3">
      <c r="C9616" s="160" t="str">
        <f t="shared" si="169"/>
        <v/>
      </c>
    </row>
    <row r="9617" spans="3:3">
      <c r="C9617" s="160" t="str">
        <f t="shared" si="169"/>
        <v/>
      </c>
    </row>
    <row r="9618" spans="3:3">
      <c r="C9618" s="160" t="str">
        <f t="shared" si="169"/>
        <v/>
      </c>
    </row>
    <row r="9619" spans="3:3">
      <c r="C9619" s="160" t="str">
        <f t="shared" si="169"/>
        <v/>
      </c>
    </row>
    <row r="9620" spans="3:3">
      <c r="C9620" s="160" t="str">
        <f t="shared" si="169"/>
        <v/>
      </c>
    </row>
    <row r="9621" spans="3:3">
      <c r="C9621" s="160" t="str">
        <f t="shared" si="169"/>
        <v/>
      </c>
    </row>
    <row r="9622" spans="3:3">
      <c r="C9622" s="160" t="str">
        <f t="shared" si="169"/>
        <v/>
      </c>
    </row>
    <row r="9623" spans="3:3">
      <c r="C9623" s="160" t="str">
        <f t="shared" si="169"/>
        <v/>
      </c>
    </row>
    <row r="9624" spans="3:3">
      <c r="C9624" s="160" t="str">
        <f t="shared" si="169"/>
        <v/>
      </c>
    </row>
    <row r="9625" spans="3:3">
      <c r="C9625" s="160" t="str">
        <f t="shared" si="169"/>
        <v/>
      </c>
    </row>
    <row r="9626" spans="3:3">
      <c r="C9626" s="160" t="str">
        <f t="shared" si="169"/>
        <v/>
      </c>
    </row>
    <row r="9627" spans="3:3">
      <c r="C9627" s="160" t="str">
        <f t="shared" si="169"/>
        <v/>
      </c>
    </row>
    <row r="9628" spans="3:3">
      <c r="C9628" s="160" t="str">
        <f t="shared" si="169"/>
        <v/>
      </c>
    </row>
    <row r="9629" spans="3:3">
      <c r="C9629" s="160" t="str">
        <f t="shared" si="169"/>
        <v/>
      </c>
    </row>
    <row r="9630" spans="3:3">
      <c r="C9630" s="160" t="str">
        <f t="shared" si="169"/>
        <v/>
      </c>
    </row>
    <row r="9631" spans="3:3">
      <c r="C9631" s="160" t="str">
        <f t="shared" si="169"/>
        <v/>
      </c>
    </row>
    <row r="9632" spans="3:3">
      <c r="C9632" s="160" t="str">
        <f t="shared" si="169"/>
        <v/>
      </c>
    </row>
    <row r="9633" spans="3:3">
      <c r="C9633" s="160" t="str">
        <f t="shared" si="169"/>
        <v/>
      </c>
    </row>
    <row r="9634" spans="3:3">
      <c r="C9634" s="160" t="str">
        <f t="shared" si="169"/>
        <v/>
      </c>
    </row>
    <row r="9635" spans="3:3">
      <c r="C9635" s="160" t="str">
        <f t="shared" si="169"/>
        <v/>
      </c>
    </row>
    <row r="9636" spans="3:3">
      <c r="C9636" s="160" t="str">
        <f t="shared" si="169"/>
        <v/>
      </c>
    </row>
    <row r="9637" spans="3:3">
      <c r="C9637" s="160" t="str">
        <f t="shared" si="169"/>
        <v/>
      </c>
    </row>
    <row r="9638" spans="3:3">
      <c r="C9638" s="160" t="str">
        <f t="shared" si="169"/>
        <v/>
      </c>
    </row>
    <row r="9639" spans="3:3">
      <c r="C9639" s="160" t="str">
        <f t="shared" si="169"/>
        <v/>
      </c>
    </row>
    <row r="9640" spans="3:3">
      <c r="C9640" s="160" t="str">
        <f t="shared" si="169"/>
        <v/>
      </c>
    </row>
    <row r="9641" spans="3:3">
      <c r="C9641" s="160" t="str">
        <f t="shared" si="169"/>
        <v/>
      </c>
    </row>
    <row r="9642" spans="3:3">
      <c r="C9642" s="160" t="str">
        <f t="shared" si="169"/>
        <v/>
      </c>
    </row>
    <row r="9643" spans="3:3">
      <c r="C9643" s="160" t="str">
        <f t="shared" si="169"/>
        <v/>
      </c>
    </row>
    <row r="9644" spans="3:3">
      <c r="C9644" s="160" t="str">
        <f t="shared" si="169"/>
        <v/>
      </c>
    </row>
    <row r="9645" spans="3:3">
      <c r="C9645" s="160" t="str">
        <f t="shared" si="169"/>
        <v/>
      </c>
    </row>
    <row r="9646" spans="3:3">
      <c r="C9646" s="160" t="str">
        <f t="shared" si="169"/>
        <v/>
      </c>
    </row>
    <row r="9647" spans="3:3">
      <c r="C9647" s="160" t="str">
        <f t="shared" si="169"/>
        <v/>
      </c>
    </row>
    <row r="9648" spans="3:3">
      <c r="C9648" s="160" t="str">
        <f t="shared" si="169"/>
        <v/>
      </c>
    </row>
    <row r="9649" spans="3:3">
      <c r="C9649" s="160" t="str">
        <f t="shared" si="169"/>
        <v/>
      </c>
    </row>
    <row r="9650" spans="3:3">
      <c r="C9650" s="160" t="str">
        <f t="shared" si="169"/>
        <v/>
      </c>
    </row>
    <row r="9651" spans="3:3">
      <c r="C9651" s="160" t="str">
        <f t="shared" si="169"/>
        <v/>
      </c>
    </row>
    <row r="9652" spans="3:3">
      <c r="C9652" s="160" t="str">
        <f t="shared" si="169"/>
        <v/>
      </c>
    </row>
    <row r="9653" spans="3:3">
      <c r="C9653" s="160" t="str">
        <f t="shared" si="169"/>
        <v/>
      </c>
    </row>
    <row r="9654" spans="3:3">
      <c r="C9654" s="160" t="str">
        <f t="shared" si="169"/>
        <v/>
      </c>
    </row>
    <row r="9655" spans="3:3">
      <c r="C9655" s="160" t="str">
        <f t="shared" si="169"/>
        <v/>
      </c>
    </row>
    <row r="9656" spans="3:3">
      <c r="C9656" s="160" t="str">
        <f t="shared" si="169"/>
        <v/>
      </c>
    </row>
    <row r="9657" spans="3:3">
      <c r="C9657" s="160" t="str">
        <f t="shared" si="169"/>
        <v/>
      </c>
    </row>
    <row r="9658" spans="3:3">
      <c r="C9658" s="160" t="str">
        <f t="shared" si="169"/>
        <v/>
      </c>
    </row>
    <row r="9659" spans="3:3">
      <c r="C9659" s="160" t="str">
        <f t="shared" si="169"/>
        <v/>
      </c>
    </row>
    <row r="9660" spans="3:3">
      <c r="C9660" s="160" t="str">
        <f t="shared" si="169"/>
        <v/>
      </c>
    </row>
    <row r="9661" spans="3:3">
      <c r="C9661" s="160" t="str">
        <f t="shared" si="169"/>
        <v/>
      </c>
    </row>
    <row r="9662" spans="3:3">
      <c r="C9662" s="160" t="str">
        <f t="shared" si="169"/>
        <v/>
      </c>
    </row>
    <row r="9663" spans="3:3">
      <c r="C9663" s="160" t="str">
        <f t="shared" si="169"/>
        <v/>
      </c>
    </row>
    <row r="9664" spans="3:3">
      <c r="C9664" s="160" t="str">
        <f t="shared" si="169"/>
        <v/>
      </c>
    </row>
    <row r="9665" spans="3:3">
      <c r="C9665" s="160" t="str">
        <f t="shared" si="169"/>
        <v/>
      </c>
    </row>
    <row r="9666" spans="3:3">
      <c r="C9666" s="160" t="str">
        <f t="shared" si="169"/>
        <v/>
      </c>
    </row>
    <row r="9667" spans="3:3">
      <c r="C9667" s="160" t="str">
        <f t="shared" si="169"/>
        <v/>
      </c>
    </row>
    <row r="9668" spans="3:3">
      <c r="C9668" s="160" t="str">
        <f t="shared" si="169"/>
        <v/>
      </c>
    </row>
    <row r="9669" spans="3:3">
      <c r="C9669" s="160" t="str">
        <f t="shared" si="169"/>
        <v/>
      </c>
    </row>
    <row r="9670" spans="3:3">
      <c r="C9670" s="160" t="str">
        <f t="shared" si="169"/>
        <v/>
      </c>
    </row>
    <row r="9671" spans="3:3">
      <c r="C9671" s="160" t="str">
        <f t="shared" si="169"/>
        <v/>
      </c>
    </row>
    <row r="9672" spans="3:3">
      <c r="C9672" s="160" t="str">
        <f t="shared" si="169"/>
        <v/>
      </c>
    </row>
    <row r="9673" spans="3:3">
      <c r="C9673" s="160" t="str">
        <f t="shared" si="169"/>
        <v/>
      </c>
    </row>
    <row r="9674" spans="3:3">
      <c r="C9674" s="160" t="str">
        <f t="shared" si="169"/>
        <v/>
      </c>
    </row>
    <row r="9675" spans="3:3">
      <c r="C9675" s="160" t="str">
        <f t="shared" si="169"/>
        <v/>
      </c>
    </row>
    <row r="9676" spans="3:3">
      <c r="C9676" s="160" t="str">
        <f t="shared" si="169"/>
        <v/>
      </c>
    </row>
    <row r="9677" spans="3:3">
      <c r="C9677" s="160" t="str">
        <f t="shared" ref="C9677:C9740" si="170">D9677&amp;I9677</f>
        <v/>
      </c>
    </row>
    <row r="9678" spans="3:3">
      <c r="C9678" s="160" t="str">
        <f t="shared" si="170"/>
        <v/>
      </c>
    </row>
    <row r="9679" spans="3:3">
      <c r="C9679" s="160" t="str">
        <f t="shared" si="170"/>
        <v/>
      </c>
    </row>
    <row r="9680" spans="3:3">
      <c r="C9680" s="160" t="str">
        <f t="shared" si="170"/>
        <v/>
      </c>
    </row>
    <row r="9681" spans="3:3">
      <c r="C9681" s="160" t="str">
        <f t="shared" si="170"/>
        <v/>
      </c>
    </row>
    <row r="9682" spans="3:3">
      <c r="C9682" s="160" t="str">
        <f t="shared" si="170"/>
        <v/>
      </c>
    </row>
    <row r="9683" spans="3:3">
      <c r="C9683" s="160" t="str">
        <f t="shared" si="170"/>
        <v/>
      </c>
    </row>
    <row r="9684" spans="3:3">
      <c r="C9684" s="160" t="str">
        <f t="shared" si="170"/>
        <v/>
      </c>
    </row>
    <row r="9685" spans="3:3">
      <c r="C9685" s="160" t="str">
        <f t="shared" si="170"/>
        <v/>
      </c>
    </row>
    <row r="9686" spans="3:3">
      <c r="C9686" s="160" t="str">
        <f t="shared" si="170"/>
        <v/>
      </c>
    </row>
    <row r="9687" spans="3:3">
      <c r="C9687" s="160" t="str">
        <f t="shared" si="170"/>
        <v/>
      </c>
    </row>
    <row r="9688" spans="3:3">
      <c r="C9688" s="160" t="str">
        <f t="shared" si="170"/>
        <v/>
      </c>
    </row>
    <row r="9689" spans="3:3">
      <c r="C9689" s="160" t="str">
        <f t="shared" si="170"/>
        <v/>
      </c>
    </row>
    <row r="9690" spans="3:3">
      <c r="C9690" s="160" t="str">
        <f t="shared" si="170"/>
        <v/>
      </c>
    </row>
    <row r="9691" spans="3:3">
      <c r="C9691" s="160" t="str">
        <f t="shared" si="170"/>
        <v/>
      </c>
    </row>
    <row r="9692" spans="3:3">
      <c r="C9692" s="160" t="str">
        <f t="shared" si="170"/>
        <v/>
      </c>
    </row>
    <row r="9693" spans="3:3">
      <c r="C9693" s="160" t="str">
        <f t="shared" si="170"/>
        <v/>
      </c>
    </row>
    <row r="9694" spans="3:3">
      <c r="C9694" s="160" t="str">
        <f t="shared" si="170"/>
        <v/>
      </c>
    </row>
    <row r="9695" spans="3:3">
      <c r="C9695" s="160" t="str">
        <f t="shared" si="170"/>
        <v/>
      </c>
    </row>
    <row r="9696" spans="3:3">
      <c r="C9696" s="160" t="str">
        <f t="shared" si="170"/>
        <v/>
      </c>
    </row>
    <row r="9697" spans="3:3">
      <c r="C9697" s="160" t="str">
        <f t="shared" si="170"/>
        <v/>
      </c>
    </row>
    <row r="9698" spans="3:3">
      <c r="C9698" s="160" t="str">
        <f t="shared" si="170"/>
        <v/>
      </c>
    </row>
    <row r="9699" spans="3:3">
      <c r="C9699" s="160" t="str">
        <f t="shared" si="170"/>
        <v/>
      </c>
    </row>
    <row r="9700" spans="3:3">
      <c r="C9700" s="160" t="str">
        <f t="shared" si="170"/>
        <v/>
      </c>
    </row>
    <row r="9701" spans="3:3">
      <c r="C9701" s="160" t="str">
        <f t="shared" si="170"/>
        <v/>
      </c>
    </row>
    <row r="9702" spans="3:3">
      <c r="C9702" s="160" t="str">
        <f t="shared" si="170"/>
        <v/>
      </c>
    </row>
    <row r="9703" spans="3:3">
      <c r="C9703" s="160" t="str">
        <f t="shared" si="170"/>
        <v/>
      </c>
    </row>
    <row r="9704" spans="3:3">
      <c r="C9704" s="160" t="str">
        <f t="shared" si="170"/>
        <v/>
      </c>
    </row>
    <row r="9705" spans="3:3">
      <c r="C9705" s="160" t="str">
        <f t="shared" si="170"/>
        <v/>
      </c>
    </row>
    <row r="9706" spans="3:3">
      <c r="C9706" s="160" t="str">
        <f t="shared" si="170"/>
        <v/>
      </c>
    </row>
    <row r="9707" spans="3:3">
      <c r="C9707" s="160" t="str">
        <f t="shared" si="170"/>
        <v/>
      </c>
    </row>
    <row r="9708" spans="3:3">
      <c r="C9708" s="160" t="str">
        <f t="shared" si="170"/>
        <v/>
      </c>
    </row>
    <row r="9709" spans="3:3">
      <c r="C9709" s="160" t="str">
        <f t="shared" si="170"/>
        <v/>
      </c>
    </row>
    <row r="9710" spans="3:3">
      <c r="C9710" s="160" t="str">
        <f t="shared" si="170"/>
        <v/>
      </c>
    </row>
    <row r="9711" spans="3:3">
      <c r="C9711" s="160" t="str">
        <f t="shared" si="170"/>
        <v/>
      </c>
    </row>
    <row r="9712" spans="3:3">
      <c r="C9712" s="160" t="str">
        <f t="shared" si="170"/>
        <v/>
      </c>
    </row>
    <row r="9713" spans="3:3">
      <c r="C9713" s="160" t="str">
        <f t="shared" si="170"/>
        <v/>
      </c>
    </row>
    <row r="9714" spans="3:3">
      <c r="C9714" s="160" t="str">
        <f t="shared" si="170"/>
        <v/>
      </c>
    </row>
    <row r="9715" spans="3:3">
      <c r="C9715" s="160" t="str">
        <f t="shared" si="170"/>
        <v/>
      </c>
    </row>
    <row r="9716" spans="3:3">
      <c r="C9716" s="160" t="str">
        <f t="shared" si="170"/>
        <v/>
      </c>
    </row>
    <row r="9717" spans="3:3">
      <c r="C9717" s="160" t="str">
        <f t="shared" si="170"/>
        <v/>
      </c>
    </row>
    <row r="9718" spans="3:3">
      <c r="C9718" s="160" t="str">
        <f t="shared" si="170"/>
        <v/>
      </c>
    </row>
    <row r="9719" spans="3:3">
      <c r="C9719" s="160" t="str">
        <f t="shared" si="170"/>
        <v/>
      </c>
    </row>
    <row r="9720" spans="3:3">
      <c r="C9720" s="160" t="str">
        <f t="shared" si="170"/>
        <v/>
      </c>
    </row>
    <row r="9721" spans="3:3">
      <c r="C9721" s="160" t="str">
        <f t="shared" si="170"/>
        <v/>
      </c>
    </row>
    <row r="9722" spans="3:3">
      <c r="C9722" s="160" t="str">
        <f t="shared" si="170"/>
        <v/>
      </c>
    </row>
    <row r="9723" spans="3:3">
      <c r="C9723" s="160" t="str">
        <f t="shared" si="170"/>
        <v/>
      </c>
    </row>
    <row r="9724" spans="3:3">
      <c r="C9724" s="160" t="str">
        <f t="shared" si="170"/>
        <v/>
      </c>
    </row>
    <row r="9725" spans="3:3">
      <c r="C9725" s="160" t="str">
        <f t="shared" si="170"/>
        <v/>
      </c>
    </row>
    <row r="9726" spans="3:3">
      <c r="C9726" s="160" t="str">
        <f t="shared" si="170"/>
        <v/>
      </c>
    </row>
    <row r="9727" spans="3:3">
      <c r="C9727" s="160" t="str">
        <f t="shared" si="170"/>
        <v/>
      </c>
    </row>
    <row r="9728" spans="3:3">
      <c r="C9728" s="160" t="str">
        <f t="shared" si="170"/>
        <v/>
      </c>
    </row>
    <row r="9729" spans="3:3">
      <c r="C9729" s="160" t="str">
        <f t="shared" si="170"/>
        <v/>
      </c>
    </row>
    <row r="9730" spans="3:3">
      <c r="C9730" s="160" t="str">
        <f t="shared" si="170"/>
        <v/>
      </c>
    </row>
    <row r="9731" spans="3:3">
      <c r="C9731" s="160" t="str">
        <f t="shared" si="170"/>
        <v/>
      </c>
    </row>
    <row r="9732" spans="3:3">
      <c r="C9732" s="160" t="str">
        <f t="shared" si="170"/>
        <v/>
      </c>
    </row>
    <row r="9733" spans="3:3">
      <c r="C9733" s="160" t="str">
        <f t="shared" si="170"/>
        <v/>
      </c>
    </row>
    <row r="9734" spans="3:3">
      <c r="C9734" s="160" t="str">
        <f t="shared" si="170"/>
        <v/>
      </c>
    </row>
    <row r="9735" spans="3:3">
      <c r="C9735" s="160" t="str">
        <f t="shared" si="170"/>
        <v/>
      </c>
    </row>
    <row r="9736" spans="3:3">
      <c r="C9736" s="160" t="str">
        <f t="shared" si="170"/>
        <v/>
      </c>
    </row>
    <row r="9737" spans="3:3">
      <c r="C9737" s="160" t="str">
        <f t="shared" si="170"/>
        <v/>
      </c>
    </row>
    <row r="9738" spans="3:3">
      <c r="C9738" s="160" t="str">
        <f t="shared" si="170"/>
        <v/>
      </c>
    </row>
    <row r="9739" spans="3:3">
      <c r="C9739" s="160" t="str">
        <f t="shared" si="170"/>
        <v/>
      </c>
    </row>
    <row r="9740" spans="3:3">
      <c r="C9740" s="160" t="str">
        <f t="shared" si="170"/>
        <v/>
      </c>
    </row>
    <row r="9741" spans="3:3">
      <c r="C9741" s="160" t="str">
        <f t="shared" ref="C9741:C9804" si="171">D9741&amp;I9741</f>
        <v/>
      </c>
    </row>
    <row r="9742" spans="3:3">
      <c r="C9742" s="160" t="str">
        <f t="shared" si="171"/>
        <v/>
      </c>
    </row>
    <row r="9743" spans="3:3">
      <c r="C9743" s="160" t="str">
        <f t="shared" si="171"/>
        <v/>
      </c>
    </row>
    <row r="9744" spans="3:3">
      <c r="C9744" s="160" t="str">
        <f t="shared" si="171"/>
        <v/>
      </c>
    </row>
    <row r="9745" spans="3:3">
      <c r="C9745" s="160" t="str">
        <f t="shared" si="171"/>
        <v/>
      </c>
    </row>
    <row r="9746" spans="3:3">
      <c r="C9746" s="160" t="str">
        <f t="shared" si="171"/>
        <v/>
      </c>
    </row>
    <row r="9747" spans="3:3">
      <c r="C9747" s="160" t="str">
        <f t="shared" si="171"/>
        <v/>
      </c>
    </row>
    <row r="9748" spans="3:3">
      <c r="C9748" s="160" t="str">
        <f t="shared" si="171"/>
        <v/>
      </c>
    </row>
    <row r="9749" spans="3:3">
      <c r="C9749" s="160" t="str">
        <f t="shared" si="171"/>
        <v/>
      </c>
    </row>
    <row r="9750" spans="3:3">
      <c r="C9750" s="160" t="str">
        <f t="shared" si="171"/>
        <v/>
      </c>
    </row>
    <row r="9751" spans="3:3">
      <c r="C9751" s="160" t="str">
        <f t="shared" si="171"/>
        <v/>
      </c>
    </row>
    <row r="9752" spans="3:3">
      <c r="C9752" s="160" t="str">
        <f t="shared" si="171"/>
        <v/>
      </c>
    </row>
    <row r="9753" spans="3:3">
      <c r="C9753" s="160" t="str">
        <f t="shared" si="171"/>
        <v/>
      </c>
    </row>
    <row r="9754" spans="3:3">
      <c r="C9754" s="160" t="str">
        <f t="shared" si="171"/>
        <v/>
      </c>
    </row>
    <row r="9755" spans="3:3">
      <c r="C9755" s="160" t="str">
        <f t="shared" si="171"/>
        <v/>
      </c>
    </row>
    <row r="9756" spans="3:3">
      <c r="C9756" s="160" t="str">
        <f t="shared" si="171"/>
        <v/>
      </c>
    </row>
    <row r="9757" spans="3:3">
      <c r="C9757" s="160" t="str">
        <f t="shared" si="171"/>
        <v/>
      </c>
    </row>
    <row r="9758" spans="3:3">
      <c r="C9758" s="160" t="str">
        <f t="shared" si="171"/>
        <v/>
      </c>
    </row>
    <row r="9759" spans="3:3">
      <c r="C9759" s="160" t="str">
        <f t="shared" si="171"/>
        <v/>
      </c>
    </row>
    <row r="9760" spans="3:3">
      <c r="C9760" s="160" t="str">
        <f t="shared" si="171"/>
        <v/>
      </c>
    </row>
    <row r="9761" spans="3:3">
      <c r="C9761" s="160" t="str">
        <f t="shared" si="171"/>
        <v/>
      </c>
    </row>
    <row r="9762" spans="3:3">
      <c r="C9762" s="160" t="str">
        <f t="shared" si="171"/>
        <v/>
      </c>
    </row>
    <row r="9763" spans="3:3">
      <c r="C9763" s="160" t="str">
        <f t="shared" si="171"/>
        <v/>
      </c>
    </row>
    <row r="9764" spans="3:3">
      <c r="C9764" s="160" t="str">
        <f t="shared" si="171"/>
        <v/>
      </c>
    </row>
    <row r="9765" spans="3:3">
      <c r="C9765" s="160" t="str">
        <f t="shared" si="171"/>
        <v/>
      </c>
    </row>
    <row r="9766" spans="3:3">
      <c r="C9766" s="160" t="str">
        <f t="shared" si="171"/>
        <v/>
      </c>
    </row>
    <row r="9767" spans="3:3">
      <c r="C9767" s="160" t="str">
        <f t="shared" si="171"/>
        <v/>
      </c>
    </row>
    <row r="9768" spans="3:3">
      <c r="C9768" s="160" t="str">
        <f t="shared" si="171"/>
        <v/>
      </c>
    </row>
    <row r="9769" spans="3:3">
      <c r="C9769" s="160" t="str">
        <f t="shared" si="171"/>
        <v/>
      </c>
    </row>
    <row r="9770" spans="3:3">
      <c r="C9770" s="160" t="str">
        <f t="shared" si="171"/>
        <v/>
      </c>
    </row>
    <row r="9771" spans="3:3">
      <c r="C9771" s="160" t="str">
        <f t="shared" si="171"/>
        <v/>
      </c>
    </row>
    <row r="9772" spans="3:3">
      <c r="C9772" s="160" t="str">
        <f t="shared" si="171"/>
        <v/>
      </c>
    </row>
    <row r="9773" spans="3:3">
      <c r="C9773" s="160" t="str">
        <f t="shared" si="171"/>
        <v/>
      </c>
    </row>
    <row r="9774" spans="3:3">
      <c r="C9774" s="160" t="str">
        <f t="shared" si="171"/>
        <v/>
      </c>
    </row>
    <row r="9775" spans="3:3">
      <c r="C9775" s="160" t="str">
        <f t="shared" si="171"/>
        <v/>
      </c>
    </row>
    <row r="9776" spans="3:3">
      <c r="C9776" s="160" t="str">
        <f t="shared" si="171"/>
        <v/>
      </c>
    </row>
    <row r="9777" spans="3:3">
      <c r="C9777" s="160" t="str">
        <f t="shared" si="171"/>
        <v/>
      </c>
    </row>
    <row r="9778" spans="3:3">
      <c r="C9778" s="160" t="str">
        <f t="shared" si="171"/>
        <v/>
      </c>
    </row>
    <row r="9779" spans="3:3">
      <c r="C9779" s="160" t="str">
        <f t="shared" si="171"/>
        <v/>
      </c>
    </row>
    <row r="9780" spans="3:3">
      <c r="C9780" s="160" t="str">
        <f t="shared" si="171"/>
        <v/>
      </c>
    </row>
    <row r="9781" spans="3:3">
      <c r="C9781" s="160" t="str">
        <f t="shared" si="171"/>
        <v/>
      </c>
    </row>
    <row r="9782" spans="3:3">
      <c r="C9782" s="160" t="str">
        <f t="shared" si="171"/>
        <v/>
      </c>
    </row>
    <row r="9783" spans="3:3">
      <c r="C9783" s="160" t="str">
        <f t="shared" si="171"/>
        <v/>
      </c>
    </row>
    <row r="9784" spans="3:3">
      <c r="C9784" s="160" t="str">
        <f t="shared" si="171"/>
        <v/>
      </c>
    </row>
    <row r="9785" spans="3:3">
      <c r="C9785" s="160" t="str">
        <f t="shared" si="171"/>
        <v/>
      </c>
    </row>
    <row r="9786" spans="3:3">
      <c r="C9786" s="160" t="str">
        <f t="shared" si="171"/>
        <v/>
      </c>
    </row>
    <row r="9787" spans="3:3">
      <c r="C9787" s="160" t="str">
        <f t="shared" si="171"/>
        <v/>
      </c>
    </row>
    <row r="9788" spans="3:3">
      <c r="C9788" s="160" t="str">
        <f t="shared" si="171"/>
        <v/>
      </c>
    </row>
    <row r="9789" spans="3:3">
      <c r="C9789" s="160" t="str">
        <f t="shared" si="171"/>
        <v/>
      </c>
    </row>
    <row r="9790" spans="3:3">
      <c r="C9790" s="160" t="str">
        <f t="shared" si="171"/>
        <v/>
      </c>
    </row>
    <row r="9791" spans="3:3">
      <c r="C9791" s="160" t="str">
        <f t="shared" si="171"/>
        <v/>
      </c>
    </row>
    <row r="9792" spans="3:3">
      <c r="C9792" s="160" t="str">
        <f t="shared" si="171"/>
        <v/>
      </c>
    </row>
    <row r="9793" spans="3:3">
      <c r="C9793" s="160" t="str">
        <f t="shared" si="171"/>
        <v/>
      </c>
    </row>
    <row r="9794" spans="3:3">
      <c r="C9794" s="160" t="str">
        <f t="shared" si="171"/>
        <v/>
      </c>
    </row>
    <row r="9795" spans="3:3">
      <c r="C9795" s="160" t="str">
        <f t="shared" si="171"/>
        <v/>
      </c>
    </row>
    <row r="9796" spans="3:3">
      <c r="C9796" s="160" t="str">
        <f t="shared" si="171"/>
        <v/>
      </c>
    </row>
    <row r="9797" spans="3:3">
      <c r="C9797" s="160" t="str">
        <f t="shared" si="171"/>
        <v/>
      </c>
    </row>
    <row r="9798" spans="3:3">
      <c r="C9798" s="160" t="str">
        <f t="shared" si="171"/>
        <v/>
      </c>
    </row>
    <row r="9799" spans="3:3">
      <c r="C9799" s="160" t="str">
        <f t="shared" si="171"/>
        <v/>
      </c>
    </row>
    <row r="9800" spans="3:3">
      <c r="C9800" s="160" t="str">
        <f t="shared" si="171"/>
        <v/>
      </c>
    </row>
    <row r="9801" spans="3:3">
      <c r="C9801" s="160" t="str">
        <f t="shared" si="171"/>
        <v/>
      </c>
    </row>
    <row r="9802" spans="3:3">
      <c r="C9802" s="160" t="str">
        <f t="shared" si="171"/>
        <v/>
      </c>
    </row>
    <row r="9803" spans="3:3">
      <c r="C9803" s="160" t="str">
        <f t="shared" si="171"/>
        <v/>
      </c>
    </row>
    <row r="9804" spans="3:3">
      <c r="C9804" s="160" t="str">
        <f t="shared" si="171"/>
        <v/>
      </c>
    </row>
    <row r="9805" spans="3:3">
      <c r="C9805" s="160" t="str">
        <f t="shared" ref="C9805:C9868" si="172">D9805&amp;I9805</f>
        <v/>
      </c>
    </row>
    <row r="9806" spans="3:3">
      <c r="C9806" s="160" t="str">
        <f t="shared" si="172"/>
        <v/>
      </c>
    </row>
    <row r="9807" spans="3:3">
      <c r="C9807" s="160" t="str">
        <f t="shared" si="172"/>
        <v/>
      </c>
    </row>
    <row r="9808" spans="3:3">
      <c r="C9808" s="160" t="str">
        <f t="shared" si="172"/>
        <v/>
      </c>
    </row>
    <row r="9809" spans="3:3">
      <c r="C9809" s="160" t="str">
        <f t="shared" si="172"/>
        <v/>
      </c>
    </row>
    <row r="9810" spans="3:3">
      <c r="C9810" s="160" t="str">
        <f t="shared" si="172"/>
        <v/>
      </c>
    </row>
    <row r="9811" spans="3:3">
      <c r="C9811" s="160" t="str">
        <f t="shared" si="172"/>
        <v/>
      </c>
    </row>
    <row r="9812" spans="3:3">
      <c r="C9812" s="160" t="str">
        <f t="shared" si="172"/>
        <v/>
      </c>
    </row>
    <row r="9813" spans="3:3">
      <c r="C9813" s="160" t="str">
        <f t="shared" si="172"/>
        <v/>
      </c>
    </row>
    <row r="9814" spans="3:3">
      <c r="C9814" s="160" t="str">
        <f t="shared" si="172"/>
        <v/>
      </c>
    </row>
    <row r="9815" spans="3:3">
      <c r="C9815" s="160" t="str">
        <f t="shared" si="172"/>
        <v/>
      </c>
    </row>
    <row r="9816" spans="3:3">
      <c r="C9816" s="160" t="str">
        <f t="shared" si="172"/>
        <v/>
      </c>
    </row>
    <row r="9817" spans="3:3">
      <c r="C9817" s="160" t="str">
        <f t="shared" si="172"/>
        <v/>
      </c>
    </row>
    <row r="9818" spans="3:3">
      <c r="C9818" s="160" t="str">
        <f t="shared" si="172"/>
        <v/>
      </c>
    </row>
    <row r="9819" spans="3:3">
      <c r="C9819" s="160" t="str">
        <f t="shared" si="172"/>
        <v/>
      </c>
    </row>
    <row r="9820" spans="3:3">
      <c r="C9820" s="160" t="str">
        <f t="shared" si="172"/>
        <v/>
      </c>
    </row>
    <row r="9821" spans="3:3">
      <c r="C9821" s="160" t="str">
        <f t="shared" si="172"/>
        <v/>
      </c>
    </row>
    <row r="9822" spans="3:3">
      <c r="C9822" s="160" t="str">
        <f t="shared" si="172"/>
        <v/>
      </c>
    </row>
    <row r="9823" spans="3:3">
      <c r="C9823" s="160" t="str">
        <f t="shared" si="172"/>
        <v/>
      </c>
    </row>
    <row r="9824" spans="3:3">
      <c r="C9824" s="160" t="str">
        <f t="shared" si="172"/>
        <v/>
      </c>
    </row>
    <row r="9825" spans="3:3">
      <c r="C9825" s="160" t="str">
        <f t="shared" si="172"/>
        <v/>
      </c>
    </row>
    <row r="9826" spans="3:3">
      <c r="C9826" s="160" t="str">
        <f t="shared" si="172"/>
        <v/>
      </c>
    </row>
    <row r="9827" spans="3:3">
      <c r="C9827" s="160" t="str">
        <f t="shared" si="172"/>
        <v/>
      </c>
    </row>
    <row r="9828" spans="3:3">
      <c r="C9828" s="160" t="str">
        <f t="shared" si="172"/>
        <v/>
      </c>
    </row>
    <row r="9829" spans="3:3">
      <c r="C9829" s="160" t="str">
        <f t="shared" si="172"/>
        <v/>
      </c>
    </row>
    <row r="9830" spans="3:3">
      <c r="C9830" s="160" t="str">
        <f t="shared" si="172"/>
        <v/>
      </c>
    </row>
    <row r="9831" spans="3:3">
      <c r="C9831" s="160" t="str">
        <f t="shared" si="172"/>
        <v/>
      </c>
    </row>
    <row r="9832" spans="3:3">
      <c r="C9832" s="160" t="str">
        <f t="shared" si="172"/>
        <v/>
      </c>
    </row>
    <row r="9833" spans="3:3">
      <c r="C9833" s="160" t="str">
        <f t="shared" si="172"/>
        <v/>
      </c>
    </row>
    <row r="9834" spans="3:3">
      <c r="C9834" s="160" t="str">
        <f t="shared" si="172"/>
        <v/>
      </c>
    </row>
    <row r="9835" spans="3:3">
      <c r="C9835" s="160" t="str">
        <f t="shared" si="172"/>
        <v/>
      </c>
    </row>
    <row r="9836" spans="3:3">
      <c r="C9836" s="160" t="str">
        <f t="shared" si="172"/>
        <v/>
      </c>
    </row>
    <row r="9837" spans="3:3">
      <c r="C9837" s="160" t="str">
        <f t="shared" si="172"/>
        <v/>
      </c>
    </row>
    <row r="9838" spans="3:3">
      <c r="C9838" s="160" t="str">
        <f t="shared" si="172"/>
        <v/>
      </c>
    </row>
    <row r="9839" spans="3:3">
      <c r="C9839" s="160" t="str">
        <f t="shared" si="172"/>
        <v/>
      </c>
    </row>
    <row r="9840" spans="3:3">
      <c r="C9840" s="160" t="str">
        <f t="shared" si="172"/>
        <v/>
      </c>
    </row>
    <row r="9841" spans="3:3">
      <c r="C9841" s="160" t="str">
        <f t="shared" si="172"/>
        <v/>
      </c>
    </row>
    <row r="9842" spans="3:3">
      <c r="C9842" s="160" t="str">
        <f t="shared" si="172"/>
        <v/>
      </c>
    </row>
    <row r="9843" spans="3:3">
      <c r="C9843" s="160" t="str">
        <f t="shared" si="172"/>
        <v/>
      </c>
    </row>
    <row r="9844" spans="3:3">
      <c r="C9844" s="160" t="str">
        <f t="shared" si="172"/>
        <v/>
      </c>
    </row>
    <row r="9845" spans="3:3">
      <c r="C9845" s="160" t="str">
        <f t="shared" si="172"/>
        <v/>
      </c>
    </row>
    <row r="9846" spans="3:3">
      <c r="C9846" s="160" t="str">
        <f t="shared" si="172"/>
        <v/>
      </c>
    </row>
    <row r="9847" spans="3:3">
      <c r="C9847" s="160" t="str">
        <f t="shared" si="172"/>
        <v/>
      </c>
    </row>
    <row r="9848" spans="3:3">
      <c r="C9848" s="160" t="str">
        <f t="shared" si="172"/>
        <v/>
      </c>
    </row>
    <row r="9849" spans="3:3">
      <c r="C9849" s="160" t="str">
        <f t="shared" si="172"/>
        <v/>
      </c>
    </row>
    <row r="9850" spans="3:3">
      <c r="C9850" s="160" t="str">
        <f t="shared" si="172"/>
        <v/>
      </c>
    </row>
    <row r="9851" spans="3:3">
      <c r="C9851" s="160" t="str">
        <f t="shared" si="172"/>
        <v/>
      </c>
    </row>
    <row r="9852" spans="3:3">
      <c r="C9852" s="160" t="str">
        <f t="shared" si="172"/>
        <v/>
      </c>
    </row>
    <row r="9853" spans="3:3">
      <c r="C9853" s="160" t="str">
        <f t="shared" si="172"/>
        <v/>
      </c>
    </row>
    <row r="9854" spans="3:3">
      <c r="C9854" s="160" t="str">
        <f t="shared" si="172"/>
        <v/>
      </c>
    </row>
    <row r="9855" spans="3:3">
      <c r="C9855" s="160" t="str">
        <f t="shared" si="172"/>
        <v/>
      </c>
    </row>
    <row r="9856" spans="3:3">
      <c r="C9856" s="160" t="str">
        <f t="shared" si="172"/>
        <v/>
      </c>
    </row>
    <row r="9857" spans="3:3">
      <c r="C9857" s="160" t="str">
        <f t="shared" si="172"/>
        <v/>
      </c>
    </row>
    <row r="9858" spans="3:3">
      <c r="C9858" s="160" t="str">
        <f t="shared" si="172"/>
        <v/>
      </c>
    </row>
    <row r="9859" spans="3:3">
      <c r="C9859" s="160" t="str">
        <f t="shared" si="172"/>
        <v/>
      </c>
    </row>
    <row r="9860" spans="3:3">
      <c r="C9860" s="160" t="str">
        <f t="shared" si="172"/>
        <v/>
      </c>
    </row>
    <row r="9861" spans="3:3">
      <c r="C9861" s="160" t="str">
        <f t="shared" si="172"/>
        <v/>
      </c>
    </row>
    <row r="9862" spans="3:3">
      <c r="C9862" s="160" t="str">
        <f t="shared" si="172"/>
        <v/>
      </c>
    </row>
    <row r="9863" spans="3:3">
      <c r="C9863" s="160" t="str">
        <f t="shared" si="172"/>
        <v/>
      </c>
    </row>
    <row r="9864" spans="3:3">
      <c r="C9864" s="160" t="str">
        <f t="shared" si="172"/>
        <v/>
      </c>
    </row>
    <row r="9865" spans="3:3">
      <c r="C9865" s="160" t="str">
        <f t="shared" si="172"/>
        <v/>
      </c>
    </row>
    <row r="9866" spans="3:3">
      <c r="C9866" s="160" t="str">
        <f t="shared" si="172"/>
        <v/>
      </c>
    </row>
    <row r="9867" spans="3:3">
      <c r="C9867" s="160" t="str">
        <f t="shared" si="172"/>
        <v/>
      </c>
    </row>
    <row r="9868" spans="3:3">
      <c r="C9868" s="160" t="str">
        <f t="shared" si="172"/>
        <v/>
      </c>
    </row>
    <row r="9869" spans="3:3">
      <c r="C9869" s="160" t="str">
        <f t="shared" ref="C9869:C9932" si="173">D9869&amp;I9869</f>
        <v/>
      </c>
    </row>
    <row r="9870" spans="3:3">
      <c r="C9870" s="160" t="str">
        <f t="shared" si="173"/>
        <v/>
      </c>
    </row>
    <row r="9871" spans="3:3">
      <c r="C9871" s="160" t="str">
        <f t="shared" si="173"/>
        <v/>
      </c>
    </row>
    <row r="9872" spans="3:3">
      <c r="C9872" s="160" t="str">
        <f t="shared" si="173"/>
        <v/>
      </c>
    </row>
    <row r="9873" spans="3:3">
      <c r="C9873" s="160" t="str">
        <f t="shared" si="173"/>
        <v/>
      </c>
    </row>
    <row r="9874" spans="3:3">
      <c r="C9874" s="160" t="str">
        <f t="shared" si="173"/>
        <v/>
      </c>
    </row>
    <row r="9875" spans="3:3">
      <c r="C9875" s="160" t="str">
        <f t="shared" si="173"/>
        <v/>
      </c>
    </row>
    <row r="9876" spans="3:3">
      <c r="C9876" s="160" t="str">
        <f t="shared" si="173"/>
        <v/>
      </c>
    </row>
    <row r="9877" spans="3:3">
      <c r="C9877" s="160" t="str">
        <f t="shared" si="173"/>
        <v/>
      </c>
    </row>
    <row r="9878" spans="3:3">
      <c r="C9878" s="160" t="str">
        <f t="shared" si="173"/>
        <v/>
      </c>
    </row>
    <row r="9879" spans="3:3">
      <c r="C9879" s="160" t="str">
        <f t="shared" si="173"/>
        <v/>
      </c>
    </row>
    <row r="9880" spans="3:3">
      <c r="C9880" s="160" t="str">
        <f t="shared" si="173"/>
        <v/>
      </c>
    </row>
    <row r="9881" spans="3:3">
      <c r="C9881" s="160" t="str">
        <f t="shared" si="173"/>
        <v/>
      </c>
    </row>
    <row r="9882" spans="3:3">
      <c r="C9882" s="160" t="str">
        <f t="shared" si="173"/>
        <v/>
      </c>
    </row>
    <row r="9883" spans="3:3">
      <c r="C9883" s="160" t="str">
        <f t="shared" si="173"/>
        <v/>
      </c>
    </row>
    <row r="9884" spans="3:3">
      <c r="C9884" s="160" t="str">
        <f t="shared" si="173"/>
        <v/>
      </c>
    </row>
    <row r="9885" spans="3:3">
      <c r="C9885" s="160" t="str">
        <f t="shared" si="173"/>
        <v/>
      </c>
    </row>
    <row r="9886" spans="3:3">
      <c r="C9886" s="160" t="str">
        <f t="shared" si="173"/>
        <v/>
      </c>
    </row>
    <row r="9887" spans="3:3">
      <c r="C9887" s="160" t="str">
        <f t="shared" si="173"/>
        <v/>
      </c>
    </row>
    <row r="9888" spans="3:3">
      <c r="C9888" s="160" t="str">
        <f t="shared" si="173"/>
        <v/>
      </c>
    </row>
    <row r="9889" spans="3:3">
      <c r="C9889" s="160" t="str">
        <f t="shared" si="173"/>
        <v/>
      </c>
    </row>
    <row r="9890" spans="3:3">
      <c r="C9890" s="160" t="str">
        <f t="shared" si="173"/>
        <v/>
      </c>
    </row>
    <row r="9891" spans="3:3">
      <c r="C9891" s="160" t="str">
        <f t="shared" si="173"/>
        <v/>
      </c>
    </row>
    <row r="9892" spans="3:3">
      <c r="C9892" s="160" t="str">
        <f t="shared" si="173"/>
        <v/>
      </c>
    </row>
    <row r="9893" spans="3:3">
      <c r="C9893" s="160" t="str">
        <f t="shared" si="173"/>
        <v/>
      </c>
    </row>
    <row r="9894" spans="3:3">
      <c r="C9894" s="160" t="str">
        <f t="shared" si="173"/>
        <v/>
      </c>
    </row>
    <row r="9895" spans="3:3">
      <c r="C9895" s="160" t="str">
        <f t="shared" si="173"/>
        <v/>
      </c>
    </row>
    <row r="9896" spans="3:3">
      <c r="C9896" s="160" t="str">
        <f t="shared" si="173"/>
        <v/>
      </c>
    </row>
    <row r="9897" spans="3:3">
      <c r="C9897" s="160" t="str">
        <f t="shared" si="173"/>
        <v/>
      </c>
    </row>
    <row r="9898" spans="3:3">
      <c r="C9898" s="160" t="str">
        <f t="shared" si="173"/>
        <v/>
      </c>
    </row>
    <row r="9899" spans="3:3">
      <c r="C9899" s="160" t="str">
        <f t="shared" si="173"/>
        <v/>
      </c>
    </row>
    <row r="9900" spans="3:3">
      <c r="C9900" s="160" t="str">
        <f t="shared" si="173"/>
        <v/>
      </c>
    </row>
    <row r="9901" spans="3:3">
      <c r="C9901" s="160" t="str">
        <f t="shared" si="173"/>
        <v/>
      </c>
    </row>
    <row r="9902" spans="3:3">
      <c r="C9902" s="160" t="str">
        <f t="shared" si="173"/>
        <v/>
      </c>
    </row>
    <row r="9903" spans="3:3">
      <c r="C9903" s="160" t="str">
        <f t="shared" si="173"/>
        <v/>
      </c>
    </row>
    <row r="9904" spans="3:3">
      <c r="C9904" s="160" t="str">
        <f t="shared" si="173"/>
        <v/>
      </c>
    </row>
    <row r="9905" spans="3:3">
      <c r="C9905" s="160" t="str">
        <f t="shared" si="173"/>
        <v/>
      </c>
    </row>
    <row r="9906" spans="3:3">
      <c r="C9906" s="160" t="str">
        <f t="shared" si="173"/>
        <v/>
      </c>
    </row>
    <row r="9907" spans="3:3">
      <c r="C9907" s="160" t="str">
        <f t="shared" si="173"/>
        <v/>
      </c>
    </row>
    <row r="9908" spans="3:3">
      <c r="C9908" s="160" t="str">
        <f t="shared" si="173"/>
        <v/>
      </c>
    </row>
    <row r="9909" spans="3:3">
      <c r="C9909" s="160" t="str">
        <f t="shared" si="173"/>
        <v/>
      </c>
    </row>
    <row r="9910" spans="3:3">
      <c r="C9910" s="160" t="str">
        <f t="shared" si="173"/>
        <v/>
      </c>
    </row>
    <row r="9911" spans="3:3">
      <c r="C9911" s="160" t="str">
        <f t="shared" si="173"/>
        <v/>
      </c>
    </row>
    <row r="9912" spans="3:3">
      <c r="C9912" s="160" t="str">
        <f t="shared" si="173"/>
        <v/>
      </c>
    </row>
    <row r="9913" spans="3:3">
      <c r="C9913" s="160" t="str">
        <f t="shared" si="173"/>
        <v/>
      </c>
    </row>
    <row r="9914" spans="3:3">
      <c r="C9914" s="160" t="str">
        <f t="shared" si="173"/>
        <v/>
      </c>
    </row>
    <row r="9915" spans="3:3">
      <c r="C9915" s="160" t="str">
        <f t="shared" si="173"/>
        <v/>
      </c>
    </row>
    <row r="9916" spans="3:3">
      <c r="C9916" s="160" t="str">
        <f t="shared" si="173"/>
        <v/>
      </c>
    </row>
    <row r="9917" spans="3:3">
      <c r="C9917" s="160" t="str">
        <f t="shared" si="173"/>
        <v/>
      </c>
    </row>
    <row r="9918" spans="3:3">
      <c r="C9918" s="160" t="str">
        <f t="shared" si="173"/>
        <v/>
      </c>
    </row>
    <row r="9919" spans="3:3">
      <c r="C9919" s="160" t="str">
        <f t="shared" si="173"/>
        <v/>
      </c>
    </row>
    <row r="9920" spans="3:3">
      <c r="C9920" s="160" t="str">
        <f t="shared" si="173"/>
        <v/>
      </c>
    </row>
    <row r="9921" spans="3:3">
      <c r="C9921" s="160" t="str">
        <f t="shared" si="173"/>
        <v/>
      </c>
    </row>
    <row r="9922" spans="3:3">
      <c r="C9922" s="160" t="str">
        <f t="shared" si="173"/>
        <v/>
      </c>
    </row>
    <row r="9923" spans="3:3">
      <c r="C9923" s="160" t="str">
        <f t="shared" si="173"/>
        <v/>
      </c>
    </row>
    <row r="9924" spans="3:3">
      <c r="C9924" s="160" t="str">
        <f t="shared" si="173"/>
        <v/>
      </c>
    </row>
    <row r="9925" spans="3:3">
      <c r="C9925" s="160" t="str">
        <f t="shared" si="173"/>
        <v/>
      </c>
    </row>
    <row r="9926" spans="3:3">
      <c r="C9926" s="160" t="str">
        <f t="shared" si="173"/>
        <v/>
      </c>
    </row>
    <row r="9927" spans="3:3">
      <c r="C9927" s="160" t="str">
        <f t="shared" si="173"/>
        <v/>
      </c>
    </row>
    <row r="9928" spans="3:3">
      <c r="C9928" s="160" t="str">
        <f t="shared" si="173"/>
        <v/>
      </c>
    </row>
    <row r="9929" spans="3:3">
      <c r="C9929" s="160" t="str">
        <f t="shared" si="173"/>
        <v/>
      </c>
    </row>
    <row r="9930" spans="3:3">
      <c r="C9930" s="160" t="str">
        <f t="shared" si="173"/>
        <v/>
      </c>
    </row>
    <row r="9931" spans="3:3">
      <c r="C9931" s="160" t="str">
        <f t="shared" si="173"/>
        <v/>
      </c>
    </row>
    <row r="9932" spans="3:3">
      <c r="C9932" s="160" t="str">
        <f t="shared" si="173"/>
        <v/>
      </c>
    </row>
    <row r="9933" spans="3:3">
      <c r="C9933" s="160" t="str">
        <f t="shared" ref="C9933:C9996" si="174">D9933&amp;I9933</f>
        <v/>
      </c>
    </row>
    <row r="9934" spans="3:3">
      <c r="C9934" s="160" t="str">
        <f t="shared" si="174"/>
        <v/>
      </c>
    </row>
    <row r="9935" spans="3:3">
      <c r="C9935" s="160" t="str">
        <f t="shared" si="174"/>
        <v/>
      </c>
    </row>
    <row r="9936" spans="3:3">
      <c r="C9936" s="160" t="str">
        <f t="shared" si="174"/>
        <v/>
      </c>
    </row>
    <row r="9937" spans="3:3">
      <c r="C9937" s="160" t="str">
        <f t="shared" si="174"/>
        <v/>
      </c>
    </row>
    <row r="9938" spans="3:3">
      <c r="C9938" s="160" t="str">
        <f t="shared" si="174"/>
        <v/>
      </c>
    </row>
    <row r="9939" spans="3:3">
      <c r="C9939" s="160" t="str">
        <f t="shared" si="174"/>
        <v/>
      </c>
    </row>
    <row r="9940" spans="3:3">
      <c r="C9940" s="160" t="str">
        <f t="shared" si="174"/>
        <v/>
      </c>
    </row>
    <row r="9941" spans="3:3">
      <c r="C9941" s="160" t="str">
        <f t="shared" si="174"/>
        <v/>
      </c>
    </row>
    <row r="9942" spans="3:3">
      <c r="C9942" s="160" t="str">
        <f t="shared" si="174"/>
        <v/>
      </c>
    </row>
    <row r="9943" spans="3:3">
      <c r="C9943" s="160" t="str">
        <f t="shared" si="174"/>
        <v/>
      </c>
    </row>
    <row r="9944" spans="3:3">
      <c r="C9944" s="160" t="str">
        <f t="shared" si="174"/>
        <v/>
      </c>
    </row>
    <row r="9945" spans="3:3">
      <c r="C9945" s="160" t="str">
        <f t="shared" si="174"/>
        <v/>
      </c>
    </row>
    <row r="9946" spans="3:3">
      <c r="C9946" s="160" t="str">
        <f t="shared" si="174"/>
        <v/>
      </c>
    </row>
    <row r="9947" spans="3:3">
      <c r="C9947" s="160" t="str">
        <f t="shared" si="174"/>
        <v/>
      </c>
    </row>
    <row r="9948" spans="3:3">
      <c r="C9948" s="160" t="str">
        <f t="shared" si="174"/>
        <v/>
      </c>
    </row>
    <row r="9949" spans="3:3">
      <c r="C9949" s="160" t="str">
        <f t="shared" si="174"/>
        <v/>
      </c>
    </row>
    <row r="9950" spans="3:3">
      <c r="C9950" s="160" t="str">
        <f t="shared" si="174"/>
        <v/>
      </c>
    </row>
    <row r="9951" spans="3:3">
      <c r="C9951" s="160" t="str">
        <f t="shared" si="174"/>
        <v/>
      </c>
    </row>
    <row r="9952" spans="3:3">
      <c r="C9952" s="160" t="str">
        <f t="shared" si="174"/>
        <v/>
      </c>
    </row>
    <row r="9953" spans="3:3">
      <c r="C9953" s="160" t="str">
        <f t="shared" si="174"/>
        <v/>
      </c>
    </row>
    <row r="9954" spans="3:3">
      <c r="C9954" s="160" t="str">
        <f t="shared" si="174"/>
        <v/>
      </c>
    </row>
    <row r="9955" spans="3:3">
      <c r="C9955" s="160" t="str">
        <f t="shared" si="174"/>
        <v/>
      </c>
    </row>
    <row r="9956" spans="3:3">
      <c r="C9956" s="160" t="str">
        <f t="shared" si="174"/>
        <v/>
      </c>
    </row>
    <row r="9957" spans="3:3">
      <c r="C9957" s="160" t="str">
        <f t="shared" si="174"/>
        <v/>
      </c>
    </row>
    <row r="9958" spans="3:3">
      <c r="C9958" s="160" t="str">
        <f t="shared" si="174"/>
        <v/>
      </c>
    </row>
    <row r="9959" spans="3:3">
      <c r="C9959" s="160" t="str">
        <f t="shared" si="174"/>
        <v/>
      </c>
    </row>
    <row r="9960" spans="3:3">
      <c r="C9960" s="160" t="str">
        <f t="shared" si="174"/>
        <v/>
      </c>
    </row>
    <row r="9961" spans="3:3">
      <c r="C9961" s="160" t="str">
        <f t="shared" si="174"/>
        <v/>
      </c>
    </row>
    <row r="9962" spans="3:3">
      <c r="C9962" s="160" t="str">
        <f t="shared" si="174"/>
        <v/>
      </c>
    </row>
    <row r="9963" spans="3:3">
      <c r="C9963" s="160" t="str">
        <f t="shared" si="174"/>
        <v/>
      </c>
    </row>
    <row r="9964" spans="3:3">
      <c r="C9964" s="160" t="str">
        <f t="shared" si="174"/>
        <v/>
      </c>
    </row>
    <row r="9965" spans="3:3">
      <c r="C9965" s="160" t="str">
        <f t="shared" si="174"/>
        <v/>
      </c>
    </row>
    <row r="9966" spans="3:3">
      <c r="C9966" s="160" t="str">
        <f t="shared" si="174"/>
        <v/>
      </c>
    </row>
    <row r="9967" spans="3:3">
      <c r="C9967" s="160" t="str">
        <f t="shared" si="174"/>
        <v/>
      </c>
    </row>
    <row r="9968" spans="3:3">
      <c r="C9968" s="160" t="str">
        <f t="shared" si="174"/>
        <v/>
      </c>
    </row>
    <row r="9969" spans="3:3">
      <c r="C9969" s="160" t="str">
        <f t="shared" si="174"/>
        <v/>
      </c>
    </row>
    <row r="9970" spans="3:3">
      <c r="C9970" s="160" t="str">
        <f t="shared" si="174"/>
        <v/>
      </c>
    </row>
    <row r="9971" spans="3:3">
      <c r="C9971" s="160" t="str">
        <f t="shared" si="174"/>
        <v/>
      </c>
    </row>
    <row r="9972" spans="3:3">
      <c r="C9972" s="160" t="str">
        <f t="shared" si="174"/>
        <v/>
      </c>
    </row>
    <row r="9973" spans="3:3">
      <c r="C9973" s="160" t="str">
        <f t="shared" si="174"/>
        <v/>
      </c>
    </row>
    <row r="9974" spans="3:3">
      <c r="C9974" s="160" t="str">
        <f t="shared" si="174"/>
        <v/>
      </c>
    </row>
    <row r="9975" spans="3:3">
      <c r="C9975" s="160" t="str">
        <f t="shared" si="174"/>
        <v/>
      </c>
    </row>
    <row r="9976" spans="3:3">
      <c r="C9976" s="160" t="str">
        <f t="shared" si="174"/>
        <v/>
      </c>
    </row>
    <row r="9977" spans="3:3">
      <c r="C9977" s="160" t="str">
        <f t="shared" si="174"/>
        <v/>
      </c>
    </row>
    <row r="9978" spans="3:3">
      <c r="C9978" s="160" t="str">
        <f t="shared" si="174"/>
        <v/>
      </c>
    </row>
    <row r="9979" spans="3:3">
      <c r="C9979" s="160" t="str">
        <f t="shared" si="174"/>
        <v/>
      </c>
    </row>
    <row r="9980" spans="3:3">
      <c r="C9980" s="160" t="str">
        <f t="shared" si="174"/>
        <v/>
      </c>
    </row>
    <row r="9981" spans="3:3">
      <c r="C9981" s="160" t="str">
        <f t="shared" si="174"/>
        <v/>
      </c>
    </row>
    <row r="9982" spans="3:3">
      <c r="C9982" s="160" t="str">
        <f t="shared" si="174"/>
        <v/>
      </c>
    </row>
    <row r="9983" spans="3:3">
      <c r="C9983" s="160" t="str">
        <f t="shared" si="174"/>
        <v/>
      </c>
    </row>
    <row r="9984" spans="3:3">
      <c r="C9984" s="160" t="str">
        <f t="shared" si="174"/>
        <v/>
      </c>
    </row>
    <row r="9985" spans="3:3">
      <c r="C9985" s="160" t="str">
        <f t="shared" si="174"/>
        <v/>
      </c>
    </row>
    <row r="9986" spans="3:3">
      <c r="C9986" s="160" t="str">
        <f t="shared" si="174"/>
        <v/>
      </c>
    </row>
    <row r="9987" spans="3:3">
      <c r="C9987" s="160" t="str">
        <f t="shared" si="174"/>
        <v/>
      </c>
    </row>
    <row r="9988" spans="3:3">
      <c r="C9988" s="160" t="str">
        <f t="shared" si="174"/>
        <v/>
      </c>
    </row>
    <row r="9989" spans="3:3">
      <c r="C9989" s="160" t="str">
        <f t="shared" si="174"/>
        <v/>
      </c>
    </row>
    <row r="9990" spans="3:3">
      <c r="C9990" s="160" t="str">
        <f t="shared" si="174"/>
        <v/>
      </c>
    </row>
    <row r="9991" spans="3:3">
      <c r="C9991" s="160" t="str">
        <f t="shared" si="174"/>
        <v/>
      </c>
    </row>
    <row r="9992" spans="3:3">
      <c r="C9992" s="160" t="str">
        <f t="shared" si="174"/>
        <v/>
      </c>
    </row>
    <row r="9993" spans="3:3">
      <c r="C9993" s="160" t="str">
        <f t="shared" si="174"/>
        <v/>
      </c>
    </row>
    <row r="9994" spans="3:3">
      <c r="C9994" s="160" t="str">
        <f t="shared" si="174"/>
        <v/>
      </c>
    </row>
    <row r="9995" spans="3:3">
      <c r="C9995" s="160" t="str">
        <f t="shared" si="174"/>
        <v/>
      </c>
    </row>
    <row r="9996" spans="3:3">
      <c r="C9996" s="160" t="str">
        <f t="shared" si="174"/>
        <v/>
      </c>
    </row>
    <row r="9997" spans="3:3">
      <c r="C9997" s="160" t="str">
        <f t="shared" ref="C9997:C10000" si="175">D9997&amp;I9997</f>
        <v/>
      </c>
    </row>
    <row r="9998" spans="3:3">
      <c r="C9998" s="160" t="str">
        <f t="shared" si="175"/>
        <v/>
      </c>
    </row>
    <row r="9999" spans="3:3">
      <c r="C9999" s="160" t="str">
        <f t="shared" si="175"/>
        <v/>
      </c>
    </row>
    <row r="10000" spans="3:3">
      <c r="C10000" s="160" t="str">
        <f t="shared" si="175"/>
        <v/>
      </c>
    </row>
  </sheetData>
  <phoneticPr fontId="0" type="noConversion"/>
  <pageMargins left="0.75" right="0.75" top="1" bottom="1" header="0.5" footer="0.5"/>
  <pageSetup orientation="portrait" horizontalDpi="1200" vertic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theme="1"/>
    <pageSetUpPr fitToPage="1"/>
  </sheetPr>
  <dimension ref="A1:EA1048576"/>
  <sheetViews>
    <sheetView view="pageBreakPreview" zoomScale="75" zoomScaleNormal="75" zoomScaleSheetLayoutView="75" workbookViewId="0">
      <pane xSplit="9" ySplit="21" topLeftCell="J22" activePane="bottomRight" state="frozen"/>
      <selection pane="topRight"/>
      <selection pane="bottomLeft"/>
      <selection pane="bottomRight" activeCell="Z26" sqref="Z26"/>
    </sheetView>
  </sheetViews>
  <sheetFormatPr defaultRowHeight="15.75"/>
  <cols>
    <col min="1" max="1" width="4.75" customWidth="1"/>
    <col min="2" max="2" width="9.125" customWidth="1"/>
    <col min="3" max="3" width="11.25" hidden="1" customWidth="1"/>
    <col min="4" max="4" width="7.25" customWidth="1"/>
    <col min="5" max="5" width="11" hidden="1" customWidth="1"/>
    <col min="6" max="6" width="9.25" hidden="1" customWidth="1"/>
    <col min="7" max="7" width="6" customWidth="1"/>
    <col min="8" max="8" width="9.5" customWidth="1"/>
    <col min="9" max="9" width="8" customWidth="1"/>
    <col min="10" max="10" width="9" customWidth="1"/>
    <col min="11" max="11" width="7" customWidth="1"/>
    <col min="12" max="12" width="9.5" hidden="1" customWidth="1"/>
    <col min="13" max="13" width="9.625" customWidth="1"/>
    <col min="14" max="14" width="12.5" customWidth="1"/>
    <col min="15" max="15" width="10.5" customWidth="1"/>
    <col min="16" max="16" width="9.5" hidden="1" customWidth="1"/>
    <col min="17" max="17" width="9.625" customWidth="1"/>
    <col min="18" max="18" width="12.5" hidden="1" customWidth="1"/>
    <col min="19" max="19" width="10.5" hidden="1" customWidth="1"/>
    <col min="20" max="20" width="9.5" hidden="1" customWidth="1"/>
    <col min="21" max="21" width="9.625" hidden="1" customWidth="1"/>
    <col min="22" max="22" width="9" customWidth="1"/>
    <col min="23" max="23" width="7" customWidth="1"/>
    <col min="24" max="24" width="8" hidden="1" customWidth="1"/>
    <col min="25" max="25" width="9.625" customWidth="1"/>
    <col min="26" max="26" width="8.625" customWidth="1"/>
    <col min="27" max="27" width="6.625" customWidth="1"/>
    <col min="28" max="28" width="9.5" hidden="1" customWidth="1"/>
    <col min="29" max="29" width="9.625" customWidth="1"/>
    <col min="30" max="30" width="9" customWidth="1"/>
    <col min="31" max="31" width="7" customWidth="1"/>
    <col min="32" max="32" width="8" hidden="1" customWidth="1"/>
    <col min="33" max="33" width="9.625" customWidth="1"/>
    <col min="34" max="34" width="8.625" customWidth="1"/>
    <col min="35" max="35" width="6.625" customWidth="1"/>
    <col min="36" max="36" width="9.5" hidden="1" customWidth="1"/>
    <col min="37" max="37" width="9.625" customWidth="1"/>
    <col min="38" max="38" width="9" customWidth="1"/>
    <col min="39" max="39" width="7" customWidth="1"/>
    <col min="40" max="40" width="6" hidden="1" customWidth="1"/>
    <col min="41" max="41" width="9.625" customWidth="1"/>
    <col min="42" max="42" width="8.625" customWidth="1"/>
    <col min="43" max="43" width="6.625" customWidth="1"/>
    <col min="44" max="44" width="7" hidden="1" customWidth="1"/>
    <col min="45" max="45" width="9.625" customWidth="1"/>
    <col min="46" max="46" width="9" customWidth="1"/>
    <col min="47" max="47" width="7" customWidth="1"/>
    <col min="48" max="48" width="6" hidden="1" customWidth="1"/>
    <col min="49" max="49" width="9.625" customWidth="1"/>
    <col min="50" max="50" width="8.625" customWidth="1"/>
    <col min="51" max="51" width="6.625" customWidth="1"/>
    <col min="52" max="52" width="7" hidden="1" customWidth="1"/>
    <col min="53" max="53" width="9.625" customWidth="1"/>
    <col min="54" max="54" width="9" customWidth="1"/>
    <col min="55" max="55" width="7" customWidth="1"/>
    <col min="56" max="56" width="6" hidden="1" customWidth="1"/>
    <col min="57" max="57" width="9.625" customWidth="1"/>
    <col min="58" max="58" width="8.625" customWidth="1"/>
    <col min="59" max="59" width="6.625" customWidth="1"/>
    <col min="60" max="60" width="7" hidden="1" customWidth="1"/>
    <col min="61" max="61" width="9.625" customWidth="1"/>
    <col min="62" max="62" width="8.625" customWidth="1"/>
    <col min="63" max="63" width="6.625" customWidth="1"/>
    <col min="64" max="64" width="7" hidden="1" customWidth="1"/>
    <col min="65" max="65" width="9.625" customWidth="1"/>
    <col min="66" max="66" width="9" customWidth="1"/>
    <col min="67" max="67" width="7" customWidth="1"/>
    <col min="68" max="68" width="6" hidden="1" customWidth="1"/>
    <col min="69" max="69" width="9.625" customWidth="1"/>
    <col min="70" max="70" width="8.625" customWidth="1"/>
    <col min="71" max="71" width="6.625" customWidth="1"/>
    <col min="72" max="72" width="6" hidden="1" customWidth="1"/>
    <col min="73" max="73" width="9.625" customWidth="1"/>
    <col min="74" max="74" width="8.625" customWidth="1"/>
    <col min="75" max="75" width="6.625" customWidth="1"/>
    <col min="76" max="76" width="7" hidden="1" customWidth="1"/>
    <col min="77" max="77" width="9.625" customWidth="1"/>
    <col min="78" max="78" width="8.625" customWidth="1"/>
    <col min="79" max="79" width="6.625" customWidth="1"/>
    <col min="80" max="80" width="7" hidden="1" customWidth="1"/>
    <col min="81" max="81" width="9.625" customWidth="1"/>
    <col min="82" max="115" width="13.375" customWidth="1"/>
    <col min="116" max="116" width="10.25" customWidth="1"/>
    <col min="117" max="117" width="13.5" customWidth="1"/>
    <col min="118" max="118" width="14.375" hidden="1" customWidth="1"/>
    <col min="119" max="119" width="13.375" bestFit="1" customWidth="1"/>
    <col min="120" max="120" width="9.375" customWidth="1"/>
    <col min="121" max="121" width="13.5" customWidth="1"/>
    <col min="122" max="122" width="14.375" hidden="1" customWidth="1"/>
    <col min="123" max="123" width="13.375" bestFit="1" customWidth="1"/>
    <col min="124" max="124" width="10.375" bestFit="1" customWidth="1"/>
    <col min="125" max="125" width="13.5" customWidth="1"/>
    <col min="126" max="126" width="14.375" hidden="1" customWidth="1"/>
    <col min="127" max="127" width="13.375" bestFit="1" customWidth="1"/>
    <col min="128" max="128" width="9.375" customWidth="1"/>
    <col min="129" max="129" width="13.5" customWidth="1"/>
    <col min="130" max="130" width="14.375" hidden="1" customWidth="1"/>
    <col min="131" max="131" width="13.375" bestFit="1" customWidth="1"/>
  </cols>
  <sheetData>
    <row r="1" spans="1:131" s="967" customFormat="1" ht="20.100000000000001" customHeight="1">
      <c r="H1" s="1789" t="s">
        <v>1097</v>
      </c>
      <c r="I1" s="968" t="s">
        <v>966</v>
      </c>
      <c r="J1" s="967">
        <v>32</v>
      </c>
      <c r="N1" s="967">
        <v>31</v>
      </c>
      <c r="R1" s="967">
        <v>21</v>
      </c>
      <c r="V1" s="967">
        <v>32</v>
      </c>
      <c r="Z1" s="1181" t="s">
        <v>1108</v>
      </c>
      <c r="AD1" s="967">
        <v>32</v>
      </c>
      <c r="AH1" s="967">
        <v>12</v>
      </c>
      <c r="AL1" s="967">
        <v>21</v>
      </c>
      <c r="AP1" s="1181" t="s">
        <v>1108</v>
      </c>
      <c r="AT1" s="967">
        <v>21</v>
      </c>
      <c r="AX1" s="967">
        <v>12</v>
      </c>
      <c r="BB1" s="967">
        <v>21</v>
      </c>
      <c r="BF1" s="967">
        <v>12</v>
      </c>
      <c r="BJ1" s="967">
        <v>13</v>
      </c>
      <c r="BN1" s="967">
        <v>21</v>
      </c>
      <c r="BR1" s="967">
        <v>12</v>
      </c>
      <c r="BV1" s="967">
        <v>13</v>
      </c>
      <c r="BZ1" s="1181" t="s">
        <v>1108</v>
      </c>
      <c r="CA1" s="968"/>
      <c r="CB1" s="968"/>
      <c r="CC1" s="969"/>
    </row>
    <row r="2" spans="1:131" s="967" customFormat="1" ht="20.100000000000001" customHeight="1">
      <c r="H2" s="1790"/>
      <c r="I2" s="967" t="s">
        <v>951</v>
      </c>
      <c r="J2" s="967">
        <v>32</v>
      </c>
      <c r="N2" s="967">
        <v>31</v>
      </c>
      <c r="R2" s="967">
        <v>21</v>
      </c>
      <c r="V2" s="967">
        <v>32</v>
      </c>
      <c r="Z2" s="1181" t="s">
        <v>1108</v>
      </c>
      <c r="AD2" s="967">
        <v>32</v>
      </c>
      <c r="AH2" s="967">
        <v>12</v>
      </c>
      <c r="AL2" s="967">
        <v>21</v>
      </c>
      <c r="AP2" s="1181" t="s">
        <v>1108</v>
      </c>
      <c r="AT2" s="967">
        <v>21</v>
      </c>
      <c r="AX2" s="967">
        <v>12</v>
      </c>
      <c r="BB2" s="967">
        <v>21</v>
      </c>
      <c r="BF2" s="967">
        <v>12</v>
      </c>
      <c r="BJ2" s="967">
        <v>13</v>
      </c>
      <c r="BN2" s="967">
        <v>21</v>
      </c>
      <c r="BR2" s="967">
        <v>12</v>
      </c>
      <c r="BV2" s="967">
        <v>13</v>
      </c>
      <c r="BZ2" s="1181" t="s">
        <v>1108</v>
      </c>
      <c r="CC2" s="970"/>
    </row>
    <row r="3" spans="1:131" s="967" customFormat="1" ht="20.100000000000001" customHeight="1">
      <c r="H3" s="1791"/>
      <c r="I3" s="971" t="s">
        <v>967</v>
      </c>
      <c r="J3" s="971">
        <v>34</v>
      </c>
      <c r="K3" s="971"/>
      <c r="L3" s="971"/>
      <c r="M3" s="971"/>
      <c r="N3" s="971">
        <v>35</v>
      </c>
      <c r="O3" s="971"/>
      <c r="P3" s="971"/>
      <c r="Q3" s="971"/>
      <c r="R3" s="971" t="s">
        <v>1499</v>
      </c>
      <c r="S3" s="971"/>
      <c r="T3" s="971"/>
      <c r="U3" s="971"/>
      <c r="V3" s="971" t="s">
        <v>1133</v>
      </c>
      <c r="W3" s="971"/>
      <c r="X3" s="971"/>
      <c r="Y3" s="971"/>
      <c r="Z3" s="1180" t="s">
        <v>1499</v>
      </c>
      <c r="AA3" s="971"/>
      <c r="AB3" s="971"/>
      <c r="AC3" s="971"/>
      <c r="AD3" s="971" t="s">
        <v>1133</v>
      </c>
      <c r="AE3" s="971"/>
      <c r="AF3" s="971"/>
      <c r="AG3" s="971"/>
      <c r="AH3" s="971" t="s">
        <v>1110</v>
      </c>
      <c r="AI3" s="971"/>
      <c r="AJ3" s="971"/>
      <c r="AK3" s="971"/>
      <c r="AL3" s="971">
        <v>23</v>
      </c>
      <c r="AM3" s="971"/>
      <c r="AN3" s="971"/>
      <c r="AO3" s="971"/>
      <c r="AP3" s="1180" t="s">
        <v>1499</v>
      </c>
      <c r="AQ3" s="971"/>
      <c r="AR3" s="971"/>
      <c r="AS3" s="971"/>
      <c r="AT3" s="971">
        <v>23</v>
      </c>
      <c r="AU3" s="971"/>
      <c r="AV3" s="971"/>
      <c r="AW3" s="971"/>
      <c r="AX3" s="971">
        <v>16</v>
      </c>
      <c r="AY3" s="971"/>
      <c r="AZ3" s="971"/>
      <c r="BA3" s="971"/>
      <c r="BB3" s="971">
        <v>23</v>
      </c>
      <c r="BC3" s="971"/>
      <c r="BD3" s="971"/>
      <c r="BE3" s="971"/>
      <c r="BF3" s="971">
        <v>16</v>
      </c>
      <c r="BG3" s="971"/>
      <c r="BH3" s="971"/>
      <c r="BI3" s="971"/>
      <c r="BJ3" s="971">
        <v>17</v>
      </c>
      <c r="BK3" s="971"/>
      <c r="BL3" s="971"/>
      <c r="BM3" s="971"/>
      <c r="BN3" s="971">
        <v>23</v>
      </c>
      <c r="BO3" s="971"/>
      <c r="BP3" s="971"/>
      <c r="BQ3" s="971"/>
      <c r="BR3" s="971">
        <v>16</v>
      </c>
      <c r="BS3" s="971"/>
      <c r="BT3" s="971"/>
      <c r="BU3" s="971"/>
      <c r="BV3" s="971">
        <v>17</v>
      </c>
      <c r="BW3" s="971"/>
      <c r="BX3" s="971"/>
      <c r="BY3" s="971"/>
      <c r="BZ3" s="1180" t="s">
        <v>1499</v>
      </c>
      <c r="CA3" s="971"/>
      <c r="CB3" s="971"/>
      <c r="CC3" s="972"/>
    </row>
    <row r="4" spans="1:131" s="940" customFormat="1" ht="16.5" thickBot="1"/>
    <row r="5" spans="1:131">
      <c r="B5" s="398" t="s">
        <v>969</v>
      </c>
      <c r="C5" s="399"/>
      <c r="D5" s="399"/>
      <c r="E5" s="399"/>
      <c r="F5" s="399"/>
      <c r="G5" s="962" t="s">
        <v>660</v>
      </c>
      <c r="H5" s="962" t="s">
        <v>1093</v>
      </c>
      <c r="I5" s="962" t="s">
        <v>707</v>
      </c>
      <c r="J5" s="399"/>
      <c r="K5" s="399"/>
      <c r="L5" s="399"/>
      <c r="M5" s="399"/>
      <c r="N5" s="399"/>
      <c r="O5" s="399"/>
      <c r="P5" s="399"/>
      <c r="Q5" s="399"/>
      <c r="R5" s="399"/>
      <c r="S5" s="399"/>
      <c r="T5" s="399"/>
      <c r="U5" s="399"/>
      <c r="V5" s="399"/>
      <c r="W5" s="399"/>
      <c r="X5" s="399"/>
      <c r="Y5" s="399"/>
      <c r="Z5" s="39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A5" s="399"/>
      <c r="BB5" s="399"/>
      <c r="BC5" s="399"/>
      <c r="BD5" s="399"/>
      <c r="BE5" s="399"/>
      <c r="BF5" s="399"/>
      <c r="BG5" s="399"/>
      <c r="BH5" s="399"/>
      <c r="BI5" s="399"/>
      <c r="BJ5" s="399"/>
      <c r="BK5" s="399"/>
      <c r="BL5" s="399"/>
      <c r="BM5" s="399"/>
      <c r="BN5" s="399"/>
      <c r="BO5" s="399"/>
      <c r="BP5" s="399"/>
      <c r="BQ5" s="399"/>
      <c r="BR5" s="399"/>
      <c r="BS5" s="399"/>
      <c r="BT5" s="399"/>
      <c r="BU5" s="399"/>
      <c r="BV5" s="399"/>
      <c r="BW5" s="399"/>
      <c r="BX5" s="399"/>
      <c r="BY5" s="399"/>
      <c r="BZ5" s="399"/>
      <c r="CA5" s="399"/>
      <c r="CB5" s="399"/>
      <c r="CC5" s="400"/>
    </row>
    <row r="6" spans="1:131" s="973" customFormat="1" ht="20.25">
      <c r="A6"/>
      <c r="B6" s="985" t="str">
        <f>[5]!xlsAQWindTunnel</f>
        <v>WT?</v>
      </c>
      <c r="C6"/>
      <c r="D6"/>
      <c r="E6"/>
      <c r="F6"/>
      <c r="G6" s="942" t="s">
        <v>968</v>
      </c>
      <c r="H6" s="942" t="s">
        <v>1091</v>
      </c>
      <c r="I6" s="940">
        <v>0.97430000000000005</v>
      </c>
      <c r="J6" s="973" t="str">
        <f>IF($B$6="WT1",J$1,IF($B$6="WT2",J$2,IF($B$6="WT3",J$3,"Pick a Tunnel")))</f>
        <v>Pick a Tunnel</v>
      </c>
      <c r="N6" s="973" t="str">
        <f>IF($B$6="WT1",N$1,IF($B$6="WT2",N$2,IF($B$6="WT3",N$3,"Pick a Tunnel")))</f>
        <v>Pick a Tunnel</v>
      </c>
      <c r="R6" s="973" t="str">
        <f>IF($B$6="WT1",R$1,IF($B$6="WT2",R$2,IF($B$6="WT3",R$3,"Pick a Tunnel")))</f>
        <v>Pick a Tunnel</v>
      </c>
      <c r="V6" s="973" t="str">
        <f>IF($B$6="WT1",V$1,IF($B$6="WT2",V$2,IF($B$6="WT3",V$3,"Pick a Tunnel")))</f>
        <v>Pick a Tunnel</v>
      </c>
      <c r="Z6" s="973" t="str">
        <f>IF($B$6="WT1",Z$1,IF($B$6="WT2",Z$2,IF($B$6="WT3",Z$3,"Pick a Tunnel")))</f>
        <v>Pick a Tunnel</v>
      </c>
      <c r="AD6" s="973" t="str">
        <f>IF($B$6="WT1",AD$1,IF($B$6="WT2",AD$2,IF($B$6="WT3",AD$3,"Pick a Tunnel")))</f>
        <v>Pick a Tunnel</v>
      </c>
      <c r="AH6" s="973" t="str">
        <f>IF($B$6="WT1",AH$1,IF($B$6="WT2",AH$2,IF($B$6="WT3",AH$3,"Pick a Tunnel")))</f>
        <v>Pick a Tunnel</v>
      </c>
      <c r="AL6" s="973" t="str">
        <f>IF($B$6="WT1",AL$1,IF($B$6="WT2",AL$2,IF($B$6="WT3",AL$3,"Pick a Tunnel")))</f>
        <v>Pick a Tunnel</v>
      </c>
      <c r="AP6" s="973" t="str">
        <f>IF($B$6="WT1",AP$1,IF($B$6="WT2",AP$2,IF($B$6="WT3",AP$3,"Pick a Tunnel")))</f>
        <v>Pick a Tunnel</v>
      </c>
      <c r="AT6" s="973" t="str">
        <f>IF($B$6="WT1",AT$1,IF($B$6="WT2",AT$2,IF($B$6="WT3",AT$3,"Pick a Tunnel")))</f>
        <v>Pick a Tunnel</v>
      </c>
      <c r="AX6" s="973" t="str">
        <f>IF($B$6="WT1",AX$1,IF($B$6="WT2",AX$2,IF($B$6="WT3",AX$3,"Pick a Tunnel")))</f>
        <v>Pick a Tunnel</v>
      </c>
      <c r="BB6" s="973" t="str">
        <f>IF($B$6="WT1",BB$1,IF($B$6="WT2",BB$2,IF($B$6="WT3",BB$3,"Pick a Tunnel")))</f>
        <v>Pick a Tunnel</v>
      </c>
      <c r="BF6" s="973" t="str">
        <f>IF($B$6="WT1",BF$1,IF($B$6="WT2",BF$2,IF($B$6="WT3",BF$3,"Pick a Tunnel")))</f>
        <v>Pick a Tunnel</v>
      </c>
      <c r="BJ6" s="973" t="str">
        <f>IF($B$6="WT1",BJ$1,IF($B$6="WT2",BJ$2,IF($B$6="WT3",BJ$3,"Pick a Tunnel")))</f>
        <v>Pick a Tunnel</v>
      </c>
      <c r="BN6" s="973" t="str">
        <f>IF($B$6="WT1",BN$1,IF($B$6="WT2",BN$2,IF($B$6="WT3",BN$3,"Pick a Tunnel")))</f>
        <v>Pick a Tunnel</v>
      </c>
      <c r="BR6" s="973" t="str">
        <f>IF($B$6="WT1",BR$1,IF($B$6="WT2",BR$2,IF($B$6="WT3",BR$3,"Pick a Tunnel")))</f>
        <v>Pick a Tunnel</v>
      </c>
      <c r="BV6" s="973" t="str">
        <f>IF($B$6="WT1",BV$1,IF($B$6="WT2",BV$2,IF($B$6="WT3",BV$3,"Pick a Tunnel")))</f>
        <v>Pick a Tunnel</v>
      </c>
      <c r="BZ6" s="973" t="str">
        <f>IF($B$6="WT1",BZ$1,IF($B$6="WT2",BZ$2,IF($B$6="WT3",BZ$3,"Pick a Tunnel")))</f>
        <v>Pick a Tunnel</v>
      </c>
      <c r="CC6" s="974"/>
    </row>
    <row r="7" spans="1:131" s="973" customFormat="1" ht="16.5" thickBot="1">
      <c r="A7"/>
      <c r="B7" s="963"/>
      <c r="C7" s="964"/>
      <c r="D7" s="964"/>
      <c r="E7" s="964"/>
      <c r="F7" s="964"/>
      <c r="G7" s="965" t="s">
        <v>968</v>
      </c>
      <c r="H7" s="965" t="s">
        <v>1092</v>
      </c>
      <c r="I7" s="966">
        <v>0.22819999999999999</v>
      </c>
      <c r="J7" s="975" t="str">
        <f>IF($B$6="WT1",J$1,IF($B$6="WT2",J$2,IF($B$6="WT3",J$3,"Pick a Tunnel")))</f>
        <v>Pick a Tunnel</v>
      </c>
      <c r="K7" s="975"/>
      <c r="L7" s="975"/>
      <c r="M7" s="975"/>
      <c r="N7" s="975" t="str">
        <f>IF($B$6="WT1",N$1,IF($B$6="WT2",N$2,IF($B$6="WT3",N$3,"Pick a Tunnel")))</f>
        <v>Pick a Tunnel</v>
      </c>
      <c r="O7" s="975"/>
      <c r="P7" s="975"/>
      <c r="Q7" s="975"/>
      <c r="R7" s="975" t="str">
        <f>IF($B$6="WT1",R$1,IF($B$6="WT2",R$2,IF($B$6="WT3",R$3,"Pick a Tunnel")))</f>
        <v>Pick a Tunnel</v>
      </c>
      <c r="S7" s="975"/>
      <c r="T7" s="975"/>
      <c r="U7" s="975"/>
      <c r="V7" s="975" t="str">
        <f>IF($B$6="WT1",V$1,IF($B$6="WT2",V$2,IF($B$6="WT3",V$3,"Pick a Tunnel")))</f>
        <v>Pick a Tunnel</v>
      </c>
      <c r="W7" s="975"/>
      <c r="X7" s="975"/>
      <c r="Y7" s="975"/>
      <c r="Z7" s="975" t="str">
        <f>IF($B$6="WT1",Z$1,IF($B$6="WT2",Z$2,IF($B$6="WT3",Z$3,"Pick a Tunnel")))</f>
        <v>Pick a Tunnel</v>
      </c>
      <c r="AA7" s="975"/>
      <c r="AB7" s="975"/>
      <c r="AC7" s="975"/>
      <c r="AD7" s="975" t="str">
        <f>IF($B$6="WT1",AD$1,IF($B$6="WT2",AD$2,IF($B$6="WT3",AD$3,"Pick a Tunnel")))</f>
        <v>Pick a Tunnel</v>
      </c>
      <c r="AE7" s="975"/>
      <c r="AF7" s="975"/>
      <c r="AG7" s="975"/>
      <c r="AH7" s="975" t="str">
        <f>IF($B$6="WT1",AH$1,IF($B$6="WT2",AH$2,IF($B$6="WT3",AH$3,"Pick a Tunnel")))</f>
        <v>Pick a Tunnel</v>
      </c>
      <c r="AI7" s="975"/>
      <c r="AJ7" s="975"/>
      <c r="AK7" s="975"/>
      <c r="AL7" s="975" t="str">
        <f>IF($B$6="WT1",AL$1,IF($B$6="WT2",AL$2,IF($B$6="WT3",AL$3,"Pick a Tunnel")))</f>
        <v>Pick a Tunnel</v>
      </c>
      <c r="AM7" s="975"/>
      <c r="AN7" s="975"/>
      <c r="AO7" s="975"/>
      <c r="AP7" s="975" t="str">
        <f>IF($B$6="WT1",AP$1,IF($B$6="WT2",AP$2,IF($B$6="WT3",AP$3,"Pick a Tunnel")))</f>
        <v>Pick a Tunnel</v>
      </c>
      <c r="AQ7" s="975"/>
      <c r="AR7" s="975"/>
      <c r="AS7" s="975"/>
      <c r="AT7" s="975" t="str">
        <f>IF($B$6="WT1",AT$1,IF($B$6="WT2",AT$2,IF($B$6="WT3",AT$3,"Pick a Tunnel")))</f>
        <v>Pick a Tunnel</v>
      </c>
      <c r="AU7" s="975"/>
      <c r="AV7" s="975"/>
      <c r="AW7" s="975"/>
      <c r="AX7" s="975" t="str">
        <f>IF($B$6="WT1",AX$1,IF($B$6="WT2",AX$2,IF($B$6="WT3",AX$3,"Pick a Tunnel")))</f>
        <v>Pick a Tunnel</v>
      </c>
      <c r="AY7" s="975"/>
      <c r="AZ7" s="975"/>
      <c r="BA7" s="975"/>
      <c r="BB7" s="975" t="str">
        <f>IF($B$6="WT1",BB$1,IF($B$6="WT2",BB$2,IF($B$6="WT3",BB$3,"Pick a Tunnel")))</f>
        <v>Pick a Tunnel</v>
      </c>
      <c r="BC7" s="975"/>
      <c r="BD7" s="975"/>
      <c r="BE7" s="975"/>
      <c r="BF7" s="975" t="str">
        <f>IF($B$6="WT1",BF$1,IF($B$6="WT2",BF$2,IF($B$6="WT3",BF$3,"Pick a Tunnel")))</f>
        <v>Pick a Tunnel</v>
      </c>
      <c r="BG7" s="975"/>
      <c r="BH7" s="975"/>
      <c r="BI7" s="975"/>
      <c r="BJ7" s="975" t="str">
        <f>IF($B$6="WT1",BJ$1,IF($B$6="WT2",BJ$2,IF($B$6="WT3",BJ$3,"Pick a Tunnel")))</f>
        <v>Pick a Tunnel</v>
      </c>
      <c r="BK7" s="975"/>
      <c r="BL7" s="975"/>
      <c r="BM7" s="975"/>
      <c r="BN7" s="975" t="str">
        <f>IF($B$6="WT1",BN$1,IF($B$6="WT2",BN$2,IF($B$6="WT3",BN$3,"Pick a Tunnel")))</f>
        <v>Pick a Tunnel</v>
      </c>
      <c r="BO7" s="975"/>
      <c r="BP7" s="975"/>
      <c r="BQ7" s="975"/>
      <c r="BR7" s="975" t="str">
        <f>IF($B$6="WT1",BR$1,IF($B$6="WT2",BR$2,IF($B$6="WT3",BR$3,"Pick a Tunnel")))</f>
        <v>Pick a Tunnel</v>
      </c>
      <c r="BS7" s="975"/>
      <c r="BT7" s="975"/>
      <c r="BU7" s="975"/>
      <c r="BV7" s="975" t="str">
        <f>IF($B$6="WT1",BV$1,IF($B$6="WT2",BV$2,IF($B$6="WT3",BV$3,"Pick a Tunnel")))</f>
        <v>Pick a Tunnel</v>
      </c>
      <c r="BW7" s="975"/>
      <c r="BX7" s="975"/>
      <c r="BY7" s="975"/>
      <c r="BZ7" s="975" t="str">
        <f>IF($B$6="WT1",BZ$1,IF($B$6="WT2",BZ$2,IF($B$6="WT3",BZ$3,"Pick a Tunnel")))</f>
        <v>Pick a Tunnel</v>
      </c>
      <c r="CA7" s="975"/>
      <c r="CB7" s="975"/>
      <c r="CC7" s="976"/>
    </row>
    <row r="8" spans="1:131" ht="20.25">
      <c r="B8" s="120" t="str">
        <f>SourceProjectName1</f>
        <v>Project Name 1</v>
      </c>
      <c r="G8" s="942"/>
      <c r="H8" s="942"/>
      <c r="I8" s="940"/>
    </row>
    <row r="9" spans="1:131" ht="20.25">
      <c r="B9" s="120" t="str">
        <f>SourceProjectName2</f>
        <v>Project Name 2</v>
      </c>
      <c r="G9" s="942"/>
      <c r="H9" s="942"/>
      <c r="I9" s="940"/>
    </row>
    <row r="10" spans="1:131" ht="20.25">
      <c r="B10" s="120" t="str">
        <f>SourceProjectNumber</f>
        <v>Project Number</v>
      </c>
      <c r="G10" s="942"/>
      <c r="H10" s="942"/>
      <c r="I10" s="940"/>
    </row>
    <row r="11" spans="1:131">
      <c r="B11" s="115" t="s">
        <v>1099</v>
      </c>
      <c r="D11" s="977">
        <v>0</v>
      </c>
      <c r="G11" s="942"/>
      <c r="H11" s="942"/>
      <c r="I11" s="940"/>
    </row>
    <row r="12" spans="1:131" ht="22.5">
      <c r="B12" s="793" t="s">
        <v>1100</v>
      </c>
      <c r="J12" s="115"/>
      <c r="K12" s="115"/>
      <c r="L12" s="115"/>
      <c r="M12" s="115"/>
      <c r="N12" s="794"/>
      <c r="Q12" s="684"/>
      <c r="R12" s="684"/>
      <c r="S12" s="684"/>
      <c r="V12" s="356"/>
      <c r="Y12" s="743"/>
      <c r="Z12" s="743"/>
      <c r="AA12" s="743"/>
      <c r="AD12" s="356"/>
      <c r="AG12" s="743"/>
      <c r="AH12" s="743"/>
      <c r="AI12" s="743"/>
      <c r="BB12" s="356"/>
      <c r="BE12" s="743"/>
      <c r="BF12" s="743"/>
      <c r="BG12" s="743"/>
      <c r="BH12" s="743"/>
      <c r="BI12" s="743"/>
      <c r="BJ12" s="743"/>
      <c r="BK12" s="743"/>
      <c r="DL12" s="356"/>
      <c r="DO12" s="743"/>
      <c r="DP12" s="743"/>
      <c r="DQ12" s="743"/>
      <c r="DR12" s="743"/>
      <c r="DS12" s="743"/>
      <c r="DT12" s="743"/>
      <c r="DU12" s="743"/>
      <c r="DV12" s="743"/>
      <c r="DW12" s="743"/>
      <c r="DX12" s="743"/>
      <c r="DY12" s="743"/>
    </row>
    <row r="13" spans="1:131" ht="18.75">
      <c r="A13" s="41"/>
      <c r="B13" s="795"/>
      <c r="C13" s="41"/>
      <c r="D13" s="41"/>
      <c r="E13" s="41"/>
      <c r="F13" s="423"/>
      <c r="G13" s="796"/>
      <c r="H13" s="41"/>
      <c r="I13" s="41"/>
      <c r="J13" s="1792" t="s">
        <v>960</v>
      </c>
      <c r="K13" s="1793"/>
      <c r="L13" s="1793"/>
      <c r="M13" s="1793"/>
      <c r="N13" s="1794" t="s">
        <v>961</v>
      </c>
      <c r="O13" s="1795"/>
      <c r="P13" s="1795"/>
      <c r="Q13" s="1795"/>
      <c r="R13" s="1795"/>
      <c r="S13" s="1795"/>
      <c r="T13" s="1795"/>
      <c r="U13" s="1795"/>
      <c r="V13" s="1796" t="s">
        <v>962</v>
      </c>
      <c r="W13" s="1797"/>
      <c r="X13" s="1797"/>
      <c r="Y13" s="1797"/>
      <c r="Z13" s="1797"/>
      <c r="AA13" s="1797"/>
      <c r="AB13" s="1797"/>
      <c r="AC13" s="1797"/>
      <c r="AD13" s="1797"/>
      <c r="AE13" s="1797"/>
      <c r="AF13" s="1797"/>
      <c r="AG13" s="1797"/>
      <c r="AH13" s="1797"/>
      <c r="AI13" s="1797"/>
      <c r="AJ13" s="1797"/>
      <c r="AK13" s="1798"/>
      <c r="AL13" s="1799" t="s">
        <v>963</v>
      </c>
      <c r="AM13" s="1800"/>
      <c r="AN13" s="1800"/>
      <c r="AO13" s="1800"/>
      <c r="AP13" s="1800"/>
      <c r="AQ13" s="1800"/>
      <c r="AR13" s="1800"/>
      <c r="AS13" s="1800"/>
      <c r="AT13" s="1800"/>
      <c r="AU13" s="1800"/>
      <c r="AV13" s="1800"/>
      <c r="AW13" s="1800"/>
      <c r="AX13" s="1800"/>
      <c r="AY13" s="1800"/>
      <c r="AZ13" s="1800"/>
      <c r="BA13" s="1801"/>
      <c r="BB13" s="1773" t="s">
        <v>965</v>
      </c>
      <c r="BC13" s="1774"/>
      <c r="BD13" s="1774"/>
      <c r="BE13" s="1774"/>
      <c r="BF13" s="1774"/>
      <c r="BG13" s="1774"/>
      <c r="BH13" s="1774"/>
      <c r="BI13" s="1774"/>
      <c r="BJ13" s="1774"/>
      <c r="BK13" s="1774"/>
      <c r="BL13" s="1774"/>
      <c r="BM13" s="1775"/>
      <c r="BN13" s="1786" t="s">
        <v>1095</v>
      </c>
      <c r="BO13" s="1787"/>
      <c r="BP13" s="1787"/>
      <c r="BQ13" s="1787"/>
      <c r="BR13" s="1787"/>
      <c r="BS13" s="1787"/>
      <c r="BT13" s="1787"/>
      <c r="BU13" s="1787"/>
      <c r="BV13" s="1787"/>
      <c r="BW13" s="1787"/>
      <c r="BX13" s="1787"/>
      <c r="BY13" s="1787"/>
      <c r="BZ13" s="1787"/>
      <c r="CA13" s="1787"/>
      <c r="CB13" s="1787"/>
      <c r="CC13" s="1788"/>
    </row>
    <row r="14" spans="1:131">
      <c r="A14" s="73"/>
      <c r="B14" s="1779" t="s">
        <v>121</v>
      </c>
      <c r="C14" s="1780"/>
      <c r="D14" s="1780"/>
      <c r="E14" s="1780"/>
      <c r="F14" s="1780"/>
      <c r="G14" s="1780"/>
      <c r="H14" s="1780"/>
      <c r="I14" s="1780"/>
      <c r="J14" s="1783" t="s">
        <v>952</v>
      </c>
      <c r="K14" s="1784"/>
      <c r="L14" s="1784"/>
      <c r="M14" s="1784"/>
      <c r="N14" s="1781" t="s">
        <v>952</v>
      </c>
      <c r="O14" s="1782"/>
      <c r="P14" s="1782"/>
      <c r="Q14" s="1782"/>
      <c r="R14" s="1781" t="s">
        <v>953</v>
      </c>
      <c r="S14" s="1782"/>
      <c r="T14" s="1782"/>
      <c r="U14" s="1782"/>
      <c r="V14" s="1796" t="s">
        <v>956</v>
      </c>
      <c r="W14" s="1797"/>
      <c r="X14" s="1797"/>
      <c r="Y14" s="1797"/>
      <c r="Z14" s="1797"/>
      <c r="AA14" s="1797"/>
      <c r="AB14" s="1797"/>
      <c r="AC14" s="1798"/>
      <c r="AD14" s="1796" t="s">
        <v>957</v>
      </c>
      <c r="AE14" s="1797"/>
      <c r="AF14" s="1797"/>
      <c r="AG14" s="1797"/>
      <c r="AH14" s="1797"/>
      <c r="AI14" s="1797"/>
      <c r="AJ14" s="1797"/>
      <c r="AK14" s="1798"/>
      <c r="AL14" s="1799" t="s">
        <v>958</v>
      </c>
      <c r="AM14" s="1800"/>
      <c r="AN14" s="1800"/>
      <c r="AO14" s="1800"/>
      <c r="AP14" s="1800"/>
      <c r="AQ14" s="1800"/>
      <c r="AR14" s="1800"/>
      <c r="AS14" s="1800"/>
      <c r="AT14" s="1799" t="s">
        <v>959</v>
      </c>
      <c r="AU14" s="1800"/>
      <c r="AV14" s="1800"/>
      <c r="AW14" s="1800"/>
      <c r="AX14" s="1800"/>
      <c r="AY14" s="1800"/>
      <c r="AZ14" s="1800"/>
      <c r="BA14" s="1800"/>
      <c r="BB14" s="1773" t="s">
        <v>964</v>
      </c>
      <c r="BC14" s="1774"/>
      <c r="BD14" s="1774"/>
      <c r="BE14" s="1774"/>
      <c r="BF14" s="1774"/>
      <c r="BG14" s="1774"/>
      <c r="BH14" s="1774"/>
      <c r="BI14" s="1774"/>
      <c r="BJ14" s="1774"/>
      <c r="BK14" s="1774"/>
      <c r="BL14" s="1774"/>
      <c r="BM14" s="1775"/>
      <c r="BN14" s="1786" t="s">
        <v>1096</v>
      </c>
      <c r="BO14" s="1787"/>
      <c r="BP14" s="1787"/>
      <c r="BQ14" s="1787"/>
      <c r="BR14" s="1787"/>
      <c r="BS14" s="1787"/>
      <c r="BT14" s="1787"/>
      <c r="BU14" s="1787"/>
      <c r="BV14" s="1787"/>
      <c r="BW14" s="1787"/>
      <c r="BX14" s="1787"/>
      <c r="BY14" s="1787"/>
      <c r="BZ14" s="1787"/>
      <c r="CA14" s="1787"/>
      <c r="CB14" s="1787"/>
      <c r="CC14" s="1788"/>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739"/>
      <c r="DM14" s="1739"/>
      <c r="DN14" s="1739"/>
      <c r="DO14" s="1739"/>
      <c r="DP14" s="1739"/>
      <c r="DQ14" s="1739"/>
      <c r="DR14" s="1739"/>
      <c r="DS14" s="1739"/>
      <c r="DT14" s="1739"/>
      <c r="DU14" s="1739"/>
      <c r="DV14" s="1739"/>
      <c r="DW14" s="1739"/>
      <c r="DX14" s="1739"/>
      <c r="DY14" s="1739"/>
      <c r="DZ14" s="1739"/>
      <c r="EA14" s="1739"/>
    </row>
    <row r="15" spans="1:131">
      <c r="A15" s="90"/>
      <c r="B15" s="1726" t="s">
        <v>806</v>
      </c>
      <c r="C15" s="1785"/>
      <c r="D15" s="1785"/>
      <c r="E15" s="1785"/>
      <c r="F15" s="1726" t="s">
        <v>124</v>
      </c>
      <c r="G15" s="1785"/>
      <c r="H15" s="1785"/>
      <c r="I15" s="1727"/>
      <c r="J15" s="787"/>
      <c r="K15" s="785"/>
      <c r="L15" s="786"/>
      <c r="M15" s="786"/>
      <c r="N15" s="778"/>
      <c r="O15" s="776"/>
      <c r="P15" s="777"/>
      <c r="Q15" s="777"/>
      <c r="R15" s="778"/>
      <c r="S15" s="776"/>
      <c r="T15" s="777"/>
      <c r="U15" s="777"/>
      <c r="V15" s="1776" t="s">
        <v>122</v>
      </c>
      <c r="W15" s="1777"/>
      <c r="X15" s="1777"/>
      <c r="Y15" s="1777"/>
      <c r="Z15" s="1776" t="s">
        <v>123</v>
      </c>
      <c r="AA15" s="1777"/>
      <c r="AB15" s="1777"/>
      <c r="AC15" s="1778"/>
      <c r="AD15" s="1776" t="s">
        <v>122</v>
      </c>
      <c r="AE15" s="1777"/>
      <c r="AF15" s="1777"/>
      <c r="AG15" s="1777"/>
      <c r="AH15" s="1776" t="s">
        <v>123</v>
      </c>
      <c r="AI15" s="1777"/>
      <c r="AJ15" s="1777"/>
      <c r="AK15" s="1778"/>
      <c r="AL15" s="1763" t="s">
        <v>122</v>
      </c>
      <c r="AM15" s="1764"/>
      <c r="AN15" s="1764"/>
      <c r="AO15" s="1764"/>
      <c r="AP15" s="1763" t="s">
        <v>123</v>
      </c>
      <c r="AQ15" s="1764"/>
      <c r="AR15" s="1764"/>
      <c r="AS15" s="1765"/>
      <c r="AT15" s="1763" t="s">
        <v>122</v>
      </c>
      <c r="AU15" s="1764"/>
      <c r="AV15" s="1764"/>
      <c r="AW15" s="1764"/>
      <c r="AX15" s="1763" t="s">
        <v>123</v>
      </c>
      <c r="AY15" s="1764"/>
      <c r="AZ15" s="1764"/>
      <c r="BA15" s="1765"/>
      <c r="BB15" s="1766" t="s">
        <v>122</v>
      </c>
      <c r="BC15" s="1767"/>
      <c r="BD15" s="1767"/>
      <c r="BE15" s="1768"/>
      <c r="BF15" s="1766" t="s">
        <v>123</v>
      </c>
      <c r="BG15" s="1767"/>
      <c r="BH15" s="1767"/>
      <c r="BI15" s="1768"/>
      <c r="BJ15" s="1766" t="s">
        <v>643</v>
      </c>
      <c r="BK15" s="1767"/>
      <c r="BL15" s="1767"/>
      <c r="BM15" s="1768"/>
      <c r="BN15" s="1770" t="s">
        <v>122</v>
      </c>
      <c r="BO15" s="1771"/>
      <c r="BP15" s="1771"/>
      <c r="BQ15" s="1771"/>
      <c r="BR15" s="1770" t="s">
        <v>123</v>
      </c>
      <c r="BS15" s="1771"/>
      <c r="BT15" s="1771"/>
      <c r="BU15" s="1772"/>
      <c r="BV15" s="1770" t="s">
        <v>643</v>
      </c>
      <c r="BW15" s="1771"/>
      <c r="BX15" s="1771"/>
      <c r="BY15" s="1772"/>
      <c r="BZ15" s="1770" t="s">
        <v>644</v>
      </c>
      <c r="CA15" s="1771"/>
      <c r="CB15" s="1771"/>
      <c r="CC15" s="1772"/>
      <c r="CD15" s="122"/>
      <c r="CE15" s="122"/>
      <c r="CF15" s="122"/>
      <c r="CG15" s="122"/>
      <c r="CH15" s="122"/>
      <c r="CI15" s="122"/>
      <c r="CJ15" s="122"/>
      <c r="CK15" s="122"/>
      <c r="CL15" s="122"/>
      <c r="CM15" s="122"/>
      <c r="CN15" s="122"/>
      <c r="CO15" s="122"/>
      <c r="CP15" s="122"/>
      <c r="CQ15" s="122"/>
      <c r="CR15" s="122"/>
      <c r="CS15" s="122"/>
      <c r="CT15" s="122"/>
      <c r="CU15" s="122"/>
      <c r="CV15" s="122"/>
      <c r="CW15" s="122"/>
      <c r="CX15" s="122"/>
      <c r="CY15" s="122"/>
      <c r="CZ15" s="122"/>
      <c r="DA15" s="122"/>
      <c r="DB15" s="122"/>
      <c r="DC15" s="122"/>
      <c r="DD15" s="122"/>
      <c r="DE15" s="122"/>
      <c r="DF15" s="122"/>
      <c r="DG15" s="122"/>
      <c r="DH15" s="122"/>
      <c r="DI15" s="122"/>
      <c r="DJ15" s="122"/>
      <c r="DK15" s="122"/>
      <c r="DL15" s="1769"/>
      <c r="DM15" s="1769"/>
      <c r="DN15" s="1769"/>
      <c r="DO15" s="1769"/>
      <c r="DP15" s="1769"/>
      <c r="DQ15" s="1769"/>
      <c r="DR15" s="1769"/>
      <c r="DS15" s="1769"/>
      <c r="DT15" s="1769"/>
      <c r="DU15" s="1769"/>
      <c r="DV15" s="1769"/>
      <c r="DW15" s="1769"/>
      <c r="DX15" s="1769"/>
      <c r="DY15" s="1769"/>
      <c r="DZ15" s="1769"/>
      <c r="EA15" s="1769"/>
    </row>
    <row r="16" spans="1:131" s="245" customFormat="1">
      <c r="A16" s="978"/>
      <c r="B16" s="810"/>
      <c r="C16" s="811"/>
      <c r="D16" s="811"/>
      <c r="E16" s="811"/>
      <c r="F16" s="810"/>
      <c r="G16" s="811"/>
      <c r="H16" s="811"/>
      <c r="I16" s="812"/>
      <c r="J16" s="813" t="s">
        <v>660</v>
      </c>
      <c r="K16" s="814">
        <v>100</v>
      </c>
      <c r="L16" s="815"/>
      <c r="M16" s="815"/>
      <c r="N16" s="816" t="s">
        <v>660</v>
      </c>
      <c r="O16" s="817">
        <v>10</v>
      </c>
      <c r="P16" s="818"/>
      <c r="Q16" s="818"/>
      <c r="R16" s="816" t="s">
        <v>660</v>
      </c>
      <c r="S16" s="817">
        <v>10</v>
      </c>
      <c r="T16" s="818"/>
      <c r="U16" s="818"/>
      <c r="V16" s="819" t="s">
        <v>660</v>
      </c>
      <c r="W16" s="820">
        <v>100</v>
      </c>
      <c r="X16" s="821"/>
      <c r="Y16" s="821"/>
      <c r="Z16" s="819" t="s">
        <v>660</v>
      </c>
      <c r="AA16" s="822">
        <f>100-W16</f>
        <v>0</v>
      </c>
      <c r="AB16" s="821"/>
      <c r="AC16" s="823"/>
      <c r="AD16" s="819" t="s">
        <v>660</v>
      </c>
      <c r="AE16" s="820">
        <v>100</v>
      </c>
      <c r="AF16" s="821"/>
      <c r="AG16" s="821"/>
      <c r="AH16" s="819" t="s">
        <v>660</v>
      </c>
      <c r="AI16" s="822">
        <f>100-AE16</f>
        <v>0</v>
      </c>
      <c r="AJ16" s="821"/>
      <c r="AK16" s="823"/>
      <c r="AL16" s="824" t="s">
        <v>660</v>
      </c>
      <c r="AM16" s="825">
        <v>100</v>
      </c>
      <c r="AN16" s="826"/>
      <c r="AO16" s="826"/>
      <c r="AP16" s="824" t="s">
        <v>660</v>
      </c>
      <c r="AQ16" s="827">
        <f>100-AM16</f>
        <v>0</v>
      </c>
      <c r="AR16" s="826"/>
      <c r="AS16" s="828"/>
      <c r="AT16" s="824" t="s">
        <v>660</v>
      </c>
      <c r="AU16" s="825">
        <v>100</v>
      </c>
      <c r="AV16" s="826"/>
      <c r="AW16" s="826"/>
      <c r="AX16" s="824" t="s">
        <v>660</v>
      </c>
      <c r="AY16" s="827">
        <f>100-AU16</f>
        <v>0</v>
      </c>
      <c r="AZ16" s="826"/>
      <c r="BA16" s="828"/>
      <c r="BB16" s="829" t="s">
        <v>660</v>
      </c>
      <c r="BC16" s="830">
        <v>100</v>
      </c>
      <c r="BD16" s="831"/>
      <c r="BE16" s="831"/>
      <c r="BF16" s="829" t="s">
        <v>660</v>
      </c>
      <c r="BG16" s="830">
        <v>0</v>
      </c>
      <c r="BH16" s="831"/>
      <c r="BI16" s="833"/>
      <c r="BJ16" s="829" t="s">
        <v>660</v>
      </c>
      <c r="BK16" s="832">
        <f>100-BC16-BG16</f>
        <v>0</v>
      </c>
      <c r="BL16" s="831"/>
      <c r="BM16" s="833"/>
      <c r="BN16" s="948" t="s">
        <v>660</v>
      </c>
      <c r="BO16" s="949">
        <v>100</v>
      </c>
      <c r="BP16" s="950"/>
      <c r="BQ16" s="950"/>
      <c r="BR16" s="948" t="s">
        <v>660</v>
      </c>
      <c r="BS16" s="949">
        <v>0</v>
      </c>
      <c r="BT16" s="950"/>
      <c r="BU16" s="952"/>
      <c r="BV16" s="948" t="s">
        <v>660</v>
      </c>
      <c r="BW16" s="949">
        <v>0</v>
      </c>
      <c r="BX16" s="950"/>
      <c r="BY16" s="952"/>
      <c r="BZ16" s="948" t="s">
        <v>660</v>
      </c>
      <c r="CA16" s="951">
        <f>100-BO16-BS16-BW16</f>
        <v>0</v>
      </c>
      <c r="CB16" s="950"/>
      <c r="CC16" s="952"/>
      <c r="CD16" s="834"/>
      <c r="CE16" s="834"/>
      <c r="CF16" s="834"/>
      <c r="CG16" s="834"/>
      <c r="CH16" s="834"/>
      <c r="CI16" s="834"/>
      <c r="CJ16" s="834"/>
      <c r="CK16" s="834"/>
      <c r="CL16" s="834"/>
      <c r="CM16" s="834"/>
      <c r="CN16" s="834"/>
      <c r="CO16" s="834"/>
      <c r="CP16" s="834"/>
      <c r="CQ16" s="834"/>
      <c r="CR16" s="834"/>
      <c r="CS16" s="834"/>
      <c r="CT16" s="834"/>
      <c r="CU16" s="834"/>
      <c r="CV16" s="834"/>
      <c r="CW16" s="834"/>
      <c r="CX16" s="834"/>
      <c r="CY16" s="834"/>
      <c r="CZ16" s="834"/>
      <c r="DA16" s="834"/>
      <c r="DB16" s="834"/>
      <c r="DC16" s="834"/>
      <c r="DD16" s="834"/>
      <c r="DE16" s="834"/>
      <c r="DF16" s="834"/>
      <c r="DG16" s="834"/>
      <c r="DH16" s="834"/>
      <c r="DI16" s="834"/>
      <c r="DJ16" s="834"/>
      <c r="DK16" s="834"/>
      <c r="DL16" s="834"/>
      <c r="DM16" s="834"/>
      <c r="DN16" s="834"/>
      <c r="DO16" s="834"/>
      <c r="DP16" s="834"/>
      <c r="DQ16" s="834"/>
      <c r="DR16" s="834"/>
      <c r="DS16" s="834"/>
      <c r="DT16" s="834"/>
      <c r="DU16" s="834"/>
      <c r="DV16" s="834"/>
      <c r="DW16" s="834"/>
      <c r="DX16" s="834"/>
      <c r="DY16" s="834"/>
      <c r="DZ16" s="834"/>
      <c r="EA16" s="834"/>
    </row>
    <row r="17" spans="1:131" s="245" customFormat="1">
      <c r="A17" s="979"/>
      <c r="B17" s="810"/>
      <c r="C17" s="811" t="s">
        <v>118</v>
      </c>
      <c r="E17" s="811" t="s">
        <v>707</v>
      </c>
      <c r="F17" s="810" t="s">
        <v>118</v>
      </c>
      <c r="G17" s="811"/>
      <c r="H17" s="811"/>
      <c r="I17" s="812"/>
      <c r="J17" s="813" t="s">
        <v>674</v>
      </c>
      <c r="K17" s="835">
        <f>K16</f>
        <v>100</v>
      </c>
      <c r="L17" s="815"/>
      <c r="M17" s="815"/>
      <c r="N17" s="816" t="s">
        <v>674</v>
      </c>
      <c r="O17" s="817">
        <v>100</v>
      </c>
      <c r="P17" s="818"/>
      <c r="Q17" s="836"/>
      <c r="R17" s="816" t="s">
        <v>674</v>
      </c>
      <c r="S17" s="817">
        <v>100</v>
      </c>
      <c r="T17" s="818"/>
      <c r="U17" s="836"/>
      <c r="V17" s="819" t="s">
        <v>674</v>
      </c>
      <c r="W17" s="820">
        <v>10</v>
      </c>
      <c r="X17" s="821"/>
      <c r="Y17" s="821"/>
      <c r="Z17" s="819" t="s">
        <v>674</v>
      </c>
      <c r="AA17" s="822">
        <f>100-W17</f>
        <v>90</v>
      </c>
      <c r="AB17" s="821"/>
      <c r="AC17" s="821"/>
      <c r="AD17" s="819" t="s">
        <v>674</v>
      </c>
      <c r="AE17" s="820">
        <v>10</v>
      </c>
      <c r="AF17" s="821"/>
      <c r="AG17" s="821"/>
      <c r="AH17" s="819" t="s">
        <v>674</v>
      </c>
      <c r="AI17" s="822">
        <f>100-AE17</f>
        <v>90</v>
      </c>
      <c r="AJ17" s="821"/>
      <c r="AK17" s="821"/>
      <c r="AL17" s="824" t="s">
        <v>674</v>
      </c>
      <c r="AM17" s="825">
        <v>10</v>
      </c>
      <c r="AN17" s="826"/>
      <c r="AO17" s="826"/>
      <c r="AP17" s="824" t="s">
        <v>674</v>
      </c>
      <c r="AQ17" s="827">
        <f>100-AM17</f>
        <v>90</v>
      </c>
      <c r="AR17" s="826"/>
      <c r="AS17" s="826"/>
      <c r="AT17" s="824" t="s">
        <v>674</v>
      </c>
      <c r="AU17" s="825">
        <v>10</v>
      </c>
      <c r="AV17" s="826"/>
      <c r="AW17" s="826"/>
      <c r="AX17" s="824" t="s">
        <v>674</v>
      </c>
      <c r="AY17" s="827">
        <f>100-AU17</f>
        <v>90</v>
      </c>
      <c r="AZ17" s="826"/>
      <c r="BA17" s="826"/>
      <c r="BB17" s="829" t="s">
        <v>674</v>
      </c>
      <c r="BC17" s="830">
        <v>10</v>
      </c>
      <c r="BD17" s="831"/>
      <c r="BE17" s="831"/>
      <c r="BF17" s="829" t="s">
        <v>674</v>
      </c>
      <c r="BG17" s="830">
        <v>45</v>
      </c>
      <c r="BH17" s="831"/>
      <c r="BI17" s="833"/>
      <c r="BJ17" s="829" t="s">
        <v>674</v>
      </c>
      <c r="BK17" s="832">
        <f>100-BC17-BG17</f>
        <v>45</v>
      </c>
      <c r="BL17" s="831"/>
      <c r="BM17" s="833"/>
      <c r="BN17" s="948" t="s">
        <v>674</v>
      </c>
      <c r="BO17" s="949">
        <v>10</v>
      </c>
      <c r="BP17" s="950"/>
      <c r="BQ17" s="950"/>
      <c r="BR17" s="948" t="s">
        <v>674</v>
      </c>
      <c r="BS17" s="951">
        <f>IF($B$6="WT1",30,40)</f>
        <v>40</v>
      </c>
      <c r="BT17" s="950"/>
      <c r="BU17" s="952"/>
      <c r="BV17" s="948" t="s">
        <v>674</v>
      </c>
      <c r="BW17" s="951">
        <f>IF($B$6="WT1",30,40)</f>
        <v>40</v>
      </c>
      <c r="BX17" s="950"/>
      <c r="BY17" s="952"/>
      <c r="BZ17" s="948" t="s">
        <v>674</v>
      </c>
      <c r="CA17" s="951">
        <f>100-BO17-BS17-BW17</f>
        <v>10</v>
      </c>
      <c r="CB17" s="950"/>
      <c r="CC17" s="952"/>
      <c r="CD17" s="834"/>
      <c r="CE17" s="834"/>
      <c r="CF17" s="834"/>
      <c r="CG17" s="834"/>
      <c r="CH17" s="834"/>
      <c r="CI17" s="834"/>
      <c r="CJ17" s="834"/>
      <c r="CK17" s="834"/>
      <c r="CL17" s="834"/>
      <c r="CM17" s="834"/>
      <c r="CN17" s="834"/>
      <c r="CO17" s="834"/>
      <c r="CP17" s="834"/>
      <c r="CQ17" s="834"/>
      <c r="CR17" s="834"/>
      <c r="CS17" s="834"/>
      <c r="CT17" s="834"/>
      <c r="CU17" s="834"/>
      <c r="CV17" s="834"/>
      <c r="CW17" s="834"/>
      <c r="CX17" s="834"/>
      <c r="CY17" s="834"/>
      <c r="CZ17" s="834"/>
      <c r="DA17" s="834"/>
      <c r="DB17" s="834"/>
      <c r="DC17" s="834"/>
      <c r="DD17" s="834"/>
      <c r="DE17" s="834"/>
      <c r="DF17" s="834"/>
      <c r="DG17" s="834"/>
      <c r="DH17" s="834"/>
      <c r="DI17" s="834"/>
      <c r="DJ17" s="834"/>
      <c r="DK17" s="834"/>
      <c r="DL17" s="834"/>
      <c r="DM17" s="834"/>
      <c r="DN17" s="834"/>
      <c r="DO17" s="834"/>
      <c r="DP17" s="834"/>
      <c r="DQ17" s="834"/>
      <c r="DR17" s="834"/>
      <c r="DS17" s="834"/>
      <c r="DT17" s="834"/>
      <c r="DU17" s="834"/>
      <c r="DV17" s="834"/>
      <c r="DW17" s="834"/>
      <c r="DX17" s="834"/>
      <c r="DY17" s="834"/>
      <c r="DZ17" s="834"/>
      <c r="EA17" s="834"/>
    </row>
    <row r="18" spans="1:131" s="245" customFormat="1">
      <c r="A18" s="979" t="s">
        <v>954</v>
      </c>
      <c r="B18" s="810"/>
      <c r="C18" s="811"/>
      <c r="E18" s="811"/>
      <c r="F18" s="810"/>
      <c r="G18" s="811"/>
      <c r="H18" s="811"/>
      <c r="I18" s="812" t="s">
        <v>707</v>
      </c>
      <c r="J18" s="813" t="s">
        <v>1094</v>
      </c>
      <c r="K18" s="945">
        <f>IF(K16&lt;&gt;0,0,100)</f>
        <v>0</v>
      </c>
      <c r="L18" s="815"/>
      <c r="M18" s="815"/>
      <c r="N18" s="816" t="s">
        <v>1094</v>
      </c>
      <c r="O18" s="947">
        <f>IF(O16&lt;&gt;0,0,100)</f>
        <v>0</v>
      </c>
      <c r="P18" s="818"/>
      <c r="Q18" s="836"/>
      <c r="R18" s="816" t="s">
        <v>1094</v>
      </c>
      <c r="S18" s="947">
        <f>IF(S16&lt;&gt;0,0,100)</f>
        <v>0</v>
      </c>
      <c r="T18" s="818"/>
      <c r="U18" s="836"/>
      <c r="V18" s="819" t="s">
        <v>1094</v>
      </c>
      <c r="W18" s="822">
        <f>IF(W16&lt;&gt;0,0,100)</f>
        <v>0</v>
      </c>
      <c r="X18" s="821"/>
      <c r="Y18" s="821"/>
      <c r="Z18" s="819" t="s">
        <v>1094</v>
      </c>
      <c r="AA18" s="822">
        <f>IF(AA16&lt;&gt;0,0,100)</f>
        <v>100</v>
      </c>
      <c r="AB18" s="821"/>
      <c r="AC18" s="821"/>
      <c r="AD18" s="819" t="s">
        <v>1094</v>
      </c>
      <c r="AE18" s="822">
        <f>IF(AE16&lt;&gt;0,0,100)</f>
        <v>0</v>
      </c>
      <c r="AF18" s="821"/>
      <c r="AG18" s="821"/>
      <c r="AH18" s="819" t="s">
        <v>1094</v>
      </c>
      <c r="AI18" s="822">
        <f>IF(AI16&lt;&gt;0,0,100)</f>
        <v>100</v>
      </c>
      <c r="AJ18" s="821"/>
      <c r="AK18" s="821"/>
      <c r="AL18" s="824" t="s">
        <v>1094</v>
      </c>
      <c r="AM18" s="827">
        <f>IF(AM16&lt;&gt;0,0,100)</f>
        <v>0</v>
      </c>
      <c r="AN18" s="826"/>
      <c r="AO18" s="826"/>
      <c r="AP18" s="824" t="s">
        <v>1094</v>
      </c>
      <c r="AQ18" s="827">
        <f>IF(AQ16&lt;&gt;0,0,100)</f>
        <v>100</v>
      </c>
      <c r="AR18" s="826"/>
      <c r="AS18" s="826"/>
      <c r="AT18" s="824" t="s">
        <v>1094</v>
      </c>
      <c r="AU18" s="827">
        <f>IF(AU16&lt;&gt;0,0,100)</f>
        <v>0</v>
      </c>
      <c r="AV18" s="826"/>
      <c r="AW18" s="826"/>
      <c r="AX18" s="824" t="s">
        <v>1094</v>
      </c>
      <c r="AY18" s="827">
        <f>IF(AY16&lt;&gt;0,0,100)</f>
        <v>100</v>
      </c>
      <c r="AZ18" s="826"/>
      <c r="BA18" s="826"/>
      <c r="BB18" s="829" t="s">
        <v>1094</v>
      </c>
      <c r="BC18" s="832">
        <f>IF(BC16&lt;&gt;0,0,100)</f>
        <v>0</v>
      </c>
      <c r="BD18" s="831"/>
      <c r="BE18" s="831"/>
      <c r="BF18" s="829" t="s">
        <v>1094</v>
      </c>
      <c r="BG18" s="832">
        <f>IF(BG16&lt;&gt;0,0,100)</f>
        <v>100</v>
      </c>
      <c r="BH18" s="831"/>
      <c r="BI18" s="833"/>
      <c r="BJ18" s="829" t="s">
        <v>1094</v>
      </c>
      <c r="BK18" s="832">
        <f>IF(BK16&lt;&gt;0,0,100)</f>
        <v>100</v>
      </c>
      <c r="BL18" s="831"/>
      <c r="BM18" s="833"/>
      <c r="BN18" s="948" t="s">
        <v>1094</v>
      </c>
      <c r="BO18" s="951">
        <f>IF(BO16&lt;&gt;0,0,100)</f>
        <v>0</v>
      </c>
      <c r="BP18" s="950"/>
      <c r="BQ18" s="950"/>
      <c r="BR18" s="948" t="s">
        <v>1094</v>
      </c>
      <c r="BS18" s="951">
        <f>IF(BS16&lt;&gt;0,0,100)</f>
        <v>100</v>
      </c>
      <c r="BT18" s="950"/>
      <c r="BU18" s="952"/>
      <c r="BV18" s="948" t="s">
        <v>1094</v>
      </c>
      <c r="BW18" s="951">
        <f>IF(BW16&lt;&gt;0,0,100)</f>
        <v>100</v>
      </c>
      <c r="BX18" s="950"/>
      <c r="BY18" s="952"/>
      <c r="BZ18" s="948" t="s">
        <v>1094</v>
      </c>
      <c r="CA18" s="951">
        <f>IF(CA16&lt;&gt;0,0,100)</f>
        <v>100</v>
      </c>
      <c r="CB18" s="950"/>
      <c r="CC18" s="952"/>
      <c r="CD18" s="834"/>
      <c r="CE18" s="834"/>
      <c r="CF18" s="834"/>
      <c r="CG18" s="834"/>
      <c r="CH18" s="834"/>
      <c r="CI18" s="834"/>
      <c r="CJ18" s="834"/>
      <c r="CK18" s="834"/>
      <c r="CL18" s="834"/>
      <c r="CM18" s="834"/>
      <c r="CN18" s="834"/>
      <c r="CO18" s="834"/>
      <c r="CP18" s="834"/>
      <c r="CQ18" s="834"/>
      <c r="CR18" s="834"/>
      <c r="CS18" s="834"/>
      <c r="CT18" s="834"/>
      <c r="CU18" s="834"/>
      <c r="CV18" s="834"/>
      <c r="CW18" s="834"/>
      <c r="CX18" s="834"/>
      <c r="CY18" s="834"/>
      <c r="CZ18" s="834"/>
      <c r="DA18" s="834"/>
      <c r="DB18" s="834"/>
      <c r="DC18" s="834"/>
      <c r="DD18" s="834"/>
      <c r="DE18" s="834"/>
      <c r="DF18" s="834"/>
      <c r="DG18" s="834"/>
      <c r="DH18" s="834"/>
      <c r="DI18" s="834"/>
      <c r="DJ18" s="834"/>
      <c r="DK18" s="834"/>
      <c r="DL18" s="834"/>
      <c r="DM18" s="834"/>
      <c r="DN18" s="834"/>
      <c r="DO18" s="834"/>
      <c r="DP18" s="834"/>
      <c r="DQ18" s="834"/>
      <c r="DR18" s="834"/>
      <c r="DS18" s="834"/>
      <c r="DT18" s="834"/>
      <c r="DU18" s="834"/>
      <c r="DV18" s="834"/>
      <c r="DW18" s="834"/>
      <c r="DX18" s="834"/>
      <c r="DY18" s="834"/>
      <c r="DZ18" s="834"/>
      <c r="EA18" s="834"/>
    </row>
    <row r="19" spans="1:131">
      <c r="A19" s="160" t="s">
        <v>955</v>
      </c>
      <c r="B19" s="74" t="s">
        <v>663</v>
      </c>
      <c r="C19" s="13" t="s">
        <v>335</v>
      </c>
      <c r="D19" s="13" t="s">
        <v>125</v>
      </c>
      <c r="E19" s="13" t="s">
        <v>708</v>
      </c>
      <c r="F19" s="74" t="s">
        <v>335</v>
      </c>
      <c r="G19" s="13" t="s">
        <v>126</v>
      </c>
      <c r="H19" s="13" t="s">
        <v>127</v>
      </c>
      <c r="I19" s="13" t="s">
        <v>708</v>
      </c>
      <c r="J19" s="788"/>
      <c r="K19" s="786" t="s">
        <v>133</v>
      </c>
      <c r="L19" s="786" t="s">
        <v>674</v>
      </c>
      <c r="M19" s="786" t="s">
        <v>134</v>
      </c>
      <c r="N19" s="780"/>
      <c r="O19" s="777" t="s">
        <v>133</v>
      </c>
      <c r="P19" s="777" t="s">
        <v>674</v>
      </c>
      <c r="Q19" s="777" t="s">
        <v>134</v>
      </c>
      <c r="R19" s="780"/>
      <c r="S19" s="777" t="s">
        <v>133</v>
      </c>
      <c r="T19" s="777" t="s">
        <v>674</v>
      </c>
      <c r="U19" s="779" t="s">
        <v>134</v>
      </c>
      <c r="V19" s="771"/>
      <c r="W19" s="769" t="s">
        <v>133</v>
      </c>
      <c r="X19" s="769" t="s">
        <v>674</v>
      </c>
      <c r="Y19" s="769" t="s">
        <v>134</v>
      </c>
      <c r="Z19" s="771"/>
      <c r="AA19" s="769" t="s">
        <v>133</v>
      </c>
      <c r="AB19" s="769" t="s">
        <v>674</v>
      </c>
      <c r="AC19" s="770" t="s">
        <v>134</v>
      </c>
      <c r="AD19" s="771"/>
      <c r="AE19" s="769" t="s">
        <v>133</v>
      </c>
      <c r="AF19" s="769" t="s">
        <v>674</v>
      </c>
      <c r="AG19" s="769" t="s">
        <v>134</v>
      </c>
      <c r="AH19" s="771"/>
      <c r="AI19" s="769" t="s">
        <v>133</v>
      </c>
      <c r="AJ19" s="769" t="s">
        <v>674</v>
      </c>
      <c r="AK19" s="770" t="s">
        <v>134</v>
      </c>
      <c r="AL19" s="797"/>
      <c r="AM19" s="798" t="s">
        <v>133</v>
      </c>
      <c r="AN19" s="798" t="s">
        <v>674</v>
      </c>
      <c r="AO19" s="798" t="s">
        <v>134</v>
      </c>
      <c r="AP19" s="797"/>
      <c r="AQ19" s="798" t="s">
        <v>133</v>
      </c>
      <c r="AR19" s="798" t="s">
        <v>674</v>
      </c>
      <c r="AS19" s="799" t="s">
        <v>134</v>
      </c>
      <c r="AT19" s="797"/>
      <c r="AU19" s="798" t="s">
        <v>133</v>
      </c>
      <c r="AV19" s="798" t="s">
        <v>674</v>
      </c>
      <c r="AW19" s="798" t="s">
        <v>134</v>
      </c>
      <c r="AX19" s="797"/>
      <c r="AY19" s="798" t="s">
        <v>133</v>
      </c>
      <c r="AZ19" s="798" t="s">
        <v>674</v>
      </c>
      <c r="BA19" s="799" t="s">
        <v>134</v>
      </c>
      <c r="BB19" s="804"/>
      <c r="BC19" s="805" t="s">
        <v>133</v>
      </c>
      <c r="BD19" s="805" t="s">
        <v>674</v>
      </c>
      <c r="BE19" s="806" t="s">
        <v>134</v>
      </c>
      <c r="BF19" s="804"/>
      <c r="BG19" s="805" t="s">
        <v>133</v>
      </c>
      <c r="BH19" s="805" t="s">
        <v>674</v>
      </c>
      <c r="BI19" s="806" t="s">
        <v>134</v>
      </c>
      <c r="BJ19" s="804"/>
      <c r="BK19" s="805" t="s">
        <v>133</v>
      </c>
      <c r="BL19" s="805" t="s">
        <v>674</v>
      </c>
      <c r="BM19" s="806" t="s">
        <v>134</v>
      </c>
      <c r="BN19" s="953"/>
      <c r="BO19" s="954" t="s">
        <v>133</v>
      </c>
      <c r="BP19" s="954" t="s">
        <v>674</v>
      </c>
      <c r="BQ19" s="954" t="s">
        <v>134</v>
      </c>
      <c r="BR19" s="953"/>
      <c r="BS19" s="954" t="s">
        <v>133</v>
      </c>
      <c r="BT19" s="954" t="s">
        <v>674</v>
      </c>
      <c r="BU19" s="955" t="s">
        <v>134</v>
      </c>
      <c r="BV19" s="953"/>
      <c r="BW19" s="954" t="s">
        <v>133</v>
      </c>
      <c r="BX19" s="954" t="s">
        <v>674</v>
      </c>
      <c r="BY19" s="955" t="s">
        <v>134</v>
      </c>
      <c r="BZ19" s="953"/>
      <c r="CA19" s="954" t="s">
        <v>133</v>
      </c>
      <c r="CB19" s="954" t="s">
        <v>674</v>
      </c>
      <c r="CC19" s="955" t="s">
        <v>134</v>
      </c>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5"/>
      <c r="DM19" s="13"/>
      <c r="DN19" s="13"/>
      <c r="DO19" s="13"/>
      <c r="DP19" s="5"/>
      <c r="DQ19" s="13"/>
      <c r="DR19" s="13"/>
      <c r="DS19" s="13"/>
      <c r="DT19" s="5"/>
      <c r="DU19" s="13"/>
      <c r="DV19" s="13"/>
      <c r="DW19" s="13"/>
      <c r="DX19" s="5"/>
      <c r="DY19" s="13"/>
      <c r="DZ19" s="13"/>
      <c r="EA19" s="13"/>
    </row>
    <row r="20" spans="1:131">
      <c r="A20" s="411"/>
      <c r="B20" s="77" t="s">
        <v>506</v>
      </c>
      <c r="C20" s="14" t="s">
        <v>672</v>
      </c>
      <c r="D20" s="14" t="s">
        <v>703</v>
      </c>
      <c r="E20" s="14" t="s">
        <v>128</v>
      </c>
      <c r="F20" s="77" t="s">
        <v>672</v>
      </c>
      <c r="G20" s="14" t="s">
        <v>703</v>
      </c>
      <c r="H20" s="14" t="s">
        <v>129</v>
      </c>
      <c r="I20" s="14" t="s">
        <v>128</v>
      </c>
      <c r="J20" s="789"/>
      <c r="K20" s="790" t="s">
        <v>132</v>
      </c>
      <c r="L20" s="790" t="s">
        <v>129</v>
      </c>
      <c r="M20" s="791"/>
      <c r="N20" s="781"/>
      <c r="O20" s="782" t="s">
        <v>132</v>
      </c>
      <c r="P20" s="782" t="s">
        <v>129</v>
      </c>
      <c r="Q20" s="783"/>
      <c r="R20" s="781"/>
      <c r="S20" s="782" t="s">
        <v>132</v>
      </c>
      <c r="T20" s="782" t="s">
        <v>129</v>
      </c>
      <c r="U20" s="784"/>
      <c r="V20" s="772"/>
      <c r="W20" s="773" t="s">
        <v>132</v>
      </c>
      <c r="X20" s="773" t="s">
        <v>129</v>
      </c>
      <c r="Y20" s="774"/>
      <c r="Z20" s="772"/>
      <c r="AA20" s="773" t="s">
        <v>132</v>
      </c>
      <c r="AB20" s="773" t="s">
        <v>129</v>
      </c>
      <c r="AC20" s="775"/>
      <c r="AD20" s="772"/>
      <c r="AE20" s="773" t="s">
        <v>132</v>
      </c>
      <c r="AF20" s="773" t="s">
        <v>129</v>
      </c>
      <c r="AG20" s="774"/>
      <c r="AH20" s="772"/>
      <c r="AI20" s="773" t="s">
        <v>132</v>
      </c>
      <c r="AJ20" s="773" t="s">
        <v>129</v>
      </c>
      <c r="AK20" s="775"/>
      <c r="AL20" s="800"/>
      <c r="AM20" s="801" t="s">
        <v>132</v>
      </c>
      <c r="AN20" s="801" t="s">
        <v>129</v>
      </c>
      <c r="AO20" s="802"/>
      <c r="AP20" s="800"/>
      <c r="AQ20" s="801" t="s">
        <v>132</v>
      </c>
      <c r="AR20" s="801" t="s">
        <v>129</v>
      </c>
      <c r="AS20" s="803"/>
      <c r="AT20" s="800"/>
      <c r="AU20" s="801" t="s">
        <v>132</v>
      </c>
      <c r="AV20" s="801" t="s">
        <v>129</v>
      </c>
      <c r="AW20" s="802"/>
      <c r="AX20" s="800"/>
      <c r="AY20" s="801" t="s">
        <v>132</v>
      </c>
      <c r="AZ20" s="801" t="s">
        <v>129</v>
      </c>
      <c r="BA20" s="803"/>
      <c r="BB20" s="807"/>
      <c r="BC20" s="808" t="s">
        <v>132</v>
      </c>
      <c r="BD20" s="808" t="s">
        <v>129</v>
      </c>
      <c r="BE20" s="809"/>
      <c r="BF20" s="807"/>
      <c r="BG20" s="808" t="s">
        <v>132</v>
      </c>
      <c r="BH20" s="808" t="s">
        <v>129</v>
      </c>
      <c r="BI20" s="809"/>
      <c r="BJ20" s="807"/>
      <c r="BK20" s="808" t="s">
        <v>132</v>
      </c>
      <c r="BL20" s="808" t="s">
        <v>129</v>
      </c>
      <c r="BM20" s="809"/>
      <c r="BN20" s="956"/>
      <c r="BO20" s="957" t="s">
        <v>132</v>
      </c>
      <c r="BP20" s="957" t="s">
        <v>129</v>
      </c>
      <c r="BQ20" s="959"/>
      <c r="BR20" s="956"/>
      <c r="BS20" s="957" t="s">
        <v>132</v>
      </c>
      <c r="BT20" s="957" t="s">
        <v>129</v>
      </c>
      <c r="BU20" s="958"/>
      <c r="BV20" s="956"/>
      <c r="BW20" s="957" t="s">
        <v>132</v>
      </c>
      <c r="BX20" s="957" t="s">
        <v>129</v>
      </c>
      <c r="BY20" s="958"/>
      <c r="BZ20" s="956"/>
      <c r="CA20" s="957" t="s">
        <v>132</v>
      </c>
      <c r="CB20" s="957" t="s">
        <v>129</v>
      </c>
      <c r="CC20" s="958"/>
      <c r="DL20" s="5"/>
      <c r="DM20" s="13"/>
      <c r="DN20" s="13"/>
      <c r="DP20" s="5"/>
      <c r="DQ20" s="13"/>
      <c r="DR20" s="13"/>
      <c r="DT20" s="5"/>
      <c r="DU20" s="13"/>
      <c r="DV20" s="13"/>
      <c r="DX20" s="5"/>
      <c r="DY20" s="13"/>
      <c r="DZ20" s="13"/>
    </row>
    <row r="21" spans="1:131">
      <c r="A21" s="20"/>
      <c r="B21" s="123"/>
      <c r="F21" s="33"/>
      <c r="G21" s="100"/>
      <c r="J21" s="33"/>
      <c r="N21" s="33"/>
      <c r="R21" s="33"/>
      <c r="U21" s="51"/>
      <c r="V21" s="33"/>
      <c r="Z21" s="33"/>
      <c r="AC21" s="37"/>
      <c r="AD21" s="33"/>
      <c r="AH21" s="33"/>
      <c r="AK21" s="37"/>
      <c r="AL21" s="33"/>
      <c r="AP21" s="33"/>
      <c r="AS21" s="37"/>
      <c r="AT21" s="33"/>
      <c r="AX21" s="33"/>
      <c r="BA21" s="37"/>
      <c r="BB21" s="33"/>
      <c r="BF21" s="33"/>
      <c r="BI21" s="51"/>
      <c r="BJ21" s="33"/>
      <c r="BM21" s="51"/>
      <c r="BN21" s="33"/>
      <c r="BR21" s="33"/>
      <c r="BU21" s="51"/>
      <c r="BV21" s="33"/>
      <c r="BY21" s="51"/>
      <c r="BZ21" s="33"/>
      <c r="CC21" s="51"/>
    </row>
    <row r="22" spans="1:131">
      <c r="A22" s="126" t="s">
        <v>885</v>
      </c>
      <c r="B22" s="270" t="str">
        <f>INDEX(SourceID,MATCH($A22,SourceNumber,0),1,1)</f>
        <v>EF-1</v>
      </c>
      <c r="C22" s="354">
        <f>INDEX(SourceExitDiameter,MATCH($A22,SourceNumber,0),1,1)*3.28*12</f>
        <v>8</v>
      </c>
      <c r="D22" s="24" t="str">
        <f>UAnem1percent</f>
        <v>1% Wind</v>
      </c>
      <c r="E22" s="350" t="e">
        <f ca="1">INDIRECT(ADDRESS(53,6,1,,CONCATENATE("TA",$A22)))</f>
        <v>#REF!</v>
      </c>
      <c r="F22" s="625" t="e">
        <f ca="1">(ROUND((INDIRECT(ADDRESS(15,7,1,,CONCATENATE("TA",$A22)))*3.28*12*32),0)&amp;"/32")</f>
        <v>#REF!</v>
      </c>
      <c r="G22" s="125">
        <f ca="1">INDIRECT(ADDRESS(29,7,1,,$A22))</f>
        <v>6.001707317073171</v>
      </c>
      <c r="H22" s="24" t="e">
        <f ca="1">INDIRECT(ADDRESS(19,7,1,,$A22))*100^3</f>
        <v>#VALUE!</v>
      </c>
      <c r="I22" s="941">
        <f ca="1">INDIRECT(ADDRESS(53,7,1,,$A22))</f>
        <v>0.97430000000000005</v>
      </c>
      <c r="J22" s="20" t="str">
        <f ca="1">IF($I22=$I$6,K$16&amp;$G$6&amp;J$6,IF($I22=$I$7,K$16&amp;$G$7&amp;J$7,"Bad"))</f>
        <v>100EthPick a Tunnel</v>
      </c>
      <c r="K22" t="e">
        <f ca="1">INDEX(FlowCalGasMixture,MATCH(J22,FlowCalNumber,0),1,1)</f>
        <v>#N/A</v>
      </c>
      <c r="M22" s="944" t="e">
        <f ca="1">INDEX(FlowCalDevice,MATCH(J22,FlowCalNumber,0),1,1)</f>
        <v>#N/A</v>
      </c>
      <c r="N22" s="943" t="str">
        <f ca="1">IF($I22=$I$6,O$16&amp;$G$6&amp;"90"&amp;$H$6&amp;N$6,IF($I22=$I$7,O$16&amp;$G$7&amp;"90"&amp;$H$7&amp;N$7,"Bad"))</f>
        <v>10Eth90N2Pick a Tunnel</v>
      </c>
      <c r="O22" t="e">
        <f ca="1">INDEX(FlowCalGasMixture,MATCH(N22,FlowCalNumber,0),1,1)</f>
        <v>#N/A</v>
      </c>
      <c r="Q22" s="944" t="e">
        <f ca="1">INDEX(FlowCalDevice,MATCH(N22,FlowCalNumber,0),1,1)</f>
        <v>#N/A</v>
      </c>
      <c r="R22" s="943" t="str">
        <f ca="1">IF($I22=$I$6,S$16&amp;$G$6&amp;"90"&amp;$H$6&amp;R$6,IF($I22=$I$7,S$16&amp;$G$7&amp;"90"&amp;$H$7&amp;R$7,"Bad"))</f>
        <v>10Eth90N2Pick a Tunnel</v>
      </c>
      <c r="S22" t="e">
        <f ca="1">INDEX(FlowCalGasMixture,MATCH(R22,FlowCalNumber,0),1,1)</f>
        <v>#N/A</v>
      </c>
      <c r="U22" s="944" t="e">
        <f ca="1">INDEX(FlowCalDevice,MATCH(R22,FlowCalNumber,0),1,1)</f>
        <v>#N/A</v>
      </c>
      <c r="V22" s="20" t="str">
        <f ca="1">IF($I22=$I$6,W$16&amp;$G$6&amp;V$6,IF($I22=$I$7,W$16&amp;$G$7&amp;V$7,"Bad"))</f>
        <v>100EthPick a Tunnel</v>
      </c>
      <c r="W22" t="e">
        <f ca="1">INDEX(FlowCalGasMixture,MATCH(V22,FlowCalNumber,0),1,1)</f>
        <v>#N/A</v>
      </c>
      <c r="Y22" s="944" t="e">
        <f ca="1">INDEX(FlowCalDevice,MATCH(V22,FlowCalNumber,0),1,1)</f>
        <v>#N/A</v>
      </c>
      <c r="Z22" s="946" t="str">
        <f ca="1">IF($I22=$I$6,AA$18&amp;$H$6&amp;Z$6,IF($I22=$I$7,AA$18&amp;$H$7&amp;Z$7,"Bad"))</f>
        <v>100N2Pick a Tunnel</v>
      </c>
      <c r="AA22" t="e">
        <f ca="1">INDEX(FlowCalGasMixture,MATCH(Z22,FlowCalNumber,0),1,1)</f>
        <v>#N/A</v>
      </c>
      <c r="AC22" s="944" t="e">
        <f ca="1">INDEX(FlowCalDevice,MATCH(Z22,FlowCalNumber,0),1,1)</f>
        <v>#N/A</v>
      </c>
      <c r="AD22" s="20" t="str">
        <f ca="1">IF($I22=$I$6,AE$16&amp;$G$6&amp;AD$6,IF($I22=$I$7,AE$16&amp;$G$7&amp;AD$7,"Bad"))</f>
        <v>100EthPick a Tunnel</v>
      </c>
      <c r="AE22" t="e">
        <f ca="1">INDEX(FlowCalGasMixture,MATCH(AD22,FlowCalNumber,0),1,1)</f>
        <v>#N/A</v>
      </c>
      <c r="AG22" s="944" t="e">
        <f ca="1">INDEX(FlowCalDevice,MATCH(AD22,FlowCalNumber,0),1,1)</f>
        <v>#N/A</v>
      </c>
      <c r="AH22" s="946" t="str">
        <f ca="1">IF($I22=$I$6,AI$18&amp;$H$6&amp;AH$6,IF($I22=$I$7,AI$18&amp;$H$7&amp;AH$7,"Bad"))</f>
        <v>100N2Pick a Tunnel</v>
      </c>
      <c r="AI22" t="e">
        <f ca="1">INDEX(FlowCalGasMixture,MATCH(AH22,FlowCalNumber,0),1,1)</f>
        <v>#N/A</v>
      </c>
      <c r="AK22" s="944" t="e">
        <f ca="1">INDEX(FlowCalDevice,MATCH(AH22,FlowCalNumber,0),1,1)</f>
        <v>#N/A</v>
      </c>
      <c r="AL22" s="20" t="str">
        <f ca="1">IF($I22=$I$6,AM$16&amp;$G$6&amp;AL$6,IF($I22=$I$7,AM$16&amp;$G$7&amp;AL$7,"Bad"))</f>
        <v>100EthPick a Tunnel</v>
      </c>
      <c r="AM22" t="e">
        <f ca="1">INDEX(FlowCalGasMixture,MATCH(AL22,FlowCalNumber,0),1,1)</f>
        <v>#N/A</v>
      </c>
      <c r="AO22" s="982" t="e">
        <f ca="1">INDEX(FlowCalDevice,MATCH(AL22,FlowCalNumber,0),1,1)</f>
        <v>#N/A</v>
      </c>
      <c r="AP22" s="960" t="str">
        <f ca="1">IF($I22=$I$6,AQ$18&amp;$H$6&amp;AP$6,IF($I22=$I$7,AQ$18&amp;$H$7&amp;AP$7,"Bad"))</f>
        <v>100N2Pick a Tunnel</v>
      </c>
      <c r="AQ22" t="e">
        <f ca="1">INDEX(FlowCalGasMixture,MATCH(AP22,FlowCalNumber,0),1,1)</f>
        <v>#N/A</v>
      </c>
      <c r="AS22" s="982" t="e">
        <f ca="1">INDEX(FlowCalDevice,MATCH(AP22,FlowCalNumber,0),1,1)</f>
        <v>#N/A</v>
      </c>
      <c r="AT22" s="20" t="str">
        <f ca="1">IF($I22=$I$6,AU$16&amp;$G$6&amp;AT$6,IF($I22=$I$7,AU$16&amp;$G$7&amp;AT$7,"Bad"))</f>
        <v>100EthPick a Tunnel</v>
      </c>
      <c r="AU22" t="e">
        <f ca="1">INDEX(FlowCalGasMixture,MATCH(AT22,FlowCalNumber,0),1,1)</f>
        <v>#N/A</v>
      </c>
      <c r="AW22" s="982" t="e">
        <f ca="1">INDEX(FlowCalDevice,MATCH(AT22,FlowCalNumber,0),1,1)</f>
        <v>#N/A</v>
      </c>
      <c r="AX22" s="946" t="str">
        <f ca="1">IF($I22=$I$6,AY$18&amp;$H$6&amp;AX$6,IF($I22=$I$7,AY$18&amp;$H$7&amp;AX$7,"Bad"))</f>
        <v>100N2Pick a Tunnel</v>
      </c>
      <c r="AY22" t="e">
        <f ca="1">INDEX(FlowCalGasMixture,MATCH(AX22,FlowCalNumber,0),1,1)</f>
        <v>#N/A</v>
      </c>
      <c r="BA22" s="982" t="e">
        <f ca="1">INDEX(FlowCalDevice,MATCH(AX22,FlowCalNumber,0),1,1)</f>
        <v>#N/A</v>
      </c>
      <c r="BB22" s="20" t="str">
        <f ca="1">IF($I22=$I$6,BC$16&amp;$G$6&amp;BB$6,IF($I22=$I$7,BC$16&amp;$G$7&amp;BB$7,"Bad"))</f>
        <v>100EthPick a Tunnel</v>
      </c>
      <c r="BC22" t="e">
        <f ca="1">INDEX(FlowCalGasMixture,MATCH(BB22,FlowCalNumber,0),1,1)</f>
        <v>#N/A</v>
      </c>
      <c r="BE22" s="982" t="e">
        <f ca="1">INDEX(FlowCalDevice,MATCH(BB22,FlowCalNumber,0),1,1)</f>
        <v>#N/A</v>
      </c>
      <c r="BF22" s="946" t="str">
        <f ca="1">IF($I22=$I$6,BG$18&amp;$H$6&amp;BF$6,IF($I22=$I$7,BG$18&amp;$H$7&amp;BF$7,"Bad"))</f>
        <v>100N2Pick a Tunnel</v>
      </c>
      <c r="BG22" t="e">
        <f ca="1">INDEX(FlowCalGasMixture,MATCH(BF22,FlowCalNumber,0),1,1)</f>
        <v>#N/A</v>
      </c>
      <c r="BI22" s="982" t="e">
        <f ca="1">INDEX(FlowCalDevice,MATCH(BF22,FlowCalNumber,0),1,1)</f>
        <v>#N/A</v>
      </c>
      <c r="BJ22" s="946" t="str">
        <f ca="1">IF($I22=$I$6,BK$18&amp;$H$6&amp;BJ$6,IF($I22=$I$7,BK$18&amp;$H$7&amp;BJ$7,"Bad"))</f>
        <v>100N2Pick a Tunnel</v>
      </c>
      <c r="BK22" t="e">
        <f ca="1">INDEX(FlowCalGasMixture,MATCH(BJ22,FlowCalNumber,0),1,1)</f>
        <v>#N/A</v>
      </c>
      <c r="BM22" s="982" t="e">
        <f ca="1">INDEX(FlowCalDevice,MATCH(BJ22,FlowCalNumber,0),1,1)</f>
        <v>#N/A</v>
      </c>
      <c r="BN22" s="20" t="str">
        <f ca="1">IF($I22=$I$6,BO$16&amp;$G$6&amp;BN$6,IF($I22=$I$7,BO$16&amp;$G$7&amp;BN$7,"Bad"))</f>
        <v>100EthPick a Tunnel</v>
      </c>
      <c r="BO22" t="e">
        <f ca="1">INDEX(FlowCalGasMixture,MATCH(BN22,FlowCalNumber,0),1,1)</f>
        <v>#N/A</v>
      </c>
      <c r="BQ22" s="982" t="e">
        <f ca="1">INDEX(FlowCalDevice,MATCH(BN22,FlowCalNumber,0),1,1)</f>
        <v>#N/A</v>
      </c>
      <c r="BR22" s="946" t="str">
        <f ca="1">IF($I22=$I$6,BS$18&amp;$H$6&amp;BR$6,IF($I22=$I$7,BS$18&amp;$H$7&amp;BR$7,"Bad"))</f>
        <v>100N2Pick a Tunnel</v>
      </c>
      <c r="BS22" t="e">
        <f ca="1">INDEX(FlowCalGasMixture,MATCH(BR22,FlowCalNumber,0),1,1)</f>
        <v>#N/A</v>
      </c>
      <c r="BU22" s="982" t="e">
        <f ca="1">INDEX(FlowCalDevice,MATCH(BR22,FlowCalNumber,0),1,1)</f>
        <v>#N/A</v>
      </c>
      <c r="BV22" s="946" t="str">
        <f ca="1">IF($I22=$I$6,BW$18&amp;$H$6&amp;BV$6,IF($I22=$I$7,BW$18&amp;$H$7&amp;BV$7,"Bad"))</f>
        <v>100N2Pick a Tunnel</v>
      </c>
      <c r="BW22" t="e">
        <f ca="1">INDEX(FlowCalGasMixture,MATCH(BV22,FlowCalNumber,0),1,1)</f>
        <v>#N/A</v>
      </c>
      <c r="BY22" s="982" t="e">
        <f ca="1">INDEX(FlowCalDevice,MATCH(BV22,FlowCalNumber,0),1,1)</f>
        <v>#N/A</v>
      </c>
      <c r="BZ22" s="946" t="str">
        <f ca="1">IF($I22=$I$6,CA$18&amp;$H$6&amp;BZ$6,IF($I22=$I$7,CA$18&amp;$H$7&amp;BZ$7,"Bad"))</f>
        <v>100N2Pick a Tunnel</v>
      </c>
      <c r="CA22" t="e">
        <f ca="1">INDEX(FlowCalGasMixture,MATCH(BZ22,FlowCalNumber,0),1,1)</f>
        <v>#N/A</v>
      </c>
      <c r="CC22" s="982" t="e">
        <f ca="1">INDEX(FlowCalDevice,MATCH(BZ22,FlowCalNumber,0),1,1)</f>
        <v>#N/A</v>
      </c>
      <c r="CD22" s="355"/>
      <c r="CE22" s="355"/>
      <c r="CF22" s="355"/>
      <c r="CG22" s="355"/>
      <c r="CH22" s="355"/>
      <c r="CI22" s="355"/>
      <c r="CJ22" s="355"/>
      <c r="CK22" s="355"/>
      <c r="CL22" s="355"/>
      <c r="CM22" s="355"/>
      <c r="CN22" s="355"/>
      <c r="CO22" s="355"/>
      <c r="CP22" s="355"/>
      <c r="CQ22" s="355"/>
      <c r="CR22" s="355"/>
      <c r="CS22" s="355"/>
      <c r="CT22" s="355"/>
      <c r="CU22" s="355"/>
      <c r="CV22" s="355"/>
      <c r="CW22" s="355"/>
      <c r="CX22" s="355"/>
      <c r="CY22" s="355"/>
      <c r="CZ22" s="355"/>
      <c r="DA22" s="355"/>
      <c r="DB22" s="355"/>
      <c r="DC22" s="355"/>
      <c r="DD22" s="355"/>
      <c r="DE22" s="355"/>
      <c r="DF22" s="355"/>
      <c r="DG22" s="355"/>
      <c r="DH22" s="355"/>
      <c r="DI22" s="355"/>
      <c r="DJ22" s="355"/>
      <c r="DK22" s="355"/>
      <c r="DL22" s="46"/>
      <c r="DM22" s="16"/>
      <c r="DO22" s="355"/>
      <c r="DP22" s="42"/>
      <c r="DQ22" s="16"/>
      <c r="DS22" s="355"/>
      <c r="DT22" s="42"/>
      <c r="DU22" s="16"/>
      <c r="DW22" s="355"/>
      <c r="DX22" s="42"/>
      <c r="DY22" s="16"/>
      <c r="EA22" s="355"/>
    </row>
    <row r="23" spans="1:131">
      <c r="A23" s="20"/>
      <c r="B23" s="124" t="str">
        <f t="shared" ref="B23:B37" si="0">IF(D23=UAnem1percent,"1% Wind","")</f>
        <v/>
      </c>
      <c r="C23" s="235"/>
      <c r="D23" s="24">
        <f>'1% Wind'!$M$82</f>
        <v>27</v>
      </c>
      <c r="E23" s="90"/>
      <c r="F23" s="90"/>
      <c r="G23" s="79">
        <f ca="1">IF(I22=0.9743,$G22,MAX(G22/D22*D23,2))</f>
        <v>6.001707317073171</v>
      </c>
      <c r="H23" s="121" t="e">
        <f t="shared" ref="H23:H37" ca="1" si="1">H22*(D22/D23)*(G23/G22)</f>
        <v>#VALUE!</v>
      </c>
      <c r="J23" s="33"/>
      <c r="K23" s="260">
        <f>K$17/100</f>
        <v>1</v>
      </c>
      <c r="L23" s="241" t="e">
        <f ca="1">K23*$H23</f>
        <v>#VALUE!</v>
      </c>
      <c r="M23" s="243" t="e">
        <f ca="1">IF(AND(INDEX(FlowCalConstA,MATCH(J22,FlowCalNumber,0),1,1)*L23^INDEX(FlowCalConstB,MATCH(J22,FlowCalNumber,0),1,1)&gt;INDEX(FlowCalLowSetting,MATCH(J22,FlowCalNumber,0),1,1), (INDEX(FlowCalConstA,MATCH(J22,FlowCalNumber,0),1,1)*L23^INDEX(FlowCalConstB,MATCH(J22,FlowCalNumber,0),1,1)&lt;INDEX(FlowCalHighSetting,MATCH(J22,FlowCalNumber,0),1,1))),INDEX(FlowCalConstA,MATCH(J22,FlowCalNumber,0),1,1)*L23^INDEX(FlowCalConstB,MATCH(J22,FlowCalNumber,0),1,1)," ")</f>
        <v>#N/A</v>
      </c>
      <c r="N23" s="33"/>
      <c r="O23" s="260">
        <f>O$17/100</f>
        <v>1</v>
      </c>
      <c r="P23" s="241" t="e">
        <f ca="1">O23*$H23</f>
        <v>#VALUE!</v>
      </c>
      <c r="Q23" s="243" t="e">
        <f ca="1">IF(AND(INDEX(FlowCalConstA,MATCH(N22,FlowCalNumber,0),1,1)*P23^INDEX(FlowCalConstB,MATCH(N22,FlowCalNumber,0),1,1)&gt;INDEX(FlowCalLowSetting,MATCH(N22,FlowCalNumber,0),1,1), (INDEX(FlowCalConstA,MATCH(N22,FlowCalNumber,0),1,1)*P23^INDEX(FlowCalConstB,MATCH(N22,FlowCalNumber,0),1,1)&lt;INDEX(FlowCalHighSetting,MATCH(N22,FlowCalNumber,0),1,1))),INDEX(FlowCalConstA,MATCH(N22,FlowCalNumber,0),1,1)*P23^INDEX(FlowCalConstB,MATCH(N22,FlowCalNumber,0),1,1)," ")</f>
        <v>#N/A</v>
      </c>
      <c r="R23" s="33"/>
      <c r="S23" s="260">
        <f>S$17/100</f>
        <v>1</v>
      </c>
      <c r="T23" s="241" t="e">
        <f ca="1">S23*$H23</f>
        <v>#VALUE!</v>
      </c>
      <c r="U23" s="244" t="e">
        <f ca="1">IF(AND(INDEX(FlowCalConstA,MATCH(R22,FlowCalNumber,0),1,1)*T23^INDEX(FlowCalConstB,MATCH(R22,FlowCalNumber,0),1,1)&gt;INDEX(FlowCalLowSetting,MATCH(R22,FlowCalNumber,0),1,1), (INDEX(FlowCalConstA,MATCH(R22,FlowCalNumber,0),1,1)*T23^INDEX(FlowCalConstB,MATCH(R22,FlowCalNumber,0),1,1)&lt;INDEX(FlowCalHighSetting,MATCH(R22,FlowCalNumber,0),1,1))),INDEX(FlowCalConstA,MATCH(R22,FlowCalNumber,0),1,1)*T23^INDEX(FlowCalConstB,MATCH(R22,FlowCalNumber,0),1,1)," ")</f>
        <v>#N/A</v>
      </c>
      <c r="V23" s="33"/>
      <c r="W23" s="260">
        <f>W$17/100</f>
        <v>0.1</v>
      </c>
      <c r="X23" s="241" t="e">
        <f ca="1">W23*$H23</f>
        <v>#VALUE!</v>
      </c>
      <c r="Y23" s="243" t="e">
        <f ca="1">IF(AND(INDEX(FlowCalConstA,MATCH(V22,FlowCalNumber,0),1,1)*X23^INDEX(FlowCalConstB,MATCH(V22,FlowCalNumber,0),1,1)&gt;INDEX(FlowCalLowSetting,MATCH(V22,FlowCalNumber,0),1,1), (INDEX(FlowCalConstA,MATCH(V22,FlowCalNumber,0),1,1)*X23^INDEX(FlowCalConstB,MATCH(V22,FlowCalNumber,0),1,1)&lt;INDEX(FlowCalHighSetting,MATCH(V22,FlowCalNumber,0),1,1))),INDEX(FlowCalConstA,MATCH(V22,FlowCalNumber,0),1,1)*X23^INDEX(FlowCalConstB,MATCH(V22,FlowCalNumber,0),1,1)," ")</f>
        <v>#N/A</v>
      </c>
      <c r="Z23" s="33"/>
      <c r="AA23" s="260">
        <f>AA$17/100</f>
        <v>0.9</v>
      </c>
      <c r="AB23" s="241" t="e">
        <f ca="1">AA23*$H23</f>
        <v>#VALUE!</v>
      </c>
      <c r="AC23" s="243" t="e">
        <f ca="1">IF(AND(INDEX(FlowCalConstA,MATCH(Z22,FlowCalNumber,0),1,1)*AB23^INDEX(FlowCalConstB,MATCH(Z22,FlowCalNumber,0),1,1)&gt;INDEX(FlowCalLowSetting,MATCH(Z22,FlowCalNumber,0),1,1), (INDEX(FlowCalConstA,MATCH(Z22,FlowCalNumber,0),1,1)*AB23^INDEX(FlowCalConstB,MATCH(Z22,FlowCalNumber,0),1,1)&lt;INDEX(FlowCalHighSetting,MATCH(Z22,FlowCalNumber,0),1,1))),INDEX(FlowCalConstA,MATCH(Z22,FlowCalNumber,0),1,1)*AB23^INDEX(FlowCalConstB,MATCH(Z22,FlowCalNumber,0),1,1)," ")</f>
        <v>#N/A</v>
      </c>
      <c r="AD23" s="33"/>
      <c r="AE23" s="260">
        <f>AE$17/100</f>
        <v>0.1</v>
      </c>
      <c r="AF23" s="241" t="e">
        <f ca="1">AE23*$H23</f>
        <v>#VALUE!</v>
      </c>
      <c r="AG23" s="243" t="e">
        <f ca="1">IF(AND(INDEX(FlowCalConstA,MATCH(AD22,FlowCalNumber,0),1,1)*AF23^INDEX(FlowCalConstB,MATCH(AD22,FlowCalNumber,0),1,1)&gt;INDEX(FlowCalLowSetting,MATCH(AD22,FlowCalNumber,0),1,1), (INDEX(FlowCalConstA,MATCH(AD22,FlowCalNumber,0),1,1)*AF23^INDEX(FlowCalConstB,MATCH(AD22,FlowCalNumber,0),1,1)&lt;INDEX(FlowCalHighSetting,MATCH(AD22,FlowCalNumber,0),1,1))),INDEX(FlowCalConstA,MATCH(AD22,FlowCalNumber,0),1,1)*AF23^INDEX(FlowCalConstB,MATCH(AD22,FlowCalNumber,0),1,1)," ")</f>
        <v>#N/A</v>
      </c>
      <c r="AH23" s="33"/>
      <c r="AI23" s="260">
        <f>AI$17/100</f>
        <v>0.9</v>
      </c>
      <c r="AJ23" s="241" t="e">
        <f ca="1">AI23*$H23</f>
        <v>#VALUE!</v>
      </c>
      <c r="AK23" s="243" t="e">
        <f ca="1">IF(AND(INDEX(FlowCalConstA,MATCH(AH22,FlowCalNumber,0),1,1)*AJ23^INDEX(FlowCalConstB,MATCH(AH22,FlowCalNumber,0),1,1)&gt;INDEX(FlowCalLowSetting,MATCH(AH22,FlowCalNumber,0),1,1), (INDEX(FlowCalConstA,MATCH(AH22,FlowCalNumber,0),1,1)*AJ23^INDEX(FlowCalConstB,MATCH(AH22,FlowCalNumber,0),1,1)&lt;INDEX(FlowCalHighSetting,MATCH(AH22,FlowCalNumber,0),1,1))),INDEX(FlowCalConstA,MATCH(AH22,FlowCalNumber,0),1,1)*AJ23^INDEX(FlowCalConstB,MATCH(AH22,FlowCalNumber,0),1,1)," ")</f>
        <v>#N/A</v>
      </c>
      <c r="AL23" s="33"/>
      <c r="AM23" s="260">
        <f>AM$17/100</f>
        <v>0.1</v>
      </c>
      <c r="AN23" s="241" t="e">
        <f ca="1">AM23*$H23</f>
        <v>#VALUE!</v>
      </c>
      <c r="AO23" s="244" t="e">
        <f ca="1">IF(AND(INDEX(FlowCalConstA,MATCH(AL22,FlowCalNumber,0),1,1)*AN23^INDEX(FlowCalConstB,MATCH(AL22,FlowCalNumber,0),1,1)&gt;INDEX(FlowCalLowSetting,MATCH(AL22,FlowCalNumber,0),1,1), (INDEX(FlowCalConstA,MATCH(AL22,FlowCalNumber,0),1,1)*AN23^INDEX(FlowCalConstB,MATCH(AL22,FlowCalNumber,0),1,1)&lt;INDEX(FlowCalHighSetting,MATCH(AL22,FlowCalNumber,0),1,1))),INDEX(FlowCalConstA,MATCH(AL22,FlowCalNumber,0),1,1)*AN23^INDEX(FlowCalConstB,MATCH(AL22,FlowCalNumber,0),1,1)," ")</f>
        <v>#N/A</v>
      </c>
      <c r="AQ23" s="260">
        <f>AQ$17/100</f>
        <v>0.9</v>
      </c>
      <c r="AR23" s="241" t="e">
        <f ca="1">AQ23*$H23</f>
        <v>#VALUE!</v>
      </c>
      <c r="AS23" s="244" t="e">
        <f ca="1">IF(AND(INDEX(FlowCalConstA,MATCH(AP22,FlowCalNumber,0),1,1)*AR23^INDEX(FlowCalConstB,MATCH(AP22,FlowCalNumber,0),1,1)&gt;INDEX(FlowCalLowSetting,MATCH(AP22,FlowCalNumber,0),1,1), (INDEX(FlowCalConstA,MATCH(AP22,FlowCalNumber,0),1,1)*AR23^INDEX(FlowCalConstB,MATCH(AP22,FlowCalNumber,0),1,1)&lt;INDEX(FlowCalHighSetting,MATCH(AP22,FlowCalNumber,0),1,1))),INDEX(FlowCalConstA,MATCH(AP22,FlowCalNumber,0),1,1)*AR23^INDEX(FlowCalConstB,MATCH(AP22,FlowCalNumber,0),1,1)," ")</f>
        <v>#N/A</v>
      </c>
      <c r="AT23" s="33"/>
      <c r="AU23" s="260">
        <f>AU$17/100</f>
        <v>0.1</v>
      </c>
      <c r="AV23" s="241" t="e">
        <f ca="1">AU23*$H23</f>
        <v>#VALUE!</v>
      </c>
      <c r="AW23" s="244" t="e">
        <f ca="1">IF(AND(INDEX(FlowCalConstA,MATCH(AT22,FlowCalNumber,0),1,1)*AV23^INDEX(FlowCalConstB,MATCH(AT22,FlowCalNumber,0),1,1)&gt;INDEX(FlowCalLowSetting,MATCH(AT22,FlowCalNumber,0),1,1), (INDEX(FlowCalConstA,MATCH(AT22,FlowCalNumber,0),1,1)*AV23^INDEX(FlowCalConstB,MATCH(AT22,FlowCalNumber,0),1,1)&lt;INDEX(FlowCalHighSetting,MATCH(AT22,FlowCalNumber,0),1,1))),INDEX(FlowCalConstA,MATCH(AT22,FlowCalNumber,0),1,1)*AV23^INDEX(FlowCalConstB,MATCH(AT22,FlowCalNumber,0),1,1)," ")</f>
        <v>#N/A</v>
      </c>
      <c r="AX23" s="33"/>
      <c r="AY23" s="260">
        <f>AY$17/100</f>
        <v>0.9</v>
      </c>
      <c r="AZ23" s="241" t="e">
        <f ca="1">AY23*$H23</f>
        <v>#VALUE!</v>
      </c>
      <c r="BA23" s="244" t="e">
        <f ca="1">IF(AND(INDEX(FlowCalConstA,MATCH(AX22,FlowCalNumber,0),1,1)*AZ23^INDEX(FlowCalConstB,MATCH(AX22,FlowCalNumber,0),1,1)&gt;INDEX(FlowCalLowSetting,MATCH(AX22,FlowCalNumber,0),1,1), (INDEX(FlowCalConstA,MATCH(AX22,FlowCalNumber,0),1,1)*AZ23^INDEX(FlowCalConstB,MATCH(AX22,FlowCalNumber,0),1,1)&lt;INDEX(FlowCalHighSetting,MATCH(AX22,FlowCalNumber,0),1,1))),INDEX(FlowCalConstA,MATCH(AX22,FlowCalNumber,0),1,1)*AZ23^INDEX(FlowCalConstB,MATCH(AX22,FlowCalNumber,0),1,1)," ")</f>
        <v>#N/A</v>
      </c>
      <c r="BB23" s="33"/>
      <c r="BC23" s="260">
        <f>BC$17/100</f>
        <v>0.1</v>
      </c>
      <c r="BD23" s="241" t="e">
        <f ca="1">BC23*$H23</f>
        <v>#VALUE!</v>
      </c>
      <c r="BE23" s="244" t="e">
        <f ca="1">IF(AND(INDEX(FlowCalConstA,MATCH(BB22,FlowCalNumber,0),1,1)*BD23^INDEX(FlowCalConstB,MATCH(BB22,FlowCalNumber,0),1,1)&gt;INDEX(FlowCalLowSetting,MATCH(BB22,FlowCalNumber,0),1,1), (INDEX(FlowCalConstA,MATCH(BB22,FlowCalNumber,0),1,1)*BD23^INDEX(FlowCalConstB,MATCH(BB22,FlowCalNumber,0),1,1)&lt;INDEX(FlowCalHighSetting,MATCH(BB22,FlowCalNumber,0),1,1))),INDEX(FlowCalConstA,MATCH(BB22,FlowCalNumber,0),1,1)*BD23^INDEX(FlowCalConstB,MATCH(BB22,FlowCalNumber,0),1,1)," ")</f>
        <v>#N/A</v>
      </c>
      <c r="BF23" s="33"/>
      <c r="BG23" s="260">
        <f>BG$17/100</f>
        <v>0.45</v>
      </c>
      <c r="BH23" s="241" t="e">
        <f ca="1">BG23*$H23</f>
        <v>#VALUE!</v>
      </c>
      <c r="BI23" s="244" t="e">
        <f ca="1">IF(AND(INDEX(FlowCalConstA,MATCH(BF22,FlowCalNumber,0),1,1)*BH23^INDEX(FlowCalConstB,MATCH(BF22,FlowCalNumber,0),1,1)&gt;INDEX(FlowCalLowSetting,MATCH(BF22,FlowCalNumber,0),1,1), (INDEX(FlowCalConstA,MATCH(BF22,FlowCalNumber,0),1,1)*BH23^INDEX(FlowCalConstB,MATCH(BF22,FlowCalNumber,0),1,1)&lt;INDEX(FlowCalHighSetting,MATCH(BF22,FlowCalNumber,0),1,1))),INDEX(FlowCalConstA,MATCH(BF22,FlowCalNumber,0),1,1)*BH23^INDEX(FlowCalConstB,MATCH(BF22,FlowCalNumber,0),1,1)," ")</f>
        <v>#N/A</v>
      </c>
      <c r="BJ23" s="33"/>
      <c r="BK23" s="260">
        <f>BK$17/100</f>
        <v>0.45</v>
      </c>
      <c r="BL23" s="241" t="e">
        <f ca="1">BK23*$H23</f>
        <v>#VALUE!</v>
      </c>
      <c r="BM23" s="244" t="e">
        <f ca="1">IF(AND(INDEX(FlowCalConstA,MATCH(BJ22,FlowCalNumber,0),1,1)*BL23^INDEX(FlowCalConstB,MATCH(BJ22,FlowCalNumber,0),1,1)&gt;INDEX(FlowCalLowSetting,MATCH(BJ22,FlowCalNumber,0),1,1), (INDEX(FlowCalConstA,MATCH(BJ22,FlowCalNumber,0),1,1)*BL23^INDEX(FlowCalConstB,MATCH(BJ22,FlowCalNumber,0),1,1)&lt;INDEX(FlowCalHighSetting,MATCH(BJ22,FlowCalNumber,0),1,1))),INDEX(FlowCalConstA,MATCH(BJ22,FlowCalNumber,0),1,1)*BL23^INDEX(FlowCalConstB,MATCH(BJ22,FlowCalNumber,0),1,1)," ")</f>
        <v>#N/A</v>
      </c>
      <c r="BN23" s="33"/>
      <c r="BO23" s="260">
        <f>BO$17/100</f>
        <v>0.1</v>
      </c>
      <c r="BP23" s="241" t="e">
        <f ca="1">BO23*$H23</f>
        <v>#VALUE!</v>
      </c>
      <c r="BQ23" s="244" t="e">
        <f ca="1">IF(AND(INDEX(FlowCalConstA,MATCH(BN22,FlowCalNumber,0),1,1)*BP23^INDEX(FlowCalConstB,MATCH(BN22,FlowCalNumber,0),1,1)&gt;INDEX(FlowCalLowSetting,MATCH(BN22,FlowCalNumber,0),1,1), (INDEX(FlowCalConstA,MATCH(BN22,FlowCalNumber,0),1,1)*BP23^INDEX(FlowCalConstB,MATCH(BN22,FlowCalNumber,0),1,1)&lt;INDEX(FlowCalHighSetting,MATCH(BN22,FlowCalNumber,0),1,1))),INDEX(FlowCalConstA,MATCH(BN22,FlowCalNumber,0),1,1)*BP23^INDEX(FlowCalConstB,MATCH(BN22,FlowCalNumber,0),1,1)," ")</f>
        <v>#N/A</v>
      </c>
      <c r="BR23" s="33"/>
      <c r="BS23" s="260">
        <f>BS$17/100</f>
        <v>0.4</v>
      </c>
      <c r="BT23" s="241" t="e">
        <f ca="1">BS23*$H23</f>
        <v>#VALUE!</v>
      </c>
      <c r="BU23" s="244" t="e">
        <f ca="1">IF(AND(INDEX(FlowCalConstA,MATCH(BR22,FlowCalNumber,0),1,1)*BT23^INDEX(FlowCalConstB,MATCH(BR22,FlowCalNumber,0),1,1)&gt;INDEX(FlowCalLowSetting,MATCH(BR22,FlowCalNumber,0),1,1), (INDEX(FlowCalConstA,MATCH(BR22,FlowCalNumber,0),1,1)*BT23^INDEX(FlowCalConstB,MATCH(BR22,FlowCalNumber,0),1,1)&lt;INDEX(FlowCalHighSetting,MATCH(BR22,FlowCalNumber,0),1,1))),INDEX(FlowCalConstA,MATCH(BR22,FlowCalNumber,0),1,1)*BT23^INDEX(FlowCalConstB,MATCH(BR22,FlowCalNumber,0),1,1)," ")</f>
        <v>#N/A</v>
      </c>
      <c r="BV23" s="33"/>
      <c r="BW23" s="260">
        <f>BW$17/100</f>
        <v>0.4</v>
      </c>
      <c r="BX23" s="241" t="e">
        <f ca="1">BW23*$H23</f>
        <v>#VALUE!</v>
      </c>
      <c r="BY23" s="244" t="e">
        <f ca="1">IF(AND(INDEX(FlowCalConstA,MATCH(BV22,FlowCalNumber,0),1,1)*BX23^INDEX(FlowCalConstB,MATCH(BV22,FlowCalNumber,0),1,1)&gt;INDEX(FlowCalLowSetting,MATCH(BV22,FlowCalNumber,0),1,1), (INDEX(FlowCalConstA,MATCH(BV22,FlowCalNumber,0),1,1)*BX23^INDEX(FlowCalConstB,MATCH(BV22,FlowCalNumber,0),1,1)&lt;INDEX(FlowCalHighSetting,MATCH(BV22,FlowCalNumber,0),1,1))),INDEX(FlowCalConstA,MATCH(BV22,FlowCalNumber,0),1,1)*BX23^INDEX(FlowCalConstB,MATCH(BV22,FlowCalNumber,0),1,1)," ")</f>
        <v>#N/A</v>
      </c>
      <c r="BZ23" s="33"/>
      <c r="CA23" s="260">
        <f>CA$17/100</f>
        <v>0.1</v>
      </c>
      <c r="CB23" s="241" t="e">
        <f ca="1">CA23*$H23</f>
        <v>#VALUE!</v>
      </c>
      <c r="CC23" s="244" t="e">
        <f ca="1">IF(AND(INDEX(FlowCalConstA,MATCH(BZ22,FlowCalNumber,0),1,1)*CB23^INDEX(FlowCalConstB,MATCH(BZ22,FlowCalNumber,0),1,1)&gt;INDEX(FlowCalLowSetting,MATCH(BZ22,FlowCalNumber,0),1,1), (INDEX(FlowCalConstA,MATCH(BZ22,FlowCalNumber,0),1,1)*CB23^INDEX(FlowCalConstB,MATCH(BZ22,FlowCalNumber,0),1,1)&lt;INDEX(FlowCalHighSetting,MATCH(BZ22,FlowCalNumber,0),1,1))),INDEX(FlowCalConstA,MATCH(BZ22,FlowCalNumber,0),1,1)*CB23^INDEX(FlowCalConstB,MATCH(BZ22,FlowCalNumber,0),1,1)," ")</f>
        <v>#N/A</v>
      </c>
      <c r="CD23" s="243"/>
      <c r="CE23" s="243"/>
      <c r="CF23" s="243"/>
      <c r="CG23" s="243"/>
      <c r="CH23" s="243"/>
      <c r="CI23" s="243"/>
      <c r="CJ23" s="243"/>
      <c r="CK23" s="243"/>
      <c r="CL23" s="243"/>
      <c r="CM23" s="243"/>
      <c r="CN23" s="243"/>
      <c r="CO23" s="243"/>
      <c r="CP23" s="243"/>
      <c r="CQ23" s="243"/>
      <c r="CR23" s="243"/>
      <c r="CS23" s="243"/>
      <c r="CT23" s="243"/>
      <c r="CU23" s="243"/>
      <c r="CV23" s="243"/>
      <c r="CW23" s="243"/>
      <c r="CX23" s="243"/>
      <c r="CY23" s="243"/>
      <c r="CZ23" s="243"/>
      <c r="DA23" s="243"/>
      <c r="DB23" s="243"/>
      <c r="DC23" s="243"/>
      <c r="DD23" s="243"/>
      <c r="DE23" s="243"/>
      <c r="DF23" s="243"/>
      <c r="DG23" s="243"/>
      <c r="DH23" s="243"/>
      <c r="DI23" s="243"/>
      <c r="DJ23" s="243"/>
      <c r="DK23" s="243"/>
      <c r="DM23" s="259"/>
      <c r="DO23" s="243"/>
      <c r="DQ23" s="259"/>
      <c r="DS23" s="243"/>
      <c r="DU23" s="259"/>
      <c r="DW23" s="243"/>
      <c r="DY23" s="260"/>
      <c r="EA23" s="243"/>
    </row>
    <row r="24" spans="1:131">
      <c r="A24" s="20"/>
      <c r="B24" s="124" t="str">
        <f t="shared" si="0"/>
        <v/>
      </c>
      <c r="C24" s="235"/>
      <c r="D24" s="24">
        <f>'1% Wind'!$M$83</f>
        <v>23.5</v>
      </c>
      <c r="E24" s="90"/>
      <c r="F24" s="90"/>
      <c r="G24" s="79">
        <f ca="1">IF(I22=0.9743,$G23,MAX(G23/D23*D24,2))</f>
        <v>6.001707317073171</v>
      </c>
      <c r="H24" s="121" t="e">
        <f t="shared" ca="1" si="1"/>
        <v>#VALUE!</v>
      </c>
      <c r="J24" s="33"/>
      <c r="K24" s="242">
        <f t="shared" ref="K24:K37" si="2">K23</f>
        <v>1</v>
      </c>
      <c r="L24" s="241" t="e">
        <f t="shared" ref="L24:L37" ca="1" si="3">K24*$H24</f>
        <v>#VALUE!</v>
      </c>
      <c r="M24" s="243" t="e">
        <f ca="1">IF(AND(INDEX(FlowCalConstA,MATCH(J22,FlowCalNumber,0),1,1)*L24^INDEX(FlowCalConstB,MATCH(J22,FlowCalNumber,0),1,1)&gt;INDEX(FlowCalLowSetting,MATCH(J22,FlowCalNumber,0),1,1), (INDEX(FlowCalConstA,MATCH(J22,FlowCalNumber,0),1,1)*L24^INDEX(FlowCalConstB,MATCH(J22,FlowCalNumber,0),1,1)&lt;INDEX(FlowCalHighSetting,MATCH(J22,FlowCalNumber,0),1,1))),INDEX(FlowCalConstA,MATCH(J22,FlowCalNumber,0),1,1)*L24^INDEX(FlowCalConstB,MATCH(J22,FlowCalNumber,0),1,1)," ")</f>
        <v>#N/A</v>
      </c>
      <c r="N24" s="33"/>
      <c r="O24" s="242">
        <f t="shared" ref="O24:O37" si="4">O23</f>
        <v>1</v>
      </c>
      <c r="P24" s="241" t="e">
        <f t="shared" ref="P24:P37" ca="1" si="5">O24*$H24</f>
        <v>#VALUE!</v>
      </c>
      <c r="Q24" s="243" t="e">
        <f ca="1">IF(AND(INDEX(FlowCalConstA,MATCH(N22,FlowCalNumber,0),1,1)*P24^INDEX(FlowCalConstB,MATCH(N22,FlowCalNumber,0),1,1)&gt;INDEX(FlowCalLowSetting,MATCH(N22,FlowCalNumber,0),1,1), (INDEX(FlowCalConstA,MATCH(N22,FlowCalNumber,0),1,1)*P24^INDEX(FlowCalConstB,MATCH(N22,FlowCalNumber,0),1,1)&lt;INDEX(FlowCalHighSetting,MATCH(N22,FlowCalNumber,0),1,1))),INDEX(FlowCalConstA,MATCH(N22,FlowCalNumber,0),1,1)*P24^INDEX(FlowCalConstB,MATCH(N22,FlowCalNumber,0),1,1)," ")</f>
        <v>#N/A</v>
      </c>
      <c r="R24" s="33"/>
      <c r="S24" s="242">
        <f t="shared" ref="S24:S37" si="6">S23</f>
        <v>1</v>
      </c>
      <c r="T24" s="241" t="e">
        <f t="shared" ref="T24:T37" ca="1" si="7">S24*$H24</f>
        <v>#VALUE!</v>
      </c>
      <c r="U24" s="244" t="e">
        <f ca="1">IF(AND(INDEX(FlowCalConstA,MATCH(R22,FlowCalNumber,0),1,1)*T24^INDEX(FlowCalConstB,MATCH(R22,FlowCalNumber,0),1,1)&gt;INDEX(FlowCalLowSetting,MATCH(R22,FlowCalNumber,0),1,1), (INDEX(FlowCalConstA,MATCH(R22,FlowCalNumber,0),1,1)*T24^INDEX(FlowCalConstB,MATCH(R22,FlowCalNumber,0),1,1)&lt;INDEX(FlowCalHighSetting,MATCH(R22,FlowCalNumber,0),1,1))),INDEX(FlowCalConstA,MATCH(R22,FlowCalNumber,0),1,1)*T24^INDEX(FlowCalConstB,MATCH(R22,FlowCalNumber,0),1,1)," ")</f>
        <v>#N/A</v>
      </c>
      <c r="V24" s="33"/>
      <c r="W24" s="242">
        <f t="shared" ref="W24:W37" si="8">W23</f>
        <v>0.1</v>
      </c>
      <c r="X24" s="241" t="e">
        <f t="shared" ref="X24:X37" ca="1" si="9">W24*$H24</f>
        <v>#VALUE!</v>
      </c>
      <c r="Y24" s="243" t="e">
        <f ca="1">IF(AND(INDEX(FlowCalConstA,MATCH(V22,FlowCalNumber,0),1,1)*X24^INDEX(FlowCalConstB,MATCH(V22,FlowCalNumber,0),1,1)&gt;INDEX(FlowCalLowSetting,MATCH(V22,FlowCalNumber,0),1,1), (INDEX(FlowCalConstA,MATCH(V22,FlowCalNumber,0),1,1)*X24^INDEX(FlowCalConstB,MATCH(V22,FlowCalNumber,0),1,1)&lt;INDEX(FlowCalHighSetting,MATCH(V22,FlowCalNumber,0),1,1))),INDEX(FlowCalConstA,MATCH(V22,FlowCalNumber,0),1,1)*X24^INDEX(FlowCalConstB,MATCH(V22,FlowCalNumber,0),1,1)," ")</f>
        <v>#N/A</v>
      </c>
      <c r="Z24" s="33"/>
      <c r="AA24" s="242">
        <f t="shared" ref="AA24:AA37" si="10">AA23</f>
        <v>0.9</v>
      </c>
      <c r="AB24" s="241" t="e">
        <f t="shared" ref="AB24:AB37" ca="1" si="11">AA24*$H24</f>
        <v>#VALUE!</v>
      </c>
      <c r="AC24" s="243" t="e">
        <f ca="1">IF(AND(INDEX(FlowCalConstA,MATCH(Z22,FlowCalNumber,0),1,1)*AB24^INDEX(FlowCalConstB,MATCH(Z22,FlowCalNumber,0),1,1)&gt;INDEX(FlowCalLowSetting,MATCH(Z22,FlowCalNumber,0),1,1), (INDEX(FlowCalConstA,MATCH(Z22,FlowCalNumber,0),1,1)*AB24^INDEX(FlowCalConstB,MATCH(Z22,FlowCalNumber,0),1,1)&lt;INDEX(FlowCalHighSetting,MATCH(Z22,FlowCalNumber,0),1,1))),INDEX(FlowCalConstA,MATCH(Z22,FlowCalNumber,0),1,1)*AB24^INDEX(FlowCalConstB,MATCH(Z22,FlowCalNumber,0),1,1)," ")</f>
        <v>#N/A</v>
      </c>
      <c r="AD24" s="33"/>
      <c r="AE24" s="242">
        <f t="shared" ref="AE24:AE37" si="12">AE23</f>
        <v>0.1</v>
      </c>
      <c r="AF24" s="241" t="e">
        <f t="shared" ref="AF24:AF37" ca="1" si="13">AE24*$H24</f>
        <v>#VALUE!</v>
      </c>
      <c r="AG24" s="243" t="e">
        <f ca="1">IF(AND(INDEX(FlowCalConstA,MATCH(AD22,FlowCalNumber,0),1,1)*AF24^INDEX(FlowCalConstB,MATCH(AD22,FlowCalNumber,0),1,1)&gt;INDEX(FlowCalLowSetting,MATCH(AD22,FlowCalNumber,0),1,1), (INDEX(FlowCalConstA,MATCH(AD22,FlowCalNumber,0),1,1)*AF24^INDEX(FlowCalConstB,MATCH(AD22,FlowCalNumber,0),1,1)&lt;INDEX(FlowCalHighSetting,MATCH(AD22,FlowCalNumber,0),1,1))),INDEX(FlowCalConstA,MATCH(AD22,FlowCalNumber,0),1,1)*AF24^INDEX(FlowCalConstB,MATCH(AD22,FlowCalNumber,0),1,1)," ")</f>
        <v>#N/A</v>
      </c>
      <c r="AH24" s="33"/>
      <c r="AI24" s="242">
        <f t="shared" ref="AI24:AI37" si="14">AI23</f>
        <v>0.9</v>
      </c>
      <c r="AJ24" s="241" t="e">
        <f t="shared" ref="AJ24:AJ37" ca="1" si="15">AI24*$H24</f>
        <v>#VALUE!</v>
      </c>
      <c r="AK24" s="243" t="e">
        <f ca="1">IF(AND(INDEX(FlowCalConstA,MATCH(AH22,FlowCalNumber,0),1,1)*AJ24^INDEX(FlowCalConstB,MATCH(AH22,FlowCalNumber,0),1,1)&gt;INDEX(FlowCalLowSetting,MATCH(AH22,FlowCalNumber,0),1,1), (INDEX(FlowCalConstA,MATCH(AH22,FlowCalNumber,0),1,1)*AJ24^INDEX(FlowCalConstB,MATCH(AH22,FlowCalNumber,0),1,1)&lt;INDEX(FlowCalHighSetting,MATCH(AH22,FlowCalNumber,0),1,1))),INDEX(FlowCalConstA,MATCH(AH22,FlowCalNumber,0),1,1)*AJ24^INDEX(FlowCalConstB,MATCH(AH22,FlowCalNumber,0),1,1)," ")</f>
        <v>#N/A</v>
      </c>
      <c r="AL24" s="33"/>
      <c r="AM24" s="242">
        <f t="shared" ref="AM24:AM37" si="16">AM23</f>
        <v>0.1</v>
      </c>
      <c r="AN24" s="241" t="e">
        <f t="shared" ref="AN24:AN37" ca="1" si="17">AM24*$H24</f>
        <v>#VALUE!</v>
      </c>
      <c r="AO24" s="244" t="e">
        <f ca="1">IF(AND(INDEX(FlowCalConstA,MATCH(AL22,FlowCalNumber,0),1,1)*AN24^INDEX(FlowCalConstB,MATCH(AL22,FlowCalNumber,0),1,1)&gt;INDEX(FlowCalLowSetting,MATCH(AL22,FlowCalNumber,0),1,1), (INDEX(FlowCalConstA,MATCH(AL22,FlowCalNumber,0),1,1)*AN24^INDEX(FlowCalConstB,MATCH(AL22,FlowCalNumber,0),1,1)&lt;INDEX(FlowCalHighSetting,MATCH(AL22,FlowCalNumber,0),1,1))),INDEX(FlowCalConstA,MATCH(AL22,FlowCalNumber,0),1,1)*AN24^INDEX(FlowCalConstB,MATCH(AL22,FlowCalNumber,0),1,1)," ")</f>
        <v>#N/A</v>
      </c>
      <c r="AQ24" s="242">
        <f t="shared" ref="AQ24:AQ37" si="18">AQ23</f>
        <v>0.9</v>
      </c>
      <c r="AR24" s="241" t="e">
        <f t="shared" ref="AR24:AR37" ca="1" si="19">AQ24*$H24</f>
        <v>#VALUE!</v>
      </c>
      <c r="AS24" s="244" t="e">
        <f ca="1">IF(AND(INDEX(FlowCalConstA,MATCH(AP22,FlowCalNumber,0),1,1)*AR24^INDEX(FlowCalConstB,MATCH(AP22,FlowCalNumber,0),1,1)&gt;INDEX(FlowCalLowSetting,MATCH(AP22,FlowCalNumber,0),1,1), (INDEX(FlowCalConstA,MATCH(AP22,FlowCalNumber,0),1,1)*AR24^INDEX(FlowCalConstB,MATCH(AP22,FlowCalNumber,0),1,1)&lt;INDEX(FlowCalHighSetting,MATCH(AP22,FlowCalNumber,0),1,1))),INDEX(FlowCalConstA,MATCH(AP22,FlowCalNumber,0),1,1)*AR24^INDEX(FlowCalConstB,MATCH(AP22,FlowCalNumber,0),1,1)," ")</f>
        <v>#N/A</v>
      </c>
      <c r="AT24" s="33"/>
      <c r="AU24" s="242">
        <f t="shared" ref="AU24:AU37" si="20">AU23</f>
        <v>0.1</v>
      </c>
      <c r="AV24" s="241" t="e">
        <f t="shared" ref="AV24:AV37" ca="1" si="21">AU24*$H24</f>
        <v>#VALUE!</v>
      </c>
      <c r="AW24" s="244" t="e">
        <f ca="1">IF(AND(INDEX(FlowCalConstA,MATCH(AT22,FlowCalNumber,0),1,1)*AV24^INDEX(FlowCalConstB,MATCH(AT22,FlowCalNumber,0),1,1)&gt;INDEX(FlowCalLowSetting,MATCH(AT22,FlowCalNumber,0),1,1), (INDEX(FlowCalConstA,MATCH(AT22,FlowCalNumber,0),1,1)*AV24^INDEX(FlowCalConstB,MATCH(AT22,FlowCalNumber,0),1,1)&lt;INDEX(FlowCalHighSetting,MATCH(AT22,FlowCalNumber,0),1,1))),INDEX(FlowCalConstA,MATCH(AT22,FlowCalNumber,0),1,1)*AV24^INDEX(FlowCalConstB,MATCH(AT22,FlowCalNumber,0),1,1)," ")</f>
        <v>#N/A</v>
      </c>
      <c r="AX24" s="33"/>
      <c r="AY24" s="242">
        <f t="shared" ref="AY24:AY37" si="22">AY23</f>
        <v>0.9</v>
      </c>
      <c r="AZ24" s="241" t="e">
        <f t="shared" ref="AZ24:AZ37" ca="1" si="23">AY24*$H24</f>
        <v>#VALUE!</v>
      </c>
      <c r="BA24" s="244" t="e">
        <f ca="1">IF(AND(INDEX(FlowCalConstA,MATCH(AX22,FlowCalNumber,0),1,1)*AZ24^INDEX(FlowCalConstB,MATCH(AX22,FlowCalNumber,0),1,1)&gt;INDEX(FlowCalLowSetting,MATCH(AX22,FlowCalNumber,0),1,1), (INDEX(FlowCalConstA,MATCH(AX22,FlowCalNumber,0),1,1)*AZ24^INDEX(FlowCalConstB,MATCH(AX22,FlowCalNumber,0),1,1)&lt;INDEX(FlowCalHighSetting,MATCH(AX22,FlowCalNumber,0),1,1))),INDEX(FlowCalConstA,MATCH(AX22,FlowCalNumber,0),1,1)*AZ24^INDEX(FlowCalConstB,MATCH(AX22,FlowCalNumber,0),1,1)," ")</f>
        <v>#N/A</v>
      </c>
      <c r="BB24" s="33"/>
      <c r="BC24" s="242">
        <f t="shared" ref="BC24:BC37" si="24">BC23</f>
        <v>0.1</v>
      </c>
      <c r="BD24" s="241" t="e">
        <f t="shared" ref="BD24:BD37" ca="1" si="25">BC24*$H24</f>
        <v>#VALUE!</v>
      </c>
      <c r="BE24" s="244" t="e">
        <f ca="1">IF(AND(INDEX(FlowCalConstA,MATCH(BB22,FlowCalNumber,0),1,1)*BD24^INDEX(FlowCalConstB,MATCH(BB22,FlowCalNumber,0),1,1)&gt;INDEX(FlowCalLowSetting,MATCH(BB22,FlowCalNumber,0),1,1), (INDEX(FlowCalConstA,MATCH(BB22,FlowCalNumber,0),1,1)*BD24^INDEX(FlowCalConstB,MATCH(BB22,FlowCalNumber,0),1,1)&lt;INDEX(FlowCalHighSetting,MATCH(BB22,FlowCalNumber,0),1,1))),INDEX(FlowCalConstA,MATCH(BB22,FlowCalNumber,0),1,1)*BD24^INDEX(FlowCalConstB,MATCH(BB22,FlowCalNumber,0),1,1)," ")</f>
        <v>#N/A</v>
      </c>
      <c r="BF24" s="33"/>
      <c r="BG24" s="242">
        <f t="shared" ref="BG24:BG37" si="26">BG23</f>
        <v>0.45</v>
      </c>
      <c r="BH24" s="241" t="e">
        <f t="shared" ref="BH24:BH37" ca="1" si="27">BG24*$H24</f>
        <v>#VALUE!</v>
      </c>
      <c r="BI24" s="244" t="e">
        <f ca="1">IF(AND(INDEX(FlowCalConstA,MATCH(BF22,FlowCalNumber,0),1,1)*BH24^INDEX(FlowCalConstB,MATCH(BF22,FlowCalNumber,0),1,1)&gt;INDEX(FlowCalLowSetting,MATCH(BF22,FlowCalNumber,0),1,1), (INDEX(FlowCalConstA,MATCH(BF22,FlowCalNumber,0),1,1)*BH24^INDEX(FlowCalConstB,MATCH(BF22,FlowCalNumber,0),1,1)&lt;INDEX(FlowCalHighSetting,MATCH(BF22,FlowCalNumber,0),1,1))),INDEX(FlowCalConstA,MATCH(BF22,FlowCalNumber,0),1,1)*BH24^INDEX(FlowCalConstB,MATCH(BF22,FlowCalNumber,0),1,1)," ")</f>
        <v>#N/A</v>
      </c>
      <c r="BJ24" s="33"/>
      <c r="BK24" s="242">
        <f t="shared" ref="BK24:BK37" si="28">BK23</f>
        <v>0.45</v>
      </c>
      <c r="BL24" s="241" t="e">
        <f t="shared" ref="BL24:BL37" ca="1" si="29">BK24*$H24</f>
        <v>#VALUE!</v>
      </c>
      <c r="BM24" s="244" t="e">
        <f ca="1">IF(AND(INDEX(FlowCalConstA,MATCH(BJ22,FlowCalNumber,0),1,1)*BL24^INDEX(FlowCalConstB,MATCH(BJ22,FlowCalNumber,0),1,1)&gt;INDEX(FlowCalLowSetting,MATCH(BJ22,FlowCalNumber,0),1,1), (INDEX(FlowCalConstA,MATCH(BJ22,FlowCalNumber,0),1,1)*BL24^INDEX(FlowCalConstB,MATCH(BJ22,FlowCalNumber,0),1,1)&lt;INDEX(FlowCalHighSetting,MATCH(BJ22,FlowCalNumber,0),1,1))),INDEX(FlowCalConstA,MATCH(BJ22,FlowCalNumber,0),1,1)*BL24^INDEX(FlowCalConstB,MATCH(BJ22,FlowCalNumber,0),1,1)," ")</f>
        <v>#N/A</v>
      </c>
      <c r="BN24" s="33"/>
      <c r="BO24" s="242">
        <f t="shared" ref="BO24:BO37" si="30">BO23</f>
        <v>0.1</v>
      </c>
      <c r="BP24" s="241" t="e">
        <f t="shared" ref="BP24:BP37" ca="1" si="31">BO24*$H24</f>
        <v>#VALUE!</v>
      </c>
      <c r="BQ24" s="244" t="e">
        <f ca="1">IF(AND(INDEX(FlowCalConstA,MATCH(BN22,FlowCalNumber,0),1,1)*BP24^INDEX(FlowCalConstB,MATCH(BN22,FlowCalNumber,0),1,1)&gt;INDEX(FlowCalLowSetting,MATCH(BN22,FlowCalNumber,0),1,1), (INDEX(FlowCalConstA,MATCH(BN22,FlowCalNumber,0),1,1)*BP24^INDEX(FlowCalConstB,MATCH(BN22,FlowCalNumber,0),1,1)&lt;INDEX(FlowCalHighSetting,MATCH(BN22,FlowCalNumber,0),1,1))),INDEX(FlowCalConstA,MATCH(BN22,FlowCalNumber,0),1,1)*BP24^INDEX(FlowCalConstB,MATCH(BN22,FlowCalNumber,0),1,1)," ")</f>
        <v>#N/A</v>
      </c>
      <c r="BR24" s="33"/>
      <c r="BS24" s="242">
        <f t="shared" ref="BS24:BS37" si="32">BS23</f>
        <v>0.4</v>
      </c>
      <c r="BT24" s="241" t="e">
        <f t="shared" ref="BT24:BT37" ca="1" si="33">BS24*$H24</f>
        <v>#VALUE!</v>
      </c>
      <c r="BU24" s="244" t="e">
        <f ca="1">IF(AND(INDEX(FlowCalConstA,MATCH(BR22,FlowCalNumber,0),1,1)*BT24^INDEX(FlowCalConstB,MATCH(BR22,FlowCalNumber,0),1,1)&gt;INDEX(FlowCalLowSetting,MATCH(BR22,FlowCalNumber,0),1,1), (INDEX(FlowCalConstA,MATCH(BR22,FlowCalNumber,0),1,1)*BT24^INDEX(FlowCalConstB,MATCH(BR22,FlowCalNumber,0),1,1)&lt;INDEX(FlowCalHighSetting,MATCH(BR22,FlowCalNumber,0),1,1))),INDEX(FlowCalConstA,MATCH(BR22,FlowCalNumber,0),1,1)*BT24^INDEX(FlowCalConstB,MATCH(BR22,FlowCalNumber,0),1,1)," ")</f>
        <v>#N/A</v>
      </c>
      <c r="BV24" s="33"/>
      <c r="BW24" s="242">
        <f t="shared" ref="BW24:BW37" si="34">BW23</f>
        <v>0.4</v>
      </c>
      <c r="BX24" s="241" t="e">
        <f t="shared" ref="BX24:BX37" ca="1" si="35">BW24*$H24</f>
        <v>#VALUE!</v>
      </c>
      <c r="BY24" s="244" t="e">
        <f ca="1">IF(AND(INDEX(FlowCalConstA,MATCH(BV22,FlowCalNumber,0),1,1)*BX24^INDEX(FlowCalConstB,MATCH(BV22,FlowCalNumber,0),1,1)&gt;INDEX(FlowCalLowSetting,MATCH(BV22,FlowCalNumber,0),1,1), (INDEX(FlowCalConstA,MATCH(BV22,FlowCalNumber,0),1,1)*BX24^INDEX(FlowCalConstB,MATCH(BV22,FlowCalNumber,0),1,1)&lt;INDEX(FlowCalHighSetting,MATCH(BV22,FlowCalNumber,0),1,1))),INDEX(FlowCalConstA,MATCH(BV22,FlowCalNumber,0),1,1)*BX24^INDEX(FlowCalConstB,MATCH(BV22,FlowCalNumber,0),1,1)," ")</f>
        <v>#N/A</v>
      </c>
      <c r="BZ24" s="33"/>
      <c r="CA24" s="242">
        <f t="shared" ref="CA24:CA37" si="36">CA23</f>
        <v>0.1</v>
      </c>
      <c r="CB24" s="241" t="e">
        <f t="shared" ref="CB24:CB37" ca="1" si="37">CA24*$H24</f>
        <v>#VALUE!</v>
      </c>
      <c r="CC24" s="244" t="e">
        <f ca="1">IF(AND(INDEX(FlowCalConstA,MATCH(BZ22,FlowCalNumber,0),1,1)*CB24^INDEX(FlowCalConstB,MATCH(BZ22,FlowCalNumber,0),1,1)&gt;INDEX(FlowCalLowSetting,MATCH(BZ22,FlowCalNumber,0),1,1), (INDEX(FlowCalConstA,MATCH(BZ22,FlowCalNumber,0),1,1)*CB24^INDEX(FlowCalConstB,MATCH(BZ22,FlowCalNumber,0),1,1)&lt;INDEX(FlowCalHighSetting,MATCH(BZ22,FlowCalNumber,0),1,1))),INDEX(FlowCalConstA,MATCH(BZ22,FlowCalNumber,0),1,1)*CB24^INDEX(FlowCalConstB,MATCH(BZ22,FlowCalNumber,0),1,1)," ")</f>
        <v>#N/A</v>
      </c>
      <c r="CD24" s="243"/>
      <c r="CE24" s="243"/>
      <c r="CF24" s="243"/>
      <c r="CG24" s="243"/>
      <c r="CH24" s="243"/>
      <c r="CI24" s="243"/>
      <c r="CJ24" s="243"/>
      <c r="CK24" s="243"/>
      <c r="CL24" s="243"/>
      <c r="CM24" s="243"/>
      <c r="CN24" s="243"/>
      <c r="CO24" s="243"/>
      <c r="CP24" s="243"/>
      <c r="CQ24" s="243"/>
      <c r="CR24" s="243"/>
      <c r="CS24" s="243"/>
      <c r="CT24" s="243"/>
      <c r="CU24" s="243"/>
      <c r="CV24" s="243"/>
      <c r="CW24" s="243"/>
      <c r="CX24" s="243"/>
      <c r="CY24" s="243"/>
      <c r="CZ24" s="243"/>
      <c r="DA24" s="243"/>
      <c r="DB24" s="243"/>
      <c r="DC24" s="243"/>
      <c r="DD24" s="243"/>
      <c r="DE24" s="243"/>
      <c r="DF24" s="243"/>
      <c r="DG24" s="243"/>
      <c r="DH24" s="243"/>
      <c r="DI24" s="243"/>
      <c r="DJ24" s="243"/>
      <c r="DK24" s="243"/>
      <c r="DM24" s="242"/>
      <c r="DO24" s="243"/>
      <c r="DQ24" s="242"/>
      <c r="DS24" s="243"/>
      <c r="DU24" s="242"/>
      <c r="DW24" s="243"/>
      <c r="DY24" s="242"/>
      <c r="EA24" s="243"/>
    </row>
    <row r="25" spans="1:131">
      <c r="A25" s="20"/>
      <c r="B25" s="124" t="str">
        <f t="shared" si="0"/>
        <v/>
      </c>
      <c r="C25" s="235"/>
      <c r="D25" s="24">
        <f>'1% Wind'!$M$84</f>
        <v>20.5</v>
      </c>
      <c r="E25" s="90"/>
      <c r="F25" s="90"/>
      <c r="G25" s="79">
        <f ca="1">IF(I22=0.9743,$G24,MAX(G24/D24*D25,2))</f>
        <v>6.001707317073171</v>
      </c>
      <c r="H25" s="121" t="e">
        <f t="shared" ca="1" si="1"/>
        <v>#VALUE!</v>
      </c>
      <c r="J25" s="33"/>
      <c r="K25" s="242">
        <f t="shared" si="2"/>
        <v>1</v>
      </c>
      <c r="L25" s="241" t="e">
        <f t="shared" ca="1" si="3"/>
        <v>#VALUE!</v>
      </c>
      <c r="M25" s="243" t="e">
        <f ca="1">IF(AND(INDEX(FlowCalConstA,MATCH(J22,FlowCalNumber,0),1,1)*L25^INDEX(FlowCalConstB,MATCH(J22,FlowCalNumber,0),1,1)&gt;INDEX(FlowCalLowSetting,MATCH(J22,FlowCalNumber,0),1,1), (INDEX(FlowCalConstA,MATCH(J22,FlowCalNumber,0),1,1)*L25^INDEX(FlowCalConstB,MATCH(J22,FlowCalNumber,0),1,1)&lt;INDEX(FlowCalHighSetting,MATCH(J22,FlowCalNumber,0),1,1))),INDEX(FlowCalConstA,MATCH(J22,FlowCalNumber,0),1,1)*L25^INDEX(FlowCalConstB,MATCH(J22,FlowCalNumber,0),1,1)," ")</f>
        <v>#N/A</v>
      </c>
      <c r="N25" s="33"/>
      <c r="O25" s="242">
        <f t="shared" si="4"/>
        <v>1</v>
      </c>
      <c r="P25" s="241" t="e">
        <f t="shared" ca="1" si="5"/>
        <v>#VALUE!</v>
      </c>
      <c r="Q25" s="243" t="e">
        <f ca="1">IF(AND(INDEX(FlowCalConstA,MATCH(N22,FlowCalNumber,0),1,1)*P25^INDEX(FlowCalConstB,MATCH(N22,FlowCalNumber,0),1,1)&gt;INDEX(FlowCalLowSetting,MATCH(N22,FlowCalNumber,0),1,1), (INDEX(FlowCalConstA,MATCH(N22,FlowCalNumber,0),1,1)*P25^INDEX(FlowCalConstB,MATCH(N22,FlowCalNumber,0),1,1)&lt;INDEX(FlowCalHighSetting,MATCH(N22,FlowCalNumber,0),1,1))),INDEX(FlowCalConstA,MATCH(N22,FlowCalNumber,0),1,1)*P25^INDEX(FlowCalConstB,MATCH(N22,FlowCalNumber,0),1,1)," ")</f>
        <v>#N/A</v>
      </c>
      <c r="R25" s="33"/>
      <c r="S25" s="242">
        <f t="shared" si="6"/>
        <v>1</v>
      </c>
      <c r="T25" s="241" t="e">
        <f t="shared" ca="1" si="7"/>
        <v>#VALUE!</v>
      </c>
      <c r="U25" s="244" t="e">
        <f ca="1">IF(AND(INDEX(FlowCalConstA,MATCH(R22,FlowCalNumber,0),1,1)*T25^INDEX(FlowCalConstB,MATCH(R22,FlowCalNumber,0),1,1)&gt;INDEX(FlowCalLowSetting,MATCH(R22,FlowCalNumber,0),1,1), (INDEX(FlowCalConstA,MATCH(R22,FlowCalNumber,0),1,1)*T25^INDEX(FlowCalConstB,MATCH(R22,FlowCalNumber,0),1,1)&lt;INDEX(FlowCalHighSetting,MATCH(R22,FlowCalNumber,0),1,1))),INDEX(FlowCalConstA,MATCH(R22,FlowCalNumber,0),1,1)*T25^INDEX(FlowCalConstB,MATCH(R22,FlowCalNumber,0),1,1)," ")</f>
        <v>#N/A</v>
      </c>
      <c r="V25" s="33"/>
      <c r="W25" s="242">
        <f t="shared" si="8"/>
        <v>0.1</v>
      </c>
      <c r="X25" s="241" t="e">
        <f t="shared" ca="1" si="9"/>
        <v>#VALUE!</v>
      </c>
      <c r="Y25" s="243" t="e">
        <f ca="1">IF(AND(INDEX(FlowCalConstA,MATCH(V22,FlowCalNumber,0),1,1)*X25^INDEX(FlowCalConstB,MATCH(V22,FlowCalNumber,0),1,1)&gt;INDEX(FlowCalLowSetting,MATCH(V22,FlowCalNumber,0),1,1), (INDEX(FlowCalConstA,MATCH(V22,FlowCalNumber,0),1,1)*X25^INDEX(FlowCalConstB,MATCH(V22,FlowCalNumber,0),1,1)&lt;INDEX(FlowCalHighSetting,MATCH(V22,FlowCalNumber,0),1,1))),INDEX(FlowCalConstA,MATCH(V22,FlowCalNumber,0),1,1)*X25^INDEX(FlowCalConstB,MATCH(V22,FlowCalNumber,0),1,1)," ")</f>
        <v>#N/A</v>
      </c>
      <c r="Z25" s="33"/>
      <c r="AA25" s="242">
        <f t="shared" si="10"/>
        <v>0.9</v>
      </c>
      <c r="AB25" s="241" t="e">
        <f t="shared" ca="1" si="11"/>
        <v>#VALUE!</v>
      </c>
      <c r="AC25" s="243" t="e">
        <f ca="1">IF(AND(INDEX(FlowCalConstA,MATCH(Z22,FlowCalNumber,0),1,1)*AB25^INDEX(FlowCalConstB,MATCH(Z22,FlowCalNumber,0),1,1)&gt;INDEX(FlowCalLowSetting,MATCH(Z22,FlowCalNumber,0),1,1), (INDEX(FlowCalConstA,MATCH(Z22,FlowCalNumber,0),1,1)*AB25^INDEX(FlowCalConstB,MATCH(Z22,FlowCalNumber,0),1,1)&lt;INDEX(FlowCalHighSetting,MATCH(Z22,FlowCalNumber,0),1,1))),INDEX(FlowCalConstA,MATCH(Z22,FlowCalNumber,0),1,1)*AB25^INDEX(FlowCalConstB,MATCH(Z22,FlowCalNumber,0),1,1)," ")</f>
        <v>#N/A</v>
      </c>
      <c r="AD25" s="33"/>
      <c r="AE25" s="242">
        <f t="shared" si="12"/>
        <v>0.1</v>
      </c>
      <c r="AF25" s="241" t="e">
        <f t="shared" ca="1" si="13"/>
        <v>#VALUE!</v>
      </c>
      <c r="AG25" s="243" t="e">
        <f ca="1">IF(AND(INDEX(FlowCalConstA,MATCH(AD22,FlowCalNumber,0),1,1)*AF25^INDEX(FlowCalConstB,MATCH(AD22,FlowCalNumber,0),1,1)&gt;INDEX(FlowCalLowSetting,MATCH(AD22,FlowCalNumber,0),1,1), (INDEX(FlowCalConstA,MATCH(AD22,FlowCalNumber,0),1,1)*AF25^INDEX(FlowCalConstB,MATCH(AD22,FlowCalNumber,0),1,1)&lt;INDEX(FlowCalHighSetting,MATCH(AD22,FlowCalNumber,0),1,1))),INDEX(FlowCalConstA,MATCH(AD22,FlowCalNumber,0),1,1)*AF25^INDEX(FlowCalConstB,MATCH(AD22,FlowCalNumber,0),1,1)," ")</f>
        <v>#N/A</v>
      </c>
      <c r="AH25" s="33"/>
      <c r="AI25" s="242">
        <f t="shared" si="14"/>
        <v>0.9</v>
      </c>
      <c r="AJ25" s="241" t="e">
        <f t="shared" ca="1" si="15"/>
        <v>#VALUE!</v>
      </c>
      <c r="AK25" s="243" t="e">
        <f ca="1">IF(AND(INDEX(FlowCalConstA,MATCH(AH22,FlowCalNumber,0),1,1)*AJ25^INDEX(FlowCalConstB,MATCH(AH22,FlowCalNumber,0),1,1)&gt;INDEX(FlowCalLowSetting,MATCH(AH22,FlowCalNumber,0),1,1), (INDEX(FlowCalConstA,MATCH(AH22,FlowCalNumber,0),1,1)*AJ25^INDEX(FlowCalConstB,MATCH(AH22,FlowCalNumber,0),1,1)&lt;INDEX(FlowCalHighSetting,MATCH(AH22,FlowCalNumber,0),1,1))),INDEX(FlowCalConstA,MATCH(AH22,FlowCalNumber,0),1,1)*AJ25^INDEX(FlowCalConstB,MATCH(AH22,FlowCalNumber,0),1,1)," ")</f>
        <v>#N/A</v>
      </c>
      <c r="AL25" s="33"/>
      <c r="AM25" s="242">
        <f t="shared" si="16"/>
        <v>0.1</v>
      </c>
      <c r="AN25" s="241" t="e">
        <f t="shared" ca="1" si="17"/>
        <v>#VALUE!</v>
      </c>
      <c r="AO25" s="244" t="e">
        <f ca="1">IF(AND(INDEX(FlowCalConstA,MATCH(AL22,FlowCalNumber,0),1,1)*AN25^INDEX(FlowCalConstB,MATCH(AL22,FlowCalNumber,0),1,1)&gt;INDEX(FlowCalLowSetting,MATCH(AL22,FlowCalNumber,0),1,1), (INDEX(FlowCalConstA,MATCH(AL22,FlowCalNumber,0),1,1)*AN25^INDEX(FlowCalConstB,MATCH(AL22,FlowCalNumber,0),1,1)&lt;INDEX(FlowCalHighSetting,MATCH(AL22,FlowCalNumber,0),1,1))),INDEX(FlowCalConstA,MATCH(AL22,FlowCalNumber,0),1,1)*AN25^INDEX(FlowCalConstB,MATCH(AL22,FlowCalNumber,0),1,1)," ")</f>
        <v>#N/A</v>
      </c>
      <c r="AQ25" s="242">
        <f t="shared" si="18"/>
        <v>0.9</v>
      </c>
      <c r="AR25" s="241" t="e">
        <f t="shared" ca="1" si="19"/>
        <v>#VALUE!</v>
      </c>
      <c r="AS25" s="244" t="e">
        <f ca="1">IF(AND(INDEX(FlowCalConstA,MATCH(AP22,FlowCalNumber,0),1,1)*AR25^INDEX(FlowCalConstB,MATCH(AP22,FlowCalNumber,0),1,1)&gt;INDEX(FlowCalLowSetting,MATCH(AP22,FlowCalNumber,0),1,1), (INDEX(FlowCalConstA,MATCH(AP22,FlowCalNumber,0),1,1)*AR25^INDEX(FlowCalConstB,MATCH(AP22,FlowCalNumber,0),1,1)&lt;INDEX(FlowCalHighSetting,MATCH(AP22,FlowCalNumber,0),1,1))),INDEX(FlowCalConstA,MATCH(AP22,FlowCalNumber,0),1,1)*AR25^INDEX(FlowCalConstB,MATCH(AP22,FlowCalNumber,0),1,1)," ")</f>
        <v>#N/A</v>
      </c>
      <c r="AT25" s="33"/>
      <c r="AU25" s="242">
        <f t="shared" si="20"/>
        <v>0.1</v>
      </c>
      <c r="AV25" s="241" t="e">
        <f t="shared" ca="1" si="21"/>
        <v>#VALUE!</v>
      </c>
      <c r="AW25" s="244" t="e">
        <f ca="1">IF(AND(INDEX(FlowCalConstA,MATCH(AT22,FlowCalNumber,0),1,1)*AV25^INDEX(FlowCalConstB,MATCH(AT22,FlowCalNumber,0),1,1)&gt;INDEX(FlowCalLowSetting,MATCH(AT22,FlowCalNumber,0),1,1), (INDEX(FlowCalConstA,MATCH(AT22,FlowCalNumber,0),1,1)*AV25^INDEX(FlowCalConstB,MATCH(AT22,FlowCalNumber,0),1,1)&lt;INDEX(FlowCalHighSetting,MATCH(AT22,FlowCalNumber,0),1,1))),INDEX(FlowCalConstA,MATCH(AT22,FlowCalNumber,0),1,1)*AV25^INDEX(FlowCalConstB,MATCH(AT22,FlowCalNumber,0),1,1)," ")</f>
        <v>#N/A</v>
      </c>
      <c r="AX25" s="33"/>
      <c r="AY25" s="242">
        <f t="shared" si="22"/>
        <v>0.9</v>
      </c>
      <c r="AZ25" s="241" t="e">
        <f t="shared" ca="1" si="23"/>
        <v>#VALUE!</v>
      </c>
      <c r="BA25" s="244" t="e">
        <f ca="1">IF(AND(INDEX(FlowCalConstA,MATCH(AX22,FlowCalNumber,0),1,1)*AZ25^INDEX(FlowCalConstB,MATCH(AX22,FlowCalNumber,0),1,1)&gt;INDEX(FlowCalLowSetting,MATCH(AX22,FlowCalNumber,0),1,1), (INDEX(FlowCalConstA,MATCH(AX22,FlowCalNumber,0),1,1)*AZ25^INDEX(FlowCalConstB,MATCH(AX22,FlowCalNumber,0),1,1)&lt;INDEX(FlowCalHighSetting,MATCH(AX22,FlowCalNumber,0),1,1))),INDEX(FlowCalConstA,MATCH(AX22,FlowCalNumber,0),1,1)*AZ25^INDEX(FlowCalConstB,MATCH(AX22,FlowCalNumber,0),1,1)," ")</f>
        <v>#N/A</v>
      </c>
      <c r="BB25" s="33"/>
      <c r="BC25" s="242">
        <f t="shared" si="24"/>
        <v>0.1</v>
      </c>
      <c r="BD25" s="241" t="e">
        <f t="shared" ca="1" si="25"/>
        <v>#VALUE!</v>
      </c>
      <c r="BE25" s="244" t="e">
        <f ca="1">IF(AND(INDEX(FlowCalConstA,MATCH(BB22,FlowCalNumber,0),1,1)*BD25^INDEX(FlowCalConstB,MATCH(BB22,FlowCalNumber,0),1,1)&gt;INDEX(FlowCalLowSetting,MATCH(BB22,FlowCalNumber,0),1,1), (INDEX(FlowCalConstA,MATCH(BB22,FlowCalNumber,0),1,1)*BD25^INDEX(FlowCalConstB,MATCH(BB22,FlowCalNumber,0),1,1)&lt;INDEX(FlowCalHighSetting,MATCH(BB22,FlowCalNumber,0),1,1))),INDEX(FlowCalConstA,MATCH(BB22,FlowCalNumber,0),1,1)*BD25^INDEX(FlowCalConstB,MATCH(BB22,FlowCalNumber,0),1,1)," ")</f>
        <v>#N/A</v>
      </c>
      <c r="BF25" s="33"/>
      <c r="BG25" s="242">
        <f t="shared" si="26"/>
        <v>0.45</v>
      </c>
      <c r="BH25" s="241" t="e">
        <f t="shared" ca="1" si="27"/>
        <v>#VALUE!</v>
      </c>
      <c r="BI25" s="244" t="e">
        <f ca="1">IF(AND(INDEX(FlowCalConstA,MATCH(BF22,FlowCalNumber,0),1,1)*BH25^INDEX(FlowCalConstB,MATCH(BF22,FlowCalNumber,0),1,1)&gt;INDEX(FlowCalLowSetting,MATCH(BF22,FlowCalNumber,0),1,1), (INDEX(FlowCalConstA,MATCH(BF22,FlowCalNumber,0),1,1)*BH25^INDEX(FlowCalConstB,MATCH(BF22,FlowCalNumber,0),1,1)&lt;INDEX(FlowCalHighSetting,MATCH(BF22,FlowCalNumber,0),1,1))),INDEX(FlowCalConstA,MATCH(BF22,FlowCalNumber,0),1,1)*BH25^INDEX(FlowCalConstB,MATCH(BF22,FlowCalNumber,0),1,1)," ")</f>
        <v>#N/A</v>
      </c>
      <c r="BJ25" s="33"/>
      <c r="BK25" s="242">
        <f t="shared" si="28"/>
        <v>0.45</v>
      </c>
      <c r="BL25" s="241" t="e">
        <f t="shared" ca="1" si="29"/>
        <v>#VALUE!</v>
      </c>
      <c r="BM25" s="244" t="e">
        <f ca="1">IF(AND(INDEX(FlowCalConstA,MATCH(BJ22,FlowCalNumber,0),1,1)*BL25^INDEX(FlowCalConstB,MATCH(BJ22,FlowCalNumber,0),1,1)&gt;INDEX(FlowCalLowSetting,MATCH(BJ22,FlowCalNumber,0),1,1), (INDEX(FlowCalConstA,MATCH(BJ22,FlowCalNumber,0),1,1)*BL25^INDEX(FlowCalConstB,MATCH(BJ22,FlowCalNumber,0),1,1)&lt;INDEX(FlowCalHighSetting,MATCH(BJ22,FlowCalNumber,0),1,1))),INDEX(FlowCalConstA,MATCH(BJ22,FlowCalNumber,0),1,1)*BL25^INDEX(FlowCalConstB,MATCH(BJ22,FlowCalNumber,0),1,1)," ")</f>
        <v>#N/A</v>
      </c>
      <c r="BN25" s="33"/>
      <c r="BO25" s="242">
        <f t="shared" si="30"/>
        <v>0.1</v>
      </c>
      <c r="BP25" s="241" t="e">
        <f t="shared" ca="1" si="31"/>
        <v>#VALUE!</v>
      </c>
      <c r="BQ25" s="244" t="e">
        <f ca="1">IF(AND(INDEX(FlowCalConstA,MATCH(BN22,FlowCalNumber,0),1,1)*BP25^INDEX(FlowCalConstB,MATCH(BN22,FlowCalNumber,0),1,1)&gt;INDEX(FlowCalLowSetting,MATCH(BN22,FlowCalNumber,0),1,1), (INDEX(FlowCalConstA,MATCH(BN22,FlowCalNumber,0),1,1)*BP25^INDEX(FlowCalConstB,MATCH(BN22,FlowCalNumber,0),1,1)&lt;INDEX(FlowCalHighSetting,MATCH(BN22,FlowCalNumber,0),1,1))),INDEX(FlowCalConstA,MATCH(BN22,FlowCalNumber,0),1,1)*BP25^INDEX(FlowCalConstB,MATCH(BN22,FlowCalNumber,0),1,1)," ")</f>
        <v>#N/A</v>
      </c>
      <c r="BR25" s="33"/>
      <c r="BS25" s="242">
        <f t="shared" si="32"/>
        <v>0.4</v>
      </c>
      <c r="BT25" s="241" t="e">
        <f t="shared" ca="1" si="33"/>
        <v>#VALUE!</v>
      </c>
      <c r="BU25" s="244" t="e">
        <f ca="1">IF(AND(INDEX(FlowCalConstA,MATCH(BR22,FlowCalNumber,0),1,1)*BT25^INDEX(FlowCalConstB,MATCH(BR22,FlowCalNumber,0),1,1)&gt;INDEX(FlowCalLowSetting,MATCH(BR22,FlowCalNumber,0),1,1), (INDEX(FlowCalConstA,MATCH(BR22,FlowCalNumber,0),1,1)*BT25^INDEX(FlowCalConstB,MATCH(BR22,FlowCalNumber,0),1,1)&lt;INDEX(FlowCalHighSetting,MATCH(BR22,FlowCalNumber,0),1,1))),INDEX(FlowCalConstA,MATCH(BR22,FlowCalNumber,0),1,1)*BT25^INDEX(FlowCalConstB,MATCH(BR22,FlowCalNumber,0),1,1)," ")</f>
        <v>#N/A</v>
      </c>
      <c r="BV25" s="33"/>
      <c r="BW25" s="242">
        <f t="shared" si="34"/>
        <v>0.4</v>
      </c>
      <c r="BX25" s="241" t="e">
        <f t="shared" ca="1" si="35"/>
        <v>#VALUE!</v>
      </c>
      <c r="BY25" s="244" t="e">
        <f ca="1">IF(AND(INDEX(FlowCalConstA,MATCH(BV22,FlowCalNumber,0),1,1)*BX25^INDEX(FlowCalConstB,MATCH(BV22,FlowCalNumber,0),1,1)&gt;INDEX(FlowCalLowSetting,MATCH(BV22,FlowCalNumber,0),1,1), (INDEX(FlowCalConstA,MATCH(BV22,FlowCalNumber,0),1,1)*BX25^INDEX(FlowCalConstB,MATCH(BV22,FlowCalNumber,0),1,1)&lt;INDEX(FlowCalHighSetting,MATCH(BV22,FlowCalNumber,0),1,1))),INDEX(FlowCalConstA,MATCH(BV22,FlowCalNumber,0),1,1)*BX25^INDEX(FlowCalConstB,MATCH(BV22,FlowCalNumber,0),1,1)," ")</f>
        <v>#N/A</v>
      </c>
      <c r="BZ25" s="33"/>
      <c r="CA25" s="242">
        <f t="shared" si="36"/>
        <v>0.1</v>
      </c>
      <c r="CB25" s="241" t="e">
        <f t="shared" ca="1" si="37"/>
        <v>#VALUE!</v>
      </c>
      <c r="CC25" s="244" t="e">
        <f ca="1">IF(AND(INDEX(FlowCalConstA,MATCH(BZ22,FlowCalNumber,0),1,1)*CB25^INDEX(FlowCalConstB,MATCH(BZ22,FlowCalNumber,0),1,1)&gt;INDEX(FlowCalLowSetting,MATCH(BZ22,FlowCalNumber,0),1,1), (INDEX(FlowCalConstA,MATCH(BZ22,FlowCalNumber,0),1,1)*CB25^INDEX(FlowCalConstB,MATCH(BZ22,FlowCalNumber,0),1,1)&lt;INDEX(FlowCalHighSetting,MATCH(BZ22,FlowCalNumber,0),1,1))),INDEX(FlowCalConstA,MATCH(BZ22,FlowCalNumber,0),1,1)*CB25^INDEX(FlowCalConstB,MATCH(BZ22,FlowCalNumber,0),1,1)," ")</f>
        <v>#N/A</v>
      </c>
      <c r="CD25" s="243"/>
      <c r="CE25" s="243"/>
      <c r="CF25" s="243"/>
      <c r="CG25" s="243"/>
      <c r="CH25" s="243"/>
      <c r="CI25" s="243"/>
      <c r="CJ25" s="243"/>
      <c r="CK25" s="243"/>
      <c r="CL25" s="243"/>
      <c r="CM25" s="243"/>
      <c r="CN25" s="243"/>
      <c r="CO25" s="243"/>
      <c r="CP25" s="243"/>
      <c r="CQ25" s="243"/>
      <c r="CR25" s="243"/>
      <c r="CS25" s="243"/>
      <c r="CT25" s="243"/>
      <c r="CU25" s="243"/>
      <c r="CV25" s="243"/>
      <c r="CW25" s="243"/>
      <c r="CX25" s="243"/>
      <c r="CY25" s="243"/>
      <c r="CZ25" s="243"/>
      <c r="DA25" s="243"/>
      <c r="DB25" s="243"/>
      <c r="DC25" s="243"/>
      <c r="DD25" s="243"/>
      <c r="DE25" s="243"/>
      <c r="DF25" s="243"/>
      <c r="DG25" s="243"/>
      <c r="DH25" s="243"/>
      <c r="DI25" s="243"/>
      <c r="DJ25" s="243"/>
      <c r="DK25" s="243"/>
      <c r="DM25" s="242"/>
      <c r="DO25" s="243"/>
      <c r="DQ25" s="242"/>
      <c r="DS25" s="243"/>
      <c r="DU25" s="242"/>
      <c r="DW25" s="243"/>
      <c r="DY25" s="242"/>
      <c r="EA25" s="243"/>
    </row>
    <row r="26" spans="1:131">
      <c r="A26" s="20"/>
      <c r="B26" s="124" t="str">
        <f t="shared" si="0"/>
        <v/>
      </c>
      <c r="C26" s="235"/>
      <c r="D26" s="24">
        <f>'1% Wind'!$M$85</f>
        <v>17.8</v>
      </c>
      <c r="E26" s="90"/>
      <c r="F26" s="90"/>
      <c r="G26" s="79">
        <f ca="1">IF(I22=0.9743,$G25,MAX(G25/D25*D26,2))</f>
        <v>6.001707317073171</v>
      </c>
      <c r="H26" s="121" t="e">
        <f t="shared" ca="1" si="1"/>
        <v>#VALUE!</v>
      </c>
      <c r="J26" s="33"/>
      <c r="K26" s="242">
        <f t="shared" si="2"/>
        <v>1</v>
      </c>
      <c r="L26" s="241" t="e">
        <f t="shared" ca="1" si="3"/>
        <v>#VALUE!</v>
      </c>
      <c r="M26" s="243" t="e">
        <f ca="1">IF(AND(INDEX(FlowCalConstA,MATCH(J22,FlowCalNumber,0),1,1)*L26^INDEX(FlowCalConstB,MATCH(J22,FlowCalNumber,0),1,1)&gt;INDEX(FlowCalLowSetting,MATCH(J22,FlowCalNumber,0),1,1), (INDEX(FlowCalConstA,MATCH(J22,FlowCalNumber,0),1,1)*L26^INDEX(FlowCalConstB,MATCH(J22,FlowCalNumber,0),1,1)&lt;INDEX(FlowCalHighSetting,MATCH(J22,FlowCalNumber,0),1,1))),INDEX(FlowCalConstA,MATCH(J22,FlowCalNumber,0),1,1)*L26^INDEX(FlowCalConstB,MATCH(J22,FlowCalNumber,0),1,1)," ")</f>
        <v>#N/A</v>
      </c>
      <c r="N26" s="33"/>
      <c r="O26" s="242">
        <f t="shared" si="4"/>
        <v>1</v>
      </c>
      <c r="P26" s="241" t="e">
        <f t="shared" ca="1" si="5"/>
        <v>#VALUE!</v>
      </c>
      <c r="Q26" s="243" t="e">
        <f ca="1">IF(AND(INDEX(FlowCalConstA,MATCH(N22,FlowCalNumber,0),1,1)*P26^INDEX(FlowCalConstB,MATCH(N22,FlowCalNumber,0),1,1)&gt;INDEX(FlowCalLowSetting,MATCH(N22,FlowCalNumber,0),1,1), (INDEX(FlowCalConstA,MATCH(N22,FlowCalNumber,0),1,1)*P26^INDEX(FlowCalConstB,MATCH(N22,FlowCalNumber,0),1,1)&lt;INDEX(FlowCalHighSetting,MATCH(N22,FlowCalNumber,0),1,1))),INDEX(FlowCalConstA,MATCH(N22,FlowCalNumber,0),1,1)*P26^INDEX(FlowCalConstB,MATCH(N22,FlowCalNumber,0),1,1)," ")</f>
        <v>#N/A</v>
      </c>
      <c r="R26" s="33"/>
      <c r="S26" s="242">
        <f t="shared" si="6"/>
        <v>1</v>
      </c>
      <c r="T26" s="241" t="e">
        <f t="shared" ca="1" si="7"/>
        <v>#VALUE!</v>
      </c>
      <c r="U26" s="244" t="e">
        <f ca="1">IF(AND(INDEX(FlowCalConstA,MATCH(R22,FlowCalNumber,0),1,1)*T26^INDEX(FlowCalConstB,MATCH(R22,FlowCalNumber,0),1,1)&gt;INDEX(FlowCalLowSetting,MATCH(R22,FlowCalNumber,0),1,1), (INDEX(FlowCalConstA,MATCH(R22,FlowCalNumber,0),1,1)*T26^INDEX(FlowCalConstB,MATCH(R22,FlowCalNumber,0),1,1)&lt;INDEX(FlowCalHighSetting,MATCH(R22,FlowCalNumber,0),1,1))),INDEX(FlowCalConstA,MATCH(R22,FlowCalNumber,0),1,1)*T26^INDEX(FlowCalConstB,MATCH(R22,FlowCalNumber,0),1,1)," ")</f>
        <v>#N/A</v>
      </c>
      <c r="V26" s="33"/>
      <c r="W26" s="242">
        <f t="shared" si="8"/>
        <v>0.1</v>
      </c>
      <c r="X26" s="241" t="e">
        <f t="shared" ca="1" si="9"/>
        <v>#VALUE!</v>
      </c>
      <c r="Y26" s="243" t="e">
        <f ca="1">IF(AND(INDEX(FlowCalConstA,MATCH(V22,FlowCalNumber,0),1,1)*X26^INDEX(FlowCalConstB,MATCH(V22,FlowCalNumber,0),1,1)&gt;INDEX(FlowCalLowSetting,MATCH(V22,FlowCalNumber,0),1,1), (INDEX(FlowCalConstA,MATCH(V22,FlowCalNumber,0),1,1)*X26^INDEX(FlowCalConstB,MATCH(V22,FlowCalNumber,0),1,1)&lt;INDEX(FlowCalHighSetting,MATCH(V22,FlowCalNumber,0),1,1))),INDEX(FlowCalConstA,MATCH(V22,FlowCalNumber,0),1,1)*X26^INDEX(FlowCalConstB,MATCH(V22,FlowCalNumber,0),1,1)," ")</f>
        <v>#N/A</v>
      </c>
      <c r="Z26" s="33"/>
      <c r="AA26" s="242">
        <f t="shared" si="10"/>
        <v>0.9</v>
      </c>
      <c r="AB26" s="241" t="e">
        <f t="shared" ca="1" si="11"/>
        <v>#VALUE!</v>
      </c>
      <c r="AC26" s="243" t="e">
        <f ca="1">IF(AND(INDEX(FlowCalConstA,MATCH(Z22,FlowCalNumber,0),1,1)*AB26^INDEX(FlowCalConstB,MATCH(Z22,FlowCalNumber,0),1,1)&gt;INDEX(FlowCalLowSetting,MATCH(Z22,FlowCalNumber,0),1,1), (INDEX(FlowCalConstA,MATCH(Z22,FlowCalNumber,0),1,1)*AB26^INDEX(FlowCalConstB,MATCH(Z22,FlowCalNumber,0),1,1)&lt;INDEX(FlowCalHighSetting,MATCH(Z22,FlowCalNumber,0),1,1))),INDEX(FlowCalConstA,MATCH(Z22,FlowCalNumber,0),1,1)*AB26^INDEX(FlowCalConstB,MATCH(Z22,FlowCalNumber,0),1,1)," ")</f>
        <v>#N/A</v>
      </c>
      <c r="AD26" s="33"/>
      <c r="AE26" s="242">
        <f t="shared" si="12"/>
        <v>0.1</v>
      </c>
      <c r="AF26" s="241" t="e">
        <f t="shared" ca="1" si="13"/>
        <v>#VALUE!</v>
      </c>
      <c r="AG26" s="243" t="e">
        <f ca="1">IF(AND(INDEX(FlowCalConstA,MATCH(AD22,FlowCalNumber,0),1,1)*AF26^INDEX(FlowCalConstB,MATCH(AD22,FlowCalNumber,0),1,1)&gt;INDEX(FlowCalLowSetting,MATCH(AD22,FlowCalNumber,0),1,1), (INDEX(FlowCalConstA,MATCH(AD22,FlowCalNumber,0),1,1)*AF26^INDEX(FlowCalConstB,MATCH(AD22,FlowCalNumber,0),1,1)&lt;INDEX(FlowCalHighSetting,MATCH(AD22,FlowCalNumber,0),1,1))),INDEX(FlowCalConstA,MATCH(AD22,FlowCalNumber,0),1,1)*AF26^INDEX(FlowCalConstB,MATCH(AD22,FlowCalNumber,0),1,1)," ")</f>
        <v>#N/A</v>
      </c>
      <c r="AH26" s="33"/>
      <c r="AI26" s="242">
        <f t="shared" si="14"/>
        <v>0.9</v>
      </c>
      <c r="AJ26" s="241" t="e">
        <f t="shared" ca="1" si="15"/>
        <v>#VALUE!</v>
      </c>
      <c r="AK26" s="243" t="e">
        <f ca="1">IF(AND(INDEX(FlowCalConstA,MATCH(AH22,FlowCalNumber,0),1,1)*AJ26^INDEX(FlowCalConstB,MATCH(AH22,FlowCalNumber,0),1,1)&gt;INDEX(FlowCalLowSetting,MATCH(AH22,FlowCalNumber,0),1,1), (INDEX(FlowCalConstA,MATCH(AH22,FlowCalNumber,0),1,1)*AJ26^INDEX(FlowCalConstB,MATCH(AH22,FlowCalNumber,0),1,1)&lt;INDEX(FlowCalHighSetting,MATCH(AH22,FlowCalNumber,0),1,1))),INDEX(FlowCalConstA,MATCH(AH22,FlowCalNumber,0),1,1)*AJ26^INDEX(FlowCalConstB,MATCH(AH22,FlowCalNumber,0),1,1)," ")</f>
        <v>#N/A</v>
      </c>
      <c r="AL26" s="33"/>
      <c r="AM26" s="242">
        <f t="shared" si="16"/>
        <v>0.1</v>
      </c>
      <c r="AN26" s="241" t="e">
        <f t="shared" ca="1" si="17"/>
        <v>#VALUE!</v>
      </c>
      <c r="AO26" s="244" t="e">
        <f ca="1">IF(AND(INDEX(FlowCalConstA,MATCH(AL22,FlowCalNumber,0),1,1)*AN26^INDEX(FlowCalConstB,MATCH(AL22,FlowCalNumber,0),1,1)&gt;INDEX(FlowCalLowSetting,MATCH(AL22,FlowCalNumber,0),1,1), (INDEX(FlowCalConstA,MATCH(AL22,FlowCalNumber,0),1,1)*AN26^INDEX(FlowCalConstB,MATCH(AL22,FlowCalNumber,0),1,1)&lt;INDEX(FlowCalHighSetting,MATCH(AL22,FlowCalNumber,0),1,1))),INDEX(FlowCalConstA,MATCH(AL22,FlowCalNumber,0),1,1)*AN26^INDEX(FlowCalConstB,MATCH(AL22,FlowCalNumber,0),1,1)," ")</f>
        <v>#N/A</v>
      </c>
      <c r="AQ26" s="242">
        <f t="shared" si="18"/>
        <v>0.9</v>
      </c>
      <c r="AR26" s="241" t="e">
        <f t="shared" ca="1" si="19"/>
        <v>#VALUE!</v>
      </c>
      <c r="AS26" s="244" t="e">
        <f ca="1">IF(AND(INDEX(FlowCalConstA,MATCH(AP22,FlowCalNumber,0),1,1)*AR26^INDEX(FlowCalConstB,MATCH(AP22,FlowCalNumber,0),1,1)&gt;INDEX(FlowCalLowSetting,MATCH(AP22,FlowCalNumber,0),1,1), (INDEX(FlowCalConstA,MATCH(AP22,FlowCalNumber,0),1,1)*AR26^INDEX(FlowCalConstB,MATCH(AP22,FlowCalNumber,0),1,1)&lt;INDEX(FlowCalHighSetting,MATCH(AP22,FlowCalNumber,0),1,1))),INDEX(FlowCalConstA,MATCH(AP22,FlowCalNumber,0),1,1)*AR26^INDEX(FlowCalConstB,MATCH(AP22,FlowCalNumber,0),1,1)," ")</f>
        <v>#N/A</v>
      </c>
      <c r="AT26" s="33"/>
      <c r="AU26" s="242">
        <f t="shared" si="20"/>
        <v>0.1</v>
      </c>
      <c r="AV26" s="241" t="e">
        <f t="shared" ca="1" si="21"/>
        <v>#VALUE!</v>
      </c>
      <c r="AW26" s="244" t="e">
        <f ca="1">IF(AND(INDEX(FlowCalConstA,MATCH(AT22,FlowCalNumber,0),1,1)*AV26^INDEX(FlowCalConstB,MATCH(AT22,FlowCalNumber,0),1,1)&gt;INDEX(FlowCalLowSetting,MATCH(AT22,FlowCalNumber,0),1,1), (INDEX(FlowCalConstA,MATCH(AT22,FlowCalNumber,0),1,1)*AV26^INDEX(FlowCalConstB,MATCH(AT22,FlowCalNumber,0),1,1)&lt;INDEX(FlowCalHighSetting,MATCH(AT22,FlowCalNumber,0),1,1))),INDEX(FlowCalConstA,MATCH(AT22,FlowCalNumber,0),1,1)*AV26^INDEX(FlowCalConstB,MATCH(AT22,FlowCalNumber,0),1,1)," ")</f>
        <v>#N/A</v>
      </c>
      <c r="AX26" s="33"/>
      <c r="AY26" s="242">
        <f t="shared" si="22"/>
        <v>0.9</v>
      </c>
      <c r="AZ26" s="241" t="e">
        <f t="shared" ca="1" si="23"/>
        <v>#VALUE!</v>
      </c>
      <c r="BA26" s="244" t="e">
        <f ca="1">IF(AND(INDEX(FlowCalConstA,MATCH(AX22,FlowCalNumber,0),1,1)*AZ26^INDEX(FlowCalConstB,MATCH(AX22,FlowCalNumber,0),1,1)&gt;INDEX(FlowCalLowSetting,MATCH(AX22,FlowCalNumber,0),1,1), (INDEX(FlowCalConstA,MATCH(AX22,FlowCalNumber,0),1,1)*AZ26^INDEX(FlowCalConstB,MATCH(AX22,FlowCalNumber,0),1,1)&lt;INDEX(FlowCalHighSetting,MATCH(AX22,FlowCalNumber,0),1,1))),INDEX(FlowCalConstA,MATCH(AX22,FlowCalNumber,0),1,1)*AZ26^INDEX(FlowCalConstB,MATCH(AX22,FlowCalNumber,0),1,1)," ")</f>
        <v>#N/A</v>
      </c>
      <c r="BB26" s="33"/>
      <c r="BC26" s="242">
        <f t="shared" si="24"/>
        <v>0.1</v>
      </c>
      <c r="BD26" s="241" t="e">
        <f t="shared" ca="1" si="25"/>
        <v>#VALUE!</v>
      </c>
      <c r="BE26" s="244" t="e">
        <f ca="1">IF(AND(INDEX(FlowCalConstA,MATCH(BB22,FlowCalNumber,0),1,1)*BD26^INDEX(FlowCalConstB,MATCH(BB22,FlowCalNumber,0),1,1)&gt;INDEX(FlowCalLowSetting,MATCH(BB22,FlowCalNumber,0),1,1), (INDEX(FlowCalConstA,MATCH(BB22,FlowCalNumber,0),1,1)*BD26^INDEX(FlowCalConstB,MATCH(BB22,FlowCalNumber,0),1,1)&lt;INDEX(FlowCalHighSetting,MATCH(BB22,FlowCalNumber,0),1,1))),INDEX(FlowCalConstA,MATCH(BB22,FlowCalNumber,0),1,1)*BD26^INDEX(FlowCalConstB,MATCH(BB22,FlowCalNumber,0),1,1)," ")</f>
        <v>#N/A</v>
      </c>
      <c r="BF26" s="33"/>
      <c r="BG26" s="242">
        <f t="shared" si="26"/>
        <v>0.45</v>
      </c>
      <c r="BH26" s="241" t="e">
        <f t="shared" ca="1" si="27"/>
        <v>#VALUE!</v>
      </c>
      <c r="BI26" s="244" t="e">
        <f ca="1">IF(AND(INDEX(FlowCalConstA,MATCH(BF22,FlowCalNumber,0),1,1)*BH26^INDEX(FlowCalConstB,MATCH(BF22,FlowCalNumber,0),1,1)&gt;INDEX(FlowCalLowSetting,MATCH(BF22,FlowCalNumber,0),1,1), (INDEX(FlowCalConstA,MATCH(BF22,FlowCalNumber,0),1,1)*BH26^INDEX(FlowCalConstB,MATCH(BF22,FlowCalNumber,0),1,1)&lt;INDEX(FlowCalHighSetting,MATCH(BF22,FlowCalNumber,0),1,1))),INDEX(FlowCalConstA,MATCH(BF22,FlowCalNumber,0),1,1)*BH26^INDEX(FlowCalConstB,MATCH(BF22,FlowCalNumber,0),1,1)," ")</f>
        <v>#N/A</v>
      </c>
      <c r="BJ26" s="33"/>
      <c r="BK26" s="242">
        <f t="shared" si="28"/>
        <v>0.45</v>
      </c>
      <c r="BL26" s="241" t="e">
        <f t="shared" ca="1" si="29"/>
        <v>#VALUE!</v>
      </c>
      <c r="BM26" s="244" t="e">
        <f ca="1">IF(AND(INDEX(FlowCalConstA,MATCH(BJ22,FlowCalNumber,0),1,1)*BL26^INDEX(FlowCalConstB,MATCH(BJ22,FlowCalNumber,0),1,1)&gt;INDEX(FlowCalLowSetting,MATCH(BJ22,FlowCalNumber,0),1,1), (INDEX(FlowCalConstA,MATCH(BJ22,FlowCalNumber,0),1,1)*BL26^INDEX(FlowCalConstB,MATCH(BJ22,FlowCalNumber,0),1,1)&lt;INDEX(FlowCalHighSetting,MATCH(BJ22,FlowCalNumber,0),1,1))),INDEX(FlowCalConstA,MATCH(BJ22,FlowCalNumber,0),1,1)*BL26^INDEX(FlowCalConstB,MATCH(BJ22,FlowCalNumber,0),1,1)," ")</f>
        <v>#N/A</v>
      </c>
      <c r="BN26" s="33"/>
      <c r="BO26" s="242">
        <f t="shared" si="30"/>
        <v>0.1</v>
      </c>
      <c r="BP26" s="241" t="e">
        <f t="shared" ca="1" si="31"/>
        <v>#VALUE!</v>
      </c>
      <c r="BQ26" s="244" t="e">
        <f ca="1">IF(AND(INDEX(FlowCalConstA,MATCH(BN22,FlowCalNumber,0),1,1)*BP26^INDEX(FlowCalConstB,MATCH(BN22,FlowCalNumber,0),1,1)&gt;INDEX(FlowCalLowSetting,MATCH(BN22,FlowCalNumber,0),1,1), (INDEX(FlowCalConstA,MATCH(BN22,FlowCalNumber,0),1,1)*BP26^INDEX(FlowCalConstB,MATCH(BN22,FlowCalNumber,0),1,1)&lt;INDEX(FlowCalHighSetting,MATCH(BN22,FlowCalNumber,0),1,1))),INDEX(FlowCalConstA,MATCH(BN22,FlowCalNumber,0),1,1)*BP26^INDEX(FlowCalConstB,MATCH(BN22,FlowCalNumber,0),1,1)," ")</f>
        <v>#N/A</v>
      </c>
      <c r="BR26" s="33"/>
      <c r="BS26" s="242">
        <f t="shared" si="32"/>
        <v>0.4</v>
      </c>
      <c r="BT26" s="241" t="e">
        <f t="shared" ca="1" si="33"/>
        <v>#VALUE!</v>
      </c>
      <c r="BU26" s="244" t="e">
        <f ca="1">IF(AND(INDEX(FlowCalConstA,MATCH(BR22,FlowCalNumber,0),1,1)*BT26^INDEX(FlowCalConstB,MATCH(BR22,FlowCalNumber,0),1,1)&gt;INDEX(FlowCalLowSetting,MATCH(BR22,FlowCalNumber,0),1,1), (INDEX(FlowCalConstA,MATCH(BR22,FlowCalNumber,0),1,1)*BT26^INDEX(FlowCalConstB,MATCH(BR22,FlowCalNumber,0),1,1)&lt;INDEX(FlowCalHighSetting,MATCH(BR22,FlowCalNumber,0),1,1))),INDEX(FlowCalConstA,MATCH(BR22,FlowCalNumber,0),1,1)*BT26^INDEX(FlowCalConstB,MATCH(BR22,FlowCalNumber,0),1,1)," ")</f>
        <v>#N/A</v>
      </c>
      <c r="BV26" s="33"/>
      <c r="BW26" s="242">
        <f t="shared" si="34"/>
        <v>0.4</v>
      </c>
      <c r="BX26" s="241" t="e">
        <f t="shared" ca="1" si="35"/>
        <v>#VALUE!</v>
      </c>
      <c r="BY26" s="244" t="e">
        <f ca="1">IF(AND(INDEX(FlowCalConstA,MATCH(BV22,FlowCalNumber,0),1,1)*BX26^INDEX(FlowCalConstB,MATCH(BV22,FlowCalNumber,0),1,1)&gt;INDEX(FlowCalLowSetting,MATCH(BV22,FlowCalNumber,0),1,1), (INDEX(FlowCalConstA,MATCH(BV22,FlowCalNumber,0),1,1)*BX26^INDEX(FlowCalConstB,MATCH(BV22,FlowCalNumber,0),1,1)&lt;INDEX(FlowCalHighSetting,MATCH(BV22,FlowCalNumber,0),1,1))),INDEX(FlowCalConstA,MATCH(BV22,FlowCalNumber,0),1,1)*BX26^INDEX(FlowCalConstB,MATCH(BV22,FlowCalNumber,0),1,1)," ")</f>
        <v>#N/A</v>
      </c>
      <c r="BZ26" s="33"/>
      <c r="CA26" s="242">
        <f t="shared" si="36"/>
        <v>0.1</v>
      </c>
      <c r="CB26" s="241" t="e">
        <f t="shared" ca="1" si="37"/>
        <v>#VALUE!</v>
      </c>
      <c r="CC26" s="244" t="e">
        <f ca="1">IF(AND(INDEX(FlowCalConstA,MATCH(BZ22,FlowCalNumber,0),1,1)*CB26^INDEX(FlowCalConstB,MATCH(BZ22,FlowCalNumber,0),1,1)&gt;INDEX(FlowCalLowSetting,MATCH(BZ22,FlowCalNumber,0),1,1), (INDEX(FlowCalConstA,MATCH(BZ22,FlowCalNumber,0),1,1)*CB26^INDEX(FlowCalConstB,MATCH(BZ22,FlowCalNumber,0),1,1)&lt;INDEX(FlowCalHighSetting,MATCH(BZ22,FlowCalNumber,0),1,1))),INDEX(FlowCalConstA,MATCH(BZ22,FlowCalNumber,0),1,1)*CB26^INDEX(FlowCalConstB,MATCH(BZ22,FlowCalNumber,0),1,1)," ")</f>
        <v>#N/A</v>
      </c>
      <c r="CD26" s="243"/>
      <c r="CE26" s="243"/>
      <c r="CF26" s="243"/>
      <c r="CG26" s="243"/>
      <c r="CH26" s="243"/>
      <c r="CI26" s="243"/>
      <c r="CJ26" s="243"/>
      <c r="CK26" s="243"/>
      <c r="CL26" s="243"/>
      <c r="CM26" s="243"/>
      <c r="CN26" s="243"/>
      <c r="CO26" s="243"/>
      <c r="CP26" s="243"/>
      <c r="CQ26" s="243"/>
      <c r="CR26" s="243"/>
      <c r="CS26" s="243"/>
      <c r="CT26" s="243"/>
      <c r="CU26" s="243"/>
      <c r="CV26" s="243"/>
      <c r="CW26" s="243"/>
      <c r="CX26" s="243"/>
      <c r="CY26" s="243"/>
      <c r="CZ26" s="243"/>
      <c r="DA26" s="243"/>
      <c r="DB26" s="243"/>
      <c r="DC26" s="243"/>
      <c r="DD26" s="243"/>
      <c r="DE26" s="243"/>
      <c r="DF26" s="243"/>
      <c r="DG26" s="243"/>
      <c r="DH26" s="243"/>
      <c r="DI26" s="243"/>
      <c r="DJ26" s="243"/>
      <c r="DK26" s="243"/>
      <c r="DM26" s="242"/>
      <c r="DO26" s="243"/>
      <c r="DQ26" s="242"/>
      <c r="DS26" s="243"/>
      <c r="DU26" s="242"/>
      <c r="DW26" s="243"/>
      <c r="DY26" s="242"/>
      <c r="EA26" s="243"/>
    </row>
    <row r="27" spans="1:131">
      <c r="A27" s="20"/>
      <c r="B27" s="124" t="str">
        <f t="shared" si="0"/>
        <v/>
      </c>
      <c r="C27" s="235"/>
      <c r="D27" s="24">
        <f>'1% Wind'!$M$86</f>
        <v>15.5</v>
      </c>
      <c r="E27" s="90"/>
      <c r="F27" s="90"/>
      <c r="G27" s="79">
        <f ca="1">IF(I22=0.9743,$G26,MAX(G26/D26*D27,2))</f>
        <v>6.001707317073171</v>
      </c>
      <c r="H27" s="121" t="e">
        <f t="shared" ca="1" si="1"/>
        <v>#VALUE!</v>
      </c>
      <c r="J27" s="33"/>
      <c r="K27" s="242">
        <f t="shared" si="2"/>
        <v>1</v>
      </c>
      <c r="L27" s="241" t="e">
        <f t="shared" ca="1" si="3"/>
        <v>#VALUE!</v>
      </c>
      <c r="M27" s="243" t="e">
        <f ca="1">IF(AND(INDEX(FlowCalConstA,MATCH(J22,FlowCalNumber,0),1,1)*L27^INDEX(FlowCalConstB,MATCH(J22,FlowCalNumber,0),1,1)&gt;INDEX(FlowCalLowSetting,MATCH(J22,FlowCalNumber,0),1,1), (INDEX(FlowCalConstA,MATCH(J22,FlowCalNumber,0),1,1)*L27^INDEX(FlowCalConstB,MATCH(J22,FlowCalNumber,0),1,1)&lt;INDEX(FlowCalHighSetting,MATCH(J22,FlowCalNumber,0),1,1))),INDEX(FlowCalConstA,MATCH(J22,FlowCalNumber,0),1,1)*L27^INDEX(FlowCalConstB,MATCH(J22,FlowCalNumber,0),1,1)," ")</f>
        <v>#N/A</v>
      </c>
      <c r="N27" s="33"/>
      <c r="O27" s="242">
        <f t="shared" si="4"/>
        <v>1</v>
      </c>
      <c r="P27" s="241" t="e">
        <f t="shared" ca="1" si="5"/>
        <v>#VALUE!</v>
      </c>
      <c r="Q27" s="243" t="e">
        <f ca="1">IF(AND(INDEX(FlowCalConstA,MATCH(N22,FlowCalNumber,0),1,1)*P27^INDEX(FlowCalConstB,MATCH(N22,FlowCalNumber,0),1,1)&gt;INDEX(FlowCalLowSetting,MATCH(N22,FlowCalNumber,0),1,1), (INDEX(FlowCalConstA,MATCH(N22,FlowCalNumber,0),1,1)*P27^INDEX(FlowCalConstB,MATCH(N22,FlowCalNumber,0),1,1)&lt;INDEX(FlowCalHighSetting,MATCH(N22,FlowCalNumber,0),1,1))),INDEX(FlowCalConstA,MATCH(N22,FlowCalNumber,0),1,1)*P27^INDEX(FlowCalConstB,MATCH(N22,FlowCalNumber,0),1,1)," ")</f>
        <v>#N/A</v>
      </c>
      <c r="R27" s="33"/>
      <c r="S27" s="242">
        <f t="shared" si="6"/>
        <v>1</v>
      </c>
      <c r="T27" s="241" t="e">
        <f t="shared" ca="1" si="7"/>
        <v>#VALUE!</v>
      </c>
      <c r="U27" s="244" t="e">
        <f ca="1">IF(AND(INDEX(FlowCalConstA,MATCH(R22,FlowCalNumber,0),1,1)*T27^INDEX(FlowCalConstB,MATCH(R22,FlowCalNumber,0),1,1)&gt;INDEX(FlowCalLowSetting,MATCH(R22,FlowCalNumber,0),1,1), (INDEX(FlowCalConstA,MATCH(R22,FlowCalNumber,0),1,1)*T27^INDEX(FlowCalConstB,MATCH(R22,FlowCalNumber,0),1,1)&lt;INDEX(FlowCalHighSetting,MATCH(R22,FlowCalNumber,0),1,1))),INDEX(FlowCalConstA,MATCH(R22,FlowCalNumber,0),1,1)*T27^INDEX(FlowCalConstB,MATCH(R22,FlowCalNumber,0),1,1)," ")</f>
        <v>#N/A</v>
      </c>
      <c r="V27" s="33"/>
      <c r="W27" s="242">
        <f t="shared" si="8"/>
        <v>0.1</v>
      </c>
      <c r="X27" s="241" t="e">
        <f t="shared" ca="1" si="9"/>
        <v>#VALUE!</v>
      </c>
      <c r="Y27" s="243" t="e">
        <f ca="1">IF(AND(INDEX(FlowCalConstA,MATCH(V22,FlowCalNumber,0),1,1)*X27^INDEX(FlowCalConstB,MATCH(V22,FlowCalNumber,0),1,1)&gt;INDEX(FlowCalLowSetting,MATCH(V22,FlowCalNumber,0),1,1), (INDEX(FlowCalConstA,MATCH(V22,FlowCalNumber,0),1,1)*X27^INDEX(FlowCalConstB,MATCH(V22,FlowCalNumber,0),1,1)&lt;INDEX(FlowCalHighSetting,MATCH(V22,FlowCalNumber,0),1,1))),INDEX(FlowCalConstA,MATCH(V22,FlowCalNumber,0),1,1)*X27^INDEX(FlowCalConstB,MATCH(V22,FlowCalNumber,0),1,1)," ")</f>
        <v>#N/A</v>
      </c>
      <c r="Z27" s="33"/>
      <c r="AA27" s="242">
        <f t="shared" si="10"/>
        <v>0.9</v>
      </c>
      <c r="AB27" s="241" t="e">
        <f t="shared" ca="1" si="11"/>
        <v>#VALUE!</v>
      </c>
      <c r="AC27" s="243" t="e">
        <f ca="1">IF(AND(INDEX(FlowCalConstA,MATCH(Z22,FlowCalNumber,0),1,1)*AB27^INDEX(FlowCalConstB,MATCH(Z22,FlowCalNumber,0),1,1)&gt;INDEX(FlowCalLowSetting,MATCH(Z22,FlowCalNumber,0),1,1), (INDEX(FlowCalConstA,MATCH(Z22,FlowCalNumber,0),1,1)*AB27^INDEX(FlowCalConstB,MATCH(Z22,FlowCalNumber,0),1,1)&lt;INDEX(FlowCalHighSetting,MATCH(Z22,FlowCalNumber,0),1,1))),INDEX(FlowCalConstA,MATCH(Z22,FlowCalNumber,0),1,1)*AB27^INDEX(FlowCalConstB,MATCH(Z22,FlowCalNumber,0),1,1)," ")</f>
        <v>#N/A</v>
      </c>
      <c r="AD27" s="33"/>
      <c r="AE27" s="242">
        <f t="shared" si="12"/>
        <v>0.1</v>
      </c>
      <c r="AF27" s="241" t="e">
        <f t="shared" ca="1" si="13"/>
        <v>#VALUE!</v>
      </c>
      <c r="AG27" s="243" t="e">
        <f ca="1">IF(AND(INDEX(FlowCalConstA,MATCH(AD22,FlowCalNumber,0),1,1)*AF27^INDEX(FlowCalConstB,MATCH(AD22,FlowCalNumber,0),1,1)&gt;INDEX(FlowCalLowSetting,MATCH(AD22,FlowCalNumber,0),1,1), (INDEX(FlowCalConstA,MATCH(AD22,FlowCalNumber,0),1,1)*AF27^INDEX(FlowCalConstB,MATCH(AD22,FlowCalNumber,0),1,1)&lt;INDEX(FlowCalHighSetting,MATCH(AD22,FlowCalNumber,0),1,1))),INDEX(FlowCalConstA,MATCH(AD22,FlowCalNumber,0),1,1)*AF27^INDEX(FlowCalConstB,MATCH(AD22,FlowCalNumber,0),1,1)," ")</f>
        <v>#N/A</v>
      </c>
      <c r="AH27" s="33"/>
      <c r="AI27" s="242">
        <f t="shared" si="14"/>
        <v>0.9</v>
      </c>
      <c r="AJ27" s="241" t="e">
        <f t="shared" ca="1" si="15"/>
        <v>#VALUE!</v>
      </c>
      <c r="AK27" s="243" t="e">
        <f ca="1">IF(AND(INDEX(FlowCalConstA,MATCH(AH22,FlowCalNumber,0),1,1)*AJ27^INDEX(FlowCalConstB,MATCH(AH22,FlowCalNumber,0),1,1)&gt;INDEX(FlowCalLowSetting,MATCH(AH22,FlowCalNumber,0),1,1), (INDEX(FlowCalConstA,MATCH(AH22,FlowCalNumber,0),1,1)*AJ27^INDEX(FlowCalConstB,MATCH(AH22,FlowCalNumber,0),1,1)&lt;INDEX(FlowCalHighSetting,MATCH(AH22,FlowCalNumber,0),1,1))),INDEX(FlowCalConstA,MATCH(AH22,FlowCalNumber,0),1,1)*AJ27^INDEX(FlowCalConstB,MATCH(AH22,FlowCalNumber,0),1,1)," ")</f>
        <v>#N/A</v>
      </c>
      <c r="AL27" s="33"/>
      <c r="AM27" s="242">
        <f t="shared" si="16"/>
        <v>0.1</v>
      </c>
      <c r="AN27" s="241" t="e">
        <f t="shared" ca="1" si="17"/>
        <v>#VALUE!</v>
      </c>
      <c r="AO27" s="244" t="e">
        <f ca="1">IF(AND(INDEX(FlowCalConstA,MATCH(AL22,FlowCalNumber,0),1,1)*AN27^INDEX(FlowCalConstB,MATCH(AL22,FlowCalNumber,0),1,1)&gt;INDEX(FlowCalLowSetting,MATCH(AL22,FlowCalNumber,0),1,1), (INDEX(FlowCalConstA,MATCH(AL22,FlowCalNumber,0),1,1)*AN27^INDEX(FlowCalConstB,MATCH(AL22,FlowCalNumber,0),1,1)&lt;INDEX(FlowCalHighSetting,MATCH(AL22,FlowCalNumber,0),1,1))),INDEX(FlowCalConstA,MATCH(AL22,FlowCalNumber,0),1,1)*AN27^INDEX(FlowCalConstB,MATCH(AL22,FlowCalNumber,0),1,1)," ")</f>
        <v>#N/A</v>
      </c>
      <c r="AQ27" s="242">
        <f t="shared" si="18"/>
        <v>0.9</v>
      </c>
      <c r="AR27" s="241" t="e">
        <f t="shared" ca="1" si="19"/>
        <v>#VALUE!</v>
      </c>
      <c r="AS27" s="244" t="e">
        <f ca="1">IF(AND(INDEX(FlowCalConstA,MATCH(AP22,FlowCalNumber,0),1,1)*AR27^INDEX(FlowCalConstB,MATCH(AP22,FlowCalNumber,0),1,1)&gt;INDEX(FlowCalLowSetting,MATCH(AP22,FlowCalNumber,0),1,1), (INDEX(FlowCalConstA,MATCH(AP22,FlowCalNumber,0),1,1)*AR27^INDEX(FlowCalConstB,MATCH(AP22,FlowCalNumber,0),1,1)&lt;INDEX(FlowCalHighSetting,MATCH(AP22,FlowCalNumber,0),1,1))),INDEX(FlowCalConstA,MATCH(AP22,FlowCalNumber,0),1,1)*AR27^INDEX(FlowCalConstB,MATCH(AP22,FlowCalNumber,0),1,1)," ")</f>
        <v>#N/A</v>
      </c>
      <c r="AT27" s="33"/>
      <c r="AU27" s="242">
        <f t="shared" si="20"/>
        <v>0.1</v>
      </c>
      <c r="AV27" s="241" t="e">
        <f t="shared" ca="1" si="21"/>
        <v>#VALUE!</v>
      </c>
      <c r="AW27" s="244" t="e">
        <f ca="1">IF(AND(INDEX(FlowCalConstA,MATCH(AT22,FlowCalNumber,0),1,1)*AV27^INDEX(FlowCalConstB,MATCH(AT22,FlowCalNumber,0),1,1)&gt;INDEX(FlowCalLowSetting,MATCH(AT22,FlowCalNumber,0),1,1), (INDEX(FlowCalConstA,MATCH(AT22,FlowCalNumber,0),1,1)*AV27^INDEX(FlowCalConstB,MATCH(AT22,FlowCalNumber,0),1,1)&lt;INDEX(FlowCalHighSetting,MATCH(AT22,FlowCalNumber,0),1,1))),INDEX(FlowCalConstA,MATCH(AT22,FlowCalNumber,0),1,1)*AV27^INDEX(FlowCalConstB,MATCH(AT22,FlowCalNumber,0),1,1)," ")</f>
        <v>#N/A</v>
      </c>
      <c r="AX27" s="33"/>
      <c r="AY27" s="242">
        <f t="shared" si="22"/>
        <v>0.9</v>
      </c>
      <c r="AZ27" s="241" t="e">
        <f t="shared" ca="1" si="23"/>
        <v>#VALUE!</v>
      </c>
      <c r="BA27" s="244" t="e">
        <f ca="1">IF(AND(INDEX(FlowCalConstA,MATCH(AX22,FlowCalNumber,0),1,1)*AZ27^INDEX(FlowCalConstB,MATCH(AX22,FlowCalNumber,0),1,1)&gt;INDEX(FlowCalLowSetting,MATCH(AX22,FlowCalNumber,0),1,1), (INDEX(FlowCalConstA,MATCH(AX22,FlowCalNumber,0),1,1)*AZ27^INDEX(FlowCalConstB,MATCH(AX22,FlowCalNumber,0),1,1)&lt;INDEX(FlowCalHighSetting,MATCH(AX22,FlowCalNumber,0),1,1))),INDEX(FlowCalConstA,MATCH(AX22,FlowCalNumber,0),1,1)*AZ27^INDEX(FlowCalConstB,MATCH(AX22,FlowCalNumber,0),1,1)," ")</f>
        <v>#N/A</v>
      </c>
      <c r="BB27" s="33"/>
      <c r="BC27" s="242">
        <f t="shared" si="24"/>
        <v>0.1</v>
      </c>
      <c r="BD27" s="241" t="e">
        <f t="shared" ca="1" si="25"/>
        <v>#VALUE!</v>
      </c>
      <c r="BE27" s="244" t="e">
        <f ca="1">IF(AND(INDEX(FlowCalConstA,MATCH(BB22,FlowCalNumber,0),1,1)*BD27^INDEX(FlowCalConstB,MATCH(BB22,FlowCalNumber,0),1,1)&gt;INDEX(FlowCalLowSetting,MATCH(BB22,FlowCalNumber,0),1,1), (INDEX(FlowCalConstA,MATCH(BB22,FlowCalNumber,0),1,1)*BD27^INDEX(FlowCalConstB,MATCH(BB22,FlowCalNumber,0),1,1)&lt;INDEX(FlowCalHighSetting,MATCH(BB22,FlowCalNumber,0),1,1))),INDEX(FlowCalConstA,MATCH(BB22,FlowCalNumber,0),1,1)*BD27^INDEX(FlowCalConstB,MATCH(BB22,FlowCalNumber,0),1,1)," ")</f>
        <v>#N/A</v>
      </c>
      <c r="BF27" s="33"/>
      <c r="BG27" s="242">
        <f t="shared" si="26"/>
        <v>0.45</v>
      </c>
      <c r="BH27" s="241" t="e">
        <f t="shared" ca="1" si="27"/>
        <v>#VALUE!</v>
      </c>
      <c r="BI27" s="244" t="e">
        <f ca="1">IF(AND(INDEX(FlowCalConstA,MATCH(BF22,FlowCalNumber,0),1,1)*BH27^INDEX(FlowCalConstB,MATCH(BF22,FlowCalNumber,0),1,1)&gt;INDEX(FlowCalLowSetting,MATCH(BF22,FlowCalNumber,0),1,1), (INDEX(FlowCalConstA,MATCH(BF22,FlowCalNumber,0),1,1)*BH27^INDEX(FlowCalConstB,MATCH(BF22,FlowCalNumber,0),1,1)&lt;INDEX(FlowCalHighSetting,MATCH(BF22,FlowCalNumber,0),1,1))),INDEX(FlowCalConstA,MATCH(BF22,FlowCalNumber,0),1,1)*BH27^INDEX(FlowCalConstB,MATCH(BF22,FlowCalNumber,0),1,1)," ")</f>
        <v>#N/A</v>
      </c>
      <c r="BJ27" s="33"/>
      <c r="BK27" s="242">
        <f t="shared" si="28"/>
        <v>0.45</v>
      </c>
      <c r="BL27" s="241" t="e">
        <f t="shared" ca="1" si="29"/>
        <v>#VALUE!</v>
      </c>
      <c r="BM27" s="244" t="e">
        <f ca="1">IF(AND(INDEX(FlowCalConstA,MATCH(BJ22,FlowCalNumber,0),1,1)*BL27^INDEX(FlowCalConstB,MATCH(BJ22,FlowCalNumber,0),1,1)&gt;INDEX(FlowCalLowSetting,MATCH(BJ22,FlowCalNumber,0),1,1), (INDEX(FlowCalConstA,MATCH(BJ22,FlowCalNumber,0),1,1)*BL27^INDEX(FlowCalConstB,MATCH(BJ22,FlowCalNumber,0),1,1)&lt;INDEX(FlowCalHighSetting,MATCH(BJ22,FlowCalNumber,0),1,1))),INDEX(FlowCalConstA,MATCH(BJ22,FlowCalNumber,0),1,1)*BL27^INDEX(FlowCalConstB,MATCH(BJ22,FlowCalNumber,0),1,1)," ")</f>
        <v>#N/A</v>
      </c>
      <c r="BN27" s="33"/>
      <c r="BO27" s="242">
        <f t="shared" si="30"/>
        <v>0.1</v>
      </c>
      <c r="BP27" s="241" t="e">
        <f t="shared" ca="1" si="31"/>
        <v>#VALUE!</v>
      </c>
      <c r="BQ27" s="244" t="e">
        <f ca="1">IF(AND(INDEX(FlowCalConstA,MATCH(BN22,FlowCalNumber,0),1,1)*BP27^INDEX(FlowCalConstB,MATCH(BN22,FlowCalNumber,0),1,1)&gt;INDEX(FlowCalLowSetting,MATCH(BN22,FlowCalNumber,0),1,1), (INDEX(FlowCalConstA,MATCH(BN22,FlowCalNumber,0),1,1)*BP27^INDEX(FlowCalConstB,MATCH(BN22,FlowCalNumber,0),1,1)&lt;INDEX(FlowCalHighSetting,MATCH(BN22,FlowCalNumber,0),1,1))),INDEX(FlowCalConstA,MATCH(BN22,FlowCalNumber,0),1,1)*BP27^INDEX(FlowCalConstB,MATCH(BN22,FlowCalNumber,0),1,1)," ")</f>
        <v>#N/A</v>
      </c>
      <c r="BR27" s="33"/>
      <c r="BS27" s="242">
        <f t="shared" si="32"/>
        <v>0.4</v>
      </c>
      <c r="BT27" s="241" t="e">
        <f t="shared" ca="1" si="33"/>
        <v>#VALUE!</v>
      </c>
      <c r="BU27" s="244" t="e">
        <f ca="1">IF(AND(INDEX(FlowCalConstA,MATCH(BR22,FlowCalNumber,0),1,1)*BT27^INDEX(FlowCalConstB,MATCH(BR22,FlowCalNumber,0),1,1)&gt;INDEX(FlowCalLowSetting,MATCH(BR22,FlowCalNumber,0),1,1), (INDEX(FlowCalConstA,MATCH(BR22,FlowCalNumber,0),1,1)*BT27^INDEX(FlowCalConstB,MATCH(BR22,FlowCalNumber,0),1,1)&lt;INDEX(FlowCalHighSetting,MATCH(BR22,FlowCalNumber,0),1,1))),INDEX(FlowCalConstA,MATCH(BR22,FlowCalNumber,0),1,1)*BT27^INDEX(FlowCalConstB,MATCH(BR22,FlowCalNumber,0),1,1)," ")</f>
        <v>#N/A</v>
      </c>
      <c r="BV27" s="33"/>
      <c r="BW27" s="242">
        <f t="shared" si="34"/>
        <v>0.4</v>
      </c>
      <c r="BX27" s="241" t="e">
        <f t="shared" ca="1" si="35"/>
        <v>#VALUE!</v>
      </c>
      <c r="BY27" s="244" t="e">
        <f ca="1">IF(AND(INDEX(FlowCalConstA,MATCH(BV22,FlowCalNumber,0),1,1)*BX27^INDEX(FlowCalConstB,MATCH(BV22,FlowCalNumber,0),1,1)&gt;INDEX(FlowCalLowSetting,MATCH(BV22,FlowCalNumber,0),1,1), (INDEX(FlowCalConstA,MATCH(BV22,FlowCalNumber,0),1,1)*BX27^INDEX(FlowCalConstB,MATCH(BV22,FlowCalNumber,0),1,1)&lt;INDEX(FlowCalHighSetting,MATCH(BV22,FlowCalNumber,0),1,1))),INDEX(FlowCalConstA,MATCH(BV22,FlowCalNumber,0),1,1)*BX27^INDEX(FlowCalConstB,MATCH(BV22,FlowCalNumber,0),1,1)," ")</f>
        <v>#N/A</v>
      </c>
      <c r="BZ27" s="33"/>
      <c r="CA27" s="242">
        <f t="shared" si="36"/>
        <v>0.1</v>
      </c>
      <c r="CB27" s="241" t="e">
        <f t="shared" ca="1" si="37"/>
        <v>#VALUE!</v>
      </c>
      <c r="CC27" s="244" t="e">
        <f ca="1">IF(AND(INDEX(FlowCalConstA,MATCH(BZ22,FlowCalNumber,0),1,1)*CB27^INDEX(FlowCalConstB,MATCH(BZ22,FlowCalNumber,0),1,1)&gt;INDEX(FlowCalLowSetting,MATCH(BZ22,FlowCalNumber,0),1,1), (INDEX(FlowCalConstA,MATCH(BZ22,FlowCalNumber,0),1,1)*CB27^INDEX(FlowCalConstB,MATCH(BZ22,FlowCalNumber,0),1,1)&lt;INDEX(FlowCalHighSetting,MATCH(BZ22,FlowCalNumber,0),1,1))),INDEX(FlowCalConstA,MATCH(BZ22,FlowCalNumber,0),1,1)*CB27^INDEX(FlowCalConstB,MATCH(BZ22,FlowCalNumber,0),1,1)," ")</f>
        <v>#N/A</v>
      </c>
      <c r="CD27" s="243"/>
      <c r="CE27" s="243"/>
      <c r="CF27" s="243"/>
      <c r="CG27" s="243"/>
      <c r="CH27" s="243"/>
      <c r="CI27" s="243"/>
      <c r="CJ27" s="243"/>
      <c r="CK27" s="243"/>
      <c r="CL27" s="243"/>
      <c r="CM27" s="243"/>
      <c r="CN27" s="243"/>
      <c r="CO27" s="243"/>
      <c r="CP27" s="243"/>
      <c r="CQ27" s="243"/>
      <c r="CR27" s="243"/>
      <c r="CS27" s="243"/>
      <c r="CT27" s="243"/>
      <c r="CU27" s="243"/>
      <c r="CV27" s="243"/>
      <c r="CW27" s="243"/>
      <c r="CX27" s="243"/>
      <c r="CY27" s="243"/>
      <c r="CZ27" s="243"/>
      <c r="DA27" s="243"/>
      <c r="DB27" s="243"/>
      <c r="DC27" s="243"/>
      <c r="DD27" s="243"/>
      <c r="DE27" s="243"/>
      <c r="DF27" s="243"/>
      <c r="DG27" s="243"/>
      <c r="DH27" s="243"/>
      <c r="DI27" s="243"/>
      <c r="DJ27" s="243"/>
      <c r="DK27" s="243"/>
      <c r="DM27" s="242"/>
      <c r="DO27" s="243"/>
      <c r="DQ27" s="242"/>
      <c r="DS27" s="243"/>
      <c r="DU27" s="242"/>
      <c r="DW27" s="243"/>
      <c r="DY27" s="242"/>
      <c r="EA27" s="243"/>
    </row>
    <row r="28" spans="1:131">
      <c r="A28" s="20"/>
      <c r="B28" s="124" t="str">
        <f t="shared" si="0"/>
        <v/>
      </c>
      <c r="C28" s="235"/>
      <c r="D28" s="24">
        <f>'1% Wind'!$M$87</f>
        <v>13.5</v>
      </c>
      <c r="E28" s="90"/>
      <c r="F28" s="90"/>
      <c r="G28" s="79">
        <f ca="1">IF(I22=0.9743,G27,MAX(G27/D27*D28,2))</f>
        <v>6.001707317073171</v>
      </c>
      <c r="H28" s="121" t="e">
        <f t="shared" ca="1" si="1"/>
        <v>#VALUE!</v>
      </c>
      <c r="J28" s="33"/>
      <c r="K28" s="242">
        <f t="shared" si="2"/>
        <v>1</v>
      </c>
      <c r="L28" s="241" t="e">
        <f t="shared" ca="1" si="3"/>
        <v>#VALUE!</v>
      </c>
      <c r="M28" s="243" t="e">
        <f ca="1">IF(AND(INDEX(FlowCalConstA,MATCH(J22,FlowCalNumber,0),1,1)*L28^INDEX(FlowCalConstB,MATCH(J22,FlowCalNumber,0),1,1)&gt;INDEX(FlowCalLowSetting,MATCH(J22,FlowCalNumber,0),1,1), (INDEX(FlowCalConstA,MATCH(J22,FlowCalNumber,0),1,1)*L28^INDEX(FlowCalConstB,MATCH(J22,FlowCalNumber,0),1,1)&lt;INDEX(FlowCalHighSetting,MATCH(J22,FlowCalNumber,0),1,1))),INDEX(FlowCalConstA,MATCH(J22,FlowCalNumber,0),1,1)*L28^INDEX(FlowCalConstB,MATCH(J22,FlowCalNumber,0),1,1)," ")</f>
        <v>#N/A</v>
      </c>
      <c r="N28" s="33"/>
      <c r="O28" s="242">
        <f t="shared" si="4"/>
        <v>1</v>
      </c>
      <c r="P28" s="241" t="e">
        <f t="shared" ca="1" si="5"/>
        <v>#VALUE!</v>
      </c>
      <c r="Q28" s="243" t="e">
        <f ca="1">IF(AND(INDEX(FlowCalConstA,MATCH(N22,FlowCalNumber,0),1,1)*P28^INDEX(FlowCalConstB,MATCH(N22,FlowCalNumber,0),1,1)&gt;INDEX(FlowCalLowSetting,MATCH(N22,FlowCalNumber,0),1,1), (INDEX(FlowCalConstA,MATCH(N22,FlowCalNumber,0),1,1)*P28^INDEX(FlowCalConstB,MATCH(N22,FlowCalNumber,0),1,1)&lt;INDEX(FlowCalHighSetting,MATCH(N22,FlowCalNumber,0),1,1))),INDEX(FlowCalConstA,MATCH(N22,FlowCalNumber,0),1,1)*P28^INDEX(FlowCalConstB,MATCH(N22,FlowCalNumber,0),1,1)," ")</f>
        <v>#N/A</v>
      </c>
      <c r="R28" s="33"/>
      <c r="S28" s="242">
        <f t="shared" si="6"/>
        <v>1</v>
      </c>
      <c r="T28" s="241" t="e">
        <f t="shared" ca="1" si="7"/>
        <v>#VALUE!</v>
      </c>
      <c r="U28" s="244" t="e">
        <f ca="1">IF(AND(INDEX(FlowCalConstA,MATCH(R22,FlowCalNumber,0),1,1)*T28^INDEX(FlowCalConstB,MATCH(R22,FlowCalNumber,0),1,1)&gt;INDEX(FlowCalLowSetting,MATCH(R22,FlowCalNumber,0),1,1), (INDEX(FlowCalConstA,MATCH(R22,FlowCalNumber,0),1,1)*T28^INDEX(FlowCalConstB,MATCH(R22,FlowCalNumber,0),1,1)&lt;INDEX(FlowCalHighSetting,MATCH(R22,FlowCalNumber,0),1,1))),INDEX(FlowCalConstA,MATCH(R22,FlowCalNumber,0),1,1)*T28^INDEX(FlowCalConstB,MATCH(R22,FlowCalNumber,0),1,1)," ")</f>
        <v>#N/A</v>
      </c>
      <c r="V28" s="33"/>
      <c r="W28" s="242">
        <f t="shared" si="8"/>
        <v>0.1</v>
      </c>
      <c r="X28" s="241" t="e">
        <f t="shared" ca="1" si="9"/>
        <v>#VALUE!</v>
      </c>
      <c r="Y28" s="243" t="e">
        <f ca="1">IF(AND(INDEX(FlowCalConstA,MATCH(V22,FlowCalNumber,0),1,1)*X28^INDEX(FlowCalConstB,MATCH(V22,FlowCalNumber,0),1,1)&gt;INDEX(FlowCalLowSetting,MATCH(V22,FlowCalNumber,0),1,1), (INDEX(FlowCalConstA,MATCH(V22,FlowCalNumber,0),1,1)*X28^INDEX(FlowCalConstB,MATCH(V22,FlowCalNumber,0),1,1)&lt;INDEX(FlowCalHighSetting,MATCH(V22,FlowCalNumber,0),1,1))),INDEX(FlowCalConstA,MATCH(V22,FlowCalNumber,0),1,1)*X28^INDEX(FlowCalConstB,MATCH(V22,FlowCalNumber,0),1,1)," ")</f>
        <v>#N/A</v>
      </c>
      <c r="Z28" s="33"/>
      <c r="AA28" s="242">
        <f t="shared" si="10"/>
        <v>0.9</v>
      </c>
      <c r="AB28" s="241" t="e">
        <f t="shared" ca="1" si="11"/>
        <v>#VALUE!</v>
      </c>
      <c r="AC28" s="243" t="e">
        <f ca="1">IF(AND(INDEX(FlowCalConstA,MATCH(Z22,FlowCalNumber,0),1,1)*AB28^INDEX(FlowCalConstB,MATCH(Z22,FlowCalNumber,0),1,1)&gt;INDEX(FlowCalLowSetting,MATCH(Z22,FlowCalNumber,0),1,1), (INDEX(FlowCalConstA,MATCH(Z22,FlowCalNumber,0),1,1)*AB28^INDEX(FlowCalConstB,MATCH(Z22,FlowCalNumber,0),1,1)&lt;INDEX(FlowCalHighSetting,MATCH(Z22,FlowCalNumber,0),1,1))),INDEX(FlowCalConstA,MATCH(Z22,FlowCalNumber,0),1,1)*AB28^INDEX(FlowCalConstB,MATCH(Z22,FlowCalNumber,0),1,1)," ")</f>
        <v>#N/A</v>
      </c>
      <c r="AD28" s="33"/>
      <c r="AE28" s="242">
        <f t="shared" si="12"/>
        <v>0.1</v>
      </c>
      <c r="AF28" s="241" t="e">
        <f t="shared" ca="1" si="13"/>
        <v>#VALUE!</v>
      </c>
      <c r="AG28" s="243" t="e">
        <f ca="1">IF(AND(INDEX(FlowCalConstA,MATCH(AD22,FlowCalNumber,0),1,1)*AF28^INDEX(FlowCalConstB,MATCH(AD22,FlowCalNumber,0),1,1)&gt;INDEX(FlowCalLowSetting,MATCH(AD22,FlowCalNumber,0),1,1), (INDEX(FlowCalConstA,MATCH(AD22,FlowCalNumber,0),1,1)*AF28^INDEX(FlowCalConstB,MATCH(AD22,FlowCalNumber,0),1,1)&lt;INDEX(FlowCalHighSetting,MATCH(AD22,FlowCalNumber,0),1,1))),INDEX(FlowCalConstA,MATCH(AD22,FlowCalNumber,0),1,1)*AF28^INDEX(FlowCalConstB,MATCH(AD22,FlowCalNumber,0),1,1)," ")</f>
        <v>#N/A</v>
      </c>
      <c r="AH28" s="33"/>
      <c r="AI28" s="242">
        <f t="shared" si="14"/>
        <v>0.9</v>
      </c>
      <c r="AJ28" s="241" t="e">
        <f t="shared" ca="1" si="15"/>
        <v>#VALUE!</v>
      </c>
      <c r="AK28" s="243" t="e">
        <f ca="1">IF(AND(INDEX(FlowCalConstA,MATCH(AH22,FlowCalNumber,0),1,1)*AJ28^INDEX(FlowCalConstB,MATCH(AH22,FlowCalNumber,0),1,1)&gt;INDEX(FlowCalLowSetting,MATCH(AH22,FlowCalNumber,0),1,1), (INDEX(FlowCalConstA,MATCH(AH22,FlowCalNumber,0),1,1)*AJ28^INDEX(FlowCalConstB,MATCH(AH22,FlowCalNumber,0),1,1)&lt;INDEX(FlowCalHighSetting,MATCH(AH22,FlowCalNumber,0),1,1))),INDEX(FlowCalConstA,MATCH(AH22,FlowCalNumber,0),1,1)*AJ28^INDEX(FlowCalConstB,MATCH(AH22,FlowCalNumber,0),1,1)," ")</f>
        <v>#N/A</v>
      </c>
      <c r="AL28" s="33"/>
      <c r="AM28" s="242">
        <f t="shared" si="16"/>
        <v>0.1</v>
      </c>
      <c r="AN28" s="241" t="e">
        <f t="shared" ca="1" si="17"/>
        <v>#VALUE!</v>
      </c>
      <c r="AO28" s="244" t="e">
        <f ca="1">IF(AND(INDEX(FlowCalConstA,MATCH(AL22,FlowCalNumber,0),1,1)*AN28^INDEX(FlowCalConstB,MATCH(AL22,FlowCalNumber,0),1,1)&gt;INDEX(FlowCalLowSetting,MATCH(AL22,FlowCalNumber,0),1,1), (INDEX(FlowCalConstA,MATCH(AL22,FlowCalNumber,0),1,1)*AN28^INDEX(FlowCalConstB,MATCH(AL22,FlowCalNumber,0),1,1)&lt;INDEX(FlowCalHighSetting,MATCH(AL22,FlowCalNumber,0),1,1))),INDEX(FlowCalConstA,MATCH(AL22,FlowCalNumber,0),1,1)*AN28^INDEX(FlowCalConstB,MATCH(AL22,FlowCalNumber,0),1,1)," ")</f>
        <v>#N/A</v>
      </c>
      <c r="AQ28" s="242">
        <f t="shared" si="18"/>
        <v>0.9</v>
      </c>
      <c r="AR28" s="241" t="e">
        <f t="shared" ca="1" si="19"/>
        <v>#VALUE!</v>
      </c>
      <c r="AS28" s="244" t="e">
        <f ca="1">IF(AND(INDEX(FlowCalConstA,MATCH(AP22,FlowCalNumber,0),1,1)*AR28^INDEX(FlowCalConstB,MATCH(AP22,FlowCalNumber,0),1,1)&gt;INDEX(FlowCalLowSetting,MATCH(AP22,FlowCalNumber,0),1,1), (INDEX(FlowCalConstA,MATCH(AP22,FlowCalNumber,0),1,1)*AR28^INDEX(FlowCalConstB,MATCH(AP22,FlowCalNumber,0),1,1)&lt;INDEX(FlowCalHighSetting,MATCH(AP22,FlowCalNumber,0),1,1))),INDEX(FlowCalConstA,MATCH(AP22,FlowCalNumber,0),1,1)*AR28^INDEX(FlowCalConstB,MATCH(AP22,FlowCalNumber,0),1,1)," ")</f>
        <v>#N/A</v>
      </c>
      <c r="AT28" s="33"/>
      <c r="AU28" s="242">
        <f t="shared" si="20"/>
        <v>0.1</v>
      </c>
      <c r="AV28" s="241" t="e">
        <f t="shared" ca="1" si="21"/>
        <v>#VALUE!</v>
      </c>
      <c r="AW28" s="244" t="e">
        <f ca="1">IF(AND(INDEX(FlowCalConstA,MATCH(AT22,FlowCalNumber,0),1,1)*AV28^INDEX(FlowCalConstB,MATCH(AT22,FlowCalNumber,0),1,1)&gt;INDEX(FlowCalLowSetting,MATCH(AT22,FlowCalNumber,0),1,1), (INDEX(FlowCalConstA,MATCH(AT22,FlowCalNumber,0),1,1)*AV28^INDEX(FlowCalConstB,MATCH(AT22,FlowCalNumber,0),1,1)&lt;INDEX(FlowCalHighSetting,MATCH(AT22,FlowCalNumber,0),1,1))),INDEX(FlowCalConstA,MATCH(AT22,FlowCalNumber,0),1,1)*AV28^INDEX(FlowCalConstB,MATCH(AT22,FlowCalNumber,0),1,1)," ")</f>
        <v>#N/A</v>
      </c>
      <c r="AX28" s="33"/>
      <c r="AY28" s="242">
        <f t="shared" si="22"/>
        <v>0.9</v>
      </c>
      <c r="AZ28" s="241" t="e">
        <f t="shared" ca="1" si="23"/>
        <v>#VALUE!</v>
      </c>
      <c r="BA28" s="244" t="e">
        <f ca="1">IF(AND(INDEX(FlowCalConstA,MATCH(AX22,FlowCalNumber,0),1,1)*AZ28^INDEX(FlowCalConstB,MATCH(AX22,FlowCalNumber,0),1,1)&gt;INDEX(FlowCalLowSetting,MATCH(AX22,FlowCalNumber,0),1,1), (INDEX(FlowCalConstA,MATCH(AX22,FlowCalNumber,0),1,1)*AZ28^INDEX(FlowCalConstB,MATCH(AX22,FlowCalNumber,0),1,1)&lt;INDEX(FlowCalHighSetting,MATCH(AX22,FlowCalNumber,0),1,1))),INDEX(FlowCalConstA,MATCH(AX22,FlowCalNumber,0),1,1)*AZ28^INDEX(FlowCalConstB,MATCH(AX22,FlowCalNumber,0),1,1)," ")</f>
        <v>#N/A</v>
      </c>
      <c r="BB28" s="33"/>
      <c r="BC28" s="242">
        <f t="shared" si="24"/>
        <v>0.1</v>
      </c>
      <c r="BD28" s="241" t="e">
        <f t="shared" ca="1" si="25"/>
        <v>#VALUE!</v>
      </c>
      <c r="BE28" s="244" t="e">
        <f ca="1">IF(AND(INDEX(FlowCalConstA,MATCH(BB22,FlowCalNumber,0),1,1)*BD28^INDEX(FlowCalConstB,MATCH(BB22,FlowCalNumber,0),1,1)&gt;INDEX(FlowCalLowSetting,MATCH(BB22,FlowCalNumber,0),1,1), (INDEX(FlowCalConstA,MATCH(BB22,FlowCalNumber,0),1,1)*BD28^INDEX(FlowCalConstB,MATCH(BB22,FlowCalNumber,0),1,1)&lt;INDEX(FlowCalHighSetting,MATCH(BB22,FlowCalNumber,0),1,1))),INDEX(FlowCalConstA,MATCH(BB22,FlowCalNumber,0),1,1)*BD28^INDEX(FlowCalConstB,MATCH(BB22,FlowCalNumber,0),1,1)," ")</f>
        <v>#N/A</v>
      </c>
      <c r="BF28" s="33"/>
      <c r="BG28" s="242">
        <f t="shared" si="26"/>
        <v>0.45</v>
      </c>
      <c r="BH28" s="241" t="e">
        <f t="shared" ca="1" si="27"/>
        <v>#VALUE!</v>
      </c>
      <c r="BI28" s="244" t="e">
        <f ca="1">IF(AND(INDEX(FlowCalConstA,MATCH(BF22,FlowCalNumber,0),1,1)*BH28^INDEX(FlowCalConstB,MATCH(BF22,FlowCalNumber,0),1,1)&gt;INDEX(FlowCalLowSetting,MATCH(BF22,FlowCalNumber,0),1,1), (INDEX(FlowCalConstA,MATCH(BF22,FlowCalNumber,0),1,1)*BH28^INDEX(FlowCalConstB,MATCH(BF22,FlowCalNumber,0),1,1)&lt;INDEX(FlowCalHighSetting,MATCH(BF22,FlowCalNumber,0),1,1))),INDEX(FlowCalConstA,MATCH(BF22,FlowCalNumber,0),1,1)*BH28^INDEX(FlowCalConstB,MATCH(BF22,FlowCalNumber,0),1,1)," ")</f>
        <v>#N/A</v>
      </c>
      <c r="BJ28" s="33"/>
      <c r="BK28" s="242">
        <f t="shared" si="28"/>
        <v>0.45</v>
      </c>
      <c r="BL28" s="241" t="e">
        <f t="shared" ca="1" si="29"/>
        <v>#VALUE!</v>
      </c>
      <c r="BM28" s="244" t="e">
        <f ca="1">IF(AND(INDEX(FlowCalConstA,MATCH(BJ22,FlowCalNumber,0),1,1)*BL28^INDEX(FlowCalConstB,MATCH(BJ22,FlowCalNumber,0),1,1)&gt;INDEX(FlowCalLowSetting,MATCH(BJ22,FlowCalNumber,0),1,1), (INDEX(FlowCalConstA,MATCH(BJ22,FlowCalNumber,0),1,1)*BL28^INDEX(FlowCalConstB,MATCH(BJ22,FlowCalNumber,0),1,1)&lt;INDEX(FlowCalHighSetting,MATCH(BJ22,FlowCalNumber,0),1,1))),INDEX(FlowCalConstA,MATCH(BJ22,FlowCalNumber,0),1,1)*BL28^INDEX(FlowCalConstB,MATCH(BJ22,FlowCalNumber,0),1,1)," ")</f>
        <v>#N/A</v>
      </c>
      <c r="BN28" s="33"/>
      <c r="BO28" s="242">
        <f t="shared" si="30"/>
        <v>0.1</v>
      </c>
      <c r="BP28" s="241" t="e">
        <f t="shared" ca="1" si="31"/>
        <v>#VALUE!</v>
      </c>
      <c r="BQ28" s="244" t="e">
        <f ca="1">IF(AND(INDEX(FlowCalConstA,MATCH(BN22,FlowCalNumber,0),1,1)*BP28^INDEX(FlowCalConstB,MATCH(BN22,FlowCalNumber,0),1,1)&gt;INDEX(FlowCalLowSetting,MATCH(BN22,FlowCalNumber,0),1,1), (INDEX(FlowCalConstA,MATCH(BN22,FlowCalNumber,0),1,1)*BP28^INDEX(FlowCalConstB,MATCH(BN22,FlowCalNumber,0),1,1)&lt;INDEX(FlowCalHighSetting,MATCH(BN22,FlowCalNumber,0),1,1))),INDEX(FlowCalConstA,MATCH(BN22,FlowCalNumber,0),1,1)*BP28^INDEX(FlowCalConstB,MATCH(BN22,FlowCalNumber,0),1,1)," ")</f>
        <v>#N/A</v>
      </c>
      <c r="BR28" s="33"/>
      <c r="BS28" s="242">
        <f t="shared" si="32"/>
        <v>0.4</v>
      </c>
      <c r="BT28" s="241" t="e">
        <f t="shared" ca="1" si="33"/>
        <v>#VALUE!</v>
      </c>
      <c r="BU28" s="244" t="e">
        <f ca="1">IF(AND(INDEX(FlowCalConstA,MATCH(BR22,FlowCalNumber,0),1,1)*BT28^INDEX(FlowCalConstB,MATCH(BR22,FlowCalNumber,0),1,1)&gt;INDEX(FlowCalLowSetting,MATCH(BR22,FlowCalNumber,0),1,1), (INDEX(FlowCalConstA,MATCH(BR22,FlowCalNumber,0),1,1)*BT28^INDEX(FlowCalConstB,MATCH(BR22,FlowCalNumber,0),1,1)&lt;INDEX(FlowCalHighSetting,MATCH(BR22,FlowCalNumber,0),1,1))),INDEX(FlowCalConstA,MATCH(BR22,FlowCalNumber,0),1,1)*BT28^INDEX(FlowCalConstB,MATCH(BR22,FlowCalNumber,0),1,1)," ")</f>
        <v>#N/A</v>
      </c>
      <c r="BV28" s="33"/>
      <c r="BW28" s="242">
        <f t="shared" si="34"/>
        <v>0.4</v>
      </c>
      <c r="BX28" s="241" t="e">
        <f t="shared" ca="1" si="35"/>
        <v>#VALUE!</v>
      </c>
      <c r="BY28" s="244" t="e">
        <f ca="1">IF(AND(INDEX(FlowCalConstA,MATCH(BV22,FlowCalNumber,0),1,1)*BX28^INDEX(FlowCalConstB,MATCH(BV22,FlowCalNumber,0),1,1)&gt;INDEX(FlowCalLowSetting,MATCH(BV22,FlowCalNumber,0),1,1), (INDEX(FlowCalConstA,MATCH(BV22,FlowCalNumber,0),1,1)*BX28^INDEX(FlowCalConstB,MATCH(BV22,FlowCalNumber,0),1,1)&lt;INDEX(FlowCalHighSetting,MATCH(BV22,FlowCalNumber,0),1,1))),INDEX(FlowCalConstA,MATCH(BV22,FlowCalNumber,0),1,1)*BX28^INDEX(FlowCalConstB,MATCH(BV22,FlowCalNumber,0),1,1)," ")</f>
        <v>#N/A</v>
      </c>
      <c r="BZ28" s="33"/>
      <c r="CA28" s="242">
        <f t="shared" si="36"/>
        <v>0.1</v>
      </c>
      <c r="CB28" s="241" t="e">
        <f t="shared" ca="1" si="37"/>
        <v>#VALUE!</v>
      </c>
      <c r="CC28" s="244" t="e">
        <f ca="1">IF(AND(INDEX(FlowCalConstA,MATCH(BZ22,FlowCalNumber,0),1,1)*CB28^INDEX(FlowCalConstB,MATCH(BZ22,FlowCalNumber,0),1,1)&gt;INDEX(FlowCalLowSetting,MATCH(BZ22,FlowCalNumber,0),1,1), (INDEX(FlowCalConstA,MATCH(BZ22,FlowCalNumber,0),1,1)*CB28^INDEX(FlowCalConstB,MATCH(BZ22,FlowCalNumber,0),1,1)&lt;INDEX(FlowCalHighSetting,MATCH(BZ22,FlowCalNumber,0),1,1))),INDEX(FlowCalConstA,MATCH(BZ22,FlowCalNumber,0),1,1)*CB28^INDEX(FlowCalConstB,MATCH(BZ22,FlowCalNumber,0),1,1)," ")</f>
        <v>#N/A</v>
      </c>
      <c r="CD28" s="243"/>
      <c r="CE28" s="243"/>
      <c r="CF28" s="243"/>
      <c r="CG28" s="243"/>
      <c r="CH28" s="243"/>
      <c r="CI28" s="243"/>
      <c r="CJ28" s="243"/>
      <c r="CK28" s="243"/>
      <c r="CL28" s="243"/>
      <c r="CM28" s="243"/>
      <c r="CN28" s="243"/>
      <c r="CO28" s="243"/>
      <c r="CP28" s="243"/>
      <c r="CQ28" s="243"/>
      <c r="CR28" s="243"/>
      <c r="CS28" s="243"/>
      <c r="CT28" s="243"/>
      <c r="CU28" s="243"/>
      <c r="CV28" s="243"/>
      <c r="CW28" s="243"/>
      <c r="CX28" s="243"/>
      <c r="CY28" s="243"/>
      <c r="CZ28" s="243"/>
      <c r="DA28" s="243"/>
      <c r="DB28" s="243"/>
      <c r="DC28" s="243"/>
      <c r="DD28" s="243"/>
      <c r="DE28" s="243"/>
      <c r="DF28" s="243"/>
      <c r="DG28" s="243"/>
      <c r="DH28" s="243"/>
      <c r="DI28" s="243"/>
      <c r="DJ28" s="243"/>
      <c r="DK28" s="243"/>
      <c r="DM28" s="242"/>
      <c r="DO28" s="243"/>
      <c r="DQ28" s="242"/>
      <c r="DS28" s="243"/>
      <c r="DU28" s="242"/>
      <c r="DW28" s="243"/>
      <c r="DY28" s="242"/>
      <c r="EA28" s="243"/>
    </row>
    <row r="29" spans="1:131">
      <c r="A29" s="20"/>
      <c r="B29" s="124" t="str">
        <f t="shared" si="0"/>
        <v/>
      </c>
      <c r="C29" s="235"/>
      <c r="D29" s="24">
        <f>'1% Wind'!$M$88</f>
        <v>10.1</v>
      </c>
      <c r="E29" s="90"/>
      <c r="F29" s="90"/>
      <c r="G29" s="79">
        <f ca="1">IF(I22=0.9743,G28,MAX(G28/D28*D29,2))</f>
        <v>6.001707317073171</v>
      </c>
      <c r="H29" s="121" t="e">
        <f t="shared" ca="1" si="1"/>
        <v>#VALUE!</v>
      </c>
      <c r="J29" s="33"/>
      <c r="K29" s="242">
        <f t="shared" si="2"/>
        <v>1</v>
      </c>
      <c r="L29" s="241" t="e">
        <f t="shared" ca="1" si="3"/>
        <v>#VALUE!</v>
      </c>
      <c r="M29" s="243" t="e">
        <f ca="1">IF(AND(INDEX(FlowCalConstA,MATCH(J22,FlowCalNumber,0),1,1)*L29^INDEX(FlowCalConstB,MATCH(J22,FlowCalNumber,0),1,1)&gt;INDEX(FlowCalLowSetting,MATCH(J22,FlowCalNumber,0),1,1), (INDEX(FlowCalConstA,MATCH(J22,FlowCalNumber,0),1,1)*L29^INDEX(FlowCalConstB,MATCH(J22,FlowCalNumber,0),1,1)&lt;INDEX(FlowCalHighSetting,MATCH(J22,FlowCalNumber,0),1,1))),INDEX(FlowCalConstA,MATCH(J22,FlowCalNumber,0),1,1)*L29^INDEX(FlowCalConstB,MATCH(J22,FlowCalNumber,0),1,1)," ")</f>
        <v>#N/A</v>
      </c>
      <c r="N29" s="33"/>
      <c r="O29" s="242">
        <f t="shared" si="4"/>
        <v>1</v>
      </c>
      <c r="P29" s="241" t="e">
        <f t="shared" ca="1" si="5"/>
        <v>#VALUE!</v>
      </c>
      <c r="Q29" s="243" t="e">
        <f ca="1">IF(AND(INDEX(FlowCalConstA,MATCH(N22,FlowCalNumber,0),1,1)*P29^INDEX(FlowCalConstB,MATCH(N22,FlowCalNumber,0),1,1)&gt;INDEX(FlowCalLowSetting,MATCH(N22,FlowCalNumber,0),1,1), (INDEX(FlowCalConstA,MATCH(N22,FlowCalNumber,0),1,1)*P29^INDEX(FlowCalConstB,MATCH(N22,FlowCalNumber,0),1,1)&lt;INDEX(FlowCalHighSetting,MATCH(N22,FlowCalNumber,0),1,1))),INDEX(FlowCalConstA,MATCH(N22,FlowCalNumber,0),1,1)*P29^INDEX(FlowCalConstB,MATCH(N22,FlowCalNumber,0),1,1)," ")</f>
        <v>#N/A</v>
      </c>
      <c r="R29" s="33"/>
      <c r="S29" s="242">
        <f t="shared" si="6"/>
        <v>1</v>
      </c>
      <c r="T29" s="241" t="e">
        <f t="shared" ca="1" si="7"/>
        <v>#VALUE!</v>
      </c>
      <c r="U29" s="244" t="e">
        <f ca="1">IF(AND(INDEX(FlowCalConstA,MATCH(R22,FlowCalNumber,0),1,1)*T29^INDEX(FlowCalConstB,MATCH(R22,FlowCalNumber,0),1,1)&gt;INDEX(FlowCalLowSetting,MATCH(R22,FlowCalNumber,0),1,1), (INDEX(FlowCalConstA,MATCH(R22,FlowCalNumber,0),1,1)*T29^INDEX(FlowCalConstB,MATCH(R22,FlowCalNumber,0),1,1)&lt;INDEX(FlowCalHighSetting,MATCH(R22,FlowCalNumber,0),1,1))),INDEX(FlowCalConstA,MATCH(R22,FlowCalNumber,0),1,1)*T29^INDEX(FlowCalConstB,MATCH(R22,FlowCalNumber,0),1,1)," ")</f>
        <v>#N/A</v>
      </c>
      <c r="V29" s="33"/>
      <c r="W29" s="242">
        <f t="shared" si="8"/>
        <v>0.1</v>
      </c>
      <c r="X29" s="241" t="e">
        <f t="shared" ca="1" si="9"/>
        <v>#VALUE!</v>
      </c>
      <c r="Y29" s="243" t="e">
        <f ca="1">IF(AND(INDEX(FlowCalConstA,MATCH(V22,FlowCalNumber,0),1,1)*X29^INDEX(FlowCalConstB,MATCH(V22,FlowCalNumber,0),1,1)&gt;INDEX(FlowCalLowSetting,MATCH(V22,FlowCalNumber,0),1,1), (INDEX(FlowCalConstA,MATCH(V22,FlowCalNumber,0),1,1)*X29^INDEX(FlowCalConstB,MATCH(V22,FlowCalNumber,0),1,1)&lt;INDEX(FlowCalHighSetting,MATCH(V22,FlowCalNumber,0),1,1))),INDEX(FlowCalConstA,MATCH(V22,FlowCalNumber,0),1,1)*X29^INDEX(FlowCalConstB,MATCH(V22,FlowCalNumber,0),1,1)," ")</f>
        <v>#N/A</v>
      </c>
      <c r="Z29" s="33"/>
      <c r="AA29" s="242">
        <f t="shared" si="10"/>
        <v>0.9</v>
      </c>
      <c r="AB29" s="241" t="e">
        <f t="shared" ca="1" si="11"/>
        <v>#VALUE!</v>
      </c>
      <c r="AC29" s="243" t="e">
        <f ca="1">IF(AND(INDEX(FlowCalConstA,MATCH(Z22,FlowCalNumber,0),1,1)*AB29^INDEX(FlowCalConstB,MATCH(Z22,FlowCalNumber,0),1,1)&gt;INDEX(FlowCalLowSetting,MATCH(Z22,FlowCalNumber,0),1,1), (INDEX(FlowCalConstA,MATCH(Z22,FlowCalNumber,0),1,1)*AB29^INDEX(FlowCalConstB,MATCH(Z22,FlowCalNumber,0),1,1)&lt;INDEX(FlowCalHighSetting,MATCH(Z22,FlowCalNumber,0),1,1))),INDEX(FlowCalConstA,MATCH(Z22,FlowCalNumber,0),1,1)*AB29^INDEX(FlowCalConstB,MATCH(Z22,FlowCalNumber,0),1,1)," ")</f>
        <v>#N/A</v>
      </c>
      <c r="AD29" s="33"/>
      <c r="AE29" s="242">
        <f t="shared" si="12"/>
        <v>0.1</v>
      </c>
      <c r="AF29" s="241" t="e">
        <f t="shared" ca="1" si="13"/>
        <v>#VALUE!</v>
      </c>
      <c r="AG29" s="243" t="e">
        <f ca="1">IF(AND(INDEX(FlowCalConstA,MATCH(AD22,FlowCalNumber,0),1,1)*AF29^INDEX(FlowCalConstB,MATCH(AD22,FlowCalNumber,0),1,1)&gt;INDEX(FlowCalLowSetting,MATCH(AD22,FlowCalNumber,0),1,1), (INDEX(FlowCalConstA,MATCH(AD22,FlowCalNumber,0),1,1)*AF29^INDEX(FlowCalConstB,MATCH(AD22,FlowCalNumber,0),1,1)&lt;INDEX(FlowCalHighSetting,MATCH(AD22,FlowCalNumber,0),1,1))),INDEX(FlowCalConstA,MATCH(AD22,FlowCalNumber,0),1,1)*AF29^INDEX(FlowCalConstB,MATCH(AD22,FlowCalNumber,0),1,1)," ")</f>
        <v>#N/A</v>
      </c>
      <c r="AH29" s="33"/>
      <c r="AI29" s="242">
        <f t="shared" si="14"/>
        <v>0.9</v>
      </c>
      <c r="AJ29" s="241" t="e">
        <f t="shared" ca="1" si="15"/>
        <v>#VALUE!</v>
      </c>
      <c r="AK29" s="243" t="e">
        <f ca="1">IF(AND(INDEX(FlowCalConstA,MATCH(AH22,FlowCalNumber,0),1,1)*AJ29^INDEX(FlowCalConstB,MATCH(AH22,FlowCalNumber,0),1,1)&gt;INDEX(FlowCalLowSetting,MATCH(AH22,FlowCalNumber,0),1,1), (INDEX(FlowCalConstA,MATCH(AH22,FlowCalNumber,0),1,1)*AJ29^INDEX(FlowCalConstB,MATCH(AH22,FlowCalNumber,0),1,1)&lt;INDEX(FlowCalHighSetting,MATCH(AH22,FlowCalNumber,0),1,1))),INDEX(FlowCalConstA,MATCH(AH22,FlowCalNumber,0),1,1)*AJ29^INDEX(FlowCalConstB,MATCH(AH22,FlowCalNumber,0),1,1)," ")</f>
        <v>#N/A</v>
      </c>
      <c r="AL29" s="33"/>
      <c r="AM29" s="242">
        <f t="shared" si="16"/>
        <v>0.1</v>
      </c>
      <c r="AN29" s="241" t="e">
        <f t="shared" ca="1" si="17"/>
        <v>#VALUE!</v>
      </c>
      <c r="AO29" s="244" t="e">
        <f ca="1">IF(AND(INDEX(FlowCalConstA,MATCH(AL22,FlowCalNumber,0),1,1)*AN29^INDEX(FlowCalConstB,MATCH(AL22,FlowCalNumber,0),1,1)&gt;INDEX(FlowCalLowSetting,MATCH(AL22,FlowCalNumber,0),1,1), (INDEX(FlowCalConstA,MATCH(AL22,FlowCalNumber,0),1,1)*AN29^INDEX(FlowCalConstB,MATCH(AL22,FlowCalNumber,0),1,1)&lt;INDEX(FlowCalHighSetting,MATCH(AL22,FlowCalNumber,0),1,1))),INDEX(FlowCalConstA,MATCH(AL22,FlowCalNumber,0),1,1)*AN29^INDEX(FlowCalConstB,MATCH(AL22,FlowCalNumber,0),1,1)," ")</f>
        <v>#N/A</v>
      </c>
      <c r="AQ29" s="242">
        <f t="shared" si="18"/>
        <v>0.9</v>
      </c>
      <c r="AR29" s="241" t="e">
        <f t="shared" ca="1" si="19"/>
        <v>#VALUE!</v>
      </c>
      <c r="AS29" s="244" t="e">
        <f ca="1">IF(AND(INDEX(FlowCalConstA,MATCH(AP22,FlowCalNumber,0),1,1)*AR29^INDEX(FlowCalConstB,MATCH(AP22,FlowCalNumber,0),1,1)&gt;INDEX(FlowCalLowSetting,MATCH(AP22,FlowCalNumber,0),1,1), (INDEX(FlowCalConstA,MATCH(AP22,FlowCalNumber,0),1,1)*AR29^INDEX(FlowCalConstB,MATCH(AP22,FlowCalNumber,0),1,1)&lt;INDEX(FlowCalHighSetting,MATCH(AP22,FlowCalNumber,0),1,1))),INDEX(FlowCalConstA,MATCH(AP22,FlowCalNumber,0),1,1)*AR29^INDEX(FlowCalConstB,MATCH(AP22,FlowCalNumber,0),1,1)," ")</f>
        <v>#N/A</v>
      </c>
      <c r="AT29" s="33"/>
      <c r="AU29" s="242">
        <f t="shared" si="20"/>
        <v>0.1</v>
      </c>
      <c r="AV29" s="241" t="e">
        <f t="shared" ca="1" si="21"/>
        <v>#VALUE!</v>
      </c>
      <c r="AW29" s="244" t="e">
        <f ca="1">IF(AND(INDEX(FlowCalConstA,MATCH(AT22,FlowCalNumber,0),1,1)*AV29^INDEX(FlowCalConstB,MATCH(AT22,FlowCalNumber,0),1,1)&gt;INDEX(FlowCalLowSetting,MATCH(AT22,FlowCalNumber,0),1,1), (INDEX(FlowCalConstA,MATCH(AT22,FlowCalNumber,0),1,1)*AV29^INDEX(FlowCalConstB,MATCH(AT22,FlowCalNumber,0),1,1)&lt;INDEX(FlowCalHighSetting,MATCH(AT22,FlowCalNumber,0),1,1))),INDEX(FlowCalConstA,MATCH(AT22,FlowCalNumber,0),1,1)*AV29^INDEX(FlowCalConstB,MATCH(AT22,FlowCalNumber,0),1,1)," ")</f>
        <v>#N/A</v>
      </c>
      <c r="AX29" s="33"/>
      <c r="AY29" s="242">
        <f t="shared" si="22"/>
        <v>0.9</v>
      </c>
      <c r="AZ29" s="241" t="e">
        <f t="shared" ca="1" si="23"/>
        <v>#VALUE!</v>
      </c>
      <c r="BA29" s="244" t="e">
        <f ca="1">IF(AND(INDEX(FlowCalConstA,MATCH(AX22,FlowCalNumber,0),1,1)*AZ29^INDEX(FlowCalConstB,MATCH(AX22,FlowCalNumber,0),1,1)&gt;INDEX(FlowCalLowSetting,MATCH(AX22,FlowCalNumber,0),1,1), (INDEX(FlowCalConstA,MATCH(AX22,FlowCalNumber,0),1,1)*AZ29^INDEX(FlowCalConstB,MATCH(AX22,FlowCalNumber,0),1,1)&lt;INDEX(FlowCalHighSetting,MATCH(AX22,FlowCalNumber,0),1,1))),INDEX(FlowCalConstA,MATCH(AX22,FlowCalNumber,0),1,1)*AZ29^INDEX(FlowCalConstB,MATCH(AX22,FlowCalNumber,0),1,1)," ")</f>
        <v>#N/A</v>
      </c>
      <c r="BB29" s="33"/>
      <c r="BC29" s="242">
        <f t="shared" si="24"/>
        <v>0.1</v>
      </c>
      <c r="BD29" s="241" t="e">
        <f t="shared" ca="1" si="25"/>
        <v>#VALUE!</v>
      </c>
      <c r="BE29" s="244" t="e">
        <f ca="1">IF(AND(INDEX(FlowCalConstA,MATCH(BB22,FlowCalNumber,0),1,1)*BD29^INDEX(FlowCalConstB,MATCH(BB22,FlowCalNumber,0),1,1)&gt;INDEX(FlowCalLowSetting,MATCH(BB22,FlowCalNumber,0),1,1), (INDEX(FlowCalConstA,MATCH(BB22,FlowCalNumber,0),1,1)*BD29^INDEX(FlowCalConstB,MATCH(BB22,FlowCalNumber,0),1,1)&lt;INDEX(FlowCalHighSetting,MATCH(BB22,FlowCalNumber,0),1,1))),INDEX(FlowCalConstA,MATCH(BB22,FlowCalNumber,0),1,1)*BD29^INDEX(FlowCalConstB,MATCH(BB22,FlowCalNumber,0),1,1)," ")</f>
        <v>#N/A</v>
      </c>
      <c r="BF29" s="33"/>
      <c r="BG29" s="242">
        <f t="shared" si="26"/>
        <v>0.45</v>
      </c>
      <c r="BH29" s="241" t="e">
        <f t="shared" ca="1" si="27"/>
        <v>#VALUE!</v>
      </c>
      <c r="BI29" s="244" t="e">
        <f ca="1">IF(AND(INDEX(FlowCalConstA,MATCH(BF22,FlowCalNumber,0),1,1)*BH29^INDEX(FlowCalConstB,MATCH(BF22,FlowCalNumber,0),1,1)&gt;INDEX(FlowCalLowSetting,MATCH(BF22,FlowCalNumber,0),1,1), (INDEX(FlowCalConstA,MATCH(BF22,FlowCalNumber,0),1,1)*BH29^INDEX(FlowCalConstB,MATCH(BF22,FlowCalNumber,0),1,1)&lt;INDEX(FlowCalHighSetting,MATCH(BF22,FlowCalNumber,0),1,1))),INDEX(FlowCalConstA,MATCH(BF22,FlowCalNumber,0),1,1)*BH29^INDEX(FlowCalConstB,MATCH(BF22,FlowCalNumber,0),1,1)," ")</f>
        <v>#N/A</v>
      </c>
      <c r="BJ29" s="33"/>
      <c r="BK29" s="242">
        <f t="shared" si="28"/>
        <v>0.45</v>
      </c>
      <c r="BL29" s="241" t="e">
        <f t="shared" ca="1" si="29"/>
        <v>#VALUE!</v>
      </c>
      <c r="BM29" s="244" t="e">
        <f ca="1">IF(AND(INDEX(FlowCalConstA,MATCH(BJ22,FlowCalNumber,0),1,1)*BL29^INDEX(FlowCalConstB,MATCH(BJ22,FlowCalNumber,0),1,1)&gt;INDEX(FlowCalLowSetting,MATCH(BJ22,FlowCalNumber,0),1,1), (INDEX(FlowCalConstA,MATCH(BJ22,FlowCalNumber,0),1,1)*BL29^INDEX(FlowCalConstB,MATCH(BJ22,FlowCalNumber,0),1,1)&lt;INDEX(FlowCalHighSetting,MATCH(BJ22,FlowCalNumber,0),1,1))),INDEX(FlowCalConstA,MATCH(BJ22,FlowCalNumber,0),1,1)*BL29^INDEX(FlowCalConstB,MATCH(BJ22,FlowCalNumber,0),1,1)," ")</f>
        <v>#N/A</v>
      </c>
      <c r="BN29" s="33"/>
      <c r="BO29" s="242">
        <f t="shared" si="30"/>
        <v>0.1</v>
      </c>
      <c r="BP29" s="241" t="e">
        <f t="shared" ca="1" si="31"/>
        <v>#VALUE!</v>
      </c>
      <c r="BQ29" s="244" t="e">
        <f ca="1">IF(AND(INDEX(FlowCalConstA,MATCH(BN22,FlowCalNumber,0),1,1)*BP29^INDEX(FlowCalConstB,MATCH(BN22,FlowCalNumber,0),1,1)&gt;INDEX(FlowCalLowSetting,MATCH(BN22,FlowCalNumber,0),1,1), (INDEX(FlowCalConstA,MATCH(BN22,FlowCalNumber,0),1,1)*BP29^INDEX(FlowCalConstB,MATCH(BN22,FlowCalNumber,0),1,1)&lt;INDEX(FlowCalHighSetting,MATCH(BN22,FlowCalNumber,0),1,1))),INDEX(FlowCalConstA,MATCH(BN22,FlowCalNumber,0),1,1)*BP29^INDEX(FlowCalConstB,MATCH(BN22,FlowCalNumber,0),1,1)," ")</f>
        <v>#N/A</v>
      </c>
      <c r="BR29" s="33"/>
      <c r="BS29" s="242">
        <f t="shared" si="32"/>
        <v>0.4</v>
      </c>
      <c r="BT29" s="241" t="e">
        <f t="shared" ca="1" si="33"/>
        <v>#VALUE!</v>
      </c>
      <c r="BU29" s="244" t="e">
        <f ca="1">IF(AND(INDEX(FlowCalConstA,MATCH(BR22,FlowCalNumber,0),1,1)*BT29^INDEX(FlowCalConstB,MATCH(BR22,FlowCalNumber,0),1,1)&gt;INDEX(FlowCalLowSetting,MATCH(BR22,FlowCalNumber,0),1,1), (INDEX(FlowCalConstA,MATCH(BR22,FlowCalNumber,0),1,1)*BT29^INDEX(FlowCalConstB,MATCH(BR22,FlowCalNumber,0),1,1)&lt;INDEX(FlowCalHighSetting,MATCH(BR22,FlowCalNumber,0),1,1))),INDEX(FlowCalConstA,MATCH(BR22,FlowCalNumber,0),1,1)*BT29^INDEX(FlowCalConstB,MATCH(BR22,FlowCalNumber,0),1,1)," ")</f>
        <v>#N/A</v>
      </c>
      <c r="BV29" s="33"/>
      <c r="BW29" s="242">
        <f t="shared" si="34"/>
        <v>0.4</v>
      </c>
      <c r="BX29" s="241" t="e">
        <f t="shared" ca="1" si="35"/>
        <v>#VALUE!</v>
      </c>
      <c r="BY29" s="244" t="e">
        <f ca="1">IF(AND(INDEX(FlowCalConstA,MATCH(BV22,FlowCalNumber,0),1,1)*BX29^INDEX(FlowCalConstB,MATCH(BV22,FlowCalNumber,0),1,1)&gt;INDEX(FlowCalLowSetting,MATCH(BV22,FlowCalNumber,0),1,1), (INDEX(FlowCalConstA,MATCH(BV22,FlowCalNumber,0),1,1)*BX29^INDEX(FlowCalConstB,MATCH(BV22,FlowCalNumber,0),1,1)&lt;INDEX(FlowCalHighSetting,MATCH(BV22,FlowCalNumber,0),1,1))),INDEX(FlowCalConstA,MATCH(BV22,FlowCalNumber,0),1,1)*BX29^INDEX(FlowCalConstB,MATCH(BV22,FlowCalNumber,0),1,1)," ")</f>
        <v>#N/A</v>
      </c>
      <c r="BZ29" s="33"/>
      <c r="CA29" s="242">
        <f t="shared" si="36"/>
        <v>0.1</v>
      </c>
      <c r="CB29" s="241" t="e">
        <f t="shared" ca="1" si="37"/>
        <v>#VALUE!</v>
      </c>
      <c r="CC29" s="244" t="e">
        <f ca="1">IF(AND(INDEX(FlowCalConstA,MATCH(BZ22,FlowCalNumber,0),1,1)*CB29^INDEX(FlowCalConstB,MATCH(BZ22,FlowCalNumber,0),1,1)&gt;INDEX(FlowCalLowSetting,MATCH(BZ22,FlowCalNumber,0),1,1), (INDEX(FlowCalConstA,MATCH(BZ22,FlowCalNumber,0),1,1)*CB29^INDEX(FlowCalConstB,MATCH(BZ22,FlowCalNumber,0),1,1)&lt;INDEX(FlowCalHighSetting,MATCH(BZ22,FlowCalNumber,0),1,1))),INDEX(FlowCalConstA,MATCH(BZ22,FlowCalNumber,0),1,1)*CB29^INDEX(FlowCalConstB,MATCH(BZ22,FlowCalNumber,0),1,1)," ")</f>
        <v>#N/A</v>
      </c>
      <c r="CD29" s="243"/>
      <c r="CE29" s="243"/>
      <c r="CF29" s="243"/>
      <c r="CG29" s="243"/>
      <c r="CH29" s="243"/>
      <c r="CI29" s="243"/>
      <c r="CJ29" s="243"/>
      <c r="CK29" s="243"/>
      <c r="CL29" s="243"/>
      <c r="CM29" s="243"/>
      <c r="CN29" s="243"/>
      <c r="CO29" s="243"/>
      <c r="CP29" s="243"/>
      <c r="CQ29" s="243"/>
      <c r="CR29" s="243"/>
      <c r="CS29" s="243"/>
      <c r="CT29" s="243"/>
      <c r="CU29" s="243"/>
      <c r="CV29" s="243"/>
      <c r="CW29" s="243"/>
      <c r="CX29" s="243"/>
      <c r="CY29" s="243"/>
      <c r="CZ29" s="243"/>
      <c r="DA29" s="243"/>
      <c r="DB29" s="243"/>
      <c r="DC29" s="243"/>
      <c r="DD29" s="243"/>
      <c r="DE29" s="243"/>
      <c r="DF29" s="243"/>
      <c r="DG29" s="243"/>
      <c r="DH29" s="243"/>
      <c r="DI29" s="243"/>
      <c r="DJ29" s="243"/>
      <c r="DK29" s="243"/>
      <c r="DM29" s="242"/>
      <c r="DO29" s="243"/>
      <c r="DQ29" s="242"/>
      <c r="DS29" s="243"/>
      <c r="DU29" s="242"/>
      <c r="DW29" s="243"/>
      <c r="DY29" s="242"/>
      <c r="EA29" s="243"/>
    </row>
    <row r="30" spans="1:131">
      <c r="A30" s="20"/>
      <c r="B30" s="124" t="str">
        <f t="shared" si="0"/>
        <v/>
      </c>
      <c r="C30" s="235"/>
      <c r="D30" s="24">
        <f>'1% Wind'!$M$89</f>
        <v>7.6</v>
      </c>
      <c r="E30" s="90"/>
      <c r="F30" s="90"/>
      <c r="G30" s="79">
        <f ca="1">IF(I22=0.9743,G29,MAX(G29/D29*D30,2))</f>
        <v>6.001707317073171</v>
      </c>
      <c r="H30" s="121" t="e">
        <f t="shared" ca="1" si="1"/>
        <v>#VALUE!</v>
      </c>
      <c r="J30" s="33"/>
      <c r="K30" s="242">
        <f t="shared" si="2"/>
        <v>1</v>
      </c>
      <c r="L30" s="241" t="e">
        <f t="shared" ca="1" si="3"/>
        <v>#VALUE!</v>
      </c>
      <c r="M30" s="243" t="e">
        <f ca="1">IF(AND(INDEX(FlowCalConstA,MATCH(J22,FlowCalNumber,0),1,1)*L30^INDEX(FlowCalConstB,MATCH(J22,FlowCalNumber,0),1,1)&gt;INDEX(FlowCalLowSetting,MATCH(J22,FlowCalNumber,0),1,1), (INDEX(FlowCalConstA,MATCH(J22,FlowCalNumber,0),1,1)*L30^INDEX(FlowCalConstB,MATCH(J22,FlowCalNumber,0),1,1)&lt;INDEX(FlowCalHighSetting,MATCH(J22,FlowCalNumber,0),1,1))),INDEX(FlowCalConstA,MATCH(J22,FlowCalNumber,0),1,1)*L30^INDEX(FlowCalConstB,MATCH(J22,FlowCalNumber,0),1,1)," ")</f>
        <v>#N/A</v>
      </c>
      <c r="N30" s="33"/>
      <c r="O30" s="242">
        <f t="shared" si="4"/>
        <v>1</v>
      </c>
      <c r="P30" s="241" t="e">
        <f t="shared" ca="1" si="5"/>
        <v>#VALUE!</v>
      </c>
      <c r="Q30" s="243" t="e">
        <f ca="1">IF(AND(INDEX(FlowCalConstA,MATCH(N22,FlowCalNumber,0),1,1)*P30^INDEX(FlowCalConstB,MATCH(N22,FlowCalNumber,0),1,1)&gt;INDEX(FlowCalLowSetting,MATCH(N22,FlowCalNumber,0),1,1), (INDEX(FlowCalConstA,MATCH(N22,FlowCalNumber,0),1,1)*P30^INDEX(FlowCalConstB,MATCH(N22,FlowCalNumber,0),1,1)&lt;INDEX(FlowCalHighSetting,MATCH(N22,FlowCalNumber,0),1,1))),INDEX(FlowCalConstA,MATCH(N22,FlowCalNumber,0),1,1)*P30^INDEX(FlowCalConstB,MATCH(N22,FlowCalNumber,0),1,1)," ")</f>
        <v>#N/A</v>
      </c>
      <c r="R30" s="33"/>
      <c r="S30" s="242">
        <f t="shared" si="6"/>
        <v>1</v>
      </c>
      <c r="T30" s="241" t="e">
        <f t="shared" ca="1" si="7"/>
        <v>#VALUE!</v>
      </c>
      <c r="U30" s="244" t="e">
        <f ca="1">IF(AND(INDEX(FlowCalConstA,MATCH(R22,FlowCalNumber,0),1,1)*T30^INDEX(FlowCalConstB,MATCH(R22,FlowCalNumber,0),1,1)&gt;INDEX(FlowCalLowSetting,MATCH(R22,FlowCalNumber,0),1,1), (INDEX(FlowCalConstA,MATCH(R22,FlowCalNumber,0),1,1)*T30^INDEX(FlowCalConstB,MATCH(R22,FlowCalNumber,0),1,1)&lt;INDEX(FlowCalHighSetting,MATCH(R22,FlowCalNumber,0),1,1))),INDEX(FlowCalConstA,MATCH(R22,FlowCalNumber,0),1,1)*T30^INDEX(FlowCalConstB,MATCH(R22,FlowCalNumber,0),1,1)," ")</f>
        <v>#N/A</v>
      </c>
      <c r="V30" s="33"/>
      <c r="W30" s="242">
        <f t="shared" si="8"/>
        <v>0.1</v>
      </c>
      <c r="X30" s="241" t="e">
        <f t="shared" ca="1" si="9"/>
        <v>#VALUE!</v>
      </c>
      <c r="Y30" s="243" t="e">
        <f ca="1">IF(AND(INDEX(FlowCalConstA,MATCH(V22,FlowCalNumber,0),1,1)*X30^INDEX(FlowCalConstB,MATCH(V22,FlowCalNumber,0),1,1)&gt;INDEX(FlowCalLowSetting,MATCH(V22,FlowCalNumber,0),1,1), (INDEX(FlowCalConstA,MATCH(V22,FlowCalNumber,0),1,1)*X30^INDEX(FlowCalConstB,MATCH(V22,FlowCalNumber,0),1,1)&lt;INDEX(FlowCalHighSetting,MATCH(V22,FlowCalNumber,0),1,1))),INDEX(FlowCalConstA,MATCH(V22,FlowCalNumber,0),1,1)*X30^INDEX(FlowCalConstB,MATCH(V22,FlowCalNumber,0),1,1)," ")</f>
        <v>#N/A</v>
      </c>
      <c r="Z30" s="33"/>
      <c r="AA30" s="242">
        <f t="shared" si="10"/>
        <v>0.9</v>
      </c>
      <c r="AB30" s="241" t="e">
        <f t="shared" ca="1" si="11"/>
        <v>#VALUE!</v>
      </c>
      <c r="AC30" s="243" t="e">
        <f ca="1">IF(AND(INDEX(FlowCalConstA,MATCH(Z22,FlowCalNumber,0),1,1)*AB30^INDEX(FlowCalConstB,MATCH(Z22,FlowCalNumber,0),1,1)&gt;INDEX(FlowCalLowSetting,MATCH(Z22,FlowCalNumber,0),1,1), (INDEX(FlowCalConstA,MATCH(Z22,FlowCalNumber,0),1,1)*AB30^INDEX(FlowCalConstB,MATCH(Z22,FlowCalNumber,0),1,1)&lt;INDEX(FlowCalHighSetting,MATCH(Z22,FlowCalNumber,0),1,1))),INDEX(FlowCalConstA,MATCH(Z22,FlowCalNumber,0),1,1)*AB30^INDEX(FlowCalConstB,MATCH(Z22,FlowCalNumber,0),1,1)," ")</f>
        <v>#N/A</v>
      </c>
      <c r="AD30" s="33"/>
      <c r="AE30" s="242">
        <f t="shared" si="12"/>
        <v>0.1</v>
      </c>
      <c r="AF30" s="241" t="e">
        <f t="shared" ca="1" si="13"/>
        <v>#VALUE!</v>
      </c>
      <c r="AG30" s="243" t="e">
        <f ca="1">IF(AND(INDEX(FlowCalConstA,MATCH(AD22,FlowCalNumber,0),1,1)*AF30^INDEX(FlowCalConstB,MATCH(AD22,FlowCalNumber,0),1,1)&gt;INDEX(FlowCalLowSetting,MATCH(AD22,FlowCalNumber,0),1,1), (INDEX(FlowCalConstA,MATCH(AD22,FlowCalNumber,0),1,1)*AF30^INDEX(FlowCalConstB,MATCH(AD22,FlowCalNumber,0),1,1)&lt;INDEX(FlowCalHighSetting,MATCH(AD22,FlowCalNumber,0),1,1))),INDEX(FlowCalConstA,MATCH(AD22,FlowCalNumber,0),1,1)*AF30^INDEX(FlowCalConstB,MATCH(AD22,FlowCalNumber,0),1,1)," ")</f>
        <v>#N/A</v>
      </c>
      <c r="AH30" s="33"/>
      <c r="AI30" s="242">
        <f t="shared" si="14"/>
        <v>0.9</v>
      </c>
      <c r="AJ30" s="241" t="e">
        <f t="shared" ca="1" si="15"/>
        <v>#VALUE!</v>
      </c>
      <c r="AK30" s="243" t="e">
        <f ca="1">IF(AND(INDEX(FlowCalConstA,MATCH(AH22,FlowCalNumber,0),1,1)*AJ30^INDEX(FlowCalConstB,MATCH(AH22,FlowCalNumber,0),1,1)&gt;INDEX(FlowCalLowSetting,MATCH(AH22,FlowCalNumber,0),1,1), (INDEX(FlowCalConstA,MATCH(AH22,FlowCalNumber,0),1,1)*AJ30^INDEX(FlowCalConstB,MATCH(AH22,FlowCalNumber,0),1,1)&lt;INDEX(FlowCalHighSetting,MATCH(AH22,FlowCalNumber,0),1,1))),INDEX(FlowCalConstA,MATCH(AH22,FlowCalNumber,0),1,1)*AJ30^INDEX(FlowCalConstB,MATCH(AH22,FlowCalNumber,0),1,1)," ")</f>
        <v>#N/A</v>
      </c>
      <c r="AL30" s="33"/>
      <c r="AM30" s="242">
        <f t="shared" si="16"/>
        <v>0.1</v>
      </c>
      <c r="AN30" s="241" t="e">
        <f t="shared" ca="1" si="17"/>
        <v>#VALUE!</v>
      </c>
      <c r="AO30" s="244" t="e">
        <f ca="1">IF(AND(INDEX(FlowCalConstA,MATCH(AL22,FlowCalNumber,0),1,1)*AN30^INDEX(FlowCalConstB,MATCH(AL22,FlowCalNumber,0),1,1)&gt;INDEX(FlowCalLowSetting,MATCH(AL22,FlowCalNumber,0),1,1), (INDEX(FlowCalConstA,MATCH(AL22,FlowCalNumber,0),1,1)*AN30^INDEX(FlowCalConstB,MATCH(AL22,FlowCalNumber,0),1,1)&lt;INDEX(FlowCalHighSetting,MATCH(AL22,FlowCalNumber,0),1,1))),INDEX(FlowCalConstA,MATCH(AL22,FlowCalNumber,0),1,1)*AN30^INDEX(FlowCalConstB,MATCH(AL22,FlowCalNumber,0),1,1)," ")</f>
        <v>#N/A</v>
      </c>
      <c r="AQ30" s="242">
        <f t="shared" si="18"/>
        <v>0.9</v>
      </c>
      <c r="AR30" s="241" t="e">
        <f t="shared" ca="1" si="19"/>
        <v>#VALUE!</v>
      </c>
      <c r="AS30" s="244" t="e">
        <f ca="1">IF(AND(INDEX(FlowCalConstA,MATCH(AP22,FlowCalNumber,0),1,1)*AR30^INDEX(FlowCalConstB,MATCH(AP22,FlowCalNumber,0),1,1)&gt;INDEX(FlowCalLowSetting,MATCH(AP22,FlowCalNumber,0),1,1), (INDEX(FlowCalConstA,MATCH(AP22,FlowCalNumber,0),1,1)*AR30^INDEX(FlowCalConstB,MATCH(AP22,FlowCalNumber,0),1,1)&lt;INDEX(FlowCalHighSetting,MATCH(AP22,FlowCalNumber,0),1,1))),INDEX(FlowCalConstA,MATCH(AP22,FlowCalNumber,0),1,1)*AR30^INDEX(FlowCalConstB,MATCH(AP22,FlowCalNumber,0),1,1)," ")</f>
        <v>#N/A</v>
      </c>
      <c r="AT30" s="33"/>
      <c r="AU30" s="242">
        <f t="shared" si="20"/>
        <v>0.1</v>
      </c>
      <c r="AV30" s="241" t="e">
        <f t="shared" ca="1" si="21"/>
        <v>#VALUE!</v>
      </c>
      <c r="AW30" s="244" t="e">
        <f ca="1">IF(AND(INDEX(FlowCalConstA,MATCH(AT22,FlowCalNumber,0),1,1)*AV30^INDEX(FlowCalConstB,MATCH(AT22,FlowCalNumber,0),1,1)&gt;INDEX(FlowCalLowSetting,MATCH(AT22,FlowCalNumber,0),1,1), (INDEX(FlowCalConstA,MATCH(AT22,FlowCalNumber,0),1,1)*AV30^INDEX(FlowCalConstB,MATCH(AT22,FlowCalNumber,0),1,1)&lt;INDEX(FlowCalHighSetting,MATCH(AT22,FlowCalNumber,0),1,1))),INDEX(FlowCalConstA,MATCH(AT22,FlowCalNumber,0),1,1)*AV30^INDEX(FlowCalConstB,MATCH(AT22,FlowCalNumber,0),1,1)," ")</f>
        <v>#N/A</v>
      </c>
      <c r="AX30" s="33"/>
      <c r="AY30" s="242">
        <f t="shared" si="22"/>
        <v>0.9</v>
      </c>
      <c r="AZ30" s="241" t="e">
        <f t="shared" ca="1" si="23"/>
        <v>#VALUE!</v>
      </c>
      <c r="BA30" s="244" t="e">
        <f ca="1">IF(AND(INDEX(FlowCalConstA,MATCH(AX22,FlowCalNumber,0),1,1)*AZ30^INDEX(FlowCalConstB,MATCH(AX22,FlowCalNumber,0),1,1)&gt;INDEX(FlowCalLowSetting,MATCH(AX22,FlowCalNumber,0),1,1), (INDEX(FlowCalConstA,MATCH(AX22,FlowCalNumber,0),1,1)*AZ30^INDEX(FlowCalConstB,MATCH(AX22,FlowCalNumber,0),1,1)&lt;INDEX(FlowCalHighSetting,MATCH(AX22,FlowCalNumber,0),1,1))),INDEX(FlowCalConstA,MATCH(AX22,FlowCalNumber,0),1,1)*AZ30^INDEX(FlowCalConstB,MATCH(AX22,FlowCalNumber,0),1,1)," ")</f>
        <v>#N/A</v>
      </c>
      <c r="BB30" s="33"/>
      <c r="BC30" s="242">
        <f t="shared" si="24"/>
        <v>0.1</v>
      </c>
      <c r="BD30" s="241" t="e">
        <f t="shared" ca="1" si="25"/>
        <v>#VALUE!</v>
      </c>
      <c r="BE30" s="244" t="e">
        <f ca="1">IF(AND(INDEX(FlowCalConstA,MATCH(BB22,FlowCalNumber,0),1,1)*BD30^INDEX(FlowCalConstB,MATCH(BB22,FlowCalNumber,0),1,1)&gt;INDEX(FlowCalLowSetting,MATCH(BB22,FlowCalNumber,0),1,1), (INDEX(FlowCalConstA,MATCH(BB22,FlowCalNumber,0),1,1)*BD30^INDEX(FlowCalConstB,MATCH(BB22,FlowCalNumber,0),1,1)&lt;INDEX(FlowCalHighSetting,MATCH(BB22,FlowCalNumber,0),1,1))),INDEX(FlowCalConstA,MATCH(BB22,FlowCalNumber,0),1,1)*BD30^INDEX(FlowCalConstB,MATCH(BB22,FlowCalNumber,0),1,1)," ")</f>
        <v>#N/A</v>
      </c>
      <c r="BF30" s="33"/>
      <c r="BG30" s="242">
        <f t="shared" si="26"/>
        <v>0.45</v>
      </c>
      <c r="BH30" s="241" t="e">
        <f t="shared" ca="1" si="27"/>
        <v>#VALUE!</v>
      </c>
      <c r="BI30" s="244" t="e">
        <f ca="1">IF(AND(INDEX(FlowCalConstA,MATCH(BF22,FlowCalNumber,0),1,1)*BH30^INDEX(FlowCalConstB,MATCH(BF22,FlowCalNumber,0),1,1)&gt;INDEX(FlowCalLowSetting,MATCH(BF22,FlowCalNumber,0),1,1), (INDEX(FlowCalConstA,MATCH(BF22,FlowCalNumber,0),1,1)*BH30^INDEX(FlowCalConstB,MATCH(BF22,FlowCalNumber,0),1,1)&lt;INDEX(FlowCalHighSetting,MATCH(BF22,FlowCalNumber,0),1,1))),INDEX(FlowCalConstA,MATCH(BF22,FlowCalNumber,0),1,1)*BH30^INDEX(FlowCalConstB,MATCH(BF22,FlowCalNumber,0),1,1)," ")</f>
        <v>#N/A</v>
      </c>
      <c r="BJ30" s="33"/>
      <c r="BK30" s="242">
        <f t="shared" si="28"/>
        <v>0.45</v>
      </c>
      <c r="BL30" s="241" t="e">
        <f t="shared" ca="1" si="29"/>
        <v>#VALUE!</v>
      </c>
      <c r="BM30" s="244" t="e">
        <f ca="1">IF(AND(INDEX(FlowCalConstA,MATCH(BJ22,FlowCalNumber,0),1,1)*BL30^INDEX(FlowCalConstB,MATCH(BJ22,FlowCalNumber,0),1,1)&gt;INDEX(FlowCalLowSetting,MATCH(BJ22,FlowCalNumber,0),1,1), (INDEX(FlowCalConstA,MATCH(BJ22,FlowCalNumber,0),1,1)*BL30^INDEX(FlowCalConstB,MATCH(BJ22,FlowCalNumber,0),1,1)&lt;INDEX(FlowCalHighSetting,MATCH(BJ22,FlowCalNumber,0),1,1))),INDEX(FlowCalConstA,MATCH(BJ22,FlowCalNumber,0),1,1)*BL30^INDEX(FlowCalConstB,MATCH(BJ22,FlowCalNumber,0),1,1)," ")</f>
        <v>#N/A</v>
      </c>
      <c r="BN30" s="33"/>
      <c r="BO30" s="242">
        <f t="shared" si="30"/>
        <v>0.1</v>
      </c>
      <c r="BP30" s="241" t="e">
        <f t="shared" ca="1" si="31"/>
        <v>#VALUE!</v>
      </c>
      <c r="BQ30" s="244" t="e">
        <f ca="1">IF(AND(INDEX(FlowCalConstA,MATCH(BN22,FlowCalNumber,0),1,1)*BP30^INDEX(FlowCalConstB,MATCH(BN22,FlowCalNumber,0),1,1)&gt;INDEX(FlowCalLowSetting,MATCH(BN22,FlowCalNumber,0),1,1), (INDEX(FlowCalConstA,MATCH(BN22,FlowCalNumber,0),1,1)*BP30^INDEX(FlowCalConstB,MATCH(BN22,FlowCalNumber,0),1,1)&lt;INDEX(FlowCalHighSetting,MATCH(BN22,FlowCalNumber,0),1,1))),INDEX(FlowCalConstA,MATCH(BN22,FlowCalNumber,0),1,1)*BP30^INDEX(FlowCalConstB,MATCH(BN22,FlowCalNumber,0),1,1)," ")</f>
        <v>#N/A</v>
      </c>
      <c r="BR30" s="33"/>
      <c r="BS30" s="242">
        <f t="shared" si="32"/>
        <v>0.4</v>
      </c>
      <c r="BT30" s="241" t="e">
        <f t="shared" ca="1" si="33"/>
        <v>#VALUE!</v>
      </c>
      <c r="BU30" s="244" t="e">
        <f ca="1">IF(AND(INDEX(FlowCalConstA,MATCH(BR22,FlowCalNumber,0),1,1)*BT30^INDEX(FlowCalConstB,MATCH(BR22,FlowCalNumber,0),1,1)&gt;INDEX(FlowCalLowSetting,MATCH(BR22,FlowCalNumber,0),1,1), (INDEX(FlowCalConstA,MATCH(BR22,FlowCalNumber,0),1,1)*BT30^INDEX(FlowCalConstB,MATCH(BR22,FlowCalNumber,0),1,1)&lt;INDEX(FlowCalHighSetting,MATCH(BR22,FlowCalNumber,0),1,1))),INDEX(FlowCalConstA,MATCH(BR22,FlowCalNumber,0),1,1)*BT30^INDEX(FlowCalConstB,MATCH(BR22,FlowCalNumber,0),1,1)," ")</f>
        <v>#N/A</v>
      </c>
      <c r="BV30" s="33"/>
      <c r="BW30" s="242">
        <f t="shared" si="34"/>
        <v>0.4</v>
      </c>
      <c r="BX30" s="241" t="e">
        <f t="shared" ca="1" si="35"/>
        <v>#VALUE!</v>
      </c>
      <c r="BY30" s="244" t="e">
        <f ca="1">IF(AND(INDEX(FlowCalConstA,MATCH(BV22,FlowCalNumber,0),1,1)*BX30^INDEX(FlowCalConstB,MATCH(BV22,FlowCalNumber,0),1,1)&gt;INDEX(FlowCalLowSetting,MATCH(BV22,FlowCalNumber,0),1,1), (INDEX(FlowCalConstA,MATCH(BV22,FlowCalNumber,0),1,1)*BX30^INDEX(FlowCalConstB,MATCH(BV22,FlowCalNumber,0),1,1)&lt;INDEX(FlowCalHighSetting,MATCH(BV22,FlowCalNumber,0),1,1))),INDEX(FlowCalConstA,MATCH(BV22,FlowCalNumber,0),1,1)*BX30^INDEX(FlowCalConstB,MATCH(BV22,FlowCalNumber,0),1,1)," ")</f>
        <v>#N/A</v>
      </c>
      <c r="BZ30" s="33"/>
      <c r="CA30" s="242">
        <f t="shared" si="36"/>
        <v>0.1</v>
      </c>
      <c r="CB30" s="241" t="e">
        <f t="shared" ca="1" si="37"/>
        <v>#VALUE!</v>
      </c>
      <c r="CC30" s="244" t="e">
        <f ca="1">IF(AND(INDEX(FlowCalConstA,MATCH(BZ22,FlowCalNumber,0),1,1)*CB30^INDEX(FlowCalConstB,MATCH(BZ22,FlowCalNumber,0),1,1)&gt;INDEX(FlowCalLowSetting,MATCH(BZ22,FlowCalNumber,0),1,1), (INDEX(FlowCalConstA,MATCH(BZ22,FlowCalNumber,0),1,1)*CB30^INDEX(FlowCalConstB,MATCH(BZ22,FlowCalNumber,0),1,1)&lt;INDEX(FlowCalHighSetting,MATCH(BZ22,FlowCalNumber,0),1,1))),INDEX(FlowCalConstA,MATCH(BZ22,FlowCalNumber,0),1,1)*CB30^INDEX(FlowCalConstB,MATCH(BZ22,FlowCalNumber,0),1,1)," ")</f>
        <v>#N/A</v>
      </c>
      <c r="CD30" s="243"/>
      <c r="CE30" s="243"/>
      <c r="CF30" s="243"/>
      <c r="CG30" s="243"/>
      <c r="CH30" s="243"/>
      <c r="CI30" s="243"/>
      <c r="CJ30" s="243"/>
      <c r="CK30" s="243"/>
      <c r="CL30" s="243"/>
      <c r="CM30" s="243"/>
      <c r="CN30" s="243"/>
      <c r="CO30" s="243"/>
      <c r="CP30" s="243"/>
      <c r="CQ30" s="243"/>
      <c r="CR30" s="243"/>
      <c r="CS30" s="243"/>
      <c r="CT30" s="243"/>
      <c r="CU30" s="243"/>
      <c r="CV30" s="243"/>
      <c r="CW30" s="243"/>
      <c r="CX30" s="243"/>
      <c r="CY30" s="243"/>
      <c r="CZ30" s="243"/>
      <c r="DA30" s="243"/>
      <c r="DB30" s="243"/>
      <c r="DC30" s="243"/>
      <c r="DD30" s="243"/>
      <c r="DE30" s="243"/>
      <c r="DF30" s="243"/>
      <c r="DG30" s="243"/>
      <c r="DH30" s="243"/>
      <c r="DI30" s="243"/>
      <c r="DJ30" s="243"/>
      <c r="DK30" s="243"/>
      <c r="DM30" s="242"/>
      <c r="DO30" s="243"/>
      <c r="DQ30" s="242"/>
      <c r="DS30" s="243"/>
      <c r="DU30" s="242"/>
      <c r="DW30" s="243"/>
      <c r="DY30" s="242"/>
      <c r="EA30" s="243"/>
    </row>
    <row r="31" spans="1:131">
      <c r="A31" s="20"/>
      <c r="B31" s="124" t="str">
        <f t="shared" si="0"/>
        <v/>
      </c>
      <c r="C31" s="235"/>
      <c r="D31" s="24">
        <f>'1% Wind'!$M$90</f>
        <v>5.7</v>
      </c>
      <c r="E31" s="90"/>
      <c r="F31" s="90"/>
      <c r="G31" s="79">
        <f ca="1">IF(I22=0.9743,G30,MAX(G30/D30*D31,2))</f>
        <v>6.001707317073171</v>
      </c>
      <c r="H31" s="121" t="e">
        <f t="shared" ca="1" si="1"/>
        <v>#VALUE!</v>
      </c>
      <c r="J31" s="33"/>
      <c r="K31" s="242">
        <f t="shared" si="2"/>
        <v>1</v>
      </c>
      <c r="L31" s="241" t="e">
        <f t="shared" ca="1" si="3"/>
        <v>#VALUE!</v>
      </c>
      <c r="M31" s="243" t="e">
        <f ca="1">IF(AND(INDEX(FlowCalConstA,MATCH(J22,FlowCalNumber,0),1,1)*L31^INDEX(FlowCalConstB,MATCH(J22,FlowCalNumber,0),1,1)&gt;INDEX(FlowCalLowSetting,MATCH(J22,FlowCalNumber,0),1,1), (INDEX(FlowCalConstA,MATCH(J22,FlowCalNumber,0),1,1)*L31^INDEX(FlowCalConstB,MATCH(J22,FlowCalNumber,0),1,1)&lt;INDEX(FlowCalHighSetting,MATCH(J22,FlowCalNumber,0),1,1))),INDEX(FlowCalConstA,MATCH(J22,FlowCalNumber,0),1,1)*L31^INDEX(FlowCalConstB,MATCH(J22,FlowCalNumber,0),1,1)," ")</f>
        <v>#N/A</v>
      </c>
      <c r="N31" s="33"/>
      <c r="O31" s="242">
        <f t="shared" si="4"/>
        <v>1</v>
      </c>
      <c r="P31" s="241" t="e">
        <f t="shared" ca="1" si="5"/>
        <v>#VALUE!</v>
      </c>
      <c r="Q31" s="243" t="e">
        <f ca="1">IF(AND(INDEX(FlowCalConstA,MATCH(N22,FlowCalNumber,0),1,1)*P31^INDEX(FlowCalConstB,MATCH(N22,FlowCalNumber,0),1,1)&gt;INDEX(FlowCalLowSetting,MATCH(N22,FlowCalNumber,0),1,1), (INDEX(FlowCalConstA,MATCH(N22,FlowCalNumber,0),1,1)*P31^INDEX(FlowCalConstB,MATCH(N22,FlowCalNumber,0),1,1)&lt;INDEX(FlowCalHighSetting,MATCH(N22,FlowCalNumber,0),1,1))),INDEX(FlowCalConstA,MATCH(N22,FlowCalNumber,0),1,1)*P31^INDEX(FlowCalConstB,MATCH(N22,FlowCalNumber,0),1,1)," ")</f>
        <v>#N/A</v>
      </c>
      <c r="R31" s="33"/>
      <c r="S31" s="242">
        <f t="shared" si="6"/>
        <v>1</v>
      </c>
      <c r="T31" s="241" t="e">
        <f t="shared" ca="1" si="7"/>
        <v>#VALUE!</v>
      </c>
      <c r="U31" s="244" t="e">
        <f ca="1">IF(AND(INDEX(FlowCalConstA,MATCH(R22,FlowCalNumber,0),1,1)*T31^INDEX(FlowCalConstB,MATCH(R22,FlowCalNumber,0),1,1)&gt;INDEX(FlowCalLowSetting,MATCH(R22,FlowCalNumber,0),1,1), (INDEX(FlowCalConstA,MATCH(R22,FlowCalNumber,0),1,1)*T31^INDEX(FlowCalConstB,MATCH(R22,FlowCalNumber,0),1,1)&lt;INDEX(FlowCalHighSetting,MATCH(R22,FlowCalNumber,0),1,1))),INDEX(FlowCalConstA,MATCH(R22,FlowCalNumber,0),1,1)*T31^INDEX(FlowCalConstB,MATCH(R22,FlowCalNumber,0),1,1)," ")</f>
        <v>#N/A</v>
      </c>
      <c r="V31" s="33"/>
      <c r="W31" s="242">
        <f t="shared" si="8"/>
        <v>0.1</v>
      </c>
      <c r="X31" s="241" t="e">
        <f t="shared" ca="1" si="9"/>
        <v>#VALUE!</v>
      </c>
      <c r="Y31" s="243" t="e">
        <f ca="1">IF(AND(INDEX(FlowCalConstA,MATCH(V22,FlowCalNumber,0),1,1)*X31^INDEX(FlowCalConstB,MATCH(V22,FlowCalNumber,0),1,1)&gt;INDEX(FlowCalLowSetting,MATCH(V22,FlowCalNumber,0),1,1), (INDEX(FlowCalConstA,MATCH(V22,FlowCalNumber,0),1,1)*X31^INDEX(FlowCalConstB,MATCH(V22,FlowCalNumber,0),1,1)&lt;INDEX(FlowCalHighSetting,MATCH(V22,FlowCalNumber,0),1,1))),INDEX(FlowCalConstA,MATCH(V22,FlowCalNumber,0),1,1)*X31^INDEX(FlowCalConstB,MATCH(V22,FlowCalNumber,0),1,1)," ")</f>
        <v>#N/A</v>
      </c>
      <c r="Z31" s="33"/>
      <c r="AA31" s="242">
        <f t="shared" si="10"/>
        <v>0.9</v>
      </c>
      <c r="AB31" s="241" t="e">
        <f t="shared" ca="1" si="11"/>
        <v>#VALUE!</v>
      </c>
      <c r="AC31" s="243" t="e">
        <f ca="1">IF(AND(INDEX(FlowCalConstA,MATCH(Z22,FlowCalNumber,0),1,1)*AB31^INDEX(FlowCalConstB,MATCH(Z22,FlowCalNumber,0),1,1)&gt;INDEX(FlowCalLowSetting,MATCH(Z22,FlowCalNumber,0),1,1), (INDEX(FlowCalConstA,MATCH(Z22,FlowCalNumber,0),1,1)*AB31^INDEX(FlowCalConstB,MATCH(Z22,FlowCalNumber,0),1,1)&lt;INDEX(FlowCalHighSetting,MATCH(Z22,FlowCalNumber,0),1,1))),INDEX(FlowCalConstA,MATCH(Z22,FlowCalNumber,0),1,1)*AB31^INDEX(FlowCalConstB,MATCH(Z22,FlowCalNumber,0),1,1)," ")</f>
        <v>#N/A</v>
      </c>
      <c r="AD31" s="33"/>
      <c r="AE31" s="242">
        <f t="shared" si="12"/>
        <v>0.1</v>
      </c>
      <c r="AF31" s="241" t="e">
        <f t="shared" ca="1" si="13"/>
        <v>#VALUE!</v>
      </c>
      <c r="AG31" s="243" t="e">
        <f ca="1">IF(AND(INDEX(FlowCalConstA,MATCH(AD22,FlowCalNumber,0),1,1)*AF31^INDEX(FlowCalConstB,MATCH(AD22,FlowCalNumber,0),1,1)&gt;INDEX(FlowCalLowSetting,MATCH(AD22,FlowCalNumber,0),1,1), (INDEX(FlowCalConstA,MATCH(AD22,FlowCalNumber,0),1,1)*AF31^INDEX(FlowCalConstB,MATCH(AD22,FlowCalNumber,0),1,1)&lt;INDEX(FlowCalHighSetting,MATCH(AD22,FlowCalNumber,0),1,1))),INDEX(FlowCalConstA,MATCH(AD22,FlowCalNumber,0),1,1)*AF31^INDEX(FlowCalConstB,MATCH(AD22,FlowCalNumber,0),1,1)," ")</f>
        <v>#N/A</v>
      </c>
      <c r="AH31" s="33"/>
      <c r="AI31" s="242">
        <f t="shared" si="14"/>
        <v>0.9</v>
      </c>
      <c r="AJ31" s="241" t="e">
        <f t="shared" ca="1" si="15"/>
        <v>#VALUE!</v>
      </c>
      <c r="AK31" s="243" t="e">
        <f ca="1">IF(AND(INDEX(FlowCalConstA,MATCH(AH22,FlowCalNumber,0),1,1)*AJ31^INDEX(FlowCalConstB,MATCH(AH22,FlowCalNumber,0),1,1)&gt;INDEX(FlowCalLowSetting,MATCH(AH22,FlowCalNumber,0),1,1), (INDEX(FlowCalConstA,MATCH(AH22,FlowCalNumber,0),1,1)*AJ31^INDEX(FlowCalConstB,MATCH(AH22,FlowCalNumber,0),1,1)&lt;INDEX(FlowCalHighSetting,MATCH(AH22,FlowCalNumber,0),1,1))),INDEX(FlowCalConstA,MATCH(AH22,FlowCalNumber,0),1,1)*AJ31^INDEX(FlowCalConstB,MATCH(AH22,FlowCalNumber,0),1,1)," ")</f>
        <v>#N/A</v>
      </c>
      <c r="AL31" s="33"/>
      <c r="AM31" s="242">
        <f t="shared" si="16"/>
        <v>0.1</v>
      </c>
      <c r="AN31" s="241" t="e">
        <f t="shared" ca="1" si="17"/>
        <v>#VALUE!</v>
      </c>
      <c r="AO31" s="244" t="e">
        <f ca="1">IF(AND(INDEX(FlowCalConstA,MATCH(AL22,FlowCalNumber,0),1,1)*AN31^INDEX(FlowCalConstB,MATCH(AL22,FlowCalNumber,0),1,1)&gt;INDEX(FlowCalLowSetting,MATCH(AL22,FlowCalNumber,0),1,1), (INDEX(FlowCalConstA,MATCH(AL22,FlowCalNumber,0),1,1)*AN31^INDEX(FlowCalConstB,MATCH(AL22,FlowCalNumber,0),1,1)&lt;INDEX(FlowCalHighSetting,MATCH(AL22,FlowCalNumber,0),1,1))),INDEX(FlowCalConstA,MATCH(AL22,FlowCalNumber,0),1,1)*AN31^INDEX(FlowCalConstB,MATCH(AL22,FlowCalNumber,0),1,1)," ")</f>
        <v>#N/A</v>
      </c>
      <c r="AQ31" s="242">
        <f t="shared" si="18"/>
        <v>0.9</v>
      </c>
      <c r="AR31" s="241" t="e">
        <f t="shared" ca="1" si="19"/>
        <v>#VALUE!</v>
      </c>
      <c r="AS31" s="244" t="e">
        <f ca="1">IF(AND(INDEX(FlowCalConstA,MATCH(AP22,FlowCalNumber,0),1,1)*AR31^INDEX(FlowCalConstB,MATCH(AP22,FlowCalNumber,0),1,1)&gt;INDEX(FlowCalLowSetting,MATCH(AP22,FlowCalNumber,0),1,1), (INDEX(FlowCalConstA,MATCH(AP22,FlowCalNumber,0),1,1)*AR31^INDEX(FlowCalConstB,MATCH(AP22,FlowCalNumber,0),1,1)&lt;INDEX(FlowCalHighSetting,MATCH(AP22,FlowCalNumber,0),1,1))),INDEX(FlowCalConstA,MATCH(AP22,FlowCalNumber,0),1,1)*AR31^INDEX(FlowCalConstB,MATCH(AP22,FlowCalNumber,0),1,1)," ")</f>
        <v>#N/A</v>
      </c>
      <c r="AT31" s="33"/>
      <c r="AU31" s="242">
        <f t="shared" si="20"/>
        <v>0.1</v>
      </c>
      <c r="AV31" s="241" t="e">
        <f t="shared" ca="1" si="21"/>
        <v>#VALUE!</v>
      </c>
      <c r="AW31" s="244" t="e">
        <f ca="1">IF(AND(INDEX(FlowCalConstA,MATCH(AT22,FlowCalNumber,0),1,1)*AV31^INDEX(FlowCalConstB,MATCH(AT22,FlowCalNumber,0),1,1)&gt;INDEX(FlowCalLowSetting,MATCH(AT22,FlowCalNumber,0),1,1), (INDEX(FlowCalConstA,MATCH(AT22,FlowCalNumber,0),1,1)*AV31^INDEX(FlowCalConstB,MATCH(AT22,FlowCalNumber,0),1,1)&lt;INDEX(FlowCalHighSetting,MATCH(AT22,FlowCalNumber,0),1,1))),INDEX(FlowCalConstA,MATCH(AT22,FlowCalNumber,0),1,1)*AV31^INDEX(FlowCalConstB,MATCH(AT22,FlowCalNumber,0),1,1)," ")</f>
        <v>#N/A</v>
      </c>
      <c r="AX31" s="33"/>
      <c r="AY31" s="242">
        <f t="shared" si="22"/>
        <v>0.9</v>
      </c>
      <c r="AZ31" s="241" t="e">
        <f t="shared" ca="1" si="23"/>
        <v>#VALUE!</v>
      </c>
      <c r="BA31" s="244" t="e">
        <f ca="1">IF(AND(INDEX(FlowCalConstA,MATCH(AX22,FlowCalNumber,0),1,1)*AZ31^INDEX(FlowCalConstB,MATCH(AX22,FlowCalNumber,0),1,1)&gt;INDEX(FlowCalLowSetting,MATCH(AX22,FlowCalNumber,0),1,1), (INDEX(FlowCalConstA,MATCH(AX22,FlowCalNumber,0),1,1)*AZ31^INDEX(FlowCalConstB,MATCH(AX22,FlowCalNumber,0),1,1)&lt;INDEX(FlowCalHighSetting,MATCH(AX22,FlowCalNumber,0),1,1))),INDEX(FlowCalConstA,MATCH(AX22,FlowCalNumber,0),1,1)*AZ31^INDEX(FlowCalConstB,MATCH(AX22,FlowCalNumber,0),1,1)," ")</f>
        <v>#N/A</v>
      </c>
      <c r="BB31" s="33"/>
      <c r="BC31" s="242">
        <f t="shared" si="24"/>
        <v>0.1</v>
      </c>
      <c r="BD31" s="241" t="e">
        <f t="shared" ca="1" si="25"/>
        <v>#VALUE!</v>
      </c>
      <c r="BE31" s="244" t="e">
        <f ca="1">IF(AND(INDEX(FlowCalConstA,MATCH(BB22,FlowCalNumber,0),1,1)*BD31^INDEX(FlowCalConstB,MATCH(BB22,FlowCalNumber,0),1,1)&gt;INDEX(FlowCalLowSetting,MATCH(BB22,FlowCalNumber,0),1,1), (INDEX(FlowCalConstA,MATCH(BB22,FlowCalNumber,0),1,1)*BD31^INDEX(FlowCalConstB,MATCH(BB22,FlowCalNumber,0),1,1)&lt;INDEX(FlowCalHighSetting,MATCH(BB22,FlowCalNumber,0),1,1))),INDEX(FlowCalConstA,MATCH(BB22,FlowCalNumber,0),1,1)*BD31^INDEX(FlowCalConstB,MATCH(BB22,FlowCalNumber,0),1,1)," ")</f>
        <v>#N/A</v>
      </c>
      <c r="BF31" s="33"/>
      <c r="BG31" s="242">
        <f t="shared" si="26"/>
        <v>0.45</v>
      </c>
      <c r="BH31" s="241" t="e">
        <f t="shared" ca="1" si="27"/>
        <v>#VALUE!</v>
      </c>
      <c r="BI31" s="244" t="e">
        <f ca="1">IF(AND(INDEX(FlowCalConstA,MATCH(BF22,FlowCalNumber,0),1,1)*BH31^INDEX(FlowCalConstB,MATCH(BF22,FlowCalNumber,0),1,1)&gt;INDEX(FlowCalLowSetting,MATCH(BF22,FlowCalNumber,0),1,1), (INDEX(FlowCalConstA,MATCH(BF22,FlowCalNumber,0),1,1)*BH31^INDEX(FlowCalConstB,MATCH(BF22,FlowCalNumber,0),1,1)&lt;INDEX(FlowCalHighSetting,MATCH(BF22,FlowCalNumber,0),1,1))),INDEX(FlowCalConstA,MATCH(BF22,FlowCalNumber,0),1,1)*BH31^INDEX(FlowCalConstB,MATCH(BF22,FlowCalNumber,0),1,1)," ")</f>
        <v>#N/A</v>
      </c>
      <c r="BJ31" s="33"/>
      <c r="BK31" s="242">
        <f t="shared" si="28"/>
        <v>0.45</v>
      </c>
      <c r="BL31" s="241" t="e">
        <f t="shared" ca="1" si="29"/>
        <v>#VALUE!</v>
      </c>
      <c r="BM31" s="244" t="e">
        <f ca="1">IF(AND(INDEX(FlowCalConstA,MATCH(BJ22,FlowCalNumber,0),1,1)*BL31^INDEX(FlowCalConstB,MATCH(BJ22,FlowCalNumber,0),1,1)&gt;INDEX(FlowCalLowSetting,MATCH(BJ22,FlowCalNumber,0),1,1), (INDEX(FlowCalConstA,MATCH(BJ22,FlowCalNumber,0),1,1)*BL31^INDEX(FlowCalConstB,MATCH(BJ22,FlowCalNumber,0),1,1)&lt;INDEX(FlowCalHighSetting,MATCH(BJ22,FlowCalNumber,0),1,1))),INDEX(FlowCalConstA,MATCH(BJ22,FlowCalNumber,0),1,1)*BL31^INDEX(FlowCalConstB,MATCH(BJ22,FlowCalNumber,0),1,1)," ")</f>
        <v>#N/A</v>
      </c>
      <c r="BN31" s="33"/>
      <c r="BO31" s="242">
        <f t="shared" si="30"/>
        <v>0.1</v>
      </c>
      <c r="BP31" s="241" t="e">
        <f t="shared" ca="1" si="31"/>
        <v>#VALUE!</v>
      </c>
      <c r="BQ31" s="244" t="e">
        <f ca="1">IF(AND(INDEX(FlowCalConstA,MATCH(BN22,FlowCalNumber,0),1,1)*BP31^INDEX(FlowCalConstB,MATCH(BN22,FlowCalNumber,0),1,1)&gt;INDEX(FlowCalLowSetting,MATCH(BN22,FlowCalNumber,0),1,1), (INDEX(FlowCalConstA,MATCH(BN22,FlowCalNumber,0),1,1)*BP31^INDEX(FlowCalConstB,MATCH(BN22,FlowCalNumber,0),1,1)&lt;INDEX(FlowCalHighSetting,MATCH(BN22,FlowCalNumber,0),1,1))),INDEX(FlowCalConstA,MATCH(BN22,FlowCalNumber,0),1,1)*BP31^INDEX(FlowCalConstB,MATCH(BN22,FlowCalNumber,0),1,1)," ")</f>
        <v>#N/A</v>
      </c>
      <c r="BR31" s="33"/>
      <c r="BS31" s="242">
        <f t="shared" si="32"/>
        <v>0.4</v>
      </c>
      <c r="BT31" s="241" t="e">
        <f t="shared" ca="1" si="33"/>
        <v>#VALUE!</v>
      </c>
      <c r="BU31" s="244" t="e">
        <f ca="1">IF(AND(INDEX(FlowCalConstA,MATCH(BR22,FlowCalNumber,0),1,1)*BT31^INDEX(FlowCalConstB,MATCH(BR22,FlowCalNumber,0),1,1)&gt;INDEX(FlowCalLowSetting,MATCH(BR22,FlowCalNumber,0),1,1), (INDEX(FlowCalConstA,MATCH(BR22,FlowCalNumber,0),1,1)*BT31^INDEX(FlowCalConstB,MATCH(BR22,FlowCalNumber,0),1,1)&lt;INDEX(FlowCalHighSetting,MATCH(BR22,FlowCalNumber,0),1,1))),INDEX(FlowCalConstA,MATCH(BR22,FlowCalNumber,0),1,1)*BT31^INDEX(FlowCalConstB,MATCH(BR22,FlowCalNumber,0),1,1)," ")</f>
        <v>#N/A</v>
      </c>
      <c r="BV31" s="33"/>
      <c r="BW31" s="242">
        <f t="shared" si="34"/>
        <v>0.4</v>
      </c>
      <c r="BX31" s="241" t="e">
        <f t="shared" ca="1" si="35"/>
        <v>#VALUE!</v>
      </c>
      <c r="BY31" s="244" t="e">
        <f ca="1">IF(AND(INDEX(FlowCalConstA,MATCH(BV22,FlowCalNumber,0),1,1)*BX31^INDEX(FlowCalConstB,MATCH(BV22,FlowCalNumber,0),1,1)&gt;INDEX(FlowCalLowSetting,MATCH(BV22,FlowCalNumber,0),1,1), (INDEX(FlowCalConstA,MATCH(BV22,FlowCalNumber,0),1,1)*BX31^INDEX(FlowCalConstB,MATCH(BV22,FlowCalNumber,0),1,1)&lt;INDEX(FlowCalHighSetting,MATCH(BV22,FlowCalNumber,0),1,1))),INDEX(FlowCalConstA,MATCH(BV22,FlowCalNumber,0),1,1)*BX31^INDEX(FlowCalConstB,MATCH(BV22,FlowCalNumber,0),1,1)," ")</f>
        <v>#N/A</v>
      </c>
      <c r="BZ31" s="33"/>
      <c r="CA31" s="242">
        <f t="shared" si="36"/>
        <v>0.1</v>
      </c>
      <c r="CB31" s="241" t="e">
        <f t="shared" ca="1" si="37"/>
        <v>#VALUE!</v>
      </c>
      <c r="CC31" s="244" t="e">
        <f ca="1">IF(AND(INDEX(FlowCalConstA,MATCH(BZ22,FlowCalNumber,0),1,1)*CB31^INDEX(FlowCalConstB,MATCH(BZ22,FlowCalNumber,0),1,1)&gt;INDEX(FlowCalLowSetting,MATCH(BZ22,FlowCalNumber,0),1,1), (INDEX(FlowCalConstA,MATCH(BZ22,FlowCalNumber,0),1,1)*CB31^INDEX(FlowCalConstB,MATCH(BZ22,FlowCalNumber,0),1,1)&lt;INDEX(FlowCalHighSetting,MATCH(BZ22,FlowCalNumber,0),1,1))),INDEX(FlowCalConstA,MATCH(BZ22,FlowCalNumber,0),1,1)*CB31^INDEX(FlowCalConstB,MATCH(BZ22,FlowCalNumber,0),1,1)," ")</f>
        <v>#N/A</v>
      </c>
      <c r="CD31" s="243"/>
      <c r="CE31" s="243"/>
      <c r="CF31" s="243"/>
      <c r="CG31" s="243"/>
      <c r="CH31" s="243"/>
      <c r="CI31" s="243"/>
      <c r="CJ31" s="243"/>
      <c r="CK31" s="243"/>
      <c r="CL31" s="243"/>
      <c r="CM31" s="243"/>
      <c r="CN31" s="243"/>
      <c r="CO31" s="243"/>
      <c r="CP31" s="243"/>
      <c r="CQ31" s="243"/>
      <c r="CR31" s="243"/>
      <c r="CS31" s="243"/>
      <c r="CT31" s="243"/>
      <c r="CU31" s="243"/>
      <c r="CV31" s="243"/>
      <c r="CW31" s="243"/>
      <c r="CX31" s="243"/>
      <c r="CY31" s="243"/>
      <c r="CZ31" s="243"/>
      <c r="DA31" s="243"/>
      <c r="DB31" s="243"/>
      <c r="DC31" s="243"/>
      <c r="DD31" s="243"/>
      <c r="DE31" s="243"/>
      <c r="DF31" s="243"/>
      <c r="DG31" s="243"/>
      <c r="DH31" s="243"/>
      <c r="DI31" s="243"/>
      <c r="DJ31" s="243"/>
      <c r="DK31" s="243"/>
      <c r="DM31" s="242"/>
      <c r="DO31" s="243"/>
      <c r="DQ31" s="242"/>
      <c r="DS31" s="243"/>
      <c r="DU31" s="242"/>
      <c r="DW31" s="243"/>
      <c r="DY31" s="242"/>
      <c r="EA31" s="243"/>
    </row>
    <row r="32" spans="1:131">
      <c r="A32" s="20"/>
      <c r="B32" s="124" t="str">
        <f t="shared" si="0"/>
        <v/>
      </c>
      <c r="C32" s="235"/>
      <c r="D32" s="24">
        <f>'1% Wind'!$M$91</f>
        <v>4.2</v>
      </c>
      <c r="E32" s="90"/>
      <c r="F32" s="90"/>
      <c r="G32" s="79">
        <f ca="1">IF(I22=0.9743,G31,MAX(G31/D31*D32,2))</f>
        <v>6.001707317073171</v>
      </c>
      <c r="H32" s="121" t="e">
        <f t="shared" ca="1" si="1"/>
        <v>#VALUE!</v>
      </c>
      <c r="J32" s="33"/>
      <c r="K32" s="242">
        <f t="shared" si="2"/>
        <v>1</v>
      </c>
      <c r="L32" s="241" t="e">
        <f t="shared" ca="1" si="3"/>
        <v>#VALUE!</v>
      </c>
      <c r="M32" s="243" t="e">
        <f ca="1">IF(AND(INDEX(FlowCalConstA,MATCH(J22,FlowCalNumber,0),1,1)*L32^INDEX(FlowCalConstB,MATCH(J22,FlowCalNumber,0),1,1)&gt;INDEX(FlowCalLowSetting,MATCH(J22,FlowCalNumber,0),1,1), (INDEX(FlowCalConstA,MATCH(J22,FlowCalNumber,0),1,1)*L32^INDEX(FlowCalConstB,MATCH(J22,FlowCalNumber,0),1,1)&lt;INDEX(FlowCalHighSetting,MATCH(J22,FlowCalNumber,0),1,1))),INDEX(FlowCalConstA,MATCH(J22,FlowCalNumber,0),1,1)*L32^INDEX(FlowCalConstB,MATCH(J22,FlowCalNumber,0),1,1)," ")</f>
        <v>#N/A</v>
      </c>
      <c r="N32" s="33"/>
      <c r="O32" s="242">
        <f t="shared" si="4"/>
        <v>1</v>
      </c>
      <c r="P32" s="241" t="e">
        <f t="shared" ca="1" si="5"/>
        <v>#VALUE!</v>
      </c>
      <c r="Q32" s="243" t="e">
        <f ca="1">IF(AND(INDEX(FlowCalConstA,MATCH(N22,FlowCalNumber,0),1,1)*P32^INDEX(FlowCalConstB,MATCH(N22,FlowCalNumber,0),1,1)&gt;INDEX(FlowCalLowSetting,MATCH(N22,FlowCalNumber,0),1,1), (INDEX(FlowCalConstA,MATCH(N22,FlowCalNumber,0),1,1)*P32^INDEX(FlowCalConstB,MATCH(N22,FlowCalNumber,0),1,1)&lt;INDEX(FlowCalHighSetting,MATCH(N22,FlowCalNumber,0),1,1))),INDEX(FlowCalConstA,MATCH(N22,FlowCalNumber,0),1,1)*P32^INDEX(FlowCalConstB,MATCH(N22,FlowCalNumber,0),1,1)," ")</f>
        <v>#N/A</v>
      </c>
      <c r="R32" s="33"/>
      <c r="S32" s="242">
        <f t="shared" si="6"/>
        <v>1</v>
      </c>
      <c r="T32" s="241" t="e">
        <f t="shared" ca="1" si="7"/>
        <v>#VALUE!</v>
      </c>
      <c r="U32" s="244" t="e">
        <f ca="1">IF(AND(INDEX(FlowCalConstA,MATCH(R22,FlowCalNumber,0),1,1)*T32^INDEX(FlowCalConstB,MATCH(R22,FlowCalNumber,0),1,1)&gt;INDEX(FlowCalLowSetting,MATCH(R22,FlowCalNumber,0),1,1), (INDEX(FlowCalConstA,MATCH(R22,FlowCalNumber,0),1,1)*T32^INDEX(FlowCalConstB,MATCH(R22,FlowCalNumber,0),1,1)&lt;INDEX(FlowCalHighSetting,MATCH(R22,FlowCalNumber,0),1,1))),INDEX(FlowCalConstA,MATCH(R22,FlowCalNumber,0),1,1)*T32^INDEX(FlowCalConstB,MATCH(R22,FlowCalNumber,0),1,1)," ")</f>
        <v>#N/A</v>
      </c>
      <c r="V32" s="33"/>
      <c r="W32" s="242">
        <f t="shared" si="8"/>
        <v>0.1</v>
      </c>
      <c r="X32" s="241" t="e">
        <f t="shared" ca="1" si="9"/>
        <v>#VALUE!</v>
      </c>
      <c r="Y32" s="243" t="e">
        <f ca="1">IF(AND(INDEX(FlowCalConstA,MATCH(V22,FlowCalNumber,0),1,1)*X32^INDEX(FlowCalConstB,MATCH(V22,FlowCalNumber,0),1,1)&gt;INDEX(FlowCalLowSetting,MATCH(V22,FlowCalNumber,0),1,1), (INDEX(FlowCalConstA,MATCH(V22,FlowCalNumber,0),1,1)*X32^INDEX(FlowCalConstB,MATCH(V22,FlowCalNumber,0),1,1)&lt;INDEX(FlowCalHighSetting,MATCH(V22,FlowCalNumber,0),1,1))),INDEX(FlowCalConstA,MATCH(V22,FlowCalNumber,0),1,1)*X32^INDEX(FlowCalConstB,MATCH(V22,FlowCalNumber,0),1,1)," ")</f>
        <v>#N/A</v>
      </c>
      <c r="Z32" s="33"/>
      <c r="AA32" s="242">
        <f t="shared" si="10"/>
        <v>0.9</v>
      </c>
      <c r="AB32" s="241" t="e">
        <f t="shared" ca="1" si="11"/>
        <v>#VALUE!</v>
      </c>
      <c r="AC32" s="243" t="e">
        <f ca="1">IF(AND(INDEX(FlowCalConstA,MATCH(Z22,FlowCalNumber,0),1,1)*AB32^INDEX(FlowCalConstB,MATCH(Z22,FlowCalNumber,0),1,1)&gt;INDEX(FlowCalLowSetting,MATCH(Z22,FlowCalNumber,0),1,1), (INDEX(FlowCalConstA,MATCH(Z22,FlowCalNumber,0),1,1)*AB32^INDEX(FlowCalConstB,MATCH(Z22,FlowCalNumber,0),1,1)&lt;INDEX(FlowCalHighSetting,MATCH(Z22,FlowCalNumber,0),1,1))),INDEX(FlowCalConstA,MATCH(Z22,FlowCalNumber,0),1,1)*AB32^INDEX(FlowCalConstB,MATCH(Z22,FlowCalNumber,0),1,1)," ")</f>
        <v>#N/A</v>
      </c>
      <c r="AD32" s="33"/>
      <c r="AE32" s="242">
        <f t="shared" si="12"/>
        <v>0.1</v>
      </c>
      <c r="AF32" s="241" t="e">
        <f t="shared" ca="1" si="13"/>
        <v>#VALUE!</v>
      </c>
      <c r="AG32" s="243" t="e">
        <f ca="1">IF(AND(INDEX(FlowCalConstA,MATCH(AD22,FlowCalNumber,0),1,1)*AF32^INDEX(FlowCalConstB,MATCH(AD22,FlowCalNumber,0),1,1)&gt;INDEX(FlowCalLowSetting,MATCH(AD22,FlowCalNumber,0),1,1), (INDEX(FlowCalConstA,MATCH(AD22,FlowCalNumber,0),1,1)*AF32^INDEX(FlowCalConstB,MATCH(AD22,FlowCalNumber,0),1,1)&lt;INDEX(FlowCalHighSetting,MATCH(AD22,FlowCalNumber,0),1,1))),INDEX(FlowCalConstA,MATCH(AD22,FlowCalNumber,0),1,1)*AF32^INDEX(FlowCalConstB,MATCH(AD22,FlowCalNumber,0),1,1)," ")</f>
        <v>#N/A</v>
      </c>
      <c r="AH32" s="33"/>
      <c r="AI32" s="242">
        <f t="shared" si="14"/>
        <v>0.9</v>
      </c>
      <c r="AJ32" s="241" t="e">
        <f t="shared" ca="1" si="15"/>
        <v>#VALUE!</v>
      </c>
      <c r="AK32" s="243" t="e">
        <f ca="1">IF(AND(INDEX(FlowCalConstA,MATCH(AH22,FlowCalNumber,0),1,1)*AJ32^INDEX(FlowCalConstB,MATCH(AH22,FlowCalNumber,0),1,1)&gt;INDEX(FlowCalLowSetting,MATCH(AH22,FlowCalNumber,0),1,1), (INDEX(FlowCalConstA,MATCH(AH22,FlowCalNumber,0),1,1)*AJ32^INDEX(FlowCalConstB,MATCH(AH22,FlowCalNumber,0),1,1)&lt;INDEX(FlowCalHighSetting,MATCH(AH22,FlowCalNumber,0),1,1))),INDEX(FlowCalConstA,MATCH(AH22,FlowCalNumber,0),1,1)*AJ32^INDEX(FlowCalConstB,MATCH(AH22,FlowCalNumber,0),1,1)," ")</f>
        <v>#N/A</v>
      </c>
      <c r="AL32" s="33"/>
      <c r="AM32" s="242">
        <f t="shared" si="16"/>
        <v>0.1</v>
      </c>
      <c r="AN32" s="241" t="e">
        <f t="shared" ca="1" si="17"/>
        <v>#VALUE!</v>
      </c>
      <c r="AO32" s="244" t="e">
        <f ca="1">IF(AND(INDEX(FlowCalConstA,MATCH(AL22,FlowCalNumber,0),1,1)*AN32^INDEX(FlowCalConstB,MATCH(AL22,FlowCalNumber,0),1,1)&gt;INDEX(FlowCalLowSetting,MATCH(AL22,FlowCalNumber,0),1,1), (INDEX(FlowCalConstA,MATCH(AL22,FlowCalNumber,0),1,1)*AN32^INDEX(FlowCalConstB,MATCH(AL22,FlowCalNumber,0),1,1)&lt;INDEX(FlowCalHighSetting,MATCH(AL22,FlowCalNumber,0),1,1))),INDEX(FlowCalConstA,MATCH(AL22,FlowCalNumber,0),1,1)*AN32^INDEX(FlowCalConstB,MATCH(AL22,FlowCalNumber,0),1,1)," ")</f>
        <v>#N/A</v>
      </c>
      <c r="AQ32" s="242">
        <f t="shared" si="18"/>
        <v>0.9</v>
      </c>
      <c r="AR32" s="241" t="e">
        <f t="shared" ca="1" si="19"/>
        <v>#VALUE!</v>
      </c>
      <c r="AS32" s="244" t="e">
        <f ca="1">IF(AND(INDEX(FlowCalConstA,MATCH(AP22,FlowCalNumber,0),1,1)*AR32^INDEX(FlowCalConstB,MATCH(AP22,FlowCalNumber,0),1,1)&gt;INDEX(FlowCalLowSetting,MATCH(AP22,FlowCalNumber,0),1,1), (INDEX(FlowCalConstA,MATCH(AP22,FlowCalNumber,0),1,1)*AR32^INDEX(FlowCalConstB,MATCH(AP22,FlowCalNumber,0),1,1)&lt;INDEX(FlowCalHighSetting,MATCH(AP22,FlowCalNumber,0),1,1))),INDEX(FlowCalConstA,MATCH(AP22,FlowCalNumber,0),1,1)*AR32^INDEX(FlowCalConstB,MATCH(AP22,FlowCalNumber,0),1,1)," ")</f>
        <v>#N/A</v>
      </c>
      <c r="AT32" s="33"/>
      <c r="AU32" s="242">
        <f t="shared" si="20"/>
        <v>0.1</v>
      </c>
      <c r="AV32" s="241" t="e">
        <f t="shared" ca="1" si="21"/>
        <v>#VALUE!</v>
      </c>
      <c r="AW32" s="244" t="e">
        <f ca="1">IF(AND(INDEX(FlowCalConstA,MATCH(AT22,FlowCalNumber,0),1,1)*AV32^INDEX(FlowCalConstB,MATCH(AT22,FlowCalNumber,0),1,1)&gt;INDEX(FlowCalLowSetting,MATCH(AT22,FlowCalNumber,0),1,1), (INDEX(FlowCalConstA,MATCH(AT22,FlowCalNumber,0),1,1)*AV32^INDEX(FlowCalConstB,MATCH(AT22,FlowCalNumber,0),1,1)&lt;INDEX(FlowCalHighSetting,MATCH(AT22,FlowCalNumber,0),1,1))),INDEX(FlowCalConstA,MATCH(AT22,FlowCalNumber,0),1,1)*AV32^INDEX(FlowCalConstB,MATCH(AT22,FlowCalNumber,0),1,1)," ")</f>
        <v>#N/A</v>
      </c>
      <c r="AX32" s="33"/>
      <c r="AY32" s="242">
        <f t="shared" si="22"/>
        <v>0.9</v>
      </c>
      <c r="AZ32" s="241" t="e">
        <f t="shared" ca="1" si="23"/>
        <v>#VALUE!</v>
      </c>
      <c r="BA32" s="244" t="e">
        <f ca="1">IF(AND(INDEX(FlowCalConstA,MATCH(AX22,FlowCalNumber,0),1,1)*AZ32^INDEX(FlowCalConstB,MATCH(AX22,FlowCalNumber,0),1,1)&gt;INDEX(FlowCalLowSetting,MATCH(AX22,FlowCalNumber,0),1,1), (INDEX(FlowCalConstA,MATCH(AX22,FlowCalNumber,0),1,1)*AZ32^INDEX(FlowCalConstB,MATCH(AX22,FlowCalNumber,0),1,1)&lt;INDEX(FlowCalHighSetting,MATCH(AX22,FlowCalNumber,0),1,1))),INDEX(FlowCalConstA,MATCH(AX22,FlowCalNumber,0),1,1)*AZ32^INDEX(FlowCalConstB,MATCH(AX22,FlowCalNumber,0),1,1)," ")</f>
        <v>#N/A</v>
      </c>
      <c r="BB32" s="33"/>
      <c r="BC32" s="242">
        <f t="shared" si="24"/>
        <v>0.1</v>
      </c>
      <c r="BD32" s="241" t="e">
        <f t="shared" ca="1" si="25"/>
        <v>#VALUE!</v>
      </c>
      <c r="BE32" s="244" t="e">
        <f ca="1">IF(AND(INDEX(FlowCalConstA,MATCH(BB22,FlowCalNumber,0),1,1)*BD32^INDEX(FlowCalConstB,MATCH(BB22,FlowCalNumber,0),1,1)&gt;INDEX(FlowCalLowSetting,MATCH(BB22,FlowCalNumber,0),1,1), (INDEX(FlowCalConstA,MATCH(BB22,FlowCalNumber,0),1,1)*BD32^INDEX(FlowCalConstB,MATCH(BB22,FlowCalNumber,0),1,1)&lt;INDEX(FlowCalHighSetting,MATCH(BB22,FlowCalNumber,0),1,1))),INDEX(FlowCalConstA,MATCH(BB22,FlowCalNumber,0),1,1)*BD32^INDEX(FlowCalConstB,MATCH(BB22,FlowCalNumber,0),1,1)," ")</f>
        <v>#N/A</v>
      </c>
      <c r="BF32" s="33"/>
      <c r="BG32" s="242">
        <f t="shared" si="26"/>
        <v>0.45</v>
      </c>
      <c r="BH32" s="241" t="e">
        <f t="shared" ca="1" si="27"/>
        <v>#VALUE!</v>
      </c>
      <c r="BI32" s="244" t="e">
        <f ca="1">IF(AND(INDEX(FlowCalConstA,MATCH(BF22,FlowCalNumber,0),1,1)*BH32^INDEX(FlowCalConstB,MATCH(BF22,FlowCalNumber,0),1,1)&gt;INDEX(FlowCalLowSetting,MATCH(BF22,FlowCalNumber,0),1,1), (INDEX(FlowCalConstA,MATCH(BF22,FlowCalNumber,0),1,1)*BH32^INDEX(FlowCalConstB,MATCH(BF22,FlowCalNumber,0),1,1)&lt;INDEX(FlowCalHighSetting,MATCH(BF22,FlowCalNumber,0),1,1))),INDEX(FlowCalConstA,MATCH(BF22,FlowCalNumber,0),1,1)*BH32^INDEX(FlowCalConstB,MATCH(BF22,FlowCalNumber,0),1,1)," ")</f>
        <v>#N/A</v>
      </c>
      <c r="BJ32" s="33"/>
      <c r="BK32" s="242">
        <f t="shared" si="28"/>
        <v>0.45</v>
      </c>
      <c r="BL32" s="241" t="e">
        <f t="shared" ca="1" si="29"/>
        <v>#VALUE!</v>
      </c>
      <c r="BM32" s="244" t="e">
        <f ca="1">IF(AND(INDEX(FlowCalConstA,MATCH(BJ22,FlowCalNumber,0),1,1)*BL32^INDEX(FlowCalConstB,MATCH(BJ22,FlowCalNumber,0),1,1)&gt;INDEX(FlowCalLowSetting,MATCH(BJ22,FlowCalNumber,0),1,1), (INDEX(FlowCalConstA,MATCH(BJ22,FlowCalNumber,0),1,1)*BL32^INDEX(FlowCalConstB,MATCH(BJ22,FlowCalNumber,0),1,1)&lt;INDEX(FlowCalHighSetting,MATCH(BJ22,FlowCalNumber,0),1,1))),INDEX(FlowCalConstA,MATCH(BJ22,FlowCalNumber,0),1,1)*BL32^INDEX(FlowCalConstB,MATCH(BJ22,FlowCalNumber,0),1,1)," ")</f>
        <v>#N/A</v>
      </c>
      <c r="BN32" s="33"/>
      <c r="BO32" s="242">
        <f t="shared" si="30"/>
        <v>0.1</v>
      </c>
      <c r="BP32" s="241" t="e">
        <f t="shared" ca="1" si="31"/>
        <v>#VALUE!</v>
      </c>
      <c r="BQ32" s="244" t="e">
        <f ca="1">IF(AND(INDEX(FlowCalConstA,MATCH(BN22,FlowCalNumber,0),1,1)*BP32^INDEX(FlowCalConstB,MATCH(BN22,FlowCalNumber,0),1,1)&gt;INDEX(FlowCalLowSetting,MATCH(BN22,FlowCalNumber,0),1,1), (INDEX(FlowCalConstA,MATCH(BN22,FlowCalNumber,0),1,1)*BP32^INDEX(FlowCalConstB,MATCH(BN22,FlowCalNumber,0),1,1)&lt;INDEX(FlowCalHighSetting,MATCH(BN22,FlowCalNumber,0),1,1))),INDEX(FlowCalConstA,MATCH(BN22,FlowCalNumber,0),1,1)*BP32^INDEX(FlowCalConstB,MATCH(BN22,FlowCalNumber,0),1,1)," ")</f>
        <v>#N/A</v>
      </c>
      <c r="BR32" s="33"/>
      <c r="BS32" s="242">
        <f t="shared" si="32"/>
        <v>0.4</v>
      </c>
      <c r="BT32" s="241" t="e">
        <f t="shared" ca="1" si="33"/>
        <v>#VALUE!</v>
      </c>
      <c r="BU32" s="244" t="e">
        <f ca="1">IF(AND(INDEX(FlowCalConstA,MATCH(BR22,FlowCalNumber,0),1,1)*BT32^INDEX(FlowCalConstB,MATCH(BR22,FlowCalNumber,0),1,1)&gt;INDEX(FlowCalLowSetting,MATCH(BR22,FlowCalNumber,0),1,1), (INDEX(FlowCalConstA,MATCH(BR22,FlowCalNumber,0),1,1)*BT32^INDEX(FlowCalConstB,MATCH(BR22,FlowCalNumber,0),1,1)&lt;INDEX(FlowCalHighSetting,MATCH(BR22,FlowCalNumber,0),1,1))),INDEX(FlowCalConstA,MATCH(BR22,FlowCalNumber,0),1,1)*BT32^INDEX(FlowCalConstB,MATCH(BR22,FlowCalNumber,0),1,1)," ")</f>
        <v>#N/A</v>
      </c>
      <c r="BV32" s="33"/>
      <c r="BW32" s="242">
        <f t="shared" si="34"/>
        <v>0.4</v>
      </c>
      <c r="BX32" s="241" t="e">
        <f t="shared" ca="1" si="35"/>
        <v>#VALUE!</v>
      </c>
      <c r="BY32" s="244" t="e">
        <f ca="1">IF(AND(INDEX(FlowCalConstA,MATCH(BV22,FlowCalNumber,0),1,1)*BX32^INDEX(FlowCalConstB,MATCH(BV22,FlowCalNumber,0),1,1)&gt;INDEX(FlowCalLowSetting,MATCH(BV22,FlowCalNumber,0),1,1), (INDEX(FlowCalConstA,MATCH(BV22,FlowCalNumber,0),1,1)*BX32^INDEX(FlowCalConstB,MATCH(BV22,FlowCalNumber,0),1,1)&lt;INDEX(FlowCalHighSetting,MATCH(BV22,FlowCalNumber,0),1,1))),INDEX(FlowCalConstA,MATCH(BV22,FlowCalNumber,0),1,1)*BX32^INDEX(FlowCalConstB,MATCH(BV22,FlowCalNumber,0),1,1)," ")</f>
        <v>#N/A</v>
      </c>
      <c r="BZ32" s="33"/>
      <c r="CA32" s="242">
        <f t="shared" si="36"/>
        <v>0.1</v>
      </c>
      <c r="CB32" s="241" t="e">
        <f t="shared" ca="1" si="37"/>
        <v>#VALUE!</v>
      </c>
      <c r="CC32" s="244" t="e">
        <f ca="1">IF(AND(INDEX(FlowCalConstA,MATCH(BZ22,FlowCalNumber,0),1,1)*CB32^INDEX(FlowCalConstB,MATCH(BZ22,FlowCalNumber,0),1,1)&gt;INDEX(FlowCalLowSetting,MATCH(BZ22,FlowCalNumber,0),1,1), (INDEX(FlowCalConstA,MATCH(BZ22,FlowCalNumber,0),1,1)*CB32^INDEX(FlowCalConstB,MATCH(BZ22,FlowCalNumber,0),1,1)&lt;INDEX(FlowCalHighSetting,MATCH(BZ22,FlowCalNumber,0),1,1))),INDEX(FlowCalConstA,MATCH(BZ22,FlowCalNumber,0),1,1)*CB32^INDEX(FlowCalConstB,MATCH(BZ22,FlowCalNumber,0),1,1)," ")</f>
        <v>#N/A</v>
      </c>
      <c r="CD32" s="243"/>
      <c r="CE32" s="243"/>
      <c r="CF32" s="243"/>
      <c r="CG32" s="243"/>
      <c r="CH32" s="243"/>
      <c r="CI32" s="243"/>
      <c r="CJ32" s="243"/>
      <c r="CK32" s="243"/>
      <c r="CL32" s="243"/>
      <c r="CM32" s="243"/>
      <c r="CN32" s="243"/>
      <c r="CO32" s="243"/>
      <c r="CP32" s="243"/>
      <c r="CQ32" s="243"/>
      <c r="CR32" s="243"/>
      <c r="CS32" s="243"/>
      <c r="CT32" s="243"/>
      <c r="CU32" s="243"/>
      <c r="CV32" s="243"/>
      <c r="CW32" s="243"/>
      <c r="CX32" s="243"/>
      <c r="CY32" s="243"/>
      <c r="CZ32" s="243"/>
      <c r="DA32" s="243"/>
      <c r="DB32" s="243"/>
      <c r="DC32" s="243"/>
      <c r="DD32" s="243"/>
      <c r="DE32" s="243"/>
      <c r="DF32" s="243"/>
      <c r="DG32" s="243"/>
      <c r="DH32" s="243"/>
      <c r="DI32" s="243"/>
      <c r="DJ32" s="243"/>
      <c r="DK32" s="243"/>
      <c r="DM32" s="242"/>
      <c r="DO32" s="243"/>
      <c r="DQ32" s="242"/>
      <c r="DS32" s="243"/>
      <c r="DU32" s="242"/>
      <c r="DW32" s="243"/>
      <c r="DY32" s="242"/>
      <c r="EA32" s="243"/>
    </row>
    <row r="33" spans="1:131">
      <c r="A33" s="20"/>
      <c r="B33" s="124" t="str">
        <f t="shared" si="0"/>
        <v/>
      </c>
      <c r="C33" s="235"/>
      <c r="D33" s="24">
        <f>'1% Wind'!$M$92</f>
        <v>3.2</v>
      </c>
      <c r="E33" s="90"/>
      <c r="F33" s="90"/>
      <c r="G33" s="79">
        <f ca="1">IF(I22=0.9743,G32,MAX(G32/D32*D33,2))</f>
        <v>6.001707317073171</v>
      </c>
      <c r="H33" s="121" t="e">
        <f t="shared" ca="1" si="1"/>
        <v>#VALUE!</v>
      </c>
      <c r="J33" s="33"/>
      <c r="K33" s="242">
        <f t="shared" si="2"/>
        <v>1</v>
      </c>
      <c r="L33" s="241" t="e">
        <f t="shared" ca="1" si="3"/>
        <v>#VALUE!</v>
      </c>
      <c r="M33" s="243" t="e">
        <f ca="1">IF(AND(INDEX(FlowCalConstA,MATCH(J22,FlowCalNumber,0),1,1)*L33^INDEX(FlowCalConstB,MATCH(J22,FlowCalNumber,0),1,1)&gt;INDEX(FlowCalLowSetting,MATCH(J22,FlowCalNumber,0),1,1), (INDEX(FlowCalConstA,MATCH(J22,FlowCalNumber,0),1,1)*L33^INDEX(FlowCalConstB,MATCH(J22,FlowCalNumber,0),1,1)&lt;INDEX(FlowCalHighSetting,MATCH(J22,FlowCalNumber,0),1,1))),INDEX(FlowCalConstA,MATCH(J22,FlowCalNumber,0),1,1)*L33^INDEX(FlowCalConstB,MATCH(J22,FlowCalNumber,0),1,1)," ")</f>
        <v>#N/A</v>
      </c>
      <c r="N33" s="33"/>
      <c r="O33" s="242">
        <f t="shared" si="4"/>
        <v>1</v>
      </c>
      <c r="P33" s="241" t="e">
        <f t="shared" ca="1" si="5"/>
        <v>#VALUE!</v>
      </c>
      <c r="Q33" s="243" t="e">
        <f ca="1">IF(AND(INDEX(FlowCalConstA,MATCH(N22,FlowCalNumber,0),1,1)*P33^INDEX(FlowCalConstB,MATCH(N22,FlowCalNumber,0),1,1)&gt;INDEX(FlowCalLowSetting,MATCH(N22,FlowCalNumber,0),1,1), (INDEX(FlowCalConstA,MATCH(N22,FlowCalNumber,0),1,1)*P33^INDEX(FlowCalConstB,MATCH(N22,FlowCalNumber,0),1,1)&lt;INDEX(FlowCalHighSetting,MATCH(N22,FlowCalNumber,0),1,1))),INDEX(FlowCalConstA,MATCH(N22,FlowCalNumber,0),1,1)*P33^INDEX(FlowCalConstB,MATCH(N22,FlowCalNumber,0),1,1)," ")</f>
        <v>#N/A</v>
      </c>
      <c r="R33" s="33"/>
      <c r="S33" s="242">
        <f t="shared" si="6"/>
        <v>1</v>
      </c>
      <c r="T33" s="241" t="e">
        <f t="shared" ca="1" si="7"/>
        <v>#VALUE!</v>
      </c>
      <c r="U33" s="244" t="e">
        <f ca="1">IF(AND(INDEX(FlowCalConstA,MATCH(R22,FlowCalNumber,0),1,1)*T33^INDEX(FlowCalConstB,MATCH(R22,FlowCalNumber,0),1,1)&gt;INDEX(FlowCalLowSetting,MATCH(R22,FlowCalNumber,0),1,1), (INDEX(FlowCalConstA,MATCH(R22,FlowCalNumber,0),1,1)*T33^INDEX(FlowCalConstB,MATCH(R22,FlowCalNumber,0),1,1)&lt;INDEX(FlowCalHighSetting,MATCH(R22,FlowCalNumber,0),1,1))),INDEX(FlowCalConstA,MATCH(R22,FlowCalNumber,0),1,1)*T33^INDEX(FlowCalConstB,MATCH(R22,FlowCalNumber,0),1,1)," ")</f>
        <v>#N/A</v>
      </c>
      <c r="V33" s="33"/>
      <c r="W33" s="242">
        <f t="shared" si="8"/>
        <v>0.1</v>
      </c>
      <c r="X33" s="241" t="e">
        <f t="shared" ca="1" si="9"/>
        <v>#VALUE!</v>
      </c>
      <c r="Y33" s="243" t="e">
        <f ca="1">IF(AND(INDEX(FlowCalConstA,MATCH(V22,FlowCalNumber,0),1,1)*X33^INDEX(FlowCalConstB,MATCH(V22,FlowCalNumber,0),1,1)&gt;INDEX(FlowCalLowSetting,MATCH(V22,FlowCalNumber,0),1,1), (INDEX(FlowCalConstA,MATCH(V22,FlowCalNumber,0),1,1)*X33^INDEX(FlowCalConstB,MATCH(V22,FlowCalNumber,0),1,1)&lt;INDEX(FlowCalHighSetting,MATCH(V22,FlowCalNumber,0),1,1))),INDEX(FlowCalConstA,MATCH(V22,FlowCalNumber,0),1,1)*X33^INDEX(FlowCalConstB,MATCH(V22,FlowCalNumber,0),1,1)," ")</f>
        <v>#N/A</v>
      </c>
      <c r="Z33" s="33"/>
      <c r="AA33" s="242">
        <f t="shared" si="10"/>
        <v>0.9</v>
      </c>
      <c r="AB33" s="241" t="e">
        <f t="shared" ca="1" si="11"/>
        <v>#VALUE!</v>
      </c>
      <c r="AC33" s="243" t="e">
        <f ca="1">IF(AND(INDEX(FlowCalConstA,MATCH(Z22,FlowCalNumber,0),1,1)*AB33^INDEX(FlowCalConstB,MATCH(Z22,FlowCalNumber,0),1,1)&gt;INDEX(FlowCalLowSetting,MATCH(Z22,FlowCalNumber,0),1,1), (INDEX(FlowCalConstA,MATCH(Z22,FlowCalNumber,0),1,1)*AB33^INDEX(FlowCalConstB,MATCH(Z22,FlowCalNumber,0),1,1)&lt;INDEX(FlowCalHighSetting,MATCH(Z22,FlowCalNumber,0),1,1))),INDEX(FlowCalConstA,MATCH(Z22,FlowCalNumber,0),1,1)*AB33^INDEX(FlowCalConstB,MATCH(Z22,FlowCalNumber,0),1,1)," ")</f>
        <v>#N/A</v>
      </c>
      <c r="AD33" s="33"/>
      <c r="AE33" s="242">
        <f t="shared" si="12"/>
        <v>0.1</v>
      </c>
      <c r="AF33" s="241" t="e">
        <f t="shared" ca="1" si="13"/>
        <v>#VALUE!</v>
      </c>
      <c r="AG33" s="243" t="e">
        <f ca="1">IF(AND(INDEX(FlowCalConstA,MATCH(AD22,FlowCalNumber,0),1,1)*AF33^INDEX(FlowCalConstB,MATCH(AD22,FlowCalNumber,0),1,1)&gt;INDEX(FlowCalLowSetting,MATCH(AD22,FlowCalNumber,0),1,1), (INDEX(FlowCalConstA,MATCH(AD22,FlowCalNumber,0),1,1)*AF33^INDEX(FlowCalConstB,MATCH(AD22,FlowCalNumber,0),1,1)&lt;INDEX(FlowCalHighSetting,MATCH(AD22,FlowCalNumber,0),1,1))),INDEX(FlowCalConstA,MATCH(AD22,FlowCalNumber,0),1,1)*AF33^INDEX(FlowCalConstB,MATCH(AD22,FlowCalNumber,0),1,1)," ")</f>
        <v>#N/A</v>
      </c>
      <c r="AH33" s="33"/>
      <c r="AI33" s="242">
        <f t="shared" si="14"/>
        <v>0.9</v>
      </c>
      <c r="AJ33" s="241" t="e">
        <f t="shared" ca="1" si="15"/>
        <v>#VALUE!</v>
      </c>
      <c r="AK33" s="243" t="e">
        <f ca="1">IF(AND(INDEX(FlowCalConstA,MATCH(AH22,FlowCalNumber,0),1,1)*AJ33^INDEX(FlowCalConstB,MATCH(AH22,FlowCalNumber,0),1,1)&gt;INDEX(FlowCalLowSetting,MATCH(AH22,FlowCalNumber,0),1,1), (INDEX(FlowCalConstA,MATCH(AH22,FlowCalNumber,0),1,1)*AJ33^INDEX(FlowCalConstB,MATCH(AH22,FlowCalNumber,0),1,1)&lt;INDEX(FlowCalHighSetting,MATCH(AH22,FlowCalNumber,0),1,1))),INDEX(FlowCalConstA,MATCH(AH22,FlowCalNumber,0),1,1)*AJ33^INDEX(FlowCalConstB,MATCH(AH22,FlowCalNumber,0),1,1)," ")</f>
        <v>#N/A</v>
      </c>
      <c r="AL33" s="33"/>
      <c r="AM33" s="242">
        <f t="shared" si="16"/>
        <v>0.1</v>
      </c>
      <c r="AN33" s="241" t="e">
        <f t="shared" ca="1" si="17"/>
        <v>#VALUE!</v>
      </c>
      <c r="AO33" s="244" t="e">
        <f ca="1">IF(AND(INDEX(FlowCalConstA,MATCH(AL22,FlowCalNumber,0),1,1)*AN33^INDEX(FlowCalConstB,MATCH(AL22,FlowCalNumber,0),1,1)&gt;INDEX(FlowCalLowSetting,MATCH(AL22,FlowCalNumber,0),1,1), (INDEX(FlowCalConstA,MATCH(AL22,FlowCalNumber,0),1,1)*AN33^INDEX(FlowCalConstB,MATCH(AL22,FlowCalNumber,0),1,1)&lt;INDEX(FlowCalHighSetting,MATCH(AL22,FlowCalNumber,0),1,1))),INDEX(FlowCalConstA,MATCH(AL22,FlowCalNumber,0),1,1)*AN33^INDEX(FlowCalConstB,MATCH(AL22,FlowCalNumber,0),1,1)," ")</f>
        <v>#N/A</v>
      </c>
      <c r="AQ33" s="242">
        <f t="shared" si="18"/>
        <v>0.9</v>
      </c>
      <c r="AR33" s="241" t="e">
        <f t="shared" ca="1" si="19"/>
        <v>#VALUE!</v>
      </c>
      <c r="AS33" s="244" t="e">
        <f ca="1">IF(AND(INDEX(FlowCalConstA,MATCH(AP22,FlowCalNumber,0),1,1)*AR33^INDEX(FlowCalConstB,MATCH(AP22,FlowCalNumber,0),1,1)&gt;INDEX(FlowCalLowSetting,MATCH(AP22,FlowCalNumber,0),1,1), (INDEX(FlowCalConstA,MATCH(AP22,FlowCalNumber,0),1,1)*AR33^INDEX(FlowCalConstB,MATCH(AP22,FlowCalNumber,0),1,1)&lt;INDEX(FlowCalHighSetting,MATCH(AP22,FlowCalNumber,0),1,1))),INDEX(FlowCalConstA,MATCH(AP22,FlowCalNumber,0),1,1)*AR33^INDEX(FlowCalConstB,MATCH(AP22,FlowCalNumber,0),1,1)," ")</f>
        <v>#N/A</v>
      </c>
      <c r="AT33" s="33"/>
      <c r="AU33" s="242">
        <f t="shared" si="20"/>
        <v>0.1</v>
      </c>
      <c r="AV33" s="241" t="e">
        <f t="shared" ca="1" si="21"/>
        <v>#VALUE!</v>
      </c>
      <c r="AW33" s="244" t="e">
        <f ca="1">IF(AND(INDEX(FlowCalConstA,MATCH(AT22,FlowCalNumber,0),1,1)*AV33^INDEX(FlowCalConstB,MATCH(AT22,FlowCalNumber,0),1,1)&gt;INDEX(FlowCalLowSetting,MATCH(AT22,FlowCalNumber,0),1,1), (INDEX(FlowCalConstA,MATCH(AT22,FlowCalNumber,0),1,1)*AV33^INDEX(FlowCalConstB,MATCH(AT22,FlowCalNumber,0),1,1)&lt;INDEX(FlowCalHighSetting,MATCH(AT22,FlowCalNumber,0),1,1))),INDEX(FlowCalConstA,MATCH(AT22,FlowCalNumber,0),1,1)*AV33^INDEX(FlowCalConstB,MATCH(AT22,FlowCalNumber,0),1,1)," ")</f>
        <v>#N/A</v>
      </c>
      <c r="AX33" s="33"/>
      <c r="AY33" s="242">
        <f t="shared" si="22"/>
        <v>0.9</v>
      </c>
      <c r="AZ33" s="241" t="e">
        <f t="shared" ca="1" si="23"/>
        <v>#VALUE!</v>
      </c>
      <c r="BA33" s="244" t="e">
        <f ca="1">IF(AND(INDEX(FlowCalConstA,MATCH(AX22,FlowCalNumber,0),1,1)*AZ33^INDEX(FlowCalConstB,MATCH(AX22,FlowCalNumber,0),1,1)&gt;INDEX(FlowCalLowSetting,MATCH(AX22,FlowCalNumber,0),1,1), (INDEX(FlowCalConstA,MATCH(AX22,FlowCalNumber,0),1,1)*AZ33^INDEX(FlowCalConstB,MATCH(AX22,FlowCalNumber,0),1,1)&lt;INDEX(FlowCalHighSetting,MATCH(AX22,FlowCalNumber,0),1,1))),INDEX(FlowCalConstA,MATCH(AX22,FlowCalNumber,0),1,1)*AZ33^INDEX(FlowCalConstB,MATCH(AX22,FlowCalNumber,0),1,1)," ")</f>
        <v>#N/A</v>
      </c>
      <c r="BB33" s="33"/>
      <c r="BC33" s="242">
        <f t="shared" si="24"/>
        <v>0.1</v>
      </c>
      <c r="BD33" s="241" t="e">
        <f t="shared" ca="1" si="25"/>
        <v>#VALUE!</v>
      </c>
      <c r="BE33" s="244" t="e">
        <f ca="1">IF(AND(INDEX(FlowCalConstA,MATCH(BB22,FlowCalNumber,0),1,1)*BD33^INDEX(FlowCalConstB,MATCH(BB22,FlowCalNumber,0),1,1)&gt;INDEX(FlowCalLowSetting,MATCH(BB22,FlowCalNumber,0),1,1), (INDEX(FlowCalConstA,MATCH(BB22,FlowCalNumber,0),1,1)*BD33^INDEX(FlowCalConstB,MATCH(BB22,FlowCalNumber,0),1,1)&lt;INDEX(FlowCalHighSetting,MATCH(BB22,FlowCalNumber,0),1,1))),INDEX(FlowCalConstA,MATCH(BB22,FlowCalNumber,0),1,1)*BD33^INDEX(FlowCalConstB,MATCH(BB22,FlowCalNumber,0),1,1)," ")</f>
        <v>#N/A</v>
      </c>
      <c r="BF33" s="33"/>
      <c r="BG33" s="242">
        <f t="shared" si="26"/>
        <v>0.45</v>
      </c>
      <c r="BH33" s="241" t="e">
        <f t="shared" ca="1" si="27"/>
        <v>#VALUE!</v>
      </c>
      <c r="BI33" s="244" t="e">
        <f ca="1">IF(AND(INDEX(FlowCalConstA,MATCH(BF22,FlowCalNumber,0),1,1)*BH33^INDEX(FlowCalConstB,MATCH(BF22,FlowCalNumber,0),1,1)&gt;INDEX(FlowCalLowSetting,MATCH(BF22,FlowCalNumber,0),1,1), (INDEX(FlowCalConstA,MATCH(BF22,FlowCalNumber,0),1,1)*BH33^INDEX(FlowCalConstB,MATCH(BF22,FlowCalNumber,0),1,1)&lt;INDEX(FlowCalHighSetting,MATCH(BF22,FlowCalNumber,0),1,1))),INDEX(FlowCalConstA,MATCH(BF22,FlowCalNumber,0),1,1)*BH33^INDEX(FlowCalConstB,MATCH(BF22,FlowCalNumber,0),1,1)," ")</f>
        <v>#N/A</v>
      </c>
      <c r="BJ33" s="33"/>
      <c r="BK33" s="242">
        <f t="shared" si="28"/>
        <v>0.45</v>
      </c>
      <c r="BL33" s="241" t="e">
        <f t="shared" ca="1" si="29"/>
        <v>#VALUE!</v>
      </c>
      <c r="BM33" s="244" t="e">
        <f ca="1">IF(AND(INDEX(FlowCalConstA,MATCH(BJ22,FlowCalNumber,0),1,1)*BL33^INDEX(FlowCalConstB,MATCH(BJ22,FlowCalNumber,0),1,1)&gt;INDEX(FlowCalLowSetting,MATCH(BJ22,FlowCalNumber,0),1,1), (INDEX(FlowCalConstA,MATCH(BJ22,FlowCalNumber,0),1,1)*BL33^INDEX(FlowCalConstB,MATCH(BJ22,FlowCalNumber,0),1,1)&lt;INDEX(FlowCalHighSetting,MATCH(BJ22,FlowCalNumber,0),1,1))),INDEX(FlowCalConstA,MATCH(BJ22,FlowCalNumber,0),1,1)*BL33^INDEX(FlowCalConstB,MATCH(BJ22,FlowCalNumber,0),1,1)," ")</f>
        <v>#N/A</v>
      </c>
      <c r="BN33" s="33"/>
      <c r="BO33" s="242">
        <f t="shared" si="30"/>
        <v>0.1</v>
      </c>
      <c r="BP33" s="241" t="e">
        <f t="shared" ca="1" si="31"/>
        <v>#VALUE!</v>
      </c>
      <c r="BQ33" s="244" t="e">
        <f ca="1">IF(AND(INDEX(FlowCalConstA,MATCH(BN22,FlowCalNumber,0),1,1)*BP33^INDEX(FlowCalConstB,MATCH(BN22,FlowCalNumber,0),1,1)&gt;INDEX(FlowCalLowSetting,MATCH(BN22,FlowCalNumber,0),1,1), (INDEX(FlowCalConstA,MATCH(BN22,FlowCalNumber,0),1,1)*BP33^INDEX(FlowCalConstB,MATCH(BN22,FlowCalNumber,0),1,1)&lt;INDEX(FlowCalHighSetting,MATCH(BN22,FlowCalNumber,0),1,1))),INDEX(FlowCalConstA,MATCH(BN22,FlowCalNumber,0),1,1)*BP33^INDEX(FlowCalConstB,MATCH(BN22,FlowCalNumber,0),1,1)," ")</f>
        <v>#N/A</v>
      </c>
      <c r="BR33" s="33"/>
      <c r="BS33" s="242">
        <f t="shared" si="32"/>
        <v>0.4</v>
      </c>
      <c r="BT33" s="241" t="e">
        <f t="shared" ca="1" si="33"/>
        <v>#VALUE!</v>
      </c>
      <c r="BU33" s="244" t="e">
        <f ca="1">IF(AND(INDEX(FlowCalConstA,MATCH(BR22,FlowCalNumber,0),1,1)*BT33^INDEX(FlowCalConstB,MATCH(BR22,FlowCalNumber,0),1,1)&gt;INDEX(FlowCalLowSetting,MATCH(BR22,FlowCalNumber,0),1,1), (INDEX(FlowCalConstA,MATCH(BR22,FlowCalNumber,0),1,1)*BT33^INDEX(FlowCalConstB,MATCH(BR22,FlowCalNumber,0),1,1)&lt;INDEX(FlowCalHighSetting,MATCH(BR22,FlowCalNumber,0),1,1))),INDEX(FlowCalConstA,MATCH(BR22,FlowCalNumber,0),1,1)*BT33^INDEX(FlowCalConstB,MATCH(BR22,FlowCalNumber,0),1,1)," ")</f>
        <v>#N/A</v>
      </c>
      <c r="BV33" s="33"/>
      <c r="BW33" s="242">
        <f t="shared" si="34"/>
        <v>0.4</v>
      </c>
      <c r="BX33" s="241" t="e">
        <f t="shared" ca="1" si="35"/>
        <v>#VALUE!</v>
      </c>
      <c r="BY33" s="244" t="e">
        <f ca="1">IF(AND(INDEX(FlowCalConstA,MATCH(BV22,FlowCalNumber,0),1,1)*BX33^INDEX(FlowCalConstB,MATCH(BV22,FlowCalNumber,0),1,1)&gt;INDEX(FlowCalLowSetting,MATCH(BV22,FlowCalNumber,0),1,1), (INDEX(FlowCalConstA,MATCH(BV22,FlowCalNumber,0),1,1)*BX33^INDEX(FlowCalConstB,MATCH(BV22,FlowCalNumber,0),1,1)&lt;INDEX(FlowCalHighSetting,MATCH(BV22,FlowCalNumber,0),1,1))),INDEX(FlowCalConstA,MATCH(BV22,FlowCalNumber,0),1,1)*BX33^INDEX(FlowCalConstB,MATCH(BV22,FlowCalNumber,0),1,1)," ")</f>
        <v>#N/A</v>
      </c>
      <c r="BZ33" s="33"/>
      <c r="CA33" s="242">
        <f t="shared" si="36"/>
        <v>0.1</v>
      </c>
      <c r="CB33" s="241" t="e">
        <f t="shared" ca="1" si="37"/>
        <v>#VALUE!</v>
      </c>
      <c r="CC33" s="244" t="e">
        <f ca="1">IF(AND(INDEX(FlowCalConstA,MATCH(BZ22,FlowCalNumber,0),1,1)*CB33^INDEX(FlowCalConstB,MATCH(BZ22,FlowCalNumber,0),1,1)&gt;INDEX(FlowCalLowSetting,MATCH(BZ22,FlowCalNumber,0),1,1), (INDEX(FlowCalConstA,MATCH(BZ22,FlowCalNumber,0),1,1)*CB33^INDEX(FlowCalConstB,MATCH(BZ22,FlowCalNumber,0),1,1)&lt;INDEX(FlowCalHighSetting,MATCH(BZ22,FlowCalNumber,0),1,1))),INDEX(FlowCalConstA,MATCH(BZ22,FlowCalNumber,0),1,1)*CB33^INDEX(FlowCalConstB,MATCH(BZ22,FlowCalNumber,0),1,1)," ")</f>
        <v>#N/A</v>
      </c>
      <c r="CD33" s="243"/>
      <c r="CE33" s="243"/>
      <c r="CF33" s="243"/>
      <c r="CG33" s="243"/>
      <c r="CH33" s="243"/>
      <c r="CI33" s="243"/>
      <c r="CJ33" s="243"/>
      <c r="CK33" s="243"/>
      <c r="CL33" s="243"/>
      <c r="CM33" s="243"/>
      <c r="CN33" s="243"/>
      <c r="CO33" s="243"/>
      <c r="CP33" s="243"/>
      <c r="CQ33" s="243"/>
      <c r="CR33" s="243"/>
      <c r="CS33" s="243"/>
      <c r="CT33" s="243"/>
      <c r="CU33" s="243"/>
      <c r="CV33" s="243"/>
      <c r="CW33" s="243"/>
      <c r="CX33" s="243"/>
      <c r="CY33" s="243"/>
      <c r="CZ33" s="243"/>
      <c r="DA33" s="243"/>
      <c r="DB33" s="243"/>
      <c r="DC33" s="243"/>
      <c r="DD33" s="243"/>
      <c r="DE33" s="243"/>
      <c r="DF33" s="243"/>
      <c r="DG33" s="243"/>
      <c r="DH33" s="243"/>
      <c r="DI33" s="243"/>
      <c r="DJ33" s="243"/>
      <c r="DK33" s="243"/>
      <c r="DM33" s="242"/>
      <c r="DO33" s="243"/>
      <c r="DQ33" s="242"/>
      <c r="DS33" s="243"/>
      <c r="DU33" s="242"/>
      <c r="DW33" s="243"/>
      <c r="DY33" s="242"/>
      <c r="EA33" s="243"/>
    </row>
    <row r="34" spans="1:131">
      <c r="A34" s="20"/>
      <c r="B34" s="124" t="str">
        <f t="shared" si="0"/>
        <v/>
      </c>
      <c r="C34" s="235"/>
      <c r="D34" s="24">
        <f>'1% Wind'!$M$93</f>
        <v>2.4</v>
      </c>
      <c r="E34" s="90"/>
      <c r="F34" s="90"/>
      <c r="G34" s="79">
        <f ca="1">IF(I22=0.9743,G33,MAX(G33/D33*D34,2))</f>
        <v>6.001707317073171</v>
      </c>
      <c r="H34" s="121" t="e">
        <f t="shared" ca="1" si="1"/>
        <v>#VALUE!</v>
      </c>
      <c r="J34" s="33"/>
      <c r="K34" s="242">
        <f t="shared" si="2"/>
        <v>1</v>
      </c>
      <c r="L34" s="241" t="e">
        <f t="shared" ca="1" si="3"/>
        <v>#VALUE!</v>
      </c>
      <c r="M34" s="243" t="e">
        <f ca="1">IF(AND(INDEX(FlowCalConstA,MATCH(J22,FlowCalNumber,0),1,1)*L34^INDEX(FlowCalConstB,MATCH(J22,FlowCalNumber,0),1,1)&gt;INDEX(FlowCalLowSetting,MATCH(J22,FlowCalNumber,0),1,1), (INDEX(FlowCalConstA,MATCH(J22,FlowCalNumber,0),1,1)*L34^INDEX(FlowCalConstB,MATCH(J22,FlowCalNumber,0),1,1)&lt;INDEX(FlowCalHighSetting,MATCH(J22,FlowCalNumber,0),1,1))),INDEX(FlowCalConstA,MATCH(J22,FlowCalNumber,0),1,1)*L34^INDEX(FlowCalConstB,MATCH(J22,FlowCalNumber,0),1,1)," ")</f>
        <v>#N/A</v>
      </c>
      <c r="N34" s="33"/>
      <c r="O34" s="242">
        <f t="shared" si="4"/>
        <v>1</v>
      </c>
      <c r="P34" s="241" t="e">
        <f t="shared" ca="1" si="5"/>
        <v>#VALUE!</v>
      </c>
      <c r="Q34" s="243" t="e">
        <f ca="1">IF(AND(INDEX(FlowCalConstA,MATCH(N22,FlowCalNumber,0),1,1)*P34^INDEX(FlowCalConstB,MATCH(N22,FlowCalNumber,0),1,1)&gt;INDEX(FlowCalLowSetting,MATCH(N22,FlowCalNumber,0),1,1), (INDEX(FlowCalConstA,MATCH(N22,FlowCalNumber,0),1,1)*P34^INDEX(FlowCalConstB,MATCH(N22,FlowCalNumber,0),1,1)&lt;INDEX(FlowCalHighSetting,MATCH(N22,FlowCalNumber,0),1,1))),INDEX(FlowCalConstA,MATCH(N22,FlowCalNumber,0),1,1)*P34^INDEX(FlowCalConstB,MATCH(N22,FlowCalNumber,0),1,1)," ")</f>
        <v>#N/A</v>
      </c>
      <c r="R34" s="33"/>
      <c r="S34" s="242">
        <f t="shared" si="6"/>
        <v>1</v>
      </c>
      <c r="T34" s="241" t="e">
        <f t="shared" ca="1" si="7"/>
        <v>#VALUE!</v>
      </c>
      <c r="U34" s="244" t="e">
        <f ca="1">IF(AND(INDEX(FlowCalConstA,MATCH(R22,FlowCalNumber,0),1,1)*T34^INDEX(FlowCalConstB,MATCH(R22,FlowCalNumber,0),1,1)&gt;INDEX(FlowCalLowSetting,MATCH(R22,FlowCalNumber,0),1,1), (INDEX(FlowCalConstA,MATCH(R22,FlowCalNumber,0),1,1)*T34^INDEX(FlowCalConstB,MATCH(R22,FlowCalNumber,0),1,1)&lt;INDEX(FlowCalHighSetting,MATCH(R22,FlowCalNumber,0),1,1))),INDEX(FlowCalConstA,MATCH(R22,FlowCalNumber,0),1,1)*T34^INDEX(FlowCalConstB,MATCH(R22,FlowCalNumber,0),1,1)," ")</f>
        <v>#N/A</v>
      </c>
      <c r="V34" s="33"/>
      <c r="W34" s="242">
        <f t="shared" si="8"/>
        <v>0.1</v>
      </c>
      <c r="X34" s="241" t="e">
        <f t="shared" ca="1" si="9"/>
        <v>#VALUE!</v>
      </c>
      <c r="Y34" s="243" t="e">
        <f ca="1">IF(AND(INDEX(FlowCalConstA,MATCH(V22,FlowCalNumber,0),1,1)*X34^INDEX(FlowCalConstB,MATCH(V22,FlowCalNumber,0),1,1)&gt;INDEX(FlowCalLowSetting,MATCH(V22,FlowCalNumber,0),1,1), (INDEX(FlowCalConstA,MATCH(V22,FlowCalNumber,0),1,1)*X34^INDEX(FlowCalConstB,MATCH(V22,FlowCalNumber,0),1,1)&lt;INDEX(FlowCalHighSetting,MATCH(V22,FlowCalNumber,0),1,1))),INDEX(FlowCalConstA,MATCH(V22,FlowCalNumber,0),1,1)*X34^INDEX(FlowCalConstB,MATCH(V22,FlowCalNumber,0),1,1)," ")</f>
        <v>#N/A</v>
      </c>
      <c r="Z34" s="33"/>
      <c r="AA34" s="242">
        <f t="shared" si="10"/>
        <v>0.9</v>
      </c>
      <c r="AB34" s="241" t="e">
        <f t="shared" ca="1" si="11"/>
        <v>#VALUE!</v>
      </c>
      <c r="AC34" s="243" t="e">
        <f ca="1">IF(AND(INDEX(FlowCalConstA,MATCH(Z22,FlowCalNumber,0),1,1)*AB34^INDEX(FlowCalConstB,MATCH(Z22,FlowCalNumber,0),1,1)&gt;INDEX(FlowCalLowSetting,MATCH(Z22,FlowCalNumber,0),1,1), (INDEX(FlowCalConstA,MATCH(Z22,FlowCalNumber,0),1,1)*AB34^INDEX(FlowCalConstB,MATCH(Z22,FlowCalNumber,0),1,1)&lt;INDEX(FlowCalHighSetting,MATCH(Z22,FlowCalNumber,0),1,1))),INDEX(FlowCalConstA,MATCH(Z22,FlowCalNumber,0),1,1)*AB34^INDEX(FlowCalConstB,MATCH(Z22,FlowCalNumber,0),1,1)," ")</f>
        <v>#N/A</v>
      </c>
      <c r="AD34" s="33"/>
      <c r="AE34" s="242">
        <f t="shared" si="12"/>
        <v>0.1</v>
      </c>
      <c r="AF34" s="241" t="e">
        <f t="shared" ca="1" si="13"/>
        <v>#VALUE!</v>
      </c>
      <c r="AG34" s="243" t="e">
        <f ca="1">IF(AND(INDEX(FlowCalConstA,MATCH(AD22,FlowCalNumber,0),1,1)*AF34^INDEX(FlowCalConstB,MATCH(AD22,FlowCalNumber,0),1,1)&gt;INDEX(FlowCalLowSetting,MATCH(AD22,FlowCalNumber,0),1,1), (INDEX(FlowCalConstA,MATCH(AD22,FlowCalNumber,0),1,1)*AF34^INDEX(FlowCalConstB,MATCH(AD22,FlowCalNumber,0),1,1)&lt;INDEX(FlowCalHighSetting,MATCH(AD22,FlowCalNumber,0),1,1))),INDEX(FlowCalConstA,MATCH(AD22,FlowCalNumber,0),1,1)*AF34^INDEX(FlowCalConstB,MATCH(AD22,FlowCalNumber,0),1,1)," ")</f>
        <v>#N/A</v>
      </c>
      <c r="AH34" s="33"/>
      <c r="AI34" s="242">
        <f t="shared" si="14"/>
        <v>0.9</v>
      </c>
      <c r="AJ34" s="241" t="e">
        <f t="shared" ca="1" si="15"/>
        <v>#VALUE!</v>
      </c>
      <c r="AK34" s="243" t="e">
        <f ca="1">IF(AND(INDEX(FlowCalConstA,MATCH(AH22,FlowCalNumber,0),1,1)*AJ34^INDEX(FlowCalConstB,MATCH(AH22,FlowCalNumber,0),1,1)&gt;INDEX(FlowCalLowSetting,MATCH(AH22,FlowCalNumber,0),1,1), (INDEX(FlowCalConstA,MATCH(AH22,FlowCalNumber,0),1,1)*AJ34^INDEX(FlowCalConstB,MATCH(AH22,FlowCalNumber,0),1,1)&lt;INDEX(FlowCalHighSetting,MATCH(AH22,FlowCalNumber,0),1,1))),INDEX(FlowCalConstA,MATCH(AH22,FlowCalNumber,0),1,1)*AJ34^INDEX(FlowCalConstB,MATCH(AH22,FlowCalNumber,0),1,1)," ")</f>
        <v>#N/A</v>
      </c>
      <c r="AL34" s="33"/>
      <c r="AM34" s="242">
        <f t="shared" si="16"/>
        <v>0.1</v>
      </c>
      <c r="AN34" s="241" t="e">
        <f t="shared" ca="1" si="17"/>
        <v>#VALUE!</v>
      </c>
      <c r="AO34" s="244" t="e">
        <f ca="1">IF(AND(INDEX(FlowCalConstA,MATCH(AL22,FlowCalNumber,0),1,1)*AN34^INDEX(FlowCalConstB,MATCH(AL22,FlowCalNumber,0),1,1)&gt;INDEX(FlowCalLowSetting,MATCH(AL22,FlowCalNumber,0),1,1), (INDEX(FlowCalConstA,MATCH(AL22,FlowCalNumber,0),1,1)*AN34^INDEX(FlowCalConstB,MATCH(AL22,FlowCalNumber,0),1,1)&lt;INDEX(FlowCalHighSetting,MATCH(AL22,FlowCalNumber,0),1,1))),INDEX(FlowCalConstA,MATCH(AL22,FlowCalNumber,0),1,1)*AN34^INDEX(FlowCalConstB,MATCH(AL22,FlowCalNumber,0),1,1)," ")</f>
        <v>#N/A</v>
      </c>
      <c r="AQ34" s="242">
        <f t="shared" si="18"/>
        <v>0.9</v>
      </c>
      <c r="AR34" s="241" t="e">
        <f t="shared" ca="1" si="19"/>
        <v>#VALUE!</v>
      </c>
      <c r="AS34" s="244" t="e">
        <f ca="1">IF(AND(INDEX(FlowCalConstA,MATCH(AP22,FlowCalNumber,0),1,1)*AR34^INDEX(FlowCalConstB,MATCH(AP22,FlowCalNumber,0),1,1)&gt;INDEX(FlowCalLowSetting,MATCH(AP22,FlowCalNumber,0),1,1), (INDEX(FlowCalConstA,MATCH(AP22,FlowCalNumber,0),1,1)*AR34^INDEX(FlowCalConstB,MATCH(AP22,FlowCalNumber,0),1,1)&lt;INDEX(FlowCalHighSetting,MATCH(AP22,FlowCalNumber,0),1,1))),INDEX(FlowCalConstA,MATCH(AP22,FlowCalNumber,0),1,1)*AR34^INDEX(FlowCalConstB,MATCH(AP22,FlowCalNumber,0),1,1)," ")</f>
        <v>#N/A</v>
      </c>
      <c r="AT34" s="33"/>
      <c r="AU34" s="242">
        <f t="shared" si="20"/>
        <v>0.1</v>
      </c>
      <c r="AV34" s="241" t="e">
        <f t="shared" ca="1" si="21"/>
        <v>#VALUE!</v>
      </c>
      <c r="AW34" s="244" t="e">
        <f ca="1">IF(AND(INDEX(FlowCalConstA,MATCH(AT22,FlowCalNumber,0),1,1)*AV34^INDEX(FlowCalConstB,MATCH(AT22,FlowCalNumber,0),1,1)&gt;INDEX(FlowCalLowSetting,MATCH(AT22,FlowCalNumber,0),1,1), (INDEX(FlowCalConstA,MATCH(AT22,FlowCalNumber,0),1,1)*AV34^INDEX(FlowCalConstB,MATCH(AT22,FlowCalNumber,0),1,1)&lt;INDEX(FlowCalHighSetting,MATCH(AT22,FlowCalNumber,0),1,1))),INDEX(FlowCalConstA,MATCH(AT22,FlowCalNumber,0),1,1)*AV34^INDEX(FlowCalConstB,MATCH(AT22,FlowCalNumber,0),1,1)," ")</f>
        <v>#N/A</v>
      </c>
      <c r="AX34" s="33"/>
      <c r="AY34" s="242">
        <f t="shared" si="22"/>
        <v>0.9</v>
      </c>
      <c r="AZ34" s="241" t="e">
        <f t="shared" ca="1" si="23"/>
        <v>#VALUE!</v>
      </c>
      <c r="BA34" s="244" t="e">
        <f ca="1">IF(AND(INDEX(FlowCalConstA,MATCH(AX22,FlowCalNumber,0),1,1)*AZ34^INDEX(FlowCalConstB,MATCH(AX22,FlowCalNumber,0),1,1)&gt;INDEX(FlowCalLowSetting,MATCH(AX22,FlowCalNumber,0),1,1), (INDEX(FlowCalConstA,MATCH(AX22,FlowCalNumber,0),1,1)*AZ34^INDEX(FlowCalConstB,MATCH(AX22,FlowCalNumber,0),1,1)&lt;INDEX(FlowCalHighSetting,MATCH(AX22,FlowCalNumber,0),1,1))),INDEX(FlowCalConstA,MATCH(AX22,FlowCalNumber,0),1,1)*AZ34^INDEX(FlowCalConstB,MATCH(AX22,FlowCalNumber,0),1,1)," ")</f>
        <v>#N/A</v>
      </c>
      <c r="BB34" s="33"/>
      <c r="BC34" s="242">
        <f t="shared" si="24"/>
        <v>0.1</v>
      </c>
      <c r="BD34" s="241" t="e">
        <f t="shared" ca="1" si="25"/>
        <v>#VALUE!</v>
      </c>
      <c r="BE34" s="244" t="e">
        <f ca="1">IF(AND(INDEX(FlowCalConstA,MATCH(BB22,FlowCalNumber,0),1,1)*BD34^INDEX(FlowCalConstB,MATCH(BB22,FlowCalNumber,0),1,1)&gt;INDEX(FlowCalLowSetting,MATCH(BB22,FlowCalNumber,0),1,1), (INDEX(FlowCalConstA,MATCH(BB22,FlowCalNumber,0),1,1)*BD34^INDEX(FlowCalConstB,MATCH(BB22,FlowCalNumber,0),1,1)&lt;INDEX(FlowCalHighSetting,MATCH(BB22,FlowCalNumber,0),1,1))),INDEX(FlowCalConstA,MATCH(BB22,FlowCalNumber,0),1,1)*BD34^INDEX(FlowCalConstB,MATCH(BB22,FlowCalNumber,0),1,1)," ")</f>
        <v>#N/A</v>
      </c>
      <c r="BF34" s="33"/>
      <c r="BG34" s="242">
        <f t="shared" si="26"/>
        <v>0.45</v>
      </c>
      <c r="BH34" s="241" t="e">
        <f t="shared" ca="1" si="27"/>
        <v>#VALUE!</v>
      </c>
      <c r="BI34" s="244" t="e">
        <f ca="1">IF(AND(INDEX(FlowCalConstA,MATCH(BF22,FlowCalNumber,0),1,1)*BH34^INDEX(FlowCalConstB,MATCH(BF22,FlowCalNumber,0),1,1)&gt;INDEX(FlowCalLowSetting,MATCH(BF22,FlowCalNumber,0),1,1), (INDEX(FlowCalConstA,MATCH(BF22,FlowCalNumber,0),1,1)*BH34^INDEX(FlowCalConstB,MATCH(BF22,FlowCalNumber,0),1,1)&lt;INDEX(FlowCalHighSetting,MATCH(BF22,FlowCalNumber,0),1,1))),INDEX(FlowCalConstA,MATCH(BF22,FlowCalNumber,0),1,1)*BH34^INDEX(FlowCalConstB,MATCH(BF22,FlowCalNumber,0),1,1)," ")</f>
        <v>#N/A</v>
      </c>
      <c r="BJ34" s="33"/>
      <c r="BK34" s="242">
        <f t="shared" si="28"/>
        <v>0.45</v>
      </c>
      <c r="BL34" s="241" t="e">
        <f t="shared" ca="1" si="29"/>
        <v>#VALUE!</v>
      </c>
      <c r="BM34" s="244" t="e">
        <f ca="1">IF(AND(INDEX(FlowCalConstA,MATCH(BJ22,FlowCalNumber,0),1,1)*BL34^INDEX(FlowCalConstB,MATCH(BJ22,FlowCalNumber,0),1,1)&gt;INDEX(FlowCalLowSetting,MATCH(BJ22,FlowCalNumber,0),1,1), (INDEX(FlowCalConstA,MATCH(BJ22,FlowCalNumber,0),1,1)*BL34^INDEX(FlowCalConstB,MATCH(BJ22,FlowCalNumber,0),1,1)&lt;INDEX(FlowCalHighSetting,MATCH(BJ22,FlowCalNumber,0),1,1))),INDEX(FlowCalConstA,MATCH(BJ22,FlowCalNumber,0),1,1)*BL34^INDEX(FlowCalConstB,MATCH(BJ22,FlowCalNumber,0),1,1)," ")</f>
        <v>#N/A</v>
      </c>
      <c r="BN34" s="33"/>
      <c r="BO34" s="242">
        <f t="shared" si="30"/>
        <v>0.1</v>
      </c>
      <c r="BP34" s="241" t="e">
        <f t="shared" ca="1" si="31"/>
        <v>#VALUE!</v>
      </c>
      <c r="BQ34" s="244" t="e">
        <f ca="1">IF(AND(INDEX(FlowCalConstA,MATCH(BN22,FlowCalNumber,0),1,1)*BP34^INDEX(FlowCalConstB,MATCH(BN22,FlowCalNumber,0),1,1)&gt;INDEX(FlowCalLowSetting,MATCH(BN22,FlowCalNumber,0),1,1), (INDEX(FlowCalConstA,MATCH(BN22,FlowCalNumber,0),1,1)*BP34^INDEX(FlowCalConstB,MATCH(BN22,FlowCalNumber,0),1,1)&lt;INDEX(FlowCalHighSetting,MATCH(BN22,FlowCalNumber,0),1,1))),INDEX(FlowCalConstA,MATCH(BN22,FlowCalNumber,0),1,1)*BP34^INDEX(FlowCalConstB,MATCH(BN22,FlowCalNumber,0),1,1)," ")</f>
        <v>#N/A</v>
      </c>
      <c r="BR34" s="33"/>
      <c r="BS34" s="242">
        <f t="shared" si="32"/>
        <v>0.4</v>
      </c>
      <c r="BT34" s="241" t="e">
        <f t="shared" ca="1" si="33"/>
        <v>#VALUE!</v>
      </c>
      <c r="BU34" s="244" t="e">
        <f ca="1">IF(AND(INDEX(FlowCalConstA,MATCH(BR22,FlowCalNumber,0),1,1)*BT34^INDEX(FlowCalConstB,MATCH(BR22,FlowCalNumber,0),1,1)&gt;INDEX(FlowCalLowSetting,MATCH(BR22,FlowCalNumber,0),1,1), (INDEX(FlowCalConstA,MATCH(BR22,FlowCalNumber,0),1,1)*BT34^INDEX(FlowCalConstB,MATCH(BR22,FlowCalNumber,0),1,1)&lt;INDEX(FlowCalHighSetting,MATCH(BR22,FlowCalNumber,0),1,1))),INDEX(FlowCalConstA,MATCH(BR22,FlowCalNumber,0),1,1)*BT34^INDEX(FlowCalConstB,MATCH(BR22,FlowCalNumber,0),1,1)," ")</f>
        <v>#N/A</v>
      </c>
      <c r="BV34" s="33"/>
      <c r="BW34" s="242">
        <f t="shared" si="34"/>
        <v>0.4</v>
      </c>
      <c r="BX34" s="241" t="e">
        <f t="shared" ca="1" si="35"/>
        <v>#VALUE!</v>
      </c>
      <c r="BY34" s="244" t="e">
        <f ca="1">IF(AND(INDEX(FlowCalConstA,MATCH(BV22,FlowCalNumber,0),1,1)*BX34^INDEX(FlowCalConstB,MATCH(BV22,FlowCalNumber,0),1,1)&gt;INDEX(FlowCalLowSetting,MATCH(BV22,FlowCalNumber,0),1,1), (INDEX(FlowCalConstA,MATCH(BV22,FlowCalNumber,0),1,1)*BX34^INDEX(FlowCalConstB,MATCH(BV22,FlowCalNumber,0),1,1)&lt;INDEX(FlowCalHighSetting,MATCH(BV22,FlowCalNumber,0),1,1))),INDEX(FlowCalConstA,MATCH(BV22,FlowCalNumber,0),1,1)*BX34^INDEX(FlowCalConstB,MATCH(BV22,FlowCalNumber,0),1,1)," ")</f>
        <v>#N/A</v>
      </c>
      <c r="BZ34" s="33"/>
      <c r="CA34" s="242">
        <f t="shared" si="36"/>
        <v>0.1</v>
      </c>
      <c r="CB34" s="241" t="e">
        <f t="shared" ca="1" si="37"/>
        <v>#VALUE!</v>
      </c>
      <c r="CC34" s="244" t="e">
        <f ca="1">IF(AND(INDEX(FlowCalConstA,MATCH(BZ22,FlowCalNumber,0),1,1)*CB34^INDEX(FlowCalConstB,MATCH(BZ22,FlowCalNumber,0),1,1)&gt;INDEX(FlowCalLowSetting,MATCH(BZ22,FlowCalNumber,0),1,1), (INDEX(FlowCalConstA,MATCH(BZ22,FlowCalNumber,0),1,1)*CB34^INDEX(FlowCalConstB,MATCH(BZ22,FlowCalNumber,0),1,1)&lt;INDEX(FlowCalHighSetting,MATCH(BZ22,FlowCalNumber,0),1,1))),INDEX(FlowCalConstA,MATCH(BZ22,FlowCalNumber,0),1,1)*CB34^INDEX(FlowCalConstB,MATCH(BZ22,FlowCalNumber,0),1,1)," ")</f>
        <v>#N/A</v>
      </c>
      <c r="CD34" s="243"/>
      <c r="CE34" s="243"/>
      <c r="CF34" s="243"/>
      <c r="CG34" s="243"/>
      <c r="CH34" s="243"/>
      <c r="CI34" s="243"/>
      <c r="CJ34" s="243"/>
      <c r="CK34" s="243"/>
      <c r="CL34" s="243"/>
      <c r="CM34" s="243"/>
      <c r="CN34" s="243"/>
      <c r="CO34" s="243"/>
      <c r="CP34" s="243"/>
      <c r="CQ34" s="243"/>
      <c r="CR34" s="243"/>
      <c r="CS34" s="243"/>
      <c r="CT34" s="243"/>
      <c r="CU34" s="243"/>
      <c r="CV34" s="243"/>
      <c r="CW34" s="243"/>
      <c r="CX34" s="243"/>
      <c r="CY34" s="243"/>
      <c r="CZ34" s="243"/>
      <c r="DA34" s="243"/>
      <c r="DB34" s="243"/>
      <c r="DC34" s="243"/>
      <c r="DD34" s="243"/>
      <c r="DE34" s="243"/>
      <c r="DF34" s="243"/>
      <c r="DG34" s="243"/>
      <c r="DH34" s="243"/>
      <c r="DI34" s="243"/>
      <c r="DJ34" s="243"/>
      <c r="DK34" s="243"/>
      <c r="DM34" s="242"/>
      <c r="DO34" s="243"/>
      <c r="DQ34" s="242"/>
      <c r="DS34" s="243"/>
      <c r="DU34" s="242"/>
      <c r="DW34" s="243"/>
      <c r="DY34" s="242"/>
      <c r="EA34" s="243"/>
    </row>
    <row r="35" spans="1:131">
      <c r="A35" s="20"/>
      <c r="B35" s="124" t="str">
        <f t="shared" si="0"/>
        <v/>
      </c>
      <c r="C35" s="235"/>
      <c r="D35" s="24">
        <f>'1% Wind'!$M$94</f>
        <v>1.8</v>
      </c>
      <c r="E35" s="90"/>
      <c r="F35" s="90"/>
      <c r="G35" s="79">
        <f ca="1">IF(I22=0.9743,G34,MAX(G34/D34*D35,2))</f>
        <v>6.001707317073171</v>
      </c>
      <c r="H35" s="121" t="e">
        <f t="shared" ca="1" si="1"/>
        <v>#VALUE!</v>
      </c>
      <c r="J35" s="33"/>
      <c r="K35" s="242">
        <f t="shared" si="2"/>
        <v>1</v>
      </c>
      <c r="L35" s="241" t="e">
        <f t="shared" ca="1" si="3"/>
        <v>#VALUE!</v>
      </c>
      <c r="M35" s="243" t="e">
        <f ca="1">IF(AND(INDEX(FlowCalConstA,MATCH(J22,FlowCalNumber,0),1,1)*L35^INDEX(FlowCalConstB,MATCH(J22,FlowCalNumber,0),1,1)&gt;INDEX(FlowCalLowSetting,MATCH(J22,FlowCalNumber,0),1,1), (INDEX(FlowCalConstA,MATCH(J22,FlowCalNumber,0),1,1)*L35^INDEX(FlowCalConstB,MATCH(J22,FlowCalNumber,0),1,1)&lt;INDEX(FlowCalHighSetting,MATCH(J22,FlowCalNumber,0),1,1))),INDEX(FlowCalConstA,MATCH(J22,FlowCalNumber,0),1,1)*L35^INDEX(FlowCalConstB,MATCH(J22,FlowCalNumber,0),1,1)," ")</f>
        <v>#N/A</v>
      </c>
      <c r="N35" s="33"/>
      <c r="O35" s="242">
        <f t="shared" si="4"/>
        <v>1</v>
      </c>
      <c r="P35" s="241" t="e">
        <f t="shared" ca="1" si="5"/>
        <v>#VALUE!</v>
      </c>
      <c r="Q35" s="243" t="e">
        <f ca="1">IF(AND(INDEX(FlowCalConstA,MATCH(N22,FlowCalNumber,0),1,1)*P35^INDEX(FlowCalConstB,MATCH(N22,FlowCalNumber,0),1,1)&gt;INDEX(FlowCalLowSetting,MATCH(N22,FlowCalNumber,0),1,1), (INDEX(FlowCalConstA,MATCH(N22,FlowCalNumber,0),1,1)*P35^INDEX(FlowCalConstB,MATCH(N22,FlowCalNumber,0),1,1)&lt;INDEX(FlowCalHighSetting,MATCH(N22,FlowCalNumber,0),1,1))),INDEX(FlowCalConstA,MATCH(N22,FlowCalNumber,0),1,1)*P35^INDEX(FlowCalConstB,MATCH(N22,FlowCalNumber,0),1,1)," ")</f>
        <v>#N/A</v>
      </c>
      <c r="R35" s="33"/>
      <c r="S35" s="242">
        <f t="shared" si="6"/>
        <v>1</v>
      </c>
      <c r="T35" s="241" t="e">
        <f t="shared" ca="1" si="7"/>
        <v>#VALUE!</v>
      </c>
      <c r="U35" s="244" t="e">
        <f ca="1">IF(AND(INDEX(FlowCalConstA,MATCH(R22,FlowCalNumber,0),1,1)*T35^INDEX(FlowCalConstB,MATCH(R22,FlowCalNumber,0),1,1)&gt;INDEX(FlowCalLowSetting,MATCH(R22,FlowCalNumber,0),1,1), (INDEX(FlowCalConstA,MATCH(R22,FlowCalNumber,0),1,1)*T35^INDEX(FlowCalConstB,MATCH(R22,FlowCalNumber,0),1,1)&lt;INDEX(FlowCalHighSetting,MATCH(R22,FlowCalNumber,0),1,1))),INDEX(FlowCalConstA,MATCH(R22,FlowCalNumber,0),1,1)*T35^INDEX(FlowCalConstB,MATCH(R22,FlowCalNumber,0),1,1)," ")</f>
        <v>#N/A</v>
      </c>
      <c r="V35" s="33"/>
      <c r="W35" s="242">
        <f t="shared" si="8"/>
        <v>0.1</v>
      </c>
      <c r="X35" s="241" t="e">
        <f t="shared" ca="1" si="9"/>
        <v>#VALUE!</v>
      </c>
      <c r="Y35" s="243" t="e">
        <f ca="1">IF(AND(INDEX(FlowCalConstA,MATCH(V22,FlowCalNumber,0),1,1)*X35^INDEX(FlowCalConstB,MATCH(V22,FlowCalNumber,0),1,1)&gt;INDEX(FlowCalLowSetting,MATCH(V22,FlowCalNumber,0),1,1), (INDEX(FlowCalConstA,MATCH(V22,FlowCalNumber,0),1,1)*X35^INDEX(FlowCalConstB,MATCH(V22,FlowCalNumber,0),1,1)&lt;INDEX(FlowCalHighSetting,MATCH(V22,FlowCalNumber,0),1,1))),INDEX(FlowCalConstA,MATCH(V22,FlowCalNumber,0),1,1)*X35^INDEX(FlowCalConstB,MATCH(V22,FlowCalNumber,0),1,1)," ")</f>
        <v>#N/A</v>
      </c>
      <c r="Z35" s="33"/>
      <c r="AA35" s="242">
        <f t="shared" si="10"/>
        <v>0.9</v>
      </c>
      <c r="AB35" s="241" t="e">
        <f t="shared" ca="1" si="11"/>
        <v>#VALUE!</v>
      </c>
      <c r="AC35" s="243" t="e">
        <f ca="1">IF(AND(INDEX(FlowCalConstA,MATCH(Z22,FlowCalNumber,0),1,1)*AB35^INDEX(FlowCalConstB,MATCH(Z22,FlowCalNumber,0),1,1)&gt;INDEX(FlowCalLowSetting,MATCH(Z22,FlowCalNumber,0),1,1), (INDEX(FlowCalConstA,MATCH(Z22,FlowCalNumber,0),1,1)*AB35^INDEX(FlowCalConstB,MATCH(Z22,FlowCalNumber,0),1,1)&lt;INDEX(FlowCalHighSetting,MATCH(Z22,FlowCalNumber,0),1,1))),INDEX(FlowCalConstA,MATCH(Z22,FlowCalNumber,0),1,1)*AB35^INDEX(FlowCalConstB,MATCH(Z22,FlowCalNumber,0),1,1)," ")</f>
        <v>#N/A</v>
      </c>
      <c r="AD35" s="33"/>
      <c r="AE35" s="242">
        <f t="shared" si="12"/>
        <v>0.1</v>
      </c>
      <c r="AF35" s="241" t="e">
        <f t="shared" ca="1" si="13"/>
        <v>#VALUE!</v>
      </c>
      <c r="AG35" s="243" t="e">
        <f ca="1">IF(AND(INDEX(FlowCalConstA,MATCH(AD22,FlowCalNumber,0),1,1)*AF35^INDEX(FlowCalConstB,MATCH(AD22,FlowCalNumber,0),1,1)&gt;INDEX(FlowCalLowSetting,MATCH(AD22,FlowCalNumber,0),1,1), (INDEX(FlowCalConstA,MATCH(AD22,FlowCalNumber,0),1,1)*AF35^INDEX(FlowCalConstB,MATCH(AD22,FlowCalNumber,0),1,1)&lt;INDEX(FlowCalHighSetting,MATCH(AD22,FlowCalNumber,0),1,1))),INDEX(FlowCalConstA,MATCH(AD22,FlowCalNumber,0),1,1)*AF35^INDEX(FlowCalConstB,MATCH(AD22,FlowCalNumber,0),1,1)," ")</f>
        <v>#N/A</v>
      </c>
      <c r="AH35" s="33"/>
      <c r="AI35" s="242">
        <f t="shared" si="14"/>
        <v>0.9</v>
      </c>
      <c r="AJ35" s="241" t="e">
        <f t="shared" ca="1" si="15"/>
        <v>#VALUE!</v>
      </c>
      <c r="AK35" s="243" t="e">
        <f ca="1">IF(AND(INDEX(FlowCalConstA,MATCH(AH22,FlowCalNumber,0),1,1)*AJ35^INDEX(FlowCalConstB,MATCH(AH22,FlowCalNumber,0),1,1)&gt;INDEX(FlowCalLowSetting,MATCH(AH22,FlowCalNumber,0),1,1), (INDEX(FlowCalConstA,MATCH(AH22,FlowCalNumber,0),1,1)*AJ35^INDEX(FlowCalConstB,MATCH(AH22,FlowCalNumber,0),1,1)&lt;INDEX(FlowCalHighSetting,MATCH(AH22,FlowCalNumber,0),1,1))),INDEX(FlowCalConstA,MATCH(AH22,FlowCalNumber,0),1,1)*AJ35^INDEX(FlowCalConstB,MATCH(AH22,FlowCalNumber,0),1,1)," ")</f>
        <v>#N/A</v>
      </c>
      <c r="AL35" s="33"/>
      <c r="AM35" s="242">
        <f t="shared" si="16"/>
        <v>0.1</v>
      </c>
      <c r="AN35" s="241" t="e">
        <f t="shared" ca="1" si="17"/>
        <v>#VALUE!</v>
      </c>
      <c r="AO35" s="244" t="e">
        <f ca="1">IF(AND(INDEX(FlowCalConstA,MATCH(AL22,FlowCalNumber,0),1,1)*AN35^INDEX(FlowCalConstB,MATCH(AL22,FlowCalNumber,0),1,1)&gt;INDEX(FlowCalLowSetting,MATCH(AL22,FlowCalNumber,0),1,1), (INDEX(FlowCalConstA,MATCH(AL22,FlowCalNumber,0),1,1)*AN35^INDEX(FlowCalConstB,MATCH(AL22,FlowCalNumber,0),1,1)&lt;INDEX(FlowCalHighSetting,MATCH(AL22,FlowCalNumber,0),1,1))),INDEX(FlowCalConstA,MATCH(AL22,FlowCalNumber,0),1,1)*AN35^INDEX(FlowCalConstB,MATCH(AL22,FlowCalNumber,0),1,1)," ")</f>
        <v>#N/A</v>
      </c>
      <c r="AQ35" s="242">
        <f t="shared" si="18"/>
        <v>0.9</v>
      </c>
      <c r="AR35" s="241" t="e">
        <f t="shared" ca="1" si="19"/>
        <v>#VALUE!</v>
      </c>
      <c r="AS35" s="244" t="e">
        <f ca="1">IF(AND(INDEX(FlowCalConstA,MATCH(AP22,FlowCalNumber,0),1,1)*AR35^INDEX(FlowCalConstB,MATCH(AP22,FlowCalNumber,0),1,1)&gt;INDEX(FlowCalLowSetting,MATCH(AP22,FlowCalNumber,0),1,1), (INDEX(FlowCalConstA,MATCH(AP22,FlowCalNumber,0),1,1)*AR35^INDEX(FlowCalConstB,MATCH(AP22,FlowCalNumber,0),1,1)&lt;INDEX(FlowCalHighSetting,MATCH(AP22,FlowCalNumber,0),1,1))),INDEX(FlowCalConstA,MATCH(AP22,FlowCalNumber,0),1,1)*AR35^INDEX(FlowCalConstB,MATCH(AP22,FlowCalNumber,0),1,1)," ")</f>
        <v>#N/A</v>
      </c>
      <c r="AT35" s="33"/>
      <c r="AU35" s="242">
        <f t="shared" si="20"/>
        <v>0.1</v>
      </c>
      <c r="AV35" s="241" t="e">
        <f t="shared" ca="1" si="21"/>
        <v>#VALUE!</v>
      </c>
      <c r="AW35" s="244" t="e">
        <f ca="1">IF(AND(INDEX(FlowCalConstA,MATCH(AT22,FlowCalNumber,0),1,1)*AV35^INDEX(FlowCalConstB,MATCH(AT22,FlowCalNumber,0),1,1)&gt;INDEX(FlowCalLowSetting,MATCH(AT22,FlowCalNumber,0),1,1), (INDEX(FlowCalConstA,MATCH(AT22,FlowCalNumber,0),1,1)*AV35^INDEX(FlowCalConstB,MATCH(AT22,FlowCalNumber,0),1,1)&lt;INDEX(FlowCalHighSetting,MATCH(AT22,FlowCalNumber,0),1,1))),INDEX(FlowCalConstA,MATCH(AT22,FlowCalNumber,0),1,1)*AV35^INDEX(FlowCalConstB,MATCH(AT22,FlowCalNumber,0),1,1)," ")</f>
        <v>#N/A</v>
      </c>
      <c r="AX35" s="33"/>
      <c r="AY35" s="242">
        <f t="shared" si="22"/>
        <v>0.9</v>
      </c>
      <c r="AZ35" s="241" t="e">
        <f t="shared" ca="1" si="23"/>
        <v>#VALUE!</v>
      </c>
      <c r="BA35" s="244" t="e">
        <f ca="1">IF(AND(INDEX(FlowCalConstA,MATCH(AX22,FlowCalNumber,0),1,1)*AZ35^INDEX(FlowCalConstB,MATCH(AX22,FlowCalNumber,0),1,1)&gt;INDEX(FlowCalLowSetting,MATCH(AX22,FlowCalNumber,0),1,1), (INDEX(FlowCalConstA,MATCH(AX22,FlowCalNumber,0),1,1)*AZ35^INDEX(FlowCalConstB,MATCH(AX22,FlowCalNumber,0),1,1)&lt;INDEX(FlowCalHighSetting,MATCH(AX22,FlowCalNumber,0),1,1))),INDEX(FlowCalConstA,MATCH(AX22,FlowCalNumber,0),1,1)*AZ35^INDEX(FlowCalConstB,MATCH(AX22,FlowCalNumber,0),1,1)," ")</f>
        <v>#N/A</v>
      </c>
      <c r="BB35" s="33"/>
      <c r="BC35" s="242">
        <f t="shared" si="24"/>
        <v>0.1</v>
      </c>
      <c r="BD35" s="241" t="e">
        <f t="shared" ca="1" si="25"/>
        <v>#VALUE!</v>
      </c>
      <c r="BE35" s="244" t="e">
        <f ca="1">IF(AND(INDEX(FlowCalConstA,MATCH(BB22,FlowCalNumber,0),1,1)*BD35^INDEX(FlowCalConstB,MATCH(BB22,FlowCalNumber,0),1,1)&gt;INDEX(FlowCalLowSetting,MATCH(BB22,FlowCalNumber,0),1,1), (INDEX(FlowCalConstA,MATCH(BB22,FlowCalNumber,0),1,1)*BD35^INDEX(FlowCalConstB,MATCH(BB22,FlowCalNumber,0),1,1)&lt;INDEX(FlowCalHighSetting,MATCH(BB22,FlowCalNumber,0),1,1))),INDEX(FlowCalConstA,MATCH(BB22,FlowCalNumber,0),1,1)*BD35^INDEX(FlowCalConstB,MATCH(BB22,FlowCalNumber,0),1,1)," ")</f>
        <v>#N/A</v>
      </c>
      <c r="BF35" s="33"/>
      <c r="BG35" s="242">
        <f t="shared" si="26"/>
        <v>0.45</v>
      </c>
      <c r="BH35" s="241" t="e">
        <f t="shared" ca="1" si="27"/>
        <v>#VALUE!</v>
      </c>
      <c r="BI35" s="244" t="e">
        <f ca="1">IF(AND(INDEX(FlowCalConstA,MATCH(BF22,FlowCalNumber,0),1,1)*BH35^INDEX(FlowCalConstB,MATCH(BF22,FlowCalNumber,0),1,1)&gt;INDEX(FlowCalLowSetting,MATCH(BF22,FlowCalNumber,0),1,1), (INDEX(FlowCalConstA,MATCH(BF22,FlowCalNumber,0),1,1)*BH35^INDEX(FlowCalConstB,MATCH(BF22,FlowCalNumber,0),1,1)&lt;INDEX(FlowCalHighSetting,MATCH(BF22,FlowCalNumber,0),1,1))),INDEX(FlowCalConstA,MATCH(BF22,FlowCalNumber,0),1,1)*BH35^INDEX(FlowCalConstB,MATCH(BF22,FlowCalNumber,0),1,1)," ")</f>
        <v>#N/A</v>
      </c>
      <c r="BJ35" s="33"/>
      <c r="BK35" s="242">
        <f t="shared" si="28"/>
        <v>0.45</v>
      </c>
      <c r="BL35" s="241" t="e">
        <f t="shared" ca="1" si="29"/>
        <v>#VALUE!</v>
      </c>
      <c r="BM35" s="244" t="e">
        <f ca="1">IF(AND(INDEX(FlowCalConstA,MATCH(BJ22,FlowCalNumber,0),1,1)*BL35^INDEX(FlowCalConstB,MATCH(BJ22,FlowCalNumber,0),1,1)&gt;INDEX(FlowCalLowSetting,MATCH(BJ22,FlowCalNumber,0),1,1), (INDEX(FlowCalConstA,MATCH(BJ22,FlowCalNumber,0),1,1)*BL35^INDEX(FlowCalConstB,MATCH(BJ22,FlowCalNumber,0),1,1)&lt;INDEX(FlowCalHighSetting,MATCH(BJ22,FlowCalNumber,0),1,1))),INDEX(FlowCalConstA,MATCH(BJ22,FlowCalNumber,0),1,1)*BL35^INDEX(FlowCalConstB,MATCH(BJ22,FlowCalNumber,0),1,1)," ")</f>
        <v>#N/A</v>
      </c>
      <c r="BN35" s="33"/>
      <c r="BO35" s="242">
        <f t="shared" si="30"/>
        <v>0.1</v>
      </c>
      <c r="BP35" s="241" t="e">
        <f t="shared" ca="1" si="31"/>
        <v>#VALUE!</v>
      </c>
      <c r="BQ35" s="244" t="e">
        <f ca="1">IF(AND(INDEX(FlowCalConstA,MATCH(BN22,FlowCalNumber,0),1,1)*BP35^INDEX(FlowCalConstB,MATCH(BN22,FlowCalNumber,0),1,1)&gt;INDEX(FlowCalLowSetting,MATCH(BN22,FlowCalNumber,0),1,1), (INDEX(FlowCalConstA,MATCH(BN22,FlowCalNumber,0),1,1)*BP35^INDEX(FlowCalConstB,MATCH(BN22,FlowCalNumber,0),1,1)&lt;INDEX(FlowCalHighSetting,MATCH(BN22,FlowCalNumber,0),1,1))),INDEX(FlowCalConstA,MATCH(BN22,FlowCalNumber,0),1,1)*BP35^INDEX(FlowCalConstB,MATCH(BN22,FlowCalNumber,0),1,1)," ")</f>
        <v>#N/A</v>
      </c>
      <c r="BR35" s="33"/>
      <c r="BS35" s="242">
        <f t="shared" si="32"/>
        <v>0.4</v>
      </c>
      <c r="BT35" s="241" t="e">
        <f t="shared" ca="1" si="33"/>
        <v>#VALUE!</v>
      </c>
      <c r="BU35" s="244" t="e">
        <f ca="1">IF(AND(INDEX(FlowCalConstA,MATCH(BR22,FlowCalNumber,0),1,1)*BT35^INDEX(FlowCalConstB,MATCH(BR22,FlowCalNumber,0),1,1)&gt;INDEX(FlowCalLowSetting,MATCH(BR22,FlowCalNumber,0),1,1), (INDEX(FlowCalConstA,MATCH(BR22,FlowCalNumber,0),1,1)*BT35^INDEX(FlowCalConstB,MATCH(BR22,FlowCalNumber,0),1,1)&lt;INDEX(FlowCalHighSetting,MATCH(BR22,FlowCalNumber,0),1,1))),INDEX(FlowCalConstA,MATCH(BR22,FlowCalNumber,0),1,1)*BT35^INDEX(FlowCalConstB,MATCH(BR22,FlowCalNumber,0),1,1)," ")</f>
        <v>#N/A</v>
      </c>
      <c r="BV35" s="33"/>
      <c r="BW35" s="242">
        <f t="shared" si="34"/>
        <v>0.4</v>
      </c>
      <c r="BX35" s="241" t="e">
        <f t="shared" ca="1" si="35"/>
        <v>#VALUE!</v>
      </c>
      <c r="BY35" s="244" t="e">
        <f ca="1">IF(AND(INDEX(FlowCalConstA,MATCH(BV22,FlowCalNumber,0),1,1)*BX35^INDEX(FlowCalConstB,MATCH(BV22,FlowCalNumber,0),1,1)&gt;INDEX(FlowCalLowSetting,MATCH(BV22,FlowCalNumber,0),1,1), (INDEX(FlowCalConstA,MATCH(BV22,FlowCalNumber,0),1,1)*BX35^INDEX(FlowCalConstB,MATCH(BV22,FlowCalNumber,0),1,1)&lt;INDEX(FlowCalHighSetting,MATCH(BV22,FlowCalNumber,0),1,1))),INDEX(FlowCalConstA,MATCH(BV22,FlowCalNumber,0),1,1)*BX35^INDEX(FlowCalConstB,MATCH(BV22,FlowCalNumber,0),1,1)," ")</f>
        <v>#N/A</v>
      </c>
      <c r="BZ35" s="33"/>
      <c r="CA35" s="242">
        <f t="shared" si="36"/>
        <v>0.1</v>
      </c>
      <c r="CB35" s="241" t="e">
        <f t="shared" ca="1" si="37"/>
        <v>#VALUE!</v>
      </c>
      <c r="CC35" s="244" t="e">
        <f ca="1">IF(AND(INDEX(FlowCalConstA,MATCH(BZ22,FlowCalNumber,0),1,1)*CB35^INDEX(FlowCalConstB,MATCH(BZ22,FlowCalNumber,0),1,1)&gt;INDEX(FlowCalLowSetting,MATCH(BZ22,FlowCalNumber,0),1,1), (INDEX(FlowCalConstA,MATCH(BZ22,FlowCalNumber,0),1,1)*CB35^INDEX(FlowCalConstB,MATCH(BZ22,FlowCalNumber,0),1,1)&lt;INDEX(FlowCalHighSetting,MATCH(BZ22,FlowCalNumber,0),1,1))),INDEX(FlowCalConstA,MATCH(BZ22,FlowCalNumber,0),1,1)*CB35^INDEX(FlowCalConstB,MATCH(BZ22,FlowCalNumber,0),1,1)," ")</f>
        <v>#N/A</v>
      </c>
      <c r="CD35" s="243"/>
      <c r="CE35" s="243"/>
      <c r="CF35" s="243"/>
      <c r="CG35" s="243"/>
      <c r="CH35" s="243"/>
      <c r="CI35" s="243"/>
      <c r="CJ35" s="243"/>
      <c r="CK35" s="243"/>
      <c r="CL35" s="243"/>
      <c r="CM35" s="243"/>
      <c r="CN35" s="243"/>
      <c r="CO35" s="243"/>
      <c r="CP35" s="243"/>
      <c r="CQ35" s="243"/>
      <c r="CR35" s="243"/>
      <c r="CS35" s="243"/>
      <c r="CT35" s="243"/>
      <c r="CU35" s="243"/>
      <c r="CV35" s="243"/>
      <c r="CW35" s="243"/>
      <c r="CX35" s="243"/>
      <c r="CY35" s="243"/>
      <c r="CZ35" s="243"/>
      <c r="DA35" s="243"/>
      <c r="DB35" s="243"/>
      <c r="DC35" s="243"/>
      <c r="DD35" s="243"/>
      <c r="DE35" s="243"/>
      <c r="DF35" s="243"/>
      <c r="DG35" s="243"/>
      <c r="DH35" s="243"/>
      <c r="DI35" s="243"/>
      <c r="DJ35" s="243"/>
      <c r="DK35" s="243"/>
      <c r="DM35" s="242"/>
      <c r="DO35" s="243"/>
      <c r="DQ35" s="242"/>
      <c r="DS35" s="243"/>
      <c r="DU35" s="242"/>
      <c r="DW35" s="243"/>
      <c r="DY35" s="242"/>
      <c r="EA35" s="243"/>
    </row>
    <row r="36" spans="1:131">
      <c r="A36" s="20"/>
      <c r="B36" s="124" t="str">
        <f t="shared" si="0"/>
        <v/>
      </c>
      <c r="C36" s="235"/>
      <c r="D36" s="24">
        <f>'1% Wind'!$M$95</f>
        <v>1.3</v>
      </c>
      <c r="E36" s="90"/>
      <c r="F36" s="90"/>
      <c r="G36" s="79">
        <f ca="1">IF(I22=0.9743,G35,MAX(G35/D35*D36,2))</f>
        <v>6.001707317073171</v>
      </c>
      <c r="H36" s="121" t="e">
        <f t="shared" ca="1" si="1"/>
        <v>#VALUE!</v>
      </c>
      <c r="J36" s="33"/>
      <c r="K36" s="242">
        <f t="shared" si="2"/>
        <v>1</v>
      </c>
      <c r="L36" s="241" t="e">
        <f t="shared" ca="1" si="3"/>
        <v>#VALUE!</v>
      </c>
      <c r="M36" s="243" t="e">
        <f ca="1">IF(AND(INDEX(FlowCalConstA,MATCH(J22,FlowCalNumber,0),1,1)*L36^INDEX(FlowCalConstB,MATCH(J22,FlowCalNumber,0),1,1)&gt;INDEX(FlowCalLowSetting,MATCH(J22,FlowCalNumber,0),1,1), (INDEX(FlowCalConstA,MATCH(J22,FlowCalNumber,0),1,1)*L36^INDEX(FlowCalConstB,MATCH(J22,FlowCalNumber,0),1,1)&lt;INDEX(FlowCalHighSetting,MATCH(J22,FlowCalNumber,0),1,1))),INDEX(FlowCalConstA,MATCH(J22,FlowCalNumber,0),1,1)*L36^INDEX(FlowCalConstB,MATCH(J22,FlowCalNumber,0),1,1)," ")</f>
        <v>#N/A</v>
      </c>
      <c r="N36" s="33"/>
      <c r="O36" s="242">
        <f t="shared" si="4"/>
        <v>1</v>
      </c>
      <c r="P36" s="241" t="e">
        <f t="shared" ca="1" si="5"/>
        <v>#VALUE!</v>
      </c>
      <c r="Q36" s="243" t="e">
        <f ca="1">IF(AND(INDEX(FlowCalConstA,MATCH(N22,FlowCalNumber,0),1,1)*P36^INDEX(FlowCalConstB,MATCH(N22,FlowCalNumber,0),1,1)&gt;INDEX(FlowCalLowSetting,MATCH(N22,FlowCalNumber,0),1,1), (INDEX(FlowCalConstA,MATCH(N22,FlowCalNumber,0),1,1)*P36^INDEX(FlowCalConstB,MATCH(N22,FlowCalNumber,0),1,1)&lt;INDEX(FlowCalHighSetting,MATCH(N22,FlowCalNumber,0),1,1))),INDEX(FlowCalConstA,MATCH(N22,FlowCalNumber,0),1,1)*P36^INDEX(FlowCalConstB,MATCH(N22,FlowCalNumber,0),1,1)," ")</f>
        <v>#N/A</v>
      </c>
      <c r="R36" s="33"/>
      <c r="S36" s="242">
        <f t="shared" si="6"/>
        <v>1</v>
      </c>
      <c r="T36" s="241" t="e">
        <f t="shared" ca="1" si="7"/>
        <v>#VALUE!</v>
      </c>
      <c r="U36" s="244" t="e">
        <f ca="1">IF(AND(INDEX(FlowCalConstA,MATCH(R22,FlowCalNumber,0),1,1)*T36^INDEX(FlowCalConstB,MATCH(R22,FlowCalNumber,0),1,1)&gt;INDEX(FlowCalLowSetting,MATCH(R22,FlowCalNumber,0),1,1), (INDEX(FlowCalConstA,MATCH(R22,FlowCalNumber,0),1,1)*T36^INDEX(FlowCalConstB,MATCH(R22,FlowCalNumber,0),1,1)&lt;INDEX(FlowCalHighSetting,MATCH(R22,FlowCalNumber,0),1,1))),INDEX(FlowCalConstA,MATCH(R22,FlowCalNumber,0),1,1)*T36^INDEX(FlowCalConstB,MATCH(R22,FlowCalNumber,0),1,1)," ")</f>
        <v>#N/A</v>
      </c>
      <c r="V36" s="33"/>
      <c r="W36" s="242">
        <f t="shared" si="8"/>
        <v>0.1</v>
      </c>
      <c r="X36" s="241" t="e">
        <f t="shared" ca="1" si="9"/>
        <v>#VALUE!</v>
      </c>
      <c r="Y36" s="243" t="e">
        <f ca="1">IF(AND(INDEX(FlowCalConstA,MATCH(V22,FlowCalNumber,0),1,1)*X36^INDEX(FlowCalConstB,MATCH(V22,FlowCalNumber,0),1,1)&gt;INDEX(FlowCalLowSetting,MATCH(V22,FlowCalNumber,0),1,1), (INDEX(FlowCalConstA,MATCH(V22,FlowCalNumber,0),1,1)*X36^INDEX(FlowCalConstB,MATCH(V22,FlowCalNumber,0),1,1)&lt;INDEX(FlowCalHighSetting,MATCH(V22,FlowCalNumber,0),1,1))),INDEX(FlowCalConstA,MATCH(V22,FlowCalNumber,0),1,1)*X36^INDEX(FlowCalConstB,MATCH(V22,FlowCalNumber,0),1,1)," ")</f>
        <v>#N/A</v>
      </c>
      <c r="Z36" s="33"/>
      <c r="AA36" s="242">
        <f t="shared" si="10"/>
        <v>0.9</v>
      </c>
      <c r="AB36" s="241" t="e">
        <f t="shared" ca="1" si="11"/>
        <v>#VALUE!</v>
      </c>
      <c r="AC36" s="243" t="e">
        <f ca="1">IF(AND(INDEX(FlowCalConstA,MATCH(Z22,FlowCalNumber,0),1,1)*AB36^INDEX(FlowCalConstB,MATCH(Z22,FlowCalNumber,0),1,1)&gt;INDEX(FlowCalLowSetting,MATCH(Z22,FlowCalNumber,0),1,1), (INDEX(FlowCalConstA,MATCH(Z22,FlowCalNumber,0),1,1)*AB36^INDEX(FlowCalConstB,MATCH(Z22,FlowCalNumber,0),1,1)&lt;INDEX(FlowCalHighSetting,MATCH(Z22,FlowCalNumber,0),1,1))),INDEX(FlowCalConstA,MATCH(Z22,FlowCalNumber,0),1,1)*AB36^INDEX(FlowCalConstB,MATCH(Z22,FlowCalNumber,0),1,1)," ")</f>
        <v>#N/A</v>
      </c>
      <c r="AD36" s="33"/>
      <c r="AE36" s="242">
        <f t="shared" si="12"/>
        <v>0.1</v>
      </c>
      <c r="AF36" s="241" t="e">
        <f t="shared" ca="1" si="13"/>
        <v>#VALUE!</v>
      </c>
      <c r="AG36" s="243" t="e">
        <f ca="1">IF(AND(INDEX(FlowCalConstA,MATCH(AD22,FlowCalNumber,0),1,1)*AF36^INDEX(FlowCalConstB,MATCH(AD22,FlowCalNumber,0),1,1)&gt;INDEX(FlowCalLowSetting,MATCH(AD22,FlowCalNumber,0),1,1), (INDEX(FlowCalConstA,MATCH(AD22,FlowCalNumber,0),1,1)*AF36^INDEX(FlowCalConstB,MATCH(AD22,FlowCalNumber,0),1,1)&lt;INDEX(FlowCalHighSetting,MATCH(AD22,FlowCalNumber,0),1,1))),INDEX(FlowCalConstA,MATCH(AD22,FlowCalNumber,0),1,1)*AF36^INDEX(FlowCalConstB,MATCH(AD22,FlowCalNumber,0),1,1)," ")</f>
        <v>#N/A</v>
      </c>
      <c r="AH36" s="33"/>
      <c r="AI36" s="242">
        <f t="shared" si="14"/>
        <v>0.9</v>
      </c>
      <c r="AJ36" s="241" t="e">
        <f t="shared" ca="1" si="15"/>
        <v>#VALUE!</v>
      </c>
      <c r="AK36" s="243" t="e">
        <f ca="1">IF(AND(INDEX(FlowCalConstA,MATCH(AH22,FlowCalNumber,0),1,1)*AJ36^INDEX(FlowCalConstB,MATCH(AH22,FlowCalNumber,0),1,1)&gt;INDEX(FlowCalLowSetting,MATCH(AH22,FlowCalNumber,0),1,1), (INDEX(FlowCalConstA,MATCH(AH22,FlowCalNumber,0),1,1)*AJ36^INDEX(FlowCalConstB,MATCH(AH22,FlowCalNumber,0),1,1)&lt;INDEX(FlowCalHighSetting,MATCH(AH22,FlowCalNumber,0),1,1))),INDEX(FlowCalConstA,MATCH(AH22,FlowCalNumber,0),1,1)*AJ36^INDEX(FlowCalConstB,MATCH(AH22,FlowCalNumber,0),1,1)," ")</f>
        <v>#N/A</v>
      </c>
      <c r="AL36" s="33"/>
      <c r="AM36" s="242">
        <f t="shared" si="16"/>
        <v>0.1</v>
      </c>
      <c r="AN36" s="241" t="e">
        <f t="shared" ca="1" si="17"/>
        <v>#VALUE!</v>
      </c>
      <c r="AO36" s="244" t="e">
        <f ca="1">IF(AND(INDEX(FlowCalConstA,MATCH(AL22,FlowCalNumber,0),1,1)*AN36^INDEX(FlowCalConstB,MATCH(AL22,FlowCalNumber,0),1,1)&gt;INDEX(FlowCalLowSetting,MATCH(AL22,FlowCalNumber,0),1,1), (INDEX(FlowCalConstA,MATCH(AL22,FlowCalNumber,0),1,1)*AN36^INDEX(FlowCalConstB,MATCH(AL22,FlowCalNumber,0),1,1)&lt;INDEX(FlowCalHighSetting,MATCH(AL22,FlowCalNumber,0),1,1))),INDEX(FlowCalConstA,MATCH(AL22,FlowCalNumber,0),1,1)*AN36^INDEX(FlowCalConstB,MATCH(AL22,FlowCalNumber,0),1,1)," ")</f>
        <v>#N/A</v>
      </c>
      <c r="AQ36" s="242">
        <f t="shared" si="18"/>
        <v>0.9</v>
      </c>
      <c r="AR36" s="241" t="e">
        <f t="shared" ca="1" si="19"/>
        <v>#VALUE!</v>
      </c>
      <c r="AS36" s="244" t="e">
        <f ca="1">IF(AND(INDEX(FlowCalConstA,MATCH(AP22,FlowCalNumber,0),1,1)*AR36^INDEX(FlowCalConstB,MATCH(AP22,FlowCalNumber,0),1,1)&gt;INDEX(FlowCalLowSetting,MATCH(AP22,FlowCalNumber,0),1,1), (INDEX(FlowCalConstA,MATCH(AP22,FlowCalNumber,0),1,1)*AR36^INDEX(FlowCalConstB,MATCH(AP22,FlowCalNumber,0),1,1)&lt;INDEX(FlowCalHighSetting,MATCH(AP22,FlowCalNumber,0),1,1))),INDEX(FlowCalConstA,MATCH(AP22,FlowCalNumber,0),1,1)*AR36^INDEX(FlowCalConstB,MATCH(AP22,FlowCalNumber,0),1,1)," ")</f>
        <v>#N/A</v>
      </c>
      <c r="AT36" s="33"/>
      <c r="AU36" s="242">
        <f t="shared" si="20"/>
        <v>0.1</v>
      </c>
      <c r="AV36" s="241" t="e">
        <f t="shared" ca="1" si="21"/>
        <v>#VALUE!</v>
      </c>
      <c r="AW36" s="244" t="e">
        <f ca="1">IF(AND(INDEX(FlowCalConstA,MATCH(AT22,FlowCalNumber,0),1,1)*AV36^INDEX(FlowCalConstB,MATCH(AT22,FlowCalNumber,0),1,1)&gt;INDEX(FlowCalLowSetting,MATCH(AT22,FlowCalNumber,0),1,1), (INDEX(FlowCalConstA,MATCH(AT22,FlowCalNumber,0),1,1)*AV36^INDEX(FlowCalConstB,MATCH(AT22,FlowCalNumber,0),1,1)&lt;INDEX(FlowCalHighSetting,MATCH(AT22,FlowCalNumber,0),1,1))),INDEX(FlowCalConstA,MATCH(AT22,FlowCalNumber,0),1,1)*AV36^INDEX(FlowCalConstB,MATCH(AT22,FlowCalNumber,0),1,1)," ")</f>
        <v>#N/A</v>
      </c>
      <c r="AX36" s="33"/>
      <c r="AY36" s="242">
        <f t="shared" si="22"/>
        <v>0.9</v>
      </c>
      <c r="AZ36" s="241" t="e">
        <f t="shared" ca="1" si="23"/>
        <v>#VALUE!</v>
      </c>
      <c r="BA36" s="244" t="e">
        <f ca="1">IF(AND(INDEX(FlowCalConstA,MATCH(AX22,FlowCalNumber,0),1,1)*AZ36^INDEX(FlowCalConstB,MATCH(AX22,FlowCalNumber,0),1,1)&gt;INDEX(FlowCalLowSetting,MATCH(AX22,FlowCalNumber,0),1,1), (INDEX(FlowCalConstA,MATCH(AX22,FlowCalNumber,0),1,1)*AZ36^INDEX(FlowCalConstB,MATCH(AX22,FlowCalNumber,0),1,1)&lt;INDEX(FlowCalHighSetting,MATCH(AX22,FlowCalNumber,0),1,1))),INDEX(FlowCalConstA,MATCH(AX22,FlowCalNumber,0),1,1)*AZ36^INDEX(FlowCalConstB,MATCH(AX22,FlowCalNumber,0),1,1)," ")</f>
        <v>#N/A</v>
      </c>
      <c r="BB36" s="33"/>
      <c r="BC36" s="242">
        <f t="shared" si="24"/>
        <v>0.1</v>
      </c>
      <c r="BD36" s="241" t="e">
        <f t="shared" ca="1" si="25"/>
        <v>#VALUE!</v>
      </c>
      <c r="BE36" s="244" t="e">
        <f ca="1">IF(AND(INDEX(FlowCalConstA,MATCH(BB22,FlowCalNumber,0),1,1)*BD36^INDEX(FlowCalConstB,MATCH(BB22,FlowCalNumber,0),1,1)&gt;INDEX(FlowCalLowSetting,MATCH(BB22,FlowCalNumber,0),1,1), (INDEX(FlowCalConstA,MATCH(BB22,FlowCalNumber,0),1,1)*BD36^INDEX(FlowCalConstB,MATCH(BB22,FlowCalNumber,0),1,1)&lt;INDEX(FlowCalHighSetting,MATCH(BB22,FlowCalNumber,0),1,1))),INDEX(FlowCalConstA,MATCH(BB22,FlowCalNumber,0),1,1)*BD36^INDEX(FlowCalConstB,MATCH(BB22,FlowCalNumber,0),1,1)," ")</f>
        <v>#N/A</v>
      </c>
      <c r="BF36" s="33"/>
      <c r="BG36" s="242">
        <f t="shared" si="26"/>
        <v>0.45</v>
      </c>
      <c r="BH36" s="241" t="e">
        <f t="shared" ca="1" si="27"/>
        <v>#VALUE!</v>
      </c>
      <c r="BI36" s="244" t="e">
        <f ca="1">IF(AND(INDEX(FlowCalConstA,MATCH(BF22,FlowCalNumber,0),1,1)*BH36^INDEX(FlowCalConstB,MATCH(BF22,FlowCalNumber,0),1,1)&gt;INDEX(FlowCalLowSetting,MATCH(BF22,FlowCalNumber,0),1,1), (INDEX(FlowCalConstA,MATCH(BF22,FlowCalNumber,0),1,1)*BH36^INDEX(FlowCalConstB,MATCH(BF22,FlowCalNumber,0),1,1)&lt;INDEX(FlowCalHighSetting,MATCH(BF22,FlowCalNumber,0),1,1))),INDEX(FlowCalConstA,MATCH(BF22,FlowCalNumber,0),1,1)*BH36^INDEX(FlowCalConstB,MATCH(BF22,FlowCalNumber,0),1,1)," ")</f>
        <v>#N/A</v>
      </c>
      <c r="BJ36" s="33"/>
      <c r="BK36" s="242">
        <f t="shared" si="28"/>
        <v>0.45</v>
      </c>
      <c r="BL36" s="241" t="e">
        <f t="shared" ca="1" si="29"/>
        <v>#VALUE!</v>
      </c>
      <c r="BM36" s="244" t="e">
        <f ca="1">IF(AND(INDEX(FlowCalConstA,MATCH(BJ22,FlowCalNumber,0),1,1)*BL36^INDEX(FlowCalConstB,MATCH(BJ22,FlowCalNumber,0),1,1)&gt;INDEX(FlowCalLowSetting,MATCH(BJ22,FlowCalNumber,0),1,1), (INDEX(FlowCalConstA,MATCH(BJ22,FlowCalNumber,0),1,1)*BL36^INDEX(FlowCalConstB,MATCH(BJ22,FlowCalNumber,0),1,1)&lt;INDEX(FlowCalHighSetting,MATCH(BJ22,FlowCalNumber,0),1,1))),INDEX(FlowCalConstA,MATCH(BJ22,FlowCalNumber,0),1,1)*BL36^INDEX(FlowCalConstB,MATCH(BJ22,FlowCalNumber,0),1,1)," ")</f>
        <v>#N/A</v>
      </c>
      <c r="BN36" s="33"/>
      <c r="BO36" s="242">
        <f t="shared" si="30"/>
        <v>0.1</v>
      </c>
      <c r="BP36" s="241" t="e">
        <f t="shared" ca="1" si="31"/>
        <v>#VALUE!</v>
      </c>
      <c r="BQ36" s="244" t="e">
        <f ca="1">IF(AND(INDEX(FlowCalConstA,MATCH(BN22,FlowCalNumber,0),1,1)*BP36^INDEX(FlowCalConstB,MATCH(BN22,FlowCalNumber,0),1,1)&gt;INDEX(FlowCalLowSetting,MATCH(BN22,FlowCalNumber,0),1,1), (INDEX(FlowCalConstA,MATCH(BN22,FlowCalNumber,0),1,1)*BP36^INDEX(FlowCalConstB,MATCH(BN22,FlowCalNumber,0),1,1)&lt;INDEX(FlowCalHighSetting,MATCH(BN22,FlowCalNumber,0),1,1))),INDEX(FlowCalConstA,MATCH(BN22,FlowCalNumber,0),1,1)*BP36^INDEX(FlowCalConstB,MATCH(BN22,FlowCalNumber,0),1,1)," ")</f>
        <v>#N/A</v>
      </c>
      <c r="BR36" s="33"/>
      <c r="BS36" s="242">
        <f t="shared" si="32"/>
        <v>0.4</v>
      </c>
      <c r="BT36" s="241" t="e">
        <f t="shared" ca="1" si="33"/>
        <v>#VALUE!</v>
      </c>
      <c r="BU36" s="244" t="e">
        <f ca="1">IF(AND(INDEX(FlowCalConstA,MATCH(BR22,FlowCalNumber,0),1,1)*BT36^INDEX(FlowCalConstB,MATCH(BR22,FlowCalNumber,0),1,1)&gt;INDEX(FlowCalLowSetting,MATCH(BR22,FlowCalNumber,0),1,1), (INDEX(FlowCalConstA,MATCH(BR22,FlowCalNumber,0),1,1)*BT36^INDEX(FlowCalConstB,MATCH(BR22,FlowCalNumber,0),1,1)&lt;INDEX(FlowCalHighSetting,MATCH(BR22,FlowCalNumber,0),1,1))),INDEX(FlowCalConstA,MATCH(BR22,FlowCalNumber,0),1,1)*BT36^INDEX(FlowCalConstB,MATCH(BR22,FlowCalNumber,0),1,1)," ")</f>
        <v>#N/A</v>
      </c>
      <c r="BV36" s="33"/>
      <c r="BW36" s="242">
        <f t="shared" si="34"/>
        <v>0.4</v>
      </c>
      <c r="BX36" s="241" t="e">
        <f t="shared" ca="1" si="35"/>
        <v>#VALUE!</v>
      </c>
      <c r="BY36" s="244" t="e">
        <f ca="1">IF(AND(INDEX(FlowCalConstA,MATCH(BV22,FlowCalNumber,0),1,1)*BX36^INDEX(FlowCalConstB,MATCH(BV22,FlowCalNumber,0),1,1)&gt;INDEX(FlowCalLowSetting,MATCH(BV22,FlowCalNumber,0),1,1), (INDEX(FlowCalConstA,MATCH(BV22,FlowCalNumber,0),1,1)*BX36^INDEX(FlowCalConstB,MATCH(BV22,FlowCalNumber,0),1,1)&lt;INDEX(FlowCalHighSetting,MATCH(BV22,FlowCalNumber,0),1,1))),INDEX(FlowCalConstA,MATCH(BV22,FlowCalNumber,0),1,1)*BX36^INDEX(FlowCalConstB,MATCH(BV22,FlowCalNumber,0),1,1)," ")</f>
        <v>#N/A</v>
      </c>
      <c r="BZ36" s="33"/>
      <c r="CA36" s="242">
        <f t="shared" si="36"/>
        <v>0.1</v>
      </c>
      <c r="CB36" s="241" t="e">
        <f t="shared" ca="1" si="37"/>
        <v>#VALUE!</v>
      </c>
      <c r="CC36" s="244" t="e">
        <f ca="1">IF(AND(INDEX(FlowCalConstA,MATCH(BZ22,FlowCalNumber,0),1,1)*CB36^INDEX(FlowCalConstB,MATCH(BZ22,FlowCalNumber,0),1,1)&gt;INDEX(FlowCalLowSetting,MATCH(BZ22,FlowCalNumber,0),1,1), (INDEX(FlowCalConstA,MATCH(BZ22,FlowCalNumber,0),1,1)*CB36^INDEX(FlowCalConstB,MATCH(BZ22,FlowCalNumber,0),1,1)&lt;INDEX(FlowCalHighSetting,MATCH(BZ22,FlowCalNumber,0),1,1))),INDEX(FlowCalConstA,MATCH(BZ22,FlowCalNumber,0),1,1)*CB36^INDEX(FlowCalConstB,MATCH(BZ22,FlowCalNumber,0),1,1)," ")</f>
        <v>#N/A</v>
      </c>
      <c r="CD36" s="243"/>
      <c r="CE36" s="243"/>
      <c r="CF36" s="243"/>
      <c r="CG36" s="243"/>
      <c r="CH36" s="243"/>
      <c r="CI36" s="243"/>
      <c r="CJ36" s="243"/>
      <c r="CK36" s="243"/>
      <c r="CL36" s="243"/>
      <c r="CM36" s="243"/>
      <c r="CN36" s="243"/>
      <c r="CO36" s="243"/>
      <c r="CP36" s="243"/>
      <c r="CQ36" s="243"/>
      <c r="CR36" s="243"/>
      <c r="CS36" s="243"/>
      <c r="CT36" s="243"/>
      <c r="CU36" s="243"/>
      <c r="CV36" s="243"/>
      <c r="CW36" s="243"/>
      <c r="CX36" s="243"/>
      <c r="CY36" s="243"/>
      <c r="CZ36" s="243"/>
      <c r="DA36" s="243"/>
      <c r="DB36" s="243"/>
      <c r="DC36" s="243"/>
      <c r="DD36" s="243"/>
      <c r="DE36" s="243"/>
      <c r="DF36" s="243"/>
      <c r="DG36" s="243"/>
      <c r="DH36" s="243"/>
      <c r="DI36" s="243"/>
      <c r="DJ36" s="243"/>
      <c r="DK36" s="243"/>
      <c r="DM36" s="242"/>
      <c r="DO36" s="243"/>
      <c r="DQ36" s="242"/>
      <c r="DS36" s="243"/>
      <c r="DU36" s="242"/>
      <c r="DW36" s="243"/>
      <c r="DY36" s="242"/>
      <c r="EA36" s="243"/>
    </row>
    <row r="37" spans="1:131">
      <c r="A37" s="20"/>
      <c r="B37" s="124" t="str">
        <f t="shared" si="0"/>
        <v/>
      </c>
      <c r="C37" s="235"/>
      <c r="D37" s="24">
        <f>'1% Wind'!$M$96</f>
        <v>1</v>
      </c>
      <c r="E37" s="90"/>
      <c r="F37" s="90"/>
      <c r="G37" s="79">
        <f ca="1">IF(I22=0.9743,G36,MAX(G36/D36*D37,2))</f>
        <v>6.001707317073171</v>
      </c>
      <c r="H37" s="121" t="e">
        <f t="shared" ca="1" si="1"/>
        <v>#VALUE!</v>
      </c>
      <c r="J37" s="33"/>
      <c r="K37" s="242">
        <f t="shared" si="2"/>
        <v>1</v>
      </c>
      <c r="L37" s="241" t="e">
        <f t="shared" ca="1" si="3"/>
        <v>#VALUE!</v>
      </c>
      <c r="M37" s="243" t="e">
        <f ca="1">IF(AND(INDEX(FlowCalConstA,MATCH(J22,FlowCalNumber,0),1,1)*L37^INDEX(FlowCalConstB,MATCH(J22,FlowCalNumber,0),1,1)&gt;INDEX(FlowCalLowSetting,MATCH(J22,FlowCalNumber,0),1,1), (INDEX(FlowCalConstA,MATCH(J22,FlowCalNumber,0),1,1)*L37^INDEX(FlowCalConstB,MATCH(J22,FlowCalNumber,0),1,1)&lt;INDEX(FlowCalHighSetting,MATCH(J22,FlowCalNumber,0),1,1))),INDEX(FlowCalConstA,MATCH(J22,FlowCalNumber,0),1,1)*L37^INDEX(FlowCalConstB,MATCH(J22,FlowCalNumber,0),1,1)," ")</f>
        <v>#N/A</v>
      </c>
      <c r="N37" s="33"/>
      <c r="O37" s="242">
        <f t="shared" si="4"/>
        <v>1</v>
      </c>
      <c r="P37" s="241" t="e">
        <f t="shared" ca="1" si="5"/>
        <v>#VALUE!</v>
      </c>
      <c r="Q37" s="243" t="e">
        <f ca="1">IF(AND(INDEX(FlowCalConstA,MATCH(N22,FlowCalNumber,0),1,1)*P37^INDEX(FlowCalConstB,MATCH(N22,FlowCalNumber,0),1,1)&gt;INDEX(FlowCalLowSetting,MATCH(N22,FlowCalNumber,0),1,1), (INDEX(FlowCalConstA,MATCH(N22,FlowCalNumber,0),1,1)*P37^INDEX(FlowCalConstB,MATCH(N22,FlowCalNumber,0),1,1)&lt;INDEX(FlowCalHighSetting,MATCH(N22,FlowCalNumber,0),1,1))),INDEX(FlowCalConstA,MATCH(N22,FlowCalNumber,0),1,1)*P37^INDEX(FlowCalConstB,MATCH(N22,FlowCalNumber,0),1,1)," ")</f>
        <v>#N/A</v>
      </c>
      <c r="R37" s="33"/>
      <c r="S37" s="242">
        <f t="shared" si="6"/>
        <v>1</v>
      </c>
      <c r="T37" s="241" t="e">
        <f t="shared" ca="1" si="7"/>
        <v>#VALUE!</v>
      </c>
      <c r="U37" s="244" t="e">
        <f ca="1">IF(AND(INDEX(FlowCalConstA,MATCH(R22,FlowCalNumber,0),1,1)*T37^INDEX(FlowCalConstB,MATCH(R22,FlowCalNumber,0),1,1)&gt;INDEX(FlowCalLowSetting,MATCH(R22,FlowCalNumber,0),1,1), (INDEX(FlowCalConstA,MATCH(R22,FlowCalNumber,0),1,1)*T37^INDEX(FlowCalConstB,MATCH(R22,FlowCalNumber,0),1,1)&lt;INDEX(FlowCalHighSetting,MATCH(R22,FlowCalNumber,0),1,1))),INDEX(FlowCalConstA,MATCH(R22,FlowCalNumber,0),1,1)*T37^INDEX(FlowCalConstB,MATCH(R22,FlowCalNumber,0),1,1)," ")</f>
        <v>#N/A</v>
      </c>
      <c r="V37" s="33"/>
      <c r="W37" s="242">
        <f t="shared" si="8"/>
        <v>0.1</v>
      </c>
      <c r="X37" s="241" t="e">
        <f t="shared" ca="1" si="9"/>
        <v>#VALUE!</v>
      </c>
      <c r="Y37" s="243" t="e">
        <f ca="1">IF(AND(INDEX(FlowCalConstA,MATCH(V22,FlowCalNumber,0),1,1)*X37^INDEX(FlowCalConstB,MATCH(V22,FlowCalNumber,0),1,1)&gt;INDEX(FlowCalLowSetting,MATCH(V22,FlowCalNumber,0),1,1), (INDEX(FlowCalConstA,MATCH(V22,FlowCalNumber,0),1,1)*X37^INDEX(FlowCalConstB,MATCH(V22,FlowCalNumber,0),1,1)&lt;INDEX(FlowCalHighSetting,MATCH(V22,FlowCalNumber,0),1,1))),INDEX(FlowCalConstA,MATCH(V22,FlowCalNumber,0),1,1)*X37^INDEX(FlowCalConstB,MATCH(V22,FlowCalNumber,0),1,1)," ")</f>
        <v>#N/A</v>
      </c>
      <c r="Z37" s="33"/>
      <c r="AA37" s="242">
        <f t="shared" si="10"/>
        <v>0.9</v>
      </c>
      <c r="AB37" s="241" t="e">
        <f t="shared" ca="1" si="11"/>
        <v>#VALUE!</v>
      </c>
      <c r="AC37" s="243" t="e">
        <f ca="1">IF(AND(INDEX(FlowCalConstA,MATCH(Z22,FlowCalNumber,0),1,1)*AB37^INDEX(FlowCalConstB,MATCH(Z22,FlowCalNumber,0),1,1)&gt;INDEX(FlowCalLowSetting,MATCH(Z22,FlowCalNumber,0),1,1), (INDEX(FlowCalConstA,MATCH(Z22,FlowCalNumber,0),1,1)*AB37^INDEX(FlowCalConstB,MATCH(Z22,FlowCalNumber,0),1,1)&lt;INDEX(FlowCalHighSetting,MATCH(Z22,FlowCalNumber,0),1,1))),INDEX(FlowCalConstA,MATCH(Z22,FlowCalNumber,0),1,1)*AB37^INDEX(FlowCalConstB,MATCH(Z22,FlowCalNumber,0),1,1)," ")</f>
        <v>#N/A</v>
      </c>
      <c r="AD37" s="33"/>
      <c r="AE37" s="242">
        <f t="shared" si="12"/>
        <v>0.1</v>
      </c>
      <c r="AF37" s="241" t="e">
        <f t="shared" ca="1" si="13"/>
        <v>#VALUE!</v>
      </c>
      <c r="AG37" s="243" t="e">
        <f ca="1">IF(AND(INDEX(FlowCalConstA,MATCH(AD22,FlowCalNumber,0),1,1)*AF37^INDEX(FlowCalConstB,MATCH(AD22,FlowCalNumber,0),1,1)&gt;INDEX(FlowCalLowSetting,MATCH(AD22,FlowCalNumber,0),1,1), (INDEX(FlowCalConstA,MATCH(AD22,FlowCalNumber,0),1,1)*AF37^INDEX(FlowCalConstB,MATCH(AD22,FlowCalNumber,0),1,1)&lt;INDEX(FlowCalHighSetting,MATCH(AD22,FlowCalNumber,0),1,1))),INDEX(FlowCalConstA,MATCH(AD22,FlowCalNumber,0),1,1)*AF37^INDEX(FlowCalConstB,MATCH(AD22,FlowCalNumber,0),1,1)," ")</f>
        <v>#N/A</v>
      </c>
      <c r="AH37" s="33"/>
      <c r="AI37" s="242">
        <f t="shared" si="14"/>
        <v>0.9</v>
      </c>
      <c r="AJ37" s="241" t="e">
        <f t="shared" ca="1" si="15"/>
        <v>#VALUE!</v>
      </c>
      <c r="AK37" s="243" t="e">
        <f ca="1">IF(AND(INDEX(FlowCalConstA,MATCH(AH22,FlowCalNumber,0),1,1)*AJ37^INDEX(FlowCalConstB,MATCH(AH22,FlowCalNumber,0),1,1)&gt;INDEX(FlowCalLowSetting,MATCH(AH22,FlowCalNumber,0),1,1), (INDEX(FlowCalConstA,MATCH(AH22,FlowCalNumber,0),1,1)*AJ37^INDEX(FlowCalConstB,MATCH(AH22,FlowCalNumber,0),1,1)&lt;INDEX(FlowCalHighSetting,MATCH(AH22,FlowCalNumber,0),1,1))),INDEX(FlowCalConstA,MATCH(AH22,FlowCalNumber,0),1,1)*AJ37^INDEX(FlowCalConstB,MATCH(AH22,FlowCalNumber,0),1,1)," ")</f>
        <v>#N/A</v>
      </c>
      <c r="AL37" s="33"/>
      <c r="AM37" s="242">
        <f t="shared" si="16"/>
        <v>0.1</v>
      </c>
      <c r="AN37" s="241" t="e">
        <f t="shared" ca="1" si="17"/>
        <v>#VALUE!</v>
      </c>
      <c r="AO37" s="244" t="e">
        <f ca="1">IF(AND(INDEX(FlowCalConstA,MATCH(AL22,FlowCalNumber,0),1,1)*AN37^INDEX(FlowCalConstB,MATCH(AL22,FlowCalNumber,0),1,1)&gt;INDEX(FlowCalLowSetting,MATCH(AL22,FlowCalNumber,0),1,1), (INDEX(FlowCalConstA,MATCH(AL22,FlowCalNumber,0),1,1)*AN37^INDEX(FlowCalConstB,MATCH(AL22,FlowCalNumber,0),1,1)&lt;INDEX(FlowCalHighSetting,MATCH(AL22,FlowCalNumber,0),1,1))),INDEX(FlowCalConstA,MATCH(AL22,FlowCalNumber,0),1,1)*AN37^INDEX(FlowCalConstB,MATCH(AL22,FlowCalNumber,0),1,1)," ")</f>
        <v>#N/A</v>
      </c>
      <c r="AQ37" s="242">
        <f t="shared" si="18"/>
        <v>0.9</v>
      </c>
      <c r="AR37" s="241" t="e">
        <f t="shared" ca="1" si="19"/>
        <v>#VALUE!</v>
      </c>
      <c r="AS37" s="244" t="e">
        <f ca="1">IF(AND(INDEX(FlowCalConstA,MATCH(AP22,FlowCalNumber,0),1,1)*AR37^INDEX(FlowCalConstB,MATCH(AP22,FlowCalNumber,0),1,1)&gt;INDEX(FlowCalLowSetting,MATCH(AP22,FlowCalNumber,0),1,1), (INDEX(FlowCalConstA,MATCH(AP22,FlowCalNumber,0),1,1)*AR37^INDEX(FlowCalConstB,MATCH(AP22,FlowCalNumber,0),1,1)&lt;INDEX(FlowCalHighSetting,MATCH(AP22,FlowCalNumber,0),1,1))),INDEX(FlowCalConstA,MATCH(AP22,FlowCalNumber,0),1,1)*AR37^INDEX(FlowCalConstB,MATCH(AP22,FlowCalNumber,0),1,1)," ")</f>
        <v>#N/A</v>
      </c>
      <c r="AT37" s="33"/>
      <c r="AU37" s="242">
        <f t="shared" si="20"/>
        <v>0.1</v>
      </c>
      <c r="AV37" s="241" t="e">
        <f t="shared" ca="1" si="21"/>
        <v>#VALUE!</v>
      </c>
      <c r="AW37" s="244" t="e">
        <f ca="1">IF(AND(INDEX(FlowCalConstA,MATCH(AT22,FlowCalNumber,0),1,1)*AV37^INDEX(FlowCalConstB,MATCH(AT22,FlowCalNumber,0),1,1)&gt;INDEX(FlowCalLowSetting,MATCH(AT22,FlowCalNumber,0),1,1), (INDEX(FlowCalConstA,MATCH(AT22,FlowCalNumber,0),1,1)*AV37^INDEX(FlowCalConstB,MATCH(AT22,FlowCalNumber,0),1,1)&lt;INDEX(FlowCalHighSetting,MATCH(AT22,FlowCalNumber,0),1,1))),INDEX(FlowCalConstA,MATCH(AT22,FlowCalNumber,0),1,1)*AV37^INDEX(FlowCalConstB,MATCH(AT22,FlowCalNumber,0),1,1)," ")</f>
        <v>#N/A</v>
      </c>
      <c r="AX37" s="33"/>
      <c r="AY37" s="242">
        <f t="shared" si="22"/>
        <v>0.9</v>
      </c>
      <c r="AZ37" s="241" t="e">
        <f t="shared" ca="1" si="23"/>
        <v>#VALUE!</v>
      </c>
      <c r="BA37" s="244" t="e">
        <f ca="1">IF(AND(INDEX(FlowCalConstA,MATCH(AX22,FlowCalNumber,0),1,1)*AZ37^INDEX(FlowCalConstB,MATCH(AX22,FlowCalNumber,0),1,1)&gt;INDEX(FlowCalLowSetting,MATCH(AX22,FlowCalNumber,0),1,1), (INDEX(FlowCalConstA,MATCH(AX22,FlowCalNumber,0),1,1)*AZ37^INDEX(FlowCalConstB,MATCH(AX22,FlowCalNumber,0),1,1)&lt;INDEX(FlowCalHighSetting,MATCH(AX22,FlowCalNumber,0),1,1))),INDEX(FlowCalConstA,MATCH(AX22,FlowCalNumber,0),1,1)*AZ37^INDEX(FlowCalConstB,MATCH(AX22,FlowCalNumber,0),1,1)," ")</f>
        <v>#N/A</v>
      </c>
      <c r="BB37" s="33"/>
      <c r="BC37" s="242">
        <f t="shared" si="24"/>
        <v>0.1</v>
      </c>
      <c r="BD37" s="241" t="e">
        <f t="shared" ca="1" si="25"/>
        <v>#VALUE!</v>
      </c>
      <c r="BE37" s="244" t="e">
        <f ca="1">IF(AND(INDEX(FlowCalConstA,MATCH(BB22,FlowCalNumber,0),1,1)*BD37^INDEX(FlowCalConstB,MATCH(BB22,FlowCalNumber,0),1,1)&gt;INDEX(FlowCalLowSetting,MATCH(BB22,FlowCalNumber,0),1,1), (INDEX(FlowCalConstA,MATCH(BB22,FlowCalNumber,0),1,1)*BD37^INDEX(FlowCalConstB,MATCH(BB22,FlowCalNumber,0),1,1)&lt;INDEX(FlowCalHighSetting,MATCH(BB22,FlowCalNumber,0),1,1))),INDEX(FlowCalConstA,MATCH(BB22,FlowCalNumber,0),1,1)*BD37^INDEX(FlowCalConstB,MATCH(BB22,FlowCalNumber,0),1,1)," ")</f>
        <v>#N/A</v>
      </c>
      <c r="BF37" s="33"/>
      <c r="BG37" s="242">
        <f t="shared" si="26"/>
        <v>0.45</v>
      </c>
      <c r="BH37" s="241" t="e">
        <f t="shared" ca="1" si="27"/>
        <v>#VALUE!</v>
      </c>
      <c r="BI37" s="244" t="e">
        <f ca="1">IF(AND(INDEX(FlowCalConstA,MATCH(BF22,FlowCalNumber,0),1,1)*BH37^INDEX(FlowCalConstB,MATCH(BF22,FlowCalNumber,0),1,1)&gt;INDEX(FlowCalLowSetting,MATCH(BF22,FlowCalNumber,0),1,1), (INDEX(FlowCalConstA,MATCH(BF22,FlowCalNumber,0),1,1)*BH37^INDEX(FlowCalConstB,MATCH(BF22,FlowCalNumber,0),1,1)&lt;INDEX(FlowCalHighSetting,MATCH(BF22,FlowCalNumber,0),1,1))),INDEX(FlowCalConstA,MATCH(BF22,FlowCalNumber,0),1,1)*BH37^INDEX(FlowCalConstB,MATCH(BF22,FlowCalNumber,0),1,1)," ")</f>
        <v>#N/A</v>
      </c>
      <c r="BJ37" s="33"/>
      <c r="BK37" s="242">
        <f t="shared" si="28"/>
        <v>0.45</v>
      </c>
      <c r="BL37" s="241" t="e">
        <f t="shared" ca="1" si="29"/>
        <v>#VALUE!</v>
      </c>
      <c r="BM37" s="244" t="e">
        <f ca="1">IF(AND(INDEX(FlowCalConstA,MATCH(BJ22,FlowCalNumber,0),1,1)*BL37^INDEX(FlowCalConstB,MATCH(BJ22,FlowCalNumber,0),1,1)&gt;INDEX(FlowCalLowSetting,MATCH(BJ22,FlowCalNumber,0),1,1), (INDEX(FlowCalConstA,MATCH(BJ22,FlowCalNumber,0),1,1)*BL37^INDEX(FlowCalConstB,MATCH(BJ22,FlowCalNumber,0),1,1)&lt;INDEX(FlowCalHighSetting,MATCH(BJ22,FlowCalNumber,0),1,1))),INDEX(FlowCalConstA,MATCH(BJ22,FlowCalNumber,0),1,1)*BL37^INDEX(FlowCalConstB,MATCH(BJ22,FlowCalNumber,0),1,1)," ")</f>
        <v>#N/A</v>
      </c>
      <c r="BN37" s="33"/>
      <c r="BO37" s="242">
        <f t="shared" si="30"/>
        <v>0.1</v>
      </c>
      <c r="BP37" s="241" t="e">
        <f t="shared" ca="1" si="31"/>
        <v>#VALUE!</v>
      </c>
      <c r="BQ37" s="244" t="e">
        <f ca="1">IF(AND(INDEX(FlowCalConstA,MATCH(BN22,FlowCalNumber,0),1,1)*BP37^INDEX(FlowCalConstB,MATCH(BN22,FlowCalNumber,0),1,1)&gt;INDEX(FlowCalLowSetting,MATCH(BN22,FlowCalNumber,0),1,1), (INDEX(FlowCalConstA,MATCH(BN22,FlowCalNumber,0),1,1)*BP37^INDEX(FlowCalConstB,MATCH(BN22,FlowCalNumber,0),1,1)&lt;INDEX(FlowCalHighSetting,MATCH(BN22,FlowCalNumber,0),1,1))),INDEX(FlowCalConstA,MATCH(BN22,FlowCalNumber,0),1,1)*BP37^INDEX(FlowCalConstB,MATCH(BN22,FlowCalNumber,0),1,1)," ")</f>
        <v>#N/A</v>
      </c>
      <c r="BR37" s="33"/>
      <c r="BS37" s="242">
        <f t="shared" si="32"/>
        <v>0.4</v>
      </c>
      <c r="BT37" s="241" t="e">
        <f t="shared" ca="1" si="33"/>
        <v>#VALUE!</v>
      </c>
      <c r="BU37" s="244" t="e">
        <f ca="1">IF(AND(INDEX(FlowCalConstA,MATCH(BR22,FlowCalNumber,0),1,1)*BT37^INDEX(FlowCalConstB,MATCH(BR22,FlowCalNumber,0),1,1)&gt;INDEX(FlowCalLowSetting,MATCH(BR22,FlowCalNumber,0),1,1), (INDEX(FlowCalConstA,MATCH(BR22,FlowCalNumber,0),1,1)*BT37^INDEX(FlowCalConstB,MATCH(BR22,FlowCalNumber,0),1,1)&lt;INDEX(FlowCalHighSetting,MATCH(BR22,FlowCalNumber,0),1,1))),INDEX(FlowCalConstA,MATCH(BR22,FlowCalNumber,0),1,1)*BT37^INDEX(FlowCalConstB,MATCH(BR22,FlowCalNumber,0),1,1)," ")</f>
        <v>#N/A</v>
      </c>
      <c r="BV37" s="33"/>
      <c r="BW37" s="242">
        <f t="shared" si="34"/>
        <v>0.4</v>
      </c>
      <c r="BX37" s="241" t="e">
        <f t="shared" ca="1" si="35"/>
        <v>#VALUE!</v>
      </c>
      <c r="BY37" s="244" t="e">
        <f ca="1">IF(AND(INDEX(FlowCalConstA,MATCH(BV22,FlowCalNumber,0),1,1)*BX37^INDEX(FlowCalConstB,MATCH(BV22,FlowCalNumber,0),1,1)&gt;INDEX(FlowCalLowSetting,MATCH(BV22,FlowCalNumber,0),1,1), (INDEX(FlowCalConstA,MATCH(BV22,FlowCalNumber,0),1,1)*BX37^INDEX(FlowCalConstB,MATCH(BV22,FlowCalNumber,0),1,1)&lt;INDEX(FlowCalHighSetting,MATCH(BV22,FlowCalNumber,0),1,1))),INDEX(FlowCalConstA,MATCH(BV22,FlowCalNumber,0),1,1)*BX37^INDEX(FlowCalConstB,MATCH(BV22,FlowCalNumber,0),1,1)," ")</f>
        <v>#N/A</v>
      </c>
      <c r="BZ37" s="33"/>
      <c r="CA37" s="242">
        <f t="shared" si="36"/>
        <v>0.1</v>
      </c>
      <c r="CB37" s="241" t="e">
        <f t="shared" ca="1" si="37"/>
        <v>#VALUE!</v>
      </c>
      <c r="CC37" s="244" t="e">
        <f ca="1">IF(AND(INDEX(FlowCalConstA,MATCH(BZ22,FlowCalNumber,0),1,1)*CB37^INDEX(FlowCalConstB,MATCH(BZ22,FlowCalNumber,0),1,1)&gt;INDEX(FlowCalLowSetting,MATCH(BZ22,FlowCalNumber,0),1,1), (INDEX(FlowCalConstA,MATCH(BZ22,FlowCalNumber,0),1,1)*CB37^INDEX(FlowCalConstB,MATCH(BZ22,FlowCalNumber,0),1,1)&lt;INDEX(FlowCalHighSetting,MATCH(BZ22,FlowCalNumber,0),1,1))),INDEX(FlowCalConstA,MATCH(BZ22,FlowCalNumber,0),1,1)*CB37^INDEX(FlowCalConstB,MATCH(BZ22,FlowCalNumber,0),1,1)," ")</f>
        <v>#N/A</v>
      </c>
      <c r="CD37" s="243"/>
      <c r="CE37" s="243"/>
      <c r="CF37" s="243"/>
      <c r="CG37" s="243"/>
      <c r="CH37" s="243"/>
      <c r="CI37" s="243"/>
      <c r="CJ37" s="243"/>
      <c r="CK37" s="243"/>
      <c r="CL37" s="243"/>
      <c r="CM37" s="243"/>
      <c r="CN37" s="243"/>
      <c r="CO37" s="243"/>
      <c r="CP37" s="243"/>
      <c r="CQ37" s="243"/>
      <c r="CR37" s="243"/>
      <c r="CS37" s="243"/>
      <c r="CT37" s="243"/>
      <c r="CU37" s="243"/>
      <c r="CV37" s="243"/>
      <c r="CW37" s="243"/>
      <c r="CX37" s="243"/>
      <c r="CY37" s="243"/>
      <c r="CZ37" s="243"/>
      <c r="DA37" s="243"/>
      <c r="DB37" s="243"/>
      <c r="DC37" s="243"/>
      <c r="DD37" s="243"/>
      <c r="DE37" s="243"/>
      <c r="DF37" s="243"/>
      <c r="DG37" s="243"/>
      <c r="DH37" s="243"/>
      <c r="DI37" s="243"/>
      <c r="DJ37" s="243"/>
      <c r="DK37" s="243"/>
      <c r="DM37" s="242"/>
      <c r="DO37" s="243"/>
      <c r="DQ37" s="242"/>
      <c r="DS37" s="243"/>
      <c r="DU37" s="242"/>
      <c r="DW37" s="243"/>
      <c r="DY37" s="242"/>
      <c r="EA37" s="243"/>
    </row>
    <row r="38" spans="1:131">
      <c r="A38" s="33"/>
      <c r="B38" s="33"/>
      <c r="C38" s="235"/>
      <c r="E38" s="90"/>
      <c r="F38" s="90"/>
      <c r="G38" s="33"/>
      <c r="J38" s="33"/>
      <c r="M38" s="243"/>
      <c r="N38" s="33"/>
      <c r="Q38" s="243"/>
      <c r="R38" s="33"/>
      <c r="U38" s="244"/>
      <c r="V38" s="33"/>
      <c r="Y38" s="243"/>
      <c r="Z38" s="33"/>
      <c r="AC38" s="243"/>
      <c r="AD38" s="33"/>
      <c r="AG38" s="243"/>
      <c r="AH38" s="33"/>
      <c r="AK38" s="243"/>
      <c r="AL38" s="33"/>
      <c r="AO38" s="244"/>
      <c r="AS38" s="244"/>
      <c r="AT38" s="33"/>
      <c r="AW38" s="244"/>
      <c r="AX38" s="33"/>
      <c r="BA38" s="244"/>
      <c r="BB38" s="33"/>
      <c r="BE38" s="244"/>
      <c r="BF38" s="33"/>
      <c r="BI38" s="244"/>
      <c r="BJ38" s="33"/>
      <c r="BM38" s="244"/>
      <c r="BN38" s="33"/>
      <c r="BQ38" s="244"/>
      <c r="BR38" s="792"/>
      <c r="BS38" s="243"/>
      <c r="BT38" s="243"/>
      <c r="BU38" s="244"/>
      <c r="BV38" s="33"/>
      <c r="BY38" s="244"/>
      <c r="BZ38" s="33"/>
      <c r="CC38" s="244"/>
      <c r="CD38" s="243"/>
      <c r="CE38" s="243"/>
      <c r="CF38" s="243"/>
      <c r="CG38" s="243"/>
      <c r="CH38" s="243"/>
      <c r="CI38" s="243"/>
      <c r="CJ38" s="243"/>
      <c r="CK38" s="243"/>
      <c r="CL38" s="243"/>
      <c r="CM38" s="243"/>
      <c r="CN38" s="243"/>
      <c r="CO38" s="243"/>
      <c r="CP38" s="243"/>
      <c r="CQ38" s="243"/>
      <c r="CR38" s="243"/>
      <c r="CS38" s="243"/>
      <c r="CT38" s="243"/>
      <c r="CU38" s="243"/>
      <c r="CV38" s="243"/>
      <c r="CW38" s="243"/>
      <c r="CX38" s="243"/>
      <c r="CY38" s="243"/>
      <c r="CZ38" s="243"/>
      <c r="DA38" s="243"/>
      <c r="DB38" s="243"/>
      <c r="DC38" s="243"/>
      <c r="DD38" s="243"/>
      <c r="DE38" s="243"/>
      <c r="DF38" s="243"/>
      <c r="DG38" s="243"/>
      <c r="DH38" s="243"/>
      <c r="DI38" s="243"/>
      <c r="DJ38" s="243"/>
      <c r="DK38" s="243"/>
      <c r="DO38" s="243"/>
      <c r="DS38" s="243"/>
      <c r="DW38" s="243"/>
      <c r="EA38" s="243"/>
    </row>
    <row r="39" spans="1:131">
      <c r="A39" s="256" t="str">
        <f>IF((RIGHT(A22,1))&lt;&gt;"Z",CHAR(CODE(A22))&amp;CHAR(CODE(RIGHT(A22,1))+1),CHAR(CODE(A22)+1)&amp;"A")</f>
        <v>AB</v>
      </c>
      <c r="B39" s="270" t="str">
        <f>INDEX(SourceID,MATCH($A39,SourceNumber,0),1,1)</f>
        <v>EF-2</v>
      </c>
      <c r="C39" s="354">
        <f>INDEX(SourceExitDiameter,MATCH($A39,SourceNumber,0),1,1)*3.28*12</f>
        <v>17</v>
      </c>
      <c r="D39" s="24" t="str">
        <f>UAnem1percent</f>
        <v>1% Wind</v>
      </c>
      <c r="E39" s="350" t="e">
        <f ca="1">INDIRECT(ADDRESS(53,6,1,,CONCATENATE("TA",$A39)))</f>
        <v>#REF!</v>
      </c>
      <c r="F39" s="625" t="e">
        <f ca="1">(ROUND((INDIRECT(ADDRESS(15,7,1,,CONCATENATE("TA",$A39)))*3.28*12*32),0)&amp;"/32")</f>
        <v>#REF!</v>
      </c>
      <c r="G39" s="125">
        <f ca="1">INDIRECT(ADDRESS(29,7,1,,$A39))</f>
        <v>6.001707317073171</v>
      </c>
      <c r="H39" s="24" t="e">
        <f ca="1">INDIRECT(ADDRESS(19,7,1,,$A39))*100^3</f>
        <v>#VALUE!</v>
      </c>
      <c r="I39" s="941">
        <f ca="1">INDIRECT(ADDRESS(53,7,1,,$A39))</f>
        <v>0.97430000000000005</v>
      </c>
      <c r="J39" s="20" t="str">
        <f ca="1">IF($I39=$I$6,K$16&amp;$G$6&amp;J$6,IF($I39=$I$7,K$16&amp;$G$7&amp;J$7,"Bad"))</f>
        <v>100EthPick a Tunnel</v>
      </c>
      <c r="K39" t="e">
        <f ca="1">INDEX(FlowCalGasMixture,MATCH(J39,FlowCalNumber,0),1,1)</f>
        <v>#N/A</v>
      </c>
      <c r="M39" s="944" t="e">
        <f ca="1">INDEX(FlowCalDevice,MATCH(J39,FlowCalNumber,0),1,1)</f>
        <v>#N/A</v>
      </c>
      <c r="N39" s="943" t="str">
        <f ca="1">IF($I39=$I$6,O$16&amp;$G$6&amp;"90"&amp;$H$6&amp;N$6,IF($I39=$I$7,O$16&amp;$G$7&amp;"90"&amp;$H$7&amp;N$7,"Bad"))</f>
        <v>10Eth90N2Pick a Tunnel</v>
      </c>
      <c r="O39" t="e">
        <f ca="1">INDEX(FlowCalGasMixture,MATCH(N39,FlowCalNumber,0),1,1)</f>
        <v>#N/A</v>
      </c>
      <c r="Q39" s="944" t="e">
        <f ca="1">INDEX(FlowCalDevice,MATCH(N39,FlowCalNumber,0),1,1)</f>
        <v>#N/A</v>
      </c>
      <c r="R39" s="943" t="str">
        <f ca="1">IF($I39=$I$6,S$16&amp;$G$6&amp;"90"&amp;$H$6&amp;R$6,IF($I39=$I$7,S$16&amp;$G$7&amp;"90"&amp;$H$7&amp;R$7,"Bad"))</f>
        <v>10Eth90N2Pick a Tunnel</v>
      </c>
      <c r="S39" t="e">
        <f ca="1">INDEX(FlowCalGasMixture,MATCH(R39,FlowCalNumber,0),1,1)</f>
        <v>#N/A</v>
      </c>
      <c r="U39" s="944" t="e">
        <f ca="1">INDEX(FlowCalDevice,MATCH(R39,FlowCalNumber,0),1,1)</f>
        <v>#N/A</v>
      </c>
      <c r="V39" s="20" t="str">
        <f ca="1">IF($I39=$I$6,W$16&amp;$G$6&amp;V$6,IF($I39=$I$7,W$16&amp;$G$7&amp;V$7,"Bad"))</f>
        <v>100EthPick a Tunnel</v>
      </c>
      <c r="W39" t="e">
        <f ca="1">INDEX(FlowCalGasMixture,MATCH(V39,FlowCalNumber,0),1,1)</f>
        <v>#N/A</v>
      </c>
      <c r="Y39" s="944" t="e">
        <f ca="1">INDEX(FlowCalDevice,MATCH(V39,FlowCalNumber,0),1,1)</f>
        <v>#N/A</v>
      </c>
      <c r="Z39" s="946" t="str">
        <f ca="1">IF($I39=$I$6,AA$18&amp;$H$6&amp;Z$6,IF($I39=$I$7,AA$18&amp;$H$7&amp;Z$7,"Bad"))</f>
        <v>100N2Pick a Tunnel</v>
      </c>
      <c r="AA39" t="e">
        <f ca="1">INDEX(FlowCalGasMixture,MATCH(Z39,FlowCalNumber,0),1,1)</f>
        <v>#N/A</v>
      </c>
      <c r="AC39" s="944" t="e">
        <f ca="1">INDEX(FlowCalDevice,MATCH(Z39,FlowCalNumber,0),1,1)</f>
        <v>#N/A</v>
      </c>
      <c r="AD39" s="20" t="str">
        <f ca="1">IF($I39=$I$6,AE$16&amp;$G$6&amp;AD$6,IF($I39=$I$7,AE$16&amp;$G$7&amp;AD$7,"Bad"))</f>
        <v>100EthPick a Tunnel</v>
      </c>
      <c r="AE39" t="e">
        <f ca="1">INDEX(FlowCalGasMixture,MATCH(AD39,FlowCalNumber,0),1,1)</f>
        <v>#N/A</v>
      </c>
      <c r="AG39" s="944" t="e">
        <f ca="1">INDEX(FlowCalDevice,MATCH(AD39,FlowCalNumber,0),1,1)</f>
        <v>#N/A</v>
      </c>
      <c r="AH39" s="946" t="str">
        <f ca="1">IF($I39=$I$6,AI$18&amp;$H$6&amp;AH$6,IF($I39=$I$7,AI$18&amp;$H$7&amp;AH$7,"Bad"))</f>
        <v>100N2Pick a Tunnel</v>
      </c>
      <c r="AI39" t="e">
        <f ca="1">INDEX(FlowCalGasMixture,MATCH(AH39,FlowCalNumber,0),1,1)</f>
        <v>#N/A</v>
      </c>
      <c r="AK39" s="944" t="e">
        <f ca="1">INDEX(FlowCalDevice,MATCH(AH39,FlowCalNumber,0),1,1)</f>
        <v>#N/A</v>
      </c>
      <c r="AL39" s="20"/>
      <c r="AO39" s="982"/>
      <c r="AP39" s="960"/>
      <c r="AS39" s="982"/>
      <c r="AT39" s="20"/>
      <c r="AW39" s="982"/>
      <c r="AX39" s="946"/>
      <c r="BA39" s="982"/>
      <c r="BB39" s="20"/>
      <c r="BC39" s="16"/>
      <c r="BE39" s="982"/>
      <c r="BF39" s="946"/>
      <c r="BG39" s="16"/>
      <c r="BI39" s="982"/>
      <c r="BJ39" s="946"/>
      <c r="BK39" s="16"/>
      <c r="BM39" s="982"/>
      <c r="BN39" s="20"/>
      <c r="BO39" s="16"/>
      <c r="BQ39" s="982"/>
      <c r="BR39" s="946"/>
      <c r="BS39" s="16"/>
      <c r="BU39" s="982"/>
      <c r="BV39" s="946"/>
      <c r="BW39" s="16"/>
      <c r="BY39" s="982"/>
      <c r="BZ39" s="946"/>
      <c r="CA39" s="16"/>
      <c r="CC39" s="982"/>
      <c r="CD39" s="355"/>
      <c r="CE39" s="355"/>
      <c r="CF39" s="355"/>
      <c r="CG39" s="355"/>
      <c r="CH39" s="355"/>
      <c r="CI39" s="355"/>
      <c r="CJ39" s="355"/>
      <c r="CK39" s="355"/>
      <c r="CL39" s="355"/>
      <c r="CM39" s="355"/>
      <c r="CN39" s="355"/>
      <c r="CO39" s="355"/>
      <c r="CP39" s="355"/>
      <c r="CQ39" s="355"/>
      <c r="CR39" s="355"/>
      <c r="CS39" s="355"/>
      <c r="CT39" s="355"/>
      <c r="CU39" s="355"/>
      <c r="CV39" s="355"/>
      <c r="CW39" s="355"/>
      <c r="CX39" s="355"/>
      <c r="CY39" s="355"/>
      <c r="CZ39" s="355"/>
      <c r="DA39" s="355"/>
      <c r="DB39" s="355"/>
      <c r="DC39" s="355"/>
      <c r="DD39" s="355"/>
      <c r="DE39" s="355"/>
      <c r="DF39" s="355"/>
      <c r="DG39" s="355"/>
      <c r="DH39" s="355"/>
      <c r="DI39" s="355"/>
      <c r="DJ39" s="355"/>
      <c r="DK39" s="355"/>
      <c r="DL39" s="46"/>
      <c r="DM39" s="16"/>
      <c r="DO39" s="355"/>
      <c r="DP39" s="42"/>
      <c r="DQ39" s="16"/>
      <c r="DS39" s="355"/>
      <c r="DT39" s="42"/>
      <c r="DU39" s="16"/>
      <c r="DW39" s="355"/>
      <c r="DX39" s="42"/>
      <c r="DY39" s="16"/>
      <c r="EA39" s="355"/>
    </row>
    <row r="40" spans="1:131">
      <c r="A40" s="20"/>
      <c r="B40" s="124" t="str">
        <f t="shared" ref="B40:B54" si="38">IF(D40=UAnem1percent,"1% Wind","")</f>
        <v/>
      </c>
      <c r="C40" s="235"/>
      <c r="D40" s="24">
        <f>'1% Wind'!$M$82</f>
        <v>27</v>
      </c>
      <c r="E40" s="90"/>
      <c r="F40" s="90"/>
      <c r="G40" s="79">
        <f ca="1">IF(I39=0.9743,$G39,MAX(G39/D39*D40,2))</f>
        <v>6.001707317073171</v>
      </c>
      <c r="H40" s="121" t="e">
        <f t="shared" ref="H40:H54" ca="1" si="39">H39*(D39/D40)*(G40/G39)</f>
        <v>#VALUE!</v>
      </c>
      <c r="J40" s="33"/>
      <c r="K40" s="260">
        <f>K$17/100</f>
        <v>1</v>
      </c>
      <c r="L40" s="241" t="e">
        <f ca="1">K40*$H40</f>
        <v>#VALUE!</v>
      </c>
      <c r="M40" s="243" t="e">
        <f ca="1">IF(AND(INDEX(FlowCalConstA,MATCH(J39,FlowCalNumber,0),1,1)*L40^INDEX(FlowCalConstB,MATCH(J39,FlowCalNumber,0),1,1)&gt;INDEX(FlowCalLowSetting,MATCH(J39,FlowCalNumber,0),1,1), (INDEX(FlowCalConstA,MATCH(J39,FlowCalNumber,0),1,1)*L40^INDEX(FlowCalConstB,MATCH(J39,FlowCalNumber,0),1,1)&lt;INDEX(FlowCalHighSetting,MATCH(J39,FlowCalNumber,0),1,1))),INDEX(FlowCalConstA,MATCH(J39,FlowCalNumber,0),1,1)*L40^INDEX(FlowCalConstB,MATCH(J39,FlowCalNumber,0),1,1)," ")</f>
        <v>#N/A</v>
      </c>
      <c r="N40" s="33"/>
      <c r="O40" s="260">
        <f>O$17/100</f>
        <v>1</v>
      </c>
      <c r="P40" s="241" t="e">
        <f ca="1">O40*$H40</f>
        <v>#VALUE!</v>
      </c>
      <c r="Q40" s="243" t="e">
        <f ca="1">IF(AND(INDEX(FlowCalConstA,MATCH(N39,FlowCalNumber,0),1,1)*P40^INDEX(FlowCalConstB,MATCH(N39,FlowCalNumber,0),1,1)&gt;INDEX(FlowCalLowSetting,MATCH(N39,FlowCalNumber,0),1,1), (INDEX(FlowCalConstA,MATCH(N39,FlowCalNumber,0),1,1)*P40^INDEX(FlowCalConstB,MATCH(N39,FlowCalNumber,0),1,1)&lt;INDEX(FlowCalHighSetting,MATCH(N39,FlowCalNumber,0),1,1))),INDEX(FlowCalConstA,MATCH(N39,FlowCalNumber,0),1,1)*P40^INDEX(FlowCalConstB,MATCH(N39,FlowCalNumber,0),1,1)," ")</f>
        <v>#N/A</v>
      </c>
      <c r="R40" s="33"/>
      <c r="S40" s="260">
        <f>S$17/100</f>
        <v>1</v>
      </c>
      <c r="T40" s="241" t="e">
        <f ca="1">S40*$H40</f>
        <v>#VALUE!</v>
      </c>
      <c r="U40" s="244" t="e">
        <f ca="1">IF(AND(INDEX(FlowCalConstA,MATCH(R39,FlowCalNumber,0),1,1)*T40^INDEX(FlowCalConstB,MATCH(R39,FlowCalNumber,0),1,1)&gt;INDEX(FlowCalLowSetting,MATCH(R39,FlowCalNumber,0),1,1), (INDEX(FlowCalConstA,MATCH(R39,FlowCalNumber,0),1,1)*T40^INDEX(FlowCalConstB,MATCH(R39,FlowCalNumber,0),1,1)&lt;INDEX(FlowCalHighSetting,MATCH(R39,FlowCalNumber,0),1,1))),INDEX(FlowCalConstA,MATCH(R39,FlowCalNumber,0),1,1)*T40^INDEX(FlowCalConstB,MATCH(R39,FlowCalNumber,0),1,1)," ")</f>
        <v>#N/A</v>
      </c>
      <c r="V40" s="33"/>
      <c r="W40" s="260">
        <f>W$17/100</f>
        <v>0.1</v>
      </c>
      <c r="X40" s="241" t="e">
        <f ca="1">W40*$H40</f>
        <v>#VALUE!</v>
      </c>
      <c r="Y40" s="243" t="e">
        <f ca="1">IF(AND(INDEX(FlowCalConstA,MATCH(V39,FlowCalNumber,0),1,1)*X40^INDEX(FlowCalConstB,MATCH(V39,FlowCalNumber,0),1,1)&gt;INDEX(FlowCalLowSetting,MATCH(V39,FlowCalNumber,0),1,1), (INDEX(FlowCalConstA,MATCH(V39,FlowCalNumber,0),1,1)*X40^INDEX(FlowCalConstB,MATCH(V39,FlowCalNumber,0),1,1)&lt;INDEX(FlowCalHighSetting,MATCH(V39,FlowCalNumber,0),1,1))),INDEX(FlowCalConstA,MATCH(V39,FlowCalNumber,0),1,1)*X40^INDEX(FlowCalConstB,MATCH(V39,FlowCalNumber,0),1,1)," ")</f>
        <v>#N/A</v>
      </c>
      <c r="Z40" s="33"/>
      <c r="AA40" s="260">
        <f>AA$17/100</f>
        <v>0.9</v>
      </c>
      <c r="AB40" s="241" t="e">
        <f ca="1">AA40*$H40</f>
        <v>#VALUE!</v>
      </c>
      <c r="AC40" s="243" t="e">
        <f ca="1">IF(AND(INDEX(FlowCalConstA,MATCH(Z39,FlowCalNumber,0),1,1)*AB40^INDEX(FlowCalConstB,MATCH(Z39,FlowCalNumber,0),1,1)&gt;INDEX(FlowCalLowSetting,MATCH(Z39,FlowCalNumber,0),1,1), (INDEX(FlowCalConstA,MATCH(Z39,FlowCalNumber,0),1,1)*AB40^INDEX(FlowCalConstB,MATCH(Z39,FlowCalNumber,0),1,1)&lt;INDEX(FlowCalHighSetting,MATCH(Z39,FlowCalNumber,0),1,1))),INDEX(FlowCalConstA,MATCH(Z39,FlowCalNumber,0),1,1)*AB40^INDEX(FlowCalConstB,MATCH(Z39,FlowCalNumber,0),1,1)," ")</f>
        <v>#N/A</v>
      </c>
      <c r="AD40" s="33"/>
      <c r="AE40" s="260">
        <f>AE$17/100</f>
        <v>0.1</v>
      </c>
      <c r="AF40" s="241" t="e">
        <f ca="1">AE40*$H40</f>
        <v>#VALUE!</v>
      </c>
      <c r="AG40" s="243" t="e">
        <f ca="1">IF(AND(INDEX(FlowCalConstA,MATCH(AD39,FlowCalNumber,0),1,1)*AF40^INDEX(FlowCalConstB,MATCH(AD39,FlowCalNumber,0),1,1)&gt;INDEX(FlowCalLowSetting,MATCH(AD39,FlowCalNumber,0),1,1), (INDEX(FlowCalConstA,MATCH(AD39,FlowCalNumber,0),1,1)*AF40^INDEX(FlowCalConstB,MATCH(AD39,FlowCalNumber,0),1,1)&lt;INDEX(FlowCalHighSetting,MATCH(AD39,FlowCalNumber,0),1,1))),INDEX(FlowCalConstA,MATCH(AD39,FlowCalNumber,0),1,1)*AF40^INDEX(FlowCalConstB,MATCH(AD39,FlowCalNumber,0),1,1)," ")</f>
        <v>#N/A</v>
      </c>
      <c r="AH40" s="33"/>
      <c r="AI40" s="260">
        <f>AI$17/100</f>
        <v>0.9</v>
      </c>
      <c r="AJ40" s="241" t="e">
        <f ca="1">AI40*$H40</f>
        <v>#VALUE!</v>
      </c>
      <c r="AK40" s="243" t="e">
        <f ca="1">IF(AND(INDEX(FlowCalConstA,MATCH(AH39,FlowCalNumber,0),1,1)*AJ40^INDEX(FlowCalConstB,MATCH(AH39,FlowCalNumber,0),1,1)&gt;INDEX(FlowCalLowSetting,MATCH(AH39,FlowCalNumber,0),1,1), (INDEX(FlowCalConstA,MATCH(AH39,FlowCalNumber,0),1,1)*AJ40^INDEX(FlowCalConstB,MATCH(AH39,FlowCalNumber,0),1,1)&lt;INDEX(FlowCalHighSetting,MATCH(AH39,FlowCalNumber,0),1,1))),INDEX(FlowCalConstA,MATCH(AH39,FlowCalNumber,0),1,1)*AJ40^INDEX(FlowCalConstB,MATCH(AH39,FlowCalNumber,0),1,1)," ")</f>
        <v>#N/A</v>
      </c>
      <c r="AL40" s="33"/>
      <c r="AM40" s="260"/>
      <c r="AN40" s="241"/>
      <c r="AO40" s="244"/>
      <c r="AQ40" s="260"/>
      <c r="AR40" s="241"/>
      <c r="AS40" s="244"/>
      <c r="AT40" s="33"/>
      <c r="AU40" s="260"/>
      <c r="AV40" s="241"/>
      <c r="AW40" s="244"/>
      <c r="AX40" s="33"/>
      <c r="AY40" s="260"/>
      <c r="AZ40" s="241"/>
      <c r="BA40" s="244"/>
      <c r="BB40" s="33"/>
      <c r="BC40" s="260"/>
      <c r="BD40" s="241"/>
      <c r="BE40" s="244"/>
      <c r="BF40" s="33"/>
      <c r="BG40" s="260"/>
      <c r="BH40" s="241"/>
      <c r="BI40" s="244"/>
      <c r="BJ40" s="33"/>
      <c r="BK40" s="260"/>
      <c r="BL40" s="241"/>
      <c r="BM40" s="244"/>
      <c r="BN40" s="33"/>
      <c r="BO40" s="260"/>
      <c r="BP40" s="241"/>
      <c r="BQ40" s="244"/>
      <c r="BR40" s="33"/>
      <c r="BS40" s="260"/>
      <c r="BT40" s="241"/>
      <c r="BU40" s="244"/>
      <c r="BV40" s="33"/>
      <c r="BW40" s="260"/>
      <c r="BX40" s="241"/>
      <c r="BY40" s="244"/>
      <c r="BZ40" s="33"/>
      <c r="CA40" s="260"/>
      <c r="CB40" s="241"/>
      <c r="CC40" s="244"/>
      <c r="CD40" s="243"/>
      <c r="CE40" s="243"/>
      <c r="CF40" s="243"/>
      <c r="CG40" s="243"/>
      <c r="CH40" s="243"/>
      <c r="CI40" s="243"/>
      <c r="CJ40" s="243"/>
      <c r="CK40" s="243"/>
      <c r="CL40" s="243"/>
      <c r="CM40" s="243"/>
      <c r="CN40" s="243"/>
      <c r="CO40" s="243"/>
      <c r="CP40" s="243"/>
      <c r="CQ40" s="243"/>
      <c r="CR40" s="243"/>
      <c r="CS40" s="243"/>
      <c r="CT40" s="243"/>
      <c r="CU40" s="243"/>
      <c r="CV40" s="243"/>
      <c r="CW40" s="243"/>
      <c r="CX40" s="243"/>
      <c r="CY40" s="243"/>
      <c r="CZ40" s="243"/>
      <c r="DA40" s="243"/>
      <c r="DB40" s="243"/>
      <c r="DC40" s="243"/>
      <c r="DD40" s="243"/>
      <c r="DE40" s="243"/>
      <c r="DF40" s="243"/>
      <c r="DG40" s="243"/>
      <c r="DH40" s="243"/>
      <c r="DI40" s="243"/>
      <c r="DJ40" s="243"/>
      <c r="DK40" s="243"/>
      <c r="DM40" s="259"/>
      <c r="DO40" s="243"/>
      <c r="DQ40" s="259"/>
      <c r="DS40" s="243"/>
      <c r="DU40" s="259"/>
      <c r="DW40" s="243"/>
      <c r="DY40" s="260"/>
      <c r="EA40" s="243"/>
    </row>
    <row r="41" spans="1:131">
      <c r="A41" s="20"/>
      <c r="B41" s="124" t="str">
        <f t="shared" si="38"/>
        <v/>
      </c>
      <c r="C41" s="235"/>
      <c r="D41" s="24">
        <f>'1% Wind'!$M$83</f>
        <v>23.5</v>
      </c>
      <c r="E41" s="90"/>
      <c r="F41" s="90"/>
      <c r="G41" s="79">
        <f ca="1">IF(I39=0.9743,$G40,MAX(G40/D40*D41,2))</f>
        <v>6.001707317073171</v>
      </c>
      <c r="H41" s="121" t="e">
        <f t="shared" ca="1" si="39"/>
        <v>#VALUE!</v>
      </c>
      <c r="J41" s="33"/>
      <c r="K41" s="242">
        <f t="shared" ref="K41:K54" si="40">K40</f>
        <v>1</v>
      </c>
      <c r="L41" s="241" t="e">
        <f t="shared" ref="L41:L54" ca="1" si="41">K41*$H41</f>
        <v>#VALUE!</v>
      </c>
      <c r="M41" s="243" t="e">
        <f ca="1">IF(AND(INDEX(FlowCalConstA,MATCH(J39,FlowCalNumber,0),1,1)*L41^INDEX(FlowCalConstB,MATCH(J39,FlowCalNumber,0),1,1)&gt;INDEX(FlowCalLowSetting,MATCH(J39,FlowCalNumber,0),1,1), (INDEX(FlowCalConstA,MATCH(J39,FlowCalNumber,0),1,1)*L41^INDEX(FlowCalConstB,MATCH(J39,FlowCalNumber,0),1,1)&lt;INDEX(FlowCalHighSetting,MATCH(J39,FlowCalNumber,0),1,1))),INDEX(FlowCalConstA,MATCH(J39,FlowCalNumber,0),1,1)*L41^INDEX(FlowCalConstB,MATCH(J39,FlowCalNumber,0),1,1)," ")</f>
        <v>#N/A</v>
      </c>
      <c r="N41" s="33"/>
      <c r="O41" s="242">
        <f t="shared" ref="O41:O54" si="42">O40</f>
        <v>1</v>
      </c>
      <c r="P41" s="241" t="e">
        <f t="shared" ref="P41:P54" ca="1" si="43">O41*$H41</f>
        <v>#VALUE!</v>
      </c>
      <c r="Q41" s="243" t="e">
        <f ca="1">IF(AND(INDEX(FlowCalConstA,MATCH(N39,FlowCalNumber,0),1,1)*P41^INDEX(FlowCalConstB,MATCH(N39,FlowCalNumber,0),1,1)&gt;INDEX(FlowCalLowSetting,MATCH(N39,FlowCalNumber,0),1,1), (INDEX(FlowCalConstA,MATCH(N39,FlowCalNumber,0),1,1)*P41^INDEX(FlowCalConstB,MATCH(N39,FlowCalNumber,0),1,1)&lt;INDEX(FlowCalHighSetting,MATCH(N39,FlowCalNumber,0),1,1))),INDEX(FlowCalConstA,MATCH(N39,FlowCalNumber,0),1,1)*P41^INDEX(FlowCalConstB,MATCH(N39,FlowCalNumber,0),1,1)," ")</f>
        <v>#N/A</v>
      </c>
      <c r="R41" s="33"/>
      <c r="S41" s="242">
        <f t="shared" ref="S41:S54" si="44">S40</f>
        <v>1</v>
      </c>
      <c r="T41" s="241" t="e">
        <f t="shared" ref="T41:T54" ca="1" si="45">S41*$H41</f>
        <v>#VALUE!</v>
      </c>
      <c r="U41" s="244" t="e">
        <f ca="1">IF(AND(INDEX(FlowCalConstA,MATCH(R39,FlowCalNumber,0),1,1)*T41^INDEX(FlowCalConstB,MATCH(R39,FlowCalNumber,0),1,1)&gt;INDEX(FlowCalLowSetting,MATCH(R39,FlowCalNumber,0),1,1), (INDEX(FlowCalConstA,MATCH(R39,FlowCalNumber,0),1,1)*T41^INDEX(FlowCalConstB,MATCH(R39,FlowCalNumber,0),1,1)&lt;INDEX(FlowCalHighSetting,MATCH(R39,FlowCalNumber,0),1,1))),INDEX(FlowCalConstA,MATCH(R39,FlowCalNumber,0),1,1)*T41^INDEX(FlowCalConstB,MATCH(R39,FlowCalNumber,0),1,1)," ")</f>
        <v>#N/A</v>
      </c>
      <c r="V41" s="33"/>
      <c r="W41" s="242">
        <f t="shared" ref="W41:W54" si="46">W40</f>
        <v>0.1</v>
      </c>
      <c r="X41" s="241" t="e">
        <f t="shared" ref="X41:X54" ca="1" si="47">W41*$H41</f>
        <v>#VALUE!</v>
      </c>
      <c r="Y41" s="243" t="e">
        <f ca="1">IF(AND(INDEX(FlowCalConstA,MATCH(V39,FlowCalNumber,0),1,1)*X41^INDEX(FlowCalConstB,MATCH(V39,FlowCalNumber,0),1,1)&gt;INDEX(FlowCalLowSetting,MATCH(V39,FlowCalNumber,0),1,1), (INDEX(FlowCalConstA,MATCH(V39,FlowCalNumber,0),1,1)*X41^INDEX(FlowCalConstB,MATCH(V39,FlowCalNumber,0),1,1)&lt;INDEX(FlowCalHighSetting,MATCH(V39,FlowCalNumber,0),1,1))),INDEX(FlowCalConstA,MATCH(V39,FlowCalNumber,0),1,1)*X41^INDEX(FlowCalConstB,MATCH(V39,FlowCalNumber,0),1,1)," ")</f>
        <v>#N/A</v>
      </c>
      <c r="Z41" s="33"/>
      <c r="AA41" s="242">
        <f t="shared" ref="AA41:AA54" si="48">AA40</f>
        <v>0.9</v>
      </c>
      <c r="AB41" s="241" t="e">
        <f t="shared" ref="AB41:AB54" ca="1" si="49">AA41*$H41</f>
        <v>#VALUE!</v>
      </c>
      <c r="AC41" s="243" t="e">
        <f ca="1">IF(AND(INDEX(FlowCalConstA,MATCH(Z39,FlowCalNumber,0),1,1)*AB41^INDEX(FlowCalConstB,MATCH(Z39,FlowCalNumber,0),1,1)&gt;INDEX(FlowCalLowSetting,MATCH(Z39,FlowCalNumber,0),1,1), (INDEX(FlowCalConstA,MATCH(Z39,FlowCalNumber,0),1,1)*AB41^INDEX(FlowCalConstB,MATCH(Z39,FlowCalNumber,0),1,1)&lt;INDEX(FlowCalHighSetting,MATCH(Z39,FlowCalNumber,0),1,1))),INDEX(FlowCalConstA,MATCH(Z39,FlowCalNumber,0),1,1)*AB41^INDEX(FlowCalConstB,MATCH(Z39,FlowCalNumber,0),1,1)," ")</f>
        <v>#N/A</v>
      </c>
      <c r="AD41" s="33"/>
      <c r="AE41" s="242">
        <f t="shared" ref="AE41:AE54" si="50">AE40</f>
        <v>0.1</v>
      </c>
      <c r="AF41" s="241" t="e">
        <f t="shared" ref="AF41:AF54" ca="1" si="51">AE41*$H41</f>
        <v>#VALUE!</v>
      </c>
      <c r="AG41" s="243" t="e">
        <f ca="1">IF(AND(INDEX(FlowCalConstA,MATCH(AD39,FlowCalNumber,0),1,1)*AF41^INDEX(FlowCalConstB,MATCH(AD39,FlowCalNumber,0),1,1)&gt;INDEX(FlowCalLowSetting,MATCH(AD39,FlowCalNumber,0),1,1), (INDEX(FlowCalConstA,MATCH(AD39,FlowCalNumber,0),1,1)*AF41^INDEX(FlowCalConstB,MATCH(AD39,FlowCalNumber,0),1,1)&lt;INDEX(FlowCalHighSetting,MATCH(AD39,FlowCalNumber,0),1,1))),INDEX(FlowCalConstA,MATCH(AD39,FlowCalNumber,0),1,1)*AF41^INDEX(FlowCalConstB,MATCH(AD39,FlowCalNumber,0),1,1)," ")</f>
        <v>#N/A</v>
      </c>
      <c r="AH41" s="33"/>
      <c r="AI41" s="242">
        <f t="shared" ref="AI41:AI54" si="52">AI40</f>
        <v>0.9</v>
      </c>
      <c r="AJ41" s="241" t="e">
        <f t="shared" ref="AJ41:AJ54" ca="1" si="53">AI41*$H41</f>
        <v>#VALUE!</v>
      </c>
      <c r="AK41" s="243" t="e">
        <f ca="1">IF(AND(INDEX(FlowCalConstA,MATCH(AH39,FlowCalNumber,0),1,1)*AJ41^INDEX(FlowCalConstB,MATCH(AH39,FlowCalNumber,0),1,1)&gt;INDEX(FlowCalLowSetting,MATCH(AH39,FlowCalNumber,0),1,1), (INDEX(FlowCalConstA,MATCH(AH39,FlowCalNumber,0),1,1)*AJ41^INDEX(FlowCalConstB,MATCH(AH39,FlowCalNumber,0),1,1)&lt;INDEX(FlowCalHighSetting,MATCH(AH39,FlowCalNumber,0),1,1))),INDEX(FlowCalConstA,MATCH(AH39,FlowCalNumber,0),1,1)*AJ41^INDEX(FlowCalConstB,MATCH(AH39,FlowCalNumber,0),1,1)," ")</f>
        <v>#N/A</v>
      </c>
      <c r="AL41" s="33"/>
      <c r="AM41" s="242"/>
      <c r="AN41" s="241"/>
      <c r="AO41" s="244"/>
      <c r="AQ41" s="242"/>
      <c r="AR41" s="241"/>
      <c r="AS41" s="244"/>
      <c r="AT41" s="33"/>
      <c r="AU41" s="242"/>
      <c r="AV41" s="241"/>
      <c r="AW41" s="244"/>
      <c r="AX41" s="33"/>
      <c r="AY41" s="242"/>
      <c r="AZ41" s="241"/>
      <c r="BA41" s="244"/>
      <c r="BB41" s="33"/>
      <c r="BC41" s="242"/>
      <c r="BD41" s="241"/>
      <c r="BE41" s="244"/>
      <c r="BF41" s="33"/>
      <c r="BG41" s="242"/>
      <c r="BH41" s="241"/>
      <c r="BI41" s="244"/>
      <c r="BJ41" s="33"/>
      <c r="BK41" s="242"/>
      <c r="BL41" s="241"/>
      <c r="BM41" s="244"/>
      <c r="BN41" s="33"/>
      <c r="BO41" s="242"/>
      <c r="BP41" s="241"/>
      <c r="BQ41" s="244"/>
      <c r="BR41" s="33"/>
      <c r="BS41" s="242"/>
      <c r="BT41" s="241"/>
      <c r="BU41" s="244"/>
      <c r="BV41" s="33"/>
      <c r="BW41" s="242"/>
      <c r="BX41" s="241"/>
      <c r="BY41" s="244"/>
      <c r="BZ41" s="33"/>
      <c r="CA41" s="242"/>
      <c r="CB41" s="241"/>
      <c r="CC41" s="244"/>
      <c r="CD41" s="243"/>
      <c r="CE41" s="243"/>
      <c r="CF41" s="243"/>
      <c r="CG41" s="243"/>
      <c r="CH41" s="243"/>
      <c r="CI41" s="243"/>
      <c r="CJ41" s="243"/>
      <c r="CK41" s="243"/>
      <c r="CL41" s="243"/>
      <c r="CM41" s="243"/>
      <c r="CN41" s="243"/>
      <c r="CO41" s="243"/>
      <c r="CP41" s="243"/>
      <c r="CQ41" s="243"/>
      <c r="CR41" s="243"/>
      <c r="CS41" s="243"/>
      <c r="CT41" s="243"/>
      <c r="CU41" s="243"/>
      <c r="CV41" s="243"/>
      <c r="CW41" s="243"/>
      <c r="CX41" s="243"/>
      <c r="CY41" s="243"/>
      <c r="CZ41" s="243"/>
      <c r="DA41" s="243"/>
      <c r="DB41" s="243"/>
      <c r="DC41" s="243"/>
      <c r="DD41" s="243"/>
      <c r="DE41" s="243"/>
      <c r="DF41" s="243"/>
      <c r="DG41" s="243"/>
      <c r="DH41" s="243"/>
      <c r="DI41" s="243"/>
      <c r="DJ41" s="243"/>
      <c r="DK41" s="243"/>
      <c r="DM41" s="242"/>
      <c r="DO41" s="243"/>
      <c r="DQ41" s="242"/>
      <c r="DS41" s="243"/>
      <c r="DU41" s="242"/>
      <c r="DW41" s="243"/>
      <c r="DY41" s="242"/>
      <c r="EA41" s="243"/>
    </row>
    <row r="42" spans="1:131">
      <c r="A42" s="20"/>
      <c r="B42" s="124" t="str">
        <f t="shared" si="38"/>
        <v/>
      </c>
      <c r="C42" s="235"/>
      <c r="D42" s="24">
        <f>'1% Wind'!$M$84</f>
        <v>20.5</v>
      </c>
      <c r="E42" s="90"/>
      <c r="F42" s="90"/>
      <c r="G42" s="79">
        <f ca="1">IF(I39=0.9743,$G41,MAX(G41/D41*D42,2))</f>
        <v>6.001707317073171</v>
      </c>
      <c r="H42" s="121" t="e">
        <f t="shared" ca="1" si="39"/>
        <v>#VALUE!</v>
      </c>
      <c r="J42" s="33"/>
      <c r="K42" s="242">
        <f t="shared" si="40"/>
        <v>1</v>
      </c>
      <c r="L42" s="241" t="e">
        <f t="shared" ca="1" si="41"/>
        <v>#VALUE!</v>
      </c>
      <c r="M42" s="243" t="e">
        <f ca="1">IF(AND(INDEX(FlowCalConstA,MATCH(J39,FlowCalNumber,0),1,1)*L42^INDEX(FlowCalConstB,MATCH(J39,FlowCalNumber,0),1,1)&gt;INDEX(FlowCalLowSetting,MATCH(J39,FlowCalNumber,0),1,1), (INDEX(FlowCalConstA,MATCH(J39,FlowCalNumber,0),1,1)*L42^INDEX(FlowCalConstB,MATCH(J39,FlowCalNumber,0),1,1)&lt;INDEX(FlowCalHighSetting,MATCH(J39,FlowCalNumber,0),1,1))),INDEX(FlowCalConstA,MATCH(J39,FlowCalNumber,0),1,1)*L42^INDEX(FlowCalConstB,MATCH(J39,FlowCalNumber,0),1,1)," ")</f>
        <v>#N/A</v>
      </c>
      <c r="N42" s="33"/>
      <c r="O42" s="242">
        <f t="shared" si="42"/>
        <v>1</v>
      </c>
      <c r="P42" s="241" t="e">
        <f t="shared" ca="1" si="43"/>
        <v>#VALUE!</v>
      </c>
      <c r="Q42" s="243" t="e">
        <f ca="1">IF(AND(INDEX(FlowCalConstA,MATCH(N39,FlowCalNumber,0),1,1)*P42^INDEX(FlowCalConstB,MATCH(N39,FlowCalNumber,0),1,1)&gt;INDEX(FlowCalLowSetting,MATCH(N39,FlowCalNumber,0),1,1), (INDEX(FlowCalConstA,MATCH(N39,FlowCalNumber,0),1,1)*P42^INDEX(FlowCalConstB,MATCH(N39,FlowCalNumber,0),1,1)&lt;INDEX(FlowCalHighSetting,MATCH(N39,FlowCalNumber,0),1,1))),INDEX(FlowCalConstA,MATCH(N39,FlowCalNumber,0),1,1)*P42^INDEX(FlowCalConstB,MATCH(N39,FlowCalNumber,0),1,1)," ")</f>
        <v>#N/A</v>
      </c>
      <c r="R42" s="33"/>
      <c r="S42" s="242">
        <f t="shared" si="44"/>
        <v>1</v>
      </c>
      <c r="T42" s="241" t="e">
        <f t="shared" ca="1" si="45"/>
        <v>#VALUE!</v>
      </c>
      <c r="U42" s="244" t="e">
        <f ca="1">IF(AND(INDEX(FlowCalConstA,MATCH(R39,FlowCalNumber,0),1,1)*T42^INDEX(FlowCalConstB,MATCH(R39,FlowCalNumber,0),1,1)&gt;INDEX(FlowCalLowSetting,MATCH(R39,FlowCalNumber,0),1,1), (INDEX(FlowCalConstA,MATCH(R39,FlowCalNumber,0),1,1)*T42^INDEX(FlowCalConstB,MATCH(R39,FlowCalNumber,0),1,1)&lt;INDEX(FlowCalHighSetting,MATCH(R39,FlowCalNumber,0),1,1))),INDEX(FlowCalConstA,MATCH(R39,FlowCalNumber,0),1,1)*T42^INDEX(FlowCalConstB,MATCH(R39,FlowCalNumber,0),1,1)," ")</f>
        <v>#N/A</v>
      </c>
      <c r="V42" s="33"/>
      <c r="W42" s="242">
        <f t="shared" si="46"/>
        <v>0.1</v>
      </c>
      <c r="X42" s="241" t="e">
        <f t="shared" ca="1" si="47"/>
        <v>#VALUE!</v>
      </c>
      <c r="Y42" s="243" t="e">
        <f ca="1">IF(AND(INDEX(FlowCalConstA,MATCH(V39,FlowCalNumber,0),1,1)*X42^INDEX(FlowCalConstB,MATCH(V39,FlowCalNumber,0),1,1)&gt;INDEX(FlowCalLowSetting,MATCH(V39,FlowCalNumber,0),1,1), (INDEX(FlowCalConstA,MATCH(V39,FlowCalNumber,0),1,1)*X42^INDEX(FlowCalConstB,MATCH(V39,FlowCalNumber,0),1,1)&lt;INDEX(FlowCalHighSetting,MATCH(V39,FlowCalNumber,0),1,1))),INDEX(FlowCalConstA,MATCH(V39,FlowCalNumber,0),1,1)*X42^INDEX(FlowCalConstB,MATCH(V39,FlowCalNumber,0),1,1)," ")</f>
        <v>#N/A</v>
      </c>
      <c r="Z42" s="33"/>
      <c r="AA42" s="242">
        <f t="shared" si="48"/>
        <v>0.9</v>
      </c>
      <c r="AB42" s="241" t="e">
        <f t="shared" ca="1" si="49"/>
        <v>#VALUE!</v>
      </c>
      <c r="AC42" s="243" t="e">
        <f ca="1">IF(AND(INDEX(FlowCalConstA,MATCH(Z39,FlowCalNumber,0),1,1)*AB42^INDEX(FlowCalConstB,MATCH(Z39,FlowCalNumber,0),1,1)&gt;INDEX(FlowCalLowSetting,MATCH(Z39,FlowCalNumber,0),1,1), (INDEX(FlowCalConstA,MATCH(Z39,FlowCalNumber,0),1,1)*AB42^INDEX(FlowCalConstB,MATCH(Z39,FlowCalNumber,0),1,1)&lt;INDEX(FlowCalHighSetting,MATCH(Z39,FlowCalNumber,0),1,1))),INDEX(FlowCalConstA,MATCH(Z39,FlowCalNumber,0),1,1)*AB42^INDEX(FlowCalConstB,MATCH(Z39,FlowCalNumber,0),1,1)," ")</f>
        <v>#N/A</v>
      </c>
      <c r="AD42" s="33"/>
      <c r="AE42" s="242">
        <f t="shared" si="50"/>
        <v>0.1</v>
      </c>
      <c r="AF42" s="241" t="e">
        <f t="shared" ca="1" si="51"/>
        <v>#VALUE!</v>
      </c>
      <c r="AG42" s="243" t="e">
        <f ca="1">IF(AND(INDEX(FlowCalConstA,MATCH(AD39,FlowCalNumber,0),1,1)*AF42^INDEX(FlowCalConstB,MATCH(AD39,FlowCalNumber,0),1,1)&gt;INDEX(FlowCalLowSetting,MATCH(AD39,FlowCalNumber,0),1,1), (INDEX(FlowCalConstA,MATCH(AD39,FlowCalNumber,0),1,1)*AF42^INDEX(FlowCalConstB,MATCH(AD39,FlowCalNumber,0),1,1)&lt;INDEX(FlowCalHighSetting,MATCH(AD39,FlowCalNumber,0),1,1))),INDEX(FlowCalConstA,MATCH(AD39,FlowCalNumber,0),1,1)*AF42^INDEX(FlowCalConstB,MATCH(AD39,FlowCalNumber,0),1,1)," ")</f>
        <v>#N/A</v>
      </c>
      <c r="AH42" s="33"/>
      <c r="AI42" s="242">
        <f t="shared" si="52"/>
        <v>0.9</v>
      </c>
      <c r="AJ42" s="241" t="e">
        <f t="shared" ca="1" si="53"/>
        <v>#VALUE!</v>
      </c>
      <c r="AK42" s="243" t="e">
        <f ca="1">IF(AND(INDEX(FlowCalConstA,MATCH(AH39,FlowCalNumber,0),1,1)*AJ42^INDEX(FlowCalConstB,MATCH(AH39,FlowCalNumber,0),1,1)&gt;INDEX(FlowCalLowSetting,MATCH(AH39,FlowCalNumber,0),1,1), (INDEX(FlowCalConstA,MATCH(AH39,FlowCalNumber,0),1,1)*AJ42^INDEX(FlowCalConstB,MATCH(AH39,FlowCalNumber,0),1,1)&lt;INDEX(FlowCalHighSetting,MATCH(AH39,FlowCalNumber,0),1,1))),INDEX(FlowCalConstA,MATCH(AH39,FlowCalNumber,0),1,1)*AJ42^INDEX(FlowCalConstB,MATCH(AH39,FlowCalNumber,0),1,1)," ")</f>
        <v>#N/A</v>
      </c>
      <c r="AL42" s="33"/>
      <c r="AM42" s="242"/>
      <c r="AN42" s="241"/>
      <c r="AO42" s="244"/>
      <c r="AQ42" s="242"/>
      <c r="AR42" s="241"/>
      <c r="AS42" s="244"/>
      <c r="AT42" s="33"/>
      <c r="AU42" s="242"/>
      <c r="AV42" s="241"/>
      <c r="AW42" s="244"/>
      <c r="AX42" s="33"/>
      <c r="AY42" s="242"/>
      <c r="AZ42" s="241"/>
      <c r="BA42" s="244"/>
      <c r="BB42" s="33"/>
      <c r="BC42" s="242"/>
      <c r="BD42" s="241"/>
      <c r="BE42" s="244"/>
      <c r="BF42" s="33"/>
      <c r="BG42" s="242"/>
      <c r="BH42" s="241"/>
      <c r="BI42" s="244"/>
      <c r="BJ42" s="33"/>
      <c r="BK42" s="242"/>
      <c r="BL42" s="241"/>
      <c r="BM42" s="244"/>
      <c r="BN42" s="33"/>
      <c r="BO42" s="242"/>
      <c r="BP42" s="241"/>
      <c r="BQ42" s="244"/>
      <c r="BR42" s="33"/>
      <c r="BS42" s="242"/>
      <c r="BT42" s="241"/>
      <c r="BU42" s="244"/>
      <c r="BV42" s="33"/>
      <c r="BW42" s="242"/>
      <c r="BX42" s="241"/>
      <c r="BY42" s="244"/>
      <c r="BZ42" s="33"/>
      <c r="CA42" s="242"/>
      <c r="CB42" s="241"/>
      <c r="CC42" s="244"/>
      <c r="CD42" s="243"/>
      <c r="CE42" s="243"/>
      <c r="CF42" s="243"/>
      <c r="CG42" s="243"/>
      <c r="CH42" s="243"/>
      <c r="CI42" s="243"/>
      <c r="CJ42" s="243"/>
      <c r="CK42" s="243"/>
      <c r="CL42" s="243"/>
      <c r="CM42" s="243"/>
      <c r="CN42" s="243"/>
      <c r="CO42" s="243"/>
      <c r="CP42" s="243"/>
      <c r="CQ42" s="243"/>
      <c r="CR42" s="243"/>
      <c r="CS42" s="243"/>
      <c r="CT42" s="243"/>
      <c r="CU42" s="243"/>
      <c r="CV42" s="243"/>
      <c r="CW42" s="243"/>
      <c r="CX42" s="243"/>
      <c r="CY42" s="243"/>
      <c r="CZ42" s="243"/>
      <c r="DA42" s="243"/>
      <c r="DB42" s="243"/>
      <c r="DC42" s="243"/>
      <c r="DD42" s="243"/>
      <c r="DE42" s="243"/>
      <c r="DF42" s="243"/>
      <c r="DG42" s="243"/>
      <c r="DH42" s="243"/>
      <c r="DI42" s="243"/>
      <c r="DJ42" s="243"/>
      <c r="DK42" s="243"/>
      <c r="DM42" s="242"/>
      <c r="DO42" s="243"/>
      <c r="DQ42" s="242"/>
      <c r="DS42" s="243"/>
      <c r="DU42" s="242"/>
      <c r="DW42" s="243"/>
      <c r="DY42" s="242"/>
      <c r="EA42" s="243"/>
    </row>
    <row r="43" spans="1:131">
      <c r="A43" s="20"/>
      <c r="B43" s="124" t="str">
        <f t="shared" si="38"/>
        <v/>
      </c>
      <c r="C43" s="235"/>
      <c r="D43" s="24">
        <f>'1% Wind'!$M$85</f>
        <v>17.8</v>
      </c>
      <c r="E43" s="90"/>
      <c r="F43" s="90"/>
      <c r="G43" s="79">
        <f ca="1">IF(I39=0.9743,$G42,MAX(G42/D42*D43,2))</f>
        <v>6.001707317073171</v>
      </c>
      <c r="H43" s="121" t="e">
        <f t="shared" ca="1" si="39"/>
        <v>#VALUE!</v>
      </c>
      <c r="J43" s="33"/>
      <c r="K43" s="242">
        <f t="shared" si="40"/>
        <v>1</v>
      </c>
      <c r="L43" s="241" t="e">
        <f t="shared" ca="1" si="41"/>
        <v>#VALUE!</v>
      </c>
      <c r="M43" s="243" t="e">
        <f ca="1">IF(AND(INDEX(FlowCalConstA,MATCH(J39,FlowCalNumber,0),1,1)*L43^INDEX(FlowCalConstB,MATCH(J39,FlowCalNumber,0),1,1)&gt;INDEX(FlowCalLowSetting,MATCH(J39,FlowCalNumber,0),1,1), (INDEX(FlowCalConstA,MATCH(J39,FlowCalNumber,0),1,1)*L43^INDEX(FlowCalConstB,MATCH(J39,FlowCalNumber,0),1,1)&lt;INDEX(FlowCalHighSetting,MATCH(J39,FlowCalNumber,0),1,1))),INDEX(FlowCalConstA,MATCH(J39,FlowCalNumber,0),1,1)*L43^INDEX(FlowCalConstB,MATCH(J39,FlowCalNumber,0),1,1)," ")</f>
        <v>#N/A</v>
      </c>
      <c r="N43" s="33"/>
      <c r="O43" s="242">
        <f t="shared" si="42"/>
        <v>1</v>
      </c>
      <c r="P43" s="241" t="e">
        <f t="shared" ca="1" si="43"/>
        <v>#VALUE!</v>
      </c>
      <c r="Q43" s="243" t="e">
        <f ca="1">IF(AND(INDEX(FlowCalConstA,MATCH(N39,FlowCalNumber,0),1,1)*P43^INDEX(FlowCalConstB,MATCH(N39,FlowCalNumber,0),1,1)&gt;INDEX(FlowCalLowSetting,MATCH(N39,FlowCalNumber,0),1,1), (INDEX(FlowCalConstA,MATCH(N39,FlowCalNumber,0),1,1)*P43^INDEX(FlowCalConstB,MATCH(N39,FlowCalNumber,0),1,1)&lt;INDEX(FlowCalHighSetting,MATCH(N39,FlowCalNumber,0),1,1))),INDEX(FlowCalConstA,MATCH(N39,FlowCalNumber,0),1,1)*P43^INDEX(FlowCalConstB,MATCH(N39,FlowCalNumber,0),1,1)," ")</f>
        <v>#N/A</v>
      </c>
      <c r="R43" s="33"/>
      <c r="S43" s="242">
        <f t="shared" si="44"/>
        <v>1</v>
      </c>
      <c r="T43" s="241" t="e">
        <f t="shared" ca="1" si="45"/>
        <v>#VALUE!</v>
      </c>
      <c r="U43" s="244" t="e">
        <f ca="1">IF(AND(INDEX(FlowCalConstA,MATCH(R39,FlowCalNumber,0),1,1)*T43^INDEX(FlowCalConstB,MATCH(R39,FlowCalNumber,0),1,1)&gt;INDEX(FlowCalLowSetting,MATCH(R39,FlowCalNumber,0),1,1), (INDEX(FlowCalConstA,MATCH(R39,FlowCalNumber,0),1,1)*T43^INDEX(FlowCalConstB,MATCH(R39,FlowCalNumber,0),1,1)&lt;INDEX(FlowCalHighSetting,MATCH(R39,FlowCalNumber,0),1,1))),INDEX(FlowCalConstA,MATCH(R39,FlowCalNumber,0),1,1)*T43^INDEX(FlowCalConstB,MATCH(R39,FlowCalNumber,0),1,1)," ")</f>
        <v>#N/A</v>
      </c>
      <c r="V43" s="33"/>
      <c r="W43" s="242">
        <f t="shared" si="46"/>
        <v>0.1</v>
      </c>
      <c r="X43" s="241" t="e">
        <f t="shared" ca="1" si="47"/>
        <v>#VALUE!</v>
      </c>
      <c r="Y43" s="243" t="e">
        <f ca="1">IF(AND(INDEX(FlowCalConstA,MATCH(V39,FlowCalNumber,0),1,1)*X43^INDEX(FlowCalConstB,MATCH(V39,FlowCalNumber,0),1,1)&gt;INDEX(FlowCalLowSetting,MATCH(V39,FlowCalNumber,0),1,1), (INDEX(FlowCalConstA,MATCH(V39,FlowCalNumber,0),1,1)*X43^INDEX(FlowCalConstB,MATCH(V39,FlowCalNumber,0),1,1)&lt;INDEX(FlowCalHighSetting,MATCH(V39,FlowCalNumber,0),1,1))),INDEX(FlowCalConstA,MATCH(V39,FlowCalNumber,0),1,1)*X43^INDEX(FlowCalConstB,MATCH(V39,FlowCalNumber,0),1,1)," ")</f>
        <v>#N/A</v>
      </c>
      <c r="Z43" s="33"/>
      <c r="AA43" s="242">
        <f t="shared" si="48"/>
        <v>0.9</v>
      </c>
      <c r="AB43" s="241" t="e">
        <f t="shared" ca="1" si="49"/>
        <v>#VALUE!</v>
      </c>
      <c r="AC43" s="243" t="e">
        <f ca="1">IF(AND(INDEX(FlowCalConstA,MATCH(Z39,FlowCalNumber,0),1,1)*AB43^INDEX(FlowCalConstB,MATCH(Z39,FlowCalNumber,0),1,1)&gt;INDEX(FlowCalLowSetting,MATCH(Z39,FlowCalNumber,0),1,1), (INDEX(FlowCalConstA,MATCH(Z39,FlowCalNumber,0),1,1)*AB43^INDEX(FlowCalConstB,MATCH(Z39,FlowCalNumber,0),1,1)&lt;INDEX(FlowCalHighSetting,MATCH(Z39,FlowCalNumber,0),1,1))),INDEX(FlowCalConstA,MATCH(Z39,FlowCalNumber,0),1,1)*AB43^INDEX(FlowCalConstB,MATCH(Z39,FlowCalNumber,0),1,1)," ")</f>
        <v>#N/A</v>
      </c>
      <c r="AD43" s="33"/>
      <c r="AE43" s="242">
        <f t="shared" si="50"/>
        <v>0.1</v>
      </c>
      <c r="AF43" s="241" t="e">
        <f t="shared" ca="1" si="51"/>
        <v>#VALUE!</v>
      </c>
      <c r="AG43" s="243" t="e">
        <f ca="1">IF(AND(INDEX(FlowCalConstA,MATCH(AD39,FlowCalNumber,0),1,1)*AF43^INDEX(FlowCalConstB,MATCH(AD39,FlowCalNumber,0),1,1)&gt;INDEX(FlowCalLowSetting,MATCH(AD39,FlowCalNumber,0),1,1), (INDEX(FlowCalConstA,MATCH(AD39,FlowCalNumber,0),1,1)*AF43^INDEX(FlowCalConstB,MATCH(AD39,FlowCalNumber,0),1,1)&lt;INDEX(FlowCalHighSetting,MATCH(AD39,FlowCalNumber,0),1,1))),INDEX(FlowCalConstA,MATCH(AD39,FlowCalNumber,0),1,1)*AF43^INDEX(FlowCalConstB,MATCH(AD39,FlowCalNumber,0),1,1)," ")</f>
        <v>#N/A</v>
      </c>
      <c r="AH43" s="33"/>
      <c r="AI43" s="242">
        <f t="shared" si="52"/>
        <v>0.9</v>
      </c>
      <c r="AJ43" s="241" t="e">
        <f t="shared" ca="1" si="53"/>
        <v>#VALUE!</v>
      </c>
      <c r="AK43" s="243" t="e">
        <f ca="1">IF(AND(INDEX(FlowCalConstA,MATCH(AH39,FlowCalNumber,0),1,1)*AJ43^INDEX(FlowCalConstB,MATCH(AH39,FlowCalNumber,0),1,1)&gt;INDEX(FlowCalLowSetting,MATCH(AH39,FlowCalNumber,0),1,1), (INDEX(FlowCalConstA,MATCH(AH39,FlowCalNumber,0),1,1)*AJ43^INDEX(FlowCalConstB,MATCH(AH39,FlowCalNumber,0),1,1)&lt;INDEX(FlowCalHighSetting,MATCH(AH39,FlowCalNumber,0),1,1))),INDEX(FlowCalConstA,MATCH(AH39,FlowCalNumber,0),1,1)*AJ43^INDEX(FlowCalConstB,MATCH(AH39,FlowCalNumber,0),1,1)," ")</f>
        <v>#N/A</v>
      </c>
      <c r="AL43" s="33"/>
      <c r="AM43" s="242"/>
      <c r="AN43" s="241"/>
      <c r="AO43" s="244"/>
      <c r="AQ43" s="242"/>
      <c r="AR43" s="241"/>
      <c r="AS43" s="244"/>
      <c r="AT43" s="33"/>
      <c r="AU43" s="242"/>
      <c r="AV43" s="241"/>
      <c r="AW43" s="244"/>
      <c r="AX43" s="33"/>
      <c r="AY43" s="242"/>
      <c r="AZ43" s="241"/>
      <c r="BA43" s="244"/>
      <c r="BB43" s="33"/>
      <c r="BC43" s="242"/>
      <c r="BD43" s="241"/>
      <c r="BE43" s="244"/>
      <c r="BF43" s="33"/>
      <c r="BG43" s="242"/>
      <c r="BH43" s="241"/>
      <c r="BI43" s="244"/>
      <c r="BJ43" s="33"/>
      <c r="BK43" s="242"/>
      <c r="BL43" s="241"/>
      <c r="BM43" s="244"/>
      <c r="BN43" s="33"/>
      <c r="BO43" s="242"/>
      <c r="BP43" s="241"/>
      <c r="BQ43" s="244"/>
      <c r="BR43" s="33"/>
      <c r="BS43" s="242"/>
      <c r="BT43" s="241"/>
      <c r="BU43" s="244"/>
      <c r="BV43" s="33"/>
      <c r="BW43" s="242"/>
      <c r="BX43" s="241"/>
      <c r="BY43" s="244"/>
      <c r="BZ43" s="33"/>
      <c r="CA43" s="242"/>
      <c r="CB43" s="241"/>
      <c r="CC43" s="244"/>
      <c r="CD43" s="243"/>
      <c r="CE43" s="243"/>
      <c r="CF43" s="243"/>
      <c r="CG43" s="243"/>
      <c r="CH43" s="243"/>
      <c r="CI43" s="243"/>
      <c r="CJ43" s="243"/>
      <c r="CK43" s="243"/>
      <c r="CL43" s="243"/>
      <c r="CM43" s="243"/>
      <c r="CN43" s="243"/>
      <c r="CO43" s="243"/>
      <c r="CP43" s="243"/>
      <c r="CQ43" s="243"/>
      <c r="CR43" s="243"/>
      <c r="CS43" s="243"/>
      <c r="CT43" s="243"/>
      <c r="CU43" s="243"/>
      <c r="CV43" s="243"/>
      <c r="CW43" s="243"/>
      <c r="CX43" s="243"/>
      <c r="CY43" s="243"/>
      <c r="CZ43" s="243"/>
      <c r="DA43" s="243"/>
      <c r="DB43" s="243"/>
      <c r="DC43" s="243"/>
      <c r="DD43" s="243"/>
      <c r="DE43" s="243"/>
      <c r="DF43" s="243"/>
      <c r="DG43" s="243"/>
      <c r="DH43" s="243"/>
      <c r="DI43" s="243"/>
      <c r="DJ43" s="243"/>
      <c r="DK43" s="243"/>
      <c r="DM43" s="242"/>
      <c r="DO43" s="243"/>
      <c r="DQ43" s="242"/>
      <c r="DS43" s="243"/>
      <c r="DU43" s="242"/>
      <c r="DW43" s="243"/>
      <c r="DY43" s="242"/>
      <c r="EA43" s="243"/>
    </row>
    <row r="44" spans="1:131">
      <c r="A44" s="20"/>
      <c r="B44" s="124" t="str">
        <f t="shared" si="38"/>
        <v/>
      </c>
      <c r="C44" s="235"/>
      <c r="D44" s="24">
        <f>'1% Wind'!$M$86</f>
        <v>15.5</v>
      </c>
      <c r="E44" s="90"/>
      <c r="F44" s="90"/>
      <c r="G44" s="79">
        <f ca="1">IF(I39=0.9743,$G43,MAX(G43/D43*D44,2))</f>
        <v>6.001707317073171</v>
      </c>
      <c r="H44" s="121" t="e">
        <f t="shared" ca="1" si="39"/>
        <v>#VALUE!</v>
      </c>
      <c r="J44" s="33"/>
      <c r="K44" s="242">
        <f t="shared" si="40"/>
        <v>1</v>
      </c>
      <c r="L44" s="241" t="e">
        <f t="shared" ca="1" si="41"/>
        <v>#VALUE!</v>
      </c>
      <c r="M44" s="243" t="e">
        <f ca="1">IF(AND(INDEX(FlowCalConstA,MATCH(J39,FlowCalNumber,0),1,1)*L44^INDEX(FlowCalConstB,MATCH(J39,FlowCalNumber,0),1,1)&gt;INDEX(FlowCalLowSetting,MATCH(J39,FlowCalNumber,0),1,1), (INDEX(FlowCalConstA,MATCH(J39,FlowCalNumber,0),1,1)*L44^INDEX(FlowCalConstB,MATCH(J39,FlowCalNumber,0),1,1)&lt;INDEX(FlowCalHighSetting,MATCH(J39,FlowCalNumber,0),1,1))),INDEX(FlowCalConstA,MATCH(J39,FlowCalNumber,0),1,1)*L44^INDEX(FlowCalConstB,MATCH(J39,FlowCalNumber,0),1,1)," ")</f>
        <v>#N/A</v>
      </c>
      <c r="N44" s="33"/>
      <c r="O44" s="242">
        <f t="shared" si="42"/>
        <v>1</v>
      </c>
      <c r="P44" s="241" t="e">
        <f t="shared" ca="1" si="43"/>
        <v>#VALUE!</v>
      </c>
      <c r="Q44" s="243" t="e">
        <f ca="1">IF(AND(INDEX(FlowCalConstA,MATCH(N39,FlowCalNumber,0),1,1)*P44^INDEX(FlowCalConstB,MATCH(N39,FlowCalNumber,0),1,1)&gt;INDEX(FlowCalLowSetting,MATCH(N39,FlowCalNumber,0),1,1), (INDEX(FlowCalConstA,MATCH(N39,FlowCalNumber,0),1,1)*P44^INDEX(FlowCalConstB,MATCH(N39,FlowCalNumber,0),1,1)&lt;INDEX(FlowCalHighSetting,MATCH(N39,FlowCalNumber,0),1,1))),INDEX(FlowCalConstA,MATCH(N39,FlowCalNumber,0),1,1)*P44^INDEX(FlowCalConstB,MATCH(N39,FlowCalNumber,0),1,1)," ")</f>
        <v>#N/A</v>
      </c>
      <c r="R44" s="33"/>
      <c r="S44" s="242">
        <f t="shared" si="44"/>
        <v>1</v>
      </c>
      <c r="T44" s="241" t="e">
        <f t="shared" ca="1" si="45"/>
        <v>#VALUE!</v>
      </c>
      <c r="U44" s="244" t="e">
        <f ca="1">IF(AND(INDEX(FlowCalConstA,MATCH(R39,FlowCalNumber,0),1,1)*T44^INDEX(FlowCalConstB,MATCH(R39,FlowCalNumber,0),1,1)&gt;INDEX(FlowCalLowSetting,MATCH(R39,FlowCalNumber,0),1,1), (INDEX(FlowCalConstA,MATCH(R39,FlowCalNumber,0),1,1)*T44^INDEX(FlowCalConstB,MATCH(R39,FlowCalNumber,0),1,1)&lt;INDEX(FlowCalHighSetting,MATCH(R39,FlowCalNumber,0),1,1))),INDEX(FlowCalConstA,MATCH(R39,FlowCalNumber,0),1,1)*T44^INDEX(FlowCalConstB,MATCH(R39,FlowCalNumber,0),1,1)," ")</f>
        <v>#N/A</v>
      </c>
      <c r="V44" s="33"/>
      <c r="W44" s="242">
        <f t="shared" si="46"/>
        <v>0.1</v>
      </c>
      <c r="X44" s="241" t="e">
        <f t="shared" ca="1" si="47"/>
        <v>#VALUE!</v>
      </c>
      <c r="Y44" s="243" t="e">
        <f ca="1">IF(AND(INDEX(FlowCalConstA,MATCH(V39,FlowCalNumber,0),1,1)*X44^INDEX(FlowCalConstB,MATCH(V39,FlowCalNumber,0),1,1)&gt;INDEX(FlowCalLowSetting,MATCH(V39,FlowCalNumber,0),1,1), (INDEX(FlowCalConstA,MATCH(V39,FlowCalNumber,0),1,1)*X44^INDEX(FlowCalConstB,MATCH(V39,FlowCalNumber,0),1,1)&lt;INDEX(FlowCalHighSetting,MATCH(V39,FlowCalNumber,0),1,1))),INDEX(FlowCalConstA,MATCH(V39,FlowCalNumber,0),1,1)*X44^INDEX(FlowCalConstB,MATCH(V39,FlowCalNumber,0),1,1)," ")</f>
        <v>#N/A</v>
      </c>
      <c r="Z44" s="33"/>
      <c r="AA44" s="242">
        <f t="shared" si="48"/>
        <v>0.9</v>
      </c>
      <c r="AB44" s="241" t="e">
        <f t="shared" ca="1" si="49"/>
        <v>#VALUE!</v>
      </c>
      <c r="AC44" s="243" t="e">
        <f ca="1">IF(AND(INDEX(FlowCalConstA,MATCH(Z39,FlowCalNumber,0),1,1)*AB44^INDEX(FlowCalConstB,MATCH(Z39,FlowCalNumber,0),1,1)&gt;INDEX(FlowCalLowSetting,MATCH(Z39,FlowCalNumber,0),1,1), (INDEX(FlowCalConstA,MATCH(Z39,FlowCalNumber,0),1,1)*AB44^INDEX(FlowCalConstB,MATCH(Z39,FlowCalNumber,0),1,1)&lt;INDEX(FlowCalHighSetting,MATCH(Z39,FlowCalNumber,0),1,1))),INDEX(FlowCalConstA,MATCH(Z39,FlowCalNumber,0),1,1)*AB44^INDEX(FlowCalConstB,MATCH(Z39,FlowCalNumber,0),1,1)," ")</f>
        <v>#N/A</v>
      </c>
      <c r="AD44" s="33"/>
      <c r="AE44" s="242">
        <f t="shared" si="50"/>
        <v>0.1</v>
      </c>
      <c r="AF44" s="241" t="e">
        <f t="shared" ca="1" si="51"/>
        <v>#VALUE!</v>
      </c>
      <c r="AG44" s="243" t="e">
        <f ca="1">IF(AND(INDEX(FlowCalConstA,MATCH(AD39,FlowCalNumber,0),1,1)*AF44^INDEX(FlowCalConstB,MATCH(AD39,FlowCalNumber,0),1,1)&gt;INDEX(FlowCalLowSetting,MATCH(AD39,FlowCalNumber,0),1,1), (INDEX(FlowCalConstA,MATCH(AD39,FlowCalNumber,0),1,1)*AF44^INDEX(FlowCalConstB,MATCH(AD39,FlowCalNumber,0),1,1)&lt;INDEX(FlowCalHighSetting,MATCH(AD39,FlowCalNumber,0),1,1))),INDEX(FlowCalConstA,MATCH(AD39,FlowCalNumber,0),1,1)*AF44^INDEX(FlowCalConstB,MATCH(AD39,FlowCalNumber,0),1,1)," ")</f>
        <v>#N/A</v>
      </c>
      <c r="AH44" s="33"/>
      <c r="AI44" s="242">
        <f t="shared" si="52"/>
        <v>0.9</v>
      </c>
      <c r="AJ44" s="241" t="e">
        <f t="shared" ca="1" si="53"/>
        <v>#VALUE!</v>
      </c>
      <c r="AK44" s="243" t="e">
        <f ca="1">IF(AND(INDEX(FlowCalConstA,MATCH(AH39,FlowCalNumber,0),1,1)*AJ44^INDEX(FlowCalConstB,MATCH(AH39,FlowCalNumber,0),1,1)&gt;INDEX(FlowCalLowSetting,MATCH(AH39,FlowCalNumber,0),1,1), (INDEX(FlowCalConstA,MATCH(AH39,FlowCalNumber,0),1,1)*AJ44^INDEX(FlowCalConstB,MATCH(AH39,FlowCalNumber,0),1,1)&lt;INDEX(FlowCalHighSetting,MATCH(AH39,FlowCalNumber,0),1,1))),INDEX(FlowCalConstA,MATCH(AH39,FlowCalNumber,0),1,1)*AJ44^INDEX(FlowCalConstB,MATCH(AH39,FlowCalNumber,0),1,1)," ")</f>
        <v>#N/A</v>
      </c>
      <c r="AL44" s="33"/>
      <c r="AM44" s="242"/>
      <c r="AN44" s="241"/>
      <c r="AO44" s="244"/>
      <c r="AQ44" s="242"/>
      <c r="AR44" s="241"/>
      <c r="AS44" s="244"/>
      <c r="AT44" s="33"/>
      <c r="AU44" s="242"/>
      <c r="AV44" s="241"/>
      <c r="AW44" s="244"/>
      <c r="AX44" s="33"/>
      <c r="AY44" s="242"/>
      <c r="AZ44" s="241"/>
      <c r="BA44" s="244"/>
      <c r="BB44" s="33"/>
      <c r="BC44" s="242"/>
      <c r="BD44" s="241"/>
      <c r="BE44" s="244"/>
      <c r="BF44" s="33"/>
      <c r="BG44" s="242"/>
      <c r="BH44" s="241"/>
      <c r="BI44" s="244"/>
      <c r="BJ44" s="33"/>
      <c r="BK44" s="242"/>
      <c r="BL44" s="241"/>
      <c r="BM44" s="244"/>
      <c r="BN44" s="33"/>
      <c r="BO44" s="242"/>
      <c r="BP44" s="241"/>
      <c r="BQ44" s="244"/>
      <c r="BR44" s="33"/>
      <c r="BS44" s="242"/>
      <c r="BT44" s="241"/>
      <c r="BU44" s="244"/>
      <c r="BV44" s="33"/>
      <c r="BW44" s="242"/>
      <c r="BX44" s="241"/>
      <c r="BY44" s="244"/>
      <c r="BZ44" s="33"/>
      <c r="CA44" s="242"/>
      <c r="CB44" s="241"/>
      <c r="CC44" s="244"/>
      <c r="CD44" s="243"/>
      <c r="CE44" s="243"/>
      <c r="CF44" s="243"/>
      <c r="CG44" s="243"/>
      <c r="CH44" s="243"/>
      <c r="CI44" s="243"/>
      <c r="CJ44" s="243"/>
      <c r="CK44" s="243"/>
      <c r="CL44" s="243"/>
      <c r="CM44" s="243"/>
      <c r="CN44" s="243"/>
      <c r="CO44" s="243"/>
      <c r="CP44" s="243"/>
      <c r="CQ44" s="243"/>
      <c r="CR44" s="243"/>
      <c r="CS44" s="243"/>
      <c r="CT44" s="243"/>
      <c r="CU44" s="243"/>
      <c r="CV44" s="243"/>
      <c r="CW44" s="243"/>
      <c r="CX44" s="243"/>
      <c r="CY44" s="243"/>
      <c r="CZ44" s="243"/>
      <c r="DA44" s="243"/>
      <c r="DB44" s="243"/>
      <c r="DC44" s="243"/>
      <c r="DD44" s="243"/>
      <c r="DE44" s="243"/>
      <c r="DF44" s="243"/>
      <c r="DG44" s="243"/>
      <c r="DH44" s="243"/>
      <c r="DI44" s="243"/>
      <c r="DJ44" s="243"/>
      <c r="DK44" s="243"/>
      <c r="DM44" s="242"/>
      <c r="DO44" s="243"/>
      <c r="DQ44" s="242"/>
      <c r="DS44" s="243"/>
      <c r="DU44" s="242"/>
      <c r="DW44" s="243"/>
      <c r="DY44" s="242"/>
      <c r="EA44" s="243"/>
    </row>
    <row r="45" spans="1:131">
      <c r="A45" s="20"/>
      <c r="B45" s="124" t="str">
        <f t="shared" si="38"/>
        <v/>
      </c>
      <c r="C45" s="235"/>
      <c r="D45" s="24">
        <f>'1% Wind'!$M$87</f>
        <v>13.5</v>
      </c>
      <c r="E45" s="90"/>
      <c r="F45" s="90"/>
      <c r="G45" s="79">
        <f ca="1">IF(I39=0.9743,$G44,MAX(G44/D44*D45,2))</f>
        <v>6.001707317073171</v>
      </c>
      <c r="H45" s="121" t="e">
        <f t="shared" ca="1" si="39"/>
        <v>#VALUE!</v>
      </c>
      <c r="J45" s="33"/>
      <c r="K45" s="242">
        <f t="shared" si="40"/>
        <v>1</v>
      </c>
      <c r="L45" s="241" t="e">
        <f t="shared" ca="1" si="41"/>
        <v>#VALUE!</v>
      </c>
      <c r="M45" s="243" t="e">
        <f ca="1">IF(AND(INDEX(FlowCalConstA,MATCH(J39,FlowCalNumber,0),1,1)*L45^INDEX(FlowCalConstB,MATCH(J39,FlowCalNumber,0),1,1)&gt;INDEX(FlowCalLowSetting,MATCH(J39,FlowCalNumber,0),1,1), (INDEX(FlowCalConstA,MATCH(J39,FlowCalNumber,0),1,1)*L45^INDEX(FlowCalConstB,MATCH(J39,FlowCalNumber,0),1,1)&lt;INDEX(FlowCalHighSetting,MATCH(J39,FlowCalNumber,0),1,1))),INDEX(FlowCalConstA,MATCH(J39,FlowCalNumber,0),1,1)*L45^INDEX(FlowCalConstB,MATCH(J39,FlowCalNumber,0),1,1)," ")</f>
        <v>#N/A</v>
      </c>
      <c r="N45" s="33"/>
      <c r="O45" s="242">
        <f t="shared" si="42"/>
        <v>1</v>
      </c>
      <c r="P45" s="241" t="e">
        <f t="shared" ca="1" si="43"/>
        <v>#VALUE!</v>
      </c>
      <c r="Q45" s="243" t="e">
        <f ca="1">IF(AND(INDEX(FlowCalConstA,MATCH(N39,FlowCalNumber,0),1,1)*P45^INDEX(FlowCalConstB,MATCH(N39,FlowCalNumber,0),1,1)&gt;INDEX(FlowCalLowSetting,MATCH(N39,FlowCalNumber,0),1,1), (INDEX(FlowCalConstA,MATCH(N39,FlowCalNumber,0),1,1)*P45^INDEX(FlowCalConstB,MATCH(N39,FlowCalNumber,0),1,1)&lt;INDEX(FlowCalHighSetting,MATCH(N39,FlowCalNumber,0),1,1))),INDEX(FlowCalConstA,MATCH(N39,FlowCalNumber,0),1,1)*P45^INDEX(FlowCalConstB,MATCH(N39,FlowCalNumber,0),1,1)," ")</f>
        <v>#N/A</v>
      </c>
      <c r="R45" s="33"/>
      <c r="S45" s="242">
        <f t="shared" si="44"/>
        <v>1</v>
      </c>
      <c r="T45" s="241" t="e">
        <f t="shared" ca="1" si="45"/>
        <v>#VALUE!</v>
      </c>
      <c r="U45" s="244" t="e">
        <f ca="1">IF(AND(INDEX(FlowCalConstA,MATCH(R39,FlowCalNumber,0),1,1)*T45^INDEX(FlowCalConstB,MATCH(R39,FlowCalNumber,0),1,1)&gt;INDEX(FlowCalLowSetting,MATCH(R39,FlowCalNumber,0),1,1), (INDEX(FlowCalConstA,MATCH(R39,FlowCalNumber,0),1,1)*T45^INDEX(FlowCalConstB,MATCH(R39,FlowCalNumber,0),1,1)&lt;INDEX(FlowCalHighSetting,MATCH(R39,FlowCalNumber,0),1,1))),INDEX(FlowCalConstA,MATCH(R39,FlowCalNumber,0),1,1)*T45^INDEX(FlowCalConstB,MATCH(R39,FlowCalNumber,0),1,1)," ")</f>
        <v>#N/A</v>
      </c>
      <c r="V45" s="33"/>
      <c r="W45" s="242">
        <f t="shared" si="46"/>
        <v>0.1</v>
      </c>
      <c r="X45" s="241" t="e">
        <f t="shared" ca="1" si="47"/>
        <v>#VALUE!</v>
      </c>
      <c r="Y45" s="243" t="e">
        <f ca="1">IF(AND(INDEX(FlowCalConstA,MATCH(V39,FlowCalNumber,0),1,1)*X45^INDEX(FlowCalConstB,MATCH(V39,FlowCalNumber,0),1,1)&gt;INDEX(FlowCalLowSetting,MATCH(V39,FlowCalNumber,0),1,1), (INDEX(FlowCalConstA,MATCH(V39,FlowCalNumber,0),1,1)*X45^INDEX(FlowCalConstB,MATCH(V39,FlowCalNumber,0),1,1)&lt;INDEX(FlowCalHighSetting,MATCH(V39,FlowCalNumber,0),1,1))),INDEX(FlowCalConstA,MATCH(V39,FlowCalNumber,0),1,1)*X45^INDEX(FlowCalConstB,MATCH(V39,FlowCalNumber,0),1,1)," ")</f>
        <v>#N/A</v>
      </c>
      <c r="Z45" s="33"/>
      <c r="AA45" s="242">
        <f t="shared" si="48"/>
        <v>0.9</v>
      </c>
      <c r="AB45" s="241" t="e">
        <f t="shared" ca="1" si="49"/>
        <v>#VALUE!</v>
      </c>
      <c r="AC45" s="243" t="e">
        <f ca="1">IF(AND(INDEX(FlowCalConstA,MATCH(Z39,FlowCalNumber,0),1,1)*AB45^INDEX(FlowCalConstB,MATCH(Z39,FlowCalNumber,0),1,1)&gt;INDEX(FlowCalLowSetting,MATCH(Z39,FlowCalNumber,0),1,1), (INDEX(FlowCalConstA,MATCH(Z39,FlowCalNumber,0),1,1)*AB45^INDEX(FlowCalConstB,MATCH(Z39,FlowCalNumber,0),1,1)&lt;INDEX(FlowCalHighSetting,MATCH(Z39,FlowCalNumber,0),1,1))),INDEX(FlowCalConstA,MATCH(Z39,FlowCalNumber,0),1,1)*AB45^INDEX(FlowCalConstB,MATCH(Z39,FlowCalNumber,0),1,1)," ")</f>
        <v>#N/A</v>
      </c>
      <c r="AD45" s="33"/>
      <c r="AE45" s="242">
        <f t="shared" si="50"/>
        <v>0.1</v>
      </c>
      <c r="AF45" s="241" t="e">
        <f t="shared" ca="1" si="51"/>
        <v>#VALUE!</v>
      </c>
      <c r="AG45" s="243" t="e">
        <f ca="1">IF(AND(INDEX(FlowCalConstA,MATCH(AD39,FlowCalNumber,0),1,1)*AF45^INDEX(FlowCalConstB,MATCH(AD39,FlowCalNumber,0),1,1)&gt;INDEX(FlowCalLowSetting,MATCH(AD39,FlowCalNumber,0),1,1), (INDEX(FlowCalConstA,MATCH(AD39,FlowCalNumber,0),1,1)*AF45^INDEX(FlowCalConstB,MATCH(AD39,FlowCalNumber,0),1,1)&lt;INDEX(FlowCalHighSetting,MATCH(AD39,FlowCalNumber,0),1,1))),INDEX(FlowCalConstA,MATCH(AD39,FlowCalNumber,0),1,1)*AF45^INDEX(FlowCalConstB,MATCH(AD39,FlowCalNumber,0),1,1)," ")</f>
        <v>#N/A</v>
      </c>
      <c r="AH45" s="33"/>
      <c r="AI45" s="242">
        <f t="shared" si="52"/>
        <v>0.9</v>
      </c>
      <c r="AJ45" s="241" t="e">
        <f t="shared" ca="1" si="53"/>
        <v>#VALUE!</v>
      </c>
      <c r="AK45" s="243" t="e">
        <f ca="1">IF(AND(INDEX(FlowCalConstA,MATCH(AH39,FlowCalNumber,0),1,1)*AJ45^INDEX(FlowCalConstB,MATCH(AH39,FlowCalNumber,0),1,1)&gt;INDEX(FlowCalLowSetting,MATCH(AH39,FlowCalNumber,0),1,1), (INDEX(FlowCalConstA,MATCH(AH39,FlowCalNumber,0),1,1)*AJ45^INDEX(FlowCalConstB,MATCH(AH39,FlowCalNumber,0),1,1)&lt;INDEX(FlowCalHighSetting,MATCH(AH39,FlowCalNumber,0),1,1))),INDEX(FlowCalConstA,MATCH(AH39,FlowCalNumber,0),1,1)*AJ45^INDEX(FlowCalConstB,MATCH(AH39,FlowCalNumber,0),1,1)," ")</f>
        <v>#N/A</v>
      </c>
      <c r="AL45" s="33"/>
      <c r="AM45" s="242"/>
      <c r="AN45" s="241"/>
      <c r="AO45" s="244"/>
      <c r="AQ45" s="242"/>
      <c r="AR45" s="241"/>
      <c r="AS45" s="244"/>
      <c r="AT45" s="33"/>
      <c r="AU45" s="242"/>
      <c r="AV45" s="241"/>
      <c r="AW45" s="244"/>
      <c r="AX45" s="33"/>
      <c r="AY45" s="242"/>
      <c r="AZ45" s="241"/>
      <c r="BA45" s="244"/>
      <c r="BB45" s="33"/>
      <c r="BC45" s="242"/>
      <c r="BD45" s="241"/>
      <c r="BE45" s="244"/>
      <c r="BF45" s="33"/>
      <c r="BG45" s="242"/>
      <c r="BH45" s="241"/>
      <c r="BI45" s="244"/>
      <c r="BJ45" s="33"/>
      <c r="BK45" s="242"/>
      <c r="BL45" s="241"/>
      <c r="BM45" s="244"/>
      <c r="BN45" s="33"/>
      <c r="BO45" s="242"/>
      <c r="BP45" s="241"/>
      <c r="BQ45" s="244"/>
      <c r="BR45" s="33"/>
      <c r="BS45" s="242"/>
      <c r="BT45" s="241"/>
      <c r="BU45" s="244"/>
      <c r="BV45" s="33"/>
      <c r="BW45" s="242"/>
      <c r="BX45" s="241"/>
      <c r="BY45" s="244"/>
      <c r="BZ45" s="33"/>
      <c r="CA45" s="242"/>
      <c r="CB45" s="241"/>
      <c r="CC45" s="244"/>
      <c r="CD45" s="243"/>
      <c r="CE45" s="243"/>
      <c r="CF45" s="243"/>
      <c r="CG45" s="243"/>
      <c r="CH45" s="243"/>
      <c r="CI45" s="243"/>
      <c r="CJ45" s="243"/>
      <c r="CK45" s="243"/>
      <c r="CL45" s="243"/>
      <c r="CM45" s="243"/>
      <c r="CN45" s="243"/>
      <c r="CO45" s="243"/>
      <c r="CP45" s="243"/>
      <c r="CQ45" s="243"/>
      <c r="CR45" s="243"/>
      <c r="CS45" s="243"/>
      <c r="CT45" s="243"/>
      <c r="CU45" s="243"/>
      <c r="CV45" s="243"/>
      <c r="CW45" s="243"/>
      <c r="CX45" s="243"/>
      <c r="CY45" s="243"/>
      <c r="CZ45" s="243"/>
      <c r="DA45" s="243"/>
      <c r="DB45" s="243"/>
      <c r="DC45" s="243"/>
      <c r="DD45" s="243"/>
      <c r="DE45" s="243"/>
      <c r="DF45" s="243"/>
      <c r="DG45" s="243"/>
      <c r="DH45" s="243"/>
      <c r="DI45" s="243"/>
      <c r="DJ45" s="243"/>
      <c r="DK45" s="243"/>
      <c r="DM45" s="242"/>
      <c r="DO45" s="243"/>
      <c r="DQ45" s="242"/>
      <c r="DS45" s="243"/>
      <c r="DU45" s="242"/>
      <c r="DW45" s="243"/>
      <c r="DY45" s="242"/>
      <c r="EA45" s="243"/>
    </row>
    <row r="46" spans="1:131">
      <c r="A46" s="20"/>
      <c r="B46" s="124" t="str">
        <f t="shared" si="38"/>
        <v/>
      </c>
      <c r="C46" s="235"/>
      <c r="D46" s="24">
        <f>'1% Wind'!$M$88</f>
        <v>10.1</v>
      </c>
      <c r="E46" s="90"/>
      <c r="F46" s="90"/>
      <c r="G46" s="79">
        <f ca="1">IF(I39=0.9743,$G45,MAX(G45/D45*D46,2))</f>
        <v>6.001707317073171</v>
      </c>
      <c r="H46" s="121" t="e">
        <f t="shared" ca="1" si="39"/>
        <v>#VALUE!</v>
      </c>
      <c r="J46" s="33"/>
      <c r="K46" s="242">
        <f t="shared" si="40"/>
        <v>1</v>
      </c>
      <c r="L46" s="241" t="e">
        <f t="shared" ca="1" si="41"/>
        <v>#VALUE!</v>
      </c>
      <c r="M46" s="243" t="e">
        <f ca="1">IF(AND(INDEX(FlowCalConstA,MATCH(J39,FlowCalNumber,0),1,1)*L46^INDEX(FlowCalConstB,MATCH(J39,FlowCalNumber,0),1,1)&gt;INDEX(FlowCalLowSetting,MATCH(J39,FlowCalNumber,0),1,1), (INDEX(FlowCalConstA,MATCH(J39,FlowCalNumber,0),1,1)*L46^INDEX(FlowCalConstB,MATCH(J39,FlowCalNumber,0),1,1)&lt;INDEX(FlowCalHighSetting,MATCH(J39,FlowCalNumber,0),1,1))),INDEX(FlowCalConstA,MATCH(J39,FlowCalNumber,0),1,1)*L46^INDEX(FlowCalConstB,MATCH(J39,FlowCalNumber,0),1,1)," ")</f>
        <v>#N/A</v>
      </c>
      <c r="N46" s="33"/>
      <c r="O46" s="242">
        <f t="shared" si="42"/>
        <v>1</v>
      </c>
      <c r="P46" s="241" t="e">
        <f t="shared" ca="1" si="43"/>
        <v>#VALUE!</v>
      </c>
      <c r="Q46" s="243" t="e">
        <f ca="1">IF(AND(INDEX(FlowCalConstA,MATCH(N39,FlowCalNumber,0),1,1)*P46^INDEX(FlowCalConstB,MATCH(N39,FlowCalNumber,0),1,1)&gt;INDEX(FlowCalLowSetting,MATCH(N39,FlowCalNumber,0),1,1), (INDEX(FlowCalConstA,MATCH(N39,FlowCalNumber,0),1,1)*P46^INDEX(FlowCalConstB,MATCH(N39,FlowCalNumber,0),1,1)&lt;INDEX(FlowCalHighSetting,MATCH(N39,FlowCalNumber,0),1,1))),INDEX(FlowCalConstA,MATCH(N39,FlowCalNumber,0),1,1)*P46^INDEX(FlowCalConstB,MATCH(N39,FlowCalNumber,0),1,1)," ")</f>
        <v>#N/A</v>
      </c>
      <c r="R46" s="33"/>
      <c r="S46" s="242">
        <f t="shared" si="44"/>
        <v>1</v>
      </c>
      <c r="T46" s="241" t="e">
        <f t="shared" ca="1" si="45"/>
        <v>#VALUE!</v>
      </c>
      <c r="U46" s="244" t="e">
        <f ca="1">IF(AND(INDEX(FlowCalConstA,MATCH(R39,FlowCalNumber,0),1,1)*T46^INDEX(FlowCalConstB,MATCH(R39,FlowCalNumber,0),1,1)&gt;INDEX(FlowCalLowSetting,MATCH(R39,FlowCalNumber,0),1,1), (INDEX(FlowCalConstA,MATCH(R39,FlowCalNumber,0),1,1)*T46^INDEX(FlowCalConstB,MATCH(R39,FlowCalNumber,0),1,1)&lt;INDEX(FlowCalHighSetting,MATCH(R39,FlowCalNumber,0),1,1))),INDEX(FlowCalConstA,MATCH(R39,FlowCalNumber,0),1,1)*T46^INDEX(FlowCalConstB,MATCH(R39,FlowCalNumber,0),1,1)," ")</f>
        <v>#N/A</v>
      </c>
      <c r="V46" s="33"/>
      <c r="W46" s="242">
        <f t="shared" si="46"/>
        <v>0.1</v>
      </c>
      <c r="X46" s="241" t="e">
        <f t="shared" ca="1" si="47"/>
        <v>#VALUE!</v>
      </c>
      <c r="Y46" s="243" t="e">
        <f ca="1">IF(AND(INDEX(FlowCalConstA,MATCH(V39,FlowCalNumber,0),1,1)*X46^INDEX(FlowCalConstB,MATCH(V39,FlowCalNumber,0),1,1)&gt;INDEX(FlowCalLowSetting,MATCH(V39,FlowCalNumber,0),1,1), (INDEX(FlowCalConstA,MATCH(V39,FlowCalNumber,0),1,1)*X46^INDEX(FlowCalConstB,MATCH(V39,FlowCalNumber,0),1,1)&lt;INDEX(FlowCalHighSetting,MATCH(V39,FlowCalNumber,0),1,1))),INDEX(FlowCalConstA,MATCH(V39,FlowCalNumber,0),1,1)*X46^INDEX(FlowCalConstB,MATCH(V39,FlowCalNumber,0),1,1)," ")</f>
        <v>#N/A</v>
      </c>
      <c r="Z46" s="33"/>
      <c r="AA46" s="242">
        <f t="shared" si="48"/>
        <v>0.9</v>
      </c>
      <c r="AB46" s="241" t="e">
        <f t="shared" ca="1" si="49"/>
        <v>#VALUE!</v>
      </c>
      <c r="AC46" s="243" t="e">
        <f ca="1">IF(AND(INDEX(FlowCalConstA,MATCH(Z39,FlowCalNumber,0),1,1)*AB46^INDEX(FlowCalConstB,MATCH(Z39,FlowCalNumber,0),1,1)&gt;INDEX(FlowCalLowSetting,MATCH(Z39,FlowCalNumber,0),1,1), (INDEX(FlowCalConstA,MATCH(Z39,FlowCalNumber,0),1,1)*AB46^INDEX(FlowCalConstB,MATCH(Z39,FlowCalNumber,0),1,1)&lt;INDEX(FlowCalHighSetting,MATCH(Z39,FlowCalNumber,0),1,1))),INDEX(FlowCalConstA,MATCH(Z39,FlowCalNumber,0),1,1)*AB46^INDEX(FlowCalConstB,MATCH(Z39,FlowCalNumber,0),1,1)," ")</f>
        <v>#N/A</v>
      </c>
      <c r="AD46" s="33"/>
      <c r="AE46" s="242">
        <f t="shared" si="50"/>
        <v>0.1</v>
      </c>
      <c r="AF46" s="241" t="e">
        <f t="shared" ca="1" si="51"/>
        <v>#VALUE!</v>
      </c>
      <c r="AG46" s="243" t="e">
        <f ca="1">IF(AND(INDEX(FlowCalConstA,MATCH(AD39,FlowCalNumber,0),1,1)*AF46^INDEX(FlowCalConstB,MATCH(AD39,FlowCalNumber,0),1,1)&gt;INDEX(FlowCalLowSetting,MATCH(AD39,FlowCalNumber,0),1,1), (INDEX(FlowCalConstA,MATCH(AD39,FlowCalNumber,0),1,1)*AF46^INDEX(FlowCalConstB,MATCH(AD39,FlowCalNumber,0),1,1)&lt;INDEX(FlowCalHighSetting,MATCH(AD39,FlowCalNumber,0),1,1))),INDEX(FlowCalConstA,MATCH(AD39,FlowCalNumber,0),1,1)*AF46^INDEX(FlowCalConstB,MATCH(AD39,FlowCalNumber,0),1,1)," ")</f>
        <v>#N/A</v>
      </c>
      <c r="AH46" s="33"/>
      <c r="AI46" s="242">
        <f t="shared" si="52"/>
        <v>0.9</v>
      </c>
      <c r="AJ46" s="241" t="e">
        <f t="shared" ca="1" si="53"/>
        <v>#VALUE!</v>
      </c>
      <c r="AK46" s="243" t="e">
        <f ca="1">IF(AND(INDEX(FlowCalConstA,MATCH(AH39,FlowCalNumber,0),1,1)*AJ46^INDEX(FlowCalConstB,MATCH(AH39,FlowCalNumber,0),1,1)&gt;INDEX(FlowCalLowSetting,MATCH(AH39,FlowCalNumber,0),1,1), (INDEX(FlowCalConstA,MATCH(AH39,FlowCalNumber,0),1,1)*AJ46^INDEX(FlowCalConstB,MATCH(AH39,FlowCalNumber,0),1,1)&lt;INDEX(FlowCalHighSetting,MATCH(AH39,FlowCalNumber,0),1,1))),INDEX(FlowCalConstA,MATCH(AH39,FlowCalNumber,0),1,1)*AJ46^INDEX(FlowCalConstB,MATCH(AH39,FlowCalNumber,0),1,1)," ")</f>
        <v>#N/A</v>
      </c>
      <c r="AL46" s="33"/>
      <c r="AM46" s="242"/>
      <c r="AN46" s="241"/>
      <c r="AO46" s="244"/>
      <c r="AQ46" s="242"/>
      <c r="AR46" s="241"/>
      <c r="AS46" s="244"/>
      <c r="AT46" s="33"/>
      <c r="AU46" s="242"/>
      <c r="AV46" s="241"/>
      <c r="AW46" s="244"/>
      <c r="AX46" s="33"/>
      <c r="AY46" s="242"/>
      <c r="AZ46" s="241"/>
      <c r="BA46" s="244"/>
      <c r="BB46" s="33"/>
      <c r="BC46" s="242"/>
      <c r="BD46" s="241"/>
      <c r="BE46" s="244"/>
      <c r="BF46" s="33"/>
      <c r="BG46" s="242"/>
      <c r="BH46" s="241"/>
      <c r="BI46" s="244"/>
      <c r="BJ46" s="33"/>
      <c r="BK46" s="242"/>
      <c r="BL46" s="241"/>
      <c r="BM46" s="244"/>
      <c r="BN46" s="33"/>
      <c r="BO46" s="242"/>
      <c r="BP46" s="241"/>
      <c r="BQ46" s="244"/>
      <c r="BR46" s="33"/>
      <c r="BS46" s="242"/>
      <c r="BT46" s="241"/>
      <c r="BU46" s="244"/>
      <c r="BV46" s="33"/>
      <c r="BW46" s="242"/>
      <c r="BX46" s="241"/>
      <c r="BY46" s="244"/>
      <c r="BZ46" s="33"/>
      <c r="CA46" s="242"/>
      <c r="CB46" s="241"/>
      <c r="CC46" s="244"/>
      <c r="CD46" s="243"/>
      <c r="CE46" s="243"/>
      <c r="CF46" s="243"/>
      <c r="CG46" s="243"/>
      <c r="CH46" s="243"/>
      <c r="CI46" s="243"/>
      <c r="CJ46" s="243"/>
      <c r="CK46" s="243"/>
      <c r="CL46" s="243"/>
      <c r="CM46" s="243"/>
      <c r="CN46" s="243"/>
      <c r="CO46" s="243"/>
      <c r="CP46" s="243"/>
      <c r="CQ46" s="243"/>
      <c r="CR46" s="243"/>
      <c r="CS46" s="243"/>
      <c r="CT46" s="243"/>
      <c r="CU46" s="243"/>
      <c r="CV46" s="243"/>
      <c r="CW46" s="243"/>
      <c r="CX46" s="243"/>
      <c r="CY46" s="243"/>
      <c r="CZ46" s="243"/>
      <c r="DA46" s="243"/>
      <c r="DB46" s="243"/>
      <c r="DC46" s="243"/>
      <c r="DD46" s="243"/>
      <c r="DE46" s="243"/>
      <c r="DF46" s="243"/>
      <c r="DG46" s="243"/>
      <c r="DH46" s="243"/>
      <c r="DI46" s="243"/>
      <c r="DJ46" s="243"/>
      <c r="DK46" s="243"/>
      <c r="DM46" s="242"/>
      <c r="DO46" s="243"/>
      <c r="DQ46" s="242"/>
      <c r="DS46" s="243"/>
      <c r="DU46" s="242"/>
      <c r="DW46" s="243"/>
      <c r="DY46" s="242"/>
      <c r="EA46" s="243"/>
    </row>
    <row r="47" spans="1:131">
      <c r="A47" s="20"/>
      <c r="B47" s="124" t="str">
        <f t="shared" si="38"/>
        <v/>
      </c>
      <c r="C47" s="235"/>
      <c r="D47" s="24">
        <f>'1% Wind'!$M$89</f>
        <v>7.6</v>
      </c>
      <c r="E47" s="90"/>
      <c r="F47" s="90"/>
      <c r="G47" s="79">
        <f ca="1">IF(I39=0.9743,$G46,MAX(G46/D46*D47,2))</f>
        <v>6.001707317073171</v>
      </c>
      <c r="H47" s="121" t="e">
        <f t="shared" ca="1" si="39"/>
        <v>#VALUE!</v>
      </c>
      <c r="J47" s="33"/>
      <c r="K47" s="242">
        <f t="shared" si="40"/>
        <v>1</v>
      </c>
      <c r="L47" s="241" t="e">
        <f t="shared" ca="1" si="41"/>
        <v>#VALUE!</v>
      </c>
      <c r="M47" s="243" t="e">
        <f ca="1">IF(AND(INDEX(FlowCalConstA,MATCH(J39,FlowCalNumber,0),1,1)*L47^INDEX(FlowCalConstB,MATCH(J39,FlowCalNumber,0),1,1)&gt;INDEX(FlowCalLowSetting,MATCH(J39,FlowCalNumber,0),1,1), (INDEX(FlowCalConstA,MATCH(J39,FlowCalNumber,0),1,1)*L47^INDEX(FlowCalConstB,MATCH(J39,FlowCalNumber,0),1,1)&lt;INDEX(FlowCalHighSetting,MATCH(J39,FlowCalNumber,0),1,1))),INDEX(FlowCalConstA,MATCH(J39,FlowCalNumber,0),1,1)*L47^INDEX(FlowCalConstB,MATCH(J39,FlowCalNumber,0),1,1)," ")</f>
        <v>#N/A</v>
      </c>
      <c r="N47" s="33"/>
      <c r="O47" s="242">
        <f t="shared" si="42"/>
        <v>1</v>
      </c>
      <c r="P47" s="241" t="e">
        <f t="shared" ca="1" si="43"/>
        <v>#VALUE!</v>
      </c>
      <c r="Q47" s="243" t="e">
        <f ca="1">IF(AND(INDEX(FlowCalConstA,MATCH(N39,FlowCalNumber,0),1,1)*P47^INDEX(FlowCalConstB,MATCH(N39,FlowCalNumber,0),1,1)&gt;INDEX(FlowCalLowSetting,MATCH(N39,FlowCalNumber,0),1,1), (INDEX(FlowCalConstA,MATCH(N39,FlowCalNumber,0),1,1)*P47^INDEX(FlowCalConstB,MATCH(N39,FlowCalNumber,0),1,1)&lt;INDEX(FlowCalHighSetting,MATCH(N39,FlowCalNumber,0),1,1))),INDEX(FlowCalConstA,MATCH(N39,FlowCalNumber,0),1,1)*P47^INDEX(FlowCalConstB,MATCH(N39,FlowCalNumber,0),1,1)," ")</f>
        <v>#N/A</v>
      </c>
      <c r="R47" s="33"/>
      <c r="S47" s="242">
        <f t="shared" si="44"/>
        <v>1</v>
      </c>
      <c r="T47" s="241" t="e">
        <f t="shared" ca="1" si="45"/>
        <v>#VALUE!</v>
      </c>
      <c r="U47" s="244" t="e">
        <f ca="1">IF(AND(INDEX(FlowCalConstA,MATCH(R39,FlowCalNumber,0),1,1)*T47^INDEX(FlowCalConstB,MATCH(R39,FlowCalNumber,0),1,1)&gt;INDEX(FlowCalLowSetting,MATCH(R39,FlowCalNumber,0),1,1), (INDEX(FlowCalConstA,MATCH(R39,FlowCalNumber,0),1,1)*T47^INDEX(FlowCalConstB,MATCH(R39,FlowCalNumber,0),1,1)&lt;INDEX(FlowCalHighSetting,MATCH(R39,FlowCalNumber,0),1,1))),INDEX(FlowCalConstA,MATCH(R39,FlowCalNumber,0),1,1)*T47^INDEX(FlowCalConstB,MATCH(R39,FlowCalNumber,0),1,1)," ")</f>
        <v>#N/A</v>
      </c>
      <c r="V47" s="33"/>
      <c r="W47" s="242">
        <f t="shared" si="46"/>
        <v>0.1</v>
      </c>
      <c r="X47" s="241" t="e">
        <f t="shared" ca="1" si="47"/>
        <v>#VALUE!</v>
      </c>
      <c r="Y47" s="243" t="e">
        <f ca="1">IF(AND(INDEX(FlowCalConstA,MATCH(V39,FlowCalNumber,0),1,1)*X47^INDEX(FlowCalConstB,MATCH(V39,FlowCalNumber,0),1,1)&gt;INDEX(FlowCalLowSetting,MATCH(V39,FlowCalNumber,0),1,1), (INDEX(FlowCalConstA,MATCH(V39,FlowCalNumber,0),1,1)*X47^INDEX(FlowCalConstB,MATCH(V39,FlowCalNumber,0),1,1)&lt;INDEX(FlowCalHighSetting,MATCH(V39,FlowCalNumber,0),1,1))),INDEX(FlowCalConstA,MATCH(V39,FlowCalNumber,0),1,1)*X47^INDEX(FlowCalConstB,MATCH(V39,FlowCalNumber,0),1,1)," ")</f>
        <v>#N/A</v>
      </c>
      <c r="Z47" s="33"/>
      <c r="AA47" s="242">
        <f t="shared" si="48"/>
        <v>0.9</v>
      </c>
      <c r="AB47" s="241" t="e">
        <f t="shared" ca="1" si="49"/>
        <v>#VALUE!</v>
      </c>
      <c r="AC47" s="243" t="e">
        <f ca="1">IF(AND(INDEX(FlowCalConstA,MATCH(Z39,FlowCalNumber,0),1,1)*AB47^INDEX(FlowCalConstB,MATCH(Z39,FlowCalNumber,0),1,1)&gt;INDEX(FlowCalLowSetting,MATCH(Z39,FlowCalNumber,0),1,1), (INDEX(FlowCalConstA,MATCH(Z39,FlowCalNumber,0),1,1)*AB47^INDEX(FlowCalConstB,MATCH(Z39,FlowCalNumber,0),1,1)&lt;INDEX(FlowCalHighSetting,MATCH(Z39,FlowCalNumber,0),1,1))),INDEX(FlowCalConstA,MATCH(Z39,FlowCalNumber,0),1,1)*AB47^INDEX(FlowCalConstB,MATCH(Z39,FlowCalNumber,0),1,1)," ")</f>
        <v>#N/A</v>
      </c>
      <c r="AD47" s="33"/>
      <c r="AE47" s="242">
        <f t="shared" si="50"/>
        <v>0.1</v>
      </c>
      <c r="AF47" s="241" t="e">
        <f t="shared" ca="1" si="51"/>
        <v>#VALUE!</v>
      </c>
      <c r="AG47" s="243" t="e">
        <f ca="1">IF(AND(INDEX(FlowCalConstA,MATCH(AD39,FlowCalNumber,0),1,1)*AF47^INDEX(FlowCalConstB,MATCH(AD39,FlowCalNumber,0),1,1)&gt;INDEX(FlowCalLowSetting,MATCH(AD39,FlowCalNumber,0),1,1), (INDEX(FlowCalConstA,MATCH(AD39,FlowCalNumber,0),1,1)*AF47^INDEX(FlowCalConstB,MATCH(AD39,FlowCalNumber,0),1,1)&lt;INDEX(FlowCalHighSetting,MATCH(AD39,FlowCalNumber,0),1,1))),INDEX(FlowCalConstA,MATCH(AD39,FlowCalNumber,0),1,1)*AF47^INDEX(FlowCalConstB,MATCH(AD39,FlowCalNumber,0),1,1)," ")</f>
        <v>#N/A</v>
      </c>
      <c r="AH47" s="33"/>
      <c r="AI47" s="242">
        <f t="shared" si="52"/>
        <v>0.9</v>
      </c>
      <c r="AJ47" s="241" t="e">
        <f t="shared" ca="1" si="53"/>
        <v>#VALUE!</v>
      </c>
      <c r="AK47" s="243" t="e">
        <f ca="1">IF(AND(INDEX(FlowCalConstA,MATCH(AH39,FlowCalNumber,0),1,1)*AJ47^INDEX(FlowCalConstB,MATCH(AH39,FlowCalNumber,0),1,1)&gt;INDEX(FlowCalLowSetting,MATCH(AH39,FlowCalNumber,0),1,1), (INDEX(FlowCalConstA,MATCH(AH39,FlowCalNumber,0),1,1)*AJ47^INDEX(FlowCalConstB,MATCH(AH39,FlowCalNumber,0),1,1)&lt;INDEX(FlowCalHighSetting,MATCH(AH39,FlowCalNumber,0),1,1))),INDEX(FlowCalConstA,MATCH(AH39,FlowCalNumber,0),1,1)*AJ47^INDEX(FlowCalConstB,MATCH(AH39,FlowCalNumber,0),1,1)," ")</f>
        <v>#N/A</v>
      </c>
      <c r="AL47" s="33"/>
      <c r="AM47" s="242"/>
      <c r="AN47" s="241"/>
      <c r="AO47" s="244"/>
      <c r="AQ47" s="242"/>
      <c r="AR47" s="241"/>
      <c r="AS47" s="244"/>
      <c r="AT47" s="33"/>
      <c r="AU47" s="242"/>
      <c r="AV47" s="241"/>
      <c r="AW47" s="244"/>
      <c r="AX47" s="33"/>
      <c r="AY47" s="242"/>
      <c r="AZ47" s="241"/>
      <c r="BA47" s="244"/>
      <c r="BB47" s="33"/>
      <c r="BC47" s="242"/>
      <c r="BD47" s="241"/>
      <c r="BE47" s="244"/>
      <c r="BF47" s="33"/>
      <c r="BG47" s="242"/>
      <c r="BH47" s="241"/>
      <c r="BI47" s="244"/>
      <c r="BJ47" s="33"/>
      <c r="BK47" s="242"/>
      <c r="BL47" s="241"/>
      <c r="BM47" s="244"/>
      <c r="BN47" s="33"/>
      <c r="BO47" s="242"/>
      <c r="BP47" s="241"/>
      <c r="BQ47" s="244"/>
      <c r="BR47" s="33"/>
      <c r="BS47" s="242"/>
      <c r="BT47" s="241"/>
      <c r="BU47" s="244"/>
      <c r="BV47" s="33"/>
      <c r="BW47" s="242"/>
      <c r="BX47" s="241"/>
      <c r="BY47" s="244"/>
      <c r="BZ47" s="33"/>
      <c r="CA47" s="242"/>
      <c r="CB47" s="241"/>
      <c r="CC47" s="244"/>
      <c r="CD47" s="243"/>
      <c r="CE47" s="243"/>
      <c r="CF47" s="243"/>
      <c r="CG47" s="243"/>
      <c r="CH47" s="243"/>
      <c r="CI47" s="243"/>
      <c r="CJ47" s="243"/>
      <c r="CK47" s="243"/>
      <c r="CL47" s="243"/>
      <c r="CM47" s="243"/>
      <c r="CN47" s="243"/>
      <c r="CO47" s="243"/>
      <c r="CP47" s="243"/>
      <c r="CQ47" s="243"/>
      <c r="CR47" s="243"/>
      <c r="CS47" s="243"/>
      <c r="CT47" s="243"/>
      <c r="CU47" s="243"/>
      <c r="CV47" s="243"/>
      <c r="CW47" s="243"/>
      <c r="CX47" s="243"/>
      <c r="CY47" s="243"/>
      <c r="CZ47" s="243"/>
      <c r="DA47" s="243"/>
      <c r="DB47" s="243"/>
      <c r="DC47" s="243"/>
      <c r="DD47" s="243"/>
      <c r="DE47" s="243"/>
      <c r="DF47" s="243"/>
      <c r="DG47" s="243"/>
      <c r="DH47" s="243"/>
      <c r="DI47" s="243"/>
      <c r="DJ47" s="243"/>
      <c r="DK47" s="243"/>
      <c r="DM47" s="242"/>
      <c r="DO47" s="243"/>
      <c r="DQ47" s="242"/>
      <c r="DS47" s="243"/>
      <c r="DU47" s="242"/>
      <c r="DW47" s="243"/>
      <c r="DY47" s="242"/>
      <c r="EA47" s="243"/>
    </row>
    <row r="48" spans="1:131">
      <c r="A48" s="20"/>
      <c r="B48" s="124" t="str">
        <f t="shared" si="38"/>
        <v/>
      </c>
      <c r="C48" s="235"/>
      <c r="D48" s="24">
        <f>'1% Wind'!$M$90</f>
        <v>5.7</v>
      </c>
      <c r="E48" s="90"/>
      <c r="F48" s="90"/>
      <c r="G48" s="79">
        <f ca="1">IF(I39=0.9743,$G47,MAX(G47/D47*D48,2))</f>
        <v>6.001707317073171</v>
      </c>
      <c r="H48" s="121" t="e">
        <f t="shared" ca="1" si="39"/>
        <v>#VALUE!</v>
      </c>
      <c r="J48" s="33"/>
      <c r="K48" s="242">
        <f t="shared" si="40"/>
        <v>1</v>
      </c>
      <c r="L48" s="241" t="e">
        <f t="shared" ca="1" si="41"/>
        <v>#VALUE!</v>
      </c>
      <c r="M48" s="243" t="e">
        <f ca="1">IF(AND(INDEX(FlowCalConstA,MATCH(J39,FlowCalNumber,0),1,1)*L48^INDEX(FlowCalConstB,MATCH(J39,FlowCalNumber,0),1,1)&gt;INDEX(FlowCalLowSetting,MATCH(J39,FlowCalNumber,0),1,1), (INDEX(FlowCalConstA,MATCH(J39,FlowCalNumber,0),1,1)*L48^INDEX(FlowCalConstB,MATCH(J39,FlowCalNumber,0),1,1)&lt;INDEX(FlowCalHighSetting,MATCH(J39,FlowCalNumber,0),1,1))),INDEX(FlowCalConstA,MATCH(J39,FlowCalNumber,0),1,1)*L48^INDEX(FlowCalConstB,MATCH(J39,FlowCalNumber,0),1,1)," ")</f>
        <v>#N/A</v>
      </c>
      <c r="N48" s="33"/>
      <c r="O48" s="242">
        <f t="shared" si="42"/>
        <v>1</v>
      </c>
      <c r="P48" s="241" t="e">
        <f t="shared" ca="1" si="43"/>
        <v>#VALUE!</v>
      </c>
      <c r="Q48" s="243" t="e">
        <f ca="1">IF(AND(INDEX(FlowCalConstA,MATCH(N39,FlowCalNumber,0),1,1)*P48^INDEX(FlowCalConstB,MATCH(N39,FlowCalNumber,0),1,1)&gt;INDEX(FlowCalLowSetting,MATCH(N39,FlowCalNumber,0),1,1), (INDEX(FlowCalConstA,MATCH(N39,FlowCalNumber,0),1,1)*P48^INDEX(FlowCalConstB,MATCH(N39,FlowCalNumber,0),1,1)&lt;INDEX(FlowCalHighSetting,MATCH(N39,FlowCalNumber,0),1,1))),INDEX(FlowCalConstA,MATCH(N39,FlowCalNumber,0),1,1)*P48^INDEX(FlowCalConstB,MATCH(N39,FlowCalNumber,0),1,1)," ")</f>
        <v>#N/A</v>
      </c>
      <c r="R48" s="33"/>
      <c r="S48" s="242">
        <f t="shared" si="44"/>
        <v>1</v>
      </c>
      <c r="T48" s="241" t="e">
        <f t="shared" ca="1" si="45"/>
        <v>#VALUE!</v>
      </c>
      <c r="U48" s="244" t="e">
        <f ca="1">IF(AND(INDEX(FlowCalConstA,MATCH(R39,FlowCalNumber,0),1,1)*T48^INDEX(FlowCalConstB,MATCH(R39,FlowCalNumber,0),1,1)&gt;INDEX(FlowCalLowSetting,MATCH(R39,FlowCalNumber,0),1,1), (INDEX(FlowCalConstA,MATCH(R39,FlowCalNumber,0),1,1)*T48^INDEX(FlowCalConstB,MATCH(R39,FlowCalNumber,0),1,1)&lt;INDEX(FlowCalHighSetting,MATCH(R39,FlowCalNumber,0),1,1))),INDEX(FlowCalConstA,MATCH(R39,FlowCalNumber,0),1,1)*T48^INDEX(FlowCalConstB,MATCH(R39,FlowCalNumber,0),1,1)," ")</f>
        <v>#N/A</v>
      </c>
      <c r="V48" s="33"/>
      <c r="W48" s="242">
        <f t="shared" si="46"/>
        <v>0.1</v>
      </c>
      <c r="X48" s="241" t="e">
        <f t="shared" ca="1" si="47"/>
        <v>#VALUE!</v>
      </c>
      <c r="Y48" s="243" t="e">
        <f ca="1">IF(AND(INDEX(FlowCalConstA,MATCH(V39,FlowCalNumber,0),1,1)*X48^INDEX(FlowCalConstB,MATCH(V39,FlowCalNumber,0),1,1)&gt;INDEX(FlowCalLowSetting,MATCH(V39,FlowCalNumber,0),1,1), (INDEX(FlowCalConstA,MATCH(V39,FlowCalNumber,0),1,1)*X48^INDEX(FlowCalConstB,MATCH(V39,FlowCalNumber,0),1,1)&lt;INDEX(FlowCalHighSetting,MATCH(V39,FlowCalNumber,0),1,1))),INDEX(FlowCalConstA,MATCH(V39,FlowCalNumber,0),1,1)*X48^INDEX(FlowCalConstB,MATCH(V39,FlowCalNumber,0),1,1)," ")</f>
        <v>#N/A</v>
      </c>
      <c r="Z48" s="33"/>
      <c r="AA48" s="242">
        <f t="shared" si="48"/>
        <v>0.9</v>
      </c>
      <c r="AB48" s="241" t="e">
        <f t="shared" ca="1" si="49"/>
        <v>#VALUE!</v>
      </c>
      <c r="AC48" s="243" t="e">
        <f ca="1">IF(AND(INDEX(FlowCalConstA,MATCH(Z39,FlowCalNumber,0),1,1)*AB48^INDEX(FlowCalConstB,MATCH(Z39,FlowCalNumber,0),1,1)&gt;INDEX(FlowCalLowSetting,MATCH(Z39,FlowCalNumber,0),1,1), (INDEX(FlowCalConstA,MATCH(Z39,FlowCalNumber,0),1,1)*AB48^INDEX(FlowCalConstB,MATCH(Z39,FlowCalNumber,0),1,1)&lt;INDEX(FlowCalHighSetting,MATCH(Z39,FlowCalNumber,0),1,1))),INDEX(FlowCalConstA,MATCH(Z39,FlowCalNumber,0),1,1)*AB48^INDEX(FlowCalConstB,MATCH(Z39,FlowCalNumber,0),1,1)," ")</f>
        <v>#N/A</v>
      </c>
      <c r="AD48" s="33"/>
      <c r="AE48" s="242">
        <f t="shared" si="50"/>
        <v>0.1</v>
      </c>
      <c r="AF48" s="241" t="e">
        <f t="shared" ca="1" si="51"/>
        <v>#VALUE!</v>
      </c>
      <c r="AG48" s="243" t="e">
        <f ca="1">IF(AND(INDEX(FlowCalConstA,MATCH(AD39,FlowCalNumber,0),1,1)*AF48^INDEX(FlowCalConstB,MATCH(AD39,FlowCalNumber,0),1,1)&gt;INDEX(FlowCalLowSetting,MATCH(AD39,FlowCalNumber,0),1,1), (INDEX(FlowCalConstA,MATCH(AD39,FlowCalNumber,0),1,1)*AF48^INDEX(FlowCalConstB,MATCH(AD39,FlowCalNumber,0),1,1)&lt;INDEX(FlowCalHighSetting,MATCH(AD39,FlowCalNumber,0),1,1))),INDEX(FlowCalConstA,MATCH(AD39,FlowCalNumber,0),1,1)*AF48^INDEX(FlowCalConstB,MATCH(AD39,FlowCalNumber,0),1,1)," ")</f>
        <v>#N/A</v>
      </c>
      <c r="AH48" s="33"/>
      <c r="AI48" s="242">
        <f t="shared" si="52"/>
        <v>0.9</v>
      </c>
      <c r="AJ48" s="241" t="e">
        <f t="shared" ca="1" si="53"/>
        <v>#VALUE!</v>
      </c>
      <c r="AK48" s="243" t="e">
        <f ca="1">IF(AND(INDEX(FlowCalConstA,MATCH(AH39,FlowCalNumber,0),1,1)*AJ48^INDEX(FlowCalConstB,MATCH(AH39,FlowCalNumber,0),1,1)&gt;INDEX(FlowCalLowSetting,MATCH(AH39,FlowCalNumber,0),1,1), (INDEX(FlowCalConstA,MATCH(AH39,FlowCalNumber,0),1,1)*AJ48^INDEX(FlowCalConstB,MATCH(AH39,FlowCalNumber,0),1,1)&lt;INDEX(FlowCalHighSetting,MATCH(AH39,FlowCalNumber,0),1,1))),INDEX(FlowCalConstA,MATCH(AH39,FlowCalNumber,0),1,1)*AJ48^INDEX(FlowCalConstB,MATCH(AH39,FlowCalNumber,0),1,1)," ")</f>
        <v>#N/A</v>
      </c>
      <c r="AL48" s="33"/>
      <c r="AM48" s="242"/>
      <c r="AN48" s="241"/>
      <c r="AO48" s="244"/>
      <c r="AQ48" s="242"/>
      <c r="AR48" s="241"/>
      <c r="AS48" s="244"/>
      <c r="AT48" s="33"/>
      <c r="AU48" s="242"/>
      <c r="AV48" s="241"/>
      <c r="AW48" s="244"/>
      <c r="AX48" s="33"/>
      <c r="AY48" s="242"/>
      <c r="AZ48" s="241"/>
      <c r="BA48" s="244"/>
      <c r="BB48" s="33"/>
      <c r="BC48" s="242"/>
      <c r="BD48" s="241"/>
      <c r="BE48" s="244"/>
      <c r="BF48" s="33"/>
      <c r="BG48" s="242"/>
      <c r="BH48" s="241"/>
      <c r="BI48" s="244"/>
      <c r="BJ48" s="33"/>
      <c r="BK48" s="242"/>
      <c r="BL48" s="241"/>
      <c r="BM48" s="244"/>
      <c r="BN48" s="33"/>
      <c r="BO48" s="242"/>
      <c r="BP48" s="241"/>
      <c r="BQ48" s="244"/>
      <c r="BR48" s="33"/>
      <c r="BS48" s="242"/>
      <c r="BT48" s="241"/>
      <c r="BU48" s="244"/>
      <c r="BV48" s="33"/>
      <c r="BW48" s="242"/>
      <c r="BX48" s="241"/>
      <c r="BY48" s="244"/>
      <c r="BZ48" s="33"/>
      <c r="CA48" s="242"/>
      <c r="CB48" s="241"/>
      <c r="CC48" s="244"/>
      <c r="CD48" s="243"/>
      <c r="CE48" s="243"/>
      <c r="CF48" s="243"/>
      <c r="CG48" s="243"/>
      <c r="CH48" s="243"/>
      <c r="CI48" s="243"/>
      <c r="CJ48" s="243"/>
      <c r="CK48" s="243"/>
      <c r="CL48" s="243"/>
      <c r="CM48" s="243"/>
      <c r="CN48" s="243"/>
      <c r="CO48" s="243"/>
      <c r="CP48" s="243"/>
      <c r="CQ48" s="243"/>
      <c r="CR48" s="243"/>
      <c r="CS48" s="243"/>
      <c r="CT48" s="243"/>
      <c r="CU48" s="243"/>
      <c r="CV48" s="243"/>
      <c r="CW48" s="243"/>
      <c r="CX48" s="243"/>
      <c r="CY48" s="243"/>
      <c r="CZ48" s="243"/>
      <c r="DA48" s="243"/>
      <c r="DB48" s="243"/>
      <c r="DC48" s="243"/>
      <c r="DD48" s="243"/>
      <c r="DE48" s="243"/>
      <c r="DF48" s="243"/>
      <c r="DG48" s="243"/>
      <c r="DH48" s="243"/>
      <c r="DI48" s="243"/>
      <c r="DJ48" s="243"/>
      <c r="DK48" s="243"/>
      <c r="DM48" s="242"/>
      <c r="DO48" s="243"/>
      <c r="DQ48" s="242"/>
      <c r="DS48" s="243"/>
      <c r="DU48" s="242"/>
      <c r="DW48" s="243"/>
      <c r="DY48" s="242"/>
      <c r="EA48" s="243"/>
    </row>
    <row r="49" spans="1:131">
      <c r="A49" s="20"/>
      <c r="B49" s="124" t="str">
        <f t="shared" si="38"/>
        <v/>
      </c>
      <c r="C49" s="235"/>
      <c r="D49" s="24">
        <f>'1% Wind'!$M$91</f>
        <v>4.2</v>
      </c>
      <c r="E49" s="90"/>
      <c r="F49" s="90"/>
      <c r="G49" s="79">
        <f ca="1">IF(I39=0.9743,$G48,MAX(G48/D48*D49,2))</f>
        <v>6.001707317073171</v>
      </c>
      <c r="H49" s="121" t="e">
        <f t="shared" ca="1" si="39"/>
        <v>#VALUE!</v>
      </c>
      <c r="J49" s="33"/>
      <c r="K49" s="242">
        <f t="shared" si="40"/>
        <v>1</v>
      </c>
      <c r="L49" s="241" t="e">
        <f t="shared" ca="1" si="41"/>
        <v>#VALUE!</v>
      </c>
      <c r="M49" s="243" t="e">
        <f ca="1">IF(AND(INDEX(FlowCalConstA,MATCH(J39,FlowCalNumber,0),1,1)*L49^INDEX(FlowCalConstB,MATCH(J39,FlowCalNumber,0),1,1)&gt;INDEX(FlowCalLowSetting,MATCH(J39,FlowCalNumber,0),1,1), (INDEX(FlowCalConstA,MATCH(J39,FlowCalNumber,0),1,1)*L49^INDEX(FlowCalConstB,MATCH(J39,FlowCalNumber,0),1,1)&lt;INDEX(FlowCalHighSetting,MATCH(J39,FlowCalNumber,0),1,1))),INDEX(FlowCalConstA,MATCH(J39,FlowCalNumber,0),1,1)*L49^INDEX(FlowCalConstB,MATCH(J39,FlowCalNumber,0),1,1)," ")</f>
        <v>#N/A</v>
      </c>
      <c r="N49" s="33"/>
      <c r="O49" s="242">
        <f t="shared" si="42"/>
        <v>1</v>
      </c>
      <c r="P49" s="241" t="e">
        <f t="shared" ca="1" si="43"/>
        <v>#VALUE!</v>
      </c>
      <c r="Q49" s="243" t="e">
        <f ca="1">IF(AND(INDEX(FlowCalConstA,MATCH(N39,FlowCalNumber,0),1,1)*P49^INDEX(FlowCalConstB,MATCH(N39,FlowCalNumber,0),1,1)&gt;INDEX(FlowCalLowSetting,MATCH(N39,FlowCalNumber,0),1,1), (INDEX(FlowCalConstA,MATCH(N39,FlowCalNumber,0),1,1)*P49^INDEX(FlowCalConstB,MATCH(N39,FlowCalNumber,0),1,1)&lt;INDEX(FlowCalHighSetting,MATCH(N39,FlowCalNumber,0),1,1))),INDEX(FlowCalConstA,MATCH(N39,FlowCalNumber,0),1,1)*P49^INDEX(FlowCalConstB,MATCH(N39,FlowCalNumber,0),1,1)," ")</f>
        <v>#N/A</v>
      </c>
      <c r="R49" s="33"/>
      <c r="S49" s="242">
        <f t="shared" si="44"/>
        <v>1</v>
      </c>
      <c r="T49" s="241" t="e">
        <f t="shared" ca="1" si="45"/>
        <v>#VALUE!</v>
      </c>
      <c r="U49" s="244" t="e">
        <f ca="1">IF(AND(INDEX(FlowCalConstA,MATCH(R39,FlowCalNumber,0),1,1)*T49^INDEX(FlowCalConstB,MATCH(R39,FlowCalNumber,0),1,1)&gt;INDEX(FlowCalLowSetting,MATCH(R39,FlowCalNumber,0),1,1), (INDEX(FlowCalConstA,MATCH(R39,FlowCalNumber,0),1,1)*T49^INDEX(FlowCalConstB,MATCH(R39,FlowCalNumber,0),1,1)&lt;INDEX(FlowCalHighSetting,MATCH(R39,FlowCalNumber,0),1,1))),INDEX(FlowCalConstA,MATCH(R39,FlowCalNumber,0),1,1)*T49^INDEX(FlowCalConstB,MATCH(R39,FlowCalNumber,0),1,1)," ")</f>
        <v>#N/A</v>
      </c>
      <c r="V49" s="33"/>
      <c r="W49" s="242">
        <f t="shared" si="46"/>
        <v>0.1</v>
      </c>
      <c r="X49" s="241" t="e">
        <f t="shared" ca="1" si="47"/>
        <v>#VALUE!</v>
      </c>
      <c r="Y49" s="243" t="e">
        <f ca="1">IF(AND(INDEX(FlowCalConstA,MATCH(V39,FlowCalNumber,0),1,1)*X49^INDEX(FlowCalConstB,MATCH(V39,FlowCalNumber,0),1,1)&gt;INDEX(FlowCalLowSetting,MATCH(V39,FlowCalNumber,0),1,1), (INDEX(FlowCalConstA,MATCH(V39,FlowCalNumber,0),1,1)*X49^INDEX(FlowCalConstB,MATCH(V39,FlowCalNumber,0),1,1)&lt;INDEX(FlowCalHighSetting,MATCH(V39,FlowCalNumber,0),1,1))),INDEX(FlowCalConstA,MATCH(V39,FlowCalNumber,0),1,1)*X49^INDEX(FlowCalConstB,MATCH(V39,FlowCalNumber,0),1,1)," ")</f>
        <v>#N/A</v>
      </c>
      <c r="Z49" s="33"/>
      <c r="AA49" s="242">
        <f t="shared" si="48"/>
        <v>0.9</v>
      </c>
      <c r="AB49" s="241" t="e">
        <f t="shared" ca="1" si="49"/>
        <v>#VALUE!</v>
      </c>
      <c r="AC49" s="243" t="e">
        <f ca="1">IF(AND(INDEX(FlowCalConstA,MATCH(Z39,FlowCalNumber,0),1,1)*AB49^INDEX(FlowCalConstB,MATCH(Z39,FlowCalNumber,0),1,1)&gt;INDEX(FlowCalLowSetting,MATCH(Z39,FlowCalNumber,0),1,1), (INDEX(FlowCalConstA,MATCH(Z39,FlowCalNumber,0),1,1)*AB49^INDEX(FlowCalConstB,MATCH(Z39,FlowCalNumber,0),1,1)&lt;INDEX(FlowCalHighSetting,MATCH(Z39,FlowCalNumber,0),1,1))),INDEX(FlowCalConstA,MATCH(Z39,FlowCalNumber,0),1,1)*AB49^INDEX(FlowCalConstB,MATCH(Z39,FlowCalNumber,0),1,1)," ")</f>
        <v>#N/A</v>
      </c>
      <c r="AD49" s="33"/>
      <c r="AE49" s="242">
        <f t="shared" si="50"/>
        <v>0.1</v>
      </c>
      <c r="AF49" s="241" t="e">
        <f t="shared" ca="1" si="51"/>
        <v>#VALUE!</v>
      </c>
      <c r="AG49" s="243" t="e">
        <f ca="1">IF(AND(INDEX(FlowCalConstA,MATCH(AD39,FlowCalNumber,0),1,1)*AF49^INDEX(FlowCalConstB,MATCH(AD39,FlowCalNumber,0),1,1)&gt;INDEX(FlowCalLowSetting,MATCH(AD39,FlowCalNumber,0),1,1), (INDEX(FlowCalConstA,MATCH(AD39,FlowCalNumber,0),1,1)*AF49^INDEX(FlowCalConstB,MATCH(AD39,FlowCalNumber,0),1,1)&lt;INDEX(FlowCalHighSetting,MATCH(AD39,FlowCalNumber,0),1,1))),INDEX(FlowCalConstA,MATCH(AD39,FlowCalNumber,0),1,1)*AF49^INDEX(FlowCalConstB,MATCH(AD39,FlowCalNumber,0),1,1)," ")</f>
        <v>#N/A</v>
      </c>
      <c r="AH49" s="33"/>
      <c r="AI49" s="242">
        <f t="shared" si="52"/>
        <v>0.9</v>
      </c>
      <c r="AJ49" s="241" t="e">
        <f t="shared" ca="1" si="53"/>
        <v>#VALUE!</v>
      </c>
      <c r="AK49" s="243" t="e">
        <f ca="1">IF(AND(INDEX(FlowCalConstA,MATCH(AH39,FlowCalNumber,0),1,1)*AJ49^INDEX(FlowCalConstB,MATCH(AH39,FlowCalNumber,0),1,1)&gt;INDEX(FlowCalLowSetting,MATCH(AH39,FlowCalNumber,0),1,1), (INDEX(FlowCalConstA,MATCH(AH39,FlowCalNumber,0),1,1)*AJ49^INDEX(FlowCalConstB,MATCH(AH39,FlowCalNumber,0),1,1)&lt;INDEX(FlowCalHighSetting,MATCH(AH39,FlowCalNumber,0),1,1))),INDEX(FlowCalConstA,MATCH(AH39,FlowCalNumber,0),1,1)*AJ49^INDEX(FlowCalConstB,MATCH(AH39,FlowCalNumber,0),1,1)," ")</f>
        <v>#N/A</v>
      </c>
      <c r="AL49" s="33"/>
      <c r="AM49" s="242"/>
      <c r="AN49" s="241"/>
      <c r="AO49" s="244"/>
      <c r="AQ49" s="242"/>
      <c r="AR49" s="241"/>
      <c r="AS49" s="244"/>
      <c r="AT49" s="33"/>
      <c r="AU49" s="242"/>
      <c r="AV49" s="241"/>
      <c r="AW49" s="244"/>
      <c r="AX49" s="33"/>
      <c r="AY49" s="242"/>
      <c r="AZ49" s="241"/>
      <c r="BA49" s="244"/>
      <c r="BB49" s="33"/>
      <c r="BC49" s="242"/>
      <c r="BD49" s="241"/>
      <c r="BE49" s="244"/>
      <c r="BF49" s="33"/>
      <c r="BG49" s="242"/>
      <c r="BH49" s="241"/>
      <c r="BI49" s="244"/>
      <c r="BJ49" s="33"/>
      <c r="BK49" s="242"/>
      <c r="BL49" s="241"/>
      <c r="BM49" s="244"/>
      <c r="BN49" s="33"/>
      <c r="BO49" s="242"/>
      <c r="BP49" s="241"/>
      <c r="BQ49" s="244"/>
      <c r="BR49" s="33"/>
      <c r="BS49" s="242"/>
      <c r="BT49" s="241"/>
      <c r="BU49" s="244"/>
      <c r="BV49" s="33"/>
      <c r="BW49" s="242"/>
      <c r="BX49" s="241"/>
      <c r="BY49" s="244"/>
      <c r="BZ49" s="33"/>
      <c r="CA49" s="242"/>
      <c r="CB49" s="241"/>
      <c r="CC49" s="244"/>
      <c r="CD49" s="243"/>
      <c r="CE49" s="243"/>
      <c r="CF49" s="243"/>
      <c r="CG49" s="243"/>
      <c r="CH49" s="243"/>
      <c r="CI49" s="243"/>
      <c r="CJ49" s="243"/>
      <c r="CK49" s="243"/>
      <c r="CL49" s="243"/>
      <c r="CM49" s="243"/>
      <c r="CN49" s="243"/>
      <c r="CO49" s="243"/>
      <c r="CP49" s="243"/>
      <c r="CQ49" s="243"/>
      <c r="CR49" s="243"/>
      <c r="CS49" s="243"/>
      <c r="CT49" s="243"/>
      <c r="CU49" s="243"/>
      <c r="CV49" s="243"/>
      <c r="CW49" s="243"/>
      <c r="CX49" s="243"/>
      <c r="CY49" s="243"/>
      <c r="CZ49" s="243"/>
      <c r="DA49" s="243"/>
      <c r="DB49" s="243"/>
      <c r="DC49" s="243"/>
      <c r="DD49" s="243"/>
      <c r="DE49" s="243"/>
      <c r="DF49" s="243"/>
      <c r="DG49" s="243"/>
      <c r="DH49" s="243"/>
      <c r="DI49" s="243"/>
      <c r="DJ49" s="243"/>
      <c r="DK49" s="243"/>
      <c r="DM49" s="242"/>
      <c r="DO49" s="243"/>
      <c r="DQ49" s="242"/>
      <c r="DS49" s="243"/>
      <c r="DU49" s="242"/>
      <c r="DW49" s="243"/>
      <c r="DY49" s="242"/>
      <c r="EA49" s="243"/>
    </row>
    <row r="50" spans="1:131">
      <c r="A50" s="20"/>
      <c r="B50" s="124" t="str">
        <f t="shared" si="38"/>
        <v/>
      </c>
      <c r="C50" s="235"/>
      <c r="D50" s="24">
        <f>'1% Wind'!$M$92</f>
        <v>3.2</v>
      </c>
      <c r="E50" s="90"/>
      <c r="F50" s="90"/>
      <c r="G50" s="79">
        <f ca="1">IF(I39=0.9743,$G49,MAX(G49/D49*D50,2))</f>
        <v>6.001707317073171</v>
      </c>
      <c r="H50" s="121" t="e">
        <f t="shared" ca="1" si="39"/>
        <v>#VALUE!</v>
      </c>
      <c r="J50" s="33"/>
      <c r="K50" s="242">
        <f t="shared" si="40"/>
        <v>1</v>
      </c>
      <c r="L50" s="241" t="e">
        <f t="shared" ca="1" si="41"/>
        <v>#VALUE!</v>
      </c>
      <c r="M50" s="243" t="e">
        <f ca="1">IF(AND(INDEX(FlowCalConstA,MATCH(J39,FlowCalNumber,0),1,1)*L50^INDEX(FlowCalConstB,MATCH(J39,FlowCalNumber,0),1,1)&gt;INDEX(FlowCalLowSetting,MATCH(J39,FlowCalNumber,0),1,1), (INDEX(FlowCalConstA,MATCH(J39,FlowCalNumber,0),1,1)*L50^INDEX(FlowCalConstB,MATCH(J39,FlowCalNumber,0),1,1)&lt;INDEX(FlowCalHighSetting,MATCH(J39,FlowCalNumber,0),1,1))),INDEX(FlowCalConstA,MATCH(J39,FlowCalNumber,0),1,1)*L50^INDEX(FlowCalConstB,MATCH(J39,FlowCalNumber,0),1,1)," ")</f>
        <v>#N/A</v>
      </c>
      <c r="N50" s="33"/>
      <c r="O50" s="242">
        <f t="shared" si="42"/>
        <v>1</v>
      </c>
      <c r="P50" s="241" t="e">
        <f t="shared" ca="1" si="43"/>
        <v>#VALUE!</v>
      </c>
      <c r="Q50" s="243" t="e">
        <f ca="1">IF(AND(INDEX(FlowCalConstA,MATCH(N39,FlowCalNumber,0),1,1)*P50^INDEX(FlowCalConstB,MATCH(N39,FlowCalNumber,0),1,1)&gt;INDEX(FlowCalLowSetting,MATCH(N39,FlowCalNumber,0),1,1), (INDEX(FlowCalConstA,MATCH(N39,FlowCalNumber,0),1,1)*P50^INDEX(FlowCalConstB,MATCH(N39,FlowCalNumber,0),1,1)&lt;INDEX(FlowCalHighSetting,MATCH(N39,FlowCalNumber,0),1,1))),INDEX(FlowCalConstA,MATCH(N39,FlowCalNumber,0),1,1)*P50^INDEX(FlowCalConstB,MATCH(N39,FlowCalNumber,0),1,1)," ")</f>
        <v>#N/A</v>
      </c>
      <c r="R50" s="33"/>
      <c r="S50" s="242">
        <f t="shared" si="44"/>
        <v>1</v>
      </c>
      <c r="T50" s="241" t="e">
        <f t="shared" ca="1" si="45"/>
        <v>#VALUE!</v>
      </c>
      <c r="U50" s="244" t="e">
        <f ca="1">IF(AND(INDEX(FlowCalConstA,MATCH(R39,FlowCalNumber,0),1,1)*T50^INDEX(FlowCalConstB,MATCH(R39,FlowCalNumber,0),1,1)&gt;INDEX(FlowCalLowSetting,MATCH(R39,FlowCalNumber,0),1,1), (INDEX(FlowCalConstA,MATCH(R39,FlowCalNumber,0),1,1)*T50^INDEX(FlowCalConstB,MATCH(R39,FlowCalNumber,0),1,1)&lt;INDEX(FlowCalHighSetting,MATCH(R39,FlowCalNumber,0),1,1))),INDEX(FlowCalConstA,MATCH(R39,FlowCalNumber,0),1,1)*T50^INDEX(FlowCalConstB,MATCH(R39,FlowCalNumber,0),1,1)," ")</f>
        <v>#N/A</v>
      </c>
      <c r="V50" s="33"/>
      <c r="W50" s="242">
        <f t="shared" si="46"/>
        <v>0.1</v>
      </c>
      <c r="X50" s="241" t="e">
        <f t="shared" ca="1" si="47"/>
        <v>#VALUE!</v>
      </c>
      <c r="Y50" s="243" t="e">
        <f ca="1">IF(AND(INDEX(FlowCalConstA,MATCH(V39,FlowCalNumber,0),1,1)*X50^INDEX(FlowCalConstB,MATCH(V39,FlowCalNumber,0),1,1)&gt;INDEX(FlowCalLowSetting,MATCH(V39,FlowCalNumber,0),1,1), (INDEX(FlowCalConstA,MATCH(V39,FlowCalNumber,0),1,1)*X50^INDEX(FlowCalConstB,MATCH(V39,FlowCalNumber,0),1,1)&lt;INDEX(FlowCalHighSetting,MATCH(V39,FlowCalNumber,0),1,1))),INDEX(FlowCalConstA,MATCH(V39,FlowCalNumber,0),1,1)*X50^INDEX(FlowCalConstB,MATCH(V39,FlowCalNumber,0),1,1)," ")</f>
        <v>#N/A</v>
      </c>
      <c r="Z50" s="33"/>
      <c r="AA50" s="242">
        <f t="shared" si="48"/>
        <v>0.9</v>
      </c>
      <c r="AB50" s="241" t="e">
        <f t="shared" ca="1" si="49"/>
        <v>#VALUE!</v>
      </c>
      <c r="AC50" s="243" t="e">
        <f ca="1">IF(AND(INDEX(FlowCalConstA,MATCH(Z39,FlowCalNumber,0),1,1)*AB50^INDEX(FlowCalConstB,MATCH(Z39,FlowCalNumber,0),1,1)&gt;INDEX(FlowCalLowSetting,MATCH(Z39,FlowCalNumber,0),1,1), (INDEX(FlowCalConstA,MATCH(Z39,FlowCalNumber,0),1,1)*AB50^INDEX(FlowCalConstB,MATCH(Z39,FlowCalNumber,0),1,1)&lt;INDEX(FlowCalHighSetting,MATCH(Z39,FlowCalNumber,0),1,1))),INDEX(FlowCalConstA,MATCH(Z39,FlowCalNumber,0),1,1)*AB50^INDEX(FlowCalConstB,MATCH(Z39,FlowCalNumber,0),1,1)," ")</f>
        <v>#N/A</v>
      </c>
      <c r="AD50" s="33"/>
      <c r="AE50" s="242">
        <f t="shared" si="50"/>
        <v>0.1</v>
      </c>
      <c r="AF50" s="241" t="e">
        <f t="shared" ca="1" si="51"/>
        <v>#VALUE!</v>
      </c>
      <c r="AG50" s="243" t="e">
        <f ca="1">IF(AND(INDEX(FlowCalConstA,MATCH(AD39,FlowCalNumber,0),1,1)*AF50^INDEX(FlowCalConstB,MATCH(AD39,FlowCalNumber,0),1,1)&gt;INDEX(FlowCalLowSetting,MATCH(AD39,FlowCalNumber,0),1,1), (INDEX(FlowCalConstA,MATCH(AD39,FlowCalNumber,0),1,1)*AF50^INDEX(FlowCalConstB,MATCH(AD39,FlowCalNumber,0),1,1)&lt;INDEX(FlowCalHighSetting,MATCH(AD39,FlowCalNumber,0),1,1))),INDEX(FlowCalConstA,MATCH(AD39,FlowCalNumber,0),1,1)*AF50^INDEX(FlowCalConstB,MATCH(AD39,FlowCalNumber,0),1,1)," ")</f>
        <v>#N/A</v>
      </c>
      <c r="AH50" s="33"/>
      <c r="AI50" s="242">
        <f t="shared" si="52"/>
        <v>0.9</v>
      </c>
      <c r="AJ50" s="241" t="e">
        <f t="shared" ca="1" si="53"/>
        <v>#VALUE!</v>
      </c>
      <c r="AK50" s="243" t="e">
        <f ca="1">IF(AND(INDEX(FlowCalConstA,MATCH(AH39,FlowCalNumber,0),1,1)*AJ50^INDEX(FlowCalConstB,MATCH(AH39,FlowCalNumber,0),1,1)&gt;INDEX(FlowCalLowSetting,MATCH(AH39,FlowCalNumber,0),1,1), (INDEX(FlowCalConstA,MATCH(AH39,FlowCalNumber,0),1,1)*AJ50^INDEX(FlowCalConstB,MATCH(AH39,FlowCalNumber,0),1,1)&lt;INDEX(FlowCalHighSetting,MATCH(AH39,FlowCalNumber,0),1,1))),INDEX(FlowCalConstA,MATCH(AH39,FlowCalNumber,0),1,1)*AJ50^INDEX(FlowCalConstB,MATCH(AH39,FlowCalNumber,0),1,1)," ")</f>
        <v>#N/A</v>
      </c>
      <c r="AL50" s="33"/>
      <c r="AM50" s="242"/>
      <c r="AN50" s="241"/>
      <c r="AO50" s="244"/>
      <c r="AQ50" s="242"/>
      <c r="AR50" s="241"/>
      <c r="AS50" s="244"/>
      <c r="AT50" s="33"/>
      <c r="AU50" s="242"/>
      <c r="AV50" s="241"/>
      <c r="AW50" s="244"/>
      <c r="AX50" s="33"/>
      <c r="AY50" s="242"/>
      <c r="AZ50" s="241"/>
      <c r="BA50" s="244"/>
      <c r="BB50" s="33"/>
      <c r="BC50" s="242"/>
      <c r="BD50" s="241"/>
      <c r="BE50" s="244"/>
      <c r="BF50" s="33"/>
      <c r="BG50" s="242"/>
      <c r="BH50" s="241"/>
      <c r="BI50" s="244"/>
      <c r="BJ50" s="33"/>
      <c r="BK50" s="242"/>
      <c r="BL50" s="241"/>
      <c r="BM50" s="244"/>
      <c r="BN50" s="33"/>
      <c r="BO50" s="242"/>
      <c r="BP50" s="241"/>
      <c r="BQ50" s="244"/>
      <c r="BR50" s="33"/>
      <c r="BS50" s="242"/>
      <c r="BT50" s="241"/>
      <c r="BU50" s="244"/>
      <c r="BV50" s="33"/>
      <c r="BW50" s="242"/>
      <c r="BX50" s="241"/>
      <c r="BY50" s="244"/>
      <c r="BZ50" s="33"/>
      <c r="CA50" s="242"/>
      <c r="CB50" s="241"/>
      <c r="CC50" s="244"/>
      <c r="CD50" s="243"/>
      <c r="CE50" s="243"/>
      <c r="CF50" s="243"/>
      <c r="CG50" s="243"/>
      <c r="CH50" s="243"/>
      <c r="CI50" s="243"/>
      <c r="CJ50" s="243"/>
      <c r="CK50" s="243"/>
      <c r="CL50" s="243"/>
      <c r="CM50" s="243"/>
      <c r="CN50" s="243"/>
      <c r="CO50" s="243"/>
      <c r="CP50" s="243"/>
      <c r="CQ50" s="243"/>
      <c r="CR50" s="243"/>
      <c r="CS50" s="243"/>
      <c r="CT50" s="243"/>
      <c r="CU50" s="243"/>
      <c r="CV50" s="243"/>
      <c r="CW50" s="243"/>
      <c r="CX50" s="243"/>
      <c r="CY50" s="243"/>
      <c r="CZ50" s="243"/>
      <c r="DA50" s="243"/>
      <c r="DB50" s="243"/>
      <c r="DC50" s="243"/>
      <c r="DD50" s="243"/>
      <c r="DE50" s="243"/>
      <c r="DF50" s="243"/>
      <c r="DG50" s="243"/>
      <c r="DH50" s="243"/>
      <c r="DI50" s="243"/>
      <c r="DJ50" s="243"/>
      <c r="DK50" s="243"/>
      <c r="DM50" s="242"/>
      <c r="DO50" s="243"/>
      <c r="DQ50" s="242"/>
      <c r="DS50" s="243"/>
      <c r="DU50" s="242"/>
      <c r="DW50" s="243"/>
      <c r="DY50" s="242"/>
      <c r="EA50" s="243"/>
    </row>
    <row r="51" spans="1:131">
      <c r="A51" s="20"/>
      <c r="B51" s="124" t="str">
        <f t="shared" si="38"/>
        <v/>
      </c>
      <c r="C51" s="235"/>
      <c r="D51" s="24">
        <f>'1% Wind'!$M$93</f>
        <v>2.4</v>
      </c>
      <c r="E51" s="90"/>
      <c r="F51" s="90"/>
      <c r="G51" s="79">
        <f ca="1">IF(I39=0.9743,$G50,MAX(G50/D50*D51,2))</f>
        <v>6.001707317073171</v>
      </c>
      <c r="H51" s="121" t="e">
        <f t="shared" ca="1" si="39"/>
        <v>#VALUE!</v>
      </c>
      <c r="J51" s="33"/>
      <c r="K51" s="242">
        <f t="shared" si="40"/>
        <v>1</v>
      </c>
      <c r="L51" s="241" t="e">
        <f t="shared" ca="1" si="41"/>
        <v>#VALUE!</v>
      </c>
      <c r="M51" s="243" t="e">
        <f ca="1">IF(AND(INDEX(FlowCalConstA,MATCH(J39,FlowCalNumber,0),1,1)*L51^INDEX(FlowCalConstB,MATCH(J39,FlowCalNumber,0),1,1)&gt;INDEX(FlowCalLowSetting,MATCH(J39,FlowCalNumber,0),1,1), (INDEX(FlowCalConstA,MATCH(J39,FlowCalNumber,0),1,1)*L51^INDEX(FlowCalConstB,MATCH(J39,FlowCalNumber,0),1,1)&lt;INDEX(FlowCalHighSetting,MATCH(J39,FlowCalNumber,0),1,1))),INDEX(FlowCalConstA,MATCH(J39,FlowCalNumber,0),1,1)*L51^INDEX(FlowCalConstB,MATCH(J39,FlowCalNumber,0),1,1)," ")</f>
        <v>#N/A</v>
      </c>
      <c r="N51" s="33"/>
      <c r="O51" s="242">
        <f t="shared" si="42"/>
        <v>1</v>
      </c>
      <c r="P51" s="241" t="e">
        <f t="shared" ca="1" si="43"/>
        <v>#VALUE!</v>
      </c>
      <c r="Q51" s="243" t="e">
        <f ca="1">IF(AND(INDEX(FlowCalConstA,MATCH(N39,FlowCalNumber,0),1,1)*P51^INDEX(FlowCalConstB,MATCH(N39,FlowCalNumber,0),1,1)&gt;INDEX(FlowCalLowSetting,MATCH(N39,FlowCalNumber,0),1,1), (INDEX(FlowCalConstA,MATCH(N39,FlowCalNumber,0),1,1)*P51^INDEX(FlowCalConstB,MATCH(N39,FlowCalNumber,0),1,1)&lt;INDEX(FlowCalHighSetting,MATCH(N39,FlowCalNumber,0),1,1))),INDEX(FlowCalConstA,MATCH(N39,FlowCalNumber,0),1,1)*P51^INDEX(FlowCalConstB,MATCH(N39,FlowCalNumber,0),1,1)," ")</f>
        <v>#N/A</v>
      </c>
      <c r="R51" s="33"/>
      <c r="S51" s="242">
        <f t="shared" si="44"/>
        <v>1</v>
      </c>
      <c r="T51" s="241" t="e">
        <f t="shared" ca="1" si="45"/>
        <v>#VALUE!</v>
      </c>
      <c r="U51" s="244" t="e">
        <f ca="1">IF(AND(INDEX(FlowCalConstA,MATCH(R39,FlowCalNumber,0),1,1)*T51^INDEX(FlowCalConstB,MATCH(R39,FlowCalNumber,0),1,1)&gt;INDEX(FlowCalLowSetting,MATCH(R39,FlowCalNumber,0),1,1), (INDEX(FlowCalConstA,MATCH(R39,FlowCalNumber,0),1,1)*T51^INDEX(FlowCalConstB,MATCH(R39,FlowCalNumber,0),1,1)&lt;INDEX(FlowCalHighSetting,MATCH(R39,FlowCalNumber,0),1,1))),INDEX(FlowCalConstA,MATCH(R39,FlowCalNumber,0),1,1)*T51^INDEX(FlowCalConstB,MATCH(R39,FlowCalNumber,0),1,1)," ")</f>
        <v>#N/A</v>
      </c>
      <c r="V51" s="33"/>
      <c r="W51" s="242">
        <f t="shared" si="46"/>
        <v>0.1</v>
      </c>
      <c r="X51" s="241" t="e">
        <f t="shared" ca="1" si="47"/>
        <v>#VALUE!</v>
      </c>
      <c r="Y51" s="243" t="e">
        <f ca="1">IF(AND(INDEX(FlowCalConstA,MATCH(V39,FlowCalNumber,0),1,1)*X51^INDEX(FlowCalConstB,MATCH(V39,FlowCalNumber,0),1,1)&gt;INDEX(FlowCalLowSetting,MATCH(V39,FlowCalNumber,0),1,1), (INDEX(FlowCalConstA,MATCH(V39,FlowCalNumber,0),1,1)*X51^INDEX(FlowCalConstB,MATCH(V39,FlowCalNumber,0),1,1)&lt;INDEX(FlowCalHighSetting,MATCH(V39,FlowCalNumber,0),1,1))),INDEX(FlowCalConstA,MATCH(V39,FlowCalNumber,0),1,1)*X51^INDEX(FlowCalConstB,MATCH(V39,FlowCalNumber,0),1,1)," ")</f>
        <v>#N/A</v>
      </c>
      <c r="Z51" s="33"/>
      <c r="AA51" s="242">
        <f t="shared" si="48"/>
        <v>0.9</v>
      </c>
      <c r="AB51" s="241" t="e">
        <f t="shared" ca="1" si="49"/>
        <v>#VALUE!</v>
      </c>
      <c r="AC51" s="243" t="e">
        <f ca="1">IF(AND(INDEX(FlowCalConstA,MATCH(Z39,FlowCalNumber,0),1,1)*AB51^INDEX(FlowCalConstB,MATCH(Z39,FlowCalNumber,0),1,1)&gt;INDEX(FlowCalLowSetting,MATCH(Z39,FlowCalNumber,0),1,1), (INDEX(FlowCalConstA,MATCH(Z39,FlowCalNumber,0),1,1)*AB51^INDEX(FlowCalConstB,MATCH(Z39,FlowCalNumber,0),1,1)&lt;INDEX(FlowCalHighSetting,MATCH(Z39,FlowCalNumber,0),1,1))),INDEX(FlowCalConstA,MATCH(Z39,FlowCalNumber,0),1,1)*AB51^INDEX(FlowCalConstB,MATCH(Z39,FlowCalNumber,0),1,1)," ")</f>
        <v>#N/A</v>
      </c>
      <c r="AD51" s="33"/>
      <c r="AE51" s="242">
        <f t="shared" si="50"/>
        <v>0.1</v>
      </c>
      <c r="AF51" s="241" t="e">
        <f t="shared" ca="1" si="51"/>
        <v>#VALUE!</v>
      </c>
      <c r="AG51" s="243" t="e">
        <f ca="1">IF(AND(INDEX(FlowCalConstA,MATCH(AD39,FlowCalNumber,0),1,1)*AF51^INDEX(FlowCalConstB,MATCH(AD39,FlowCalNumber,0),1,1)&gt;INDEX(FlowCalLowSetting,MATCH(AD39,FlowCalNumber,0),1,1), (INDEX(FlowCalConstA,MATCH(AD39,FlowCalNumber,0),1,1)*AF51^INDEX(FlowCalConstB,MATCH(AD39,FlowCalNumber,0),1,1)&lt;INDEX(FlowCalHighSetting,MATCH(AD39,FlowCalNumber,0),1,1))),INDEX(FlowCalConstA,MATCH(AD39,FlowCalNumber,0),1,1)*AF51^INDEX(FlowCalConstB,MATCH(AD39,FlowCalNumber,0),1,1)," ")</f>
        <v>#N/A</v>
      </c>
      <c r="AH51" s="33"/>
      <c r="AI51" s="242">
        <f t="shared" si="52"/>
        <v>0.9</v>
      </c>
      <c r="AJ51" s="241" t="e">
        <f t="shared" ca="1" si="53"/>
        <v>#VALUE!</v>
      </c>
      <c r="AK51" s="243" t="e">
        <f ca="1">IF(AND(INDEX(FlowCalConstA,MATCH(AH39,FlowCalNumber,0),1,1)*AJ51^INDEX(FlowCalConstB,MATCH(AH39,FlowCalNumber,0),1,1)&gt;INDEX(FlowCalLowSetting,MATCH(AH39,FlowCalNumber,0),1,1), (INDEX(FlowCalConstA,MATCH(AH39,FlowCalNumber,0),1,1)*AJ51^INDEX(FlowCalConstB,MATCH(AH39,FlowCalNumber,0),1,1)&lt;INDEX(FlowCalHighSetting,MATCH(AH39,FlowCalNumber,0),1,1))),INDEX(FlowCalConstA,MATCH(AH39,FlowCalNumber,0),1,1)*AJ51^INDEX(FlowCalConstB,MATCH(AH39,FlowCalNumber,0),1,1)," ")</f>
        <v>#N/A</v>
      </c>
      <c r="AL51" s="33"/>
      <c r="AM51" s="242"/>
      <c r="AN51" s="241"/>
      <c r="AO51" s="244"/>
      <c r="AQ51" s="242"/>
      <c r="AR51" s="241"/>
      <c r="AS51" s="244"/>
      <c r="AT51" s="33"/>
      <c r="AU51" s="242"/>
      <c r="AV51" s="241"/>
      <c r="AW51" s="244"/>
      <c r="AX51" s="33"/>
      <c r="AY51" s="242"/>
      <c r="AZ51" s="241"/>
      <c r="BA51" s="244"/>
      <c r="BB51" s="33"/>
      <c r="BC51" s="242"/>
      <c r="BD51" s="241"/>
      <c r="BE51" s="244"/>
      <c r="BF51" s="33"/>
      <c r="BG51" s="242"/>
      <c r="BH51" s="241"/>
      <c r="BI51" s="244"/>
      <c r="BJ51" s="33"/>
      <c r="BK51" s="242"/>
      <c r="BL51" s="241"/>
      <c r="BM51" s="244"/>
      <c r="BN51" s="33"/>
      <c r="BO51" s="242"/>
      <c r="BP51" s="241"/>
      <c r="BQ51" s="244"/>
      <c r="BR51" s="33"/>
      <c r="BS51" s="242"/>
      <c r="BT51" s="241"/>
      <c r="BU51" s="244"/>
      <c r="BV51" s="33"/>
      <c r="BW51" s="242"/>
      <c r="BX51" s="241"/>
      <c r="BY51" s="244"/>
      <c r="BZ51" s="33"/>
      <c r="CA51" s="242"/>
      <c r="CB51" s="241"/>
      <c r="CC51" s="244"/>
      <c r="CD51" s="243"/>
      <c r="CE51" s="243"/>
      <c r="CF51" s="243"/>
      <c r="CG51" s="243"/>
      <c r="CH51" s="243"/>
      <c r="CI51" s="243"/>
      <c r="CJ51" s="243"/>
      <c r="CK51" s="243"/>
      <c r="CL51" s="243"/>
      <c r="CM51" s="243"/>
      <c r="CN51" s="243"/>
      <c r="CO51" s="243"/>
      <c r="CP51" s="243"/>
      <c r="CQ51" s="243"/>
      <c r="CR51" s="243"/>
      <c r="CS51" s="243"/>
      <c r="CT51" s="243"/>
      <c r="CU51" s="243"/>
      <c r="CV51" s="243"/>
      <c r="CW51" s="243"/>
      <c r="CX51" s="243"/>
      <c r="CY51" s="243"/>
      <c r="CZ51" s="243"/>
      <c r="DA51" s="243"/>
      <c r="DB51" s="243"/>
      <c r="DC51" s="243"/>
      <c r="DD51" s="243"/>
      <c r="DE51" s="243"/>
      <c r="DF51" s="243"/>
      <c r="DG51" s="243"/>
      <c r="DH51" s="243"/>
      <c r="DI51" s="243"/>
      <c r="DJ51" s="243"/>
      <c r="DK51" s="243"/>
      <c r="DM51" s="242"/>
      <c r="DO51" s="243"/>
      <c r="DQ51" s="242"/>
      <c r="DS51" s="243"/>
      <c r="DU51" s="242"/>
      <c r="DW51" s="243"/>
      <c r="DY51" s="242"/>
      <c r="EA51" s="243"/>
    </row>
    <row r="52" spans="1:131">
      <c r="A52" s="20"/>
      <c r="B52" s="124" t="str">
        <f t="shared" si="38"/>
        <v/>
      </c>
      <c r="C52" s="235"/>
      <c r="D52" s="24">
        <f>'1% Wind'!$M$94</f>
        <v>1.8</v>
      </c>
      <c r="E52" s="90"/>
      <c r="F52" s="90"/>
      <c r="G52" s="79">
        <f ca="1">IF(I39=0.9743,$G51,MAX(G51/D51*D52,2))</f>
        <v>6.001707317073171</v>
      </c>
      <c r="H52" s="121" t="e">
        <f t="shared" ca="1" si="39"/>
        <v>#VALUE!</v>
      </c>
      <c r="J52" s="33"/>
      <c r="K52" s="242">
        <f t="shared" si="40"/>
        <v>1</v>
      </c>
      <c r="L52" s="241" t="e">
        <f t="shared" ca="1" si="41"/>
        <v>#VALUE!</v>
      </c>
      <c r="M52" s="243" t="e">
        <f ca="1">IF(AND(INDEX(FlowCalConstA,MATCH(J39,FlowCalNumber,0),1,1)*L52^INDEX(FlowCalConstB,MATCH(J39,FlowCalNumber,0),1,1)&gt;INDEX(FlowCalLowSetting,MATCH(J39,FlowCalNumber,0),1,1), (INDEX(FlowCalConstA,MATCH(J39,FlowCalNumber,0),1,1)*L52^INDEX(FlowCalConstB,MATCH(J39,FlowCalNumber,0),1,1)&lt;INDEX(FlowCalHighSetting,MATCH(J39,FlowCalNumber,0),1,1))),INDEX(FlowCalConstA,MATCH(J39,FlowCalNumber,0),1,1)*L52^INDEX(FlowCalConstB,MATCH(J39,FlowCalNumber,0),1,1)," ")</f>
        <v>#N/A</v>
      </c>
      <c r="N52" s="33"/>
      <c r="O52" s="242">
        <f t="shared" si="42"/>
        <v>1</v>
      </c>
      <c r="P52" s="241" t="e">
        <f t="shared" ca="1" si="43"/>
        <v>#VALUE!</v>
      </c>
      <c r="Q52" s="243" t="e">
        <f ca="1">IF(AND(INDEX(FlowCalConstA,MATCH(N39,FlowCalNumber,0),1,1)*P52^INDEX(FlowCalConstB,MATCH(N39,FlowCalNumber,0),1,1)&gt;INDEX(FlowCalLowSetting,MATCH(N39,FlowCalNumber,0),1,1), (INDEX(FlowCalConstA,MATCH(N39,FlowCalNumber,0),1,1)*P52^INDEX(FlowCalConstB,MATCH(N39,FlowCalNumber,0),1,1)&lt;INDEX(FlowCalHighSetting,MATCH(N39,FlowCalNumber,0),1,1))),INDEX(FlowCalConstA,MATCH(N39,FlowCalNumber,0),1,1)*P52^INDEX(FlowCalConstB,MATCH(N39,FlowCalNumber,0),1,1)," ")</f>
        <v>#N/A</v>
      </c>
      <c r="R52" s="33"/>
      <c r="S52" s="242">
        <f t="shared" si="44"/>
        <v>1</v>
      </c>
      <c r="T52" s="241" t="e">
        <f t="shared" ca="1" si="45"/>
        <v>#VALUE!</v>
      </c>
      <c r="U52" s="244" t="e">
        <f ca="1">IF(AND(INDEX(FlowCalConstA,MATCH(R39,FlowCalNumber,0),1,1)*T52^INDEX(FlowCalConstB,MATCH(R39,FlowCalNumber,0),1,1)&gt;INDEX(FlowCalLowSetting,MATCH(R39,FlowCalNumber,0),1,1), (INDEX(FlowCalConstA,MATCH(R39,FlowCalNumber,0),1,1)*T52^INDEX(FlowCalConstB,MATCH(R39,FlowCalNumber,0),1,1)&lt;INDEX(FlowCalHighSetting,MATCH(R39,FlowCalNumber,0),1,1))),INDEX(FlowCalConstA,MATCH(R39,FlowCalNumber,0),1,1)*T52^INDEX(FlowCalConstB,MATCH(R39,FlowCalNumber,0),1,1)," ")</f>
        <v>#N/A</v>
      </c>
      <c r="V52" s="33"/>
      <c r="W52" s="242">
        <f t="shared" si="46"/>
        <v>0.1</v>
      </c>
      <c r="X52" s="241" t="e">
        <f t="shared" ca="1" si="47"/>
        <v>#VALUE!</v>
      </c>
      <c r="Y52" s="243" t="e">
        <f ca="1">IF(AND(INDEX(FlowCalConstA,MATCH(V39,FlowCalNumber,0),1,1)*X52^INDEX(FlowCalConstB,MATCH(V39,FlowCalNumber,0),1,1)&gt;INDEX(FlowCalLowSetting,MATCH(V39,FlowCalNumber,0),1,1), (INDEX(FlowCalConstA,MATCH(V39,FlowCalNumber,0),1,1)*X52^INDEX(FlowCalConstB,MATCH(V39,FlowCalNumber,0),1,1)&lt;INDEX(FlowCalHighSetting,MATCH(V39,FlowCalNumber,0),1,1))),INDEX(FlowCalConstA,MATCH(V39,FlowCalNumber,0),1,1)*X52^INDEX(FlowCalConstB,MATCH(V39,FlowCalNumber,0),1,1)," ")</f>
        <v>#N/A</v>
      </c>
      <c r="Z52" s="33"/>
      <c r="AA52" s="242">
        <f t="shared" si="48"/>
        <v>0.9</v>
      </c>
      <c r="AB52" s="241" t="e">
        <f t="shared" ca="1" si="49"/>
        <v>#VALUE!</v>
      </c>
      <c r="AC52" s="243" t="e">
        <f ca="1">IF(AND(INDEX(FlowCalConstA,MATCH(Z39,FlowCalNumber,0),1,1)*AB52^INDEX(FlowCalConstB,MATCH(Z39,FlowCalNumber,0),1,1)&gt;INDEX(FlowCalLowSetting,MATCH(Z39,FlowCalNumber,0),1,1), (INDEX(FlowCalConstA,MATCH(Z39,FlowCalNumber,0),1,1)*AB52^INDEX(FlowCalConstB,MATCH(Z39,FlowCalNumber,0),1,1)&lt;INDEX(FlowCalHighSetting,MATCH(Z39,FlowCalNumber,0),1,1))),INDEX(FlowCalConstA,MATCH(Z39,FlowCalNumber,0),1,1)*AB52^INDEX(FlowCalConstB,MATCH(Z39,FlowCalNumber,0),1,1)," ")</f>
        <v>#N/A</v>
      </c>
      <c r="AD52" s="33"/>
      <c r="AE52" s="242">
        <f t="shared" si="50"/>
        <v>0.1</v>
      </c>
      <c r="AF52" s="241" t="e">
        <f t="shared" ca="1" si="51"/>
        <v>#VALUE!</v>
      </c>
      <c r="AG52" s="243" t="e">
        <f ca="1">IF(AND(INDEX(FlowCalConstA,MATCH(AD39,FlowCalNumber,0),1,1)*AF52^INDEX(FlowCalConstB,MATCH(AD39,FlowCalNumber,0),1,1)&gt;INDEX(FlowCalLowSetting,MATCH(AD39,FlowCalNumber,0),1,1), (INDEX(FlowCalConstA,MATCH(AD39,FlowCalNumber,0),1,1)*AF52^INDEX(FlowCalConstB,MATCH(AD39,FlowCalNumber,0),1,1)&lt;INDEX(FlowCalHighSetting,MATCH(AD39,FlowCalNumber,0),1,1))),INDEX(FlowCalConstA,MATCH(AD39,FlowCalNumber,0),1,1)*AF52^INDEX(FlowCalConstB,MATCH(AD39,FlowCalNumber,0),1,1)," ")</f>
        <v>#N/A</v>
      </c>
      <c r="AH52" s="33"/>
      <c r="AI52" s="242">
        <f t="shared" si="52"/>
        <v>0.9</v>
      </c>
      <c r="AJ52" s="241" t="e">
        <f t="shared" ca="1" si="53"/>
        <v>#VALUE!</v>
      </c>
      <c r="AK52" s="243" t="e">
        <f ca="1">IF(AND(INDEX(FlowCalConstA,MATCH(AH39,FlowCalNumber,0),1,1)*AJ52^INDEX(FlowCalConstB,MATCH(AH39,FlowCalNumber,0),1,1)&gt;INDEX(FlowCalLowSetting,MATCH(AH39,FlowCalNumber,0),1,1), (INDEX(FlowCalConstA,MATCH(AH39,FlowCalNumber,0),1,1)*AJ52^INDEX(FlowCalConstB,MATCH(AH39,FlowCalNumber,0),1,1)&lt;INDEX(FlowCalHighSetting,MATCH(AH39,FlowCalNumber,0),1,1))),INDEX(FlowCalConstA,MATCH(AH39,FlowCalNumber,0),1,1)*AJ52^INDEX(FlowCalConstB,MATCH(AH39,FlowCalNumber,0),1,1)," ")</f>
        <v>#N/A</v>
      </c>
      <c r="AL52" s="33"/>
      <c r="AM52" s="242"/>
      <c r="AN52" s="241"/>
      <c r="AO52" s="244"/>
      <c r="AQ52" s="242"/>
      <c r="AR52" s="241"/>
      <c r="AS52" s="244"/>
      <c r="AT52" s="33"/>
      <c r="AU52" s="242"/>
      <c r="AV52" s="241"/>
      <c r="AW52" s="244"/>
      <c r="AX52" s="33"/>
      <c r="AY52" s="242"/>
      <c r="AZ52" s="241"/>
      <c r="BA52" s="244"/>
      <c r="BB52" s="33"/>
      <c r="BC52" s="242"/>
      <c r="BD52" s="241"/>
      <c r="BE52" s="244"/>
      <c r="BF52" s="33"/>
      <c r="BG52" s="242"/>
      <c r="BH52" s="241"/>
      <c r="BI52" s="244"/>
      <c r="BJ52" s="33"/>
      <c r="BK52" s="242"/>
      <c r="BL52" s="241"/>
      <c r="BM52" s="244"/>
      <c r="BN52" s="33"/>
      <c r="BO52" s="242"/>
      <c r="BP52" s="241"/>
      <c r="BQ52" s="244"/>
      <c r="BR52" s="33"/>
      <c r="BS52" s="242"/>
      <c r="BT52" s="241"/>
      <c r="BU52" s="244"/>
      <c r="BV52" s="33"/>
      <c r="BW52" s="242"/>
      <c r="BX52" s="241"/>
      <c r="BY52" s="244"/>
      <c r="BZ52" s="33"/>
      <c r="CA52" s="242"/>
      <c r="CB52" s="241"/>
      <c r="CC52" s="244"/>
      <c r="CD52" s="243"/>
      <c r="CE52" s="243"/>
      <c r="CF52" s="243"/>
      <c r="CG52" s="243"/>
      <c r="CH52" s="243"/>
      <c r="CI52" s="243"/>
      <c r="CJ52" s="243"/>
      <c r="CK52" s="243"/>
      <c r="CL52" s="243"/>
      <c r="CM52" s="243"/>
      <c r="CN52" s="243"/>
      <c r="CO52" s="243"/>
      <c r="CP52" s="243"/>
      <c r="CQ52" s="243"/>
      <c r="CR52" s="243"/>
      <c r="CS52" s="243"/>
      <c r="CT52" s="243"/>
      <c r="CU52" s="243"/>
      <c r="CV52" s="243"/>
      <c r="CW52" s="243"/>
      <c r="CX52" s="243"/>
      <c r="CY52" s="243"/>
      <c r="CZ52" s="243"/>
      <c r="DA52" s="243"/>
      <c r="DB52" s="243"/>
      <c r="DC52" s="243"/>
      <c r="DD52" s="243"/>
      <c r="DE52" s="243"/>
      <c r="DF52" s="243"/>
      <c r="DG52" s="243"/>
      <c r="DH52" s="243"/>
      <c r="DI52" s="243"/>
      <c r="DJ52" s="243"/>
      <c r="DK52" s="243"/>
      <c r="DM52" s="242"/>
      <c r="DO52" s="243"/>
      <c r="DQ52" s="242"/>
      <c r="DS52" s="243"/>
      <c r="DU52" s="242"/>
      <c r="DW52" s="243"/>
      <c r="DY52" s="242"/>
      <c r="EA52" s="243"/>
    </row>
    <row r="53" spans="1:131">
      <c r="A53" s="20"/>
      <c r="B53" s="124" t="str">
        <f t="shared" si="38"/>
        <v/>
      </c>
      <c r="C53" s="235"/>
      <c r="D53" s="24">
        <f>'1% Wind'!$M$95</f>
        <v>1.3</v>
      </c>
      <c r="E53" s="90"/>
      <c r="F53" s="90"/>
      <c r="G53" s="79">
        <f ca="1">IF(I39=0.9743,$G52,MAX(G52/D52*D53,2))</f>
        <v>6.001707317073171</v>
      </c>
      <c r="H53" s="121" t="e">
        <f t="shared" ca="1" si="39"/>
        <v>#VALUE!</v>
      </c>
      <c r="J53" s="33"/>
      <c r="K53" s="242">
        <f t="shared" si="40"/>
        <v>1</v>
      </c>
      <c r="L53" s="241" t="e">
        <f t="shared" ca="1" si="41"/>
        <v>#VALUE!</v>
      </c>
      <c r="M53" s="243" t="e">
        <f ca="1">IF(AND(INDEX(FlowCalConstA,MATCH(J39,FlowCalNumber,0),1,1)*L53^INDEX(FlowCalConstB,MATCH(J39,FlowCalNumber,0),1,1)&gt;INDEX(FlowCalLowSetting,MATCH(J39,FlowCalNumber,0),1,1), (INDEX(FlowCalConstA,MATCH(J39,FlowCalNumber,0),1,1)*L53^INDEX(FlowCalConstB,MATCH(J39,FlowCalNumber,0),1,1)&lt;INDEX(FlowCalHighSetting,MATCH(J39,FlowCalNumber,0),1,1))),INDEX(FlowCalConstA,MATCH(J39,FlowCalNumber,0),1,1)*L53^INDEX(FlowCalConstB,MATCH(J39,FlowCalNumber,0),1,1)," ")</f>
        <v>#N/A</v>
      </c>
      <c r="N53" s="33"/>
      <c r="O53" s="242">
        <f t="shared" si="42"/>
        <v>1</v>
      </c>
      <c r="P53" s="241" t="e">
        <f t="shared" ca="1" si="43"/>
        <v>#VALUE!</v>
      </c>
      <c r="Q53" s="243" t="e">
        <f ca="1">IF(AND(INDEX(FlowCalConstA,MATCH(N39,FlowCalNumber,0),1,1)*P53^INDEX(FlowCalConstB,MATCH(N39,FlowCalNumber,0),1,1)&gt;INDEX(FlowCalLowSetting,MATCH(N39,FlowCalNumber,0),1,1), (INDEX(FlowCalConstA,MATCH(N39,FlowCalNumber,0),1,1)*P53^INDEX(FlowCalConstB,MATCH(N39,FlowCalNumber,0),1,1)&lt;INDEX(FlowCalHighSetting,MATCH(N39,FlowCalNumber,0),1,1))),INDEX(FlowCalConstA,MATCH(N39,FlowCalNumber,0),1,1)*P53^INDEX(FlowCalConstB,MATCH(N39,FlowCalNumber,0),1,1)," ")</f>
        <v>#N/A</v>
      </c>
      <c r="R53" s="33"/>
      <c r="S53" s="242">
        <f t="shared" si="44"/>
        <v>1</v>
      </c>
      <c r="T53" s="241" t="e">
        <f t="shared" ca="1" si="45"/>
        <v>#VALUE!</v>
      </c>
      <c r="U53" s="244" t="e">
        <f ca="1">IF(AND(INDEX(FlowCalConstA,MATCH(R39,FlowCalNumber,0),1,1)*T53^INDEX(FlowCalConstB,MATCH(R39,FlowCalNumber,0),1,1)&gt;INDEX(FlowCalLowSetting,MATCH(R39,FlowCalNumber,0),1,1), (INDEX(FlowCalConstA,MATCH(R39,FlowCalNumber,0),1,1)*T53^INDEX(FlowCalConstB,MATCH(R39,FlowCalNumber,0),1,1)&lt;INDEX(FlowCalHighSetting,MATCH(R39,FlowCalNumber,0),1,1))),INDEX(FlowCalConstA,MATCH(R39,FlowCalNumber,0),1,1)*T53^INDEX(FlowCalConstB,MATCH(R39,FlowCalNumber,0),1,1)," ")</f>
        <v>#N/A</v>
      </c>
      <c r="V53" s="33"/>
      <c r="W53" s="242">
        <f t="shared" si="46"/>
        <v>0.1</v>
      </c>
      <c r="X53" s="241" t="e">
        <f t="shared" ca="1" si="47"/>
        <v>#VALUE!</v>
      </c>
      <c r="Y53" s="243" t="e">
        <f ca="1">IF(AND(INDEX(FlowCalConstA,MATCH(V39,FlowCalNumber,0),1,1)*X53^INDEX(FlowCalConstB,MATCH(V39,FlowCalNumber,0),1,1)&gt;INDEX(FlowCalLowSetting,MATCH(V39,FlowCalNumber,0),1,1), (INDEX(FlowCalConstA,MATCH(V39,FlowCalNumber,0),1,1)*X53^INDEX(FlowCalConstB,MATCH(V39,FlowCalNumber,0),1,1)&lt;INDEX(FlowCalHighSetting,MATCH(V39,FlowCalNumber,0),1,1))),INDEX(FlowCalConstA,MATCH(V39,FlowCalNumber,0),1,1)*X53^INDEX(FlowCalConstB,MATCH(V39,FlowCalNumber,0),1,1)," ")</f>
        <v>#N/A</v>
      </c>
      <c r="Z53" s="33"/>
      <c r="AA53" s="242">
        <f t="shared" si="48"/>
        <v>0.9</v>
      </c>
      <c r="AB53" s="241" t="e">
        <f t="shared" ca="1" si="49"/>
        <v>#VALUE!</v>
      </c>
      <c r="AC53" s="243" t="e">
        <f ca="1">IF(AND(INDEX(FlowCalConstA,MATCH(Z39,FlowCalNumber,0),1,1)*AB53^INDEX(FlowCalConstB,MATCH(Z39,FlowCalNumber,0),1,1)&gt;INDEX(FlowCalLowSetting,MATCH(Z39,FlowCalNumber,0),1,1), (INDEX(FlowCalConstA,MATCH(Z39,FlowCalNumber,0),1,1)*AB53^INDEX(FlowCalConstB,MATCH(Z39,FlowCalNumber,0),1,1)&lt;INDEX(FlowCalHighSetting,MATCH(Z39,FlowCalNumber,0),1,1))),INDEX(FlowCalConstA,MATCH(Z39,FlowCalNumber,0),1,1)*AB53^INDEX(FlowCalConstB,MATCH(Z39,FlowCalNumber,0),1,1)," ")</f>
        <v>#N/A</v>
      </c>
      <c r="AD53" s="33"/>
      <c r="AE53" s="242">
        <f t="shared" si="50"/>
        <v>0.1</v>
      </c>
      <c r="AF53" s="241" t="e">
        <f t="shared" ca="1" si="51"/>
        <v>#VALUE!</v>
      </c>
      <c r="AG53" s="243" t="e">
        <f ca="1">IF(AND(INDEX(FlowCalConstA,MATCH(AD39,FlowCalNumber,0),1,1)*AF53^INDEX(FlowCalConstB,MATCH(AD39,FlowCalNumber,0),1,1)&gt;INDEX(FlowCalLowSetting,MATCH(AD39,FlowCalNumber,0),1,1), (INDEX(FlowCalConstA,MATCH(AD39,FlowCalNumber,0),1,1)*AF53^INDEX(FlowCalConstB,MATCH(AD39,FlowCalNumber,0),1,1)&lt;INDEX(FlowCalHighSetting,MATCH(AD39,FlowCalNumber,0),1,1))),INDEX(FlowCalConstA,MATCH(AD39,FlowCalNumber,0),1,1)*AF53^INDEX(FlowCalConstB,MATCH(AD39,FlowCalNumber,0),1,1)," ")</f>
        <v>#N/A</v>
      </c>
      <c r="AH53" s="33"/>
      <c r="AI53" s="242">
        <f t="shared" si="52"/>
        <v>0.9</v>
      </c>
      <c r="AJ53" s="241" t="e">
        <f t="shared" ca="1" si="53"/>
        <v>#VALUE!</v>
      </c>
      <c r="AK53" s="243" t="e">
        <f ca="1">IF(AND(INDEX(FlowCalConstA,MATCH(AH39,FlowCalNumber,0),1,1)*AJ53^INDEX(FlowCalConstB,MATCH(AH39,FlowCalNumber,0),1,1)&gt;INDEX(FlowCalLowSetting,MATCH(AH39,FlowCalNumber,0),1,1), (INDEX(FlowCalConstA,MATCH(AH39,FlowCalNumber,0),1,1)*AJ53^INDEX(FlowCalConstB,MATCH(AH39,FlowCalNumber,0),1,1)&lt;INDEX(FlowCalHighSetting,MATCH(AH39,FlowCalNumber,0),1,1))),INDEX(FlowCalConstA,MATCH(AH39,FlowCalNumber,0),1,1)*AJ53^INDEX(FlowCalConstB,MATCH(AH39,FlowCalNumber,0),1,1)," ")</f>
        <v>#N/A</v>
      </c>
      <c r="AL53" s="33"/>
      <c r="AM53" s="242"/>
      <c r="AN53" s="241"/>
      <c r="AO53" s="244"/>
      <c r="AQ53" s="242"/>
      <c r="AR53" s="241"/>
      <c r="AS53" s="244"/>
      <c r="AT53" s="33"/>
      <c r="AU53" s="242"/>
      <c r="AV53" s="241"/>
      <c r="AW53" s="244"/>
      <c r="AX53" s="33"/>
      <c r="AY53" s="242"/>
      <c r="AZ53" s="241"/>
      <c r="BA53" s="244"/>
      <c r="BB53" s="33"/>
      <c r="BC53" s="242"/>
      <c r="BD53" s="241"/>
      <c r="BE53" s="244"/>
      <c r="BF53" s="33"/>
      <c r="BG53" s="242"/>
      <c r="BH53" s="241"/>
      <c r="BI53" s="244"/>
      <c r="BJ53" s="33"/>
      <c r="BK53" s="242"/>
      <c r="BL53" s="241"/>
      <c r="BM53" s="244"/>
      <c r="BN53" s="33"/>
      <c r="BO53" s="242"/>
      <c r="BP53" s="241"/>
      <c r="BQ53" s="244"/>
      <c r="BR53" s="33"/>
      <c r="BS53" s="242"/>
      <c r="BT53" s="241"/>
      <c r="BU53" s="244"/>
      <c r="BV53" s="33"/>
      <c r="BW53" s="242"/>
      <c r="BX53" s="241"/>
      <c r="BY53" s="244"/>
      <c r="BZ53" s="33"/>
      <c r="CA53" s="242"/>
      <c r="CB53" s="241"/>
      <c r="CC53" s="244"/>
      <c r="CD53" s="243"/>
      <c r="CE53" s="243"/>
      <c r="CF53" s="243"/>
      <c r="CG53" s="243"/>
      <c r="CH53" s="243"/>
      <c r="CI53" s="243"/>
      <c r="CJ53" s="243"/>
      <c r="CK53" s="243"/>
      <c r="CL53" s="243"/>
      <c r="CM53" s="243"/>
      <c r="CN53" s="243"/>
      <c r="CO53" s="243"/>
      <c r="CP53" s="243"/>
      <c r="CQ53" s="243"/>
      <c r="CR53" s="243"/>
      <c r="CS53" s="243"/>
      <c r="CT53" s="243"/>
      <c r="CU53" s="243"/>
      <c r="CV53" s="243"/>
      <c r="CW53" s="243"/>
      <c r="CX53" s="243"/>
      <c r="CY53" s="243"/>
      <c r="CZ53" s="243"/>
      <c r="DA53" s="243"/>
      <c r="DB53" s="243"/>
      <c r="DC53" s="243"/>
      <c r="DD53" s="243"/>
      <c r="DE53" s="243"/>
      <c r="DF53" s="243"/>
      <c r="DG53" s="243"/>
      <c r="DH53" s="243"/>
      <c r="DI53" s="243"/>
      <c r="DJ53" s="243"/>
      <c r="DK53" s="243"/>
      <c r="DM53" s="242"/>
      <c r="DO53" s="243"/>
      <c r="DQ53" s="242"/>
      <c r="DS53" s="243"/>
      <c r="DU53" s="242"/>
      <c r="DW53" s="243"/>
      <c r="DY53" s="242"/>
      <c r="EA53" s="243"/>
    </row>
    <row r="54" spans="1:131">
      <c r="A54" s="20"/>
      <c r="B54" s="124" t="str">
        <f t="shared" si="38"/>
        <v/>
      </c>
      <c r="C54" s="235"/>
      <c r="D54" s="24">
        <f>'1% Wind'!$M$96</f>
        <v>1</v>
      </c>
      <c r="E54" s="90"/>
      <c r="F54" s="90"/>
      <c r="G54" s="79">
        <f ca="1">IF(I39=0.9743,$G53,MAX(G53/D53*D54,2))</f>
        <v>6.001707317073171</v>
      </c>
      <c r="H54" s="121" t="e">
        <f t="shared" ca="1" si="39"/>
        <v>#VALUE!</v>
      </c>
      <c r="J54" s="33"/>
      <c r="K54" s="242">
        <f t="shared" si="40"/>
        <v>1</v>
      </c>
      <c r="L54" s="241" t="e">
        <f t="shared" ca="1" si="41"/>
        <v>#VALUE!</v>
      </c>
      <c r="M54" s="243" t="e">
        <f ca="1">IF(AND(INDEX(FlowCalConstA,MATCH(J39,FlowCalNumber,0),1,1)*L54^INDEX(FlowCalConstB,MATCH(J39,FlowCalNumber,0),1,1)&gt;INDEX(FlowCalLowSetting,MATCH(J39,FlowCalNumber,0),1,1), (INDEX(FlowCalConstA,MATCH(J39,FlowCalNumber,0),1,1)*L54^INDEX(FlowCalConstB,MATCH(J39,FlowCalNumber,0),1,1)&lt;INDEX(FlowCalHighSetting,MATCH(J39,FlowCalNumber,0),1,1))),INDEX(FlowCalConstA,MATCH(J39,FlowCalNumber,0),1,1)*L54^INDEX(FlowCalConstB,MATCH(J39,FlowCalNumber,0),1,1)," ")</f>
        <v>#N/A</v>
      </c>
      <c r="N54" s="33"/>
      <c r="O54" s="242">
        <f t="shared" si="42"/>
        <v>1</v>
      </c>
      <c r="P54" s="241" t="e">
        <f t="shared" ca="1" si="43"/>
        <v>#VALUE!</v>
      </c>
      <c r="Q54" s="243" t="e">
        <f ca="1">IF(AND(INDEX(FlowCalConstA,MATCH(N39,FlowCalNumber,0),1,1)*P54^INDEX(FlowCalConstB,MATCH(N39,FlowCalNumber,0),1,1)&gt;INDEX(FlowCalLowSetting,MATCH(N39,FlowCalNumber,0),1,1), (INDEX(FlowCalConstA,MATCH(N39,FlowCalNumber,0),1,1)*P54^INDEX(FlowCalConstB,MATCH(N39,FlowCalNumber,0),1,1)&lt;INDEX(FlowCalHighSetting,MATCH(N39,FlowCalNumber,0),1,1))),INDEX(FlowCalConstA,MATCH(N39,FlowCalNumber,0),1,1)*P54^INDEX(FlowCalConstB,MATCH(N39,FlowCalNumber,0),1,1)," ")</f>
        <v>#N/A</v>
      </c>
      <c r="R54" s="33"/>
      <c r="S54" s="242">
        <f t="shared" si="44"/>
        <v>1</v>
      </c>
      <c r="T54" s="241" t="e">
        <f t="shared" ca="1" si="45"/>
        <v>#VALUE!</v>
      </c>
      <c r="U54" s="244" t="e">
        <f ca="1">IF(AND(INDEX(FlowCalConstA,MATCH(R39,FlowCalNumber,0),1,1)*T54^INDEX(FlowCalConstB,MATCH(R39,FlowCalNumber,0),1,1)&gt;INDEX(FlowCalLowSetting,MATCH(R39,FlowCalNumber,0),1,1), (INDEX(FlowCalConstA,MATCH(R39,FlowCalNumber,0),1,1)*T54^INDEX(FlowCalConstB,MATCH(R39,FlowCalNumber,0),1,1)&lt;INDEX(FlowCalHighSetting,MATCH(R39,FlowCalNumber,0),1,1))),INDEX(FlowCalConstA,MATCH(R39,FlowCalNumber,0),1,1)*T54^INDEX(FlowCalConstB,MATCH(R39,FlowCalNumber,0),1,1)," ")</f>
        <v>#N/A</v>
      </c>
      <c r="V54" s="33"/>
      <c r="W54" s="242">
        <f t="shared" si="46"/>
        <v>0.1</v>
      </c>
      <c r="X54" s="241" t="e">
        <f t="shared" ca="1" si="47"/>
        <v>#VALUE!</v>
      </c>
      <c r="Y54" s="243" t="e">
        <f ca="1">IF(AND(INDEX(FlowCalConstA,MATCH(V39,FlowCalNumber,0),1,1)*X54^INDEX(FlowCalConstB,MATCH(V39,FlowCalNumber,0),1,1)&gt;INDEX(FlowCalLowSetting,MATCH(V39,FlowCalNumber,0),1,1), (INDEX(FlowCalConstA,MATCH(V39,FlowCalNumber,0),1,1)*X54^INDEX(FlowCalConstB,MATCH(V39,FlowCalNumber,0),1,1)&lt;INDEX(FlowCalHighSetting,MATCH(V39,FlowCalNumber,0),1,1))),INDEX(FlowCalConstA,MATCH(V39,FlowCalNumber,0),1,1)*X54^INDEX(FlowCalConstB,MATCH(V39,FlowCalNumber,0),1,1)," ")</f>
        <v>#N/A</v>
      </c>
      <c r="Z54" s="33"/>
      <c r="AA54" s="242">
        <f t="shared" si="48"/>
        <v>0.9</v>
      </c>
      <c r="AB54" s="241" t="e">
        <f t="shared" ca="1" si="49"/>
        <v>#VALUE!</v>
      </c>
      <c r="AC54" s="243" t="e">
        <f ca="1">IF(AND(INDEX(FlowCalConstA,MATCH(Z39,FlowCalNumber,0),1,1)*AB54^INDEX(FlowCalConstB,MATCH(Z39,FlowCalNumber,0),1,1)&gt;INDEX(FlowCalLowSetting,MATCH(Z39,FlowCalNumber,0),1,1), (INDEX(FlowCalConstA,MATCH(Z39,FlowCalNumber,0),1,1)*AB54^INDEX(FlowCalConstB,MATCH(Z39,FlowCalNumber,0),1,1)&lt;INDEX(FlowCalHighSetting,MATCH(Z39,FlowCalNumber,0),1,1))),INDEX(FlowCalConstA,MATCH(Z39,FlowCalNumber,0),1,1)*AB54^INDEX(FlowCalConstB,MATCH(Z39,FlowCalNumber,0),1,1)," ")</f>
        <v>#N/A</v>
      </c>
      <c r="AD54" s="33"/>
      <c r="AE54" s="242">
        <f t="shared" si="50"/>
        <v>0.1</v>
      </c>
      <c r="AF54" s="241" t="e">
        <f t="shared" ca="1" si="51"/>
        <v>#VALUE!</v>
      </c>
      <c r="AG54" s="243" t="e">
        <f ca="1">IF(AND(INDEX(FlowCalConstA,MATCH(AD39,FlowCalNumber,0),1,1)*AF54^INDEX(FlowCalConstB,MATCH(AD39,FlowCalNumber,0),1,1)&gt;INDEX(FlowCalLowSetting,MATCH(AD39,FlowCalNumber,0),1,1), (INDEX(FlowCalConstA,MATCH(AD39,FlowCalNumber,0),1,1)*AF54^INDEX(FlowCalConstB,MATCH(AD39,FlowCalNumber,0),1,1)&lt;INDEX(FlowCalHighSetting,MATCH(AD39,FlowCalNumber,0),1,1))),INDEX(FlowCalConstA,MATCH(AD39,FlowCalNumber,0),1,1)*AF54^INDEX(FlowCalConstB,MATCH(AD39,FlowCalNumber,0),1,1)," ")</f>
        <v>#N/A</v>
      </c>
      <c r="AH54" s="33"/>
      <c r="AI54" s="242">
        <f t="shared" si="52"/>
        <v>0.9</v>
      </c>
      <c r="AJ54" s="241" t="e">
        <f t="shared" ca="1" si="53"/>
        <v>#VALUE!</v>
      </c>
      <c r="AK54" s="243" t="e">
        <f ca="1">IF(AND(INDEX(FlowCalConstA,MATCH(AH39,FlowCalNumber,0),1,1)*AJ54^INDEX(FlowCalConstB,MATCH(AH39,FlowCalNumber,0),1,1)&gt;INDEX(FlowCalLowSetting,MATCH(AH39,FlowCalNumber,0),1,1), (INDEX(FlowCalConstA,MATCH(AH39,FlowCalNumber,0),1,1)*AJ54^INDEX(FlowCalConstB,MATCH(AH39,FlowCalNumber,0),1,1)&lt;INDEX(FlowCalHighSetting,MATCH(AH39,FlowCalNumber,0),1,1))),INDEX(FlowCalConstA,MATCH(AH39,FlowCalNumber,0),1,1)*AJ54^INDEX(FlowCalConstB,MATCH(AH39,FlowCalNumber,0),1,1)," ")</f>
        <v>#N/A</v>
      </c>
      <c r="AL54" s="33"/>
      <c r="AM54" s="242"/>
      <c r="AN54" s="241"/>
      <c r="AO54" s="244"/>
      <c r="AQ54" s="242"/>
      <c r="AR54" s="241"/>
      <c r="AS54" s="244"/>
      <c r="AT54" s="33"/>
      <c r="AU54" s="242"/>
      <c r="AV54" s="241"/>
      <c r="AW54" s="244"/>
      <c r="AX54" s="33"/>
      <c r="AY54" s="242"/>
      <c r="AZ54" s="241"/>
      <c r="BA54" s="244"/>
      <c r="BB54" s="33"/>
      <c r="BC54" s="242"/>
      <c r="BD54" s="241"/>
      <c r="BE54" s="244"/>
      <c r="BF54" s="33"/>
      <c r="BG54" s="242"/>
      <c r="BH54" s="241"/>
      <c r="BI54" s="244"/>
      <c r="BJ54" s="33"/>
      <c r="BK54" s="242"/>
      <c r="BL54" s="241"/>
      <c r="BM54" s="244"/>
      <c r="BN54" s="33"/>
      <c r="BO54" s="242"/>
      <c r="BP54" s="241"/>
      <c r="BQ54" s="244"/>
      <c r="BR54" s="33"/>
      <c r="BS54" s="242"/>
      <c r="BT54" s="241"/>
      <c r="BU54" s="244"/>
      <c r="BV54" s="33"/>
      <c r="BW54" s="242"/>
      <c r="BX54" s="241"/>
      <c r="BY54" s="244"/>
      <c r="BZ54" s="33"/>
      <c r="CA54" s="242"/>
      <c r="CB54" s="241"/>
      <c r="CC54" s="244"/>
      <c r="CD54" s="243"/>
      <c r="CE54" s="243"/>
      <c r="CF54" s="243"/>
      <c r="CG54" s="243"/>
      <c r="CH54" s="243"/>
      <c r="CI54" s="243"/>
      <c r="CJ54" s="243"/>
      <c r="CK54" s="243"/>
      <c r="CL54" s="243"/>
      <c r="CM54" s="243"/>
      <c r="CN54" s="243"/>
      <c r="CO54" s="243"/>
      <c r="CP54" s="243"/>
      <c r="CQ54" s="243"/>
      <c r="CR54" s="243"/>
      <c r="CS54" s="243"/>
      <c r="CT54" s="243"/>
      <c r="CU54" s="243"/>
      <c r="CV54" s="243"/>
      <c r="CW54" s="243"/>
      <c r="CX54" s="243"/>
      <c r="CY54" s="243"/>
      <c r="CZ54" s="243"/>
      <c r="DA54" s="243"/>
      <c r="DB54" s="243"/>
      <c r="DC54" s="243"/>
      <c r="DD54" s="243"/>
      <c r="DE54" s="243"/>
      <c r="DF54" s="243"/>
      <c r="DG54" s="243"/>
      <c r="DH54" s="243"/>
      <c r="DI54" s="243"/>
      <c r="DJ54" s="243"/>
      <c r="DK54" s="243"/>
      <c r="DM54" s="242"/>
      <c r="DO54" s="243"/>
      <c r="DQ54" s="242"/>
      <c r="DS54" s="243"/>
      <c r="DU54" s="242"/>
      <c r="DW54" s="243"/>
      <c r="DY54" s="242"/>
      <c r="EA54" s="243"/>
    </row>
    <row r="55" spans="1:131">
      <c r="A55" s="33"/>
      <c r="B55" s="33"/>
      <c r="C55" s="235"/>
      <c r="E55" s="90"/>
      <c r="F55" s="90"/>
      <c r="G55" s="33"/>
      <c r="J55" s="33"/>
      <c r="M55" s="243"/>
      <c r="N55" s="33"/>
      <c r="Q55" s="243"/>
      <c r="R55" s="33"/>
      <c r="U55" s="244"/>
      <c r="V55" s="33"/>
      <c r="Y55" s="243"/>
      <c r="Z55" s="33"/>
      <c r="AC55" s="243"/>
      <c r="AD55" s="33"/>
      <c r="AG55" s="243"/>
      <c r="AH55" s="33"/>
      <c r="AK55" s="243"/>
      <c r="AL55" s="33"/>
      <c r="AO55" s="244"/>
      <c r="AS55" s="244"/>
      <c r="AT55" s="33"/>
      <c r="AW55" s="244"/>
      <c r="AX55" s="33"/>
      <c r="BA55" s="244"/>
      <c r="BB55" s="33"/>
      <c r="BE55" s="244"/>
      <c r="BF55" s="33"/>
      <c r="BI55" s="244"/>
      <c r="BJ55" s="33"/>
      <c r="BM55" s="244"/>
      <c r="BN55" s="33"/>
      <c r="BQ55" s="244"/>
      <c r="BR55" s="792"/>
      <c r="BS55" s="243"/>
      <c r="BT55" s="243"/>
      <c r="BU55" s="244"/>
      <c r="BV55" s="33"/>
      <c r="BY55" s="244"/>
      <c r="BZ55" s="33"/>
      <c r="CC55" s="244"/>
      <c r="CD55" s="243"/>
      <c r="CE55" s="243"/>
      <c r="CF55" s="243"/>
      <c r="CG55" s="243"/>
      <c r="CH55" s="243"/>
      <c r="CI55" s="243"/>
      <c r="CJ55" s="243"/>
      <c r="CK55" s="243"/>
      <c r="CL55" s="243"/>
      <c r="CM55" s="243"/>
      <c r="CN55" s="243"/>
      <c r="CO55" s="243"/>
      <c r="CP55" s="243"/>
      <c r="CQ55" s="243"/>
      <c r="CR55" s="243"/>
      <c r="CS55" s="243"/>
      <c r="CT55" s="243"/>
      <c r="CU55" s="243"/>
      <c r="CV55" s="243"/>
      <c r="CW55" s="243"/>
      <c r="CX55" s="243"/>
      <c r="CY55" s="243"/>
      <c r="CZ55" s="243"/>
      <c r="DA55" s="243"/>
      <c r="DB55" s="243"/>
      <c r="DC55" s="243"/>
      <c r="DD55" s="243"/>
      <c r="DE55" s="243"/>
      <c r="DF55" s="243"/>
      <c r="DG55" s="243"/>
      <c r="DH55" s="243"/>
      <c r="DI55" s="243"/>
      <c r="DJ55" s="243"/>
      <c r="DK55" s="243"/>
      <c r="DO55" s="243"/>
      <c r="DS55" s="243"/>
      <c r="DW55" s="243"/>
      <c r="EA55" s="243"/>
    </row>
    <row r="56" spans="1:131">
      <c r="A56" s="256" t="str">
        <f>IF((RIGHT(A39,1))&lt;&gt;"Z",CHAR(CODE(A39))&amp;CHAR(CODE(RIGHT(A39,1))+1),CHAR(CODE(A39)+1)&amp;"A")</f>
        <v>AC</v>
      </c>
      <c r="B56" s="270" t="str">
        <f>INDEX(SourceID,MATCH($A56,SourceNumber,0),1,1)</f>
        <v>EF-3</v>
      </c>
      <c r="C56" s="354">
        <f>INDEX(SourceExitDiameter,MATCH($A56,SourceNumber,0),1,1)*3.28*12</f>
        <v>23.999999999999996</v>
      </c>
      <c r="D56" s="24" t="str">
        <f>UAnem1percent</f>
        <v>1% Wind</v>
      </c>
      <c r="E56" s="350" t="e">
        <f ca="1">INDIRECT(ADDRESS(53,6,1,,CONCATENATE("TA",$A56)))</f>
        <v>#REF!</v>
      </c>
      <c r="F56" s="625" t="e">
        <f ca="1">(ROUND((INDIRECT(ADDRESS(15,7,1,,CONCATENATE("TA",$A56)))*3.28*12*32),0)&amp;"/32")</f>
        <v>#REF!</v>
      </c>
      <c r="G56" s="125">
        <f ca="1">INDIRECT(ADDRESS(29,7,1,,$A56))</f>
        <v>6.001707317073171</v>
      </c>
      <c r="H56" s="24" t="e">
        <f ca="1">INDIRECT(ADDRESS(19,7,1,,$A56))*100^3</f>
        <v>#VALUE!</v>
      </c>
      <c r="I56" s="941">
        <f ca="1">INDIRECT(ADDRESS(53,7,1,,$A56))</f>
        <v>0.97430000000000005</v>
      </c>
      <c r="J56" s="20" t="str">
        <f ca="1">IF($I56=$I$6,K$16&amp;$G$6&amp;J$6,IF($I56=$I$7,K$16&amp;$G$7&amp;J$7,"Bad"))</f>
        <v>100EthPick a Tunnel</v>
      </c>
      <c r="K56" t="e">
        <f ca="1">INDEX(FlowCalGasMixture,MATCH(J56,FlowCalNumber,0),1,1)</f>
        <v>#N/A</v>
      </c>
      <c r="M56" s="944" t="e">
        <f ca="1">INDEX(FlowCalDevice,MATCH(J56,FlowCalNumber,0),1,1)</f>
        <v>#N/A</v>
      </c>
      <c r="N56" s="943" t="str">
        <f ca="1">IF($I56=$I$6,O$16&amp;$G$6&amp;"90"&amp;$H$6&amp;N$6,IF($I56=$I$7,O$16&amp;$G$7&amp;"90"&amp;$H$7&amp;N$7,"Bad"))</f>
        <v>10Eth90N2Pick a Tunnel</v>
      </c>
      <c r="O56" t="e">
        <f ca="1">INDEX(FlowCalGasMixture,MATCH(N56,FlowCalNumber,0),1,1)</f>
        <v>#N/A</v>
      </c>
      <c r="Q56" s="944" t="e">
        <f ca="1">INDEX(FlowCalDevice,MATCH(N56,FlowCalNumber,0),1,1)</f>
        <v>#N/A</v>
      </c>
      <c r="R56" s="943" t="str">
        <f ca="1">IF($I56=$I$6,S$16&amp;$G$6&amp;"90"&amp;$H$6&amp;R$6,IF($I56=$I$7,S$16&amp;$G$7&amp;"90"&amp;$H$7&amp;R$7,"Bad"))</f>
        <v>10Eth90N2Pick a Tunnel</v>
      </c>
      <c r="S56" t="e">
        <f ca="1">INDEX(FlowCalGasMixture,MATCH(R56,FlowCalNumber,0),1,1)</f>
        <v>#N/A</v>
      </c>
      <c r="U56" s="944" t="e">
        <f ca="1">INDEX(FlowCalDevice,MATCH(R56,FlowCalNumber,0),1,1)</f>
        <v>#N/A</v>
      </c>
      <c r="V56" s="20" t="str">
        <f ca="1">IF($I56=$I$6,W$16&amp;$G$6&amp;V$6,IF($I56=$I$7,W$16&amp;$G$7&amp;V$7,"Bad"))</f>
        <v>100EthPick a Tunnel</v>
      </c>
      <c r="W56" t="e">
        <f ca="1">INDEX(FlowCalGasMixture,MATCH(V56,FlowCalNumber,0),1,1)</f>
        <v>#N/A</v>
      </c>
      <c r="Y56" s="944" t="e">
        <f ca="1">INDEX(FlowCalDevice,MATCH(V56,FlowCalNumber,0),1,1)</f>
        <v>#N/A</v>
      </c>
      <c r="Z56" s="946" t="str">
        <f ca="1">IF($I56=$I$6,AA$18&amp;$H$6&amp;Z$6,IF($I56=$I$7,AA$18&amp;$H$7&amp;Z$7,"Bad"))</f>
        <v>100N2Pick a Tunnel</v>
      </c>
      <c r="AA56" t="e">
        <f ca="1">INDEX(FlowCalGasMixture,MATCH(Z56,FlowCalNumber,0),1,1)</f>
        <v>#N/A</v>
      </c>
      <c r="AC56" s="944" t="e">
        <f ca="1">INDEX(FlowCalDevice,MATCH(Z56,FlowCalNumber,0),1,1)</f>
        <v>#N/A</v>
      </c>
      <c r="AD56" s="20" t="str">
        <f ca="1">IF($I56=$I$6,AE$16&amp;$G$6&amp;AD$6,IF($I56=$I$7,AE$16&amp;$G$7&amp;AD$7,"Bad"))</f>
        <v>100EthPick a Tunnel</v>
      </c>
      <c r="AE56" t="e">
        <f ca="1">INDEX(FlowCalGasMixture,MATCH(AD56,FlowCalNumber,0),1,1)</f>
        <v>#N/A</v>
      </c>
      <c r="AG56" s="944" t="e">
        <f ca="1">INDEX(FlowCalDevice,MATCH(AD56,FlowCalNumber,0),1,1)</f>
        <v>#N/A</v>
      </c>
      <c r="AH56" s="946" t="str">
        <f ca="1">IF($I56=$I$6,AI$18&amp;$H$6&amp;AH$6,IF($I56=$I$7,AI$18&amp;$H$7&amp;AH$7,"Bad"))</f>
        <v>100N2Pick a Tunnel</v>
      </c>
      <c r="AI56" t="e">
        <f ca="1">INDEX(FlowCalGasMixture,MATCH(AH56,FlowCalNumber,0),1,1)</f>
        <v>#N/A</v>
      </c>
      <c r="AK56" s="944" t="e">
        <f ca="1">INDEX(FlowCalDevice,MATCH(AH56,FlowCalNumber,0),1,1)</f>
        <v>#N/A</v>
      </c>
      <c r="AL56" s="20"/>
      <c r="AO56" s="982"/>
      <c r="AP56" s="960"/>
      <c r="AS56" s="982"/>
      <c r="AT56" s="20"/>
      <c r="AW56" s="982"/>
      <c r="AX56" s="946"/>
      <c r="BA56" s="982"/>
      <c r="BB56" s="20"/>
      <c r="BC56" s="16"/>
      <c r="BE56" s="982"/>
      <c r="BF56" s="946"/>
      <c r="BG56" s="16"/>
      <c r="BI56" s="982"/>
      <c r="BJ56" s="946"/>
      <c r="BK56" s="16"/>
      <c r="BM56" s="982"/>
      <c r="BN56" s="20"/>
      <c r="BO56" s="16"/>
      <c r="BQ56" s="982"/>
      <c r="BR56" s="946"/>
      <c r="BS56" s="16"/>
      <c r="BU56" s="982"/>
      <c r="BV56" s="946"/>
      <c r="BW56" s="16"/>
      <c r="BY56" s="982"/>
      <c r="BZ56" s="946"/>
      <c r="CA56" s="16"/>
      <c r="CC56" s="982"/>
      <c r="CD56" s="355"/>
      <c r="CE56" s="355"/>
      <c r="CF56" s="355"/>
      <c r="CG56" s="355"/>
      <c r="CH56" s="355"/>
      <c r="CI56" s="355"/>
      <c r="CJ56" s="355"/>
      <c r="CK56" s="355"/>
      <c r="CL56" s="355"/>
      <c r="CM56" s="355"/>
      <c r="CN56" s="355"/>
      <c r="CO56" s="355"/>
      <c r="CP56" s="355"/>
      <c r="CQ56" s="355"/>
      <c r="CR56" s="355"/>
      <c r="CS56" s="355"/>
      <c r="CT56" s="355"/>
      <c r="CU56" s="355"/>
      <c r="CV56" s="355"/>
      <c r="CW56" s="355"/>
      <c r="CX56" s="355"/>
      <c r="CY56" s="355"/>
      <c r="CZ56" s="355"/>
      <c r="DA56" s="355"/>
      <c r="DB56" s="355"/>
      <c r="DC56" s="355"/>
      <c r="DD56" s="355"/>
      <c r="DE56" s="355"/>
      <c r="DF56" s="355"/>
      <c r="DG56" s="355"/>
      <c r="DH56" s="355"/>
      <c r="DI56" s="355"/>
      <c r="DJ56" s="355"/>
      <c r="DK56" s="355"/>
      <c r="DL56" s="46"/>
      <c r="DM56" s="16"/>
      <c r="DO56" s="355"/>
      <c r="DP56" s="42"/>
      <c r="DQ56" s="16"/>
      <c r="DS56" s="355"/>
      <c r="DT56" s="42"/>
      <c r="DU56" s="16"/>
      <c r="DW56" s="355"/>
      <c r="DX56" s="42"/>
      <c r="DY56" s="16"/>
      <c r="EA56" s="355"/>
    </row>
    <row r="57" spans="1:131">
      <c r="A57" s="20"/>
      <c r="B57" s="124" t="str">
        <f t="shared" ref="B57:B71" si="54">IF(D57=UAnem1percent,"1% Wind","")</f>
        <v/>
      </c>
      <c r="C57" s="235"/>
      <c r="D57" s="24">
        <f>'1% Wind'!$M$82</f>
        <v>27</v>
      </c>
      <c r="E57" s="90"/>
      <c r="F57" s="90"/>
      <c r="G57" s="79">
        <f ca="1">IF(I56=0.9743,$G56,MAX(G56/D56*D57,2))</f>
        <v>6.001707317073171</v>
      </c>
      <c r="H57" s="121" t="e">
        <f t="shared" ref="H57:H71" ca="1" si="55">H56*(D56/D57)*(G57/G56)</f>
        <v>#VALUE!</v>
      </c>
      <c r="J57" s="33"/>
      <c r="K57" s="260">
        <f>K$17/100</f>
        <v>1</v>
      </c>
      <c r="L57" s="241" t="e">
        <f ca="1">K57*$H57</f>
        <v>#VALUE!</v>
      </c>
      <c r="M57" s="243" t="e">
        <f ca="1">IF(AND(INDEX(FlowCalConstA,MATCH(J56,FlowCalNumber,0),1,1)*L57^INDEX(FlowCalConstB,MATCH(J56,FlowCalNumber,0),1,1)&gt;INDEX(FlowCalLowSetting,MATCH(J56,FlowCalNumber,0),1,1), (INDEX(FlowCalConstA,MATCH(J56,FlowCalNumber,0),1,1)*L57^INDEX(FlowCalConstB,MATCH(J56,FlowCalNumber,0),1,1)&lt;INDEX(FlowCalHighSetting,MATCH(J56,FlowCalNumber,0),1,1))),INDEX(FlowCalConstA,MATCH(J56,FlowCalNumber,0),1,1)*L57^INDEX(FlowCalConstB,MATCH(J56,FlowCalNumber,0),1,1)," ")</f>
        <v>#N/A</v>
      </c>
      <c r="N57" s="33"/>
      <c r="O57" s="260">
        <f>O$17/100</f>
        <v>1</v>
      </c>
      <c r="P57" s="241" t="e">
        <f ca="1">O57*$H57</f>
        <v>#VALUE!</v>
      </c>
      <c r="Q57" s="243" t="e">
        <f ca="1">IF(AND(INDEX(FlowCalConstA,MATCH(N56,FlowCalNumber,0),1,1)*P57^INDEX(FlowCalConstB,MATCH(N56,FlowCalNumber,0),1,1)&gt;INDEX(FlowCalLowSetting,MATCH(N56,FlowCalNumber,0),1,1), (INDEX(FlowCalConstA,MATCH(N56,FlowCalNumber,0),1,1)*P57^INDEX(FlowCalConstB,MATCH(N56,FlowCalNumber,0),1,1)&lt;INDEX(FlowCalHighSetting,MATCH(N56,FlowCalNumber,0),1,1))),INDEX(FlowCalConstA,MATCH(N56,FlowCalNumber,0),1,1)*P57^INDEX(FlowCalConstB,MATCH(N56,FlowCalNumber,0),1,1)," ")</f>
        <v>#N/A</v>
      </c>
      <c r="R57" s="33"/>
      <c r="S57" s="260">
        <f>S$17/100</f>
        <v>1</v>
      </c>
      <c r="T57" s="241" t="e">
        <f ca="1">S57*$H57</f>
        <v>#VALUE!</v>
      </c>
      <c r="U57" s="244" t="e">
        <f ca="1">IF(AND(INDEX(FlowCalConstA,MATCH(R56,FlowCalNumber,0),1,1)*T57^INDEX(FlowCalConstB,MATCH(R56,FlowCalNumber,0),1,1)&gt;INDEX(FlowCalLowSetting,MATCH(R56,FlowCalNumber,0),1,1), (INDEX(FlowCalConstA,MATCH(R56,FlowCalNumber,0),1,1)*T57^INDEX(FlowCalConstB,MATCH(R56,FlowCalNumber,0),1,1)&lt;INDEX(FlowCalHighSetting,MATCH(R56,FlowCalNumber,0),1,1))),INDEX(FlowCalConstA,MATCH(R56,FlowCalNumber,0),1,1)*T57^INDEX(FlowCalConstB,MATCH(R56,FlowCalNumber,0),1,1)," ")</f>
        <v>#N/A</v>
      </c>
      <c r="V57" s="33"/>
      <c r="W57" s="260">
        <f>W$17/100</f>
        <v>0.1</v>
      </c>
      <c r="X57" s="241" t="e">
        <f ca="1">W57*$H57</f>
        <v>#VALUE!</v>
      </c>
      <c r="Y57" s="243" t="e">
        <f ca="1">IF(AND(INDEX(FlowCalConstA,MATCH(V56,FlowCalNumber,0),1,1)*X57^INDEX(FlowCalConstB,MATCH(V56,FlowCalNumber,0),1,1)&gt;INDEX(FlowCalLowSetting,MATCH(V56,FlowCalNumber,0),1,1), (INDEX(FlowCalConstA,MATCH(V56,FlowCalNumber,0),1,1)*X57^INDEX(FlowCalConstB,MATCH(V56,FlowCalNumber,0),1,1)&lt;INDEX(FlowCalHighSetting,MATCH(V56,FlowCalNumber,0),1,1))),INDEX(FlowCalConstA,MATCH(V56,FlowCalNumber,0),1,1)*X57^INDEX(FlowCalConstB,MATCH(V56,FlowCalNumber,0),1,1)," ")</f>
        <v>#N/A</v>
      </c>
      <c r="Z57" s="33"/>
      <c r="AA57" s="260">
        <f>AA$17/100</f>
        <v>0.9</v>
      </c>
      <c r="AB57" s="241" t="e">
        <f ca="1">AA57*$H57</f>
        <v>#VALUE!</v>
      </c>
      <c r="AC57" s="243" t="e">
        <f ca="1">IF(AND(INDEX(FlowCalConstA,MATCH(Z56,FlowCalNumber,0),1,1)*AB57^INDEX(FlowCalConstB,MATCH(Z56,FlowCalNumber,0),1,1)&gt;INDEX(FlowCalLowSetting,MATCH(Z56,FlowCalNumber,0),1,1), (INDEX(FlowCalConstA,MATCH(Z56,FlowCalNumber,0),1,1)*AB57^INDEX(FlowCalConstB,MATCH(Z56,FlowCalNumber,0),1,1)&lt;INDEX(FlowCalHighSetting,MATCH(Z56,FlowCalNumber,0),1,1))),INDEX(FlowCalConstA,MATCH(Z56,FlowCalNumber,0),1,1)*AB57^INDEX(FlowCalConstB,MATCH(Z56,FlowCalNumber,0),1,1)," ")</f>
        <v>#N/A</v>
      </c>
      <c r="AD57" s="33"/>
      <c r="AE57" s="260">
        <f>AE$17/100</f>
        <v>0.1</v>
      </c>
      <c r="AF57" s="241" t="e">
        <f ca="1">AE57*$H57</f>
        <v>#VALUE!</v>
      </c>
      <c r="AG57" s="243" t="e">
        <f ca="1">IF(AND(INDEX(FlowCalConstA,MATCH(AD56,FlowCalNumber,0),1,1)*AF57^INDEX(FlowCalConstB,MATCH(AD56,FlowCalNumber,0),1,1)&gt;INDEX(FlowCalLowSetting,MATCH(AD56,FlowCalNumber,0),1,1), (INDEX(FlowCalConstA,MATCH(AD56,FlowCalNumber,0),1,1)*AF57^INDEX(FlowCalConstB,MATCH(AD56,FlowCalNumber,0),1,1)&lt;INDEX(FlowCalHighSetting,MATCH(AD56,FlowCalNumber,0),1,1))),INDEX(FlowCalConstA,MATCH(AD56,FlowCalNumber,0),1,1)*AF57^INDEX(FlowCalConstB,MATCH(AD56,FlowCalNumber,0),1,1)," ")</f>
        <v>#N/A</v>
      </c>
      <c r="AH57" s="33"/>
      <c r="AI57" s="260">
        <f>AI$17/100</f>
        <v>0.9</v>
      </c>
      <c r="AJ57" s="241" t="e">
        <f ca="1">AI57*$H57</f>
        <v>#VALUE!</v>
      </c>
      <c r="AK57" s="243" t="e">
        <f ca="1">IF(AND(INDEX(FlowCalConstA,MATCH(AH56,FlowCalNumber,0),1,1)*AJ57^INDEX(FlowCalConstB,MATCH(AH56,FlowCalNumber,0),1,1)&gt;INDEX(FlowCalLowSetting,MATCH(AH56,FlowCalNumber,0),1,1), (INDEX(FlowCalConstA,MATCH(AH56,FlowCalNumber,0),1,1)*AJ57^INDEX(FlowCalConstB,MATCH(AH56,FlowCalNumber,0),1,1)&lt;INDEX(FlowCalHighSetting,MATCH(AH56,FlowCalNumber,0),1,1))),INDEX(FlowCalConstA,MATCH(AH56,FlowCalNumber,0),1,1)*AJ57^INDEX(FlowCalConstB,MATCH(AH56,FlowCalNumber,0),1,1)," ")</f>
        <v>#N/A</v>
      </c>
      <c r="AL57" s="33"/>
      <c r="AM57" s="260"/>
      <c r="AN57" s="241"/>
      <c r="AO57" s="244"/>
      <c r="AQ57" s="260"/>
      <c r="AR57" s="241"/>
      <c r="AS57" s="244"/>
      <c r="AT57" s="33"/>
      <c r="AU57" s="260"/>
      <c r="AV57" s="241"/>
      <c r="AW57" s="244"/>
      <c r="AX57" s="33"/>
      <c r="AY57" s="260"/>
      <c r="AZ57" s="241"/>
      <c r="BA57" s="244"/>
      <c r="BB57" s="33"/>
      <c r="BC57" s="260"/>
      <c r="BD57" s="241"/>
      <c r="BE57" s="244"/>
      <c r="BF57" s="33"/>
      <c r="BG57" s="260"/>
      <c r="BH57" s="241"/>
      <c r="BI57" s="244"/>
      <c r="BJ57" s="33"/>
      <c r="BK57" s="260"/>
      <c r="BL57" s="241"/>
      <c r="BM57" s="244"/>
      <c r="BN57" s="33"/>
      <c r="BO57" s="260"/>
      <c r="BP57" s="241"/>
      <c r="BQ57" s="244"/>
      <c r="BR57" s="33"/>
      <c r="BS57" s="260"/>
      <c r="BT57" s="241"/>
      <c r="BU57" s="244"/>
      <c r="BV57" s="33"/>
      <c r="BW57" s="260"/>
      <c r="BX57" s="241"/>
      <c r="BY57" s="244"/>
      <c r="BZ57" s="33"/>
      <c r="CA57" s="260"/>
      <c r="CB57" s="241"/>
      <c r="CC57" s="244"/>
      <c r="CD57" s="243"/>
      <c r="CE57" s="243"/>
      <c r="CF57" s="243"/>
      <c r="CG57" s="243"/>
      <c r="CH57" s="243"/>
      <c r="CI57" s="243"/>
      <c r="CJ57" s="243"/>
      <c r="CK57" s="243"/>
      <c r="CL57" s="243"/>
      <c r="CM57" s="243"/>
      <c r="CN57" s="243"/>
      <c r="CO57" s="243"/>
      <c r="CP57" s="243"/>
      <c r="CQ57" s="243"/>
      <c r="CR57" s="243"/>
      <c r="CS57" s="243"/>
      <c r="CT57" s="243"/>
      <c r="CU57" s="243"/>
      <c r="CV57" s="243"/>
      <c r="CW57" s="243"/>
      <c r="CX57" s="243"/>
      <c r="CY57" s="243"/>
      <c r="CZ57" s="243"/>
      <c r="DA57" s="243"/>
      <c r="DB57" s="243"/>
      <c r="DC57" s="243"/>
      <c r="DD57" s="243"/>
      <c r="DE57" s="243"/>
      <c r="DF57" s="243"/>
      <c r="DG57" s="243"/>
      <c r="DH57" s="243"/>
      <c r="DI57" s="243"/>
      <c r="DJ57" s="243"/>
      <c r="DK57" s="243"/>
      <c r="DM57" s="259"/>
      <c r="DO57" s="243"/>
      <c r="DQ57" s="259"/>
      <c r="DS57" s="243"/>
      <c r="DU57" s="259"/>
      <c r="DW57" s="243"/>
      <c r="DY57" s="260"/>
      <c r="EA57" s="243"/>
    </row>
    <row r="58" spans="1:131">
      <c r="A58" s="20"/>
      <c r="B58" s="124" t="str">
        <f t="shared" si="54"/>
        <v/>
      </c>
      <c r="C58" s="235"/>
      <c r="D58" s="24">
        <f>'1% Wind'!$M$83</f>
        <v>23.5</v>
      </c>
      <c r="E58" s="90"/>
      <c r="F58" s="90"/>
      <c r="G58" s="79">
        <f ca="1">IF(I56=0.9743,$G57,MAX(G57/D57*D58,2))</f>
        <v>6.001707317073171</v>
      </c>
      <c r="H58" s="121" t="e">
        <f t="shared" ca="1" si="55"/>
        <v>#VALUE!</v>
      </c>
      <c r="J58" s="33"/>
      <c r="K58" s="242">
        <f t="shared" ref="K58:K71" si="56">K57</f>
        <v>1</v>
      </c>
      <c r="L58" s="241" t="e">
        <f t="shared" ref="L58:L71" ca="1" si="57">K58*$H58</f>
        <v>#VALUE!</v>
      </c>
      <c r="M58" s="243" t="e">
        <f ca="1">IF(AND(INDEX(FlowCalConstA,MATCH(J56,FlowCalNumber,0),1,1)*L58^INDEX(FlowCalConstB,MATCH(J56,FlowCalNumber,0),1,1)&gt;INDEX(FlowCalLowSetting,MATCH(J56,FlowCalNumber,0),1,1), (INDEX(FlowCalConstA,MATCH(J56,FlowCalNumber,0),1,1)*L58^INDEX(FlowCalConstB,MATCH(J56,FlowCalNumber,0),1,1)&lt;INDEX(FlowCalHighSetting,MATCH(J56,FlowCalNumber,0),1,1))),INDEX(FlowCalConstA,MATCH(J56,FlowCalNumber,0),1,1)*L58^INDEX(FlowCalConstB,MATCH(J56,FlowCalNumber,0),1,1)," ")</f>
        <v>#N/A</v>
      </c>
      <c r="N58" s="33"/>
      <c r="O58" s="242">
        <f t="shared" ref="O58:O71" si="58">O57</f>
        <v>1</v>
      </c>
      <c r="P58" s="241" t="e">
        <f t="shared" ref="P58:P71" ca="1" si="59">O58*$H58</f>
        <v>#VALUE!</v>
      </c>
      <c r="Q58" s="243" t="e">
        <f ca="1">IF(AND(INDEX(FlowCalConstA,MATCH(N56,FlowCalNumber,0),1,1)*P58^INDEX(FlowCalConstB,MATCH(N56,FlowCalNumber,0),1,1)&gt;INDEX(FlowCalLowSetting,MATCH(N56,FlowCalNumber,0),1,1), (INDEX(FlowCalConstA,MATCH(N56,FlowCalNumber,0),1,1)*P58^INDEX(FlowCalConstB,MATCH(N56,FlowCalNumber,0),1,1)&lt;INDEX(FlowCalHighSetting,MATCH(N56,FlowCalNumber,0),1,1))),INDEX(FlowCalConstA,MATCH(N56,FlowCalNumber,0),1,1)*P58^INDEX(FlowCalConstB,MATCH(N56,FlowCalNumber,0),1,1)," ")</f>
        <v>#N/A</v>
      </c>
      <c r="R58" s="33"/>
      <c r="S58" s="242">
        <f t="shared" ref="S58:S71" si="60">S57</f>
        <v>1</v>
      </c>
      <c r="T58" s="241" t="e">
        <f t="shared" ref="T58:T71" ca="1" si="61">S58*$H58</f>
        <v>#VALUE!</v>
      </c>
      <c r="U58" s="244" t="e">
        <f ca="1">IF(AND(INDEX(FlowCalConstA,MATCH(R56,FlowCalNumber,0),1,1)*T58^INDEX(FlowCalConstB,MATCH(R56,FlowCalNumber,0),1,1)&gt;INDEX(FlowCalLowSetting,MATCH(R56,FlowCalNumber,0),1,1), (INDEX(FlowCalConstA,MATCH(R56,FlowCalNumber,0),1,1)*T58^INDEX(FlowCalConstB,MATCH(R56,FlowCalNumber,0),1,1)&lt;INDEX(FlowCalHighSetting,MATCH(R56,FlowCalNumber,0),1,1))),INDEX(FlowCalConstA,MATCH(R56,FlowCalNumber,0),1,1)*T58^INDEX(FlowCalConstB,MATCH(R56,FlowCalNumber,0),1,1)," ")</f>
        <v>#N/A</v>
      </c>
      <c r="V58" s="33"/>
      <c r="W58" s="242">
        <f t="shared" ref="W58:W71" si="62">W57</f>
        <v>0.1</v>
      </c>
      <c r="X58" s="241" t="e">
        <f t="shared" ref="X58:X71" ca="1" si="63">W58*$H58</f>
        <v>#VALUE!</v>
      </c>
      <c r="Y58" s="243" t="e">
        <f ca="1">IF(AND(INDEX(FlowCalConstA,MATCH(V56,FlowCalNumber,0),1,1)*X58^INDEX(FlowCalConstB,MATCH(V56,FlowCalNumber,0),1,1)&gt;INDEX(FlowCalLowSetting,MATCH(V56,FlowCalNumber,0),1,1), (INDEX(FlowCalConstA,MATCH(V56,FlowCalNumber,0),1,1)*X58^INDEX(FlowCalConstB,MATCH(V56,FlowCalNumber,0),1,1)&lt;INDEX(FlowCalHighSetting,MATCH(V56,FlowCalNumber,0),1,1))),INDEX(FlowCalConstA,MATCH(V56,FlowCalNumber,0),1,1)*X58^INDEX(FlowCalConstB,MATCH(V56,FlowCalNumber,0),1,1)," ")</f>
        <v>#N/A</v>
      </c>
      <c r="Z58" s="33"/>
      <c r="AA58" s="242">
        <f t="shared" ref="AA58:AA71" si="64">AA57</f>
        <v>0.9</v>
      </c>
      <c r="AB58" s="241" t="e">
        <f t="shared" ref="AB58:AB71" ca="1" si="65">AA58*$H58</f>
        <v>#VALUE!</v>
      </c>
      <c r="AC58" s="243" t="e">
        <f ca="1">IF(AND(INDEX(FlowCalConstA,MATCH(Z56,FlowCalNumber,0),1,1)*AB58^INDEX(FlowCalConstB,MATCH(Z56,FlowCalNumber,0),1,1)&gt;INDEX(FlowCalLowSetting,MATCH(Z56,FlowCalNumber,0),1,1), (INDEX(FlowCalConstA,MATCH(Z56,FlowCalNumber,0),1,1)*AB58^INDEX(FlowCalConstB,MATCH(Z56,FlowCalNumber,0),1,1)&lt;INDEX(FlowCalHighSetting,MATCH(Z56,FlowCalNumber,0),1,1))),INDEX(FlowCalConstA,MATCH(Z56,FlowCalNumber,0),1,1)*AB58^INDEX(FlowCalConstB,MATCH(Z56,FlowCalNumber,0),1,1)," ")</f>
        <v>#N/A</v>
      </c>
      <c r="AD58" s="33"/>
      <c r="AE58" s="242">
        <f t="shared" ref="AE58:AE71" si="66">AE57</f>
        <v>0.1</v>
      </c>
      <c r="AF58" s="241" t="e">
        <f t="shared" ref="AF58:AF71" ca="1" si="67">AE58*$H58</f>
        <v>#VALUE!</v>
      </c>
      <c r="AG58" s="243" t="e">
        <f ca="1">IF(AND(INDEX(FlowCalConstA,MATCH(AD56,FlowCalNumber,0),1,1)*AF58^INDEX(FlowCalConstB,MATCH(AD56,FlowCalNumber,0),1,1)&gt;INDEX(FlowCalLowSetting,MATCH(AD56,FlowCalNumber,0),1,1), (INDEX(FlowCalConstA,MATCH(AD56,FlowCalNumber,0),1,1)*AF58^INDEX(FlowCalConstB,MATCH(AD56,FlowCalNumber,0),1,1)&lt;INDEX(FlowCalHighSetting,MATCH(AD56,FlowCalNumber,0),1,1))),INDEX(FlowCalConstA,MATCH(AD56,FlowCalNumber,0),1,1)*AF58^INDEX(FlowCalConstB,MATCH(AD56,FlowCalNumber,0),1,1)," ")</f>
        <v>#N/A</v>
      </c>
      <c r="AH58" s="33"/>
      <c r="AI58" s="242">
        <f t="shared" ref="AI58:AI71" si="68">AI57</f>
        <v>0.9</v>
      </c>
      <c r="AJ58" s="241" t="e">
        <f t="shared" ref="AJ58:AJ71" ca="1" si="69">AI58*$H58</f>
        <v>#VALUE!</v>
      </c>
      <c r="AK58" s="243" t="e">
        <f ca="1">IF(AND(INDEX(FlowCalConstA,MATCH(AH56,FlowCalNumber,0),1,1)*AJ58^INDEX(FlowCalConstB,MATCH(AH56,FlowCalNumber,0),1,1)&gt;INDEX(FlowCalLowSetting,MATCH(AH56,FlowCalNumber,0),1,1), (INDEX(FlowCalConstA,MATCH(AH56,FlowCalNumber,0),1,1)*AJ58^INDEX(FlowCalConstB,MATCH(AH56,FlowCalNumber,0),1,1)&lt;INDEX(FlowCalHighSetting,MATCH(AH56,FlowCalNumber,0),1,1))),INDEX(FlowCalConstA,MATCH(AH56,FlowCalNumber,0),1,1)*AJ58^INDEX(FlowCalConstB,MATCH(AH56,FlowCalNumber,0),1,1)," ")</f>
        <v>#N/A</v>
      </c>
      <c r="AL58" s="33"/>
      <c r="AM58" s="242"/>
      <c r="AN58" s="241"/>
      <c r="AO58" s="244"/>
      <c r="AQ58" s="242"/>
      <c r="AR58" s="241"/>
      <c r="AS58" s="244"/>
      <c r="AT58" s="33"/>
      <c r="AU58" s="242"/>
      <c r="AV58" s="241"/>
      <c r="AW58" s="244"/>
      <c r="AX58" s="33"/>
      <c r="AY58" s="242"/>
      <c r="AZ58" s="241"/>
      <c r="BA58" s="244"/>
      <c r="BB58" s="33"/>
      <c r="BC58" s="242"/>
      <c r="BD58" s="241"/>
      <c r="BE58" s="244"/>
      <c r="BF58" s="33"/>
      <c r="BG58" s="242"/>
      <c r="BH58" s="241"/>
      <c r="BI58" s="244"/>
      <c r="BJ58" s="33"/>
      <c r="BK58" s="242"/>
      <c r="BL58" s="241"/>
      <c r="BM58" s="244"/>
      <c r="BN58" s="33"/>
      <c r="BO58" s="242"/>
      <c r="BP58" s="241"/>
      <c r="BQ58" s="244"/>
      <c r="BR58" s="33"/>
      <c r="BS58" s="242"/>
      <c r="BT58" s="241"/>
      <c r="BU58" s="244"/>
      <c r="BV58" s="33"/>
      <c r="BW58" s="242"/>
      <c r="BX58" s="241"/>
      <c r="BY58" s="244"/>
      <c r="BZ58" s="33"/>
      <c r="CA58" s="242"/>
      <c r="CB58" s="241"/>
      <c r="CC58" s="244"/>
      <c r="CD58" s="243"/>
      <c r="CE58" s="243"/>
      <c r="CF58" s="243"/>
      <c r="CG58" s="243"/>
      <c r="CH58" s="243"/>
      <c r="CI58" s="243"/>
      <c r="CJ58" s="243"/>
      <c r="CK58" s="243"/>
      <c r="CL58" s="243"/>
      <c r="CM58" s="243"/>
      <c r="CN58" s="243"/>
      <c r="CO58" s="243"/>
      <c r="CP58" s="243"/>
      <c r="CQ58" s="243"/>
      <c r="CR58" s="243"/>
      <c r="CS58" s="243"/>
      <c r="CT58" s="243"/>
      <c r="CU58" s="243"/>
      <c r="CV58" s="243"/>
      <c r="CW58" s="243"/>
      <c r="CX58" s="243"/>
      <c r="CY58" s="243"/>
      <c r="CZ58" s="243"/>
      <c r="DA58" s="243"/>
      <c r="DB58" s="243"/>
      <c r="DC58" s="243"/>
      <c r="DD58" s="243"/>
      <c r="DE58" s="243"/>
      <c r="DF58" s="243"/>
      <c r="DG58" s="243"/>
      <c r="DH58" s="243"/>
      <c r="DI58" s="243"/>
      <c r="DJ58" s="243"/>
      <c r="DK58" s="243"/>
      <c r="DM58" s="242"/>
      <c r="DO58" s="243"/>
      <c r="DQ58" s="242"/>
      <c r="DS58" s="243"/>
      <c r="DU58" s="242"/>
      <c r="DW58" s="243"/>
      <c r="DY58" s="242"/>
      <c r="EA58" s="243"/>
    </row>
    <row r="59" spans="1:131">
      <c r="A59" s="20"/>
      <c r="B59" s="124" t="str">
        <f t="shared" si="54"/>
        <v/>
      </c>
      <c r="C59" s="235"/>
      <c r="D59" s="24">
        <f>'1% Wind'!$M$84</f>
        <v>20.5</v>
      </c>
      <c r="E59" s="90"/>
      <c r="F59" s="90"/>
      <c r="G59" s="79">
        <f ca="1">IF(I56=0.9743,$G58,MAX(G58/D58*D59,2))</f>
        <v>6.001707317073171</v>
      </c>
      <c r="H59" s="121" t="e">
        <f t="shared" ca="1" si="55"/>
        <v>#VALUE!</v>
      </c>
      <c r="J59" s="33"/>
      <c r="K59" s="242">
        <f t="shared" si="56"/>
        <v>1</v>
      </c>
      <c r="L59" s="241" t="e">
        <f t="shared" ca="1" si="57"/>
        <v>#VALUE!</v>
      </c>
      <c r="M59" s="243" t="e">
        <f ca="1">IF(AND(INDEX(FlowCalConstA,MATCH(J56,FlowCalNumber,0),1,1)*L59^INDEX(FlowCalConstB,MATCH(J56,FlowCalNumber,0),1,1)&gt;INDEX(FlowCalLowSetting,MATCH(J56,FlowCalNumber,0),1,1), (INDEX(FlowCalConstA,MATCH(J56,FlowCalNumber,0),1,1)*L59^INDEX(FlowCalConstB,MATCH(J56,FlowCalNumber,0),1,1)&lt;INDEX(FlowCalHighSetting,MATCH(J56,FlowCalNumber,0),1,1))),INDEX(FlowCalConstA,MATCH(J56,FlowCalNumber,0),1,1)*L59^INDEX(FlowCalConstB,MATCH(J56,FlowCalNumber,0),1,1)," ")</f>
        <v>#N/A</v>
      </c>
      <c r="N59" s="33"/>
      <c r="O59" s="242">
        <f t="shared" si="58"/>
        <v>1</v>
      </c>
      <c r="P59" s="241" t="e">
        <f t="shared" ca="1" si="59"/>
        <v>#VALUE!</v>
      </c>
      <c r="Q59" s="243" t="e">
        <f ca="1">IF(AND(INDEX(FlowCalConstA,MATCH(N56,FlowCalNumber,0),1,1)*P59^INDEX(FlowCalConstB,MATCH(N56,FlowCalNumber,0),1,1)&gt;INDEX(FlowCalLowSetting,MATCH(N56,FlowCalNumber,0),1,1), (INDEX(FlowCalConstA,MATCH(N56,FlowCalNumber,0),1,1)*P59^INDEX(FlowCalConstB,MATCH(N56,FlowCalNumber,0),1,1)&lt;INDEX(FlowCalHighSetting,MATCH(N56,FlowCalNumber,0),1,1))),INDEX(FlowCalConstA,MATCH(N56,FlowCalNumber,0),1,1)*P59^INDEX(FlowCalConstB,MATCH(N56,FlowCalNumber,0),1,1)," ")</f>
        <v>#N/A</v>
      </c>
      <c r="R59" s="33"/>
      <c r="S59" s="242">
        <f t="shared" si="60"/>
        <v>1</v>
      </c>
      <c r="T59" s="241" t="e">
        <f t="shared" ca="1" si="61"/>
        <v>#VALUE!</v>
      </c>
      <c r="U59" s="244" t="e">
        <f ca="1">IF(AND(INDEX(FlowCalConstA,MATCH(R56,FlowCalNumber,0),1,1)*T59^INDEX(FlowCalConstB,MATCH(R56,FlowCalNumber,0),1,1)&gt;INDEX(FlowCalLowSetting,MATCH(R56,FlowCalNumber,0),1,1), (INDEX(FlowCalConstA,MATCH(R56,FlowCalNumber,0),1,1)*T59^INDEX(FlowCalConstB,MATCH(R56,FlowCalNumber,0),1,1)&lt;INDEX(FlowCalHighSetting,MATCH(R56,FlowCalNumber,0),1,1))),INDEX(FlowCalConstA,MATCH(R56,FlowCalNumber,0),1,1)*T59^INDEX(FlowCalConstB,MATCH(R56,FlowCalNumber,0),1,1)," ")</f>
        <v>#N/A</v>
      </c>
      <c r="V59" s="33"/>
      <c r="W59" s="242">
        <f t="shared" si="62"/>
        <v>0.1</v>
      </c>
      <c r="X59" s="241" t="e">
        <f t="shared" ca="1" si="63"/>
        <v>#VALUE!</v>
      </c>
      <c r="Y59" s="243" t="e">
        <f ca="1">IF(AND(INDEX(FlowCalConstA,MATCH(V56,FlowCalNumber,0),1,1)*X59^INDEX(FlowCalConstB,MATCH(V56,FlowCalNumber,0),1,1)&gt;INDEX(FlowCalLowSetting,MATCH(V56,FlowCalNumber,0),1,1), (INDEX(FlowCalConstA,MATCH(V56,FlowCalNumber,0),1,1)*X59^INDEX(FlowCalConstB,MATCH(V56,FlowCalNumber,0),1,1)&lt;INDEX(FlowCalHighSetting,MATCH(V56,FlowCalNumber,0),1,1))),INDEX(FlowCalConstA,MATCH(V56,FlowCalNumber,0),1,1)*X59^INDEX(FlowCalConstB,MATCH(V56,FlowCalNumber,0),1,1)," ")</f>
        <v>#N/A</v>
      </c>
      <c r="Z59" s="33"/>
      <c r="AA59" s="242">
        <f t="shared" si="64"/>
        <v>0.9</v>
      </c>
      <c r="AB59" s="241" t="e">
        <f t="shared" ca="1" si="65"/>
        <v>#VALUE!</v>
      </c>
      <c r="AC59" s="243" t="e">
        <f ca="1">IF(AND(INDEX(FlowCalConstA,MATCH(Z56,FlowCalNumber,0),1,1)*AB59^INDEX(FlowCalConstB,MATCH(Z56,FlowCalNumber,0),1,1)&gt;INDEX(FlowCalLowSetting,MATCH(Z56,FlowCalNumber,0),1,1), (INDEX(FlowCalConstA,MATCH(Z56,FlowCalNumber,0),1,1)*AB59^INDEX(FlowCalConstB,MATCH(Z56,FlowCalNumber,0),1,1)&lt;INDEX(FlowCalHighSetting,MATCH(Z56,FlowCalNumber,0),1,1))),INDEX(FlowCalConstA,MATCH(Z56,FlowCalNumber,0),1,1)*AB59^INDEX(FlowCalConstB,MATCH(Z56,FlowCalNumber,0),1,1)," ")</f>
        <v>#N/A</v>
      </c>
      <c r="AD59" s="33"/>
      <c r="AE59" s="242">
        <f t="shared" si="66"/>
        <v>0.1</v>
      </c>
      <c r="AF59" s="241" t="e">
        <f t="shared" ca="1" si="67"/>
        <v>#VALUE!</v>
      </c>
      <c r="AG59" s="243" t="e">
        <f ca="1">IF(AND(INDEX(FlowCalConstA,MATCH(AD56,FlowCalNumber,0),1,1)*AF59^INDEX(FlowCalConstB,MATCH(AD56,FlowCalNumber,0),1,1)&gt;INDEX(FlowCalLowSetting,MATCH(AD56,FlowCalNumber,0),1,1), (INDEX(FlowCalConstA,MATCH(AD56,FlowCalNumber,0),1,1)*AF59^INDEX(FlowCalConstB,MATCH(AD56,FlowCalNumber,0),1,1)&lt;INDEX(FlowCalHighSetting,MATCH(AD56,FlowCalNumber,0),1,1))),INDEX(FlowCalConstA,MATCH(AD56,FlowCalNumber,0),1,1)*AF59^INDEX(FlowCalConstB,MATCH(AD56,FlowCalNumber,0),1,1)," ")</f>
        <v>#N/A</v>
      </c>
      <c r="AH59" s="33"/>
      <c r="AI59" s="242">
        <f t="shared" si="68"/>
        <v>0.9</v>
      </c>
      <c r="AJ59" s="241" t="e">
        <f t="shared" ca="1" si="69"/>
        <v>#VALUE!</v>
      </c>
      <c r="AK59" s="243" t="e">
        <f ca="1">IF(AND(INDEX(FlowCalConstA,MATCH(AH56,FlowCalNumber,0),1,1)*AJ59^INDEX(FlowCalConstB,MATCH(AH56,FlowCalNumber,0),1,1)&gt;INDEX(FlowCalLowSetting,MATCH(AH56,FlowCalNumber,0),1,1), (INDEX(FlowCalConstA,MATCH(AH56,FlowCalNumber,0),1,1)*AJ59^INDEX(FlowCalConstB,MATCH(AH56,FlowCalNumber,0),1,1)&lt;INDEX(FlowCalHighSetting,MATCH(AH56,FlowCalNumber,0),1,1))),INDEX(FlowCalConstA,MATCH(AH56,FlowCalNumber,0),1,1)*AJ59^INDEX(FlowCalConstB,MATCH(AH56,FlowCalNumber,0),1,1)," ")</f>
        <v>#N/A</v>
      </c>
      <c r="AL59" s="33"/>
      <c r="AM59" s="242"/>
      <c r="AN59" s="241"/>
      <c r="AO59" s="244"/>
      <c r="AQ59" s="242"/>
      <c r="AR59" s="241"/>
      <c r="AS59" s="244"/>
      <c r="AT59" s="33"/>
      <c r="AU59" s="242"/>
      <c r="AV59" s="241"/>
      <c r="AW59" s="244"/>
      <c r="AX59" s="33"/>
      <c r="AY59" s="242"/>
      <c r="AZ59" s="241"/>
      <c r="BA59" s="244"/>
      <c r="BB59" s="33"/>
      <c r="BC59" s="242"/>
      <c r="BD59" s="241"/>
      <c r="BE59" s="244"/>
      <c r="BF59" s="33"/>
      <c r="BG59" s="242"/>
      <c r="BH59" s="241"/>
      <c r="BI59" s="244"/>
      <c r="BJ59" s="33"/>
      <c r="BK59" s="242"/>
      <c r="BL59" s="241"/>
      <c r="BM59" s="244"/>
      <c r="BN59" s="33"/>
      <c r="BO59" s="242"/>
      <c r="BP59" s="241"/>
      <c r="BQ59" s="244"/>
      <c r="BR59" s="33"/>
      <c r="BS59" s="242"/>
      <c r="BT59" s="241"/>
      <c r="BU59" s="244"/>
      <c r="BV59" s="33"/>
      <c r="BW59" s="242"/>
      <c r="BX59" s="241"/>
      <c r="BY59" s="244"/>
      <c r="BZ59" s="33"/>
      <c r="CA59" s="242"/>
      <c r="CB59" s="241"/>
      <c r="CC59" s="244"/>
      <c r="CD59" s="243"/>
      <c r="CE59" s="243"/>
      <c r="CF59" s="243"/>
      <c r="CG59" s="243"/>
      <c r="CH59" s="243"/>
      <c r="CI59" s="243"/>
      <c r="CJ59" s="243"/>
      <c r="CK59" s="243"/>
      <c r="CL59" s="243"/>
      <c r="CM59" s="243"/>
      <c r="CN59" s="243"/>
      <c r="CO59" s="243"/>
      <c r="CP59" s="243"/>
      <c r="CQ59" s="243"/>
      <c r="CR59" s="243"/>
      <c r="CS59" s="243"/>
      <c r="CT59" s="243"/>
      <c r="CU59" s="243"/>
      <c r="CV59" s="243"/>
      <c r="CW59" s="243"/>
      <c r="CX59" s="243"/>
      <c r="CY59" s="243"/>
      <c r="CZ59" s="243"/>
      <c r="DA59" s="243"/>
      <c r="DB59" s="243"/>
      <c r="DC59" s="243"/>
      <c r="DD59" s="243"/>
      <c r="DE59" s="243"/>
      <c r="DF59" s="243"/>
      <c r="DG59" s="243"/>
      <c r="DH59" s="243"/>
      <c r="DI59" s="243"/>
      <c r="DJ59" s="243"/>
      <c r="DK59" s="243"/>
      <c r="DM59" s="242"/>
      <c r="DO59" s="243"/>
      <c r="DQ59" s="242"/>
      <c r="DS59" s="243"/>
      <c r="DU59" s="242"/>
      <c r="DW59" s="243"/>
      <c r="DY59" s="242"/>
      <c r="EA59" s="243"/>
    </row>
    <row r="60" spans="1:131">
      <c r="A60" s="20"/>
      <c r="B60" s="124" t="str">
        <f t="shared" si="54"/>
        <v/>
      </c>
      <c r="C60" s="235"/>
      <c r="D60" s="24">
        <f>'1% Wind'!$M$85</f>
        <v>17.8</v>
      </c>
      <c r="E60" s="90"/>
      <c r="F60" s="90"/>
      <c r="G60" s="79">
        <f ca="1">IF(I56=0.9743,$G59,MAX(G59/D59*D60,2))</f>
        <v>6.001707317073171</v>
      </c>
      <c r="H60" s="121" t="e">
        <f t="shared" ca="1" si="55"/>
        <v>#VALUE!</v>
      </c>
      <c r="J60" s="33"/>
      <c r="K60" s="242">
        <f t="shared" si="56"/>
        <v>1</v>
      </c>
      <c r="L60" s="241" t="e">
        <f t="shared" ca="1" si="57"/>
        <v>#VALUE!</v>
      </c>
      <c r="M60" s="243" t="e">
        <f ca="1">IF(AND(INDEX(FlowCalConstA,MATCH(J56,FlowCalNumber,0),1,1)*L60^INDEX(FlowCalConstB,MATCH(J56,FlowCalNumber,0),1,1)&gt;INDEX(FlowCalLowSetting,MATCH(J56,FlowCalNumber,0),1,1), (INDEX(FlowCalConstA,MATCH(J56,FlowCalNumber,0),1,1)*L60^INDEX(FlowCalConstB,MATCH(J56,FlowCalNumber,0),1,1)&lt;INDEX(FlowCalHighSetting,MATCH(J56,FlowCalNumber,0),1,1))),INDEX(FlowCalConstA,MATCH(J56,FlowCalNumber,0),1,1)*L60^INDEX(FlowCalConstB,MATCH(J56,FlowCalNumber,0),1,1)," ")</f>
        <v>#N/A</v>
      </c>
      <c r="N60" s="33"/>
      <c r="O60" s="242">
        <f t="shared" si="58"/>
        <v>1</v>
      </c>
      <c r="P60" s="241" t="e">
        <f t="shared" ca="1" si="59"/>
        <v>#VALUE!</v>
      </c>
      <c r="Q60" s="243" t="e">
        <f ca="1">IF(AND(INDEX(FlowCalConstA,MATCH(N56,FlowCalNumber,0),1,1)*P60^INDEX(FlowCalConstB,MATCH(N56,FlowCalNumber,0),1,1)&gt;INDEX(FlowCalLowSetting,MATCH(N56,FlowCalNumber,0),1,1), (INDEX(FlowCalConstA,MATCH(N56,FlowCalNumber,0),1,1)*P60^INDEX(FlowCalConstB,MATCH(N56,FlowCalNumber,0),1,1)&lt;INDEX(FlowCalHighSetting,MATCH(N56,FlowCalNumber,0),1,1))),INDEX(FlowCalConstA,MATCH(N56,FlowCalNumber,0),1,1)*P60^INDEX(FlowCalConstB,MATCH(N56,FlowCalNumber,0),1,1)," ")</f>
        <v>#N/A</v>
      </c>
      <c r="R60" s="33"/>
      <c r="S60" s="242">
        <f t="shared" si="60"/>
        <v>1</v>
      </c>
      <c r="T60" s="241" t="e">
        <f t="shared" ca="1" si="61"/>
        <v>#VALUE!</v>
      </c>
      <c r="U60" s="244" t="e">
        <f ca="1">IF(AND(INDEX(FlowCalConstA,MATCH(R56,FlowCalNumber,0),1,1)*T60^INDEX(FlowCalConstB,MATCH(R56,FlowCalNumber,0),1,1)&gt;INDEX(FlowCalLowSetting,MATCH(R56,FlowCalNumber,0),1,1), (INDEX(FlowCalConstA,MATCH(R56,FlowCalNumber,0),1,1)*T60^INDEX(FlowCalConstB,MATCH(R56,FlowCalNumber,0),1,1)&lt;INDEX(FlowCalHighSetting,MATCH(R56,FlowCalNumber,0),1,1))),INDEX(FlowCalConstA,MATCH(R56,FlowCalNumber,0),1,1)*T60^INDEX(FlowCalConstB,MATCH(R56,FlowCalNumber,0),1,1)," ")</f>
        <v>#N/A</v>
      </c>
      <c r="V60" s="33"/>
      <c r="W60" s="242">
        <f t="shared" si="62"/>
        <v>0.1</v>
      </c>
      <c r="X60" s="241" t="e">
        <f t="shared" ca="1" si="63"/>
        <v>#VALUE!</v>
      </c>
      <c r="Y60" s="243" t="e">
        <f ca="1">IF(AND(INDEX(FlowCalConstA,MATCH(V56,FlowCalNumber,0),1,1)*X60^INDEX(FlowCalConstB,MATCH(V56,FlowCalNumber,0),1,1)&gt;INDEX(FlowCalLowSetting,MATCH(V56,FlowCalNumber,0),1,1), (INDEX(FlowCalConstA,MATCH(V56,FlowCalNumber,0),1,1)*X60^INDEX(FlowCalConstB,MATCH(V56,FlowCalNumber,0),1,1)&lt;INDEX(FlowCalHighSetting,MATCH(V56,FlowCalNumber,0),1,1))),INDEX(FlowCalConstA,MATCH(V56,FlowCalNumber,0),1,1)*X60^INDEX(FlowCalConstB,MATCH(V56,FlowCalNumber,0),1,1)," ")</f>
        <v>#N/A</v>
      </c>
      <c r="Z60" s="33"/>
      <c r="AA60" s="242">
        <f t="shared" si="64"/>
        <v>0.9</v>
      </c>
      <c r="AB60" s="241" t="e">
        <f t="shared" ca="1" si="65"/>
        <v>#VALUE!</v>
      </c>
      <c r="AC60" s="243" t="e">
        <f ca="1">IF(AND(INDEX(FlowCalConstA,MATCH(Z56,FlowCalNumber,0),1,1)*AB60^INDEX(FlowCalConstB,MATCH(Z56,FlowCalNumber,0),1,1)&gt;INDEX(FlowCalLowSetting,MATCH(Z56,FlowCalNumber,0),1,1), (INDEX(FlowCalConstA,MATCH(Z56,FlowCalNumber,0),1,1)*AB60^INDEX(FlowCalConstB,MATCH(Z56,FlowCalNumber,0),1,1)&lt;INDEX(FlowCalHighSetting,MATCH(Z56,FlowCalNumber,0),1,1))),INDEX(FlowCalConstA,MATCH(Z56,FlowCalNumber,0),1,1)*AB60^INDEX(FlowCalConstB,MATCH(Z56,FlowCalNumber,0),1,1)," ")</f>
        <v>#N/A</v>
      </c>
      <c r="AD60" s="33"/>
      <c r="AE60" s="242">
        <f t="shared" si="66"/>
        <v>0.1</v>
      </c>
      <c r="AF60" s="241" t="e">
        <f t="shared" ca="1" si="67"/>
        <v>#VALUE!</v>
      </c>
      <c r="AG60" s="243" t="e">
        <f ca="1">IF(AND(INDEX(FlowCalConstA,MATCH(AD56,FlowCalNumber,0),1,1)*AF60^INDEX(FlowCalConstB,MATCH(AD56,FlowCalNumber,0),1,1)&gt;INDEX(FlowCalLowSetting,MATCH(AD56,FlowCalNumber,0),1,1), (INDEX(FlowCalConstA,MATCH(AD56,FlowCalNumber,0),1,1)*AF60^INDEX(FlowCalConstB,MATCH(AD56,FlowCalNumber,0),1,1)&lt;INDEX(FlowCalHighSetting,MATCH(AD56,FlowCalNumber,0),1,1))),INDEX(FlowCalConstA,MATCH(AD56,FlowCalNumber,0),1,1)*AF60^INDEX(FlowCalConstB,MATCH(AD56,FlowCalNumber,0),1,1)," ")</f>
        <v>#N/A</v>
      </c>
      <c r="AH60" s="33"/>
      <c r="AI60" s="242">
        <f t="shared" si="68"/>
        <v>0.9</v>
      </c>
      <c r="AJ60" s="241" t="e">
        <f t="shared" ca="1" si="69"/>
        <v>#VALUE!</v>
      </c>
      <c r="AK60" s="243" t="e">
        <f ca="1">IF(AND(INDEX(FlowCalConstA,MATCH(AH56,FlowCalNumber,0),1,1)*AJ60^INDEX(FlowCalConstB,MATCH(AH56,FlowCalNumber,0),1,1)&gt;INDEX(FlowCalLowSetting,MATCH(AH56,FlowCalNumber,0),1,1), (INDEX(FlowCalConstA,MATCH(AH56,FlowCalNumber,0),1,1)*AJ60^INDEX(FlowCalConstB,MATCH(AH56,FlowCalNumber,0),1,1)&lt;INDEX(FlowCalHighSetting,MATCH(AH56,FlowCalNumber,0),1,1))),INDEX(FlowCalConstA,MATCH(AH56,FlowCalNumber,0),1,1)*AJ60^INDEX(FlowCalConstB,MATCH(AH56,FlowCalNumber,0),1,1)," ")</f>
        <v>#N/A</v>
      </c>
      <c r="AL60" s="33"/>
      <c r="AM60" s="242"/>
      <c r="AN60" s="241"/>
      <c r="AO60" s="244"/>
      <c r="AQ60" s="242"/>
      <c r="AR60" s="241"/>
      <c r="AS60" s="244"/>
      <c r="AT60" s="33"/>
      <c r="AU60" s="242"/>
      <c r="AV60" s="241"/>
      <c r="AW60" s="244"/>
      <c r="AX60" s="33"/>
      <c r="AY60" s="242"/>
      <c r="AZ60" s="241"/>
      <c r="BA60" s="244"/>
      <c r="BB60" s="33"/>
      <c r="BC60" s="242"/>
      <c r="BD60" s="241"/>
      <c r="BE60" s="244"/>
      <c r="BF60" s="33"/>
      <c r="BG60" s="242"/>
      <c r="BH60" s="241"/>
      <c r="BI60" s="244"/>
      <c r="BJ60" s="33"/>
      <c r="BK60" s="242"/>
      <c r="BL60" s="241"/>
      <c r="BM60" s="244"/>
      <c r="BN60" s="33"/>
      <c r="BO60" s="242"/>
      <c r="BP60" s="241"/>
      <c r="BQ60" s="244"/>
      <c r="BR60" s="33"/>
      <c r="BS60" s="242"/>
      <c r="BT60" s="241"/>
      <c r="BU60" s="244"/>
      <c r="BV60" s="33"/>
      <c r="BW60" s="242"/>
      <c r="BX60" s="241"/>
      <c r="BY60" s="244"/>
      <c r="BZ60" s="33"/>
      <c r="CA60" s="242"/>
      <c r="CB60" s="241"/>
      <c r="CC60" s="244"/>
      <c r="CD60" s="243"/>
      <c r="CE60" s="243"/>
      <c r="CF60" s="243"/>
      <c r="CG60" s="243"/>
      <c r="CH60" s="243"/>
      <c r="CI60" s="243"/>
      <c r="CJ60" s="243"/>
      <c r="CK60" s="243"/>
      <c r="CL60" s="243"/>
      <c r="CM60" s="243"/>
      <c r="CN60" s="243"/>
      <c r="CO60" s="243"/>
      <c r="CP60" s="243"/>
      <c r="CQ60" s="243"/>
      <c r="CR60" s="243"/>
      <c r="CS60" s="243"/>
      <c r="CT60" s="243"/>
      <c r="CU60" s="243"/>
      <c r="CV60" s="243"/>
      <c r="CW60" s="243"/>
      <c r="CX60" s="243"/>
      <c r="CY60" s="243"/>
      <c r="CZ60" s="243"/>
      <c r="DA60" s="243"/>
      <c r="DB60" s="243"/>
      <c r="DC60" s="243"/>
      <c r="DD60" s="243"/>
      <c r="DE60" s="243"/>
      <c r="DF60" s="243"/>
      <c r="DG60" s="243"/>
      <c r="DH60" s="243"/>
      <c r="DI60" s="243"/>
      <c r="DJ60" s="243"/>
      <c r="DK60" s="243"/>
      <c r="DM60" s="242"/>
      <c r="DO60" s="243"/>
      <c r="DQ60" s="242"/>
      <c r="DS60" s="243"/>
      <c r="DU60" s="242"/>
      <c r="DW60" s="243"/>
      <c r="DY60" s="242"/>
      <c r="EA60" s="243"/>
    </row>
    <row r="61" spans="1:131">
      <c r="A61" s="20"/>
      <c r="B61" s="124" t="str">
        <f t="shared" si="54"/>
        <v/>
      </c>
      <c r="C61" s="235"/>
      <c r="D61" s="24">
        <f>'1% Wind'!$M$86</f>
        <v>15.5</v>
      </c>
      <c r="E61" s="90"/>
      <c r="F61" s="90"/>
      <c r="G61" s="79">
        <f ca="1">IF(I56=0.9743,$G60,MAX(G60/D60*D61,2))</f>
        <v>6.001707317073171</v>
      </c>
      <c r="H61" s="121" t="e">
        <f t="shared" ca="1" si="55"/>
        <v>#VALUE!</v>
      </c>
      <c r="J61" s="33"/>
      <c r="K61" s="242">
        <f t="shared" si="56"/>
        <v>1</v>
      </c>
      <c r="L61" s="241" t="e">
        <f t="shared" ca="1" si="57"/>
        <v>#VALUE!</v>
      </c>
      <c r="M61" s="243" t="e">
        <f ca="1">IF(AND(INDEX(FlowCalConstA,MATCH(J56,FlowCalNumber,0),1,1)*L61^INDEX(FlowCalConstB,MATCH(J56,FlowCalNumber,0),1,1)&gt;INDEX(FlowCalLowSetting,MATCH(J56,FlowCalNumber,0),1,1), (INDEX(FlowCalConstA,MATCH(J56,FlowCalNumber,0),1,1)*L61^INDEX(FlowCalConstB,MATCH(J56,FlowCalNumber,0),1,1)&lt;INDEX(FlowCalHighSetting,MATCH(J56,FlowCalNumber,0),1,1))),INDEX(FlowCalConstA,MATCH(J56,FlowCalNumber,0),1,1)*L61^INDEX(FlowCalConstB,MATCH(J56,FlowCalNumber,0),1,1)," ")</f>
        <v>#N/A</v>
      </c>
      <c r="N61" s="33"/>
      <c r="O61" s="242">
        <f t="shared" si="58"/>
        <v>1</v>
      </c>
      <c r="P61" s="241" t="e">
        <f t="shared" ca="1" si="59"/>
        <v>#VALUE!</v>
      </c>
      <c r="Q61" s="243" t="e">
        <f ca="1">IF(AND(INDEX(FlowCalConstA,MATCH(N56,FlowCalNumber,0),1,1)*P61^INDEX(FlowCalConstB,MATCH(N56,FlowCalNumber,0),1,1)&gt;INDEX(FlowCalLowSetting,MATCH(N56,FlowCalNumber,0),1,1), (INDEX(FlowCalConstA,MATCH(N56,FlowCalNumber,0),1,1)*P61^INDEX(FlowCalConstB,MATCH(N56,FlowCalNumber,0),1,1)&lt;INDEX(FlowCalHighSetting,MATCH(N56,FlowCalNumber,0),1,1))),INDEX(FlowCalConstA,MATCH(N56,FlowCalNumber,0),1,1)*P61^INDEX(FlowCalConstB,MATCH(N56,FlowCalNumber,0),1,1)," ")</f>
        <v>#N/A</v>
      </c>
      <c r="R61" s="33"/>
      <c r="S61" s="242">
        <f t="shared" si="60"/>
        <v>1</v>
      </c>
      <c r="T61" s="241" t="e">
        <f t="shared" ca="1" si="61"/>
        <v>#VALUE!</v>
      </c>
      <c r="U61" s="244" t="e">
        <f ca="1">IF(AND(INDEX(FlowCalConstA,MATCH(R56,FlowCalNumber,0),1,1)*T61^INDEX(FlowCalConstB,MATCH(R56,FlowCalNumber,0),1,1)&gt;INDEX(FlowCalLowSetting,MATCH(R56,FlowCalNumber,0),1,1), (INDEX(FlowCalConstA,MATCH(R56,FlowCalNumber,0),1,1)*T61^INDEX(FlowCalConstB,MATCH(R56,FlowCalNumber,0),1,1)&lt;INDEX(FlowCalHighSetting,MATCH(R56,FlowCalNumber,0),1,1))),INDEX(FlowCalConstA,MATCH(R56,FlowCalNumber,0),1,1)*T61^INDEX(FlowCalConstB,MATCH(R56,FlowCalNumber,0),1,1)," ")</f>
        <v>#N/A</v>
      </c>
      <c r="V61" s="33"/>
      <c r="W61" s="242">
        <f t="shared" si="62"/>
        <v>0.1</v>
      </c>
      <c r="X61" s="241" t="e">
        <f t="shared" ca="1" si="63"/>
        <v>#VALUE!</v>
      </c>
      <c r="Y61" s="243" t="e">
        <f ca="1">IF(AND(INDEX(FlowCalConstA,MATCH(V56,FlowCalNumber,0),1,1)*X61^INDEX(FlowCalConstB,MATCH(V56,FlowCalNumber,0),1,1)&gt;INDEX(FlowCalLowSetting,MATCH(V56,FlowCalNumber,0),1,1), (INDEX(FlowCalConstA,MATCH(V56,FlowCalNumber,0),1,1)*X61^INDEX(FlowCalConstB,MATCH(V56,FlowCalNumber,0),1,1)&lt;INDEX(FlowCalHighSetting,MATCH(V56,FlowCalNumber,0),1,1))),INDEX(FlowCalConstA,MATCH(V56,FlowCalNumber,0),1,1)*X61^INDEX(FlowCalConstB,MATCH(V56,FlowCalNumber,0),1,1)," ")</f>
        <v>#N/A</v>
      </c>
      <c r="Z61" s="33"/>
      <c r="AA61" s="242">
        <f t="shared" si="64"/>
        <v>0.9</v>
      </c>
      <c r="AB61" s="241" t="e">
        <f t="shared" ca="1" si="65"/>
        <v>#VALUE!</v>
      </c>
      <c r="AC61" s="243" t="e">
        <f ca="1">IF(AND(INDEX(FlowCalConstA,MATCH(Z56,FlowCalNumber,0),1,1)*AB61^INDEX(FlowCalConstB,MATCH(Z56,FlowCalNumber,0),1,1)&gt;INDEX(FlowCalLowSetting,MATCH(Z56,FlowCalNumber,0),1,1), (INDEX(FlowCalConstA,MATCH(Z56,FlowCalNumber,0),1,1)*AB61^INDEX(FlowCalConstB,MATCH(Z56,FlowCalNumber,0),1,1)&lt;INDEX(FlowCalHighSetting,MATCH(Z56,FlowCalNumber,0),1,1))),INDEX(FlowCalConstA,MATCH(Z56,FlowCalNumber,0),1,1)*AB61^INDEX(FlowCalConstB,MATCH(Z56,FlowCalNumber,0),1,1)," ")</f>
        <v>#N/A</v>
      </c>
      <c r="AD61" s="33"/>
      <c r="AE61" s="242">
        <f t="shared" si="66"/>
        <v>0.1</v>
      </c>
      <c r="AF61" s="241" t="e">
        <f t="shared" ca="1" si="67"/>
        <v>#VALUE!</v>
      </c>
      <c r="AG61" s="243" t="e">
        <f ca="1">IF(AND(INDEX(FlowCalConstA,MATCH(AD56,FlowCalNumber,0),1,1)*AF61^INDEX(FlowCalConstB,MATCH(AD56,FlowCalNumber,0),1,1)&gt;INDEX(FlowCalLowSetting,MATCH(AD56,FlowCalNumber,0),1,1), (INDEX(FlowCalConstA,MATCH(AD56,FlowCalNumber,0),1,1)*AF61^INDEX(FlowCalConstB,MATCH(AD56,FlowCalNumber,0),1,1)&lt;INDEX(FlowCalHighSetting,MATCH(AD56,FlowCalNumber,0),1,1))),INDEX(FlowCalConstA,MATCH(AD56,FlowCalNumber,0),1,1)*AF61^INDEX(FlowCalConstB,MATCH(AD56,FlowCalNumber,0),1,1)," ")</f>
        <v>#N/A</v>
      </c>
      <c r="AH61" s="33"/>
      <c r="AI61" s="242">
        <f t="shared" si="68"/>
        <v>0.9</v>
      </c>
      <c r="AJ61" s="241" t="e">
        <f t="shared" ca="1" si="69"/>
        <v>#VALUE!</v>
      </c>
      <c r="AK61" s="243" t="e">
        <f ca="1">IF(AND(INDEX(FlowCalConstA,MATCH(AH56,FlowCalNumber,0),1,1)*AJ61^INDEX(FlowCalConstB,MATCH(AH56,FlowCalNumber,0),1,1)&gt;INDEX(FlowCalLowSetting,MATCH(AH56,FlowCalNumber,0),1,1), (INDEX(FlowCalConstA,MATCH(AH56,FlowCalNumber,0),1,1)*AJ61^INDEX(FlowCalConstB,MATCH(AH56,FlowCalNumber,0),1,1)&lt;INDEX(FlowCalHighSetting,MATCH(AH56,FlowCalNumber,0),1,1))),INDEX(FlowCalConstA,MATCH(AH56,FlowCalNumber,0),1,1)*AJ61^INDEX(FlowCalConstB,MATCH(AH56,FlowCalNumber,0),1,1)," ")</f>
        <v>#N/A</v>
      </c>
      <c r="AL61" s="33"/>
      <c r="AM61" s="242"/>
      <c r="AN61" s="241"/>
      <c r="AO61" s="244"/>
      <c r="AQ61" s="242"/>
      <c r="AR61" s="241"/>
      <c r="AS61" s="244"/>
      <c r="AT61" s="33"/>
      <c r="AU61" s="242"/>
      <c r="AV61" s="241"/>
      <c r="AW61" s="244"/>
      <c r="AX61" s="33"/>
      <c r="AY61" s="242"/>
      <c r="AZ61" s="241"/>
      <c r="BA61" s="244"/>
      <c r="BB61" s="33"/>
      <c r="BC61" s="242"/>
      <c r="BD61" s="241"/>
      <c r="BE61" s="244"/>
      <c r="BF61" s="33"/>
      <c r="BG61" s="242"/>
      <c r="BH61" s="241"/>
      <c r="BI61" s="244"/>
      <c r="BJ61" s="33"/>
      <c r="BK61" s="242"/>
      <c r="BL61" s="241"/>
      <c r="BM61" s="244"/>
      <c r="BN61" s="33"/>
      <c r="BO61" s="242"/>
      <c r="BP61" s="241"/>
      <c r="BQ61" s="244"/>
      <c r="BR61" s="33"/>
      <c r="BS61" s="242"/>
      <c r="BT61" s="241"/>
      <c r="BU61" s="244"/>
      <c r="BV61" s="33"/>
      <c r="BW61" s="242"/>
      <c r="BX61" s="241"/>
      <c r="BY61" s="244"/>
      <c r="BZ61" s="33"/>
      <c r="CA61" s="242"/>
      <c r="CB61" s="241"/>
      <c r="CC61" s="244"/>
      <c r="CD61" s="243"/>
      <c r="CE61" s="243"/>
      <c r="CF61" s="243"/>
      <c r="CG61" s="243"/>
      <c r="CH61" s="243"/>
      <c r="CI61" s="243"/>
      <c r="CJ61" s="243"/>
      <c r="CK61" s="243"/>
      <c r="CL61" s="243"/>
      <c r="CM61" s="243"/>
      <c r="CN61" s="243"/>
      <c r="CO61" s="243"/>
      <c r="CP61" s="243"/>
      <c r="CQ61" s="243"/>
      <c r="CR61" s="243"/>
      <c r="CS61" s="243"/>
      <c r="CT61" s="243"/>
      <c r="CU61" s="243"/>
      <c r="CV61" s="243"/>
      <c r="CW61" s="243"/>
      <c r="CX61" s="243"/>
      <c r="CY61" s="243"/>
      <c r="CZ61" s="243"/>
      <c r="DA61" s="243"/>
      <c r="DB61" s="243"/>
      <c r="DC61" s="243"/>
      <c r="DD61" s="243"/>
      <c r="DE61" s="243"/>
      <c r="DF61" s="243"/>
      <c r="DG61" s="243"/>
      <c r="DH61" s="243"/>
      <c r="DI61" s="243"/>
      <c r="DJ61" s="243"/>
      <c r="DK61" s="243"/>
      <c r="DM61" s="242"/>
      <c r="DO61" s="243"/>
      <c r="DQ61" s="242"/>
      <c r="DS61" s="243"/>
      <c r="DU61" s="242"/>
      <c r="DW61" s="243"/>
      <c r="DY61" s="242"/>
      <c r="EA61" s="243"/>
    </row>
    <row r="62" spans="1:131">
      <c r="A62" s="20"/>
      <c r="B62" s="124" t="str">
        <f t="shared" si="54"/>
        <v/>
      </c>
      <c r="C62" s="235"/>
      <c r="D62" s="24">
        <f>'1% Wind'!$M$87</f>
        <v>13.5</v>
      </c>
      <c r="E62" s="90"/>
      <c r="F62" s="90"/>
      <c r="G62" s="79">
        <f ca="1">IF(I56=0.9743,$G61,MAX(G61/D61*D62,2))</f>
        <v>6.001707317073171</v>
      </c>
      <c r="H62" s="121" t="e">
        <f t="shared" ca="1" si="55"/>
        <v>#VALUE!</v>
      </c>
      <c r="J62" s="33"/>
      <c r="K62" s="242">
        <f t="shared" si="56"/>
        <v>1</v>
      </c>
      <c r="L62" s="241" t="e">
        <f t="shared" ca="1" si="57"/>
        <v>#VALUE!</v>
      </c>
      <c r="M62" s="243" t="e">
        <f ca="1">IF(AND(INDEX(FlowCalConstA,MATCH(J56,FlowCalNumber,0),1,1)*L62^INDEX(FlowCalConstB,MATCH(J56,FlowCalNumber,0),1,1)&gt;INDEX(FlowCalLowSetting,MATCH(J56,FlowCalNumber,0),1,1), (INDEX(FlowCalConstA,MATCH(J56,FlowCalNumber,0),1,1)*L62^INDEX(FlowCalConstB,MATCH(J56,FlowCalNumber,0),1,1)&lt;INDEX(FlowCalHighSetting,MATCH(J56,FlowCalNumber,0),1,1))),INDEX(FlowCalConstA,MATCH(J56,FlowCalNumber,0),1,1)*L62^INDEX(FlowCalConstB,MATCH(J56,FlowCalNumber,0),1,1)," ")</f>
        <v>#N/A</v>
      </c>
      <c r="N62" s="33"/>
      <c r="O62" s="242">
        <f t="shared" si="58"/>
        <v>1</v>
      </c>
      <c r="P62" s="241" t="e">
        <f t="shared" ca="1" si="59"/>
        <v>#VALUE!</v>
      </c>
      <c r="Q62" s="243" t="e">
        <f ca="1">IF(AND(INDEX(FlowCalConstA,MATCH(N56,FlowCalNumber,0),1,1)*P62^INDEX(FlowCalConstB,MATCH(N56,FlowCalNumber,0),1,1)&gt;INDEX(FlowCalLowSetting,MATCH(N56,FlowCalNumber,0),1,1), (INDEX(FlowCalConstA,MATCH(N56,FlowCalNumber,0),1,1)*P62^INDEX(FlowCalConstB,MATCH(N56,FlowCalNumber,0),1,1)&lt;INDEX(FlowCalHighSetting,MATCH(N56,FlowCalNumber,0),1,1))),INDEX(FlowCalConstA,MATCH(N56,FlowCalNumber,0),1,1)*P62^INDEX(FlowCalConstB,MATCH(N56,FlowCalNumber,0),1,1)," ")</f>
        <v>#N/A</v>
      </c>
      <c r="R62" s="33"/>
      <c r="S62" s="242">
        <f t="shared" si="60"/>
        <v>1</v>
      </c>
      <c r="T62" s="241" t="e">
        <f t="shared" ca="1" si="61"/>
        <v>#VALUE!</v>
      </c>
      <c r="U62" s="244" t="e">
        <f ca="1">IF(AND(INDEX(FlowCalConstA,MATCH(R56,FlowCalNumber,0),1,1)*T62^INDEX(FlowCalConstB,MATCH(R56,FlowCalNumber,0),1,1)&gt;INDEX(FlowCalLowSetting,MATCH(R56,FlowCalNumber,0),1,1), (INDEX(FlowCalConstA,MATCH(R56,FlowCalNumber,0),1,1)*T62^INDEX(FlowCalConstB,MATCH(R56,FlowCalNumber,0),1,1)&lt;INDEX(FlowCalHighSetting,MATCH(R56,FlowCalNumber,0),1,1))),INDEX(FlowCalConstA,MATCH(R56,FlowCalNumber,0),1,1)*T62^INDEX(FlowCalConstB,MATCH(R56,FlowCalNumber,0),1,1)," ")</f>
        <v>#N/A</v>
      </c>
      <c r="V62" s="33"/>
      <c r="W62" s="242">
        <f t="shared" si="62"/>
        <v>0.1</v>
      </c>
      <c r="X62" s="241" t="e">
        <f t="shared" ca="1" si="63"/>
        <v>#VALUE!</v>
      </c>
      <c r="Y62" s="243" t="e">
        <f ca="1">IF(AND(INDEX(FlowCalConstA,MATCH(V56,FlowCalNumber,0),1,1)*X62^INDEX(FlowCalConstB,MATCH(V56,FlowCalNumber,0),1,1)&gt;INDEX(FlowCalLowSetting,MATCH(V56,FlowCalNumber,0),1,1), (INDEX(FlowCalConstA,MATCH(V56,FlowCalNumber,0),1,1)*X62^INDEX(FlowCalConstB,MATCH(V56,FlowCalNumber,0),1,1)&lt;INDEX(FlowCalHighSetting,MATCH(V56,FlowCalNumber,0),1,1))),INDEX(FlowCalConstA,MATCH(V56,FlowCalNumber,0),1,1)*X62^INDEX(FlowCalConstB,MATCH(V56,FlowCalNumber,0),1,1)," ")</f>
        <v>#N/A</v>
      </c>
      <c r="Z62" s="33"/>
      <c r="AA62" s="242">
        <f t="shared" si="64"/>
        <v>0.9</v>
      </c>
      <c r="AB62" s="241" t="e">
        <f t="shared" ca="1" si="65"/>
        <v>#VALUE!</v>
      </c>
      <c r="AC62" s="243" t="e">
        <f ca="1">IF(AND(INDEX(FlowCalConstA,MATCH(Z56,FlowCalNumber,0),1,1)*AB62^INDEX(FlowCalConstB,MATCH(Z56,FlowCalNumber,0),1,1)&gt;INDEX(FlowCalLowSetting,MATCH(Z56,FlowCalNumber,0),1,1), (INDEX(FlowCalConstA,MATCH(Z56,FlowCalNumber,0),1,1)*AB62^INDEX(FlowCalConstB,MATCH(Z56,FlowCalNumber,0),1,1)&lt;INDEX(FlowCalHighSetting,MATCH(Z56,FlowCalNumber,0),1,1))),INDEX(FlowCalConstA,MATCH(Z56,FlowCalNumber,0),1,1)*AB62^INDEX(FlowCalConstB,MATCH(Z56,FlowCalNumber,0),1,1)," ")</f>
        <v>#N/A</v>
      </c>
      <c r="AD62" s="33"/>
      <c r="AE62" s="242">
        <f t="shared" si="66"/>
        <v>0.1</v>
      </c>
      <c r="AF62" s="241" t="e">
        <f t="shared" ca="1" si="67"/>
        <v>#VALUE!</v>
      </c>
      <c r="AG62" s="243" t="e">
        <f ca="1">IF(AND(INDEX(FlowCalConstA,MATCH(AD56,FlowCalNumber,0),1,1)*AF62^INDEX(FlowCalConstB,MATCH(AD56,FlowCalNumber,0),1,1)&gt;INDEX(FlowCalLowSetting,MATCH(AD56,FlowCalNumber,0),1,1), (INDEX(FlowCalConstA,MATCH(AD56,FlowCalNumber,0),1,1)*AF62^INDEX(FlowCalConstB,MATCH(AD56,FlowCalNumber,0),1,1)&lt;INDEX(FlowCalHighSetting,MATCH(AD56,FlowCalNumber,0),1,1))),INDEX(FlowCalConstA,MATCH(AD56,FlowCalNumber,0),1,1)*AF62^INDEX(FlowCalConstB,MATCH(AD56,FlowCalNumber,0),1,1)," ")</f>
        <v>#N/A</v>
      </c>
      <c r="AH62" s="33"/>
      <c r="AI62" s="242">
        <f t="shared" si="68"/>
        <v>0.9</v>
      </c>
      <c r="AJ62" s="241" t="e">
        <f t="shared" ca="1" si="69"/>
        <v>#VALUE!</v>
      </c>
      <c r="AK62" s="243" t="e">
        <f ca="1">IF(AND(INDEX(FlowCalConstA,MATCH(AH56,FlowCalNumber,0),1,1)*AJ62^INDEX(FlowCalConstB,MATCH(AH56,FlowCalNumber,0),1,1)&gt;INDEX(FlowCalLowSetting,MATCH(AH56,FlowCalNumber,0),1,1), (INDEX(FlowCalConstA,MATCH(AH56,FlowCalNumber,0),1,1)*AJ62^INDEX(FlowCalConstB,MATCH(AH56,FlowCalNumber,0),1,1)&lt;INDEX(FlowCalHighSetting,MATCH(AH56,FlowCalNumber,0),1,1))),INDEX(FlowCalConstA,MATCH(AH56,FlowCalNumber,0),1,1)*AJ62^INDEX(FlowCalConstB,MATCH(AH56,FlowCalNumber,0),1,1)," ")</f>
        <v>#N/A</v>
      </c>
      <c r="AL62" s="33"/>
      <c r="AM62" s="242"/>
      <c r="AN62" s="241"/>
      <c r="AO62" s="244"/>
      <c r="AQ62" s="242"/>
      <c r="AR62" s="241"/>
      <c r="AS62" s="244"/>
      <c r="AT62" s="33"/>
      <c r="AU62" s="242"/>
      <c r="AV62" s="241"/>
      <c r="AW62" s="244"/>
      <c r="AX62" s="33"/>
      <c r="AY62" s="242"/>
      <c r="AZ62" s="241"/>
      <c r="BA62" s="244"/>
      <c r="BB62" s="33"/>
      <c r="BC62" s="242"/>
      <c r="BD62" s="241"/>
      <c r="BE62" s="244"/>
      <c r="BF62" s="33"/>
      <c r="BG62" s="242"/>
      <c r="BH62" s="241"/>
      <c r="BI62" s="244"/>
      <c r="BJ62" s="33"/>
      <c r="BK62" s="242"/>
      <c r="BL62" s="241"/>
      <c r="BM62" s="244"/>
      <c r="BN62" s="33"/>
      <c r="BO62" s="242"/>
      <c r="BP62" s="241"/>
      <c r="BQ62" s="244"/>
      <c r="BR62" s="33"/>
      <c r="BS62" s="242"/>
      <c r="BT62" s="241"/>
      <c r="BU62" s="244"/>
      <c r="BV62" s="33"/>
      <c r="BW62" s="242"/>
      <c r="BX62" s="241"/>
      <c r="BY62" s="244"/>
      <c r="BZ62" s="33"/>
      <c r="CA62" s="242"/>
      <c r="CB62" s="241"/>
      <c r="CC62" s="244"/>
      <c r="CD62" s="243"/>
      <c r="CE62" s="243"/>
      <c r="CF62" s="243"/>
      <c r="CG62" s="243"/>
      <c r="CH62" s="243"/>
      <c r="CI62" s="243"/>
      <c r="CJ62" s="243"/>
      <c r="CK62" s="243"/>
      <c r="CL62" s="243"/>
      <c r="CM62" s="243"/>
      <c r="CN62" s="243"/>
      <c r="CO62" s="243"/>
      <c r="CP62" s="243"/>
      <c r="CQ62" s="243"/>
      <c r="CR62" s="243"/>
      <c r="CS62" s="243"/>
      <c r="CT62" s="243"/>
      <c r="CU62" s="243"/>
      <c r="CV62" s="243"/>
      <c r="CW62" s="243"/>
      <c r="CX62" s="243"/>
      <c r="CY62" s="243"/>
      <c r="CZ62" s="243"/>
      <c r="DA62" s="243"/>
      <c r="DB62" s="243"/>
      <c r="DC62" s="243"/>
      <c r="DD62" s="243"/>
      <c r="DE62" s="243"/>
      <c r="DF62" s="243"/>
      <c r="DG62" s="243"/>
      <c r="DH62" s="243"/>
      <c r="DI62" s="243"/>
      <c r="DJ62" s="243"/>
      <c r="DK62" s="243"/>
      <c r="DM62" s="242"/>
      <c r="DO62" s="243"/>
      <c r="DQ62" s="242"/>
      <c r="DS62" s="243"/>
      <c r="DU62" s="242"/>
      <c r="DW62" s="243"/>
      <c r="DY62" s="242"/>
      <c r="EA62" s="243"/>
    </row>
    <row r="63" spans="1:131">
      <c r="A63" s="20"/>
      <c r="B63" s="124" t="str">
        <f t="shared" si="54"/>
        <v/>
      </c>
      <c r="C63" s="235"/>
      <c r="D63" s="24">
        <f>'1% Wind'!$M$88</f>
        <v>10.1</v>
      </c>
      <c r="E63" s="90"/>
      <c r="F63" s="90"/>
      <c r="G63" s="79">
        <f ca="1">IF(I56=0.9743,$G62,MAX(G62/D62*D63,2))</f>
        <v>6.001707317073171</v>
      </c>
      <c r="H63" s="121" t="e">
        <f t="shared" ca="1" si="55"/>
        <v>#VALUE!</v>
      </c>
      <c r="J63" s="33"/>
      <c r="K63" s="242">
        <f t="shared" si="56"/>
        <v>1</v>
      </c>
      <c r="L63" s="241" t="e">
        <f t="shared" ca="1" si="57"/>
        <v>#VALUE!</v>
      </c>
      <c r="M63" s="243" t="e">
        <f ca="1">IF(AND(INDEX(FlowCalConstA,MATCH(J56,FlowCalNumber,0),1,1)*L63^INDEX(FlowCalConstB,MATCH(J56,FlowCalNumber,0),1,1)&gt;INDEX(FlowCalLowSetting,MATCH(J56,FlowCalNumber,0),1,1), (INDEX(FlowCalConstA,MATCH(J56,FlowCalNumber,0),1,1)*L63^INDEX(FlowCalConstB,MATCH(J56,FlowCalNumber,0),1,1)&lt;INDEX(FlowCalHighSetting,MATCH(J56,FlowCalNumber,0),1,1))),INDEX(FlowCalConstA,MATCH(J56,FlowCalNumber,0),1,1)*L63^INDEX(FlowCalConstB,MATCH(J56,FlowCalNumber,0),1,1)," ")</f>
        <v>#N/A</v>
      </c>
      <c r="N63" s="33"/>
      <c r="O63" s="242">
        <f t="shared" si="58"/>
        <v>1</v>
      </c>
      <c r="P63" s="241" t="e">
        <f t="shared" ca="1" si="59"/>
        <v>#VALUE!</v>
      </c>
      <c r="Q63" s="243" t="e">
        <f ca="1">IF(AND(INDEX(FlowCalConstA,MATCH(N56,FlowCalNumber,0),1,1)*P63^INDEX(FlowCalConstB,MATCH(N56,FlowCalNumber,0),1,1)&gt;INDEX(FlowCalLowSetting,MATCH(N56,FlowCalNumber,0),1,1), (INDEX(FlowCalConstA,MATCH(N56,FlowCalNumber,0),1,1)*P63^INDEX(FlowCalConstB,MATCH(N56,FlowCalNumber,0),1,1)&lt;INDEX(FlowCalHighSetting,MATCH(N56,FlowCalNumber,0),1,1))),INDEX(FlowCalConstA,MATCH(N56,FlowCalNumber,0),1,1)*P63^INDEX(FlowCalConstB,MATCH(N56,FlowCalNumber,0),1,1)," ")</f>
        <v>#N/A</v>
      </c>
      <c r="R63" s="33"/>
      <c r="S63" s="242">
        <f t="shared" si="60"/>
        <v>1</v>
      </c>
      <c r="T63" s="241" t="e">
        <f t="shared" ca="1" si="61"/>
        <v>#VALUE!</v>
      </c>
      <c r="U63" s="244" t="e">
        <f ca="1">IF(AND(INDEX(FlowCalConstA,MATCH(R56,FlowCalNumber,0),1,1)*T63^INDEX(FlowCalConstB,MATCH(R56,FlowCalNumber,0),1,1)&gt;INDEX(FlowCalLowSetting,MATCH(R56,FlowCalNumber,0),1,1), (INDEX(FlowCalConstA,MATCH(R56,FlowCalNumber,0),1,1)*T63^INDEX(FlowCalConstB,MATCH(R56,FlowCalNumber,0),1,1)&lt;INDEX(FlowCalHighSetting,MATCH(R56,FlowCalNumber,0),1,1))),INDEX(FlowCalConstA,MATCH(R56,FlowCalNumber,0),1,1)*T63^INDEX(FlowCalConstB,MATCH(R56,FlowCalNumber,0),1,1)," ")</f>
        <v>#N/A</v>
      </c>
      <c r="V63" s="33"/>
      <c r="W63" s="242">
        <f t="shared" si="62"/>
        <v>0.1</v>
      </c>
      <c r="X63" s="241" t="e">
        <f t="shared" ca="1" si="63"/>
        <v>#VALUE!</v>
      </c>
      <c r="Y63" s="243" t="e">
        <f ca="1">IF(AND(INDEX(FlowCalConstA,MATCH(V56,FlowCalNumber,0),1,1)*X63^INDEX(FlowCalConstB,MATCH(V56,FlowCalNumber,0),1,1)&gt;INDEX(FlowCalLowSetting,MATCH(V56,FlowCalNumber,0),1,1), (INDEX(FlowCalConstA,MATCH(V56,FlowCalNumber,0),1,1)*X63^INDEX(FlowCalConstB,MATCH(V56,FlowCalNumber,0),1,1)&lt;INDEX(FlowCalHighSetting,MATCH(V56,FlowCalNumber,0),1,1))),INDEX(FlowCalConstA,MATCH(V56,FlowCalNumber,0),1,1)*X63^INDEX(FlowCalConstB,MATCH(V56,FlowCalNumber,0),1,1)," ")</f>
        <v>#N/A</v>
      </c>
      <c r="Z63" s="33"/>
      <c r="AA63" s="242">
        <f t="shared" si="64"/>
        <v>0.9</v>
      </c>
      <c r="AB63" s="241" t="e">
        <f t="shared" ca="1" si="65"/>
        <v>#VALUE!</v>
      </c>
      <c r="AC63" s="243" t="e">
        <f ca="1">IF(AND(INDEX(FlowCalConstA,MATCH(Z56,FlowCalNumber,0),1,1)*AB63^INDEX(FlowCalConstB,MATCH(Z56,FlowCalNumber,0),1,1)&gt;INDEX(FlowCalLowSetting,MATCH(Z56,FlowCalNumber,0),1,1), (INDEX(FlowCalConstA,MATCH(Z56,FlowCalNumber,0),1,1)*AB63^INDEX(FlowCalConstB,MATCH(Z56,FlowCalNumber,0),1,1)&lt;INDEX(FlowCalHighSetting,MATCH(Z56,FlowCalNumber,0),1,1))),INDEX(FlowCalConstA,MATCH(Z56,FlowCalNumber,0),1,1)*AB63^INDEX(FlowCalConstB,MATCH(Z56,FlowCalNumber,0),1,1)," ")</f>
        <v>#N/A</v>
      </c>
      <c r="AD63" s="33"/>
      <c r="AE63" s="242">
        <f t="shared" si="66"/>
        <v>0.1</v>
      </c>
      <c r="AF63" s="241" t="e">
        <f t="shared" ca="1" si="67"/>
        <v>#VALUE!</v>
      </c>
      <c r="AG63" s="243" t="e">
        <f ca="1">IF(AND(INDEX(FlowCalConstA,MATCH(AD56,FlowCalNumber,0),1,1)*AF63^INDEX(FlowCalConstB,MATCH(AD56,FlowCalNumber,0),1,1)&gt;INDEX(FlowCalLowSetting,MATCH(AD56,FlowCalNumber,0),1,1), (INDEX(FlowCalConstA,MATCH(AD56,FlowCalNumber,0),1,1)*AF63^INDEX(FlowCalConstB,MATCH(AD56,FlowCalNumber,0),1,1)&lt;INDEX(FlowCalHighSetting,MATCH(AD56,FlowCalNumber,0),1,1))),INDEX(FlowCalConstA,MATCH(AD56,FlowCalNumber,0),1,1)*AF63^INDEX(FlowCalConstB,MATCH(AD56,FlowCalNumber,0),1,1)," ")</f>
        <v>#N/A</v>
      </c>
      <c r="AH63" s="33"/>
      <c r="AI63" s="242">
        <f t="shared" si="68"/>
        <v>0.9</v>
      </c>
      <c r="AJ63" s="241" t="e">
        <f t="shared" ca="1" si="69"/>
        <v>#VALUE!</v>
      </c>
      <c r="AK63" s="243" t="e">
        <f ca="1">IF(AND(INDEX(FlowCalConstA,MATCH(AH56,FlowCalNumber,0),1,1)*AJ63^INDEX(FlowCalConstB,MATCH(AH56,FlowCalNumber,0),1,1)&gt;INDEX(FlowCalLowSetting,MATCH(AH56,FlowCalNumber,0),1,1), (INDEX(FlowCalConstA,MATCH(AH56,FlowCalNumber,0),1,1)*AJ63^INDEX(FlowCalConstB,MATCH(AH56,FlowCalNumber,0),1,1)&lt;INDEX(FlowCalHighSetting,MATCH(AH56,FlowCalNumber,0),1,1))),INDEX(FlowCalConstA,MATCH(AH56,FlowCalNumber,0),1,1)*AJ63^INDEX(FlowCalConstB,MATCH(AH56,FlowCalNumber,0),1,1)," ")</f>
        <v>#N/A</v>
      </c>
      <c r="AL63" s="33"/>
      <c r="AM63" s="242"/>
      <c r="AN63" s="241"/>
      <c r="AO63" s="244"/>
      <c r="AQ63" s="242"/>
      <c r="AR63" s="241"/>
      <c r="AS63" s="244"/>
      <c r="AT63" s="33"/>
      <c r="AU63" s="242"/>
      <c r="AV63" s="241"/>
      <c r="AW63" s="244"/>
      <c r="AX63" s="33"/>
      <c r="AY63" s="242"/>
      <c r="AZ63" s="241"/>
      <c r="BA63" s="244"/>
      <c r="BB63" s="33"/>
      <c r="BC63" s="242"/>
      <c r="BD63" s="241"/>
      <c r="BE63" s="244"/>
      <c r="BF63" s="33"/>
      <c r="BG63" s="242"/>
      <c r="BH63" s="241"/>
      <c r="BI63" s="244"/>
      <c r="BJ63" s="33"/>
      <c r="BK63" s="242"/>
      <c r="BL63" s="241"/>
      <c r="BM63" s="244"/>
      <c r="BN63" s="33"/>
      <c r="BO63" s="242"/>
      <c r="BP63" s="241"/>
      <c r="BQ63" s="244"/>
      <c r="BR63" s="33"/>
      <c r="BS63" s="242"/>
      <c r="BT63" s="241"/>
      <c r="BU63" s="244"/>
      <c r="BV63" s="33"/>
      <c r="BW63" s="242"/>
      <c r="BX63" s="241"/>
      <c r="BY63" s="244"/>
      <c r="BZ63" s="33"/>
      <c r="CA63" s="242"/>
      <c r="CB63" s="241"/>
      <c r="CC63" s="244"/>
      <c r="CD63" s="243"/>
      <c r="CE63" s="243"/>
      <c r="CF63" s="243"/>
      <c r="CG63" s="243"/>
      <c r="CH63" s="243"/>
      <c r="CI63" s="243"/>
      <c r="CJ63" s="243"/>
      <c r="CK63" s="243"/>
      <c r="CL63" s="243"/>
      <c r="CM63" s="243"/>
      <c r="CN63" s="243"/>
      <c r="CO63" s="243"/>
      <c r="CP63" s="243"/>
      <c r="CQ63" s="243"/>
      <c r="CR63" s="243"/>
      <c r="CS63" s="243"/>
      <c r="CT63" s="243"/>
      <c r="CU63" s="243"/>
      <c r="CV63" s="243"/>
      <c r="CW63" s="243"/>
      <c r="CX63" s="243"/>
      <c r="CY63" s="243"/>
      <c r="CZ63" s="243"/>
      <c r="DA63" s="243"/>
      <c r="DB63" s="243"/>
      <c r="DC63" s="243"/>
      <c r="DD63" s="243"/>
      <c r="DE63" s="243"/>
      <c r="DF63" s="243"/>
      <c r="DG63" s="243"/>
      <c r="DH63" s="243"/>
      <c r="DI63" s="243"/>
      <c r="DJ63" s="243"/>
      <c r="DK63" s="243"/>
      <c r="DM63" s="242"/>
      <c r="DO63" s="243"/>
      <c r="DQ63" s="242"/>
      <c r="DS63" s="243"/>
      <c r="DU63" s="242"/>
      <c r="DW63" s="243"/>
      <c r="DY63" s="242"/>
      <c r="EA63" s="243"/>
    </row>
    <row r="64" spans="1:131">
      <c r="A64" s="20"/>
      <c r="B64" s="124" t="str">
        <f t="shared" si="54"/>
        <v/>
      </c>
      <c r="C64" s="235"/>
      <c r="D64" s="24">
        <f>'1% Wind'!$M$89</f>
        <v>7.6</v>
      </c>
      <c r="E64" s="90"/>
      <c r="F64" s="90"/>
      <c r="G64" s="79">
        <f ca="1">IF(I56=0.9743,$G63,MAX(G63/D63*D64,2))</f>
        <v>6.001707317073171</v>
      </c>
      <c r="H64" s="121" t="e">
        <f t="shared" ca="1" si="55"/>
        <v>#VALUE!</v>
      </c>
      <c r="J64" s="33"/>
      <c r="K64" s="242">
        <f t="shared" si="56"/>
        <v>1</v>
      </c>
      <c r="L64" s="241" t="e">
        <f t="shared" ca="1" si="57"/>
        <v>#VALUE!</v>
      </c>
      <c r="M64" s="243" t="e">
        <f ca="1">IF(AND(INDEX(FlowCalConstA,MATCH(J56,FlowCalNumber,0),1,1)*L64^INDEX(FlowCalConstB,MATCH(J56,FlowCalNumber,0),1,1)&gt;INDEX(FlowCalLowSetting,MATCH(J56,FlowCalNumber,0),1,1), (INDEX(FlowCalConstA,MATCH(J56,FlowCalNumber,0),1,1)*L64^INDEX(FlowCalConstB,MATCH(J56,FlowCalNumber,0),1,1)&lt;INDEX(FlowCalHighSetting,MATCH(J56,FlowCalNumber,0),1,1))),INDEX(FlowCalConstA,MATCH(J56,FlowCalNumber,0),1,1)*L64^INDEX(FlowCalConstB,MATCH(J56,FlowCalNumber,0),1,1)," ")</f>
        <v>#N/A</v>
      </c>
      <c r="N64" s="33"/>
      <c r="O64" s="242">
        <f t="shared" si="58"/>
        <v>1</v>
      </c>
      <c r="P64" s="241" t="e">
        <f t="shared" ca="1" si="59"/>
        <v>#VALUE!</v>
      </c>
      <c r="Q64" s="243" t="e">
        <f ca="1">IF(AND(INDEX(FlowCalConstA,MATCH(N56,FlowCalNumber,0),1,1)*P64^INDEX(FlowCalConstB,MATCH(N56,FlowCalNumber,0),1,1)&gt;INDEX(FlowCalLowSetting,MATCH(N56,FlowCalNumber,0),1,1), (INDEX(FlowCalConstA,MATCH(N56,FlowCalNumber,0),1,1)*P64^INDEX(FlowCalConstB,MATCH(N56,FlowCalNumber,0),1,1)&lt;INDEX(FlowCalHighSetting,MATCH(N56,FlowCalNumber,0),1,1))),INDEX(FlowCalConstA,MATCH(N56,FlowCalNumber,0),1,1)*P64^INDEX(FlowCalConstB,MATCH(N56,FlowCalNumber,0),1,1)," ")</f>
        <v>#N/A</v>
      </c>
      <c r="R64" s="33"/>
      <c r="S64" s="242">
        <f t="shared" si="60"/>
        <v>1</v>
      </c>
      <c r="T64" s="241" t="e">
        <f t="shared" ca="1" si="61"/>
        <v>#VALUE!</v>
      </c>
      <c r="U64" s="244" t="e">
        <f ca="1">IF(AND(INDEX(FlowCalConstA,MATCH(R56,FlowCalNumber,0),1,1)*T64^INDEX(FlowCalConstB,MATCH(R56,FlowCalNumber,0),1,1)&gt;INDEX(FlowCalLowSetting,MATCH(R56,FlowCalNumber,0),1,1), (INDEX(FlowCalConstA,MATCH(R56,FlowCalNumber,0),1,1)*T64^INDEX(FlowCalConstB,MATCH(R56,FlowCalNumber,0),1,1)&lt;INDEX(FlowCalHighSetting,MATCH(R56,FlowCalNumber,0),1,1))),INDEX(FlowCalConstA,MATCH(R56,FlowCalNumber,0),1,1)*T64^INDEX(FlowCalConstB,MATCH(R56,FlowCalNumber,0),1,1)," ")</f>
        <v>#N/A</v>
      </c>
      <c r="V64" s="33"/>
      <c r="W64" s="242">
        <f t="shared" si="62"/>
        <v>0.1</v>
      </c>
      <c r="X64" s="241" t="e">
        <f t="shared" ca="1" si="63"/>
        <v>#VALUE!</v>
      </c>
      <c r="Y64" s="243" t="e">
        <f ca="1">IF(AND(INDEX(FlowCalConstA,MATCH(V56,FlowCalNumber,0),1,1)*X64^INDEX(FlowCalConstB,MATCH(V56,FlowCalNumber,0),1,1)&gt;INDEX(FlowCalLowSetting,MATCH(V56,FlowCalNumber,0),1,1), (INDEX(FlowCalConstA,MATCH(V56,FlowCalNumber,0),1,1)*X64^INDEX(FlowCalConstB,MATCH(V56,FlowCalNumber,0),1,1)&lt;INDEX(FlowCalHighSetting,MATCH(V56,FlowCalNumber,0),1,1))),INDEX(FlowCalConstA,MATCH(V56,FlowCalNumber,0),1,1)*X64^INDEX(FlowCalConstB,MATCH(V56,FlowCalNumber,0),1,1)," ")</f>
        <v>#N/A</v>
      </c>
      <c r="Z64" s="33"/>
      <c r="AA64" s="242">
        <f t="shared" si="64"/>
        <v>0.9</v>
      </c>
      <c r="AB64" s="241" t="e">
        <f t="shared" ca="1" si="65"/>
        <v>#VALUE!</v>
      </c>
      <c r="AC64" s="243" t="e">
        <f ca="1">IF(AND(INDEX(FlowCalConstA,MATCH(Z56,FlowCalNumber,0),1,1)*AB64^INDEX(FlowCalConstB,MATCH(Z56,FlowCalNumber,0),1,1)&gt;INDEX(FlowCalLowSetting,MATCH(Z56,FlowCalNumber,0),1,1), (INDEX(FlowCalConstA,MATCH(Z56,FlowCalNumber,0),1,1)*AB64^INDEX(FlowCalConstB,MATCH(Z56,FlowCalNumber,0),1,1)&lt;INDEX(FlowCalHighSetting,MATCH(Z56,FlowCalNumber,0),1,1))),INDEX(FlowCalConstA,MATCH(Z56,FlowCalNumber,0),1,1)*AB64^INDEX(FlowCalConstB,MATCH(Z56,FlowCalNumber,0),1,1)," ")</f>
        <v>#N/A</v>
      </c>
      <c r="AD64" s="33"/>
      <c r="AE64" s="242">
        <f t="shared" si="66"/>
        <v>0.1</v>
      </c>
      <c r="AF64" s="241" t="e">
        <f t="shared" ca="1" si="67"/>
        <v>#VALUE!</v>
      </c>
      <c r="AG64" s="243" t="e">
        <f ca="1">IF(AND(INDEX(FlowCalConstA,MATCH(AD56,FlowCalNumber,0),1,1)*AF64^INDEX(FlowCalConstB,MATCH(AD56,FlowCalNumber,0),1,1)&gt;INDEX(FlowCalLowSetting,MATCH(AD56,FlowCalNumber,0),1,1), (INDEX(FlowCalConstA,MATCH(AD56,FlowCalNumber,0),1,1)*AF64^INDEX(FlowCalConstB,MATCH(AD56,FlowCalNumber,0),1,1)&lt;INDEX(FlowCalHighSetting,MATCH(AD56,FlowCalNumber,0),1,1))),INDEX(FlowCalConstA,MATCH(AD56,FlowCalNumber,0),1,1)*AF64^INDEX(FlowCalConstB,MATCH(AD56,FlowCalNumber,0),1,1)," ")</f>
        <v>#N/A</v>
      </c>
      <c r="AH64" s="33"/>
      <c r="AI64" s="242">
        <f t="shared" si="68"/>
        <v>0.9</v>
      </c>
      <c r="AJ64" s="241" t="e">
        <f t="shared" ca="1" si="69"/>
        <v>#VALUE!</v>
      </c>
      <c r="AK64" s="243" t="e">
        <f ca="1">IF(AND(INDEX(FlowCalConstA,MATCH(AH56,FlowCalNumber,0),1,1)*AJ64^INDEX(FlowCalConstB,MATCH(AH56,FlowCalNumber,0),1,1)&gt;INDEX(FlowCalLowSetting,MATCH(AH56,FlowCalNumber,0),1,1), (INDEX(FlowCalConstA,MATCH(AH56,FlowCalNumber,0),1,1)*AJ64^INDEX(FlowCalConstB,MATCH(AH56,FlowCalNumber,0),1,1)&lt;INDEX(FlowCalHighSetting,MATCH(AH56,FlowCalNumber,0),1,1))),INDEX(FlowCalConstA,MATCH(AH56,FlowCalNumber,0),1,1)*AJ64^INDEX(FlowCalConstB,MATCH(AH56,FlowCalNumber,0),1,1)," ")</f>
        <v>#N/A</v>
      </c>
      <c r="AL64" s="33"/>
      <c r="AM64" s="242"/>
      <c r="AN64" s="241"/>
      <c r="AO64" s="244"/>
      <c r="AQ64" s="242"/>
      <c r="AR64" s="241"/>
      <c r="AS64" s="244"/>
      <c r="AT64" s="33"/>
      <c r="AU64" s="242"/>
      <c r="AV64" s="241"/>
      <c r="AW64" s="244"/>
      <c r="AX64" s="33"/>
      <c r="AY64" s="242"/>
      <c r="AZ64" s="241"/>
      <c r="BA64" s="244"/>
      <c r="BB64" s="33"/>
      <c r="BC64" s="242"/>
      <c r="BD64" s="241"/>
      <c r="BE64" s="244"/>
      <c r="BF64" s="33"/>
      <c r="BG64" s="242"/>
      <c r="BH64" s="241"/>
      <c r="BI64" s="244"/>
      <c r="BJ64" s="33"/>
      <c r="BK64" s="242"/>
      <c r="BL64" s="241"/>
      <c r="BM64" s="244"/>
      <c r="BN64" s="33"/>
      <c r="BO64" s="242"/>
      <c r="BP64" s="241"/>
      <c r="BQ64" s="244"/>
      <c r="BR64" s="33"/>
      <c r="BS64" s="242"/>
      <c r="BT64" s="241"/>
      <c r="BU64" s="244"/>
      <c r="BV64" s="33"/>
      <c r="BW64" s="242"/>
      <c r="BX64" s="241"/>
      <c r="BY64" s="244"/>
      <c r="BZ64" s="33"/>
      <c r="CA64" s="242"/>
      <c r="CB64" s="241"/>
      <c r="CC64" s="244"/>
      <c r="CD64" s="243"/>
      <c r="CE64" s="243"/>
      <c r="CF64" s="243"/>
      <c r="CG64" s="243"/>
      <c r="CH64" s="243"/>
      <c r="CI64" s="243"/>
      <c r="CJ64" s="243"/>
      <c r="CK64" s="243"/>
      <c r="CL64" s="243"/>
      <c r="CM64" s="243"/>
      <c r="CN64" s="243"/>
      <c r="CO64" s="243"/>
      <c r="CP64" s="243"/>
      <c r="CQ64" s="243"/>
      <c r="CR64" s="243"/>
      <c r="CS64" s="243"/>
      <c r="CT64" s="243"/>
      <c r="CU64" s="243"/>
      <c r="CV64" s="243"/>
      <c r="CW64" s="243"/>
      <c r="CX64" s="243"/>
      <c r="CY64" s="243"/>
      <c r="CZ64" s="243"/>
      <c r="DA64" s="243"/>
      <c r="DB64" s="243"/>
      <c r="DC64" s="243"/>
      <c r="DD64" s="243"/>
      <c r="DE64" s="243"/>
      <c r="DF64" s="243"/>
      <c r="DG64" s="243"/>
      <c r="DH64" s="243"/>
      <c r="DI64" s="243"/>
      <c r="DJ64" s="243"/>
      <c r="DK64" s="243"/>
      <c r="DM64" s="242"/>
      <c r="DO64" s="243"/>
      <c r="DQ64" s="242"/>
      <c r="DS64" s="243"/>
      <c r="DU64" s="242"/>
      <c r="DW64" s="243"/>
      <c r="DY64" s="242"/>
      <c r="EA64" s="243"/>
    </row>
    <row r="65" spans="1:131">
      <c r="A65" s="20"/>
      <c r="B65" s="124" t="str">
        <f t="shared" si="54"/>
        <v/>
      </c>
      <c r="C65" s="235"/>
      <c r="D65" s="24">
        <f>'1% Wind'!$M$90</f>
        <v>5.7</v>
      </c>
      <c r="E65" s="90"/>
      <c r="F65" s="90"/>
      <c r="G65" s="79">
        <f ca="1">IF(I56=0.9743,$G64,MAX(G64/D64*D65,2))</f>
        <v>6.001707317073171</v>
      </c>
      <c r="H65" s="121" t="e">
        <f t="shared" ca="1" si="55"/>
        <v>#VALUE!</v>
      </c>
      <c r="J65" s="33"/>
      <c r="K65" s="242">
        <f t="shared" si="56"/>
        <v>1</v>
      </c>
      <c r="L65" s="241" t="e">
        <f t="shared" ca="1" si="57"/>
        <v>#VALUE!</v>
      </c>
      <c r="M65" s="243" t="e">
        <f ca="1">IF(AND(INDEX(FlowCalConstA,MATCH(J56,FlowCalNumber,0),1,1)*L65^INDEX(FlowCalConstB,MATCH(J56,FlowCalNumber,0),1,1)&gt;INDEX(FlowCalLowSetting,MATCH(J56,FlowCalNumber,0),1,1), (INDEX(FlowCalConstA,MATCH(J56,FlowCalNumber,0),1,1)*L65^INDEX(FlowCalConstB,MATCH(J56,FlowCalNumber,0),1,1)&lt;INDEX(FlowCalHighSetting,MATCH(J56,FlowCalNumber,0),1,1))),INDEX(FlowCalConstA,MATCH(J56,FlowCalNumber,0),1,1)*L65^INDEX(FlowCalConstB,MATCH(J56,FlowCalNumber,0),1,1)," ")</f>
        <v>#N/A</v>
      </c>
      <c r="N65" s="33"/>
      <c r="O65" s="242">
        <f t="shared" si="58"/>
        <v>1</v>
      </c>
      <c r="P65" s="241" t="e">
        <f t="shared" ca="1" si="59"/>
        <v>#VALUE!</v>
      </c>
      <c r="Q65" s="243" t="e">
        <f ca="1">IF(AND(INDEX(FlowCalConstA,MATCH(N56,FlowCalNumber,0),1,1)*P65^INDEX(FlowCalConstB,MATCH(N56,FlowCalNumber,0),1,1)&gt;INDEX(FlowCalLowSetting,MATCH(N56,FlowCalNumber,0),1,1), (INDEX(FlowCalConstA,MATCH(N56,FlowCalNumber,0),1,1)*P65^INDEX(FlowCalConstB,MATCH(N56,FlowCalNumber,0),1,1)&lt;INDEX(FlowCalHighSetting,MATCH(N56,FlowCalNumber,0),1,1))),INDEX(FlowCalConstA,MATCH(N56,FlowCalNumber,0),1,1)*P65^INDEX(FlowCalConstB,MATCH(N56,FlowCalNumber,0),1,1)," ")</f>
        <v>#N/A</v>
      </c>
      <c r="R65" s="33"/>
      <c r="S65" s="242">
        <f t="shared" si="60"/>
        <v>1</v>
      </c>
      <c r="T65" s="241" t="e">
        <f t="shared" ca="1" si="61"/>
        <v>#VALUE!</v>
      </c>
      <c r="U65" s="244" t="e">
        <f ca="1">IF(AND(INDEX(FlowCalConstA,MATCH(R56,FlowCalNumber,0),1,1)*T65^INDEX(FlowCalConstB,MATCH(R56,FlowCalNumber,0),1,1)&gt;INDEX(FlowCalLowSetting,MATCH(R56,FlowCalNumber,0),1,1), (INDEX(FlowCalConstA,MATCH(R56,FlowCalNumber,0),1,1)*T65^INDEX(FlowCalConstB,MATCH(R56,FlowCalNumber,0),1,1)&lt;INDEX(FlowCalHighSetting,MATCH(R56,FlowCalNumber,0),1,1))),INDEX(FlowCalConstA,MATCH(R56,FlowCalNumber,0),1,1)*T65^INDEX(FlowCalConstB,MATCH(R56,FlowCalNumber,0),1,1)," ")</f>
        <v>#N/A</v>
      </c>
      <c r="V65" s="33"/>
      <c r="W65" s="242">
        <f t="shared" si="62"/>
        <v>0.1</v>
      </c>
      <c r="X65" s="241" t="e">
        <f t="shared" ca="1" si="63"/>
        <v>#VALUE!</v>
      </c>
      <c r="Y65" s="243" t="e">
        <f ca="1">IF(AND(INDEX(FlowCalConstA,MATCH(V56,FlowCalNumber,0),1,1)*X65^INDEX(FlowCalConstB,MATCH(V56,FlowCalNumber,0),1,1)&gt;INDEX(FlowCalLowSetting,MATCH(V56,FlowCalNumber,0),1,1), (INDEX(FlowCalConstA,MATCH(V56,FlowCalNumber,0),1,1)*X65^INDEX(FlowCalConstB,MATCH(V56,FlowCalNumber,0),1,1)&lt;INDEX(FlowCalHighSetting,MATCH(V56,FlowCalNumber,0),1,1))),INDEX(FlowCalConstA,MATCH(V56,FlowCalNumber,0),1,1)*X65^INDEX(FlowCalConstB,MATCH(V56,FlowCalNumber,0),1,1)," ")</f>
        <v>#N/A</v>
      </c>
      <c r="Z65" s="33"/>
      <c r="AA65" s="242">
        <f t="shared" si="64"/>
        <v>0.9</v>
      </c>
      <c r="AB65" s="241" t="e">
        <f t="shared" ca="1" si="65"/>
        <v>#VALUE!</v>
      </c>
      <c r="AC65" s="243" t="e">
        <f ca="1">IF(AND(INDEX(FlowCalConstA,MATCH(Z56,FlowCalNumber,0),1,1)*AB65^INDEX(FlowCalConstB,MATCH(Z56,FlowCalNumber,0),1,1)&gt;INDEX(FlowCalLowSetting,MATCH(Z56,FlowCalNumber,0),1,1), (INDEX(FlowCalConstA,MATCH(Z56,FlowCalNumber,0),1,1)*AB65^INDEX(FlowCalConstB,MATCH(Z56,FlowCalNumber,0),1,1)&lt;INDEX(FlowCalHighSetting,MATCH(Z56,FlowCalNumber,0),1,1))),INDEX(FlowCalConstA,MATCH(Z56,FlowCalNumber,0),1,1)*AB65^INDEX(FlowCalConstB,MATCH(Z56,FlowCalNumber,0),1,1)," ")</f>
        <v>#N/A</v>
      </c>
      <c r="AD65" s="33"/>
      <c r="AE65" s="242">
        <f t="shared" si="66"/>
        <v>0.1</v>
      </c>
      <c r="AF65" s="241" t="e">
        <f t="shared" ca="1" si="67"/>
        <v>#VALUE!</v>
      </c>
      <c r="AG65" s="243" t="e">
        <f ca="1">IF(AND(INDEX(FlowCalConstA,MATCH(AD56,FlowCalNumber,0),1,1)*AF65^INDEX(FlowCalConstB,MATCH(AD56,FlowCalNumber,0),1,1)&gt;INDEX(FlowCalLowSetting,MATCH(AD56,FlowCalNumber,0),1,1), (INDEX(FlowCalConstA,MATCH(AD56,FlowCalNumber,0),1,1)*AF65^INDEX(FlowCalConstB,MATCH(AD56,FlowCalNumber,0),1,1)&lt;INDEX(FlowCalHighSetting,MATCH(AD56,FlowCalNumber,0),1,1))),INDEX(FlowCalConstA,MATCH(AD56,FlowCalNumber,0),1,1)*AF65^INDEX(FlowCalConstB,MATCH(AD56,FlowCalNumber,0),1,1)," ")</f>
        <v>#N/A</v>
      </c>
      <c r="AH65" s="33"/>
      <c r="AI65" s="242">
        <f t="shared" si="68"/>
        <v>0.9</v>
      </c>
      <c r="AJ65" s="241" t="e">
        <f t="shared" ca="1" si="69"/>
        <v>#VALUE!</v>
      </c>
      <c r="AK65" s="243" t="e">
        <f ca="1">IF(AND(INDEX(FlowCalConstA,MATCH(AH56,FlowCalNumber,0),1,1)*AJ65^INDEX(FlowCalConstB,MATCH(AH56,FlowCalNumber,0),1,1)&gt;INDEX(FlowCalLowSetting,MATCH(AH56,FlowCalNumber,0),1,1), (INDEX(FlowCalConstA,MATCH(AH56,FlowCalNumber,0),1,1)*AJ65^INDEX(FlowCalConstB,MATCH(AH56,FlowCalNumber,0),1,1)&lt;INDEX(FlowCalHighSetting,MATCH(AH56,FlowCalNumber,0),1,1))),INDEX(FlowCalConstA,MATCH(AH56,FlowCalNumber,0),1,1)*AJ65^INDEX(FlowCalConstB,MATCH(AH56,FlowCalNumber,0),1,1)," ")</f>
        <v>#N/A</v>
      </c>
      <c r="AL65" s="33"/>
      <c r="AM65" s="242"/>
      <c r="AN65" s="241"/>
      <c r="AO65" s="244"/>
      <c r="AQ65" s="242"/>
      <c r="AR65" s="241"/>
      <c r="AS65" s="244"/>
      <c r="AT65" s="33"/>
      <c r="AU65" s="242"/>
      <c r="AV65" s="241"/>
      <c r="AW65" s="244"/>
      <c r="AX65" s="33"/>
      <c r="AY65" s="242"/>
      <c r="AZ65" s="241"/>
      <c r="BA65" s="244"/>
      <c r="BB65" s="33"/>
      <c r="BC65" s="242"/>
      <c r="BD65" s="241"/>
      <c r="BE65" s="244"/>
      <c r="BF65" s="33"/>
      <c r="BG65" s="242"/>
      <c r="BH65" s="241"/>
      <c r="BI65" s="244"/>
      <c r="BJ65" s="33"/>
      <c r="BK65" s="242"/>
      <c r="BL65" s="241"/>
      <c r="BM65" s="244"/>
      <c r="BN65" s="33"/>
      <c r="BO65" s="242"/>
      <c r="BP65" s="241"/>
      <c r="BQ65" s="244"/>
      <c r="BR65" s="33"/>
      <c r="BS65" s="242"/>
      <c r="BT65" s="241"/>
      <c r="BU65" s="244"/>
      <c r="BV65" s="33"/>
      <c r="BW65" s="242"/>
      <c r="BX65" s="241"/>
      <c r="BY65" s="244"/>
      <c r="BZ65" s="33"/>
      <c r="CA65" s="242"/>
      <c r="CB65" s="241"/>
      <c r="CC65" s="244"/>
      <c r="CD65" s="243"/>
      <c r="CE65" s="243"/>
      <c r="CF65" s="243"/>
      <c r="CG65" s="243"/>
      <c r="CH65" s="243"/>
      <c r="CI65" s="243"/>
      <c r="CJ65" s="243"/>
      <c r="CK65" s="243"/>
      <c r="CL65" s="243"/>
      <c r="CM65" s="243"/>
      <c r="CN65" s="243"/>
      <c r="CO65" s="243"/>
      <c r="CP65" s="243"/>
      <c r="CQ65" s="243"/>
      <c r="CR65" s="243"/>
      <c r="CS65" s="243"/>
      <c r="CT65" s="243"/>
      <c r="CU65" s="243"/>
      <c r="CV65" s="243"/>
      <c r="CW65" s="243"/>
      <c r="CX65" s="243"/>
      <c r="CY65" s="243"/>
      <c r="CZ65" s="243"/>
      <c r="DA65" s="243"/>
      <c r="DB65" s="243"/>
      <c r="DC65" s="243"/>
      <c r="DD65" s="243"/>
      <c r="DE65" s="243"/>
      <c r="DF65" s="243"/>
      <c r="DG65" s="243"/>
      <c r="DH65" s="243"/>
      <c r="DI65" s="243"/>
      <c r="DJ65" s="243"/>
      <c r="DK65" s="243"/>
      <c r="DM65" s="242"/>
      <c r="DO65" s="243"/>
      <c r="DQ65" s="242"/>
      <c r="DS65" s="243"/>
      <c r="DU65" s="242"/>
      <c r="DW65" s="243"/>
      <c r="DY65" s="242"/>
      <c r="EA65" s="243"/>
    </row>
    <row r="66" spans="1:131">
      <c r="A66" s="20"/>
      <c r="B66" s="124" t="str">
        <f t="shared" si="54"/>
        <v/>
      </c>
      <c r="C66" s="235"/>
      <c r="D66" s="24">
        <f>'1% Wind'!$M$91</f>
        <v>4.2</v>
      </c>
      <c r="E66" s="90"/>
      <c r="F66" s="90"/>
      <c r="G66" s="79">
        <f ca="1">IF(I56=0.9743,$G65,MAX(G65/D65*D66,2))</f>
        <v>6.001707317073171</v>
      </c>
      <c r="H66" s="121" t="e">
        <f t="shared" ca="1" si="55"/>
        <v>#VALUE!</v>
      </c>
      <c r="J66" s="33"/>
      <c r="K66" s="242">
        <f t="shared" si="56"/>
        <v>1</v>
      </c>
      <c r="L66" s="241" t="e">
        <f t="shared" ca="1" si="57"/>
        <v>#VALUE!</v>
      </c>
      <c r="M66" s="243" t="e">
        <f ca="1">IF(AND(INDEX(FlowCalConstA,MATCH(J56,FlowCalNumber,0),1,1)*L66^INDEX(FlowCalConstB,MATCH(J56,FlowCalNumber,0),1,1)&gt;INDEX(FlowCalLowSetting,MATCH(J56,FlowCalNumber,0),1,1), (INDEX(FlowCalConstA,MATCH(J56,FlowCalNumber,0),1,1)*L66^INDEX(FlowCalConstB,MATCH(J56,FlowCalNumber,0),1,1)&lt;INDEX(FlowCalHighSetting,MATCH(J56,FlowCalNumber,0),1,1))),INDEX(FlowCalConstA,MATCH(J56,FlowCalNumber,0),1,1)*L66^INDEX(FlowCalConstB,MATCH(J56,FlowCalNumber,0),1,1)," ")</f>
        <v>#N/A</v>
      </c>
      <c r="N66" s="33"/>
      <c r="O66" s="242">
        <f t="shared" si="58"/>
        <v>1</v>
      </c>
      <c r="P66" s="241" t="e">
        <f t="shared" ca="1" si="59"/>
        <v>#VALUE!</v>
      </c>
      <c r="Q66" s="243" t="e">
        <f ca="1">IF(AND(INDEX(FlowCalConstA,MATCH(N56,FlowCalNumber,0),1,1)*P66^INDEX(FlowCalConstB,MATCH(N56,FlowCalNumber,0),1,1)&gt;INDEX(FlowCalLowSetting,MATCH(N56,FlowCalNumber,0),1,1), (INDEX(FlowCalConstA,MATCH(N56,FlowCalNumber,0),1,1)*P66^INDEX(FlowCalConstB,MATCH(N56,FlowCalNumber,0),1,1)&lt;INDEX(FlowCalHighSetting,MATCH(N56,FlowCalNumber,0),1,1))),INDEX(FlowCalConstA,MATCH(N56,FlowCalNumber,0),1,1)*P66^INDEX(FlowCalConstB,MATCH(N56,FlowCalNumber,0),1,1)," ")</f>
        <v>#N/A</v>
      </c>
      <c r="R66" s="33"/>
      <c r="S66" s="242">
        <f t="shared" si="60"/>
        <v>1</v>
      </c>
      <c r="T66" s="241" t="e">
        <f t="shared" ca="1" si="61"/>
        <v>#VALUE!</v>
      </c>
      <c r="U66" s="244" t="e">
        <f ca="1">IF(AND(INDEX(FlowCalConstA,MATCH(R56,FlowCalNumber,0),1,1)*T66^INDEX(FlowCalConstB,MATCH(R56,FlowCalNumber,0),1,1)&gt;INDEX(FlowCalLowSetting,MATCH(R56,FlowCalNumber,0),1,1), (INDEX(FlowCalConstA,MATCH(R56,FlowCalNumber,0),1,1)*T66^INDEX(FlowCalConstB,MATCH(R56,FlowCalNumber,0),1,1)&lt;INDEX(FlowCalHighSetting,MATCH(R56,FlowCalNumber,0),1,1))),INDEX(FlowCalConstA,MATCH(R56,FlowCalNumber,0),1,1)*T66^INDEX(FlowCalConstB,MATCH(R56,FlowCalNumber,0),1,1)," ")</f>
        <v>#N/A</v>
      </c>
      <c r="V66" s="33"/>
      <c r="W66" s="242">
        <f t="shared" si="62"/>
        <v>0.1</v>
      </c>
      <c r="X66" s="241" t="e">
        <f t="shared" ca="1" si="63"/>
        <v>#VALUE!</v>
      </c>
      <c r="Y66" s="243" t="e">
        <f ca="1">IF(AND(INDEX(FlowCalConstA,MATCH(V56,FlowCalNumber,0),1,1)*X66^INDEX(FlowCalConstB,MATCH(V56,FlowCalNumber,0),1,1)&gt;INDEX(FlowCalLowSetting,MATCH(V56,FlowCalNumber,0),1,1), (INDEX(FlowCalConstA,MATCH(V56,FlowCalNumber,0),1,1)*X66^INDEX(FlowCalConstB,MATCH(V56,FlowCalNumber,0),1,1)&lt;INDEX(FlowCalHighSetting,MATCH(V56,FlowCalNumber,0),1,1))),INDEX(FlowCalConstA,MATCH(V56,FlowCalNumber,0),1,1)*X66^INDEX(FlowCalConstB,MATCH(V56,FlowCalNumber,0),1,1)," ")</f>
        <v>#N/A</v>
      </c>
      <c r="Z66" s="33"/>
      <c r="AA66" s="242">
        <f t="shared" si="64"/>
        <v>0.9</v>
      </c>
      <c r="AB66" s="241" t="e">
        <f t="shared" ca="1" si="65"/>
        <v>#VALUE!</v>
      </c>
      <c r="AC66" s="243" t="e">
        <f ca="1">IF(AND(INDEX(FlowCalConstA,MATCH(Z56,FlowCalNumber,0),1,1)*AB66^INDEX(FlowCalConstB,MATCH(Z56,FlowCalNumber,0),1,1)&gt;INDEX(FlowCalLowSetting,MATCH(Z56,FlowCalNumber,0),1,1), (INDEX(FlowCalConstA,MATCH(Z56,FlowCalNumber,0),1,1)*AB66^INDEX(FlowCalConstB,MATCH(Z56,FlowCalNumber,0),1,1)&lt;INDEX(FlowCalHighSetting,MATCH(Z56,FlowCalNumber,0),1,1))),INDEX(FlowCalConstA,MATCH(Z56,FlowCalNumber,0),1,1)*AB66^INDEX(FlowCalConstB,MATCH(Z56,FlowCalNumber,0),1,1)," ")</f>
        <v>#N/A</v>
      </c>
      <c r="AD66" s="33"/>
      <c r="AE66" s="242">
        <f t="shared" si="66"/>
        <v>0.1</v>
      </c>
      <c r="AF66" s="241" t="e">
        <f t="shared" ca="1" si="67"/>
        <v>#VALUE!</v>
      </c>
      <c r="AG66" s="243" t="e">
        <f ca="1">IF(AND(INDEX(FlowCalConstA,MATCH(AD56,FlowCalNumber,0),1,1)*AF66^INDEX(FlowCalConstB,MATCH(AD56,FlowCalNumber,0),1,1)&gt;INDEX(FlowCalLowSetting,MATCH(AD56,FlowCalNumber,0),1,1), (INDEX(FlowCalConstA,MATCH(AD56,FlowCalNumber,0),1,1)*AF66^INDEX(FlowCalConstB,MATCH(AD56,FlowCalNumber,0),1,1)&lt;INDEX(FlowCalHighSetting,MATCH(AD56,FlowCalNumber,0),1,1))),INDEX(FlowCalConstA,MATCH(AD56,FlowCalNumber,0),1,1)*AF66^INDEX(FlowCalConstB,MATCH(AD56,FlowCalNumber,0),1,1)," ")</f>
        <v>#N/A</v>
      </c>
      <c r="AH66" s="33"/>
      <c r="AI66" s="242">
        <f t="shared" si="68"/>
        <v>0.9</v>
      </c>
      <c r="AJ66" s="241" t="e">
        <f t="shared" ca="1" si="69"/>
        <v>#VALUE!</v>
      </c>
      <c r="AK66" s="243" t="e">
        <f ca="1">IF(AND(INDEX(FlowCalConstA,MATCH(AH56,FlowCalNumber,0),1,1)*AJ66^INDEX(FlowCalConstB,MATCH(AH56,FlowCalNumber,0),1,1)&gt;INDEX(FlowCalLowSetting,MATCH(AH56,FlowCalNumber,0),1,1), (INDEX(FlowCalConstA,MATCH(AH56,FlowCalNumber,0),1,1)*AJ66^INDEX(FlowCalConstB,MATCH(AH56,FlowCalNumber,0),1,1)&lt;INDEX(FlowCalHighSetting,MATCH(AH56,FlowCalNumber,0),1,1))),INDEX(FlowCalConstA,MATCH(AH56,FlowCalNumber,0),1,1)*AJ66^INDEX(FlowCalConstB,MATCH(AH56,FlowCalNumber,0),1,1)," ")</f>
        <v>#N/A</v>
      </c>
      <c r="AL66" s="33"/>
      <c r="AM66" s="242"/>
      <c r="AN66" s="241"/>
      <c r="AO66" s="244"/>
      <c r="AQ66" s="242"/>
      <c r="AR66" s="241"/>
      <c r="AS66" s="244"/>
      <c r="AT66" s="33"/>
      <c r="AU66" s="242"/>
      <c r="AV66" s="241"/>
      <c r="AW66" s="244"/>
      <c r="AX66" s="33"/>
      <c r="AY66" s="242"/>
      <c r="AZ66" s="241"/>
      <c r="BA66" s="244"/>
      <c r="BB66" s="33"/>
      <c r="BC66" s="242"/>
      <c r="BD66" s="241"/>
      <c r="BE66" s="244"/>
      <c r="BF66" s="33"/>
      <c r="BG66" s="242"/>
      <c r="BH66" s="241"/>
      <c r="BI66" s="244"/>
      <c r="BJ66" s="33"/>
      <c r="BK66" s="242"/>
      <c r="BL66" s="241"/>
      <c r="BM66" s="244"/>
      <c r="BN66" s="33"/>
      <c r="BO66" s="242"/>
      <c r="BP66" s="241"/>
      <c r="BQ66" s="244"/>
      <c r="BR66" s="33"/>
      <c r="BS66" s="242"/>
      <c r="BT66" s="241"/>
      <c r="BU66" s="244"/>
      <c r="BV66" s="33"/>
      <c r="BW66" s="242"/>
      <c r="BX66" s="241"/>
      <c r="BY66" s="244"/>
      <c r="BZ66" s="33"/>
      <c r="CA66" s="242"/>
      <c r="CB66" s="241"/>
      <c r="CC66" s="244"/>
      <c r="CD66" s="243"/>
      <c r="CE66" s="243"/>
      <c r="CF66" s="243"/>
      <c r="CG66" s="243"/>
      <c r="CH66" s="243"/>
      <c r="CI66" s="243"/>
      <c r="CJ66" s="243"/>
      <c r="CK66" s="243"/>
      <c r="CL66" s="243"/>
      <c r="CM66" s="243"/>
      <c r="CN66" s="243"/>
      <c r="CO66" s="243"/>
      <c r="CP66" s="243"/>
      <c r="CQ66" s="243"/>
      <c r="CR66" s="243"/>
      <c r="CS66" s="243"/>
      <c r="CT66" s="243"/>
      <c r="CU66" s="243"/>
      <c r="CV66" s="243"/>
      <c r="CW66" s="243"/>
      <c r="CX66" s="243"/>
      <c r="CY66" s="243"/>
      <c r="CZ66" s="243"/>
      <c r="DA66" s="243"/>
      <c r="DB66" s="243"/>
      <c r="DC66" s="243"/>
      <c r="DD66" s="243"/>
      <c r="DE66" s="243"/>
      <c r="DF66" s="243"/>
      <c r="DG66" s="243"/>
      <c r="DH66" s="243"/>
      <c r="DI66" s="243"/>
      <c r="DJ66" s="243"/>
      <c r="DK66" s="243"/>
      <c r="DM66" s="242"/>
      <c r="DO66" s="243"/>
      <c r="DQ66" s="242"/>
      <c r="DS66" s="243"/>
      <c r="DU66" s="242"/>
      <c r="DW66" s="243"/>
      <c r="DY66" s="242"/>
      <c r="EA66" s="243"/>
    </row>
    <row r="67" spans="1:131">
      <c r="A67" s="20"/>
      <c r="B67" s="124" t="str">
        <f t="shared" si="54"/>
        <v/>
      </c>
      <c r="C67" s="235"/>
      <c r="D67" s="24">
        <f>'1% Wind'!$M$92</f>
        <v>3.2</v>
      </c>
      <c r="E67" s="90"/>
      <c r="F67" s="90"/>
      <c r="G67" s="79">
        <f ca="1">IF(I56=0.9743,$G66,MAX(G66/D66*D67,2))</f>
        <v>6.001707317073171</v>
      </c>
      <c r="H67" s="121" t="e">
        <f t="shared" ca="1" si="55"/>
        <v>#VALUE!</v>
      </c>
      <c r="J67" s="33"/>
      <c r="K67" s="242">
        <f t="shared" si="56"/>
        <v>1</v>
      </c>
      <c r="L67" s="241" t="e">
        <f t="shared" ca="1" si="57"/>
        <v>#VALUE!</v>
      </c>
      <c r="M67" s="243" t="e">
        <f ca="1">IF(AND(INDEX(FlowCalConstA,MATCH(J56,FlowCalNumber,0),1,1)*L67^INDEX(FlowCalConstB,MATCH(J56,FlowCalNumber,0),1,1)&gt;INDEX(FlowCalLowSetting,MATCH(J56,FlowCalNumber,0),1,1), (INDEX(FlowCalConstA,MATCH(J56,FlowCalNumber,0),1,1)*L67^INDEX(FlowCalConstB,MATCH(J56,FlowCalNumber,0),1,1)&lt;INDEX(FlowCalHighSetting,MATCH(J56,FlowCalNumber,0),1,1))),INDEX(FlowCalConstA,MATCH(J56,FlowCalNumber,0),1,1)*L67^INDEX(FlowCalConstB,MATCH(J56,FlowCalNumber,0),1,1)," ")</f>
        <v>#N/A</v>
      </c>
      <c r="N67" s="33"/>
      <c r="O67" s="242">
        <f t="shared" si="58"/>
        <v>1</v>
      </c>
      <c r="P67" s="241" t="e">
        <f t="shared" ca="1" si="59"/>
        <v>#VALUE!</v>
      </c>
      <c r="Q67" s="243" t="e">
        <f ca="1">IF(AND(INDEX(FlowCalConstA,MATCH(N56,FlowCalNumber,0),1,1)*P67^INDEX(FlowCalConstB,MATCH(N56,FlowCalNumber,0),1,1)&gt;INDEX(FlowCalLowSetting,MATCH(N56,FlowCalNumber,0),1,1), (INDEX(FlowCalConstA,MATCH(N56,FlowCalNumber,0),1,1)*P67^INDEX(FlowCalConstB,MATCH(N56,FlowCalNumber,0),1,1)&lt;INDEX(FlowCalHighSetting,MATCH(N56,FlowCalNumber,0),1,1))),INDEX(FlowCalConstA,MATCH(N56,FlowCalNumber,0),1,1)*P67^INDEX(FlowCalConstB,MATCH(N56,FlowCalNumber,0),1,1)," ")</f>
        <v>#N/A</v>
      </c>
      <c r="R67" s="33"/>
      <c r="S67" s="242">
        <f t="shared" si="60"/>
        <v>1</v>
      </c>
      <c r="T67" s="241" t="e">
        <f t="shared" ca="1" si="61"/>
        <v>#VALUE!</v>
      </c>
      <c r="U67" s="244" t="e">
        <f ca="1">IF(AND(INDEX(FlowCalConstA,MATCH(R56,FlowCalNumber,0),1,1)*T67^INDEX(FlowCalConstB,MATCH(R56,FlowCalNumber,0),1,1)&gt;INDEX(FlowCalLowSetting,MATCH(R56,FlowCalNumber,0),1,1), (INDEX(FlowCalConstA,MATCH(R56,FlowCalNumber,0),1,1)*T67^INDEX(FlowCalConstB,MATCH(R56,FlowCalNumber,0),1,1)&lt;INDEX(FlowCalHighSetting,MATCH(R56,FlowCalNumber,0),1,1))),INDEX(FlowCalConstA,MATCH(R56,FlowCalNumber,0),1,1)*T67^INDEX(FlowCalConstB,MATCH(R56,FlowCalNumber,0),1,1)," ")</f>
        <v>#N/A</v>
      </c>
      <c r="V67" s="33"/>
      <c r="W67" s="242">
        <f t="shared" si="62"/>
        <v>0.1</v>
      </c>
      <c r="X67" s="241" t="e">
        <f t="shared" ca="1" si="63"/>
        <v>#VALUE!</v>
      </c>
      <c r="Y67" s="243" t="e">
        <f ca="1">IF(AND(INDEX(FlowCalConstA,MATCH(V56,FlowCalNumber,0),1,1)*X67^INDEX(FlowCalConstB,MATCH(V56,FlowCalNumber,0),1,1)&gt;INDEX(FlowCalLowSetting,MATCH(V56,FlowCalNumber,0),1,1), (INDEX(FlowCalConstA,MATCH(V56,FlowCalNumber,0),1,1)*X67^INDEX(FlowCalConstB,MATCH(V56,FlowCalNumber,0),1,1)&lt;INDEX(FlowCalHighSetting,MATCH(V56,FlowCalNumber,0),1,1))),INDEX(FlowCalConstA,MATCH(V56,FlowCalNumber,0),1,1)*X67^INDEX(FlowCalConstB,MATCH(V56,FlowCalNumber,0),1,1)," ")</f>
        <v>#N/A</v>
      </c>
      <c r="Z67" s="33"/>
      <c r="AA67" s="242">
        <f t="shared" si="64"/>
        <v>0.9</v>
      </c>
      <c r="AB67" s="241" t="e">
        <f t="shared" ca="1" si="65"/>
        <v>#VALUE!</v>
      </c>
      <c r="AC67" s="243" t="e">
        <f ca="1">IF(AND(INDEX(FlowCalConstA,MATCH(Z56,FlowCalNumber,0),1,1)*AB67^INDEX(FlowCalConstB,MATCH(Z56,FlowCalNumber,0),1,1)&gt;INDEX(FlowCalLowSetting,MATCH(Z56,FlowCalNumber,0),1,1), (INDEX(FlowCalConstA,MATCH(Z56,FlowCalNumber,0),1,1)*AB67^INDEX(FlowCalConstB,MATCH(Z56,FlowCalNumber,0),1,1)&lt;INDEX(FlowCalHighSetting,MATCH(Z56,FlowCalNumber,0),1,1))),INDEX(FlowCalConstA,MATCH(Z56,FlowCalNumber,0),1,1)*AB67^INDEX(FlowCalConstB,MATCH(Z56,FlowCalNumber,0),1,1)," ")</f>
        <v>#N/A</v>
      </c>
      <c r="AD67" s="33"/>
      <c r="AE67" s="242">
        <f t="shared" si="66"/>
        <v>0.1</v>
      </c>
      <c r="AF67" s="241" t="e">
        <f t="shared" ca="1" si="67"/>
        <v>#VALUE!</v>
      </c>
      <c r="AG67" s="243" t="e">
        <f ca="1">IF(AND(INDEX(FlowCalConstA,MATCH(AD56,FlowCalNumber,0),1,1)*AF67^INDEX(FlowCalConstB,MATCH(AD56,FlowCalNumber,0),1,1)&gt;INDEX(FlowCalLowSetting,MATCH(AD56,FlowCalNumber,0),1,1), (INDEX(FlowCalConstA,MATCH(AD56,FlowCalNumber,0),1,1)*AF67^INDEX(FlowCalConstB,MATCH(AD56,FlowCalNumber,0),1,1)&lt;INDEX(FlowCalHighSetting,MATCH(AD56,FlowCalNumber,0),1,1))),INDEX(FlowCalConstA,MATCH(AD56,FlowCalNumber,0),1,1)*AF67^INDEX(FlowCalConstB,MATCH(AD56,FlowCalNumber,0),1,1)," ")</f>
        <v>#N/A</v>
      </c>
      <c r="AH67" s="33"/>
      <c r="AI67" s="242">
        <f t="shared" si="68"/>
        <v>0.9</v>
      </c>
      <c r="AJ67" s="241" t="e">
        <f t="shared" ca="1" si="69"/>
        <v>#VALUE!</v>
      </c>
      <c r="AK67" s="243" t="e">
        <f ca="1">IF(AND(INDEX(FlowCalConstA,MATCH(AH56,FlowCalNumber,0),1,1)*AJ67^INDEX(FlowCalConstB,MATCH(AH56,FlowCalNumber,0),1,1)&gt;INDEX(FlowCalLowSetting,MATCH(AH56,FlowCalNumber,0),1,1), (INDEX(FlowCalConstA,MATCH(AH56,FlowCalNumber,0),1,1)*AJ67^INDEX(FlowCalConstB,MATCH(AH56,FlowCalNumber,0),1,1)&lt;INDEX(FlowCalHighSetting,MATCH(AH56,FlowCalNumber,0),1,1))),INDEX(FlowCalConstA,MATCH(AH56,FlowCalNumber,0),1,1)*AJ67^INDEX(FlowCalConstB,MATCH(AH56,FlowCalNumber,0),1,1)," ")</f>
        <v>#N/A</v>
      </c>
      <c r="AL67" s="33"/>
      <c r="AM67" s="242"/>
      <c r="AN67" s="241"/>
      <c r="AO67" s="244"/>
      <c r="AQ67" s="242"/>
      <c r="AR67" s="241"/>
      <c r="AS67" s="244"/>
      <c r="AT67" s="33"/>
      <c r="AU67" s="242"/>
      <c r="AV67" s="241"/>
      <c r="AW67" s="244"/>
      <c r="AX67" s="33"/>
      <c r="AY67" s="242"/>
      <c r="AZ67" s="241"/>
      <c r="BA67" s="244"/>
      <c r="BB67" s="33"/>
      <c r="BC67" s="242"/>
      <c r="BD67" s="241"/>
      <c r="BE67" s="244"/>
      <c r="BF67" s="33"/>
      <c r="BG67" s="242"/>
      <c r="BH67" s="241"/>
      <c r="BI67" s="244"/>
      <c r="BJ67" s="33"/>
      <c r="BK67" s="242"/>
      <c r="BL67" s="241"/>
      <c r="BM67" s="244"/>
      <c r="BN67" s="33"/>
      <c r="BO67" s="242"/>
      <c r="BP67" s="241"/>
      <c r="BQ67" s="244"/>
      <c r="BR67" s="33"/>
      <c r="BS67" s="242"/>
      <c r="BT67" s="241"/>
      <c r="BU67" s="244"/>
      <c r="BV67" s="33"/>
      <c r="BW67" s="242"/>
      <c r="BX67" s="241"/>
      <c r="BY67" s="244"/>
      <c r="BZ67" s="33"/>
      <c r="CA67" s="242"/>
      <c r="CB67" s="241"/>
      <c r="CC67" s="244"/>
      <c r="CD67" s="243"/>
      <c r="CE67" s="243"/>
      <c r="CF67" s="243"/>
      <c r="CG67" s="243"/>
      <c r="CH67" s="243"/>
      <c r="CI67" s="243"/>
      <c r="CJ67" s="243"/>
      <c r="CK67" s="243"/>
      <c r="CL67" s="243"/>
      <c r="CM67" s="243"/>
      <c r="CN67" s="243"/>
      <c r="CO67" s="243"/>
      <c r="CP67" s="243"/>
      <c r="CQ67" s="243"/>
      <c r="CR67" s="243"/>
      <c r="CS67" s="243"/>
      <c r="CT67" s="243"/>
      <c r="CU67" s="243"/>
      <c r="CV67" s="243"/>
      <c r="CW67" s="243"/>
      <c r="CX67" s="243"/>
      <c r="CY67" s="243"/>
      <c r="CZ67" s="243"/>
      <c r="DA67" s="243"/>
      <c r="DB67" s="243"/>
      <c r="DC67" s="243"/>
      <c r="DD67" s="243"/>
      <c r="DE67" s="243"/>
      <c r="DF67" s="243"/>
      <c r="DG67" s="243"/>
      <c r="DH67" s="243"/>
      <c r="DI67" s="243"/>
      <c r="DJ67" s="243"/>
      <c r="DK67" s="243"/>
      <c r="DM67" s="242"/>
      <c r="DO67" s="243"/>
      <c r="DQ67" s="242"/>
      <c r="DS67" s="243"/>
      <c r="DU67" s="242"/>
      <c r="DW67" s="243"/>
      <c r="DY67" s="242"/>
      <c r="EA67" s="243"/>
    </row>
    <row r="68" spans="1:131">
      <c r="A68" s="20"/>
      <c r="B68" s="124" t="str">
        <f t="shared" si="54"/>
        <v/>
      </c>
      <c r="C68" s="235"/>
      <c r="D68" s="24">
        <f>'1% Wind'!$M$93</f>
        <v>2.4</v>
      </c>
      <c r="E68" s="90"/>
      <c r="F68" s="90"/>
      <c r="G68" s="79">
        <f ca="1">IF(I56=0.9743,$G67,MAX(G67/D67*D68,2))</f>
        <v>6.001707317073171</v>
      </c>
      <c r="H68" s="121" t="e">
        <f t="shared" ca="1" si="55"/>
        <v>#VALUE!</v>
      </c>
      <c r="J68" s="33"/>
      <c r="K68" s="242">
        <f t="shared" si="56"/>
        <v>1</v>
      </c>
      <c r="L68" s="241" t="e">
        <f t="shared" ca="1" si="57"/>
        <v>#VALUE!</v>
      </c>
      <c r="M68" s="243" t="e">
        <f ca="1">IF(AND(INDEX(FlowCalConstA,MATCH(J56,FlowCalNumber,0),1,1)*L68^INDEX(FlowCalConstB,MATCH(J56,FlowCalNumber,0),1,1)&gt;INDEX(FlowCalLowSetting,MATCH(J56,FlowCalNumber,0),1,1), (INDEX(FlowCalConstA,MATCH(J56,FlowCalNumber,0),1,1)*L68^INDEX(FlowCalConstB,MATCH(J56,FlowCalNumber,0),1,1)&lt;INDEX(FlowCalHighSetting,MATCH(J56,FlowCalNumber,0),1,1))),INDEX(FlowCalConstA,MATCH(J56,FlowCalNumber,0),1,1)*L68^INDEX(FlowCalConstB,MATCH(J56,FlowCalNumber,0),1,1)," ")</f>
        <v>#N/A</v>
      </c>
      <c r="N68" s="33"/>
      <c r="O68" s="242">
        <f t="shared" si="58"/>
        <v>1</v>
      </c>
      <c r="P68" s="241" t="e">
        <f t="shared" ca="1" si="59"/>
        <v>#VALUE!</v>
      </c>
      <c r="Q68" s="243" t="e">
        <f ca="1">IF(AND(INDEX(FlowCalConstA,MATCH(N56,FlowCalNumber,0),1,1)*P68^INDEX(FlowCalConstB,MATCH(N56,FlowCalNumber,0),1,1)&gt;INDEX(FlowCalLowSetting,MATCH(N56,FlowCalNumber,0),1,1), (INDEX(FlowCalConstA,MATCH(N56,FlowCalNumber,0),1,1)*P68^INDEX(FlowCalConstB,MATCH(N56,FlowCalNumber,0),1,1)&lt;INDEX(FlowCalHighSetting,MATCH(N56,FlowCalNumber,0),1,1))),INDEX(FlowCalConstA,MATCH(N56,FlowCalNumber,0),1,1)*P68^INDEX(FlowCalConstB,MATCH(N56,FlowCalNumber,0),1,1)," ")</f>
        <v>#N/A</v>
      </c>
      <c r="R68" s="33"/>
      <c r="S68" s="242">
        <f t="shared" si="60"/>
        <v>1</v>
      </c>
      <c r="T68" s="241" t="e">
        <f t="shared" ca="1" si="61"/>
        <v>#VALUE!</v>
      </c>
      <c r="U68" s="244" t="e">
        <f ca="1">IF(AND(INDEX(FlowCalConstA,MATCH(R56,FlowCalNumber,0),1,1)*T68^INDEX(FlowCalConstB,MATCH(R56,FlowCalNumber,0),1,1)&gt;INDEX(FlowCalLowSetting,MATCH(R56,FlowCalNumber,0),1,1), (INDEX(FlowCalConstA,MATCH(R56,FlowCalNumber,0),1,1)*T68^INDEX(FlowCalConstB,MATCH(R56,FlowCalNumber,0),1,1)&lt;INDEX(FlowCalHighSetting,MATCH(R56,FlowCalNumber,0),1,1))),INDEX(FlowCalConstA,MATCH(R56,FlowCalNumber,0),1,1)*T68^INDEX(FlowCalConstB,MATCH(R56,FlowCalNumber,0),1,1)," ")</f>
        <v>#N/A</v>
      </c>
      <c r="V68" s="33"/>
      <c r="W68" s="242">
        <f t="shared" si="62"/>
        <v>0.1</v>
      </c>
      <c r="X68" s="241" t="e">
        <f t="shared" ca="1" si="63"/>
        <v>#VALUE!</v>
      </c>
      <c r="Y68" s="243" t="e">
        <f ca="1">IF(AND(INDEX(FlowCalConstA,MATCH(V56,FlowCalNumber,0),1,1)*X68^INDEX(FlowCalConstB,MATCH(V56,FlowCalNumber,0),1,1)&gt;INDEX(FlowCalLowSetting,MATCH(V56,FlowCalNumber,0),1,1), (INDEX(FlowCalConstA,MATCH(V56,FlowCalNumber,0),1,1)*X68^INDEX(FlowCalConstB,MATCH(V56,FlowCalNumber,0),1,1)&lt;INDEX(FlowCalHighSetting,MATCH(V56,FlowCalNumber,0),1,1))),INDEX(FlowCalConstA,MATCH(V56,FlowCalNumber,0),1,1)*X68^INDEX(FlowCalConstB,MATCH(V56,FlowCalNumber,0),1,1)," ")</f>
        <v>#N/A</v>
      </c>
      <c r="Z68" s="33"/>
      <c r="AA68" s="242">
        <f t="shared" si="64"/>
        <v>0.9</v>
      </c>
      <c r="AB68" s="241" t="e">
        <f t="shared" ca="1" si="65"/>
        <v>#VALUE!</v>
      </c>
      <c r="AC68" s="243" t="e">
        <f ca="1">IF(AND(INDEX(FlowCalConstA,MATCH(Z56,FlowCalNumber,0),1,1)*AB68^INDEX(FlowCalConstB,MATCH(Z56,FlowCalNumber,0),1,1)&gt;INDEX(FlowCalLowSetting,MATCH(Z56,FlowCalNumber,0),1,1), (INDEX(FlowCalConstA,MATCH(Z56,FlowCalNumber,0),1,1)*AB68^INDEX(FlowCalConstB,MATCH(Z56,FlowCalNumber,0),1,1)&lt;INDEX(FlowCalHighSetting,MATCH(Z56,FlowCalNumber,0),1,1))),INDEX(FlowCalConstA,MATCH(Z56,FlowCalNumber,0),1,1)*AB68^INDEX(FlowCalConstB,MATCH(Z56,FlowCalNumber,0),1,1)," ")</f>
        <v>#N/A</v>
      </c>
      <c r="AD68" s="33"/>
      <c r="AE68" s="242">
        <f t="shared" si="66"/>
        <v>0.1</v>
      </c>
      <c r="AF68" s="241" t="e">
        <f t="shared" ca="1" si="67"/>
        <v>#VALUE!</v>
      </c>
      <c r="AG68" s="243" t="e">
        <f ca="1">IF(AND(INDEX(FlowCalConstA,MATCH(AD56,FlowCalNumber,0),1,1)*AF68^INDEX(FlowCalConstB,MATCH(AD56,FlowCalNumber,0),1,1)&gt;INDEX(FlowCalLowSetting,MATCH(AD56,FlowCalNumber,0),1,1), (INDEX(FlowCalConstA,MATCH(AD56,FlowCalNumber,0),1,1)*AF68^INDEX(FlowCalConstB,MATCH(AD56,FlowCalNumber,0),1,1)&lt;INDEX(FlowCalHighSetting,MATCH(AD56,FlowCalNumber,0),1,1))),INDEX(FlowCalConstA,MATCH(AD56,FlowCalNumber,0),1,1)*AF68^INDEX(FlowCalConstB,MATCH(AD56,FlowCalNumber,0),1,1)," ")</f>
        <v>#N/A</v>
      </c>
      <c r="AH68" s="33"/>
      <c r="AI68" s="242">
        <f t="shared" si="68"/>
        <v>0.9</v>
      </c>
      <c r="AJ68" s="241" t="e">
        <f t="shared" ca="1" si="69"/>
        <v>#VALUE!</v>
      </c>
      <c r="AK68" s="243" t="e">
        <f ca="1">IF(AND(INDEX(FlowCalConstA,MATCH(AH56,FlowCalNumber,0),1,1)*AJ68^INDEX(FlowCalConstB,MATCH(AH56,FlowCalNumber,0),1,1)&gt;INDEX(FlowCalLowSetting,MATCH(AH56,FlowCalNumber,0),1,1), (INDEX(FlowCalConstA,MATCH(AH56,FlowCalNumber,0),1,1)*AJ68^INDEX(FlowCalConstB,MATCH(AH56,FlowCalNumber,0),1,1)&lt;INDEX(FlowCalHighSetting,MATCH(AH56,FlowCalNumber,0),1,1))),INDEX(FlowCalConstA,MATCH(AH56,FlowCalNumber,0),1,1)*AJ68^INDEX(FlowCalConstB,MATCH(AH56,FlowCalNumber,0),1,1)," ")</f>
        <v>#N/A</v>
      </c>
      <c r="AL68" s="33"/>
      <c r="AM68" s="242"/>
      <c r="AN68" s="241"/>
      <c r="AO68" s="244"/>
      <c r="AQ68" s="242"/>
      <c r="AR68" s="241"/>
      <c r="AS68" s="244"/>
      <c r="AT68" s="33"/>
      <c r="AU68" s="242"/>
      <c r="AV68" s="241"/>
      <c r="AW68" s="244"/>
      <c r="AX68" s="33"/>
      <c r="AY68" s="242"/>
      <c r="AZ68" s="241"/>
      <c r="BA68" s="244"/>
      <c r="BB68" s="33"/>
      <c r="BC68" s="242"/>
      <c r="BD68" s="241"/>
      <c r="BE68" s="244"/>
      <c r="BF68" s="33"/>
      <c r="BG68" s="242"/>
      <c r="BH68" s="241"/>
      <c r="BI68" s="244"/>
      <c r="BJ68" s="33"/>
      <c r="BK68" s="242"/>
      <c r="BL68" s="241"/>
      <c r="BM68" s="244"/>
      <c r="BN68" s="33"/>
      <c r="BO68" s="242"/>
      <c r="BP68" s="241"/>
      <c r="BQ68" s="244"/>
      <c r="BR68" s="33"/>
      <c r="BS68" s="242"/>
      <c r="BT68" s="241"/>
      <c r="BU68" s="244"/>
      <c r="BV68" s="33"/>
      <c r="BW68" s="242"/>
      <c r="BX68" s="241"/>
      <c r="BY68" s="244"/>
      <c r="BZ68" s="33"/>
      <c r="CA68" s="242"/>
      <c r="CB68" s="241"/>
      <c r="CC68" s="244"/>
      <c r="CD68" s="243"/>
      <c r="CE68" s="243"/>
      <c r="CF68" s="243"/>
      <c r="CG68" s="243"/>
      <c r="CH68" s="243"/>
      <c r="CI68" s="243"/>
      <c r="CJ68" s="243"/>
      <c r="CK68" s="243"/>
      <c r="CL68" s="243"/>
      <c r="CM68" s="243"/>
      <c r="CN68" s="243"/>
      <c r="CO68" s="243"/>
      <c r="CP68" s="243"/>
      <c r="CQ68" s="243"/>
      <c r="CR68" s="243"/>
      <c r="CS68" s="243"/>
      <c r="CT68" s="243"/>
      <c r="CU68" s="243"/>
      <c r="CV68" s="243"/>
      <c r="CW68" s="243"/>
      <c r="CX68" s="243"/>
      <c r="CY68" s="243"/>
      <c r="CZ68" s="243"/>
      <c r="DA68" s="243"/>
      <c r="DB68" s="243"/>
      <c r="DC68" s="243"/>
      <c r="DD68" s="243"/>
      <c r="DE68" s="243"/>
      <c r="DF68" s="243"/>
      <c r="DG68" s="243"/>
      <c r="DH68" s="243"/>
      <c r="DI68" s="243"/>
      <c r="DJ68" s="243"/>
      <c r="DK68" s="243"/>
      <c r="DM68" s="242"/>
      <c r="DO68" s="243"/>
      <c r="DQ68" s="242"/>
      <c r="DS68" s="243"/>
      <c r="DU68" s="242"/>
      <c r="DW68" s="243"/>
      <c r="DY68" s="242"/>
      <c r="EA68" s="243"/>
    </row>
    <row r="69" spans="1:131">
      <c r="A69" s="20"/>
      <c r="B69" s="124" t="str">
        <f t="shared" si="54"/>
        <v/>
      </c>
      <c r="C69" s="235"/>
      <c r="D69" s="24">
        <f>'1% Wind'!$M$94</f>
        <v>1.8</v>
      </c>
      <c r="E69" s="90"/>
      <c r="F69" s="90"/>
      <c r="G69" s="79">
        <f ca="1">IF(I56=0.9743,$G68,MAX(G68/D68*D69,2))</f>
        <v>6.001707317073171</v>
      </c>
      <c r="H69" s="121" t="e">
        <f t="shared" ca="1" si="55"/>
        <v>#VALUE!</v>
      </c>
      <c r="J69" s="33"/>
      <c r="K69" s="242">
        <f t="shared" si="56"/>
        <v>1</v>
      </c>
      <c r="L69" s="241" t="e">
        <f t="shared" ca="1" si="57"/>
        <v>#VALUE!</v>
      </c>
      <c r="M69" s="243" t="e">
        <f ca="1">IF(AND(INDEX(FlowCalConstA,MATCH(J56,FlowCalNumber,0),1,1)*L69^INDEX(FlowCalConstB,MATCH(J56,FlowCalNumber,0),1,1)&gt;INDEX(FlowCalLowSetting,MATCH(J56,FlowCalNumber,0),1,1), (INDEX(FlowCalConstA,MATCH(J56,FlowCalNumber,0),1,1)*L69^INDEX(FlowCalConstB,MATCH(J56,FlowCalNumber,0),1,1)&lt;INDEX(FlowCalHighSetting,MATCH(J56,FlowCalNumber,0),1,1))),INDEX(FlowCalConstA,MATCH(J56,FlowCalNumber,0),1,1)*L69^INDEX(FlowCalConstB,MATCH(J56,FlowCalNumber,0),1,1)," ")</f>
        <v>#N/A</v>
      </c>
      <c r="N69" s="33"/>
      <c r="O69" s="242">
        <f t="shared" si="58"/>
        <v>1</v>
      </c>
      <c r="P69" s="241" t="e">
        <f t="shared" ca="1" si="59"/>
        <v>#VALUE!</v>
      </c>
      <c r="Q69" s="243" t="e">
        <f ca="1">IF(AND(INDEX(FlowCalConstA,MATCH(N56,FlowCalNumber,0),1,1)*P69^INDEX(FlowCalConstB,MATCH(N56,FlowCalNumber,0),1,1)&gt;INDEX(FlowCalLowSetting,MATCH(N56,FlowCalNumber,0),1,1), (INDEX(FlowCalConstA,MATCH(N56,FlowCalNumber,0),1,1)*P69^INDEX(FlowCalConstB,MATCH(N56,FlowCalNumber,0),1,1)&lt;INDEX(FlowCalHighSetting,MATCH(N56,FlowCalNumber,0),1,1))),INDEX(FlowCalConstA,MATCH(N56,FlowCalNumber,0),1,1)*P69^INDEX(FlowCalConstB,MATCH(N56,FlowCalNumber,0),1,1)," ")</f>
        <v>#N/A</v>
      </c>
      <c r="R69" s="33"/>
      <c r="S69" s="242">
        <f t="shared" si="60"/>
        <v>1</v>
      </c>
      <c r="T69" s="241" t="e">
        <f t="shared" ca="1" si="61"/>
        <v>#VALUE!</v>
      </c>
      <c r="U69" s="244" t="e">
        <f ca="1">IF(AND(INDEX(FlowCalConstA,MATCH(R56,FlowCalNumber,0),1,1)*T69^INDEX(FlowCalConstB,MATCH(R56,FlowCalNumber,0),1,1)&gt;INDEX(FlowCalLowSetting,MATCH(R56,FlowCalNumber,0),1,1), (INDEX(FlowCalConstA,MATCH(R56,FlowCalNumber,0),1,1)*T69^INDEX(FlowCalConstB,MATCH(R56,FlowCalNumber,0),1,1)&lt;INDEX(FlowCalHighSetting,MATCH(R56,FlowCalNumber,0),1,1))),INDEX(FlowCalConstA,MATCH(R56,FlowCalNumber,0),1,1)*T69^INDEX(FlowCalConstB,MATCH(R56,FlowCalNumber,0),1,1)," ")</f>
        <v>#N/A</v>
      </c>
      <c r="V69" s="33"/>
      <c r="W69" s="242">
        <f t="shared" si="62"/>
        <v>0.1</v>
      </c>
      <c r="X69" s="241" t="e">
        <f t="shared" ca="1" si="63"/>
        <v>#VALUE!</v>
      </c>
      <c r="Y69" s="243" t="e">
        <f ca="1">IF(AND(INDEX(FlowCalConstA,MATCH(V56,FlowCalNumber,0),1,1)*X69^INDEX(FlowCalConstB,MATCH(V56,FlowCalNumber,0),1,1)&gt;INDEX(FlowCalLowSetting,MATCH(V56,FlowCalNumber,0),1,1), (INDEX(FlowCalConstA,MATCH(V56,FlowCalNumber,0),1,1)*X69^INDEX(FlowCalConstB,MATCH(V56,FlowCalNumber,0),1,1)&lt;INDEX(FlowCalHighSetting,MATCH(V56,FlowCalNumber,0),1,1))),INDEX(FlowCalConstA,MATCH(V56,FlowCalNumber,0),1,1)*X69^INDEX(FlowCalConstB,MATCH(V56,FlowCalNumber,0),1,1)," ")</f>
        <v>#N/A</v>
      </c>
      <c r="Z69" s="33"/>
      <c r="AA69" s="242">
        <f t="shared" si="64"/>
        <v>0.9</v>
      </c>
      <c r="AB69" s="241" t="e">
        <f t="shared" ca="1" si="65"/>
        <v>#VALUE!</v>
      </c>
      <c r="AC69" s="243" t="e">
        <f ca="1">IF(AND(INDEX(FlowCalConstA,MATCH(Z56,FlowCalNumber,0),1,1)*AB69^INDEX(FlowCalConstB,MATCH(Z56,FlowCalNumber,0),1,1)&gt;INDEX(FlowCalLowSetting,MATCH(Z56,FlowCalNumber,0),1,1), (INDEX(FlowCalConstA,MATCH(Z56,FlowCalNumber,0),1,1)*AB69^INDEX(FlowCalConstB,MATCH(Z56,FlowCalNumber,0),1,1)&lt;INDEX(FlowCalHighSetting,MATCH(Z56,FlowCalNumber,0),1,1))),INDEX(FlowCalConstA,MATCH(Z56,FlowCalNumber,0),1,1)*AB69^INDEX(FlowCalConstB,MATCH(Z56,FlowCalNumber,0),1,1)," ")</f>
        <v>#N/A</v>
      </c>
      <c r="AD69" s="33"/>
      <c r="AE69" s="242">
        <f t="shared" si="66"/>
        <v>0.1</v>
      </c>
      <c r="AF69" s="241" t="e">
        <f t="shared" ca="1" si="67"/>
        <v>#VALUE!</v>
      </c>
      <c r="AG69" s="243" t="e">
        <f ca="1">IF(AND(INDEX(FlowCalConstA,MATCH(AD56,FlowCalNumber,0),1,1)*AF69^INDEX(FlowCalConstB,MATCH(AD56,FlowCalNumber,0),1,1)&gt;INDEX(FlowCalLowSetting,MATCH(AD56,FlowCalNumber,0),1,1), (INDEX(FlowCalConstA,MATCH(AD56,FlowCalNumber,0),1,1)*AF69^INDEX(FlowCalConstB,MATCH(AD56,FlowCalNumber,0),1,1)&lt;INDEX(FlowCalHighSetting,MATCH(AD56,FlowCalNumber,0),1,1))),INDEX(FlowCalConstA,MATCH(AD56,FlowCalNumber,0),1,1)*AF69^INDEX(FlowCalConstB,MATCH(AD56,FlowCalNumber,0),1,1)," ")</f>
        <v>#N/A</v>
      </c>
      <c r="AH69" s="33"/>
      <c r="AI69" s="242">
        <f t="shared" si="68"/>
        <v>0.9</v>
      </c>
      <c r="AJ69" s="241" t="e">
        <f t="shared" ca="1" si="69"/>
        <v>#VALUE!</v>
      </c>
      <c r="AK69" s="243" t="e">
        <f ca="1">IF(AND(INDEX(FlowCalConstA,MATCH(AH56,FlowCalNumber,0),1,1)*AJ69^INDEX(FlowCalConstB,MATCH(AH56,FlowCalNumber,0),1,1)&gt;INDEX(FlowCalLowSetting,MATCH(AH56,FlowCalNumber,0),1,1), (INDEX(FlowCalConstA,MATCH(AH56,FlowCalNumber,0),1,1)*AJ69^INDEX(FlowCalConstB,MATCH(AH56,FlowCalNumber,0),1,1)&lt;INDEX(FlowCalHighSetting,MATCH(AH56,FlowCalNumber,0),1,1))),INDEX(FlowCalConstA,MATCH(AH56,FlowCalNumber,0),1,1)*AJ69^INDEX(FlowCalConstB,MATCH(AH56,FlowCalNumber,0),1,1)," ")</f>
        <v>#N/A</v>
      </c>
      <c r="AL69" s="33"/>
      <c r="AM69" s="242"/>
      <c r="AN69" s="241"/>
      <c r="AO69" s="244"/>
      <c r="AQ69" s="242"/>
      <c r="AR69" s="241"/>
      <c r="AS69" s="244"/>
      <c r="AT69" s="33"/>
      <c r="AU69" s="242"/>
      <c r="AV69" s="241"/>
      <c r="AW69" s="244"/>
      <c r="AX69" s="33"/>
      <c r="AY69" s="242"/>
      <c r="AZ69" s="241"/>
      <c r="BA69" s="244"/>
      <c r="BB69" s="33"/>
      <c r="BC69" s="242"/>
      <c r="BD69" s="241"/>
      <c r="BE69" s="244"/>
      <c r="BF69" s="33"/>
      <c r="BG69" s="242"/>
      <c r="BH69" s="241"/>
      <c r="BI69" s="244"/>
      <c r="BJ69" s="33"/>
      <c r="BK69" s="242"/>
      <c r="BL69" s="241"/>
      <c r="BM69" s="244"/>
      <c r="BN69" s="33"/>
      <c r="BO69" s="242"/>
      <c r="BP69" s="241"/>
      <c r="BQ69" s="244"/>
      <c r="BR69" s="33"/>
      <c r="BS69" s="242"/>
      <c r="BT69" s="241"/>
      <c r="BU69" s="244"/>
      <c r="BV69" s="33"/>
      <c r="BW69" s="242"/>
      <c r="BX69" s="241"/>
      <c r="BY69" s="244"/>
      <c r="BZ69" s="33"/>
      <c r="CA69" s="242"/>
      <c r="CB69" s="241"/>
      <c r="CC69" s="244"/>
      <c r="CD69" s="243"/>
      <c r="CE69" s="243"/>
      <c r="CF69" s="243"/>
      <c r="CG69" s="243"/>
      <c r="CH69" s="243"/>
      <c r="CI69" s="243"/>
      <c r="CJ69" s="243"/>
      <c r="CK69" s="243"/>
      <c r="CL69" s="243"/>
      <c r="CM69" s="243"/>
      <c r="CN69" s="243"/>
      <c r="CO69" s="243"/>
      <c r="CP69" s="243"/>
      <c r="CQ69" s="243"/>
      <c r="CR69" s="243"/>
      <c r="CS69" s="243"/>
      <c r="CT69" s="243"/>
      <c r="CU69" s="243"/>
      <c r="CV69" s="243"/>
      <c r="CW69" s="243"/>
      <c r="CX69" s="243"/>
      <c r="CY69" s="243"/>
      <c r="CZ69" s="243"/>
      <c r="DA69" s="243"/>
      <c r="DB69" s="243"/>
      <c r="DC69" s="243"/>
      <c r="DD69" s="243"/>
      <c r="DE69" s="243"/>
      <c r="DF69" s="243"/>
      <c r="DG69" s="243"/>
      <c r="DH69" s="243"/>
      <c r="DI69" s="243"/>
      <c r="DJ69" s="243"/>
      <c r="DK69" s="243"/>
      <c r="DM69" s="242"/>
      <c r="DO69" s="243"/>
      <c r="DQ69" s="242"/>
      <c r="DS69" s="243"/>
      <c r="DU69" s="242"/>
      <c r="DW69" s="243"/>
      <c r="DY69" s="242"/>
      <c r="EA69" s="243"/>
    </row>
    <row r="70" spans="1:131">
      <c r="A70" s="20"/>
      <c r="B70" s="124" t="str">
        <f t="shared" si="54"/>
        <v/>
      </c>
      <c r="C70" s="235"/>
      <c r="D70" s="24">
        <f>'1% Wind'!$M$95</f>
        <v>1.3</v>
      </c>
      <c r="E70" s="90"/>
      <c r="F70" s="90"/>
      <c r="G70" s="79">
        <f ca="1">IF(I56=0.9743,$G69,MAX(G69/D69*D70,2))</f>
        <v>6.001707317073171</v>
      </c>
      <c r="H70" s="121" t="e">
        <f t="shared" ca="1" si="55"/>
        <v>#VALUE!</v>
      </c>
      <c r="J70" s="33"/>
      <c r="K70" s="242">
        <f t="shared" si="56"/>
        <v>1</v>
      </c>
      <c r="L70" s="241" t="e">
        <f t="shared" ca="1" si="57"/>
        <v>#VALUE!</v>
      </c>
      <c r="M70" s="243" t="e">
        <f ca="1">IF(AND(INDEX(FlowCalConstA,MATCH(J56,FlowCalNumber,0),1,1)*L70^INDEX(FlowCalConstB,MATCH(J56,FlowCalNumber,0),1,1)&gt;INDEX(FlowCalLowSetting,MATCH(J56,FlowCalNumber,0),1,1), (INDEX(FlowCalConstA,MATCH(J56,FlowCalNumber,0),1,1)*L70^INDEX(FlowCalConstB,MATCH(J56,FlowCalNumber,0),1,1)&lt;INDEX(FlowCalHighSetting,MATCH(J56,FlowCalNumber,0),1,1))),INDEX(FlowCalConstA,MATCH(J56,FlowCalNumber,0),1,1)*L70^INDEX(FlowCalConstB,MATCH(J56,FlowCalNumber,0),1,1)," ")</f>
        <v>#N/A</v>
      </c>
      <c r="N70" s="33"/>
      <c r="O70" s="242">
        <f t="shared" si="58"/>
        <v>1</v>
      </c>
      <c r="P70" s="241" t="e">
        <f t="shared" ca="1" si="59"/>
        <v>#VALUE!</v>
      </c>
      <c r="Q70" s="243" t="e">
        <f ca="1">IF(AND(INDEX(FlowCalConstA,MATCH(N56,FlowCalNumber,0),1,1)*P70^INDEX(FlowCalConstB,MATCH(N56,FlowCalNumber,0),1,1)&gt;INDEX(FlowCalLowSetting,MATCH(N56,FlowCalNumber,0),1,1), (INDEX(FlowCalConstA,MATCH(N56,FlowCalNumber,0),1,1)*P70^INDEX(FlowCalConstB,MATCH(N56,FlowCalNumber,0),1,1)&lt;INDEX(FlowCalHighSetting,MATCH(N56,FlowCalNumber,0),1,1))),INDEX(FlowCalConstA,MATCH(N56,FlowCalNumber,0),1,1)*P70^INDEX(FlowCalConstB,MATCH(N56,FlowCalNumber,0),1,1)," ")</f>
        <v>#N/A</v>
      </c>
      <c r="R70" s="33"/>
      <c r="S70" s="242">
        <f t="shared" si="60"/>
        <v>1</v>
      </c>
      <c r="T70" s="241" t="e">
        <f t="shared" ca="1" si="61"/>
        <v>#VALUE!</v>
      </c>
      <c r="U70" s="244" t="e">
        <f ca="1">IF(AND(INDEX(FlowCalConstA,MATCH(R56,FlowCalNumber,0),1,1)*T70^INDEX(FlowCalConstB,MATCH(R56,FlowCalNumber,0),1,1)&gt;INDEX(FlowCalLowSetting,MATCH(R56,FlowCalNumber,0),1,1), (INDEX(FlowCalConstA,MATCH(R56,FlowCalNumber,0),1,1)*T70^INDEX(FlowCalConstB,MATCH(R56,FlowCalNumber,0),1,1)&lt;INDEX(FlowCalHighSetting,MATCH(R56,FlowCalNumber,0),1,1))),INDEX(FlowCalConstA,MATCH(R56,FlowCalNumber,0),1,1)*T70^INDEX(FlowCalConstB,MATCH(R56,FlowCalNumber,0),1,1)," ")</f>
        <v>#N/A</v>
      </c>
      <c r="V70" s="33"/>
      <c r="W70" s="242">
        <f t="shared" si="62"/>
        <v>0.1</v>
      </c>
      <c r="X70" s="241" t="e">
        <f t="shared" ca="1" si="63"/>
        <v>#VALUE!</v>
      </c>
      <c r="Y70" s="243" t="e">
        <f ca="1">IF(AND(INDEX(FlowCalConstA,MATCH(V56,FlowCalNumber,0),1,1)*X70^INDEX(FlowCalConstB,MATCH(V56,FlowCalNumber,0),1,1)&gt;INDEX(FlowCalLowSetting,MATCH(V56,FlowCalNumber,0),1,1), (INDEX(FlowCalConstA,MATCH(V56,FlowCalNumber,0),1,1)*X70^INDEX(FlowCalConstB,MATCH(V56,FlowCalNumber,0),1,1)&lt;INDEX(FlowCalHighSetting,MATCH(V56,FlowCalNumber,0),1,1))),INDEX(FlowCalConstA,MATCH(V56,FlowCalNumber,0),1,1)*X70^INDEX(FlowCalConstB,MATCH(V56,FlowCalNumber,0),1,1)," ")</f>
        <v>#N/A</v>
      </c>
      <c r="Z70" s="33"/>
      <c r="AA70" s="242">
        <f t="shared" si="64"/>
        <v>0.9</v>
      </c>
      <c r="AB70" s="241" t="e">
        <f t="shared" ca="1" si="65"/>
        <v>#VALUE!</v>
      </c>
      <c r="AC70" s="243" t="e">
        <f ca="1">IF(AND(INDEX(FlowCalConstA,MATCH(Z56,FlowCalNumber,0),1,1)*AB70^INDEX(FlowCalConstB,MATCH(Z56,FlowCalNumber,0),1,1)&gt;INDEX(FlowCalLowSetting,MATCH(Z56,FlowCalNumber,0),1,1), (INDEX(FlowCalConstA,MATCH(Z56,FlowCalNumber,0),1,1)*AB70^INDEX(FlowCalConstB,MATCH(Z56,FlowCalNumber,0),1,1)&lt;INDEX(FlowCalHighSetting,MATCH(Z56,FlowCalNumber,0),1,1))),INDEX(FlowCalConstA,MATCH(Z56,FlowCalNumber,0),1,1)*AB70^INDEX(FlowCalConstB,MATCH(Z56,FlowCalNumber,0),1,1)," ")</f>
        <v>#N/A</v>
      </c>
      <c r="AD70" s="33"/>
      <c r="AE70" s="242">
        <f t="shared" si="66"/>
        <v>0.1</v>
      </c>
      <c r="AF70" s="241" t="e">
        <f t="shared" ca="1" si="67"/>
        <v>#VALUE!</v>
      </c>
      <c r="AG70" s="243" t="e">
        <f ca="1">IF(AND(INDEX(FlowCalConstA,MATCH(AD56,FlowCalNumber,0),1,1)*AF70^INDEX(FlowCalConstB,MATCH(AD56,FlowCalNumber,0),1,1)&gt;INDEX(FlowCalLowSetting,MATCH(AD56,FlowCalNumber,0),1,1), (INDEX(FlowCalConstA,MATCH(AD56,FlowCalNumber,0),1,1)*AF70^INDEX(FlowCalConstB,MATCH(AD56,FlowCalNumber,0),1,1)&lt;INDEX(FlowCalHighSetting,MATCH(AD56,FlowCalNumber,0),1,1))),INDEX(FlowCalConstA,MATCH(AD56,FlowCalNumber,0),1,1)*AF70^INDEX(FlowCalConstB,MATCH(AD56,FlowCalNumber,0),1,1)," ")</f>
        <v>#N/A</v>
      </c>
      <c r="AH70" s="33"/>
      <c r="AI70" s="242">
        <f t="shared" si="68"/>
        <v>0.9</v>
      </c>
      <c r="AJ70" s="241" t="e">
        <f t="shared" ca="1" si="69"/>
        <v>#VALUE!</v>
      </c>
      <c r="AK70" s="243" t="e">
        <f ca="1">IF(AND(INDEX(FlowCalConstA,MATCH(AH56,FlowCalNumber,0),1,1)*AJ70^INDEX(FlowCalConstB,MATCH(AH56,FlowCalNumber,0),1,1)&gt;INDEX(FlowCalLowSetting,MATCH(AH56,FlowCalNumber,0),1,1), (INDEX(FlowCalConstA,MATCH(AH56,FlowCalNumber,0),1,1)*AJ70^INDEX(FlowCalConstB,MATCH(AH56,FlowCalNumber,0),1,1)&lt;INDEX(FlowCalHighSetting,MATCH(AH56,FlowCalNumber,0),1,1))),INDEX(FlowCalConstA,MATCH(AH56,FlowCalNumber,0),1,1)*AJ70^INDEX(FlowCalConstB,MATCH(AH56,FlowCalNumber,0),1,1)," ")</f>
        <v>#N/A</v>
      </c>
      <c r="AL70" s="33"/>
      <c r="AM70" s="242"/>
      <c r="AN70" s="241"/>
      <c r="AO70" s="244"/>
      <c r="AQ70" s="242"/>
      <c r="AR70" s="241"/>
      <c r="AS70" s="244"/>
      <c r="AT70" s="33"/>
      <c r="AU70" s="242"/>
      <c r="AV70" s="241"/>
      <c r="AW70" s="244"/>
      <c r="AX70" s="33"/>
      <c r="AY70" s="242"/>
      <c r="AZ70" s="241"/>
      <c r="BA70" s="244"/>
      <c r="BB70" s="33"/>
      <c r="BC70" s="242"/>
      <c r="BD70" s="241"/>
      <c r="BE70" s="244"/>
      <c r="BF70" s="33"/>
      <c r="BG70" s="242"/>
      <c r="BH70" s="241"/>
      <c r="BI70" s="244"/>
      <c r="BJ70" s="33"/>
      <c r="BK70" s="242"/>
      <c r="BL70" s="241"/>
      <c r="BM70" s="244"/>
      <c r="BN70" s="33"/>
      <c r="BO70" s="242"/>
      <c r="BP70" s="241"/>
      <c r="BQ70" s="244"/>
      <c r="BR70" s="33"/>
      <c r="BS70" s="242"/>
      <c r="BT70" s="241"/>
      <c r="BU70" s="244"/>
      <c r="BV70" s="33"/>
      <c r="BW70" s="242"/>
      <c r="BX70" s="241"/>
      <c r="BY70" s="244"/>
      <c r="BZ70" s="33"/>
      <c r="CA70" s="242"/>
      <c r="CB70" s="241"/>
      <c r="CC70" s="244"/>
      <c r="CD70" s="243"/>
      <c r="CE70" s="243"/>
      <c r="CF70" s="243"/>
      <c r="CG70" s="243"/>
      <c r="CH70" s="243"/>
      <c r="CI70" s="243"/>
      <c r="CJ70" s="243"/>
      <c r="CK70" s="243"/>
      <c r="CL70" s="243"/>
      <c r="CM70" s="243"/>
      <c r="CN70" s="243"/>
      <c r="CO70" s="243"/>
      <c r="CP70" s="243"/>
      <c r="CQ70" s="243"/>
      <c r="CR70" s="243"/>
      <c r="CS70" s="243"/>
      <c r="CT70" s="243"/>
      <c r="CU70" s="243"/>
      <c r="CV70" s="243"/>
      <c r="CW70" s="243"/>
      <c r="CX70" s="243"/>
      <c r="CY70" s="243"/>
      <c r="CZ70" s="243"/>
      <c r="DA70" s="243"/>
      <c r="DB70" s="243"/>
      <c r="DC70" s="243"/>
      <c r="DD70" s="243"/>
      <c r="DE70" s="243"/>
      <c r="DF70" s="243"/>
      <c r="DG70" s="243"/>
      <c r="DH70" s="243"/>
      <c r="DI70" s="243"/>
      <c r="DJ70" s="243"/>
      <c r="DK70" s="243"/>
      <c r="DM70" s="242"/>
      <c r="DO70" s="243"/>
      <c r="DQ70" s="242"/>
      <c r="DS70" s="243"/>
      <c r="DU70" s="242"/>
      <c r="DW70" s="243"/>
      <c r="DY70" s="242"/>
      <c r="EA70" s="243"/>
    </row>
    <row r="71" spans="1:131">
      <c r="A71" s="20"/>
      <c r="B71" s="124" t="str">
        <f t="shared" si="54"/>
        <v/>
      </c>
      <c r="C71" s="235"/>
      <c r="D71" s="24">
        <f>'1% Wind'!$M$96</f>
        <v>1</v>
      </c>
      <c r="E71" s="90"/>
      <c r="F71" s="90"/>
      <c r="G71" s="79">
        <f ca="1">IF(I56=0.9743,$G70,MAX(G70/D70*D71,2))</f>
        <v>6.001707317073171</v>
      </c>
      <c r="H71" s="121" t="e">
        <f t="shared" ca="1" si="55"/>
        <v>#VALUE!</v>
      </c>
      <c r="J71" s="33"/>
      <c r="K71" s="242">
        <f t="shared" si="56"/>
        <v>1</v>
      </c>
      <c r="L71" s="241" t="e">
        <f t="shared" ca="1" si="57"/>
        <v>#VALUE!</v>
      </c>
      <c r="M71" s="243" t="e">
        <f ca="1">IF(AND(INDEX(FlowCalConstA,MATCH(J56,FlowCalNumber,0),1,1)*L71^INDEX(FlowCalConstB,MATCH(J56,FlowCalNumber,0),1,1)&gt;INDEX(FlowCalLowSetting,MATCH(J56,FlowCalNumber,0),1,1), (INDEX(FlowCalConstA,MATCH(J56,FlowCalNumber,0),1,1)*L71^INDEX(FlowCalConstB,MATCH(J56,FlowCalNumber,0),1,1)&lt;INDEX(FlowCalHighSetting,MATCH(J56,FlowCalNumber,0),1,1))),INDEX(FlowCalConstA,MATCH(J56,FlowCalNumber,0),1,1)*L71^INDEX(FlowCalConstB,MATCH(J56,FlowCalNumber,0),1,1)," ")</f>
        <v>#N/A</v>
      </c>
      <c r="N71" s="33"/>
      <c r="O71" s="242">
        <f t="shared" si="58"/>
        <v>1</v>
      </c>
      <c r="P71" s="241" t="e">
        <f t="shared" ca="1" si="59"/>
        <v>#VALUE!</v>
      </c>
      <c r="Q71" s="243" t="e">
        <f ca="1">IF(AND(INDEX(FlowCalConstA,MATCH(N56,FlowCalNumber,0),1,1)*P71^INDEX(FlowCalConstB,MATCH(N56,FlowCalNumber,0),1,1)&gt;INDEX(FlowCalLowSetting,MATCH(N56,FlowCalNumber,0),1,1), (INDEX(FlowCalConstA,MATCH(N56,FlowCalNumber,0),1,1)*P71^INDEX(FlowCalConstB,MATCH(N56,FlowCalNumber,0),1,1)&lt;INDEX(FlowCalHighSetting,MATCH(N56,FlowCalNumber,0),1,1))),INDEX(FlowCalConstA,MATCH(N56,FlowCalNumber,0),1,1)*P71^INDEX(FlowCalConstB,MATCH(N56,FlowCalNumber,0),1,1)," ")</f>
        <v>#N/A</v>
      </c>
      <c r="R71" s="33"/>
      <c r="S71" s="242">
        <f t="shared" si="60"/>
        <v>1</v>
      </c>
      <c r="T71" s="241" t="e">
        <f t="shared" ca="1" si="61"/>
        <v>#VALUE!</v>
      </c>
      <c r="U71" s="244" t="e">
        <f ca="1">IF(AND(INDEX(FlowCalConstA,MATCH(R56,FlowCalNumber,0),1,1)*T71^INDEX(FlowCalConstB,MATCH(R56,FlowCalNumber,0),1,1)&gt;INDEX(FlowCalLowSetting,MATCH(R56,FlowCalNumber,0),1,1), (INDEX(FlowCalConstA,MATCH(R56,FlowCalNumber,0),1,1)*T71^INDEX(FlowCalConstB,MATCH(R56,FlowCalNumber,0),1,1)&lt;INDEX(FlowCalHighSetting,MATCH(R56,FlowCalNumber,0),1,1))),INDEX(FlowCalConstA,MATCH(R56,FlowCalNumber,0),1,1)*T71^INDEX(FlowCalConstB,MATCH(R56,FlowCalNumber,0),1,1)," ")</f>
        <v>#N/A</v>
      </c>
      <c r="V71" s="33"/>
      <c r="W71" s="242">
        <f t="shared" si="62"/>
        <v>0.1</v>
      </c>
      <c r="X71" s="241" t="e">
        <f t="shared" ca="1" si="63"/>
        <v>#VALUE!</v>
      </c>
      <c r="Y71" s="243" t="e">
        <f ca="1">IF(AND(INDEX(FlowCalConstA,MATCH(V56,FlowCalNumber,0),1,1)*X71^INDEX(FlowCalConstB,MATCH(V56,FlowCalNumber,0),1,1)&gt;INDEX(FlowCalLowSetting,MATCH(V56,FlowCalNumber,0),1,1), (INDEX(FlowCalConstA,MATCH(V56,FlowCalNumber,0),1,1)*X71^INDEX(FlowCalConstB,MATCH(V56,FlowCalNumber,0),1,1)&lt;INDEX(FlowCalHighSetting,MATCH(V56,FlowCalNumber,0),1,1))),INDEX(FlowCalConstA,MATCH(V56,FlowCalNumber,0),1,1)*X71^INDEX(FlowCalConstB,MATCH(V56,FlowCalNumber,0),1,1)," ")</f>
        <v>#N/A</v>
      </c>
      <c r="Z71" s="33"/>
      <c r="AA71" s="242">
        <f t="shared" si="64"/>
        <v>0.9</v>
      </c>
      <c r="AB71" s="241" t="e">
        <f t="shared" ca="1" si="65"/>
        <v>#VALUE!</v>
      </c>
      <c r="AC71" s="243" t="e">
        <f ca="1">IF(AND(INDEX(FlowCalConstA,MATCH(Z56,FlowCalNumber,0),1,1)*AB71^INDEX(FlowCalConstB,MATCH(Z56,FlowCalNumber,0),1,1)&gt;INDEX(FlowCalLowSetting,MATCH(Z56,FlowCalNumber,0),1,1), (INDEX(FlowCalConstA,MATCH(Z56,FlowCalNumber,0),1,1)*AB71^INDEX(FlowCalConstB,MATCH(Z56,FlowCalNumber,0),1,1)&lt;INDEX(FlowCalHighSetting,MATCH(Z56,FlowCalNumber,0),1,1))),INDEX(FlowCalConstA,MATCH(Z56,FlowCalNumber,0),1,1)*AB71^INDEX(FlowCalConstB,MATCH(Z56,FlowCalNumber,0),1,1)," ")</f>
        <v>#N/A</v>
      </c>
      <c r="AD71" s="33"/>
      <c r="AE71" s="242">
        <f t="shared" si="66"/>
        <v>0.1</v>
      </c>
      <c r="AF71" s="241" t="e">
        <f t="shared" ca="1" si="67"/>
        <v>#VALUE!</v>
      </c>
      <c r="AG71" s="243" t="e">
        <f ca="1">IF(AND(INDEX(FlowCalConstA,MATCH(AD56,FlowCalNumber,0),1,1)*AF71^INDEX(FlowCalConstB,MATCH(AD56,FlowCalNumber,0),1,1)&gt;INDEX(FlowCalLowSetting,MATCH(AD56,FlowCalNumber,0),1,1), (INDEX(FlowCalConstA,MATCH(AD56,FlowCalNumber,0),1,1)*AF71^INDEX(FlowCalConstB,MATCH(AD56,FlowCalNumber,0),1,1)&lt;INDEX(FlowCalHighSetting,MATCH(AD56,FlowCalNumber,0),1,1))),INDEX(FlowCalConstA,MATCH(AD56,FlowCalNumber,0),1,1)*AF71^INDEX(FlowCalConstB,MATCH(AD56,FlowCalNumber,0),1,1)," ")</f>
        <v>#N/A</v>
      </c>
      <c r="AH71" s="33"/>
      <c r="AI71" s="242">
        <f t="shared" si="68"/>
        <v>0.9</v>
      </c>
      <c r="AJ71" s="241" t="e">
        <f t="shared" ca="1" si="69"/>
        <v>#VALUE!</v>
      </c>
      <c r="AK71" s="243" t="e">
        <f ca="1">IF(AND(INDEX(FlowCalConstA,MATCH(AH56,FlowCalNumber,0),1,1)*AJ71^INDEX(FlowCalConstB,MATCH(AH56,FlowCalNumber,0),1,1)&gt;INDEX(FlowCalLowSetting,MATCH(AH56,FlowCalNumber,0),1,1), (INDEX(FlowCalConstA,MATCH(AH56,FlowCalNumber,0),1,1)*AJ71^INDEX(FlowCalConstB,MATCH(AH56,FlowCalNumber,0),1,1)&lt;INDEX(FlowCalHighSetting,MATCH(AH56,FlowCalNumber,0),1,1))),INDEX(FlowCalConstA,MATCH(AH56,FlowCalNumber,0),1,1)*AJ71^INDEX(FlowCalConstB,MATCH(AH56,FlowCalNumber,0),1,1)," ")</f>
        <v>#N/A</v>
      </c>
      <c r="AL71" s="33"/>
      <c r="AM71" s="242"/>
      <c r="AN71" s="241"/>
      <c r="AO71" s="244"/>
      <c r="AQ71" s="242"/>
      <c r="AR71" s="241"/>
      <c r="AS71" s="244"/>
      <c r="AT71" s="33"/>
      <c r="AU71" s="242"/>
      <c r="AV71" s="241"/>
      <c r="AW71" s="244"/>
      <c r="AX71" s="33"/>
      <c r="AY71" s="242"/>
      <c r="AZ71" s="241"/>
      <c r="BA71" s="244"/>
      <c r="BB71" s="33"/>
      <c r="BC71" s="242"/>
      <c r="BD71" s="241"/>
      <c r="BE71" s="244"/>
      <c r="BF71" s="33"/>
      <c r="BG71" s="242"/>
      <c r="BH71" s="241"/>
      <c r="BI71" s="244"/>
      <c r="BJ71" s="33"/>
      <c r="BK71" s="242"/>
      <c r="BL71" s="241"/>
      <c r="BM71" s="244"/>
      <c r="BN71" s="33"/>
      <c r="BO71" s="242"/>
      <c r="BP71" s="241"/>
      <c r="BQ71" s="244"/>
      <c r="BR71" s="33"/>
      <c r="BS71" s="242"/>
      <c r="BT71" s="241"/>
      <c r="BU71" s="244"/>
      <c r="BV71" s="33"/>
      <c r="BW71" s="242"/>
      <c r="BX71" s="241"/>
      <c r="BY71" s="244"/>
      <c r="BZ71" s="33"/>
      <c r="CA71" s="242"/>
      <c r="CB71" s="241"/>
      <c r="CC71" s="244"/>
      <c r="CD71" s="243"/>
      <c r="CE71" s="243"/>
      <c r="CF71" s="243"/>
      <c r="CG71" s="243"/>
      <c r="CH71" s="243"/>
      <c r="CI71" s="243"/>
      <c r="CJ71" s="243"/>
      <c r="CK71" s="243"/>
      <c r="CL71" s="243"/>
      <c r="CM71" s="243"/>
      <c r="CN71" s="243"/>
      <c r="CO71" s="243"/>
      <c r="CP71" s="243"/>
      <c r="CQ71" s="243"/>
      <c r="CR71" s="243"/>
      <c r="CS71" s="243"/>
      <c r="CT71" s="243"/>
      <c r="CU71" s="243"/>
      <c r="CV71" s="243"/>
      <c r="CW71" s="243"/>
      <c r="CX71" s="243"/>
      <c r="CY71" s="243"/>
      <c r="CZ71" s="243"/>
      <c r="DA71" s="243"/>
      <c r="DB71" s="243"/>
      <c r="DC71" s="243"/>
      <c r="DD71" s="243"/>
      <c r="DE71" s="243"/>
      <c r="DF71" s="243"/>
      <c r="DG71" s="243"/>
      <c r="DH71" s="243"/>
      <c r="DI71" s="243"/>
      <c r="DJ71" s="243"/>
      <c r="DK71" s="243"/>
      <c r="DM71" s="242"/>
      <c r="DO71" s="243"/>
      <c r="DQ71" s="242"/>
      <c r="DS71" s="243"/>
      <c r="DU71" s="242"/>
      <c r="DW71" s="243"/>
      <c r="DY71" s="242"/>
      <c r="EA71" s="243"/>
    </row>
    <row r="72" spans="1:131">
      <c r="A72" s="33"/>
      <c r="B72" s="33"/>
      <c r="C72" s="235"/>
      <c r="E72" s="90"/>
      <c r="F72" s="90"/>
      <c r="G72" s="33"/>
      <c r="J72" s="33"/>
      <c r="N72" s="33"/>
      <c r="Q72" s="243"/>
      <c r="R72" s="33"/>
      <c r="U72" s="244"/>
      <c r="V72" s="33"/>
      <c r="Y72" s="243"/>
      <c r="Z72" s="33"/>
      <c r="AC72" s="243"/>
      <c r="AD72" s="33"/>
      <c r="AG72" s="243"/>
      <c r="AH72" s="33"/>
      <c r="AK72" s="244"/>
      <c r="AL72" s="792"/>
      <c r="AM72" s="243"/>
      <c r="AN72" s="243"/>
      <c r="AO72" s="244"/>
      <c r="AP72" s="243"/>
      <c r="AQ72" s="243"/>
      <c r="AR72" s="243"/>
      <c r="AS72" s="244"/>
      <c r="AT72" s="243"/>
      <c r="AU72" s="243"/>
      <c r="AV72" s="243"/>
      <c r="AW72" s="244"/>
      <c r="AX72" s="243"/>
      <c r="AY72" s="243"/>
      <c r="AZ72" s="243"/>
      <c r="BA72" s="244"/>
      <c r="BB72" s="33"/>
      <c r="BE72" s="244"/>
      <c r="BF72" s="33"/>
      <c r="BI72" s="244"/>
      <c r="BJ72" s="33"/>
      <c r="BM72" s="244"/>
      <c r="BN72" s="243"/>
      <c r="BO72" s="243"/>
      <c r="BP72" s="243"/>
      <c r="BQ72" s="244"/>
      <c r="BR72" s="792"/>
      <c r="BS72" s="243"/>
      <c r="BT72" s="243"/>
      <c r="BU72" s="244"/>
      <c r="BV72" s="792"/>
      <c r="BW72" s="243"/>
      <c r="BX72" s="243"/>
      <c r="BY72" s="244"/>
      <c r="BZ72" s="792"/>
      <c r="CA72" s="243"/>
      <c r="CB72" s="243"/>
      <c r="CC72" s="244"/>
      <c r="CD72" s="243"/>
      <c r="CE72" s="243"/>
      <c r="CF72" s="243"/>
      <c r="CG72" s="243"/>
      <c r="CH72" s="243"/>
      <c r="CI72" s="243"/>
      <c r="CJ72" s="243"/>
      <c r="CK72" s="243"/>
      <c r="CL72" s="243"/>
      <c r="CM72" s="243"/>
      <c r="CN72" s="243"/>
      <c r="CO72" s="243"/>
      <c r="CP72" s="243"/>
      <c r="CQ72" s="243"/>
      <c r="CR72" s="243"/>
      <c r="CS72" s="243"/>
      <c r="CT72" s="243"/>
      <c r="CU72" s="243"/>
      <c r="CV72" s="243"/>
      <c r="CW72" s="243"/>
      <c r="CX72" s="243"/>
      <c r="CY72" s="243"/>
      <c r="CZ72" s="243"/>
      <c r="DA72" s="243"/>
      <c r="DB72" s="243"/>
      <c r="DC72" s="243"/>
      <c r="DD72" s="243"/>
      <c r="DE72" s="243"/>
      <c r="DF72" s="243"/>
      <c r="DG72" s="243"/>
      <c r="DH72" s="243"/>
      <c r="DI72" s="243"/>
      <c r="DJ72" s="243"/>
      <c r="DK72" s="243"/>
      <c r="DO72" s="243"/>
      <c r="DS72" s="243"/>
      <c r="DW72" s="243"/>
      <c r="EA72" s="243"/>
    </row>
    <row r="73" spans="1:131">
      <c r="A73" s="256" t="str">
        <f>IF((RIGHT(A56,1))&lt;&gt;"Z",CHAR(CODE(A56))&amp;CHAR(CODE(RIGHT(A56,1))+1),CHAR(CODE(A56)+1)&amp;"A")</f>
        <v>AD</v>
      </c>
      <c r="B73" s="270" t="str">
        <f>INDEX(SourceID,MATCH($A73,SourceNumber,0),1,1)</f>
        <v>EF-4</v>
      </c>
      <c r="C73" s="354">
        <f>INDEX(SourceExitDiameter,MATCH($A73,SourceNumber,0),1,1)*3.28*12</f>
        <v>38</v>
      </c>
      <c r="D73" s="24" t="str">
        <f>UAnem1percent</f>
        <v>1% Wind</v>
      </c>
      <c r="E73" s="350" t="e">
        <f ca="1">INDIRECT(ADDRESS(53,6,1,,CONCATENATE("TA",$A73)))</f>
        <v>#REF!</v>
      </c>
      <c r="F73" s="625" t="e">
        <f ca="1">(ROUND((INDIRECT(ADDRESS(15,7,1,,CONCATENATE("TA",$A73)))*3.28*12*32),0)&amp;"/32")</f>
        <v>#REF!</v>
      </c>
      <c r="G73" s="125">
        <f ca="1">INDIRECT(ADDRESS(29,7,1,,$A73))</f>
        <v>6.001707317073171</v>
      </c>
      <c r="H73" s="24" t="e">
        <f ca="1">INDIRECT(ADDRESS(19,7,1,,$A73))*100^3</f>
        <v>#VALUE!</v>
      </c>
      <c r="I73" s="941">
        <f ca="1">INDIRECT(ADDRESS(53,7,1,,$A73))</f>
        <v>0.97430000000000005</v>
      </c>
      <c r="J73" s="20" t="str">
        <f ca="1">IF($I73=$I$6,K$16&amp;$G$6&amp;J$6,IF($I73=$I$7,K$16&amp;$G$7&amp;J$7,"Bad"))</f>
        <v>100EthPick a Tunnel</v>
      </c>
      <c r="K73" t="e">
        <f ca="1">INDEX(FlowCalGasMixture,MATCH(J73,FlowCalNumber,0),1,1)</f>
        <v>#N/A</v>
      </c>
      <c r="M73" s="944" t="e">
        <f ca="1">INDEX(FlowCalDevice,MATCH(J73,FlowCalNumber,0),1,1)</f>
        <v>#N/A</v>
      </c>
      <c r="N73" s="943" t="str">
        <f ca="1">IF($I73=$I$6,O$16&amp;$G$6&amp;"90"&amp;$H$6&amp;N$6,IF($I73=$I$7,O$16&amp;$G$7&amp;"90"&amp;$H$7&amp;N$7,"Bad"))</f>
        <v>10Eth90N2Pick a Tunnel</v>
      </c>
      <c r="O73" t="e">
        <f ca="1">INDEX(FlowCalGasMixture,MATCH(N73,FlowCalNumber,0),1,1)</f>
        <v>#N/A</v>
      </c>
      <c r="Q73" s="944" t="e">
        <f ca="1">INDEX(FlowCalDevice,MATCH(N73,FlowCalNumber,0),1,1)</f>
        <v>#N/A</v>
      </c>
      <c r="R73" s="943" t="str">
        <f ca="1">IF($I73=$I$6,S$16&amp;$G$6&amp;"90"&amp;$H$6&amp;R$6,IF($I73=$I$7,S$16&amp;$G$7&amp;"90"&amp;$H$7&amp;R$7,"Bad"))</f>
        <v>10Eth90N2Pick a Tunnel</v>
      </c>
      <c r="S73" t="e">
        <f ca="1">INDEX(FlowCalGasMixture,MATCH(R73,FlowCalNumber,0),1,1)</f>
        <v>#N/A</v>
      </c>
      <c r="U73" s="944" t="e">
        <f ca="1">INDEX(FlowCalDevice,MATCH(R73,FlowCalNumber,0),1,1)</f>
        <v>#N/A</v>
      </c>
      <c r="V73" s="20" t="str">
        <f ca="1">IF($I73=$I$6,W$16&amp;$G$6&amp;V$6,IF($I73=$I$7,W$16&amp;$G$7&amp;V$7,"Bad"))</f>
        <v>100EthPick a Tunnel</v>
      </c>
      <c r="W73" t="e">
        <f ca="1">INDEX(FlowCalGasMixture,MATCH(V73,FlowCalNumber,0),1,1)</f>
        <v>#N/A</v>
      </c>
      <c r="Y73" s="944" t="e">
        <f ca="1">INDEX(FlowCalDevice,MATCH(V73,FlowCalNumber,0),1,1)</f>
        <v>#N/A</v>
      </c>
      <c r="Z73" s="946" t="str">
        <f ca="1">IF($I73=$I$6,AA$18&amp;$H$6&amp;Z$6,IF($I73=$I$7,AA$18&amp;$H$7&amp;Z$7,"Bad"))</f>
        <v>100N2Pick a Tunnel</v>
      </c>
      <c r="AA73" t="e">
        <f ca="1">INDEX(FlowCalGasMixture,MATCH(Z73,FlowCalNumber,0),1,1)</f>
        <v>#N/A</v>
      </c>
      <c r="AC73" s="944" t="e">
        <f ca="1">INDEX(FlowCalDevice,MATCH(Z73,FlowCalNumber,0),1,1)</f>
        <v>#N/A</v>
      </c>
      <c r="AD73" s="20" t="str">
        <f ca="1">IF($I73=$I$6,AE$16&amp;$G$6&amp;AD$6,IF($I73=$I$7,AE$16&amp;$G$7&amp;AD$7,"Bad"))</f>
        <v>100EthPick a Tunnel</v>
      </c>
      <c r="AE73" t="e">
        <f ca="1">INDEX(FlowCalGasMixture,MATCH(AD73,FlowCalNumber,0),1,1)</f>
        <v>#N/A</v>
      </c>
      <c r="AG73" s="944" t="e">
        <f ca="1">INDEX(FlowCalDevice,MATCH(AD73,FlowCalNumber,0),1,1)</f>
        <v>#N/A</v>
      </c>
      <c r="AH73" s="946" t="str">
        <f ca="1">IF($I73=$I$6,AI$18&amp;$H$6&amp;AH$6,IF($I73=$I$7,AI$18&amp;$H$7&amp;AH$7,"Bad"))</f>
        <v>100N2Pick a Tunnel</v>
      </c>
      <c r="AI73" t="e">
        <f ca="1">INDEX(FlowCalGasMixture,MATCH(AH73,FlowCalNumber,0),1,1)</f>
        <v>#N/A</v>
      </c>
      <c r="AK73" s="944" t="e">
        <f ca="1">INDEX(FlowCalDevice,MATCH(AH73,FlowCalNumber,0),1,1)</f>
        <v>#N/A</v>
      </c>
      <c r="AL73" s="20"/>
      <c r="AO73" s="982"/>
      <c r="AP73" s="960"/>
      <c r="AS73" s="982"/>
      <c r="AT73" s="20"/>
      <c r="AW73" s="982"/>
      <c r="AX73" s="946"/>
      <c r="BA73" s="982"/>
      <c r="BB73" s="20"/>
      <c r="BC73" s="16"/>
      <c r="BE73" s="982"/>
      <c r="BF73" s="946"/>
      <c r="BG73" s="16"/>
      <c r="BI73" s="982"/>
      <c r="BJ73" s="946"/>
      <c r="BK73" s="16"/>
      <c r="BM73" s="982"/>
      <c r="BN73" s="20"/>
      <c r="BO73" s="16"/>
      <c r="BQ73" s="982"/>
      <c r="BR73" s="946"/>
      <c r="BS73" s="16"/>
      <c r="BU73" s="982"/>
      <c r="BV73" s="946"/>
      <c r="BW73" s="16"/>
      <c r="BY73" s="982"/>
      <c r="BZ73" s="946"/>
      <c r="CA73" s="16"/>
      <c r="CC73" s="982"/>
      <c r="CD73" s="355"/>
      <c r="CE73" s="355"/>
      <c r="CF73" s="355"/>
      <c r="CG73" s="355"/>
      <c r="CH73" s="355"/>
      <c r="CI73" s="355"/>
      <c r="CJ73" s="355"/>
      <c r="CK73" s="355"/>
      <c r="CL73" s="355"/>
      <c r="CM73" s="355"/>
      <c r="CN73" s="355"/>
      <c r="CO73" s="355"/>
      <c r="CP73" s="355"/>
      <c r="CQ73" s="355"/>
      <c r="CR73" s="355"/>
      <c r="CS73" s="355"/>
      <c r="CT73" s="355"/>
      <c r="CU73" s="355"/>
      <c r="CV73" s="355"/>
      <c r="CW73" s="355"/>
      <c r="CX73" s="355"/>
      <c r="CY73" s="355"/>
      <c r="CZ73" s="355"/>
      <c r="DA73" s="355"/>
      <c r="DB73" s="355"/>
      <c r="DC73" s="355"/>
      <c r="DD73" s="355"/>
      <c r="DE73" s="355"/>
      <c r="DF73" s="355"/>
      <c r="DG73" s="355"/>
      <c r="DH73" s="355"/>
      <c r="DI73" s="355"/>
      <c r="DJ73" s="355"/>
      <c r="DK73" s="355"/>
      <c r="DL73" s="46"/>
      <c r="DM73" s="16"/>
      <c r="DO73" s="355"/>
      <c r="DP73" s="42"/>
      <c r="DQ73" s="16"/>
      <c r="DS73" s="355"/>
      <c r="DT73" s="42"/>
      <c r="DU73" s="16"/>
      <c r="DW73" s="355"/>
      <c r="DX73" s="42"/>
      <c r="DY73" s="16"/>
      <c r="EA73" s="355"/>
    </row>
    <row r="74" spans="1:131">
      <c r="A74" s="20"/>
      <c r="B74" s="124" t="str">
        <f t="shared" ref="B74:B88" si="70">IF(D74=UAnem1percent,"1% Wind","")</f>
        <v/>
      </c>
      <c r="C74" s="235"/>
      <c r="D74" s="24">
        <f>'1% Wind'!$M$82</f>
        <v>27</v>
      </c>
      <c r="E74" s="90"/>
      <c r="F74" s="90"/>
      <c r="G74" s="79">
        <f ca="1">IF(I73=0.9743,$G73,MAX(G73/D73*D74,2))</f>
        <v>6.001707317073171</v>
      </c>
      <c r="H74" s="121" t="e">
        <f t="shared" ref="H74:H88" ca="1" si="71">H73*(D73/D74)*(G74/G73)</f>
        <v>#VALUE!</v>
      </c>
      <c r="J74" s="33"/>
      <c r="K74" s="260">
        <f>K$17/100</f>
        <v>1</v>
      </c>
      <c r="L74" s="241" t="e">
        <f ca="1">K74*$H74</f>
        <v>#VALUE!</v>
      </c>
      <c r="M74" s="243" t="e">
        <f ca="1">IF(AND(INDEX(FlowCalConstA,MATCH(J73,FlowCalNumber,0),1,1)*L74^INDEX(FlowCalConstB,MATCH(J73,FlowCalNumber,0),1,1)&gt;INDEX(FlowCalLowSetting,MATCH(J73,FlowCalNumber,0),1,1), (INDEX(FlowCalConstA,MATCH(J73,FlowCalNumber,0),1,1)*L74^INDEX(FlowCalConstB,MATCH(J73,FlowCalNumber,0),1,1)&lt;INDEX(FlowCalHighSetting,MATCH(J73,FlowCalNumber,0),1,1))),INDEX(FlowCalConstA,MATCH(J73,FlowCalNumber,0),1,1)*L74^INDEX(FlowCalConstB,MATCH(J73,FlowCalNumber,0),1,1)," ")</f>
        <v>#N/A</v>
      </c>
      <c r="N74" s="33"/>
      <c r="O74" s="260">
        <f>O$17/100</f>
        <v>1</v>
      </c>
      <c r="P74" s="241" t="e">
        <f ca="1">O74*$H74</f>
        <v>#VALUE!</v>
      </c>
      <c r="Q74" s="243" t="e">
        <f ca="1">IF(AND(INDEX(FlowCalConstA,MATCH(N73,FlowCalNumber,0),1,1)*P74^INDEX(FlowCalConstB,MATCH(N73,FlowCalNumber,0),1,1)&gt;INDEX(FlowCalLowSetting,MATCH(N73,FlowCalNumber,0),1,1), (INDEX(FlowCalConstA,MATCH(N73,FlowCalNumber,0),1,1)*P74^INDEX(FlowCalConstB,MATCH(N73,FlowCalNumber,0),1,1)&lt;INDEX(FlowCalHighSetting,MATCH(N73,FlowCalNumber,0),1,1))),INDEX(FlowCalConstA,MATCH(N73,FlowCalNumber,0),1,1)*P74^INDEX(FlowCalConstB,MATCH(N73,FlowCalNumber,0),1,1)," ")</f>
        <v>#N/A</v>
      </c>
      <c r="R74" s="33"/>
      <c r="S74" s="260">
        <f>S$17/100</f>
        <v>1</v>
      </c>
      <c r="T74" s="241" t="e">
        <f ca="1">S74*$H74</f>
        <v>#VALUE!</v>
      </c>
      <c r="U74" s="244" t="e">
        <f ca="1">IF(AND(INDEX(FlowCalConstA,MATCH(R73,FlowCalNumber,0),1,1)*T74^INDEX(FlowCalConstB,MATCH(R73,FlowCalNumber,0),1,1)&gt;INDEX(FlowCalLowSetting,MATCH(R73,FlowCalNumber,0),1,1), (INDEX(FlowCalConstA,MATCH(R73,FlowCalNumber,0),1,1)*T74^INDEX(FlowCalConstB,MATCH(R73,FlowCalNumber,0),1,1)&lt;INDEX(FlowCalHighSetting,MATCH(R73,FlowCalNumber,0),1,1))),INDEX(FlowCalConstA,MATCH(R73,FlowCalNumber,0),1,1)*T74^INDEX(FlowCalConstB,MATCH(R73,FlowCalNumber,0),1,1)," ")</f>
        <v>#N/A</v>
      </c>
      <c r="V74" s="33"/>
      <c r="W74" s="260">
        <f>W$17/100</f>
        <v>0.1</v>
      </c>
      <c r="X74" s="241" t="e">
        <f ca="1">W74*$H74</f>
        <v>#VALUE!</v>
      </c>
      <c r="Y74" s="243" t="e">
        <f ca="1">IF(AND(INDEX(FlowCalConstA,MATCH(V73,FlowCalNumber,0),1,1)*X74^INDEX(FlowCalConstB,MATCH(V73,FlowCalNumber,0),1,1)&gt;INDEX(FlowCalLowSetting,MATCH(V73,FlowCalNumber,0),1,1), (INDEX(FlowCalConstA,MATCH(V73,FlowCalNumber,0),1,1)*X74^INDEX(FlowCalConstB,MATCH(V73,FlowCalNumber,0),1,1)&lt;INDEX(FlowCalHighSetting,MATCH(V73,FlowCalNumber,0),1,1))),INDEX(FlowCalConstA,MATCH(V73,FlowCalNumber,0),1,1)*X74^INDEX(FlowCalConstB,MATCH(V73,FlowCalNumber,0),1,1)," ")</f>
        <v>#N/A</v>
      </c>
      <c r="Z74" s="33"/>
      <c r="AA74" s="260">
        <f>AA$17/100</f>
        <v>0.9</v>
      </c>
      <c r="AB74" s="241" t="e">
        <f ca="1">AA74*$H74</f>
        <v>#VALUE!</v>
      </c>
      <c r="AC74" s="243" t="e">
        <f ca="1">IF(AND(INDEX(FlowCalConstA,MATCH(Z73,FlowCalNumber,0),1,1)*AB74^INDEX(FlowCalConstB,MATCH(Z73,FlowCalNumber,0),1,1)&gt;INDEX(FlowCalLowSetting,MATCH(Z73,FlowCalNumber,0),1,1), (INDEX(FlowCalConstA,MATCH(Z73,FlowCalNumber,0),1,1)*AB74^INDEX(FlowCalConstB,MATCH(Z73,FlowCalNumber,0),1,1)&lt;INDEX(FlowCalHighSetting,MATCH(Z73,FlowCalNumber,0),1,1))),INDEX(FlowCalConstA,MATCH(Z73,FlowCalNumber,0),1,1)*AB74^INDEX(FlowCalConstB,MATCH(Z73,FlowCalNumber,0),1,1)," ")</f>
        <v>#N/A</v>
      </c>
      <c r="AD74" s="33"/>
      <c r="AE74" s="260">
        <f>AE$17/100</f>
        <v>0.1</v>
      </c>
      <c r="AF74" s="241" t="e">
        <f ca="1">AE74*$H74</f>
        <v>#VALUE!</v>
      </c>
      <c r="AG74" s="243" t="e">
        <f ca="1">IF(AND(INDEX(FlowCalConstA,MATCH(AD73,FlowCalNumber,0),1,1)*AF74^INDEX(FlowCalConstB,MATCH(AD73,FlowCalNumber,0),1,1)&gt;INDEX(FlowCalLowSetting,MATCH(AD73,FlowCalNumber,0),1,1), (INDEX(FlowCalConstA,MATCH(AD73,FlowCalNumber,0),1,1)*AF74^INDEX(FlowCalConstB,MATCH(AD73,FlowCalNumber,0),1,1)&lt;INDEX(FlowCalHighSetting,MATCH(AD73,FlowCalNumber,0),1,1))),INDEX(FlowCalConstA,MATCH(AD73,FlowCalNumber,0),1,1)*AF74^INDEX(FlowCalConstB,MATCH(AD73,FlowCalNumber,0),1,1)," ")</f>
        <v>#N/A</v>
      </c>
      <c r="AH74" s="33"/>
      <c r="AI74" s="260">
        <f>AI$17/100</f>
        <v>0.9</v>
      </c>
      <c r="AJ74" s="241" t="e">
        <f ca="1">AI74*$H74</f>
        <v>#VALUE!</v>
      </c>
      <c r="AK74" s="243" t="e">
        <f ca="1">IF(AND(INDEX(FlowCalConstA,MATCH(AH73,FlowCalNumber,0),1,1)*AJ74^INDEX(FlowCalConstB,MATCH(AH73,FlowCalNumber,0),1,1)&gt;INDEX(FlowCalLowSetting,MATCH(AH73,FlowCalNumber,0),1,1), (INDEX(FlowCalConstA,MATCH(AH73,FlowCalNumber,0),1,1)*AJ74^INDEX(FlowCalConstB,MATCH(AH73,FlowCalNumber,0),1,1)&lt;INDEX(FlowCalHighSetting,MATCH(AH73,FlowCalNumber,0),1,1))),INDEX(FlowCalConstA,MATCH(AH73,FlowCalNumber,0),1,1)*AJ74^INDEX(FlowCalConstB,MATCH(AH73,FlowCalNumber,0),1,1)," ")</f>
        <v>#N/A</v>
      </c>
      <c r="AL74" s="33"/>
      <c r="AM74" s="260"/>
      <c r="AN74" s="241"/>
      <c r="AO74" s="244"/>
      <c r="AQ74" s="260"/>
      <c r="AR74" s="241"/>
      <c r="AS74" s="244"/>
      <c r="AT74" s="33"/>
      <c r="AU74" s="260"/>
      <c r="AV74" s="241"/>
      <c r="AW74" s="244"/>
      <c r="AX74" s="33"/>
      <c r="AY74" s="260"/>
      <c r="AZ74" s="241"/>
      <c r="BA74" s="244"/>
      <c r="BB74" s="33"/>
      <c r="BC74" s="260"/>
      <c r="BD74" s="241"/>
      <c r="BE74" s="244"/>
      <c r="BF74" s="33"/>
      <c r="BG74" s="260"/>
      <c r="BH74" s="241"/>
      <c r="BI74" s="244"/>
      <c r="BJ74" s="33"/>
      <c r="BK74" s="260"/>
      <c r="BL74" s="241"/>
      <c r="BM74" s="244"/>
      <c r="BN74" s="33"/>
      <c r="BO74" s="260"/>
      <c r="BP74" s="241"/>
      <c r="BQ74" s="244"/>
      <c r="BR74" s="33"/>
      <c r="BS74" s="260"/>
      <c r="BT74" s="241"/>
      <c r="BU74" s="244"/>
      <c r="BV74" s="33"/>
      <c r="BW74" s="260"/>
      <c r="BX74" s="241"/>
      <c r="BY74" s="244"/>
      <c r="BZ74" s="33"/>
      <c r="CA74" s="260"/>
      <c r="CB74" s="241"/>
      <c r="CC74" s="244"/>
      <c r="CD74" s="243"/>
      <c r="CE74" s="243"/>
      <c r="CF74" s="243"/>
      <c r="CG74" s="243"/>
      <c r="CH74" s="243"/>
      <c r="CI74" s="243"/>
      <c r="CJ74" s="243"/>
      <c r="CK74" s="243"/>
      <c r="CL74" s="243"/>
      <c r="CM74" s="243"/>
      <c r="CN74" s="243"/>
      <c r="CO74" s="243"/>
      <c r="CP74" s="243"/>
      <c r="CQ74" s="243"/>
      <c r="CR74" s="243"/>
      <c r="CS74" s="243"/>
      <c r="CT74" s="243"/>
      <c r="CU74" s="243"/>
      <c r="CV74" s="243"/>
      <c r="CW74" s="243"/>
      <c r="CX74" s="243"/>
      <c r="CY74" s="243"/>
      <c r="CZ74" s="243"/>
      <c r="DA74" s="243"/>
      <c r="DB74" s="243"/>
      <c r="DC74" s="243"/>
      <c r="DD74" s="243"/>
      <c r="DE74" s="243"/>
      <c r="DF74" s="243"/>
      <c r="DG74" s="243"/>
      <c r="DH74" s="243"/>
      <c r="DI74" s="243"/>
      <c r="DJ74" s="243"/>
      <c r="DK74" s="243"/>
      <c r="DM74" s="259"/>
      <c r="DO74" s="243"/>
      <c r="DQ74" s="259"/>
      <c r="DS74" s="243"/>
      <c r="DU74" s="259"/>
      <c r="DW74" s="243"/>
      <c r="DY74" s="260"/>
      <c r="EA74" s="243"/>
    </row>
    <row r="75" spans="1:131">
      <c r="A75" s="20"/>
      <c r="B75" s="124" t="str">
        <f t="shared" si="70"/>
        <v/>
      </c>
      <c r="C75" s="235"/>
      <c r="D75" s="24">
        <f>'1% Wind'!$M$83</f>
        <v>23.5</v>
      </c>
      <c r="E75" s="90"/>
      <c r="F75" s="90"/>
      <c r="G75" s="79">
        <f ca="1">IF(I73=0.9743,$G74,MAX(G74/D74*D75,2))</f>
        <v>6.001707317073171</v>
      </c>
      <c r="H75" s="121" t="e">
        <f t="shared" ca="1" si="71"/>
        <v>#VALUE!</v>
      </c>
      <c r="J75" s="33"/>
      <c r="K75" s="242">
        <f t="shared" ref="K75:K88" si="72">K74</f>
        <v>1</v>
      </c>
      <c r="L75" s="241" t="e">
        <f t="shared" ref="L75:L88" ca="1" si="73">K75*$H75</f>
        <v>#VALUE!</v>
      </c>
      <c r="M75" s="243" t="e">
        <f ca="1">IF(AND(INDEX(FlowCalConstA,MATCH(J73,FlowCalNumber,0),1,1)*L75^INDEX(FlowCalConstB,MATCH(J73,FlowCalNumber,0),1,1)&gt;INDEX(FlowCalLowSetting,MATCH(J73,FlowCalNumber,0),1,1), (INDEX(FlowCalConstA,MATCH(J73,FlowCalNumber,0),1,1)*L75^INDEX(FlowCalConstB,MATCH(J73,FlowCalNumber,0),1,1)&lt;INDEX(FlowCalHighSetting,MATCH(J73,FlowCalNumber,0),1,1))),INDEX(FlowCalConstA,MATCH(J73,FlowCalNumber,0),1,1)*L75^INDEX(FlowCalConstB,MATCH(J73,FlowCalNumber,0),1,1)," ")</f>
        <v>#N/A</v>
      </c>
      <c r="N75" s="33"/>
      <c r="O75" s="242">
        <f t="shared" ref="O75:O88" si="74">O74</f>
        <v>1</v>
      </c>
      <c r="P75" s="241" t="e">
        <f t="shared" ref="P75:P88" ca="1" si="75">O75*$H75</f>
        <v>#VALUE!</v>
      </c>
      <c r="Q75" s="243" t="e">
        <f ca="1">IF(AND(INDEX(FlowCalConstA,MATCH(N73,FlowCalNumber,0),1,1)*P75^INDEX(FlowCalConstB,MATCH(N73,FlowCalNumber,0),1,1)&gt;INDEX(FlowCalLowSetting,MATCH(N73,FlowCalNumber,0),1,1), (INDEX(FlowCalConstA,MATCH(N73,FlowCalNumber,0),1,1)*P75^INDEX(FlowCalConstB,MATCH(N73,FlowCalNumber,0),1,1)&lt;INDEX(FlowCalHighSetting,MATCH(N73,FlowCalNumber,0),1,1))),INDEX(FlowCalConstA,MATCH(N73,FlowCalNumber,0),1,1)*P75^INDEX(FlowCalConstB,MATCH(N73,FlowCalNumber,0),1,1)," ")</f>
        <v>#N/A</v>
      </c>
      <c r="R75" s="33"/>
      <c r="S75" s="242">
        <f t="shared" ref="S75:S88" si="76">S74</f>
        <v>1</v>
      </c>
      <c r="T75" s="241" t="e">
        <f t="shared" ref="T75:T88" ca="1" si="77">S75*$H75</f>
        <v>#VALUE!</v>
      </c>
      <c r="U75" s="244" t="e">
        <f ca="1">IF(AND(INDEX(FlowCalConstA,MATCH(R73,FlowCalNumber,0),1,1)*T75^INDEX(FlowCalConstB,MATCH(R73,FlowCalNumber,0),1,1)&gt;INDEX(FlowCalLowSetting,MATCH(R73,FlowCalNumber,0),1,1), (INDEX(FlowCalConstA,MATCH(R73,FlowCalNumber,0),1,1)*T75^INDEX(FlowCalConstB,MATCH(R73,FlowCalNumber,0),1,1)&lt;INDEX(FlowCalHighSetting,MATCH(R73,FlowCalNumber,0),1,1))),INDEX(FlowCalConstA,MATCH(R73,FlowCalNumber,0),1,1)*T75^INDEX(FlowCalConstB,MATCH(R73,FlowCalNumber,0),1,1)," ")</f>
        <v>#N/A</v>
      </c>
      <c r="V75" s="33"/>
      <c r="W75" s="242">
        <f t="shared" ref="W75:W88" si="78">W74</f>
        <v>0.1</v>
      </c>
      <c r="X75" s="241" t="e">
        <f t="shared" ref="X75:X88" ca="1" si="79">W75*$H75</f>
        <v>#VALUE!</v>
      </c>
      <c r="Y75" s="243" t="e">
        <f ca="1">IF(AND(INDEX(FlowCalConstA,MATCH(V73,FlowCalNumber,0),1,1)*X75^INDEX(FlowCalConstB,MATCH(V73,FlowCalNumber,0),1,1)&gt;INDEX(FlowCalLowSetting,MATCH(V73,FlowCalNumber,0),1,1), (INDEX(FlowCalConstA,MATCH(V73,FlowCalNumber,0),1,1)*X75^INDEX(FlowCalConstB,MATCH(V73,FlowCalNumber,0),1,1)&lt;INDEX(FlowCalHighSetting,MATCH(V73,FlowCalNumber,0),1,1))),INDEX(FlowCalConstA,MATCH(V73,FlowCalNumber,0),1,1)*X75^INDEX(FlowCalConstB,MATCH(V73,FlowCalNumber,0),1,1)," ")</f>
        <v>#N/A</v>
      </c>
      <c r="Z75" s="33"/>
      <c r="AA75" s="242">
        <f t="shared" ref="AA75:AA88" si="80">AA74</f>
        <v>0.9</v>
      </c>
      <c r="AB75" s="241" t="e">
        <f t="shared" ref="AB75:AB88" ca="1" si="81">AA75*$H75</f>
        <v>#VALUE!</v>
      </c>
      <c r="AC75" s="243" t="e">
        <f ca="1">IF(AND(INDEX(FlowCalConstA,MATCH(Z73,FlowCalNumber,0),1,1)*AB75^INDEX(FlowCalConstB,MATCH(Z73,FlowCalNumber,0),1,1)&gt;INDEX(FlowCalLowSetting,MATCH(Z73,FlowCalNumber,0),1,1), (INDEX(FlowCalConstA,MATCH(Z73,FlowCalNumber,0),1,1)*AB75^INDEX(FlowCalConstB,MATCH(Z73,FlowCalNumber,0),1,1)&lt;INDEX(FlowCalHighSetting,MATCH(Z73,FlowCalNumber,0),1,1))),INDEX(FlowCalConstA,MATCH(Z73,FlowCalNumber,0),1,1)*AB75^INDEX(FlowCalConstB,MATCH(Z73,FlowCalNumber,0),1,1)," ")</f>
        <v>#N/A</v>
      </c>
      <c r="AD75" s="33"/>
      <c r="AE75" s="242">
        <f t="shared" ref="AE75:AE88" si="82">AE74</f>
        <v>0.1</v>
      </c>
      <c r="AF75" s="241" t="e">
        <f t="shared" ref="AF75:AF88" ca="1" si="83">AE75*$H75</f>
        <v>#VALUE!</v>
      </c>
      <c r="AG75" s="243" t="e">
        <f ca="1">IF(AND(INDEX(FlowCalConstA,MATCH(AD73,FlowCalNumber,0),1,1)*AF75^INDEX(FlowCalConstB,MATCH(AD73,FlowCalNumber,0),1,1)&gt;INDEX(FlowCalLowSetting,MATCH(AD73,FlowCalNumber,0),1,1), (INDEX(FlowCalConstA,MATCH(AD73,FlowCalNumber,0),1,1)*AF75^INDEX(FlowCalConstB,MATCH(AD73,FlowCalNumber,0),1,1)&lt;INDEX(FlowCalHighSetting,MATCH(AD73,FlowCalNumber,0),1,1))),INDEX(FlowCalConstA,MATCH(AD73,FlowCalNumber,0),1,1)*AF75^INDEX(FlowCalConstB,MATCH(AD73,FlowCalNumber,0),1,1)," ")</f>
        <v>#N/A</v>
      </c>
      <c r="AH75" s="33"/>
      <c r="AI75" s="242">
        <f t="shared" ref="AI75:AI88" si="84">AI74</f>
        <v>0.9</v>
      </c>
      <c r="AJ75" s="241" t="e">
        <f t="shared" ref="AJ75:AJ88" ca="1" si="85">AI75*$H75</f>
        <v>#VALUE!</v>
      </c>
      <c r="AK75" s="243" t="e">
        <f ca="1">IF(AND(INDEX(FlowCalConstA,MATCH(AH73,FlowCalNumber,0),1,1)*AJ75^INDEX(FlowCalConstB,MATCH(AH73,FlowCalNumber,0),1,1)&gt;INDEX(FlowCalLowSetting,MATCH(AH73,FlowCalNumber,0),1,1), (INDEX(FlowCalConstA,MATCH(AH73,FlowCalNumber,0),1,1)*AJ75^INDEX(FlowCalConstB,MATCH(AH73,FlowCalNumber,0),1,1)&lt;INDEX(FlowCalHighSetting,MATCH(AH73,FlowCalNumber,0),1,1))),INDEX(FlowCalConstA,MATCH(AH73,FlowCalNumber,0),1,1)*AJ75^INDEX(FlowCalConstB,MATCH(AH73,FlowCalNumber,0),1,1)," ")</f>
        <v>#N/A</v>
      </c>
      <c r="AL75" s="33"/>
      <c r="AM75" s="242"/>
      <c r="AN75" s="241"/>
      <c r="AO75" s="244"/>
      <c r="AQ75" s="242"/>
      <c r="AR75" s="241"/>
      <c r="AS75" s="244"/>
      <c r="AT75" s="33"/>
      <c r="AU75" s="242"/>
      <c r="AV75" s="241"/>
      <c r="AW75" s="244"/>
      <c r="AX75" s="33"/>
      <c r="AY75" s="242"/>
      <c r="AZ75" s="241"/>
      <c r="BA75" s="244"/>
      <c r="BB75" s="33"/>
      <c r="BC75" s="242"/>
      <c r="BD75" s="241"/>
      <c r="BE75" s="244"/>
      <c r="BF75" s="33"/>
      <c r="BG75" s="242"/>
      <c r="BH75" s="241"/>
      <c r="BI75" s="244"/>
      <c r="BJ75" s="33"/>
      <c r="BK75" s="242"/>
      <c r="BL75" s="241"/>
      <c r="BM75" s="244"/>
      <c r="BN75" s="33"/>
      <c r="BO75" s="242"/>
      <c r="BP75" s="241"/>
      <c r="BQ75" s="244"/>
      <c r="BR75" s="33"/>
      <c r="BS75" s="242"/>
      <c r="BT75" s="241"/>
      <c r="BU75" s="244"/>
      <c r="BV75" s="33"/>
      <c r="BW75" s="242"/>
      <c r="BX75" s="241"/>
      <c r="BY75" s="244"/>
      <c r="BZ75" s="33"/>
      <c r="CA75" s="242"/>
      <c r="CB75" s="241"/>
      <c r="CC75" s="244"/>
      <c r="CD75" s="243"/>
      <c r="CE75" s="243"/>
      <c r="CF75" s="243"/>
      <c r="CG75" s="243"/>
      <c r="CH75" s="243"/>
      <c r="CI75" s="243"/>
      <c r="CJ75" s="243"/>
      <c r="CK75" s="243"/>
      <c r="CL75" s="243"/>
      <c r="CM75" s="243"/>
      <c r="CN75" s="243"/>
      <c r="CO75" s="243"/>
      <c r="CP75" s="243"/>
      <c r="CQ75" s="243"/>
      <c r="CR75" s="243"/>
      <c r="CS75" s="243"/>
      <c r="CT75" s="243"/>
      <c r="CU75" s="243"/>
      <c r="CV75" s="243"/>
      <c r="CW75" s="243"/>
      <c r="CX75" s="243"/>
      <c r="CY75" s="243"/>
      <c r="CZ75" s="243"/>
      <c r="DA75" s="243"/>
      <c r="DB75" s="243"/>
      <c r="DC75" s="243"/>
      <c r="DD75" s="243"/>
      <c r="DE75" s="243"/>
      <c r="DF75" s="243"/>
      <c r="DG75" s="243"/>
      <c r="DH75" s="243"/>
      <c r="DI75" s="243"/>
      <c r="DJ75" s="243"/>
      <c r="DK75" s="243"/>
      <c r="DM75" s="242"/>
      <c r="DO75" s="243"/>
      <c r="DQ75" s="242"/>
      <c r="DS75" s="243"/>
      <c r="DU75" s="242"/>
      <c r="DW75" s="243"/>
      <c r="DY75" s="242"/>
      <c r="EA75" s="243"/>
    </row>
    <row r="76" spans="1:131">
      <c r="A76" s="20"/>
      <c r="B76" s="124" t="str">
        <f t="shared" si="70"/>
        <v/>
      </c>
      <c r="C76" s="235"/>
      <c r="D76" s="24">
        <f>'1% Wind'!$M$84</f>
        <v>20.5</v>
      </c>
      <c r="E76" s="90"/>
      <c r="F76" s="90"/>
      <c r="G76" s="79">
        <f ca="1">IF(I73=0.9743,$G75,MAX(G75/D75*D76,2))</f>
        <v>6.001707317073171</v>
      </c>
      <c r="H76" s="121" t="e">
        <f t="shared" ca="1" si="71"/>
        <v>#VALUE!</v>
      </c>
      <c r="J76" s="33"/>
      <c r="K76" s="242">
        <f t="shared" si="72"/>
        <v>1</v>
      </c>
      <c r="L76" s="241" t="e">
        <f t="shared" ca="1" si="73"/>
        <v>#VALUE!</v>
      </c>
      <c r="M76" s="243" t="e">
        <f ca="1">IF(AND(INDEX(FlowCalConstA,MATCH(J73,FlowCalNumber,0),1,1)*L76^INDEX(FlowCalConstB,MATCH(J73,FlowCalNumber,0),1,1)&gt;INDEX(FlowCalLowSetting,MATCH(J73,FlowCalNumber,0),1,1), (INDEX(FlowCalConstA,MATCH(J73,FlowCalNumber,0),1,1)*L76^INDEX(FlowCalConstB,MATCH(J73,FlowCalNumber,0),1,1)&lt;INDEX(FlowCalHighSetting,MATCH(J73,FlowCalNumber,0),1,1))),INDEX(FlowCalConstA,MATCH(J73,FlowCalNumber,0),1,1)*L76^INDEX(FlowCalConstB,MATCH(J73,FlowCalNumber,0),1,1)," ")</f>
        <v>#N/A</v>
      </c>
      <c r="N76" s="33"/>
      <c r="O76" s="242">
        <f t="shared" si="74"/>
        <v>1</v>
      </c>
      <c r="P76" s="241" t="e">
        <f t="shared" ca="1" si="75"/>
        <v>#VALUE!</v>
      </c>
      <c r="Q76" s="243" t="e">
        <f ca="1">IF(AND(INDEX(FlowCalConstA,MATCH(N73,FlowCalNumber,0),1,1)*P76^INDEX(FlowCalConstB,MATCH(N73,FlowCalNumber,0),1,1)&gt;INDEX(FlowCalLowSetting,MATCH(N73,FlowCalNumber,0),1,1), (INDEX(FlowCalConstA,MATCH(N73,FlowCalNumber,0),1,1)*P76^INDEX(FlowCalConstB,MATCH(N73,FlowCalNumber,0),1,1)&lt;INDEX(FlowCalHighSetting,MATCH(N73,FlowCalNumber,0),1,1))),INDEX(FlowCalConstA,MATCH(N73,FlowCalNumber,0),1,1)*P76^INDEX(FlowCalConstB,MATCH(N73,FlowCalNumber,0),1,1)," ")</f>
        <v>#N/A</v>
      </c>
      <c r="R76" s="33"/>
      <c r="S76" s="242">
        <f t="shared" si="76"/>
        <v>1</v>
      </c>
      <c r="T76" s="241" t="e">
        <f t="shared" ca="1" si="77"/>
        <v>#VALUE!</v>
      </c>
      <c r="U76" s="244" t="e">
        <f ca="1">IF(AND(INDEX(FlowCalConstA,MATCH(R73,FlowCalNumber,0),1,1)*T76^INDEX(FlowCalConstB,MATCH(R73,FlowCalNumber,0),1,1)&gt;INDEX(FlowCalLowSetting,MATCH(R73,FlowCalNumber,0),1,1), (INDEX(FlowCalConstA,MATCH(R73,FlowCalNumber,0),1,1)*T76^INDEX(FlowCalConstB,MATCH(R73,FlowCalNumber,0),1,1)&lt;INDEX(FlowCalHighSetting,MATCH(R73,FlowCalNumber,0),1,1))),INDEX(FlowCalConstA,MATCH(R73,FlowCalNumber,0),1,1)*T76^INDEX(FlowCalConstB,MATCH(R73,FlowCalNumber,0),1,1)," ")</f>
        <v>#N/A</v>
      </c>
      <c r="V76" s="33"/>
      <c r="W76" s="242">
        <f t="shared" si="78"/>
        <v>0.1</v>
      </c>
      <c r="X76" s="241" t="e">
        <f t="shared" ca="1" si="79"/>
        <v>#VALUE!</v>
      </c>
      <c r="Y76" s="243" t="e">
        <f ca="1">IF(AND(INDEX(FlowCalConstA,MATCH(V73,FlowCalNumber,0),1,1)*X76^INDEX(FlowCalConstB,MATCH(V73,FlowCalNumber,0),1,1)&gt;INDEX(FlowCalLowSetting,MATCH(V73,FlowCalNumber,0),1,1), (INDEX(FlowCalConstA,MATCH(V73,FlowCalNumber,0),1,1)*X76^INDEX(FlowCalConstB,MATCH(V73,FlowCalNumber,0),1,1)&lt;INDEX(FlowCalHighSetting,MATCH(V73,FlowCalNumber,0),1,1))),INDEX(FlowCalConstA,MATCH(V73,FlowCalNumber,0),1,1)*X76^INDEX(FlowCalConstB,MATCH(V73,FlowCalNumber,0),1,1)," ")</f>
        <v>#N/A</v>
      </c>
      <c r="Z76" s="33"/>
      <c r="AA76" s="242">
        <f t="shared" si="80"/>
        <v>0.9</v>
      </c>
      <c r="AB76" s="241" t="e">
        <f t="shared" ca="1" si="81"/>
        <v>#VALUE!</v>
      </c>
      <c r="AC76" s="243" t="e">
        <f ca="1">IF(AND(INDEX(FlowCalConstA,MATCH(Z73,FlowCalNumber,0),1,1)*AB76^INDEX(FlowCalConstB,MATCH(Z73,FlowCalNumber,0),1,1)&gt;INDEX(FlowCalLowSetting,MATCH(Z73,FlowCalNumber,0),1,1), (INDEX(FlowCalConstA,MATCH(Z73,FlowCalNumber,0),1,1)*AB76^INDEX(FlowCalConstB,MATCH(Z73,FlowCalNumber,0),1,1)&lt;INDEX(FlowCalHighSetting,MATCH(Z73,FlowCalNumber,0),1,1))),INDEX(FlowCalConstA,MATCH(Z73,FlowCalNumber,0),1,1)*AB76^INDEX(FlowCalConstB,MATCH(Z73,FlowCalNumber,0),1,1)," ")</f>
        <v>#N/A</v>
      </c>
      <c r="AD76" s="33"/>
      <c r="AE76" s="242">
        <f t="shared" si="82"/>
        <v>0.1</v>
      </c>
      <c r="AF76" s="241" t="e">
        <f t="shared" ca="1" si="83"/>
        <v>#VALUE!</v>
      </c>
      <c r="AG76" s="243" t="e">
        <f ca="1">IF(AND(INDEX(FlowCalConstA,MATCH(AD73,FlowCalNumber,0),1,1)*AF76^INDEX(FlowCalConstB,MATCH(AD73,FlowCalNumber,0),1,1)&gt;INDEX(FlowCalLowSetting,MATCH(AD73,FlowCalNumber,0),1,1), (INDEX(FlowCalConstA,MATCH(AD73,FlowCalNumber,0),1,1)*AF76^INDEX(FlowCalConstB,MATCH(AD73,FlowCalNumber,0),1,1)&lt;INDEX(FlowCalHighSetting,MATCH(AD73,FlowCalNumber,0),1,1))),INDEX(FlowCalConstA,MATCH(AD73,FlowCalNumber,0),1,1)*AF76^INDEX(FlowCalConstB,MATCH(AD73,FlowCalNumber,0),1,1)," ")</f>
        <v>#N/A</v>
      </c>
      <c r="AH76" s="33"/>
      <c r="AI76" s="242">
        <f t="shared" si="84"/>
        <v>0.9</v>
      </c>
      <c r="AJ76" s="241" t="e">
        <f t="shared" ca="1" si="85"/>
        <v>#VALUE!</v>
      </c>
      <c r="AK76" s="243" t="e">
        <f ca="1">IF(AND(INDEX(FlowCalConstA,MATCH(AH73,FlowCalNumber,0),1,1)*AJ76^INDEX(FlowCalConstB,MATCH(AH73,FlowCalNumber,0),1,1)&gt;INDEX(FlowCalLowSetting,MATCH(AH73,FlowCalNumber,0),1,1), (INDEX(FlowCalConstA,MATCH(AH73,FlowCalNumber,0),1,1)*AJ76^INDEX(FlowCalConstB,MATCH(AH73,FlowCalNumber,0),1,1)&lt;INDEX(FlowCalHighSetting,MATCH(AH73,FlowCalNumber,0),1,1))),INDEX(FlowCalConstA,MATCH(AH73,FlowCalNumber,0),1,1)*AJ76^INDEX(FlowCalConstB,MATCH(AH73,FlowCalNumber,0),1,1)," ")</f>
        <v>#N/A</v>
      </c>
      <c r="AL76" s="33"/>
      <c r="AM76" s="242"/>
      <c r="AN76" s="241"/>
      <c r="AO76" s="244"/>
      <c r="AQ76" s="242"/>
      <c r="AR76" s="241"/>
      <c r="AS76" s="244"/>
      <c r="AT76" s="33"/>
      <c r="AU76" s="242"/>
      <c r="AV76" s="241"/>
      <c r="AW76" s="244"/>
      <c r="AX76" s="33"/>
      <c r="AY76" s="242"/>
      <c r="AZ76" s="241"/>
      <c r="BA76" s="244"/>
      <c r="BB76" s="33"/>
      <c r="BC76" s="242"/>
      <c r="BD76" s="241"/>
      <c r="BE76" s="244"/>
      <c r="BF76" s="33"/>
      <c r="BG76" s="242"/>
      <c r="BH76" s="241"/>
      <c r="BI76" s="244"/>
      <c r="BJ76" s="33"/>
      <c r="BK76" s="242"/>
      <c r="BL76" s="241"/>
      <c r="BM76" s="244"/>
      <c r="BN76" s="33"/>
      <c r="BO76" s="242"/>
      <c r="BP76" s="241"/>
      <c r="BQ76" s="244"/>
      <c r="BR76" s="33"/>
      <c r="BS76" s="242"/>
      <c r="BT76" s="241"/>
      <c r="BU76" s="244"/>
      <c r="BV76" s="33"/>
      <c r="BW76" s="242"/>
      <c r="BX76" s="241"/>
      <c r="BY76" s="244"/>
      <c r="BZ76" s="33"/>
      <c r="CA76" s="242"/>
      <c r="CB76" s="241"/>
      <c r="CC76" s="244"/>
      <c r="CD76" s="243"/>
      <c r="CE76" s="243"/>
      <c r="CF76" s="243"/>
      <c r="CG76" s="243"/>
      <c r="CH76" s="243"/>
      <c r="CI76" s="243"/>
      <c r="CJ76" s="243"/>
      <c r="CK76" s="243"/>
      <c r="CL76" s="243"/>
      <c r="CM76" s="243"/>
      <c r="CN76" s="243"/>
      <c r="CO76" s="243"/>
      <c r="CP76" s="243"/>
      <c r="CQ76" s="243"/>
      <c r="CR76" s="243"/>
      <c r="CS76" s="243"/>
      <c r="CT76" s="243"/>
      <c r="CU76" s="243"/>
      <c r="CV76" s="243"/>
      <c r="CW76" s="243"/>
      <c r="CX76" s="243"/>
      <c r="CY76" s="243"/>
      <c r="CZ76" s="243"/>
      <c r="DA76" s="243"/>
      <c r="DB76" s="243"/>
      <c r="DC76" s="243"/>
      <c r="DD76" s="243"/>
      <c r="DE76" s="243"/>
      <c r="DF76" s="243"/>
      <c r="DG76" s="243"/>
      <c r="DH76" s="243"/>
      <c r="DI76" s="243"/>
      <c r="DJ76" s="243"/>
      <c r="DK76" s="243"/>
      <c r="DM76" s="242"/>
      <c r="DO76" s="243"/>
      <c r="DQ76" s="242"/>
      <c r="DS76" s="243"/>
      <c r="DU76" s="242"/>
      <c r="DW76" s="243"/>
      <c r="DY76" s="242"/>
      <c r="EA76" s="243"/>
    </row>
    <row r="77" spans="1:131">
      <c r="A77" s="20"/>
      <c r="B77" s="124" t="str">
        <f t="shared" si="70"/>
        <v/>
      </c>
      <c r="C77" s="235"/>
      <c r="D77" s="24">
        <f>'1% Wind'!$M$85</f>
        <v>17.8</v>
      </c>
      <c r="E77" s="90"/>
      <c r="F77" s="90"/>
      <c r="G77" s="79">
        <f ca="1">IF(I73=0.9743,$G76,MAX(G76/D76*D77,2))</f>
        <v>6.001707317073171</v>
      </c>
      <c r="H77" s="121" t="e">
        <f t="shared" ca="1" si="71"/>
        <v>#VALUE!</v>
      </c>
      <c r="J77" s="33"/>
      <c r="K77" s="242">
        <f t="shared" si="72"/>
        <v>1</v>
      </c>
      <c r="L77" s="241" t="e">
        <f t="shared" ca="1" si="73"/>
        <v>#VALUE!</v>
      </c>
      <c r="M77" s="243" t="e">
        <f ca="1">IF(AND(INDEX(FlowCalConstA,MATCH(J73,FlowCalNumber,0),1,1)*L77^INDEX(FlowCalConstB,MATCH(J73,FlowCalNumber,0),1,1)&gt;INDEX(FlowCalLowSetting,MATCH(J73,FlowCalNumber,0),1,1), (INDEX(FlowCalConstA,MATCH(J73,FlowCalNumber,0),1,1)*L77^INDEX(FlowCalConstB,MATCH(J73,FlowCalNumber,0),1,1)&lt;INDEX(FlowCalHighSetting,MATCH(J73,FlowCalNumber,0),1,1))),INDEX(FlowCalConstA,MATCH(J73,FlowCalNumber,0),1,1)*L77^INDEX(FlowCalConstB,MATCH(J73,FlowCalNumber,0),1,1)," ")</f>
        <v>#N/A</v>
      </c>
      <c r="N77" s="33"/>
      <c r="O77" s="242">
        <f t="shared" si="74"/>
        <v>1</v>
      </c>
      <c r="P77" s="241" t="e">
        <f t="shared" ca="1" si="75"/>
        <v>#VALUE!</v>
      </c>
      <c r="Q77" s="243" t="e">
        <f ca="1">IF(AND(INDEX(FlowCalConstA,MATCH(N73,FlowCalNumber,0),1,1)*P77^INDEX(FlowCalConstB,MATCH(N73,FlowCalNumber,0),1,1)&gt;INDEX(FlowCalLowSetting,MATCH(N73,FlowCalNumber,0),1,1), (INDEX(FlowCalConstA,MATCH(N73,FlowCalNumber,0),1,1)*P77^INDEX(FlowCalConstB,MATCH(N73,FlowCalNumber,0),1,1)&lt;INDEX(FlowCalHighSetting,MATCH(N73,FlowCalNumber,0),1,1))),INDEX(FlowCalConstA,MATCH(N73,FlowCalNumber,0),1,1)*P77^INDEX(FlowCalConstB,MATCH(N73,FlowCalNumber,0),1,1)," ")</f>
        <v>#N/A</v>
      </c>
      <c r="R77" s="33"/>
      <c r="S77" s="242">
        <f t="shared" si="76"/>
        <v>1</v>
      </c>
      <c r="T77" s="241" t="e">
        <f t="shared" ca="1" si="77"/>
        <v>#VALUE!</v>
      </c>
      <c r="U77" s="244" t="e">
        <f ca="1">IF(AND(INDEX(FlowCalConstA,MATCH(R73,FlowCalNumber,0),1,1)*T77^INDEX(FlowCalConstB,MATCH(R73,FlowCalNumber,0),1,1)&gt;INDEX(FlowCalLowSetting,MATCH(R73,FlowCalNumber,0),1,1), (INDEX(FlowCalConstA,MATCH(R73,FlowCalNumber,0),1,1)*T77^INDEX(FlowCalConstB,MATCH(R73,FlowCalNumber,0),1,1)&lt;INDEX(FlowCalHighSetting,MATCH(R73,FlowCalNumber,0),1,1))),INDEX(FlowCalConstA,MATCH(R73,FlowCalNumber,0),1,1)*T77^INDEX(FlowCalConstB,MATCH(R73,FlowCalNumber,0),1,1)," ")</f>
        <v>#N/A</v>
      </c>
      <c r="V77" s="33"/>
      <c r="W77" s="242">
        <f t="shared" si="78"/>
        <v>0.1</v>
      </c>
      <c r="X77" s="241" t="e">
        <f t="shared" ca="1" si="79"/>
        <v>#VALUE!</v>
      </c>
      <c r="Y77" s="243" t="e">
        <f ca="1">IF(AND(INDEX(FlowCalConstA,MATCH(V73,FlowCalNumber,0),1,1)*X77^INDEX(FlowCalConstB,MATCH(V73,FlowCalNumber,0),1,1)&gt;INDEX(FlowCalLowSetting,MATCH(V73,FlowCalNumber,0),1,1), (INDEX(FlowCalConstA,MATCH(V73,FlowCalNumber,0),1,1)*X77^INDEX(FlowCalConstB,MATCH(V73,FlowCalNumber,0),1,1)&lt;INDEX(FlowCalHighSetting,MATCH(V73,FlowCalNumber,0),1,1))),INDEX(FlowCalConstA,MATCH(V73,FlowCalNumber,0),1,1)*X77^INDEX(FlowCalConstB,MATCH(V73,FlowCalNumber,0),1,1)," ")</f>
        <v>#N/A</v>
      </c>
      <c r="Z77" s="33"/>
      <c r="AA77" s="242">
        <f t="shared" si="80"/>
        <v>0.9</v>
      </c>
      <c r="AB77" s="241" t="e">
        <f t="shared" ca="1" si="81"/>
        <v>#VALUE!</v>
      </c>
      <c r="AC77" s="243" t="e">
        <f ca="1">IF(AND(INDEX(FlowCalConstA,MATCH(Z73,FlowCalNumber,0),1,1)*AB77^INDEX(FlowCalConstB,MATCH(Z73,FlowCalNumber,0),1,1)&gt;INDEX(FlowCalLowSetting,MATCH(Z73,FlowCalNumber,0),1,1), (INDEX(FlowCalConstA,MATCH(Z73,FlowCalNumber,0),1,1)*AB77^INDEX(FlowCalConstB,MATCH(Z73,FlowCalNumber,0),1,1)&lt;INDEX(FlowCalHighSetting,MATCH(Z73,FlowCalNumber,0),1,1))),INDEX(FlowCalConstA,MATCH(Z73,FlowCalNumber,0),1,1)*AB77^INDEX(FlowCalConstB,MATCH(Z73,FlowCalNumber,0),1,1)," ")</f>
        <v>#N/A</v>
      </c>
      <c r="AD77" s="33"/>
      <c r="AE77" s="242">
        <f t="shared" si="82"/>
        <v>0.1</v>
      </c>
      <c r="AF77" s="241" t="e">
        <f t="shared" ca="1" si="83"/>
        <v>#VALUE!</v>
      </c>
      <c r="AG77" s="243" t="e">
        <f ca="1">IF(AND(INDEX(FlowCalConstA,MATCH(AD73,FlowCalNumber,0),1,1)*AF77^INDEX(FlowCalConstB,MATCH(AD73,FlowCalNumber,0),1,1)&gt;INDEX(FlowCalLowSetting,MATCH(AD73,FlowCalNumber,0),1,1), (INDEX(FlowCalConstA,MATCH(AD73,FlowCalNumber,0),1,1)*AF77^INDEX(FlowCalConstB,MATCH(AD73,FlowCalNumber,0),1,1)&lt;INDEX(FlowCalHighSetting,MATCH(AD73,FlowCalNumber,0),1,1))),INDEX(FlowCalConstA,MATCH(AD73,FlowCalNumber,0),1,1)*AF77^INDEX(FlowCalConstB,MATCH(AD73,FlowCalNumber,0),1,1)," ")</f>
        <v>#N/A</v>
      </c>
      <c r="AH77" s="33"/>
      <c r="AI77" s="242">
        <f t="shared" si="84"/>
        <v>0.9</v>
      </c>
      <c r="AJ77" s="241" t="e">
        <f t="shared" ca="1" si="85"/>
        <v>#VALUE!</v>
      </c>
      <c r="AK77" s="243" t="e">
        <f ca="1">IF(AND(INDEX(FlowCalConstA,MATCH(AH73,FlowCalNumber,0),1,1)*AJ77^INDEX(FlowCalConstB,MATCH(AH73,FlowCalNumber,0),1,1)&gt;INDEX(FlowCalLowSetting,MATCH(AH73,FlowCalNumber,0),1,1), (INDEX(FlowCalConstA,MATCH(AH73,FlowCalNumber,0),1,1)*AJ77^INDEX(FlowCalConstB,MATCH(AH73,FlowCalNumber,0),1,1)&lt;INDEX(FlowCalHighSetting,MATCH(AH73,FlowCalNumber,0),1,1))),INDEX(FlowCalConstA,MATCH(AH73,FlowCalNumber,0),1,1)*AJ77^INDEX(FlowCalConstB,MATCH(AH73,FlowCalNumber,0),1,1)," ")</f>
        <v>#N/A</v>
      </c>
      <c r="AL77" s="33"/>
      <c r="AM77" s="242"/>
      <c r="AN77" s="241"/>
      <c r="AO77" s="244"/>
      <c r="AQ77" s="242"/>
      <c r="AR77" s="241"/>
      <c r="AS77" s="244"/>
      <c r="AT77" s="33"/>
      <c r="AU77" s="242"/>
      <c r="AV77" s="241"/>
      <c r="AW77" s="244"/>
      <c r="AX77" s="33"/>
      <c r="AY77" s="242"/>
      <c r="AZ77" s="241"/>
      <c r="BA77" s="244"/>
      <c r="BB77" s="33"/>
      <c r="BC77" s="242"/>
      <c r="BD77" s="241"/>
      <c r="BE77" s="244"/>
      <c r="BF77" s="33"/>
      <c r="BG77" s="242"/>
      <c r="BH77" s="241"/>
      <c r="BI77" s="244"/>
      <c r="BJ77" s="33"/>
      <c r="BK77" s="242"/>
      <c r="BL77" s="241"/>
      <c r="BM77" s="244"/>
      <c r="BN77" s="33"/>
      <c r="BO77" s="242"/>
      <c r="BP77" s="241"/>
      <c r="BQ77" s="244"/>
      <c r="BR77" s="33"/>
      <c r="BS77" s="242"/>
      <c r="BT77" s="241"/>
      <c r="BU77" s="244"/>
      <c r="BV77" s="33"/>
      <c r="BW77" s="242"/>
      <c r="BX77" s="241"/>
      <c r="BY77" s="244"/>
      <c r="BZ77" s="33"/>
      <c r="CA77" s="242"/>
      <c r="CB77" s="241"/>
      <c r="CC77" s="244"/>
      <c r="CD77" s="243"/>
      <c r="CE77" s="243"/>
      <c r="CF77" s="243"/>
      <c r="CG77" s="243"/>
      <c r="CH77" s="243"/>
      <c r="CI77" s="243"/>
      <c r="CJ77" s="243"/>
      <c r="CK77" s="243"/>
      <c r="CL77" s="243"/>
      <c r="CM77" s="243"/>
      <c r="CN77" s="243"/>
      <c r="CO77" s="243"/>
      <c r="CP77" s="243"/>
      <c r="CQ77" s="243"/>
      <c r="CR77" s="243"/>
      <c r="CS77" s="243"/>
      <c r="CT77" s="243"/>
      <c r="CU77" s="243"/>
      <c r="CV77" s="243"/>
      <c r="CW77" s="243"/>
      <c r="CX77" s="243"/>
      <c r="CY77" s="243"/>
      <c r="CZ77" s="243"/>
      <c r="DA77" s="243"/>
      <c r="DB77" s="243"/>
      <c r="DC77" s="243"/>
      <c r="DD77" s="243"/>
      <c r="DE77" s="243"/>
      <c r="DF77" s="243"/>
      <c r="DG77" s="243"/>
      <c r="DH77" s="243"/>
      <c r="DI77" s="243"/>
      <c r="DJ77" s="243"/>
      <c r="DK77" s="243"/>
      <c r="DM77" s="242"/>
      <c r="DO77" s="243"/>
      <c r="DQ77" s="242"/>
      <c r="DS77" s="243"/>
      <c r="DU77" s="242"/>
      <c r="DW77" s="243"/>
      <c r="DY77" s="242"/>
      <c r="EA77" s="243"/>
    </row>
    <row r="78" spans="1:131">
      <c r="A78" s="20"/>
      <c r="B78" s="124" t="str">
        <f t="shared" si="70"/>
        <v/>
      </c>
      <c r="C78" s="235"/>
      <c r="D78" s="24">
        <f>'1% Wind'!$M$86</f>
        <v>15.5</v>
      </c>
      <c r="E78" s="90"/>
      <c r="F78" s="90"/>
      <c r="G78" s="79">
        <f ca="1">IF(I73=0.9743,$G77,MAX(G77/D77*D78,2))</f>
        <v>6.001707317073171</v>
      </c>
      <c r="H78" s="121" t="e">
        <f t="shared" ca="1" si="71"/>
        <v>#VALUE!</v>
      </c>
      <c r="J78" s="33"/>
      <c r="K78" s="242">
        <f t="shared" si="72"/>
        <v>1</v>
      </c>
      <c r="L78" s="241" t="e">
        <f t="shared" ca="1" si="73"/>
        <v>#VALUE!</v>
      </c>
      <c r="M78" s="243" t="e">
        <f ca="1">IF(AND(INDEX(FlowCalConstA,MATCH(J73,FlowCalNumber,0),1,1)*L78^INDEX(FlowCalConstB,MATCH(J73,FlowCalNumber,0),1,1)&gt;INDEX(FlowCalLowSetting,MATCH(J73,FlowCalNumber,0),1,1), (INDEX(FlowCalConstA,MATCH(J73,FlowCalNumber,0),1,1)*L78^INDEX(FlowCalConstB,MATCH(J73,FlowCalNumber,0),1,1)&lt;INDEX(FlowCalHighSetting,MATCH(J73,FlowCalNumber,0),1,1))),INDEX(FlowCalConstA,MATCH(J73,FlowCalNumber,0),1,1)*L78^INDEX(FlowCalConstB,MATCH(J73,FlowCalNumber,0),1,1)," ")</f>
        <v>#N/A</v>
      </c>
      <c r="N78" s="33"/>
      <c r="O78" s="242">
        <f t="shared" si="74"/>
        <v>1</v>
      </c>
      <c r="P78" s="241" t="e">
        <f t="shared" ca="1" si="75"/>
        <v>#VALUE!</v>
      </c>
      <c r="Q78" s="243" t="e">
        <f ca="1">IF(AND(INDEX(FlowCalConstA,MATCH(N73,FlowCalNumber,0),1,1)*P78^INDEX(FlowCalConstB,MATCH(N73,FlowCalNumber,0),1,1)&gt;INDEX(FlowCalLowSetting,MATCH(N73,FlowCalNumber,0),1,1), (INDEX(FlowCalConstA,MATCH(N73,FlowCalNumber,0),1,1)*P78^INDEX(FlowCalConstB,MATCH(N73,FlowCalNumber,0),1,1)&lt;INDEX(FlowCalHighSetting,MATCH(N73,FlowCalNumber,0),1,1))),INDEX(FlowCalConstA,MATCH(N73,FlowCalNumber,0),1,1)*P78^INDEX(FlowCalConstB,MATCH(N73,FlowCalNumber,0),1,1)," ")</f>
        <v>#N/A</v>
      </c>
      <c r="R78" s="33"/>
      <c r="S78" s="242">
        <f t="shared" si="76"/>
        <v>1</v>
      </c>
      <c r="T78" s="241" t="e">
        <f t="shared" ca="1" si="77"/>
        <v>#VALUE!</v>
      </c>
      <c r="U78" s="244" t="e">
        <f ca="1">IF(AND(INDEX(FlowCalConstA,MATCH(R73,FlowCalNumber,0),1,1)*T78^INDEX(FlowCalConstB,MATCH(R73,FlowCalNumber,0),1,1)&gt;INDEX(FlowCalLowSetting,MATCH(R73,FlowCalNumber,0),1,1), (INDEX(FlowCalConstA,MATCH(R73,FlowCalNumber,0),1,1)*T78^INDEX(FlowCalConstB,MATCH(R73,FlowCalNumber,0),1,1)&lt;INDEX(FlowCalHighSetting,MATCH(R73,FlowCalNumber,0),1,1))),INDEX(FlowCalConstA,MATCH(R73,FlowCalNumber,0),1,1)*T78^INDEX(FlowCalConstB,MATCH(R73,FlowCalNumber,0),1,1)," ")</f>
        <v>#N/A</v>
      </c>
      <c r="V78" s="33"/>
      <c r="W78" s="242">
        <f t="shared" si="78"/>
        <v>0.1</v>
      </c>
      <c r="X78" s="241" t="e">
        <f t="shared" ca="1" si="79"/>
        <v>#VALUE!</v>
      </c>
      <c r="Y78" s="243" t="e">
        <f ca="1">IF(AND(INDEX(FlowCalConstA,MATCH(V73,FlowCalNumber,0),1,1)*X78^INDEX(FlowCalConstB,MATCH(V73,FlowCalNumber,0),1,1)&gt;INDEX(FlowCalLowSetting,MATCH(V73,FlowCalNumber,0),1,1), (INDEX(FlowCalConstA,MATCH(V73,FlowCalNumber,0),1,1)*X78^INDEX(FlowCalConstB,MATCH(V73,FlowCalNumber,0),1,1)&lt;INDEX(FlowCalHighSetting,MATCH(V73,FlowCalNumber,0),1,1))),INDEX(FlowCalConstA,MATCH(V73,FlowCalNumber,0),1,1)*X78^INDEX(FlowCalConstB,MATCH(V73,FlowCalNumber,0),1,1)," ")</f>
        <v>#N/A</v>
      </c>
      <c r="Z78" s="33"/>
      <c r="AA78" s="242">
        <f t="shared" si="80"/>
        <v>0.9</v>
      </c>
      <c r="AB78" s="241" t="e">
        <f t="shared" ca="1" si="81"/>
        <v>#VALUE!</v>
      </c>
      <c r="AC78" s="243" t="e">
        <f ca="1">IF(AND(INDEX(FlowCalConstA,MATCH(Z73,FlowCalNumber,0),1,1)*AB78^INDEX(FlowCalConstB,MATCH(Z73,FlowCalNumber,0),1,1)&gt;INDEX(FlowCalLowSetting,MATCH(Z73,FlowCalNumber,0),1,1), (INDEX(FlowCalConstA,MATCH(Z73,FlowCalNumber,0),1,1)*AB78^INDEX(FlowCalConstB,MATCH(Z73,FlowCalNumber,0),1,1)&lt;INDEX(FlowCalHighSetting,MATCH(Z73,FlowCalNumber,0),1,1))),INDEX(FlowCalConstA,MATCH(Z73,FlowCalNumber,0),1,1)*AB78^INDEX(FlowCalConstB,MATCH(Z73,FlowCalNumber,0),1,1)," ")</f>
        <v>#N/A</v>
      </c>
      <c r="AD78" s="33"/>
      <c r="AE78" s="242">
        <f t="shared" si="82"/>
        <v>0.1</v>
      </c>
      <c r="AF78" s="241" t="e">
        <f t="shared" ca="1" si="83"/>
        <v>#VALUE!</v>
      </c>
      <c r="AG78" s="243" t="e">
        <f ca="1">IF(AND(INDEX(FlowCalConstA,MATCH(AD73,FlowCalNumber,0),1,1)*AF78^INDEX(FlowCalConstB,MATCH(AD73,FlowCalNumber,0),1,1)&gt;INDEX(FlowCalLowSetting,MATCH(AD73,FlowCalNumber,0),1,1), (INDEX(FlowCalConstA,MATCH(AD73,FlowCalNumber,0),1,1)*AF78^INDEX(FlowCalConstB,MATCH(AD73,FlowCalNumber,0),1,1)&lt;INDEX(FlowCalHighSetting,MATCH(AD73,FlowCalNumber,0),1,1))),INDEX(FlowCalConstA,MATCH(AD73,FlowCalNumber,0),1,1)*AF78^INDEX(FlowCalConstB,MATCH(AD73,FlowCalNumber,0),1,1)," ")</f>
        <v>#N/A</v>
      </c>
      <c r="AH78" s="33"/>
      <c r="AI78" s="242">
        <f t="shared" si="84"/>
        <v>0.9</v>
      </c>
      <c r="AJ78" s="241" t="e">
        <f t="shared" ca="1" si="85"/>
        <v>#VALUE!</v>
      </c>
      <c r="AK78" s="243" t="e">
        <f ca="1">IF(AND(INDEX(FlowCalConstA,MATCH(AH73,FlowCalNumber,0),1,1)*AJ78^INDEX(FlowCalConstB,MATCH(AH73,FlowCalNumber,0),1,1)&gt;INDEX(FlowCalLowSetting,MATCH(AH73,FlowCalNumber,0),1,1), (INDEX(FlowCalConstA,MATCH(AH73,FlowCalNumber,0),1,1)*AJ78^INDEX(FlowCalConstB,MATCH(AH73,FlowCalNumber,0),1,1)&lt;INDEX(FlowCalHighSetting,MATCH(AH73,FlowCalNumber,0),1,1))),INDEX(FlowCalConstA,MATCH(AH73,FlowCalNumber,0),1,1)*AJ78^INDEX(FlowCalConstB,MATCH(AH73,FlowCalNumber,0),1,1)," ")</f>
        <v>#N/A</v>
      </c>
      <c r="AL78" s="33"/>
      <c r="AM78" s="242"/>
      <c r="AN78" s="241"/>
      <c r="AO78" s="244"/>
      <c r="AQ78" s="242"/>
      <c r="AR78" s="241"/>
      <c r="AS78" s="244"/>
      <c r="AT78" s="33"/>
      <c r="AU78" s="242"/>
      <c r="AV78" s="241"/>
      <c r="AW78" s="244"/>
      <c r="AX78" s="33"/>
      <c r="AY78" s="242"/>
      <c r="AZ78" s="241"/>
      <c r="BA78" s="244"/>
      <c r="BB78" s="33"/>
      <c r="BC78" s="242"/>
      <c r="BD78" s="241"/>
      <c r="BE78" s="244"/>
      <c r="BF78" s="33"/>
      <c r="BG78" s="242"/>
      <c r="BH78" s="241"/>
      <c r="BI78" s="244"/>
      <c r="BJ78" s="33"/>
      <c r="BK78" s="242"/>
      <c r="BL78" s="241"/>
      <c r="BM78" s="244"/>
      <c r="BN78" s="33"/>
      <c r="BO78" s="242"/>
      <c r="BP78" s="241"/>
      <c r="BQ78" s="244"/>
      <c r="BR78" s="33"/>
      <c r="BS78" s="242"/>
      <c r="BT78" s="241"/>
      <c r="BU78" s="244"/>
      <c r="BV78" s="33"/>
      <c r="BW78" s="242"/>
      <c r="BX78" s="241"/>
      <c r="BY78" s="244"/>
      <c r="BZ78" s="33"/>
      <c r="CA78" s="242"/>
      <c r="CB78" s="241"/>
      <c r="CC78" s="244"/>
      <c r="CD78" s="243"/>
      <c r="CE78" s="243"/>
      <c r="CF78" s="243"/>
      <c r="CG78" s="243"/>
      <c r="CH78" s="243"/>
      <c r="CI78" s="243"/>
      <c r="CJ78" s="243"/>
      <c r="CK78" s="243"/>
      <c r="CL78" s="243"/>
      <c r="CM78" s="243"/>
      <c r="CN78" s="243"/>
      <c r="CO78" s="243"/>
      <c r="CP78" s="243"/>
      <c r="CQ78" s="243"/>
      <c r="CR78" s="243"/>
      <c r="CS78" s="243"/>
      <c r="CT78" s="243"/>
      <c r="CU78" s="243"/>
      <c r="CV78" s="243"/>
      <c r="CW78" s="243"/>
      <c r="CX78" s="243"/>
      <c r="CY78" s="243"/>
      <c r="CZ78" s="243"/>
      <c r="DA78" s="243"/>
      <c r="DB78" s="243"/>
      <c r="DC78" s="243"/>
      <c r="DD78" s="243"/>
      <c r="DE78" s="243"/>
      <c r="DF78" s="243"/>
      <c r="DG78" s="243"/>
      <c r="DH78" s="243"/>
      <c r="DI78" s="243"/>
      <c r="DJ78" s="243"/>
      <c r="DK78" s="243"/>
      <c r="DM78" s="242"/>
      <c r="DO78" s="243"/>
      <c r="DQ78" s="242"/>
      <c r="DS78" s="243"/>
      <c r="DU78" s="242"/>
      <c r="DW78" s="243"/>
      <c r="DY78" s="242"/>
      <c r="EA78" s="243"/>
    </row>
    <row r="79" spans="1:131">
      <c r="A79" s="20"/>
      <c r="B79" s="124" t="str">
        <f t="shared" si="70"/>
        <v/>
      </c>
      <c r="C79" s="235"/>
      <c r="D79" s="24">
        <f>'1% Wind'!$M$87</f>
        <v>13.5</v>
      </c>
      <c r="E79" s="90"/>
      <c r="F79" s="90"/>
      <c r="G79" s="79">
        <f ca="1">IF(I73=0.9743,$G78,MAX(G78/D78*D79,2))</f>
        <v>6.001707317073171</v>
      </c>
      <c r="H79" s="121" t="e">
        <f t="shared" ca="1" si="71"/>
        <v>#VALUE!</v>
      </c>
      <c r="J79" s="33"/>
      <c r="K79" s="242">
        <f t="shared" si="72"/>
        <v>1</v>
      </c>
      <c r="L79" s="241" t="e">
        <f t="shared" ca="1" si="73"/>
        <v>#VALUE!</v>
      </c>
      <c r="M79" s="243" t="e">
        <f ca="1">IF(AND(INDEX(FlowCalConstA,MATCH(J73,FlowCalNumber,0),1,1)*L79^INDEX(FlowCalConstB,MATCH(J73,FlowCalNumber,0),1,1)&gt;INDEX(FlowCalLowSetting,MATCH(J73,FlowCalNumber,0),1,1), (INDEX(FlowCalConstA,MATCH(J73,FlowCalNumber,0),1,1)*L79^INDEX(FlowCalConstB,MATCH(J73,FlowCalNumber,0),1,1)&lt;INDEX(FlowCalHighSetting,MATCH(J73,FlowCalNumber,0),1,1))),INDEX(FlowCalConstA,MATCH(J73,FlowCalNumber,0),1,1)*L79^INDEX(FlowCalConstB,MATCH(J73,FlowCalNumber,0),1,1)," ")</f>
        <v>#N/A</v>
      </c>
      <c r="N79" s="33"/>
      <c r="O79" s="242">
        <f t="shared" si="74"/>
        <v>1</v>
      </c>
      <c r="P79" s="241" t="e">
        <f t="shared" ca="1" si="75"/>
        <v>#VALUE!</v>
      </c>
      <c r="Q79" s="243" t="e">
        <f ca="1">IF(AND(INDEX(FlowCalConstA,MATCH(N73,FlowCalNumber,0),1,1)*P79^INDEX(FlowCalConstB,MATCH(N73,FlowCalNumber,0),1,1)&gt;INDEX(FlowCalLowSetting,MATCH(N73,FlowCalNumber,0),1,1), (INDEX(FlowCalConstA,MATCH(N73,FlowCalNumber,0),1,1)*P79^INDEX(FlowCalConstB,MATCH(N73,FlowCalNumber,0),1,1)&lt;INDEX(FlowCalHighSetting,MATCH(N73,FlowCalNumber,0),1,1))),INDEX(FlowCalConstA,MATCH(N73,FlowCalNumber,0),1,1)*P79^INDEX(FlowCalConstB,MATCH(N73,FlowCalNumber,0),1,1)," ")</f>
        <v>#N/A</v>
      </c>
      <c r="R79" s="33"/>
      <c r="S79" s="242">
        <f t="shared" si="76"/>
        <v>1</v>
      </c>
      <c r="T79" s="241" t="e">
        <f t="shared" ca="1" si="77"/>
        <v>#VALUE!</v>
      </c>
      <c r="U79" s="244" t="e">
        <f ca="1">IF(AND(INDEX(FlowCalConstA,MATCH(R73,FlowCalNumber,0),1,1)*T79^INDEX(FlowCalConstB,MATCH(R73,FlowCalNumber,0),1,1)&gt;INDEX(FlowCalLowSetting,MATCH(R73,FlowCalNumber,0),1,1), (INDEX(FlowCalConstA,MATCH(R73,FlowCalNumber,0),1,1)*T79^INDEX(FlowCalConstB,MATCH(R73,FlowCalNumber,0),1,1)&lt;INDEX(FlowCalHighSetting,MATCH(R73,FlowCalNumber,0),1,1))),INDEX(FlowCalConstA,MATCH(R73,FlowCalNumber,0),1,1)*T79^INDEX(FlowCalConstB,MATCH(R73,FlowCalNumber,0),1,1)," ")</f>
        <v>#N/A</v>
      </c>
      <c r="V79" s="33"/>
      <c r="W79" s="242">
        <f t="shared" si="78"/>
        <v>0.1</v>
      </c>
      <c r="X79" s="241" t="e">
        <f t="shared" ca="1" si="79"/>
        <v>#VALUE!</v>
      </c>
      <c r="Y79" s="243" t="e">
        <f ca="1">IF(AND(INDEX(FlowCalConstA,MATCH(V73,FlowCalNumber,0),1,1)*X79^INDEX(FlowCalConstB,MATCH(V73,FlowCalNumber,0),1,1)&gt;INDEX(FlowCalLowSetting,MATCH(V73,FlowCalNumber,0),1,1), (INDEX(FlowCalConstA,MATCH(V73,FlowCalNumber,0),1,1)*X79^INDEX(FlowCalConstB,MATCH(V73,FlowCalNumber,0),1,1)&lt;INDEX(FlowCalHighSetting,MATCH(V73,FlowCalNumber,0),1,1))),INDEX(FlowCalConstA,MATCH(V73,FlowCalNumber,0),1,1)*X79^INDEX(FlowCalConstB,MATCH(V73,FlowCalNumber,0),1,1)," ")</f>
        <v>#N/A</v>
      </c>
      <c r="Z79" s="33"/>
      <c r="AA79" s="242">
        <f t="shared" si="80"/>
        <v>0.9</v>
      </c>
      <c r="AB79" s="241" t="e">
        <f t="shared" ca="1" si="81"/>
        <v>#VALUE!</v>
      </c>
      <c r="AC79" s="243" t="e">
        <f ca="1">IF(AND(INDEX(FlowCalConstA,MATCH(Z73,FlowCalNumber,0),1,1)*AB79^INDEX(FlowCalConstB,MATCH(Z73,FlowCalNumber,0),1,1)&gt;INDEX(FlowCalLowSetting,MATCH(Z73,FlowCalNumber,0),1,1), (INDEX(FlowCalConstA,MATCH(Z73,FlowCalNumber,0),1,1)*AB79^INDEX(FlowCalConstB,MATCH(Z73,FlowCalNumber,0),1,1)&lt;INDEX(FlowCalHighSetting,MATCH(Z73,FlowCalNumber,0),1,1))),INDEX(FlowCalConstA,MATCH(Z73,FlowCalNumber,0),1,1)*AB79^INDEX(FlowCalConstB,MATCH(Z73,FlowCalNumber,0),1,1)," ")</f>
        <v>#N/A</v>
      </c>
      <c r="AD79" s="33"/>
      <c r="AE79" s="242">
        <f t="shared" si="82"/>
        <v>0.1</v>
      </c>
      <c r="AF79" s="241" t="e">
        <f t="shared" ca="1" si="83"/>
        <v>#VALUE!</v>
      </c>
      <c r="AG79" s="243" t="e">
        <f ca="1">IF(AND(INDEX(FlowCalConstA,MATCH(AD73,FlowCalNumber,0),1,1)*AF79^INDEX(FlowCalConstB,MATCH(AD73,FlowCalNumber,0),1,1)&gt;INDEX(FlowCalLowSetting,MATCH(AD73,FlowCalNumber,0),1,1), (INDEX(FlowCalConstA,MATCH(AD73,FlowCalNumber,0),1,1)*AF79^INDEX(FlowCalConstB,MATCH(AD73,FlowCalNumber,0),1,1)&lt;INDEX(FlowCalHighSetting,MATCH(AD73,FlowCalNumber,0),1,1))),INDEX(FlowCalConstA,MATCH(AD73,FlowCalNumber,0),1,1)*AF79^INDEX(FlowCalConstB,MATCH(AD73,FlowCalNumber,0),1,1)," ")</f>
        <v>#N/A</v>
      </c>
      <c r="AH79" s="33"/>
      <c r="AI79" s="242">
        <f t="shared" si="84"/>
        <v>0.9</v>
      </c>
      <c r="AJ79" s="241" t="e">
        <f t="shared" ca="1" si="85"/>
        <v>#VALUE!</v>
      </c>
      <c r="AK79" s="243" t="e">
        <f ca="1">IF(AND(INDEX(FlowCalConstA,MATCH(AH73,FlowCalNumber,0),1,1)*AJ79^INDEX(FlowCalConstB,MATCH(AH73,FlowCalNumber,0),1,1)&gt;INDEX(FlowCalLowSetting,MATCH(AH73,FlowCalNumber,0),1,1), (INDEX(FlowCalConstA,MATCH(AH73,FlowCalNumber,0),1,1)*AJ79^INDEX(FlowCalConstB,MATCH(AH73,FlowCalNumber,0),1,1)&lt;INDEX(FlowCalHighSetting,MATCH(AH73,FlowCalNumber,0),1,1))),INDEX(FlowCalConstA,MATCH(AH73,FlowCalNumber,0),1,1)*AJ79^INDEX(FlowCalConstB,MATCH(AH73,FlowCalNumber,0),1,1)," ")</f>
        <v>#N/A</v>
      </c>
      <c r="AL79" s="33"/>
      <c r="AM79" s="242"/>
      <c r="AN79" s="241"/>
      <c r="AO79" s="244"/>
      <c r="AQ79" s="242"/>
      <c r="AR79" s="241"/>
      <c r="AS79" s="244"/>
      <c r="AT79" s="33"/>
      <c r="AU79" s="242"/>
      <c r="AV79" s="241"/>
      <c r="AW79" s="244"/>
      <c r="AX79" s="33"/>
      <c r="AY79" s="242"/>
      <c r="AZ79" s="241"/>
      <c r="BA79" s="244"/>
      <c r="BB79" s="33"/>
      <c r="BC79" s="242"/>
      <c r="BD79" s="241"/>
      <c r="BE79" s="244"/>
      <c r="BF79" s="33"/>
      <c r="BG79" s="242"/>
      <c r="BH79" s="241"/>
      <c r="BI79" s="244"/>
      <c r="BJ79" s="33"/>
      <c r="BK79" s="242"/>
      <c r="BL79" s="241"/>
      <c r="BM79" s="244"/>
      <c r="BN79" s="33"/>
      <c r="BO79" s="242"/>
      <c r="BP79" s="241"/>
      <c r="BQ79" s="244"/>
      <c r="BR79" s="33"/>
      <c r="BS79" s="242"/>
      <c r="BT79" s="241"/>
      <c r="BU79" s="244"/>
      <c r="BV79" s="33"/>
      <c r="BW79" s="242"/>
      <c r="BX79" s="241"/>
      <c r="BY79" s="244"/>
      <c r="BZ79" s="33"/>
      <c r="CA79" s="242"/>
      <c r="CB79" s="241"/>
      <c r="CC79" s="244"/>
      <c r="CD79" s="243"/>
      <c r="CE79" s="243"/>
      <c r="CF79" s="243"/>
      <c r="CG79" s="243"/>
      <c r="CH79" s="243"/>
      <c r="CI79" s="243"/>
      <c r="CJ79" s="243"/>
      <c r="CK79" s="243"/>
      <c r="CL79" s="243"/>
      <c r="CM79" s="243"/>
      <c r="CN79" s="243"/>
      <c r="CO79" s="243"/>
      <c r="CP79" s="243"/>
      <c r="CQ79" s="243"/>
      <c r="CR79" s="243"/>
      <c r="CS79" s="243"/>
      <c r="CT79" s="243"/>
      <c r="CU79" s="243"/>
      <c r="CV79" s="243"/>
      <c r="CW79" s="243"/>
      <c r="CX79" s="243"/>
      <c r="CY79" s="243"/>
      <c r="CZ79" s="243"/>
      <c r="DA79" s="243"/>
      <c r="DB79" s="243"/>
      <c r="DC79" s="243"/>
      <c r="DD79" s="243"/>
      <c r="DE79" s="243"/>
      <c r="DF79" s="243"/>
      <c r="DG79" s="243"/>
      <c r="DH79" s="243"/>
      <c r="DI79" s="243"/>
      <c r="DJ79" s="243"/>
      <c r="DK79" s="243"/>
      <c r="DM79" s="242"/>
      <c r="DO79" s="243"/>
      <c r="DQ79" s="242"/>
      <c r="DS79" s="243"/>
      <c r="DU79" s="242"/>
      <c r="DW79" s="243"/>
      <c r="DY79" s="242"/>
      <c r="EA79" s="243"/>
    </row>
    <row r="80" spans="1:131">
      <c r="A80" s="20"/>
      <c r="B80" s="124" t="str">
        <f t="shared" si="70"/>
        <v/>
      </c>
      <c r="C80" s="235"/>
      <c r="D80" s="24">
        <f>'1% Wind'!$M$88</f>
        <v>10.1</v>
      </c>
      <c r="E80" s="90"/>
      <c r="F80" s="90"/>
      <c r="G80" s="79">
        <f ca="1">IF(I73=0.9743,$G79,MAX(G79/D79*D80,2))</f>
        <v>6.001707317073171</v>
      </c>
      <c r="H80" s="121" t="e">
        <f t="shared" ca="1" si="71"/>
        <v>#VALUE!</v>
      </c>
      <c r="J80" s="33"/>
      <c r="K80" s="242">
        <f t="shared" si="72"/>
        <v>1</v>
      </c>
      <c r="L80" s="241" t="e">
        <f t="shared" ca="1" si="73"/>
        <v>#VALUE!</v>
      </c>
      <c r="M80" s="243" t="e">
        <f ca="1">IF(AND(INDEX(FlowCalConstA,MATCH(J73,FlowCalNumber,0),1,1)*L80^INDEX(FlowCalConstB,MATCH(J73,FlowCalNumber,0),1,1)&gt;INDEX(FlowCalLowSetting,MATCH(J73,FlowCalNumber,0),1,1), (INDEX(FlowCalConstA,MATCH(J73,FlowCalNumber,0),1,1)*L80^INDEX(FlowCalConstB,MATCH(J73,FlowCalNumber,0),1,1)&lt;INDEX(FlowCalHighSetting,MATCH(J73,FlowCalNumber,0),1,1))),INDEX(FlowCalConstA,MATCH(J73,FlowCalNumber,0),1,1)*L80^INDEX(FlowCalConstB,MATCH(J73,FlowCalNumber,0),1,1)," ")</f>
        <v>#N/A</v>
      </c>
      <c r="N80" s="33"/>
      <c r="O80" s="242">
        <f t="shared" si="74"/>
        <v>1</v>
      </c>
      <c r="P80" s="241" t="e">
        <f t="shared" ca="1" si="75"/>
        <v>#VALUE!</v>
      </c>
      <c r="Q80" s="243" t="e">
        <f ca="1">IF(AND(INDEX(FlowCalConstA,MATCH(N73,FlowCalNumber,0),1,1)*P80^INDEX(FlowCalConstB,MATCH(N73,FlowCalNumber,0),1,1)&gt;INDEX(FlowCalLowSetting,MATCH(N73,FlowCalNumber,0),1,1), (INDEX(FlowCalConstA,MATCH(N73,FlowCalNumber,0),1,1)*P80^INDEX(FlowCalConstB,MATCH(N73,FlowCalNumber,0),1,1)&lt;INDEX(FlowCalHighSetting,MATCH(N73,FlowCalNumber,0),1,1))),INDEX(FlowCalConstA,MATCH(N73,FlowCalNumber,0),1,1)*P80^INDEX(FlowCalConstB,MATCH(N73,FlowCalNumber,0),1,1)," ")</f>
        <v>#N/A</v>
      </c>
      <c r="R80" s="33"/>
      <c r="S80" s="242">
        <f t="shared" si="76"/>
        <v>1</v>
      </c>
      <c r="T80" s="241" t="e">
        <f t="shared" ca="1" si="77"/>
        <v>#VALUE!</v>
      </c>
      <c r="U80" s="244" t="e">
        <f ca="1">IF(AND(INDEX(FlowCalConstA,MATCH(R73,FlowCalNumber,0),1,1)*T80^INDEX(FlowCalConstB,MATCH(R73,FlowCalNumber,0),1,1)&gt;INDEX(FlowCalLowSetting,MATCH(R73,FlowCalNumber,0),1,1), (INDEX(FlowCalConstA,MATCH(R73,FlowCalNumber,0),1,1)*T80^INDEX(FlowCalConstB,MATCH(R73,FlowCalNumber,0),1,1)&lt;INDEX(FlowCalHighSetting,MATCH(R73,FlowCalNumber,0),1,1))),INDEX(FlowCalConstA,MATCH(R73,FlowCalNumber,0),1,1)*T80^INDEX(FlowCalConstB,MATCH(R73,FlowCalNumber,0),1,1)," ")</f>
        <v>#N/A</v>
      </c>
      <c r="V80" s="33"/>
      <c r="W80" s="242">
        <f t="shared" si="78"/>
        <v>0.1</v>
      </c>
      <c r="X80" s="241" t="e">
        <f t="shared" ca="1" si="79"/>
        <v>#VALUE!</v>
      </c>
      <c r="Y80" s="243" t="e">
        <f ca="1">IF(AND(INDEX(FlowCalConstA,MATCH(V73,FlowCalNumber,0),1,1)*X80^INDEX(FlowCalConstB,MATCH(V73,FlowCalNumber,0),1,1)&gt;INDEX(FlowCalLowSetting,MATCH(V73,FlowCalNumber,0),1,1), (INDEX(FlowCalConstA,MATCH(V73,FlowCalNumber,0),1,1)*X80^INDEX(FlowCalConstB,MATCH(V73,FlowCalNumber,0),1,1)&lt;INDEX(FlowCalHighSetting,MATCH(V73,FlowCalNumber,0),1,1))),INDEX(FlowCalConstA,MATCH(V73,FlowCalNumber,0),1,1)*X80^INDEX(FlowCalConstB,MATCH(V73,FlowCalNumber,0),1,1)," ")</f>
        <v>#N/A</v>
      </c>
      <c r="Z80" s="33"/>
      <c r="AA80" s="242">
        <f t="shared" si="80"/>
        <v>0.9</v>
      </c>
      <c r="AB80" s="241" t="e">
        <f t="shared" ca="1" si="81"/>
        <v>#VALUE!</v>
      </c>
      <c r="AC80" s="243" t="e">
        <f ca="1">IF(AND(INDEX(FlowCalConstA,MATCH(Z73,FlowCalNumber,0),1,1)*AB80^INDEX(FlowCalConstB,MATCH(Z73,FlowCalNumber,0),1,1)&gt;INDEX(FlowCalLowSetting,MATCH(Z73,FlowCalNumber,0),1,1), (INDEX(FlowCalConstA,MATCH(Z73,FlowCalNumber,0),1,1)*AB80^INDEX(FlowCalConstB,MATCH(Z73,FlowCalNumber,0),1,1)&lt;INDEX(FlowCalHighSetting,MATCH(Z73,FlowCalNumber,0),1,1))),INDEX(FlowCalConstA,MATCH(Z73,FlowCalNumber,0),1,1)*AB80^INDEX(FlowCalConstB,MATCH(Z73,FlowCalNumber,0),1,1)," ")</f>
        <v>#N/A</v>
      </c>
      <c r="AD80" s="33"/>
      <c r="AE80" s="242">
        <f t="shared" si="82"/>
        <v>0.1</v>
      </c>
      <c r="AF80" s="241" t="e">
        <f t="shared" ca="1" si="83"/>
        <v>#VALUE!</v>
      </c>
      <c r="AG80" s="243" t="e">
        <f ca="1">IF(AND(INDEX(FlowCalConstA,MATCH(AD73,FlowCalNumber,0),1,1)*AF80^INDEX(FlowCalConstB,MATCH(AD73,FlowCalNumber,0),1,1)&gt;INDEX(FlowCalLowSetting,MATCH(AD73,FlowCalNumber,0),1,1), (INDEX(FlowCalConstA,MATCH(AD73,FlowCalNumber,0),1,1)*AF80^INDEX(FlowCalConstB,MATCH(AD73,FlowCalNumber,0),1,1)&lt;INDEX(FlowCalHighSetting,MATCH(AD73,FlowCalNumber,0),1,1))),INDEX(FlowCalConstA,MATCH(AD73,FlowCalNumber,0),1,1)*AF80^INDEX(FlowCalConstB,MATCH(AD73,FlowCalNumber,0),1,1)," ")</f>
        <v>#N/A</v>
      </c>
      <c r="AH80" s="33"/>
      <c r="AI80" s="242">
        <f t="shared" si="84"/>
        <v>0.9</v>
      </c>
      <c r="AJ80" s="241" t="e">
        <f t="shared" ca="1" si="85"/>
        <v>#VALUE!</v>
      </c>
      <c r="AK80" s="243" t="e">
        <f ca="1">IF(AND(INDEX(FlowCalConstA,MATCH(AH73,FlowCalNumber,0),1,1)*AJ80^INDEX(FlowCalConstB,MATCH(AH73,FlowCalNumber,0),1,1)&gt;INDEX(FlowCalLowSetting,MATCH(AH73,FlowCalNumber,0),1,1), (INDEX(FlowCalConstA,MATCH(AH73,FlowCalNumber,0),1,1)*AJ80^INDEX(FlowCalConstB,MATCH(AH73,FlowCalNumber,0),1,1)&lt;INDEX(FlowCalHighSetting,MATCH(AH73,FlowCalNumber,0),1,1))),INDEX(FlowCalConstA,MATCH(AH73,FlowCalNumber,0),1,1)*AJ80^INDEX(FlowCalConstB,MATCH(AH73,FlowCalNumber,0),1,1)," ")</f>
        <v>#N/A</v>
      </c>
      <c r="AL80" s="33"/>
      <c r="AM80" s="242"/>
      <c r="AN80" s="241"/>
      <c r="AO80" s="244"/>
      <c r="AQ80" s="242"/>
      <c r="AR80" s="241"/>
      <c r="AS80" s="244"/>
      <c r="AT80" s="33"/>
      <c r="AU80" s="242"/>
      <c r="AV80" s="241"/>
      <c r="AW80" s="244"/>
      <c r="AX80" s="33"/>
      <c r="AY80" s="242"/>
      <c r="AZ80" s="241"/>
      <c r="BA80" s="244"/>
      <c r="BB80" s="33"/>
      <c r="BC80" s="242"/>
      <c r="BD80" s="241"/>
      <c r="BE80" s="244"/>
      <c r="BF80" s="33"/>
      <c r="BG80" s="242"/>
      <c r="BH80" s="241"/>
      <c r="BI80" s="244"/>
      <c r="BJ80" s="33"/>
      <c r="BK80" s="242"/>
      <c r="BL80" s="241"/>
      <c r="BM80" s="244"/>
      <c r="BN80" s="33"/>
      <c r="BO80" s="242"/>
      <c r="BP80" s="241"/>
      <c r="BQ80" s="244"/>
      <c r="BR80" s="33"/>
      <c r="BS80" s="242"/>
      <c r="BT80" s="241"/>
      <c r="BU80" s="244"/>
      <c r="BV80" s="33"/>
      <c r="BW80" s="242"/>
      <c r="BX80" s="241"/>
      <c r="BY80" s="244"/>
      <c r="BZ80" s="33"/>
      <c r="CA80" s="242"/>
      <c r="CB80" s="241"/>
      <c r="CC80" s="244"/>
      <c r="CD80" s="243"/>
      <c r="CE80" s="243"/>
      <c r="CF80" s="243"/>
      <c r="CG80" s="243"/>
      <c r="CH80" s="243"/>
      <c r="CI80" s="243"/>
      <c r="CJ80" s="243"/>
      <c r="CK80" s="243"/>
      <c r="CL80" s="243"/>
      <c r="CM80" s="243"/>
      <c r="CN80" s="243"/>
      <c r="CO80" s="243"/>
      <c r="CP80" s="243"/>
      <c r="CQ80" s="243"/>
      <c r="CR80" s="243"/>
      <c r="CS80" s="243"/>
      <c r="CT80" s="243"/>
      <c r="CU80" s="243"/>
      <c r="CV80" s="243"/>
      <c r="CW80" s="243"/>
      <c r="CX80" s="243"/>
      <c r="CY80" s="243"/>
      <c r="CZ80" s="243"/>
      <c r="DA80" s="243"/>
      <c r="DB80" s="243"/>
      <c r="DC80" s="243"/>
      <c r="DD80" s="243"/>
      <c r="DE80" s="243"/>
      <c r="DF80" s="243"/>
      <c r="DG80" s="243"/>
      <c r="DH80" s="243"/>
      <c r="DI80" s="243"/>
      <c r="DJ80" s="243"/>
      <c r="DK80" s="243"/>
      <c r="DM80" s="242"/>
      <c r="DO80" s="243"/>
      <c r="DQ80" s="242"/>
      <c r="DS80" s="243"/>
      <c r="DU80" s="242"/>
      <c r="DW80" s="243"/>
      <c r="DY80" s="242"/>
      <c r="EA80" s="243"/>
    </row>
    <row r="81" spans="1:131">
      <c r="A81" s="20"/>
      <c r="B81" s="124" t="str">
        <f t="shared" si="70"/>
        <v/>
      </c>
      <c r="C81" s="235"/>
      <c r="D81" s="24">
        <f>'1% Wind'!$M$89</f>
        <v>7.6</v>
      </c>
      <c r="E81" s="90"/>
      <c r="F81" s="90"/>
      <c r="G81" s="79">
        <f ca="1">IF(I73=0.9743,$G80,MAX(G80/D80*D81,2))</f>
        <v>6.001707317073171</v>
      </c>
      <c r="H81" s="121" t="e">
        <f t="shared" ca="1" si="71"/>
        <v>#VALUE!</v>
      </c>
      <c r="J81" s="33"/>
      <c r="K81" s="242">
        <f t="shared" si="72"/>
        <v>1</v>
      </c>
      <c r="L81" s="241" t="e">
        <f t="shared" ca="1" si="73"/>
        <v>#VALUE!</v>
      </c>
      <c r="M81" s="243" t="e">
        <f ca="1">IF(AND(INDEX(FlowCalConstA,MATCH(J73,FlowCalNumber,0),1,1)*L81^INDEX(FlowCalConstB,MATCH(J73,FlowCalNumber,0),1,1)&gt;INDEX(FlowCalLowSetting,MATCH(J73,FlowCalNumber,0),1,1), (INDEX(FlowCalConstA,MATCH(J73,FlowCalNumber,0),1,1)*L81^INDEX(FlowCalConstB,MATCH(J73,FlowCalNumber,0),1,1)&lt;INDEX(FlowCalHighSetting,MATCH(J73,FlowCalNumber,0),1,1))),INDEX(FlowCalConstA,MATCH(J73,FlowCalNumber,0),1,1)*L81^INDEX(FlowCalConstB,MATCH(J73,FlowCalNumber,0),1,1)," ")</f>
        <v>#N/A</v>
      </c>
      <c r="N81" s="33"/>
      <c r="O81" s="242">
        <f t="shared" si="74"/>
        <v>1</v>
      </c>
      <c r="P81" s="241" t="e">
        <f t="shared" ca="1" si="75"/>
        <v>#VALUE!</v>
      </c>
      <c r="Q81" s="243" t="e">
        <f ca="1">IF(AND(INDEX(FlowCalConstA,MATCH(N73,FlowCalNumber,0),1,1)*P81^INDEX(FlowCalConstB,MATCH(N73,FlowCalNumber,0),1,1)&gt;INDEX(FlowCalLowSetting,MATCH(N73,FlowCalNumber,0),1,1), (INDEX(FlowCalConstA,MATCH(N73,FlowCalNumber,0),1,1)*P81^INDEX(FlowCalConstB,MATCH(N73,FlowCalNumber,0),1,1)&lt;INDEX(FlowCalHighSetting,MATCH(N73,FlowCalNumber,0),1,1))),INDEX(FlowCalConstA,MATCH(N73,FlowCalNumber,0),1,1)*P81^INDEX(FlowCalConstB,MATCH(N73,FlowCalNumber,0),1,1)," ")</f>
        <v>#N/A</v>
      </c>
      <c r="R81" s="33"/>
      <c r="S81" s="242">
        <f t="shared" si="76"/>
        <v>1</v>
      </c>
      <c r="T81" s="241" t="e">
        <f t="shared" ca="1" si="77"/>
        <v>#VALUE!</v>
      </c>
      <c r="U81" s="244" t="e">
        <f ca="1">IF(AND(INDEX(FlowCalConstA,MATCH(R73,FlowCalNumber,0),1,1)*T81^INDEX(FlowCalConstB,MATCH(R73,FlowCalNumber,0),1,1)&gt;INDEX(FlowCalLowSetting,MATCH(R73,FlowCalNumber,0),1,1), (INDEX(FlowCalConstA,MATCH(R73,FlowCalNumber,0),1,1)*T81^INDEX(FlowCalConstB,MATCH(R73,FlowCalNumber,0),1,1)&lt;INDEX(FlowCalHighSetting,MATCH(R73,FlowCalNumber,0),1,1))),INDEX(FlowCalConstA,MATCH(R73,FlowCalNumber,0),1,1)*T81^INDEX(FlowCalConstB,MATCH(R73,FlowCalNumber,0),1,1)," ")</f>
        <v>#N/A</v>
      </c>
      <c r="V81" s="33"/>
      <c r="W81" s="242">
        <f t="shared" si="78"/>
        <v>0.1</v>
      </c>
      <c r="X81" s="241" t="e">
        <f t="shared" ca="1" si="79"/>
        <v>#VALUE!</v>
      </c>
      <c r="Y81" s="243" t="e">
        <f ca="1">IF(AND(INDEX(FlowCalConstA,MATCH(V73,FlowCalNumber,0),1,1)*X81^INDEX(FlowCalConstB,MATCH(V73,FlowCalNumber,0),1,1)&gt;INDEX(FlowCalLowSetting,MATCH(V73,FlowCalNumber,0),1,1), (INDEX(FlowCalConstA,MATCH(V73,FlowCalNumber,0),1,1)*X81^INDEX(FlowCalConstB,MATCH(V73,FlowCalNumber,0),1,1)&lt;INDEX(FlowCalHighSetting,MATCH(V73,FlowCalNumber,0),1,1))),INDEX(FlowCalConstA,MATCH(V73,FlowCalNumber,0),1,1)*X81^INDEX(FlowCalConstB,MATCH(V73,FlowCalNumber,0),1,1)," ")</f>
        <v>#N/A</v>
      </c>
      <c r="Z81" s="33"/>
      <c r="AA81" s="242">
        <f t="shared" si="80"/>
        <v>0.9</v>
      </c>
      <c r="AB81" s="241" t="e">
        <f t="shared" ca="1" si="81"/>
        <v>#VALUE!</v>
      </c>
      <c r="AC81" s="243" t="e">
        <f ca="1">IF(AND(INDEX(FlowCalConstA,MATCH(Z73,FlowCalNumber,0),1,1)*AB81^INDEX(FlowCalConstB,MATCH(Z73,FlowCalNumber,0),1,1)&gt;INDEX(FlowCalLowSetting,MATCH(Z73,FlowCalNumber,0),1,1), (INDEX(FlowCalConstA,MATCH(Z73,FlowCalNumber,0),1,1)*AB81^INDEX(FlowCalConstB,MATCH(Z73,FlowCalNumber,0),1,1)&lt;INDEX(FlowCalHighSetting,MATCH(Z73,FlowCalNumber,0),1,1))),INDEX(FlowCalConstA,MATCH(Z73,FlowCalNumber,0),1,1)*AB81^INDEX(FlowCalConstB,MATCH(Z73,FlowCalNumber,0),1,1)," ")</f>
        <v>#N/A</v>
      </c>
      <c r="AD81" s="33"/>
      <c r="AE81" s="242">
        <f t="shared" si="82"/>
        <v>0.1</v>
      </c>
      <c r="AF81" s="241" t="e">
        <f t="shared" ca="1" si="83"/>
        <v>#VALUE!</v>
      </c>
      <c r="AG81" s="243" t="e">
        <f ca="1">IF(AND(INDEX(FlowCalConstA,MATCH(AD73,FlowCalNumber,0),1,1)*AF81^INDEX(FlowCalConstB,MATCH(AD73,FlowCalNumber,0),1,1)&gt;INDEX(FlowCalLowSetting,MATCH(AD73,FlowCalNumber,0),1,1), (INDEX(FlowCalConstA,MATCH(AD73,FlowCalNumber,0),1,1)*AF81^INDEX(FlowCalConstB,MATCH(AD73,FlowCalNumber,0),1,1)&lt;INDEX(FlowCalHighSetting,MATCH(AD73,FlowCalNumber,0),1,1))),INDEX(FlowCalConstA,MATCH(AD73,FlowCalNumber,0),1,1)*AF81^INDEX(FlowCalConstB,MATCH(AD73,FlowCalNumber,0),1,1)," ")</f>
        <v>#N/A</v>
      </c>
      <c r="AH81" s="33"/>
      <c r="AI81" s="242">
        <f t="shared" si="84"/>
        <v>0.9</v>
      </c>
      <c r="AJ81" s="241" t="e">
        <f t="shared" ca="1" si="85"/>
        <v>#VALUE!</v>
      </c>
      <c r="AK81" s="243" t="e">
        <f ca="1">IF(AND(INDEX(FlowCalConstA,MATCH(AH73,FlowCalNumber,0),1,1)*AJ81^INDEX(FlowCalConstB,MATCH(AH73,FlowCalNumber,0),1,1)&gt;INDEX(FlowCalLowSetting,MATCH(AH73,FlowCalNumber,0),1,1), (INDEX(FlowCalConstA,MATCH(AH73,FlowCalNumber,0),1,1)*AJ81^INDEX(FlowCalConstB,MATCH(AH73,FlowCalNumber,0),1,1)&lt;INDEX(FlowCalHighSetting,MATCH(AH73,FlowCalNumber,0),1,1))),INDEX(FlowCalConstA,MATCH(AH73,FlowCalNumber,0),1,1)*AJ81^INDEX(FlowCalConstB,MATCH(AH73,FlowCalNumber,0),1,1)," ")</f>
        <v>#N/A</v>
      </c>
      <c r="AL81" s="33"/>
      <c r="AM81" s="242"/>
      <c r="AN81" s="241"/>
      <c r="AO81" s="244"/>
      <c r="AQ81" s="242"/>
      <c r="AR81" s="241"/>
      <c r="AS81" s="244"/>
      <c r="AT81" s="33"/>
      <c r="AU81" s="242"/>
      <c r="AV81" s="241"/>
      <c r="AW81" s="244"/>
      <c r="AX81" s="33"/>
      <c r="AY81" s="242"/>
      <c r="AZ81" s="241"/>
      <c r="BA81" s="244"/>
      <c r="BB81" s="33"/>
      <c r="BC81" s="242"/>
      <c r="BD81" s="241"/>
      <c r="BE81" s="244"/>
      <c r="BF81" s="33"/>
      <c r="BG81" s="242"/>
      <c r="BH81" s="241"/>
      <c r="BI81" s="244"/>
      <c r="BJ81" s="33"/>
      <c r="BK81" s="242"/>
      <c r="BL81" s="241"/>
      <c r="BM81" s="244"/>
      <c r="BN81" s="33"/>
      <c r="BO81" s="242"/>
      <c r="BP81" s="241"/>
      <c r="BQ81" s="244"/>
      <c r="BR81" s="33"/>
      <c r="BS81" s="242"/>
      <c r="BT81" s="241"/>
      <c r="BU81" s="244"/>
      <c r="BV81" s="33"/>
      <c r="BW81" s="242"/>
      <c r="BX81" s="241"/>
      <c r="BY81" s="244"/>
      <c r="BZ81" s="33"/>
      <c r="CA81" s="242"/>
      <c r="CB81" s="241"/>
      <c r="CC81" s="244"/>
      <c r="CD81" s="243"/>
      <c r="CE81" s="243"/>
      <c r="CF81" s="243"/>
      <c r="CG81" s="243"/>
      <c r="CH81" s="243"/>
      <c r="CI81" s="243"/>
      <c r="CJ81" s="243"/>
      <c r="CK81" s="243"/>
      <c r="CL81" s="243"/>
      <c r="CM81" s="243"/>
      <c r="CN81" s="243"/>
      <c r="CO81" s="243"/>
      <c r="CP81" s="243"/>
      <c r="CQ81" s="243"/>
      <c r="CR81" s="243"/>
      <c r="CS81" s="243"/>
      <c r="CT81" s="243"/>
      <c r="CU81" s="243"/>
      <c r="CV81" s="243"/>
      <c r="CW81" s="243"/>
      <c r="CX81" s="243"/>
      <c r="CY81" s="243"/>
      <c r="CZ81" s="243"/>
      <c r="DA81" s="243"/>
      <c r="DB81" s="243"/>
      <c r="DC81" s="243"/>
      <c r="DD81" s="243"/>
      <c r="DE81" s="243"/>
      <c r="DF81" s="243"/>
      <c r="DG81" s="243"/>
      <c r="DH81" s="243"/>
      <c r="DI81" s="243"/>
      <c r="DJ81" s="243"/>
      <c r="DK81" s="243"/>
      <c r="DM81" s="242"/>
      <c r="DO81" s="243"/>
      <c r="DQ81" s="242"/>
      <c r="DS81" s="243"/>
      <c r="DU81" s="242"/>
      <c r="DW81" s="243"/>
      <c r="DY81" s="242"/>
      <c r="EA81" s="243"/>
    </row>
    <row r="82" spans="1:131">
      <c r="A82" s="20"/>
      <c r="B82" s="124" t="str">
        <f t="shared" si="70"/>
        <v/>
      </c>
      <c r="C82" s="235"/>
      <c r="D82" s="24">
        <f>'1% Wind'!$M$90</f>
        <v>5.7</v>
      </c>
      <c r="E82" s="90"/>
      <c r="F82" s="90"/>
      <c r="G82" s="79">
        <f ca="1">IF(I73=0.9743,$G81,MAX(G81/D81*D82,2))</f>
        <v>6.001707317073171</v>
      </c>
      <c r="H82" s="121" t="e">
        <f t="shared" ca="1" si="71"/>
        <v>#VALUE!</v>
      </c>
      <c r="J82" s="33"/>
      <c r="K82" s="242">
        <f t="shared" si="72"/>
        <v>1</v>
      </c>
      <c r="L82" s="241" t="e">
        <f t="shared" ca="1" si="73"/>
        <v>#VALUE!</v>
      </c>
      <c r="M82" s="243" t="e">
        <f ca="1">IF(AND(INDEX(FlowCalConstA,MATCH(J73,FlowCalNumber,0),1,1)*L82^INDEX(FlowCalConstB,MATCH(J73,FlowCalNumber,0),1,1)&gt;INDEX(FlowCalLowSetting,MATCH(J73,FlowCalNumber,0),1,1), (INDEX(FlowCalConstA,MATCH(J73,FlowCalNumber,0),1,1)*L82^INDEX(FlowCalConstB,MATCH(J73,FlowCalNumber,0),1,1)&lt;INDEX(FlowCalHighSetting,MATCH(J73,FlowCalNumber,0),1,1))),INDEX(FlowCalConstA,MATCH(J73,FlowCalNumber,0),1,1)*L82^INDEX(FlowCalConstB,MATCH(J73,FlowCalNumber,0),1,1)," ")</f>
        <v>#N/A</v>
      </c>
      <c r="N82" s="33"/>
      <c r="O82" s="242">
        <f t="shared" si="74"/>
        <v>1</v>
      </c>
      <c r="P82" s="241" t="e">
        <f t="shared" ca="1" si="75"/>
        <v>#VALUE!</v>
      </c>
      <c r="Q82" s="243" t="e">
        <f ca="1">IF(AND(INDEX(FlowCalConstA,MATCH(N73,FlowCalNumber,0),1,1)*P82^INDEX(FlowCalConstB,MATCH(N73,FlowCalNumber,0),1,1)&gt;INDEX(FlowCalLowSetting,MATCH(N73,FlowCalNumber,0),1,1), (INDEX(FlowCalConstA,MATCH(N73,FlowCalNumber,0),1,1)*P82^INDEX(FlowCalConstB,MATCH(N73,FlowCalNumber,0),1,1)&lt;INDEX(FlowCalHighSetting,MATCH(N73,FlowCalNumber,0),1,1))),INDEX(FlowCalConstA,MATCH(N73,FlowCalNumber,0),1,1)*P82^INDEX(FlowCalConstB,MATCH(N73,FlowCalNumber,0),1,1)," ")</f>
        <v>#N/A</v>
      </c>
      <c r="R82" s="33"/>
      <c r="S82" s="242">
        <f t="shared" si="76"/>
        <v>1</v>
      </c>
      <c r="T82" s="241" t="e">
        <f t="shared" ca="1" si="77"/>
        <v>#VALUE!</v>
      </c>
      <c r="U82" s="244" t="e">
        <f ca="1">IF(AND(INDEX(FlowCalConstA,MATCH(R73,FlowCalNumber,0),1,1)*T82^INDEX(FlowCalConstB,MATCH(R73,FlowCalNumber,0),1,1)&gt;INDEX(FlowCalLowSetting,MATCH(R73,FlowCalNumber,0),1,1), (INDEX(FlowCalConstA,MATCH(R73,FlowCalNumber,0),1,1)*T82^INDEX(FlowCalConstB,MATCH(R73,FlowCalNumber,0),1,1)&lt;INDEX(FlowCalHighSetting,MATCH(R73,FlowCalNumber,0),1,1))),INDEX(FlowCalConstA,MATCH(R73,FlowCalNumber,0),1,1)*T82^INDEX(FlowCalConstB,MATCH(R73,FlowCalNumber,0),1,1)," ")</f>
        <v>#N/A</v>
      </c>
      <c r="V82" s="33"/>
      <c r="W82" s="242">
        <f t="shared" si="78"/>
        <v>0.1</v>
      </c>
      <c r="X82" s="241" t="e">
        <f t="shared" ca="1" si="79"/>
        <v>#VALUE!</v>
      </c>
      <c r="Y82" s="243" t="e">
        <f ca="1">IF(AND(INDEX(FlowCalConstA,MATCH(V73,FlowCalNumber,0),1,1)*X82^INDEX(FlowCalConstB,MATCH(V73,FlowCalNumber,0),1,1)&gt;INDEX(FlowCalLowSetting,MATCH(V73,FlowCalNumber,0),1,1), (INDEX(FlowCalConstA,MATCH(V73,FlowCalNumber,0),1,1)*X82^INDEX(FlowCalConstB,MATCH(V73,FlowCalNumber,0),1,1)&lt;INDEX(FlowCalHighSetting,MATCH(V73,FlowCalNumber,0),1,1))),INDEX(FlowCalConstA,MATCH(V73,FlowCalNumber,0),1,1)*X82^INDEX(FlowCalConstB,MATCH(V73,FlowCalNumber,0),1,1)," ")</f>
        <v>#N/A</v>
      </c>
      <c r="Z82" s="33"/>
      <c r="AA82" s="242">
        <f t="shared" si="80"/>
        <v>0.9</v>
      </c>
      <c r="AB82" s="241" t="e">
        <f t="shared" ca="1" si="81"/>
        <v>#VALUE!</v>
      </c>
      <c r="AC82" s="243" t="e">
        <f ca="1">IF(AND(INDEX(FlowCalConstA,MATCH(Z73,FlowCalNumber,0),1,1)*AB82^INDEX(FlowCalConstB,MATCH(Z73,FlowCalNumber,0),1,1)&gt;INDEX(FlowCalLowSetting,MATCH(Z73,FlowCalNumber,0),1,1), (INDEX(FlowCalConstA,MATCH(Z73,FlowCalNumber,0),1,1)*AB82^INDEX(FlowCalConstB,MATCH(Z73,FlowCalNumber,0),1,1)&lt;INDEX(FlowCalHighSetting,MATCH(Z73,FlowCalNumber,0),1,1))),INDEX(FlowCalConstA,MATCH(Z73,FlowCalNumber,0),1,1)*AB82^INDEX(FlowCalConstB,MATCH(Z73,FlowCalNumber,0),1,1)," ")</f>
        <v>#N/A</v>
      </c>
      <c r="AD82" s="33"/>
      <c r="AE82" s="242">
        <f t="shared" si="82"/>
        <v>0.1</v>
      </c>
      <c r="AF82" s="241" t="e">
        <f t="shared" ca="1" si="83"/>
        <v>#VALUE!</v>
      </c>
      <c r="AG82" s="243" t="e">
        <f ca="1">IF(AND(INDEX(FlowCalConstA,MATCH(AD73,FlowCalNumber,0),1,1)*AF82^INDEX(FlowCalConstB,MATCH(AD73,FlowCalNumber,0),1,1)&gt;INDEX(FlowCalLowSetting,MATCH(AD73,FlowCalNumber,0),1,1), (INDEX(FlowCalConstA,MATCH(AD73,FlowCalNumber,0),1,1)*AF82^INDEX(FlowCalConstB,MATCH(AD73,FlowCalNumber,0),1,1)&lt;INDEX(FlowCalHighSetting,MATCH(AD73,FlowCalNumber,0),1,1))),INDEX(FlowCalConstA,MATCH(AD73,FlowCalNumber,0),1,1)*AF82^INDEX(FlowCalConstB,MATCH(AD73,FlowCalNumber,0),1,1)," ")</f>
        <v>#N/A</v>
      </c>
      <c r="AH82" s="33"/>
      <c r="AI82" s="242">
        <f t="shared" si="84"/>
        <v>0.9</v>
      </c>
      <c r="AJ82" s="241" t="e">
        <f t="shared" ca="1" si="85"/>
        <v>#VALUE!</v>
      </c>
      <c r="AK82" s="243" t="e">
        <f ca="1">IF(AND(INDEX(FlowCalConstA,MATCH(AH73,FlowCalNumber,0),1,1)*AJ82^INDEX(FlowCalConstB,MATCH(AH73,FlowCalNumber,0),1,1)&gt;INDEX(FlowCalLowSetting,MATCH(AH73,FlowCalNumber,0),1,1), (INDEX(FlowCalConstA,MATCH(AH73,FlowCalNumber,0),1,1)*AJ82^INDEX(FlowCalConstB,MATCH(AH73,FlowCalNumber,0),1,1)&lt;INDEX(FlowCalHighSetting,MATCH(AH73,FlowCalNumber,0),1,1))),INDEX(FlowCalConstA,MATCH(AH73,FlowCalNumber,0),1,1)*AJ82^INDEX(FlowCalConstB,MATCH(AH73,FlowCalNumber,0),1,1)," ")</f>
        <v>#N/A</v>
      </c>
      <c r="AL82" s="33"/>
      <c r="AM82" s="242"/>
      <c r="AN82" s="241"/>
      <c r="AO82" s="244"/>
      <c r="AQ82" s="242"/>
      <c r="AR82" s="241"/>
      <c r="AS82" s="244"/>
      <c r="AT82" s="33"/>
      <c r="AU82" s="242"/>
      <c r="AV82" s="241"/>
      <c r="AW82" s="244"/>
      <c r="AX82" s="33"/>
      <c r="AY82" s="242"/>
      <c r="AZ82" s="241"/>
      <c r="BA82" s="244"/>
      <c r="BB82" s="33"/>
      <c r="BC82" s="242"/>
      <c r="BD82" s="241"/>
      <c r="BE82" s="244"/>
      <c r="BF82" s="33"/>
      <c r="BG82" s="242"/>
      <c r="BH82" s="241"/>
      <c r="BI82" s="244"/>
      <c r="BJ82" s="33"/>
      <c r="BK82" s="242"/>
      <c r="BL82" s="241"/>
      <c r="BM82" s="244"/>
      <c r="BN82" s="33"/>
      <c r="BO82" s="242"/>
      <c r="BP82" s="241"/>
      <c r="BQ82" s="244"/>
      <c r="BR82" s="33"/>
      <c r="BS82" s="242"/>
      <c r="BT82" s="241"/>
      <c r="BU82" s="244"/>
      <c r="BV82" s="33"/>
      <c r="BW82" s="242"/>
      <c r="BX82" s="241"/>
      <c r="BY82" s="244"/>
      <c r="BZ82" s="33"/>
      <c r="CA82" s="242"/>
      <c r="CB82" s="241"/>
      <c r="CC82" s="244"/>
      <c r="CD82" s="243"/>
      <c r="CE82" s="243"/>
      <c r="CF82" s="243"/>
      <c r="CG82" s="243"/>
      <c r="CH82" s="243"/>
      <c r="CI82" s="243"/>
      <c r="CJ82" s="243"/>
      <c r="CK82" s="243"/>
      <c r="CL82" s="243"/>
      <c r="CM82" s="243"/>
      <c r="CN82" s="243"/>
      <c r="CO82" s="243"/>
      <c r="CP82" s="243"/>
      <c r="CQ82" s="243"/>
      <c r="CR82" s="243"/>
      <c r="CS82" s="243"/>
      <c r="CT82" s="243"/>
      <c r="CU82" s="243"/>
      <c r="CV82" s="243"/>
      <c r="CW82" s="243"/>
      <c r="CX82" s="243"/>
      <c r="CY82" s="243"/>
      <c r="CZ82" s="243"/>
      <c r="DA82" s="243"/>
      <c r="DB82" s="243"/>
      <c r="DC82" s="243"/>
      <c r="DD82" s="243"/>
      <c r="DE82" s="243"/>
      <c r="DF82" s="243"/>
      <c r="DG82" s="243"/>
      <c r="DH82" s="243"/>
      <c r="DI82" s="243"/>
      <c r="DJ82" s="243"/>
      <c r="DK82" s="243"/>
      <c r="DM82" s="242"/>
      <c r="DO82" s="243"/>
      <c r="DQ82" s="242"/>
      <c r="DS82" s="243"/>
      <c r="DU82" s="242"/>
      <c r="DW82" s="243"/>
      <c r="DY82" s="242"/>
      <c r="EA82" s="243"/>
    </row>
    <row r="83" spans="1:131">
      <c r="A83" s="20"/>
      <c r="B83" s="124" t="str">
        <f t="shared" si="70"/>
        <v/>
      </c>
      <c r="C83" s="235"/>
      <c r="D83" s="24">
        <f>'1% Wind'!$M$91</f>
        <v>4.2</v>
      </c>
      <c r="E83" s="90"/>
      <c r="F83" s="90"/>
      <c r="G83" s="79">
        <f ca="1">IF(I73=0.9743,$G82,MAX(G82/D82*D83,2))</f>
        <v>6.001707317073171</v>
      </c>
      <c r="H83" s="121" t="e">
        <f t="shared" ca="1" si="71"/>
        <v>#VALUE!</v>
      </c>
      <c r="J83" s="33"/>
      <c r="K83" s="242">
        <f t="shared" si="72"/>
        <v>1</v>
      </c>
      <c r="L83" s="241" t="e">
        <f t="shared" ca="1" si="73"/>
        <v>#VALUE!</v>
      </c>
      <c r="M83" s="243" t="e">
        <f ca="1">IF(AND(INDEX(FlowCalConstA,MATCH(J73,FlowCalNumber,0),1,1)*L83^INDEX(FlowCalConstB,MATCH(J73,FlowCalNumber,0),1,1)&gt;INDEX(FlowCalLowSetting,MATCH(J73,FlowCalNumber,0),1,1), (INDEX(FlowCalConstA,MATCH(J73,FlowCalNumber,0),1,1)*L83^INDEX(FlowCalConstB,MATCH(J73,FlowCalNumber,0),1,1)&lt;INDEX(FlowCalHighSetting,MATCH(J73,FlowCalNumber,0),1,1))),INDEX(FlowCalConstA,MATCH(J73,FlowCalNumber,0),1,1)*L83^INDEX(FlowCalConstB,MATCH(J73,FlowCalNumber,0),1,1)," ")</f>
        <v>#N/A</v>
      </c>
      <c r="N83" s="33"/>
      <c r="O83" s="242">
        <f t="shared" si="74"/>
        <v>1</v>
      </c>
      <c r="P83" s="241" t="e">
        <f t="shared" ca="1" si="75"/>
        <v>#VALUE!</v>
      </c>
      <c r="Q83" s="243" t="e">
        <f ca="1">IF(AND(INDEX(FlowCalConstA,MATCH(N73,FlowCalNumber,0),1,1)*P83^INDEX(FlowCalConstB,MATCH(N73,FlowCalNumber,0),1,1)&gt;INDEX(FlowCalLowSetting,MATCH(N73,FlowCalNumber,0),1,1), (INDEX(FlowCalConstA,MATCH(N73,FlowCalNumber,0),1,1)*P83^INDEX(FlowCalConstB,MATCH(N73,FlowCalNumber,0),1,1)&lt;INDEX(FlowCalHighSetting,MATCH(N73,FlowCalNumber,0),1,1))),INDEX(FlowCalConstA,MATCH(N73,FlowCalNumber,0),1,1)*P83^INDEX(FlowCalConstB,MATCH(N73,FlowCalNumber,0),1,1)," ")</f>
        <v>#N/A</v>
      </c>
      <c r="R83" s="33"/>
      <c r="S83" s="242">
        <f t="shared" si="76"/>
        <v>1</v>
      </c>
      <c r="T83" s="241" t="e">
        <f t="shared" ca="1" si="77"/>
        <v>#VALUE!</v>
      </c>
      <c r="U83" s="244" t="e">
        <f ca="1">IF(AND(INDEX(FlowCalConstA,MATCH(R73,FlowCalNumber,0),1,1)*T83^INDEX(FlowCalConstB,MATCH(R73,FlowCalNumber,0),1,1)&gt;INDEX(FlowCalLowSetting,MATCH(R73,FlowCalNumber,0),1,1), (INDEX(FlowCalConstA,MATCH(R73,FlowCalNumber,0),1,1)*T83^INDEX(FlowCalConstB,MATCH(R73,FlowCalNumber,0),1,1)&lt;INDEX(FlowCalHighSetting,MATCH(R73,FlowCalNumber,0),1,1))),INDEX(FlowCalConstA,MATCH(R73,FlowCalNumber,0),1,1)*T83^INDEX(FlowCalConstB,MATCH(R73,FlowCalNumber,0),1,1)," ")</f>
        <v>#N/A</v>
      </c>
      <c r="V83" s="33"/>
      <c r="W83" s="242">
        <f t="shared" si="78"/>
        <v>0.1</v>
      </c>
      <c r="X83" s="241" t="e">
        <f t="shared" ca="1" si="79"/>
        <v>#VALUE!</v>
      </c>
      <c r="Y83" s="243" t="e">
        <f ca="1">IF(AND(INDEX(FlowCalConstA,MATCH(V73,FlowCalNumber,0),1,1)*X83^INDEX(FlowCalConstB,MATCH(V73,FlowCalNumber,0),1,1)&gt;INDEX(FlowCalLowSetting,MATCH(V73,FlowCalNumber,0),1,1), (INDEX(FlowCalConstA,MATCH(V73,FlowCalNumber,0),1,1)*X83^INDEX(FlowCalConstB,MATCH(V73,FlowCalNumber,0),1,1)&lt;INDEX(FlowCalHighSetting,MATCH(V73,FlowCalNumber,0),1,1))),INDEX(FlowCalConstA,MATCH(V73,FlowCalNumber,0),1,1)*X83^INDEX(FlowCalConstB,MATCH(V73,FlowCalNumber,0),1,1)," ")</f>
        <v>#N/A</v>
      </c>
      <c r="Z83" s="33"/>
      <c r="AA83" s="242">
        <f t="shared" si="80"/>
        <v>0.9</v>
      </c>
      <c r="AB83" s="241" t="e">
        <f t="shared" ca="1" si="81"/>
        <v>#VALUE!</v>
      </c>
      <c r="AC83" s="243" t="e">
        <f ca="1">IF(AND(INDEX(FlowCalConstA,MATCH(Z73,FlowCalNumber,0),1,1)*AB83^INDEX(FlowCalConstB,MATCH(Z73,FlowCalNumber,0),1,1)&gt;INDEX(FlowCalLowSetting,MATCH(Z73,FlowCalNumber,0),1,1), (INDEX(FlowCalConstA,MATCH(Z73,FlowCalNumber,0),1,1)*AB83^INDEX(FlowCalConstB,MATCH(Z73,FlowCalNumber,0),1,1)&lt;INDEX(FlowCalHighSetting,MATCH(Z73,FlowCalNumber,0),1,1))),INDEX(FlowCalConstA,MATCH(Z73,FlowCalNumber,0),1,1)*AB83^INDEX(FlowCalConstB,MATCH(Z73,FlowCalNumber,0),1,1)," ")</f>
        <v>#N/A</v>
      </c>
      <c r="AD83" s="33"/>
      <c r="AE83" s="242">
        <f t="shared" si="82"/>
        <v>0.1</v>
      </c>
      <c r="AF83" s="241" t="e">
        <f t="shared" ca="1" si="83"/>
        <v>#VALUE!</v>
      </c>
      <c r="AG83" s="243" t="e">
        <f ca="1">IF(AND(INDEX(FlowCalConstA,MATCH(AD73,FlowCalNumber,0),1,1)*AF83^INDEX(FlowCalConstB,MATCH(AD73,FlowCalNumber,0),1,1)&gt;INDEX(FlowCalLowSetting,MATCH(AD73,FlowCalNumber,0),1,1), (INDEX(FlowCalConstA,MATCH(AD73,FlowCalNumber,0),1,1)*AF83^INDEX(FlowCalConstB,MATCH(AD73,FlowCalNumber,0),1,1)&lt;INDEX(FlowCalHighSetting,MATCH(AD73,FlowCalNumber,0),1,1))),INDEX(FlowCalConstA,MATCH(AD73,FlowCalNumber,0),1,1)*AF83^INDEX(FlowCalConstB,MATCH(AD73,FlowCalNumber,0),1,1)," ")</f>
        <v>#N/A</v>
      </c>
      <c r="AH83" s="33"/>
      <c r="AI83" s="242">
        <f t="shared" si="84"/>
        <v>0.9</v>
      </c>
      <c r="AJ83" s="241" t="e">
        <f t="shared" ca="1" si="85"/>
        <v>#VALUE!</v>
      </c>
      <c r="AK83" s="243" t="e">
        <f ca="1">IF(AND(INDEX(FlowCalConstA,MATCH(AH73,FlowCalNumber,0),1,1)*AJ83^INDEX(FlowCalConstB,MATCH(AH73,FlowCalNumber,0),1,1)&gt;INDEX(FlowCalLowSetting,MATCH(AH73,FlowCalNumber,0),1,1), (INDEX(FlowCalConstA,MATCH(AH73,FlowCalNumber,0),1,1)*AJ83^INDEX(FlowCalConstB,MATCH(AH73,FlowCalNumber,0),1,1)&lt;INDEX(FlowCalHighSetting,MATCH(AH73,FlowCalNumber,0),1,1))),INDEX(FlowCalConstA,MATCH(AH73,FlowCalNumber,0),1,1)*AJ83^INDEX(FlowCalConstB,MATCH(AH73,FlowCalNumber,0),1,1)," ")</f>
        <v>#N/A</v>
      </c>
      <c r="AL83" s="33"/>
      <c r="AM83" s="242"/>
      <c r="AN83" s="241"/>
      <c r="AO83" s="244"/>
      <c r="AQ83" s="242"/>
      <c r="AR83" s="241"/>
      <c r="AS83" s="244"/>
      <c r="AT83" s="33"/>
      <c r="AU83" s="242"/>
      <c r="AV83" s="241"/>
      <c r="AW83" s="244"/>
      <c r="AX83" s="33"/>
      <c r="AY83" s="242"/>
      <c r="AZ83" s="241"/>
      <c r="BA83" s="244"/>
      <c r="BB83" s="33"/>
      <c r="BC83" s="242"/>
      <c r="BD83" s="241"/>
      <c r="BE83" s="244"/>
      <c r="BF83" s="33"/>
      <c r="BG83" s="242"/>
      <c r="BH83" s="241"/>
      <c r="BI83" s="244"/>
      <c r="BJ83" s="33"/>
      <c r="BK83" s="242"/>
      <c r="BL83" s="241"/>
      <c r="BM83" s="244"/>
      <c r="BN83" s="33"/>
      <c r="BO83" s="242"/>
      <c r="BP83" s="241"/>
      <c r="BQ83" s="244"/>
      <c r="BR83" s="33"/>
      <c r="BS83" s="242"/>
      <c r="BT83" s="241"/>
      <c r="BU83" s="244"/>
      <c r="BV83" s="33"/>
      <c r="BW83" s="242"/>
      <c r="BX83" s="241"/>
      <c r="BY83" s="244"/>
      <c r="BZ83" s="33"/>
      <c r="CA83" s="242"/>
      <c r="CB83" s="241"/>
      <c r="CC83" s="244"/>
      <c r="CD83" s="243"/>
      <c r="CE83" s="243"/>
      <c r="CF83" s="243"/>
      <c r="CG83" s="243"/>
      <c r="CH83" s="243"/>
      <c r="CI83" s="243"/>
      <c r="CJ83" s="243"/>
      <c r="CK83" s="243"/>
      <c r="CL83" s="243"/>
      <c r="CM83" s="243"/>
      <c r="CN83" s="243"/>
      <c r="CO83" s="243"/>
      <c r="CP83" s="243"/>
      <c r="CQ83" s="243"/>
      <c r="CR83" s="243"/>
      <c r="CS83" s="243"/>
      <c r="CT83" s="243"/>
      <c r="CU83" s="243"/>
      <c r="CV83" s="243"/>
      <c r="CW83" s="243"/>
      <c r="CX83" s="243"/>
      <c r="CY83" s="243"/>
      <c r="CZ83" s="243"/>
      <c r="DA83" s="243"/>
      <c r="DB83" s="243"/>
      <c r="DC83" s="243"/>
      <c r="DD83" s="243"/>
      <c r="DE83" s="243"/>
      <c r="DF83" s="243"/>
      <c r="DG83" s="243"/>
      <c r="DH83" s="243"/>
      <c r="DI83" s="243"/>
      <c r="DJ83" s="243"/>
      <c r="DK83" s="243"/>
      <c r="DM83" s="242"/>
      <c r="DO83" s="243"/>
      <c r="DQ83" s="242"/>
      <c r="DS83" s="243"/>
      <c r="DU83" s="242"/>
      <c r="DW83" s="243"/>
      <c r="DY83" s="242"/>
      <c r="EA83" s="243"/>
    </row>
    <row r="84" spans="1:131">
      <c r="A84" s="20"/>
      <c r="B84" s="124" t="str">
        <f t="shared" si="70"/>
        <v/>
      </c>
      <c r="C84" s="235"/>
      <c r="D84" s="24">
        <f>'1% Wind'!$M$92</f>
        <v>3.2</v>
      </c>
      <c r="E84" s="90"/>
      <c r="F84" s="90"/>
      <c r="G84" s="79">
        <f ca="1">IF(I73=0.9743,$G83,MAX(G83/D83*D84,2))</f>
        <v>6.001707317073171</v>
      </c>
      <c r="H84" s="121" t="e">
        <f t="shared" ca="1" si="71"/>
        <v>#VALUE!</v>
      </c>
      <c r="J84" s="33"/>
      <c r="K84" s="242">
        <f t="shared" si="72"/>
        <v>1</v>
      </c>
      <c r="L84" s="241" t="e">
        <f t="shared" ca="1" si="73"/>
        <v>#VALUE!</v>
      </c>
      <c r="M84" s="243" t="e">
        <f ca="1">IF(AND(INDEX(FlowCalConstA,MATCH(J73,FlowCalNumber,0),1,1)*L84^INDEX(FlowCalConstB,MATCH(J73,FlowCalNumber,0),1,1)&gt;INDEX(FlowCalLowSetting,MATCH(J73,FlowCalNumber,0),1,1), (INDEX(FlowCalConstA,MATCH(J73,FlowCalNumber,0),1,1)*L84^INDEX(FlowCalConstB,MATCH(J73,FlowCalNumber,0),1,1)&lt;INDEX(FlowCalHighSetting,MATCH(J73,FlowCalNumber,0),1,1))),INDEX(FlowCalConstA,MATCH(J73,FlowCalNumber,0),1,1)*L84^INDEX(FlowCalConstB,MATCH(J73,FlowCalNumber,0),1,1)," ")</f>
        <v>#N/A</v>
      </c>
      <c r="N84" s="33"/>
      <c r="O84" s="242">
        <f t="shared" si="74"/>
        <v>1</v>
      </c>
      <c r="P84" s="241" t="e">
        <f t="shared" ca="1" si="75"/>
        <v>#VALUE!</v>
      </c>
      <c r="Q84" s="243" t="e">
        <f ca="1">IF(AND(INDEX(FlowCalConstA,MATCH(N73,FlowCalNumber,0),1,1)*P84^INDEX(FlowCalConstB,MATCH(N73,FlowCalNumber,0),1,1)&gt;INDEX(FlowCalLowSetting,MATCH(N73,FlowCalNumber,0),1,1), (INDEX(FlowCalConstA,MATCH(N73,FlowCalNumber,0),1,1)*P84^INDEX(FlowCalConstB,MATCH(N73,FlowCalNumber,0),1,1)&lt;INDEX(FlowCalHighSetting,MATCH(N73,FlowCalNumber,0),1,1))),INDEX(FlowCalConstA,MATCH(N73,FlowCalNumber,0),1,1)*P84^INDEX(FlowCalConstB,MATCH(N73,FlowCalNumber,0),1,1)," ")</f>
        <v>#N/A</v>
      </c>
      <c r="R84" s="33"/>
      <c r="S84" s="242">
        <f t="shared" si="76"/>
        <v>1</v>
      </c>
      <c r="T84" s="241" t="e">
        <f t="shared" ca="1" si="77"/>
        <v>#VALUE!</v>
      </c>
      <c r="U84" s="244" t="e">
        <f ca="1">IF(AND(INDEX(FlowCalConstA,MATCH(R73,FlowCalNumber,0),1,1)*T84^INDEX(FlowCalConstB,MATCH(R73,FlowCalNumber,0),1,1)&gt;INDEX(FlowCalLowSetting,MATCH(R73,FlowCalNumber,0),1,1), (INDEX(FlowCalConstA,MATCH(R73,FlowCalNumber,0),1,1)*T84^INDEX(FlowCalConstB,MATCH(R73,FlowCalNumber,0),1,1)&lt;INDEX(FlowCalHighSetting,MATCH(R73,FlowCalNumber,0),1,1))),INDEX(FlowCalConstA,MATCH(R73,FlowCalNumber,0),1,1)*T84^INDEX(FlowCalConstB,MATCH(R73,FlowCalNumber,0),1,1)," ")</f>
        <v>#N/A</v>
      </c>
      <c r="V84" s="33"/>
      <c r="W84" s="242">
        <f t="shared" si="78"/>
        <v>0.1</v>
      </c>
      <c r="X84" s="241" t="e">
        <f t="shared" ca="1" si="79"/>
        <v>#VALUE!</v>
      </c>
      <c r="Y84" s="243" t="e">
        <f ca="1">IF(AND(INDEX(FlowCalConstA,MATCH(V73,FlowCalNumber,0),1,1)*X84^INDEX(FlowCalConstB,MATCH(V73,FlowCalNumber,0),1,1)&gt;INDEX(FlowCalLowSetting,MATCH(V73,FlowCalNumber,0),1,1), (INDEX(FlowCalConstA,MATCH(V73,FlowCalNumber,0),1,1)*X84^INDEX(FlowCalConstB,MATCH(V73,FlowCalNumber,0),1,1)&lt;INDEX(FlowCalHighSetting,MATCH(V73,FlowCalNumber,0),1,1))),INDEX(FlowCalConstA,MATCH(V73,FlowCalNumber,0),1,1)*X84^INDEX(FlowCalConstB,MATCH(V73,FlowCalNumber,0),1,1)," ")</f>
        <v>#N/A</v>
      </c>
      <c r="Z84" s="33"/>
      <c r="AA84" s="242">
        <f t="shared" si="80"/>
        <v>0.9</v>
      </c>
      <c r="AB84" s="241" t="e">
        <f t="shared" ca="1" si="81"/>
        <v>#VALUE!</v>
      </c>
      <c r="AC84" s="243" t="e">
        <f ca="1">IF(AND(INDEX(FlowCalConstA,MATCH(Z73,FlowCalNumber,0),1,1)*AB84^INDEX(FlowCalConstB,MATCH(Z73,FlowCalNumber,0),1,1)&gt;INDEX(FlowCalLowSetting,MATCH(Z73,FlowCalNumber,0),1,1), (INDEX(FlowCalConstA,MATCH(Z73,FlowCalNumber,0),1,1)*AB84^INDEX(FlowCalConstB,MATCH(Z73,FlowCalNumber,0),1,1)&lt;INDEX(FlowCalHighSetting,MATCH(Z73,FlowCalNumber,0),1,1))),INDEX(FlowCalConstA,MATCH(Z73,FlowCalNumber,0),1,1)*AB84^INDEX(FlowCalConstB,MATCH(Z73,FlowCalNumber,0),1,1)," ")</f>
        <v>#N/A</v>
      </c>
      <c r="AD84" s="33"/>
      <c r="AE84" s="242">
        <f t="shared" si="82"/>
        <v>0.1</v>
      </c>
      <c r="AF84" s="241" t="e">
        <f t="shared" ca="1" si="83"/>
        <v>#VALUE!</v>
      </c>
      <c r="AG84" s="243" t="e">
        <f ca="1">IF(AND(INDEX(FlowCalConstA,MATCH(AD73,FlowCalNumber,0),1,1)*AF84^INDEX(FlowCalConstB,MATCH(AD73,FlowCalNumber,0),1,1)&gt;INDEX(FlowCalLowSetting,MATCH(AD73,FlowCalNumber,0),1,1), (INDEX(FlowCalConstA,MATCH(AD73,FlowCalNumber,0),1,1)*AF84^INDEX(FlowCalConstB,MATCH(AD73,FlowCalNumber,0),1,1)&lt;INDEX(FlowCalHighSetting,MATCH(AD73,FlowCalNumber,0),1,1))),INDEX(FlowCalConstA,MATCH(AD73,FlowCalNumber,0),1,1)*AF84^INDEX(FlowCalConstB,MATCH(AD73,FlowCalNumber,0),1,1)," ")</f>
        <v>#N/A</v>
      </c>
      <c r="AH84" s="33"/>
      <c r="AI84" s="242">
        <f t="shared" si="84"/>
        <v>0.9</v>
      </c>
      <c r="AJ84" s="241" t="e">
        <f t="shared" ca="1" si="85"/>
        <v>#VALUE!</v>
      </c>
      <c r="AK84" s="243" t="e">
        <f ca="1">IF(AND(INDEX(FlowCalConstA,MATCH(AH73,FlowCalNumber,0),1,1)*AJ84^INDEX(FlowCalConstB,MATCH(AH73,FlowCalNumber,0),1,1)&gt;INDEX(FlowCalLowSetting,MATCH(AH73,FlowCalNumber,0),1,1), (INDEX(FlowCalConstA,MATCH(AH73,FlowCalNumber,0),1,1)*AJ84^INDEX(FlowCalConstB,MATCH(AH73,FlowCalNumber,0),1,1)&lt;INDEX(FlowCalHighSetting,MATCH(AH73,FlowCalNumber,0),1,1))),INDEX(FlowCalConstA,MATCH(AH73,FlowCalNumber,0),1,1)*AJ84^INDEX(FlowCalConstB,MATCH(AH73,FlowCalNumber,0),1,1)," ")</f>
        <v>#N/A</v>
      </c>
      <c r="AL84" s="33"/>
      <c r="AM84" s="242"/>
      <c r="AN84" s="241"/>
      <c r="AO84" s="244"/>
      <c r="AQ84" s="242"/>
      <c r="AR84" s="241"/>
      <c r="AS84" s="244"/>
      <c r="AT84" s="33"/>
      <c r="AU84" s="242"/>
      <c r="AV84" s="241"/>
      <c r="AW84" s="244"/>
      <c r="AX84" s="33"/>
      <c r="AY84" s="242"/>
      <c r="AZ84" s="241"/>
      <c r="BA84" s="244"/>
      <c r="BB84" s="33"/>
      <c r="BC84" s="242"/>
      <c r="BD84" s="241"/>
      <c r="BE84" s="244"/>
      <c r="BF84" s="33"/>
      <c r="BG84" s="242"/>
      <c r="BH84" s="241"/>
      <c r="BI84" s="244"/>
      <c r="BJ84" s="33"/>
      <c r="BK84" s="242"/>
      <c r="BL84" s="241"/>
      <c r="BM84" s="244"/>
      <c r="BN84" s="33"/>
      <c r="BO84" s="242"/>
      <c r="BP84" s="241"/>
      <c r="BQ84" s="244"/>
      <c r="BR84" s="33"/>
      <c r="BS84" s="242"/>
      <c r="BT84" s="241"/>
      <c r="BU84" s="244"/>
      <c r="BV84" s="33"/>
      <c r="BW84" s="242"/>
      <c r="BX84" s="241"/>
      <c r="BY84" s="244"/>
      <c r="BZ84" s="33"/>
      <c r="CA84" s="242"/>
      <c r="CB84" s="241"/>
      <c r="CC84" s="244"/>
      <c r="CD84" s="243"/>
      <c r="CE84" s="243"/>
      <c r="CF84" s="243"/>
      <c r="CG84" s="243"/>
      <c r="CH84" s="243"/>
      <c r="CI84" s="243"/>
      <c r="CJ84" s="243"/>
      <c r="CK84" s="243"/>
      <c r="CL84" s="243"/>
      <c r="CM84" s="243"/>
      <c r="CN84" s="243"/>
      <c r="CO84" s="243"/>
      <c r="CP84" s="243"/>
      <c r="CQ84" s="243"/>
      <c r="CR84" s="243"/>
      <c r="CS84" s="243"/>
      <c r="CT84" s="243"/>
      <c r="CU84" s="243"/>
      <c r="CV84" s="243"/>
      <c r="CW84" s="243"/>
      <c r="CX84" s="243"/>
      <c r="CY84" s="243"/>
      <c r="CZ84" s="243"/>
      <c r="DA84" s="243"/>
      <c r="DB84" s="243"/>
      <c r="DC84" s="243"/>
      <c r="DD84" s="243"/>
      <c r="DE84" s="243"/>
      <c r="DF84" s="243"/>
      <c r="DG84" s="243"/>
      <c r="DH84" s="243"/>
      <c r="DI84" s="243"/>
      <c r="DJ84" s="243"/>
      <c r="DK84" s="243"/>
      <c r="DM84" s="242"/>
      <c r="DO84" s="243"/>
      <c r="DQ84" s="242"/>
      <c r="DS84" s="243"/>
      <c r="DU84" s="242"/>
      <c r="DW84" s="243"/>
      <c r="DY84" s="242"/>
      <c r="EA84" s="243"/>
    </row>
    <row r="85" spans="1:131">
      <c r="A85" s="20"/>
      <c r="B85" s="124" t="str">
        <f t="shared" si="70"/>
        <v/>
      </c>
      <c r="C85" s="235"/>
      <c r="D85" s="24">
        <f>'1% Wind'!$M$93</f>
        <v>2.4</v>
      </c>
      <c r="E85" s="90"/>
      <c r="F85" s="90"/>
      <c r="G85" s="79">
        <f ca="1">IF(I73=0.9743,$G84,MAX(G84/D84*D85,2))</f>
        <v>6.001707317073171</v>
      </c>
      <c r="H85" s="121" t="e">
        <f t="shared" ca="1" si="71"/>
        <v>#VALUE!</v>
      </c>
      <c r="J85" s="33"/>
      <c r="K85" s="242">
        <f t="shared" si="72"/>
        <v>1</v>
      </c>
      <c r="L85" s="241" t="e">
        <f t="shared" ca="1" si="73"/>
        <v>#VALUE!</v>
      </c>
      <c r="M85" s="243" t="e">
        <f ca="1">IF(AND(INDEX(FlowCalConstA,MATCH(J73,FlowCalNumber,0),1,1)*L85^INDEX(FlowCalConstB,MATCH(J73,FlowCalNumber,0),1,1)&gt;INDEX(FlowCalLowSetting,MATCH(J73,FlowCalNumber,0),1,1), (INDEX(FlowCalConstA,MATCH(J73,FlowCalNumber,0),1,1)*L85^INDEX(FlowCalConstB,MATCH(J73,FlowCalNumber,0),1,1)&lt;INDEX(FlowCalHighSetting,MATCH(J73,FlowCalNumber,0),1,1))),INDEX(FlowCalConstA,MATCH(J73,FlowCalNumber,0),1,1)*L85^INDEX(FlowCalConstB,MATCH(J73,FlowCalNumber,0),1,1)," ")</f>
        <v>#N/A</v>
      </c>
      <c r="N85" s="33"/>
      <c r="O85" s="242">
        <f t="shared" si="74"/>
        <v>1</v>
      </c>
      <c r="P85" s="241" t="e">
        <f t="shared" ca="1" si="75"/>
        <v>#VALUE!</v>
      </c>
      <c r="Q85" s="243" t="e">
        <f ca="1">IF(AND(INDEX(FlowCalConstA,MATCH(N73,FlowCalNumber,0),1,1)*P85^INDEX(FlowCalConstB,MATCH(N73,FlowCalNumber,0),1,1)&gt;INDEX(FlowCalLowSetting,MATCH(N73,FlowCalNumber,0),1,1), (INDEX(FlowCalConstA,MATCH(N73,FlowCalNumber,0),1,1)*P85^INDEX(FlowCalConstB,MATCH(N73,FlowCalNumber,0),1,1)&lt;INDEX(FlowCalHighSetting,MATCH(N73,FlowCalNumber,0),1,1))),INDEX(FlowCalConstA,MATCH(N73,FlowCalNumber,0),1,1)*P85^INDEX(FlowCalConstB,MATCH(N73,FlowCalNumber,0),1,1)," ")</f>
        <v>#N/A</v>
      </c>
      <c r="R85" s="33"/>
      <c r="S85" s="242">
        <f t="shared" si="76"/>
        <v>1</v>
      </c>
      <c r="T85" s="241" t="e">
        <f t="shared" ca="1" si="77"/>
        <v>#VALUE!</v>
      </c>
      <c r="U85" s="244" t="e">
        <f ca="1">IF(AND(INDEX(FlowCalConstA,MATCH(R73,FlowCalNumber,0),1,1)*T85^INDEX(FlowCalConstB,MATCH(R73,FlowCalNumber,0),1,1)&gt;INDEX(FlowCalLowSetting,MATCH(R73,FlowCalNumber,0),1,1), (INDEX(FlowCalConstA,MATCH(R73,FlowCalNumber,0),1,1)*T85^INDEX(FlowCalConstB,MATCH(R73,FlowCalNumber,0),1,1)&lt;INDEX(FlowCalHighSetting,MATCH(R73,FlowCalNumber,0),1,1))),INDEX(FlowCalConstA,MATCH(R73,FlowCalNumber,0),1,1)*T85^INDEX(FlowCalConstB,MATCH(R73,FlowCalNumber,0),1,1)," ")</f>
        <v>#N/A</v>
      </c>
      <c r="V85" s="33"/>
      <c r="W85" s="242">
        <f t="shared" si="78"/>
        <v>0.1</v>
      </c>
      <c r="X85" s="241" t="e">
        <f t="shared" ca="1" si="79"/>
        <v>#VALUE!</v>
      </c>
      <c r="Y85" s="243" t="e">
        <f ca="1">IF(AND(INDEX(FlowCalConstA,MATCH(V73,FlowCalNumber,0),1,1)*X85^INDEX(FlowCalConstB,MATCH(V73,FlowCalNumber,0),1,1)&gt;INDEX(FlowCalLowSetting,MATCH(V73,FlowCalNumber,0),1,1), (INDEX(FlowCalConstA,MATCH(V73,FlowCalNumber,0),1,1)*X85^INDEX(FlowCalConstB,MATCH(V73,FlowCalNumber,0),1,1)&lt;INDEX(FlowCalHighSetting,MATCH(V73,FlowCalNumber,0),1,1))),INDEX(FlowCalConstA,MATCH(V73,FlowCalNumber,0),1,1)*X85^INDEX(FlowCalConstB,MATCH(V73,FlowCalNumber,0),1,1)," ")</f>
        <v>#N/A</v>
      </c>
      <c r="Z85" s="33"/>
      <c r="AA85" s="242">
        <f t="shared" si="80"/>
        <v>0.9</v>
      </c>
      <c r="AB85" s="241" t="e">
        <f t="shared" ca="1" si="81"/>
        <v>#VALUE!</v>
      </c>
      <c r="AC85" s="243" t="e">
        <f ca="1">IF(AND(INDEX(FlowCalConstA,MATCH(Z73,FlowCalNumber,0),1,1)*AB85^INDEX(FlowCalConstB,MATCH(Z73,FlowCalNumber,0),1,1)&gt;INDEX(FlowCalLowSetting,MATCH(Z73,FlowCalNumber,0),1,1), (INDEX(FlowCalConstA,MATCH(Z73,FlowCalNumber,0),1,1)*AB85^INDEX(FlowCalConstB,MATCH(Z73,FlowCalNumber,0),1,1)&lt;INDEX(FlowCalHighSetting,MATCH(Z73,FlowCalNumber,0),1,1))),INDEX(FlowCalConstA,MATCH(Z73,FlowCalNumber,0),1,1)*AB85^INDEX(FlowCalConstB,MATCH(Z73,FlowCalNumber,0),1,1)," ")</f>
        <v>#N/A</v>
      </c>
      <c r="AD85" s="33"/>
      <c r="AE85" s="242">
        <f t="shared" si="82"/>
        <v>0.1</v>
      </c>
      <c r="AF85" s="241" t="e">
        <f t="shared" ca="1" si="83"/>
        <v>#VALUE!</v>
      </c>
      <c r="AG85" s="243" t="e">
        <f ca="1">IF(AND(INDEX(FlowCalConstA,MATCH(AD73,FlowCalNumber,0),1,1)*AF85^INDEX(FlowCalConstB,MATCH(AD73,FlowCalNumber,0),1,1)&gt;INDEX(FlowCalLowSetting,MATCH(AD73,FlowCalNumber,0),1,1), (INDEX(FlowCalConstA,MATCH(AD73,FlowCalNumber,0),1,1)*AF85^INDEX(FlowCalConstB,MATCH(AD73,FlowCalNumber,0),1,1)&lt;INDEX(FlowCalHighSetting,MATCH(AD73,FlowCalNumber,0),1,1))),INDEX(FlowCalConstA,MATCH(AD73,FlowCalNumber,0),1,1)*AF85^INDEX(FlowCalConstB,MATCH(AD73,FlowCalNumber,0),1,1)," ")</f>
        <v>#N/A</v>
      </c>
      <c r="AH85" s="33"/>
      <c r="AI85" s="242">
        <f t="shared" si="84"/>
        <v>0.9</v>
      </c>
      <c r="AJ85" s="241" t="e">
        <f t="shared" ca="1" si="85"/>
        <v>#VALUE!</v>
      </c>
      <c r="AK85" s="243" t="e">
        <f ca="1">IF(AND(INDEX(FlowCalConstA,MATCH(AH73,FlowCalNumber,0),1,1)*AJ85^INDEX(FlowCalConstB,MATCH(AH73,FlowCalNumber,0),1,1)&gt;INDEX(FlowCalLowSetting,MATCH(AH73,FlowCalNumber,0),1,1), (INDEX(FlowCalConstA,MATCH(AH73,FlowCalNumber,0),1,1)*AJ85^INDEX(FlowCalConstB,MATCH(AH73,FlowCalNumber,0),1,1)&lt;INDEX(FlowCalHighSetting,MATCH(AH73,FlowCalNumber,0),1,1))),INDEX(FlowCalConstA,MATCH(AH73,FlowCalNumber,0),1,1)*AJ85^INDEX(FlowCalConstB,MATCH(AH73,FlowCalNumber,0),1,1)," ")</f>
        <v>#N/A</v>
      </c>
      <c r="AL85" s="33"/>
      <c r="AM85" s="242"/>
      <c r="AN85" s="241"/>
      <c r="AO85" s="244"/>
      <c r="AQ85" s="242"/>
      <c r="AR85" s="241"/>
      <c r="AS85" s="244"/>
      <c r="AT85" s="33"/>
      <c r="AU85" s="242"/>
      <c r="AV85" s="241"/>
      <c r="AW85" s="244"/>
      <c r="AX85" s="33"/>
      <c r="AY85" s="242"/>
      <c r="AZ85" s="241"/>
      <c r="BA85" s="244"/>
      <c r="BB85" s="33"/>
      <c r="BC85" s="242"/>
      <c r="BD85" s="241"/>
      <c r="BE85" s="244"/>
      <c r="BF85" s="33"/>
      <c r="BG85" s="242"/>
      <c r="BH85" s="241"/>
      <c r="BI85" s="244"/>
      <c r="BJ85" s="33"/>
      <c r="BK85" s="242"/>
      <c r="BL85" s="241"/>
      <c r="BM85" s="244"/>
      <c r="BN85" s="33"/>
      <c r="BO85" s="242"/>
      <c r="BP85" s="241"/>
      <c r="BQ85" s="244"/>
      <c r="BR85" s="33"/>
      <c r="BS85" s="242"/>
      <c r="BT85" s="241"/>
      <c r="BU85" s="244"/>
      <c r="BV85" s="33"/>
      <c r="BW85" s="242"/>
      <c r="BX85" s="241"/>
      <c r="BY85" s="244"/>
      <c r="BZ85" s="33"/>
      <c r="CA85" s="242"/>
      <c r="CB85" s="241"/>
      <c r="CC85" s="244"/>
      <c r="CD85" s="243"/>
      <c r="CE85" s="243"/>
      <c r="CF85" s="243"/>
      <c r="CG85" s="243"/>
      <c r="CH85" s="243"/>
      <c r="CI85" s="243"/>
      <c r="CJ85" s="243"/>
      <c r="CK85" s="243"/>
      <c r="CL85" s="243"/>
      <c r="CM85" s="243"/>
      <c r="CN85" s="243"/>
      <c r="CO85" s="243"/>
      <c r="CP85" s="243"/>
      <c r="CQ85" s="243"/>
      <c r="CR85" s="243"/>
      <c r="CS85" s="243"/>
      <c r="CT85" s="243"/>
      <c r="CU85" s="243"/>
      <c r="CV85" s="243"/>
      <c r="CW85" s="243"/>
      <c r="CX85" s="243"/>
      <c r="CY85" s="243"/>
      <c r="CZ85" s="243"/>
      <c r="DA85" s="243"/>
      <c r="DB85" s="243"/>
      <c r="DC85" s="243"/>
      <c r="DD85" s="243"/>
      <c r="DE85" s="243"/>
      <c r="DF85" s="243"/>
      <c r="DG85" s="243"/>
      <c r="DH85" s="243"/>
      <c r="DI85" s="243"/>
      <c r="DJ85" s="243"/>
      <c r="DK85" s="243"/>
      <c r="DM85" s="242"/>
      <c r="DO85" s="243"/>
      <c r="DQ85" s="242"/>
      <c r="DS85" s="243"/>
      <c r="DU85" s="242"/>
      <c r="DW85" s="243"/>
      <c r="DY85" s="242"/>
      <c r="EA85" s="243"/>
    </row>
    <row r="86" spans="1:131">
      <c r="A86" s="20"/>
      <c r="B86" s="124" t="str">
        <f t="shared" si="70"/>
        <v/>
      </c>
      <c r="C86" s="235"/>
      <c r="D86" s="24">
        <f>'1% Wind'!$M$94</f>
        <v>1.8</v>
      </c>
      <c r="E86" s="90"/>
      <c r="F86" s="90"/>
      <c r="G86" s="79">
        <f ca="1">IF(I73=0.9743,$G85,MAX(G85/D85*D86,2))</f>
        <v>6.001707317073171</v>
      </c>
      <c r="H86" s="121" t="e">
        <f t="shared" ca="1" si="71"/>
        <v>#VALUE!</v>
      </c>
      <c r="J86" s="33"/>
      <c r="K86" s="242">
        <f t="shared" si="72"/>
        <v>1</v>
      </c>
      <c r="L86" s="241" t="e">
        <f t="shared" ca="1" si="73"/>
        <v>#VALUE!</v>
      </c>
      <c r="M86" s="243" t="e">
        <f ca="1">IF(AND(INDEX(FlowCalConstA,MATCH(J73,FlowCalNumber,0),1,1)*L86^INDEX(FlowCalConstB,MATCH(J73,FlowCalNumber,0),1,1)&gt;INDEX(FlowCalLowSetting,MATCH(J73,FlowCalNumber,0),1,1), (INDEX(FlowCalConstA,MATCH(J73,FlowCalNumber,0),1,1)*L86^INDEX(FlowCalConstB,MATCH(J73,FlowCalNumber,0),1,1)&lt;INDEX(FlowCalHighSetting,MATCH(J73,FlowCalNumber,0),1,1))),INDEX(FlowCalConstA,MATCH(J73,FlowCalNumber,0),1,1)*L86^INDEX(FlowCalConstB,MATCH(J73,FlowCalNumber,0),1,1)," ")</f>
        <v>#N/A</v>
      </c>
      <c r="N86" s="33"/>
      <c r="O86" s="242">
        <f t="shared" si="74"/>
        <v>1</v>
      </c>
      <c r="P86" s="241" t="e">
        <f t="shared" ca="1" si="75"/>
        <v>#VALUE!</v>
      </c>
      <c r="Q86" s="243" t="e">
        <f ca="1">IF(AND(INDEX(FlowCalConstA,MATCH(N73,FlowCalNumber,0),1,1)*P86^INDEX(FlowCalConstB,MATCH(N73,FlowCalNumber,0),1,1)&gt;INDEX(FlowCalLowSetting,MATCH(N73,FlowCalNumber,0),1,1), (INDEX(FlowCalConstA,MATCH(N73,FlowCalNumber,0),1,1)*P86^INDEX(FlowCalConstB,MATCH(N73,FlowCalNumber,0),1,1)&lt;INDEX(FlowCalHighSetting,MATCH(N73,FlowCalNumber,0),1,1))),INDEX(FlowCalConstA,MATCH(N73,FlowCalNumber,0),1,1)*P86^INDEX(FlowCalConstB,MATCH(N73,FlowCalNumber,0),1,1)," ")</f>
        <v>#N/A</v>
      </c>
      <c r="R86" s="33"/>
      <c r="S86" s="242">
        <f t="shared" si="76"/>
        <v>1</v>
      </c>
      <c r="T86" s="241" t="e">
        <f t="shared" ca="1" si="77"/>
        <v>#VALUE!</v>
      </c>
      <c r="U86" s="244" t="e">
        <f ca="1">IF(AND(INDEX(FlowCalConstA,MATCH(R73,FlowCalNumber,0),1,1)*T86^INDEX(FlowCalConstB,MATCH(R73,FlowCalNumber,0),1,1)&gt;INDEX(FlowCalLowSetting,MATCH(R73,FlowCalNumber,0),1,1), (INDEX(FlowCalConstA,MATCH(R73,FlowCalNumber,0),1,1)*T86^INDEX(FlowCalConstB,MATCH(R73,FlowCalNumber,0),1,1)&lt;INDEX(FlowCalHighSetting,MATCH(R73,FlowCalNumber,0),1,1))),INDEX(FlowCalConstA,MATCH(R73,FlowCalNumber,0),1,1)*T86^INDEX(FlowCalConstB,MATCH(R73,FlowCalNumber,0),1,1)," ")</f>
        <v>#N/A</v>
      </c>
      <c r="V86" s="33"/>
      <c r="W86" s="242">
        <f t="shared" si="78"/>
        <v>0.1</v>
      </c>
      <c r="X86" s="241" t="e">
        <f t="shared" ca="1" si="79"/>
        <v>#VALUE!</v>
      </c>
      <c r="Y86" s="243" t="e">
        <f ca="1">IF(AND(INDEX(FlowCalConstA,MATCH(V73,FlowCalNumber,0),1,1)*X86^INDEX(FlowCalConstB,MATCH(V73,FlowCalNumber,0),1,1)&gt;INDEX(FlowCalLowSetting,MATCH(V73,FlowCalNumber,0),1,1), (INDEX(FlowCalConstA,MATCH(V73,FlowCalNumber,0),1,1)*X86^INDEX(FlowCalConstB,MATCH(V73,FlowCalNumber,0),1,1)&lt;INDEX(FlowCalHighSetting,MATCH(V73,FlowCalNumber,0),1,1))),INDEX(FlowCalConstA,MATCH(V73,FlowCalNumber,0),1,1)*X86^INDEX(FlowCalConstB,MATCH(V73,FlowCalNumber,0),1,1)," ")</f>
        <v>#N/A</v>
      </c>
      <c r="Z86" s="33"/>
      <c r="AA86" s="242">
        <f t="shared" si="80"/>
        <v>0.9</v>
      </c>
      <c r="AB86" s="241" t="e">
        <f t="shared" ca="1" si="81"/>
        <v>#VALUE!</v>
      </c>
      <c r="AC86" s="243" t="e">
        <f ca="1">IF(AND(INDEX(FlowCalConstA,MATCH(Z73,FlowCalNumber,0),1,1)*AB86^INDEX(FlowCalConstB,MATCH(Z73,FlowCalNumber,0),1,1)&gt;INDEX(FlowCalLowSetting,MATCH(Z73,FlowCalNumber,0),1,1), (INDEX(FlowCalConstA,MATCH(Z73,FlowCalNumber,0),1,1)*AB86^INDEX(FlowCalConstB,MATCH(Z73,FlowCalNumber,0),1,1)&lt;INDEX(FlowCalHighSetting,MATCH(Z73,FlowCalNumber,0),1,1))),INDEX(FlowCalConstA,MATCH(Z73,FlowCalNumber,0),1,1)*AB86^INDEX(FlowCalConstB,MATCH(Z73,FlowCalNumber,0),1,1)," ")</f>
        <v>#N/A</v>
      </c>
      <c r="AD86" s="33"/>
      <c r="AE86" s="242">
        <f t="shared" si="82"/>
        <v>0.1</v>
      </c>
      <c r="AF86" s="241" t="e">
        <f t="shared" ca="1" si="83"/>
        <v>#VALUE!</v>
      </c>
      <c r="AG86" s="243" t="e">
        <f ca="1">IF(AND(INDEX(FlowCalConstA,MATCH(AD73,FlowCalNumber,0),1,1)*AF86^INDEX(FlowCalConstB,MATCH(AD73,FlowCalNumber,0),1,1)&gt;INDEX(FlowCalLowSetting,MATCH(AD73,FlowCalNumber,0),1,1), (INDEX(FlowCalConstA,MATCH(AD73,FlowCalNumber,0),1,1)*AF86^INDEX(FlowCalConstB,MATCH(AD73,FlowCalNumber,0),1,1)&lt;INDEX(FlowCalHighSetting,MATCH(AD73,FlowCalNumber,0),1,1))),INDEX(FlowCalConstA,MATCH(AD73,FlowCalNumber,0),1,1)*AF86^INDEX(FlowCalConstB,MATCH(AD73,FlowCalNumber,0),1,1)," ")</f>
        <v>#N/A</v>
      </c>
      <c r="AH86" s="33"/>
      <c r="AI86" s="242">
        <f t="shared" si="84"/>
        <v>0.9</v>
      </c>
      <c r="AJ86" s="241" t="e">
        <f t="shared" ca="1" si="85"/>
        <v>#VALUE!</v>
      </c>
      <c r="AK86" s="243" t="e">
        <f ca="1">IF(AND(INDEX(FlowCalConstA,MATCH(AH73,FlowCalNumber,0),1,1)*AJ86^INDEX(FlowCalConstB,MATCH(AH73,FlowCalNumber,0),1,1)&gt;INDEX(FlowCalLowSetting,MATCH(AH73,FlowCalNumber,0),1,1), (INDEX(FlowCalConstA,MATCH(AH73,FlowCalNumber,0),1,1)*AJ86^INDEX(FlowCalConstB,MATCH(AH73,FlowCalNumber,0),1,1)&lt;INDEX(FlowCalHighSetting,MATCH(AH73,FlowCalNumber,0),1,1))),INDEX(FlowCalConstA,MATCH(AH73,FlowCalNumber,0),1,1)*AJ86^INDEX(FlowCalConstB,MATCH(AH73,FlowCalNumber,0),1,1)," ")</f>
        <v>#N/A</v>
      </c>
      <c r="AL86" s="33"/>
      <c r="AM86" s="242"/>
      <c r="AN86" s="241"/>
      <c r="AO86" s="244"/>
      <c r="AQ86" s="242"/>
      <c r="AR86" s="241"/>
      <c r="AS86" s="244"/>
      <c r="AT86" s="33"/>
      <c r="AU86" s="242"/>
      <c r="AV86" s="241"/>
      <c r="AW86" s="244"/>
      <c r="AX86" s="33"/>
      <c r="AY86" s="242"/>
      <c r="AZ86" s="241"/>
      <c r="BA86" s="244"/>
      <c r="BB86" s="33"/>
      <c r="BC86" s="242"/>
      <c r="BD86" s="241"/>
      <c r="BE86" s="244"/>
      <c r="BF86" s="33"/>
      <c r="BG86" s="242"/>
      <c r="BH86" s="241"/>
      <c r="BI86" s="244"/>
      <c r="BJ86" s="33"/>
      <c r="BK86" s="242"/>
      <c r="BL86" s="241"/>
      <c r="BM86" s="244"/>
      <c r="BN86" s="33"/>
      <c r="BO86" s="242"/>
      <c r="BP86" s="241"/>
      <c r="BQ86" s="244"/>
      <c r="BR86" s="33"/>
      <c r="BS86" s="242"/>
      <c r="BT86" s="241"/>
      <c r="BU86" s="244"/>
      <c r="BV86" s="33"/>
      <c r="BW86" s="242"/>
      <c r="BX86" s="241"/>
      <c r="BY86" s="244"/>
      <c r="BZ86" s="33"/>
      <c r="CA86" s="242"/>
      <c r="CB86" s="241"/>
      <c r="CC86" s="244"/>
      <c r="CD86" s="243"/>
      <c r="CE86" s="243"/>
      <c r="CF86" s="243"/>
      <c r="CG86" s="243"/>
      <c r="CH86" s="243"/>
      <c r="CI86" s="243"/>
      <c r="CJ86" s="243"/>
      <c r="CK86" s="243"/>
      <c r="CL86" s="243"/>
      <c r="CM86" s="243"/>
      <c r="CN86" s="243"/>
      <c r="CO86" s="243"/>
      <c r="CP86" s="243"/>
      <c r="CQ86" s="243"/>
      <c r="CR86" s="243"/>
      <c r="CS86" s="243"/>
      <c r="CT86" s="243"/>
      <c r="CU86" s="243"/>
      <c r="CV86" s="243"/>
      <c r="CW86" s="243"/>
      <c r="CX86" s="243"/>
      <c r="CY86" s="243"/>
      <c r="CZ86" s="243"/>
      <c r="DA86" s="243"/>
      <c r="DB86" s="243"/>
      <c r="DC86" s="243"/>
      <c r="DD86" s="243"/>
      <c r="DE86" s="243"/>
      <c r="DF86" s="243"/>
      <c r="DG86" s="243"/>
      <c r="DH86" s="243"/>
      <c r="DI86" s="243"/>
      <c r="DJ86" s="243"/>
      <c r="DK86" s="243"/>
      <c r="DM86" s="242"/>
      <c r="DO86" s="243"/>
      <c r="DQ86" s="242"/>
      <c r="DS86" s="243"/>
      <c r="DU86" s="242"/>
      <c r="DW86" s="243"/>
      <c r="DY86" s="242"/>
      <c r="EA86" s="243"/>
    </row>
    <row r="87" spans="1:131">
      <c r="A87" s="20"/>
      <c r="B87" s="124" t="str">
        <f t="shared" si="70"/>
        <v/>
      </c>
      <c r="C87" s="235"/>
      <c r="D87" s="24">
        <f>'1% Wind'!$M$95</f>
        <v>1.3</v>
      </c>
      <c r="E87" s="90"/>
      <c r="F87" s="90"/>
      <c r="G87" s="79">
        <f ca="1">IF(I73=0.9743,$G86,MAX(G86/D86*D87,2))</f>
        <v>6.001707317073171</v>
      </c>
      <c r="H87" s="121" t="e">
        <f t="shared" ca="1" si="71"/>
        <v>#VALUE!</v>
      </c>
      <c r="J87" s="33"/>
      <c r="K87" s="242">
        <f t="shared" si="72"/>
        <v>1</v>
      </c>
      <c r="L87" s="241" t="e">
        <f t="shared" ca="1" si="73"/>
        <v>#VALUE!</v>
      </c>
      <c r="M87" s="243" t="e">
        <f ca="1">IF(AND(INDEX(FlowCalConstA,MATCH(J73,FlowCalNumber,0),1,1)*L87^INDEX(FlowCalConstB,MATCH(J73,FlowCalNumber,0),1,1)&gt;INDEX(FlowCalLowSetting,MATCH(J73,FlowCalNumber,0),1,1), (INDEX(FlowCalConstA,MATCH(J73,FlowCalNumber,0),1,1)*L87^INDEX(FlowCalConstB,MATCH(J73,FlowCalNumber,0),1,1)&lt;INDEX(FlowCalHighSetting,MATCH(J73,FlowCalNumber,0),1,1))),INDEX(FlowCalConstA,MATCH(J73,FlowCalNumber,0),1,1)*L87^INDEX(FlowCalConstB,MATCH(J73,FlowCalNumber,0),1,1)," ")</f>
        <v>#N/A</v>
      </c>
      <c r="N87" s="33"/>
      <c r="O87" s="242">
        <f t="shared" si="74"/>
        <v>1</v>
      </c>
      <c r="P87" s="241" t="e">
        <f t="shared" ca="1" si="75"/>
        <v>#VALUE!</v>
      </c>
      <c r="Q87" s="243" t="e">
        <f ca="1">IF(AND(INDEX(FlowCalConstA,MATCH(N73,FlowCalNumber,0),1,1)*P87^INDEX(FlowCalConstB,MATCH(N73,FlowCalNumber,0),1,1)&gt;INDEX(FlowCalLowSetting,MATCH(N73,FlowCalNumber,0),1,1), (INDEX(FlowCalConstA,MATCH(N73,FlowCalNumber,0),1,1)*P87^INDEX(FlowCalConstB,MATCH(N73,FlowCalNumber,0),1,1)&lt;INDEX(FlowCalHighSetting,MATCH(N73,FlowCalNumber,0),1,1))),INDEX(FlowCalConstA,MATCH(N73,FlowCalNumber,0),1,1)*P87^INDEX(FlowCalConstB,MATCH(N73,FlowCalNumber,0),1,1)," ")</f>
        <v>#N/A</v>
      </c>
      <c r="R87" s="33"/>
      <c r="S87" s="242">
        <f t="shared" si="76"/>
        <v>1</v>
      </c>
      <c r="T87" s="241" t="e">
        <f t="shared" ca="1" si="77"/>
        <v>#VALUE!</v>
      </c>
      <c r="U87" s="244" t="e">
        <f ca="1">IF(AND(INDEX(FlowCalConstA,MATCH(R73,FlowCalNumber,0),1,1)*T87^INDEX(FlowCalConstB,MATCH(R73,FlowCalNumber,0),1,1)&gt;INDEX(FlowCalLowSetting,MATCH(R73,FlowCalNumber,0),1,1), (INDEX(FlowCalConstA,MATCH(R73,FlowCalNumber,0),1,1)*T87^INDEX(FlowCalConstB,MATCH(R73,FlowCalNumber,0),1,1)&lt;INDEX(FlowCalHighSetting,MATCH(R73,FlowCalNumber,0),1,1))),INDEX(FlowCalConstA,MATCH(R73,FlowCalNumber,0),1,1)*T87^INDEX(FlowCalConstB,MATCH(R73,FlowCalNumber,0),1,1)," ")</f>
        <v>#N/A</v>
      </c>
      <c r="V87" s="33"/>
      <c r="W87" s="242">
        <f t="shared" si="78"/>
        <v>0.1</v>
      </c>
      <c r="X87" s="241" t="e">
        <f t="shared" ca="1" si="79"/>
        <v>#VALUE!</v>
      </c>
      <c r="Y87" s="243" t="e">
        <f ca="1">IF(AND(INDEX(FlowCalConstA,MATCH(V73,FlowCalNumber,0),1,1)*X87^INDEX(FlowCalConstB,MATCH(V73,FlowCalNumber,0),1,1)&gt;INDEX(FlowCalLowSetting,MATCH(V73,FlowCalNumber,0),1,1), (INDEX(FlowCalConstA,MATCH(V73,FlowCalNumber,0),1,1)*X87^INDEX(FlowCalConstB,MATCH(V73,FlowCalNumber,0),1,1)&lt;INDEX(FlowCalHighSetting,MATCH(V73,FlowCalNumber,0),1,1))),INDEX(FlowCalConstA,MATCH(V73,FlowCalNumber,0),1,1)*X87^INDEX(FlowCalConstB,MATCH(V73,FlowCalNumber,0),1,1)," ")</f>
        <v>#N/A</v>
      </c>
      <c r="Z87" s="33"/>
      <c r="AA87" s="242">
        <f t="shared" si="80"/>
        <v>0.9</v>
      </c>
      <c r="AB87" s="241" t="e">
        <f t="shared" ca="1" si="81"/>
        <v>#VALUE!</v>
      </c>
      <c r="AC87" s="243" t="e">
        <f ca="1">IF(AND(INDEX(FlowCalConstA,MATCH(Z73,FlowCalNumber,0),1,1)*AB87^INDEX(FlowCalConstB,MATCH(Z73,FlowCalNumber,0),1,1)&gt;INDEX(FlowCalLowSetting,MATCH(Z73,FlowCalNumber,0),1,1), (INDEX(FlowCalConstA,MATCH(Z73,FlowCalNumber,0),1,1)*AB87^INDEX(FlowCalConstB,MATCH(Z73,FlowCalNumber,0),1,1)&lt;INDEX(FlowCalHighSetting,MATCH(Z73,FlowCalNumber,0),1,1))),INDEX(FlowCalConstA,MATCH(Z73,FlowCalNumber,0),1,1)*AB87^INDEX(FlowCalConstB,MATCH(Z73,FlowCalNumber,0),1,1)," ")</f>
        <v>#N/A</v>
      </c>
      <c r="AD87" s="33"/>
      <c r="AE87" s="242">
        <f t="shared" si="82"/>
        <v>0.1</v>
      </c>
      <c r="AF87" s="241" t="e">
        <f t="shared" ca="1" si="83"/>
        <v>#VALUE!</v>
      </c>
      <c r="AG87" s="243" t="e">
        <f ca="1">IF(AND(INDEX(FlowCalConstA,MATCH(AD73,FlowCalNumber,0),1,1)*AF87^INDEX(FlowCalConstB,MATCH(AD73,FlowCalNumber,0),1,1)&gt;INDEX(FlowCalLowSetting,MATCH(AD73,FlowCalNumber,0),1,1), (INDEX(FlowCalConstA,MATCH(AD73,FlowCalNumber,0),1,1)*AF87^INDEX(FlowCalConstB,MATCH(AD73,FlowCalNumber,0),1,1)&lt;INDEX(FlowCalHighSetting,MATCH(AD73,FlowCalNumber,0),1,1))),INDEX(FlowCalConstA,MATCH(AD73,FlowCalNumber,0),1,1)*AF87^INDEX(FlowCalConstB,MATCH(AD73,FlowCalNumber,0),1,1)," ")</f>
        <v>#N/A</v>
      </c>
      <c r="AH87" s="33"/>
      <c r="AI87" s="242">
        <f t="shared" si="84"/>
        <v>0.9</v>
      </c>
      <c r="AJ87" s="241" t="e">
        <f t="shared" ca="1" si="85"/>
        <v>#VALUE!</v>
      </c>
      <c r="AK87" s="243" t="e">
        <f ca="1">IF(AND(INDEX(FlowCalConstA,MATCH(AH73,FlowCalNumber,0),1,1)*AJ87^INDEX(FlowCalConstB,MATCH(AH73,FlowCalNumber,0),1,1)&gt;INDEX(FlowCalLowSetting,MATCH(AH73,FlowCalNumber,0),1,1), (INDEX(FlowCalConstA,MATCH(AH73,FlowCalNumber,0),1,1)*AJ87^INDEX(FlowCalConstB,MATCH(AH73,FlowCalNumber,0),1,1)&lt;INDEX(FlowCalHighSetting,MATCH(AH73,FlowCalNumber,0),1,1))),INDEX(FlowCalConstA,MATCH(AH73,FlowCalNumber,0),1,1)*AJ87^INDEX(FlowCalConstB,MATCH(AH73,FlowCalNumber,0),1,1)," ")</f>
        <v>#N/A</v>
      </c>
      <c r="AL87" s="33"/>
      <c r="AM87" s="242"/>
      <c r="AN87" s="241"/>
      <c r="AO87" s="244"/>
      <c r="AQ87" s="242"/>
      <c r="AR87" s="241"/>
      <c r="AS87" s="244"/>
      <c r="AT87" s="33"/>
      <c r="AU87" s="242"/>
      <c r="AV87" s="241"/>
      <c r="AW87" s="244"/>
      <c r="AX87" s="33"/>
      <c r="AY87" s="242"/>
      <c r="AZ87" s="241"/>
      <c r="BA87" s="244"/>
      <c r="BB87" s="33"/>
      <c r="BC87" s="242"/>
      <c r="BD87" s="241"/>
      <c r="BE87" s="244"/>
      <c r="BF87" s="33"/>
      <c r="BG87" s="242"/>
      <c r="BH87" s="241"/>
      <c r="BI87" s="244"/>
      <c r="BJ87" s="33"/>
      <c r="BK87" s="242"/>
      <c r="BL87" s="241"/>
      <c r="BM87" s="244"/>
      <c r="BN87" s="33"/>
      <c r="BO87" s="242"/>
      <c r="BP87" s="241"/>
      <c r="BQ87" s="244"/>
      <c r="BR87" s="33"/>
      <c r="BS87" s="242"/>
      <c r="BT87" s="241"/>
      <c r="BU87" s="244"/>
      <c r="BV87" s="33"/>
      <c r="BW87" s="242"/>
      <c r="BX87" s="241"/>
      <c r="BY87" s="244"/>
      <c r="BZ87" s="33"/>
      <c r="CA87" s="242"/>
      <c r="CB87" s="241"/>
      <c r="CC87" s="244"/>
      <c r="CD87" s="243"/>
      <c r="CE87" s="243"/>
      <c r="CF87" s="243"/>
      <c r="CG87" s="243"/>
      <c r="CH87" s="243"/>
      <c r="CI87" s="243"/>
      <c r="CJ87" s="243"/>
      <c r="CK87" s="243"/>
      <c r="CL87" s="243"/>
      <c r="CM87" s="243"/>
      <c r="CN87" s="243"/>
      <c r="CO87" s="243"/>
      <c r="CP87" s="243"/>
      <c r="CQ87" s="243"/>
      <c r="CR87" s="243"/>
      <c r="CS87" s="243"/>
      <c r="CT87" s="243"/>
      <c r="CU87" s="243"/>
      <c r="CV87" s="243"/>
      <c r="CW87" s="243"/>
      <c r="CX87" s="243"/>
      <c r="CY87" s="243"/>
      <c r="CZ87" s="243"/>
      <c r="DA87" s="243"/>
      <c r="DB87" s="243"/>
      <c r="DC87" s="243"/>
      <c r="DD87" s="243"/>
      <c r="DE87" s="243"/>
      <c r="DF87" s="243"/>
      <c r="DG87" s="243"/>
      <c r="DH87" s="243"/>
      <c r="DI87" s="243"/>
      <c r="DJ87" s="243"/>
      <c r="DK87" s="243"/>
      <c r="DM87" s="242"/>
      <c r="DO87" s="243"/>
      <c r="DQ87" s="242"/>
      <c r="DS87" s="243"/>
      <c r="DU87" s="242"/>
      <c r="DW87" s="243"/>
      <c r="DY87" s="242"/>
      <c r="EA87" s="243"/>
    </row>
    <row r="88" spans="1:131">
      <c r="A88" s="20"/>
      <c r="B88" s="124" t="str">
        <f t="shared" si="70"/>
        <v/>
      </c>
      <c r="C88" s="235"/>
      <c r="D88" s="24">
        <f>'1% Wind'!$M$96</f>
        <v>1</v>
      </c>
      <c r="E88" s="90"/>
      <c r="F88" s="90"/>
      <c r="G88" s="79">
        <f ca="1">IF(I73=0.9743,$G87,MAX(G87/D87*D88,2))</f>
        <v>6.001707317073171</v>
      </c>
      <c r="H88" s="121" t="e">
        <f t="shared" ca="1" si="71"/>
        <v>#VALUE!</v>
      </c>
      <c r="J88" s="33"/>
      <c r="K88" s="242">
        <f t="shared" si="72"/>
        <v>1</v>
      </c>
      <c r="L88" s="241" t="e">
        <f t="shared" ca="1" si="73"/>
        <v>#VALUE!</v>
      </c>
      <c r="M88" s="243" t="e">
        <f ca="1">IF(AND(INDEX(FlowCalConstA,MATCH(J73,FlowCalNumber,0),1,1)*L88^INDEX(FlowCalConstB,MATCH(J73,FlowCalNumber,0),1,1)&gt;INDEX(FlowCalLowSetting,MATCH(J73,FlowCalNumber,0),1,1), (INDEX(FlowCalConstA,MATCH(J73,FlowCalNumber,0),1,1)*L88^INDEX(FlowCalConstB,MATCH(J73,FlowCalNumber,0),1,1)&lt;INDEX(FlowCalHighSetting,MATCH(J73,FlowCalNumber,0),1,1))),INDEX(FlowCalConstA,MATCH(J73,FlowCalNumber,0),1,1)*L88^INDEX(FlowCalConstB,MATCH(J73,FlowCalNumber,0),1,1)," ")</f>
        <v>#N/A</v>
      </c>
      <c r="N88" s="33"/>
      <c r="O88" s="242">
        <f t="shared" si="74"/>
        <v>1</v>
      </c>
      <c r="P88" s="241" t="e">
        <f t="shared" ca="1" si="75"/>
        <v>#VALUE!</v>
      </c>
      <c r="Q88" s="243" t="e">
        <f ca="1">IF(AND(INDEX(FlowCalConstA,MATCH(N73,FlowCalNumber,0),1,1)*P88^INDEX(FlowCalConstB,MATCH(N73,FlowCalNumber,0),1,1)&gt;INDEX(FlowCalLowSetting,MATCH(N73,FlowCalNumber,0),1,1), (INDEX(FlowCalConstA,MATCH(N73,FlowCalNumber,0),1,1)*P88^INDEX(FlowCalConstB,MATCH(N73,FlowCalNumber,0),1,1)&lt;INDEX(FlowCalHighSetting,MATCH(N73,FlowCalNumber,0),1,1))),INDEX(FlowCalConstA,MATCH(N73,FlowCalNumber,0),1,1)*P88^INDEX(FlowCalConstB,MATCH(N73,FlowCalNumber,0),1,1)," ")</f>
        <v>#N/A</v>
      </c>
      <c r="R88" s="33"/>
      <c r="S88" s="242">
        <f t="shared" si="76"/>
        <v>1</v>
      </c>
      <c r="T88" s="241" t="e">
        <f t="shared" ca="1" si="77"/>
        <v>#VALUE!</v>
      </c>
      <c r="U88" s="244" t="e">
        <f ca="1">IF(AND(INDEX(FlowCalConstA,MATCH(R73,FlowCalNumber,0),1,1)*T88^INDEX(FlowCalConstB,MATCH(R73,FlowCalNumber,0),1,1)&gt;INDEX(FlowCalLowSetting,MATCH(R73,FlowCalNumber,0),1,1), (INDEX(FlowCalConstA,MATCH(R73,FlowCalNumber,0),1,1)*T88^INDEX(FlowCalConstB,MATCH(R73,FlowCalNumber,0),1,1)&lt;INDEX(FlowCalHighSetting,MATCH(R73,FlowCalNumber,0),1,1))),INDEX(FlowCalConstA,MATCH(R73,FlowCalNumber,0),1,1)*T88^INDEX(FlowCalConstB,MATCH(R73,FlowCalNumber,0),1,1)," ")</f>
        <v>#N/A</v>
      </c>
      <c r="V88" s="33"/>
      <c r="W88" s="242">
        <f t="shared" si="78"/>
        <v>0.1</v>
      </c>
      <c r="X88" s="241" t="e">
        <f t="shared" ca="1" si="79"/>
        <v>#VALUE!</v>
      </c>
      <c r="Y88" s="243" t="e">
        <f ca="1">IF(AND(INDEX(FlowCalConstA,MATCH(V73,FlowCalNumber,0),1,1)*X88^INDEX(FlowCalConstB,MATCH(V73,FlowCalNumber,0),1,1)&gt;INDEX(FlowCalLowSetting,MATCH(V73,FlowCalNumber,0),1,1), (INDEX(FlowCalConstA,MATCH(V73,FlowCalNumber,0),1,1)*X88^INDEX(FlowCalConstB,MATCH(V73,FlowCalNumber,0),1,1)&lt;INDEX(FlowCalHighSetting,MATCH(V73,FlowCalNumber,0),1,1))),INDEX(FlowCalConstA,MATCH(V73,FlowCalNumber,0),1,1)*X88^INDEX(FlowCalConstB,MATCH(V73,FlowCalNumber,0),1,1)," ")</f>
        <v>#N/A</v>
      </c>
      <c r="Z88" s="33"/>
      <c r="AA88" s="242">
        <f t="shared" si="80"/>
        <v>0.9</v>
      </c>
      <c r="AB88" s="241" t="e">
        <f t="shared" ca="1" si="81"/>
        <v>#VALUE!</v>
      </c>
      <c r="AC88" s="243" t="e">
        <f ca="1">IF(AND(INDEX(FlowCalConstA,MATCH(Z73,FlowCalNumber,0),1,1)*AB88^INDEX(FlowCalConstB,MATCH(Z73,FlowCalNumber,0),1,1)&gt;INDEX(FlowCalLowSetting,MATCH(Z73,FlowCalNumber,0),1,1), (INDEX(FlowCalConstA,MATCH(Z73,FlowCalNumber,0),1,1)*AB88^INDEX(FlowCalConstB,MATCH(Z73,FlowCalNumber,0),1,1)&lt;INDEX(FlowCalHighSetting,MATCH(Z73,FlowCalNumber,0),1,1))),INDEX(FlowCalConstA,MATCH(Z73,FlowCalNumber,0),1,1)*AB88^INDEX(FlowCalConstB,MATCH(Z73,FlowCalNumber,0),1,1)," ")</f>
        <v>#N/A</v>
      </c>
      <c r="AD88" s="33"/>
      <c r="AE88" s="242">
        <f t="shared" si="82"/>
        <v>0.1</v>
      </c>
      <c r="AF88" s="241" t="e">
        <f t="shared" ca="1" si="83"/>
        <v>#VALUE!</v>
      </c>
      <c r="AG88" s="243" t="e">
        <f ca="1">IF(AND(INDEX(FlowCalConstA,MATCH(AD73,FlowCalNumber,0),1,1)*AF88^INDEX(FlowCalConstB,MATCH(AD73,FlowCalNumber,0),1,1)&gt;INDEX(FlowCalLowSetting,MATCH(AD73,FlowCalNumber,0),1,1), (INDEX(FlowCalConstA,MATCH(AD73,FlowCalNumber,0),1,1)*AF88^INDEX(FlowCalConstB,MATCH(AD73,FlowCalNumber,0),1,1)&lt;INDEX(FlowCalHighSetting,MATCH(AD73,FlowCalNumber,0),1,1))),INDEX(FlowCalConstA,MATCH(AD73,FlowCalNumber,0),1,1)*AF88^INDEX(FlowCalConstB,MATCH(AD73,FlowCalNumber,0),1,1)," ")</f>
        <v>#N/A</v>
      </c>
      <c r="AH88" s="33"/>
      <c r="AI88" s="242">
        <f t="shared" si="84"/>
        <v>0.9</v>
      </c>
      <c r="AJ88" s="241" t="e">
        <f t="shared" ca="1" si="85"/>
        <v>#VALUE!</v>
      </c>
      <c r="AK88" s="243" t="e">
        <f ca="1">IF(AND(INDEX(FlowCalConstA,MATCH(AH73,FlowCalNumber,0),1,1)*AJ88^INDEX(FlowCalConstB,MATCH(AH73,FlowCalNumber,0),1,1)&gt;INDEX(FlowCalLowSetting,MATCH(AH73,FlowCalNumber,0),1,1), (INDEX(FlowCalConstA,MATCH(AH73,FlowCalNumber,0),1,1)*AJ88^INDEX(FlowCalConstB,MATCH(AH73,FlowCalNumber,0),1,1)&lt;INDEX(FlowCalHighSetting,MATCH(AH73,FlowCalNumber,0),1,1))),INDEX(FlowCalConstA,MATCH(AH73,FlowCalNumber,0),1,1)*AJ88^INDEX(FlowCalConstB,MATCH(AH73,FlowCalNumber,0),1,1)," ")</f>
        <v>#N/A</v>
      </c>
      <c r="AL88" s="33"/>
      <c r="AM88" s="242"/>
      <c r="AN88" s="241"/>
      <c r="AO88" s="244"/>
      <c r="AQ88" s="242"/>
      <c r="AR88" s="241"/>
      <c r="AS88" s="244"/>
      <c r="AT88" s="33"/>
      <c r="AU88" s="242"/>
      <c r="AV88" s="241"/>
      <c r="AW88" s="244"/>
      <c r="AX88" s="33"/>
      <c r="AY88" s="242"/>
      <c r="AZ88" s="241"/>
      <c r="BA88" s="244"/>
      <c r="BB88" s="33"/>
      <c r="BC88" s="242"/>
      <c r="BD88" s="241"/>
      <c r="BE88" s="244"/>
      <c r="BF88" s="33"/>
      <c r="BG88" s="242"/>
      <c r="BH88" s="241"/>
      <c r="BI88" s="244"/>
      <c r="BJ88" s="33"/>
      <c r="BK88" s="242"/>
      <c r="BL88" s="241"/>
      <c r="BM88" s="244"/>
      <c r="BN88" s="33"/>
      <c r="BO88" s="242"/>
      <c r="BP88" s="241"/>
      <c r="BQ88" s="244"/>
      <c r="BR88" s="33"/>
      <c r="BS88" s="242"/>
      <c r="BT88" s="241"/>
      <c r="BU88" s="244"/>
      <c r="BV88" s="33"/>
      <c r="BW88" s="242"/>
      <c r="BX88" s="241"/>
      <c r="BY88" s="244"/>
      <c r="BZ88" s="33"/>
      <c r="CA88" s="242"/>
      <c r="CB88" s="241"/>
      <c r="CC88" s="244"/>
      <c r="CD88" s="243"/>
      <c r="CE88" s="243"/>
      <c r="CF88" s="243"/>
      <c r="CG88" s="243"/>
      <c r="CH88" s="243"/>
      <c r="CI88" s="243"/>
      <c r="CJ88" s="243"/>
      <c r="CK88" s="243"/>
      <c r="CL88" s="243"/>
      <c r="CM88" s="243"/>
      <c r="CN88" s="243"/>
      <c r="CO88" s="243"/>
      <c r="CP88" s="243"/>
      <c r="CQ88" s="243"/>
      <c r="CR88" s="243"/>
      <c r="CS88" s="243"/>
      <c r="CT88" s="243"/>
      <c r="CU88" s="243"/>
      <c r="CV88" s="243"/>
      <c r="CW88" s="243"/>
      <c r="CX88" s="243"/>
      <c r="CY88" s="243"/>
      <c r="CZ88" s="243"/>
      <c r="DA88" s="243"/>
      <c r="DB88" s="243"/>
      <c r="DC88" s="243"/>
      <c r="DD88" s="243"/>
      <c r="DE88" s="243"/>
      <c r="DF88" s="243"/>
      <c r="DG88" s="243"/>
      <c r="DH88" s="243"/>
      <c r="DI88" s="243"/>
      <c r="DJ88" s="243"/>
      <c r="DK88" s="243"/>
      <c r="DM88" s="242"/>
      <c r="DO88" s="243"/>
      <c r="DQ88" s="242"/>
      <c r="DS88" s="243"/>
      <c r="DU88" s="242"/>
      <c r="DW88" s="243"/>
      <c r="DY88" s="242"/>
      <c r="EA88" s="243"/>
    </row>
    <row r="89" spans="1:131">
      <c r="A89" s="33"/>
      <c r="B89" s="33"/>
      <c r="C89" s="235"/>
      <c r="E89" s="90"/>
      <c r="F89" s="90"/>
      <c r="G89" s="33"/>
      <c r="J89" s="33"/>
      <c r="N89" s="33"/>
      <c r="Q89" s="243"/>
      <c r="R89" s="33"/>
      <c r="U89" s="244"/>
      <c r="V89" s="33"/>
      <c r="Y89" s="243"/>
      <c r="Z89" s="33"/>
      <c r="AC89" s="243"/>
      <c r="AD89" s="33"/>
      <c r="AG89" s="243"/>
      <c r="AH89" s="33"/>
      <c r="AK89" s="244"/>
      <c r="AL89" s="792"/>
      <c r="AM89" s="243"/>
      <c r="AN89" s="243"/>
      <c r="AO89" s="244"/>
      <c r="AP89" s="243"/>
      <c r="AQ89" s="243"/>
      <c r="AR89" s="243"/>
      <c r="AS89" s="244"/>
      <c r="AT89" s="243"/>
      <c r="AU89" s="243"/>
      <c r="AV89" s="243"/>
      <c r="AW89" s="244"/>
      <c r="AX89" s="243"/>
      <c r="AY89" s="243"/>
      <c r="AZ89" s="243"/>
      <c r="BA89" s="244"/>
      <c r="BB89" s="33"/>
      <c r="BE89" s="244"/>
      <c r="BF89" s="33"/>
      <c r="BI89" s="244"/>
      <c r="BJ89" s="33"/>
      <c r="BM89" s="244"/>
      <c r="BN89" s="243"/>
      <c r="BO89" s="243"/>
      <c r="BP89" s="243"/>
      <c r="BQ89" s="244"/>
      <c r="BR89" s="792"/>
      <c r="BS89" s="243"/>
      <c r="BT89" s="243"/>
      <c r="BU89" s="244"/>
      <c r="BV89" s="792"/>
      <c r="BW89" s="243"/>
      <c r="BX89" s="243"/>
      <c r="BY89" s="244"/>
      <c r="BZ89" s="792"/>
      <c r="CA89" s="243"/>
      <c r="CB89" s="243"/>
      <c r="CC89" s="244"/>
      <c r="CD89" s="243"/>
      <c r="CE89" s="243"/>
      <c r="CF89" s="243"/>
      <c r="CG89" s="243"/>
      <c r="CH89" s="243"/>
      <c r="CI89" s="243"/>
      <c r="CJ89" s="243"/>
      <c r="CK89" s="243"/>
      <c r="CL89" s="243"/>
      <c r="CM89" s="243"/>
      <c r="CN89" s="243"/>
      <c r="CO89" s="243"/>
      <c r="CP89" s="243"/>
      <c r="CQ89" s="243"/>
      <c r="CR89" s="243"/>
      <c r="CS89" s="243"/>
      <c r="CT89" s="243"/>
      <c r="CU89" s="243"/>
      <c r="CV89" s="243"/>
      <c r="CW89" s="243"/>
      <c r="CX89" s="243"/>
      <c r="CY89" s="243"/>
      <c r="CZ89" s="243"/>
      <c r="DA89" s="243"/>
      <c r="DB89" s="243"/>
      <c r="DC89" s="243"/>
      <c r="DD89" s="243"/>
      <c r="DE89" s="243"/>
      <c r="DF89" s="243"/>
      <c r="DG89" s="243"/>
      <c r="DH89" s="243"/>
      <c r="DI89" s="243"/>
      <c r="DJ89" s="243"/>
      <c r="DK89" s="243"/>
      <c r="DO89" s="243"/>
      <c r="DS89" s="243"/>
      <c r="DW89" s="243"/>
      <c r="EA89" s="243"/>
    </row>
    <row r="90" spans="1:131">
      <c r="A90" s="256" t="str">
        <f>IF((RIGHT(A73,1))&lt;&gt;"Z",CHAR(CODE(A73))&amp;CHAR(CODE(RIGHT(A73,1))+1),CHAR(CODE(A73)+1)&amp;"A")</f>
        <v>AE</v>
      </c>
      <c r="B90" s="270" t="str">
        <f>INDEX(SourceID,MATCH($A90,SourceNumber,0),1,1)</f>
        <v>EF-5</v>
      </c>
      <c r="C90" s="354">
        <f>INDEX(SourceExitDiameter,MATCH($A90,SourceNumber,0),1,1)*3.28*12</f>
        <v>56</v>
      </c>
      <c r="D90" s="24" t="str">
        <f>UAnem1percent</f>
        <v>1% Wind</v>
      </c>
      <c r="E90" s="350" t="e">
        <f ca="1">INDIRECT(ADDRESS(53,6,1,,CONCATENATE("TA",$A90)))</f>
        <v>#REF!</v>
      </c>
      <c r="F90" s="625" t="e">
        <f ca="1">(ROUND((INDIRECT(ADDRESS(15,7,1,,CONCATENATE("TA",$A90)))*3.28*12*32),0)&amp;"/32")</f>
        <v>#REF!</v>
      </c>
      <c r="G90" s="125">
        <f ca="1">INDIRECT(ADDRESS(29,7,1,,$A90))</f>
        <v>6.001707317073171</v>
      </c>
      <c r="H90" s="24" t="e">
        <f ca="1">INDIRECT(ADDRESS(19,7,1,,$A90))*100^3</f>
        <v>#VALUE!</v>
      </c>
      <c r="I90" s="941">
        <f ca="1">INDIRECT(ADDRESS(53,7,1,,$A90))</f>
        <v>0.97430000000000005</v>
      </c>
      <c r="J90" s="20" t="str">
        <f ca="1">IF($I90=$I$6,K$16&amp;$G$6&amp;J$6,IF($I90=$I$7,K$16&amp;$G$7&amp;J$7,"Bad"))</f>
        <v>100EthPick a Tunnel</v>
      </c>
      <c r="K90" t="e">
        <f ca="1">INDEX(FlowCalGasMixture,MATCH(J90,FlowCalNumber,0),1,1)</f>
        <v>#N/A</v>
      </c>
      <c r="M90" s="944" t="e">
        <f ca="1">INDEX(FlowCalDevice,MATCH(J90,FlowCalNumber,0),1,1)</f>
        <v>#N/A</v>
      </c>
      <c r="N90" s="943" t="str">
        <f ca="1">IF($I90=$I$6,O$16&amp;$G$6&amp;"90"&amp;$H$6&amp;N$6,IF($I90=$I$7,O$16&amp;$G$7&amp;"90"&amp;$H$7&amp;N$7,"Bad"))</f>
        <v>10Eth90N2Pick a Tunnel</v>
      </c>
      <c r="O90" t="e">
        <f ca="1">INDEX(FlowCalGasMixture,MATCH(N90,FlowCalNumber,0),1,1)</f>
        <v>#N/A</v>
      </c>
      <c r="Q90" s="944" t="e">
        <f ca="1">INDEX(FlowCalDevice,MATCH(N90,FlowCalNumber,0),1,1)</f>
        <v>#N/A</v>
      </c>
      <c r="R90" s="943" t="str">
        <f ca="1">IF($I90=$I$6,S$16&amp;$G$6&amp;"90"&amp;$H$6&amp;R$6,IF($I90=$I$7,S$16&amp;$G$7&amp;"90"&amp;$H$7&amp;R$7,"Bad"))</f>
        <v>10Eth90N2Pick a Tunnel</v>
      </c>
      <c r="S90" t="e">
        <f ca="1">INDEX(FlowCalGasMixture,MATCH(R90,FlowCalNumber,0),1,1)</f>
        <v>#N/A</v>
      </c>
      <c r="U90" s="944" t="e">
        <f ca="1">INDEX(FlowCalDevice,MATCH(R90,FlowCalNumber,0),1,1)</f>
        <v>#N/A</v>
      </c>
      <c r="V90" s="20" t="str">
        <f ca="1">IF($I90=$I$6,W$16&amp;$G$6&amp;V$6,IF($I90=$I$7,W$16&amp;$G$7&amp;V$7,"Bad"))</f>
        <v>100EthPick a Tunnel</v>
      </c>
      <c r="W90" t="e">
        <f ca="1">INDEX(FlowCalGasMixture,MATCH(V90,FlowCalNumber,0),1,1)</f>
        <v>#N/A</v>
      </c>
      <c r="Y90" s="944" t="e">
        <f ca="1">INDEX(FlowCalDevice,MATCH(V90,FlowCalNumber,0),1,1)</f>
        <v>#N/A</v>
      </c>
      <c r="Z90" s="946" t="str">
        <f ca="1">IF($I90=$I$6,AA$18&amp;$H$6&amp;Z$6,IF($I90=$I$7,AA$18&amp;$H$7&amp;Z$7,"Bad"))</f>
        <v>100N2Pick a Tunnel</v>
      </c>
      <c r="AA90" t="e">
        <f ca="1">INDEX(FlowCalGasMixture,MATCH(Z90,FlowCalNumber,0),1,1)</f>
        <v>#N/A</v>
      </c>
      <c r="AC90" s="944" t="e">
        <f ca="1">INDEX(FlowCalDevice,MATCH(Z90,FlowCalNumber,0),1,1)</f>
        <v>#N/A</v>
      </c>
      <c r="AD90" s="20" t="str">
        <f ca="1">IF($I90=$I$6,AE$16&amp;$G$6&amp;AD$6,IF($I90=$I$7,AE$16&amp;$G$7&amp;AD$7,"Bad"))</f>
        <v>100EthPick a Tunnel</v>
      </c>
      <c r="AE90" t="e">
        <f ca="1">INDEX(FlowCalGasMixture,MATCH(AD90,FlowCalNumber,0),1,1)</f>
        <v>#N/A</v>
      </c>
      <c r="AG90" s="944" t="e">
        <f ca="1">INDEX(FlowCalDevice,MATCH(AD90,FlowCalNumber,0),1,1)</f>
        <v>#N/A</v>
      </c>
      <c r="AH90" s="946" t="str">
        <f ca="1">IF($I90=$I$6,AI$18&amp;$H$6&amp;AH$6,IF($I90=$I$7,AI$18&amp;$H$7&amp;AH$7,"Bad"))</f>
        <v>100N2Pick a Tunnel</v>
      </c>
      <c r="AI90" t="e">
        <f ca="1">INDEX(FlowCalGasMixture,MATCH(AH90,FlowCalNumber,0),1,1)</f>
        <v>#N/A</v>
      </c>
      <c r="AK90" s="944" t="e">
        <f ca="1">INDEX(FlowCalDevice,MATCH(AH90,FlowCalNumber,0),1,1)</f>
        <v>#N/A</v>
      </c>
      <c r="AL90" s="20"/>
      <c r="AO90" s="982"/>
      <c r="AP90" s="960"/>
      <c r="AS90" s="982"/>
      <c r="AT90" s="20"/>
      <c r="AW90" s="982"/>
      <c r="AX90" s="946"/>
      <c r="BA90" s="982"/>
      <c r="BB90" s="20"/>
      <c r="BC90" s="16"/>
      <c r="BE90" s="982"/>
      <c r="BF90" s="946"/>
      <c r="BG90" s="16"/>
      <c r="BI90" s="982"/>
      <c r="BJ90" s="946"/>
      <c r="BK90" s="16"/>
      <c r="BM90" s="982"/>
      <c r="BN90" s="20"/>
      <c r="BO90" s="16"/>
      <c r="BQ90" s="982"/>
      <c r="BR90" s="946"/>
      <c r="BS90" s="16"/>
      <c r="BU90" s="982"/>
      <c r="BV90" s="946"/>
      <c r="BW90" s="16"/>
      <c r="BY90" s="982"/>
      <c r="BZ90" s="946"/>
      <c r="CA90" s="16"/>
      <c r="CC90" s="982"/>
      <c r="CD90" s="355"/>
      <c r="CE90" s="355"/>
      <c r="CF90" s="355"/>
      <c r="CG90" s="355"/>
      <c r="CH90" s="355"/>
      <c r="CI90" s="355"/>
      <c r="CJ90" s="355"/>
      <c r="CK90" s="355"/>
      <c r="CL90" s="355"/>
      <c r="CM90" s="355"/>
      <c r="CN90" s="355"/>
      <c r="CO90" s="355"/>
      <c r="CP90" s="355"/>
      <c r="CQ90" s="355"/>
      <c r="CR90" s="355"/>
      <c r="CS90" s="355"/>
      <c r="CT90" s="355"/>
      <c r="CU90" s="355"/>
      <c r="CV90" s="355"/>
      <c r="CW90" s="355"/>
      <c r="CX90" s="355"/>
      <c r="CY90" s="355"/>
      <c r="CZ90" s="355"/>
      <c r="DA90" s="355"/>
      <c r="DB90" s="355"/>
      <c r="DC90" s="355"/>
      <c r="DD90" s="355"/>
      <c r="DE90" s="355"/>
      <c r="DF90" s="355"/>
      <c r="DG90" s="355"/>
      <c r="DH90" s="355"/>
      <c r="DI90" s="355"/>
      <c r="DJ90" s="355"/>
      <c r="DK90" s="355"/>
      <c r="DL90" s="46"/>
      <c r="DM90" s="16"/>
      <c r="DO90" s="355"/>
      <c r="DP90" s="42"/>
      <c r="DQ90" s="16"/>
      <c r="DS90" s="355"/>
      <c r="DT90" s="42"/>
      <c r="DU90" s="16"/>
      <c r="DW90" s="355"/>
      <c r="DX90" s="42"/>
      <c r="DY90" s="16"/>
      <c r="EA90" s="355"/>
    </row>
    <row r="91" spans="1:131">
      <c r="A91" s="20"/>
      <c r="B91" s="124" t="str">
        <f t="shared" ref="B91:B105" si="86">IF(D91=UAnem1percent,"1% Wind","")</f>
        <v/>
      </c>
      <c r="C91" s="235"/>
      <c r="D91" s="24">
        <f>'1% Wind'!$M$82</f>
        <v>27</v>
      </c>
      <c r="E91" s="90"/>
      <c r="F91" s="90"/>
      <c r="G91" s="79">
        <f ca="1">IF(I90=0.9743,$G90,MAX(G90/D90*D91,2))</f>
        <v>6.001707317073171</v>
      </c>
      <c r="H91" s="121" t="e">
        <f t="shared" ref="H91:H105" ca="1" si="87">H90*(D90/D91)*(G91/G90)</f>
        <v>#VALUE!</v>
      </c>
      <c r="J91" s="33"/>
      <c r="K91" s="260">
        <f>K$17/100</f>
        <v>1</v>
      </c>
      <c r="L91" s="241" t="e">
        <f ca="1">K91*$H91</f>
        <v>#VALUE!</v>
      </c>
      <c r="M91" s="243" t="e">
        <f ca="1">IF(AND(INDEX(FlowCalConstA,MATCH(J90,FlowCalNumber,0),1,1)*L91^INDEX(FlowCalConstB,MATCH(J90,FlowCalNumber,0),1,1)&gt;INDEX(FlowCalLowSetting,MATCH(J90,FlowCalNumber,0),1,1), (INDEX(FlowCalConstA,MATCH(J90,FlowCalNumber,0),1,1)*L91^INDEX(FlowCalConstB,MATCH(J90,FlowCalNumber,0),1,1)&lt;INDEX(FlowCalHighSetting,MATCH(J90,FlowCalNumber,0),1,1))),INDEX(FlowCalConstA,MATCH(J90,FlowCalNumber,0),1,1)*L91^INDEX(FlowCalConstB,MATCH(J90,FlowCalNumber,0),1,1)," ")</f>
        <v>#N/A</v>
      </c>
      <c r="N91" s="33"/>
      <c r="O91" s="260">
        <f>O$17/100</f>
        <v>1</v>
      </c>
      <c r="P91" s="241" t="e">
        <f ca="1">O91*$H91</f>
        <v>#VALUE!</v>
      </c>
      <c r="Q91" s="243" t="e">
        <f ca="1">IF(AND(INDEX(FlowCalConstA,MATCH(N90,FlowCalNumber,0),1,1)*P91^INDEX(FlowCalConstB,MATCH(N90,FlowCalNumber,0),1,1)&gt;INDEX(FlowCalLowSetting,MATCH(N90,FlowCalNumber,0),1,1), (INDEX(FlowCalConstA,MATCH(N90,FlowCalNumber,0),1,1)*P91^INDEX(FlowCalConstB,MATCH(N90,FlowCalNumber,0),1,1)&lt;INDEX(FlowCalHighSetting,MATCH(N90,FlowCalNumber,0),1,1))),INDEX(FlowCalConstA,MATCH(N90,FlowCalNumber,0),1,1)*P91^INDEX(FlowCalConstB,MATCH(N90,FlowCalNumber,0),1,1)," ")</f>
        <v>#N/A</v>
      </c>
      <c r="R91" s="33"/>
      <c r="S91" s="260">
        <f>S$17/100</f>
        <v>1</v>
      </c>
      <c r="T91" s="241" t="e">
        <f ca="1">S91*$H91</f>
        <v>#VALUE!</v>
      </c>
      <c r="U91" s="244" t="e">
        <f ca="1">IF(AND(INDEX(FlowCalConstA,MATCH(R90,FlowCalNumber,0),1,1)*T91^INDEX(FlowCalConstB,MATCH(R90,FlowCalNumber,0),1,1)&gt;INDEX(FlowCalLowSetting,MATCH(R90,FlowCalNumber,0),1,1), (INDEX(FlowCalConstA,MATCH(R90,FlowCalNumber,0),1,1)*T91^INDEX(FlowCalConstB,MATCH(R90,FlowCalNumber,0),1,1)&lt;INDEX(FlowCalHighSetting,MATCH(R90,FlowCalNumber,0),1,1))),INDEX(FlowCalConstA,MATCH(R90,FlowCalNumber,0),1,1)*T91^INDEX(FlowCalConstB,MATCH(R90,FlowCalNumber,0),1,1)," ")</f>
        <v>#N/A</v>
      </c>
      <c r="V91" s="33"/>
      <c r="W91" s="260">
        <f>W$17/100</f>
        <v>0.1</v>
      </c>
      <c r="X91" s="241" t="e">
        <f ca="1">W91*$H91</f>
        <v>#VALUE!</v>
      </c>
      <c r="Y91" s="243" t="e">
        <f ca="1">IF(AND(INDEX(FlowCalConstA,MATCH(V90,FlowCalNumber,0),1,1)*X91^INDEX(FlowCalConstB,MATCH(V90,FlowCalNumber,0),1,1)&gt;INDEX(FlowCalLowSetting,MATCH(V90,FlowCalNumber,0),1,1), (INDEX(FlowCalConstA,MATCH(V90,FlowCalNumber,0),1,1)*X91^INDEX(FlowCalConstB,MATCH(V90,FlowCalNumber,0),1,1)&lt;INDEX(FlowCalHighSetting,MATCH(V90,FlowCalNumber,0),1,1))),INDEX(FlowCalConstA,MATCH(V90,FlowCalNumber,0),1,1)*X91^INDEX(FlowCalConstB,MATCH(V90,FlowCalNumber,0),1,1)," ")</f>
        <v>#N/A</v>
      </c>
      <c r="Z91" s="33"/>
      <c r="AA91" s="260">
        <f>AA$17/100</f>
        <v>0.9</v>
      </c>
      <c r="AB91" s="241" t="e">
        <f ca="1">AA91*$H91</f>
        <v>#VALUE!</v>
      </c>
      <c r="AC91" s="243" t="e">
        <f ca="1">IF(AND(INDEX(FlowCalConstA,MATCH(Z90,FlowCalNumber,0),1,1)*AB91^INDEX(FlowCalConstB,MATCH(Z90,FlowCalNumber,0),1,1)&gt;INDEX(FlowCalLowSetting,MATCH(Z90,FlowCalNumber,0),1,1), (INDEX(FlowCalConstA,MATCH(Z90,FlowCalNumber,0),1,1)*AB91^INDEX(FlowCalConstB,MATCH(Z90,FlowCalNumber,0),1,1)&lt;INDEX(FlowCalHighSetting,MATCH(Z90,FlowCalNumber,0),1,1))),INDEX(FlowCalConstA,MATCH(Z90,FlowCalNumber,0),1,1)*AB91^INDEX(FlowCalConstB,MATCH(Z90,FlowCalNumber,0),1,1)," ")</f>
        <v>#N/A</v>
      </c>
      <c r="AD91" s="33"/>
      <c r="AE91" s="260">
        <f>AE$17/100</f>
        <v>0.1</v>
      </c>
      <c r="AF91" s="241" t="e">
        <f ca="1">AE91*$H91</f>
        <v>#VALUE!</v>
      </c>
      <c r="AG91" s="243" t="e">
        <f ca="1">IF(AND(INDEX(FlowCalConstA,MATCH(AD90,FlowCalNumber,0),1,1)*AF91^INDEX(FlowCalConstB,MATCH(AD90,FlowCalNumber,0),1,1)&gt;INDEX(FlowCalLowSetting,MATCH(AD90,FlowCalNumber,0),1,1), (INDEX(FlowCalConstA,MATCH(AD90,FlowCalNumber,0),1,1)*AF91^INDEX(FlowCalConstB,MATCH(AD90,FlowCalNumber,0),1,1)&lt;INDEX(FlowCalHighSetting,MATCH(AD90,FlowCalNumber,0),1,1))),INDEX(FlowCalConstA,MATCH(AD90,FlowCalNumber,0),1,1)*AF91^INDEX(FlowCalConstB,MATCH(AD90,FlowCalNumber,0),1,1)," ")</f>
        <v>#N/A</v>
      </c>
      <c r="AH91" s="33"/>
      <c r="AI91" s="260">
        <f>AI$17/100</f>
        <v>0.9</v>
      </c>
      <c r="AJ91" s="241" t="e">
        <f ca="1">AI91*$H91</f>
        <v>#VALUE!</v>
      </c>
      <c r="AK91" s="243" t="e">
        <f ca="1">IF(AND(INDEX(FlowCalConstA,MATCH(AH90,FlowCalNumber,0),1,1)*AJ91^INDEX(FlowCalConstB,MATCH(AH90,FlowCalNumber,0),1,1)&gt;INDEX(FlowCalLowSetting,MATCH(AH90,FlowCalNumber,0),1,1), (INDEX(FlowCalConstA,MATCH(AH90,FlowCalNumber,0),1,1)*AJ91^INDEX(FlowCalConstB,MATCH(AH90,FlowCalNumber,0),1,1)&lt;INDEX(FlowCalHighSetting,MATCH(AH90,FlowCalNumber,0),1,1))),INDEX(FlowCalConstA,MATCH(AH90,FlowCalNumber,0),1,1)*AJ91^INDEX(FlowCalConstB,MATCH(AH90,FlowCalNumber,0),1,1)," ")</f>
        <v>#N/A</v>
      </c>
      <c r="AL91" s="33"/>
      <c r="AM91" s="260"/>
      <c r="AN91" s="241"/>
      <c r="AO91" s="244"/>
      <c r="AQ91" s="260"/>
      <c r="AR91" s="241"/>
      <c r="AS91" s="244"/>
      <c r="AT91" s="33"/>
      <c r="AU91" s="260"/>
      <c r="AV91" s="241"/>
      <c r="AW91" s="244"/>
      <c r="AX91" s="33"/>
      <c r="AY91" s="260"/>
      <c r="AZ91" s="241"/>
      <c r="BA91" s="244"/>
      <c r="BB91" s="33"/>
      <c r="BC91" s="260"/>
      <c r="BD91" s="241"/>
      <c r="BE91" s="244"/>
      <c r="BF91" s="33"/>
      <c r="BG91" s="260"/>
      <c r="BH91" s="241"/>
      <c r="BI91" s="244"/>
      <c r="BJ91" s="33"/>
      <c r="BK91" s="260"/>
      <c r="BL91" s="241"/>
      <c r="BM91" s="244"/>
      <c r="BN91" s="33"/>
      <c r="BO91" s="260"/>
      <c r="BP91" s="241"/>
      <c r="BQ91" s="244"/>
      <c r="BR91" s="33"/>
      <c r="BS91" s="260"/>
      <c r="BT91" s="241"/>
      <c r="BU91" s="244"/>
      <c r="BV91" s="33"/>
      <c r="BW91" s="260"/>
      <c r="BX91" s="241"/>
      <c r="BY91" s="244"/>
      <c r="BZ91" s="33"/>
      <c r="CA91" s="260"/>
      <c r="CB91" s="241"/>
      <c r="CC91" s="244"/>
      <c r="CD91" s="243"/>
      <c r="CE91" s="243"/>
      <c r="CF91" s="243"/>
      <c r="CG91" s="243"/>
      <c r="CH91" s="243"/>
      <c r="CI91" s="243"/>
      <c r="CJ91" s="243"/>
      <c r="CK91" s="243"/>
      <c r="CL91" s="243"/>
      <c r="CM91" s="243"/>
      <c r="CN91" s="243"/>
      <c r="CO91" s="243"/>
      <c r="CP91" s="243"/>
      <c r="CQ91" s="243"/>
      <c r="CR91" s="243"/>
      <c r="CS91" s="243"/>
      <c r="CT91" s="243"/>
      <c r="CU91" s="243"/>
      <c r="CV91" s="243"/>
      <c r="CW91" s="243"/>
      <c r="CX91" s="243"/>
      <c r="CY91" s="243"/>
      <c r="CZ91" s="243"/>
      <c r="DA91" s="243"/>
      <c r="DB91" s="243"/>
      <c r="DC91" s="243"/>
      <c r="DD91" s="243"/>
      <c r="DE91" s="243"/>
      <c r="DF91" s="243"/>
      <c r="DG91" s="243"/>
      <c r="DH91" s="243"/>
      <c r="DI91" s="243"/>
      <c r="DJ91" s="243"/>
      <c r="DK91" s="243"/>
      <c r="DM91" s="259"/>
      <c r="DO91" s="243"/>
      <c r="DQ91" s="259"/>
      <c r="DS91" s="243"/>
      <c r="DU91" s="259"/>
      <c r="DW91" s="243"/>
      <c r="DY91" s="260"/>
      <c r="EA91" s="243"/>
    </row>
    <row r="92" spans="1:131">
      <c r="A92" s="20"/>
      <c r="B92" s="124" t="str">
        <f t="shared" si="86"/>
        <v/>
      </c>
      <c r="C92" s="235"/>
      <c r="D92" s="24">
        <f>'1% Wind'!$M$83</f>
        <v>23.5</v>
      </c>
      <c r="E92" s="90"/>
      <c r="F92" s="90"/>
      <c r="G92" s="79">
        <f ca="1">IF(I90=0.9743,$G91,MAX(G91/D91*D92,2))</f>
        <v>6.001707317073171</v>
      </c>
      <c r="H92" s="121" t="e">
        <f t="shared" ca="1" si="87"/>
        <v>#VALUE!</v>
      </c>
      <c r="J92" s="33"/>
      <c r="K92" s="242">
        <f t="shared" ref="K92:K105" si="88">K91</f>
        <v>1</v>
      </c>
      <c r="L92" s="241" t="e">
        <f t="shared" ref="L92:L105" ca="1" si="89">K92*$H92</f>
        <v>#VALUE!</v>
      </c>
      <c r="M92" s="243" t="e">
        <f ca="1">IF(AND(INDEX(FlowCalConstA,MATCH(J90,FlowCalNumber,0),1,1)*L92^INDEX(FlowCalConstB,MATCH(J90,FlowCalNumber,0),1,1)&gt;INDEX(FlowCalLowSetting,MATCH(J90,FlowCalNumber,0),1,1), (INDEX(FlowCalConstA,MATCH(J90,FlowCalNumber,0),1,1)*L92^INDEX(FlowCalConstB,MATCH(J90,FlowCalNumber,0),1,1)&lt;INDEX(FlowCalHighSetting,MATCH(J90,FlowCalNumber,0),1,1))),INDEX(FlowCalConstA,MATCH(J90,FlowCalNumber,0),1,1)*L92^INDEX(FlowCalConstB,MATCH(J90,FlowCalNumber,0),1,1)," ")</f>
        <v>#N/A</v>
      </c>
      <c r="N92" s="33"/>
      <c r="O92" s="242">
        <f t="shared" ref="O92:O105" si="90">O91</f>
        <v>1</v>
      </c>
      <c r="P92" s="241" t="e">
        <f t="shared" ref="P92:P105" ca="1" si="91">O92*$H92</f>
        <v>#VALUE!</v>
      </c>
      <c r="Q92" s="243" t="e">
        <f ca="1">IF(AND(INDEX(FlowCalConstA,MATCH(N90,FlowCalNumber,0),1,1)*P92^INDEX(FlowCalConstB,MATCH(N90,FlowCalNumber,0),1,1)&gt;INDEX(FlowCalLowSetting,MATCH(N90,FlowCalNumber,0),1,1), (INDEX(FlowCalConstA,MATCH(N90,FlowCalNumber,0),1,1)*P92^INDEX(FlowCalConstB,MATCH(N90,FlowCalNumber,0),1,1)&lt;INDEX(FlowCalHighSetting,MATCH(N90,FlowCalNumber,0),1,1))),INDEX(FlowCalConstA,MATCH(N90,FlowCalNumber,0),1,1)*P92^INDEX(FlowCalConstB,MATCH(N90,FlowCalNumber,0),1,1)," ")</f>
        <v>#N/A</v>
      </c>
      <c r="R92" s="33"/>
      <c r="S92" s="242">
        <f t="shared" ref="S92:S105" si="92">S91</f>
        <v>1</v>
      </c>
      <c r="T92" s="241" t="e">
        <f t="shared" ref="T92:T105" ca="1" si="93">S92*$H92</f>
        <v>#VALUE!</v>
      </c>
      <c r="U92" s="244" t="e">
        <f ca="1">IF(AND(INDEX(FlowCalConstA,MATCH(R90,FlowCalNumber,0),1,1)*T92^INDEX(FlowCalConstB,MATCH(R90,FlowCalNumber,0),1,1)&gt;INDEX(FlowCalLowSetting,MATCH(R90,FlowCalNumber,0),1,1), (INDEX(FlowCalConstA,MATCH(R90,FlowCalNumber,0),1,1)*T92^INDEX(FlowCalConstB,MATCH(R90,FlowCalNumber,0),1,1)&lt;INDEX(FlowCalHighSetting,MATCH(R90,FlowCalNumber,0),1,1))),INDEX(FlowCalConstA,MATCH(R90,FlowCalNumber,0),1,1)*T92^INDEX(FlowCalConstB,MATCH(R90,FlowCalNumber,0),1,1)," ")</f>
        <v>#N/A</v>
      </c>
      <c r="V92" s="33"/>
      <c r="W92" s="242">
        <f t="shared" ref="W92:W105" si="94">W91</f>
        <v>0.1</v>
      </c>
      <c r="X92" s="241" t="e">
        <f t="shared" ref="X92:X105" ca="1" si="95">W92*$H92</f>
        <v>#VALUE!</v>
      </c>
      <c r="Y92" s="243" t="e">
        <f ca="1">IF(AND(INDEX(FlowCalConstA,MATCH(V90,FlowCalNumber,0),1,1)*X92^INDEX(FlowCalConstB,MATCH(V90,FlowCalNumber,0),1,1)&gt;INDEX(FlowCalLowSetting,MATCH(V90,FlowCalNumber,0),1,1), (INDEX(FlowCalConstA,MATCH(V90,FlowCalNumber,0),1,1)*X92^INDEX(FlowCalConstB,MATCH(V90,FlowCalNumber,0),1,1)&lt;INDEX(FlowCalHighSetting,MATCH(V90,FlowCalNumber,0),1,1))),INDEX(FlowCalConstA,MATCH(V90,FlowCalNumber,0),1,1)*X92^INDEX(FlowCalConstB,MATCH(V90,FlowCalNumber,0),1,1)," ")</f>
        <v>#N/A</v>
      </c>
      <c r="Z92" s="33"/>
      <c r="AA92" s="242">
        <f t="shared" ref="AA92:AA105" si="96">AA91</f>
        <v>0.9</v>
      </c>
      <c r="AB92" s="241" t="e">
        <f t="shared" ref="AB92:AB105" ca="1" si="97">AA92*$H92</f>
        <v>#VALUE!</v>
      </c>
      <c r="AC92" s="243" t="e">
        <f ca="1">IF(AND(INDEX(FlowCalConstA,MATCH(Z90,FlowCalNumber,0),1,1)*AB92^INDEX(FlowCalConstB,MATCH(Z90,FlowCalNumber,0),1,1)&gt;INDEX(FlowCalLowSetting,MATCH(Z90,FlowCalNumber,0),1,1), (INDEX(FlowCalConstA,MATCH(Z90,FlowCalNumber,0),1,1)*AB92^INDEX(FlowCalConstB,MATCH(Z90,FlowCalNumber,0),1,1)&lt;INDEX(FlowCalHighSetting,MATCH(Z90,FlowCalNumber,0),1,1))),INDEX(FlowCalConstA,MATCH(Z90,FlowCalNumber,0),1,1)*AB92^INDEX(FlowCalConstB,MATCH(Z90,FlowCalNumber,0),1,1)," ")</f>
        <v>#N/A</v>
      </c>
      <c r="AD92" s="33"/>
      <c r="AE92" s="242">
        <f t="shared" ref="AE92:AE105" si="98">AE91</f>
        <v>0.1</v>
      </c>
      <c r="AF92" s="241" t="e">
        <f t="shared" ref="AF92:AF105" ca="1" si="99">AE92*$H92</f>
        <v>#VALUE!</v>
      </c>
      <c r="AG92" s="243" t="e">
        <f ca="1">IF(AND(INDEX(FlowCalConstA,MATCH(AD90,FlowCalNumber,0),1,1)*AF92^INDEX(FlowCalConstB,MATCH(AD90,FlowCalNumber,0),1,1)&gt;INDEX(FlowCalLowSetting,MATCH(AD90,FlowCalNumber,0),1,1), (INDEX(FlowCalConstA,MATCH(AD90,FlowCalNumber,0),1,1)*AF92^INDEX(FlowCalConstB,MATCH(AD90,FlowCalNumber,0),1,1)&lt;INDEX(FlowCalHighSetting,MATCH(AD90,FlowCalNumber,0),1,1))),INDEX(FlowCalConstA,MATCH(AD90,FlowCalNumber,0),1,1)*AF92^INDEX(FlowCalConstB,MATCH(AD90,FlowCalNumber,0),1,1)," ")</f>
        <v>#N/A</v>
      </c>
      <c r="AH92" s="33"/>
      <c r="AI92" s="242">
        <f t="shared" ref="AI92:AI105" si="100">AI91</f>
        <v>0.9</v>
      </c>
      <c r="AJ92" s="241" t="e">
        <f t="shared" ref="AJ92:AJ105" ca="1" si="101">AI92*$H92</f>
        <v>#VALUE!</v>
      </c>
      <c r="AK92" s="243" t="e">
        <f ca="1">IF(AND(INDEX(FlowCalConstA,MATCH(AH90,FlowCalNumber,0),1,1)*AJ92^INDEX(FlowCalConstB,MATCH(AH90,FlowCalNumber,0),1,1)&gt;INDEX(FlowCalLowSetting,MATCH(AH90,FlowCalNumber,0),1,1), (INDEX(FlowCalConstA,MATCH(AH90,FlowCalNumber,0),1,1)*AJ92^INDEX(FlowCalConstB,MATCH(AH90,FlowCalNumber,0),1,1)&lt;INDEX(FlowCalHighSetting,MATCH(AH90,FlowCalNumber,0),1,1))),INDEX(FlowCalConstA,MATCH(AH90,FlowCalNumber,0),1,1)*AJ92^INDEX(FlowCalConstB,MATCH(AH90,FlowCalNumber,0),1,1)," ")</f>
        <v>#N/A</v>
      </c>
      <c r="AL92" s="33"/>
      <c r="AM92" s="242"/>
      <c r="AN92" s="241"/>
      <c r="AO92" s="244"/>
      <c r="AQ92" s="242"/>
      <c r="AR92" s="241"/>
      <c r="AS92" s="244"/>
      <c r="AT92" s="33"/>
      <c r="AU92" s="242"/>
      <c r="AV92" s="241"/>
      <c r="AW92" s="244"/>
      <c r="AX92" s="33"/>
      <c r="AY92" s="242"/>
      <c r="AZ92" s="241"/>
      <c r="BA92" s="244"/>
      <c r="BB92" s="33"/>
      <c r="BC92" s="242"/>
      <c r="BD92" s="241"/>
      <c r="BE92" s="244"/>
      <c r="BF92" s="33"/>
      <c r="BG92" s="242"/>
      <c r="BH92" s="241"/>
      <c r="BI92" s="244"/>
      <c r="BJ92" s="33"/>
      <c r="BK92" s="242"/>
      <c r="BL92" s="241"/>
      <c r="BM92" s="244"/>
      <c r="BN92" s="33"/>
      <c r="BO92" s="242"/>
      <c r="BP92" s="241"/>
      <c r="BQ92" s="244"/>
      <c r="BR92" s="33"/>
      <c r="BS92" s="242"/>
      <c r="BT92" s="241"/>
      <c r="BU92" s="244"/>
      <c r="BV92" s="33"/>
      <c r="BW92" s="242"/>
      <c r="BX92" s="241"/>
      <c r="BY92" s="244"/>
      <c r="BZ92" s="33"/>
      <c r="CA92" s="242"/>
      <c r="CB92" s="241"/>
      <c r="CC92" s="244"/>
      <c r="CD92" s="243"/>
      <c r="CE92" s="243"/>
      <c r="CF92" s="243"/>
      <c r="CG92" s="243"/>
      <c r="CH92" s="243"/>
      <c r="CI92" s="243"/>
      <c r="CJ92" s="243"/>
      <c r="CK92" s="243"/>
      <c r="CL92" s="243"/>
      <c r="CM92" s="243"/>
      <c r="CN92" s="243"/>
      <c r="CO92" s="243"/>
      <c r="CP92" s="243"/>
      <c r="CQ92" s="243"/>
      <c r="CR92" s="243"/>
      <c r="CS92" s="243"/>
      <c r="CT92" s="243"/>
      <c r="CU92" s="243"/>
      <c r="CV92" s="243"/>
      <c r="CW92" s="243"/>
      <c r="CX92" s="243"/>
      <c r="CY92" s="243"/>
      <c r="CZ92" s="243"/>
      <c r="DA92" s="243"/>
      <c r="DB92" s="243"/>
      <c r="DC92" s="243"/>
      <c r="DD92" s="243"/>
      <c r="DE92" s="243"/>
      <c r="DF92" s="243"/>
      <c r="DG92" s="243"/>
      <c r="DH92" s="243"/>
      <c r="DI92" s="243"/>
      <c r="DJ92" s="243"/>
      <c r="DK92" s="243"/>
      <c r="DM92" s="242"/>
      <c r="DO92" s="243"/>
      <c r="DQ92" s="242"/>
      <c r="DS92" s="243"/>
      <c r="DU92" s="242"/>
      <c r="DW92" s="243"/>
      <c r="DY92" s="242"/>
      <c r="EA92" s="243"/>
    </row>
    <row r="93" spans="1:131">
      <c r="A93" s="20"/>
      <c r="B93" s="124" t="str">
        <f t="shared" si="86"/>
        <v/>
      </c>
      <c r="C93" s="235"/>
      <c r="D93" s="24">
        <f>'1% Wind'!$M$84</f>
        <v>20.5</v>
      </c>
      <c r="E93" s="90"/>
      <c r="F93" s="90"/>
      <c r="G93" s="79">
        <f ca="1">IF(I90=0.9743,$G92,MAX(G92/D92*D93,2))</f>
        <v>6.001707317073171</v>
      </c>
      <c r="H93" s="121" t="e">
        <f t="shared" ca="1" si="87"/>
        <v>#VALUE!</v>
      </c>
      <c r="J93" s="33"/>
      <c r="K93" s="242">
        <f t="shared" si="88"/>
        <v>1</v>
      </c>
      <c r="L93" s="241" t="e">
        <f t="shared" ca="1" si="89"/>
        <v>#VALUE!</v>
      </c>
      <c r="M93" s="243" t="e">
        <f ca="1">IF(AND(INDEX(FlowCalConstA,MATCH(J90,FlowCalNumber,0),1,1)*L93^INDEX(FlowCalConstB,MATCH(J90,FlowCalNumber,0),1,1)&gt;INDEX(FlowCalLowSetting,MATCH(J90,FlowCalNumber,0),1,1), (INDEX(FlowCalConstA,MATCH(J90,FlowCalNumber,0),1,1)*L93^INDEX(FlowCalConstB,MATCH(J90,FlowCalNumber,0),1,1)&lt;INDEX(FlowCalHighSetting,MATCH(J90,FlowCalNumber,0),1,1))),INDEX(FlowCalConstA,MATCH(J90,FlowCalNumber,0),1,1)*L93^INDEX(FlowCalConstB,MATCH(J90,FlowCalNumber,0),1,1)," ")</f>
        <v>#N/A</v>
      </c>
      <c r="N93" s="33"/>
      <c r="O93" s="242">
        <f t="shared" si="90"/>
        <v>1</v>
      </c>
      <c r="P93" s="241" t="e">
        <f t="shared" ca="1" si="91"/>
        <v>#VALUE!</v>
      </c>
      <c r="Q93" s="243" t="e">
        <f ca="1">IF(AND(INDEX(FlowCalConstA,MATCH(N90,FlowCalNumber,0),1,1)*P93^INDEX(FlowCalConstB,MATCH(N90,FlowCalNumber,0),1,1)&gt;INDEX(FlowCalLowSetting,MATCH(N90,FlowCalNumber,0),1,1), (INDEX(FlowCalConstA,MATCH(N90,FlowCalNumber,0),1,1)*P93^INDEX(FlowCalConstB,MATCH(N90,FlowCalNumber,0),1,1)&lt;INDEX(FlowCalHighSetting,MATCH(N90,FlowCalNumber,0),1,1))),INDEX(FlowCalConstA,MATCH(N90,FlowCalNumber,0),1,1)*P93^INDEX(FlowCalConstB,MATCH(N90,FlowCalNumber,0),1,1)," ")</f>
        <v>#N/A</v>
      </c>
      <c r="R93" s="33"/>
      <c r="S93" s="242">
        <f t="shared" si="92"/>
        <v>1</v>
      </c>
      <c r="T93" s="241" t="e">
        <f t="shared" ca="1" si="93"/>
        <v>#VALUE!</v>
      </c>
      <c r="U93" s="244" t="e">
        <f ca="1">IF(AND(INDEX(FlowCalConstA,MATCH(R90,FlowCalNumber,0),1,1)*T93^INDEX(FlowCalConstB,MATCH(R90,FlowCalNumber,0),1,1)&gt;INDEX(FlowCalLowSetting,MATCH(R90,FlowCalNumber,0),1,1), (INDEX(FlowCalConstA,MATCH(R90,FlowCalNumber,0),1,1)*T93^INDEX(FlowCalConstB,MATCH(R90,FlowCalNumber,0),1,1)&lt;INDEX(FlowCalHighSetting,MATCH(R90,FlowCalNumber,0),1,1))),INDEX(FlowCalConstA,MATCH(R90,FlowCalNumber,0),1,1)*T93^INDEX(FlowCalConstB,MATCH(R90,FlowCalNumber,0),1,1)," ")</f>
        <v>#N/A</v>
      </c>
      <c r="V93" s="33"/>
      <c r="W93" s="242">
        <f t="shared" si="94"/>
        <v>0.1</v>
      </c>
      <c r="X93" s="241" t="e">
        <f t="shared" ca="1" si="95"/>
        <v>#VALUE!</v>
      </c>
      <c r="Y93" s="243" t="e">
        <f ca="1">IF(AND(INDEX(FlowCalConstA,MATCH(V90,FlowCalNumber,0),1,1)*X93^INDEX(FlowCalConstB,MATCH(V90,FlowCalNumber,0),1,1)&gt;INDEX(FlowCalLowSetting,MATCH(V90,FlowCalNumber,0),1,1), (INDEX(FlowCalConstA,MATCH(V90,FlowCalNumber,0),1,1)*X93^INDEX(FlowCalConstB,MATCH(V90,FlowCalNumber,0),1,1)&lt;INDEX(FlowCalHighSetting,MATCH(V90,FlowCalNumber,0),1,1))),INDEX(FlowCalConstA,MATCH(V90,FlowCalNumber,0),1,1)*X93^INDEX(FlowCalConstB,MATCH(V90,FlowCalNumber,0),1,1)," ")</f>
        <v>#N/A</v>
      </c>
      <c r="Z93" s="33"/>
      <c r="AA93" s="242">
        <f t="shared" si="96"/>
        <v>0.9</v>
      </c>
      <c r="AB93" s="241" t="e">
        <f t="shared" ca="1" si="97"/>
        <v>#VALUE!</v>
      </c>
      <c r="AC93" s="243" t="e">
        <f ca="1">IF(AND(INDEX(FlowCalConstA,MATCH(Z90,FlowCalNumber,0),1,1)*AB93^INDEX(FlowCalConstB,MATCH(Z90,FlowCalNumber,0),1,1)&gt;INDEX(FlowCalLowSetting,MATCH(Z90,FlowCalNumber,0),1,1), (INDEX(FlowCalConstA,MATCH(Z90,FlowCalNumber,0),1,1)*AB93^INDEX(FlowCalConstB,MATCH(Z90,FlowCalNumber,0),1,1)&lt;INDEX(FlowCalHighSetting,MATCH(Z90,FlowCalNumber,0),1,1))),INDEX(FlowCalConstA,MATCH(Z90,FlowCalNumber,0),1,1)*AB93^INDEX(FlowCalConstB,MATCH(Z90,FlowCalNumber,0),1,1)," ")</f>
        <v>#N/A</v>
      </c>
      <c r="AD93" s="33"/>
      <c r="AE93" s="242">
        <f t="shared" si="98"/>
        <v>0.1</v>
      </c>
      <c r="AF93" s="241" t="e">
        <f t="shared" ca="1" si="99"/>
        <v>#VALUE!</v>
      </c>
      <c r="AG93" s="243" t="e">
        <f ca="1">IF(AND(INDEX(FlowCalConstA,MATCH(AD90,FlowCalNumber,0),1,1)*AF93^INDEX(FlowCalConstB,MATCH(AD90,FlowCalNumber,0),1,1)&gt;INDEX(FlowCalLowSetting,MATCH(AD90,FlowCalNumber,0),1,1), (INDEX(FlowCalConstA,MATCH(AD90,FlowCalNumber,0),1,1)*AF93^INDEX(FlowCalConstB,MATCH(AD90,FlowCalNumber,0),1,1)&lt;INDEX(FlowCalHighSetting,MATCH(AD90,FlowCalNumber,0),1,1))),INDEX(FlowCalConstA,MATCH(AD90,FlowCalNumber,0),1,1)*AF93^INDEX(FlowCalConstB,MATCH(AD90,FlowCalNumber,0),1,1)," ")</f>
        <v>#N/A</v>
      </c>
      <c r="AH93" s="33"/>
      <c r="AI93" s="242">
        <f t="shared" si="100"/>
        <v>0.9</v>
      </c>
      <c r="AJ93" s="241" t="e">
        <f t="shared" ca="1" si="101"/>
        <v>#VALUE!</v>
      </c>
      <c r="AK93" s="243" t="e">
        <f ca="1">IF(AND(INDEX(FlowCalConstA,MATCH(AH90,FlowCalNumber,0),1,1)*AJ93^INDEX(FlowCalConstB,MATCH(AH90,FlowCalNumber,0),1,1)&gt;INDEX(FlowCalLowSetting,MATCH(AH90,FlowCalNumber,0),1,1), (INDEX(FlowCalConstA,MATCH(AH90,FlowCalNumber,0),1,1)*AJ93^INDEX(FlowCalConstB,MATCH(AH90,FlowCalNumber,0),1,1)&lt;INDEX(FlowCalHighSetting,MATCH(AH90,FlowCalNumber,0),1,1))),INDEX(FlowCalConstA,MATCH(AH90,FlowCalNumber,0),1,1)*AJ93^INDEX(FlowCalConstB,MATCH(AH90,FlowCalNumber,0),1,1)," ")</f>
        <v>#N/A</v>
      </c>
      <c r="AL93" s="33"/>
      <c r="AM93" s="242"/>
      <c r="AN93" s="241"/>
      <c r="AO93" s="244"/>
      <c r="AQ93" s="242"/>
      <c r="AR93" s="241"/>
      <c r="AS93" s="244"/>
      <c r="AT93" s="33"/>
      <c r="AU93" s="242"/>
      <c r="AV93" s="241"/>
      <c r="AW93" s="244"/>
      <c r="AX93" s="33"/>
      <c r="AY93" s="242"/>
      <c r="AZ93" s="241"/>
      <c r="BA93" s="244"/>
      <c r="BB93" s="33"/>
      <c r="BC93" s="242"/>
      <c r="BD93" s="241"/>
      <c r="BE93" s="244"/>
      <c r="BF93" s="33"/>
      <c r="BG93" s="242"/>
      <c r="BH93" s="241"/>
      <c r="BI93" s="244"/>
      <c r="BJ93" s="33"/>
      <c r="BK93" s="242"/>
      <c r="BL93" s="241"/>
      <c r="BM93" s="244"/>
      <c r="BN93" s="33"/>
      <c r="BO93" s="242"/>
      <c r="BP93" s="241"/>
      <c r="BQ93" s="244"/>
      <c r="BR93" s="33"/>
      <c r="BS93" s="242"/>
      <c r="BT93" s="241"/>
      <c r="BU93" s="244"/>
      <c r="BV93" s="33"/>
      <c r="BW93" s="242"/>
      <c r="BX93" s="241"/>
      <c r="BY93" s="244"/>
      <c r="BZ93" s="33"/>
      <c r="CA93" s="242"/>
      <c r="CB93" s="241"/>
      <c r="CC93" s="244"/>
      <c r="CD93" s="243"/>
      <c r="CE93" s="243"/>
      <c r="CF93" s="243"/>
      <c r="CG93" s="243"/>
      <c r="CH93" s="243"/>
      <c r="CI93" s="243"/>
      <c r="CJ93" s="243"/>
      <c r="CK93" s="243"/>
      <c r="CL93" s="243"/>
      <c r="CM93" s="243"/>
      <c r="CN93" s="243"/>
      <c r="CO93" s="243"/>
      <c r="CP93" s="243"/>
      <c r="CQ93" s="243"/>
      <c r="CR93" s="243"/>
      <c r="CS93" s="243"/>
      <c r="CT93" s="243"/>
      <c r="CU93" s="243"/>
      <c r="CV93" s="243"/>
      <c r="CW93" s="243"/>
      <c r="CX93" s="243"/>
      <c r="CY93" s="243"/>
      <c r="CZ93" s="243"/>
      <c r="DA93" s="243"/>
      <c r="DB93" s="243"/>
      <c r="DC93" s="243"/>
      <c r="DD93" s="243"/>
      <c r="DE93" s="243"/>
      <c r="DF93" s="243"/>
      <c r="DG93" s="243"/>
      <c r="DH93" s="243"/>
      <c r="DI93" s="243"/>
      <c r="DJ93" s="243"/>
      <c r="DK93" s="243"/>
      <c r="DM93" s="242"/>
      <c r="DO93" s="243"/>
      <c r="DQ93" s="242"/>
      <c r="DS93" s="243"/>
      <c r="DU93" s="242"/>
      <c r="DW93" s="243"/>
      <c r="DY93" s="242"/>
      <c r="EA93" s="243"/>
    </row>
    <row r="94" spans="1:131">
      <c r="A94" s="20"/>
      <c r="B94" s="124" t="str">
        <f t="shared" si="86"/>
        <v/>
      </c>
      <c r="C94" s="235"/>
      <c r="D94" s="24">
        <f>'1% Wind'!$M$85</f>
        <v>17.8</v>
      </c>
      <c r="E94" s="90"/>
      <c r="F94" s="90"/>
      <c r="G94" s="79">
        <f ca="1">IF(I90=0.9743,$G93,MAX(G93/D93*D94,2))</f>
        <v>6.001707317073171</v>
      </c>
      <c r="H94" s="121" t="e">
        <f t="shared" ca="1" si="87"/>
        <v>#VALUE!</v>
      </c>
      <c r="J94" s="33"/>
      <c r="K94" s="242">
        <f t="shared" si="88"/>
        <v>1</v>
      </c>
      <c r="L94" s="241" t="e">
        <f t="shared" ca="1" si="89"/>
        <v>#VALUE!</v>
      </c>
      <c r="M94" s="243" t="e">
        <f ca="1">IF(AND(INDEX(FlowCalConstA,MATCH(J90,FlowCalNumber,0),1,1)*L94^INDEX(FlowCalConstB,MATCH(J90,FlowCalNumber,0),1,1)&gt;INDEX(FlowCalLowSetting,MATCH(J90,FlowCalNumber,0),1,1), (INDEX(FlowCalConstA,MATCH(J90,FlowCalNumber,0),1,1)*L94^INDEX(FlowCalConstB,MATCH(J90,FlowCalNumber,0),1,1)&lt;INDEX(FlowCalHighSetting,MATCH(J90,FlowCalNumber,0),1,1))),INDEX(FlowCalConstA,MATCH(J90,FlowCalNumber,0),1,1)*L94^INDEX(FlowCalConstB,MATCH(J90,FlowCalNumber,0),1,1)," ")</f>
        <v>#N/A</v>
      </c>
      <c r="N94" s="33"/>
      <c r="O94" s="242">
        <f t="shared" si="90"/>
        <v>1</v>
      </c>
      <c r="P94" s="241" t="e">
        <f t="shared" ca="1" si="91"/>
        <v>#VALUE!</v>
      </c>
      <c r="Q94" s="243" t="e">
        <f ca="1">IF(AND(INDEX(FlowCalConstA,MATCH(N90,FlowCalNumber,0),1,1)*P94^INDEX(FlowCalConstB,MATCH(N90,FlowCalNumber,0),1,1)&gt;INDEX(FlowCalLowSetting,MATCH(N90,FlowCalNumber,0),1,1), (INDEX(FlowCalConstA,MATCH(N90,FlowCalNumber,0),1,1)*P94^INDEX(FlowCalConstB,MATCH(N90,FlowCalNumber,0),1,1)&lt;INDEX(FlowCalHighSetting,MATCH(N90,FlowCalNumber,0),1,1))),INDEX(FlowCalConstA,MATCH(N90,FlowCalNumber,0),1,1)*P94^INDEX(FlowCalConstB,MATCH(N90,FlowCalNumber,0),1,1)," ")</f>
        <v>#N/A</v>
      </c>
      <c r="R94" s="33"/>
      <c r="S94" s="242">
        <f t="shared" si="92"/>
        <v>1</v>
      </c>
      <c r="T94" s="241" t="e">
        <f t="shared" ca="1" si="93"/>
        <v>#VALUE!</v>
      </c>
      <c r="U94" s="244" t="e">
        <f ca="1">IF(AND(INDEX(FlowCalConstA,MATCH(R90,FlowCalNumber,0),1,1)*T94^INDEX(FlowCalConstB,MATCH(R90,FlowCalNumber,0),1,1)&gt;INDEX(FlowCalLowSetting,MATCH(R90,FlowCalNumber,0),1,1), (INDEX(FlowCalConstA,MATCH(R90,FlowCalNumber,0),1,1)*T94^INDEX(FlowCalConstB,MATCH(R90,FlowCalNumber,0),1,1)&lt;INDEX(FlowCalHighSetting,MATCH(R90,FlowCalNumber,0),1,1))),INDEX(FlowCalConstA,MATCH(R90,FlowCalNumber,0),1,1)*T94^INDEX(FlowCalConstB,MATCH(R90,FlowCalNumber,0),1,1)," ")</f>
        <v>#N/A</v>
      </c>
      <c r="V94" s="33"/>
      <c r="W94" s="242">
        <f t="shared" si="94"/>
        <v>0.1</v>
      </c>
      <c r="X94" s="241" t="e">
        <f t="shared" ca="1" si="95"/>
        <v>#VALUE!</v>
      </c>
      <c r="Y94" s="243" t="e">
        <f ca="1">IF(AND(INDEX(FlowCalConstA,MATCH(V90,FlowCalNumber,0),1,1)*X94^INDEX(FlowCalConstB,MATCH(V90,FlowCalNumber,0),1,1)&gt;INDEX(FlowCalLowSetting,MATCH(V90,FlowCalNumber,0),1,1), (INDEX(FlowCalConstA,MATCH(V90,FlowCalNumber,0),1,1)*X94^INDEX(FlowCalConstB,MATCH(V90,FlowCalNumber,0),1,1)&lt;INDEX(FlowCalHighSetting,MATCH(V90,FlowCalNumber,0),1,1))),INDEX(FlowCalConstA,MATCH(V90,FlowCalNumber,0),1,1)*X94^INDEX(FlowCalConstB,MATCH(V90,FlowCalNumber,0),1,1)," ")</f>
        <v>#N/A</v>
      </c>
      <c r="Z94" s="33"/>
      <c r="AA94" s="242">
        <f t="shared" si="96"/>
        <v>0.9</v>
      </c>
      <c r="AB94" s="241" t="e">
        <f t="shared" ca="1" si="97"/>
        <v>#VALUE!</v>
      </c>
      <c r="AC94" s="243" t="e">
        <f ca="1">IF(AND(INDEX(FlowCalConstA,MATCH(Z90,FlowCalNumber,0),1,1)*AB94^INDEX(FlowCalConstB,MATCH(Z90,FlowCalNumber,0),1,1)&gt;INDEX(FlowCalLowSetting,MATCH(Z90,FlowCalNumber,0),1,1), (INDEX(FlowCalConstA,MATCH(Z90,FlowCalNumber,0),1,1)*AB94^INDEX(FlowCalConstB,MATCH(Z90,FlowCalNumber,0),1,1)&lt;INDEX(FlowCalHighSetting,MATCH(Z90,FlowCalNumber,0),1,1))),INDEX(FlowCalConstA,MATCH(Z90,FlowCalNumber,0),1,1)*AB94^INDEX(FlowCalConstB,MATCH(Z90,FlowCalNumber,0),1,1)," ")</f>
        <v>#N/A</v>
      </c>
      <c r="AD94" s="33"/>
      <c r="AE94" s="242">
        <f t="shared" si="98"/>
        <v>0.1</v>
      </c>
      <c r="AF94" s="241" t="e">
        <f t="shared" ca="1" si="99"/>
        <v>#VALUE!</v>
      </c>
      <c r="AG94" s="243" t="e">
        <f ca="1">IF(AND(INDEX(FlowCalConstA,MATCH(AD90,FlowCalNumber,0),1,1)*AF94^INDEX(FlowCalConstB,MATCH(AD90,FlowCalNumber,0),1,1)&gt;INDEX(FlowCalLowSetting,MATCH(AD90,FlowCalNumber,0),1,1), (INDEX(FlowCalConstA,MATCH(AD90,FlowCalNumber,0),1,1)*AF94^INDEX(FlowCalConstB,MATCH(AD90,FlowCalNumber,0),1,1)&lt;INDEX(FlowCalHighSetting,MATCH(AD90,FlowCalNumber,0),1,1))),INDEX(FlowCalConstA,MATCH(AD90,FlowCalNumber,0),1,1)*AF94^INDEX(FlowCalConstB,MATCH(AD90,FlowCalNumber,0),1,1)," ")</f>
        <v>#N/A</v>
      </c>
      <c r="AH94" s="33"/>
      <c r="AI94" s="242">
        <f t="shared" si="100"/>
        <v>0.9</v>
      </c>
      <c r="AJ94" s="241" t="e">
        <f t="shared" ca="1" si="101"/>
        <v>#VALUE!</v>
      </c>
      <c r="AK94" s="243" t="e">
        <f ca="1">IF(AND(INDEX(FlowCalConstA,MATCH(AH90,FlowCalNumber,0),1,1)*AJ94^INDEX(FlowCalConstB,MATCH(AH90,FlowCalNumber,0),1,1)&gt;INDEX(FlowCalLowSetting,MATCH(AH90,FlowCalNumber,0),1,1), (INDEX(FlowCalConstA,MATCH(AH90,FlowCalNumber,0),1,1)*AJ94^INDEX(FlowCalConstB,MATCH(AH90,FlowCalNumber,0),1,1)&lt;INDEX(FlowCalHighSetting,MATCH(AH90,FlowCalNumber,0),1,1))),INDEX(FlowCalConstA,MATCH(AH90,FlowCalNumber,0),1,1)*AJ94^INDEX(FlowCalConstB,MATCH(AH90,FlowCalNumber,0),1,1)," ")</f>
        <v>#N/A</v>
      </c>
      <c r="AL94" s="33"/>
      <c r="AM94" s="242"/>
      <c r="AN94" s="241"/>
      <c r="AO94" s="244"/>
      <c r="AQ94" s="242"/>
      <c r="AR94" s="241"/>
      <c r="AS94" s="244"/>
      <c r="AT94" s="33"/>
      <c r="AU94" s="242"/>
      <c r="AV94" s="241"/>
      <c r="AW94" s="244"/>
      <c r="AX94" s="33"/>
      <c r="AY94" s="242"/>
      <c r="AZ94" s="241"/>
      <c r="BA94" s="244"/>
      <c r="BB94" s="33"/>
      <c r="BC94" s="242"/>
      <c r="BD94" s="241"/>
      <c r="BE94" s="244"/>
      <c r="BF94" s="33"/>
      <c r="BG94" s="242"/>
      <c r="BH94" s="241"/>
      <c r="BI94" s="244"/>
      <c r="BJ94" s="33"/>
      <c r="BK94" s="242"/>
      <c r="BL94" s="241"/>
      <c r="BM94" s="244"/>
      <c r="BN94" s="33"/>
      <c r="BO94" s="242"/>
      <c r="BP94" s="241"/>
      <c r="BQ94" s="244"/>
      <c r="BR94" s="33"/>
      <c r="BS94" s="242"/>
      <c r="BT94" s="241"/>
      <c r="BU94" s="244"/>
      <c r="BV94" s="33"/>
      <c r="BW94" s="242"/>
      <c r="BX94" s="241"/>
      <c r="BY94" s="244"/>
      <c r="BZ94" s="33"/>
      <c r="CA94" s="242"/>
      <c r="CB94" s="241"/>
      <c r="CC94" s="244"/>
      <c r="CD94" s="243"/>
      <c r="CE94" s="243"/>
      <c r="CF94" s="243"/>
      <c r="CG94" s="243"/>
      <c r="CH94" s="243"/>
      <c r="CI94" s="243"/>
      <c r="CJ94" s="243"/>
      <c r="CK94" s="243"/>
      <c r="CL94" s="243"/>
      <c r="CM94" s="243"/>
      <c r="CN94" s="243"/>
      <c r="CO94" s="243"/>
      <c r="CP94" s="243"/>
      <c r="CQ94" s="243"/>
      <c r="CR94" s="243"/>
      <c r="CS94" s="243"/>
      <c r="CT94" s="243"/>
      <c r="CU94" s="243"/>
      <c r="CV94" s="243"/>
      <c r="CW94" s="243"/>
      <c r="CX94" s="243"/>
      <c r="CY94" s="243"/>
      <c r="CZ94" s="243"/>
      <c r="DA94" s="243"/>
      <c r="DB94" s="243"/>
      <c r="DC94" s="243"/>
      <c r="DD94" s="243"/>
      <c r="DE94" s="243"/>
      <c r="DF94" s="243"/>
      <c r="DG94" s="243"/>
      <c r="DH94" s="243"/>
      <c r="DI94" s="243"/>
      <c r="DJ94" s="243"/>
      <c r="DK94" s="243"/>
      <c r="DM94" s="242"/>
      <c r="DO94" s="243"/>
      <c r="DQ94" s="242"/>
      <c r="DS94" s="243"/>
      <c r="DU94" s="242"/>
      <c r="DW94" s="243"/>
      <c r="DY94" s="242"/>
      <c r="EA94" s="243"/>
    </row>
    <row r="95" spans="1:131">
      <c r="A95" s="20"/>
      <c r="B95" s="124" t="str">
        <f t="shared" si="86"/>
        <v/>
      </c>
      <c r="C95" s="235"/>
      <c r="D95" s="24">
        <f>'1% Wind'!$M$86</f>
        <v>15.5</v>
      </c>
      <c r="E95" s="90"/>
      <c r="F95" s="90"/>
      <c r="G95" s="79">
        <f ca="1">IF(I90=0.9743,$G94,MAX(G94/D94*D95,2))</f>
        <v>6.001707317073171</v>
      </c>
      <c r="H95" s="121" t="e">
        <f t="shared" ca="1" si="87"/>
        <v>#VALUE!</v>
      </c>
      <c r="J95" s="33"/>
      <c r="K95" s="242">
        <f t="shared" si="88"/>
        <v>1</v>
      </c>
      <c r="L95" s="241" t="e">
        <f t="shared" ca="1" si="89"/>
        <v>#VALUE!</v>
      </c>
      <c r="M95" s="243" t="e">
        <f ca="1">IF(AND(INDEX(FlowCalConstA,MATCH(J90,FlowCalNumber,0),1,1)*L95^INDEX(FlowCalConstB,MATCH(J90,FlowCalNumber,0),1,1)&gt;INDEX(FlowCalLowSetting,MATCH(J90,FlowCalNumber,0),1,1), (INDEX(FlowCalConstA,MATCH(J90,FlowCalNumber,0),1,1)*L95^INDEX(FlowCalConstB,MATCH(J90,FlowCalNumber,0),1,1)&lt;INDEX(FlowCalHighSetting,MATCH(J90,FlowCalNumber,0),1,1))),INDEX(FlowCalConstA,MATCH(J90,FlowCalNumber,0),1,1)*L95^INDEX(FlowCalConstB,MATCH(J90,FlowCalNumber,0),1,1)," ")</f>
        <v>#N/A</v>
      </c>
      <c r="N95" s="33"/>
      <c r="O95" s="242">
        <f t="shared" si="90"/>
        <v>1</v>
      </c>
      <c r="P95" s="241" t="e">
        <f t="shared" ca="1" si="91"/>
        <v>#VALUE!</v>
      </c>
      <c r="Q95" s="243" t="e">
        <f ca="1">IF(AND(INDEX(FlowCalConstA,MATCH(N90,FlowCalNumber,0),1,1)*P95^INDEX(FlowCalConstB,MATCH(N90,FlowCalNumber,0),1,1)&gt;INDEX(FlowCalLowSetting,MATCH(N90,FlowCalNumber,0),1,1), (INDEX(FlowCalConstA,MATCH(N90,FlowCalNumber,0),1,1)*P95^INDEX(FlowCalConstB,MATCH(N90,FlowCalNumber,0),1,1)&lt;INDEX(FlowCalHighSetting,MATCH(N90,FlowCalNumber,0),1,1))),INDEX(FlowCalConstA,MATCH(N90,FlowCalNumber,0),1,1)*P95^INDEX(FlowCalConstB,MATCH(N90,FlowCalNumber,0),1,1)," ")</f>
        <v>#N/A</v>
      </c>
      <c r="R95" s="33"/>
      <c r="S95" s="242">
        <f t="shared" si="92"/>
        <v>1</v>
      </c>
      <c r="T95" s="241" t="e">
        <f t="shared" ca="1" si="93"/>
        <v>#VALUE!</v>
      </c>
      <c r="U95" s="244" t="e">
        <f ca="1">IF(AND(INDEX(FlowCalConstA,MATCH(R90,FlowCalNumber,0),1,1)*T95^INDEX(FlowCalConstB,MATCH(R90,FlowCalNumber,0),1,1)&gt;INDEX(FlowCalLowSetting,MATCH(R90,FlowCalNumber,0),1,1), (INDEX(FlowCalConstA,MATCH(R90,FlowCalNumber,0),1,1)*T95^INDEX(FlowCalConstB,MATCH(R90,FlowCalNumber,0),1,1)&lt;INDEX(FlowCalHighSetting,MATCH(R90,FlowCalNumber,0),1,1))),INDEX(FlowCalConstA,MATCH(R90,FlowCalNumber,0),1,1)*T95^INDEX(FlowCalConstB,MATCH(R90,FlowCalNumber,0),1,1)," ")</f>
        <v>#N/A</v>
      </c>
      <c r="V95" s="33"/>
      <c r="W95" s="242">
        <f t="shared" si="94"/>
        <v>0.1</v>
      </c>
      <c r="X95" s="241" t="e">
        <f t="shared" ca="1" si="95"/>
        <v>#VALUE!</v>
      </c>
      <c r="Y95" s="243" t="e">
        <f ca="1">IF(AND(INDEX(FlowCalConstA,MATCH(V90,FlowCalNumber,0),1,1)*X95^INDEX(FlowCalConstB,MATCH(V90,FlowCalNumber,0),1,1)&gt;INDEX(FlowCalLowSetting,MATCH(V90,FlowCalNumber,0),1,1), (INDEX(FlowCalConstA,MATCH(V90,FlowCalNumber,0),1,1)*X95^INDEX(FlowCalConstB,MATCH(V90,FlowCalNumber,0),1,1)&lt;INDEX(FlowCalHighSetting,MATCH(V90,FlowCalNumber,0),1,1))),INDEX(FlowCalConstA,MATCH(V90,FlowCalNumber,0),1,1)*X95^INDEX(FlowCalConstB,MATCH(V90,FlowCalNumber,0),1,1)," ")</f>
        <v>#N/A</v>
      </c>
      <c r="Z95" s="33"/>
      <c r="AA95" s="242">
        <f t="shared" si="96"/>
        <v>0.9</v>
      </c>
      <c r="AB95" s="241" t="e">
        <f t="shared" ca="1" si="97"/>
        <v>#VALUE!</v>
      </c>
      <c r="AC95" s="243" t="e">
        <f ca="1">IF(AND(INDEX(FlowCalConstA,MATCH(Z90,FlowCalNumber,0),1,1)*AB95^INDEX(FlowCalConstB,MATCH(Z90,FlowCalNumber,0),1,1)&gt;INDEX(FlowCalLowSetting,MATCH(Z90,FlowCalNumber,0),1,1), (INDEX(FlowCalConstA,MATCH(Z90,FlowCalNumber,0),1,1)*AB95^INDEX(FlowCalConstB,MATCH(Z90,FlowCalNumber,0),1,1)&lt;INDEX(FlowCalHighSetting,MATCH(Z90,FlowCalNumber,0),1,1))),INDEX(FlowCalConstA,MATCH(Z90,FlowCalNumber,0),1,1)*AB95^INDEX(FlowCalConstB,MATCH(Z90,FlowCalNumber,0),1,1)," ")</f>
        <v>#N/A</v>
      </c>
      <c r="AD95" s="33"/>
      <c r="AE95" s="242">
        <f t="shared" si="98"/>
        <v>0.1</v>
      </c>
      <c r="AF95" s="241" t="e">
        <f t="shared" ca="1" si="99"/>
        <v>#VALUE!</v>
      </c>
      <c r="AG95" s="243" t="e">
        <f ca="1">IF(AND(INDEX(FlowCalConstA,MATCH(AD90,FlowCalNumber,0),1,1)*AF95^INDEX(FlowCalConstB,MATCH(AD90,FlowCalNumber,0),1,1)&gt;INDEX(FlowCalLowSetting,MATCH(AD90,FlowCalNumber,0),1,1), (INDEX(FlowCalConstA,MATCH(AD90,FlowCalNumber,0),1,1)*AF95^INDEX(FlowCalConstB,MATCH(AD90,FlowCalNumber,0),1,1)&lt;INDEX(FlowCalHighSetting,MATCH(AD90,FlowCalNumber,0),1,1))),INDEX(FlowCalConstA,MATCH(AD90,FlowCalNumber,0),1,1)*AF95^INDEX(FlowCalConstB,MATCH(AD90,FlowCalNumber,0),1,1)," ")</f>
        <v>#N/A</v>
      </c>
      <c r="AH95" s="33"/>
      <c r="AI95" s="242">
        <f t="shared" si="100"/>
        <v>0.9</v>
      </c>
      <c r="AJ95" s="241" t="e">
        <f t="shared" ca="1" si="101"/>
        <v>#VALUE!</v>
      </c>
      <c r="AK95" s="243" t="e">
        <f ca="1">IF(AND(INDEX(FlowCalConstA,MATCH(AH90,FlowCalNumber,0),1,1)*AJ95^INDEX(FlowCalConstB,MATCH(AH90,FlowCalNumber,0),1,1)&gt;INDEX(FlowCalLowSetting,MATCH(AH90,FlowCalNumber,0),1,1), (INDEX(FlowCalConstA,MATCH(AH90,FlowCalNumber,0),1,1)*AJ95^INDEX(FlowCalConstB,MATCH(AH90,FlowCalNumber,0),1,1)&lt;INDEX(FlowCalHighSetting,MATCH(AH90,FlowCalNumber,0),1,1))),INDEX(FlowCalConstA,MATCH(AH90,FlowCalNumber,0),1,1)*AJ95^INDEX(FlowCalConstB,MATCH(AH90,FlowCalNumber,0),1,1)," ")</f>
        <v>#N/A</v>
      </c>
      <c r="AL95" s="33"/>
      <c r="AM95" s="242"/>
      <c r="AN95" s="241"/>
      <c r="AO95" s="244"/>
      <c r="AQ95" s="242"/>
      <c r="AR95" s="241"/>
      <c r="AS95" s="244"/>
      <c r="AT95" s="33"/>
      <c r="AU95" s="242"/>
      <c r="AV95" s="241"/>
      <c r="AW95" s="244"/>
      <c r="AX95" s="33"/>
      <c r="AY95" s="242"/>
      <c r="AZ95" s="241"/>
      <c r="BA95" s="244"/>
      <c r="BB95" s="33"/>
      <c r="BC95" s="242"/>
      <c r="BD95" s="241"/>
      <c r="BE95" s="244"/>
      <c r="BF95" s="33"/>
      <c r="BG95" s="242"/>
      <c r="BH95" s="241"/>
      <c r="BI95" s="244"/>
      <c r="BJ95" s="33"/>
      <c r="BK95" s="242"/>
      <c r="BL95" s="241"/>
      <c r="BM95" s="244"/>
      <c r="BN95" s="33"/>
      <c r="BO95" s="242"/>
      <c r="BP95" s="241"/>
      <c r="BQ95" s="244"/>
      <c r="BR95" s="33"/>
      <c r="BS95" s="242"/>
      <c r="BT95" s="241"/>
      <c r="BU95" s="244"/>
      <c r="BV95" s="33"/>
      <c r="BW95" s="242"/>
      <c r="BX95" s="241"/>
      <c r="BY95" s="244"/>
      <c r="BZ95" s="33"/>
      <c r="CA95" s="242"/>
      <c r="CB95" s="241"/>
      <c r="CC95" s="244"/>
      <c r="CD95" s="243"/>
      <c r="CE95" s="243"/>
      <c r="CF95" s="243"/>
      <c r="CG95" s="243"/>
      <c r="CH95" s="243"/>
      <c r="CI95" s="243"/>
      <c r="CJ95" s="243"/>
      <c r="CK95" s="243"/>
      <c r="CL95" s="243"/>
      <c r="CM95" s="243"/>
      <c r="CN95" s="243"/>
      <c r="CO95" s="243"/>
      <c r="CP95" s="243"/>
      <c r="CQ95" s="243"/>
      <c r="CR95" s="243"/>
      <c r="CS95" s="243"/>
      <c r="CT95" s="243"/>
      <c r="CU95" s="243"/>
      <c r="CV95" s="243"/>
      <c r="CW95" s="243"/>
      <c r="CX95" s="243"/>
      <c r="CY95" s="243"/>
      <c r="CZ95" s="243"/>
      <c r="DA95" s="243"/>
      <c r="DB95" s="243"/>
      <c r="DC95" s="243"/>
      <c r="DD95" s="243"/>
      <c r="DE95" s="243"/>
      <c r="DF95" s="243"/>
      <c r="DG95" s="243"/>
      <c r="DH95" s="243"/>
      <c r="DI95" s="243"/>
      <c r="DJ95" s="243"/>
      <c r="DK95" s="243"/>
      <c r="DM95" s="242"/>
      <c r="DO95" s="243"/>
      <c r="DQ95" s="242"/>
      <c r="DS95" s="243"/>
      <c r="DU95" s="242"/>
      <c r="DW95" s="243"/>
      <c r="DY95" s="242"/>
      <c r="EA95" s="243"/>
    </row>
    <row r="96" spans="1:131">
      <c r="A96" s="20"/>
      <c r="B96" s="124" t="str">
        <f t="shared" si="86"/>
        <v/>
      </c>
      <c r="C96" s="235"/>
      <c r="D96" s="24">
        <f>'1% Wind'!$M$87</f>
        <v>13.5</v>
      </c>
      <c r="E96" s="90"/>
      <c r="F96" s="90"/>
      <c r="G96" s="79">
        <f ca="1">IF(I90=0.9743,$G95,MAX(G95/D95*D96,2))</f>
        <v>6.001707317073171</v>
      </c>
      <c r="H96" s="121" t="e">
        <f t="shared" ca="1" si="87"/>
        <v>#VALUE!</v>
      </c>
      <c r="J96" s="33"/>
      <c r="K96" s="242">
        <f t="shared" si="88"/>
        <v>1</v>
      </c>
      <c r="L96" s="241" t="e">
        <f t="shared" ca="1" si="89"/>
        <v>#VALUE!</v>
      </c>
      <c r="M96" s="243" t="e">
        <f ca="1">IF(AND(INDEX(FlowCalConstA,MATCH(J90,FlowCalNumber,0),1,1)*L96^INDEX(FlowCalConstB,MATCH(J90,FlowCalNumber,0),1,1)&gt;INDEX(FlowCalLowSetting,MATCH(J90,FlowCalNumber,0),1,1), (INDEX(FlowCalConstA,MATCH(J90,FlowCalNumber,0),1,1)*L96^INDEX(FlowCalConstB,MATCH(J90,FlowCalNumber,0),1,1)&lt;INDEX(FlowCalHighSetting,MATCH(J90,FlowCalNumber,0),1,1))),INDEX(FlowCalConstA,MATCH(J90,FlowCalNumber,0),1,1)*L96^INDEX(FlowCalConstB,MATCH(J90,FlowCalNumber,0),1,1)," ")</f>
        <v>#N/A</v>
      </c>
      <c r="N96" s="33"/>
      <c r="O96" s="242">
        <f t="shared" si="90"/>
        <v>1</v>
      </c>
      <c r="P96" s="241" t="e">
        <f t="shared" ca="1" si="91"/>
        <v>#VALUE!</v>
      </c>
      <c r="Q96" s="243" t="e">
        <f ca="1">IF(AND(INDEX(FlowCalConstA,MATCH(N90,FlowCalNumber,0),1,1)*P96^INDEX(FlowCalConstB,MATCH(N90,FlowCalNumber,0),1,1)&gt;INDEX(FlowCalLowSetting,MATCH(N90,FlowCalNumber,0),1,1), (INDEX(FlowCalConstA,MATCH(N90,FlowCalNumber,0),1,1)*P96^INDEX(FlowCalConstB,MATCH(N90,FlowCalNumber,0),1,1)&lt;INDEX(FlowCalHighSetting,MATCH(N90,FlowCalNumber,0),1,1))),INDEX(FlowCalConstA,MATCH(N90,FlowCalNumber,0),1,1)*P96^INDEX(FlowCalConstB,MATCH(N90,FlowCalNumber,0),1,1)," ")</f>
        <v>#N/A</v>
      </c>
      <c r="R96" s="33"/>
      <c r="S96" s="242">
        <f t="shared" si="92"/>
        <v>1</v>
      </c>
      <c r="T96" s="241" t="e">
        <f t="shared" ca="1" si="93"/>
        <v>#VALUE!</v>
      </c>
      <c r="U96" s="244" t="e">
        <f ca="1">IF(AND(INDEX(FlowCalConstA,MATCH(R90,FlowCalNumber,0),1,1)*T96^INDEX(FlowCalConstB,MATCH(R90,FlowCalNumber,0),1,1)&gt;INDEX(FlowCalLowSetting,MATCH(R90,FlowCalNumber,0),1,1), (INDEX(FlowCalConstA,MATCH(R90,FlowCalNumber,0),1,1)*T96^INDEX(FlowCalConstB,MATCH(R90,FlowCalNumber,0),1,1)&lt;INDEX(FlowCalHighSetting,MATCH(R90,FlowCalNumber,0),1,1))),INDEX(FlowCalConstA,MATCH(R90,FlowCalNumber,0),1,1)*T96^INDEX(FlowCalConstB,MATCH(R90,FlowCalNumber,0),1,1)," ")</f>
        <v>#N/A</v>
      </c>
      <c r="V96" s="33"/>
      <c r="W96" s="242">
        <f t="shared" si="94"/>
        <v>0.1</v>
      </c>
      <c r="X96" s="241" t="e">
        <f t="shared" ca="1" si="95"/>
        <v>#VALUE!</v>
      </c>
      <c r="Y96" s="243" t="e">
        <f ca="1">IF(AND(INDEX(FlowCalConstA,MATCH(V90,FlowCalNumber,0),1,1)*X96^INDEX(FlowCalConstB,MATCH(V90,FlowCalNumber,0),1,1)&gt;INDEX(FlowCalLowSetting,MATCH(V90,FlowCalNumber,0),1,1), (INDEX(FlowCalConstA,MATCH(V90,FlowCalNumber,0),1,1)*X96^INDEX(FlowCalConstB,MATCH(V90,FlowCalNumber,0),1,1)&lt;INDEX(FlowCalHighSetting,MATCH(V90,FlowCalNumber,0),1,1))),INDEX(FlowCalConstA,MATCH(V90,FlowCalNumber,0),1,1)*X96^INDEX(FlowCalConstB,MATCH(V90,FlowCalNumber,0),1,1)," ")</f>
        <v>#N/A</v>
      </c>
      <c r="Z96" s="33"/>
      <c r="AA96" s="242">
        <f t="shared" si="96"/>
        <v>0.9</v>
      </c>
      <c r="AB96" s="241" t="e">
        <f t="shared" ca="1" si="97"/>
        <v>#VALUE!</v>
      </c>
      <c r="AC96" s="243" t="e">
        <f ca="1">IF(AND(INDEX(FlowCalConstA,MATCH(Z90,FlowCalNumber,0),1,1)*AB96^INDEX(FlowCalConstB,MATCH(Z90,FlowCalNumber,0),1,1)&gt;INDEX(FlowCalLowSetting,MATCH(Z90,FlowCalNumber,0),1,1), (INDEX(FlowCalConstA,MATCH(Z90,FlowCalNumber,0),1,1)*AB96^INDEX(FlowCalConstB,MATCH(Z90,FlowCalNumber,0),1,1)&lt;INDEX(FlowCalHighSetting,MATCH(Z90,FlowCalNumber,0),1,1))),INDEX(FlowCalConstA,MATCH(Z90,FlowCalNumber,0),1,1)*AB96^INDEX(FlowCalConstB,MATCH(Z90,FlowCalNumber,0),1,1)," ")</f>
        <v>#N/A</v>
      </c>
      <c r="AD96" s="33"/>
      <c r="AE96" s="242">
        <f t="shared" si="98"/>
        <v>0.1</v>
      </c>
      <c r="AF96" s="241" t="e">
        <f t="shared" ca="1" si="99"/>
        <v>#VALUE!</v>
      </c>
      <c r="AG96" s="243" t="e">
        <f ca="1">IF(AND(INDEX(FlowCalConstA,MATCH(AD90,FlowCalNumber,0),1,1)*AF96^INDEX(FlowCalConstB,MATCH(AD90,FlowCalNumber,0),1,1)&gt;INDEX(FlowCalLowSetting,MATCH(AD90,FlowCalNumber,0),1,1), (INDEX(FlowCalConstA,MATCH(AD90,FlowCalNumber,0),1,1)*AF96^INDEX(FlowCalConstB,MATCH(AD90,FlowCalNumber,0),1,1)&lt;INDEX(FlowCalHighSetting,MATCH(AD90,FlowCalNumber,0),1,1))),INDEX(FlowCalConstA,MATCH(AD90,FlowCalNumber,0),1,1)*AF96^INDEX(FlowCalConstB,MATCH(AD90,FlowCalNumber,0),1,1)," ")</f>
        <v>#N/A</v>
      </c>
      <c r="AH96" s="33"/>
      <c r="AI96" s="242">
        <f t="shared" si="100"/>
        <v>0.9</v>
      </c>
      <c r="AJ96" s="241" t="e">
        <f t="shared" ca="1" si="101"/>
        <v>#VALUE!</v>
      </c>
      <c r="AK96" s="243" t="e">
        <f ca="1">IF(AND(INDEX(FlowCalConstA,MATCH(AH90,FlowCalNumber,0),1,1)*AJ96^INDEX(FlowCalConstB,MATCH(AH90,FlowCalNumber,0),1,1)&gt;INDEX(FlowCalLowSetting,MATCH(AH90,FlowCalNumber,0),1,1), (INDEX(FlowCalConstA,MATCH(AH90,FlowCalNumber,0),1,1)*AJ96^INDEX(FlowCalConstB,MATCH(AH90,FlowCalNumber,0),1,1)&lt;INDEX(FlowCalHighSetting,MATCH(AH90,FlowCalNumber,0),1,1))),INDEX(FlowCalConstA,MATCH(AH90,FlowCalNumber,0),1,1)*AJ96^INDEX(FlowCalConstB,MATCH(AH90,FlowCalNumber,0),1,1)," ")</f>
        <v>#N/A</v>
      </c>
      <c r="AL96" s="33"/>
      <c r="AM96" s="242"/>
      <c r="AN96" s="241"/>
      <c r="AO96" s="244"/>
      <c r="AQ96" s="242"/>
      <c r="AR96" s="241"/>
      <c r="AS96" s="244"/>
      <c r="AT96" s="33"/>
      <c r="AU96" s="242"/>
      <c r="AV96" s="241"/>
      <c r="AW96" s="244"/>
      <c r="AX96" s="33"/>
      <c r="AY96" s="242"/>
      <c r="AZ96" s="241"/>
      <c r="BA96" s="244"/>
      <c r="BB96" s="33"/>
      <c r="BC96" s="242"/>
      <c r="BD96" s="241"/>
      <c r="BE96" s="244"/>
      <c r="BF96" s="33"/>
      <c r="BG96" s="242"/>
      <c r="BH96" s="241"/>
      <c r="BI96" s="244"/>
      <c r="BJ96" s="33"/>
      <c r="BK96" s="242"/>
      <c r="BL96" s="241"/>
      <c r="BM96" s="244"/>
      <c r="BN96" s="33"/>
      <c r="BO96" s="242"/>
      <c r="BP96" s="241"/>
      <c r="BQ96" s="244"/>
      <c r="BR96" s="33"/>
      <c r="BS96" s="242"/>
      <c r="BT96" s="241"/>
      <c r="BU96" s="244"/>
      <c r="BV96" s="33"/>
      <c r="BW96" s="242"/>
      <c r="BX96" s="241"/>
      <c r="BY96" s="244"/>
      <c r="BZ96" s="33"/>
      <c r="CA96" s="242"/>
      <c r="CB96" s="241"/>
      <c r="CC96" s="244"/>
      <c r="CD96" s="243"/>
      <c r="CE96" s="243"/>
      <c r="CF96" s="243"/>
      <c r="CG96" s="243"/>
      <c r="CH96" s="243"/>
      <c r="CI96" s="243"/>
      <c r="CJ96" s="243"/>
      <c r="CK96" s="243"/>
      <c r="CL96" s="243"/>
      <c r="CM96" s="243"/>
      <c r="CN96" s="243"/>
      <c r="CO96" s="243"/>
      <c r="CP96" s="243"/>
      <c r="CQ96" s="243"/>
      <c r="CR96" s="243"/>
      <c r="CS96" s="243"/>
      <c r="CT96" s="243"/>
      <c r="CU96" s="243"/>
      <c r="CV96" s="243"/>
      <c r="CW96" s="243"/>
      <c r="CX96" s="243"/>
      <c r="CY96" s="243"/>
      <c r="CZ96" s="243"/>
      <c r="DA96" s="243"/>
      <c r="DB96" s="243"/>
      <c r="DC96" s="243"/>
      <c r="DD96" s="243"/>
      <c r="DE96" s="243"/>
      <c r="DF96" s="243"/>
      <c r="DG96" s="243"/>
      <c r="DH96" s="243"/>
      <c r="DI96" s="243"/>
      <c r="DJ96" s="243"/>
      <c r="DK96" s="243"/>
      <c r="DM96" s="242"/>
      <c r="DO96" s="243"/>
      <c r="DQ96" s="242"/>
      <c r="DS96" s="243"/>
      <c r="DU96" s="242"/>
      <c r="DW96" s="243"/>
      <c r="DY96" s="242"/>
      <c r="EA96" s="243"/>
    </row>
    <row r="97" spans="1:131">
      <c r="A97" s="20"/>
      <c r="B97" s="124" t="str">
        <f t="shared" si="86"/>
        <v/>
      </c>
      <c r="C97" s="235"/>
      <c r="D97" s="24">
        <f>'1% Wind'!$M$88</f>
        <v>10.1</v>
      </c>
      <c r="E97" s="90"/>
      <c r="F97" s="90"/>
      <c r="G97" s="79">
        <f ca="1">IF(I90=0.9743,$G96,MAX(G96/D96*D97,2))</f>
        <v>6.001707317073171</v>
      </c>
      <c r="H97" s="121" t="e">
        <f t="shared" ca="1" si="87"/>
        <v>#VALUE!</v>
      </c>
      <c r="J97" s="33"/>
      <c r="K97" s="242">
        <f t="shared" si="88"/>
        <v>1</v>
      </c>
      <c r="L97" s="241" t="e">
        <f t="shared" ca="1" si="89"/>
        <v>#VALUE!</v>
      </c>
      <c r="M97" s="243" t="e">
        <f ca="1">IF(AND(INDEX(FlowCalConstA,MATCH(J90,FlowCalNumber,0),1,1)*L97^INDEX(FlowCalConstB,MATCH(J90,FlowCalNumber,0),1,1)&gt;INDEX(FlowCalLowSetting,MATCH(J90,FlowCalNumber,0),1,1), (INDEX(FlowCalConstA,MATCH(J90,FlowCalNumber,0),1,1)*L97^INDEX(FlowCalConstB,MATCH(J90,FlowCalNumber,0),1,1)&lt;INDEX(FlowCalHighSetting,MATCH(J90,FlowCalNumber,0),1,1))),INDEX(FlowCalConstA,MATCH(J90,FlowCalNumber,0),1,1)*L97^INDEX(FlowCalConstB,MATCH(J90,FlowCalNumber,0),1,1)," ")</f>
        <v>#N/A</v>
      </c>
      <c r="N97" s="33"/>
      <c r="O97" s="242">
        <f t="shared" si="90"/>
        <v>1</v>
      </c>
      <c r="P97" s="241" t="e">
        <f t="shared" ca="1" si="91"/>
        <v>#VALUE!</v>
      </c>
      <c r="Q97" s="243" t="e">
        <f ca="1">IF(AND(INDEX(FlowCalConstA,MATCH(N90,FlowCalNumber,0),1,1)*P97^INDEX(FlowCalConstB,MATCH(N90,FlowCalNumber,0),1,1)&gt;INDEX(FlowCalLowSetting,MATCH(N90,FlowCalNumber,0),1,1), (INDEX(FlowCalConstA,MATCH(N90,FlowCalNumber,0),1,1)*P97^INDEX(FlowCalConstB,MATCH(N90,FlowCalNumber,0),1,1)&lt;INDEX(FlowCalHighSetting,MATCH(N90,FlowCalNumber,0),1,1))),INDEX(FlowCalConstA,MATCH(N90,FlowCalNumber,0),1,1)*P97^INDEX(FlowCalConstB,MATCH(N90,FlowCalNumber,0),1,1)," ")</f>
        <v>#N/A</v>
      </c>
      <c r="R97" s="33"/>
      <c r="S97" s="242">
        <f t="shared" si="92"/>
        <v>1</v>
      </c>
      <c r="T97" s="241" t="e">
        <f t="shared" ca="1" si="93"/>
        <v>#VALUE!</v>
      </c>
      <c r="U97" s="244" t="e">
        <f ca="1">IF(AND(INDEX(FlowCalConstA,MATCH(R90,FlowCalNumber,0),1,1)*T97^INDEX(FlowCalConstB,MATCH(R90,FlowCalNumber,0),1,1)&gt;INDEX(FlowCalLowSetting,MATCH(R90,FlowCalNumber,0),1,1), (INDEX(FlowCalConstA,MATCH(R90,FlowCalNumber,0),1,1)*T97^INDEX(FlowCalConstB,MATCH(R90,FlowCalNumber,0),1,1)&lt;INDEX(FlowCalHighSetting,MATCH(R90,FlowCalNumber,0),1,1))),INDEX(FlowCalConstA,MATCH(R90,FlowCalNumber,0),1,1)*T97^INDEX(FlowCalConstB,MATCH(R90,FlowCalNumber,0),1,1)," ")</f>
        <v>#N/A</v>
      </c>
      <c r="V97" s="33"/>
      <c r="W97" s="242">
        <f t="shared" si="94"/>
        <v>0.1</v>
      </c>
      <c r="X97" s="241" t="e">
        <f t="shared" ca="1" si="95"/>
        <v>#VALUE!</v>
      </c>
      <c r="Y97" s="243" t="e">
        <f ca="1">IF(AND(INDEX(FlowCalConstA,MATCH(V90,FlowCalNumber,0),1,1)*X97^INDEX(FlowCalConstB,MATCH(V90,FlowCalNumber,0),1,1)&gt;INDEX(FlowCalLowSetting,MATCH(V90,FlowCalNumber,0),1,1), (INDEX(FlowCalConstA,MATCH(V90,FlowCalNumber,0),1,1)*X97^INDEX(FlowCalConstB,MATCH(V90,FlowCalNumber,0),1,1)&lt;INDEX(FlowCalHighSetting,MATCH(V90,FlowCalNumber,0),1,1))),INDEX(FlowCalConstA,MATCH(V90,FlowCalNumber,0),1,1)*X97^INDEX(FlowCalConstB,MATCH(V90,FlowCalNumber,0),1,1)," ")</f>
        <v>#N/A</v>
      </c>
      <c r="Z97" s="33"/>
      <c r="AA97" s="242">
        <f t="shared" si="96"/>
        <v>0.9</v>
      </c>
      <c r="AB97" s="241" t="e">
        <f t="shared" ca="1" si="97"/>
        <v>#VALUE!</v>
      </c>
      <c r="AC97" s="243" t="e">
        <f ca="1">IF(AND(INDEX(FlowCalConstA,MATCH(Z90,FlowCalNumber,0),1,1)*AB97^INDEX(FlowCalConstB,MATCH(Z90,FlowCalNumber,0),1,1)&gt;INDEX(FlowCalLowSetting,MATCH(Z90,FlowCalNumber,0),1,1), (INDEX(FlowCalConstA,MATCH(Z90,FlowCalNumber,0),1,1)*AB97^INDEX(FlowCalConstB,MATCH(Z90,FlowCalNumber,0),1,1)&lt;INDEX(FlowCalHighSetting,MATCH(Z90,FlowCalNumber,0),1,1))),INDEX(FlowCalConstA,MATCH(Z90,FlowCalNumber,0),1,1)*AB97^INDEX(FlowCalConstB,MATCH(Z90,FlowCalNumber,0),1,1)," ")</f>
        <v>#N/A</v>
      </c>
      <c r="AD97" s="33"/>
      <c r="AE97" s="242">
        <f t="shared" si="98"/>
        <v>0.1</v>
      </c>
      <c r="AF97" s="241" t="e">
        <f t="shared" ca="1" si="99"/>
        <v>#VALUE!</v>
      </c>
      <c r="AG97" s="243" t="e">
        <f ca="1">IF(AND(INDEX(FlowCalConstA,MATCH(AD90,FlowCalNumber,0),1,1)*AF97^INDEX(FlowCalConstB,MATCH(AD90,FlowCalNumber,0),1,1)&gt;INDEX(FlowCalLowSetting,MATCH(AD90,FlowCalNumber,0),1,1), (INDEX(FlowCalConstA,MATCH(AD90,FlowCalNumber,0),1,1)*AF97^INDEX(FlowCalConstB,MATCH(AD90,FlowCalNumber,0),1,1)&lt;INDEX(FlowCalHighSetting,MATCH(AD90,FlowCalNumber,0),1,1))),INDEX(FlowCalConstA,MATCH(AD90,FlowCalNumber,0),1,1)*AF97^INDEX(FlowCalConstB,MATCH(AD90,FlowCalNumber,0),1,1)," ")</f>
        <v>#N/A</v>
      </c>
      <c r="AH97" s="33"/>
      <c r="AI97" s="242">
        <f t="shared" si="100"/>
        <v>0.9</v>
      </c>
      <c r="AJ97" s="241" t="e">
        <f t="shared" ca="1" si="101"/>
        <v>#VALUE!</v>
      </c>
      <c r="AK97" s="243" t="e">
        <f ca="1">IF(AND(INDEX(FlowCalConstA,MATCH(AH90,FlowCalNumber,0),1,1)*AJ97^INDEX(FlowCalConstB,MATCH(AH90,FlowCalNumber,0),1,1)&gt;INDEX(FlowCalLowSetting,MATCH(AH90,FlowCalNumber,0),1,1), (INDEX(FlowCalConstA,MATCH(AH90,FlowCalNumber,0),1,1)*AJ97^INDEX(FlowCalConstB,MATCH(AH90,FlowCalNumber,0),1,1)&lt;INDEX(FlowCalHighSetting,MATCH(AH90,FlowCalNumber,0),1,1))),INDEX(FlowCalConstA,MATCH(AH90,FlowCalNumber,0),1,1)*AJ97^INDEX(FlowCalConstB,MATCH(AH90,FlowCalNumber,0),1,1)," ")</f>
        <v>#N/A</v>
      </c>
      <c r="AL97" s="33"/>
      <c r="AM97" s="242"/>
      <c r="AN97" s="241"/>
      <c r="AO97" s="244"/>
      <c r="AQ97" s="242"/>
      <c r="AR97" s="241"/>
      <c r="AS97" s="244"/>
      <c r="AT97" s="33"/>
      <c r="AU97" s="242"/>
      <c r="AV97" s="241"/>
      <c r="AW97" s="244"/>
      <c r="AX97" s="33"/>
      <c r="AY97" s="242"/>
      <c r="AZ97" s="241"/>
      <c r="BA97" s="244"/>
      <c r="BB97" s="33"/>
      <c r="BC97" s="242"/>
      <c r="BD97" s="241"/>
      <c r="BE97" s="244"/>
      <c r="BF97" s="33"/>
      <c r="BG97" s="242"/>
      <c r="BH97" s="241"/>
      <c r="BI97" s="244"/>
      <c r="BJ97" s="33"/>
      <c r="BK97" s="242"/>
      <c r="BL97" s="241"/>
      <c r="BM97" s="244"/>
      <c r="BN97" s="33"/>
      <c r="BO97" s="242"/>
      <c r="BP97" s="241"/>
      <c r="BQ97" s="244"/>
      <c r="BR97" s="33"/>
      <c r="BS97" s="242"/>
      <c r="BT97" s="241"/>
      <c r="BU97" s="244"/>
      <c r="BV97" s="33"/>
      <c r="BW97" s="242"/>
      <c r="BX97" s="241"/>
      <c r="BY97" s="244"/>
      <c r="BZ97" s="33"/>
      <c r="CA97" s="242"/>
      <c r="CB97" s="241"/>
      <c r="CC97" s="244"/>
      <c r="CD97" s="243"/>
      <c r="CE97" s="243"/>
      <c r="CF97" s="243"/>
      <c r="CG97" s="243"/>
      <c r="CH97" s="243"/>
      <c r="CI97" s="243"/>
      <c r="CJ97" s="243"/>
      <c r="CK97" s="243"/>
      <c r="CL97" s="243"/>
      <c r="CM97" s="243"/>
      <c r="CN97" s="243"/>
      <c r="CO97" s="243"/>
      <c r="CP97" s="243"/>
      <c r="CQ97" s="243"/>
      <c r="CR97" s="243"/>
      <c r="CS97" s="243"/>
      <c r="CT97" s="243"/>
      <c r="CU97" s="243"/>
      <c r="CV97" s="243"/>
      <c r="CW97" s="243"/>
      <c r="CX97" s="243"/>
      <c r="CY97" s="243"/>
      <c r="CZ97" s="243"/>
      <c r="DA97" s="243"/>
      <c r="DB97" s="243"/>
      <c r="DC97" s="243"/>
      <c r="DD97" s="243"/>
      <c r="DE97" s="243"/>
      <c r="DF97" s="243"/>
      <c r="DG97" s="243"/>
      <c r="DH97" s="243"/>
      <c r="DI97" s="243"/>
      <c r="DJ97" s="243"/>
      <c r="DK97" s="243"/>
      <c r="DM97" s="242"/>
      <c r="DO97" s="243"/>
      <c r="DQ97" s="242"/>
      <c r="DS97" s="243"/>
      <c r="DU97" s="242"/>
      <c r="DW97" s="243"/>
      <c r="DY97" s="242"/>
      <c r="EA97" s="243"/>
    </row>
    <row r="98" spans="1:131">
      <c r="A98" s="20"/>
      <c r="B98" s="124" t="str">
        <f t="shared" si="86"/>
        <v/>
      </c>
      <c r="C98" s="235"/>
      <c r="D98" s="24">
        <f>'1% Wind'!$M$89</f>
        <v>7.6</v>
      </c>
      <c r="E98" s="90"/>
      <c r="F98" s="90"/>
      <c r="G98" s="79">
        <f ca="1">IF(I90=0.9743,$G97,MAX(G97/D97*D98,2))</f>
        <v>6.001707317073171</v>
      </c>
      <c r="H98" s="121" t="e">
        <f t="shared" ca="1" si="87"/>
        <v>#VALUE!</v>
      </c>
      <c r="J98" s="33"/>
      <c r="K98" s="242">
        <f t="shared" si="88"/>
        <v>1</v>
      </c>
      <c r="L98" s="241" t="e">
        <f t="shared" ca="1" si="89"/>
        <v>#VALUE!</v>
      </c>
      <c r="M98" s="243" t="e">
        <f ca="1">IF(AND(INDEX(FlowCalConstA,MATCH(J90,FlowCalNumber,0),1,1)*L98^INDEX(FlowCalConstB,MATCH(J90,FlowCalNumber,0),1,1)&gt;INDEX(FlowCalLowSetting,MATCH(J90,FlowCalNumber,0),1,1), (INDEX(FlowCalConstA,MATCH(J90,FlowCalNumber,0),1,1)*L98^INDEX(FlowCalConstB,MATCH(J90,FlowCalNumber,0),1,1)&lt;INDEX(FlowCalHighSetting,MATCH(J90,FlowCalNumber,0),1,1))),INDEX(FlowCalConstA,MATCH(J90,FlowCalNumber,0),1,1)*L98^INDEX(FlowCalConstB,MATCH(J90,FlowCalNumber,0),1,1)," ")</f>
        <v>#N/A</v>
      </c>
      <c r="N98" s="33"/>
      <c r="O98" s="242">
        <f t="shared" si="90"/>
        <v>1</v>
      </c>
      <c r="P98" s="241" t="e">
        <f t="shared" ca="1" si="91"/>
        <v>#VALUE!</v>
      </c>
      <c r="Q98" s="243" t="e">
        <f ca="1">IF(AND(INDEX(FlowCalConstA,MATCH(N90,FlowCalNumber,0),1,1)*P98^INDEX(FlowCalConstB,MATCH(N90,FlowCalNumber,0),1,1)&gt;INDEX(FlowCalLowSetting,MATCH(N90,FlowCalNumber,0),1,1), (INDEX(FlowCalConstA,MATCH(N90,FlowCalNumber,0),1,1)*P98^INDEX(FlowCalConstB,MATCH(N90,FlowCalNumber,0),1,1)&lt;INDEX(FlowCalHighSetting,MATCH(N90,FlowCalNumber,0),1,1))),INDEX(FlowCalConstA,MATCH(N90,FlowCalNumber,0),1,1)*P98^INDEX(FlowCalConstB,MATCH(N90,FlowCalNumber,0),1,1)," ")</f>
        <v>#N/A</v>
      </c>
      <c r="R98" s="33"/>
      <c r="S98" s="242">
        <f t="shared" si="92"/>
        <v>1</v>
      </c>
      <c r="T98" s="241" t="e">
        <f t="shared" ca="1" si="93"/>
        <v>#VALUE!</v>
      </c>
      <c r="U98" s="244" t="e">
        <f ca="1">IF(AND(INDEX(FlowCalConstA,MATCH(R90,FlowCalNumber,0),1,1)*T98^INDEX(FlowCalConstB,MATCH(R90,FlowCalNumber,0),1,1)&gt;INDEX(FlowCalLowSetting,MATCH(R90,FlowCalNumber,0),1,1), (INDEX(FlowCalConstA,MATCH(R90,FlowCalNumber,0),1,1)*T98^INDEX(FlowCalConstB,MATCH(R90,FlowCalNumber,0),1,1)&lt;INDEX(FlowCalHighSetting,MATCH(R90,FlowCalNumber,0),1,1))),INDEX(FlowCalConstA,MATCH(R90,FlowCalNumber,0),1,1)*T98^INDEX(FlowCalConstB,MATCH(R90,FlowCalNumber,0),1,1)," ")</f>
        <v>#N/A</v>
      </c>
      <c r="V98" s="33"/>
      <c r="W98" s="242">
        <f t="shared" si="94"/>
        <v>0.1</v>
      </c>
      <c r="X98" s="241" t="e">
        <f t="shared" ca="1" si="95"/>
        <v>#VALUE!</v>
      </c>
      <c r="Y98" s="243" t="e">
        <f ca="1">IF(AND(INDEX(FlowCalConstA,MATCH(V90,FlowCalNumber,0),1,1)*X98^INDEX(FlowCalConstB,MATCH(V90,FlowCalNumber,0),1,1)&gt;INDEX(FlowCalLowSetting,MATCH(V90,FlowCalNumber,0),1,1), (INDEX(FlowCalConstA,MATCH(V90,FlowCalNumber,0),1,1)*X98^INDEX(FlowCalConstB,MATCH(V90,FlowCalNumber,0),1,1)&lt;INDEX(FlowCalHighSetting,MATCH(V90,FlowCalNumber,0),1,1))),INDEX(FlowCalConstA,MATCH(V90,FlowCalNumber,0),1,1)*X98^INDEX(FlowCalConstB,MATCH(V90,FlowCalNumber,0),1,1)," ")</f>
        <v>#N/A</v>
      </c>
      <c r="Z98" s="33"/>
      <c r="AA98" s="242">
        <f t="shared" si="96"/>
        <v>0.9</v>
      </c>
      <c r="AB98" s="241" t="e">
        <f t="shared" ca="1" si="97"/>
        <v>#VALUE!</v>
      </c>
      <c r="AC98" s="243" t="e">
        <f ca="1">IF(AND(INDEX(FlowCalConstA,MATCH(Z90,FlowCalNumber,0),1,1)*AB98^INDEX(FlowCalConstB,MATCH(Z90,FlowCalNumber,0),1,1)&gt;INDEX(FlowCalLowSetting,MATCH(Z90,FlowCalNumber,0),1,1), (INDEX(FlowCalConstA,MATCH(Z90,FlowCalNumber,0),1,1)*AB98^INDEX(FlowCalConstB,MATCH(Z90,FlowCalNumber,0),1,1)&lt;INDEX(FlowCalHighSetting,MATCH(Z90,FlowCalNumber,0),1,1))),INDEX(FlowCalConstA,MATCH(Z90,FlowCalNumber,0),1,1)*AB98^INDEX(FlowCalConstB,MATCH(Z90,FlowCalNumber,0),1,1)," ")</f>
        <v>#N/A</v>
      </c>
      <c r="AD98" s="33"/>
      <c r="AE98" s="242">
        <f t="shared" si="98"/>
        <v>0.1</v>
      </c>
      <c r="AF98" s="241" t="e">
        <f t="shared" ca="1" si="99"/>
        <v>#VALUE!</v>
      </c>
      <c r="AG98" s="243" t="e">
        <f ca="1">IF(AND(INDEX(FlowCalConstA,MATCH(AD90,FlowCalNumber,0),1,1)*AF98^INDEX(FlowCalConstB,MATCH(AD90,FlowCalNumber,0),1,1)&gt;INDEX(FlowCalLowSetting,MATCH(AD90,FlowCalNumber,0),1,1), (INDEX(FlowCalConstA,MATCH(AD90,FlowCalNumber,0),1,1)*AF98^INDEX(FlowCalConstB,MATCH(AD90,FlowCalNumber,0),1,1)&lt;INDEX(FlowCalHighSetting,MATCH(AD90,FlowCalNumber,0),1,1))),INDEX(FlowCalConstA,MATCH(AD90,FlowCalNumber,0),1,1)*AF98^INDEX(FlowCalConstB,MATCH(AD90,FlowCalNumber,0),1,1)," ")</f>
        <v>#N/A</v>
      </c>
      <c r="AH98" s="33"/>
      <c r="AI98" s="242">
        <f t="shared" si="100"/>
        <v>0.9</v>
      </c>
      <c r="AJ98" s="241" t="e">
        <f t="shared" ca="1" si="101"/>
        <v>#VALUE!</v>
      </c>
      <c r="AK98" s="243" t="e">
        <f ca="1">IF(AND(INDEX(FlowCalConstA,MATCH(AH90,FlowCalNumber,0),1,1)*AJ98^INDEX(FlowCalConstB,MATCH(AH90,FlowCalNumber,0),1,1)&gt;INDEX(FlowCalLowSetting,MATCH(AH90,FlowCalNumber,0),1,1), (INDEX(FlowCalConstA,MATCH(AH90,FlowCalNumber,0),1,1)*AJ98^INDEX(FlowCalConstB,MATCH(AH90,FlowCalNumber,0),1,1)&lt;INDEX(FlowCalHighSetting,MATCH(AH90,FlowCalNumber,0),1,1))),INDEX(FlowCalConstA,MATCH(AH90,FlowCalNumber,0),1,1)*AJ98^INDEX(FlowCalConstB,MATCH(AH90,FlowCalNumber,0),1,1)," ")</f>
        <v>#N/A</v>
      </c>
      <c r="AL98" s="33"/>
      <c r="AM98" s="242"/>
      <c r="AN98" s="241"/>
      <c r="AO98" s="244"/>
      <c r="AQ98" s="242"/>
      <c r="AR98" s="241"/>
      <c r="AS98" s="244"/>
      <c r="AT98" s="33"/>
      <c r="AU98" s="242"/>
      <c r="AV98" s="241"/>
      <c r="AW98" s="244"/>
      <c r="AX98" s="33"/>
      <c r="AY98" s="242"/>
      <c r="AZ98" s="241"/>
      <c r="BA98" s="244"/>
      <c r="BB98" s="33"/>
      <c r="BC98" s="242"/>
      <c r="BD98" s="241"/>
      <c r="BE98" s="244"/>
      <c r="BF98" s="33"/>
      <c r="BG98" s="242"/>
      <c r="BH98" s="241"/>
      <c r="BI98" s="244"/>
      <c r="BJ98" s="33"/>
      <c r="BK98" s="242"/>
      <c r="BL98" s="241"/>
      <c r="BM98" s="244"/>
      <c r="BN98" s="33"/>
      <c r="BO98" s="242"/>
      <c r="BP98" s="241"/>
      <c r="BQ98" s="244"/>
      <c r="BR98" s="33"/>
      <c r="BS98" s="242"/>
      <c r="BT98" s="241"/>
      <c r="BU98" s="244"/>
      <c r="BV98" s="33"/>
      <c r="BW98" s="242"/>
      <c r="BX98" s="241"/>
      <c r="BY98" s="244"/>
      <c r="BZ98" s="33"/>
      <c r="CA98" s="242"/>
      <c r="CB98" s="241"/>
      <c r="CC98" s="244"/>
      <c r="CD98" s="243"/>
      <c r="CE98" s="243"/>
      <c r="CF98" s="243"/>
      <c r="CG98" s="243"/>
      <c r="CH98" s="243"/>
      <c r="CI98" s="243"/>
      <c r="CJ98" s="243"/>
      <c r="CK98" s="243"/>
      <c r="CL98" s="243"/>
      <c r="CM98" s="243"/>
      <c r="CN98" s="243"/>
      <c r="CO98" s="243"/>
      <c r="CP98" s="243"/>
      <c r="CQ98" s="243"/>
      <c r="CR98" s="243"/>
      <c r="CS98" s="243"/>
      <c r="CT98" s="243"/>
      <c r="CU98" s="243"/>
      <c r="CV98" s="243"/>
      <c r="CW98" s="243"/>
      <c r="CX98" s="243"/>
      <c r="CY98" s="243"/>
      <c r="CZ98" s="243"/>
      <c r="DA98" s="243"/>
      <c r="DB98" s="243"/>
      <c r="DC98" s="243"/>
      <c r="DD98" s="243"/>
      <c r="DE98" s="243"/>
      <c r="DF98" s="243"/>
      <c r="DG98" s="243"/>
      <c r="DH98" s="243"/>
      <c r="DI98" s="243"/>
      <c r="DJ98" s="243"/>
      <c r="DK98" s="243"/>
      <c r="DM98" s="242"/>
      <c r="DO98" s="243"/>
      <c r="DQ98" s="242"/>
      <c r="DS98" s="243"/>
      <c r="DU98" s="242"/>
      <c r="DW98" s="243"/>
      <c r="DY98" s="242"/>
      <c r="EA98" s="243"/>
    </row>
    <row r="99" spans="1:131">
      <c r="A99" s="20"/>
      <c r="B99" s="124" t="str">
        <f t="shared" si="86"/>
        <v/>
      </c>
      <c r="C99" s="235"/>
      <c r="D99" s="24">
        <f>'1% Wind'!$M$90</f>
        <v>5.7</v>
      </c>
      <c r="E99" s="90"/>
      <c r="F99" s="90"/>
      <c r="G99" s="79">
        <f ca="1">IF(I90=0.9743,$G98,MAX(G98/D98*D99,2))</f>
        <v>6.001707317073171</v>
      </c>
      <c r="H99" s="121" t="e">
        <f t="shared" ca="1" si="87"/>
        <v>#VALUE!</v>
      </c>
      <c r="J99" s="33"/>
      <c r="K99" s="242">
        <f t="shared" si="88"/>
        <v>1</v>
      </c>
      <c r="L99" s="241" t="e">
        <f t="shared" ca="1" si="89"/>
        <v>#VALUE!</v>
      </c>
      <c r="M99" s="243" t="e">
        <f ca="1">IF(AND(INDEX(FlowCalConstA,MATCH(J90,FlowCalNumber,0),1,1)*L99^INDEX(FlowCalConstB,MATCH(J90,FlowCalNumber,0),1,1)&gt;INDEX(FlowCalLowSetting,MATCH(J90,FlowCalNumber,0),1,1), (INDEX(FlowCalConstA,MATCH(J90,FlowCalNumber,0),1,1)*L99^INDEX(FlowCalConstB,MATCH(J90,FlowCalNumber,0),1,1)&lt;INDEX(FlowCalHighSetting,MATCH(J90,FlowCalNumber,0),1,1))),INDEX(FlowCalConstA,MATCH(J90,FlowCalNumber,0),1,1)*L99^INDEX(FlowCalConstB,MATCH(J90,FlowCalNumber,0),1,1)," ")</f>
        <v>#N/A</v>
      </c>
      <c r="N99" s="33"/>
      <c r="O99" s="242">
        <f t="shared" si="90"/>
        <v>1</v>
      </c>
      <c r="P99" s="241" t="e">
        <f t="shared" ca="1" si="91"/>
        <v>#VALUE!</v>
      </c>
      <c r="Q99" s="243" t="e">
        <f ca="1">IF(AND(INDEX(FlowCalConstA,MATCH(N90,FlowCalNumber,0),1,1)*P99^INDEX(FlowCalConstB,MATCH(N90,FlowCalNumber,0),1,1)&gt;INDEX(FlowCalLowSetting,MATCH(N90,FlowCalNumber,0),1,1), (INDEX(FlowCalConstA,MATCH(N90,FlowCalNumber,0),1,1)*P99^INDEX(FlowCalConstB,MATCH(N90,FlowCalNumber,0),1,1)&lt;INDEX(FlowCalHighSetting,MATCH(N90,FlowCalNumber,0),1,1))),INDEX(FlowCalConstA,MATCH(N90,FlowCalNumber,0),1,1)*P99^INDEX(FlowCalConstB,MATCH(N90,FlowCalNumber,0),1,1)," ")</f>
        <v>#N/A</v>
      </c>
      <c r="R99" s="33"/>
      <c r="S99" s="242">
        <f t="shared" si="92"/>
        <v>1</v>
      </c>
      <c r="T99" s="241" t="e">
        <f t="shared" ca="1" si="93"/>
        <v>#VALUE!</v>
      </c>
      <c r="U99" s="244" t="e">
        <f ca="1">IF(AND(INDEX(FlowCalConstA,MATCH(R90,FlowCalNumber,0),1,1)*T99^INDEX(FlowCalConstB,MATCH(R90,FlowCalNumber,0),1,1)&gt;INDEX(FlowCalLowSetting,MATCH(R90,FlowCalNumber,0),1,1), (INDEX(FlowCalConstA,MATCH(R90,FlowCalNumber,0),1,1)*T99^INDEX(FlowCalConstB,MATCH(R90,FlowCalNumber,0),1,1)&lt;INDEX(FlowCalHighSetting,MATCH(R90,FlowCalNumber,0),1,1))),INDEX(FlowCalConstA,MATCH(R90,FlowCalNumber,0),1,1)*T99^INDEX(FlowCalConstB,MATCH(R90,FlowCalNumber,0),1,1)," ")</f>
        <v>#N/A</v>
      </c>
      <c r="V99" s="33"/>
      <c r="W99" s="242">
        <f t="shared" si="94"/>
        <v>0.1</v>
      </c>
      <c r="X99" s="241" t="e">
        <f t="shared" ca="1" si="95"/>
        <v>#VALUE!</v>
      </c>
      <c r="Y99" s="243" t="e">
        <f ca="1">IF(AND(INDEX(FlowCalConstA,MATCH(V90,FlowCalNumber,0),1,1)*X99^INDEX(FlowCalConstB,MATCH(V90,FlowCalNumber,0),1,1)&gt;INDEX(FlowCalLowSetting,MATCH(V90,FlowCalNumber,0),1,1), (INDEX(FlowCalConstA,MATCH(V90,FlowCalNumber,0),1,1)*X99^INDEX(FlowCalConstB,MATCH(V90,FlowCalNumber,0),1,1)&lt;INDEX(FlowCalHighSetting,MATCH(V90,FlowCalNumber,0),1,1))),INDEX(FlowCalConstA,MATCH(V90,FlowCalNumber,0),1,1)*X99^INDEX(FlowCalConstB,MATCH(V90,FlowCalNumber,0),1,1)," ")</f>
        <v>#N/A</v>
      </c>
      <c r="Z99" s="33"/>
      <c r="AA99" s="242">
        <f t="shared" si="96"/>
        <v>0.9</v>
      </c>
      <c r="AB99" s="241" t="e">
        <f t="shared" ca="1" si="97"/>
        <v>#VALUE!</v>
      </c>
      <c r="AC99" s="243" t="e">
        <f ca="1">IF(AND(INDEX(FlowCalConstA,MATCH(Z90,FlowCalNumber,0),1,1)*AB99^INDEX(FlowCalConstB,MATCH(Z90,FlowCalNumber,0),1,1)&gt;INDEX(FlowCalLowSetting,MATCH(Z90,FlowCalNumber,0),1,1), (INDEX(FlowCalConstA,MATCH(Z90,FlowCalNumber,0),1,1)*AB99^INDEX(FlowCalConstB,MATCH(Z90,FlowCalNumber,0),1,1)&lt;INDEX(FlowCalHighSetting,MATCH(Z90,FlowCalNumber,0),1,1))),INDEX(FlowCalConstA,MATCH(Z90,FlowCalNumber,0),1,1)*AB99^INDEX(FlowCalConstB,MATCH(Z90,FlowCalNumber,0),1,1)," ")</f>
        <v>#N/A</v>
      </c>
      <c r="AD99" s="33"/>
      <c r="AE99" s="242">
        <f t="shared" si="98"/>
        <v>0.1</v>
      </c>
      <c r="AF99" s="241" t="e">
        <f t="shared" ca="1" si="99"/>
        <v>#VALUE!</v>
      </c>
      <c r="AG99" s="243" t="e">
        <f ca="1">IF(AND(INDEX(FlowCalConstA,MATCH(AD90,FlowCalNumber,0),1,1)*AF99^INDEX(FlowCalConstB,MATCH(AD90,FlowCalNumber,0),1,1)&gt;INDEX(FlowCalLowSetting,MATCH(AD90,FlowCalNumber,0),1,1), (INDEX(FlowCalConstA,MATCH(AD90,FlowCalNumber,0),1,1)*AF99^INDEX(FlowCalConstB,MATCH(AD90,FlowCalNumber,0),1,1)&lt;INDEX(FlowCalHighSetting,MATCH(AD90,FlowCalNumber,0),1,1))),INDEX(FlowCalConstA,MATCH(AD90,FlowCalNumber,0),1,1)*AF99^INDEX(FlowCalConstB,MATCH(AD90,FlowCalNumber,0),1,1)," ")</f>
        <v>#N/A</v>
      </c>
      <c r="AH99" s="33"/>
      <c r="AI99" s="242">
        <f t="shared" si="100"/>
        <v>0.9</v>
      </c>
      <c r="AJ99" s="241" t="e">
        <f t="shared" ca="1" si="101"/>
        <v>#VALUE!</v>
      </c>
      <c r="AK99" s="243" t="e">
        <f ca="1">IF(AND(INDEX(FlowCalConstA,MATCH(AH90,FlowCalNumber,0),1,1)*AJ99^INDEX(FlowCalConstB,MATCH(AH90,FlowCalNumber,0),1,1)&gt;INDEX(FlowCalLowSetting,MATCH(AH90,FlowCalNumber,0),1,1), (INDEX(FlowCalConstA,MATCH(AH90,FlowCalNumber,0),1,1)*AJ99^INDEX(FlowCalConstB,MATCH(AH90,FlowCalNumber,0),1,1)&lt;INDEX(FlowCalHighSetting,MATCH(AH90,FlowCalNumber,0),1,1))),INDEX(FlowCalConstA,MATCH(AH90,FlowCalNumber,0),1,1)*AJ99^INDEX(FlowCalConstB,MATCH(AH90,FlowCalNumber,0),1,1)," ")</f>
        <v>#N/A</v>
      </c>
      <c r="AL99" s="33"/>
      <c r="AM99" s="242"/>
      <c r="AN99" s="241"/>
      <c r="AO99" s="244"/>
      <c r="AQ99" s="242"/>
      <c r="AR99" s="241"/>
      <c r="AS99" s="244"/>
      <c r="AT99" s="33"/>
      <c r="AU99" s="242"/>
      <c r="AV99" s="241"/>
      <c r="AW99" s="244"/>
      <c r="AX99" s="33"/>
      <c r="AY99" s="242"/>
      <c r="AZ99" s="241"/>
      <c r="BA99" s="244"/>
      <c r="BB99" s="33"/>
      <c r="BC99" s="242"/>
      <c r="BD99" s="241"/>
      <c r="BE99" s="244"/>
      <c r="BF99" s="33"/>
      <c r="BG99" s="242"/>
      <c r="BH99" s="241"/>
      <c r="BI99" s="244"/>
      <c r="BJ99" s="33"/>
      <c r="BK99" s="242"/>
      <c r="BL99" s="241"/>
      <c r="BM99" s="244"/>
      <c r="BN99" s="33"/>
      <c r="BO99" s="242"/>
      <c r="BP99" s="241"/>
      <c r="BQ99" s="244"/>
      <c r="BR99" s="33"/>
      <c r="BS99" s="242"/>
      <c r="BT99" s="241"/>
      <c r="BU99" s="244"/>
      <c r="BV99" s="33"/>
      <c r="BW99" s="242"/>
      <c r="BX99" s="241"/>
      <c r="BY99" s="244"/>
      <c r="BZ99" s="33"/>
      <c r="CA99" s="242"/>
      <c r="CB99" s="241"/>
      <c r="CC99" s="244"/>
      <c r="CD99" s="243"/>
      <c r="CE99" s="243"/>
      <c r="CF99" s="243"/>
      <c r="CG99" s="243"/>
      <c r="CH99" s="243"/>
      <c r="CI99" s="243"/>
      <c r="CJ99" s="243"/>
      <c r="CK99" s="243"/>
      <c r="CL99" s="243"/>
      <c r="CM99" s="243"/>
      <c r="CN99" s="243"/>
      <c r="CO99" s="243"/>
      <c r="CP99" s="243"/>
      <c r="CQ99" s="243"/>
      <c r="CR99" s="243"/>
      <c r="CS99" s="243"/>
      <c r="CT99" s="243"/>
      <c r="CU99" s="243"/>
      <c r="CV99" s="243"/>
      <c r="CW99" s="243"/>
      <c r="CX99" s="243"/>
      <c r="CY99" s="243"/>
      <c r="CZ99" s="243"/>
      <c r="DA99" s="243"/>
      <c r="DB99" s="243"/>
      <c r="DC99" s="243"/>
      <c r="DD99" s="243"/>
      <c r="DE99" s="243"/>
      <c r="DF99" s="243"/>
      <c r="DG99" s="243"/>
      <c r="DH99" s="243"/>
      <c r="DI99" s="243"/>
      <c r="DJ99" s="243"/>
      <c r="DK99" s="243"/>
      <c r="DM99" s="242"/>
      <c r="DO99" s="243"/>
      <c r="DQ99" s="242"/>
      <c r="DS99" s="243"/>
      <c r="DU99" s="242"/>
      <c r="DW99" s="243"/>
      <c r="DY99" s="242"/>
      <c r="EA99" s="243"/>
    </row>
    <row r="100" spans="1:131">
      <c r="A100" s="20"/>
      <c r="B100" s="124" t="str">
        <f t="shared" si="86"/>
        <v/>
      </c>
      <c r="C100" s="235"/>
      <c r="D100" s="24">
        <f>'1% Wind'!$M$91</f>
        <v>4.2</v>
      </c>
      <c r="E100" s="90"/>
      <c r="F100" s="90"/>
      <c r="G100" s="79">
        <f ca="1">IF(I90=0.9743,$G99,MAX(G99/D99*D100,2))</f>
        <v>6.001707317073171</v>
      </c>
      <c r="H100" s="121" t="e">
        <f t="shared" ca="1" si="87"/>
        <v>#VALUE!</v>
      </c>
      <c r="J100" s="33"/>
      <c r="K100" s="242">
        <f t="shared" si="88"/>
        <v>1</v>
      </c>
      <c r="L100" s="241" t="e">
        <f t="shared" ca="1" si="89"/>
        <v>#VALUE!</v>
      </c>
      <c r="M100" s="243" t="e">
        <f ca="1">IF(AND(INDEX(FlowCalConstA,MATCH(J90,FlowCalNumber,0),1,1)*L100^INDEX(FlowCalConstB,MATCH(J90,FlowCalNumber,0),1,1)&gt;INDEX(FlowCalLowSetting,MATCH(J90,FlowCalNumber,0),1,1), (INDEX(FlowCalConstA,MATCH(J90,FlowCalNumber,0),1,1)*L100^INDEX(FlowCalConstB,MATCH(J90,FlowCalNumber,0),1,1)&lt;INDEX(FlowCalHighSetting,MATCH(J90,FlowCalNumber,0),1,1))),INDEX(FlowCalConstA,MATCH(J90,FlowCalNumber,0),1,1)*L100^INDEX(FlowCalConstB,MATCH(J90,FlowCalNumber,0),1,1)," ")</f>
        <v>#N/A</v>
      </c>
      <c r="N100" s="33"/>
      <c r="O100" s="242">
        <f t="shared" si="90"/>
        <v>1</v>
      </c>
      <c r="P100" s="241" t="e">
        <f t="shared" ca="1" si="91"/>
        <v>#VALUE!</v>
      </c>
      <c r="Q100" s="243" t="e">
        <f ca="1">IF(AND(INDEX(FlowCalConstA,MATCH(N90,FlowCalNumber,0),1,1)*P100^INDEX(FlowCalConstB,MATCH(N90,FlowCalNumber,0),1,1)&gt;INDEX(FlowCalLowSetting,MATCH(N90,FlowCalNumber,0),1,1), (INDEX(FlowCalConstA,MATCH(N90,FlowCalNumber,0),1,1)*P100^INDEX(FlowCalConstB,MATCH(N90,FlowCalNumber,0),1,1)&lt;INDEX(FlowCalHighSetting,MATCH(N90,FlowCalNumber,0),1,1))),INDEX(FlowCalConstA,MATCH(N90,FlowCalNumber,0),1,1)*P100^INDEX(FlowCalConstB,MATCH(N90,FlowCalNumber,0),1,1)," ")</f>
        <v>#N/A</v>
      </c>
      <c r="R100" s="33"/>
      <c r="S100" s="242">
        <f t="shared" si="92"/>
        <v>1</v>
      </c>
      <c r="T100" s="241" t="e">
        <f t="shared" ca="1" si="93"/>
        <v>#VALUE!</v>
      </c>
      <c r="U100" s="244" t="e">
        <f ca="1">IF(AND(INDEX(FlowCalConstA,MATCH(R90,FlowCalNumber,0),1,1)*T100^INDEX(FlowCalConstB,MATCH(R90,FlowCalNumber,0),1,1)&gt;INDEX(FlowCalLowSetting,MATCH(R90,FlowCalNumber,0),1,1), (INDEX(FlowCalConstA,MATCH(R90,FlowCalNumber,0),1,1)*T100^INDEX(FlowCalConstB,MATCH(R90,FlowCalNumber,0),1,1)&lt;INDEX(FlowCalHighSetting,MATCH(R90,FlowCalNumber,0),1,1))),INDEX(FlowCalConstA,MATCH(R90,FlowCalNumber,0),1,1)*T100^INDEX(FlowCalConstB,MATCH(R90,FlowCalNumber,0),1,1)," ")</f>
        <v>#N/A</v>
      </c>
      <c r="V100" s="33"/>
      <c r="W100" s="242">
        <f t="shared" si="94"/>
        <v>0.1</v>
      </c>
      <c r="X100" s="241" t="e">
        <f t="shared" ca="1" si="95"/>
        <v>#VALUE!</v>
      </c>
      <c r="Y100" s="243" t="e">
        <f ca="1">IF(AND(INDEX(FlowCalConstA,MATCH(V90,FlowCalNumber,0),1,1)*X100^INDEX(FlowCalConstB,MATCH(V90,FlowCalNumber,0),1,1)&gt;INDEX(FlowCalLowSetting,MATCH(V90,FlowCalNumber,0),1,1), (INDEX(FlowCalConstA,MATCH(V90,FlowCalNumber,0),1,1)*X100^INDEX(FlowCalConstB,MATCH(V90,FlowCalNumber,0),1,1)&lt;INDEX(FlowCalHighSetting,MATCH(V90,FlowCalNumber,0),1,1))),INDEX(FlowCalConstA,MATCH(V90,FlowCalNumber,0),1,1)*X100^INDEX(FlowCalConstB,MATCH(V90,FlowCalNumber,0),1,1)," ")</f>
        <v>#N/A</v>
      </c>
      <c r="Z100" s="33"/>
      <c r="AA100" s="242">
        <f t="shared" si="96"/>
        <v>0.9</v>
      </c>
      <c r="AB100" s="241" t="e">
        <f t="shared" ca="1" si="97"/>
        <v>#VALUE!</v>
      </c>
      <c r="AC100" s="243" t="e">
        <f ca="1">IF(AND(INDEX(FlowCalConstA,MATCH(Z90,FlowCalNumber,0),1,1)*AB100^INDEX(FlowCalConstB,MATCH(Z90,FlowCalNumber,0),1,1)&gt;INDEX(FlowCalLowSetting,MATCH(Z90,FlowCalNumber,0),1,1), (INDEX(FlowCalConstA,MATCH(Z90,FlowCalNumber,0),1,1)*AB100^INDEX(FlowCalConstB,MATCH(Z90,FlowCalNumber,0),1,1)&lt;INDEX(FlowCalHighSetting,MATCH(Z90,FlowCalNumber,0),1,1))),INDEX(FlowCalConstA,MATCH(Z90,FlowCalNumber,0),1,1)*AB100^INDEX(FlowCalConstB,MATCH(Z90,FlowCalNumber,0),1,1)," ")</f>
        <v>#N/A</v>
      </c>
      <c r="AD100" s="33"/>
      <c r="AE100" s="242">
        <f t="shared" si="98"/>
        <v>0.1</v>
      </c>
      <c r="AF100" s="241" t="e">
        <f t="shared" ca="1" si="99"/>
        <v>#VALUE!</v>
      </c>
      <c r="AG100" s="243" t="e">
        <f ca="1">IF(AND(INDEX(FlowCalConstA,MATCH(AD90,FlowCalNumber,0),1,1)*AF100^INDEX(FlowCalConstB,MATCH(AD90,FlowCalNumber,0),1,1)&gt;INDEX(FlowCalLowSetting,MATCH(AD90,FlowCalNumber,0),1,1), (INDEX(FlowCalConstA,MATCH(AD90,FlowCalNumber,0),1,1)*AF100^INDEX(FlowCalConstB,MATCH(AD90,FlowCalNumber,0),1,1)&lt;INDEX(FlowCalHighSetting,MATCH(AD90,FlowCalNumber,0),1,1))),INDEX(FlowCalConstA,MATCH(AD90,FlowCalNumber,0),1,1)*AF100^INDEX(FlowCalConstB,MATCH(AD90,FlowCalNumber,0),1,1)," ")</f>
        <v>#N/A</v>
      </c>
      <c r="AH100" s="33"/>
      <c r="AI100" s="242">
        <f t="shared" si="100"/>
        <v>0.9</v>
      </c>
      <c r="AJ100" s="241" t="e">
        <f t="shared" ca="1" si="101"/>
        <v>#VALUE!</v>
      </c>
      <c r="AK100" s="243" t="e">
        <f ca="1">IF(AND(INDEX(FlowCalConstA,MATCH(AH90,FlowCalNumber,0),1,1)*AJ100^INDEX(FlowCalConstB,MATCH(AH90,FlowCalNumber,0),1,1)&gt;INDEX(FlowCalLowSetting,MATCH(AH90,FlowCalNumber,0),1,1), (INDEX(FlowCalConstA,MATCH(AH90,FlowCalNumber,0),1,1)*AJ100^INDEX(FlowCalConstB,MATCH(AH90,FlowCalNumber,0),1,1)&lt;INDEX(FlowCalHighSetting,MATCH(AH90,FlowCalNumber,0),1,1))),INDEX(FlowCalConstA,MATCH(AH90,FlowCalNumber,0),1,1)*AJ100^INDEX(FlowCalConstB,MATCH(AH90,FlowCalNumber,0),1,1)," ")</f>
        <v>#N/A</v>
      </c>
      <c r="AL100" s="33"/>
      <c r="AM100" s="242"/>
      <c r="AN100" s="241"/>
      <c r="AO100" s="244"/>
      <c r="AQ100" s="242"/>
      <c r="AR100" s="241"/>
      <c r="AS100" s="244"/>
      <c r="AT100" s="33"/>
      <c r="AU100" s="242"/>
      <c r="AV100" s="241"/>
      <c r="AW100" s="244"/>
      <c r="AX100" s="33"/>
      <c r="AY100" s="242"/>
      <c r="AZ100" s="241"/>
      <c r="BA100" s="244"/>
      <c r="BB100" s="33"/>
      <c r="BC100" s="242"/>
      <c r="BD100" s="241"/>
      <c r="BE100" s="244"/>
      <c r="BF100" s="33"/>
      <c r="BG100" s="242"/>
      <c r="BH100" s="241"/>
      <c r="BI100" s="244"/>
      <c r="BJ100" s="33"/>
      <c r="BK100" s="242"/>
      <c r="BL100" s="241"/>
      <c r="BM100" s="244"/>
      <c r="BN100" s="33"/>
      <c r="BO100" s="242"/>
      <c r="BP100" s="241"/>
      <c r="BQ100" s="244"/>
      <c r="BR100" s="33"/>
      <c r="BS100" s="242"/>
      <c r="BT100" s="241"/>
      <c r="BU100" s="244"/>
      <c r="BV100" s="33"/>
      <c r="BW100" s="242"/>
      <c r="BX100" s="241"/>
      <c r="BY100" s="244"/>
      <c r="BZ100" s="33"/>
      <c r="CA100" s="242"/>
      <c r="CB100" s="241"/>
      <c r="CC100" s="244"/>
      <c r="CD100" s="243"/>
      <c r="CE100" s="243"/>
      <c r="CF100" s="243"/>
      <c r="CG100" s="243"/>
      <c r="CH100" s="243"/>
      <c r="CI100" s="243"/>
      <c r="CJ100" s="243"/>
      <c r="CK100" s="243"/>
      <c r="CL100" s="243"/>
      <c r="CM100" s="243"/>
      <c r="CN100" s="243"/>
      <c r="CO100" s="243"/>
      <c r="CP100" s="243"/>
      <c r="CQ100" s="243"/>
      <c r="CR100" s="243"/>
      <c r="CS100" s="243"/>
      <c r="CT100" s="243"/>
      <c r="CU100" s="243"/>
      <c r="CV100" s="243"/>
      <c r="CW100" s="243"/>
      <c r="CX100" s="243"/>
      <c r="CY100" s="243"/>
      <c r="CZ100" s="243"/>
      <c r="DA100" s="243"/>
      <c r="DB100" s="243"/>
      <c r="DC100" s="243"/>
      <c r="DD100" s="243"/>
      <c r="DE100" s="243"/>
      <c r="DF100" s="243"/>
      <c r="DG100" s="243"/>
      <c r="DH100" s="243"/>
      <c r="DI100" s="243"/>
      <c r="DJ100" s="243"/>
      <c r="DK100" s="243"/>
      <c r="DM100" s="242"/>
      <c r="DO100" s="243"/>
      <c r="DQ100" s="242"/>
      <c r="DS100" s="243"/>
      <c r="DU100" s="242"/>
      <c r="DW100" s="243"/>
      <c r="DY100" s="242"/>
      <c r="EA100" s="243"/>
    </row>
    <row r="101" spans="1:131">
      <c r="A101" s="20"/>
      <c r="B101" s="124" t="str">
        <f t="shared" si="86"/>
        <v/>
      </c>
      <c r="C101" s="235"/>
      <c r="D101" s="24">
        <f>'1% Wind'!$M$92</f>
        <v>3.2</v>
      </c>
      <c r="E101" s="90"/>
      <c r="F101" s="90"/>
      <c r="G101" s="79">
        <f ca="1">IF(I90=0.9743,$G100,MAX(G100/D100*D101,2))</f>
        <v>6.001707317073171</v>
      </c>
      <c r="H101" s="121" t="e">
        <f t="shared" ca="1" si="87"/>
        <v>#VALUE!</v>
      </c>
      <c r="J101" s="33"/>
      <c r="K101" s="242">
        <f t="shared" si="88"/>
        <v>1</v>
      </c>
      <c r="L101" s="241" t="e">
        <f t="shared" ca="1" si="89"/>
        <v>#VALUE!</v>
      </c>
      <c r="M101" s="243" t="e">
        <f ca="1">IF(AND(INDEX(FlowCalConstA,MATCH(J90,FlowCalNumber,0),1,1)*L101^INDEX(FlowCalConstB,MATCH(J90,FlowCalNumber,0),1,1)&gt;INDEX(FlowCalLowSetting,MATCH(J90,FlowCalNumber,0),1,1), (INDEX(FlowCalConstA,MATCH(J90,FlowCalNumber,0),1,1)*L101^INDEX(FlowCalConstB,MATCH(J90,FlowCalNumber,0),1,1)&lt;INDEX(FlowCalHighSetting,MATCH(J90,FlowCalNumber,0),1,1))),INDEX(FlowCalConstA,MATCH(J90,FlowCalNumber,0),1,1)*L101^INDEX(FlowCalConstB,MATCH(J90,FlowCalNumber,0),1,1)," ")</f>
        <v>#N/A</v>
      </c>
      <c r="N101" s="33"/>
      <c r="O101" s="242">
        <f t="shared" si="90"/>
        <v>1</v>
      </c>
      <c r="P101" s="241" t="e">
        <f t="shared" ca="1" si="91"/>
        <v>#VALUE!</v>
      </c>
      <c r="Q101" s="243" t="e">
        <f ca="1">IF(AND(INDEX(FlowCalConstA,MATCH(N90,FlowCalNumber,0),1,1)*P101^INDEX(FlowCalConstB,MATCH(N90,FlowCalNumber,0),1,1)&gt;INDEX(FlowCalLowSetting,MATCH(N90,FlowCalNumber,0),1,1), (INDEX(FlowCalConstA,MATCH(N90,FlowCalNumber,0),1,1)*P101^INDEX(FlowCalConstB,MATCH(N90,FlowCalNumber,0),1,1)&lt;INDEX(FlowCalHighSetting,MATCH(N90,FlowCalNumber,0),1,1))),INDEX(FlowCalConstA,MATCH(N90,FlowCalNumber,0),1,1)*P101^INDEX(FlowCalConstB,MATCH(N90,FlowCalNumber,0),1,1)," ")</f>
        <v>#N/A</v>
      </c>
      <c r="R101" s="33"/>
      <c r="S101" s="242">
        <f t="shared" si="92"/>
        <v>1</v>
      </c>
      <c r="T101" s="241" t="e">
        <f t="shared" ca="1" si="93"/>
        <v>#VALUE!</v>
      </c>
      <c r="U101" s="244" t="e">
        <f ca="1">IF(AND(INDEX(FlowCalConstA,MATCH(R90,FlowCalNumber,0),1,1)*T101^INDEX(FlowCalConstB,MATCH(R90,FlowCalNumber,0),1,1)&gt;INDEX(FlowCalLowSetting,MATCH(R90,FlowCalNumber,0),1,1), (INDEX(FlowCalConstA,MATCH(R90,FlowCalNumber,0),1,1)*T101^INDEX(FlowCalConstB,MATCH(R90,FlowCalNumber,0),1,1)&lt;INDEX(FlowCalHighSetting,MATCH(R90,FlowCalNumber,0),1,1))),INDEX(FlowCalConstA,MATCH(R90,FlowCalNumber,0),1,1)*T101^INDEX(FlowCalConstB,MATCH(R90,FlowCalNumber,0),1,1)," ")</f>
        <v>#N/A</v>
      </c>
      <c r="V101" s="33"/>
      <c r="W101" s="242">
        <f t="shared" si="94"/>
        <v>0.1</v>
      </c>
      <c r="X101" s="241" t="e">
        <f t="shared" ca="1" si="95"/>
        <v>#VALUE!</v>
      </c>
      <c r="Y101" s="243" t="e">
        <f ca="1">IF(AND(INDEX(FlowCalConstA,MATCH(V90,FlowCalNumber,0),1,1)*X101^INDEX(FlowCalConstB,MATCH(V90,FlowCalNumber,0),1,1)&gt;INDEX(FlowCalLowSetting,MATCH(V90,FlowCalNumber,0),1,1), (INDEX(FlowCalConstA,MATCH(V90,FlowCalNumber,0),1,1)*X101^INDEX(FlowCalConstB,MATCH(V90,FlowCalNumber,0),1,1)&lt;INDEX(FlowCalHighSetting,MATCH(V90,FlowCalNumber,0),1,1))),INDEX(FlowCalConstA,MATCH(V90,FlowCalNumber,0),1,1)*X101^INDEX(FlowCalConstB,MATCH(V90,FlowCalNumber,0),1,1)," ")</f>
        <v>#N/A</v>
      </c>
      <c r="Z101" s="33"/>
      <c r="AA101" s="242">
        <f t="shared" si="96"/>
        <v>0.9</v>
      </c>
      <c r="AB101" s="241" t="e">
        <f t="shared" ca="1" si="97"/>
        <v>#VALUE!</v>
      </c>
      <c r="AC101" s="243" t="e">
        <f ca="1">IF(AND(INDEX(FlowCalConstA,MATCH(Z90,FlowCalNumber,0),1,1)*AB101^INDEX(FlowCalConstB,MATCH(Z90,FlowCalNumber,0),1,1)&gt;INDEX(FlowCalLowSetting,MATCH(Z90,FlowCalNumber,0),1,1), (INDEX(FlowCalConstA,MATCH(Z90,FlowCalNumber,0),1,1)*AB101^INDEX(FlowCalConstB,MATCH(Z90,FlowCalNumber,0),1,1)&lt;INDEX(FlowCalHighSetting,MATCH(Z90,FlowCalNumber,0),1,1))),INDEX(FlowCalConstA,MATCH(Z90,FlowCalNumber,0),1,1)*AB101^INDEX(FlowCalConstB,MATCH(Z90,FlowCalNumber,0),1,1)," ")</f>
        <v>#N/A</v>
      </c>
      <c r="AD101" s="33"/>
      <c r="AE101" s="242">
        <f t="shared" si="98"/>
        <v>0.1</v>
      </c>
      <c r="AF101" s="241" t="e">
        <f t="shared" ca="1" si="99"/>
        <v>#VALUE!</v>
      </c>
      <c r="AG101" s="243" t="e">
        <f ca="1">IF(AND(INDEX(FlowCalConstA,MATCH(AD90,FlowCalNumber,0),1,1)*AF101^INDEX(FlowCalConstB,MATCH(AD90,FlowCalNumber,0),1,1)&gt;INDEX(FlowCalLowSetting,MATCH(AD90,FlowCalNumber,0),1,1), (INDEX(FlowCalConstA,MATCH(AD90,FlowCalNumber,0),1,1)*AF101^INDEX(FlowCalConstB,MATCH(AD90,FlowCalNumber,0),1,1)&lt;INDEX(FlowCalHighSetting,MATCH(AD90,FlowCalNumber,0),1,1))),INDEX(FlowCalConstA,MATCH(AD90,FlowCalNumber,0),1,1)*AF101^INDEX(FlowCalConstB,MATCH(AD90,FlowCalNumber,0),1,1)," ")</f>
        <v>#N/A</v>
      </c>
      <c r="AH101" s="33"/>
      <c r="AI101" s="242">
        <f t="shared" si="100"/>
        <v>0.9</v>
      </c>
      <c r="AJ101" s="241" t="e">
        <f t="shared" ca="1" si="101"/>
        <v>#VALUE!</v>
      </c>
      <c r="AK101" s="243" t="e">
        <f ca="1">IF(AND(INDEX(FlowCalConstA,MATCH(AH90,FlowCalNumber,0),1,1)*AJ101^INDEX(FlowCalConstB,MATCH(AH90,FlowCalNumber,0),1,1)&gt;INDEX(FlowCalLowSetting,MATCH(AH90,FlowCalNumber,0),1,1), (INDEX(FlowCalConstA,MATCH(AH90,FlowCalNumber,0),1,1)*AJ101^INDEX(FlowCalConstB,MATCH(AH90,FlowCalNumber,0),1,1)&lt;INDEX(FlowCalHighSetting,MATCH(AH90,FlowCalNumber,0),1,1))),INDEX(FlowCalConstA,MATCH(AH90,FlowCalNumber,0),1,1)*AJ101^INDEX(FlowCalConstB,MATCH(AH90,FlowCalNumber,0),1,1)," ")</f>
        <v>#N/A</v>
      </c>
      <c r="AL101" s="33"/>
      <c r="AM101" s="242"/>
      <c r="AN101" s="241"/>
      <c r="AO101" s="244"/>
      <c r="AQ101" s="242"/>
      <c r="AR101" s="241"/>
      <c r="AS101" s="244"/>
      <c r="AT101" s="33"/>
      <c r="AU101" s="242"/>
      <c r="AV101" s="241"/>
      <c r="AW101" s="244"/>
      <c r="AX101" s="33"/>
      <c r="AY101" s="242"/>
      <c r="AZ101" s="241"/>
      <c r="BA101" s="244"/>
      <c r="BB101" s="33"/>
      <c r="BC101" s="242"/>
      <c r="BD101" s="241"/>
      <c r="BE101" s="244"/>
      <c r="BF101" s="33"/>
      <c r="BG101" s="242"/>
      <c r="BH101" s="241"/>
      <c r="BI101" s="244"/>
      <c r="BJ101" s="33"/>
      <c r="BK101" s="242"/>
      <c r="BL101" s="241"/>
      <c r="BM101" s="244"/>
      <c r="BN101" s="33"/>
      <c r="BO101" s="242"/>
      <c r="BP101" s="241"/>
      <c r="BQ101" s="244"/>
      <c r="BR101" s="33"/>
      <c r="BS101" s="242"/>
      <c r="BT101" s="241"/>
      <c r="BU101" s="244"/>
      <c r="BV101" s="33"/>
      <c r="BW101" s="242"/>
      <c r="BX101" s="241"/>
      <c r="BY101" s="244"/>
      <c r="BZ101" s="33"/>
      <c r="CA101" s="242"/>
      <c r="CB101" s="241"/>
      <c r="CC101" s="244"/>
      <c r="CD101" s="243"/>
      <c r="CE101" s="243"/>
      <c r="CF101" s="243"/>
      <c r="CG101" s="243"/>
      <c r="CH101" s="243"/>
      <c r="CI101" s="243"/>
      <c r="CJ101" s="243"/>
      <c r="CK101" s="243"/>
      <c r="CL101" s="243"/>
      <c r="CM101" s="243"/>
      <c r="CN101" s="243"/>
      <c r="CO101" s="243"/>
      <c r="CP101" s="243"/>
      <c r="CQ101" s="243"/>
      <c r="CR101" s="243"/>
      <c r="CS101" s="243"/>
      <c r="CT101" s="243"/>
      <c r="CU101" s="243"/>
      <c r="CV101" s="243"/>
      <c r="CW101" s="243"/>
      <c r="CX101" s="243"/>
      <c r="CY101" s="243"/>
      <c r="CZ101" s="243"/>
      <c r="DA101" s="243"/>
      <c r="DB101" s="243"/>
      <c r="DC101" s="243"/>
      <c r="DD101" s="243"/>
      <c r="DE101" s="243"/>
      <c r="DF101" s="243"/>
      <c r="DG101" s="243"/>
      <c r="DH101" s="243"/>
      <c r="DI101" s="243"/>
      <c r="DJ101" s="243"/>
      <c r="DK101" s="243"/>
      <c r="DM101" s="242"/>
      <c r="DO101" s="243"/>
      <c r="DQ101" s="242"/>
      <c r="DS101" s="243"/>
      <c r="DU101" s="242"/>
      <c r="DW101" s="243"/>
      <c r="DY101" s="242"/>
      <c r="EA101" s="243"/>
    </row>
    <row r="102" spans="1:131">
      <c r="A102" s="20"/>
      <c r="B102" s="124" t="str">
        <f t="shared" si="86"/>
        <v/>
      </c>
      <c r="C102" s="235"/>
      <c r="D102" s="24">
        <f>'1% Wind'!$M$93</f>
        <v>2.4</v>
      </c>
      <c r="E102" s="90"/>
      <c r="F102" s="90"/>
      <c r="G102" s="79">
        <f ca="1">IF(I90=0.9743,$G101,MAX(G101/D101*D102,2))</f>
        <v>6.001707317073171</v>
      </c>
      <c r="H102" s="121" t="e">
        <f t="shared" ca="1" si="87"/>
        <v>#VALUE!</v>
      </c>
      <c r="J102" s="33"/>
      <c r="K102" s="242">
        <f t="shared" si="88"/>
        <v>1</v>
      </c>
      <c r="L102" s="241" t="e">
        <f t="shared" ca="1" si="89"/>
        <v>#VALUE!</v>
      </c>
      <c r="M102" s="243" t="e">
        <f ca="1">IF(AND(INDEX(FlowCalConstA,MATCH(J90,FlowCalNumber,0),1,1)*L102^INDEX(FlowCalConstB,MATCH(J90,FlowCalNumber,0),1,1)&gt;INDEX(FlowCalLowSetting,MATCH(J90,FlowCalNumber,0),1,1), (INDEX(FlowCalConstA,MATCH(J90,FlowCalNumber,0),1,1)*L102^INDEX(FlowCalConstB,MATCH(J90,FlowCalNumber,0),1,1)&lt;INDEX(FlowCalHighSetting,MATCH(J90,FlowCalNumber,0),1,1))),INDEX(FlowCalConstA,MATCH(J90,FlowCalNumber,0),1,1)*L102^INDEX(FlowCalConstB,MATCH(J90,FlowCalNumber,0),1,1)," ")</f>
        <v>#N/A</v>
      </c>
      <c r="N102" s="33"/>
      <c r="O102" s="242">
        <f t="shared" si="90"/>
        <v>1</v>
      </c>
      <c r="P102" s="241" t="e">
        <f t="shared" ca="1" si="91"/>
        <v>#VALUE!</v>
      </c>
      <c r="Q102" s="243" t="e">
        <f ca="1">IF(AND(INDEX(FlowCalConstA,MATCH(N90,FlowCalNumber,0),1,1)*P102^INDEX(FlowCalConstB,MATCH(N90,FlowCalNumber,0),1,1)&gt;INDEX(FlowCalLowSetting,MATCH(N90,FlowCalNumber,0),1,1), (INDEX(FlowCalConstA,MATCH(N90,FlowCalNumber,0),1,1)*P102^INDEX(FlowCalConstB,MATCH(N90,FlowCalNumber,0),1,1)&lt;INDEX(FlowCalHighSetting,MATCH(N90,FlowCalNumber,0),1,1))),INDEX(FlowCalConstA,MATCH(N90,FlowCalNumber,0),1,1)*P102^INDEX(FlowCalConstB,MATCH(N90,FlowCalNumber,0),1,1)," ")</f>
        <v>#N/A</v>
      </c>
      <c r="R102" s="33"/>
      <c r="S102" s="242">
        <f t="shared" si="92"/>
        <v>1</v>
      </c>
      <c r="T102" s="241" t="e">
        <f t="shared" ca="1" si="93"/>
        <v>#VALUE!</v>
      </c>
      <c r="U102" s="244" t="e">
        <f ca="1">IF(AND(INDEX(FlowCalConstA,MATCH(R90,FlowCalNumber,0),1,1)*T102^INDEX(FlowCalConstB,MATCH(R90,FlowCalNumber,0),1,1)&gt;INDEX(FlowCalLowSetting,MATCH(R90,FlowCalNumber,0),1,1), (INDEX(FlowCalConstA,MATCH(R90,FlowCalNumber,0),1,1)*T102^INDEX(FlowCalConstB,MATCH(R90,FlowCalNumber,0),1,1)&lt;INDEX(FlowCalHighSetting,MATCH(R90,FlowCalNumber,0),1,1))),INDEX(FlowCalConstA,MATCH(R90,FlowCalNumber,0),1,1)*T102^INDEX(FlowCalConstB,MATCH(R90,FlowCalNumber,0),1,1)," ")</f>
        <v>#N/A</v>
      </c>
      <c r="V102" s="33"/>
      <c r="W102" s="242">
        <f t="shared" si="94"/>
        <v>0.1</v>
      </c>
      <c r="X102" s="241" t="e">
        <f t="shared" ca="1" si="95"/>
        <v>#VALUE!</v>
      </c>
      <c r="Y102" s="243" t="e">
        <f ca="1">IF(AND(INDEX(FlowCalConstA,MATCH(V90,FlowCalNumber,0),1,1)*X102^INDEX(FlowCalConstB,MATCH(V90,FlowCalNumber,0),1,1)&gt;INDEX(FlowCalLowSetting,MATCH(V90,FlowCalNumber,0),1,1), (INDEX(FlowCalConstA,MATCH(V90,FlowCalNumber,0),1,1)*X102^INDEX(FlowCalConstB,MATCH(V90,FlowCalNumber,0),1,1)&lt;INDEX(FlowCalHighSetting,MATCH(V90,FlowCalNumber,0),1,1))),INDEX(FlowCalConstA,MATCH(V90,FlowCalNumber,0),1,1)*X102^INDEX(FlowCalConstB,MATCH(V90,FlowCalNumber,0),1,1)," ")</f>
        <v>#N/A</v>
      </c>
      <c r="Z102" s="33"/>
      <c r="AA102" s="242">
        <f t="shared" si="96"/>
        <v>0.9</v>
      </c>
      <c r="AB102" s="241" t="e">
        <f t="shared" ca="1" si="97"/>
        <v>#VALUE!</v>
      </c>
      <c r="AC102" s="243" t="e">
        <f ca="1">IF(AND(INDEX(FlowCalConstA,MATCH(Z90,FlowCalNumber,0),1,1)*AB102^INDEX(FlowCalConstB,MATCH(Z90,FlowCalNumber,0),1,1)&gt;INDEX(FlowCalLowSetting,MATCH(Z90,FlowCalNumber,0),1,1), (INDEX(FlowCalConstA,MATCH(Z90,FlowCalNumber,0),1,1)*AB102^INDEX(FlowCalConstB,MATCH(Z90,FlowCalNumber,0),1,1)&lt;INDEX(FlowCalHighSetting,MATCH(Z90,FlowCalNumber,0),1,1))),INDEX(FlowCalConstA,MATCH(Z90,FlowCalNumber,0),1,1)*AB102^INDEX(FlowCalConstB,MATCH(Z90,FlowCalNumber,0),1,1)," ")</f>
        <v>#N/A</v>
      </c>
      <c r="AD102" s="33"/>
      <c r="AE102" s="242">
        <f t="shared" si="98"/>
        <v>0.1</v>
      </c>
      <c r="AF102" s="241" t="e">
        <f t="shared" ca="1" si="99"/>
        <v>#VALUE!</v>
      </c>
      <c r="AG102" s="243" t="e">
        <f ca="1">IF(AND(INDEX(FlowCalConstA,MATCH(AD90,FlowCalNumber,0),1,1)*AF102^INDEX(FlowCalConstB,MATCH(AD90,FlowCalNumber,0),1,1)&gt;INDEX(FlowCalLowSetting,MATCH(AD90,FlowCalNumber,0),1,1), (INDEX(FlowCalConstA,MATCH(AD90,FlowCalNumber,0),1,1)*AF102^INDEX(FlowCalConstB,MATCH(AD90,FlowCalNumber,0),1,1)&lt;INDEX(FlowCalHighSetting,MATCH(AD90,FlowCalNumber,0),1,1))),INDEX(FlowCalConstA,MATCH(AD90,FlowCalNumber,0),1,1)*AF102^INDEX(FlowCalConstB,MATCH(AD90,FlowCalNumber,0),1,1)," ")</f>
        <v>#N/A</v>
      </c>
      <c r="AH102" s="33"/>
      <c r="AI102" s="242">
        <f t="shared" si="100"/>
        <v>0.9</v>
      </c>
      <c r="AJ102" s="241" t="e">
        <f t="shared" ca="1" si="101"/>
        <v>#VALUE!</v>
      </c>
      <c r="AK102" s="243" t="e">
        <f ca="1">IF(AND(INDEX(FlowCalConstA,MATCH(AH90,FlowCalNumber,0),1,1)*AJ102^INDEX(FlowCalConstB,MATCH(AH90,FlowCalNumber,0),1,1)&gt;INDEX(FlowCalLowSetting,MATCH(AH90,FlowCalNumber,0),1,1), (INDEX(FlowCalConstA,MATCH(AH90,FlowCalNumber,0),1,1)*AJ102^INDEX(FlowCalConstB,MATCH(AH90,FlowCalNumber,0),1,1)&lt;INDEX(FlowCalHighSetting,MATCH(AH90,FlowCalNumber,0),1,1))),INDEX(FlowCalConstA,MATCH(AH90,FlowCalNumber,0),1,1)*AJ102^INDEX(FlowCalConstB,MATCH(AH90,FlowCalNumber,0),1,1)," ")</f>
        <v>#N/A</v>
      </c>
      <c r="AL102" s="33"/>
      <c r="AM102" s="242"/>
      <c r="AN102" s="241"/>
      <c r="AO102" s="244"/>
      <c r="AQ102" s="242"/>
      <c r="AR102" s="241"/>
      <c r="AS102" s="244"/>
      <c r="AT102" s="33"/>
      <c r="AU102" s="242"/>
      <c r="AV102" s="241"/>
      <c r="AW102" s="244"/>
      <c r="AX102" s="33"/>
      <c r="AY102" s="242"/>
      <c r="AZ102" s="241"/>
      <c r="BA102" s="244"/>
      <c r="BB102" s="33"/>
      <c r="BC102" s="242"/>
      <c r="BD102" s="241"/>
      <c r="BE102" s="244"/>
      <c r="BF102" s="33"/>
      <c r="BG102" s="242"/>
      <c r="BH102" s="241"/>
      <c r="BI102" s="244"/>
      <c r="BJ102" s="33"/>
      <c r="BK102" s="242"/>
      <c r="BL102" s="241"/>
      <c r="BM102" s="244"/>
      <c r="BN102" s="33"/>
      <c r="BO102" s="242"/>
      <c r="BP102" s="241"/>
      <c r="BQ102" s="244"/>
      <c r="BR102" s="33"/>
      <c r="BS102" s="242"/>
      <c r="BT102" s="241"/>
      <c r="BU102" s="244"/>
      <c r="BV102" s="33"/>
      <c r="BW102" s="242"/>
      <c r="BX102" s="241"/>
      <c r="BY102" s="244"/>
      <c r="BZ102" s="33"/>
      <c r="CA102" s="242"/>
      <c r="CB102" s="241"/>
      <c r="CC102" s="244"/>
      <c r="CD102" s="243"/>
      <c r="CE102" s="243"/>
      <c r="CF102" s="243"/>
      <c r="CG102" s="243"/>
      <c r="CH102" s="243"/>
      <c r="CI102" s="243"/>
      <c r="CJ102" s="243"/>
      <c r="CK102" s="243"/>
      <c r="CL102" s="243"/>
      <c r="CM102" s="243"/>
      <c r="CN102" s="243"/>
      <c r="CO102" s="243"/>
      <c r="CP102" s="243"/>
      <c r="CQ102" s="243"/>
      <c r="CR102" s="243"/>
      <c r="CS102" s="243"/>
      <c r="CT102" s="243"/>
      <c r="CU102" s="243"/>
      <c r="CV102" s="243"/>
      <c r="CW102" s="243"/>
      <c r="CX102" s="243"/>
      <c r="CY102" s="243"/>
      <c r="CZ102" s="243"/>
      <c r="DA102" s="243"/>
      <c r="DB102" s="243"/>
      <c r="DC102" s="243"/>
      <c r="DD102" s="243"/>
      <c r="DE102" s="243"/>
      <c r="DF102" s="243"/>
      <c r="DG102" s="243"/>
      <c r="DH102" s="243"/>
      <c r="DI102" s="243"/>
      <c r="DJ102" s="243"/>
      <c r="DK102" s="243"/>
      <c r="DM102" s="242"/>
      <c r="DO102" s="243"/>
      <c r="DQ102" s="242"/>
      <c r="DS102" s="243"/>
      <c r="DU102" s="242"/>
      <c r="DW102" s="243"/>
      <c r="DY102" s="242"/>
      <c r="EA102" s="243"/>
    </row>
    <row r="103" spans="1:131">
      <c r="A103" s="20"/>
      <c r="B103" s="124" t="str">
        <f t="shared" si="86"/>
        <v/>
      </c>
      <c r="C103" s="235"/>
      <c r="D103" s="24">
        <f>'1% Wind'!$M$94</f>
        <v>1.8</v>
      </c>
      <c r="E103" s="90"/>
      <c r="F103" s="90"/>
      <c r="G103" s="79">
        <f ca="1">IF(I90=0.9743,$G102,MAX(G102/D102*D103,2))</f>
        <v>6.001707317073171</v>
      </c>
      <c r="H103" s="121" t="e">
        <f t="shared" ca="1" si="87"/>
        <v>#VALUE!</v>
      </c>
      <c r="J103" s="33"/>
      <c r="K103" s="242">
        <f t="shared" si="88"/>
        <v>1</v>
      </c>
      <c r="L103" s="241" t="e">
        <f t="shared" ca="1" si="89"/>
        <v>#VALUE!</v>
      </c>
      <c r="M103" s="243" t="e">
        <f ca="1">IF(AND(INDEX(FlowCalConstA,MATCH(J90,FlowCalNumber,0),1,1)*L103^INDEX(FlowCalConstB,MATCH(J90,FlowCalNumber,0),1,1)&gt;INDEX(FlowCalLowSetting,MATCH(J90,FlowCalNumber,0),1,1), (INDEX(FlowCalConstA,MATCH(J90,FlowCalNumber,0),1,1)*L103^INDEX(FlowCalConstB,MATCH(J90,FlowCalNumber,0),1,1)&lt;INDEX(FlowCalHighSetting,MATCH(J90,FlowCalNumber,0),1,1))),INDEX(FlowCalConstA,MATCH(J90,FlowCalNumber,0),1,1)*L103^INDEX(FlowCalConstB,MATCH(J90,FlowCalNumber,0),1,1)," ")</f>
        <v>#N/A</v>
      </c>
      <c r="N103" s="33"/>
      <c r="O103" s="242">
        <f t="shared" si="90"/>
        <v>1</v>
      </c>
      <c r="P103" s="241" t="e">
        <f t="shared" ca="1" si="91"/>
        <v>#VALUE!</v>
      </c>
      <c r="Q103" s="243" t="e">
        <f ca="1">IF(AND(INDEX(FlowCalConstA,MATCH(N90,FlowCalNumber,0),1,1)*P103^INDEX(FlowCalConstB,MATCH(N90,FlowCalNumber,0),1,1)&gt;INDEX(FlowCalLowSetting,MATCH(N90,FlowCalNumber,0),1,1), (INDEX(FlowCalConstA,MATCH(N90,FlowCalNumber,0),1,1)*P103^INDEX(FlowCalConstB,MATCH(N90,FlowCalNumber,0),1,1)&lt;INDEX(FlowCalHighSetting,MATCH(N90,FlowCalNumber,0),1,1))),INDEX(FlowCalConstA,MATCH(N90,FlowCalNumber,0),1,1)*P103^INDEX(FlowCalConstB,MATCH(N90,FlowCalNumber,0),1,1)," ")</f>
        <v>#N/A</v>
      </c>
      <c r="R103" s="33"/>
      <c r="S103" s="242">
        <f t="shared" si="92"/>
        <v>1</v>
      </c>
      <c r="T103" s="241" t="e">
        <f t="shared" ca="1" si="93"/>
        <v>#VALUE!</v>
      </c>
      <c r="U103" s="244" t="e">
        <f ca="1">IF(AND(INDEX(FlowCalConstA,MATCH(R90,FlowCalNumber,0),1,1)*T103^INDEX(FlowCalConstB,MATCH(R90,FlowCalNumber,0),1,1)&gt;INDEX(FlowCalLowSetting,MATCH(R90,FlowCalNumber,0),1,1), (INDEX(FlowCalConstA,MATCH(R90,FlowCalNumber,0),1,1)*T103^INDEX(FlowCalConstB,MATCH(R90,FlowCalNumber,0),1,1)&lt;INDEX(FlowCalHighSetting,MATCH(R90,FlowCalNumber,0),1,1))),INDEX(FlowCalConstA,MATCH(R90,FlowCalNumber,0),1,1)*T103^INDEX(FlowCalConstB,MATCH(R90,FlowCalNumber,0),1,1)," ")</f>
        <v>#N/A</v>
      </c>
      <c r="V103" s="33"/>
      <c r="W103" s="242">
        <f t="shared" si="94"/>
        <v>0.1</v>
      </c>
      <c r="X103" s="241" t="e">
        <f t="shared" ca="1" si="95"/>
        <v>#VALUE!</v>
      </c>
      <c r="Y103" s="243" t="e">
        <f ca="1">IF(AND(INDEX(FlowCalConstA,MATCH(V90,FlowCalNumber,0),1,1)*X103^INDEX(FlowCalConstB,MATCH(V90,FlowCalNumber,0),1,1)&gt;INDEX(FlowCalLowSetting,MATCH(V90,FlowCalNumber,0),1,1), (INDEX(FlowCalConstA,MATCH(V90,FlowCalNumber,0),1,1)*X103^INDEX(FlowCalConstB,MATCH(V90,FlowCalNumber,0),1,1)&lt;INDEX(FlowCalHighSetting,MATCH(V90,FlowCalNumber,0),1,1))),INDEX(FlowCalConstA,MATCH(V90,FlowCalNumber,0),1,1)*X103^INDEX(FlowCalConstB,MATCH(V90,FlowCalNumber,0),1,1)," ")</f>
        <v>#N/A</v>
      </c>
      <c r="Z103" s="33"/>
      <c r="AA103" s="242">
        <f t="shared" si="96"/>
        <v>0.9</v>
      </c>
      <c r="AB103" s="241" t="e">
        <f t="shared" ca="1" si="97"/>
        <v>#VALUE!</v>
      </c>
      <c r="AC103" s="243" t="e">
        <f ca="1">IF(AND(INDEX(FlowCalConstA,MATCH(Z90,FlowCalNumber,0),1,1)*AB103^INDEX(FlowCalConstB,MATCH(Z90,FlowCalNumber,0),1,1)&gt;INDEX(FlowCalLowSetting,MATCH(Z90,FlowCalNumber,0),1,1), (INDEX(FlowCalConstA,MATCH(Z90,FlowCalNumber,0),1,1)*AB103^INDEX(FlowCalConstB,MATCH(Z90,FlowCalNumber,0),1,1)&lt;INDEX(FlowCalHighSetting,MATCH(Z90,FlowCalNumber,0),1,1))),INDEX(FlowCalConstA,MATCH(Z90,FlowCalNumber,0),1,1)*AB103^INDEX(FlowCalConstB,MATCH(Z90,FlowCalNumber,0),1,1)," ")</f>
        <v>#N/A</v>
      </c>
      <c r="AD103" s="33"/>
      <c r="AE103" s="242">
        <f t="shared" si="98"/>
        <v>0.1</v>
      </c>
      <c r="AF103" s="241" t="e">
        <f t="shared" ca="1" si="99"/>
        <v>#VALUE!</v>
      </c>
      <c r="AG103" s="243" t="e">
        <f ca="1">IF(AND(INDEX(FlowCalConstA,MATCH(AD90,FlowCalNumber,0),1,1)*AF103^INDEX(FlowCalConstB,MATCH(AD90,FlowCalNumber,0),1,1)&gt;INDEX(FlowCalLowSetting,MATCH(AD90,FlowCalNumber,0),1,1), (INDEX(FlowCalConstA,MATCH(AD90,FlowCalNumber,0),1,1)*AF103^INDEX(FlowCalConstB,MATCH(AD90,FlowCalNumber,0),1,1)&lt;INDEX(FlowCalHighSetting,MATCH(AD90,FlowCalNumber,0),1,1))),INDEX(FlowCalConstA,MATCH(AD90,FlowCalNumber,0),1,1)*AF103^INDEX(FlowCalConstB,MATCH(AD90,FlowCalNumber,0),1,1)," ")</f>
        <v>#N/A</v>
      </c>
      <c r="AH103" s="33"/>
      <c r="AI103" s="242">
        <f t="shared" si="100"/>
        <v>0.9</v>
      </c>
      <c r="AJ103" s="241" t="e">
        <f t="shared" ca="1" si="101"/>
        <v>#VALUE!</v>
      </c>
      <c r="AK103" s="243" t="e">
        <f ca="1">IF(AND(INDEX(FlowCalConstA,MATCH(AH90,FlowCalNumber,0),1,1)*AJ103^INDEX(FlowCalConstB,MATCH(AH90,FlowCalNumber,0),1,1)&gt;INDEX(FlowCalLowSetting,MATCH(AH90,FlowCalNumber,0),1,1), (INDEX(FlowCalConstA,MATCH(AH90,FlowCalNumber,0),1,1)*AJ103^INDEX(FlowCalConstB,MATCH(AH90,FlowCalNumber,0),1,1)&lt;INDEX(FlowCalHighSetting,MATCH(AH90,FlowCalNumber,0),1,1))),INDEX(FlowCalConstA,MATCH(AH90,FlowCalNumber,0),1,1)*AJ103^INDEX(FlowCalConstB,MATCH(AH90,FlowCalNumber,0),1,1)," ")</f>
        <v>#N/A</v>
      </c>
      <c r="AL103" s="33"/>
      <c r="AM103" s="242"/>
      <c r="AN103" s="241"/>
      <c r="AO103" s="244"/>
      <c r="AQ103" s="242"/>
      <c r="AR103" s="241"/>
      <c r="AS103" s="244"/>
      <c r="AT103" s="33"/>
      <c r="AU103" s="242"/>
      <c r="AV103" s="241"/>
      <c r="AW103" s="244"/>
      <c r="AX103" s="33"/>
      <c r="AY103" s="242"/>
      <c r="AZ103" s="241"/>
      <c r="BA103" s="244"/>
      <c r="BB103" s="33"/>
      <c r="BC103" s="242"/>
      <c r="BD103" s="241"/>
      <c r="BE103" s="244"/>
      <c r="BF103" s="33"/>
      <c r="BG103" s="242"/>
      <c r="BH103" s="241"/>
      <c r="BI103" s="244"/>
      <c r="BJ103" s="33"/>
      <c r="BK103" s="242"/>
      <c r="BL103" s="241"/>
      <c r="BM103" s="244"/>
      <c r="BN103" s="33"/>
      <c r="BO103" s="242"/>
      <c r="BP103" s="241"/>
      <c r="BQ103" s="244"/>
      <c r="BR103" s="33"/>
      <c r="BS103" s="242"/>
      <c r="BT103" s="241"/>
      <c r="BU103" s="244"/>
      <c r="BV103" s="33"/>
      <c r="BW103" s="242"/>
      <c r="BX103" s="241"/>
      <c r="BY103" s="244"/>
      <c r="BZ103" s="33"/>
      <c r="CA103" s="242"/>
      <c r="CB103" s="241"/>
      <c r="CC103" s="244"/>
      <c r="CD103" s="243"/>
      <c r="CE103" s="243"/>
      <c r="CF103" s="243"/>
      <c r="CG103" s="243"/>
      <c r="CH103" s="243"/>
      <c r="CI103" s="243"/>
      <c r="CJ103" s="243"/>
      <c r="CK103" s="243"/>
      <c r="CL103" s="243"/>
      <c r="CM103" s="243"/>
      <c r="CN103" s="243"/>
      <c r="CO103" s="243"/>
      <c r="CP103" s="243"/>
      <c r="CQ103" s="243"/>
      <c r="CR103" s="243"/>
      <c r="CS103" s="243"/>
      <c r="CT103" s="243"/>
      <c r="CU103" s="243"/>
      <c r="CV103" s="243"/>
      <c r="CW103" s="243"/>
      <c r="CX103" s="243"/>
      <c r="CY103" s="243"/>
      <c r="CZ103" s="243"/>
      <c r="DA103" s="243"/>
      <c r="DB103" s="243"/>
      <c r="DC103" s="243"/>
      <c r="DD103" s="243"/>
      <c r="DE103" s="243"/>
      <c r="DF103" s="243"/>
      <c r="DG103" s="243"/>
      <c r="DH103" s="243"/>
      <c r="DI103" s="243"/>
      <c r="DJ103" s="243"/>
      <c r="DK103" s="243"/>
      <c r="DM103" s="242"/>
      <c r="DO103" s="243"/>
      <c r="DQ103" s="242"/>
      <c r="DS103" s="243"/>
      <c r="DU103" s="242"/>
      <c r="DW103" s="243"/>
      <c r="DY103" s="242"/>
      <c r="EA103" s="243"/>
    </row>
    <row r="104" spans="1:131">
      <c r="A104" s="20"/>
      <c r="B104" s="124" t="str">
        <f t="shared" si="86"/>
        <v/>
      </c>
      <c r="C104" s="235"/>
      <c r="D104" s="24">
        <f>'1% Wind'!$M$95</f>
        <v>1.3</v>
      </c>
      <c r="E104" s="90"/>
      <c r="F104" s="90"/>
      <c r="G104" s="79">
        <f ca="1">IF(I90=0.9743,$G103,MAX(G103/D103*D104,2))</f>
        <v>6.001707317073171</v>
      </c>
      <c r="H104" s="121" t="e">
        <f t="shared" ca="1" si="87"/>
        <v>#VALUE!</v>
      </c>
      <c r="J104" s="33"/>
      <c r="K104" s="242">
        <f t="shared" si="88"/>
        <v>1</v>
      </c>
      <c r="L104" s="241" t="e">
        <f t="shared" ca="1" si="89"/>
        <v>#VALUE!</v>
      </c>
      <c r="M104" s="243" t="e">
        <f ca="1">IF(AND(INDEX(FlowCalConstA,MATCH(J90,FlowCalNumber,0),1,1)*L104^INDEX(FlowCalConstB,MATCH(J90,FlowCalNumber,0),1,1)&gt;INDEX(FlowCalLowSetting,MATCH(J90,FlowCalNumber,0),1,1), (INDEX(FlowCalConstA,MATCH(J90,FlowCalNumber,0),1,1)*L104^INDEX(FlowCalConstB,MATCH(J90,FlowCalNumber,0),1,1)&lt;INDEX(FlowCalHighSetting,MATCH(J90,FlowCalNumber,0),1,1))),INDEX(FlowCalConstA,MATCH(J90,FlowCalNumber,0),1,1)*L104^INDEX(FlowCalConstB,MATCH(J90,FlowCalNumber,0),1,1)," ")</f>
        <v>#N/A</v>
      </c>
      <c r="N104" s="33"/>
      <c r="O104" s="242">
        <f t="shared" si="90"/>
        <v>1</v>
      </c>
      <c r="P104" s="241" t="e">
        <f t="shared" ca="1" si="91"/>
        <v>#VALUE!</v>
      </c>
      <c r="Q104" s="243" t="e">
        <f ca="1">IF(AND(INDEX(FlowCalConstA,MATCH(N90,FlowCalNumber,0),1,1)*P104^INDEX(FlowCalConstB,MATCH(N90,FlowCalNumber,0),1,1)&gt;INDEX(FlowCalLowSetting,MATCH(N90,FlowCalNumber,0),1,1), (INDEX(FlowCalConstA,MATCH(N90,FlowCalNumber,0),1,1)*P104^INDEX(FlowCalConstB,MATCH(N90,FlowCalNumber,0),1,1)&lt;INDEX(FlowCalHighSetting,MATCH(N90,FlowCalNumber,0),1,1))),INDEX(FlowCalConstA,MATCH(N90,FlowCalNumber,0),1,1)*P104^INDEX(FlowCalConstB,MATCH(N90,FlowCalNumber,0),1,1)," ")</f>
        <v>#N/A</v>
      </c>
      <c r="R104" s="33"/>
      <c r="S104" s="242">
        <f t="shared" si="92"/>
        <v>1</v>
      </c>
      <c r="T104" s="241" t="e">
        <f t="shared" ca="1" si="93"/>
        <v>#VALUE!</v>
      </c>
      <c r="U104" s="244" t="e">
        <f ca="1">IF(AND(INDEX(FlowCalConstA,MATCH(R90,FlowCalNumber,0),1,1)*T104^INDEX(FlowCalConstB,MATCH(R90,FlowCalNumber,0),1,1)&gt;INDEX(FlowCalLowSetting,MATCH(R90,FlowCalNumber,0),1,1), (INDEX(FlowCalConstA,MATCH(R90,FlowCalNumber,0),1,1)*T104^INDEX(FlowCalConstB,MATCH(R90,FlowCalNumber,0),1,1)&lt;INDEX(FlowCalHighSetting,MATCH(R90,FlowCalNumber,0),1,1))),INDEX(FlowCalConstA,MATCH(R90,FlowCalNumber,0),1,1)*T104^INDEX(FlowCalConstB,MATCH(R90,FlowCalNumber,0),1,1)," ")</f>
        <v>#N/A</v>
      </c>
      <c r="V104" s="33"/>
      <c r="W104" s="242">
        <f t="shared" si="94"/>
        <v>0.1</v>
      </c>
      <c r="X104" s="241" t="e">
        <f t="shared" ca="1" si="95"/>
        <v>#VALUE!</v>
      </c>
      <c r="Y104" s="243" t="e">
        <f ca="1">IF(AND(INDEX(FlowCalConstA,MATCH(V90,FlowCalNumber,0),1,1)*X104^INDEX(FlowCalConstB,MATCH(V90,FlowCalNumber,0),1,1)&gt;INDEX(FlowCalLowSetting,MATCH(V90,FlowCalNumber,0),1,1), (INDEX(FlowCalConstA,MATCH(V90,FlowCalNumber,0),1,1)*X104^INDEX(FlowCalConstB,MATCH(V90,FlowCalNumber,0),1,1)&lt;INDEX(FlowCalHighSetting,MATCH(V90,FlowCalNumber,0),1,1))),INDEX(FlowCalConstA,MATCH(V90,FlowCalNumber,0),1,1)*X104^INDEX(FlowCalConstB,MATCH(V90,FlowCalNumber,0),1,1)," ")</f>
        <v>#N/A</v>
      </c>
      <c r="Z104" s="33"/>
      <c r="AA104" s="242">
        <f t="shared" si="96"/>
        <v>0.9</v>
      </c>
      <c r="AB104" s="241" t="e">
        <f t="shared" ca="1" si="97"/>
        <v>#VALUE!</v>
      </c>
      <c r="AC104" s="243" t="e">
        <f ca="1">IF(AND(INDEX(FlowCalConstA,MATCH(Z90,FlowCalNumber,0),1,1)*AB104^INDEX(FlowCalConstB,MATCH(Z90,FlowCalNumber,0),1,1)&gt;INDEX(FlowCalLowSetting,MATCH(Z90,FlowCalNumber,0),1,1), (INDEX(FlowCalConstA,MATCH(Z90,FlowCalNumber,0),1,1)*AB104^INDEX(FlowCalConstB,MATCH(Z90,FlowCalNumber,0),1,1)&lt;INDEX(FlowCalHighSetting,MATCH(Z90,FlowCalNumber,0),1,1))),INDEX(FlowCalConstA,MATCH(Z90,FlowCalNumber,0),1,1)*AB104^INDEX(FlowCalConstB,MATCH(Z90,FlowCalNumber,0),1,1)," ")</f>
        <v>#N/A</v>
      </c>
      <c r="AD104" s="33"/>
      <c r="AE104" s="242">
        <f t="shared" si="98"/>
        <v>0.1</v>
      </c>
      <c r="AF104" s="241" t="e">
        <f t="shared" ca="1" si="99"/>
        <v>#VALUE!</v>
      </c>
      <c r="AG104" s="243" t="e">
        <f ca="1">IF(AND(INDEX(FlowCalConstA,MATCH(AD90,FlowCalNumber,0),1,1)*AF104^INDEX(FlowCalConstB,MATCH(AD90,FlowCalNumber,0),1,1)&gt;INDEX(FlowCalLowSetting,MATCH(AD90,FlowCalNumber,0),1,1), (INDEX(FlowCalConstA,MATCH(AD90,FlowCalNumber,0),1,1)*AF104^INDEX(FlowCalConstB,MATCH(AD90,FlowCalNumber,0),1,1)&lt;INDEX(FlowCalHighSetting,MATCH(AD90,FlowCalNumber,0),1,1))),INDEX(FlowCalConstA,MATCH(AD90,FlowCalNumber,0),1,1)*AF104^INDEX(FlowCalConstB,MATCH(AD90,FlowCalNumber,0),1,1)," ")</f>
        <v>#N/A</v>
      </c>
      <c r="AH104" s="33"/>
      <c r="AI104" s="242">
        <f t="shared" si="100"/>
        <v>0.9</v>
      </c>
      <c r="AJ104" s="241" t="e">
        <f t="shared" ca="1" si="101"/>
        <v>#VALUE!</v>
      </c>
      <c r="AK104" s="243" t="e">
        <f ca="1">IF(AND(INDEX(FlowCalConstA,MATCH(AH90,FlowCalNumber,0),1,1)*AJ104^INDEX(FlowCalConstB,MATCH(AH90,FlowCalNumber,0),1,1)&gt;INDEX(FlowCalLowSetting,MATCH(AH90,FlowCalNumber,0),1,1), (INDEX(FlowCalConstA,MATCH(AH90,FlowCalNumber,0),1,1)*AJ104^INDEX(FlowCalConstB,MATCH(AH90,FlowCalNumber,0),1,1)&lt;INDEX(FlowCalHighSetting,MATCH(AH90,FlowCalNumber,0),1,1))),INDEX(FlowCalConstA,MATCH(AH90,FlowCalNumber,0),1,1)*AJ104^INDEX(FlowCalConstB,MATCH(AH90,FlowCalNumber,0),1,1)," ")</f>
        <v>#N/A</v>
      </c>
      <c r="AL104" s="33"/>
      <c r="AM104" s="242"/>
      <c r="AN104" s="241"/>
      <c r="AO104" s="244"/>
      <c r="AQ104" s="242"/>
      <c r="AR104" s="241"/>
      <c r="AS104" s="244"/>
      <c r="AT104" s="33"/>
      <c r="AU104" s="242"/>
      <c r="AV104" s="241"/>
      <c r="AW104" s="244"/>
      <c r="AX104" s="33"/>
      <c r="AY104" s="242"/>
      <c r="AZ104" s="241"/>
      <c r="BA104" s="244"/>
      <c r="BB104" s="33"/>
      <c r="BC104" s="242"/>
      <c r="BD104" s="241"/>
      <c r="BE104" s="244"/>
      <c r="BF104" s="33"/>
      <c r="BG104" s="242"/>
      <c r="BH104" s="241"/>
      <c r="BI104" s="244"/>
      <c r="BJ104" s="33"/>
      <c r="BK104" s="242"/>
      <c r="BL104" s="241"/>
      <c r="BM104" s="244"/>
      <c r="BN104" s="33"/>
      <c r="BO104" s="242"/>
      <c r="BP104" s="241"/>
      <c r="BQ104" s="244"/>
      <c r="BR104" s="33"/>
      <c r="BS104" s="242"/>
      <c r="BT104" s="241"/>
      <c r="BU104" s="244"/>
      <c r="BV104" s="33"/>
      <c r="BW104" s="242"/>
      <c r="BX104" s="241"/>
      <c r="BY104" s="244"/>
      <c r="BZ104" s="33"/>
      <c r="CA104" s="242"/>
      <c r="CB104" s="241"/>
      <c r="CC104" s="244"/>
      <c r="CD104" s="243"/>
      <c r="CE104" s="243"/>
      <c r="CF104" s="243"/>
      <c r="CG104" s="243"/>
      <c r="CH104" s="243"/>
      <c r="CI104" s="243"/>
      <c r="CJ104" s="243"/>
      <c r="CK104" s="243"/>
      <c r="CL104" s="243"/>
      <c r="CM104" s="243"/>
      <c r="CN104" s="243"/>
      <c r="CO104" s="243"/>
      <c r="CP104" s="243"/>
      <c r="CQ104" s="243"/>
      <c r="CR104" s="243"/>
      <c r="CS104" s="243"/>
      <c r="CT104" s="243"/>
      <c r="CU104" s="243"/>
      <c r="CV104" s="243"/>
      <c r="CW104" s="243"/>
      <c r="CX104" s="243"/>
      <c r="CY104" s="243"/>
      <c r="CZ104" s="243"/>
      <c r="DA104" s="243"/>
      <c r="DB104" s="243"/>
      <c r="DC104" s="243"/>
      <c r="DD104" s="243"/>
      <c r="DE104" s="243"/>
      <c r="DF104" s="243"/>
      <c r="DG104" s="243"/>
      <c r="DH104" s="243"/>
      <c r="DI104" s="243"/>
      <c r="DJ104" s="243"/>
      <c r="DK104" s="243"/>
      <c r="DM104" s="242"/>
      <c r="DO104" s="243"/>
      <c r="DQ104" s="242"/>
      <c r="DS104" s="243"/>
      <c r="DU104" s="242"/>
      <c r="DW104" s="243"/>
      <c r="DY104" s="242"/>
      <c r="EA104" s="243"/>
    </row>
    <row r="105" spans="1:131">
      <c r="A105" s="20"/>
      <c r="B105" s="124" t="str">
        <f t="shared" si="86"/>
        <v/>
      </c>
      <c r="C105" s="235"/>
      <c r="D105" s="24">
        <f>'1% Wind'!$M$96</f>
        <v>1</v>
      </c>
      <c r="E105" s="90"/>
      <c r="F105" s="90"/>
      <c r="G105" s="79">
        <f ca="1">IF(I90=0.9743,$G104,MAX(G104/D104*D105,2))</f>
        <v>6.001707317073171</v>
      </c>
      <c r="H105" s="121" t="e">
        <f t="shared" ca="1" si="87"/>
        <v>#VALUE!</v>
      </c>
      <c r="J105" s="33"/>
      <c r="K105" s="242">
        <f t="shared" si="88"/>
        <v>1</v>
      </c>
      <c r="L105" s="241" t="e">
        <f t="shared" ca="1" si="89"/>
        <v>#VALUE!</v>
      </c>
      <c r="M105" s="243" t="e">
        <f ca="1">IF(AND(INDEX(FlowCalConstA,MATCH(J90,FlowCalNumber,0),1,1)*L105^INDEX(FlowCalConstB,MATCH(J90,FlowCalNumber,0),1,1)&gt;INDEX(FlowCalLowSetting,MATCH(J90,FlowCalNumber,0),1,1), (INDEX(FlowCalConstA,MATCH(J90,FlowCalNumber,0),1,1)*L105^INDEX(FlowCalConstB,MATCH(J90,FlowCalNumber,0),1,1)&lt;INDEX(FlowCalHighSetting,MATCH(J90,FlowCalNumber,0),1,1))),INDEX(FlowCalConstA,MATCH(J90,FlowCalNumber,0),1,1)*L105^INDEX(FlowCalConstB,MATCH(J90,FlowCalNumber,0),1,1)," ")</f>
        <v>#N/A</v>
      </c>
      <c r="N105" s="33"/>
      <c r="O105" s="242">
        <f t="shared" si="90"/>
        <v>1</v>
      </c>
      <c r="P105" s="241" t="e">
        <f t="shared" ca="1" si="91"/>
        <v>#VALUE!</v>
      </c>
      <c r="Q105" s="243" t="e">
        <f ca="1">IF(AND(INDEX(FlowCalConstA,MATCH(N90,FlowCalNumber,0),1,1)*P105^INDEX(FlowCalConstB,MATCH(N90,FlowCalNumber,0),1,1)&gt;INDEX(FlowCalLowSetting,MATCH(N90,FlowCalNumber,0),1,1), (INDEX(FlowCalConstA,MATCH(N90,FlowCalNumber,0),1,1)*P105^INDEX(FlowCalConstB,MATCH(N90,FlowCalNumber,0),1,1)&lt;INDEX(FlowCalHighSetting,MATCH(N90,FlowCalNumber,0),1,1))),INDEX(FlowCalConstA,MATCH(N90,FlowCalNumber,0),1,1)*P105^INDEX(FlowCalConstB,MATCH(N90,FlowCalNumber,0),1,1)," ")</f>
        <v>#N/A</v>
      </c>
      <c r="R105" s="33"/>
      <c r="S105" s="242">
        <f t="shared" si="92"/>
        <v>1</v>
      </c>
      <c r="T105" s="241" t="e">
        <f t="shared" ca="1" si="93"/>
        <v>#VALUE!</v>
      </c>
      <c r="U105" s="244" t="e">
        <f ca="1">IF(AND(INDEX(FlowCalConstA,MATCH(R90,FlowCalNumber,0),1,1)*T105^INDEX(FlowCalConstB,MATCH(R90,FlowCalNumber,0),1,1)&gt;INDEX(FlowCalLowSetting,MATCH(R90,FlowCalNumber,0),1,1), (INDEX(FlowCalConstA,MATCH(R90,FlowCalNumber,0),1,1)*T105^INDEX(FlowCalConstB,MATCH(R90,FlowCalNumber,0),1,1)&lt;INDEX(FlowCalHighSetting,MATCH(R90,FlowCalNumber,0),1,1))),INDEX(FlowCalConstA,MATCH(R90,FlowCalNumber,0),1,1)*T105^INDEX(FlowCalConstB,MATCH(R90,FlowCalNumber,0),1,1)," ")</f>
        <v>#N/A</v>
      </c>
      <c r="V105" s="33"/>
      <c r="W105" s="242">
        <f t="shared" si="94"/>
        <v>0.1</v>
      </c>
      <c r="X105" s="241" t="e">
        <f t="shared" ca="1" si="95"/>
        <v>#VALUE!</v>
      </c>
      <c r="Y105" s="243" t="e">
        <f ca="1">IF(AND(INDEX(FlowCalConstA,MATCH(V90,FlowCalNumber,0),1,1)*X105^INDEX(FlowCalConstB,MATCH(V90,FlowCalNumber,0),1,1)&gt;INDEX(FlowCalLowSetting,MATCH(V90,FlowCalNumber,0),1,1), (INDEX(FlowCalConstA,MATCH(V90,FlowCalNumber,0),1,1)*X105^INDEX(FlowCalConstB,MATCH(V90,FlowCalNumber,0),1,1)&lt;INDEX(FlowCalHighSetting,MATCH(V90,FlowCalNumber,0),1,1))),INDEX(FlowCalConstA,MATCH(V90,FlowCalNumber,0),1,1)*X105^INDEX(FlowCalConstB,MATCH(V90,FlowCalNumber,0),1,1)," ")</f>
        <v>#N/A</v>
      </c>
      <c r="Z105" s="33"/>
      <c r="AA105" s="242">
        <f t="shared" si="96"/>
        <v>0.9</v>
      </c>
      <c r="AB105" s="241" t="e">
        <f t="shared" ca="1" si="97"/>
        <v>#VALUE!</v>
      </c>
      <c r="AC105" s="243" t="e">
        <f ca="1">IF(AND(INDEX(FlowCalConstA,MATCH(Z90,FlowCalNumber,0),1,1)*AB105^INDEX(FlowCalConstB,MATCH(Z90,FlowCalNumber,0),1,1)&gt;INDEX(FlowCalLowSetting,MATCH(Z90,FlowCalNumber,0),1,1), (INDEX(FlowCalConstA,MATCH(Z90,FlowCalNumber,0),1,1)*AB105^INDEX(FlowCalConstB,MATCH(Z90,FlowCalNumber,0),1,1)&lt;INDEX(FlowCalHighSetting,MATCH(Z90,FlowCalNumber,0),1,1))),INDEX(FlowCalConstA,MATCH(Z90,FlowCalNumber,0),1,1)*AB105^INDEX(FlowCalConstB,MATCH(Z90,FlowCalNumber,0),1,1)," ")</f>
        <v>#N/A</v>
      </c>
      <c r="AD105" s="33"/>
      <c r="AE105" s="242">
        <f t="shared" si="98"/>
        <v>0.1</v>
      </c>
      <c r="AF105" s="241" t="e">
        <f t="shared" ca="1" si="99"/>
        <v>#VALUE!</v>
      </c>
      <c r="AG105" s="243" t="e">
        <f ca="1">IF(AND(INDEX(FlowCalConstA,MATCH(AD90,FlowCalNumber,0),1,1)*AF105^INDEX(FlowCalConstB,MATCH(AD90,FlowCalNumber,0),1,1)&gt;INDEX(FlowCalLowSetting,MATCH(AD90,FlowCalNumber,0),1,1), (INDEX(FlowCalConstA,MATCH(AD90,FlowCalNumber,0),1,1)*AF105^INDEX(FlowCalConstB,MATCH(AD90,FlowCalNumber,0),1,1)&lt;INDEX(FlowCalHighSetting,MATCH(AD90,FlowCalNumber,0),1,1))),INDEX(FlowCalConstA,MATCH(AD90,FlowCalNumber,0),1,1)*AF105^INDEX(FlowCalConstB,MATCH(AD90,FlowCalNumber,0),1,1)," ")</f>
        <v>#N/A</v>
      </c>
      <c r="AH105" s="33"/>
      <c r="AI105" s="242">
        <f t="shared" si="100"/>
        <v>0.9</v>
      </c>
      <c r="AJ105" s="241" t="e">
        <f t="shared" ca="1" si="101"/>
        <v>#VALUE!</v>
      </c>
      <c r="AK105" s="243" t="e">
        <f ca="1">IF(AND(INDEX(FlowCalConstA,MATCH(AH90,FlowCalNumber,0),1,1)*AJ105^INDEX(FlowCalConstB,MATCH(AH90,FlowCalNumber,0),1,1)&gt;INDEX(FlowCalLowSetting,MATCH(AH90,FlowCalNumber,0),1,1), (INDEX(FlowCalConstA,MATCH(AH90,FlowCalNumber,0),1,1)*AJ105^INDEX(FlowCalConstB,MATCH(AH90,FlowCalNumber,0),1,1)&lt;INDEX(FlowCalHighSetting,MATCH(AH90,FlowCalNumber,0),1,1))),INDEX(FlowCalConstA,MATCH(AH90,FlowCalNumber,0),1,1)*AJ105^INDEX(FlowCalConstB,MATCH(AH90,FlowCalNumber,0),1,1)," ")</f>
        <v>#N/A</v>
      </c>
      <c r="AL105" s="33"/>
      <c r="AM105" s="242"/>
      <c r="AN105" s="241"/>
      <c r="AO105" s="244"/>
      <c r="AQ105" s="242"/>
      <c r="AR105" s="241"/>
      <c r="AS105" s="244"/>
      <c r="AT105" s="33"/>
      <c r="AU105" s="242"/>
      <c r="AV105" s="241"/>
      <c r="AW105" s="244"/>
      <c r="AX105" s="33"/>
      <c r="AY105" s="242"/>
      <c r="AZ105" s="241"/>
      <c r="BA105" s="244"/>
      <c r="BB105" s="33"/>
      <c r="BC105" s="242"/>
      <c r="BD105" s="241"/>
      <c r="BE105" s="244"/>
      <c r="BF105" s="33"/>
      <c r="BG105" s="242"/>
      <c r="BH105" s="241"/>
      <c r="BI105" s="244"/>
      <c r="BJ105" s="33"/>
      <c r="BK105" s="242"/>
      <c r="BL105" s="241"/>
      <c r="BM105" s="244"/>
      <c r="BN105" s="33"/>
      <c r="BO105" s="242"/>
      <c r="BP105" s="241"/>
      <c r="BQ105" s="244"/>
      <c r="BR105" s="33"/>
      <c r="BS105" s="242"/>
      <c r="BT105" s="241"/>
      <c r="BU105" s="244"/>
      <c r="BV105" s="33"/>
      <c r="BW105" s="242"/>
      <c r="BX105" s="241"/>
      <c r="BY105" s="244"/>
      <c r="BZ105" s="33"/>
      <c r="CA105" s="242"/>
      <c r="CB105" s="241"/>
      <c r="CC105" s="244"/>
      <c r="CD105" s="243"/>
      <c r="CE105" s="243"/>
      <c r="CF105" s="243"/>
      <c r="CG105" s="243"/>
      <c r="CH105" s="243"/>
      <c r="CI105" s="243"/>
      <c r="CJ105" s="243"/>
      <c r="CK105" s="243"/>
      <c r="CL105" s="243"/>
      <c r="CM105" s="243"/>
      <c r="CN105" s="243"/>
      <c r="CO105" s="243"/>
      <c r="CP105" s="243"/>
      <c r="CQ105" s="243"/>
      <c r="CR105" s="243"/>
      <c r="CS105" s="243"/>
      <c r="CT105" s="243"/>
      <c r="CU105" s="243"/>
      <c r="CV105" s="243"/>
      <c r="CW105" s="243"/>
      <c r="CX105" s="243"/>
      <c r="CY105" s="243"/>
      <c r="CZ105" s="243"/>
      <c r="DA105" s="243"/>
      <c r="DB105" s="243"/>
      <c r="DC105" s="243"/>
      <c r="DD105" s="243"/>
      <c r="DE105" s="243"/>
      <c r="DF105" s="243"/>
      <c r="DG105" s="243"/>
      <c r="DH105" s="243"/>
      <c r="DI105" s="243"/>
      <c r="DJ105" s="243"/>
      <c r="DK105" s="243"/>
      <c r="DM105" s="242"/>
      <c r="DO105" s="243"/>
      <c r="DQ105" s="242"/>
      <c r="DS105" s="243"/>
      <c r="DU105" s="242"/>
      <c r="DW105" s="243"/>
      <c r="DY105" s="242"/>
      <c r="EA105" s="243"/>
    </row>
    <row r="106" spans="1:131">
      <c r="A106" s="33"/>
      <c r="B106" s="33"/>
      <c r="C106" s="235"/>
      <c r="E106" s="90"/>
      <c r="F106" s="90"/>
      <c r="G106" s="33"/>
      <c r="J106" s="33"/>
      <c r="N106" s="33"/>
      <c r="Q106" s="243"/>
      <c r="R106" s="33"/>
      <c r="U106" s="244"/>
      <c r="V106" s="33"/>
      <c r="Y106" s="243"/>
      <c r="Z106" s="33"/>
      <c r="AC106" s="243"/>
      <c r="AD106" s="33"/>
      <c r="AG106" s="243"/>
      <c r="AH106" s="33"/>
      <c r="AK106" s="244"/>
      <c r="AL106" s="792"/>
      <c r="AM106" s="243"/>
      <c r="AN106" s="243"/>
      <c r="AO106" s="244"/>
      <c r="AP106" s="243"/>
      <c r="AQ106" s="243"/>
      <c r="AR106" s="243"/>
      <c r="AS106" s="244"/>
      <c r="AT106" s="243"/>
      <c r="AU106" s="243"/>
      <c r="AV106" s="243"/>
      <c r="AW106" s="244"/>
      <c r="AX106" s="243"/>
      <c r="AY106" s="243"/>
      <c r="AZ106" s="243"/>
      <c r="BA106" s="244"/>
      <c r="BB106" s="33"/>
      <c r="BE106" s="244"/>
      <c r="BF106" s="33"/>
      <c r="BI106" s="244"/>
      <c r="BJ106" s="33"/>
      <c r="BM106" s="244"/>
      <c r="BN106" s="243"/>
      <c r="BO106" s="243"/>
      <c r="BP106" s="243"/>
      <c r="BQ106" s="244"/>
      <c r="BR106" s="792"/>
      <c r="BS106" s="243"/>
      <c r="BT106" s="243"/>
      <c r="BU106" s="244"/>
      <c r="BV106" s="792"/>
      <c r="BW106" s="243"/>
      <c r="BX106" s="243"/>
      <c r="BY106" s="244"/>
      <c r="BZ106" s="792"/>
      <c r="CA106" s="243"/>
      <c r="CB106" s="243"/>
      <c r="CC106" s="244"/>
      <c r="CD106" s="243"/>
      <c r="CE106" s="243"/>
      <c r="CF106" s="243"/>
      <c r="CG106" s="243"/>
      <c r="CH106" s="243"/>
      <c r="CI106" s="243"/>
      <c r="CJ106" s="243"/>
      <c r="CK106" s="243"/>
      <c r="CL106" s="243"/>
      <c r="CM106" s="243"/>
      <c r="CN106" s="243"/>
      <c r="CO106" s="243"/>
      <c r="CP106" s="243"/>
      <c r="CQ106" s="243"/>
      <c r="CR106" s="243"/>
      <c r="CS106" s="243"/>
      <c r="CT106" s="243"/>
      <c r="CU106" s="243"/>
      <c r="CV106" s="243"/>
      <c r="CW106" s="243"/>
      <c r="CX106" s="243"/>
      <c r="CY106" s="243"/>
      <c r="CZ106" s="243"/>
      <c r="DA106" s="243"/>
      <c r="DB106" s="243"/>
      <c r="DC106" s="243"/>
      <c r="DD106" s="243"/>
      <c r="DE106" s="243"/>
      <c r="DF106" s="243"/>
      <c r="DG106" s="243"/>
      <c r="DH106" s="243"/>
      <c r="DI106" s="243"/>
      <c r="DJ106" s="243"/>
      <c r="DK106" s="243"/>
      <c r="DO106" s="243"/>
      <c r="DS106" s="243"/>
      <c r="DW106" s="243"/>
      <c r="EA106" s="243"/>
    </row>
    <row r="107" spans="1:131">
      <c r="A107" s="256" t="str">
        <f>IF((RIGHT(A90,1))&lt;&gt;"Z",CHAR(CODE(A90))&amp;CHAR(CODE(RIGHT(A90,1))+1),CHAR(CODE(A90)+1)&amp;"A")</f>
        <v>AF</v>
      </c>
      <c r="B107" s="270" t="str">
        <f>INDEX(SourceID,MATCH($A107,SourceNumber,0),1,1)</f>
        <v>EF-6</v>
      </c>
      <c r="C107" s="354">
        <f>INDEX(SourceExitDiameter,MATCH($A107,SourceNumber,0),1,1)*3.28*12</f>
        <v>65.999999999999986</v>
      </c>
      <c r="D107" s="24" t="str">
        <f>UAnem1percent</f>
        <v>1% Wind</v>
      </c>
      <c r="E107" s="350" t="e">
        <f ca="1">INDIRECT(ADDRESS(53,6,1,,CONCATENATE("TA",$A107)))</f>
        <v>#REF!</v>
      </c>
      <c r="F107" s="625" t="e">
        <f ca="1">(ROUND((INDIRECT(ADDRESS(15,7,1,,CONCATENATE("TA",$A107)))*3.28*12*32),0)&amp;"/32")</f>
        <v>#REF!</v>
      </c>
      <c r="G107" s="125">
        <f ca="1">INDIRECT(ADDRESS(29,7,1,,$A107))</f>
        <v>6.001707317073171</v>
      </c>
      <c r="H107" s="24" t="e">
        <f ca="1">INDIRECT(ADDRESS(19,7,1,,$A107))*100^3</f>
        <v>#VALUE!</v>
      </c>
      <c r="I107" s="941">
        <f ca="1">INDIRECT(ADDRESS(53,7,1,,$A107))</f>
        <v>0.97430000000000005</v>
      </c>
      <c r="J107" s="20" t="str">
        <f ca="1">IF($I107=$I$6,K$16&amp;$G$6&amp;J$6,IF($I107=$I$7,K$16&amp;$G$7&amp;J$7,"Bad"))</f>
        <v>100EthPick a Tunnel</v>
      </c>
      <c r="K107" t="e">
        <f ca="1">INDEX(FlowCalGasMixture,MATCH(J107,FlowCalNumber,0),1,1)</f>
        <v>#N/A</v>
      </c>
      <c r="M107" s="944" t="e">
        <f ca="1">INDEX(FlowCalDevice,MATCH(J107,FlowCalNumber,0),1,1)</f>
        <v>#N/A</v>
      </c>
      <c r="N107" s="943" t="str">
        <f ca="1">IF($I107=$I$6,O$16&amp;$G$6&amp;"90"&amp;$H$6&amp;N$6,IF($I107=$I$7,O$16&amp;$G$7&amp;"90"&amp;$H$7&amp;N$7,"Bad"))</f>
        <v>10Eth90N2Pick a Tunnel</v>
      </c>
      <c r="O107" t="e">
        <f ca="1">INDEX(FlowCalGasMixture,MATCH(N107,FlowCalNumber,0),1,1)</f>
        <v>#N/A</v>
      </c>
      <c r="Q107" s="944" t="e">
        <f ca="1">INDEX(FlowCalDevice,MATCH(N107,FlowCalNumber,0),1,1)</f>
        <v>#N/A</v>
      </c>
      <c r="R107" s="943" t="str">
        <f ca="1">IF($I107=$I$6,S$16&amp;$G$6&amp;"90"&amp;$H$6&amp;R$6,IF($I107=$I$7,S$16&amp;$G$7&amp;"90"&amp;$H$7&amp;R$7,"Bad"))</f>
        <v>10Eth90N2Pick a Tunnel</v>
      </c>
      <c r="S107" t="e">
        <f ca="1">INDEX(FlowCalGasMixture,MATCH(R107,FlowCalNumber,0),1,1)</f>
        <v>#N/A</v>
      </c>
      <c r="U107" s="944" t="e">
        <f ca="1">INDEX(FlowCalDevice,MATCH(R107,FlowCalNumber,0),1,1)</f>
        <v>#N/A</v>
      </c>
      <c r="V107" s="20" t="str">
        <f ca="1">IF($I107=$I$6,W$16&amp;$G$6&amp;V$6,IF($I107=$I$7,W$16&amp;$G$7&amp;V$7,"Bad"))</f>
        <v>100EthPick a Tunnel</v>
      </c>
      <c r="W107" t="e">
        <f ca="1">INDEX(FlowCalGasMixture,MATCH(V107,FlowCalNumber,0),1,1)</f>
        <v>#N/A</v>
      </c>
      <c r="Y107" s="944" t="e">
        <f ca="1">INDEX(FlowCalDevice,MATCH(V107,FlowCalNumber,0),1,1)</f>
        <v>#N/A</v>
      </c>
      <c r="Z107" s="946" t="str">
        <f ca="1">IF($I107=$I$6,AA$18&amp;$H$6&amp;Z$6,IF($I107=$I$7,AA$18&amp;$H$7&amp;Z$7,"Bad"))</f>
        <v>100N2Pick a Tunnel</v>
      </c>
      <c r="AA107" t="e">
        <f ca="1">INDEX(FlowCalGasMixture,MATCH(Z107,FlowCalNumber,0),1,1)</f>
        <v>#N/A</v>
      </c>
      <c r="AC107" s="944" t="e">
        <f ca="1">INDEX(FlowCalDevice,MATCH(Z107,FlowCalNumber,0),1,1)</f>
        <v>#N/A</v>
      </c>
      <c r="AD107" s="20" t="str">
        <f ca="1">IF($I107=$I$6,AE$16&amp;$G$6&amp;AD$6,IF($I107=$I$7,AE$16&amp;$G$7&amp;AD$7,"Bad"))</f>
        <v>100EthPick a Tunnel</v>
      </c>
      <c r="AE107" t="e">
        <f ca="1">INDEX(FlowCalGasMixture,MATCH(AD107,FlowCalNumber,0),1,1)</f>
        <v>#N/A</v>
      </c>
      <c r="AG107" s="944" t="e">
        <f ca="1">INDEX(FlowCalDevice,MATCH(AD107,FlowCalNumber,0),1,1)</f>
        <v>#N/A</v>
      </c>
      <c r="AH107" s="946" t="str">
        <f ca="1">IF($I107=$I$6,AI$18&amp;$H$6&amp;AH$6,IF($I107=$I$7,AI$18&amp;$H$7&amp;AH$7,"Bad"))</f>
        <v>100N2Pick a Tunnel</v>
      </c>
      <c r="AI107" t="e">
        <f ca="1">INDEX(FlowCalGasMixture,MATCH(AH107,FlowCalNumber,0),1,1)</f>
        <v>#N/A</v>
      </c>
      <c r="AK107" s="944" t="e">
        <f ca="1">INDEX(FlowCalDevice,MATCH(AH107,FlowCalNumber,0),1,1)</f>
        <v>#N/A</v>
      </c>
      <c r="AL107" s="20"/>
      <c r="AO107" s="982"/>
      <c r="AP107" s="960"/>
      <c r="AS107" s="982"/>
      <c r="AT107" s="20"/>
      <c r="AW107" s="982"/>
      <c r="AX107" s="946"/>
      <c r="BA107" s="982"/>
      <c r="BB107" s="20"/>
      <c r="BC107" s="16"/>
      <c r="BE107" s="982"/>
      <c r="BF107" s="946"/>
      <c r="BG107" s="16"/>
      <c r="BI107" s="982"/>
      <c r="BJ107" s="946"/>
      <c r="BK107" s="16"/>
      <c r="BM107" s="982"/>
      <c r="BN107" s="20"/>
      <c r="BO107" s="16"/>
      <c r="BQ107" s="982"/>
      <c r="BR107" s="946"/>
      <c r="BS107" s="16"/>
      <c r="BU107" s="982"/>
      <c r="BV107" s="946"/>
      <c r="BW107" s="16"/>
      <c r="BY107" s="982"/>
      <c r="BZ107" s="946"/>
      <c r="CA107" s="16"/>
      <c r="CC107" s="982"/>
      <c r="CD107" s="355"/>
      <c r="CE107" s="355"/>
      <c r="CF107" s="355"/>
      <c r="CG107" s="355"/>
      <c r="CH107" s="355"/>
      <c r="CI107" s="355"/>
      <c r="CJ107" s="355"/>
      <c r="CK107" s="355"/>
      <c r="CL107" s="355"/>
      <c r="CM107" s="355"/>
      <c r="CN107" s="355"/>
      <c r="CO107" s="355"/>
      <c r="CP107" s="355"/>
      <c r="CQ107" s="355"/>
      <c r="CR107" s="355"/>
      <c r="CS107" s="355"/>
      <c r="CT107" s="355"/>
      <c r="CU107" s="355"/>
      <c r="CV107" s="355"/>
      <c r="CW107" s="355"/>
      <c r="CX107" s="355"/>
      <c r="CY107" s="355"/>
      <c r="CZ107" s="355"/>
      <c r="DA107" s="355"/>
      <c r="DB107" s="355"/>
      <c r="DC107" s="355"/>
      <c r="DD107" s="355"/>
      <c r="DE107" s="355"/>
      <c r="DF107" s="355"/>
      <c r="DG107" s="355"/>
      <c r="DH107" s="355"/>
      <c r="DI107" s="355"/>
      <c r="DJ107" s="355"/>
      <c r="DK107" s="355"/>
      <c r="DL107" s="46"/>
      <c r="DM107" s="16"/>
      <c r="DO107" s="355"/>
      <c r="DP107" s="42"/>
      <c r="DQ107" s="16"/>
      <c r="DS107" s="355"/>
      <c r="DT107" s="42"/>
      <c r="DU107" s="16"/>
      <c r="DW107" s="355"/>
      <c r="DX107" s="42"/>
      <c r="DY107" s="16"/>
      <c r="EA107" s="355"/>
    </row>
    <row r="108" spans="1:131">
      <c r="A108" s="20"/>
      <c r="B108" s="124" t="str">
        <f t="shared" ref="B108:B122" si="102">IF(D108=UAnem1percent,"1% Wind","")</f>
        <v/>
      </c>
      <c r="C108" s="235"/>
      <c r="D108" s="24">
        <f>'1% Wind'!$M$82</f>
        <v>27</v>
      </c>
      <c r="E108" s="90"/>
      <c r="F108" s="90"/>
      <c r="G108" s="79">
        <f ca="1">IF(I107=0.9743,$G107,MAX(G107/D107*D108,2))</f>
        <v>6.001707317073171</v>
      </c>
      <c r="H108" s="121" t="e">
        <f t="shared" ref="H108:H122" ca="1" si="103">H107*(D107/D108)*(G108/G107)</f>
        <v>#VALUE!</v>
      </c>
      <c r="J108" s="33"/>
      <c r="K108" s="260">
        <f>K$17/100</f>
        <v>1</v>
      </c>
      <c r="L108" s="241" t="e">
        <f ca="1">K108*$H108</f>
        <v>#VALUE!</v>
      </c>
      <c r="M108" s="243" t="e">
        <f ca="1">IF(AND(INDEX(FlowCalConstA,MATCH(J107,FlowCalNumber,0),1,1)*L108^INDEX(FlowCalConstB,MATCH(J107,FlowCalNumber,0),1,1)&gt;INDEX(FlowCalLowSetting,MATCH(J107,FlowCalNumber,0),1,1), (INDEX(FlowCalConstA,MATCH(J107,FlowCalNumber,0),1,1)*L108^INDEX(FlowCalConstB,MATCH(J107,FlowCalNumber,0),1,1)&lt;INDEX(FlowCalHighSetting,MATCH(J107,FlowCalNumber,0),1,1))),INDEX(FlowCalConstA,MATCH(J107,FlowCalNumber,0),1,1)*L108^INDEX(FlowCalConstB,MATCH(J107,FlowCalNumber,0),1,1)," ")</f>
        <v>#N/A</v>
      </c>
      <c r="N108" s="33"/>
      <c r="O108" s="260">
        <f>O$17/100</f>
        <v>1</v>
      </c>
      <c r="P108" s="241" t="e">
        <f ca="1">O108*$H108</f>
        <v>#VALUE!</v>
      </c>
      <c r="Q108" s="243" t="e">
        <f ca="1">IF(AND(INDEX(FlowCalConstA,MATCH(N107,FlowCalNumber,0),1,1)*P108^INDEX(FlowCalConstB,MATCH(N107,FlowCalNumber,0),1,1)&gt;INDEX(FlowCalLowSetting,MATCH(N107,FlowCalNumber,0),1,1), (INDEX(FlowCalConstA,MATCH(N107,FlowCalNumber,0),1,1)*P108^INDEX(FlowCalConstB,MATCH(N107,FlowCalNumber,0),1,1)&lt;INDEX(FlowCalHighSetting,MATCH(N107,FlowCalNumber,0),1,1))),INDEX(FlowCalConstA,MATCH(N107,FlowCalNumber,0),1,1)*P108^INDEX(FlowCalConstB,MATCH(N107,FlowCalNumber,0),1,1)," ")</f>
        <v>#N/A</v>
      </c>
      <c r="R108" s="33"/>
      <c r="S108" s="260">
        <f>S$17/100</f>
        <v>1</v>
      </c>
      <c r="T108" s="241" t="e">
        <f ca="1">S108*$H108</f>
        <v>#VALUE!</v>
      </c>
      <c r="U108" s="244" t="e">
        <f ca="1">IF(AND(INDEX(FlowCalConstA,MATCH(R107,FlowCalNumber,0),1,1)*T108^INDEX(FlowCalConstB,MATCH(R107,FlowCalNumber,0),1,1)&gt;INDEX(FlowCalLowSetting,MATCH(R107,FlowCalNumber,0),1,1), (INDEX(FlowCalConstA,MATCH(R107,FlowCalNumber,0),1,1)*T108^INDEX(FlowCalConstB,MATCH(R107,FlowCalNumber,0),1,1)&lt;INDEX(FlowCalHighSetting,MATCH(R107,FlowCalNumber,0),1,1))),INDEX(FlowCalConstA,MATCH(R107,FlowCalNumber,0),1,1)*T108^INDEX(FlowCalConstB,MATCH(R107,FlowCalNumber,0),1,1)," ")</f>
        <v>#N/A</v>
      </c>
      <c r="V108" s="33"/>
      <c r="W108" s="260">
        <f>W$17/100</f>
        <v>0.1</v>
      </c>
      <c r="X108" s="241" t="e">
        <f ca="1">W108*$H108</f>
        <v>#VALUE!</v>
      </c>
      <c r="Y108" s="243" t="e">
        <f ca="1">IF(AND(INDEX(FlowCalConstA,MATCH(V107,FlowCalNumber,0),1,1)*X108^INDEX(FlowCalConstB,MATCH(V107,FlowCalNumber,0),1,1)&gt;INDEX(FlowCalLowSetting,MATCH(V107,FlowCalNumber,0),1,1), (INDEX(FlowCalConstA,MATCH(V107,FlowCalNumber,0),1,1)*X108^INDEX(FlowCalConstB,MATCH(V107,FlowCalNumber,0),1,1)&lt;INDEX(FlowCalHighSetting,MATCH(V107,FlowCalNumber,0),1,1))),INDEX(FlowCalConstA,MATCH(V107,FlowCalNumber,0),1,1)*X108^INDEX(FlowCalConstB,MATCH(V107,FlowCalNumber,0),1,1)," ")</f>
        <v>#N/A</v>
      </c>
      <c r="Z108" s="33"/>
      <c r="AA108" s="260">
        <f>AA$17/100</f>
        <v>0.9</v>
      </c>
      <c r="AB108" s="241" t="e">
        <f ca="1">AA108*$H108</f>
        <v>#VALUE!</v>
      </c>
      <c r="AC108" s="243" t="e">
        <f ca="1">IF(AND(INDEX(FlowCalConstA,MATCH(Z107,FlowCalNumber,0),1,1)*AB108^INDEX(FlowCalConstB,MATCH(Z107,FlowCalNumber,0),1,1)&gt;INDEX(FlowCalLowSetting,MATCH(Z107,FlowCalNumber,0),1,1), (INDEX(FlowCalConstA,MATCH(Z107,FlowCalNumber,0),1,1)*AB108^INDEX(FlowCalConstB,MATCH(Z107,FlowCalNumber,0),1,1)&lt;INDEX(FlowCalHighSetting,MATCH(Z107,FlowCalNumber,0),1,1))),INDEX(FlowCalConstA,MATCH(Z107,FlowCalNumber,0),1,1)*AB108^INDEX(FlowCalConstB,MATCH(Z107,FlowCalNumber,0),1,1)," ")</f>
        <v>#N/A</v>
      </c>
      <c r="AD108" s="33"/>
      <c r="AE108" s="260">
        <f>AE$17/100</f>
        <v>0.1</v>
      </c>
      <c r="AF108" s="241" t="e">
        <f ca="1">AE108*$H108</f>
        <v>#VALUE!</v>
      </c>
      <c r="AG108" s="243" t="e">
        <f ca="1">IF(AND(INDEX(FlowCalConstA,MATCH(AD107,FlowCalNumber,0),1,1)*AF108^INDEX(FlowCalConstB,MATCH(AD107,FlowCalNumber,0),1,1)&gt;INDEX(FlowCalLowSetting,MATCH(AD107,FlowCalNumber,0),1,1), (INDEX(FlowCalConstA,MATCH(AD107,FlowCalNumber,0),1,1)*AF108^INDEX(FlowCalConstB,MATCH(AD107,FlowCalNumber,0),1,1)&lt;INDEX(FlowCalHighSetting,MATCH(AD107,FlowCalNumber,0),1,1))),INDEX(FlowCalConstA,MATCH(AD107,FlowCalNumber,0),1,1)*AF108^INDEX(FlowCalConstB,MATCH(AD107,FlowCalNumber,0),1,1)," ")</f>
        <v>#N/A</v>
      </c>
      <c r="AH108" s="33"/>
      <c r="AI108" s="260">
        <f>AI$17/100</f>
        <v>0.9</v>
      </c>
      <c r="AJ108" s="241" t="e">
        <f ca="1">AI108*$H108</f>
        <v>#VALUE!</v>
      </c>
      <c r="AK108" s="243" t="e">
        <f ca="1">IF(AND(INDEX(FlowCalConstA,MATCH(AH107,FlowCalNumber,0),1,1)*AJ108^INDEX(FlowCalConstB,MATCH(AH107,FlowCalNumber,0),1,1)&gt;INDEX(FlowCalLowSetting,MATCH(AH107,FlowCalNumber,0),1,1), (INDEX(FlowCalConstA,MATCH(AH107,FlowCalNumber,0),1,1)*AJ108^INDEX(FlowCalConstB,MATCH(AH107,FlowCalNumber,0),1,1)&lt;INDEX(FlowCalHighSetting,MATCH(AH107,FlowCalNumber,0),1,1))),INDEX(FlowCalConstA,MATCH(AH107,FlowCalNumber,0),1,1)*AJ108^INDEX(FlowCalConstB,MATCH(AH107,FlowCalNumber,0),1,1)," ")</f>
        <v>#N/A</v>
      </c>
      <c r="AL108" s="33"/>
      <c r="AM108" s="260"/>
      <c r="AN108" s="241"/>
      <c r="AO108" s="244"/>
      <c r="AQ108" s="260"/>
      <c r="AR108" s="241"/>
      <c r="AS108" s="244"/>
      <c r="AT108" s="33"/>
      <c r="AU108" s="260"/>
      <c r="AV108" s="241"/>
      <c r="AW108" s="244"/>
      <c r="AX108" s="33"/>
      <c r="AY108" s="260"/>
      <c r="AZ108" s="241"/>
      <c r="BA108" s="244"/>
      <c r="BB108" s="33"/>
      <c r="BC108" s="260"/>
      <c r="BD108" s="241"/>
      <c r="BE108" s="244"/>
      <c r="BF108" s="33"/>
      <c r="BG108" s="260"/>
      <c r="BH108" s="241"/>
      <c r="BI108" s="244"/>
      <c r="BJ108" s="33"/>
      <c r="BK108" s="260"/>
      <c r="BL108" s="241"/>
      <c r="BM108" s="244"/>
      <c r="BN108" s="33"/>
      <c r="BO108" s="260"/>
      <c r="BP108" s="241"/>
      <c r="BQ108" s="244"/>
      <c r="BR108" s="33"/>
      <c r="BS108" s="260"/>
      <c r="BT108" s="241"/>
      <c r="BU108" s="244"/>
      <c r="BV108" s="33"/>
      <c r="BW108" s="260"/>
      <c r="BX108" s="241"/>
      <c r="BY108" s="244"/>
      <c r="BZ108" s="33"/>
      <c r="CA108" s="260"/>
      <c r="CB108" s="241"/>
      <c r="CC108" s="244"/>
      <c r="CD108" s="243"/>
      <c r="CE108" s="243"/>
      <c r="CF108" s="243"/>
      <c r="CG108" s="243"/>
      <c r="CH108" s="243"/>
      <c r="CI108" s="243"/>
      <c r="CJ108" s="243"/>
      <c r="CK108" s="243"/>
      <c r="CL108" s="243"/>
      <c r="CM108" s="243"/>
      <c r="CN108" s="243"/>
      <c r="CO108" s="243"/>
      <c r="CP108" s="243"/>
      <c r="CQ108" s="243"/>
      <c r="CR108" s="243"/>
      <c r="CS108" s="243"/>
      <c r="CT108" s="243"/>
      <c r="CU108" s="243"/>
      <c r="CV108" s="243"/>
      <c r="CW108" s="243"/>
      <c r="CX108" s="243"/>
      <c r="CY108" s="243"/>
      <c r="CZ108" s="243"/>
      <c r="DA108" s="243"/>
      <c r="DB108" s="243"/>
      <c r="DC108" s="243"/>
      <c r="DD108" s="243"/>
      <c r="DE108" s="243"/>
      <c r="DF108" s="243"/>
      <c r="DG108" s="243"/>
      <c r="DH108" s="243"/>
      <c r="DI108" s="243"/>
      <c r="DJ108" s="243"/>
      <c r="DK108" s="243"/>
      <c r="DM108" s="259"/>
      <c r="DO108" s="243"/>
      <c r="DQ108" s="259"/>
      <c r="DS108" s="243"/>
      <c r="DU108" s="259"/>
      <c r="DW108" s="243"/>
      <c r="DY108" s="260"/>
      <c r="EA108" s="243"/>
    </row>
    <row r="109" spans="1:131">
      <c r="A109" s="20"/>
      <c r="B109" s="124" t="str">
        <f t="shared" si="102"/>
        <v/>
      </c>
      <c r="C109" s="235"/>
      <c r="D109" s="24">
        <f>'1% Wind'!$M$83</f>
        <v>23.5</v>
      </c>
      <c r="E109" s="90"/>
      <c r="F109" s="90"/>
      <c r="G109" s="79">
        <f ca="1">IF(I107=0.9743,$G108,MAX(G108/D108*D109,2))</f>
        <v>6.001707317073171</v>
      </c>
      <c r="H109" s="121" t="e">
        <f t="shared" ca="1" si="103"/>
        <v>#VALUE!</v>
      </c>
      <c r="J109" s="33"/>
      <c r="K109" s="242">
        <f t="shared" ref="K109:K122" si="104">K108</f>
        <v>1</v>
      </c>
      <c r="L109" s="241" t="e">
        <f t="shared" ref="L109:L122" ca="1" si="105">K109*$H109</f>
        <v>#VALUE!</v>
      </c>
      <c r="M109" s="243" t="e">
        <f ca="1">IF(AND(INDEX(FlowCalConstA,MATCH(J107,FlowCalNumber,0),1,1)*L109^INDEX(FlowCalConstB,MATCH(J107,FlowCalNumber,0),1,1)&gt;INDEX(FlowCalLowSetting,MATCH(J107,FlowCalNumber,0),1,1), (INDEX(FlowCalConstA,MATCH(J107,FlowCalNumber,0),1,1)*L109^INDEX(FlowCalConstB,MATCH(J107,FlowCalNumber,0),1,1)&lt;INDEX(FlowCalHighSetting,MATCH(J107,FlowCalNumber,0),1,1))),INDEX(FlowCalConstA,MATCH(J107,FlowCalNumber,0),1,1)*L109^INDEX(FlowCalConstB,MATCH(J107,FlowCalNumber,0),1,1)," ")</f>
        <v>#N/A</v>
      </c>
      <c r="N109" s="33"/>
      <c r="O109" s="242">
        <f t="shared" ref="O109:O122" si="106">O108</f>
        <v>1</v>
      </c>
      <c r="P109" s="241" t="e">
        <f t="shared" ref="P109:P122" ca="1" si="107">O109*$H109</f>
        <v>#VALUE!</v>
      </c>
      <c r="Q109" s="243" t="e">
        <f ca="1">IF(AND(INDEX(FlowCalConstA,MATCH(N107,FlowCalNumber,0),1,1)*P109^INDEX(FlowCalConstB,MATCH(N107,FlowCalNumber,0),1,1)&gt;INDEX(FlowCalLowSetting,MATCH(N107,FlowCalNumber,0),1,1), (INDEX(FlowCalConstA,MATCH(N107,FlowCalNumber,0),1,1)*P109^INDEX(FlowCalConstB,MATCH(N107,FlowCalNumber,0),1,1)&lt;INDEX(FlowCalHighSetting,MATCH(N107,FlowCalNumber,0),1,1))),INDEX(FlowCalConstA,MATCH(N107,FlowCalNumber,0),1,1)*P109^INDEX(FlowCalConstB,MATCH(N107,FlowCalNumber,0),1,1)," ")</f>
        <v>#N/A</v>
      </c>
      <c r="R109" s="33"/>
      <c r="S109" s="242">
        <f t="shared" ref="S109:S122" si="108">S108</f>
        <v>1</v>
      </c>
      <c r="T109" s="241" t="e">
        <f t="shared" ref="T109:T122" ca="1" si="109">S109*$H109</f>
        <v>#VALUE!</v>
      </c>
      <c r="U109" s="244" t="e">
        <f ca="1">IF(AND(INDEX(FlowCalConstA,MATCH(R107,FlowCalNumber,0),1,1)*T109^INDEX(FlowCalConstB,MATCH(R107,FlowCalNumber,0),1,1)&gt;INDEX(FlowCalLowSetting,MATCH(R107,FlowCalNumber,0),1,1), (INDEX(FlowCalConstA,MATCH(R107,FlowCalNumber,0),1,1)*T109^INDEX(FlowCalConstB,MATCH(R107,FlowCalNumber,0),1,1)&lt;INDEX(FlowCalHighSetting,MATCH(R107,FlowCalNumber,0),1,1))),INDEX(FlowCalConstA,MATCH(R107,FlowCalNumber,0),1,1)*T109^INDEX(FlowCalConstB,MATCH(R107,FlowCalNumber,0),1,1)," ")</f>
        <v>#N/A</v>
      </c>
      <c r="V109" s="33"/>
      <c r="W109" s="242">
        <f t="shared" ref="W109:W122" si="110">W108</f>
        <v>0.1</v>
      </c>
      <c r="X109" s="241" t="e">
        <f t="shared" ref="X109:X122" ca="1" si="111">W109*$H109</f>
        <v>#VALUE!</v>
      </c>
      <c r="Y109" s="243" t="e">
        <f ca="1">IF(AND(INDEX(FlowCalConstA,MATCH(V107,FlowCalNumber,0),1,1)*X109^INDEX(FlowCalConstB,MATCH(V107,FlowCalNumber,0),1,1)&gt;INDEX(FlowCalLowSetting,MATCH(V107,FlowCalNumber,0),1,1), (INDEX(FlowCalConstA,MATCH(V107,FlowCalNumber,0),1,1)*X109^INDEX(FlowCalConstB,MATCH(V107,FlowCalNumber,0),1,1)&lt;INDEX(FlowCalHighSetting,MATCH(V107,FlowCalNumber,0),1,1))),INDEX(FlowCalConstA,MATCH(V107,FlowCalNumber,0),1,1)*X109^INDEX(FlowCalConstB,MATCH(V107,FlowCalNumber,0),1,1)," ")</f>
        <v>#N/A</v>
      </c>
      <c r="Z109" s="33"/>
      <c r="AA109" s="242">
        <f t="shared" ref="AA109:AA122" si="112">AA108</f>
        <v>0.9</v>
      </c>
      <c r="AB109" s="241" t="e">
        <f t="shared" ref="AB109:AB122" ca="1" si="113">AA109*$H109</f>
        <v>#VALUE!</v>
      </c>
      <c r="AC109" s="243" t="e">
        <f ca="1">IF(AND(INDEX(FlowCalConstA,MATCH(Z107,FlowCalNumber,0),1,1)*AB109^INDEX(FlowCalConstB,MATCH(Z107,FlowCalNumber,0),1,1)&gt;INDEX(FlowCalLowSetting,MATCH(Z107,FlowCalNumber,0),1,1), (INDEX(FlowCalConstA,MATCH(Z107,FlowCalNumber,0),1,1)*AB109^INDEX(FlowCalConstB,MATCH(Z107,FlowCalNumber,0),1,1)&lt;INDEX(FlowCalHighSetting,MATCH(Z107,FlowCalNumber,0),1,1))),INDEX(FlowCalConstA,MATCH(Z107,FlowCalNumber,0),1,1)*AB109^INDEX(FlowCalConstB,MATCH(Z107,FlowCalNumber,0),1,1)," ")</f>
        <v>#N/A</v>
      </c>
      <c r="AD109" s="33"/>
      <c r="AE109" s="242">
        <f t="shared" ref="AE109:AE122" si="114">AE108</f>
        <v>0.1</v>
      </c>
      <c r="AF109" s="241" t="e">
        <f t="shared" ref="AF109:AF122" ca="1" si="115">AE109*$H109</f>
        <v>#VALUE!</v>
      </c>
      <c r="AG109" s="243" t="e">
        <f ca="1">IF(AND(INDEX(FlowCalConstA,MATCH(AD107,FlowCalNumber,0),1,1)*AF109^INDEX(FlowCalConstB,MATCH(AD107,FlowCalNumber,0),1,1)&gt;INDEX(FlowCalLowSetting,MATCH(AD107,FlowCalNumber,0),1,1), (INDEX(FlowCalConstA,MATCH(AD107,FlowCalNumber,0),1,1)*AF109^INDEX(FlowCalConstB,MATCH(AD107,FlowCalNumber,0),1,1)&lt;INDEX(FlowCalHighSetting,MATCH(AD107,FlowCalNumber,0),1,1))),INDEX(FlowCalConstA,MATCH(AD107,FlowCalNumber,0),1,1)*AF109^INDEX(FlowCalConstB,MATCH(AD107,FlowCalNumber,0),1,1)," ")</f>
        <v>#N/A</v>
      </c>
      <c r="AH109" s="33"/>
      <c r="AI109" s="242">
        <f t="shared" ref="AI109:AI122" si="116">AI108</f>
        <v>0.9</v>
      </c>
      <c r="AJ109" s="241" t="e">
        <f t="shared" ref="AJ109:AJ122" ca="1" si="117">AI109*$H109</f>
        <v>#VALUE!</v>
      </c>
      <c r="AK109" s="243" t="e">
        <f ca="1">IF(AND(INDEX(FlowCalConstA,MATCH(AH107,FlowCalNumber,0),1,1)*AJ109^INDEX(FlowCalConstB,MATCH(AH107,FlowCalNumber,0),1,1)&gt;INDEX(FlowCalLowSetting,MATCH(AH107,FlowCalNumber,0),1,1), (INDEX(FlowCalConstA,MATCH(AH107,FlowCalNumber,0),1,1)*AJ109^INDEX(FlowCalConstB,MATCH(AH107,FlowCalNumber,0),1,1)&lt;INDEX(FlowCalHighSetting,MATCH(AH107,FlowCalNumber,0),1,1))),INDEX(FlowCalConstA,MATCH(AH107,FlowCalNumber,0),1,1)*AJ109^INDEX(FlowCalConstB,MATCH(AH107,FlowCalNumber,0),1,1)," ")</f>
        <v>#N/A</v>
      </c>
      <c r="AL109" s="33"/>
      <c r="AM109" s="242"/>
      <c r="AN109" s="241"/>
      <c r="AO109" s="244"/>
      <c r="AQ109" s="242"/>
      <c r="AR109" s="241"/>
      <c r="AS109" s="244"/>
      <c r="AT109" s="33"/>
      <c r="AU109" s="242"/>
      <c r="AV109" s="241"/>
      <c r="AW109" s="244"/>
      <c r="AX109" s="33"/>
      <c r="AY109" s="242"/>
      <c r="AZ109" s="241"/>
      <c r="BA109" s="244"/>
      <c r="BB109" s="33"/>
      <c r="BC109" s="242"/>
      <c r="BD109" s="241"/>
      <c r="BE109" s="244"/>
      <c r="BF109" s="33"/>
      <c r="BG109" s="242"/>
      <c r="BH109" s="241"/>
      <c r="BI109" s="244"/>
      <c r="BJ109" s="33"/>
      <c r="BK109" s="242"/>
      <c r="BL109" s="241"/>
      <c r="BM109" s="244"/>
      <c r="BN109" s="33"/>
      <c r="BO109" s="242"/>
      <c r="BP109" s="241"/>
      <c r="BQ109" s="244"/>
      <c r="BR109" s="33"/>
      <c r="BS109" s="242"/>
      <c r="BT109" s="241"/>
      <c r="BU109" s="244"/>
      <c r="BV109" s="33"/>
      <c r="BW109" s="242"/>
      <c r="BX109" s="241"/>
      <c r="BY109" s="244"/>
      <c r="BZ109" s="33"/>
      <c r="CA109" s="242"/>
      <c r="CB109" s="241"/>
      <c r="CC109" s="244"/>
      <c r="CD109" s="243"/>
      <c r="CE109" s="243"/>
      <c r="CF109" s="243"/>
      <c r="CG109" s="243"/>
      <c r="CH109" s="243"/>
      <c r="CI109" s="243"/>
      <c r="CJ109" s="243"/>
      <c r="CK109" s="243"/>
      <c r="CL109" s="243"/>
      <c r="CM109" s="243"/>
      <c r="CN109" s="243"/>
      <c r="CO109" s="243"/>
      <c r="CP109" s="243"/>
      <c r="CQ109" s="243"/>
      <c r="CR109" s="243"/>
      <c r="CS109" s="243"/>
      <c r="CT109" s="243"/>
      <c r="CU109" s="243"/>
      <c r="CV109" s="243"/>
      <c r="CW109" s="243"/>
      <c r="CX109" s="243"/>
      <c r="CY109" s="243"/>
      <c r="CZ109" s="243"/>
      <c r="DA109" s="243"/>
      <c r="DB109" s="243"/>
      <c r="DC109" s="243"/>
      <c r="DD109" s="243"/>
      <c r="DE109" s="243"/>
      <c r="DF109" s="243"/>
      <c r="DG109" s="243"/>
      <c r="DH109" s="243"/>
      <c r="DI109" s="243"/>
      <c r="DJ109" s="243"/>
      <c r="DK109" s="243"/>
      <c r="DM109" s="242"/>
      <c r="DO109" s="243"/>
      <c r="DQ109" s="242"/>
      <c r="DS109" s="243"/>
      <c r="DU109" s="242"/>
      <c r="DW109" s="243"/>
      <c r="DY109" s="242"/>
      <c r="EA109" s="243"/>
    </row>
    <row r="110" spans="1:131">
      <c r="A110" s="20"/>
      <c r="B110" s="124" t="str">
        <f t="shared" si="102"/>
        <v/>
      </c>
      <c r="C110" s="235"/>
      <c r="D110" s="24">
        <f>'1% Wind'!$M$84</f>
        <v>20.5</v>
      </c>
      <c r="E110" s="90"/>
      <c r="F110" s="90"/>
      <c r="G110" s="79">
        <f ca="1">IF(I107=0.9743,$G109,MAX(G109/D109*D110,2))</f>
        <v>6.001707317073171</v>
      </c>
      <c r="H110" s="121" t="e">
        <f t="shared" ca="1" si="103"/>
        <v>#VALUE!</v>
      </c>
      <c r="J110" s="33"/>
      <c r="K110" s="242">
        <f t="shared" si="104"/>
        <v>1</v>
      </c>
      <c r="L110" s="241" t="e">
        <f t="shared" ca="1" si="105"/>
        <v>#VALUE!</v>
      </c>
      <c r="M110" s="243" t="e">
        <f ca="1">IF(AND(INDEX(FlowCalConstA,MATCH(J107,FlowCalNumber,0),1,1)*L110^INDEX(FlowCalConstB,MATCH(J107,FlowCalNumber,0),1,1)&gt;INDEX(FlowCalLowSetting,MATCH(J107,FlowCalNumber,0),1,1), (INDEX(FlowCalConstA,MATCH(J107,FlowCalNumber,0),1,1)*L110^INDEX(FlowCalConstB,MATCH(J107,FlowCalNumber,0),1,1)&lt;INDEX(FlowCalHighSetting,MATCH(J107,FlowCalNumber,0),1,1))),INDEX(FlowCalConstA,MATCH(J107,FlowCalNumber,0),1,1)*L110^INDEX(FlowCalConstB,MATCH(J107,FlowCalNumber,0),1,1)," ")</f>
        <v>#N/A</v>
      </c>
      <c r="N110" s="33"/>
      <c r="O110" s="242">
        <f t="shared" si="106"/>
        <v>1</v>
      </c>
      <c r="P110" s="241" t="e">
        <f t="shared" ca="1" si="107"/>
        <v>#VALUE!</v>
      </c>
      <c r="Q110" s="243" t="e">
        <f ca="1">IF(AND(INDEX(FlowCalConstA,MATCH(N107,FlowCalNumber,0),1,1)*P110^INDEX(FlowCalConstB,MATCH(N107,FlowCalNumber,0),1,1)&gt;INDEX(FlowCalLowSetting,MATCH(N107,FlowCalNumber,0),1,1), (INDEX(FlowCalConstA,MATCH(N107,FlowCalNumber,0),1,1)*P110^INDEX(FlowCalConstB,MATCH(N107,FlowCalNumber,0),1,1)&lt;INDEX(FlowCalHighSetting,MATCH(N107,FlowCalNumber,0),1,1))),INDEX(FlowCalConstA,MATCH(N107,FlowCalNumber,0),1,1)*P110^INDEX(FlowCalConstB,MATCH(N107,FlowCalNumber,0),1,1)," ")</f>
        <v>#N/A</v>
      </c>
      <c r="R110" s="33"/>
      <c r="S110" s="242">
        <f t="shared" si="108"/>
        <v>1</v>
      </c>
      <c r="T110" s="241" t="e">
        <f t="shared" ca="1" si="109"/>
        <v>#VALUE!</v>
      </c>
      <c r="U110" s="244" t="e">
        <f ca="1">IF(AND(INDEX(FlowCalConstA,MATCH(R107,FlowCalNumber,0),1,1)*T110^INDEX(FlowCalConstB,MATCH(R107,FlowCalNumber,0),1,1)&gt;INDEX(FlowCalLowSetting,MATCH(R107,FlowCalNumber,0),1,1), (INDEX(FlowCalConstA,MATCH(R107,FlowCalNumber,0),1,1)*T110^INDEX(FlowCalConstB,MATCH(R107,FlowCalNumber,0),1,1)&lt;INDEX(FlowCalHighSetting,MATCH(R107,FlowCalNumber,0),1,1))),INDEX(FlowCalConstA,MATCH(R107,FlowCalNumber,0),1,1)*T110^INDEX(FlowCalConstB,MATCH(R107,FlowCalNumber,0),1,1)," ")</f>
        <v>#N/A</v>
      </c>
      <c r="V110" s="33"/>
      <c r="W110" s="242">
        <f t="shared" si="110"/>
        <v>0.1</v>
      </c>
      <c r="X110" s="241" t="e">
        <f t="shared" ca="1" si="111"/>
        <v>#VALUE!</v>
      </c>
      <c r="Y110" s="243" t="e">
        <f ca="1">IF(AND(INDEX(FlowCalConstA,MATCH(V107,FlowCalNumber,0),1,1)*X110^INDEX(FlowCalConstB,MATCH(V107,FlowCalNumber,0),1,1)&gt;INDEX(FlowCalLowSetting,MATCH(V107,FlowCalNumber,0),1,1), (INDEX(FlowCalConstA,MATCH(V107,FlowCalNumber,0),1,1)*X110^INDEX(FlowCalConstB,MATCH(V107,FlowCalNumber,0),1,1)&lt;INDEX(FlowCalHighSetting,MATCH(V107,FlowCalNumber,0),1,1))),INDEX(FlowCalConstA,MATCH(V107,FlowCalNumber,0),1,1)*X110^INDEX(FlowCalConstB,MATCH(V107,FlowCalNumber,0),1,1)," ")</f>
        <v>#N/A</v>
      </c>
      <c r="Z110" s="33"/>
      <c r="AA110" s="242">
        <f t="shared" si="112"/>
        <v>0.9</v>
      </c>
      <c r="AB110" s="241" t="e">
        <f t="shared" ca="1" si="113"/>
        <v>#VALUE!</v>
      </c>
      <c r="AC110" s="243" t="e">
        <f ca="1">IF(AND(INDEX(FlowCalConstA,MATCH(Z107,FlowCalNumber,0),1,1)*AB110^INDEX(FlowCalConstB,MATCH(Z107,FlowCalNumber,0),1,1)&gt;INDEX(FlowCalLowSetting,MATCH(Z107,FlowCalNumber,0),1,1), (INDEX(FlowCalConstA,MATCH(Z107,FlowCalNumber,0),1,1)*AB110^INDEX(FlowCalConstB,MATCH(Z107,FlowCalNumber,0),1,1)&lt;INDEX(FlowCalHighSetting,MATCH(Z107,FlowCalNumber,0),1,1))),INDEX(FlowCalConstA,MATCH(Z107,FlowCalNumber,0),1,1)*AB110^INDEX(FlowCalConstB,MATCH(Z107,FlowCalNumber,0),1,1)," ")</f>
        <v>#N/A</v>
      </c>
      <c r="AD110" s="33"/>
      <c r="AE110" s="242">
        <f t="shared" si="114"/>
        <v>0.1</v>
      </c>
      <c r="AF110" s="241" t="e">
        <f t="shared" ca="1" si="115"/>
        <v>#VALUE!</v>
      </c>
      <c r="AG110" s="243" t="e">
        <f ca="1">IF(AND(INDEX(FlowCalConstA,MATCH(AD107,FlowCalNumber,0),1,1)*AF110^INDEX(FlowCalConstB,MATCH(AD107,FlowCalNumber,0),1,1)&gt;INDEX(FlowCalLowSetting,MATCH(AD107,FlowCalNumber,0),1,1), (INDEX(FlowCalConstA,MATCH(AD107,FlowCalNumber,0),1,1)*AF110^INDEX(FlowCalConstB,MATCH(AD107,FlowCalNumber,0),1,1)&lt;INDEX(FlowCalHighSetting,MATCH(AD107,FlowCalNumber,0),1,1))),INDEX(FlowCalConstA,MATCH(AD107,FlowCalNumber,0),1,1)*AF110^INDEX(FlowCalConstB,MATCH(AD107,FlowCalNumber,0),1,1)," ")</f>
        <v>#N/A</v>
      </c>
      <c r="AH110" s="33"/>
      <c r="AI110" s="242">
        <f t="shared" si="116"/>
        <v>0.9</v>
      </c>
      <c r="AJ110" s="241" t="e">
        <f t="shared" ca="1" si="117"/>
        <v>#VALUE!</v>
      </c>
      <c r="AK110" s="243" t="e">
        <f ca="1">IF(AND(INDEX(FlowCalConstA,MATCH(AH107,FlowCalNumber,0),1,1)*AJ110^INDEX(FlowCalConstB,MATCH(AH107,FlowCalNumber,0),1,1)&gt;INDEX(FlowCalLowSetting,MATCH(AH107,FlowCalNumber,0),1,1), (INDEX(FlowCalConstA,MATCH(AH107,FlowCalNumber,0),1,1)*AJ110^INDEX(FlowCalConstB,MATCH(AH107,FlowCalNumber,0),1,1)&lt;INDEX(FlowCalHighSetting,MATCH(AH107,FlowCalNumber,0),1,1))),INDEX(FlowCalConstA,MATCH(AH107,FlowCalNumber,0),1,1)*AJ110^INDEX(FlowCalConstB,MATCH(AH107,FlowCalNumber,0),1,1)," ")</f>
        <v>#N/A</v>
      </c>
      <c r="AL110" s="33"/>
      <c r="AM110" s="242"/>
      <c r="AN110" s="241"/>
      <c r="AO110" s="244"/>
      <c r="AQ110" s="242"/>
      <c r="AR110" s="241"/>
      <c r="AS110" s="244"/>
      <c r="AT110" s="33"/>
      <c r="AU110" s="242"/>
      <c r="AV110" s="241"/>
      <c r="AW110" s="244"/>
      <c r="AX110" s="33"/>
      <c r="AY110" s="242"/>
      <c r="AZ110" s="241"/>
      <c r="BA110" s="244"/>
      <c r="BB110" s="33"/>
      <c r="BC110" s="242"/>
      <c r="BD110" s="241"/>
      <c r="BE110" s="244"/>
      <c r="BF110" s="33"/>
      <c r="BG110" s="242"/>
      <c r="BH110" s="241"/>
      <c r="BI110" s="244"/>
      <c r="BJ110" s="33"/>
      <c r="BK110" s="242"/>
      <c r="BL110" s="241"/>
      <c r="BM110" s="244"/>
      <c r="BN110" s="33"/>
      <c r="BO110" s="242"/>
      <c r="BP110" s="241"/>
      <c r="BQ110" s="244"/>
      <c r="BR110" s="33"/>
      <c r="BS110" s="242"/>
      <c r="BT110" s="241"/>
      <c r="BU110" s="244"/>
      <c r="BV110" s="33"/>
      <c r="BW110" s="242"/>
      <c r="BX110" s="241"/>
      <c r="BY110" s="244"/>
      <c r="BZ110" s="33"/>
      <c r="CA110" s="242"/>
      <c r="CB110" s="241"/>
      <c r="CC110" s="244"/>
      <c r="CD110" s="243"/>
      <c r="CE110" s="243"/>
      <c r="CF110" s="243"/>
      <c r="CG110" s="243"/>
      <c r="CH110" s="243"/>
      <c r="CI110" s="243"/>
      <c r="CJ110" s="243"/>
      <c r="CK110" s="243"/>
      <c r="CL110" s="243"/>
      <c r="CM110" s="243"/>
      <c r="CN110" s="243"/>
      <c r="CO110" s="243"/>
      <c r="CP110" s="243"/>
      <c r="CQ110" s="243"/>
      <c r="CR110" s="243"/>
      <c r="CS110" s="243"/>
      <c r="CT110" s="243"/>
      <c r="CU110" s="243"/>
      <c r="CV110" s="243"/>
      <c r="CW110" s="243"/>
      <c r="CX110" s="243"/>
      <c r="CY110" s="243"/>
      <c r="CZ110" s="243"/>
      <c r="DA110" s="243"/>
      <c r="DB110" s="243"/>
      <c r="DC110" s="243"/>
      <c r="DD110" s="243"/>
      <c r="DE110" s="243"/>
      <c r="DF110" s="243"/>
      <c r="DG110" s="243"/>
      <c r="DH110" s="243"/>
      <c r="DI110" s="243"/>
      <c r="DJ110" s="243"/>
      <c r="DK110" s="243"/>
      <c r="DM110" s="242"/>
      <c r="DO110" s="243"/>
      <c r="DQ110" s="242"/>
      <c r="DS110" s="243"/>
      <c r="DU110" s="242"/>
      <c r="DW110" s="243"/>
      <c r="DY110" s="242"/>
      <c r="EA110" s="243"/>
    </row>
    <row r="111" spans="1:131">
      <c r="A111" s="20"/>
      <c r="B111" s="124" t="str">
        <f t="shared" si="102"/>
        <v/>
      </c>
      <c r="C111" s="235"/>
      <c r="D111" s="24">
        <f>'1% Wind'!$M$85</f>
        <v>17.8</v>
      </c>
      <c r="E111" s="90"/>
      <c r="F111" s="90"/>
      <c r="G111" s="79">
        <f ca="1">IF(I107=0.9743,$G110,MAX(G110/D110*D111,2))</f>
        <v>6.001707317073171</v>
      </c>
      <c r="H111" s="121" t="e">
        <f t="shared" ca="1" si="103"/>
        <v>#VALUE!</v>
      </c>
      <c r="J111" s="33"/>
      <c r="K111" s="242">
        <f t="shared" si="104"/>
        <v>1</v>
      </c>
      <c r="L111" s="241" t="e">
        <f t="shared" ca="1" si="105"/>
        <v>#VALUE!</v>
      </c>
      <c r="M111" s="243" t="e">
        <f ca="1">IF(AND(INDEX(FlowCalConstA,MATCH(J107,FlowCalNumber,0),1,1)*L111^INDEX(FlowCalConstB,MATCH(J107,FlowCalNumber,0),1,1)&gt;INDEX(FlowCalLowSetting,MATCH(J107,FlowCalNumber,0),1,1), (INDEX(FlowCalConstA,MATCH(J107,FlowCalNumber,0),1,1)*L111^INDEX(FlowCalConstB,MATCH(J107,FlowCalNumber,0),1,1)&lt;INDEX(FlowCalHighSetting,MATCH(J107,FlowCalNumber,0),1,1))),INDEX(FlowCalConstA,MATCH(J107,FlowCalNumber,0),1,1)*L111^INDEX(FlowCalConstB,MATCH(J107,FlowCalNumber,0),1,1)," ")</f>
        <v>#N/A</v>
      </c>
      <c r="N111" s="33"/>
      <c r="O111" s="242">
        <f t="shared" si="106"/>
        <v>1</v>
      </c>
      <c r="P111" s="241" t="e">
        <f t="shared" ca="1" si="107"/>
        <v>#VALUE!</v>
      </c>
      <c r="Q111" s="243" t="e">
        <f ca="1">IF(AND(INDEX(FlowCalConstA,MATCH(N107,FlowCalNumber,0),1,1)*P111^INDEX(FlowCalConstB,MATCH(N107,FlowCalNumber,0),1,1)&gt;INDEX(FlowCalLowSetting,MATCH(N107,FlowCalNumber,0),1,1), (INDEX(FlowCalConstA,MATCH(N107,FlowCalNumber,0),1,1)*P111^INDEX(FlowCalConstB,MATCH(N107,FlowCalNumber,0),1,1)&lt;INDEX(FlowCalHighSetting,MATCH(N107,FlowCalNumber,0),1,1))),INDEX(FlowCalConstA,MATCH(N107,FlowCalNumber,0),1,1)*P111^INDEX(FlowCalConstB,MATCH(N107,FlowCalNumber,0),1,1)," ")</f>
        <v>#N/A</v>
      </c>
      <c r="R111" s="33"/>
      <c r="S111" s="242">
        <f t="shared" si="108"/>
        <v>1</v>
      </c>
      <c r="T111" s="241" t="e">
        <f t="shared" ca="1" si="109"/>
        <v>#VALUE!</v>
      </c>
      <c r="U111" s="244" t="e">
        <f ca="1">IF(AND(INDEX(FlowCalConstA,MATCH(R107,FlowCalNumber,0),1,1)*T111^INDEX(FlowCalConstB,MATCH(R107,FlowCalNumber,0),1,1)&gt;INDEX(FlowCalLowSetting,MATCH(R107,FlowCalNumber,0),1,1), (INDEX(FlowCalConstA,MATCH(R107,FlowCalNumber,0),1,1)*T111^INDEX(FlowCalConstB,MATCH(R107,FlowCalNumber,0),1,1)&lt;INDEX(FlowCalHighSetting,MATCH(R107,FlowCalNumber,0),1,1))),INDEX(FlowCalConstA,MATCH(R107,FlowCalNumber,0),1,1)*T111^INDEX(FlowCalConstB,MATCH(R107,FlowCalNumber,0),1,1)," ")</f>
        <v>#N/A</v>
      </c>
      <c r="V111" s="33"/>
      <c r="W111" s="242">
        <f t="shared" si="110"/>
        <v>0.1</v>
      </c>
      <c r="X111" s="241" t="e">
        <f t="shared" ca="1" si="111"/>
        <v>#VALUE!</v>
      </c>
      <c r="Y111" s="243" t="e">
        <f ca="1">IF(AND(INDEX(FlowCalConstA,MATCH(V107,FlowCalNumber,0),1,1)*X111^INDEX(FlowCalConstB,MATCH(V107,FlowCalNumber,0),1,1)&gt;INDEX(FlowCalLowSetting,MATCH(V107,FlowCalNumber,0),1,1), (INDEX(FlowCalConstA,MATCH(V107,FlowCalNumber,0),1,1)*X111^INDEX(FlowCalConstB,MATCH(V107,FlowCalNumber,0),1,1)&lt;INDEX(FlowCalHighSetting,MATCH(V107,FlowCalNumber,0),1,1))),INDEX(FlowCalConstA,MATCH(V107,FlowCalNumber,0),1,1)*X111^INDEX(FlowCalConstB,MATCH(V107,FlowCalNumber,0),1,1)," ")</f>
        <v>#N/A</v>
      </c>
      <c r="Z111" s="33"/>
      <c r="AA111" s="242">
        <f t="shared" si="112"/>
        <v>0.9</v>
      </c>
      <c r="AB111" s="241" t="e">
        <f t="shared" ca="1" si="113"/>
        <v>#VALUE!</v>
      </c>
      <c r="AC111" s="243" t="e">
        <f ca="1">IF(AND(INDEX(FlowCalConstA,MATCH(Z107,FlowCalNumber,0),1,1)*AB111^INDEX(FlowCalConstB,MATCH(Z107,FlowCalNumber,0),1,1)&gt;INDEX(FlowCalLowSetting,MATCH(Z107,FlowCalNumber,0),1,1), (INDEX(FlowCalConstA,MATCH(Z107,FlowCalNumber,0),1,1)*AB111^INDEX(FlowCalConstB,MATCH(Z107,FlowCalNumber,0),1,1)&lt;INDEX(FlowCalHighSetting,MATCH(Z107,FlowCalNumber,0),1,1))),INDEX(FlowCalConstA,MATCH(Z107,FlowCalNumber,0),1,1)*AB111^INDEX(FlowCalConstB,MATCH(Z107,FlowCalNumber,0),1,1)," ")</f>
        <v>#N/A</v>
      </c>
      <c r="AD111" s="33"/>
      <c r="AE111" s="242">
        <f t="shared" si="114"/>
        <v>0.1</v>
      </c>
      <c r="AF111" s="241" t="e">
        <f t="shared" ca="1" si="115"/>
        <v>#VALUE!</v>
      </c>
      <c r="AG111" s="243" t="e">
        <f ca="1">IF(AND(INDEX(FlowCalConstA,MATCH(AD107,FlowCalNumber,0),1,1)*AF111^INDEX(FlowCalConstB,MATCH(AD107,FlowCalNumber,0),1,1)&gt;INDEX(FlowCalLowSetting,MATCH(AD107,FlowCalNumber,0),1,1), (INDEX(FlowCalConstA,MATCH(AD107,FlowCalNumber,0),1,1)*AF111^INDEX(FlowCalConstB,MATCH(AD107,FlowCalNumber,0),1,1)&lt;INDEX(FlowCalHighSetting,MATCH(AD107,FlowCalNumber,0),1,1))),INDEX(FlowCalConstA,MATCH(AD107,FlowCalNumber,0),1,1)*AF111^INDEX(FlowCalConstB,MATCH(AD107,FlowCalNumber,0),1,1)," ")</f>
        <v>#N/A</v>
      </c>
      <c r="AH111" s="33"/>
      <c r="AI111" s="242">
        <f t="shared" si="116"/>
        <v>0.9</v>
      </c>
      <c r="AJ111" s="241" t="e">
        <f t="shared" ca="1" si="117"/>
        <v>#VALUE!</v>
      </c>
      <c r="AK111" s="243" t="e">
        <f ca="1">IF(AND(INDEX(FlowCalConstA,MATCH(AH107,FlowCalNumber,0),1,1)*AJ111^INDEX(FlowCalConstB,MATCH(AH107,FlowCalNumber,0),1,1)&gt;INDEX(FlowCalLowSetting,MATCH(AH107,FlowCalNumber,0),1,1), (INDEX(FlowCalConstA,MATCH(AH107,FlowCalNumber,0),1,1)*AJ111^INDEX(FlowCalConstB,MATCH(AH107,FlowCalNumber,0),1,1)&lt;INDEX(FlowCalHighSetting,MATCH(AH107,FlowCalNumber,0),1,1))),INDEX(FlowCalConstA,MATCH(AH107,FlowCalNumber,0),1,1)*AJ111^INDEX(FlowCalConstB,MATCH(AH107,FlowCalNumber,0),1,1)," ")</f>
        <v>#N/A</v>
      </c>
      <c r="AL111" s="33"/>
      <c r="AM111" s="242"/>
      <c r="AN111" s="241"/>
      <c r="AO111" s="244"/>
      <c r="AQ111" s="242"/>
      <c r="AR111" s="241"/>
      <c r="AS111" s="244"/>
      <c r="AT111" s="33"/>
      <c r="AU111" s="242"/>
      <c r="AV111" s="241"/>
      <c r="AW111" s="244"/>
      <c r="AX111" s="33"/>
      <c r="AY111" s="242"/>
      <c r="AZ111" s="241"/>
      <c r="BA111" s="244"/>
      <c r="BB111" s="33"/>
      <c r="BC111" s="242"/>
      <c r="BD111" s="241"/>
      <c r="BE111" s="244"/>
      <c r="BF111" s="33"/>
      <c r="BG111" s="242"/>
      <c r="BH111" s="241"/>
      <c r="BI111" s="244"/>
      <c r="BJ111" s="33"/>
      <c r="BK111" s="242"/>
      <c r="BL111" s="241"/>
      <c r="BM111" s="244"/>
      <c r="BN111" s="33"/>
      <c r="BO111" s="242"/>
      <c r="BP111" s="241"/>
      <c r="BQ111" s="244"/>
      <c r="BR111" s="33"/>
      <c r="BS111" s="242"/>
      <c r="BT111" s="241"/>
      <c r="BU111" s="244"/>
      <c r="BV111" s="33"/>
      <c r="BW111" s="242"/>
      <c r="BX111" s="241"/>
      <c r="BY111" s="244"/>
      <c r="BZ111" s="33"/>
      <c r="CA111" s="242"/>
      <c r="CB111" s="241"/>
      <c r="CC111" s="244"/>
      <c r="CD111" s="243"/>
      <c r="CE111" s="243"/>
      <c r="CF111" s="243"/>
      <c r="CG111" s="243"/>
      <c r="CH111" s="243"/>
      <c r="CI111" s="243"/>
      <c r="CJ111" s="243"/>
      <c r="CK111" s="243"/>
      <c r="CL111" s="243"/>
      <c r="CM111" s="243"/>
      <c r="CN111" s="243"/>
      <c r="CO111" s="243"/>
      <c r="CP111" s="243"/>
      <c r="CQ111" s="243"/>
      <c r="CR111" s="243"/>
      <c r="CS111" s="243"/>
      <c r="CT111" s="243"/>
      <c r="CU111" s="243"/>
      <c r="CV111" s="243"/>
      <c r="CW111" s="243"/>
      <c r="CX111" s="243"/>
      <c r="CY111" s="243"/>
      <c r="CZ111" s="243"/>
      <c r="DA111" s="243"/>
      <c r="DB111" s="243"/>
      <c r="DC111" s="243"/>
      <c r="DD111" s="243"/>
      <c r="DE111" s="243"/>
      <c r="DF111" s="243"/>
      <c r="DG111" s="243"/>
      <c r="DH111" s="243"/>
      <c r="DI111" s="243"/>
      <c r="DJ111" s="243"/>
      <c r="DK111" s="243"/>
      <c r="DM111" s="242"/>
      <c r="DO111" s="243"/>
      <c r="DQ111" s="242"/>
      <c r="DS111" s="243"/>
      <c r="DU111" s="242"/>
      <c r="DW111" s="243"/>
      <c r="DY111" s="242"/>
      <c r="EA111" s="243"/>
    </row>
    <row r="112" spans="1:131">
      <c r="A112" s="20"/>
      <c r="B112" s="124" t="str">
        <f t="shared" si="102"/>
        <v/>
      </c>
      <c r="C112" s="235"/>
      <c r="D112" s="24">
        <f>'1% Wind'!$M$86</f>
        <v>15.5</v>
      </c>
      <c r="E112" s="90"/>
      <c r="F112" s="90"/>
      <c r="G112" s="79">
        <f ca="1">IF(I107=0.9743,$G111,MAX(G111/D111*D112,2))</f>
        <v>6.001707317073171</v>
      </c>
      <c r="H112" s="121" t="e">
        <f t="shared" ca="1" si="103"/>
        <v>#VALUE!</v>
      </c>
      <c r="J112" s="33"/>
      <c r="K112" s="242">
        <f t="shared" si="104"/>
        <v>1</v>
      </c>
      <c r="L112" s="241" t="e">
        <f t="shared" ca="1" si="105"/>
        <v>#VALUE!</v>
      </c>
      <c r="M112" s="243" t="e">
        <f ca="1">IF(AND(INDEX(FlowCalConstA,MATCH(J107,FlowCalNumber,0),1,1)*L112^INDEX(FlowCalConstB,MATCH(J107,FlowCalNumber,0),1,1)&gt;INDEX(FlowCalLowSetting,MATCH(J107,FlowCalNumber,0),1,1), (INDEX(FlowCalConstA,MATCH(J107,FlowCalNumber,0),1,1)*L112^INDEX(FlowCalConstB,MATCH(J107,FlowCalNumber,0),1,1)&lt;INDEX(FlowCalHighSetting,MATCH(J107,FlowCalNumber,0),1,1))),INDEX(FlowCalConstA,MATCH(J107,FlowCalNumber,0),1,1)*L112^INDEX(FlowCalConstB,MATCH(J107,FlowCalNumber,0),1,1)," ")</f>
        <v>#N/A</v>
      </c>
      <c r="N112" s="33"/>
      <c r="O112" s="242">
        <f t="shared" si="106"/>
        <v>1</v>
      </c>
      <c r="P112" s="241" t="e">
        <f t="shared" ca="1" si="107"/>
        <v>#VALUE!</v>
      </c>
      <c r="Q112" s="243" t="e">
        <f ca="1">IF(AND(INDEX(FlowCalConstA,MATCH(N107,FlowCalNumber,0),1,1)*P112^INDEX(FlowCalConstB,MATCH(N107,FlowCalNumber,0),1,1)&gt;INDEX(FlowCalLowSetting,MATCH(N107,FlowCalNumber,0),1,1), (INDEX(FlowCalConstA,MATCH(N107,FlowCalNumber,0),1,1)*P112^INDEX(FlowCalConstB,MATCH(N107,FlowCalNumber,0),1,1)&lt;INDEX(FlowCalHighSetting,MATCH(N107,FlowCalNumber,0),1,1))),INDEX(FlowCalConstA,MATCH(N107,FlowCalNumber,0),1,1)*P112^INDEX(FlowCalConstB,MATCH(N107,FlowCalNumber,0),1,1)," ")</f>
        <v>#N/A</v>
      </c>
      <c r="R112" s="33"/>
      <c r="S112" s="242">
        <f t="shared" si="108"/>
        <v>1</v>
      </c>
      <c r="T112" s="241" t="e">
        <f t="shared" ca="1" si="109"/>
        <v>#VALUE!</v>
      </c>
      <c r="U112" s="244" t="e">
        <f ca="1">IF(AND(INDEX(FlowCalConstA,MATCH(R107,FlowCalNumber,0),1,1)*T112^INDEX(FlowCalConstB,MATCH(R107,FlowCalNumber,0),1,1)&gt;INDEX(FlowCalLowSetting,MATCH(R107,FlowCalNumber,0),1,1), (INDEX(FlowCalConstA,MATCH(R107,FlowCalNumber,0),1,1)*T112^INDEX(FlowCalConstB,MATCH(R107,FlowCalNumber,0),1,1)&lt;INDEX(FlowCalHighSetting,MATCH(R107,FlowCalNumber,0),1,1))),INDEX(FlowCalConstA,MATCH(R107,FlowCalNumber,0),1,1)*T112^INDEX(FlowCalConstB,MATCH(R107,FlowCalNumber,0),1,1)," ")</f>
        <v>#N/A</v>
      </c>
      <c r="V112" s="33"/>
      <c r="W112" s="242">
        <f t="shared" si="110"/>
        <v>0.1</v>
      </c>
      <c r="X112" s="241" t="e">
        <f t="shared" ca="1" si="111"/>
        <v>#VALUE!</v>
      </c>
      <c r="Y112" s="243" t="e">
        <f ca="1">IF(AND(INDEX(FlowCalConstA,MATCH(V107,FlowCalNumber,0),1,1)*X112^INDEX(FlowCalConstB,MATCH(V107,FlowCalNumber,0),1,1)&gt;INDEX(FlowCalLowSetting,MATCH(V107,FlowCalNumber,0),1,1), (INDEX(FlowCalConstA,MATCH(V107,FlowCalNumber,0),1,1)*X112^INDEX(FlowCalConstB,MATCH(V107,FlowCalNumber,0),1,1)&lt;INDEX(FlowCalHighSetting,MATCH(V107,FlowCalNumber,0),1,1))),INDEX(FlowCalConstA,MATCH(V107,FlowCalNumber,0),1,1)*X112^INDEX(FlowCalConstB,MATCH(V107,FlowCalNumber,0),1,1)," ")</f>
        <v>#N/A</v>
      </c>
      <c r="Z112" s="33"/>
      <c r="AA112" s="242">
        <f t="shared" si="112"/>
        <v>0.9</v>
      </c>
      <c r="AB112" s="241" t="e">
        <f t="shared" ca="1" si="113"/>
        <v>#VALUE!</v>
      </c>
      <c r="AC112" s="243" t="e">
        <f ca="1">IF(AND(INDEX(FlowCalConstA,MATCH(Z107,FlowCalNumber,0),1,1)*AB112^INDEX(FlowCalConstB,MATCH(Z107,FlowCalNumber,0),1,1)&gt;INDEX(FlowCalLowSetting,MATCH(Z107,FlowCalNumber,0),1,1), (INDEX(FlowCalConstA,MATCH(Z107,FlowCalNumber,0),1,1)*AB112^INDEX(FlowCalConstB,MATCH(Z107,FlowCalNumber,0),1,1)&lt;INDEX(FlowCalHighSetting,MATCH(Z107,FlowCalNumber,0),1,1))),INDEX(FlowCalConstA,MATCH(Z107,FlowCalNumber,0),1,1)*AB112^INDEX(FlowCalConstB,MATCH(Z107,FlowCalNumber,0),1,1)," ")</f>
        <v>#N/A</v>
      </c>
      <c r="AD112" s="33"/>
      <c r="AE112" s="242">
        <f t="shared" si="114"/>
        <v>0.1</v>
      </c>
      <c r="AF112" s="241" t="e">
        <f t="shared" ca="1" si="115"/>
        <v>#VALUE!</v>
      </c>
      <c r="AG112" s="243" t="e">
        <f ca="1">IF(AND(INDEX(FlowCalConstA,MATCH(AD107,FlowCalNumber,0),1,1)*AF112^INDEX(FlowCalConstB,MATCH(AD107,FlowCalNumber,0),1,1)&gt;INDEX(FlowCalLowSetting,MATCH(AD107,FlowCalNumber,0),1,1), (INDEX(FlowCalConstA,MATCH(AD107,FlowCalNumber,0),1,1)*AF112^INDEX(FlowCalConstB,MATCH(AD107,FlowCalNumber,0),1,1)&lt;INDEX(FlowCalHighSetting,MATCH(AD107,FlowCalNumber,0),1,1))),INDEX(FlowCalConstA,MATCH(AD107,FlowCalNumber,0),1,1)*AF112^INDEX(FlowCalConstB,MATCH(AD107,FlowCalNumber,0),1,1)," ")</f>
        <v>#N/A</v>
      </c>
      <c r="AH112" s="33"/>
      <c r="AI112" s="242">
        <f t="shared" si="116"/>
        <v>0.9</v>
      </c>
      <c r="AJ112" s="241" t="e">
        <f t="shared" ca="1" si="117"/>
        <v>#VALUE!</v>
      </c>
      <c r="AK112" s="243" t="e">
        <f ca="1">IF(AND(INDEX(FlowCalConstA,MATCH(AH107,FlowCalNumber,0),1,1)*AJ112^INDEX(FlowCalConstB,MATCH(AH107,FlowCalNumber,0),1,1)&gt;INDEX(FlowCalLowSetting,MATCH(AH107,FlowCalNumber,0),1,1), (INDEX(FlowCalConstA,MATCH(AH107,FlowCalNumber,0),1,1)*AJ112^INDEX(FlowCalConstB,MATCH(AH107,FlowCalNumber,0),1,1)&lt;INDEX(FlowCalHighSetting,MATCH(AH107,FlowCalNumber,0),1,1))),INDEX(FlowCalConstA,MATCH(AH107,FlowCalNumber,0),1,1)*AJ112^INDEX(FlowCalConstB,MATCH(AH107,FlowCalNumber,0),1,1)," ")</f>
        <v>#N/A</v>
      </c>
      <c r="AL112" s="33"/>
      <c r="AM112" s="242"/>
      <c r="AN112" s="241"/>
      <c r="AO112" s="244"/>
      <c r="AQ112" s="242"/>
      <c r="AR112" s="241"/>
      <c r="AS112" s="244"/>
      <c r="AT112" s="33"/>
      <c r="AU112" s="242"/>
      <c r="AV112" s="241"/>
      <c r="AW112" s="244"/>
      <c r="AX112" s="33"/>
      <c r="AY112" s="242"/>
      <c r="AZ112" s="241"/>
      <c r="BA112" s="244"/>
      <c r="BB112" s="33"/>
      <c r="BC112" s="242"/>
      <c r="BD112" s="241"/>
      <c r="BE112" s="244"/>
      <c r="BF112" s="33"/>
      <c r="BG112" s="242"/>
      <c r="BH112" s="241"/>
      <c r="BI112" s="244"/>
      <c r="BJ112" s="33"/>
      <c r="BK112" s="242"/>
      <c r="BL112" s="241"/>
      <c r="BM112" s="244"/>
      <c r="BN112" s="33"/>
      <c r="BO112" s="242"/>
      <c r="BP112" s="241"/>
      <c r="BQ112" s="244"/>
      <c r="BR112" s="33"/>
      <c r="BS112" s="242"/>
      <c r="BT112" s="241"/>
      <c r="BU112" s="244"/>
      <c r="BV112" s="33"/>
      <c r="BW112" s="242"/>
      <c r="BX112" s="241"/>
      <c r="BY112" s="244"/>
      <c r="BZ112" s="33"/>
      <c r="CA112" s="242"/>
      <c r="CB112" s="241"/>
      <c r="CC112" s="244"/>
      <c r="CD112" s="243"/>
      <c r="CE112" s="243"/>
      <c r="CF112" s="243"/>
      <c r="CG112" s="243"/>
      <c r="CH112" s="243"/>
      <c r="CI112" s="243"/>
      <c r="CJ112" s="243"/>
      <c r="CK112" s="243"/>
      <c r="CL112" s="243"/>
      <c r="CM112" s="243"/>
      <c r="CN112" s="243"/>
      <c r="CO112" s="243"/>
      <c r="CP112" s="243"/>
      <c r="CQ112" s="243"/>
      <c r="CR112" s="243"/>
      <c r="CS112" s="243"/>
      <c r="CT112" s="243"/>
      <c r="CU112" s="243"/>
      <c r="CV112" s="243"/>
      <c r="CW112" s="243"/>
      <c r="CX112" s="243"/>
      <c r="CY112" s="243"/>
      <c r="CZ112" s="243"/>
      <c r="DA112" s="243"/>
      <c r="DB112" s="243"/>
      <c r="DC112" s="243"/>
      <c r="DD112" s="243"/>
      <c r="DE112" s="243"/>
      <c r="DF112" s="243"/>
      <c r="DG112" s="243"/>
      <c r="DH112" s="243"/>
      <c r="DI112" s="243"/>
      <c r="DJ112" s="243"/>
      <c r="DK112" s="243"/>
      <c r="DM112" s="242"/>
      <c r="DO112" s="243"/>
      <c r="DQ112" s="242"/>
      <c r="DS112" s="243"/>
      <c r="DU112" s="242"/>
      <c r="DW112" s="243"/>
      <c r="DY112" s="242"/>
      <c r="EA112" s="243"/>
    </row>
    <row r="113" spans="1:131">
      <c r="A113" s="20"/>
      <c r="B113" s="124" t="str">
        <f t="shared" si="102"/>
        <v/>
      </c>
      <c r="C113" s="235"/>
      <c r="D113" s="24">
        <f>'1% Wind'!$M$87</f>
        <v>13.5</v>
      </c>
      <c r="E113" s="90"/>
      <c r="F113" s="90"/>
      <c r="G113" s="79">
        <f ca="1">IF(I107=0.9743,$G112,MAX(G112/D112*D113,2))</f>
        <v>6.001707317073171</v>
      </c>
      <c r="H113" s="121" t="e">
        <f t="shared" ca="1" si="103"/>
        <v>#VALUE!</v>
      </c>
      <c r="J113" s="33"/>
      <c r="K113" s="242">
        <f t="shared" si="104"/>
        <v>1</v>
      </c>
      <c r="L113" s="241" t="e">
        <f t="shared" ca="1" si="105"/>
        <v>#VALUE!</v>
      </c>
      <c r="M113" s="243" t="e">
        <f ca="1">IF(AND(INDEX(FlowCalConstA,MATCH(J107,FlowCalNumber,0),1,1)*L113^INDEX(FlowCalConstB,MATCH(J107,FlowCalNumber,0),1,1)&gt;INDEX(FlowCalLowSetting,MATCH(J107,FlowCalNumber,0),1,1), (INDEX(FlowCalConstA,MATCH(J107,FlowCalNumber,0),1,1)*L113^INDEX(FlowCalConstB,MATCH(J107,FlowCalNumber,0),1,1)&lt;INDEX(FlowCalHighSetting,MATCH(J107,FlowCalNumber,0),1,1))),INDEX(FlowCalConstA,MATCH(J107,FlowCalNumber,0),1,1)*L113^INDEX(FlowCalConstB,MATCH(J107,FlowCalNumber,0),1,1)," ")</f>
        <v>#N/A</v>
      </c>
      <c r="N113" s="33"/>
      <c r="O113" s="242">
        <f t="shared" si="106"/>
        <v>1</v>
      </c>
      <c r="P113" s="241" t="e">
        <f t="shared" ca="1" si="107"/>
        <v>#VALUE!</v>
      </c>
      <c r="Q113" s="243" t="e">
        <f ca="1">IF(AND(INDEX(FlowCalConstA,MATCH(N107,FlowCalNumber,0),1,1)*P113^INDEX(FlowCalConstB,MATCH(N107,FlowCalNumber,0),1,1)&gt;INDEX(FlowCalLowSetting,MATCH(N107,FlowCalNumber,0),1,1), (INDEX(FlowCalConstA,MATCH(N107,FlowCalNumber,0),1,1)*P113^INDEX(FlowCalConstB,MATCH(N107,FlowCalNumber,0),1,1)&lt;INDEX(FlowCalHighSetting,MATCH(N107,FlowCalNumber,0),1,1))),INDEX(FlowCalConstA,MATCH(N107,FlowCalNumber,0),1,1)*P113^INDEX(FlowCalConstB,MATCH(N107,FlowCalNumber,0),1,1)," ")</f>
        <v>#N/A</v>
      </c>
      <c r="R113" s="33"/>
      <c r="S113" s="242">
        <f t="shared" si="108"/>
        <v>1</v>
      </c>
      <c r="T113" s="241" t="e">
        <f t="shared" ca="1" si="109"/>
        <v>#VALUE!</v>
      </c>
      <c r="U113" s="244" t="e">
        <f ca="1">IF(AND(INDEX(FlowCalConstA,MATCH(R107,FlowCalNumber,0),1,1)*T113^INDEX(FlowCalConstB,MATCH(R107,FlowCalNumber,0),1,1)&gt;INDEX(FlowCalLowSetting,MATCH(R107,FlowCalNumber,0),1,1), (INDEX(FlowCalConstA,MATCH(R107,FlowCalNumber,0),1,1)*T113^INDEX(FlowCalConstB,MATCH(R107,FlowCalNumber,0),1,1)&lt;INDEX(FlowCalHighSetting,MATCH(R107,FlowCalNumber,0),1,1))),INDEX(FlowCalConstA,MATCH(R107,FlowCalNumber,0),1,1)*T113^INDEX(FlowCalConstB,MATCH(R107,FlowCalNumber,0),1,1)," ")</f>
        <v>#N/A</v>
      </c>
      <c r="V113" s="33"/>
      <c r="W113" s="242">
        <f t="shared" si="110"/>
        <v>0.1</v>
      </c>
      <c r="X113" s="241" t="e">
        <f t="shared" ca="1" si="111"/>
        <v>#VALUE!</v>
      </c>
      <c r="Y113" s="243" t="e">
        <f ca="1">IF(AND(INDEX(FlowCalConstA,MATCH(V107,FlowCalNumber,0),1,1)*X113^INDEX(FlowCalConstB,MATCH(V107,FlowCalNumber,0),1,1)&gt;INDEX(FlowCalLowSetting,MATCH(V107,FlowCalNumber,0),1,1), (INDEX(FlowCalConstA,MATCH(V107,FlowCalNumber,0),1,1)*X113^INDEX(FlowCalConstB,MATCH(V107,FlowCalNumber,0),1,1)&lt;INDEX(FlowCalHighSetting,MATCH(V107,FlowCalNumber,0),1,1))),INDEX(FlowCalConstA,MATCH(V107,FlowCalNumber,0),1,1)*X113^INDEX(FlowCalConstB,MATCH(V107,FlowCalNumber,0),1,1)," ")</f>
        <v>#N/A</v>
      </c>
      <c r="Z113" s="33"/>
      <c r="AA113" s="242">
        <f t="shared" si="112"/>
        <v>0.9</v>
      </c>
      <c r="AB113" s="241" t="e">
        <f t="shared" ca="1" si="113"/>
        <v>#VALUE!</v>
      </c>
      <c r="AC113" s="243" t="e">
        <f ca="1">IF(AND(INDEX(FlowCalConstA,MATCH(Z107,FlowCalNumber,0),1,1)*AB113^INDEX(FlowCalConstB,MATCH(Z107,FlowCalNumber,0),1,1)&gt;INDEX(FlowCalLowSetting,MATCH(Z107,FlowCalNumber,0),1,1), (INDEX(FlowCalConstA,MATCH(Z107,FlowCalNumber,0),1,1)*AB113^INDEX(FlowCalConstB,MATCH(Z107,FlowCalNumber,0),1,1)&lt;INDEX(FlowCalHighSetting,MATCH(Z107,FlowCalNumber,0),1,1))),INDEX(FlowCalConstA,MATCH(Z107,FlowCalNumber,0),1,1)*AB113^INDEX(FlowCalConstB,MATCH(Z107,FlowCalNumber,0),1,1)," ")</f>
        <v>#N/A</v>
      </c>
      <c r="AD113" s="33"/>
      <c r="AE113" s="242">
        <f t="shared" si="114"/>
        <v>0.1</v>
      </c>
      <c r="AF113" s="241" t="e">
        <f t="shared" ca="1" si="115"/>
        <v>#VALUE!</v>
      </c>
      <c r="AG113" s="243" t="e">
        <f ca="1">IF(AND(INDEX(FlowCalConstA,MATCH(AD107,FlowCalNumber,0),1,1)*AF113^INDEX(FlowCalConstB,MATCH(AD107,FlowCalNumber,0),1,1)&gt;INDEX(FlowCalLowSetting,MATCH(AD107,FlowCalNumber,0),1,1), (INDEX(FlowCalConstA,MATCH(AD107,FlowCalNumber,0),1,1)*AF113^INDEX(FlowCalConstB,MATCH(AD107,FlowCalNumber,0),1,1)&lt;INDEX(FlowCalHighSetting,MATCH(AD107,FlowCalNumber,0),1,1))),INDEX(FlowCalConstA,MATCH(AD107,FlowCalNumber,0),1,1)*AF113^INDEX(FlowCalConstB,MATCH(AD107,FlowCalNumber,0),1,1)," ")</f>
        <v>#N/A</v>
      </c>
      <c r="AH113" s="33"/>
      <c r="AI113" s="242">
        <f t="shared" si="116"/>
        <v>0.9</v>
      </c>
      <c r="AJ113" s="241" t="e">
        <f t="shared" ca="1" si="117"/>
        <v>#VALUE!</v>
      </c>
      <c r="AK113" s="243" t="e">
        <f ca="1">IF(AND(INDEX(FlowCalConstA,MATCH(AH107,FlowCalNumber,0),1,1)*AJ113^INDEX(FlowCalConstB,MATCH(AH107,FlowCalNumber,0),1,1)&gt;INDEX(FlowCalLowSetting,MATCH(AH107,FlowCalNumber,0),1,1), (INDEX(FlowCalConstA,MATCH(AH107,FlowCalNumber,0),1,1)*AJ113^INDEX(FlowCalConstB,MATCH(AH107,FlowCalNumber,0),1,1)&lt;INDEX(FlowCalHighSetting,MATCH(AH107,FlowCalNumber,0),1,1))),INDEX(FlowCalConstA,MATCH(AH107,FlowCalNumber,0),1,1)*AJ113^INDEX(FlowCalConstB,MATCH(AH107,FlowCalNumber,0),1,1)," ")</f>
        <v>#N/A</v>
      </c>
      <c r="AL113" s="33"/>
      <c r="AM113" s="242"/>
      <c r="AN113" s="241"/>
      <c r="AO113" s="244"/>
      <c r="AQ113" s="242"/>
      <c r="AR113" s="241"/>
      <c r="AS113" s="244"/>
      <c r="AT113" s="33"/>
      <c r="AU113" s="242"/>
      <c r="AV113" s="241"/>
      <c r="AW113" s="244"/>
      <c r="AX113" s="33"/>
      <c r="AY113" s="242"/>
      <c r="AZ113" s="241"/>
      <c r="BA113" s="244"/>
      <c r="BB113" s="33"/>
      <c r="BC113" s="242"/>
      <c r="BD113" s="241"/>
      <c r="BE113" s="244"/>
      <c r="BF113" s="33"/>
      <c r="BG113" s="242"/>
      <c r="BH113" s="241"/>
      <c r="BI113" s="244"/>
      <c r="BJ113" s="33"/>
      <c r="BK113" s="242"/>
      <c r="BL113" s="241"/>
      <c r="BM113" s="244"/>
      <c r="BN113" s="33"/>
      <c r="BO113" s="242"/>
      <c r="BP113" s="241"/>
      <c r="BQ113" s="244"/>
      <c r="BR113" s="33"/>
      <c r="BS113" s="242"/>
      <c r="BT113" s="241"/>
      <c r="BU113" s="244"/>
      <c r="BV113" s="33"/>
      <c r="BW113" s="242"/>
      <c r="BX113" s="241"/>
      <c r="BY113" s="244"/>
      <c r="BZ113" s="33"/>
      <c r="CA113" s="242"/>
      <c r="CB113" s="241"/>
      <c r="CC113" s="244"/>
      <c r="CD113" s="243"/>
      <c r="CE113" s="243"/>
      <c r="CF113" s="243"/>
      <c r="CG113" s="243"/>
      <c r="CH113" s="243"/>
      <c r="CI113" s="243"/>
      <c r="CJ113" s="243"/>
      <c r="CK113" s="243"/>
      <c r="CL113" s="243"/>
      <c r="CM113" s="243"/>
      <c r="CN113" s="243"/>
      <c r="CO113" s="243"/>
      <c r="CP113" s="243"/>
      <c r="CQ113" s="243"/>
      <c r="CR113" s="243"/>
      <c r="CS113" s="243"/>
      <c r="CT113" s="243"/>
      <c r="CU113" s="243"/>
      <c r="CV113" s="243"/>
      <c r="CW113" s="243"/>
      <c r="CX113" s="243"/>
      <c r="CY113" s="243"/>
      <c r="CZ113" s="243"/>
      <c r="DA113" s="243"/>
      <c r="DB113" s="243"/>
      <c r="DC113" s="243"/>
      <c r="DD113" s="243"/>
      <c r="DE113" s="243"/>
      <c r="DF113" s="243"/>
      <c r="DG113" s="243"/>
      <c r="DH113" s="243"/>
      <c r="DI113" s="243"/>
      <c r="DJ113" s="243"/>
      <c r="DK113" s="243"/>
      <c r="DM113" s="242"/>
      <c r="DO113" s="243"/>
      <c r="DQ113" s="242"/>
      <c r="DS113" s="243"/>
      <c r="DU113" s="242"/>
      <c r="DW113" s="243"/>
      <c r="DY113" s="242"/>
      <c r="EA113" s="243"/>
    </row>
    <row r="114" spans="1:131">
      <c r="A114" s="20"/>
      <c r="B114" s="124" t="str">
        <f t="shared" si="102"/>
        <v/>
      </c>
      <c r="C114" s="235"/>
      <c r="D114" s="24">
        <f>'1% Wind'!$M$88</f>
        <v>10.1</v>
      </c>
      <c r="E114" s="90"/>
      <c r="F114" s="90"/>
      <c r="G114" s="79">
        <f ca="1">IF(I107=0.9743,$G113,MAX(G113/D113*D114,2))</f>
        <v>6.001707317073171</v>
      </c>
      <c r="H114" s="121" t="e">
        <f t="shared" ca="1" si="103"/>
        <v>#VALUE!</v>
      </c>
      <c r="J114" s="33"/>
      <c r="K114" s="242">
        <f t="shared" si="104"/>
        <v>1</v>
      </c>
      <c r="L114" s="241" t="e">
        <f t="shared" ca="1" si="105"/>
        <v>#VALUE!</v>
      </c>
      <c r="M114" s="243" t="e">
        <f ca="1">IF(AND(INDEX(FlowCalConstA,MATCH(J107,FlowCalNumber,0),1,1)*L114^INDEX(FlowCalConstB,MATCH(J107,FlowCalNumber,0),1,1)&gt;INDEX(FlowCalLowSetting,MATCH(J107,FlowCalNumber,0),1,1), (INDEX(FlowCalConstA,MATCH(J107,FlowCalNumber,0),1,1)*L114^INDEX(FlowCalConstB,MATCH(J107,FlowCalNumber,0),1,1)&lt;INDEX(FlowCalHighSetting,MATCH(J107,FlowCalNumber,0),1,1))),INDEX(FlowCalConstA,MATCH(J107,FlowCalNumber,0),1,1)*L114^INDEX(FlowCalConstB,MATCH(J107,FlowCalNumber,0),1,1)," ")</f>
        <v>#N/A</v>
      </c>
      <c r="N114" s="33"/>
      <c r="O114" s="242">
        <f t="shared" si="106"/>
        <v>1</v>
      </c>
      <c r="P114" s="241" t="e">
        <f t="shared" ca="1" si="107"/>
        <v>#VALUE!</v>
      </c>
      <c r="Q114" s="243" t="e">
        <f ca="1">IF(AND(INDEX(FlowCalConstA,MATCH(N107,FlowCalNumber,0),1,1)*P114^INDEX(FlowCalConstB,MATCH(N107,FlowCalNumber,0),1,1)&gt;INDEX(FlowCalLowSetting,MATCH(N107,FlowCalNumber,0),1,1), (INDEX(FlowCalConstA,MATCH(N107,FlowCalNumber,0),1,1)*P114^INDEX(FlowCalConstB,MATCH(N107,FlowCalNumber,0),1,1)&lt;INDEX(FlowCalHighSetting,MATCH(N107,FlowCalNumber,0),1,1))),INDEX(FlowCalConstA,MATCH(N107,FlowCalNumber,0),1,1)*P114^INDEX(FlowCalConstB,MATCH(N107,FlowCalNumber,0),1,1)," ")</f>
        <v>#N/A</v>
      </c>
      <c r="R114" s="33"/>
      <c r="S114" s="242">
        <f t="shared" si="108"/>
        <v>1</v>
      </c>
      <c r="T114" s="241" t="e">
        <f t="shared" ca="1" si="109"/>
        <v>#VALUE!</v>
      </c>
      <c r="U114" s="244" t="e">
        <f ca="1">IF(AND(INDEX(FlowCalConstA,MATCH(R107,FlowCalNumber,0),1,1)*T114^INDEX(FlowCalConstB,MATCH(R107,FlowCalNumber,0),1,1)&gt;INDEX(FlowCalLowSetting,MATCH(R107,FlowCalNumber,0),1,1), (INDEX(FlowCalConstA,MATCH(R107,FlowCalNumber,0),1,1)*T114^INDEX(FlowCalConstB,MATCH(R107,FlowCalNumber,0),1,1)&lt;INDEX(FlowCalHighSetting,MATCH(R107,FlowCalNumber,0),1,1))),INDEX(FlowCalConstA,MATCH(R107,FlowCalNumber,0),1,1)*T114^INDEX(FlowCalConstB,MATCH(R107,FlowCalNumber,0),1,1)," ")</f>
        <v>#N/A</v>
      </c>
      <c r="V114" s="33"/>
      <c r="W114" s="242">
        <f t="shared" si="110"/>
        <v>0.1</v>
      </c>
      <c r="X114" s="241" t="e">
        <f t="shared" ca="1" si="111"/>
        <v>#VALUE!</v>
      </c>
      <c r="Y114" s="243" t="e">
        <f ca="1">IF(AND(INDEX(FlowCalConstA,MATCH(V107,FlowCalNumber,0),1,1)*X114^INDEX(FlowCalConstB,MATCH(V107,FlowCalNumber,0),1,1)&gt;INDEX(FlowCalLowSetting,MATCH(V107,FlowCalNumber,0),1,1), (INDEX(FlowCalConstA,MATCH(V107,FlowCalNumber,0),1,1)*X114^INDEX(FlowCalConstB,MATCH(V107,FlowCalNumber,0),1,1)&lt;INDEX(FlowCalHighSetting,MATCH(V107,FlowCalNumber,0),1,1))),INDEX(FlowCalConstA,MATCH(V107,FlowCalNumber,0),1,1)*X114^INDEX(FlowCalConstB,MATCH(V107,FlowCalNumber,0),1,1)," ")</f>
        <v>#N/A</v>
      </c>
      <c r="Z114" s="33"/>
      <c r="AA114" s="242">
        <f t="shared" si="112"/>
        <v>0.9</v>
      </c>
      <c r="AB114" s="241" t="e">
        <f t="shared" ca="1" si="113"/>
        <v>#VALUE!</v>
      </c>
      <c r="AC114" s="243" t="e">
        <f ca="1">IF(AND(INDEX(FlowCalConstA,MATCH(Z107,FlowCalNumber,0),1,1)*AB114^INDEX(FlowCalConstB,MATCH(Z107,FlowCalNumber,0),1,1)&gt;INDEX(FlowCalLowSetting,MATCH(Z107,FlowCalNumber,0),1,1), (INDEX(FlowCalConstA,MATCH(Z107,FlowCalNumber,0),1,1)*AB114^INDEX(FlowCalConstB,MATCH(Z107,FlowCalNumber,0),1,1)&lt;INDEX(FlowCalHighSetting,MATCH(Z107,FlowCalNumber,0),1,1))),INDEX(FlowCalConstA,MATCH(Z107,FlowCalNumber,0),1,1)*AB114^INDEX(FlowCalConstB,MATCH(Z107,FlowCalNumber,0),1,1)," ")</f>
        <v>#N/A</v>
      </c>
      <c r="AD114" s="33"/>
      <c r="AE114" s="242">
        <f t="shared" si="114"/>
        <v>0.1</v>
      </c>
      <c r="AF114" s="241" t="e">
        <f t="shared" ca="1" si="115"/>
        <v>#VALUE!</v>
      </c>
      <c r="AG114" s="243" t="e">
        <f ca="1">IF(AND(INDEX(FlowCalConstA,MATCH(AD107,FlowCalNumber,0),1,1)*AF114^INDEX(FlowCalConstB,MATCH(AD107,FlowCalNumber,0),1,1)&gt;INDEX(FlowCalLowSetting,MATCH(AD107,FlowCalNumber,0),1,1), (INDEX(FlowCalConstA,MATCH(AD107,FlowCalNumber,0),1,1)*AF114^INDEX(FlowCalConstB,MATCH(AD107,FlowCalNumber,0),1,1)&lt;INDEX(FlowCalHighSetting,MATCH(AD107,FlowCalNumber,0),1,1))),INDEX(FlowCalConstA,MATCH(AD107,FlowCalNumber,0),1,1)*AF114^INDEX(FlowCalConstB,MATCH(AD107,FlowCalNumber,0),1,1)," ")</f>
        <v>#N/A</v>
      </c>
      <c r="AH114" s="33"/>
      <c r="AI114" s="242">
        <f t="shared" si="116"/>
        <v>0.9</v>
      </c>
      <c r="AJ114" s="241" t="e">
        <f t="shared" ca="1" si="117"/>
        <v>#VALUE!</v>
      </c>
      <c r="AK114" s="243" t="e">
        <f ca="1">IF(AND(INDEX(FlowCalConstA,MATCH(AH107,FlowCalNumber,0),1,1)*AJ114^INDEX(FlowCalConstB,MATCH(AH107,FlowCalNumber,0),1,1)&gt;INDEX(FlowCalLowSetting,MATCH(AH107,FlowCalNumber,0),1,1), (INDEX(FlowCalConstA,MATCH(AH107,FlowCalNumber,0),1,1)*AJ114^INDEX(FlowCalConstB,MATCH(AH107,FlowCalNumber,0),1,1)&lt;INDEX(FlowCalHighSetting,MATCH(AH107,FlowCalNumber,0),1,1))),INDEX(FlowCalConstA,MATCH(AH107,FlowCalNumber,0),1,1)*AJ114^INDEX(FlowCalConstB,MATCH(AH107,FlowCalNumber,0),1,1)," ")</f>
        <v>#N/A</v>
      </c>
      <c r="AL114" s="33"/>
      <c r="AM114" s="242"/>
      <c r="AN114" s="241"/>
      <c r="AO114" s="244"/>
      <c r="AQ114" s="242"/>
      <c r="AR114" s="241"/>
      <c r="AS114" s="244"/>
      <c r="AT114" s="33"/>
      <c r="AU114" s="242"/>
      <c r="AV114" s="241"/>
      <c r="AW114" s="244"/>
      <c r="AX114" s="33"/>
      <c r="AY114" s="242"/>
      <c r="AZ114" s="241"/>
      <c r="BA114" s="244"/>
      <c r="BB114" s="33"/>
      <c r="BC114" s="242"/>
      <c r="BD114" s="241"/>
      <c r="BE114" s="244"/>
      <c r="BF114" s="33"/>
      <c r="BG114" s="242"/>
      <c r="BH114" s="241"/>
      <c r="BI114" s="244"/>
      <c r="BJ114" s="33"/>
      <c r="BK114" s="242"/>
      <c r="BL114" s="241"/>
      <c r="BM114" s="244"/>
      <c r="BN114" s="33"/>
      <c r="BO114" s="242"/>
      <c r="BP114" s="241"/>
      <c r="BQ114" s="244"/>
      <c r="BR114" s="33"/>
      <c r="BS114" s="242"/>
      <c r="BT114" s="241"/>
      <c r="BU114" s="244"/>
      <c r="BV114" s="33"/>
      <c r="BW114" s="242"/>
      <c r="BX114" s="241"/>
      <c r="BY114" s="244"/>
      <c r="BZ114" s="33"/>
      <c r="CA114" s="242"/>
      <c r="CB114" s="241"/>
      <c r="CC114" s="244"/>
      <c r="CD114" s="243"/>
      <c r="CE114" s="243"/>
      <c r="CF114" s="243"/>
      <c r="CG114" s="243"/>
      <c r="CH114" s="243"/>
      <c r="CI114" s="243"/>
      <c r="CJ114" s="243"/>
      <c r="CK114" s="243"/>
      <c r="CL114" s="243"/>
      <c r="CM114" s="243"/>
      <c r="CN114" s="243"/>
      <c r="CO114" s="243"/>
      <c r="CP114" s="243"/>
      <c r="CQ114" s="243"/>
      <c r="CR114" s="243"/>
      <c r="CS114" s="243"/>
      <c r="CT114" s="243"/>
      <c r="CU114" s="243"/>
      <c r="CV114" s="243"/>
      <c r="CW114" s="243"/>
      <c r="CX114" s="243"/>
      <c r="CY114" s="243"/>
      <c r="CZ114" s="243"/>
      <c r="DA114" s="243"/>
      <c r="DB114" s="243"/>
      <c r="DC114" s="243"/>
      <c r="DD114" s="243"/>
      <c r="DE114" s="243"/>
      <c r="DF114" s="243"/>
      <c r="DG114" s="243"/>
      <c r="DH114" s="243"/>
      <c r="DI114" s="243"/>
      <c r="DJ114" s="243"/>
      <c r="DK114" s="243"/>
      <c r="DM114" s="242"/>
      <c r="DO114" s="243"/>
      <c r="DQ114" s="242"/>
      <c r="DS114" s="243"/>
      <c r="DU114" s="242"/>
      <c r="DW114" s="243"/>
      <c r="DY114" s="242"/>
      <c r="EA114" s="243"/>
    </row>
    <row r="115" spans="1:131">
      <c r="A115" s="20"/>
      <c r="B115" s="124" t="str">
        <f t="shared" si="102"/>
        <v/>
      </c>
      <c r="C115" s="235"/>
      <c r="D115" s="24">
        <f>'1% Wind'!$M$89</f>
        <v>7.6</v>
      </c>
      <c r="E115" s="90"/>
      <c r="F115" s="90"/>
      <c r="G115" s="79">
        <f ca="1">IF(I107=0.9743,$G114,MAX(G114/D114*D115,2))</f>
        <v>6.001707317073171</v>
      </c>
      <c r="H115" s="121" t="e">
        <f t="shared" ca="1" si="103"/>
        <v>#VALUE!</v>
      </c>
      <c r="J115" s="33"/>
      <c r="K115" s="242">
        <f t="shared" si="104"/>
        <v>1</v>
      </c>
      <c r="L115" s="241" t="e">
        <f t="shared" ca="1" si="105"/>
        <v>#VALUE!</v>
      </c>
      <c r="M115" s="243" t="e">
        <f ca="1">IF(AND(INDEX(FlowCalConstA,MATCH(J107,FlowCalNumber,0),1,1)*L115^INDEX(FlowCalConstB,MATCH(J107,FlowCalNumber,0),1,1)&gt;INDEX(FlowCalLowSetting,MATCH(J107,FlowCalNumber,0),1,1), (INDEX(FlowCalConstA,MATCH(J107,FlowCalNumber,0),1,1)*L115^INDEX(FlowCalConstB,MATCH(J107,FlowCalNumber,0),1,1)&lt;INDEX(FlowCalHighSetting,MATCH(J107,FlowCalNumber,0),1,1))),INDEX(FlowCalConstA,MATCH(J107,FlowCalNumber,0),1,1)*L115^INDEX(FlowCalConstB,MATCH(J107,FlowCalNumber,0),1,1)," ")</f>
        <v>#N/A</v>
      </c>
      <c r="N115" s="33"/>
      <c r="O115" s="242">
        <f t="shared" si="106"/>
        <v>1</v>
      </c>
      <c r="P115" s="241" t="e">
        <f t="shared" ca="1" si="107"/>
        <v>#VALUE!</v>
      </c>
      <c r="Q115" s="243" t="e">
        <f ca="1">IF(AND(INDEX(FlowCalConstA,MATCH(N107,FlowCalNumber,0),1,1)*P115^INDEX(FlowCalConstB,MATCH(N107,FlowCalNumber,0),1,1)&gt;INDEX(FlowCalLowSetting,MATCH(N107,FlowCalNumber,0),1,1), (INDEX(FlowCalConstA,MATCH(N107,FlowCalNumber,0),1,1)*P115^INDEX(FlowCalConstB,MATCH(N107,FlowCalNumber,0),1,1)&lt;INDEX(FlowCalHighSetting,MATCH(N107,FlowCalNumber,0),1,1))),INDEX(FlowCalConstA,MATCH(N107,FlowCalNumber,0),1,1)*P115^INDEX(FlowCalConstB,MATCH(N107,FlowCalNumber,0),1,1)," ")</f>
        <v>#N/A</v>
      </c>
      <c r="R115" s="33"/>
      <c r="S115" s="242">
        <f t="shared" si="108"/>
        <v>1</v>
      </c>
      <c r="T115" s="241" t="e">
        <f t="shared" ca="1" si="109"/>
        <v>#VALUE!</v>
      </c>
      <c r="U115" s="244" t="e">
        <f ca="1">IF(AND(INDEX(FlowCalConstA,MATCH(R107,FlowCalNumber,0),1,1)*T115^INDEX(FlowCalConstB,MATCH(R107,FlowCalNumber,0),1,1)&gt;INDEX(FlowCalLowSetting,MATCH(R107,FlowCalNumber,0),1,1), (INDEX(FlowCalConstA,MATCH(R107,FlowCalNumber,0),1,1)*T115^INDEX(FlowCalConstB,MATCH(R107,FlowCalNumber,0),1,1)&lt;INDEX(FlowCalHighSetting,MATCH(R107,FlowCalNumber,0),1,1))),INDEX(FlowCalConstA,MATCH(R107,FlowCalNumber,0),1,1)*T115^INDEX(FlowCalConstB,MATCH(R107,FlowCalNumber,0),1,1)," ")</f>
        <v>#N/A</v>
      </c>
      <c r="V115" s="33"/>
      <c r="W115" s="242">
        <f t="shared" si="110"/>
        <v>0.1</v>
      </c>
      <c r="X115" s="241" t="e">
        <f t="shared" ca="1" si="111"/>
        <v>#VALUE!</v>
      </c>
      <c r="Y115" s="243" t="e">
        <f ca="1">IF(AND(INDEX(FlowCalConstA,MATCH(V107,FlowCalNumber,0),1,1)*X115^INDEX(FlowCalConstB,MATCH(V107,FlowCalNumber,0),1,1)&gt;INDEX(FlowCalLowSetting,MATCH(V107,FlowCalNumber,0),1,1), (INDEX(FlowCalConstA,MATCH(V107,FlowCalNumber,0),1,1)*X115^INDEX(FlowCalConstB,MATCH(V107,FlowCalNumber,0),1,1)&lt;INDEX(FlowCalHighSetting,MATCH(V107,FlowCalNumber,0),1,1))),INDEX(FlowCalConstA,MATCH(V107,FlowCalNumber,0),1,1)*X115^INDEX(FlowCalConstB,MATCH(V107,FlowCalNumber,0),1,1)," ")</f>
        <v>#N/A</v>
      </c>
      <c r="Z115" s="33"/>
      <c r="AA115" s="242">
        <f t="shared" si="112"/>
        <v>0.9</v>
      </c>
      <c r="AB115" s="241" t="e">
        <f t="shared" ca="1" si="113"/>
        <v>#VALUE!</v>
      </c>
      <c r="AC115" s="243" t="e">
        <f ca="1">IF(AND(INDEX(FlowCalConstA,MATCH(Z107,FlowCalNumber,0),1,1)*AB115^INDEX(FlowCalConstB,MATCH(Z107,FlowCalNumber,0),1,1)&gt;INDEX(FlowCalLowSetting,MATCH(Z107,FlowCalNumber,0),1,1), (INDEX(FlowCalConstA,MATCH(Z107,FlowCalNumber,0),1,1)*AB115^INDEX(FlowCalConstB,MATCH(Z107,FlowCalNumber,0),1,1)&lt;INDEX(FlowCalHighSetting,MATCH(Z107,FlowCalNumber,0),1,1))),INDEX(FlowCalConstA,MATCH(Z107,FlowCalNumber,0),1,1)*AB115^INDEX(FlowCalConstB,MATCH(Z107,FlowCalNumber,0),1,1)," ")</f>
        <v>#N/A</v>
      </c>
      <c r="AD115" s="33"/>
      <c r="AE115" s="242">
        <f t="shared" si="114"/>
        <v>0.1</v>
      </c>
      <c r="AF115" s="241" t="e">
        <f t="shared" ca="1" si="115"/>
        <v>#VALUE!</v>
      </c>
      <c r="AG115" s="243" t="e">
        <f ca="1">IF(AND(INDEX(FlowCalConstA,MATCH(AD107,FlowCalNumber,0),1,1)*AF115^INDEX(FlowCalConstB,MATCH(AD107,FlowCalNumber,0),1,1)&gt;INDEX(FlowCalLowSetting,MATCH(AD107,FlowCalNumber,0),1,1), (INDEX(FlowCalConstA,MATCH(AD107,FlowCalNumber,0),1,1)*AF115^INDEX(FlowCalConstB,MATCH(AD107,FlowCalNumber,0),1,1)&lt;INDEX(FlowCalHighSetting,MATCH(AD107,FlowCalNumber,0),1,1))),INDEX(FlowCalConstA,MATCH(AD107,FlowCalNumber,0),1,1)*AF115^INDEX(FlowCalConstB,MATCH(AD107,FlowCalNumber,0),1,1)," ")</f>
        <v>#N/A</v>
      </c>
      <c r="AH115" s="33"/>
      <c r="AI115" s="242">
        <f t="shared" si="116"/>
        <v>0.9</v>
      </c>
      <c r="AJ115" s="241" t="e">
        <f t="shared" ca="1" si="117"/>
        <v>#VALUE!</v>
      </c>
      <c r="AK115" s="243" t="e">
        <f ca="1">IF(AND(INDEX(FlowCalConstA,MATCH(AH107,FlowCalNumber,0),1,1)*AJ115^INDEX(FlowCalConstB,MATCH(AH107,FlowCalNumber,0),1,1)&gt;INDEX(FlowCalLowSetting,MATCH(AH107,FlowCalNumber,0),1,1), (INDEX(FlowCalConstA,MATCH(AH107,FlowCalNumber,0),1,1)*AJ115^INDEX(FlowCalConstB,MATCH(AH107,FlowCalNumber,0),1,1)&lt;INDEX(FlowCalHighSetting,MATCH(AH107,FlowCalNumber,0),1,1))),INDEX(FlowCalConstA,MATCH(AH107,FlowCalNumber,0),1,1)*AJ115^INDEX(FlowCalConstB,MATCH(AH107,FlowCalNumber,0),1,1)," ")</f>
        <v>#N/A</v>
      </c>
      <c r="AL115" s="33"/>
      <c r="AM115" s="242"/>
      <c r="AN115" s="241"/>
      <c r="AO115" s="244"/>
      <c r="AQ115" s="242"/>
      <c r="AR115" s="241"/>
      <c r="AS115" s="244"/>
      <c r="AT115" s="33"/>
      <c r="AU115" s="242"/>
      <c r="AV115" s="241"/>
      <c r="AW115" s="244"/>
      <c r="AX115" s="33"/>
      <c r="AY115" s="242"/>
      <c r="AZ115" s="241"/>
      <c r="BA115" s="244"/>
      <c r="BB115" s="33"/>
      <c r="BC115" s="242"/>
      <c r="BD115" s="241"/>
      <c r="BE115" s="244"/>
      <c r="BF115" s="33"/>
      <c r="BG115" s="242"/>
      <c r="BH115" s="241"/>
      <c r="BI115" s="244"/>
      <c r="BJ115" s="33"/>
      <c r="BK115" s="242"/>
      <c r="BL115" s="241"/>
      <c r="BM115" s="244"/>
      <c r="BN115" s="33"/>
      <c r="BO115" s="242"/>
      <c r="BP115" s="241"/>
      <c r="BQ115" s="244"/>
      <c r="BR115" s="33"/>
      <c r="BS115" s="242"/>
      <c r="BT115" s="241"/>
      <c r="BU115" s="244"/>
      <c r="BV115" s="33"/>
      <c r="BW115" s="242"/>
      <c r="BX115" s="241"/>
      <c r="BY115" s="244"/>
      <c r="BZ115" s="33"/>
      <c r="CA115" s="242"/>
      <c r="CB115" s="241"/>
      <c r="CC115" s="244"/>
      <c r="CD115" s="243"/>
      <c r="CE115" s="243"/>
      <c r="CF115" s="243"/>
      <c r="CG115" s="243"/>
      <c r="CH115" s="243"/>
      <c r="CI115" s="243"/>
      <c r="CJ115" s="243"/>
      <c r="CK115" s="243"/>
      <c r="CL115" s="243"/>
      <c r="CM115" s="243"/>
      <c r="CN115" s="243"/>
      <c r="CO115" s="243"/>
      <c r="CP115" s="243"/>
      <c r="CQ115" s="243"/>
      <c r="CR115" s="243"/>
      <c r="CS115" s="243"/>
      <c r="CT115" s="243"/>
      <c r="CU115" s="243"/>
      <c r="CV115" s="243"/>
      <c r="CW115" s="243"/>
      <c r="CX115" s="243"/>
      <c r="CY115" s="243"/>
      <c r="CZ115" s="243"/>
      <c r="DA115" s="243"/>
      <c r="DB115" s="243"/>
      <c r="DC115" s="243"/>
      <c r="DD115" s="243"/>
      <c r="DE115" s="243"/>
      <c r="DF115" s="243"/>
      <c r="DG115" s="243"/>
      <c r="DH115" s="243"/>
      <c r="DI115" s="243"/>
      <c r="DJ115" s="243"/>
      <c r="DK115" s="243"/>
      <c r="DM115" s="242"/>
      <c r="DO115" s="243"/>
      <c r="DQ115" s="242"/>
      <c r="DS115" s="243"/>
      <c r="DU115" s="242"/>
      <c r="DW115" s="243"/>
      <c r="DY115" s="242"/>
      <c r="EA115" s="243"/>
    </row>
    <row r="116" spans="1:131">
      <c r="A116" s="20"/>
      <c r="B116" s="124" t="str">
        <f t="shared" si="102"/>
        <v/>
      </c>
      <c r="C116" s="235"/>
      <c r="D116" s="24">
        <f>'1% Wind'!$M$90</f>
        <v>5.7</v>
      </c>
      <c r="E116" s="90"/>
      <c r="F116" s="90"/>
      <c r="G116" s="79">
        <f ca="1">IF(I107=0.9743,$G115,MAX(G115/D115*D116,2))</f>
        <v>6.001707317073171</v>
      </c>
      <c r="H116" s="121" t="e">
        <f t="shared" ca="1" si="103"/>
        <v>#VALUE!</v>
      </c>
      <c r="J116" s="33"/>
      <c r="K116" s="242">
        <f t="shared" si="104"/>
        <v>1</v>
      </c>
      <c r="L116" s="241" t="e">
        <f t="shared" ca="1" si="105"/>
        <v>#VALUE!</v>
      </c>
      <c r="M116" s="243" t="e">
        <f ca="1">IF(AND(INDEX(FlowCalConstA,MATCH(J107,FlowCalNumber,0),1,1)*L116^INDEX(FlowCalConstB,MATCH(J107,FlowCalNumber,0),1,1)&gt;INDEX(FlowCalLowSetting,MATCH(J107,FlowCalNumber,0),1,1), (INDEX(FlowCalConstA,MATCH(J107,FlowCalNumber,0),1,1)*L116^INDEX(FlowCalConstB,MATCH(J107,FlowCalNumber,0),1,1)&lt;INDEX(FlowCalHighSetting,MATCH(J107,FlowCalNumber,0),1,1))),INDEX(FlowCalConstA,MATCH(J107,FlowCalNumber,0),1,1)*L116^INDEX(FlowCalConstB,MATCH(J107,FlowCalNumber,0),1,1)," ")</f>
        <v>#N/A</v>
      </c>
      <c r="N116" s="33"/>
      <c r="O116" s="242">
        <f t="shared" si="106"/>
        <v>1</v>
      </c>
      <c r="P116" s="241" t="e">
        <f t="shared" ca="1" si="107"/>
        <v>#VALUE!</v>
      </c>
      <c r="Q116" s="243" t="e">
        <f ca="1">IF(AND(INDEX(FlowCalConstA,MATCH(N107,FlowCalNumber,0),1,1)*P116^INDEX(FlowCalConstB,MATCH(N107,FlowCalNumber,0),1,1)&gt;INDEX(FlowCalLowSetting,MATCH(N107,FlowCalNumber,0),1,1), (INDEX(FlowCalConstA,MATCH(N107,FlowCalNumber,0),1,1)*P116^INDEX(FlowCalConstB,MATCH(N107,FlowCalNumber,0),1,1)&lt;INDEX(FlowCalHighSetting,MATCH(N107,FlowCalNumber,0),1,1))),INDEX(FlowCalConstA,MATCH(N107,FlowCalNumber,0),1,1)*P116^INDEX(FlowCalConstB,MATCH(N107,FlowCalNumber,0),1,1)," ")</f>
        <v>#N/A</v>
      </c>
      <c r="R116" s="33"/>
      <c r="S116" s="242">
        <f t="shared" si="108"/>
        <v>1</v>
      </c>
      <c r="T116" s="241" t="e">
        <f t="shared" ca="1" si="109"/>
        <v>#VALUE!</v>
      </c>
      <c r="U116" s="244" t="e">
        <f ca="1">IF(AND(INDEX(FlowCalConstA,MATCH(R107,FlowCalNumber,0),1,1)*T116^INDEX(FlowCalConstB,MATCH(R107,FlowCalNumber,0),1,1)&gt;INDEX(FlowCalLowSetting,MATCH(R107,FlowCalNumber,0),1,1), (INDEX(FlowCalConstA,MATCH(R107,FlowCalNumber,0),1,1)*T116^INDEX(FlowCalConstB,MATCH(R107,FlowCalNumber,0),1,1)&lt;INDEX(FlowCalHighSetting,MATCH(R107,FlowCalNumber,0),1,1))),INDEX(FlowCalConstA,MATCH(R107,FlowCalNumber,0),1,1)*T116^INDEX(FlowCalConstB,MATCH(R107,FlowCalNumber,0),1,1)," ")</f>
        <v>#N/A</v>
      </c>
      <c r="V116" s="33"/>
      <c r="W116" s="242">
        <f t="shared" si="110"/>
        <v>0.1</v>
      </c>
      <c r="X116" s="241" t="e">
        <f t="shared" ca="1" si="111"/>
        <v>#VALUE!</v>
      </c>
      <c r="Y116" s="243" t="e">
        <f ca="1">IF(AND(INDEX(FlowCalConstA,MATCH(V107,FlowCalNumber,0),1,1)*X116^INDEX(FlowCalConstB,MATCH(V107,FlowCalNumber,0),1,1)&gt;INDEX(FlowCalLowSetting,MATCH(V107,FlowCalNumber,0),1,1), (INDEX(FlowCalConstA,MATCH(V107,FlowCalNumber,0),1,1)*X116^INDEX(FlowCalConstB,MATCH(V107,FlowCalNumber,0),1,1)&lt;INDEX(FlowCalHighSetting,MATCH(V107,FlowCalNumber,0),1,1))),INDEX(FlowCalConstA,MATCH(V107,FlowCalNumber,0),1,1)*X116^INDEX(FlowCalConstB,MATCH(V107,FlowCalNumber,0),1,1)," ")</f>
        <v>#N/A</v>
      </c>
      <c r="Z116" s="33"/>
      <c r="AA116" s="242">
        <f t="shared" si="112"/>
        <v>0.9</v>
      </c>
      <c r="AB116" s="241" t="e">
        <f t="shared" ca="1" si="113"/>
        <v>#VALUE!</v>
      </c>
      <c r="AC116" s="243" t="e">
        <f ca="1">IF(AND(INDEX(FlowCalConstA,MATCH(Z107,FlowCalNumber,0),1,1)*AB116^INDEX(FlowCalConstB,MATCH(Z107,FlowCalNumber,0),1,1)&gt;INDEX(FlowCalLowSetting,MATCH(Z107,FlowCalNumber,0),1,1), (INDEX(FlowCalConstA,MATCH(Z107,FlowCalNumber,0),1,1)*AB116^INDEX(FlowCalConstB,MATCH(Z107,FlowCalNumber,0),1,1)&lt;INDEX(FlowCalHighSetting,MATCH(Z107,FlowCalNumber,0),1,1))),INDEX(FlowCalConstA,MATCH(Z107,FlowCalNumber,0),1,1)*AB116^INDEX(FlowCalConstB,MATCH(Z107,FlowCalNumber,0),1,1)," ")</f>
        <v>#N/A</v>
      </c>
      <c r="AD116" s="33"/>
      <c r="AE116" s="242">
        <f t="shared" si="114"/>
        <v>0.1</v>
      </c>
      <c r="AF116" s="241" t="e">
        <f t="shared" ca="1" si="115"/>
        <v>#VALUE!</v>
      </c>
      <c r="AG116" s="243" t="e">
        <f ca="1">IF(AND(INDEX(FlowCalConstA,MATCH(AD107,FlowCalNumber,0),1,1)*AF116^INDEX(FlowCalConstB,MATCH(AD107,FlowCalNumber,0),1,1)&gt;INDEX(FlowCalLowSetting,MATCH(AD107,FlowCalNumber,0),1,1), (INDEX(FlowCalConstA,MATCH(AD107,FlowCalNumber,0),1,1)*AF116^INDEX(FlowCalConstB,MATCH(AD107,FlowCalNumber,0),1,1)&lt;INDEX(FlowCalHighSetting,MATCH(AD107,FlowCalNumber,0),1,1))),INDEX(FlowCalConstA,MATCH(AD107,FlowCalNumber,0),1,1)*AF116^INDEX(FlowCalConstB,MATCH(AD107,FlowCalNumber,0),1,1)," ")</f>
        <v>#N/A</v>
      </c>
      <c r="AH116" s="33"/>
      <c r="AI116" s="242">
        <f t="shared" si="116"/>
        <v>0.9</v>
      </c>
      <c r="AJ116" s="241" t="e">
        <f t="shared" ca="1" si="117"/>
        <v>#VALUE!</v>
      </c>
      <c r="AK116" s="243" t="e">
        <f ca="1">IF(AND(INDEX(FlowCalConstA,MATCH(AH107,FlowCalNumber,0),1,1)*AJ116^INDEX(FlowCalConstB,MATCH(AH107,FlowCalNumber,0),1,1)&gt;INDEX(FlowCalLowSetting,MATCH(AH107,FlowCalNumber,0),1,1), (INDEX(FlowCalConstA,MATCH(AH107,FlowCalNumber,0),1,1)*AJ116^INDEX(FlowCalConstB,MATCH(AH107,FlowCalNumber,0),1,1)&lt;INDEX(FlowCalHighSetting,MATCH(AH107,FlowCalNumber,0),1,1))),INDEX(FlowCalConstA,MATCH(AH107,FlowCalNumber,0),1,1)*AJ116^INDEX(FlowCalConstB,MATCH(AH107,FlowCalNumber,0),1,1)," ")</f>
        <v>#N/A</v>
      </c>
      <c r="AL116" s="33"/>
      <c r="AM116" s="242"/>
      <c r="AN116" s="241"/>
      <c r="AO116" s="244"/>
      <c r="AQ116" s="242"/>
      <c r="AR116" s="241"/>
      <c r="AS116" s="244"/>
      <c r="AT116" s="33"/>
      <c r="AU116" s="242"/>
      <c r="AV116" s="241"/>
      <c r="AW116" s="244"/>
      <c r="AX116" s="33"/>
      <c r="AY116" s="242"/>
      <c r="AZ116" s="241"/>
      <c r="BA116" s="244"/>
      <c r="BB116" s="33"/>
      <c r="BC116" s="242"/>
      <c r="BD116" s="241"/>
      <c r="BE116" s="244"/>
      <c r="BF116" s="33"/>
      <c r="BG116" s="242"/>
      <c r="BH116" s="241"/>
      <c r="BI116" s="244"/>
      <c r="BJ116" s="33"/>
      <c r="BK116" s="242"/>
      <c r="BL116" s="241"/>
      <c r="BM116" s="244"/>
      <c r="BN116" s="33"/>
      <c r="BO116" s="242"/>
      <c r="BP116" s="241"/>
      <c r="BQ116" s="244"/>
      <c r="BR116" s="33"/>
      <c r="BS116" s="242"/>
      <c r="BT116" s="241"/>
      <c r="BU116" s="244"/>
      <c r="BV116" s="33"/>
      <c r="BW116" s="242"/>
      <c r="BX116" s="241"/>
      <c r="BY116" s="244"/>
      <c r="BZ116" s="33"/>
      <c r="CA116" s="242"/>
      <c r="CB116" s="241"/>
      <c r="CC116" s="244"/>
      <c r="CD116" s="243"/>
      <c r="CE116" s="243"/>
      <c r="CF116" s="243"/>
      <c r="CG116" s="243"/>
      <c r="CH116" s="243"/>
      <c r="CI116" s="243"/>
      <c r="CJ116" s="243"/>
      <c r="CK116" s="243"/>
      <c r="CL116" s="243"/>
      <c r="CM116" s="243"/>
      <c r="CN116" s="243"/>
      <c r="CO116" s="243"/>
      <c r="CP116" s="243"/>
      <c r="CQ116" s="243"/>
      <c r="CR116" s="243"/>
      <c r="CS116" s="243"/>
      <c r="CT116" s="243"/>
      <c r="CU116" s="243"/>
      <c r="CV116" s="243"/>
      <c r="CW116" s="243"/>
      <c r="CX116" s="243"/>
      <c r="CY116" s="243"/>
      <c r="CZ116" s="243"/>
      <c r="DA116" s="243"/>
      <c r="DB116" s="243"/>
      <c r="DC116" s="243"/>
      <c r="DD116" s="243"/>
      <c r="DE116" s="243"/>
      <c r="DF116" s="243"/>
      <c r="DG116" s="243"/>
      <c r="DH116" s="243"/>
      <c r="DI116" s="243"/>
      <c r="DJ116" s="243"/>
      <c r="DK116" s="243"/>
      <c r="DM116" s="242"/>
      <c r="DO116" s="243"/>
      <c r="DQ116" s="242"/>
      <c r="DS116" s="243"/>
      <c r="DU116" s="242"/>
      <c r="DW116" s="243"/>
      <c r="DY116" s="242"/>
      <c r="EA116" s="243"/>
    </row>
    <row r="117" spans="1:131">
      <c r="A117" s="20"/>
      <c r="B117" s="124" t="str">
        <f t="shared" si="102"/>
        <v/>
      </c>
      <c r="C117" s="235"/>
      <c r="D117" s="24">
        <f>'1% Wind'!$M$91</f>
        <v>4.2</v>
      </c>
      <c r="E117" s="90"/>
      <c r="F117" s="90"/>
      <c r="G117" s="79">
        <f ca="1">IF(I107=0.9743,$G116,MAX(G116/D116*D117,2))</f>
        <v>6.001707317073171</v>
      </c>
      <c r="H117" s="121" t="e">
        <f t="shared" ca="1" si="103"/>
        <v>#VALUE!</v>
      </c>
      <c r="J117" s="33"/>
      <c r="K117" s="242">
        <f t="shared" si="104"/>
        <v>1</v>
      </c>
      <c r="L117" s="241" t="e">
        <f t="shared" ca="1" si="105"/>
        <v>#VALUE!</v>
      </c>
      <c r="M117" s="243" t="e">
        <f ca="1">IF(AND(INDEX(FlowCalConstA,MATCH(J107,FlowCalNumber,0),1,1)*L117^INDEX(FlowCalConstB,MATCH(J107,FlowCalNumber,0),1,1)&gt;INDEX(FlowCalLowSetting,MATCH(J107,FlowCalNumber,0),1,1), (INDEX(FlowCalConstA,MATCH(J107,FlowCalNumber,0),1,1)*L117^INDEX(FlowCalConstB,MATCH(J107,FlowCalNumber,0),1,1)&lt;INDEX(FlowCalHighSetting,MATCH(J107,FlowCalNumber,0),1,1))),INDEX(FlowCalConstA,MATCH(J107,FlowCalNumber,0),1,1)*L117^INDEX(FlowCalConstB,MATCH(J107,FlowCalNumber,0),1,1)," ")</f>
        <v>#N/A</v>
      </c>
      <c r="N117" s="33"/>
      <c r="O117" s="242">
        <f t="shared" si="106"/>
        <v>1</v>
      </c>
      <c r="P117" s="241" t="e">
        <f t="shared" ca="1" si="107"/>
        <v>#VALUE!</v>
      </c>
      <c r="Q117" s="243" t="e">
        <f ca="1">IF(AND(INDEX(FlowCalConstA,MATCH(N107,FlowCalNumber,0),1,1)*P117^INDEX(FlowCalConstB,MATCH(N107,FlowCalNumber,0),1,1)&gt;INDEX(FlowCalLowSetting,MATCH(N107,FlowCalNumber,0),1,1), (INDEX(FlowCalConstA,MATCH(N107,FlowCalNumber,0),1,1)*P117^INDEX(FlowCalConstB,MATCH(N107,FlowCalNumber,0),1,1)&lt;INDEX(FlowCalHighSetting,MATCH(N107,FlowCalNumber,0),1,1))),INDEX(FlowCalConstA,MATCH(N107,FlowCalNumber,0),1,1)*P117^INDEX(FlowCalConstB,MATCH(N107,FlowCalNumber,0),1,1)," ")</f>
        <v>#N/A</v>
      </c>
      <c r="R117" s="33"/>
      <c r="S117" s="242">
        <f t="shared" si="108"/>
        <v>1</v>
      </c>
      <c r="T117" s="241" t="e">
        <f t="shared" ca="1" si="109"/>
        <v>#VALUE!</v>
      </c>
      <c r="U117" s="244" t="e">
        <f ca="1">IF(AND(INDEX(FlowCalConstA,MATCH(R107,FlowCalNumber,0),1,1)*T117^INDEX(FlowCalConstB,MATCH(R107,FlowCalNumber,0),1,1)&gt;INDEX(FlowCalLowSetting,MATCH(R107,FlowCalNumber,0),1,1), (INDEX(FlowCalConstA,MATCH(R107,FlowCalNumber,0),1,1)*T117^INDEX(FlowCalConstB,MATCH(R107,FlowCalNumber,0),1,1)&lt;INDEX(FlowCalHighSetting,MATCH(R107,FlowCalNumber,0),1,1))),INDEX(FlowCalConstA,MATCH(R107,FlowCalNumber,0),1,1)*T117^INDEX(FlowCalConstB,MATCH(R107,FlowCalNumber,0),1,1)," ")</f>
        <v>#N/A</v>
      </c>
      <c r="V117" s="33"/>
      <c r="W117" s="242">
        <f t="shared" si="110"/>
        <v>0.1</v>
      </c>
      <c r="X117" s="241" t="e">
        <f t="shared" ca="1" si="111"/>
        <v>#VALUE!</v>
      </c>
      <c r="Y117" s="243" t="e">
        <f ca="1">IF(AND(INDEX(FlowCalConstA,MATCH(V107,FlowCalNumber,0),1,1)*X117^INDEX(FlowCalConstB,MATCH(V107,FlowCalNumber,0),1,1)&gt;INDEX(FlowCalLowSetting,MATCH(V107,FlowCalNumber,0),1,1), (INDEX(FlowCalConstA,MATCH(V107,FlowCalNumber,0),1,1)*X117^INDEX(FlowCalConstB,MATCH(V107,FlowCalNumber,0),1,1)&lt;INDEX(FlowCalHighSetting,MATCH(V107,FlowCalNumber,0),1,1))),INDEX(FlowCalConstA,MATCH(V107,FlowCalNumber,0),1,1)*X117^INDEX(FlowCalConstB,MATCH(V107,FlowCalNumber,0),1,1)," ")</f>
        <v>#N/A</v>
      </c>
      <c r="Z117" s="33"/>
      <c r="AA117" s="242">
        <f t="shared" si="112"/>
        <v>0.9</v>
      </c>
      <c r="AB117" s="241" t="e">
        <f t="shared" ca="1" si="113"/>
        <v>#VALUE!</v>
      </c>
      <c r="AC117" s="243" t="e">
        <f ca="1">IF(AND(INDEX(FlowCalConstA,MATCH(Z107,FlowCalNumber,0),1,1)*AB117^INDEX(FlowCalConstB,MATCH(Z107,FlowCalNumber,0),1,1)&gt;INDEX(FlowCalLowSetting,MATCH(Z107,FlowCalNumber,0),1,1), (INDEX(FlowCalConstA,MATCH(Z107,FlowCalNumber,0),1,1)*AB117^INDEX(FlowCalConstB,MATCH(Z107,FlowCalNumber,0),1,1)&lt;INDEX(FlowCalHighSetting,MATCH(Z107,FlowCalNumber,0),1,1))),INDEX(FlowCalConstA,MATCH(Z107,FlowCalNumber,0),1,1)*AB117^INDEX(FlowCalConstB,MATCH(Z107,FlowCalNumber,0),1,1)," ")</f>
        <v>#N/A</v>
      </c>
      <c r="AD117" s="33"/>
      <c r="AE117" s="242">
        <f t="shared" si="114"/>
        <v>0.1</v>
      </c>
      <c r="AF117" s="241" t="e">
        <f t="shared" ca="1" si="115"/>
        <v>#VALUE!</v>
      </c>
      <c r="AG117" s="243" t="e">
        <f ca="1">IF(AND(INDEX(FlowCalConstA,MATCH(AD107,FlowCalNumber,0),1,1)*AF117^INDEX(FlowCalConstB,MATCH(AD107,FlowCalNumber,0),1,1)&gt;INDEX(FlowCalLowSetting,MATCH(AD107,FlowCalNumber,0),1,1), (INDEX(FlowCalConstA,MATCH(AD107,FlowCalNumber,0),1,1)*AF117^INDEX(FlowCalConstB,MATCH(AD107,FlowCalNumber,0),1,1)&lt;INDEX(FlowCalHighSetting,MATCH(AD107,FlowCalNumber,0),1,1))),INDEX(FlowCalConstA,MATCH(AD107,FlowCalNumber,0),1,1)*AF117^INDEX(FlowCalConstB,MATCH(AD107,FlowCalNumber,0),1,1)," ")</f>
        <v>#N/A</v>
      </c>
      <c r="AH117" s="33"/>
      <c r="AI117" s="242">
        <f t="shared" si="116"/>
        <v>0.9</v>
      </c>
      <c r="AJ117" s="241" t="e">
        <f t="shared" ca="1" si="117"/>
        <v>#VALUE!</v>
      </c>
      <c r="AK117" s="243" t="e">
        <f ca="1">IF(AND(INDEX(FlowCalConstA,MATCH(AH107,FlowCalNumber,0),1,1)*AJ117^INDEX(FlowCalConstB,MATCH(AH107,FlowCalNumber,0),1,1)&gt;INDEX(FlowCalLowSetting,MATCH(AH107,FlowCalNumber,0),1,1), (INDEX(FlowCalConstA,MATCH(AH107,FlowCalNumber,0),1,1)*AJ117^INDEX(FlowCalConstB,MATCH(AH107,FlowCalNumber,0),1,1)&lt;INDEX(FlowCalHighSetting,MATCH(AH107,FlowCalNumber,0),1,1))),INDEX(FlowCalConstA,MATCH(AH107,FlowCalNumber,0),1,1)*AJ117^INDEX(FlowCalConstB,MATCH(AH107,FlowCalNumber,0),1,1)," ")</f>
        <v>#N/A</v>
      </c>
      <c r="AL117" s="33"/>
      <c r="AM117" s="242"/>
      <c r="AN117" s="241"/>
      <c r="AO117" s="244"/>
      <c r="AQ117" s="242"/>
      <c r="AR117" s="241"/>
      <c r="AS117" s="244"/>
      <c r="AT117" s="33"/>
      <c r="AU117" s="242"/>
      <c r="AV117" s="241"/>
      <c r="AW117" s="244"/>
      <c r="AX117" s="33"/>
      <c r="AY117" s="242"/>
      <c r="AZ117" s="241"/>
      <c r="BA117" s="244"/>
      <c r="BB117" s="33"/>
      <c r="BC117" s="242"/>
      <c r="BD117" s="241"/>
      <c r="BE117" s="244"/>
      <c r="BF117" s="33"/>
      <c r="BG117" s="242"/>
      <c r="BH117" s="241"/>
      <c r="BI117" s="244"/>
      <c r="BJ117" s="33"/>
      <c r="BK117" s="242"/>
      <c r="BL117" s="241"/>
      <c r="BM117" s="244"/>
      <c r="BN117" s="33"/>
      <c r="BO117" s="242"/>
      <c r="BP117" s="241"/>
      <c r="BQ117" s="244"/>
      <c r="BR117" s="33"/>
      <c r="BS117" s="242"/>
      <c r="BT117" s="241"/>
      <c r="BU117" s="244"/>
      <c r="BV117" s="33"/>
      <c r="BW117" s="242"/>
      <c r="BX117" s="241"/>
      <c r="BY117" s="244"/>
      <c r="BZ117" s="33"/>
      <c r="CA117" s="242"/>
      <c r="CB117" s="241"/>
      <c r="CC117" s="244"/>
      <c r="CD117" s="243"/>
      <c r="CE117" s="243"/>
      <c r="CF117" s="243"/>
      <c r="CG117" s="243"/>
      <c r="CH117" s="243"/>
      <c r="CI117" s="243"/>
      <c r="CJ117" s="243"/>
      <c r="CK117" s="243"/>
      <c r="CL117" s="243"/>
      <c r="CM117" s="243"/>
      <c r="CN117" s="243"/>
      <c r="CO117" s="243"/>
      <c r="CP117" s="243"/>
      <c r="CQ117" s="243"/>
      <c r="CR117" s="243"/>
      <c r="CS117" s="243"/>
      <c r="CT117" s="243"/>
      <c r="CU117" s="243"/>
      <c r="CV117" s="243"/>
      <c r="CW117" s="243"/>
      <c r="CX117" s="243"/>
      <c r="CY117" s="243"/>
      <c r="CZ117" s="243"/>
      <c r="DA117" s="243"/>
      <c r="DB117" s="243"/>
      <c r="DC117" s="243"/>
      <c r="DD117" s="243"/>
      <c r="DE117" s="243"/>
      <c r="DF117" s="243"/>
      <c r="DG117" s="243"/>
      <c r="DH117" s="243"/>
      <c r="DI117" s="243"/>
      <c r="DJ117" s="243"/>
      <c r="DK117" s="243"/>
      <c r="DM117" s="242"/>
      <c r="DO117" s="243"/>
      <c r="DQ117" s="242"/>
      <c r="DS117" s="243"/>
      <c r="DU117" s="242"/>
      <c r="DW117" s="243"/>
      <c r="DY117" s="242"/>
      <c r="EA117" s="243"/>
    </row>
    <row r="118" spans="1:131">
      <c r="A118" s="20"/>
      <c r="B118" s="124" t="str">
        <f t="shared" si="102"/>
        <v/>
      </c>
      <c r="C118" s="235"/>
      <c r="D118" s="24">
        <f>'1% Wind'!$M$92</f>
        <v>3.2</v>
      </c>
      <c r="E118" s="90"/>
      <c r="F118" s="90"/>
      <c r="G118" s="79">
        <f ca="1">IF(I107=0.9743,$G117,MAX(G117/D117*D118,2))</f>
        <v>6.001707317073171</v>
      </c>
      <c r="H118" s="121" t="e">
        <f t="shared" ca="1" si="103"/>
        <v>#VALUE!</v>
      </c>
      <c r="J118" s="33"/>
      <c r="K118" s="242">
        <f t="shared" si="104"/>
        <v>1</v>
      </c>
      <c r="L118" s="241" t="e">
        <f t="shared" ca="1" si="105"/>
        <v>#VALUE!</v>
      </c>
      <c r="M118" s="243" t="e">
        <f ca="1">IF(AND(INDEX(FlowCalConstA,MATCH(J107,FlowCalNumber,0),1,1)*L118^INDEX(FlowCalConstB,MATCH(J107,FlowCalNumber,0),1,1)&gt;INDEX(FlowCalLowSetting,MATCH(J107,FlowCalNumber,0),1,1), (INDEX(FlowCalConstA,MATCH(J107,FlowCalNumber,0),1,1)*L118^INDEX(FlowCalConstB,MATCH(J107,FlowCalNumber,0),1,1)&lt;INDEX(FlowCalHighSetting,MATCH(J107,FlowCalNumber,0),1,1))),INDEX(FlowCalConstA,MATCH(J107,FlowCalNumber,0),1,1)*L118^INDEX(FlowCalConstB,MATCH(J107,FlowCalNumber,0),1,1)," ")</f>
        <v>#N/A</v>
      </c>
      <c r="N118" s="33"/>
      <c r="O118" s="242">
        <f t="shared" si="106"/>
        <v>1</v>
      </c>
      <c r="P118" s="241" t="e">
        <f t="shared" ca="1" si="107"/>
        <v>#VALUE!</v>
      </c>
      <c r="Q118" s="243" t="e">
        <f ca="1">IF(AND(INDEX(FlowCalConstA,MATCH(N107,FlowCalNumber,0),1,1)*P118^INDEX(FlowCalConstB,MATCH(N107,FlowCalNumber,0),1,1)&gt;INDEX(FlowCalLowSetting,MATCH(N107,FlowCalNumber,0),1,1), (INDEX(FlowCalConstA,MATCH(N107,FlowCalNumber,0),1,1)*P118^INDEX(FlowCalConstB,MATCH(N107,FlowCalNumber,0),1,1)&lt;INDEX(FlowCalHighSetting,MATCH(N107,FlowCalNumber,0),1,1))),INDEX(FlowCalConstA,MATCH(N107,FlowCalNumber,0),1,1)*P118^INDEX(FlowCalConstB,MATCH(N107,FlowCalNumber,0),1,1)," ")</f>
        <v>#N/A</v>
      </c>
      <c r="R118" s="33"/>
      <c r="S118" s="242">
        <f t="shared" si="108"/>
        <v>1</v>
      </c>
      <c r="T118" s="241" t="e">
        <f t="shared" ca="1" si="109"/>
        <v>#VALUE!</v>
      </c>
      <c r="U118" s="244" t="e">
        <f ca="1">IF(AND(INDEX(FlowCalConstA,MATCH(R107,FlowCalNumber,0),1,1)*T118^INDEX(FlowCalConstB,MATCH(R107,FlowCalNumber,0),1,1)&gt;INDEX(FlowCalLowSetting,MATCH(R107,FlowCalNumber,0),1,1), (INDEX(FlowCalConstA,MATCH(R107,FlowCalNumber,0),1,1)*T118^INDEX(FlowCalConstB,MATCH(R107,FlowCalNumber,0),1,1)&lt;INDEX(FlowCalHighSetting,MATCH(R107,FlowCalNumber,0),1,1))),INDEX(FlowCalConstA,MATCH(R107,FlowCalNumber,0),1,1)*T118^INDEX(FlowCalConstB,MATCH(R107,FlowCalNumber,0),1,1)," ")</f>
        <v>#N/A</v>
      </c>
      <c r="V118" s="33"/>
      <c r="W118" s="242">
        <f t="shared" si="110"/>
        <v>0.1</v>
      </c>
      <c r="X118" s="241" t="e">
        <f t="shared" ca="1" si="111"/>
        <v>#VALUE!</v>
      </c>
      <c r="Y118" s="243" t="e">
        <f ca="1">IF(AND(INDEX(FlowCalConstA,MATCH(V107,FlowCalNumber,0),1,1)*X118^INDEX(FlowCalConstB,MATCH(V107,FlowCalNumber,0),1,1)&gt;INDEX(FlowCalLowSetting,MATCH(V107,FlowCalNumber,0),1,1), (INDEX(FlowCalConstA,MATCH(V107,FlowCalNumber,0),1,1)*X118^INDEX(FlowCalConstB,MATCH(V107,FlowCalNumber,0),1,1)&lt;INDEX(FlowCalHighSetting,MATCH(V107,FlowCalNumber,0),1,1))),INDEX(FlowCalConstA,MATCH(V107,FlowCalNumber,0),1,1)*X118^INDEX(FlowCalConstB,MATCH(V107,FlowCalNumber,0),1,1)," ")</f>
        <v>#N/A</v>
      </c>
      <c r="Z118" s="33"/>
      <c r="AA118" s="242">
        <f t="shared" si="112"/>
        <v>0.9</v>
      </c>
      <c r="AB118" s="241" t="e">
        <f t="shared" ca="1" si="113"/>
        <v>#VALUE!</v>
      </c>
      <c r="AC118" s="243" t="e">
        <f ca="1">IF(AND(INDEX(FlowCalConstA,MATCH(Z107,FlowCalNumber,0),1,1)*AB118^INDEX(FlowCalConstB,MATCH(Z107,FlowCalNumber,0),1,1)&gt;INDEX(FlowCalLowSetting,MATCH(Z107,FlowCalNumber,0),1,1), (INDEX(FlowCalConstA,MATCH(Z107,FlowCalNumber,0),1,1)*AB118^INDEX(FlowCalConstB,MATCH(Z107,FlowCalNumber,0),1,1)&lt;INDEX(FlowCalHighSetting,MATCH(Z107,FlowCalNumber,0),1,1))),INDEX(FlowCalConstA,MATCH(Z107,FlowCalNumber,0),1,1)*AB118^INDEX(FlowCalConstB,MATCH(Z107,FlowCalNumber,0),1,1)," ")</f>
        <v>#N/A</v>
      </c>
      <c r="AD118" s="33"/>
      <c r="AE118" s="242">
        <f t="shared" si="114"/>
        <v>0.1</v>
      </c>
      <c r="AF118" s="241" t="e">
        <f t="shared" ca="1" si="115"/>
        <v>#VALUE!</v>
      </c>
      <c r="AG118" s="243" t="e">
        <f ca="1">IF(AND(INDEX(FlowCalConstA,MATCH(AD107,FlowCalNumber,0),1,1)*AF118^INDEX(FlowCalConstB,MATCH(AD107,FlowCalNumber,0),1,1)&gt;INDEX(FlowCalLowSetting,MATCH(AD107,FlowCalNumber,0),1,1), (INDEX(FlowCalConstA,MATCH(AD107,FlowCalNumber,0),1,1)*AF118^INDEX(FlowCalConstB,MATCH(AD107,FlowCalNumber,0),1,1)&lt;INDEX(FlowCalHighSetting,MATCH(AD107,FlowCalNumber,0),1,1))),INDEX(FlowCalConstA,MATCH(AD107,FlowCalNumber,0),1,1)*AF118^INDEX(FlowCalConstB,MATCH(AD107,FlowCalNumber,0),1,1)," ")</f>
        <v>#N/A</v>
      </c>
      <c r="AH118" s="33"/>
      <c r="AI118" s="242">
        <f t="shared" si="116"/>
        <v>0.9</v>
      </c>
      <c r="AJ118" s="241" t="e">
        <f t="shared" ca="1" si="117"/>
        <v>#VALUE!</v>
      </c>
      <c r="AK118" s="243" t="e">
        <f ca="1">IF(AND(INDEX(FlowCalConstA,MATCH(AH107,FlowCalNumber,0),1,1)*AJ118^INDEX(FlowCalConstB,MATCH(AH107,FlowCalNumber,0),1,1)&gt;INDEX(FlowCalLowSetting,MATCH(AH107,FlowCalNumber,0),1,1), (INDEX(FlowCalConstA,MATCH(AH107,FlowCalNumber,0),1,1)*AJ118^INDEX(FlowCalConstB,MATCH(AH107,FlowCalNumber,0),1,1)&lt;INDEX(FlowCalHighSetting,MATCH(AH107,FlowCalNumber,0),1,1))),INDEX(FlowCalConstA,MATCH(AH107,FlowCalNumber,0),1,1)*AJ118^INDEX(FlowCalConstB,MATCH(AH107,FlowCalNumber,0),1,1)," ")</f>
        <v>#N/A</v>
      </c>
      <c r="AL118" s="33"/>
      <c r="AM118" s="242"/>
      <c r="AN118" s="241"/>
      <c r="AO118" s="244"/>
      <c r="AQ118" s="242"/>
      <c r="AR118" s="241"/>
      <c r="AS118" s="244"/>
      <c r="AT118" s="33"/>
      <c r="AU118" s="242"/>
      <c r="AV118" s="241"/>
      <c r="AW118" s="244"/>
      <c r="AX118" s="33"/>
      <c r="AY118" s="242"/>
      <c r="AZ118" s="241"/>
      <c r="BA118" s="244"/>
      <c r="BB118" s="33"/>
      <c r="BC118" s="242"/>
      <c r="BD118" s="241"/>
      <c r="BE118" s="244"/>
      <c r="BF118" s="33"/>
      <c r="BG118" s="242"/>
      <c r="BH118" s="241"/>
      <c r="BI118" s="244"/>
      <c r="BJ118" s="33"/>
      <c r="BK118" s="242"/>
      <c r="BL118" s="241"/>
      <c r="BM118" s="244"/>
      <c r="BN118" s="33"/>
      <c r="BO118" s="242"/>
      <c r="BP118" s="241"/>
      <c r="BQ118" s="244"/>
      <c r="BR118" s="33"/>
      <c r="BS118" s="242"/>
      <c r="BT118" s="241"/>
      <c r="BU118" s="244"/>
      <c r="BV118" s="33"/>
      <c r="BW118" s="242"/>
      <c r="BX118" s="241"/>
      <c r="BY118" s="244"/>
      <c r="BZ118" s="33"/>
      <c r="CA118" s="242"/>
      <c r="CB118" s="241"/>
      <c r="CC118" s="244"/>
      <c r="CD118" s="243"/>
      <c r="CE118" s="243"/>
      <c r="CF118" s="243"/>
      <c r="CG118" s="243"/>
      <c r="CH118" s="243"/>
      <c r="CI118" s="243"/>
      <c r="CJ118" s="243"/>
      <c r="CK118" s="243"/>
      <c r="CL118" s="243"/>
      <c r="CM118" s="243"/>
      <c r="CN118" s="243"/>
      <c r="CO118" s="243"/>
      <c r="CP118" s="243"/>
      <c r="CQ118" s="243"/>
      <c r="CR118" s="243"/>
      <c r="CS118" s="243"/>
      <c r="CT118" s="243"/>
      <c r="CU118" s="243"/>
      <c r="CV118" s="243"/>
      <c r="CW118" s="243"/>
      <c r="CX118" s="243"/>
      <c r="CY118" s="243"/>
      <c r="CZ118" s="243"/>
      <c r="DA118" s="243"/>
      <c r="DB118" s="243"/>
      <c r="DC118" s="243"/>
      <c r="DD118" s="243"/>
      <c r="DE118" s="243"/>
      <c r="DF118" s="243"/>
      <c r="DG118" s="243"/>
      <c r="DH118" s="243"/>
      <c r="DI118" s="243"/>
      <c r="DJ118" s="243"/>
      <c r="DK118" s="243"/>
      <c r="DM118" s="242"/>
      <c r="DO118" s="243"/>
      <c r="DQ118" s="242"/>
      <c r="DS118" s="243"/>
      <c r="DU118" s="242"/>
      <c r="DW118" s="243"/>
      <c r="DY118" s="242"/>
      <c r="EA118" s="243"/>
    </row>
    <row r="119" spans="1:131">
      <c r="A119" s="20"/>
      <c r="B119" s="124" t="str">
        <f t="shared" si="102"/>
        <v/>
      </c>
      <c r="C119" s="235"/>
      <c r="D119" s="24">
        <f>'1% Wind'!$M$93</f>
        <v>2.4</v>
      </c>
      <c r="E119" s="90"/>
      <c r="F119" s="90"/>
      <c r="G119" s="79">
        <f ca="1">IF(I107=0.9743,$G118,MAX(G118/D118*D119,2))</f>
        <v>6.001707317073171</v>
      </c>
      <c r="H119" s="121" t="e">
        <f t="shared" ca="1" si="103"/>
        <v>#VALUE!</v>
      </c>
      <c r="J119" s="33"/>
      <c r="K119" s="242">
        <f t="shared" si="104"/>
        <v>1</v>
      </c>
      <c r="L119" s="241" t="e">
        <f t="shared" ca="1" si="105"/>
        <v>#VALUE!</v>
      </c>
      <c r="M119" s="243" t="e">
        <f ca="1">IF(AND(INDEX(FlowCalConstA,MATCH(J107,FlowCalNumber,0),1,1)*L119^INDEX(FlowCalConstB,MATCH(J107,FlowCalNumber,0),1,1)&gt;INDEX(FlowCalLowSetting,MATCH(J107,FlowCalNumber,0),1,1), (INDEX(FlowCalConstA,MATCH(J107,FlowCalNumber,0),1,1)*L119^INDEX(FlowCalConstB,MATCH(J107,FlowCalNumber,0),1,1)&lt;INDEX(FlowCalHighSetting,MATCH(J107,FlowCalNumber,0),1,1))),INDEX(FlowCalConstA,MATCH(J107,FlowCalNumber,0),1,1)*L119^INDEX(FlowCalConstB,MATCH(J107,FlowCalNumber,0),1,1)," ")</f>
        <v>#N/A</v>
      </c>
      <c r="N119" s="33"/>
      <c r="O119" s="242">
        <f t="shared" si="106"/>
        <v>1</v>
      </c>
      <c r="P119" s="241" t="e">
        <f t="shared" ca="1" si="107"/>
        <v>#VALUE!</v>
      </c>
      <c r="Q119" s="243" t="e">
        <f ca="1">IF(AND(INDEX(FlowCalConstA,MATCH(N107,FlowCalNumber,0),1,1)*P119^INDEX(FlowCalConstB,MATCH(N107,FlowCalNumber,0),1,1)&gt;INDEX(FlowCalLowSetting,MATCH(N107,FlowCalNumber,0),1,1), (INDEX(FlowCalConstA,MATCH(N107,FlowCalNumber,0),1,1)*P119^INDEX(FlowCalConstB,MATCH(N107,FlowCalNumber,0),1,1)&lt;INDEX(FlowCalHighSetting,MATCH(N107,FlowCalNumber,0),1,1))),INDEX(FlowCalConstA,MATCH(N107,FlowCalNumber,0),1,1)*P119^INDEX(FlowCalConstB,MATCH(N107,FlowCalNumber,0),1,1)," ")</f>
        <v>#N/A</v>
      </c>
      <c r="R119" s="33"/>
      <c r="S119" s="242">
        <f t="shared" si="108"/>
        <v>1</v>
      </c>
      <c r="T119" s="241" t="e">
        <f t="shared" ca="1" si="109"/>
        <v>#VALUE!</v>
      </c>
      <c r="U119" s="244" t="e">
        <f ca="1">IF(AND(INDEX(FlowCalConstA,MATCH(R107,FlowCalNumber,0),1,1)*T119^INDEX(FlowCalConstB,MATCH(R107,FlowCalNumber,0),1,1)&gt;INDEX(FlowCalLowSetting,MATCH(R107,FlowCalNumber,0),1,1), (INDEX(FlowCalConstA,MATCH(R107,FlowCalNumber,0),1,1)*T119^INDEX(FlowCalConstB,MATCH(R107,FlowCalNumber,0),1,1)&lt;INDEX(FlowCalHighSetting,MATCH(R107,FlowCalNumber,0),1,1))),INDEX(FlowCalConstA,MATCH(R107,FlowCalNumber,0),1,1)*T119^INDEX(FlowCalConstB,MATCH(R107,FlowCalNumber,0),1,1)," ")</f>
        <v>#N/A</v>
      </c>
      <c r="V119" s="33"/>
      <c r="W119" s="242">
        <f t="shared" si="110"/>
        <v>0.1</v>
      </c>
      <c r="X119" s="241" t="e">
        <f t="shared" ca="1" si="111"/>
        <v>#VALUE!</v>
      </c>
      <c r="Y119" s="243" t="e">
        <f ca="1">IF(AND(INDEX(FlowCalConstA,MATCH(V107,FlowCalNumber,0),1,1)*X119^INDEX(FlowCalConstB,MATCH(V107,FlowCalNumber,0),1,1)&gt;INDEX(FlowCalLowSetting,MATCH(V107,FlowCalNumber,0),1,1), (INDEX(FlowCalConstA,MATCH(V107,FlowCalNumber,0),1,1)*X119^INDEX(FlowCalConstB,MATCH(V107,FlowCalNumber,0),1,1)&lt;INDEX(FlowCalHighSetting,MATCH(V107,FlowCalNumber,0),1,1))),INDEX(FlowCalConstA,MATCH(V107,FlowCalNumber,0),1,1)*X119^INDEX(FlowCalConstB,MATCH(V107,FlowCalNumber,0),1,1)," ")</f>
        <v>#N/A</v>
      </c>
      <c r="Z119" s="33"/>
      <c r="AA119" s="242">
        <f t="shared" si="112"/>
        <v>0.9</v>
      </c>
      <c r="AB119" s="241" t="e">
        <f t="shared" ca="1" si="113"/>
        <v>#VALUE!</v>
      </c>
      <c r="AC119" s="243" t="e">
        <f ca="1">IF(AND(INDEX(FlowCalConstA,MATCH(Z107,FlowCalNumber,0),1,1)*AB119^INDEX(FlowCalConstB,MATCH(Z107,FlowCalNumber,0),1,1)&gt;INDEX(FlowCalLowSetting,MATCH(Z107,FlowCalNumber,0),1,1), (INDEX(FlowCalConstA,MATCH(Z107,FlowCalNumber,0),1,1)*AB119^INDEX(FlowCalConstB,MATCH(Z107,FlowCalNumber,0),1,1)&lt;INDEX(FlowCalHighSetting,MATCH(Z107,FlowCalNumber,0),1,1))),INDEX(FlowCalConstA,MATCH(Z107,FlowCalNumber,0),1,1)*AB119^INDEX(FlowCalConstB,MATCH(Z107,FlowCalNumber,0),1,1)," ")</f>
        <v>#N/A</v>
      </c>
      <c r="AD119" s="33"/>
      <c r="AE119" s="242">
        <f t="shared" si="114"/>
        <v>0.1</v>
      </c>
      <c r="AF119" s="241" t="e">
        <f t="shared" ca="1" si="115"/>
        <v>#VALUE!</v>
      </c>
      <c r="AG119" s="243" t="e">
        <f ca="1">IF(AND(INDEX(FlowCalConstA,MATCH(AD107,FlowCalNumber,0),1,1)*AF119^INDEX(FlowCalConstB,MATCH(AD107,FlowCalNumber,0),1,1)&gt;INDEX(FlowCalLowSetting,MATCH(AD107,FlowCalNumber,0),1,1), (INDEX(FlowCalConstA,MATCH(AD107,FlowCalNumber,0),1,1)*AF119^INDEX(FlowCalConstB,MATCH(AD107,FlowCalNumber,0),1,1)&lt;INDEX(FlowCalHighSetting,MATCH(AD107,FlowCalNumber,0),1,1))),INDEX(FlowCalConstA,MATCH(AD107,FlowCalNumber,0),1,1)*AF119^INDEX(FlowCalConstB,MATCH(AD107,FlowCalNumber,0),1,1)," ")</f>
        <v>#N/A</v>
      </c>
      <c r="AH119" s="33"/>
      <c r="AI119" s="242">
        <f t="shared" si="116"/>
        <v>0.9</v>
      </c>
      <c r="AJ119" s="241" t="e">
        <f t="shared" ca="1" si="117"/>
        <v>#VALUE!</v>
      </c>
      <c r="AK119" s="243" t="e">
        <f ca="1">IF(AND(INDEX(FlowCalConstA,MATCH(AH107,FlowCalNumber,0),1,1)*AJ119^INDEX(FlowCalConstB,MATCH(AH107,FlowCalNumber,0),1,1)&gt;INDEX(FlowCalLowSetting,MATCH(AH107,FlowCalNumber,0),1,1), (INDEX(FlowCalConstA,MATCH(AH107,FlowCalNumber,0),1,1)*AJ119^INDEX(FlowCalConstB,MATCH(AH107,FlowCalNumber,0),1,1)&lt;INDEX(FlowCalHighSetting,MATCH(AH107,FlowCalNumber,0),1,1))),INDEX(FlowCalConstA,MATCH(AH107,FlowCalNumber,0),1,1)*AJ119^INDEX(FlowCalConstB,MATCH(AH107,FlowCalNumber,0),1,1)," ")</f>
        <v>#N/A</v>
      </c>
      <c r="AL119" s="33"/>
      <c r="AM119" s="242"/>
      <c r="AN119" s="241"/>
      <c r="AO119" s="244"/>
      <c r="AQ119" s="242"/>
      <c r="AR119" s="241"/>
      <c r="AS119" s="244"/>
      <c r="AT119" s="33"/>
      <c r="AU119" s="242"/>
      <c r="AV119" s="241"/>
      <c r="AW119" s="244"/>
      <c r="AX119" s="33"/>
      <c r="AY119" s="242"/>
      <c r="AZ119" s="241"/>
      <c r="BA119" s="244"/>
      <c r="BB119" s="33"/>
      <c r="BC119" s="242"/>
      <c r="BD119" s="241"/>
      <c r="BE119" s="244"/>
      <c r="BF119" s="33"/>
      <c r="BG119" s="242"/>
      <c r="BH119" s="241"/>
      <c r="BI119" s="244"/>
      <c r="BJ119" s="33"/>
      <c r="BK119" s="242"/>
      <c r="BL119" s="241"/>
      <c r="BM119" s="244"/>
      <c r="BN119" s="33"/>
      <c r="BO119" s="242"/>
      <c r="BP119" s="241"/>
      <c r="BQ119" s="244"/>
      <c r="BR119" s="33"/>
      <c r="BS119" s="242"/>
      <c r="BT119" s="241"/>
      <c r="BU119" s="244"/>
      <c r="BV119" s="33"/>
      <c r="BW119" s="242"/>
      <c r="BX119" s="241"/>
      <c r="BY119" s="244"/>
      <c r="BZ119" s="33"/>
      <c r="CA119" s="242"/>
      <c r="CB119" s="241"/>
      <c r="CC119" s="244"/>
      <c r="CD119" s="243"/>
      <c r="CE119" s="243"/>
      <c r="CF119" s="243"/>
      <c r="CG119" s="243"/>
      <c r="CH119" s="243"/>
      <c r="CI119" s="243"/>
      <c r="CJ119" s="243"/>
      <c r="CK119" s="243"/>
      <c r="CL119" s="243"/>
      <c r="CM119" s="243"/>
      <c r="CN119" s="243"/>
      <c r="CO119" s="243"/>
      <c r="CP119" s="243"/>
      <c r="CQ119" s="243"/>
      <c r="CR119" s="243"/>
      <c r="CS119" s="243"/>
      <c r="CT119" s="243"/>
      <c r="CU119" s="243"/>
      <c r="CV119" s="243"/>
      <c r="CW119" s="243"/>
      <c r="CX119" s="243"/>
      <c r="CY119" s="243"/>
      <c r="CZ119" s="243"/>
      <c r="DA119" s="243"/>
      <c r="DB119" s="243"/>
      <c r="DC119" s="243"/>
      <c r="DD119" s="243"/>
      <c r="DE119" s="243"/>
      <c r="DF119" s="243"/>
      <c r="DG119" s="243"/>
      <c r="DH119" s="243"/>
      <c r="DI119" s="243"/>
      <c r="DJ119" s="243"/>
      <c r="DK119" s="243"/>
      <c r="DM119" s="242"/>
      <c r="DO119" s="243"/>
      <c r="DQ119" s="242"/>
      <c r="DS119" s="243"/>
      <c r="DU119" s="242"/>
      <c r="DW119" s="243"/>
      <c r="DY119" s="242"/>
      <c r="EA119" s="243"/>
    </row>
    <row r="120" spans="1:131">
      <c r="A120" s="20"/>
      <c r="B120" s="124" t="str">
        <f t="shared" si="102"/>
        <v/>
      </c>
      <c r="C120" s="235"/>
      <c r="D120" s="24">
        <f>'1% Wind'!$M$94</f>
        <v>1.8</v>
      </c>
      <c r="E120" s="90"/>
      <c r="F120" s="90"/>
      <c r="G120" s="79">
        <f ca="1">IF(I107=0.9743,$G119,MAX(G119/D119*D120,2))</f>
        <v>6.001707317073171</v>
      </c>
      <c r="H120" s="121" t="e">
        <f t="shared" ca="1" si="103"/>
        <v>#VALUE!</v>
      </c>
      <c r="J120" s="33"/>
      <c r="K120" s="242">
        <f t="shared" si="104"/>
        <v>1</v>
      </c>
      <c r="L120" s="241" t="e">
        <f t="shared" ca="1" si="105"/>
        <v>#VALUE!</v>
      </c>
      <c r="M120" s="243" t="e">
        <f ca="1">IF(AND(INDEX(FlowCalConstA,MATCH(J107,FlowCalNumber,0),1,1)*L120^INDEX(FlowCalConstB,MATCH(J107,FlowCalNumber,0),1,1)&gt;INDEX(FlowCalLowSetting,MATCH(J107,FlowCalNumber,0),1,1), (INDEX(FlowCalConstA,MATCH(J107,FlowCalNumber,0),1,1)*L120^INDEX(FlowCalConstB,MATCH(J107,FlowCalNumber,0),1,1)&lt;INDEX(FlowCalHighSetting,MATCH(J107,FlowCalNumber,0),1,1))),INDEX(FlowCalConstA,MATCH(J107,FlowCalNumber,0),1,1)*L120^INDEX(FlowCalConstB,MATCH(J107,FlowCalNumber,0),1,1)," ")</f>
        <v>#N/A</v>
      </c>
      <c r="N120" s="33"/>
      <c r="O120" s="242">
        <f t="shared" si="106"/>
        <v>1</v>
      </c>
      <c r="P120" s="241" t="e">
        <f t="shared" ca="1" si="107"/>
        <v>#VALUE!</v>
      </c>
      <c r="Q120" s="243" t="e">
        <f ca="1">IF(AND(INDEX(FlowCalConstA,MATCH(N107,FlowCalNumber,0),1,1)*P120^INDEX(FlowCalConstB,MATCH(N107,FlowCalNumber,0),1,1)&gt;INDEX(FlowCalLowSetting,MATCH(N107,FlowCalNumber,0),1,1), (INDEX(FlowCalConstA,MATCH(N107,FlowCalNumber,0),1,1)*P120^INDEX(FlowCalConstB,MATCH(N107,FlowCalNumber,0),1,1)&lt;INDEX(FlowCalHighSetting,MATCH(N107,FlowCalNumber,0),1,1))),INDEX(FlowCalConstA,MATCH(N107,FlowCalNumber,0),1,1)*P120^INDEX(FlowCalConstB,MATCH(N107,FlowCalNumber,0),1,1)," ")</f>
        <v>#N/A</v>
      </c>
      <c r="R120" s="33"/>
      <c r="S120" s="242">
        <f t="shared" si="108"/>
        <v>1</v>
      </c>
      <c r="T120" s="241" t="e">
        <f t="shared" ca="1" si="109"/>
        <v>#VALUE!</v>
      </c>
      <c r="U120" s="244" t="e">
        <f ca="1">IF(AND(INDEX(FlowCalConstA,MATCH(R107,FlowCalNumber,0),1,1)*T120^INDEX(FlowCalConstB,MATCH(R107,FlowCalNumber,0),1,1)&gt;INDEX(FlowCalLowSetting,MATCH(R107,FlowCalNumber,0),1,1), (INDEX(FlowCalConstA,MATCH(R107,FlowCalNumber,0),1,1)*T120^INDEX(FlowCalConstB,MATCH(R107,FlowCalNumber,0),1,1)&lt;INDEX(FlowCalHighSetting,MATCH(R107,FlowCalNumber,0),1,1))),INDEX(FlowCalConstA,MATCH(R107,FlowCalNumber,0),1,1)*T120^INDEX(FlowCalConstB,MATCH(R107,FlowCalNumber,0),1,1)," ")</f>
        <v>#N/A</v>
      </c>
      <c r="V120" s="33"/>
      <c r="W120" s="242">
        <f t="shared" si="110"/>
        <v>0.1</v>
      </c>
      <c r="X120" s="241" t="e">
        <f t="shared" ca="1" si="111"/>
        <v>#VALUE!</v>
      </c>
      <c r="Y120" s="243" t="e">
        <f ca="1">IF(AND(INDEX(FlowCalConstA,MATCH(V107,FlowCalNumber,0),1,1)*X120^INDEX(FlowCalConstB,MATCH(V107,FlowCalNumber,0),1,1)&gt;INDEX(FlowCalLowSetting,MATCH(V107,FlowCalNumber,0),1,1), (INDEX(FlowCalConstA,MATCH(V107,FlowCalNumber,0),1,1)*X120^INDEX(FlowCalConstB,MATCH(V107,FlowCalNumber,0),1,1)&lt;INDEX(FlowCalHighSetting,MATCH(V107,FlowCalNumber,0),1,1))),INDEX(FlowCalConstA,MATCH(V107,FlowCalNumber,0),1,1)*X120^INDEX(FlowCalConstB,MATCH(V107,FlowCalNumber,0),1,1)," ")</f>
        <v>#N/A</v>
      </c>
      <c r="Z120" s="33"/>
      <c r="AA120" s="242">
        <f t="shared" si="112"/>
        <v>0.9</v>
      </c>
      <c r="AB120" s="241" t="e">
        <f t="shared" ca="1" si="113"/>
        <v>#VALUE!</v>
      </c>
      <c r="AC120" s="243" t="e">
        <f ca="1">IF(AND(INDEX(FlowCalConstA,MATCH(Z107,FlowCalNumber,0),1,1)*AB120^INDEX(FlowCalConstB,MATCH(Z107,FlowCalNumber,0),1,1)&gt;INDEX(FlowCalLowSetting,MATCH(Z107,FlowCalNumber,0),1,1), (INDEX(FlowCalConstA,MATCH(Z107,FlowCalNumber,0),1,1)*AB120^INDEX(FlowCalConstB,MATCH(Z107,FlowCalNumber,0),1,1)&lt;INDEX(FlowCalHighSetting,MATCH(Z107,FlowCalNumber,0),1,1))),INDEX(FlowCalConstA,MATCH(Z107,FlowCalNumber,0),1,1)*AB120^INDEX(FlowCalConstB,MATCH(Z107,FlowCalNumber,0),1,1)," ")</f>
        <v>#N/A</v>
      </c>
      <c r="AD120" s="33"/>
      <c r="AE120" s="242">
        <f t="shared" si="114"/>
        <v>0.1</v>
      </c>
      <c r="AF120" s="241" t="e">
        <f t="shared" ca="1" si="115"/>
        <v>#VALUE!</v>
      </c>
      <c r="AG120" s="243" t="e">
        <f ca="1">IF(AND(INDEX(FlowCalConstA,MATCH(AD107,FlowCalNumber,0),1,1)*AF120^INDEX(FlowCalConstB,MATCH(AD107,FlowCalNumber,0),1,1)&gt;INDEX(FlowCalLowSetting,MATCH(AD107,FlowCalNumber,0),1,1), (INDEX(FlowCalConstA,MATCH(AD107,FlowCalNumber,0),1,1)*AF120^INDEX(FlowCalConstB,MATCH(AD107,FlowCalNumber,0),1,1)&lt;INDEX(FlowCalHighSetting,MATCH(AD107,FlowCalNumber,0),1,1))),INDEX(FlowCalConstA,MATCH(AD107,FlowCalNumber,0),1,1)*AF120^INDEX(FlowCalConstB,MATCH(AD107,FlowCalNumber,0),1,1)," ")</f>
        <v>#N/A</v>
      </c>
      <c r="AH120" s="33"/>
      <c r="AI120" s="242">
        <f t="shared" si="116"/>
        <v>0.9</v>
      </c>
      <c r="AJ120" s="241" t="e">
        <f t="shared" ca="1" si="117"/>
        <v>#VALUE!</v>
      </c>
      <c r="AK120" s="243" t="e">
        <f ca="1">IF(AND(INDEX(FlowCalConstA,MATCH(AH107,FlowCalNumber,0),1,1)*AJ120^INDEX(FlowCalConstB,MATCH(AH107,FlowCalNumber,0),1,1)&gt;INDEX(FlowCalLowSetting,MATCH(AH107,FlowCalNumber,0),1,1), (INDEX(FlowCalConstA,MATCH(AH107,FlowCalNumber,0),1,1)*AJ120^INDEX(FlowCalConstB,MATCH(AH107,FlowCalNumber,0),1,1)&lt;INDEX(FlowCalHighSetting,MATCH(AH107,FlowCalNumber,0),1,1))),INDEX(FlowCalConstA,MATCH(AH107,FlowCalNumber,0),1,1)*AJ120^INDEX(FlowCalConstB,MATCH(AH107,FlowCalNumber,0),1,1)," ")</f>
        <v>#N/A</v>
      </c>
      <c r="AL120" s="33"/>
      <c r="AM120" s="242"/>
      <c r="AN120" s="241"/>
      <c r="AO120" s="244"/>
      <c r="AQ120" s="242"/>
      <c r="AR120" s="241"/>
      <c r="AS120" s="244"/>
      <c r="AT120" s="33"/>
      <c r="AU120" s="242"/>
      <c r="AV120" s="241"/>
      <c r="AW120" s="244"/>
      <c r="AX120" s="33"/>
      <c r="AY120" s="242"/>
      <c r="AZ120" s="241"/>
      <c r="BA120" s="244"/>
      <c r="BB120" s="33"/>
      <c r="BC120" s="242"/>
      <c r="BD120" s="241"/>
      <c r="BE120" s="244"/>
      <c r="BF120" s="33"/>
      <c r="BG120" s="242"/>
      <c r="BH120" s="241"/>
      <c r="BI120" s="244"/>
      <c r="BJ120" s="33"/>
      <c r="BK120" s="242"/>
      <c r="BL120" s="241"/>
      <c r="BM120" s="244"/>
      <c r="BN120" s="33"/>
      <c r="BO120" s="242"/>
      <c r="BP120" s="241"/>
      <c r="BQ120" s="244"/>
      <c r="BR120" s="33"/>
      <c r="BS120" s="242"/>
      <c r="BT120" s="241"/>
      <c r="BU120" s="244"/>
      <c r="BV120" s="33"/>
      <c r="BW120" s="242"/>
      <c r="BX120" s="241"/>
      <c r="BY120" s="244"/>
      <c r="BZ120" s="33"/>
      <c r="CA120" s="242"/>
      <c r="CB120" s="241"/>
      <c r="CC120" s="244"/>
      <c r="CD120" s="243"/>
      <c r="CE120" s="243"/>
      <c r="CF120" s="243"/>
      <c r="CG120" s="243"/>
      <c r="CH120" s="243"/>
      <c r="CI120" s="243"/>
      <c r="CJ120" s="243"/>
      <c r="CK120" s="243"/>
      <c r="CL120" s="243"/>
      <c r="CM120" s="243"/>
      <c r="CN120" s="243"/>
      <c r="CO120" s="243"/>
      <c r="CP120" s="243"/>
      <c r="CQ120" s="243"/>
      <c r="CR120" s="243"/>
      <c r="CS120" s="243"/>
      <c r="CT120" s="243"/>
      <c r="CU120" s="243"/>
      <c r="CV120" s="243"/>
      <c r="CW120" s="243"/>
      <c r="CX120" s="243"/>
      <c r="CY120" s="243"/>
      <c r="CZ120" s="243"/>
      <c r="DA120" s="243"/>
      <c r="DB120" s="243"/>
      <c r="DC120" s="243"/>
      <c r="DD120" s="243"/>
      <c r="DE120" s="243"/>
      <c r="DF120" s="243"/>
      <c r="DG120" s="243"/>
      <c r="DH120" s="243"/>
      <c r="DI120" s="243"/>
      <c r="DJ120" s="243"/>
      <c r="DK120" s="243"/>
      <c r="DM120" s="242"/>
      <c r="DO120" s="243"/>
      <c r="DQ120" s="242"/>
      <c r="DS120" s="243"/>
      <c r="DU120" s="242"/>
      <c r="DW120" s="243"/>
      <c r="DY120" s="242"/>
      <c r="EA120" s="243"/>
    </row>
    <row r="121" spans="1:131">
      <c r="A121" s="20"/>
      <c r="B121" s="124" t="str">
        <f t="shared" si="102"/>
        <v/>
      </c>
      <c r="C121" s="235"/>
      <c r="D121" s="24">
        <f>'1% Wind'!$M$95</f>
        <v>1.3</v>
      </c>
      <c r="E121" s="90"/>
      <c r="F121" s="90"/>
      <c r="G121" s="79">
        <f ca="1">IF(I107=0.9743,$G120,MAX(G120/D120*D121,2))</f>
        <v>6.001707317073171</v>
      </c>
      <c r="H121" s="121" t="e">
        <f t="shared" ca="1" si="103"/>
        <v>#VALUE!</v>
      </c>
      <c r="J121" s="33"/>
      <c r="K121" s="242">
        <f t="shared" si="104"/>
        <v>1</v>
      </c>
      <c r="L121" s="241" t="e">
        <f t="shared" ca="1" si="105"/>
        <v>#VALUE!</v>
      </c>
      <c r="M121" s="243" t="e">
        <f ca="1">IF(AND(INDEX(FlowCalConstA,MATCH(J107,FlowCalNumber,0),1,1)*L121^INDEX(FlowCalConstB,MATCH(J107,FlowCalNumber,0),1,1)&gt;INDEX(FlowCalLowSetting,MATCH(J107,FlowCalNumber,0),1,1), (INDEX(FlowCalConstA,MATCH(J107,FlowCalNumber,0),1,1)*L121^INDEX(FlowCalConstB,MATCH(J107,FlowCalNumber,0),1,1)&lt;INDEX(FlowCalHighSetting,MATCH(J107,FlowCalNumber,0),1,1))),INDEX(FlowCalConstA,MATCH(J107,FlowCalNumber,0),1,1)*L121^INDEX(FlowCalConstB,MATCH(J107,FlowCalNumber,0),1,1)," ")</f>
        <v>#N/A</v>
      </c>
      <c r="N121" s="33"/>
      <c r="O121" s="242">
        <f t="shared" si="106"/>
        <v>1</v>
      </c>
      <c r="P121" s="241" t="e">
        <f t="shared" ca="1" si="107"/>
        <v>#VALUE!</v>
      </c>
      <c r="Q121" s="243" t="e">
        <f ca="1">IF(AND(INDEX(FlowCalConstA,MATCH(N107,FlowCalNumber,0),1,1)*P121^INDEX(FlowCalConstB,MATCH(N107,FlowCalNumber,0),1,1)&gt;INDEX(FlowCalLowSetting,MATCH(N107,FlowCalNumber,0),1,1), (INDEX(FlowCalConstA,MATCH(N107,FlowCalNumber,0),1,1)*P121^INDEX(FlowCalConstB,MATCH(N107,FlowCalNumber,0),1,1)&lt;INDEX(FlowCalHighSetting,MATCH(N107,FlowCalNumber,0),1,1))),INDEX(FlowCalConstA,MATCH(N107,FlowCalNumber,0),1,1)*P121^INDEX(FlowCalConstB,MATCH(N107,FlowCalNumber,0),1,1)," ")</f>
        <v>#N/A</v>
      </c>
      <c r="R121" s="33"/>
      <c r="S121" s="242">
        <f t="shared" si="108"/>
        <v>1</v>
      </c>
      <c r="T121" s="241" t="e">
        <f t="shared" ca="1" si="109"/>
        <v>#VALUE!</v>
      </c>
      <c r="U121" s="244" t="e">
        <f ca="1">IF(AND(INDEX(FlowCalConstA,MATCH(R107,FlowCalNumber,0),1,1)*T121^INDEX(FlowCalConstB,MATCH(R107,FlowCalNumber,0),1,1)&gt;INDEX(FlowCalLowSetting,MATCH(R107,FlowCalNumber,0),1,1), (INDEX(FlowCalConstA,MATCH(R107,FlowCalNumber,0),1,1)*T121^INDEX(FlowCalConstB,MATCH(R107,FlowCalNumber,0),1,1)&lt;INDEX(FlowCalHighSetting,MATCH(R107,FlowCalNumber,0),1,1))),INDEX(FlowCalConstA,MATCH(R107,FlowCalNumber,0),1,1)*T121^INDEX(FlowCalConstB,MATCH(R107,FlowCalNumber,0),1,1)," ")</f>
        <v>#N/A</v>
      </c>
      <c r="V121" s="33"/>
      <c r="W121" s="242">
        <f t="shared" si="110"/>
        <v>0.1</v>
      </c>
      <c r="X121" s="241" t="e">
        <f t="shared" ca="1" si="111"/>
        <v>#VALUE!</v>
      </c>
      <c r="Y121" s="243" t="e">
        <f ca="1">IF(AND(INDEX(FlowCalConstA,MATCH(V107,FlowCalNumber,0),1,1)*X121^INDEX(FlowCalConstB,MATCH(V107,FlowCalNumber,0),1,1)&gt;INDEX(FlowCalLowSetting,MATCH(V107,FlowCalNumber,0),1,1), (INDEX(FlowCalConstA,MATCH(V107,FlowCalNumber,0),1,1)*X121^INDEX(FlowCalConstB,MATCH(V107,FlowCalNumber,0),1,1)&lt;INDEX(FlowCalHighSetting,MATCH(V107,FlowCalNumber,0),1,1))),INDEX(FlowCalConstA,MATCH(V107,FlowCalNumber,0),1,1)*X121^INDEX(FlowCalConstB,MATCH(V107,FlowCalNumber,0),1,1)," ")</f>
        <v>#N/A</v>
      </c>
      <c r="Z121" s="33"/>
      <c r="AA121" s="242">
        <f t="shared" si="112"/>
        <v>0.9</v>
      </c>
      <c r="AB121" s="241" t="e">
        <f t="shared" ca="1" si="113"/>
        <v>#VALUE!</v>
      </c>
      <c r="AC121" s="243" t="e">
        <f ca="1">IF(AND(INDEX(FlowCalConstA,MATCH(Z107,FlowCalNumber,0),1,1)*AB121^INDEX(FlowCalConstB,MATCH(Z107,FlowCalNumber,0),1,1)&gt;INDEX(FlowCalLowSetting,MATCH(Z107,FlowCalNumber,0),1,1), (INDEX(FlowCalConstA,MATCH(Z107,FlowCalNumber,0),1,1)*AB121^INDEX(FlowCalConstB,MATCH(Z107,FlowCalNumber,0),1,1)&lt;INDEX(FlowCalHighSetting,MATCH(Z107,FlowCalNumber,0),1,1))),INDEX(FlowCalConstA,MATCH(Z107,FlowCalNumber,0),1,1)*AB121^INDEX(FlowCalConstB,MATCH(Z107,FlowCalNumber,0),1,1)," ")</f>
        <v>#N/A</v>
      </c>
      <c r="AD121" s="33"/>
      <c r="AE121" s="242">
        <f t="shared" si="114"/>
        <v>0.1</v>
      </c>
      <c r="AF121" s="241" t="e">
        <f t="shared" ca="1" si="115"/>
        <v>#VALUE!</v>
      </c>
      <c r="AG121" s="243" t="e">
        <f ca="1">IF(AND(INDEX(FlowCalConstA,MATCH(AD107,FlowCalNumber,0),1,1)*AF121^INDEX(FlowCalConstB,MATCH(AD107,FlowCalNumber,0),1,1)&gt;INDEX(FlowCalLowSetting,MATCH(AD107,FlowCalNumber,0),1,1), (INDEX(FlowCalConstA,MATCH(AD107,FlowCalNumber,0),1,1)*AF121^INDEX(FlowCalConstB,MATCH(AD107,FlowCalNumber,0),1,1)&lt;INDEX(FlowCalHighSetting,MATCH(AD107,FlowCalNumber,0),1,1))),INDEX(FlowCalConstA,MATCH(AD107,FlowCalNumber,0),1,1)*AF121^INDEX(FlowCalConstB,MATCH(AD107,FlowCalNumber,0),1,1)," ")</f>
        <v>#N/A</v>
      </c>
      <c r="AH121" s="33"/>
      <c r="AI121" s="242">
        <f t="shared" si="116"/>
        <v>0.9</v>
      </c>
      <c r="AJ121" s="241" t="e">
        <f t="shared" ca="1" si="117"/>
        <v>#VALUE!</v>
      </c>
      <c r="AK121" s="243" t="e">
        <f ca="1">IF(AND(INDEX(FlowCalConstA,MATCH(AH107,FlowCalNumber,0),1,1)*AJ121^INDEX(FlowCalConstB,MATCH(AH107,FlowCalNumber,0),1,1)&gt;INDEX(FlowCalLowSetting,MATCH(AH107,FlowCalNumber,0),1,1), (INDEX(FlowCalConstA,MATCH(AH107,FlowCalNumber,0),1,1)*AJ121^INDEX(FlowCalConstB,MATCH(AH107,FlowCalNumber,0),1,1)&lt;INDEX(FlowCalHighSetting,MATCH(AH107,FlowCalNumber,0),1,1))),INDEX(FlowCalConstA,MATCH(AH107,FlowCalNumber,0),1,1)*AJ121^INDEX(FlowCalConstB,MATCH(AH107,FlowCalNumber,0),1,1)," ")</f>
        <v>#N/A</v>
      </c>
      <c r="AL121" s="33"/>
      <c r="AM121" s="242"/>
      <c r="AN121" s="241"/>
      <c r="AO121" s="244"/>
      <c r="AQ121" s="242"/>
      <c r="AR121" s="241"/>
      <c r="AS121" s="244"/>
      <c r="AT121" s="33"/>
      <c r="AU121" s="242"/>
      <c r="AV121" s="241"/>
      <c r="AW121" s="244"/>
      <c r="AX121" s="33"/>
      <c r="AY121" s="242"/>
      <c r="AZ121" s="241"/>
      <c r="BA121" s="244"/>
      <c r="BB121" s="33"/>
      <c r="BC121" s="242"/>
      <c r="BD121" s="241"/>
      <c r="BE121" s="244"/>
      <c r="BF121" s="33"/>
      <c r="BG121" s="242"/>
      <c r="BH121" s="241"/>
      <c r="BI121" s="244"/>
      <c r="BJ121" s="33"/>
      <c r="BK121" s="242"/>
      <c r="BL121" s="241"/>
      <c r="BM121" s="244"/>
      <c r="BN121" s="33"/>
      <c r="BO121" s="242"/>
      <c r="BP121" s="241"/>
      <c r="BQ121" s="244"/>
      <c r="BR121" s="33"/>
      <c r="BS121" s="242"/>
      <c r="BT121" s="241"/>
      <c r="BU121" s="244"/>
      <c r="BV121" s="33"/>
      <c r="BW121" s="242"/>
      <c r="BX121" s="241"/>
      <c r="BY121" s="244"/>
      <c r="BZ121" s="33"/>
      <c r="CA121" s="242"/>
      <c r="CB121" s="241"/>
      <c r="CC121" s="244"/>
      <c r="CD121" s="243"/>
      <c r="CE121" s="243"/>
      <c r="CF121" s="243"/>
      <c r="CG121" s="243"/>
      <c r="CH121" s="243"/>
      <c r="CI121" s="243"/>
      <c r="CJ121" s="243"/>
      <c r="CK121" s="243"/>
      <c r="CL121" s="243"/>
      <c r="CM121" s="243"/>
      <c r="CN121" s="243"/>
      <c r="CO121" s="243"/>
      <c r="CP121" s="243"/>
      <c r="CQ121" s="243"/>
      <c r="CR121" s="243"/>
      <c r="CS121" s="243"/>
      <c r="CT121" s="243"/>
      <c r="CU121" s="243"/>
      <c r="CV121" s="243"/>
      <c r="CW121" s="243"/>
      <c r="CX121" s="243"/>
      <c r="CY121" s="243"/>
      <c r="CZ121" s="243"/>
      <c r="DA121" s="243"/>
      <c r="DB121" s="243"/>
      <c r="DC121" s="243"/>
      <c r="DD121" s="243"/>
      <c r="DE121" s="243"/>
      <c r="DF121" s="243"/>
      <c r="DG121" s="243"/>
      <c r="DH121" s="243"/>
      <c r="DI121" s="243"/>
      <c r="DJ121" s="243"/>
      <c r="DK121" s="243"/>
      <c r="DM121" s="242"/>
      <c r="DO121" s="243"/>
      <c r="DQ121" s="242"/>
      <c r="DS121" s="243"/>
      <c r="DU121" s="242"/>
      <c r="DW121" s="243"/>
      <c r="DY121" s="242"/>
      <c r="EA121" s="243"/>
    </row>
    <row r="122" spans="1:131">
      <c r="A122" s="20"/>
      <c r="B122" s="124" t="str">
        <f t="shared" si="102"/>
        <v/>
      </c>
      <c r="C122" s="235"/>
      <c r="D122" s="24">
        <f>'1% Wind'!$M$96</f>
        <v>1</v>
      </c>
      <c r="E122" s="90"/>
      <c r="F122" s="90"/>
      <c r="G122" s="79">
        <f ca="1">IF(I107=0.9743,$G121,MAX(G121/D121*D122,2))</f>
        <v>6.001707317073171</v>
      </c>
      <c r="H122" s="121" t="e">
        <f t="shared" ca="1" si="103"/>
        <v>#VALUE!</v>
      </c>
      <c r="J122" s="33"/>
      <c r="K122" s="242">
        <f t="shared" si="104"/>
        <v>1</v>
      </c>
      <c r="L122" s="241" t="e">
        <f t="shared" ca="1" si="105"/>
        <v>#VALUE!</v>
      </c>
      <c r="M122" s="243" t="e">
        <f ca="1">IF(AND(INDEX(FlowCalConstA,MATCH(J107,FlowCalNumber,0),1,1)*L122^INDEX(FlowCalConstB,MATCH(J107,FlowCalNumber,0),1,1)&gt;INDEX(FlowCalLowSetting,MATCH(J107,FlowCalNumber,0),1,1), (INDEX(FlowCalConstA,MATCH(J107,FlowCalNumber,0),1,1)*L122^INDEX(FlowCalConstB,MATCH(J107,FlowCalNumber,0),1,1)&lt;INDEX(FlowCalHighSetting,MATCH(J107,FlowCalNumber,0),1,1))),INDEX(FlowCalConstA,MATCH(J107,FlowCalNumber,0),1,1)*L122^INDEX(FlowCalConstB,MATCH(J107,FlowCalNumber,0),1,1)," ")</f>
        <v>#N/A</v>
      </c>
      <c r="N122" s="33"/>
      <c r="O122" s="242">
        <f t="shared" si="106"/>
        <v>1</v>
      </c>
      <c r="P122" s="241" t="e">
        <f t="shared" ca="1" si="107"/>
        <v>#VALUE!</v>
      </c>
      <c r="Q122" s="243" t="e">
        <f ca="1">IF(AND(INDEX(FlowCalConstA,MATCH(N107,FlowCalNumber,0),1,1)*P122^INDEX(FlowCalConstB,MATCH(N107,FlowCalNumber,0),1,1)&gt;INDEX(FlowCalLowSetting,MATCH(N107,FlowCalNumber,0),1,1), (INDEX(FlowCalConstA,MATCH(N107,FlowCalNumber,0),1,1)*P122^INDEX(FlowCalConstB,MATCH(N107,FlowCalNumber,0),1,1)&lt;INDEX(FlowCalHighSetting,MATCH(N107,FlowCalNumber,0),1,1))),INDEX(FlowCalConstA,MATCH(N107,FlowCalNumber,0),1,1)*P122^INDEX(FlowCalConstB,MATCH(N107,FlowCalNumber,0),1,1)," ")</f>
        <v>#N/A</v>
      </c>
      <c r="R122" s="33"/>
      <c r="S122" s="242">
        <f t="shared" si="108"/>
        <v>1</v>
      </c>
      <c r="T122" s="241" t="e">
        <f t="shared" ca="1" si="109"/>
        <v>#VALUE!</v>
      </c>
      <c r="U122" s="244" t="e">
        <f ca="1">IF(AND(INDEX(FlowCalConstA,MATCH(R107,FlowCalNumber,0),1,1)*T122^INDEX(FlowCalConstB,MATCH(R107,FlowCalNumber,0),1,1)&gt;INDEX(FlowCalLowSetting,MATCH(R107,FlowCalNumber,0),1,1), (INDEX(FlowCalConstA,MATCH(R107,FlowCalNumber,0),1,1)*T122^INDEX(FlowCalConstB,MATCH(R107,FlowCalNumber,0),1,1)&lt;INDEX(FlowCalHighSetting,MATCH(R107,FlowCalNumber,0),1,1))),INDEX(FlowCalConstA,MATCH(R107,FlowCalNumber,0),1,1)*T122^INDEX(FlowCalConstB,MATCH(R107,FlowCalNumber,0),1,1)," ")</f>
        <v>#N/A</v>
      </c>
      <c r="V122" s="33"/>
      <c r="W122" s="242">
        <f t="shared" si="110"/>
        <v>0.1</v>
      </c>
      <c r="X122" s="241" t="e">
        <f t="shared" ca="1" si="111"/>
        <v>#VALUE!</v>
      </c>
      <c r="Y122" s="243" t="e">
        <f ca="1">IF(AND(INDEX(FlowCalConstA,MATCH(V107,FlowCalNumber,0),1,1)*X122^INDEX(FlowCalConstB,MATCH(V107,FlowCalNumber,0),1,1)&gt;INDEX(FlowCalLowSetting,MATCH(V107,FlowCalNumber,0),1,1), (INDEX(FlowCalConstA,MATCH(V107,FlowCalNumber,0),1,1)*X122^INDEX(FlowCalConstB,MATCH(V107,FlowCalNumber,0),1,1)&lt;INDEX(FlowCalHighSetting,MATCH(V107,FlowCalNumber,0),1,1))),INDEX(FlowCalConstA,MATCH(V107,FlowCalNumber,0),1,1)*X122^INDEX(FlowCalConstB,MATCH(V107,FlowCalNumber,0),1,1)," ")</f>
        <v>#N/A</v>
      </c>
      <c r="Z122" s="33"/>
      <c r="AA122" s="242">
        <f t="shared" si="112"/>
        <v>0.9</v>
      </c>
      <c r="AB122" s="241" t="e">
        <f t="shared" ca="1" si="113"/>
        <v>#VALUE!</v>
      </c>
      <c r="AC122" s="243" t="e">
        <f ca="1">IF(AND(INDEX(FlowCalConstA,MATCH(Z107,FlowCalNumber,0),1,1)*AB122^INDEX(FlowCalConstB,MATCH(Z107,FlowCalNumber,0),1,1)&gt;INDEX(FlowCalLowSetting,MATCH(Z107,FlowCalNumber,0),1,1), (INDEX(FlowCalConstA,MATCH(Z107,FlowCalNumber,0),1,1)*AB122^INDEX(FlowCalConstB,MATCH(Z107,FlowCalNumber,0),1,1)&lt;INDEX(FlowCalHighSetting,MATCH(Z107,FlowCalNumber,0),1,1))),INDEX(FlowCalConstA,MATCH(Z107,FlowCalNumber,0),1,1)*AB122^INDEX(FlowCalConstB,MATCH(Z107,FlowCalNumber,0),1,1)," ")</f>
        <v>#N/A</v>
      </c>
      <c r="AD122" s="33"/>
      <c r="AE122" s="242">
        <f t="shared" si="114"/>
        <v>0.1</v>
      </c>
      <c r="AF122" s="241" t="e">
        <f t="shared" ca="1" si="115"/>
        <v>#VALUE!</v>
      </c>
      <c r="AG122" s="243" t="e">
        <f ca="1">IF(AND(INDEX(FlowCalConstA,MATCH(AD107,FlowCalNumber,0),1,1)*AF122^INDEX(FlowCalConstB,MATCH(AD107,FlowCalNumber,0),1,1)&gt;INDEX(FlowCalLowSetting,MATCH(AD107,FlowCalNumber,0),1,1), (INDEX(FlowCalConstA,MATCH(AD107,FlowCalNumber,0),1,1)*AF122^INDEX(FlowCalConstB,MATCH(AD107,FlowCalNumber,0),1,1)&lt;INDEX(FlowCalHighSetting,MATCH(AD107,FlowCalNumber,0),1,1))),INDEX(FlowCalConstA,MATCH(AD107,FlowCalNumber,0),1,1)*AF122^INDEX(FlowCalConstB,MATCH(AD107,FlowCalNumber,0),1,1)," ")</f>
        <v>#N/A</v>
      </c>
      <c r="AH122" s="33"/>
      <c r="AI122" s="242">
        <f t="shared" si="116"/>
        <v>0.9</v>
      </c>
      <c r="AJ122" s="241" t="e">
        <f t="shared" ca="1" si="117"/>
        <v>#VALUE!</v>
      </c>
      <c r="AK122" s="243" t="e">
        <f ca="1">IF(AND(INDEX(FlowCalConstA,MATCH(AH107,FlowCalNumber,0),1,1)*AJ122^INDEX(FlowCalConstB,MATCH(AH107,FlowCalNumber,0),1,1)&gt;INDEX(FlowCalLowSetting,MATCH(AH107,FlowCalNumber,0),1,1), (INDEX(FlowCalConstA,MATCH(AH107,FlowCalNumber,0),1,1)*AJ122^INDEX(FlowCalConstB,MATCH(AH107,FlowCalNumber,0),1,1)&lt;INDEX(FlowCalHighSetting,MATCH(AH107,FlowCalNumber,0),1,1))),INDEX(FlowCalConstA,MATCH(AH107,FlowCalNumber,0),1,1)*AJ122^INDEX(FlowCalConstB,MATCH(AH107,FlowCalNumber,0),1,1)," ")</f>
        <v>#N/A</v>
      </c>
      <c r="AL122" s="33"/>
      <c r="AM122" s="242"/>
      <c r="AN122" s="241"/>
      <c r="AO122" s="244"/>
      <c r="AQ122" s="242"/>
      <c r="AR122" s="241"/>
      <c r="AS122" s="244"/>
      <c r="AT122" s="33"/>
      <c r="AU122" s="242"/>
      <c r="AV122" s="241"/>
      <c r="AW122" s="244"/>
      <c r="AX122" s="33"/>
      <c r="AY122" s="242"/>
      <c r="AZ122" s="241"/>
      <c r="BA122" s="244"/>
      <c r="BB122" s="33"/>
      <c r="BC122" s="242"/>
      <c r="BD122" s="241"/>
      <c r="BE122" s="244"/>
      <c r="BF122" s="33"/>
      <c r="BG122" s="242"/>
      <c r="BH122" s="241"/>
      <c r="BI122" s="244"/>
      <c r="BJ122" s="33"/>
      <c r="BK122" s="242"/>
      <c r="BL122" s="241"/>
      <c r="BM122" s="244"/>
      <c r="BN122" s="33"/>
      <c r="BO122" s="242"/>
      <c r="BP122" s="241"/>
      <c r="BQ122" s="244"/>
      <c r="BR122" s="33"/>
      <c r="BS122" s="242"/>
      <c r="BT122" s="241"/>
      <c r="BU122" s="244"/>
      <c r="BV122" s="33"/>
      <c r="BW122" s="242"/>
      <c r="BX122" s="241"/>
      <c r="BY122" s="244"/>
      <c r="BZ122" s="33"/>
      <c r="CA122" s="242"/>
      <c r="CB122" s="241"/>
      <c r="CC122" s="244"/>
      <c r="CD122" s="243"/>
      <c r="CE122" s="243"/>
      <c r="CF122" s="243"/>
      <c r="CG122" s="243"/>
      <c r="CH122" s="243"/>
      <c r="CI122" s="243"/>
      <c r="CJ122" s="243"/>
      <c r="CK122" s="243"/>
      <c r="CL122" s="243"/>
      <c r="CM122" s="243"/>
      <c r="CN122" s="243"/>
      <c r="CO122" s="243"/>
      <c r="CP122" s="243"/>
      <c r="CQ122" s="243"/>
      <c r="CR122" s="243"/>
      <c r="CS122" s="243"/>
      <c r="CT122" s="243"/>
      <c r="CU122" s="243"/>
      <c r="CV122" s="243"/>
      <c r="CW122" s="243"/>
      <c r="CX122" s="243"/>
      <c r="CY122" s="243"/>
      <c r="CZ122" s="243"/>
      <c r="DA122" s="243"/>
      <c r="DB122" s="243"/>
      <c r="DC122" s="243"/>
      <c r="DD122" s="243"/>
      <c r="DE122" s="243"/>
      <c r="DF122" s="243"/>
      <c r="DG122" s="243"/>
      <c r="DH122" s="243"/>
      <c r="DI122" s="243"/>
      <c r="DJ122" s="243"/>
      <c r="DK122" s="243"/>
      <c r="DM122" s="242"/>
      <c r="DO122" s="243"/>
      <c r="DQ122" s="242"/>
      <c r="DS122" s="243"/>
      <c r="DU122" s="242"/>
      <c r="DW122" s="243"/>
      <c r="DY122" s="242"/>
      <c r="EA122" s="243"/>
    </row>
    <row r="123" spans="1:131">
      <c r="A123" s="33"/>
      <c r="B123" s="33"/>
      <c r="C123" s="235"/>
      <c r="E123" s="90"/>
      <c r="F123" s="90"/>
      <c r="G123" s="33"/>
      <c r="J123" s="33"/>
      <c r="N123" s="33"/>
      <c r="Q123" s="243"/>
      <c r="R123" s="33"/>
      <c r="U123" s="244"/>
      <c r="V123" s="33"/>
      <c r="Y123" s="243"/>
      <c r="Z123" s="33"/>
      <c r="AC123" s="243"/>
      <c r="AD123" s="33"/>
      <c r="AG123" s="243"/>
      <c r="AH123" s="33"/>
      <c r="AK123" s="244"/>
      <c r="AL123" s="792"/>
      <c r="AM123" s="243"/>
      <c r="AN123" s="243"/>
      <c r="AO123" s="244"/>
      <c r="AP123" s="243"/>
      <c r="AQ123" s="243"/>
      <c r="AR123" s="243"/>
      <c r="AS123" s="244"/>
      <c r="AT123" s="243"/>
      <c r="AU123" s="243"/>
      <c r="AV123" s="243"/>
      <c r="AW123" s="244"/>
      <c r="AX123" s="243"/>
      <c r="AY123" s="243"/>
      <c r="AZ123" s="243"/>
      <c r="BA123" s="244"/>
      <c r="BB123" s="33"/>
      <c r="BE123" s="244"/>
      <c r="BF123" s="33"/>
      <c r="BI123" s="244"/>
      <c r="BJ123" s="33"/>
      <c r="BM123" s="244"/>
      <c r="BN123" s="243"/>
      <c r="BO123" s="243"/>
      <c r="BP123" s="243"/>
      <c r="BQ123" s="244"/>
      <c r="BR123" s="792"/>
      <c r="BS123" s="243"/>
      <c r="BT123" s="243"/>
      <c r="BU123" s="244"/>
      <c r="BV123" s="792"/>
      <c r="BW123" s="243"/>
      <c r="BX123" s="243"/>
      <c r="BY123" s="244"/>
      <c r="BZ123" s="792"/>
      <c r="CA123" s="243"/>
      <c r="CB123" s="243"/>
      <c r="CC123" s="244"/>
      <c r="CD123" s="243"/>
      <c r="CE123" s="243"/>
      <c r="CF123" s="243"/>
      <c r="CG123" s="243"/>
      <c r="CH123" s="243"/>
      <c r="CI123" s="243"/>
      <c r="CJ123" s="243"/>
      <c r="CK123" s="243"/>
      <c r="CL123" s="243"/>
      <c r="CM123" s="243"/>
      <c r="CN123" s="243"/>
      <c r="CO123" s="243"/>
      <c r="CP123" s="243"/>
      <c r="CQ123" s="243"/>
      <c r="CR123" s="243"/>
      <c r="CS123" s="243"/>
      <c r="CT123" s="243"/>
      <c r="CU123" s="243"/>
      <c r="CV123" s="243"/>
      <c r="CW123" s="243"/>
      <c r="CX123" s="243"/>
      <c r="CY123" s="243"/>
      <c r="CZ123" s="243"/>
      <c r="DA123" s="243"/>
      <c r="DB123" s="243"/>
      <c r="DC123" s="243"/>
      <c r="DD123" s="243"/>
      <c r="DE123" s="243"/>
      <c r="DF123" s="243"/>
      <c r="DG123" s="243"/>
      <c r="DH123" s="243"/>
      <c r="DI123" s="243"/>
      <c r="DJ123" s="243"/>
      <c r="DK123" s="243"/>
      <c r="DO123" s="243"/>
      <c r="DS123" s="243"/>
      <c r="DW123" s="243"/>
      <c r="EA123" s="243"/>
    </row>
    <row r="124" spans="1:131">
      <c r="A124" s="256" t="str">
        <f>IF((RIGHT(A107,1))&lt;&gt;"Z",CHAR(CODE(A107))&amp;CHAR(CODE(RIGHT(A107,1))+1),CHAR(CODE(A107)+1)&amp;"A")</f>
        <v>AG</v>
      </c>
      <c r="B124" s="270" t="str">
        <f>INDEX(SourceID,MATCH($A124,SourceNumber,0),1,1)</f>
        <v>EF-7</v>
      </c>
      <c r="C124" s="354">
        <f>INDEX(SourceExitDiameter,MATCH($A124,SourceNumber,0),1,1)*3.28*12</f>
        <v>76</v>
      </c>
      <c r="D124" s="24" t="str">
        <f>UAnem1percent</f>
        <v>1% Wind</v>
      </c>
      <c r="E124" s="350" t="e">
        <f ca="1">INDIRECT(ADDRESS(53,6,1,,CONCATENATE("TA",$A124)))</f>
        <v>#REF!</v>
      </c>
      <c r="F124" s="625" t="e">
        <f ca="1">(ROUND((INDIRECT(ADDRESS(15,7,1,,CONCATENATE("TA",$A124)))*3.28*12*32),0)&amp;"/32")</f>
        <v>#REF!</v>
      </c>
      <c r="G124" s="125">
        <f ca="1">INDIRECT(ADDRESS(29,7,1,,$A124))</f>
        <v>6.001707317073171</v>
      </c>
      <c r="H124" s="24" t="e">
        <f ca="1">INDIRECT(ADDRESS(19,7,1,,$A124))*100^3</f>
        <v>#VALUE!</v>
      </c>
      <c r="I124" s="941">
        <f ca="1">INDIRECT(ADDRESS(53,7,1,,$A124))</f>
        <v>0.97430000000000005</v>
      </c>
      <c r="J124" s="20" t="str">
        <f ca="1">IF($I124=$I$6,K$16&amp;$G$6&amp;J$6,IF($I124=$I$7,K$16&amp;$G$7&amp;J$7,"Bad"))</f>
        <v>100EthPick a Tunnel</v>
      </c>
      <c r="K124" t="e">
        <f ca="1">INDEX(FlowCalGasMixture,MATCH(J124,FlowCalNumber,0),1,1)</f>
        <v>#N/A</v>
      </c>
      <c r="M124" s="944" t="e">
        <f ca="1">INDEX(FlowCalDevice,MATCH(J124,FlowCalNumber,0),1,1)</f>
        <v>#N/A</v>
      </c>
      <c r="N124" s="943" t="str">
        <f ca="1">IF($I124=$I$6,O$16&amp;$G$6&amp;"90"&amp;$H$6&amp;N$6,IF($I124=$I$7,O$16&amp;$G$7&amp;"90"&amp;$H$7&amp;N$7,"Bad"))</f>
        <v>10Eth90N2Pick a Tunnel</v>
      </c>
      <c r="O124" t="e">
        <f ca="1">INDEX(FlowCalGasMixture,MATCH(N124,FlowCalNumber,0),1,1)</f>
        <v>#N/A</v>
      </c>
      <c r="Q124" s="944" t="e">
        <f ca="1">INDEX(FlowCalDevice,MATCH(N124,FlowCalNumber,0),1,1)</f>
        <v>#N/A</v>
      </c>
      <c r="R124" s="943" t="str">
        <f ca="1">IF($I124=$I$6,S$16&amp;$G$6&amp;"90"&amp;$H$6&amp;R$6,IF($I124=$I$7,S$16&amp;$G$7&amp;"90"&amp;$H$7&amp;R$7,"Bad"))</f>
        <v>10Eth90N2Pick a Tunnel</v>
      </c>
      <c r="S124" t="e">
        <f ca="1">INDEX(FlowCalGasMixture,MATCH(R124,FlowCalNumber,0),1,1)</f>
        <v>#N/A</v>
      </c>
      <c r="U124" s="944" t="e">
        <f ca="1">INDEX(FlowCalDevice,MATCH(R124,FlowCalNumber,0),1,1)</f>
        <v>#N/A</v>
      </c>
      <c r="V124" s="20" t="str">
        <f ca="1">IF($I124=$I$6,W$16&amp;$G$6&amp;V$6,IF($I124=$I$7,W$16&amp;$G$7&amp;V$7,"Bad"))</f>
        <v>100EthPick a Tunnel</v>
      </c>
      <c r="W124" t="e">
        <f ca="1">INDEX(FlowCalGasMixture,MATCH(V124,FlowCalNumber,0),1,1)</f>
        <v>#N/A</v>
      </c>
      <c r="Y124" s="944" t="e">
        <f ca="1">INDEX(FlowCalDevice,MATCH(V124,FlowCalNumber,0),1,1)</f>
        <v>#N/A</v>
      </c>
      <c r="Z124" s="946" t="str">
        <f ca="1">IF($I124=$I$6,AA$18&amp;$H$6&amp;Z$6,IF($I124=$I$7,AA$18&amp;$H$7&amp;Z$7,"Bad"))</f>
        <v>100N2Pick a Tunnel</v>
      </c>
      <c r="AA124" t="e">
        <f ca="1">INDEX(FlowCalGasMixture,MATCH(Z124,FlowCalNumber,0),1,1)</f>
        <v>#N/A</v>
      </c>
      <c r="AC124" s="944" t="e">
        <f ca="1">INDEX(FlowCalDevice,MATCH(Z124,FlowCalNumber,0),1,1)</f>
        <v>#N/A</v>
      </c>
      <c r="AD124" s="20" t="str">
        <f ca="1">IF($I124=$I$6,AE$16&amp;$G$6&amp;AD$6,IF($I124=$I$7,AE$16&amp;$G$7&amp;AD$7,"Bad"))</f>
        <v>100EthPick a Tunnel</v>
      </c>
      <c r="AE124" t="e">
        <f ca="1">INDEX(FlowCalGasMixture,MATCH(AD124,FlowCalNumber,0),1,1)</f>
        <v>#N/A</v>
      </c>
      <c r="AG124" s="944" t="e">
        <f ca="1">INDEX(FlowCalDevice,MATCH(AD124,FlowCalNumber,0),1,1)</f>
        <v>#N/A</v>
      </c>
      <c r="AH124" s="946" t="str">
        <f ca="1">IF($I124=$I$6,AI$18&amp;$H$6&amp;AH$6,IF($I124=$I$7,AI$18&amp;$H$7&amp;AH$7,"Bad"))</f>
        <v>100N2Pick a Tunnel</v>
      </c>
      <c r="AI124" t="e">
        <f ca="1">INDEX(FlowCalGasMixture,MATCH(AH124,FlowCalNumber,0),1,1)</f>
        <v>#N/A</v>
      </c>
      <c r="AK124" s="944" t="e">
        <f ca="1">INDEX(FlowCalDevice,MATCH(AH124,FlowCalNumber,0),1,1)</f>
        <v>#N/A</v>
      </c>
      <c r="AL124" s="20"/>
      <c r="AO124" s="982"/>
      <c r="AP124" s="960"/>
      <c r="AS124" s="982"/>
      <c r="AT124" s="20"/>
      <c r="AW124" s="982"/>
      <c r="AX124" s="946"/>
      <c r="BA124" s="982"/>
      <c r="BB124" s="20"/>
      <c r="BC124" s="16"/>
      <c r="BE124" s="982"/>
      <c r="BF124" s="946"/>
      <c r="BG124" s="16"/>
      <c r="BI124" s="982"/>
      <c r="BJ124" s="946"/>
      <c r="BK124" s="16"/>
      <c r="BM124" s="982"/>
      <c r="BN124" s="20"/>
      <c r="BO124" s="16"/>
      <c r="BQ124" s="982"/>
      <c r="BR124" s="946"/>
      <c r="BS124" s="16"/>
      <c r="BU124" s="982"/>
      <c r="BV124" s="946"/>
      <c r="BW124" s="16"/>
      <c r="BY124" s="982"/>
      <c r="BZ124" s="946"/>
      <c r="CA124" s="16"/>
      <c r="CC124" s="982"/>
      <c r="CD124" s="355"/>
      <c r="CE124" s="355"/>
      <c r="CF124" s="355"/>
      <c r="CG124" s="355"/>
      <c r="CH124" s="355"/>
      <c r="CI124" s="355"/>
      <c r="CJ124" s="355"/>
      <c r="CK124" s="355"/>
      <c r="CL124" s="355"/>
      <c r="CM124" s="355"/>
      <c r="CN124" s="355"/>
      <c r="CO124" s="355"/>
      <c r="CP124" s="355"/>
      <c r="CQ124" s="355"/>
      <c r="CR124" s="355"/>
      <c r="CS124" s="355"/>
      <c r="CT124" s="355"/>
      <c r="CU124" s="355"/>
      <c r="CV124" s="355"/>
      <c r="CW124" s="355"/>
      <c r="CX124" s="355"/>
      <c r="CY124" s="355"/>
      <c r="CZ124" s="355"/>
      <c r="DA124" s="355"/>
      <c r="DB124" s="355"/>
      <c r="DC124" s="355"/>
      <c r="DD124" s="355"/>
      <c r="DE124" s="355"/>
      <c r="DF124" s="355"/>
      <c r="DG124" s="355"/>
      <c r="DH124" s="355"/>
      <c r="DI124" s="355"/>
      <c r="DJ124" s="355"/>
      <c r="DK124" s="355"/>
      <c r="DL124" s="46"/>
      <c r="DM124" s="16"/>
      <c r="DO124" s="355"/>
      <c r="DP124" s="42"/>
      <c r="DQ124" s="16"/>
      <c r="DS124" s="355"/>
      <c r="DT124" s="42"/>
      <c r="DU124" s="16"/>
      <c r="DW124" s="355"/>
      <c r="DX124" s="42"/>
      <c r="DY124" s="16"/>
      <c r="EA124" s="355"/>
    </row>
    <row r="125" spans="1:131">
      <c r="A125" s="20"/>
      <c r="B125" s="124" t="str">
        <f t="shared" ref="B125:B139" si="118">IF(D125=UAnem1percent,"1% Wind","")</f>
        <v/>
      </c>
      <c r="C125" s="235"/>
      <c r="D125" s="24">
        <f>'1% Wind'!$M$82</f>
        <v>27</v>
      </c>
      <c r="E125" s="90"/>
      <c r="F125" s="90"/>
      <c r="G125" s="79">
        <f ca="1">IF(I124=0.9743,$G124,MAX(G124/D124*D125,2))</f>
        <v>6.001707317073171</v>
      </c>
      <c r="H125" s="121" t="e">
        <f t="shared" ref="H125:H139" ca="1" si="119">H124*(D124/D125)*(G125/G124)</f>
        <v>#VALUE!</v>
      </c>
      <c r="J125" s="33"/>
      <c r="K125" s="260">
        <f>K$17/100</f>
        <v>1</v>
      </c>
      <c r="L125" s="241" t="e">
        <f ca="1">K125*$H125</f>
        <v>#VALUE!</v>
      </c>
      <c r="M125" s="243" t="e">
        <f ca="1">IF(AND(INDEX(FlowCalConstA,MATCH(J124,FlowCalNumber,0),1,1)*L125^INDEX(FlowCalConstB,MATCH(J124,FlowCalNumber,0),1,1)&gt;INDEX(FlowCalLowSetting,MATCH(J124,FlowCalNumber,0),1,1), (INDEX(FlowCalConstA,MATCH(J124,FlowCalNumber,0),1,1)*L125^INDEX(FlowCalConstB,MATCH(J124,FlowCalNumber,0),1,1)&lt;INDEX(FlowCalHighSetting,MATCH(J124,FlowCalNumber,0),1,1))),INDEX(FlowCalConstA,MATCH(J124,FlowCalNumber,0),1,1)*L125^INDEX(FlowCalConstB,MATCH(J124,FlowCalNumber,0),1,1)," ")</f>
        <v>#N/A</v>
      </c>
      <c r="N125" s="33"/>
      <c r="O125" s="260">
        <f>O$17/100</f>
        <v>1</v>
      </c>
      <c r="P125" s="241" t="e">
        <f ca="1">O125*$H125</f>
        <v>#VALUE!</v>
      </c>
      <c r="Q125" s="243" t="e">
        <f ca="1">IF(AND(INDEX(FlowCalConstA,MATCH(N124,FlowCalNumber,0),1,1)*P125^INDEX(FlowCalConstB,MATCH(N124,FlowCalNumber,0),1,1)&gt;INDEX(FlowCalLowSetting,MATCH(N124,FlowCalNumber,0),1,1), (INDEX(FlowCalConstA,MATCH(N124,FlowCalNumber,0),1,1)*P125^INDEX(FlowCalConstB,MATCH(N124,FlowCalNumber,0),1,1)&lt;INDEX(FlowCalHighSetting,MATCH(N124,FlowCalNumber,0),1,1))),INDEX(FlowCalConstA,MATCH(N124,FlowCalNumber,0),1,1)*P125^INDEX(FlowCalConstB,MATCH(N124,FlowCalNumber,0),1,1)," ")</f>
        <v>#N/A</v>
      </c>
      <c r="R125" s="33"/>
      <c r="S125" s="260">
        <f>S$17/100</f>
        <v>1</v>
      </c>
      <c r="T125" s="241" t="e">
        <f ca="1">S125*$H125</f>
        <v>#VALUE!</v>
      </c>
      <c r="U125" s="244" t="e">
        <f ca="1">IF(AND(INDEX(FlowCalConstA,MATCH(R124,FlowCalNumber,0),1,1)*T125^INDEX(FlowCalConstB,MATCH(R124,FlowCalNumber,0),1,1)&gt;INDEX(FlowCalLowSetting,MATCH(R124,FlowCalNumber,0),1,1), (INDEX(FlowCalConstA,MATCH(R124,FlowCalNumber,0),1,1)*T125^INDEX(FlowCalConstB,MATCH(R124,FlowCalNumber,0),1,1)&lt;INDEX(FlowCalHighSetting,MATCH(R124,FlowCalNumber,0),1,1))),INDEX(FlowCalConstA,MATCH(R124,FlowCalNumber,0),1,1)*T125^INDEX(FlowCalConstB,MATCH(R124,FlowCalNumber,0),1,1)," ")</f>
        <v>#N/A</v>
      </c>
      <c r="V125" s="33"/>
      <c r="W125" s="260">
        <f>W$17/100</f>
        <v>0.1</v>
      </c>
      <c r="X125" s="241" t="e">
        <f ca="1">W125*$H125</f>
        <v>#VALUE!</v>
      </c>
      <c r="Y125" s="243" t="e">
        <f ca="1">IF(AND(INDEX(FlowCalConstA,MATCH(V124,FlowCalNumber,0),1,1)*X125^INDEX(FlowCalConstB,MATCH(V124,FlowCalNumber,0),1,1)&gt;INDEX(FlowCalLowSetting,MATCH(V124,FlowCalNumber,0),1,1), (INDEX(FlowCalConstA,MATCH(V124,FlowCalNumber,0),1,1)*X125^INDEX(FlowCalConstB,MATCH(V124,FlowCalNumber,0),1,1)&lt;INDEX(FlowCalHighSetting,MATCH(V124,FlowCalNumber,0),1,1))),INDEX(FlowCalConstA,MATCH(V124,FlowCalNumber,0),1,1)*X125^INDEX(FlowCalConstB,MATCH(V124,FlowCalNumber,0),1,1)," ")</f>
        <v>#N/A</v>
      </c>
      <c r="Z125" s="33"/>
      <c r="AA125" s="260">
        <f>AA$17/100</f>
        <v>0.9</v>
      </c>
      <c r="AB125" s="241" t="e">
        <f ca="1">AA125*$H125</f>
        <v>#VALUE!</v>
      </c>
      <c r="AC125" s="243" t="e">
        <f ca="1">IF(AND(INDEX(FlowCalConstA,MATCH(Z124,FlowCalNumber,0),1,1)*AB125^INDEX(FlowCalConstB,MATCH(Z124,FlowCalNumber,0),1,1)&gt;INDEX(FlowCalLowSetting,MATCH(Z124,FlowCalNumber,0),1,1), (INDEX(FlowCalConstA,MATCH(Z124,FlowCalNumber,0),1,1)*AB125^INDEX(FlowCalConstB,MATCH(Z124,FlowCalNumber,0),1,1)&lt;INDEX(FlowCalHighSetting,MATCH(Z124,FlowCalNumber,0),1,1))),INDEX(FlowCalConstA,MATCH(Z124,FlowCalNumber,0),1,1)*AB125^INDEX(FlowCalConstB,MATCH(Z124,FlowCalNumber,0),1,1)," ")</f>
        <v>#N/A</v>
      </c>
      <c r="AD125" s="33"/>
      <c r="AE125" s="260">
        <f>AE$17/100</f>
        <v>0.1</v>
      </c>
      <c r="AF125" s="241" t="e">
        <f ca="1">AE125*$H125</f>
        <v>#VALUE!</v>
      </c>
      <c r="AG125" s="243" t="e">
        <f ca="1">IF(AND(INDEX(FlowCalConstA,MATCH(AD124,FlowCalNumber,0),1,1)*AF125^INDEX(FlowCalConstB,MATCH(AD124,FlowCalNumber,0),1,1)&gt;INDEX(FlowCalLowSetting,MATCH(AD124,FlowCalNumber,0),1,1), (INDEX(FlowCalConstA,MATCH(AD124,FlowCalNumber,0),1,1)*AF125^INDEX(FlowCalConstB,MATCH(AD124,FlowCalNumber,0),1,1)&lt;INDEX(FlowCalHighSetting,MATCH(AD124,FlowCalNumber,0),1,1))),INDEX(FlowCalConstA,MATCH(AD124,FlowCalNumber,0),1,1)*AF125^INDEX(FlowCalConstB,MATCH(AD124,FlowCalNumber,0),1,1)," ")</f>
        <v>#N/A</v>
      </c>
      <c r="AH125" s="33"/>
      <c r="AI125" s="260">
        <f>AI$17/100</f>
        <v>0.9</v>
      </c>
      <c r="AJ125" s="241" t="e">
        <f ca="1">AI125*$H125</f>
        <v>#VALUE!</v>
      </c>
      <c r="AK125" s="243" t="e">
        <f ca="1">IF(AND(INDEX(FlowCalConstA,MATCH(AH124,FlowCalNumber,0),1,1)*AJ125^INDEX(FlowCalConstB,MATCH(AH124,FlowCalNumber,0),1,1)&gt;INDEX(FlowCalLowSetting,MATCH(AH124,FlowCalNumber,0),1,1), (INDEX(FlowCalConstA,MATCH(AH124,FlowCalNumber,0),1,1)*AJ125^INDEX(FlowCalConstB,MATCH(AH124,FlowCalNumber,0),1,1)&lt;INDEX(FlowCalHighSetting,MATCH(AH124,FlowCalNumber,0),1,1))),INDEX(FlowCalConstA,MATCH(AH124,FlowCalNumber,0),1,1)*AJ125^INDEX(FlowCalConstB,MATCH(AH124,FlowCalNumber,0),1,1)," ")</f>
        <v>#N/A</v>
      </c>
      <c r="AL125" s="33"/>
      <c r="AM125" s="260"/>
      <c r="AN125" s="241"/>
      <c r="AO125" s="244"/>
      <c r="AQ125" s="260"/>
      <c r="AR125" s="241"/>
      <c r="AS125" s="244"/>
      <c r="AT125" s="33"/>
      <c r="AU125" s="260"/>
      <c r="AV125" s="241"/>
      <c r="AW125" s="244"/>
      <c r="AX125" s="33"/>
      <c r="AY125" s="260"/>
      <c r="AZ125" s="241"/>
      <c r="BA125" s="244"/>
      <c r="BB125" s="33"/>
      <c r="BC125" s="260"/>
      <c r="BD125" s="241"/>
      <c r="BE125" s="244"/>
      <c r="BF125" s="33"/>
      <c r="BG125" s="260"/>
      <c r="BH125" s="241"/>
      <c r="BI125" s="244"/>
      <c r="BJ125" s="33"/>
      <c r="BK125" s="260"/>
      <c r="BL125" s="241"/>
      <c r="BM125" s="244"/>
      <c r="BN125" s="33"/>
      <c r="BO125" s="260"/>
      <c r="BP125" s="241"/>
      <c r="BQ125" s="244"/>
      <c r="BR125" s="33"/>
      <c r="BS125" s="260"/>
      <c r="BT125" s="241"/>
      <c r="BU125" s="244"/>
      <c r="BV125" s="33"/>
      <c r="BW125" s="260"/>
      <c r="BX125" s="241"/>
      <c r="BY125" s="244"/>
      <c r="BZ125" s="33"/>
      <c r="CA125" s="260"/>
      <c r="CB125" s="241"/>
      <c r="CC125" s="244"/>
      <c r="CD125" s="243"/>
      <c r="CE125" s="243"/>
      <c r="CF125" s="243"/>
      <c r="CG125" s="243"/>
      <c r="CH125" s="243"/>
      <c r="CI125" s="243"/>
      <c r="CJ125" s="243"/>
      <c r="CK125" s="243"/>
      <c r="CL125" s="243"/>
      <c r="CM125" s="243"/>
      <c r="CN125" s="243"/>
      <c r="CO125" s="243"/>
      <c r="CP125" s="243"/>
      <c r="CQ125" s="243"/>
      <c r="CR125" s="243"/>
      <c r="CS125" s="243"/>
      <c r="CT125" s="243"/>
      <c r="CU125" s="243"/>
      <c r="CV125" s="243"/>
      <c r="CW125" s="243"/>
      <c r="CX125" s="243"/>
      <c r="CY125" s="243"/>
      <c r="CZ125" s="243"/>
      <c r="DA125" s="243"/>
      <c r="DB125" s="243"/>
      <c r="DC125" s="243"/>
      <c r="DD125" s="243"/>
      <c r="DE125" s="243"/>
      <c r="DF125" s="243"/>
      <c r="DG125" s="243"/>
      <c r="DH125" s="243"/>
      <c r="DI125" s="243"/>
      <c r="DJ125" s="243"/>
      <c r="DK125" s="243"/>
      <c r="DM125" s="259"/>
      <c r="DO125" s="243"/>
      <c r="DQ125" s="259"/>
      <c r="DS125" s="243"/>
      <c r="DU125" s="259"/>
      <c r="DW125" s="243"/>
      <c r="DY125" s="260"/>
      <c r="EA125" s="243"/>
    </row>
    <row r="126" spans="1:131">
      <c r="A126" s="20"/>
      <c r="B126" s="124" t="str">
        <f t="shared" si="118"/>
        <v/>
      </c>
      <c r="C126" s="235"/>
      <c r="D126" s="24">
        <f>'1% Wind'!$M$83</f>
        <v>23.5</v>
      </c>
      <c r="E126" s="90"/>
      <c r="F126" s="90"/>
      <c r="G126" s="79">
        <f ca="1">IF(I124=0.9743,$G125,MAX(G125/D125*D126,2))</f>
        <v>6.001707317073171</v>
      </c>
      <c r="H126" s="121" t="e">
        <f t="shared" ca="1" si="119"/>
        <v>#VALUE!</v>
      </c>
      <c r="J126" s="33"/>
      <c r="K126" s="242">
        <f t="shared" ref="K126:K139" si="120">K125</f>
        <v>1</v>
      </c>
      <c r="L126" s="241" t="e">
        <f t="shared" ref="L126:L139" ca="1" si="121">K126*$H126</f>
        <v>#VALUE!</v>
      </c>
      <c r="M126" s="243" t="e">
        <f ca="1">IF(AND(INDEX(FlowCalConstA,MATCH(J124,FlowCalNumber,0),1,1)*L126^INDEX(FlowCalConstB,MATCH(J124,FlowCalNumber,0),1,1)&gt;INDEX(FlowCalLowSetting,MATCH(J124,FlowCalNumber,0),1,1), (INDEX(FlowCalConstA,MATCH(J124,FlowCalNumber,0),1,1)*L126^INDEX(FlowCalConstB,MATCH(J124,FlowCalNumber,0),1,1)&lt;INDEX(FlowCalHighSetting,MATCH(J124,FlowCalNumber,0),1,1))),INDEX(FlowCalConstA,MATCH(J124,FlowCalNumber,0),1,1)*L126^INDEX(FlowCalConstB,MATCH(J124,FlowCalNumber,0),1,1)," ")</f>
        <v>#N/A</v>
      </c>
      <c r="N126" s="33"/>
      <c r="O126" s="242">
        <f t="shared" ref="O126:O139" si="122">O125</f>
        <v>1</v>
      </c>
      <c r="P126" s="241" t="e">
        <f t="shared" ref="P126:P139" ca="1" si="123">O126*$H126</f>
        <v>#VALUE!</v>
      </c>
      <c r="Q126" s="243" t="e">
        <f ca="1">IF(AND(INDEX(FlowCalConstA,MATCH(N124,FlowCalNumber,0),1,1)*P126^INDEX(FlowCalConstB,MATCH(N124,FlowCalNumber,0),1,1)&gt;INDEX(FlowCalLowSetting,MATCH(N124,FlowCalNumber,0),1,1), (INDEX(FlowCalConstA,MATCH(N124,FlowCalNumber,0),1,1)*P126^INDEX(FlowCalConstB,MATCH(N124,FlowCalNumber,0),1,1)&lt;INDEX(FlowCalHighSetting,MATCH(N124,FlowCalNumber,0),1,1))),INDEX(FlowCalConstA,MATCH(N124,FlowCalNumber,0),1,1)*P126^INDEX(FlowCalConstB,MATCH(N124,FlowCalNumber,0),1,1)," ")</f>
        <v>#N/A</v>
      </c>
      <c r="R126" s="33"/>
      <c r="S126" s="242">
        <f t="shared" ref="S126:S139" si="124">S125</f>
        <v>1</v>
      </c>
      <c r="T126" s="241" t="e">
        <f t="shared" ref="T126:T139" ca="1" si="125">S126*$H126</f>
        <v>#VALUE!</v>
      </c>
      <c r="U126" s="244" t="e">
        <f ca="1">IF(AND(INDEX(FlowCalConstA,MATCH(R124,FlowCalNumber,0),1,1)*T126^INDEX(FlowCalConstB,MATCH(R124,FlowCalNumber,0),1,1)&gt;INDEX(FlowCalLowSetting,MATCH(R124,FlowCalNumber,0),1,1), (INDEX(FlowCalConstA,MATCH(R124,FlowCalNumber,0),1,1)*T126^INDEX(FlowCalConstB,MATCH(R124,FlowCalNumber,0),1,1)&lt;INDEX(FlowCalHighSetting,MATCH(R124,FlowCalNumber,0),1,1))),INDEX(FlowCalConstA,MATCH(R124,FlowCalNumber,0),1,1)*T126^INDEX(FlowCalConstB,MATCH(R124,FlowCalNumber,0),1,1)," ")</f>
        <v>#N/A</v>
      </c>
      <c r="V126" s="33"/>
      <c r="W126" s="242">
        <f t="shared" ref="W126:W139" si="126">W125</f>
        <v>0.1</v>
      </c>
      <c r="X126" s="241" t="e">
        <f t="shared" ref="X126:X139" ca="1" si="127">W126*$H126</f>
        <v>#VALUE!</v>
      </c>
      <c r="Y126" s="243" t="e">
        <f ca="1">IF(AND(INDEX(FlowCalConstA,MATCH(V124,FlowCalNumber,0),1,1)*X126^INDEX(FlowCalConstB,MATCH(V124,FlowCalNumber,0),1,1)&gt;INDEX(FlowCalLowSetting,MATCH(V124,FlowCalNumber,0),1,1), (INDEX(FlowCalConstA,MATCH(V124,FlowCalNumber,0),1,1)*X126^INDEX(FlowCalConstB,MATCH(V124,FlowCalNumber,0),1,1)&lt;INDEX(FlowCalHighSetting,MATCH(V124,FlowCalNumber,0),1,1))),INDEX(FlowCalConstA,MATCH(V124,FlowCalNumber,0),1,1)*X126^INDEX(FlowCalConstB,MATCH(V124,FlowCalNumber,0),1,1)," ")</f>
        <v>#N/A</v>
      </c>
      <c r="Z126" s="33"/>
      <c r="AA126" s="242">
        <f t="shared" ref="AA126:AA139" si="128">AA125</f>
        <v>0.9</v>
      </c>
      <c r="AB126" s="241" t="e">
        <f t="shared" ref="AB126:AB139" ca="1" si="129">AA126*$H126</f>
        <v>#VALUE!</v>
      </c>
      <c r="AC126" s="243" t="e">
        <f ca="1">IF(AND(INDEX(FlowCalConstA,MATCH(Z124,FlowCalNumber,0),1,1)*AB126^INDEX(FlowCalConstB,MATCH(Z124,FlowCalNumber,0),1,1)&gt;INDEX(FlowCalLowSetting,MATCH(Z124,FlowCalNumber,0),1,1), (INDEX(FlowCalConstA,MATCH(Z124,FlowCalNumber,0),1,1)*AB126^INDEX(FlowCalConstB,MATCH(Z124,FlowCalNumber,0),1,1)&lt;INDEX(FlowCalHighSetting,MATCH(Z124,FlowCalNumber,0),1,1))),INDEX(FlowCalConstA,MATCH(Z124,FlowCalNumber,0),1,1)*AB126^INDEX(FlowCalConstB,MATCH(Z124,FlowCalNumber,0),1,1)," ")</f>
        <v>#N/A</v>
      </c>
      <c r="AD126" s="33"/>
      <c r="AE126" s="242">
        <f t="shared" ref="AE126:AE139" si="130">AE125</f>
        <v>0.1</v>
      </c>
      <c r="AF126" s="241" t="e">
        <f t="shared" ref="AF126:AF139" ca="1" si="131">AE126*$H126</f>
        <v>#VALUE!</v>
      </c>
      <c r="AG126" s="243" t="e">
        <f ca="1">IF(AND(INDEX(FlowCalConstA,MATCH(AD124,FlowCalNumber,0),1,1)*AF126^INDEX(FlowCalConstB,MATCH(AD124,FlowCalNumber,0),1,1)&gt;INDEX(FlowCalLowSetting,MATCH(AD124,FlowCalNumber,0),1,1), (INDEX(FlowCalConstA,MATCH(AD124,FlowCalNumber,0),1,1)*AF126^INDEX(FlowCalConstB,MATCH(AD124,FlowCalNumber,0),1,1)&lt;INDEX(FlowCalHighSetting,MATCH(AD124,FlowCalNumber,0),1,1))),INDEX(FlowCalConstA,MATCH(AD124,FlowCalNumber,0),1,1)*AF126^INDEX(FlowCalConstB,MATCH(AD124,FlowCalNumber,0),1,1)," ")</f>
        <v>#N/A</v>
      </c>
      <c r="AH126" s="33"/>
      <c r="AI126" s="242">
        <f t="shared" ref="AI126:AI139" si="132">AI125</f>
        <v>0.9</v>
      </c>
      <c r="AJ126" s="241" t="e">
        <f t="shared" ref="AJ126:AJ139" ca="1" si="133">AI126*$H126</f>
        <v>#VALUE!</v>
      </c>
      <c r="AK126" s="243" t="e">
        <f ca="1">IF(AND(INDEX(FlowCalConstA,MATCH(AH124,FlowCalNumber,0),1,1)*AJ126^INDEX(FlowCalConstB,MATCH(AH124,FlowCalNumber,0),1,1)&gt;INDEX(FlowCalLowSetting,MATCH(AH124,FlowCalNumber,0),1,1), (INDEX(FlowCalConstA,MATCH(AH124,FlowCalNumber,0),1,1)*AJ126^INDEX(FlowCalConstB,MATCH(AH124,FlowCalNumber,0),1,1)&lt;INDEX(FlowCalHighSetting,MATCH(AH124,FlowCalNumber,0),1,1))),INDEX(FlowCalConstA,MATCH(AH124,FlowCalNumber,0),1,1)*AJ126^INDEX(FlowCalConstB,MATCH(AH124,FlowCalNumber,0),1,1)," ")</f>
        <v>#N/A</v>
      </c>
      <c r="AL126" s="33"/>
      <c r="AM126" s="242"/>
      <c r="AN126" s="241"/>
      <c r="AO126" s="244"/>
      <c r="AQ126" s="242"/>
      <c r="AR126" s="241"/>
      <c r="AS126" s="244"/>
      <c r="AT126" s="33"/>
      <c r="AU126" s="242"/>
      <c r="AV126" s="241"/>
      <c r="AW126" s="244"/>
      <c r="AX126" s="33"/>
      <c r="AY126" s="242"/>
      <c r="AZ126" s="241"/>
      <c r="BA126" s="244"/>
      <c r="BB126" s="33"/>
      <c r="BC126" s="242"/>
      <c r="BD126" s="241"/>
      <c r="BE126" s="244"/>
      <c r="BF126" s="33"/>
      <c r="BG126" s="242"/>
      <c r="BH126" s="241"/>
      <c r="BI126" s="244"/>
      <c r="BJ126" s="33"/>
      <c r="BK126" s="242"/>
      <c r="BL126" s="241"/>
      <c r="BM126" s="244"/>
      <c r="BN126" s="33"/>
      <c r="BO126" s="242"/>
      <c r="BP126" s="241"/>
      <c r="BQ126" s="244"/>
      <c r="BR126" s="33"/>
      <c r="BS126" s="242"/>
      <c r="BT126" s="241"/>
      <c r="BU126" s="244"/>
      <c r="BV126" s="33"/>
      <c r="BW126" s="242"/>
      <c r="BX126" s="241"/>
      <c r="BY126" s="244"/>
      <c r="BZ126" s="33"/>
      <c r="CA126" s="242"/>
      <c r="CB126" s="241"/>
      <c r="CC126" s="244"/>
      <c r="CD126" s="243"/>
      <c r="CE126" s="243"/>
      <c r="CF126" s="243"/>
      <c r="CG126" s="243"/>
      <c r="CH126" s="243"/>
      <c r="CI126" s="243"/>
      <c r="CJ126" s="243"/>
      <c r="CK126" s="243"/>
      <c r="CL126" s="243"/>
      <c r="CM126" s="243"/>
      <c r="CN126" s="243"/>
      <c r="CO126" s="243"/>
      <c r="CP126" s="243"/>
      <c r="CQ126" s="243"/>
      <c r="CR126" s="243"/>
      <c r="CS126" s="243"/>
      <c r="CT126" s="243"/>
      <c r="CU126" s="243"/>
      <c r="CV126" s="243"/>
      <c r="CW126" s="243"/>
      <c r="CX126" s="243"/>
      <c r="CY126" s="243"/>
      <c r="CZ126" s="243"/>
      <c r="DA126" s="243"/>
      <c r="DB126" s="243"/>
      <c r="DC126" s="243"/>
      <c r="DD126" s="243"/>
      <c r="DE126" s="243"/>
      <c r="DF126" s="243"/>
      <c r="DG126" s="243"/>
      <c r="DH126" s="243"/>
      <c r="DI126" s="243"/>
      <c r="DJ126" s="243"/>
      <c r="DK126" s="243"/>
      <c r="DM126" s="242"/>
      <c r="DO126" s="243"/>
      <c r="DQ126" s="242"/>
      <c r="DS126" s="243"/>
      <c r="DU126" s="242"/>
      <c r="DW126" s="243"/>
      <c r="DY126" s="242"/>
      <c r="EA126" s="243"/>
    </row>
    <row r="127" spans="1:131">
      <c r="A127" s="20"/>
      <c r="B127" s="124" t="str">
        <f t="shared" si="118"/>
        <v/>
      </c>
      <c r="C127" s="235"/>
      <c r="D127" s="24">
        <f>'1% Wind'!$M$84</f>
        <v>20.5</v>
      </c>
      <c r="E127" s="90"/>
      <c r="F127" s="90"/>
      <c r="G127" s="79">
        <f ca="1">IF(I124=0.9743,$G126,MAX(G126/D126*D127,2))</f>
        <v>6.001707317073171</v>
      </c>
      <c r="H127" s="121" t="e">
        <f t="shared" ca="1" si="119"/>
        <v>#VALUE!</v>
      </c>
      <c r="J127" s="33"/>
      <c r="K127" s="242">
        <f t="shared" si="120"/>
        <v>1</v>
      </c>
      <c r="L127" s="241" t="e">
        <f t="shared" ca="1" si="121"/>
        <v>#VALUE!</v>
      </c>
      <c r="M127" s="243" t="e">
        <f ca="1">IF(AND(INDEX(FlowCalConstA,MATCH(J124,FlowCalNumber,0),1,1)*L127^INDEX(FlowCalConstB,MATCH(J124,FlowCalNumber,0),1,1)&gt;INDEX(FlowCalLowSetting,MATCH(J124,FlowCalNumber,0),1,1), (INDEX(FlowCalConstA,MATCH(J124,FlowCalNumber,0),1,1)*L127^INDEX(FlowCalConstB,MATCH(J124,FlowCalNumber,0),1,1)&lt;INDEX(FlowCalHighSetting,MATCH(J124,FlowCalNumber,0),1,1))),INDEX(FlowCalConstA,MATCH(J124,FlowCalNumber,0),1,1)*L127^INDEX(FlowCalConstB,MATCH(J124,FlowCalNumber,0),1,1)," ")</f>
        <v>#N/A</v>
      </c>
      <c r="N127" s="33"/>
      <c r="O127" s="242">
        <f t="shared" si="122"/>
        <v>1</v>
      </c>
      <c r="P127" s="241" t="e">
        <f t="shared" ca="1" si="123"/>
        <v>#VALUE!</v>
      </c>
      <c r="Q127" s="243" t="e">
        <f ca="1">IF(AND(INDEX(FlowCalConstA,MATCH(N124,FlowCalNumber,0),1,1)*P127^INDEX(FlowCalConstB,MATCH(N124,FlowCalNumber,0),1,1)&gt;INDEX(FlowCalLowSetting,MATCH(N124,FlowCalNumber,0),1,1), (INDEX(FlowCalConstA,MATCH(N124,FlowCalNumber,0),1,1)*P127^INDEX(FlowCalConstB,MATCH(N124,FlowCalNumber,0),1,1)&lt;INDEX(FlowCalHighSetting,MATCH(N124,FlowCalNumber,0),1,1))),INDEX(FlowCalConstA,MATCH(N124,FlowCalNumber,0),1,1)*P127^INDEX(FlowCalConstB,MATCH(N124,FlowCalNumber,0),1,1)," ")</f>
        <v>#N/A</v>
      </c>
      <c r="R127" s="33"/>
      <c r="S127" s="242">
        <f t="shared" si="124"/>
        <v>1</v>
      </c>
      <c r="T127" s="241" t="e">
        <f t="shared" ca="1" si="125"/>
        <v>#VALUE!</v>
      </c>
      <c r="U127" s="244" t="e">
        <f ca="1">IF(AND(INDEX(FlowCalConstA,MATCH(R124,FlowCalNumber,0),1,1)*T127^INDEX(FlowCalConstB,MATCH(R124,FlowCalNumber,0),1,1)&gt;INDEX(FlowCalLowSetting,MATCH(R124,FlowCalNumber,0),1,1), (INDEX(FlowCalConstA,MATCH(R124,FlowCalNumber,0),1,1)*T127^INDEX(FlowCalConstB,MATCH(R124,FlowCalNumber,0),1,1)&lt;INDEX(FlowCalHighSetting,MATCH(R124,FlowCalNumber,0),1,1))),INDEX(FlowCalConstA,MATCH(R124,FlowCalNumber,0),1,1)*T127^INDEX(FlowCalConstB,MATCH(R124,FlowCalNumber,0),1,1)," ")</f>
        <v>#N/A</v>
      </c>
      <c r="V127" s="33"/>
      <c r="W127" s="242">
        <f t="shared" si="126"/>
        <v>0.1</v>
      </c>
      <c r="X127" s="241" t="e">
        <f t="shared" ca="1" si="127"/>
        <v>#VALUE!</v>
      </c>
      <c r="Y127" s="243" t="e">
        <f ca="1">IF(AND(INDEX(FlowCalConstA,MATCH(V124,FlowCalNumber,0),1,1)*X127^INDEX(FlowCalConstB,MATCH(V124,FlowCalNumber,0),1,1)&gt;INDEX(FlowCalLowSetting,MATCH(V124,FlowCalNumber,0),1,1), (INDEX(FlowCalConstA,MATCH(V124,FlowCalNumber,0),1,1)*X127^INDEX(FlowCalConstB,MATCH(V124,FlowCalNumber,0),1,1)&lt;INDEX(FlowCalHighSetting,MATCH(V124,FlowCalNumber,0),1,1))),INDEX(FlowCalConstA,MATCH(V124,FlowCalNumber,0),1,1)*X127^INDEX(FlowCalConstB,MATCH(V124,FlowCalNumber,0),1,1)," ")</f>
        <v>#N/A</v>
      </c>
      <c r="Z127" s="33"/>
      <c r="AA127" s="242">
        <f t="shared" si="128"/>
        <v>0.9</v>
      </c>
      <c r="AB127" s="241" t="e">
        <f t="shared" ca="1" si="129"/>
        <v>#VALUE!</v>
      </c>
      <c r="AC127" s="243" t="e">
        <f ca="1">IF(AND(INDEX(FlowCalConstA,MATCH(Z124,FlowCalNumber,0),1,1)*AB127^INDEX(FlowCalConstB,MATCH(Z124,FlowCalNumber,0),1,1)&gt;INDEX(FlowCalLowSetting,MATCH(Z124,FlowCalNumber,0),1,1), (INDEX(FlowCalConstA,MATCH(Z124,FlowCalNumber,0),1,1)*AB127^INDEX(FlowCalConstB,MATCH(Z124,FlowCalNumber,0),1,1)&lt;INDEX(FlowCalHighSetting,MATCH(Z124,FlowCalNumber,0),1,1))),INDEX(FlowCalConstA,MATCH(Z124,FlowCalNumber,0),1,1)*AB127^INDEX(FlowCalConstB,MATCH(Z124,FlowCalNumber,0),1,1)," ")</f>
        <v>#N/A</v>
      </c>
      <c r="AD127" s="33"/>
      <c r="AE127" s="242">
        <f t="shared" si="130"/>
        <v>0.1</v>
      </c>
      <c r="AF127" s="241" t="e">
        <f t="shared" ca="1" si="131"/>
        <v>#VALUE!</v>
      </c>
      <c r="AG127" s="243" t="e">
        <f ca="1">IF(AND(INDEX(FlowCalConstA,MATCH(AD124,FlowCalNumber,0),1,1)*AF127^INDEX(FlowCalConstB,MATCH(AD124,FlowCalNumber,0),1,1)&gt;INDEX(FlowCalLowSetting,MATCH(AD124,FlowCalNumber,0),1,1), (INDEX(FlowCalConstA,MATCH(AD124,FlowCalNumber,0),1,1)*AF127^INDEX(FlowCalConstB,MATCH(AD124,FlowCalNumber,0),1,1)&lt;INDEX(FlowCalHighSetting,MATCH(AD124,FlowCalNumber,0),1,1))),INDEX(FlowCalConstA,MATCH(AD124,FlowCalNumber,0),1,1)*AF127^INDEX(FlowCalConstB,MATCH(AD124,FlowCalNumber,0),1,1)," ")</f>
        <v>#N/A</v>
      </c>
      <c r="AH127" s="33"/>
      <c r="AI127" s="242">
        <f t="shared" si="132"/>
        <v>0.9</v>
      </c>
      <c r="AJ127" s="241" t="e">
        <f t="shared" ca="1" si="133"/>
        <v>#VALUE!</v>
      </c>
      <c r="AK127" s="243" t="e">
        <f ca="1">IF(AND(INDEX(FlowCalConstA,MATCH(AH124,FlowCalNumber,0),1,1)*AJ127^INDEX(FlowCalConstB,MATCH(AH124,FlowCalNumber,0),1,1)&gt;INDEX(FlowCalLowSetting,MATCH(AH124,FlowCalNumber,0),1,1), (INDEX(FlowCalConstA,MATCH(AH124,FlowCalNumber,0),1,1)*AJ127^INDEX(FlowCalConstB,MATCH(AH124,FlowCalNumber,0),1,1)&lt;INDEX(FlowCalHighSetting,MATCH(AH124,FlowCalNumber,0),1,1))),INDEX(FlowCalConstA,MATCH(AH124,FlowCalNumber,0),1,1)*AJ127^INDEX(FlowCalConstB,MATCH(AH124,FlowCalNumber,0),1,1)," ")</f>
        <v>#N/A</v>
      </c>
      <c r="AL127" s="33"/>
      <c r="AM127" s="242"/>
      <c r="AN127" s="241"/>
      <c r="AO127" s="244"/>
      <c r="AQ127" s="242"/>
      <c r="AR127" s="241"/>
      <c r="AS127" s="244"/>
      <c r="AT127" s="33"/>
      <c r="AU127" s="242"/>
      <c r="AV127" s="241"/>
      <c r="AW127" s="244"/>
      <c r="AX127" s="33"/>
      <c r="AY127" s="242"/>
      <c r="AZ127" s="241"/>
      <c r="BA127" s="244"/>
      <c r="BB127" s="33"/>
      <c r="BC127" s="242"/>
      <c r="BD127" s="241"/>
      <c r="BE127" s="244"/>
      <c r="BF127" s="33"/>
      <c r="BG127" s="242"/>
      <c r="BH127" s="241"/>
      <c r="BI127" s="244"/>
      <c r="BJ127" s="33"/>
      <c r="BK127" s="242"/>
      <c r="BL127" s="241"/>
      <c r="BM127" s="244"/>
      <c r="BN127" s="33"/>
      <c r="BO127" s="242"/>
      <c r="BP127" s="241"/>
      <c r="BQ127" s="244"/>
      <c r="BR127" s="33"/>
      <c r="BS127" s="242"/>
      <c r="BT127" s="241"/>
      <c r="BU127" s="244"/>
      <c r="BV127" s="33"/>
      <c r="BW127" s="242"/>
      <c r="BX127" s="241"/>
      <c r="BY127" s="244"/>
      <c r="BZ127" s="33"/>
      <c r="CA127" s="242"/>
      <c r="CB127" s="241"/>
      <c r="CC127" s="244"/>
      <c r="CD127" s="243"/>
      <c r="CE127" s="243"/>
      <c r="CF127" s="243"/>
      <c r="CG127" s="243"/>
      <c r="CH127" s="243"/>
      <c r="CI127" s="243"/>
      <c r="CJ127" s="243"/>
      <c r="CK127" s="243"/>
      <c r="CL127" s="243"/>
      <c r="CM127" s="243"/>
      <c r="CN127" s="243"/>
      <c r="CO127" s="243"/>
      <c r="CP127" s="243"/>
      <c r="CQ127" s="243"/>
      <c r="CR127" s="243"/>
      <c r="CS127" s="243"/>
      <c r="CT127" s="243"/>
      <c r="CU127" s="243"/>
      <c r="CV127" s="243"/>
      <c r="CW127" s="243"/>
      <c r="CX127" s="243"/>
      <c r="CY127" s="243"/>
      <c r="CZ127" s="243"/>
      <c r="DA127" s="243"/>
      <c r="DB127" s="243"/>
      <c r="DC127" s="243"/>
      <c r="DD127" s="243"/>
      <c r="DE127" s="243"/>
      <c r="DF127" s="243"/>
      <c r="DG127" s="243"/>
      <c r="DH127" s="243"/>
      <c r="DI127" s="243"/>
      <c r="DJ127" s="243"/>
      <c r="DK127" s="243"/>
      <c r="DM127" s="242"/>
      <c r="DO127" s="243"/>
      <c r="DQ127" s="242"/>
      <c r="DS127" s="243"/>
      <c r="DU127" s="242"/>
      <c r="DW127" s="243"/>
      <c r="DY127" s="242"/>
      <c r="EA127" s="243"/>
    </row>
    <row r="128" spans="1:131">
      <c r="A128" s="20"/>
      <c r="B128" s="124" t="str">
        <f t="shared" si="118"/>
        <v/>
      </c>
      <c r="C128" s="235"/>
      <c r="D128" s="24">
        <f>'1% Wind'!$M$85</f>
        <v>17.8</v>
      </c>
      <c r="E128" s="90"/>
      <c r="F128" s="90"/>
      <c r="G128" s="79">
        <f ca="1">IF(I124=0.9743,$G127,MAX(G127/D127*D128,2))</f>
        <v>6.001707317073171</v>
      </c>
      <c r="H128" s="121" t="e">
        <f t="shared" ca="1" si="119"/>
        <v>#VALUE!</v>
      </c>
      <c r="J128" s="33"/>
      <c r="K128" s="242">
        <f t="shared" si="120"/>
        <v>1</v>
      </c>
      <c r="L128" s="241" t="e">
        <f t="shared" ca="1" si="121"/>
        <v>#VALUE!</v>
      </c>
      <c r="M128" s="243" t="e">
        <f ca="1">IF(AND(INDEX(FlowCalConstA,MATCH(J124,FlowCalNumber,0),1,1)*L128^INDEX(FlowCalConstB,MATCH(J124,FlowCalNumber,0),1,1)&gt;INDEX(FlowCalLowSetting,MATCH(J124,FlowCalNumber,0),1,1), (INDEX(FlowCalConstA,MATCH(J124,FlowCalNumber,0),1,1)*L128^INDEX(FlowCalConstB,MATCH(J124,FlowCalNumber,0),1,1)&lt;INDEX(FlowCalHighSetting,MATCH(J124,FlowCalNumber,0),1,1))),INDEX(FlowCalConstA,MATCH(J124,FlowCalNumber,0),1,1)*L128^INDEX(FlowCalConstB,MATCH(J124,FlowCalNumber,0),1,1)," ")</f>
        <v>#N/A</v>
      </c>
      <c r="N128" s="33"/>
      <c r="O128" s="242">
        <f t="shared" si="122"/>
        <v>1</v>
      </c>
      <c r="P128" s="241" t="e">
        <f t="shared" ca="1" si="123"/>
        <v>#VALUE!</v>
      </c>
      <c r="Q128" s="243" t="e">
        <f ca="1">IF(AND(INDEX(FlowCalConstA,MATCH(N124,FlowCalNumber,0),1,1)*P128^INDEX(FlowCalConstB,MATCH(N124,FlowCalNumber,0),1,1)&gt;INDEX(FlowCalLowSetting,MATCH(N124,FlowCalNumber,0),1,1), (INDEX(FlowCalConstA,MATCH(N124,FlowCalNumber,0),1,1)*P128^INDEX(FlowCalConstB,MATCH(N124,FlowCalNumber,0),1,1)&lt;INDEX(FlowCalHighSetting,MATCH(N124,FlowCalNumber,0),1,1))),INDEX(FlowCalConstA,MATCH(N124,FlowCalNumber,0),1,1)*P128^INDEX(FlowCalConstB,MATCH(N124,FlowCalNumber,0),1,1)," ")</f>
        <v>#N/A</v>
      </c>
      <c r="R128" s="33"/>
      <c r="S128" s="242">
        <f t="shared" si="124"/>
        <v>1</v>
      </c>
      <c r="T128" s="241" t="e">
        <f t="shared" ca="1" si="125"/>
        <v>#VALUE!</v>
      </c>
      <c r="U128" s="244" t="e">
        <f ca="1">IF(AND(INDEX(FlowCalConstA,MATCH(R124,FlowCalNumber,0),1,1)*T128^INDEX(FlowCalConstB,MATCH(R124,FlowCalNumber,0),1,1)&gt;INDEX(FlowCalLowSetting,MATCH(R124,FlowCalNumber,0),1,1), (INDEX(FlowCalConstA,MATCH(R124,FlowCalNumber,0),1,1)*T128^INDEX(FlowCalConstB,MATCH(R124,FlowCalNumber,0),1,1)&lt;INDEX(FlowCalHighSetting,MATCH(R124,FlowCalNumber,0),1,1))),INDEX(FlowCalConstA,MATCH(R124,FlowCalNumber,0),1,1)*T128^INDEX(FlowCalConstB,MATCH(R124,FlowCalNumber,0),1,1)," ")</f>
        <v>#N/A</v>
      </c>
      <c r="V128" s="33"/>
      <c r="W128" s="242">
        <f t="shared" si="126"/>
        <v>0.1</v>
      </c>
      <c r="X128" s="241" t="e">
        <f t="shared" ca="1" si="127"/>
        <v>#VALUE!</v>
      </c>
      <c r="Y128" s="243" t="e">
        <f ca="1">IF(AND(INDEX(FlowCalConstA,MATCH(V124,FlowCalNumber,0),1,1)*X128^INDEX(FlowCalConstB,MATCH(V124,FlowCalNumber,0),1,1)&gt;INDEX(FlowCalLowSetting,MATCH(V124,FlowCalNumber,0),1,1), (INDEX(FlowCalConstA,MATCH(V124,FlowCalNumber,0),1,1)*X128^INDEX(FlowCalConstB,MATCH(V124,FlowCalNumber,0),1,1)&lt;INDEX(FlowCalHighSetting,MATCH(V124,FlowCalNumber,0),1,1))),INDEX(FlowCalConstA,MATCH(V124,FlowCalNumber,0),1,1)*X128^INDEX(FlowCalConstB,MATCH(V124,FlowCalNumber,0),1,1)," ")</f>
        <v>#N/A</v>
      </c>
      <c r="Z128" s="33"/>
      <c r="AA128" s="242">
        <f t="shared" si="128"/>
        <v>0.9</v>
      </c>
      <c r="AB128" s="241" t="e">
        <f t="shared" ca="1" si="129"/>
        <v>#VALUE!</v>
      </c>
      <c r="AC128" s="243" t="e">
        <f ca="1">IF(AND(INDEX(FlowCalConstA,MATCH(Z124,FlowCalNumber,0),1,1)*AB128^INDEX(FlowCalConstB,MATCH(Z124,FlowCalNumber,0),1,1)&gt;INDEX(FlowCalLowSetting,MATCH(Z124,FlowCalNumber,0),1,1), (INDEX(FlowCalConstA,MATCH(Z124,FlowCalNumber,0),1,1)*AB128^INDEX(FlowCalConstB,MATCH(Z124,FlowCalNumber,0),1,1)&lt;INDEX(FlowCalHighSetting,MATCH(Z124,FlowCalNumber,0),1,1))),INDEX(FlowCalConstA,MATCH(Z124,FlowCalNumber,0),1,1)*AB128^INDEX(FlowCalConstB,MATCH(Z124,FlowCalNumber,0),1,1)," ")</f>
        <v>#N/A</v>
      </c>
      <c r="AD128" s="33"/>
      <c r="AE128" s="242">
        <f t="shared" si="130"/>
        <v>0.1</v>
      </c>
      <c r="AF128" s="241" t="e">
        <f t="shared" ca="1" si="131"/>
        <v>#VALUE!</v>
      </c>
      <c r="AG128" s="243" t="e">
        <f ca="1">IF(AND(INDEX(FlowCalConstA,MATCH(AD124,FlowCalNumber,0),1,1)*AF128^INDEX(FlowCalConstB,MATCH(AD124,FlowCalNumber,0),1,1)&gt;INDEX(FlowCalLowSetting,MATCH(AD124,FlowCalNumber,0),1,1), (INDEX(FlowCalConstA,MATCH(AD124,FlowCalNumber,0),1,1)*AF128^INDEX(FlowCalConstB,MATCH(AD124,FlowCalNumber,0),1,1)&lt;INDEX(FlowCalHighSetting,MATCH(AD124,FlowCalNumber,0),1,1))),INDEX(FlowCalConstA,MATCH(AD124,FlowCalNumber,0),1,1)*AF128^INDEX(FlowCalConstB,MATCH(AD124,FlowCalNumber,0),1,1)," ")</f>
        <v>#N/A</v>
      </c>
      <c r="AH128" s="33"/>
      <c r="AI128" s="242">
        <f t="shared" si="132"/>
        <v>0.9</v>
      </c>
      <c r="AJ128" s="241" t="e">
        <f t="shared" ca="1" si="133"/>
        <v>#VALUE!</v>
      </c>
      <c r="AK128" s="243" t="e">
        <f ca="1">IF(AND(INDEX(FlowCalConstA,MATCH(AH124,FlowCalNumber,0),1,1)*AJ128^INDEX(FlowCalConstB,MATCH(AH124,FlowCalNumber,0),1,1)&gt;INDEX(FlowCalLowSetting,MATCH(AH124,FlowCalNumber,0),1,1), (INDEX(FlowCalConstA,MATCH(AH124,FlowCalNumber,0),1,1)*AJ128^INDEX(FlowCalConstB,MATCH(AH124,FlowCalNumber,0),1,1)&lt;INDEX(FlowCalHighSetting,MATCH(AH124,FlowCalNumber,0),1,1))),INDEX(FlowCalConstA,MATCH(AH124,FlowCalNumber,0),1,1)*AJ128^INDEX(FlowCalConstB,MATCH(AH124,FlowCalNumber,0),1,1)," ")</f>
        <v>#N/A</v>
      </c>
      <c r="AL128" s="33"/>
      <c r="AM128" s="242"/>
      <c r="AN128" s="241"/>
      <c r="AO128" s="244"/>
      <c r="AQ128" s="242"/>
      <c r="AR128" s="241"/>
      <c r="AS128" s="244"/>
      <c r="AT128" s="33"/>
      <c r="AU128" s="242"/>
      <c r="AV128" s="241"/>
      <c r="AW128" s="244"/>
      <c r="AX128" s="33"/>
      <c r="AY128" s="242"/>
      <c r="AZ128" s="241"/>
      <c r="BA128" s="244"/>
      <c r="BB128" s="33"/>
      <c r="BC128" s="242"/>
      <c r="BD128" s="241"/>
      <c r="BE128" s="244"/>
      <c r="BF128" s="33"/>
      <c r="BG128" s="242"/>
      <c r="BH128" s="241"/>
      <c r="BI128" s="244"/>
      <c r="BJ128" s="33"/>
      <c r="BK128" s="242"/>
      <c r="BL128" s="241"/>
      <c r="BM128" s="244"/>
      <c r="BN128" s="33"/>
      <c r="BO128" s="242"/>
      <c r="BP128" s="241"/>
      <c r="BQ128" s="244"/>
      <c r="BR128" s="33"/>
      <c r="BS128" s="242"/>
      <c r="BT128" s="241"/>
      <c r="BU128" s="244"/>
      <c r="BV128" s="33"/>
      <c r="BW128" s="242"/>
      <c r="BX128" s="241"/>
      <c r="BY128" s="244"/>
      <c r="BZ128" s="33"/>
      <c r="CA128" s="242"/>
      <c r="CB128" s="241"/>
      <c r="CC128" s="244"/>
      <c r="CD128" s="243"/>
      <c r="CE128" s="243"/>
      <c r="CF128" s="243"/>
      <c r="CG128" s="243"/>
      <c r="CH128" s="243"/>
      <c r="CI128" s="243"/>
      <c r="CJ128" s="243"/>
      <c r="CK128" s="243"/>
      <c r="CL128" s="243"/>
      <c r="CM128" s="243"/>
      <c r="CN128" s="243"/>
      <c r="CO128" s="243"/>
      <c r="CP128" s="243"/>
      <c r="CQ128" s="243"/>
      <c r="CR128" s="243"/>
      <c r="CS128" s="243"/>
      <c r="CT128" s="243"/>
      <c r="CU128" s="243"/>
      <c r="CV128" s="243"/>
      <c r="CW128" s="243"/>
      <c r="CX128" s="243"/>
      <c r="CY128" s="243"/>
      <c r="CZ128" s="243"/>
      <c r="DA128" s="243"/>
      <c r="DB128" s="243"/>
      <c r="DC128" s="243"/>
      <c r="DD128" s="243"/>
      <c r="DE128" s="243"/>
      <c r="DF128" s="243"/>
      <c r="DG128" s="243"/>
      <c r="DH128" s="243"/>
      <c r="DI128" s="243"/>
      <c r="DJ128" s="243"/>
      <c r="DK128" s="243"/>
      <c r="DM128" s="242"/>
      <c r="DO128" s="243"/>
      <c r="DQ128" s="242"/>
      <c r="DS128" s="243"/>
      <c r="DU128" s="242"/>
      <c r="DW128" s="243"/>
      <c r="DY128" s="242"/>
      <c r="EA128" s="243"/>
    </row>
    <row r="129" spans="1:131">
      <c r="A129" s="20"/>
      <c r="B129" s="124" t="str">
        <f t="shared" si="118"/>
        <v/>
      </c>
      <c r="C129" s="235"/>
      <c r="D129" s="24">
        <f>'1% Wind'!$M$86</f>
        <v>15.5</v>
      </c>
      <c r="E129" s="90"/>
      <c r="F129" s="90"/>
      <c r="G129" s="79">
        <f ca="1">IF(I124=0.9743,$G128,MAX(G128/D128*D129,2))</f>
        <v>6.001707317073171</v>
      </c>
      <c r="H129" s="121" t="e">
        <f t="shared" ca="1" si="119"/>
        <v>#VALUE!</v>
      </c>
      <c r="J129" s="33"/>
      <c r="K129" s="242">
        <f t="shared" si="120"/>
        <v>1</v>
      </c>
      <c r="L129" s="241" t="e">
        <f t="shared" ca="1" si="121"/>
        <v>#VALUE!</v>
      </c>
      <c r="M129" s="243" t="e">
        <f ca="1">IF(AND(INDEX(FlowCalConstA,MATCH(J124,FlowCalNumber,0),1,1)*L129^INDEX(FlowCalConstB,MATCH(J124,FlowCalNumber,0),1,1)&gt;INDEX(FlowCalLowSetting,MATCH(J124,FlowCalNumber,0),1,1), (INDEX(FlowCalConstA,MATCH(J124,FlowCalNumber,0),1,1)*L129^INDEX(FlowCalConstB,MATCH(J124,FlowCalNumber,0),1,1)&lt;INDEX(FlowCalHighSetting,MATCH(J124,FlowCalNumber,0),1,1))),INDEX(FlowCalConstA,MATCH(J124,FlowCalNumber,0),1,1)*L129^INDEX(FlowCalConstB,MATCH(J124,FlowCalNumber,0),1,1)," ")</f>
        <v>#N/A</v>
      </c>
      <c r="N129" s="33"/>
      <c r="O129" s="242">
        <f t="shared" si="122"/>
        <v>1</v>
      </c>
      <c r="P129" s="241" t="e">
        <f t="shared" ca="1" si="123"/>
        <v>#VALUE!</v>
      </c>
      <c r="Q129" s="243" t="e">
        <f ca="1">IF(AND(INDEX(FlowCalConstA,MATCH(N124,FlowCalNumber,0),1,1)*P129^INDEX(FlowCalConstB,MATCH(N124,FlowCalNumber,0),1,1)&gt;INDEX(FlowCalLowSetting,MATCH(N124,FlowCalNumber,0),1,1), (INDEX(FlowCalConstA,MATCH(N124,FlowCalNumber,0),1,1)*P129^INDEX(FlowCalConstB,MATCH(N124,FlowCalNumber,0),1,1)&lt;INDEX(FlowCalHighSetting,MATCH(N124,FlowCalNumber,0),1,1))),INDEX(FlowCalConstA,MATCH(N124,FlowCalNumber,0),1,1)*P129^INDEX(FlowCalConstB,MATCH(N124,FlowCalNumber,0),1,1)," ")</f>
        <v>#N/A</v>
      </c>
      <c r="R129" s="33"/>
      <c r="S129" s="242">
        <f t="shared" si="124"/>
        <v>1</v>
      </c>
      <c r="T129" s="241" t="e">
        <f t="shared" ca="1" si="125"/>
        <v>#VALUE!</v>
      </c>
      <c r="U129" s="244" t="e">
        <f ca="1">IF(AND(INDEX(FlowCalConstA,MATCH(R124,FlowCalNumber,0),1,1)*T129^INDEX(FlowCalConstB,MATCH(R124,FlowCalNumber,0),1,1)&gt;INDEX(FlowCalLowSetting,MATCH(R124,FlowCalNumber,0),1,1), (INDEX(FlowCalConstA,MATCH(R124,FlowCalNumber,0),1,1)*T129^INDEX(FlowCalConstB,MATCH(R124,FlowCalNumber,0),1,1)&lt;INDEX(FlowCalHighSetting,MATCH(R124,FlowCalNumber,0),1,1))),INDEX(FlowCalConstA,MATCH(R124,FlowCalNumber,0),1,1)*T129^INDEX(FlowCalConstB,MATCH(R124,FlowCalNumber,0),1,1)," ")</f>
        <v>#N/A</v>
      </c>
      <c r="V129" s="33"/>
      <c r="W129" s="242">
        <f t="shared" si="126"/>
        <v>0.1</v>
      </c>
      <c r="X129" s="241" t="e">
        <f t="shared" ca="1" si="127"/>
        <v>#VALUE!</v>
      </c>
      <c r="Y129" s="243" t="e">
        <f ca="1">IF(AND(INDEX(FlowCalConstA,MATCH(V124,FlowCalNumber,0),1,1)*X129^INDEX(FlowCalConstB,MATCH(V124,FlowCalNumber,0),1,1)&gt;INDEX(FlowCalLowSetting,MATCH(V124,FlowCalNumber,0),1,1), (INDEX(FlowCalConstA,MATCH(V124,FlowCalNumber,0),1,1)*X129^INDEX(FlowCalConstB,MATCH(V124,FlowCalNumber,0),1,1)&lt;INDEX(FlowCalHighSetting,MATCH(V124,FlowCalNumber,0),1,1))),INDEX(FlowCalConstA,MATCH(V124,FlowCalNumber,0),1,1)*X129^INDEX(FlowCalConstB,MATCH(V124,FlowCalNumber,0),1,1)," ")</f>
        <v>#N/A</v>
      </c>
      <c r="Z129" s="33"/>
      <c r="AA129" s="242">
        <f t="shared" si="128"/>
        <v>0.9</v>
      </c>
      <c r="AB129" s="241" t="e">
        <f t="shared" ca="1" si="129"/>
        <v>#VALUE!</v>
      </c>
      <c r="AC129" s="243" t="e">
        <f ca="1">IF(AND(INDEX(FlowCalConstA,MATCH(Z124,FlowCalNumber,0),1,1)*AB129^INDEX(FlowCalConstB,MATCH(Z124,FlowCalNumber,0),1,1)&gt;INDEX(FlowCalLowSetting,MATCH(Z124,FlowCalNumber,0),1,1), (INDEX(FlowCalConstA,MATCH(Z124,FlowCalNumber,0),1,1)*AB129^INDEX(FlowCalConstB,MATCH(Z124,FlowCalNumber,0),1,1)&lt;INDEX(FlowCalHighSetting,MATCH(Z124,FlowCalNumber,0),1,1))),INDEX(FlowCalConstA,MATCH(Z124,FlowCalNumber,0),1,1)*AB129^INDEX(FlowCalConstB,MATCH(Z124,FlowCalNumber,0),1,1)," ")</f>
        <v>#N/A</v>
      </c>
      <c r="AD129" s="33"/>
      <c r="AE129" s="242">
        <f t="shared" si="130"/>
        <v>0.1</v>
      </c>
      <c r="AF129" s="241" t="e">
        <f t="shared" ca="1" si="131"/>
        <v>#VALUE!</v>
      </c>
      <c r="AG129" s="243" t="e">
        <f ca="1">IF(AND(INDEX(FlowCalConstA,MATCH(AD124,FlowCalNumber,0),1,1)*AF129^INDEX(FlowCalConstB,MATCH(AD124,FlowCalNumber,0),1,1)&gt;INDEX(FlowCalLowSetting,MATCH(AD124,FlowCalNumber,0),1,1), (INDEX(FlowCalConstA,MATCH(AD124,FlowCalNumber,0),1,1)*AF129^INDEX(FlowCalConstB,MATCH(AD124,FlowCalNumber,0),1,1)&lt;INDEX(FlowCalHighSetting,MATCH(AD124,FlowCalNumber,0),1,1))),INDEX(FlowCalConstA,MATCH(AD124,FlowCalNumber,0),1,1)*AF129^INDEX(FlowCalConstB,MATCH(AD124,FlowCalNumber,0),1,1)," ")</f>
        <v>#N/A</v>
      </c>
      <c r="AH129" s="33"/>
      <c r="AI129" s="242">
        <f t="shared" si="132"/>
        <v>0.9</v>
      </c>
      <c r="AJ129" s="241" t="e">
        <f t="shared" ca="1" si="133"/>
        <v>#VALUE!</v>
      </c>
      <c r="AK129" s="243" t="e">
        <f ca="1">IF(AND(INDEX(FlowCalConstA,MATCH(AH124,FlowCalNumber,0),1,1)*AJ129^INDEX(FlowCalConstB,MATCH(AH124,FlowCalNumber,0),1,1)&gt;INDEX(FlowCalLowSetting,MATCH(AH124,FlowCalNumber,0),1,1), (INDEX(FlowCalConstA,MATCH(AH124,FlowCalNumber,0),1,1)*AJ129^INDEX(FlowCalConstB,MATCH(AH124,FlowCalNumber,0),1,1)&lt;INDEX(FlowCalHighSetting,MATCH(AH124,FlowCalNumber,0),1,1))),INDEX(FlowCalConstA,MATCH(AH124,FlowCalNumber,0),1,1)*AJ129^INDEX(FlowCalConstB,MATCH(AH124,FlowCalNumber,0),1,1)," ")</f>
        <v>#N/A</v>
      </c>
      <c r="AL129" s="33"/>
      <c r="AM129" s="242"/>
      <c r="AN129" s="241"/>
      <c r="AO129" s="244"/>
      <c r="AQ129" s="242"/>
      <c r="AR129" s="241"/>
      <c r="AS129" s="244"/>
      <c r="AT129" s="33"/>
      <c r="AU129" s="242"/>
      <c r="AV129" s="241"/>
      <c r="AW129" s="244"/>
      <c r="AX129" s="33"/>
      <c r="AY129" s="242"/>
      <c r="AZ129" s="241"/>
      <c r="BA129" s="244"/>
      <c r="BB129" s="33"/>
      <c r="BC129" s="242"/>
      <c r="BD129" s="241"/>
      <c r="BE129" s="244"/>
      <c r="BF129" s="33"/>
      <c r="BG129" s="242"/>
      <c r="BH129" s="241"/>
      <c r="BI129" s="244"/>
      <c r="BJ129" s="33"/>
      <c r="BK129" s="242"/>
      <c r="BL129" s="241"/>
      <c r="BM129" s="244"/>
      <c r="BN129" s="33"/>
      <c r="BO129" s="242"/>
      <c r="BP129" s="241"/>
      <c r="BQ129" s="244"/>
      <c r="BR129" s="33"/>
      <c r="BS129" s="242"/>
      <c r="BT129" s="241"/>
      <c r="BU129" s="244"/>
      <c r="BV129" s="33"/>
      <c r="BW129" s="242"/>
      <c r="BX129" s="241"/>
      <c r="BY129" s="244"/>
      <c r="BZ129" s="33"/>
      <c r="CA129" s="242"/>
      <c r="CB129" s="241"/>
      <c r="CC129" s="244"/>
      <c r="CD129" s="243"/>
      <c r="CE129" s="243"/>
      <c r="CF129" s="243"/>
      <c r="CG129" s="243"/>
      <c r="CH129" s="243"/>
      <c r="CI129" s="243"/>
      <c r="CJ129" s="243"/>
      <c r="CK129" s="243"/>
      <c r="CL129" s="243"/>
      <c r="CM129" s="243"/>
      <c r="CN129" s="243"/>
      <c r="CO129" s="243"/>
      <c r="CP129" s="243"/>
      <c r="CQ129" s="243"/>
      <c r="CR129" s="243"/>
      <c r="CS129" s="243"/>
      <c r="CT129" s="243"/>
      <c r="CU129" s="243"/>
      <c r="CV129" s="243"/>
      <c r="CW129" s="243"/>
      <c r="CX129" s="243"/>
      <c r="CY129" s="243"/>
      <c r="CZ129" s="243"/>
      <c r="DA129" s="243"/>
      <c r="DB129" s="243"/>
      <c r="DC129" s="243"/>
      <c r="DD129" s="243"/>
      <c r="DE129" s="243"/>
      <c r="DF129" s="243"/>
      <c r="DG129" s="243"/>
      <c r="DH129" s="243"/>
      <c r="DI129" s="243"/>
      <c r="DJ129" s="243"/>
      <c r="DK129" s="243"/>
      <c r="DM129" s="242"/>
      <c r="DO129" s="243"/>
      <c r="DQ129" s="242"/>
      <c r="DS129" s="243"/>
      <c r="DU129" s="242"/>
      <c r="DW129" s="243"/>
      <c r="DY129" s="242"/>
      <c r="EA129" s="243"/>
    </row>
    <row r="130" spans="1:131">
      <c r="A130" s="20"/>
      <c r="B130" s="124" t="str">
        <f t="shared" si="118"/>
        <v/>
      </c>
      <c r="C130" s="235"/>
      <c r="D130" s="24">
        <f>'1% Wind'!$M$87</f>
        <v>13.5</v>
      </c>
      <c r="E130" s="90"/>
      <c r="F130" s="90"/>
      <c r="G130" s="79">
        <f ca="1">IF(I124=0.9743,$G129,MAX(G129/D129*D130,2))</f>
        <v>6.001707317073171</v>
      </c>
      <c r="H130" s="121" t="e">
        <f t="shared" ca="1" si="119"/>
        <v>#VALUE!</v>
      </c>
      <c r="J130" s="33"/>
      <c r="K130" s="242">
        <f t="shared" si="120"/>
        <v>1</v>
      </c>
      <c r="L130" s="241" t="e">
        <f t="shared" ca="1" si="121"/>
        <v>#VALUE!</v>
      </c>
      <c r="M130" s="243" t="e">
        <f ca="1">IF(AND(INDEX(FlowCalConstA,MATCH(J124,FlowCalNumber,0),1,1)*L130^INDEX(FlowCalConstB,MATCH(J124,FlowCalNumber,0),1,1)&gt;INDEX(FlowCalLowSetting,MATCH(J124,FlowCalNumber,0),1,1), (INDEX(FlowCalConstA,MATCH(J124,FlowCalNumber,0),1,1)*L130^INDEX(FlowCalConstB,MATCH(J124,FlowCalNumber,0),1,1)&lt;INDEX(FlowCalHighSetting,MATCH(J124,FlowCalNumber,0),1,1))),INDEX(FlowCalConstA,MATCH(J124,FlowCalNumber,0),1,1)*L130^INDEX(FlowCalConstB,MATCH(J124,FlowCalNumber,0),1,1)," ")</f>
        <v>#N/A</v>
      </c>
      <c r="N130" s="33"/>
      <c r="O130" s="242">
        <f t="shared" si="122"/>
        <v>1</v>
      </c>
      <c r="P130" s="241" t="e">
        <f t="shared" ca="1" si="123"/>
        <v>#VALUE!</v>
      </c>
      <c r="Q130" s="243" t="e">
        <f ca="1">IF(AND(INDEX(FlowCalConstA,MATCH(N124,FlowCalNumber,0),1,1)*P130^INDEX(FlowCalConstB,MATCH(N124,FlowCalNumber,0),1,1)&gt;INDEX(FlowCalLowSetting,MATCH(N124,FlowCalNumber,0),1,1), (INDEX(FlowCalConstA,MATCH(N124,FlowCalNumber,0),1,1)*P130^INDEX(FlowCalConstB,MATCH(N124,FlowCalNumber,0),1,1)&lt;INDEX(FlowCalHighSetting,MATCH(N124,FlowCalNumber,0),1,1))),INDEX(FlowCalConstA,MATCH(N124,FlowCalNumber,0),1,1)*P130^INDEX(FlowCalConstB,MATCH(N124,FlowCalNumber,0),1,1)," ")</f>
        <v>#N/A</v>
      </c>
      <c r="R130" s="33"/>
      <c r="S130" s="242">
        <f t="shared" si="124"/>
        <v>1</v>
      </c>
      <c r="T130" s="241" t="e">
        <f t="shared" ca="1" si="125"/>
        <v>#VALUE!</v>
      </c>
      <c r="U130" s="244" t="e">
        <f ca="1">IF(AND(INDEX(FlowCalConstA,MATCH(R124,FlowCalNumber,0),1,1)*T130^INDEX(FlowCalConstB,MATCH(R124,FlowCalNumber,0),1,1)&gt;INDEX(FlowCalLowSetting,MATCH(R124,FlowCalNumber,0),1,1), (INDEX(FlowCalConstA,MATCH(R124,FlowCalNumber,0),1,1)*T130^INDEX(FlowCalConstB,MATCH(R124,FlowCalNumber,0),1,1)&lt;INDEX(FlowCalHighSetting,MATCH(R124,FlowCalNumber,0),1,1))),INDEX(FlowCalConstA,MATCH(R124,FlowCalNumber,0),1,1)*T130^INDEX(FlowCalConstB,MATCH(R124,FlowCalNumber,0),1,1)," ")</f>
        <v>#N/A</v>
      </c>
      <c r="V130" s="33"/>
      <c r="W130" s="242">
        <f t="shared" si="126"/>
        <v>0.1</v>
      </c>
      <c r="X130" s="241" t="e">
        <f t="shared" ca="1" si="127"/>
        <v>#VALUE!</v>
      </c>
      <c r="Y130" s="243" t="e">
        <f ca="1">IF(AND(INDEX(FlowCalConstA,MATCH(V124,FlowCalNumber,0),1,1)*X130^INDEX(FlowCalConstB,MATCH(V124,FlowCalNumber,0),1,1)&gt;INDEX(FlowCalLowSetting,MATCH(V124,FlowCalNumber,0),1,1), (INDEX(FlowCalConstA,MATCH(V124,FlowCalNumber,0),1,1)*X130^INDEX(FlowCalConstB,MATCH(V124,FlowCalNumber,0),1,1)&lt;INDEX(FlowCalHighSetting,MATCH(V124,FlowCalNumber,0),1,1))),INDEX(FlowCalConstA,MATCH(V124,FlowCalNumber,0),1,1)*X130^INDEX(FlowCalConstB,MATCH(V124,FlowCalNumber,0),1,1)," ")</f>
        <v>#N/A</v>
      </c>
      <c r="Z130" s="33"/>
      <c r="AA130" s="242">
        <f t="shared" si="128"/>
        <v>0.9</v>
      </c>
      <c r="AB130" s="241" t="e">
        <f t="shared" ca="1" si="129"/>
        <v>#VALUE!</v>
      </c>
      <c r="AC130" s="243" t="e">
        <f ca="1">IF(AND(INDEX(FlowCalConstA,MATCH(Z124,FlowCalNumber,0),1,1)*AB130^INDEX(FlowCalConstB,MATCH(Z124,FlowCalNumber,0),1,1)&gt;INDEX(FlowCalLowSetting,MATCH(Z124,FlowCalNumber,0),1,1), (INDEX(FlowCalConstA,MATCH(Z124,FlowCalNumber,0),1,1)*AB130^INDEX(FlowCalConstB,MATCH(Z124,FlowCalNumber,0),1,1)&lt;INDEX(FlowCalHighSetting,MATCH(Z124,FlowCalNumber,0),1,1))),INDEX(FlowCalConstA,MATCH(Z124,FlowCalNumber,0),1,1)*AB130^INDEX(FlowCalConstB,MATCH(Z124,FlowCalNumber,0),1,1)," ")</f>
        <v>#N/A</v>
      </c>
      <c r="AD130" s="33"/>
      <c r="AE130" s="242">
        <f t="shared" si="130"/>
        <v>0.1</v>
      </c>
      <c r="AF130" s="241" t="e">
        <f t="shared" ca="1" si="131"/>
        <v>#VALUE!</v>
      </c>
      <c r="AG130" s="243" t="e">
        <f ca="1">IF(AND(INDEX(FlowCalConstA,MATCH(AD124,FlowCalNumber,0),1,1)*AF130^INDEX(FlowCalConstB,MATCH(AD124,FlowCalNumber,0),1,1)&gt;INDEX(FlowCalLowSetting,MATCH(AD124,FlowCalNumber,0),1,1), (INDEX(FlowCalConstA,MATCH(AD124,FlowCalNumber,0),1,1)*AF130^INDEX(FlowCalConstB,MATCH(AD124,FlowCalNumber,0),1,1)&lt;INDEX(FlowCalHighSetting,MATCH(AD124,FlowCalNumber,0),1,1))),INDEX(FlowCalConstA,MATCH(AD124,FlowCalNumber,0),1,1)*AF130^INDEX(FlowCalConstB,MATCH(AD124,FlowCalNumber,0),1,1)," ")</f>
        <v>#N/A</v>
      </c>
      <c r="AH130" s="33"/>
      <c r="AI130" s="242">
        <f t="shared" si="132"/>
        <v>0.9</v>
      </c>
      <c r="AJ130" s="241" t="e">
        <f t="shared" ca="1" si="133"/>
        <v>#VALUE!</v>
      </c>
      <c r="AK130" s="243" t="e">
        <f ca="1">IF(AND(INDEX(FlowCalConstA,MATCH(AH124,FlowCalNumber,0),1,1)*AJ130^INDEX(FlowCalConstB,MATCH(AH124,FlowCalNumber,0),1,1)&gt;INDEX(FlowCalLowSetting,MATCH(AH124,FlowCalNumber,0),1,1), (INDEX(FlowCalConstA,MATCH(AH124,FlowCalNumber,0),1,1)*AJ130^INDEX(FlowCalConstB,MATCH(AH124,FlowCalNumber,0),1,1)&lt;INDEX(FlowCalHighSetting,MATCH(AH124,FlowCalNumber,0),1,1))),INDEX(FlowCalConstA,MATCH(AH124,FlowCalNumber,0),1,1)*AJ130^INDEX(FlowCalConstB,MATCH(AH124,FlowCalNumber,0),1,1)," ")</f>
        <v>#N/A</v>
      </c>
      <c r="AL130" s="33"/>
      <c r="AM130" s="242"/>
      <c r="AN130" s="241"/>
      <c r="AO130" s="244"/>
      <c r="AQ130" s="242"/>
      <c r="AR130" s="241"/>
      <c r="AS130" s="244"/>
      <c r="AT130" s="33"/>
      <c r="AU130" s="242"/>
      <c r="AV130" s="241"/>
      <c r="AW130" s="244"/>
      <c r="AX130" s="33"/>
      <c r="AY130" s="242"/>
      <c r="AZ130" s="241"/>
      <c r="BA130" s="244"/>
      <c r="BB130" s="33"/>
      <c r="BC130" s="242"/>
      <c r="BD130" s="241"/>
      <c r="BE130" s="244"/>
      <c r="BF130" s="33"/>
      <c r="BG130" s="242"/>
      <c r="BH130" s="241"/>
      <c r="BI130" s="244"/>
      <c r="BJ130" s="33"/>
      <c r="BK130" s="242"/>
      <c r="BL130" s="241"/>
      <c r="BM130" s="244"/>
      <c r="BN130" s="33"/>
      <c r="BO130" s="242"/>
      <c r="BP130" s="241"/>
      <c r="BQ130" s="244"/>
      <c r="BR130" s="33"/>
      <c r="BS130" s="242"/>
      <c r="BT130" s="241"/>
      <c r="BU130" s="244"/>
      <c r="BV130" s="33"/>
      <c r="BW130" s="242"/>
      <c r="BX130" s="241"/>
      <c r="BY130" s="244"/>
      <c r="BZ130" s="33"/>
      <c r="CA130" s="242"/>
      <c r="CB130" s="241"/>
      <c r="CC130" s="244"/>
      <c r="CD130" s="243"/>
      <c r="CE130" s="243"/>
      <c r="CF130" s="243"/>
      <c r="CG130" s="243"/>
      <c r="CH130" s="243"/>
      <c r="CI130" s="243"/>
      <c r="CJ130" s="243"/>
      <c r="CK130" s="243"/>
      <c r="CL130" s="243"/>
      <c r="CM130" s="243"/>
      <c r="CN130" s="243"/>
      <c r="CO130" s="243"/>
      <c r="CP130" s="243"/>
      <c r="CQ130" s="243"/>
      <c r="CR130" s="243"/>
      <c r="CS130" s="243"/>
      <c r="CT130" s="243"/>
      <c r="CU130" s="243"/>
      <c r="CV130" s="243"/>
      <c r="CW130" s="243"/>
      <c r="CX130" s="243"/>
      <c r="CY130" s="243"/>
      <c r="CZ130" s="243"/>
      <c r="DA130" s="243"/>
      <c r="DB130" s="243"/>
      <c r="DC130" s="243"/>
      <c r="DD130" s="243"/>
      <c r="DE130" s="243"/>
      <c r="DF130" s="243"/>
      <c r="DG130" s="243"/>
      <c r="DH130" s="243"/>
      <c r="DI130" s="243"/>
      <c r="DJ130" s="243"/>
      <c r="DK130" s="243"/>
      <c r="DM130" s="242"/>
      <c r="DO130" s="243"/>
      <c r="DQ130" s="242"/>
      <c r="DS130" s="243"/>
      <c r="DU130" s="242"/>
      <c r="DW130" s="243"/>
      <c r="DY130" s="242"/>
      <c r="EA130" s="243"/>
    </row>
    <row r="131" spans="1:131">
      <c r="A131" s="20"/>
      <c r="B131" s="124" t="str">
        <f t="shared" si="118"/>
        <v/>
      </c>
      <c r="C131" s="235"/>
      <c r="D131" s="24">
        <f>'1% Wind'!$M$88</f>
        <v>10.1</v>
      </c>
      <c r="E131" s="90"/>
      <c r="F131" s="90"/>
      <c r="G131" s="79">
        <f ca="1">IF(I124=0.9743,$G130,MAX(G130/D130*D131,2))</f>
        <v>6.001707317073171</v>
      </c>
      <c r="H131" s="121" t="e">
        <f t="shared" ca="1" si="119"/>
        <v>#VALUE!</v>
      </c>
      <c r="J131" s="33"/>
      <c r="K131" s="242">
        <f t="shared" si="120"/>
        <v>1</v>
      </c>
      <c r="L131" s="241" t="e">
        <f t="shared" ca="1" si="121"/>
        <v>#VALUE!</v>
      </c>
      <c r="M131" s="243" t="e">
        <f ca="1">IF(AND(INDEX(FlowCalConstA,MATCH(J124,FlowCalNumber,0),1,1)*L131^INDEX(FlowCalConstB,MATCH(J124,FlowCalNumber,0),1,1)&gt;INDEX(FlowCalLowSetting,MATCH(J124,FlowCalNumber,0),1,1), (INDEX(FlowCalConstA,MATCH(J124,FlowCalNumber,0),1,1)*L131^INDEX(FlowCalConstB,MATCH(J124,FlowCalNumber,0),1,1)&lt;INDEX(FlowCalHighSetting,MATCH(J124,FlowCalNumber,0),1,1))),INDEX(FlowCalConstA,MATCH(J124,FlowCalNumber,0),1,1)*L131^INDEX(FlowCalConstB,MATCH(J124,FlowCalNumber,0),1,1)," ")</f>
        <v>#N/A</v>
      </c>
      <c r="N131" s="33"/>
      <c r="O131" s="242">
        <f t="shared" si="122"/>
        <v>1</v>
      </c>
      <c r="P131" s="241" t="e">
        <f t="shared" ca="1" si="123"/>
        <v>#VALUE!</v>
      </c>
      <c r="Q131" s="243" t="e">
        <f ca="1">IF(AND(INDEX(FlowCalConstA,MATCH(N124,FlowCalNumber,0),1,1)*P131^INDEX(FlowCalConstB,MATCH(N124,FlowCalNumber,0),1,1)&gt;INDEX(FlowCalLowSetting,MATCH(N124,FlowCalNumber,0),1,1), (INDEX(FlowCalConstA,MATCH(N124,FlowCalNumber,0),1,1)*P131^INDEX(FlowCalConstB,MATCH(N124,FlowCalNumber,0),1,1)&lt;INDEX(FlowCalHighSetting,MATCH(N124,FlowCalNumber,0),1,1))),INDEX(FlowCalConstA,MATCH(N124,FlowCalNumber,0),1,1)*P131^INDEX(FlowCalConstB,MATCH(N124,FlowCalNumber,0),1,1)," ")</f>
        <v>#N/A</v>
      </c>
      <c r="R131" s="33"/>
      <c r="S131" s="242">
        <f t="shared" si="124"/>
        <v>1</v>
      </c>
      <c r="T131" s="241" t="e">
        <f t="shared" ca="1" si="125"/>
        <v>#VALUE!</v>
      </c>
      <c r="U131" s="244" t="e">
        <f ca="1">IF(AND(INDEX(FlowCalConstA,MATCH(R124,FlowCalNumber,0),1,1)*T131^INDEX(FlowCalConstB,MATCH(R124,FlowCalNumber,0),1,1)&gt;INDEX(FlowCalLowSetting,MATCH(R124,FlowCalNumber,0),1,1), (INDEX(FlowCalConstA,MATCH(R124,FlowCalNumber,0),1,1)*T131^INDEX(FlowCalConstB,MATCH(R124,FlowCalNumber,0),1,1)&lt;INDEX(FlowCalHighSetting,MATCH(R124,FlowCalNumber,0),1,1))),INDEX(FlowCalConstA,MATCH(R124,FlowCalNumber,0),1,1)*T131^INDEX(FlowCalConstB,MATCH(R124,FlowCalNumber,0),1,1)," ")</f>
        <v>#N/A</v>
      </c>
      <c r="V131" s="33"/>
      <c r="W131" s="242">
        <f t="shared" si="126"/>
        <v>0.1</v>
      </c>
      <c r="X131" s="241" t="e">
        <f t="shared" ca="1" si="127"/>
        <v>#VALUE!</v>
      </c>
      <c r="Y131" s="243" t="e">
        <f ca="1">IF(AND(INDEX(FlowCalConstA,MATCH(V124,FlowCalNumber,0),1,1)*X131^INDEX(FlowCalConstB,MATCH(V124,FlowCalNumber,0),1,1)&gt;INDEX(FlowCalLowSetting,MATCH(V124,FlowCalNumber,0),1,1), (INDEX(FlowCalConstA,MATCH(V124,FlowCalNumber,0),1,1)*X131^INDEX(FlowCalConstB,MATCH(V124,FlowCalNumber,0),1,1)&lt;INDEX(FlowCalHighSetting,MATCH(V124,FlowCalNumber,0),1,1))),INDEX(FlowCalConstA,MATCH(V124,FlowCalNumber,0),1,1)*X131^INDEX(FlowCalConstB,MATCH(V124,FlowCalNumber,0),1,1)," ")</f>
        <v>#N/A</v>
      </c>
      <c r="Z131" s="33"/>
      <c r="AA131" s="242">
        <f t="shared" si="128"/>
        <v>0.9</v>
      </c>
      <c r="AB131" s="241" t="e">
        <f t="shared" ca="1" si="129"/>
        <v>#VALUE!</v>
      </c>
      <c r="AC131" s="243" t="e">
        <f ca="1">IF(AND(INDEX(FlowCalConstA,MATCH(Z124,FlowCalNumber,0),1,1)*AB131^INDEX(FlowCalConstB,MATCH(Z124,FlowCalNumber,0),1,1)&gt;INDEX(FlowCalLowSetting,MATCH(Z124,FlowCalNumber,0),1,1), (INDEX(FlowCalConstA,MATCH(Z124,FlowCalNumber,0),1,1)*AB131^INDEX(FlowCalConstB,MATCH(Z124,FlowCalNumber,0),1,1)&lt;INDEX(FlowCalHighSetting,MATCH(Z124,FlowCalNumber,0),1,1))),INDEX(FlowCalConstA,MATCH(Z124,FlowCalNumber,0),1,1)*AB131^INDEX(FlowCalConstB,MATCH(Z124,FlowCalNumber,0),1,1)," ")</f>
        <v>#N/A</v>
      </c>
      <c r="AD131" s="33"/>
      <c r="AE131" s="242">
        <f t="shared" si="130"/>
        <v>0.1</v>
      </c>
      <c r="AF131" s="241" t="e">
        <f t="shared" ca="1" si="131"/>
        <v>#VALUE!</v>
      </c>
      <c r="AG131" s="243" t="e">
        <f ca="1">IF(AND(INDEX(FlowCalConstA,MATCH(AD124,FlowCalNumber,0),1,1)*AF131^INDEX(FlowCalConstB,MATCH(AD124,FlowCalNumber,0),1,1)&gt;INDEX(FlowCalLowSetting,MATCH(AD124,FlowCalNumber,0),1,1), (INDEX(FlowCalConstA,MATCH(AD124,FlowCalNumber,0),1,1)*AF131^INDEX(FlowCalConstB,MATCH(AD124,FlowCalNumber,0),1,1)&lt;INDEX(FlowCalHighSetting,MATCH(AD124,FlowCalNumber,0),1,1))),INDEX(FlowCalConstA,MATCH(AD124,FlowCalNumber,0),1,1)*AF131^INDEX(FlowCalConstB,MATCH(AD124,FlowCalNumber,0),1,1)," ")</f>
        <v>#N/A</v>
      </c>
      <c r="AH131" s="33"/>
      <c r="AI131" s="242">
        <f t="shared" si="132"/>
        <v>0.9</v>
      </c>
      <c r="AJ131" s="241" t="e">
        <f t="shared" ca="1" si="133"/>
        <v>#VALUE!</v>
      </c>
      <c r="AK131" s="243" t="e">
        <f ca="1">IF(AND(INDEX(FlowCalConstA,MATCH(AH124,FlowCalNumber,0),1,1)*AJ131^INDEX(FlowCalConstB,MATCH(AH124,FlowCalNumber,0),1,1)&gt;INDEX(FlowCalLowSetting,MATCH(AH124,FlowCalNumber,0),1,1), (INDEX(FlowCalConstA,MATCH(AH124,FlowCalNumber,0),1,1)*AJ131^INDEX(FlowCalConstB,MATCH(AH124,FlowCalNumber,0),1,1)&lt;INDEX(FlowCalHighSetting,MATCH(AH124,FlowCalNumber,0),1,1))),INDEX(FlowCalConstA,MATCH(AH124,FlowCalNumber,0),1,1)*AJ131^INDEX(FlowCalConstB,MATCH(AH124,FlowCalNumber,0),1,1)," ")</f>
        <v>#N/A</v>
      </c>
      <c r="AL131" s="33"/>
      <c r="AM131" s="242"/>
      <c r="AN131" s="241"/>
      <c r="AO131" s="244"/>
      <c r="AQ131" s="242"/>
      <c r="AR131" s="241"/>
      <c r="AS131" s="244"/>
      <c r="AT131" s="33"/>
      <c r="AU131" s="242"/>
      <c r="AV131" s="241"/>
      <c r="AW131" s="244"/>
      <c r="AX131" s="33"/>
      <c r="AY131" s="242"/>
      <c r="AZ131" s="241"/>
      <c r="BA131" s="244"/>
      <c r="BB131" s="33"/>
      <c r="BC131" s="242"/>
      <c r="BD131" s="241"/>
      <c r="BE131" s="244"/>
      <c r="BF131" s="33"/>
      <c r="BG131" s="242"/>
      <c r="BH131" s="241"/>
      <c r="BI131" s="244"/>
      <c r="BJ131" s="33"/>
      <c r="BK131" s="242"/>
      <c r="BL131" s="241"/>
      <c r="BM131" s="244"/>
      <c r="BN131" s="33"/>
      <c r="BO131" s="242"/>
      <c r="BP131" s="241"/>
      <c r="BQ131" s="244"/>
      <c r="BR131" s="33"/>
      <c r="BS131" s="242"/>
      <c r="BT131" s="241"/>
      <c r="BU131" s="244"/>
      <c r="BV131" s="33"/>
      <c r="BW131" s="242"/>
      <c r="BX131" s="241"/>
      <c r="BY131" s="244"/>
      <c r="BZ131" s="33"/>
      <c r="CA131" s="242"/>
      <c r="CB131" s="241"/>
      <c r="CC131" s="244"/>
      <c r="CD131" s="243"/>
      <c r="CE131" s="243"/>
      <c r="CF131" s="243"/>
      <c r="CG131" s="243"/>
      <c r="CH131" s="243"/>
      <c r="CI131" s="243"/>
      <c r="CJ131" s="243"/>
      <c r="CK131" s="243"/>
      <c r="CL131" s="243"/>
      <c r="CM131" s="243"/>
      <c r="CN131" s="243"/>
      <c r="CO131" s="243"/>
      <c r="CP131" s="243"/>
      <c r="CQ131" s="243"/>
      <c r="CR131" s="243"/>
      <c r="CS131" s="243"/>
      <c r="CT131" s="243"/>
      <c r="CU131" s="243"/>
      <c r="CV131" s="243"/>
      <c r="CW131" s="243"/>
      <c r="CX131" s="243"/>
      <c r="CY131" s="243"/>
      <c r="CZ131" s="243"/>
      <c r="DA131" s="243"/>
      <c r="DB131" s="243"/>
      <c r="DC131" s="243"/>
      <c r="DD131" s="243"/>
      <c r="DE131" s="243"/>
      <c r="DF131" s="243"/>
      <c r="DG131" s="243"/>
      <c r="DH131" s="243"/>
      <c r="DI131" s="243"/>
      <c r="DJ131" s="243"/>
      <c r="DK131" s="243"/>
      <c r="DM131" s="242"/>
      <c r="DO131" s="243"/>
      <c r="DQ131" s="242"/>
      <c r="DS131" s="243"/>
      <c r="DU131" s="242"/>
      <c r="DW131" s="243"/>
      <c r="DY131" s="242"/>
      <c r="EA131" s="243"/>
    </row>
    <row r="132" spans="1:131">
      <c r="A132" s="20"/>
      <c r="B132" s="124" t="str">
        <f t="shared" si="118"/>
        <v/>
      </c>
      <c r="C132" s="235"/>
      <c r="D132" s="24">
        <f>'1% Wind'!$M$89</f>
        <v>7.6</v>
      </c>
      <c r="E132" s="90"/>
      <c r="F132" s="90"/>
      <c r="G132" s="79">
        <f ca="1">IF(I124=0.9743,$G131,MAX(G131/D131*D132,2))</f>
        <v>6.001707317073171</v>
      </c>
      <c r="H132" s="121" t="e">
        <f t="shared" ca="1" si="119"/>
        <v>#VALUE!</v>
      </c>
      <c r="J132" s="33"/>
      <c r="K132" s="242">
        <f t="shared" si="120"/>
        <v>1</v>
      </c>
      <c r="L132" s="241" t="e">
        <f t="shared" ca="1" si="121"/>
        <v>#VALUE!</v>
      </c>
      <c r="M132" s="243" t="e">
        <f ca="1">IF(AND(INDEX(FlowCalConstA,MATCH(J124,FlowCalNumber,0),1,1)*L132^INDEX(FlowCalConstB,MATCH(J124,FlowCalNumber,0),1,1)&gt;INDEX(FlowCalLowSetting,MATCH(J124,FlowCalNumber,0),1,1), (INDEX(FlowCalConstA,MATCH(J124,FlowCalNumber,0),1,1)*L132^INDEX(FlowCalConstB,MATCH(J124,FlowCalNumber,0),1,1)&lt;INDEX(FlowCalHighSetting,MATCH(J124,FlowCalNumber,0),1,1))),INDEX(FlowCalConstA,MATCH(J124,FlowCalNumber,0),1,1)*L132^INDEX(FlowCalConstB,MATCH(J124,FlowCalNumber,0),1,1)," ")</f>
        <v>#N/A</v>
      </c>
      <c r="N132" s="33"/>
      <c r="O132" s="242">
        <f t="shared" si="122"/>
        <v>1</v>
      </c>
      <c r="P132" s="241" t="e">
        <f t="shared" ca="1" si="123"/>
        <v>#VALUE!</v>
      </c>
      <c r="Q132" s="243" t="e">
        <f ca="1">IF(AND(INDEX(FlowCalConstA,MATCH(N124,FlowCalNumber,0),1,1)*P132^INDEX(FlowCalConstB,MATCH(N124,FlowCalNumber,0),1,1)&gt;INDEX(FlowCalLowSetting,MATCH(N124,FlowCalNumber,0),1,1), (INDEX(FlowCalConstA,MATCH(N124,FlowCalNumber,0),1,1)*P132^INDEX(FlowCalConstB,MATCH(N124,FlowCalNumber,0),1,1)&lt;INDEX(FlowCalHighSetting,MATCH(N124,FlowCalNumber,0),1,1))),INDEX(FlowCalConstA,MATCH(N124,FlowCalNumber,0),1,1)*P132^INDEX(FlowCalConstB,MATCH(N124,FlowCalNumber,0),1,1)," ")</f>
        <v>#N/A</v>
      </c>
      <c r="R132" s="33"/>
      <c r="S132" s="242">
        <f t="shared" si="124"/>
        <v>1</v>
      </c>
      <c r="T132" s="241" t="e">
        <f t="shared" ca="1" si="125"/>
        <v>#VALUE!</v>
      </c>
      <c r="U132" s="244" t="e">
        <f ca="1">IF(AND(INDEX(FlowCalConstA,MATCH(R124,FlowCalNumber,0),1,1)*T132^INDEX(FlowCalConstB,MATCH(R124,FlowCalNumber,0),1,1)&gt;INDEX(FlowCalLowSetting,MATCH(R124,FlowCalNumber,0),1,1), (INDEX(FlowCalConstA,MATCH(R124,FlowCalNumber,0),1,1)*T132^INDEX(FlowCalConstB,MATCH(R124,FlowCalNumber,0),1,1)&lt;INDEX(FlowCalHighSetting,MATCH(R124,FlowCalNumber,0),1,1))),INDEX(FlowCalConstA,MATCH(R124,FlowCalNumber,0),1,1)*T132^INDEX(FlowCalConstB,MATCH(R124,FlowCalNumber,0),1,1)," ")</f>
        <v>#N/A</v>
      </c>
      <c r="V132" s="33"/>
      <c r="W132" s="242">
        <f t="shared" si="126"/>
        <v>0.1</v>
      </c>
      <c r="X132" s="241" t="e">
        <f t="shared" ca="1" si="127"/>
        <v>#VALUE!</v>
      </c>
      <c r="Y132" s="243" t="e">
        <f ca="1">IF(AND(INDEX(FlowCalConstA,MATCH(V124,FlowCalNumber,0),1,1)*X132^INDEX(FlowCalConstB,MATCH(V124,FlowCalNumber,0),1,1)&gt;INDEX(FlowCalLowSetting,MATCH(V124,FlowCalNumber,0),1,1), (INDEX(FlowCalConstA,MATCH(V124,FlowCalNumber,0),1,1)*X132^INDEX(FlowCalConstB,MATCH(V124,FlowCalNumber,0),1,1)&lt;INDEX(FlowCalHighSetting,MATCH(V124,FlowCalNumber,0),1,1))),INDEX(FlowCalConstA,MATCH(V124,FlowCalNumber,0),1,1)*X132^INDEX(FlowCalConstB,MATCH(V124,FlowCalNumber,0),1,1)," ")</f>
        <v>#N/A</v>
      </c>
      <c r="Z132" s="33"/>
      <c r="AA132" s="242">
        <f t="shared" si="128"/>
        <v>0.9</v>
      </c>
      <c r="AB132" s="241" t="e">
        <f t="shared" ca="1" si="129"/>
        <v>#VALUE!</v>
      </c>
      <c r="AC132" s="243" t="e">
        <f ca="1">IF(AND(INDEX(FlowCalConstA,MATCH(Z124,FlowCalNumber,0),1,1)*AB132^INDEX(FlowCalConstB,MATCH(Z124,FlowCalNumber,0),1,1)&gt;INDEX(FlowCalLowSetting,MATCH(Z124,FlowCalNumber,0),1,1), (INDEX(FlowCalConstA,MATCH(Z124,FlowCalNumber,0),1,1)*AB132^INDEX(FlowCalConstB,MATCH(Z124,FlowCalNumber,0),1,1)&lt;INDEX(FlowCalHighSetting,MATCH(Z124,FlowCalNumber,0),1,1))),INDEX(FlowCalConstA,MATCH(Z124,FlowCalNumber,0),1,1)*AB132^INDEX(FlowCalConstB,MATCH(Z124,FlowCalNumber,0),1,1)," ")</f>
        <v>#N/A</v>
      </c>
      <c r="AD132" s="33"/>
      <c r="AE132" s="242">
        <f t="shared" si="130"/>
        <v>0.1</v>
      </c>
      <c r="AF132" s="241" t="e">
        <f t="shared" ca="1" si="131"/>
        <v>#VALUE!</v>
      </c>
      <c r="AG132" s="243" t="e">
        <f ca="1">IF(AND(INDEX(FlowCalConstA,MATCH(AD124,FlowCalNumber,0),1,1)*AF132^INDEX(FlowCalConstB,MATCH(AD124,FlowCalNumber,0),1,1)&gt;INDEX(FlowCalLowSetting,MATCH(AD124,FlowCalNumber,0),1,1), (INDEX(FlowCalConstA,MATCH(AD124,FlowCalNumber,0),1,1)*AF132^INDEX(FlowCalConstB,MATCH(AD124,FlowCalNumber,0),1,1)&lt;INDEX(FlowCalHighSetting,MATCH(AD124,FlowCalNumber,0),1,1))),INDEX(FlowCalConstA,MATCH(AD124,FlowCalNumber,0),1,1)*AF132^INDEX(FlowCalConstB,MATCH(AD124,FlowCalNumber,0),1,1)," ")</f>
        <v>#N/A</v>
      </c>
      <c r="AH132" s="33"/>
      <c r="AI132" s="242">
        <f t="shared" si="132"/>
        <v>0.9</v>
      </c>
      <c r="AJ132" s="241" t="e">
        <f t="shared" ca="1" si="133"/>
        <v>#VALUE!</v>
      </c>
      <c r="AK132" s="243" t="e">
        <f ca="1">IF(AND(INDEX(FlowCalConstA,MATCH(AH124,FlowCalNumber,0),1,1)*AJ132^INDEX(FlowCalConstB,MATCH(AH124,FlowCalNumber,0),1,1)&gt;INDEX(FlowCalLowSetting,MATCH(AH124,FlowCalNumber,0),1,1), (INDEX(FlowCalConstA,MATCH(AH124,FlowCalNumber,0),1,1)*AJ132^INDEX(FlowCalConstB,MATCH(AH124,FlowCalNumber,0),1,1)&lt;INDEX(FlowCalHighSetting,MATCH(AH124,FlowCalNumber,0),1,1))),INDEX(FlowCalConstA,MATCH(AH124,FlowCalNumber,0),1,1)*AJ132^INDEX(FlowCalConstB,MATCH(AH124,FlowCalNumber,0),1,1)," ")</f>
        <v>#N/A</v>
      </c>
      <c r="AL132" s="33"/>
      <c r="AM132" s="242"/>
      <c r="AN132" s="241"/>
      <c r="AO132" s="244"/>
      <c r="AQ132" s="242"/>
      <c r="AR132" s="241"/>
      <c r="AS132" s="244"/>
      <c r="AT132" s="33"/>
      <c r="AU132" s="242"/>
      <c r="AV132" s="241"/>
      <c r="AW132" s="244"/>
      <c r="AX132" s="33"/>
      <c r="AY132" s="242"/>
      <c r="AZ132" s="241"/>
      <c r="BA132" s="244"/>
      <c r="BB132" s="33"/>
      <c r="BC132" s="242"/>
      <c r="BD132" s="241"/>
      <c r="BE132" s="244"/>
      <c r="BF132" s="33"/>
      <c r="BG132" s="242"/>
      <c r="BH132" s="241"/>
      <c r="BI132" s="244"/>
      <c r="BJ132" s="33"/>
      <c r="BK132" s="242"/>
      <c r="BL132" s="241"/>
      <c r="BM132" s="244"/>
      <c r="BN132" s="33"/>
      <c r="BO132" s="242"/>
      <c r="BP132" s="241"/>
      <c r="BQ132" s="244"/>
      <c r="BR132" s="33"/>
      <c r="BS132" s="242"/>
      <c r="BT132" s="241"/>
      <c r="BU132" s="244"/>
      <c r="BV132" s="33"/>
      <c r="BW132" s="242"/>
      <c r="BX132" s="241"/>
      <c r="BY132" s="244"/>
      <c r="BZ132" s="33"/>
      <c r="CA132" s="242"/>
      <c r="CB132" s="241"/>
      <c r="CC132" s="244"/>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243"/>
      <c r="CZ132" s="243"/>
      <c r="DA132" s="243"/>
      <c r="DB132" s="243"/>
      <c r="DC132" s="243"/>
      <c r="DD132" s="243"/>
      <c r="DE132" s="243"/>
      <c r="DF132" s="243"/>
      <c r="DG132" s="243"/>
      <c r="DH132" s="243"/>
      <c r="DI132" s="243"/>
      <c r="DJ132" s="243"/>
      <c r="DK132" s="243"/>
      <c r="DM132" s="242"/>
      <c r="DO132" s="243"/>
      <c r="DQ132" s="242"/>
      <c r="DS132" s="243"/>
      <c r="DU132" s="242"/>
      <c r="DW132" s="243"/>
      <c r="DY132" s="242"/>
      <c r="EA132" s="243"/>
    </row>
    <row r="133" spans="1:131">
      <c r="A133" s="20"/>
      <c r="B133" s="124" t="str">
        <f t="shared" si="118"/>
        <v/>
      </c>
      <c r="C133" s="235"/>
      <c r="D133" s="24">
        <f>'1% Wind'!$M$90</f>
        <v>5.7</v>
      </c>
      <c r="E133" s="90"/>
      <c r="F133" s="90"/>
      <c r="G133" s="79">
        <f ca="1">IF(I124=0.9743,$G132,MAX(G132/D132*D133,2))</f>
        <v>6.001707317073171</v>
      </c>
      <c r="H133" s="121" t="e">
        <f t="shared" ca="1" si="119"/>
        <v>#VALUE!</v>
      </c>
      <c r="J133" s="33"/>
      <c r="K133" s="242">
        <f t="shared" si="120"/>
        <v>1</v>
      </c>
      <c r="L133" s="241" t="e">
        <f t="shared" ca="1" si="121"/>
        <v>#VALUE!</v>
      </c>
      <c r="M133" s="243" t="e">
        <f ca="1">IF(AND(INDEX(FlowCalConstA,MATCH(J124,FlowCalNumber,0),1,1)*L133^INDEX(FlowCalConstB,MATCH(J124,FlowCalNumber,0),1,1)&gt;INDEX(FlowCalLowSetting,MATCH(J124,FlowCalNumber,0),1,1), (INDEX(FlowCalConstA,MATCH(J124,FlowCalNumber,0),1,1)*L133^INDEX(FlowCalConstB,MATCH(J124,FlowCalNumber,0),1,1)&lt;INDEX(FlowCalHighSetting,MATCH(J124,FlowCalNumber,0),1,1))),INDEX(FlowCalConstA,MATCH(J124,FlowCalNumber,0),1,1)*L133^INDEX(FlowCalConstB,MATCH(J124,FlowCalNumber,0),1,1)," ")</f>
        <v>#N/A</v>
      </c>
      <c r="N133" s="33"/>
      <c r="O133" s="242">
        <f t="shared" si="122"/>
        <v>1</v>
      </c>
      <c r="P133" s="241" t="e">
        <f t="shared" ca="1" si="123"/>
        <v>#VALUE!</v>
      </c>
      <c r="Q133" s="243" t="e">
        <f ca="1">IF(AND(INDEX(FlowCalConstA,MATCH(N124,FlowCalNumber,0),1,1)*P133^INDEX(FlowCalConstB,MATCH(N124,FlowCalNumber,0),1,1)&gt;INDEX(FlowCalLowSetting,MATCH(N124,FlowCalNumber,0),1,1), (INDEX(FlowCalConstA,MATCH(N124,FlowCalNumber,0),1,1)*P133^INDEX(FlowCalConstB,MATCH(N124,FlowCalNumber,0),1,1)&lt;INDEX(FlowCalHighSetting,MATCH(N124,FlowCalNumber,0),1,1))),INDEX(FlowCalConstA,MATCH(N124,FlowCalNumber,0),1,1)*P133^INDEX(FlowCalConstB,MATCH(N124,FlowCalNumber,0),1,1)," ")</f>
        <v>#N/A</v>
      </c>
      <c r="R133" s="33"/>
      <c r="S133" s="242">
        <f t="shared" si="124"/>
        <v>1</v>
      </c>
      <c r="T133" s="241" t="e">
        <f t="shared" ca="1" si="125"/>
        <v>#VALUE!</v>
      </c>
      <c r="U133" s="244" t="e">
        <f ca="1">IF(AND(INDEX(FlowCalConstA,MATCH(R124,FlowCalNumber,0),1,1)*T133^INDEX(FlowCalConstB,MATCH(R124,FlowCalNumber,0),1,1)&gt;INDEX(FlowCalLowSetting,MATCH(R124,FlowCalNumber,0),1,1), (INDEX(FlowCalConstA,MATCH(R124,FlowCalNumber,0),1,1)*T133^INDEX(FlowCalConstB,MATCH(R124,FlowCalNumber,0),1,1)&lt;INDEX(FlowCalHighSetting,MATCH(R124,FlowCalNumber,0),1,1))),INDEX(FlowCalConstA,MATCH(R124,FlowCalNumber,0),1,1)*T133^INDEX(FlowCalConstB,MATCH(R124,FlowCalNumber,0),1,1)," ")</f>
        <v>#N/A</v>
      </c>
      <c r="V133" s="33"/>
      <c r="W133" s="242">
        <f t="shared" si="126"/>
        <v>0.1</v>
      </c>
      <c r="X133" s="241" t="e">
        <f t="shared" ca="1" si="127"/>
        <v>#VALUE!</v>
      </c>
      <c r="Y133" s="243" t="e">
        <f ca="1">IF(AND(INDEX(FlowCalConstA,MATCH(V124,FlowCalNumber,0),1,1)*X133^INDEX(FlowCalConstB,MATCH(V124,FlowCalNumber,0),1,1)&gt;INDEX(FlowCalLowSetting,MATCH(V124,FlowCalNumber,0),1,1), (INDEX(FlowCalConstA,MATCH(V124,FlowCalNumber,0),1,1)*X133^INDEX(FlowCalConstB,MATCH(V124,FlowCalNumber,0),1,1)&lt;INDEX(FlowCalHighSetting,MATCH(V124,FlowCalNumber,0),1,1))),INDEX(FlowCalConstA,MATCH(V124,FlowCalNumber,0),1,1)*X133^INDEX(FlowCalConstB,MATCH(V124,FlowCalNumber,0),1,1)," ")</f>
        <v>#N/A</v>
      </c>
      <c r="Z133" s="33"/>
      <c r="AA133" s="242">
        <f t="shared" si="128"/>
        <v>0.9</v>
      </c>
      <c r="AB133" s="241" t="e">
        <f t="shared" ca="1" si="129"/>
        <v>#VALUE!</v>
      </c>
      <c r="AC133" s="243" t="e">
        <f ca="1">IF(AND(INDEX(FlowCalConstA,MATCH(Z124,FlowCalNumber,0),1,1)*AB133^INDEX(FlowCalConstB,MATCH(Z124,FlowCalNumber,0),1,1)&gt;INDEX(FlowCalLowSetting,MATCH(Z124,FlowCalNumber,0),1,1), (INDEX(FlowCalConstA,MATCH(Z124,FlowCalNumber,0),1,1)*AB133^INDEX(FlowCalConstB,MATCH(Z124,FlowCalNumber,0),1,1)&lt;INDEX(FlowCalHighSetting,MATCH(Z124,FlowCalNumber,0),1,1))),INDEX(FlowCalConstA,MATCH(Z124,FlowCalNumber,0),1,1)*AB133^INDEX(FlowCalConstB,MATCH(Z124,FlowCalNumber,0),1,1)," ")</f>
        <v>#N/A</v>
      </c>
      <c r="AD133" s="33"/>
      <c r="AE133" s="242">
        <f t="shared" si="130"/>
        <v>0.1</v>
      </c>
      <c r="AF133" s="241" t="e">
        <f t="shared" ca="1" si="131"/>
        <v>#VALUE!</v>
      </c>
      <c r="AG133" s="243" t="e">
        <f ca="1">IF(AND(INDEX(FlowCalConstA,MATCH(AD124,FlowCalNumber,0),1,1)*AF133^INDEX(FlowCalConstB,MATCH(AD124,FlowCalNumber,0),1,1)&gt;INDEX(FlowCalLowSetting,MATCH(AD124,FlowCalNumber,0),1,1), (INDEX(FlowCalConstA,MATCH(AD124,FlowCalNumber,0),1,1)*AF133^INDEX(FlowCalConstB,MATCH(AD124,FlowCalNumber,0),1,1)&lt;INDEX(FlowCalHighSetting,MATCH(AD124,FlowCalNumber,0),1,1))),INDEX(FlowCalConstA,MATCH(AD124,FlowCalNumber,0),1,1)*AF133^INDEX(FlowCalConstB,MATCH(AD124,FlowCalNumber,0),1,1)," ")</f>
        <v>#N/A</v>
      </c>
      <c r="AH133" s="33"/>
      <c r="AI133" s="242">
        <f t="shared" si="132"/>
        <v>0.9</v>
      </c>
      <c r="AJ133" s="241" t="e">
        <f t="shared" ca="1" si="133"/>
        <v>#VALUE!</v>
      </c>
      <c r="AK133" s="243" t="e">
        <f ca="1">IF(AND(INDEX(FlowCalConstA,MATCH(AH124,FlowCalNumber,0),1,1)*AJ133^INDEX(FlowCalConstB,MATCH(AH124,FlowCalNumber,0),1,1)&gt;INDEX(FlowCalLowSetting,MATCH(AH124,FlowCalNumber,0),1,1), (INDEX(FlowCalConstA,MATCH(AH124,FlowCalNumber,0),1,1)*AJ133^INDEX(FlowCalConstB,MATCH(AH124,FlowCalNumber,0),1,1)&lt;INDEX(FlowCalHighSetting,MATCH(AH124,FlowCalNumber,0),1,1))),INDEX(FlowCalConstA,MATCH(AH124,FlowCalNumber,0),1,1)*AJ133^INDEX(FlowCalConstB,MATCH(AH124,FlowCalNumber,0),1,1)," ")</f>
        <v>#N/A</v>
      </c>
      <c r="AL133" s="33"/>
      <c r="AM133" s="242"/>
      <c r="AN133" s="241"/>
      <c r="AO133" s="244"/>
      <c r="AQ133" s="242"/>
      <c r="AR133" s="241"/>
      <c r="AS133" s="244"/>
      <c r="AT133" s="33"/>
      <c r="AU133" s="242"/>
      <c r="AV133" s="241"/>
      <c r="AW133" s="244"/>
      <c r="AX133" s="33"/>
      <c r="AY133" s="242"/>
      <c r="AZ133" s="241"/>
      <c r="BA133" s="244"/>
      <c r="BB133" s="33"/>
      <c r="BC133" s="242"/>
      <c r="BD133" s="241"/>
      <c r="BE133" s="244"/>
      <c r="BF133" s="33"/>
      <c r="BG133" s="242"/>
      <c r="BH133" s="241"/>
      <c r="BI133" s="244"/>
      <c r="BJ133" s="33"/>
      <c r="BK133" s="242"/>
      <c r="BL133" s="241"/>
      <c r="BM133" s="244"/>
      <c r="BN133" s="33"/>
      <c r="BO133" s="242"/>
      <c r="BP133" s="241"/>
      <c r="BQ133" s="244"/>
      <c r="BR133" s="33"/>
      <c r="BS133" s="242"/>
      <c r="BT133" s="241"/>
      <c r="BU133" s="244"/>
      <c r="BV133" s="33"/>
      <c r="BW133" s="242"/>
      <c r="BX133" s="241"/>
      <c r="BY133" s="244"/>
      <c r="BZ133" s="33"/>
      <c r="CA133" s="242"/>
      <c r="CB133" s="241"/>
      <c r="CC133" s="244"/>
      <c r="CD133" s="243"/>
      <c r="CE133" s="243"/>
      <c r="CF133" s="243"/>
      <c r="CG133" s="243"/>
      <c r="CH133" s="243"/>
      <c r="CI133" s="243"/>
      <c r="CJ133" s="243"/>
      <c r="CK133" s="243"/>
      <c r="CL133" s="243"/>
      <c r="CM133" s="243"/>
      <c r="CN133" s="243"/>
      <c r="CO133" s="243"/>
      <c r="CP133" s="243"/>
      <c r="CQ133" s="243"/>
      <c r="CR133" s="243"/>
      <c r="CS133" s="243"/>
      <c r="CT133" s="243"/>
      <c r="CU133" s="243"/>
      <c r="CV133" s="243"/>
      <c r="CW133" s="243"/>
      <c r="CX133" s="243"/>
      <c r="CY133" s="243"/>
      <c r="CZ133" s="243"/>
      <c r="DA133" s="243"/>
      <c r="DB133" s="243"/>
      <c r="DC133" s="243"/>
      <c r="DD133" s="243"/>
      <c r="DE133" s="243"/>
      <c r="DF133" s="243"/>
      <c r="DG133" s="243"/>
      <c r="DH133" s="243"/>
      <c r="DI133" s="243"/>
      <c r="DJ133" s="243"/>
      <c r="DK133" s="243"/>
      <c r="DM133" s="242"/>
      <c r="DO133" s="243"/>
      <c r="DQ133" s="242"/>
      <c r="DS133" s="243"/>
      <c r="DU133" s="242"/>
      <c r="DW133" s="243"/>
      <c r="DY133" s="242"/>
      <c r="EA133" s="243"/>
    </row>
    <row r="134" spans="1:131">
      <c r="A134" s="20"/>
      <c r="B134" s="124" t="str">
        <f t="shared" si="118"/>
        <v/>
      </c>
      <c r="C134" s="235"/>
      <c r="D134" s="24">
        <f>'1% Wind'!$M$91</f>
        <v>4.2</v>
      </c>
      <c r="E134" s="90"/>
      <c r="F134" s="90"/>
      <c r="G134" s="79">
        <f ca="1">IF(I124=0.9743,$G133,MAX(G133/D133*D134,2))</f>
        <v>6.001707317073171</v>
      </c>
      <c r="H134" s="121" t="e">
        <f t="shared" ca="1" si="119"/>
        <v>#VALUE!</v>
      </c>
      <c r="J134" s="33"/>
      <c r="K134" s="242">
        <f t="shared" si="120"/>
        <v>1</v>
      </c>
      <c r="L134" s="241" t="e">
        <f t="shared" ca="1" si="121"/>
        <v>#VALUE!</v>
      </c>
      <c r="M134" s="243" t="e">
        <f ca="1">IF(AND(INDEX(FlowCalConstA,MATCH(J124,FlowCalNumber,0),1,1)*L134^INDEX(FlowCalConstB,MATCH(J124,FlowCalNumber,0),1,1)&gt;INDEX(FlowCalLowSetting,MATCH(J124,FlowCalNumber,0),1,1), (INDEX(FlowCalConstA,MATCH(J124,FlowCalNumber,0),1,1)*L134^INDEX(FlowCalConstB,MATCH(J124,FlowCalNumber,0),1,1)&lt;INDEX(FlowCalHighSetting,MATCH(J124,FlowCalNumber,0),1,1))),INDEX(FlowCalConstA,MATCH(J124,FlowCalNumber,0),1,1)*L134^INDEX(FlowCalConstB,MATCH(J124,FlowCalNumber,0),1,1)," ")</f>
        <v>#N/A</v>
      </c>
      <c r="N134" s="33"/>
      <c r="O134" s="242">
        <f t="shared" si="122"/>
        <v>1</v>
      </c>
      <c r="P134" s="241" t="e">
        <f t="shared" ca="1" si="123"/>
        <v>#VALUE!</v>
      </c>
      <c r="Q134" s="243" t="e">
        <f ca="1">IF(AND(INDEX(FlowCalConstA,MATCH(N124,FlowCalNumber,0),1,1)*P134^INDEX(FlowCalConstB,MATCH(N124,FlowCalNumber,0),1,1)&gt;INDEX(FlowCalLowSetting,MATCH(N124,FlowCalNumber,0),1,1), (INDEX(FlowCalConstA,MATCH(N124,FlowCalNumber,0),1,1)*P134^INDEX(FlowCalConstB,MATCH(N124,FlowCalNumber,0),1,1)&lt;INDEX(FlowCalHighSetting,MATCH(N124,FlowCalNumber,0),1,1))),INDEX(FlowCalConstA,MATCH(N124,FlowCalNumber,0),1,1)*P134^INDEX(FlowCalConstB,MATCH(N124,FlowCalNumber,0),1,1)," ")</f>
        <v>#N/A</v>
      </c>
      <c r="R134" s="33"/>
      <c r="S134" s="242">
        <f t="shared" si="124"/>
        <v>1</v>
      </c>
      <c r="T134" s="241" t="e">
        <f t="shared" ca="1" si="125"/>
        <v>#VALUE!</v>
      </c>
      <c r="U134" s="244" t="e">
        <f ca="1">IF(AND(INDEX(FlowCalConstA,MATCH(R124,FlowCalNumber,0),1,1)*T134^INDEX(FlowCalConstB,MATCH(R124,FlowCalNumber,0),1,1)&gt;INDEX(FlowCalLowSetting,MATCH(R124,FlowCalNumber,0),1,1), (INDEX(FlowCalConstA,MATCH(R124,FlowCalNumber,0),1,1)*T134^INDEX(FlowCalConstB,MATCH(R124,FlowCalNumber,0),1,1)&lt;INDEX(FlowCalHighSetting,MATCH(R124,FlowCalNumber,0),1,1))),INDEX(FlowCalConstA,MATCH(R124,FlowCalNumber,0),1,1)*T134^INDEX(FlowCalConstB,MATCH(R124,FlowCalNumber,0),1,1)," ")</f>
        <v>#N/A</v>
      </c>
      <c r="V134" s="33"/>
      <c r="W134" s="242">
        <f t="shared" si="126"/>
        <v>0.1</v>
      </c>
      <c r="X134" s="241" t="e">
        <f t="shared" ca="1" si="127"/>
        <v>#VALUE!</v>
      </c>
      <c r="Y134" s="243" t="e">
        <f ca="1">IF(AND(INDEX(FlowCalConstA,MATCH(V124,FlowCalNumber,0),1,1)*X134^INDEX(FlowCalConstB,MATCH(V124,FlowCalNumber,0),1,1)&gt;INDEX(FlowCalLowSetting,MATCH(V124,FlowCalNumber,0),1,1), (INDEX(FlowCalConstA,MATCH(V124,FlowCalNumber,0),1,1)*X134^INDEX(FlowCalConstB,MATCH(V124,FlowCalNumber,0),1,1)&lt;INDEX(FlowCalHighSetting,MATCH(V124,FlowCalNumber,0),1,1))),INDEX(FlowCalConstA,MATCH(V124,FlowCalNumber,0),1,1)*X134^INDEX(FlowCalConstB,MATCH(V124,FlowCalNumber,0),1,1)," ")</f>
        <v>#N/A</v>
      </c>
      <c r="Z134" s="33"/>
      <c r="AA134" s="242">
        <f t="shared" si="128"/>
        <v>0.9</v>
      </c>
      <c r="AB134" s="241" t="e">
        <f t="shared" ca="1" si="129"/>
        <v>#VALUE!</v>
      </c>
      <c r="AC134" s="243" t="e">
        <f ca="1">IF(AND(INDEX(FlowCalConstA,MATCH(Z124,FlowCalNumber,0),1,1)*AB134^INDEX(FlowCalConstB,MATCH(Z124,FlowCalNumber,0),1,1)&gt;INDEX(FlowCalLowSetting,MATCH(Z124,FlowCalNumber,0),1,1), (INDEX(FlowCalConstA,MATCH(Z124,FlowCalNumber,0),1,1)*AB134^INDEX(FlowCalConstB,MATCH(Z124,FlowCalNumber,0),1,1)&lt;INDEX(FlowCalHighSetting,MATCH(Z124,FlowCalNumber,0),1,1))),INDEX(FlowCalConstA,MATCH(Z124,FlowCalNumber,0),1,1)*AB134^INDEX(FlowCalConstB,MATCH(Z124,FlowCalNumber,0),1,1)," ")</f>
        <v>#N/A</v>
      </c>
      <c r="AD134" s="33"/>
      <c r="AE134" s="242">
        <f t="shared" si="130"/>
        <v>0.1</v>
      </c>
      <c r="AF134" s="241" t="e">
        <f t="shared" ca="1" si="131"/>
        <v>#VALUE!</v>
      </c>
      <c r="AG134" s="243" t="e">
        <f ca="1">IF(AND(INDEX(FlowCalConstA,MATCH(AD124,FlowCalNumber,0),1,1)*AF134^INDEX(FlowCalConstB,MATCH(AD124,FlowCalNumber,0),1,1)&gt;INDEX(FlowCalLowSetting,MATCH(AD124,FlowCalNumber,0),1,1), (INDEX(FlowCalConstA,MATCH(AD124,FlowCalNumber,0),1,1)*AF134^INDEX(FlowCalConstB,MATCH(AD124,FlowCalNumber,0),1,1)&lt;INDEX(FlowCalHighSetting,MATCH(AD124,FlowCalNumber,0),1,1))),INDEX(FlowCalConstA,MATCH(AD124,FlowCalNumber,0),1,1)*AF134^INDEX(FlowCalConstB,MATCH(AD124,FlowCalNumber,0),1,1)," ")</f>
        <v>#N/A</v>
      </c>
      <c r="AH134" s="33"/>
      <c r="AI134" s="242">
        <f t="shared" si="132"/>
        <v>0.9</v>
      </c>
      <c r="AJ134" s="241" t="e">
        <f t="shared" ca="1" si="133"/>
        <v>#VALUE!</v>
      </c>
      <c r="AK134" s="243" t="e">
        <f ca="1">IF(AND(INDEX(FlowCalConstA,MATCH(AH124,FlowCalNumber,0),1,1)*AJ134^INDEX(FlowCalConstB,MATCH(AH124,FlowCalNumber,0),1,1)&gt;INDEX(FlowCalLowSetting,MATCH(AH124,FlowCalNumber,0),1,1), (INDEX(FlowCalConstA,MATCH(AH124,FlowCalNumber,0),1,1)*AJ134^INDEX(FlowCalConstB,MATCH(AH124,FlowCalNumber,0),1,1)&lt;INDEX(FlowCalHighSetting,MATCH(AH124,FlowCalNumber,0),1,1))),INDEX(FlowCalConstA,MATCH(AH124,FlowCalNumber,0),1,1)*AJ134^INDEX(FlowCalConstB,MATCH(AH124,FlowCalNumber,0),1,1)," ")</f>
        <v>#N/A</v>
      </c>
      <c r="AL134" s="33"/>
      <c r="AM134" s="242"/>
      <c r="AN134" s="241"/>
      <c r="AO134" s="244"/>
      <c r="AQ134" s="242"/>
      <c r="AR134" s="241"/>
      <c r="AS134" s="244"/>
      <c r="AT134" s="33"/>
      <c r="AU134" s="242"/>
      <c r="AV134" s="241"/>
      <c r="AW134" s="244"/>
      <c r="AX134" s="33"/>
      <c r="AY134" s="242"/>
      <c r="AZ134" s="241"/>
      <c r="BA134" s="244"/>
      <c r="BB134" s="33"/>
      <c r="BC134" s="242"/>
      <c r="BD134" s="241"/>
      <c r="BE134" s="244"/>
      <c r="BF134" s="33"/>
      <c r="BG134" s="242"/>
      <c r="BH134" s="241"/>
      <c r="BI134" s="244"/>
      <c r="BJ134" s="33"/>
      <c r="BK134" s="242"/>
      <c r="BL134" s="241"/>
      <c r="BM134" s="244"/>
      <c r="BN134" s="33"/>
      <c r="BO134" s="242"/>
      <c r="BP134" s="241"/>
      <c r="BQ134" s="244"/>
      <c r="BR134" s="33"/>
      <c r="BS134" s="242"/>
      <c r="BT134" s="241"/>
      <c r="BU134" s="244"/>
      <c r="BV134" s="33"/>
      <c r="BW134" s="242"/>
      <c r="BX134" s="241"/>
      <c r="BY134" s="244"/>
      <c r="BZ134" s="33"/>
      <c r="CA134" s="242"/>
      <c r="CB134" s="241"/>
      <c r="CC134" s="244"/>
      <c r="CD134" s="243"/>
      <c r="CE134" s="243"/>
      <c r="CF134" s="243"/>
      <c r="CG134" s="243"/>
      <c r="CH134" s="243"/>
      <c r="CI134" s="243"/>
      <c r="CJ134" s="243"/>
      <c r="CK134" s="243"/>
      <c r="CL134" s="243"/>
      <c r="CM134" s="243"/>
      <c r="CN134" s="243"/>
      <c r="CO134" s="243"/>
      <c r="CP134" s="243"/>
      <c r="CQ134" s="243"/>
      <c r="CR134" s="243"/>
      <c r="CS134" s="243"/>
      <c r="CT134" s="243"/>
      <c r="CU134" s="243"/>
      <c r="CV134" s="243"/>
      <c r="CW134" s="243"/>
      <c r="CX134" s="243"/>
      <c r="CY134" s="243"/>
      <c r="CZ134" s="243"/>
      <c r="DA134" s="243"/>
      <c r="DB134" s="243"/>
      <c r="DC134" s="243"/>
      <c r="DD134" s="243"/>
      <c r="DE134" s="243"/>
      <c r="DF134" s="243"/>
      <c r="DG134" s="243"/>
      <c r="DH134" s="243"/>
      <c r="DI134" s="243"/>
      <c r="DJ134" s="243"/>
      <c r="DK134" s="243"/>
      <c r="DM134" s="242"/>
      <c r="DO134" s="243"/>
      <c r="DQ134" s="242"/>
      <c r="DS134" s="243"/>
      <c r="DU134" s="242"/>
      <c r="DW134" s="243"/>
      <c r="DY134" s="242"/>
      <c r="EA134" s="243"/>
    </row>
    <row r="135" spans="1:131">
      <c r="A135" s="20"/>
      <c r="B135" s="124" t="str">
        <f t="shared" si="118"/>
        <v/>
      </c>
      <c r="C135" s="235"/>
      <c r="D135" s="24">
        <f>'1% Wind'!$M$92</f>
        <v>3.2</v>
      </c>
      <c r="E135" s="90"/>
      <c r="F135" s="90"/>
      <c r="G135" s="79">
        <f ca="1">IF(I124=0.9743,$G134,MAX(G134/D134*D135,2))</f>
        <v>6.001707317073171</v>
      </c>
      <c r="H135" s="121" t="e">
        <f t="shared" ca="1" si="119"/>
        <v>#VALUE!</v>
      </c>
      <c r="J135" s="33"/>
      <c r="K135" s="242">
        <f t="shared" si="120"/>
        <v>1</v>
      </c>
      <c r="L135" s="241" t="e">
        <f t="shared" ca="1" si="121"/>
        <v>#VALUE!</v>
      </c>
      <c r="M135" s="243" t="e">
        <f ca="1">IF(AND(INDEX(FlowCalConstA,MATCH(J124,FlowCalNumber,0),1,1)*L135^INDEX(FlowCalConstB,MATCH(J124,FlowCalNumber,0),1,1)&gt;INDEX(FlowCalLowSetting,MATCH(J124,FlowCalNumber,0),1,1), (INDEX(FlowCalConstA,MATCH(J124,FlowCalNumber,0),1,1)*L135^INDEX(FlowCalConstB,MATCH(J124,FlowCalNumber,0),1,1)&lt;INDEX(FlowCalHighSetting,MATCH(J124,FlowCalNumber,0),1,1))),INDEX(FlowCalConstA,MATCH(J124,FlowCalNumber,0),1,1)*L135^INDEX(FlowCalConstB,MATCH(J124,FlowCalNumber,0),1,1)," ")</f>
        <v>#N/A</v>
      </c>
      <c r="N135" s="33"/>
      <c r="O135" s="242">
        <f t="shared" si="122"/>
        <v>1</v>
      </c>
      <c r="P135" s="241" t="e">
        <f t="shared" ca="1" si="123"/>
        <v>#VALUE!</v>
      </c>
      <c r="Q135" s="243" t="e">
        <f ca="1">IF(AND(INDEX(FlowCalConstA,MATCH(N124,FlowCalNumber,0),1,1)*P135^INDEX(FlowCalConstB,MATCH(N124,FlowCalNumber,0),1,1)&gt;INDEX(FlowCalLowSetting,MATCH(N124,FlowCalNumber,0),1,1), (INDEX(FlowCalConstA,MATCH(N124,FlowCalNumber,0),1,1)*P135^INDEX(FlowCalConstB,MATCH(N124,FlowCalNumber,0),1,1)&lt;INDEX(FlowCalHighSetting,MATCH(N124,FlowCalNumber,0),1,1))),INDEX(FlowCalConstA,MATCH(N124,FlowCalNumber,0),1,1)*P135^INDEX(FlowCalConstB,MATCH(N124,FlowCalNumber,0),1,1)," ")</f>
        <v>#N/A</v>
      </c>
      <c r="R135" s="33"/>
      <c r="S135" s="242">
        <f t="shared" si="124"/>
        <v>1</v>
      </c>
      <c r="T135" s="241" t="e">
        <f t="shared" ca="1" si="125"/>
        <v>#VALUE!</v>
      </c>
      <c r="U135" s="244" t="e">
        <f ca="1">IF(AND(INDEX(FlowCalConstA,MATCH(R124,FlowCalNumber,0),1,1)*T135^INDEX(FlowCalConstB,MATCH(R124,FlowCalNumber,0),1,1)&gt;INDEX(FlowCalLowSetting,MATCH(R124,FlowCalNumber,0),1,1), (INDEX(FlowCalConstA,MATCH(R124,FlowCalNumber,0),1,1)*T135^INDEX(FlowCalConstB,MATCH(R124,FlowCalNumber,0),1,1)&lt;INDEX(FlowCalHighSetting,MATCH(R124,FlowCalNumber,0),1,1))),INDEX(FlowCalConstA,MATCH(R124,FlowCalNumber,0),1,1)*T135^INDEX(FlowCalConstB,MATCH(R124,FlowCalNumber,0),1,1)," ")</f>
        <v>#N/A</v>
      </c>
      <c r="V135" s="33"/>
      <c r="W135" s="242">
        <f t="shared" si="126"/>
        <v>0.1</v>
      </c>
      <c r="X135" s="241" t="e">
        <f t="shared" ca="1" si="127"/>
        <v>#VALUE!</v>
      </c>
      <c r="Y135" s="243" t="e">
        <f ca="1">IF(AND(INDEX(FlowCalConstA,MATCH(V124,FlowCalNumber,0),1,1)*X135^INDEX(FlowCalConstB,MATCH(V124,FlowCalNumber,0),1,1)&gt;INDEX(FlowCalLowSetting,MATCH(V124,FlowCalNumber,0),1,1), (INDEX(FlowCalConstA,MATCH(V124,FlowCalNumber,0),1,1)*X135^INDEX(FlowCalConstB,MATCH(V124,FlowCalNumber,0),1,1)&lt;INDEX(FlowCalHighSetting,MATCH(V124,FlowCalNumber,0),1,1))),INDEX(FlowCalConstA,MATCH(V124,FlowCalNumber,0),1,1)*X135^INDEX(FlowCalConstB,MATCH(V124,FlowCalNumber,0),1,1)," ")</f>
        <v>#N/A</v>
      </c>
      <c r="Z135" s="33"/>
      <c r="AA135" s="242">
        <f t="shared" si="128"/>
        <v>0.9</v>
      </c>
      <c r="AB135" s="241" t="e">
        <f t="shared" ca="1" si="129"/>
        <v>#VALUE!</v>
      </c>
      <c r="AC135" s="243" t="e">
        <f ca="1">IF(AND(INDEX(FlowCalConstA,MATCH(Z124,FlowCalNumber,0),1,1)*AB135^INDEX(FlowCalConstB,MATCH(Z124,FlowCalNumber,0),1,1)&gt;INDEX(FlowCalLowSetting,MATCH(Z124,FlowCalNumber,0),1,1), (INDEX(FlowCalConstA,MATCH(Z124,FlowCalNumber,0),1,1)*AB135^INDEX(FlowCalConstB,MATCH(Z124,FlowCalNumber,0),1,1)&lt;INDEX(FlowCalHighSetting,MATCH(Z124,FlowCalNumber,0),1,1))),INDEX(FlowCalConstA,MATCH(Z124,FlowCalNumber,0),1,1)*AB135^INDEX(FlowCalConstB,MATCH(Z124,FlowCalNumber,0),1,1)," ")</f>
        <v>#N/A</v>
      </c>
      <c r="AD135" s="33"/>
      <c r="AE135" s="242">
        <f t="shared" si="130"/>
        <v>0.1</v>
      </c>
      <c r="AF135" s="241" t="e">
        <f t="shared" ca="1" si="131"/>
        <v>#VALUE!</v>
      </c>
      <c r="AG135" s="243" t="e">
        <f ca="1">IF(AND(INDEX(FlowCalConstA,MATCH(AD124,FlowCalNumber,0),1,1)*AF135^INDEX(FlowCalConstB,MATCH(AD124,FlowCalNumber,0),1,1)&gt;INDEX(FlowCalLowSetting,MATCH(AD124,FlowCalNumber,0),1,1), (INDEX(FlowCalConstA,MATCH(AD124,FlowCalNumber,0),1,1)*AF135^INDEX(FlowCalConstB,MATCH(AD124,FlowCalNumber,0),1,1)&lt;INDEX(FlowCalHighSetting,MATCH(AD124,FlowCalNumber,0),1,1))),INDEX(FlowCalConstA,MATCH(AD124,FlowCalNumber,0),1,1)*AF135^INDEX(FlowCalConstB,MATCH(AD124,FlowCalNumber,0),1,1)," ")</f>
        <v>#N/A</v>
      </c>
      <c r="AH135" s="33"/>
      <c r="AI135" s="242">
        <f t="shared" si="132"/>
        <v>0.9</v>
      </c>
      <c r="AJ135" s="241" t="e">
        <f t="shared" ca="1" si="133"/>
        <v>#VALUE!</v>
      </c>
      <c r="AK135" s="243" t="e">
        <f ca="1">IF(AND(INDEX(FlowCalConstA,MATCH(AH124,FlowCalNumber,0),1,1)*AJ135^INDEX(FlowCalConstB,MATCH(AH124,FlowCalNumber,0),1,1)&gt;INDEX(FlowCalLowSetting,MATCH(AH124,FlowCalNumber,0),1,1), (INDEX(FlowCalConstA,MATCH(AH124,FlowCalNumber,0),1,1)*AJ135^INDEX(FlowCalConstB,MATCH(AH124,FlowCalNumber,0),1,1)&lt;INDEX(FlowCalHighSetting,MATCH(AH124,FlowCalNumber,0),1,1))),INDEX(FlowCalConstA,MATCH(AH124,FlowCalNumber,0),1,1)*AJ135^INDEX(FlowCalConstB,MATCH(AH124,FlowCalNumber,0),1,1)," ")</f>
        <v>#N/A</v>
      </c>
      <c r="AL135" s="33"/>
      <c r="AM135" s="242"/>
      <c r="AN135" s="241"/>
      <c r="AO135" s="244"/>
      <c r="AQ135" s="242"/>
      <c r="AR135" s="241"/>
      <c r="AS135" s="244"/>
      <c r="AT135" s="33"/>
      <c r="AU135" s="242"/>
      <c r="AV135" s="241"/>
      <c r="AW135" s="244"/>
      <c r="AX135" s="33"/>
      <c r="AY135" s="242"/>
      <c r="AZ135" s="241"/>
      <c r="BA135" s="244"/>
      <c r="BB135" s="33"/>
      <c r="BC135" s="242"/>
      <c r="BD135" s="241"/>
      <c r="BE135" s="244"/>
      <c r="BF135" s="33"/>
      <c r="BG135" s="242"/>
      <c r="BH135" s="241"/>
      <c r="BI135" s="244"/>
      <c r="BJ135" s="33"/>
      <c r="BK135" s="242"/>
      <c r="BL135" s="241"/>
      <c r="BM135" s="244"/>
      <c r="BN135" s="33"/>
      <c r="BO135" s="242"/>
      <c r="BP135" s="241"/>
      <c r="BQ135" s="244"/>
      <c r="BR135" s="33"/>
      <c r="BS135" s="242"/>
      <c r="BT135" s="241"/>
      <c r="BU135" s="244"/>
      <c r="BV135" s="33"/>
      <c r="BW135" s="242"/>
      <c r="BX135" s="241"/>
      <c r="BY135" s="244"/>
      <c r="BZ135" s="33"/>
      <c r="CA135" s="242"/>
      <c r="CB135" s="241"/>
      <c r="CC135" s="244"/>
      <c r="CD135" s="243"/>
      <c r="CE135" s="243"/>
      <c r="CF135" s="243"/>
      <c r="CG135" s="243"/>
      <c r="CH135" s="243"/>
      <c r="CI135" s="243"/>
      <c r="CJ135" s="243"/>
      <c r="CK135" s="243"/>
      <c r="CL135" s="243"/>
      <c r="CM135" s="243"/>
      <c r="CN135" s="243"/>
      <c r="CO135" s="243"/>
      <c r="CP135" s="243"/>
      <c r="CQ135" s="243"/>
      <c r="CR135" s="243"/>
      <c r="CS135" s="243"/>
      <c r="CT135" s="243"/>
      <c r="CU135" s="243"/>
      <c r="CV135" s="243"/>
      <c r="CW135" s="243"/>
      <c r="CX135" s="243"/>
      <c r="CY135" s="243"/>
      <c r="CZ135" s="243"/>
      <c r="DA135" s="243"/>
      <c r="DB135" s="243"/>
      <c r="DC135" s="243"/>
      <c r="DD135" s="243"/>
      <c r="DE135" s="243"/>
      <c r="DF135" s="243"/>
      <c r="DG135" s="243"/>
      <c r="DH135" s="243"/>
      <c r="DI135" s="243"/>
      <c r="DJ135" s="243"/>
      <c r="DK135" s="243"/>
      <c r="DM135" s="242"/>
      <c r="DO135" s="243"/>
      <c r="DQ135" s="242"/>
      <c r="DS135" s="243"/>
      <c r="DU135" s="242"/>
      <c r="DW135" s="243"/>
      <c r="DY135" s="242"/>
      <c r="EA135" s="243"/>
    </row>
    <row r="136" spans="1:131">
      <c r="A136" s="20"/>
      <c r="B136" s="124" t="str">
        <f t="shared" si="118"/>
        <v/>
      </c>
      <c r="C136" s="235"/>
      <c r="D136" s="24">
        <f>'1% Wind'!$M$93</f>
        <v>2.4</v>
      </c>
      <c r="E136" s="90"/>
      <c r="F136" s="90"/>
      <c r="G136" s="79">
        <f ca="1">IF(I124=0.9743,$G135,MAX(G135/D135*D136,2))</f>
        <v>6.001707317073171</v>
      </c>
      <c r="H136" s="121" t="e">
        <f t="shared" ca="1" si="119"/>
        <v>#VALUE!</v>
      </c>
      <c r="J136" s="33"/>
      <c r="K136" s="242">
        <f t="shared" si="120"/>
        <v>1</v>
      </c>
      <c r="L136" s="241" t="e">
        <f t="shared" ca="1" si="121"/>
        <v>#VALUE!</v>
      </c>
      <c r="M136" s="243" t="e">
        <f ca="1">IF(AND(INDEX(FlowCalConstA,MATCH(J124,FlowCalNumber,0),1,1)*L136^INDEX(FlowCalConstB,MATCH(J124,FlowCalNumber,0),1,1)&gt;INDEX(FlowCalLowSetting,MATCH(J124,FlowCalNumber,0),1,1), (INDEX(FlowCalConstA,MATCH(J124,FlowCalNumber,0),1,1)*L136^INDEX(FlowCalConstB,MATCH(J124,FlowCalNumber,0),1,1)&lt;INDEX(FlowCalHighSetting,MATCH(J124,FlowCalNumber,0),1,1))),INDEX(FlowCalConstA,MATCH(J124,FlowCalNumber,0),1,1)*L136^INDEX(FlowCalConstB,MATCH(J124,FlowCalNumber,0),1,1)," ")</f>
        <v>#N/A</v>
      </c>
      <c r="N136" s="33"/>
      <c r="O136" s="242">
        <f t="shared" si="122"/>
        <v>1</v>
      </c>
      <c r="P136" s="241" t="e">
        <f t="shared" ca="1" si="123"/>
        <v>#VALUE!</v>
      </c>
      <c r="Q136" s="243" t="e">
        <f ca="1">IF(AND(INDEX(FlowCalConstA,MATCH(N124,FlowCalNumber,0),1,1)*P136^INDEX(FlowCalConstB,MATCH(N124,FlowCalNumber,0),1,1)&gt;INDEX(FlowCalLowSetting,MATCH(N124,FlowCalNumber,0),1,1), (INDEX(FlowCalConstA,MATCH(N124,FlowCalNumber,0),1,1)*P136^INDEX(FlowCalConstB,MATCH(N124,FlowCalNumber,0),1,1)&lt;INDEX(FlowCalHighSetting,MATCH(N124,FlowCalNumber,0),1,1))),INDEX(FlowCalConstA,MATCH(N124,FlowCalNumber,0),1,1)*P136^INDEX(FlowCalConstB,MATCH(N124,FlowCalNumber,0),1,1)," ")</f>
        <v>#N/A</v>
      </c>
      <c r="R136" s="33"/>
      <c r="S136" s="242">
        <f t="shared" si="124"/>
        <v>1</v>
      </c>
      <c r="T136" s="241" t="e">
        <f t="shared" ca="1" si="125"/>
        <v>#VALUE!</v>
      </c>
      <c r="U136" s="244" t="e">
        <f ca="1">IF(AND(INDEX(FlowCalConstA,MATCH(R124,FlowCalNumber,0),1,1)*T136^INDEX(FlowCalConstB,MATCH(R124,FlowCalNumber,0),1,1)&gt;INDEX(FlowCalLowSetting,MATCH(R124,FlowCalNumber,0),1,1), (INDEX(FlowCalConstA,MATCH(R124,FlowCalNumber,0),1,1)*T136^INDEX(FlowCalConstB,MATCH(R124,FlowCalNumber,0),1,1)&lt;INDEX(FlowCalHighSetting,MATCH(R124,FlowCalNumber,0),1,1))),INDEX(FlowCalConstA,MATCH(R124,FlowCalNumber,0),1,1)*T136^INDEX(FlowCalConstB,MATCH(R124,FlowCalNumber,0),1,1)," ")</f>
        <v>#N/A</v>
      </c>
      <c r="V136" s="33"/>
      <c r="W136" s="242">
        <f t="shared" si="126"/>
        <v>0.1</v>
      </c>
      <c r="X136" s="241" t="e">
        <f t="shared" ca="1" si="127"/>
        <v>#VALUE!</v>
      </c>
      <c r="Y136" s="243" t="e">
        <f ca="1">IF(AND(INDEX(FlowCalConstA,MATCH(V124,FlowCalNumber,0),1,1)*X136^INDEX(FlowCalConstB,MATCH(V124,FlowCalNumber,0),1,1)&gt;INDEX(FlowCalLowSetting,MATCH(V124,FlowCalNumber,0),1,1), (INDEX(FlowCalConstA,MATCH(V124,FlowCalNumber,0),1,1)*X136^INDEX(FlowCalConstB,MATCH(V124,FlowCalNumber,0),1,1)&lt;INDEX(FlowCalHighSetting,MATCH(V124,FlowCalNumber,0),1,1))),INDEX(FlowCalConstA,MATCH(V124,FlowCalNumber,0),1,1)*X136^INDEX(FlowCalConstB,MATCH(V124,FlowCalNumber,0),1,1)," ")</f>
        <v>#N/A</v>
      </c>
      <c r="Z136" s="33"/>
      <c r="AA136" s="242">
        <f t="shared" si="128"/>
        <v>0.9</v>
      </c>
      <c r="AB136" s="241" t="e">
        <f t="shared" ca="1" si="129"/>
        <v>#VALUE!</v>
      </c>
      <c r="AC136" s="243" t="e">
        <f ca="1">IF(AND(INDEX(FlowCalConstA,MATCH(Z124,FlowCalNumber,0),1,1)*AB136^INDEX(FlowCalConstB,MATCH(Z124,FlowCalNumber,0),1,1)&gt;INDEX(FlowCalLowSetting,MATCH(Z124,FlowCalNumber,0),1,1), (INDEX(FlowCalConstA,MATCH(Z124,FlowCalNumber,0),1,1)*AB136^INDEX(FlowCalConstB,MATCH(Z124,FlowCalNumber,0),1,1)&lt;INDEX(FlowCalHighSetting,MATCH(Z124,FlowCalNumber,0),1,1))),INDEX(FlowCalConstA,MATCH(Z124,FlowCalNumber,0),1,1)*AB136^INDEX(FlowCalConstB,MATCH(Z124,FlowCalNumber,0),1,1)," ")</f>
        <v>#N/A</v>
      </c>
      <c r="AD136" s="33"/>
      <c r="AE136" s="242">
        <f t="shared" si="130"/>
        <v>0.1</v>
      </c>
      <c r="AF136" s="241" t="e">
        <f t="shared" ca="1" si="131"/>
        <v>#VALUE!</v>
      </c>
      <c r="AG136" s="243" t="e">
        <f ca="1">IF(AND(INDEX(FlowCalConstA,MATCH(AD124,FlowCalNumber,0),1,1)*AF136^INDEX(FlowCalConstB,MATCH(AD124,FlowCalNumber,0),1,1)&gt;INDEX(FlowCalLowSetting,MATCH(AD124,FlowCalNumber,0),1,1), (INDEX(FlowCalConstA,MATCH(AD124,FlowCalNumber,0),1,1)*AF136^INDEX(FlowCalConstB,MATCH(AD124,FlowCalNumber,0),1,1)&lt;INDEX(FlowCalHighSetting,MATCH(AD124,FlowCalNumber,0),1,1))),INDEX(FlowCalConstA,MATCH(AD124,FlowCalNumber,0),1,1)*AF136^INDEX(FlowCalConstB,MATCH(AD124,FlowCalNumber,0),1,1)," ")</f>
        <v>#N/A</v>
      </c>
      <c r="AH136" s="33"/>
      <c r="AI136" s="242">
        <f t="shared" si="132"/>
        <v>0.9</v>
      </c>
      <c r="AJ136" s="241" t="e">
        <f t="shared" ca="1" si="133"/>
        <v>#VALUE!</v>
      </c>
      <c r="AK136" s="243" t="e">
        <f ca="1">IF(AND(INDEX(FlowCalConstA,MATCH(AH124,FlowCalNumber,0),1,1)*AJ136^INDEX(FlowCalConstB,MATCH(AH124,FlowCalNumber,0),1,1)&gt;INDEX(FlowCalLowSetting,MATCH(AH124,FlowCalNumber,0),1,1), (INDEX(FlowCalConstA,MATCH(AH124,FlowCalNumber,0),1,1)*AJ136^INDEX(FlowCalConstB,MATCH(AH124,FlowCalNumber,0),1,1)&lt;INDEX(FlowCalHighSetting,MATCH(AH124,FlowCalNumber,0),1,1))),INDEX(FlowCalConstA,MATCH(AH124,FlowCalNumber,0),1,1)*AJ136^INDEX(FlowCalConstB,MATCH(AH124,FlowCalNumber,0),1,1)," ")</f>
        <v>#N/A</v>
      </c>
      <c r="AL136" s="33"/>
      <c r="AM136" s="242"/>
      <c r="AN136" s="241"/>
      <c r="AO136" s="244"/>
      <c r="AQ136" s="242"/>
      <c r="AR136" s="241"/>
      <c r="AS136" s="244"/>
      <c r="AT136" s="33"/>
      <c r="AU136" s="242"/>
      <c r="AV136" s="241"/>
      <c r="AW136" s="244"/>
      <c r="AX136" s="33"/>
      <c r="AY136" s="242"/>
      <c r="AZ136" s="241"/>
      <c r="BA136" s="244"/>
      <c r="BB136" s="33"/>
      <c r="BC136" s="242"/>
      <c r="BD136" s="241"/>
      <c r="BE136" s="244"/>
      <c r="BF136" s="33"/>
      <c r="BG136" s="242"/>
      <c r="BH136" s="241"/>
      <c r="BI136" s="244"/>
      <c r="BJ136" s="33"/>
      <c r="BK136" s="242"/>
      <c r="BL136" s="241"/>
      <c r="BM136" s="244"/>
      <c r="BN136" s="33"/>
      <c r="BO136" s="242"/>
      <c r="BP136" s="241"/>
      <c r="BQ136" s="244"/>
      <c r="BR136" s="33"/>
      <c r="BS136" s="242"/>
      <c r="BT136" s="241"/>
      <c r="BU136" s="244"/>
      <c r="BV136" s="33"/>
      <c r="BW136" s="242"/>
      <c r="BX136" s="241"/>
      <c r="BY136" s="244"/>
      <c r="BZ136" s="33"/>
      <c r="CA136" s="242"/>
      <c r="CB136" s="241"/>
      <c r="CC136" s="244"/>
      <c r="CD136" s="243"/>
      <c r="CE136" s="243"/>
      <c r="CF136" s="243"/>
      <c r="CG136" s="243"/>
      <c r="CH136" s="243"/>
      <c r="CI136" s="243"/>
      <c r="CJ136" s="243"/>
      <c r="CK136" s="243"/>
      <c r="CL136" s="243"/>
      <c r="CM136" s="243"/>
      <c r="CN136" s="243"/>
      <c r="CO136" s="243"/>
      <c r="CP136" s="243"/>
      <c r="CQ136" s="243"/>
      <c r="CR136" s="243"/>
      <c r="CS136" s="243"/>
      <c r="CT136" s="243"/>
      <c r="CU136" s="243"/>
      <c r="CV136" s="243"/>
      <c r="CW136" s="243"/>
      <c r="CX136" s="243"/>
      <c r="CY136" s="243"/>
      <c r="CZ136" s="243"/>
      <c r="DA136" s="243"/>
      <c r="DB136" s="243"/>
      <c r="DC136" s="243"/>
      <c r="DD136" s="243"/>
      <c r="DE136" s="243"/>
      <c r="DF136" s="243"/>
      <c r="DG136" s="243"/>
      <c r="DH136" s="243"/>
      <c r="DI136" s="243"/>
      <c r="DJ136" s="243"/>
      <c r="DK136" s="243"/>
      <c r="DM136" s="242"/>
      <c r="DO136" s="243"/>
      <c r="DQ136" s="242"/>
      <c r="DS136" s="243"/>
      <c r="DU136" s="242"/>
      <c r="DW136" s="243"/>
      <c r="DY136" s="242"/>
      <c r="EA136" s="243"/>
    </row>
    <row r="137" spans="1:131">
      <c r="A137" s="20"/>
      <c r="B137" s="124" t="str">
        <f t="shared" si="118"/>
        <v/>
      </c>
      <c r="C137" s="235"/>
      <c r="D137" s="24">
        <f>'1% Wind'!$M$94</f>
        <v>1.8</v>
      </c>
      <c r="E137" s="90"/>
      <c r="F137" s="90"/>
      <c r="G137" s="79">
        <f ca="1">IF(I124=0.9743,$G136,MAX(G136/D136*D137,2))</f>
        <v>6.001707317073171</v>
      </c>
      <c r="H137" s="121" t="e">
        <f t="shared" ca="1" si="119"/>
        <v>#VALUE!</v>
      </c>
      <c r="J137" s="33"/>
      <c r="K137" s="242">
        <f t="shared" si="120"/>
        <v>1</v>
      </c>
      <c r="L137" s="241" t="e">
        <f t="shared" ca="1" si="121"/>
        <v>#VALUE!</v>
      </c>
      <c r="M137" s="243" t="e">
        <f ca="1">IF(AND(INDEX(FlowCalConstA,MATCH(J124,FlowCalNumber,0),1,1)*L137^INDEX(FlowCalConstB,MATCH(J124,FlowCalNumber,0),1,1)&gt;INDEX(FlowCalLowSetting,MATCH(J124,FlowCalNumber,0),1,1), (INDEX(FlowCalConstA,MATCH(J124,FlowCalNumber,0),1,1)*L137^INDEX(FlowCalConstB,MATCH(J124,FlowCalNumber,0),1,1)&lt;INDEX(FlowCalHighSetting,MATCH(J124,FlowCalNumber,0),1,1))),INDEX(FlowCalConstA,MATCH(J124,FlowCalNumber,0),1,1)*L137^INDEX(FlowCalConstB,MATCH(J124,FlowCalNumber,0),1,1)," ")</f>
        <v>#N/A</v>
      </c>
      <c r="N137" s="33"/>
      <c r="O137" s="242">
        <f t="shared" si="122"/>
        <v>1</v>
      </c>
      <c r="P137" s="241" t="e">
        <f t="shared" ca="1" si="123"/>
        <v>#VALUE!</v>
      </c>
      <c r="Q137" s="243" t="e">
        <f ca="1">IF(AND(INDEX(FlowCalConstA,MATCH(N124,FlowCalNumber,0),1,1)*P137^INDEX(FlowCalConstB,MATCH(N124,FlowCalNumber,0),1,1)&gt;INDEX(FlowCalLowSetting,MATCH(N124,FlowCalNumber,0),1,1), (INDEX(FlowCalConstA,MATCH(N124,FlowCalNumber,0),1,1)*P137^INDEX(FlowCalConstB,MATCH(N124,FlowCalNumber,0),1,1)&lt;INDEX(FlowCalHighSetting,MATCH(N124,FlowCalNumber,0),1,1))),INDEX(FlowCalConstA,MATCH(N124,FlowCalNumber,0),1,1)*P137^INDEX(FlowCalConstB,MATCH(N124,FlowCalNumber,0),1,1)," ")</f>
        <v>#N/A</v>
      </c>
      <c r="R137" s="33"/>
      <c r="S137" s="242">
        <f t="shared" si="124"/>
        <v>1</v>
      </c>
      <c r="T137" s="241" t="e">
        <f t="shared" ca="1" si="125"/>
        <v>#VALUE!</v>
      </c>
      <c r="U137" s="244" t="e">
        <f ca="1">IF(AND(INDEX(FlowCalConstA,MATCH(R124,FlowCalNumber,0),1,1)*T137^INDEX(FlowCalConstB,MATCH(R124,FlowCalNumber,0),1,1)&gt;INDEX(FlowCalLowSetting,MATCH(R124,FlowCalNumber,0),1,1), (INDEX(FlowCalConstA,MATCH(R124,FlowCalNumber,0),1,1)*T137^INDEX(FlowCalConstB,MATCH(R124,FlowCalNumber,0),1,1)&lt;INDEX(FlowCalHighSetting,MATCH(R124,FlowCalNumber,0),1,1))),INDEX(FlowCalConstA,MATCH(R124,FlowCalNumber,0),1,1)*T137^INDEX(FlowCalConstB,MATCH(R124,FlowCalNumber,0),1,1)," ")</f>
        <v>#N/A</v>
      </c>
      <c r="V137" s="33"/>
      <c r="W137" s="242">
        <f t="shared" si="126"/>
        <v>0.1</v>
      </c>
      <c r="X137" s="241" t="e">
        <f t="shared" ca="1" si="127"/>
        <v>#VALUE!</v>
      </c>
      <c r="Y137" s="243" t="e">
        <f ca="1">IF(AND(INDEX(FlowCalConstA,MATCH(V124,FlowCalNumber,0),1,1)*X137^INDEX(FlowCalConstB,MATCH(V124,FlowCalNumber,0),1,1)&gt;INDEX(FlowCalLowSetting,MATCH(V124,FlowCalNumber,0),1,1), (INDEX(FlowCalConstA,MATCH(V124,FlowCalNumber,0),1,1)*X137^INDEX(FlowCalConstB,MATCH(V124,FlowCalNumber,0),1,1)&lt;INDEX(FlowCalHighSetting,MATCH(V124,FlowCalNumber,0),1,1))),INDEX(FlowCalConstA,MATCH(V124,FlowCalNumber,0),1,1)*X137^INDEX(FlowCalConstB,MATCH(V124,FlowCalNumber,0),1,1)," ")</f>
        <v>#N/A</v>
      </c>
      <c r="Z137" s="33"/>
      <c r="AA137" s="242">
        <f t="shared" si="128"/>
        <v>0.9</v>
      </c>
      <c r="AB137" s="241" t="e">
        <f t="shared" ca="1" si="129"/>
        <v>#VALUE!</v>
      </c>
      <c r="AC137" s="243" t="e">
        <f ca="1">IF(AND(INDEX(FlowCalConstA,MATCH(Z124,FlowCalNumber,0),1,1)*AB137^INDEX(FlowCalConstB,MATCH(Z124,FlowCalNumber,0),1,1)&gt;INDEX(FlowCalLowSetting,MATCH(Z124,FlowCalNumber,0),1,1), (INDEX(FlowCalConstA,MATCH(Z124,FlowCalNumber,0),1,1)*AB137^INDEX(FlowCalConstB,MATCH(Z124,FlowCalNumber,0),1,1)&lt;INDEX(FlowCalHighSetting,MATCH(Z124,FlowCalNumber,0),1,1))),INDEX(FlowCalConstA,MATCH(Z124,FlowCalNumber,0),1,1)*AB137^INDEX(FlowCalConstB,MATCH(Z124,FlowCalNumber,0),1,1)," ")</f>
        <v>#N/A</v>
      </c>
      <c r="AD137" s="33"/>
      <c r="AE137" s="242">
        <f t="shared" si="130"/>
        <v>0.1</v>
      </c>
      <c r="AF137" s="241" t="e">
        <f t="shared" ca="1" si="131"/>
        <v>#VALUE!</v>
      </c>
      <c r="AG137" s="243" t="e">
        <f ca="1">IF(AND(INDEX(FlowCalConstA,MATCH(AD124,FlowCalNumber,0),1,1)*AF137^INDEX(FlowCalConstB,MATCH(AD124,FlowCalNumber,0),1,1)&gt;INDEX(FlowCalLowSetting,MATCH(AD124,FlowCalNumber,0),1,1), (INDEX(FlowCalConstA,MATCH(AD124,FlowCalNumber,0),1,1)*AF137^INDEX(FlowCalConstB,MATCH(AD124,FlowCalNumber,0),1,1)&lt;INDEX(FlowCalHighSetting,MATCH(AD124,FlowCalNumber,0),1,1))),INDEX(FlowCalConstA,MATCH(AD124,FlowCalNumber,0),1,1)*AF137^INDEX(FlowCalConstB,MATCH(AD124,FlowCalNumber,0),1,1)," ")</f>
        <v>#N/A</v>
      </c>
      <c r="AH137" s="33"/>
      <c r="AI137" s="242">
        <f t="shared" si="132"/>
        <v>0.9</v>
      </c>
      <c r="AJ137" s="241" t="e">
        <f t="shared" ca="1" si="133"/>
        <v>#VALUE!</v>
      </c>
      <c r="AK137" s="243" t="e">
        <f ca="1">IF(AND(INDEX(FlowCalConstA,MATCH(AH124,FlowCalNumber,0),1,1)*AJ137^INDEX(FlowCalConstB,MATCH(AH124,FlowCalNumber,0),1,1)&gt;INDEX(FlowCalLowSetting,MATCH(AH124,FlowCalNumber,0),1,1), (INDEX(FlowCalConstA,MATCH(AH124,FlowCalNumber,0),1,1)*AJ137^INDEX(FlowCalConstB,MATCH(AH124,FlowCalNumber,0),1,1)&lt;INDEX(FlowCalHighSetting,MATCH(AH124,FlowCalNumber,0),1,1))),INDEX(FlowCalConstA,MATCH(AH124,FlowCalNumber,0),1,1)*AJ137^INDEX(FlowCalConstB,MATCH(AH124,FlowCalNumber,0),1,1)," ")</f>
        <v>#N/A</v>
      </c>
      <c r="AL137" s="33"/>
      <c r="AM137" s="242"/>
      <c r="AN137" s="241"/>
      <c r="AO137" s="244"/>
      <c r="AQ137" s="242"/>
      <c r="AR137" s="241"/>
      <c r="AS137" s="244"/>
      <c r="AT137" s="33"/>
      <c r="AU137" s="242"/>
      <c r="AV137" s="241"/>
      <c r="AW137" s="244"/>
      <c r="AX137" s="33"/>
      <c r="AY137" s="242"/>
      <c r="AZ137" s="241"/>
      <c r="BA137" s="244"/>
      <c r="BB137" s="33"/>
      <c r="BC137" s="242"/>
      <c r="BD137" s="241"/>
      <c r="BE137" s="244"/>
      <c r="BF137" s="33"/>
      <c r="BG137" s="242"/>
      <c r="BH137" s="241"/>
      <c r="BI137" s="244"/>
      <c r="BJ137" s="33"/>
      <c r="BK137" s="242"/>
      <c r="BL137" s="241"/>
      <c r="BM137" s="244"/>
      <c r="BN137" s="33"/>
      <c r="BO137" s="242"/>
      <c r="BP137" s="241"/>
      <c r="BQ137" s="244"/>
      <c r="BR137" s="33"/>
      <c r="BS137" s="242"/>
      <c r="BT137" s="241"/>
      <c r="BU137" s="244"/>
      <c r="BV137" s="33"/>
      <c r="BW137" s="242"/>
      <c r="BX137" s="241"/>
      <c r="BY137" s="244"/>
      <c r="BZ137" s="33"/>
      <c r="CA137" s="242"/>
      <c r="CB137" s="241"/>
      <c r="CC137" s="244"/>
      <c r="CD137" s="243"/>
      <c r="CE137" s="243"/>
      <c r="CF137" s="243"/>
      <c r="CG137" s="243"/>
      <c r="CH137" s="243"/>
      <c r="CI137" s="243"/>
      <c r="CJ137" s="243"/>
      <c r="CK137" s="243"/>
      <c r="CL137" s="243"/>
      <c r="CM137" s="243"/>
      <c r="CN137" s="243"/>
      <c r="CO137" s="243"/>
      <c r="CP137" s="243"/>
      <c r="CQ137" s="243"/>
      <c r="CR137" s="243"/>
      <c r="CS137" s="243"/>
      <c r="CT137" s="243"/>
      <c r="CU137" s="243"/>
      <c r="CV137" s="243"/>
      <c r="CW137" s="243"/>
      <c r="CX137" s="243"/>
      <c r="CY137" s="243"/>
      <c r="CZ137" s="243"/>
      <c r="DA137" s="243"/>
      <c r="DB137" s="243"/>
      <c r="DC137" s="243"/>
      <c r="DD137" s="243"/>
      <c r="DE137" s="243"/>
      <c r="DF137" s="243"/>
      <c r="DG137" s="243"/>
      <c r="DH137" s="243"/>
      <c r="DI137" s="243"/>
      <c r="DJ137" s="243"/>
      <c r="DK137" s="243"/>
      <c r="DM137" s="242"/>
      <c r="DO137" s="243"/>
      <c r="DQ137" s="242"/>
      <c r="DS137" s="243"/>
      <c r="DU137" s="242"/>
      <c r="DW137" s="243"/>
      <c r="DY137" s="242"/>
      <c r="EA137" s="243"/>
    </row>
    <row r="138" spans="1:131">
      <c r="A138" s="20"/>
      <c r="B138" s="124" t="str">
        <f t="shared" si="118"/>
        <v/>
      </c>
      <c r="C138" s="235"/>
      <c r="D138" s="24">
        <f>'1% Wind'!$M$95</f>
        <v>1.3</v>
      </c>
      <c r="E138" s="90"/>
      <c r="F138" s="90"/>
      <c r="G138" s="79">
        <f ca="1">IF(I124=0.9743,$G137,MAX(G137/D137*D138,2))</f>
        <v>6.001707317073171</v>
      </c>
      <c r="H138" s="121" t="e">
        <f t="shared" ca="1" si="119"/>
        <v>#VALUE!</v>
      </c>
      <c r="J138" s="33"/>
      <c r="K138" s="242">
        <f t="shared" si="120"/>
        <v>1</v>
      </c>
      <c r="L138" s="241" t="e">
        <f t="shared" ca="1" si="121"/>
        <v>#VALUE!</v>
      </c>
      <c r="M138" s="243" t="e">
        <f ca="1">IF(AND(INDEX(FlowCalConstA,MATCH(J124,FlowCalNumber,0),1,1)*L138^INDEX(FlowCalConstB,MATCH(J124,FlowCalNumber,0),1,1)&gt;INDEX(FlowCalLowSetting,MATCH(J124,FlowCalNumber,0),1,1), (INDEX(FlowCalConstA,MATCH(J124,FlowCalNumber,0),1,1)*L138^INDEX(FlowCalConstB,MATCH(J124,FlowCalNumber,0),1,1)&lt;INDEX(FlowCalHighSetting,MATCH(J124,FlowCalNumber,0),1,1))),INDEX(FlowCalConstA,MATCH(J124,FlowCalNumber,0),1,1)*L138^INDEX(FlowCalConstB,MATCH(J124,FlowCalNumber,0),1,1)," ")</f>
        <v>#N/A</v>
      </c>
      <c r="N138" s="33"/>
      <c r="O138" s="242">
        <f t="shared" si="122"/>
        <v>1</v>
      </c>
      <c r="P138" s="241" t="e">
        <f t="shared" ca="1" si="123"/>
        <v>#VALUE!</v>
      </c>
      <c r="Q138" s="243" t="e">
        <f ca="1">IF(AND(INDEX(FlowCalConstA,MATCH(N124,FlowCalNumber,0),1,1)*P138^INDEX(FlowCalConstB,MATCH(N124,FlowCalNumber,0),1,1)&gt;INDEX(FlowCalLowSetting,MATCH(N124,FlowCalNumber,0),1,1), (INDEX(FlowCalConstA,MATCH(N124,FlowCalNumber,0),1,1)*P138^INDEX(FlowCalConstB,MATCH(N124,FlowCalNumber,0),1,1)&lt;INDEX(FlowCalHighSetting,MATCH(N124,FlowCalNumber,0),1,1))),INDEX(FlowCalConstA,MATCH(N124,FlowCalNumber,0),1,1)*P138^INDEX(FlowCalConstB,MATCH(N124,FlowCalNumber,0),1,1)," ")</f>
        <v>#N/A</v>
      </c>
      <c r="R138" s="33"/>
      <c r="S138" s="242">
        <f t="shared" si="124"/>
        <v>1</v>
      </c>
      <c r="T138" s="241" t="e">
        <f t="shared" ca="1" si="125"/>
        <v>#VALUE!</v>
      </c>
      <c r="U138" s="244" t="e">
        <f ca="1">IF(AND(INDEX(FlowCalConstA,MATCH(R124,FlowCalNumber,0),1,1)*T138^INDEX(FlowCalConstB,MATCH(R124,FlowCalNumber,0),1,1)&gt;INDEX(FlowCalLowSetting,MATCH(R124,FlowCalNumber,0),1,1), (INDEX(FlowCalConstA,MATCH(R124,FlowCalNumber,0),1,1)*T138^INDEX(FlowCalConstB,MATCH(R124,FlowCalNumber,0),1,1)&lt;INDEX(FlowCalHighSetting,MATCH(R124,FlowCalNumber,0),1,1))),INDEX(FlowCalConstA,MATCH(R124,FlowCalNumber,0),1,1)*T138^INDEX(FlowCalConstB,MATCH(R124,FlowCalNumber,0),1,1)," ")</f>
        <v>#N/A</v>
      </c>
      <c r="V138" s="33"/>
      <c r="W138" s="242">
        <f t="shared" si="126"/>
        <v>0.1</v>
      </c>
      <c r="X138" s="241" t="e">
        <f t="shared" ca="1" si="127"/>
        <v>#VALUE!</v>
      </c>
      <c r="Y138" s="243" t="e">
        <f ca="1">IF(AND(INDEX(FlowCalConstA,MATCH(V124,FlowCalNumber,0),1,1)*X138^INDEX(FlowCalConstB,MATCH(V124,FlowCalNumber,0),1,1)&gt;INDEX(FlowCalLowSetting,MATCH(V124,FlowCalNumber,0),1,1), (INDEX(FlowCalConstA,MATCH(V124,FlowCalNumber,0),1,1)*X138^INDEX(FlowCalConstB,MATCH(V124,FlowCalNumber,0),1,1)&lt;INDEX(FlowCalHighSetting,MATCH(V124,FlowCalNumber,0),1,1))),INDEX(FlowCalConstA,MATCH(V124,FlowCalNumber,0),1,1)*X138^INDEX(FlowCalConstB,MATCH(V124,FlowCalNumber,0),1,1)," ")</f>
        <v>#N/A</v>
      </c>
      <c r="Z138" s="33"/>
      <c r="AA138" s="242">
        <f t="shared" si="128"/>
        <v>0.9</v>
      </c>
      <c r="AB138" s="241" t="e">
        <f t="shared" ca="1" si="129"/>
        <v>#VALUE!</v>
      </c>
      <c r="AC138" s="243" t="e">
        <f ca="1">IF(AND(INDEX(FlowCalConstA,MATCH(Z124,FlowCalNumber,0),1,1)*AB138^INDEX(FlowCalConstB,MATCH(Z124,FlowCalNumber,0),1,1)&gt;INDEX(FlowCalLowSetting,MATCH(Z124,FlowCalNumber,0),1,1), (INDEX(FlowCalConstA,MATCH(Z124,FlowCalNumber,0),1,1)*AB138^INDEX(FlowCalConstB,MATCH(Z124,FlowCalNumber,0),1,1)&lt;INDEX(FlowCalHighSetting,MATCH(Z124,FlowCalNumber,0),1,1))),INDEX(FlowCalConstA,MATCH(Z124,FlowCalNumber,0),1,1)*AB138^INDEX(FlowCalConstB,MATCH(Z124,FlowCalNumber,0),1,1)," ")</f>
        <v>#N/A</v>
      </c>
      <c r="AD138" s="33"/>
      <c r="AE138" s="242">
        <f t="shared" si="130"/>
        <v>0.1</v>
      </c>
      <c r="AF138" s="241" t="e">
        <f t="shared" ca="1" si="131"/>
        <v>#VALUE!</v>
      </c>
      <c r="AG138" s="243" t="e">
        <f ca="1">IF(AND(INDEX(FlowCalConstA,MATCH(AD124,FlowCalNumber,0),1,1)*AF138^INDEX(FlowCalConstB,MATCH(AD124,FlowCalNumber,0),1,1)&gt;INDEX(FlowCalLowSetting,MATCH(AD124,FlowCalNumber,0),1,1), (INDEX(FlowCalConstA,MATCH(AD124,FlowCalNumber,0),1,1)*AF138^INDEX(FlowCalConstB,MATCH(AD124,FlowCalNumber,0),1,1)&lt;INDEX(FlowCalHighSetting,MATCH(AD124,FlowCalNumber,0),1,1))),INDEX(FlowCalConstA,MATCH(AD124,FlowCalNumber,0),1,1)*AF138^INDEX(FlowCalConstB,MATCH(AD124,FlowCalNumber,0),1,1)," ")</f>
        <v>#N/A</v>
      </c>
      <c r="AH138" s="33"/>
      <c r="AI138" s="242">
        <f t="shared" si="132"/>
        <v>0.9</v>
      </c>
      <c r="AJ138" s="241" t="e">
        <f t="shared" ca="1" si="133"/>
        <v>#VALUE!</v>
      </c>
      <c r="AK138" s="243" t="e">
        <f ca="1">IF(AND(INDEX(FlowCalConstA,MATCH(AH124,FlowCalNumber,0),1,1)*AJ138^INDEX(FlowCalConstB,MATCH(AH124,FlowCalNumber,0),1,1)&gt;INDEX(FlowCalLowSetting,MATCH(AH124,FlowCalNumber,0),1,1), (INDEX(FlowCalConstA,MATCH(AH124,FlowCalNumber,0),1,1)*AJ138^INDEX(FlowCalConstB,MATCH(AH124,FlowCalNumber,0),1,1)&lt;INDEX(FlowCalHighSetting,MATCH(AH124,FlowCalNumber,0),1,1))),INDEX(FlowCalConstA,MATCH(AH124,FlowCalNumber,0),1,1)*AJ138^INDEX(FlowCalConstB,MATCH(AH124,FlowCalNumber,0),1,1)," ")</f>
        <v>#N/A</v>
      </c>
      <c r="AL138" s="33"/>
      <c r="AM138" s="242"/>
      <c r="AN138" s="241"/>
      <c r="AO138" s="244"/>
      <c r="AQ138" s="242"/>
      <c r="AR138" s="241"/>
      <c r="AS138" s="244"/>
      <c r="AT138" s="33"/>
      <c r="AU138" s="242"/>
      <c r="AV138" s="241"/>
      <c r="AW138" s="244"/>
      <c r="AX138" s="33"/>
      <c r="AY138" s="242"/>
      <c r="AZ138" s="241"/>
      <c r="BA138" s="244"/>
      <c r="BB138" s="33"/>
      <c r="BC138" s="242"/>
      <c r="BD138" s="241"/>
      <c r="BE138" s="244"/>
      <c r="BF138" s="33"/>
      <c r="BG138" s="242"/>
      <c r="BH138" s="241"/>
      <c r="BI138" s="244"/>
      <c r="BJ138" s="33"/>
      <c r="BK138" s="242"/>
      <c r="BL138" s="241"/>
      <c r="BM138" s="244"/>
      <c r="BN138" s="33"/>
      <c r="BO138" s="242"/>
      <c r="BP138" s="241"/>
      <c r="BQ138" s="244"/>
      <c r="BR138" s="33"/>
      <c r="BS138" s="242"/>
      <c r="BT138" s="241"/>
      <c r="BU138" s="244"/>
      <c r="BV138" s="33"/>
      <c r="BW138" s="242"/>
      <c r="BX138" s="241"/>
      <c r="BY138" s="244"/>
      <c r="BZ138" s="33"/>
      <c r="CA138" s="242"/>
      <c r="CB138" s="241"/>
      <c r="CC138" s="244"/>
      <c r="CD138" s="243"/>
      <c r="CE138" s="243"/>
      <c r="CF138" s="243"/>
      <c r="CG138" s="243"/>
      <c r="CH138" s="243"/>
      <c r="CI138" s="243"/>
      <c r="CJ138" s="243"/>
      <c r="CK138" s="243"/>
      <c r="CL138" s="243"/>
      <c r="CM138" s="243"/>
      <c r="CN138" s="243"/>
      <c r="CO138" s="243"/>
      <c r="CP138" s="243"/>
      <c r="CQ138" s="243"/>
      <c r="CR138" s="243"/>
      <c r="CS138" s="243"/>
      <c r="CT138" s="243"/>
      <c r="CU138" s="243"/>
      <c r="CV138" s="243"/>
      <c r="CW138" s="243"/>
      <c r="CX138" s="243"/>
      <c r="CY138" s="243"/>
      <c r="CZ138" s="243"/>
      <c r="DA138" s="243"/>
      <c r="DB138" s="243"/>
      <c r="DC138" s="243"/>
      <c r="DD138" s="243"/>
      <c r="DE138" s="243"/>
      <c r="DF138" s="243"/>
      <c r="DG138" s="243"/>
      <c r="DH138" s="243"/>
      <c r="DI138" s="243"/>
      <c r="DJ138" s="243"/>
      <c r="DK138" s="243"/>
      <c r="DM138" s="242"/>
      <c r="DO138" s="243"/>
      <c r="DQ138" s="242"/>
      <c r="DS138" s="243"/>
      <c r="DU138" s="242"/>
      <c r="DW138" s="243"/>
      <c r="DY138" s="242"/>
      <c r="EA138" s="243"/>
    </row>
    <row r="139" spans="1:131">
      <c r="A139" s="20"/>
      <c r="B139" s="124" t="str">
        <f t="shared" si="118"/>
        <v/>
      </c>
      <c r="C139" s="235"/>
      <c r="D139" s="24">
        <f>'1% Wind'!$M$96</f>
        <v>1</v>
      </c>
      <c r="E139" s="90"/>
      <c r="F139" s="90"/>
      <c r="G139" s="79">
        <f ca="1">IF(I124=0.9743,$G138,MAX(G138/D138*D139,2))</f>
        <v>6.001707317073171</v>
      </c>
      <c r="H139" s="121" t="e">
        <f t="shared" ca="1" si="119"/>
        <v>#VALUE!</v>
      </c>
      <c r="J139" s="33"/>
      <c r="K139" s="242">
        <f t="shared" si="120"/>
        <v>1</v>
      </c>
      <c r="L139" s="241" t="e">
        <f t="shared" ca="1" si="121"/>
        <v>#VALUE!</v>
      </c>
      <c r="M139" s="243" t="e">
        <f ca="1">IF(AND(INDEX(FlowCalConstA,MATCH(J124,FlowCalNumber,0),1,1)*L139^INDEX(FlowCalConstB,MATCH(J124,FlowCalNumber,0),1,1)&gt;INDEX(FlowCalLowSetting,MATCH(J124,FlowCalNumber,0),1,1), (INDEX(FlowCalConstA,MATCH(J124,FlowCalNumber,0),1,1)*L139^INDEX(FlowCalConstB,MATCH(J124,FlowCalNumber,0),1,1)&lt;INDEX(FlowCalHighSetting,MATCH(J124,FlowCalNumber,0),1,1))),INDEX(FlowCalConstA,MATCH(J124,FlowCalNumber,0),1,1)*L139^INDEX(FlowCalConstB,MATCH(J124,FlowCalNumber,0),1,1)," ")</f>
        <v>#N/A</v>
      </c>
      <c r="N139" s="33"/>
      <c r="O139" s="242">
        <f t="shared" si="122"/>
        <v>1</v>
      </c>
      <c r="P139" s="241" t="e">
        <f t="shared" ca="1" si="123"/>
        <v>#VALUE!</v>
      </c>
      <c r="Q139" s="243" t="e">
        <f ca="1">IF(AND(INDEX(FlowCalConstA,MATCH(N124,FlowCalNumber,0),1,1)*P139^INDEX(FlowCalConstB,MATCH(N124,FlowCalNumber,0),1,1)&gt;INDEX(FlowCalLowSetting,MATCH(N124,FlowCalNumber,0),1,1), (INDEX(FlowCalConstA,MATCH(N124,FlowCalNumber,0),1,1)*P139^INDEX(FlowCalConstB,MATCH(N124,FlowCalNumber,0),1,1)&lt;INDEX(FlowCalHighSetting,MATCH(N124,FlowCalNumber,0),1,1))),INDEX(FlowCalConstA,MATCH(N124,FlowCalNumber,0),1,1)*P139^INDEX(FlowCalConstB,MATCH(N124,FlowCalNumber,0),1,1)," ")</f>
        <v>#N/A</v>
      </c>
      <c r="R139" s="33"/>
      <c r="S139" s="242">
        <f t="shared" si="124"/>
        <v>1</v>
      </c>
      <c r="T139" s="241" t="e">
        <f t="shared" ca="1" si="125"/>
        <v>#VALUE!</v>
      </c>
      <c r="U139" s="244" t="e">
        <f ca="1">IF(AND(INDEX(FlowCalConstA,MATCH(R124,FlowCalNumber,0),1,1)*T139^INDEX(FlowCalConstB,MATCH(R124,FlowCalNumber,0),1,1)&gt;INDEX(FlowCalLowSetting,MATCH(R124,FlowCalNumber,0),1,1), (INDEX(FlowCalConstA,MATCH(R124,FlowCalNumber,0),1,1)*T139^INDEX(FlowCalConstB,MATCH(R124,FlowCalNumber,0),1,1)&lt;INDEX(FlowCalHighSetting,MATCH(R124,FlowCalNumber,0),1,1))),INDEX(FlowCalConstA,MATCH(R124,FlowCalNumber,0),1,1)*T139^INDEX(FlowCalConstB,MATCH(R124,FlowCalNumber,0),1,1)," ")</f>
        <v>#N/A</v>
      </c>
      <c r="V139" s="33"/>
      <c r="W139" s="242">
        <f t="shared" si="126"/>
        <v>0.1</v>
      </c>
      <c r="X139" s="241" t="e">
        <f t="shared" ca="1" si="127"/>
        <v>#VALUE!</v>
      </c>
      <c r="Y139" s="243" t="e">
        <f ca="1">IF(AND(INDEX(FlowCalConstA,MATCH(V124,FlowCalNumber,0),1,1)*X139^INDEX(FlowCalConstB,MATCH(V124,FlowCalNumber,0),1,1)&gt;INDEX(FlowCalLowSetting,MATCH(V124,FlowCalNumber,0),1,1), (INDEX(FlowCalConstA,MATCH(V124,FlowCalNumber,0),1,1)*X139^INDEX(FlowCalConstB,MATCH(V124,FlowCalNumber,0),1,1)&lt;INDEX(FlowCalHighSetting,MATCH(V124,FlowCalNumber,0),1,1))),INDEX(FlowCalConstA,MATCH(V124,FlowCalNumber,0),1,1)*X139^INDEX(FlowCalConstB,MATCH(V124,FlowCalNumber,0),1,1)," ")</f>
        <v>#N/A</v>
      </c>
      <c r="Z139" s="33"/>
      <c r="AA139" s="242">
        <f t="shared" si="128"/>
        <v>0.9</v>
      </c>
      <c r="AB139" s="241" t="e">
        <f t="shared" ca="1" si="129"/>
        <v>#VALUE!</v>
      </c>
      <c r="AC139" s="243" t="e">
        <f ca="1">IF(AND(INDEX(FlowCalConstA,MATCH(Z124,FlowCalNumber,0),1,1)*AB139^INDEX(FlowCalConstB,MATCH(Z124,FlowCalNumber,0),1,1)&gt;INDEX(FlowCalLowSetting,MATCH(Z124,FlowCalNumber,0),1,1), (INDEX(FlowCalConstA,MATCH(Z124,FlowCalNumber,0),1,1)*AB139^INDEX(FlowCalConstB,MATCH(Z124,FlowCalNumber,0),1,1)&lt;INDEX(FlowCalHighSetting,MATCH(Z124,FlowCalNumber,0),1,1))),INDEX(FlowCalConstA,MATCH(Z124,FlowCalNumber,0),1,1)*AB139^INDEX(FlowCalConstB,MATCH(Z124,FlowCalNumber,0),1,1)," ")</f>
        <v>#N/A</v>
      </c>
      <c r="AD139" s="33"/>
      <c r="AE139" s="242">
        <f t="shared" si="130"/>
        <v>0.1</v>
      </c>
      <c r="AF139" s="241" t="e">
        <f t="shared" ca="1" si="131"/>
        <v>#VALUE!</v>
      </c>
      <c r="AG139" s="243" t="e">
        <f ca="1">IF(AND(INDEX(FlowCalConstA,MATCH(AD124,FlowCalNumber,0),1,1)*AF139^INDEX(FlowCalConstB,MATCH(AD124,FlowCalNumber,0),1,1)&gt;INDEX(FlowCalLowSetting,MATCH(AD124,FlowCalNumber,0),1,1), (INDEX(FlowCalConstA,MATCH(AD124,FlowCalNumber,0),1,1)*AF139^INDEX(FlowCalConstB,MATCH(AD124,FlowCalNumber,0),1,1)&lt;INDEX(FlowCalHighSetting,MATCH(AD124,FlowCalNumber,0),1,1))),INDEX(FlowCalConstA,MATCH(AD124,FlowCalNumber,0),1,1)*AF139^INDEX(FlowCalConstB,MATCH(AD124,FlowCalNumber,0),1,1)," ")</f>
        <v>#N/A</v>
      </c>
      <c r="AH139" s="33"/>
      <c r="AI139" s="242">
        <f t="shared" si="132"/>
        <v>0.9</v>
      </c>
      <c r="AJ139" s="241" t="e">
        <f t="shared" ca="1" si="133"/>
        <v>#VALUE!</v>
      </c>
      <c r="AK139" s="243" t="e">
        <f ca="1">IF(AND(INDEX(FlowCalConstA,MATCH(AH124,FlowCalNumber,0),1,1)*AJ139^INDEX(FlowCalConstB,MATCH(AH124,FlowCalNumber,0),1,1)&gt;INDEX(FlowCalLowSetting,MATCH(AH124,FlowCalNumber,0),1,1), (INDEX(FlowCalConstA,MATCH(AH124,FlowCalNumber,0),1,1)*AJ139^INDEX(FlowCalConstB,MATCH(AH124,FlowCalNumber,0),1,1)&lt;INDEX(FlowCalHighSetting,MATCH(AH124,FlowCalNumber,0),1,1))),INDEX(FlowCalConstA,MATCH(AH124,FlowCalNumber,0),1,1)*AJ139^INDEX(FlowCalConstB,MATCH(AH124,FlowCalNumber,0),1,1)," ")</f>
        <v>#N/A</v>
      </c>
      <c r="AL139" s="33"/>
      <c r="AM139" s="242"/>
      <c r="AN139" s="241"/>
      <c r="AO139" s="244"/>
      <c r="AQ139" s="242"/>
      <c r="AR139" s="241"/>
      <c r="AS139" s="244"/>
      <c r="AT139" s="33"/>
      <c r="AU139" s="242"/>
      <c r="AV139" s="241"/>
      <c r="AW139" s="244"/>
      <c r="AX139" s="33"/>
      <c r="AY139" s="242"/>
      <c r="AZ139" s="241"/>
      <c r="BA139" s="244"/>
      <c r="BB139" s="33"/>
      <c r="BC139" s="242"/>
      <c r="BD139" s="241"/>
      <c r="BE139" s="244"/>
      <c r="BF139" s="33"/>
      <c r="BG139" s="242"/>
      <c r="BH139" s="241"/>
      <c r="BI139" s="244"/>
      <c r="BJ139" s="33"/>
      <c r="BK139" s="242"/>
      <c r="BL139" s="241"/>
      <c r="BM139" s="244"/>
      <c r="BN139" s="33"/>
      <c r="BO139" s="242"/>
      <c r="BP139" s="241"/>
      <c r="BQ139" s="244"/>
      <c r="BR139" s="33"/>
      <c r="BS139" s="242"/>
      <c r="BT139" s="241"/>
      <c r="BU139" s="244"/>
      <c r="BV139" s="33"/>
      <c r="BW139" s="242"/>
      <c r="BX139" s="241"/>
      <c r="BY139" s="244"/>
      <c r="BZ139" s="33"/>
      <c r="CA139" s="242"/>
      <c r="CB139" s="241"/>
      <c r="CC139" s="244"/>
      <c r="CD139" s="243"/>
      <c r="CE139" s="243"/>
      <c r="CF139" s="243"/>
      <c r="CG139" s="243"/>
      <c r="CH139" s="243"/>
      <c r="CI139" s="243"/>
      <c r="CJ139" s="243"/>
      <c r="CK139" s="243"/>
      <c r="CL139" s="243"/>
      <c r="CM139" s="243"/>
      <c r="CN139" s="243"/>
      <c r="CO139" s="243"/>
      <c r="CP139" s="243"/>
      <c r="CQ139" s="243"/>
      <c r="CR139" s="243"/>
      <c r="CS139" s="243"/>
      <c r="CT139" s="243"/>
      <c r="CU139" s="243"/>
      <c r="CV139" s="243"/>
      <c r="CW139" s="243"/>
      <c r="CX139" s="243"/>
      <c r="CY139" s="243"/>
      <c r="CZ139" s="243"/>
      <c r="DA139" s="243"/>
      <c r="DB139" s="243"/>
      <c r="DC139" s="243"/>
      <c r="DD139" s="243"/>
      <c r="DE139" s="243"/>
      <c r="DF139" s="243"/>
      <c r="DG139" s="243"/>
      <c r="DH139" s="243"/>
      <c r="DI139" s="243"/>
      <c r="DJ139" s="243"/>
      <c r="DK139" s="243"/>
      <c r="DM139" s="242"/>
      <c r="DO139" s="243"/>
      <c r="DQ139" s="242"/>
      <c r="DS139" s="243"/>
      <c r="DU139" s="242"/>
      <c r="DW139" s="243"/>
      <c r="DY139" s="242"/>
      <c r="EA139" s="243"/>
    </row>
    <row r="140" spans="1:131">
      <c r="A140" s="33"/>
      <c r="B140" s="33"/>
      <c r="C140" s="235"/>
      <c r="E140" s="90"/>
      <c r="F140" s="90"/>
      <c r="G140" s="33"/>
      <c r="J140" s="33"/>
      <c r="N140" s="33"/>
      <c r="Q140" s="243"/>
      <c r="R140" s="33"/>
      <c r="U140" s="244"/>
      <c r="V140" s="33"/>
      <c r="Y140" s="243"/>
      <c r="Z140" s="33"/>
      <c r="AC140" s="243"/>
      <c r="AD140" s="33"/>
      <c r="AG140" s="243"/>
      <c r="AH140" s="33"/>
      <c r="AK140" s="244"/>
      <c r="AL140" s="792"/>
      <c r="AM140" s="243"/>
      <c r="AN140" s="243"/>
      <c r="AO140" s="244"/>
      <c r="AP140" s="243"/>
      <c r="AQ140" s="243"/>
      <c r="AR140" s="243"/>
      <c r="AS140" s="244"/>
      <c r="AT140" s="243"/>
      <c r="AU140" s="243"/>
      <c r="AV140" s="243"/>
      <c r="AW140" s="244"/>
      <c r="AX140" s="243"/>
      <c r="AY140" s="243"/>
      <c r="AZ140" s="243"/>
      <c r="BA140" s="244"/>
      <c r="BB140" s="33"/>
      <c r="BE140" s="244"/>
      <c r="BF140" s="33"/>
      <c r="BI140" s="244"/>
      <c r="BJ140" s="33"/>
      <c r="BM140" s="244"/>
      <c r="BN140" s="243"/>
      <c r="BO140" s="243"/>
      <c r="BP140" s="243"/>
      <c r="BQ140" s="244"/>
      <c r="BR140" s="792"/>
      <c r="BS140" s="243"/>
      <c r="BT140" s="243"/>
      <c r="BU140" s="244"/>
      <c r="BV140" s="792"/>
      <c r="BW140" s="243"/>
      <c r="BX140" s="243"/>
      <c r="BY140" s="244"/>
      <c r="BZ140" s="792"/>
      <c r="CA140" s="243"/>
      <c r="CB140" s="243"/>
      <c r="CC140" s="244"/>
      <c r="CD140" s="243"/>
      <c r="CE140" s="243"/>
      <c r="CF140" s="243"/>
      <c r="CG140" s="243"/>
      <c r="CH140" s="243"/>
      <c r="CI140" s="243"/>
      <c r="CJ140" s="243"/>
      <c r="CK140" s="243"/>
      <c r="CL140" s="243"/>
      <c r="CM140" s="243"/>
      <c r="CN140" s="243"/>
      <c r="CO140" s="243"/>
      <c r="CP140" s="243"/>
      <c r="CQ140" s="243"/>
      <c r="CR140" s="243"/>
      <c r="CS140" s="243"/>
      <c r="CT140" s="243"/>
      <c r="CU140" s="243"/>
      <c r="CV140" s="243"/>
      <c r="CW140" s="243"/>
      <c r="CX140" s="243"/>
      <c r="CY140" s="243"/>
      <c r="CZ140" s="243"/>
      <c r="DA140" s="243"/>
      <c r="DB140" s="243"/>
      <c r="DC140" s="243"/>
      <c r="DD140" s="243"/>
      <c r="DE140" s="243"/>
      <c r="DF140" s="243"/>
      <c r="DG140" s="243"/>
      <c r="DH140" s="243"/>
      <c r="DI140" s="243"/>
      <c r="DJ140" s="243"/>
      <c r="DK140" s="243"/>
      <c r="DO140" s="243"/>
      <c r="DS140" s="243"/>
      <c r="DW140" s="243"/>
      <c r="EA140" s="243"/>
    </row>
    <row r="141" spans="1:131">
      <c r="A141" s="256" t="str">
        <f>IF((RIGHT(A124,1))&lt;&gt;"Z",CHAR(CODE(A124))&amp;CHAR(CODE(RIGHT(A124,1))+1),CHAR(CODE(A124)+1)&amp;"A")</f>
        <v>AH</v>
      </c>
      <c r="B141" s="270" t="str">
        <f>INDEX(SourceID,MATCH($A141,SourceNumber,0),1,1)</f>
        <v>EF-8</v>
      </c>
      <c r="C141" s="354">
        <f>INDEX(SourceExitDiameter,MATCH($A141,SourceNumber,0),1,1)*3.28*12</f>
        <v>110</v>
      </c>
      <c r="D141" s="24" t="str">
        <f>UAnem1percent</f>
        <v>1% Wind</v>
      </c>
      <c r="E141" s="350" t="e">
        <f ca="1">INDIRECT(ADDRESS(53,6,1,,CONCATENATE("TA",$A141)))</f>
        <v>#REF!</v>
      </c>
      <c r="F141" s="625" t="e">
        <f ca="1">(ROUND((INDIRECT(ADDRESS(15,7,1,,CONCATENATE("TA",$A141)))*3.28*12*32),0)&amp;"/32")</f>
        <v>#REF!</v>
      </c>
      <c r="G141" s="125">
        <f ca="1">INDIRECT(ADDRESS(29,7,1,,$A141))</f>
        <v>6.001707317073171</v>
      </c>
      <c r="H141" s="24" t="e">
        <f ca="1">INDIRECT(ADDRESS(19,7,1,,$A141))*100^3</f>
        <v>#VALUE!</v>
      </c>
      <c r="I141" s="941">
        <f ca="1">INDIRECT(ADDRESS(53,7,1,,$A141))</f>
        <v>0.97430000000000005</v>
      </c>
      <c r="J141" s="20" t="str">
        <f ca="1">IF($I141=$I$6,K$16&amp;$G$6&amp;J$6,IF($I141=$I$7,K$16&amp;$G$7&amp;J$7,"Bad"))</f>
        <v>100EthPick a Tunnel</v>
      </c>
      <c r="K141" t="e">
        <f ca="1">INDEX(FlowCalGasMixture,MATCH(J141,FlowCalNumber,0),1,1)</f>
        <v>#N/A</v>
      </c>
      <c r="M141" s="944" t="e">
        <f ca="1">INDEX(FlowCalDevice,MATCH(J141,FlowCalNumber,0),1,1)</f>
        <v>#N/A</v>
      </c>
      <c r="N141" s="943" t="str">
        <f ca="1">IF($I141=$I$6,O$16&amp;$G$6&amp;"90"&amp;$H$6&amp;N$6,IF($I141=$I$7,O$16&amp;$G$7&amp;"90"&amp;$H$7&amp;N$7,"Bad"))</f>
        <v>10Eth90N2Pick a Tunnel</v>
      </c>
      <c r="O141" t="e">
        <f ca="1">INDEX(FlowCalGasMixture,MATCH(N141,FlowCalNumber,0),1,1)</f>
        <v>#N/A</v>
      </c>
      <c r="Q141" s="944" t="e">
        <f ca="1">INDEX(FlowCalDevice,MATCH(N141,FlowCalNumber,0),1,1)</f>
        <v>#N/A</v>
      </c>
      <c r="R141" s="943" t="str">
        <f ca="1">IF($I141=$I$6,S$16&amp;$G$6&amp;"90"&amp;$H$6&amp;R$6,IF($I141=$I$7,S$16&amp;$G$7&amp;"90"&amp;$H$7&amp;R$7,"Bad"))</f>
        <v>10Eth90N2Pick a Tunnel</v>
      </c>
      <c r="S141" t="e">
        <f ca="1">INDEX(FlowCalGasMixture,MATCH(R141,FlowCalNumber,0),1,1)</f>
        <v>#N/A</v>
      </c>
      <c r="U141" s="944" t="e">
        <f ca="1">INDEX(FlowCalDevice,MATCH(R141,FlowCalNumber,0),1,1)</f>
        <v>#N/A</v>
      </c>
      <c r="V141" s="20" t="str">
        <f ca="1">IF($I141=$I$6,W$16&amp;$G$6&amp;V$6,IF($I141=$I$7,W$16&amp;$G$7&amp;V$7,"Bad"))</f>
        <v>100EthPick a Tunnel</v>
      </c>
      <c r="W141" t="e">
        <f ca="1">INDEX(FlowCalGasMixture,MATCH(V141,FlowCalNumber,0),1,1)</f>
        <v>#N/A</v>
      </c>
      <c r="Y141" s="944" t="e">
        <f ca="1">INDEX(FlowCalDevice,MATCH(V141,FlowCalNumber,0),1,1)</f>
        <v>#N/A</v>
      </c>
      <c r="Z141" s="946" t="str">
        <f ca="1">IF($I141=$I$6,AA$18&amp;$H$6&amp;Z$6,IF($I141=$I$7,AA$18&amp;$H$7&amp;Z$7,"Bad"))</f>
        <v>100N2Pick a Tunnel</v>
      </c>
      <c r="AA141" t="e">
        <f ca="1">INDEX(FlowCalGasMixture,MATCH(Z141,FlowCalNumber,0),1,1)</f>
        <v>#N/A</v>
      </c>
      <c r="AC141" s="944" t="e">
        <f ca="1">INDEX(FlowCalDevice,MATCH(Z141,FlowCalNumber,0),1,1)</f>
        <v>#N/A</v>
      </c>
      <c r="AD141" s="20" t="str">
        <f ca="1">IF($I141=$I$6,AE$16&amp;$G$6&amp;AD$6,IF($I141=$I$7,AE$16&amp;$G$7&amp;AD$7,"Bad"))</f>
        <v>100EthPick a Tunnel</v>
      </c>
      <c r="AE141" t="e">
        <f ca="1">INDEX(FlowCalGasMixture,MATCH(AD141,FlowCalNumber,0),1,1)</f>
        <v>#N/A</v>
      </c>
      <c r="AG141" s="944" t="e">
        <f ca="1">INDEX(FlowCalDevice,MATCH(AD141,FlowCalNumber,0),1,1)</f>
        <v>#N/A</v>
      </c>
      <c r="AH141" s="946" t="str">
        <f ca="1">IF($I141=$I$6,AI$18&amp;$H$6&amp;AH$6,IF($I141=$I$7,AI$18&amp;$H$7&amp;AH$7,"Bad"))</f>
        <v>100N2Pick a Tunnel</v>
      </c>
      <c r="AI141" t="e">
        <f ca="1">INDEX(FlowCalGasMixture,MATCH(AH141,FlowCalNumber,0),1,1)</f>
        <v>#N/A</v>
      </c>
      <c r="AK141" s="944" t="e">
        <f ca="1">INDEX(FlowCalDevice,MATCH(AH141,FlowCalNumber,0),1,1)</f>
        <v>#N/A</v>
      </c>
      <c r="AL141" s="20"/>
      <c r="AO141" s="982"/>
      <c r="AP141" s="960"/>
      <c r="AS141" s="982"/>
      <c r="AT141" s="20"/>
      <c r="AW141" s="982"/>
      <c r="AX141" s="946"/>
      <c r="BA141" s="982"/>
      <c r="BB141" s="20"/>
      <c r="BC141" s="16"/>
      <c r="BE141" s="982"/>
      <c r="BF141" s="946"/>
      <c r="BG141" s="16"/>
      <c r="BI141" s="982"/>
      <c r="BJ141" s="946"/>
      <c r="BK141" s="16"/>
      <c r="BM141" s="982"/>
      <c r="BN141" s="20"/>
      <c r="BO141" s="16"/>
      <c r="BQ141" s="982"/>
      <c r="BR141" s="946"/>
      <c r="BS141" s="16"/>
      <c r="BU141" s="982"/>
      <c r="BV141" s="946"/>
      <c r="BW141" s="16"/>
      <c r="BY141" s="982"/>
      <c r="BZ141" s="946"/>
      <c r="CA141" s="16"/>
      <c r="CC141" s="982"/>
      <c r="CD141" s="355"/>
      <c r="CE141" s="355"/>
      <c r="CF141" s="355"/>
      <c r="CG141" s="355"/>
      <c r="CH141" s="355"/>
      <c r="CI141" s="355"/>
      <c r="CJ141" s="355"/>
      <c r="CK141" s="355"/>
      <c r="CL141" s="355"/>
      <c r="CM141" s="355"/>
      <c r="CN141" s="355"/>
      <c r="CO141" s="355"/>
      <c r="CP141" s="355"/>
      <c r="CQ141" s="355"/>
      <c r="CR141" s="355"/>
      <c r="CS141" s="355"/>
      <c r="CT141" s="355"/>
      <c r="CU141" s="355"/>
      <c r="CV141" s="355"/>
      <c r="CW141" s="355"/>
      <c r="CX141" s="355"/>
      <c r="CY141" s="355"/>
      <c r="CZ141" s="355"/>
      <c r="DA141" s="355"/>
      <c r="DB141" s="355"/>
      <c r="DC141" s="355"/>
      <c r="DD141" s="355"/>
      <c r="DE141" s="355"/>
      <c r="DF141" s="355"/>
      <c r="DG141" s="355"/>
      <c r="DH141" s="355"/>
      <c r="DI141" s="355"/>
      <c r="DJ141" s="355"/>
      <c r="DK141" s="355"/>
      <c r="DL141" s="46"/>
      <c r="DM141" s="16"/>
      <c r="DO141" s="355"/>
      <c r="DP141" s="42"/>
      <c r="DQ141" s="16"/>
      <c r="DS141" s="355"/>
      <c r="DT141" s="42"/>
      <c r="DU141" s="16"/>
      <c r="DW141" s="355"/>
      <c r="DX141" s="42"/>
      <c r="DY141" s="16"/>
      <c r="EA141" s="355"/>
    </row>
    <row r="142" spans="1:131">
      <c r="A142" s="20"/>
      <c r="B142" s="124" t="str">
        <f t="shared" ref="B142:B156" si="134">IF(D142=UAnem1percent,"1% Wind","")</f>
        <v/>
      </c>
      <c r="C142" s="235"/>
      <c r="D142" s="24">
        <f>'1% Wind'!$M$82</f>
        <v>27</v>
      </c>
      <c r="E142" s="90"/>
      <c r="F142" s="90"/>
      <c r="G142" s="79">
        <f ca="1">IF(I141=0.9743,$G141,MAX(G141/D141*D142,2))</f>
        <v>6.001707317073171</v>
      </c>
      <c r="H142" s="121" t="e">
        <f t="shared" ref="H142:H156" ca="1" si="135">H141*(D141/D142)*(G142/G141)</f>
        <v>#VALUE!</v>
      </c>
      <c r="J142" s="33"/>
      <c r="K142" s="260">
        <f>K$17/100</f>
        <v>1</v>
      </c>
      <c r="L142" s="241" t="e">
        <f ca="1">K142*$H142</f>
        <v>#VALUE!</v>
      </c>
      <c r="M142" s="243" t="e">
        <f ca="1">IF(AND(INDEX(FlowCalConstA,MATCH(J141,FlowCalNumber,0),1,1)*L142^INDEX(FlowCalConstB,MATCH(J141,FlowCalNumber,0),1,1)&gt;INDEX(FlowCalLowSetting,MATCH(J141,FlowCalNumber,0),1,1), (INDEX(FlowCalConstA,MATCH(J141,FlowCalNumber,0),1,1)*L142^INDEX(FlowCalConstB,MATCH(J141,FlowCalNumber,0),1,1)&lt;INDEX(FlowCalHighSetting,MATCH(J141,FlowCalNumber,0),1,1))),INDEX(FlowCalConstA,MATCH(J141,FlowCalNumber,0),1,1)*L142^INDEX(FlowCalConstB,MATCH(J141,FlowCalNumber,0),1,1)," ")</f>
        <v>#N/A</v>
      </c>
      <c r="N142" s="33"/>
      <c r="O142" s="260">
        <f>O$17/100</f>
        <v>1</v>
      </c>
      <c r="P142" s="241" t="e">
        <f ca="1">O142*$H142</f>
        <v>#VALUE!</v>
      </c>
      <c r="Q142" s="243" t="e">
        <f ca="1">IF(AND(INDEX(FlowCalConstA,MATCH(N141,FlowCalNumber,0),1,1)*P142^INDEX(FlowCalConstB,MATCH(N141,FlowCalNumber,0),1,1)&gt;INDEX(FlowCalLowSetting,MATCH(N141,FlowCalNumber,0),1,1), (INDEX(FlowCalConstA,MATCH(N141,FlowCalNumber,0),1,1)*P142^INDEX(FlowCalConstB,MATCH(N141,FlowCalNumber,0),1,1)&lt;INDEX(FlowCalHighSetting,MATCH(N141,FlowCalNumber,0),1,1))),INDEX(FlowCalConstA,MATCH(N141,FlowCalNumber,0),1,1)*P142^INDEX(FlowCalConstB,MATCH(N141,FlowCalNumber,0),1,1)," ")</f>
        <v>#N/A</v>
      </c>
      <c r="R142" s="33"/>
      <c r="S142" s="260">
        <f>S$17/100</f>
        <v>1</v>
      </c>
      <c r="T142" s="241" t="e">
        <f ca="1">S142*$H142</f>
        <v>#VALUE!</v>
      </c>
      <c r="U142" s="244" t="e">
        <f ca="1">IF(AND(INDEX(FlowCalConstA,MATCH(R141,FlowCalNumber,0),1,1)*T142^INDEX(FlowCalConstB,MATCH(R141,FlowCalNumber,0),1,1)&gt;INDEX(FlowCalLowSetting,MATCH(R141,FlowCalNumber,0),1,1), (INDEX(FlowCalConstA,MATCH(R141,FlowCalNumber,0),1,1)*T142^INDEX(FlowCalConstB,MATCH(R141,FlowCalNumber,0),1,1)&lt;INDEX(FlowCalHighSetting,MATCH(R141,FlowCalNumber,0),1,1))),INDEX(FlowCalConstA,MATCH(R141,FlowCalNumber,0),1,1)*T142^INDEX(FlowCalConstB,MATCH(R141,FlowCalNumber,0),1,1)," ")</f>
        <v>#N/A</v>
      </c>
      <c r="V142" s="33"/>
      <c r="W142" s="260">
        <f>W$17/100</f>
        <v>0.1</v>
      </c>
      <c r="X142" s="241" t="e">
        <f ca="1">W142*$H142</f>
        <v>#VALUE!</v>
      </c>
      <c r="Y142" s="243" t="e">
        <f ca="1">IF(AND(INDEX(FlowCalConstA,MATCH(V141,FlowCalNumber,0),1,1)*X142^INDEX(FlowCalConstB,MATCH(V141,FlowCalNumber,0),1,1)&gt;INDEX(FlowCalLowSetting,MATCH(V141,FlowCalNumber,0),1,1), (INDEX(FlowCalConstA,MATCH(V141,FlowCalNumber,0),1,1)*X142^INDEX(FlowCalConstB,MATCH(V141,FlowCalNumber,0),1,1)&lt;INDEX(FlowCalHighSetting,MATCH(V141,FlowCalNumber,0),1,1))),INDEX(FlowCalConstA,MATCH(V141,FlowCalNumber,0),1,1)*X142^INDEX(FlowCalConstB,MATCH(V141,FlowCalNumber,0),1,1)," ")</f>
        <v>#N/A</v>
      </c>
      <c r="Z142" s="33"/>
      <c r="AA142" s="260">
        <f>AA$17/100</f>
        <v>0.9</v>
      </c>
      <c r="AB142" s="241" t="e">
        <f ca="1">AA142*$H142</f>
        <v>#VALUE!</v>
      </c>
      <c r="AC142" s="243" t="e">
        <f ca="1">IF(AND(INDEX(FlowCalConstA,MATCH(Z141,FlowCalNumber,0),1,1)*AB142^INDEX(FlowCalConstB,MATCH(Z141,FlowCalNumber,0),1,1)&gt;INDEX(FlowCalLowSetting,MATCH(Z141,FlowCalNumber,0),1,1), (INDEX(FlowCalConstA,MATCH(Z141,FlowCalNumber,0),1,1)*AB142^INDEX(FlowCalConstB,MATCH(Z141,FlowCalNumber,0),1,1)&lt;INDEX(FlowCalHighSetting,MATCH(Z141,FlowCalNumber,0),1,1))),INDEX(FlowCalConstA,MATCH(Z141,FlowCalNumber,0),1,1)*AB142^INDEX(FlowCalConstB,MATCH(Z141,FlowCalNumber,0),1,1)," ")</f>
        <v>#N/A</v>
      </c>
      <c r="AD142" s="33"/>
      <c r="AE142" s="260">
        <f>AE$17/100</f>
        <v>0.1</v>
      </c>
      <c r="AF142" s="241" t="e">
        <f ca="1">AE142*$H142</f>
        <v>#VALUE!</v>
      </c>
      <c r="AG142" s="243" t="e">
        <f ca="1">IF(AND(INDEX(FlowCalConstA,MATCH(AD141,FlowCalNumber,0),1,1)*AF142^INDEX(FlowCalConstB,MATCH(AD141,FlowCalNumber,0),1,1)&gt;INDEX(FlowCalLowSetting,MATCH(AD141,FlowCalNumber,0),1,1), (INDEX(FlowCalConstA,MATCH(AD141,FlowCalNumber,0),1,1)*AF142^INDEX(FlowCalConstB,MATCH(AD141,FlowCalNumber,0),1,1)&lt;INDEX(FlowCalHighSetting,MATCH(AD141,FlowCalNumber,0),1,1))),INDEX(FlowCalConstA,MATCH(AD141,FlowCalNumber,0),1,1)*AF142^INDEX(FlowCalConstB,MATCH(AD141,FlowCalNumber,0),1,1)," ")</f>
        <v>#N/A</v>
      </c>
      <c r="AH142" s="33"/>
      <c r="AI142" s="260">
        <f>AI$17/100</f>
        <v>0.9</v>
      </c>
      <c r="AJ142" s="241" t="e">
        <f ca="1">AI142*$H142</f>
        <v>#VALUE!</v>
      </c>
      <c r="AK142" s="243" t="e">
        <f ca="1">IF(AND(INDEX(FlowCalConstA,MATCH(AH141,FlowCalNumber,0),1,1)*AJ142^INDEX(FlowCalConstB,MATCH(AH141,FlowCalNumber,0),1,1)&gt;INDEX(FlowCalLowSetting,MATCH(AH141,FlowCalNumber,0),1,1), (INDEX(FlowCalConstA,MATCH(AH141,FlowCalNumber,0),1,1)*AJ142^INDEX(FlowCalConstB,MATCH(AH141,FlowCalNumber,0),1,1)&lt;INDEX(FlowCalHighSetting,MATCH(AH141,FlowCalNumber,0),1,1))),INDEX(FlowCalConstA,MATCH(AH141,FlowCalNumber,0),1,1)*AJ142^INDEX(FlowCalConstB,MATCH(AH141,FlowCalNumber,0),1,1)," ")</f>
        <v>#N/A</v>
      </c>
      <c r="AL142" s="33"/>
      <c r="AM142" s="260"/>
      <c r="AN142" s="241"/>
      <c r="AO142" s="244"/>
      <c r="AQ142" s="260"/>
      <c r="AR142" s="241"/>
      <c r="AS142" s="244"/>
      <c r="AT142" s="33"/>
      <c r="AU142" s="260"/>
      <c r="AV142" s="241"/>
      <c r="AW142" s="244"/>
      <c r="AX142" s="33"/>
      <c r="AY142" s="260"/>
      <c r="AZ142" s="241"/>
      <c r="BA142" s="244"/>
      <c r="BB142" s="33"/>
      <c r="BC142" s="260"/>
      <c r="BD142" s="241"/>
      <c r="BE142" s="244"/>
      <c r="BF142" s="33"/>
      <c r="BG142" s="260"/>
      <c r="BH142" s="241"/>
      <c r="BI142" s="244"/>
      <c r="BJ142" s="33"/>
      <c r="BK142" s="260"/>
      <c r="BL142" s="241"/>
      <c r="BM142" s="244"/>
      <c r="BN142" s="33"/>
      <c r="BO142" s="260"/>
      <c r="BP142" s="241"/>
      <c r="BQ142" s="244"/>
      <c r="BR142" s="33"/>
      <c r="BS142" s="260"/>
      <c r="BT142" s="241"/>
      <c r="BU142" s="244"/>
      <c r="BV142" s="33"/>
      <c r="BW142" s="260"/>
      <c r="BX142" s="241"/>
      <c r="BY142" s="244"/>
      <c r="BZ142" s="33"/>
      <c r="CA142" s="260"/>
      <c r="CB142" s="241"/>
      <c r="CC142" s="244"/>
      <c r="CD142" s="243"/>
      <c r="CE142" s="243"/>
      <c r="CF142" s="243"/>
      <c r="CG142" s="243"/>
      <c r="CH142" s="243"/>
      <c r="CI142" s="243"/>
      <c r="CJ142" s="243"/>
      <c r="CK142" s="243"/>
      <c r="CL142" s="243"/>
      <c r="CM142" s="243"/>
      <c r="CN142" s="243"/>
      <c r="CO142" s="243"/>
      <c r="CP142" s="243"/>
      <c r="CQ142" s="243"/>
      <c r="CR142" s="243"/>
      <c r="CS142" s="243"/>
      <c r="CT142" s="243"/>
      <c r="CU142" s="243"/>
      <c r="CV142" s="243"/>
      <c r="CW142" s="243"/>
      <c r="CX142" s="243"/>
      <c r="CY142" s="243"/>
      <c r="CZ142" s="243"/>
      <c r="DA142" s="243"/>
      <c r="DB142" s="243"/>
      <c r="DC142" s="243"/>
      <c r="DD142" s="243"/>
      <c r="DE142" s="243"/>
      <c r="DF142" s="243"/>
      <c r="DG142" s="243"/>
      <c r="DH142" s="243"/>
      <c r="DI142" s="243"/>
      <c r="DJ142" s="243"/>
      <c r="DK142" s="243"/>
      <c r="DM142" s="259"/>
      <c r="DO142" s="243"/>
      <c r="DQ142" s="259"/>
      <c r="DS142" s="243"/>
      <c r="DU142" s="259"/>
      <c r="DW142" s="243"/>
      <c r="DY142" s="260"/>
      <c r="EA142" s="243"/>
    </row>
    <row r="143" spans="1:131">
      <c r="A143" s="20"/>
      <c r="B143" s="124" t="str">
        <f t="shared" si="134"/>
        <v/>
      </c>
      <c r="C143" s="235"/>
      <c r="D143" s="24">
        <f>'1% Wind'!$M$83</f>
        <v>23.5</v>
      </c>
      <c r="E143" s="90"/>
      <c r="F143" s="90"/>
      <c r="G143" s="79">
        <f ca="1">IF(I141=0.9743,$G142,MAX(G142/D142*D143,2))</f>
        <v>6.001707317073171</v>
      </c>
      <c r="H143" s="121" t="e">
        <f t="shared" ca="1" si="135"/>
        <v>#VALUE!</v>
      </c>
      <c r="J143" s="33"/>
      <c r="K143" s="242">
        <f t="shared" ref="K143:K156" si="136">K142</f>
        <v>1</v>
      </c>
      <c r="L143" s="241" t="e">
        <f t="shared" ref="L143:L156" ca="1" si="137">K143*$H143</f>
        <v>#VALUE!</v>
      </c>
      <c r="M143" s="243" t="e">
        <f ca="1">IF(AND(INDEX(FlowCalConstA,MATCH(J141,FlowCalNumber,0),1,1)*L143^INDEX(FlowCalConstB,MATCH(J141,FlowCalNumber,0),1,1)&gt;INDEX(FlowCalLowSetting,MATCH(J141,FlowCalNumber,0),1,1), (INDEX(FlowCalConstA,MATCH(J141,FlowCalNumber,0),1,1)*L143^INDEX(FlowCalConstB,MATCH(J141,FlowCalNumber,0),1,1)&lt;INDEX(FlowCalHighSetting,MATCH(J141,FlowCalNumber,0),1,1))),INDEX(FlowCalConstA,MATCH(J141,FlowCalNumber,0),1,1)*L143^INDEX(FlowCalConstB,MATCH(J141,FlowCalNumber,0),1,1)," ")</f>
        <v>#N/A</v>
      </c>
      <c r="N143" s="33"/>
      <c r="O143" s="242">
        <f t="shared" ref="O143:O156" si="138">O142</f>
        <v>1</v>
      </c>
      <c r="P143" s="241" t="e">
        <f t="shared" ref="P143:P156" ca="1" si="139">O143*$H143</f>
        <v>#VALUE!</v>
      </c>
      <c r="Q143" s="243" t="e">
        <f ca="1">IF(AND(INDEX(FlowCalConstA,MATCH(N141,FlowCalNumber,0),1,1)*P143^INDEX(FlowCalConstB,MATCH(N141,FlowCalNumber,0),1,1)&gt;INDEX(FlowCalLowSetting,MATCH(N141,FlowCalNumber,0),1,1), (INDEX(FlowCalConstA,MATCH(N141,FlowCalNumber,0),1,1)*P143^INDEX(FlowCalConstB,MATCH(N141,FlowCalNumber,0),1,1)&lt;INDEX(FlowCalHighSetting,MATCH(N141,FlowCalNumber,0),1,1))),INDEX(FlowCalConstA,MATCH(N141,FlowCalNumber,0),1,1)*P143^INDEX(FlowCalConstB,MATCH(N141,FlowCalNumber,0),1,1)," ")</f>
        <v>#N/A</v>
      </c>
      <c r="R143" s="33"/>
      <c r="S143" s="242">
        <f t="shared" ref="S143:S156" si="140">S142</f>
        <v>1</v>
      </c>
      <c r="T143" s="241" t="e">
        <f t="shared" ref="T143:T156" ca="1" si="141">S143*$H143</f>
        <v>#VALUE!</v>
      </c>
      <c r="U143" s="244" t="e">
        <f ca="1">IF(AND(INDEX(FlowCalConstA,MATCH(R141,FlowCalNumber,0),1,1)*T143^INDEX(FlowCalConstB,MATCH(R141,FlowCalNumber,0),1,1)&gt;INDEX(FlowCalLowSetting,MATCH(R141,FlowCalNumber,0),1,1), (INDEX(FlowCalConstA,MATCH(R141,FlowCalNumber,0),1,1)*T143^INDEX(FlowCalConstB,MATCH(R141,FlowCalNumber,0),1,1)&lt;INDEX(FlowCalHighSetting,MATCH(R141,FlowCalNumber,0),1,1))),INDEX(FlowCalConstA,MATCH(R141,FlowCalNumber,0),1,1)*T143^INDEX(FlowCalConstB,MATCH(R141,FlowCalNumber,0),1,1)," ")</f>
        <v>#N/A</v>
      </c>
      <c r="V143" s="33"/>
      <c r="W143" s="242">
        <f t="shared" ref="W143:W156" si="142">W142</f>
        <v>0.1</v>
      </c>
      <c r="X143" s="241" t="e">
        <f t="shared" ref="X143:X156" ca="1" si="143">W143*$H143</f>
        <v>#VALUE!</v>
      </c>
      <c r="Y143" s="243" t="e">
        <f ca="1">IF(AND(INDEX(FlowCalConstA,MATCH(V141,FlowCalNumber,0),1,1)*X143^INDEX(FlowCalConstB,MATCH(V141,FlowCalNumber,0),1,1)&gt;INDEX(FlowCalLowSetting,MATCH(V141,FlowCalNumber,0),1,1), (INDEX(FlowCalConstA,MATCH(V141,FlowCalNumber,0),1,1)*X143^INDEX(FlowCalConstB,MATCH(V141,FlowCalNumber,0),1,1)&lt;INDEX(FlowCalHighSetting,MATCH(V141,FlowCalNumber,0),1,1))),INDEX(FlowCalConstA,MATCH(V141,FlowCalNumber,0),1,1)*X143^INDEX(FlowCalConstB,MATCH(V141,FlowCalNumber,0),1,1)," ")</f>
        <v>#N/A</v>
      </c>
      <c r="Z143" s="33"/>
      <c r="AA143" s="242">
        <f t="shared" ref="AA143:AA156" si="144">AA142</f>
        <v>0.9</v>
      </c>
      <c r="AB143" s="241" t="e">
        <f t="shared" ref="AB143:AB156" ca="1" si="145">AA143*$H143</f>
        <v>#VALUE!</v>
      </c>
      <c r="AC143" s="243" t="e">
        <f ca="1">IF(AND(INDEX(FlowCalConstA,MATCH(Z141,FlowCalNumber,0),1,1)*AB143^INDEX(FlowCalConstB,MATCH(Z141,FlowCalNumber,0),1,1)&gt;INDEX(FlowCalLowSetting,MATCH(Z141,FlowCalNumber,0),1,1), (INDEX(FlowCalConstA,MATCH(Z141,FlowCalNumber,0),1,1)*AB143^INDEX(FlowCalConstB,MATCH(Z141,FlowCalNumber,0),1,1)&lt;INDEX(FlowCalHighSetting,MATCH(Z141,FlowCalNumber,0),1,1))),INDEX(FlowCalConstA,MATCH(Z141,FlowCalNumber,0),1,1)*AB143^INDEX(FlowCalConstB,MATCH(Z141,FlowCalNumber,0),1,1)," ")</f>
        <v>#N/A</v>
      </c>
      <c r="AD143" s="33"/>
      <c r="AE143" s="242">
        <f t="shared" ref="AE143:AE156" si="146">AE142</f>
        <v>0.1</v>
      </c>
      <c r="AF143" s="241" t="e">
        <f t="shared" ref="AF143:AF156" ca="1" si="147">AE143*$H143</f>
        <v>#VALUE!</v>
      </c>
      <c r="AG143" s="243" t="e">
        <f ca="1">IF(AND(INDEX(FlowCalConstA,MATCH(AD141,FlowCalNumber,0),1,1)*AF143^INDEX(FlowCalConstB,MATCH(AD141,FlowCalNumber,0),1,1)&gt;INDEX(FlowCalLowSetting,MATCH(AD141,FlowCalNumber,0),1,1), (INDEX(FlowCalConstA,MATCH(AD141,FlowCalNumber,0),1,1)*AF143^INDEX(FlowCalConstB,MATCH(AD141,FlowCalNumber,0),1,1)&lt;INDEX(FlowCalHighSetting,MATCH(AD141,FlowCalNumber,0),1,1))),INDEX(FlowCalConstA,MATCH(AD141,FlowCalNumber,0),1,1)*AF143^INDEX(FlowCalConstB,MATCH(AD141,FlowCalNumber,0),1,1)," ")</f>
        <v>#N/A</v>
      </c>
      <c r="AH143" s="33"/>
      <c r="AI143" s="242">
        <f t="shared" ref="AI143:AI156" si="148">AI142</f>
        <v>0.9</v>
      </c>
      <c r="AJ143" s="241" t="e">
        <f t="shared" ref="AJ143:AJ156" ca="1" si="149">AI143*$H143</f>
        <v>#VALUE!</v>
      </c>
      <c r="AK143" s="243" t="e">
        <f ca="1">IF(AND(INDEX(FlowCalConstA,MATCH(AH141,FlowCalNumber,0),1,1)*AJ143^INDEX(FlowCalConstB,MATCH(AH141,FlowCalNumber,0),1,1)&gt;INDEX(FlowCalLowSetting,MATCH(AH141,FlowCalNumber,0),1,1), (INDEX(FlowCalConstA,MATCH(AH141,FlowCalNumber,0),1,1)*AJ143^INDEX(FlowCalConstB,MATCH(AH141,FlowCalNumber,0),1,1)&lt;INDEX(FlowCalHighSetting,MATCH(AH141,FlowCalNumber,0),1,1))),INDEX(FlowCalConstA,MATCH(AH141,FlowCalNumber,0),1,1)*AJ143^INDEX(FlowCalConstB,MATCH(AH141,FlowCalNumber,0),1,1)," ")</f>
        <v>#N/A</v>
      </c>
      <c r="AL143" s="33"/>
      <c r="AM143" s="242"/>
      <c r="AN143" s="241"/>
      <c r="AO143" s="244"/>
      <c r="AQ143" s="242"/>
      <c r="AR143" s="241"/>
      <c r="AS143" s="244"/>
      <c r="AT143" s="33"/>
      <c r="AU143" s="242"/>
      <c r="AV143" s="241"/>
      <c r="AW143" s="244"/>
      <c r="AX143" s="33"/>
      <c r="AY143" s="242"/>
      <c r="AZ143" s="241"/>
      <c r="BA143" s="244"/>
      <c r="BB143" s="33"/>
      <c r="BC143" s="242"/>
      <c r="BD143" s="241"/>
      <c r="BE143" s="244"/>
      <c r="BF143" s="33"/>
      <c r="BG143" s="242"/>
      <c r="BH143" s="241"/>
      <c r="BI143" s="244"/>
      <c r="BJ143" s="33"/>
      <c r="BK143" s="242"/>
      <c r="BL143" s="241"/>
      <c r="BM143" s="244"/>
      <c r="BN143" s="33"/>
      <c r="BO143" s="242"/>
      <c r="BP143" s="241"/>
      <c r="BQ143" s="244"/>
      <c r="BR143" s="33"/>
      <c r="BS143" s="242"/>
      <c r="BT143" s="241"/>
      <c r="BU143" s="244"/>
      <c r="BV143" s="33"/>
      <c r="BW143" s="242"/>
      <c r="BX143" s="241"/>
      <c r="BY143" s="244"/>
      <c r="BZ143" s="33"/>
      <c r="CA143" s="242"/>
      <c r="CB143" s="241"/>
      <c r="CC143" s="244"/>
      <c r="CD143" s="243"/>
      <c r="CE143" s="243"/>
      <c r="CF143" s="243"/>
      <c r="CG143" s="243"/>
      <c r="CH143" s="243"/>
      <c r="CI143" s="243"/>
      <c r="CJ143" s="243"/>
      <c r="CK143" s="243"/>
      <c r="CL143" s="243"/>
      <c r="CM143" s="243"/>
      <c r="CN143" s="243"/>
      <c r="CO143" s="243"/>
      <c r="CP143" s="243"/>
      <c r="CQ143" s="243"/>
      <c r="CR143" s="243"/>
      <c r="CS143" s="243"/>
      <c r="CT143" s="243"/>
      <c r="CU143" s="243"/>
      <c r="CV143" s="243"/>
      <c r="CW143" s="243"/>
      <c r="CX143" s="243"/>
      <c r="CY143" s="243"/>
      <c r="CZ143" s="243"/>
      <c r="DA143" s="243"/>
      <c r="DB143" s="243"/>
      <c r="DC143" s="243"/>
      <c r="DD143" s="243"/>
      <c r="DE143" s="243"/>
      <c r="DF143" s="243"/>
      <c r="DG143" s="243"/>
      <c r="DH143" s="243"/>
      <c r="DI143" s="243"/>
      <c r="DJ143" s="243"/>
      <c r="DK143" s="243"/>
      <c r="DM143" s="242"/>
      <c r="DO143" s="243"/>
      <c r="DQ143" s="242"/>
      <c r="DS143" s="243"/>
      <c r="DU143" s="242"/>
      <c r="DW143" s="243"/>
      <c r="DY143" s="242"/>
      <c r="EA143" s="243"/>
    </row>
    <row r="144" spans="1:131">
      <c r="A144" s="20"/>
      <c r="B144" s="124" t="str">
        <f t="shared" si="134"/>
        <v/>
      </c>
      <c r="C144" s="235"/>
      <c r="D144" s="24">
        <f>'1% Wind'!$M$84</f>
        <v>20.5</v>
      </c>
      <c r="E144" s="90"/>
      <c r="F144" s="90"/>
      <c r="G144" s="79">
        <f ca="1">IF(I141=0.9743,$G143,MAX(G143/D143*D144,2))</f>
        <v>6.001707317073171</v>
      </c>
      <c r="H144" s="121" t="e">
        <f t="shared" ca="1" si="135"/>
        <v>#VALUE!</v>
      </c>
      <c r="J144" s="33"/>
      <c r="K144" s="242">
        <f t="shared" si="136"/>
        <v>1</v>
      </c>
      <c r="L144" s="241" t="e">
        <f t="shared" ca="1" si="137"/>
        <v>#VALUE!</v>
      </c>
      <c r="M144" s="243" t="e">
        <f ca="1">IF(AND(INDEX(FlowCalConstA,MATCH(J141,FlowCalNumber,0),1,1)*L144^INDEX(FlowCalConstB,MATCH(J141,FlowCalNumber,0),1,1)&gt;INDEX(FlowCalLowSetting,MATCH(J141,FlowCalNumber,0),1,1), (INDEX(FlowCalConstA,MATCH(J141,FlowCalNumber,0),1,1)*L144^INDEX(FlowCalConstB,MATCH(J141,FlowCalNumber,0),1,1)&lt;INDEX(FlowCalHighSetting,MATCH(J141,FlowCalNumber,0),1,1))),INDEX(FlowCalConstA,MATCH(J141,FlowCalNumber,0),1,1)*L144^INDEX(FlowCalConstB,MATCH(J141,FlowCalNumber,0),1,1)," ")</f>
        <v>#N/A</v>
      </c>
      <c r="N144" s="33"/>
      <c r="O144" s="242">
        <f t="shared" si="138"/>
        <v>1</v>
      </c>
      <c r="P144" s="241" t="e">
        <f t="shared" ca="1" si="139"/>
        <v>#VALUE!</v>
      </c>
      <c r="Q144" s="243" t="e">
        <f ca="1">IF(AND(INDEX(FlowCalConstA,MATCH(N141,FlowCalNumber,0),1,1)*P144^INDEX(FlowCalConstB,MATCH(N141,FlowCalNumber,0),1,1)&gt;INDEX(FlowCalLowSetting,MATCH(N141,FlowCalNumber,0),1,1), (INDEX(FlowCalConstA,MATCH(N141,FlowCalNumber,0),1,1)*P144^INDEX(FlowCalConstB,MATCH(N141,FlowCalNumber,0),1,1)&lt;INDEX(FlowCalHighSetting,MATCH(N141,FlowCalNumber,0),1,1))),INDEX(FlowCalConstA,MATCH(N141,FlowCalNumber,0),1,1)*P144^INDEX(FlowCalConstB,MATCH(N141,FlowCalNumber,0),1,1)," ")</f>
        <v>#N/A</v>
      </c>
      <c r="R144" s="33"/>
      <c r="S144" s="242">
        <f t="shared" si="140"/>
        <v>1</v>
      </c>
      <c r="T144" s="241" t="e">
        <f t="shared" ca="1" si="141"/>
        <v>#VALUE!</v>
      </c>
      <c r="U144" s="244" t="e">
        <f ca="1">IF(AND(INDEX(FlowCalConstA,MATCH(R141,FlowCalNumber,0),1,1)*T144^INDEX(FlowCalConstB,MATCH(R141,FlowCalNumber,0),1,1)&gt;INDEX(FlowCalLowSetting,MATCH(R141,FlowCalNumber,0),1,1), (INDEX(FlowCalConstA,MATCH(R141,FlowCalNumber,0),1,1)*T144^INDEX(FlowCalConstB,MATCH(R141,FlowCalNumber,0),1,1)&lt;INDEX(FlowCalHighSetting,MATCH(R141,FlowCalNumber,0),1,1))),INDEX(FlowCalConstA,MATCH(R141,FlowCalNumber,0),1,1)*T144^INDEX(FlowCalConstB,MATCH(R141,FlowCalNumber,0),1,1)," ")</f>
        <v>#N/A</v>
      </c>
      <c r="V144" s="33"/>
      <c r="W144" s="242">
        <f t="shared" si="142"/>
        <v>0.1</v>
      </c>
      <c r="X144" s="241" t="e">
        <f t="shared" ca="1" si="143"/>
        <v>#VALUE!</v>
      </c>
      <c r="Y144" s="243" t="e">
        <f ca="1">IF(AND(INDEX(FlowCalConstA,MATCH(V141,FlowCalNumber,0),1,1)*X144^INDEX(FlowCalConstB,MATCH(V141,FlowCalNumber,0),1,1)&gt;INDEX(FlowCalLowSetting,MATCH(V141,FlowCalNumber,0),1,1), (INDEX(FlowCalConstA,MATCH(V141,FlowCalNumber,0),1,1)*X144^INDEX(FlowCalConstB,MATCH(V141,FlowCalNumber,0),1,1)&lt;INDEX(FlowCalHighSetting,MATCH(V141,FlowCalNumber,0),1,1))),INDEX(FlowCalConstA,MATCH(V141,FlowCalNumber,0),1,1)*X144^INDEX(FlowCalConstB,MATCH(V141,FlowCalNumber,0),1,1)," ")</f>
        <v>#N/A</v>
      </c>
      <c r="Z144" s="33"/>
      <c r="AA144" s="242">
        <f t="shared" si="144"/>
        <v>0.9</v>
      </c>
      <c r="AB144" s="241" t="e">
        <f t="shared" ca="1" si="145"/>
        <v>#VALUE!</v>
      </c>
      <c r="AC144" s="243" t="e">
        <f ca="1">IF(AND(INDEX(FlowCalConstA,MATCH(Z141,FlowCalNumber,0),1,1)*AB144^INDEX(FlowCalConstB,MATCH(Z141,FlowCalNumber,0),1,1)&gt;INDEX(FlowCalLowSetting,MATCH(Z141,FlowCalNumber,0),1,1), (INDEX(FlowCalConstA,MATCH(Z141,FlowCalNumber,0),1,1)*AB144^INDEX(FlowCalConstB,MATCH(Z141,FlowCalNumber,0),1,1)&lt;INDEX(FlowCalHighSetting,MATCH(Z141,FlowCalNumber,0),1,1))),INDEX(FlowCalConstA,MATCH(Z141,FlowCalNumber,0),1,1)*AB144^INDEX(FlowCalConstB,MATCH(Z141,FlowCalNumber,0),1,1)," ")</f>
        <v>#N/A</v>
      </c>
      <c r="AD144" s="33"/>
      <c r="AE144" s="242">
        <f t="shared" si="146"/>
        <v>0.1</v>
      </c>
      <c r="AF144" s="241" t="e">
        <f t="shared" ca="1" si="147"/>
        <v>#VALUE!</v>
      </c>
      <c r="AG144" s="243" t="e">
        <f ca="1">IF(AND(INDEX(FlowCalConstA,MATCH(AD141,FlowCalNumber,0),1,1)*AF144^INDEX(FlowCalConstB,MATCH(AD141,FlowCalNumber,0),1,1)&gt;INDEX(FlowCalLowSetting,MATCH(AD141,FlowCalNumber,0),1,1), (INDEX(FlowCalConstA,MATCH(AD141,FlowCalNumber,0),1,1)*AF144^INDEX(FlowCalConstB,MATCH(AD141,FlowCalNumber,0),1,1)&lt;INDEX(FlowCalHighSetting,MATCH(AD141,FlowCalNumber,0),1,1))),INDEX(FlowCalConstA,MATCH(AD141,FlowCalNumber,0),1,1)*AF144^INDEX(FlowCalConstB,MATCH(AD141,FlowCalNumber,0),1,1)," ")</f>
        <v>#N/A</v>
      </c>
      <c r="AH144" s="33"/>
      <c r="AI144" s="242">
        <f t="shared" si="148"/>
        <v>0.9</v>
      </c>
      <c r="AJ144" s="241" t="e">
        <f t="shared" ca="1" si="149"/>
        <v>#VALUE!</v>
      </c>
      <c r="AK144" s="243" t="e">
        <f ca="1">IF(AND(INDEX(FlowCalConstA,MATCH(AH141,FlowCalNumber,0),1,1)*AJ144^INDEX(FlowCalConstB,MATCH(AH141,FlowCalNumber,0),1,1)&gt;INDEX(FlowCalLowSetting,MATCH(AH141,FlowCalNumber,0),1,1), (INDEX(FlowCalConstA,MATCH(AH141,FlowCalNumber,0),1,1)*AJ144^INDEX(FlowCalConstB,MATCH(AH141,FlowCalNumber,0),1,1)&lt;INDEX(FlowCalHighSetting,MATCH(AH141,FlowCalNumber,0),1,1))),INDEX(FlowCalConstA,MATCH(AH141,FlowCalNumber,0),1,1)*AJ144^INDEX(FlowCalConstB,MATCH(AH141,FlowCalNumber,0),1,1)," ")</f>
        <v>#N/A</v>
      </c>
      <c r="AL144" s="33"/>
      <c r="AM144" s="242"/>
      <c r="AN144" s="241"/>
      <c r="AO144" s="244"/>
      <c r="AQ144" s="242"/>
      <c r="AR144" s="241"/>
      <c r="AS144" s="244"/>
      <c r="AT144" s="33"/>
      <c r="AU144" s="242"/>
      <c r="AV144" s="241"/>
      <c r="AW144" s="244"/>
      <c r="AX144" s="33"/>
      <c r="AY144" s="242"/>
      <c r="AZ144" s="241"/>
      <c r="BA144" s="244"/>
      <c r="BB144" s="33"/>
      <c r="BC144" s="242"/>
      <c r="BD144" s="241"/>
      <c r="BE144" s="244"/>
      <c r="BF144" s="33"/>
      <c r="BG144" s="242"/>
      <c r="BH144" s="241"/>
      <c r="BI144" s="244"/>
      <c r="BJ144" s="33"/>
      <c r="BK144" s="242"/>
      <c r="BL144" s="241"/>
      <c r="BM144" s="244"/>
      <c r="BN144" s="33"/>
      <c r="BO144" s="242"/>
      <c r="BP144" s="241"/>
      <c r="BQ144" s="244"/>
      <c r="BR144" s="33"/>
      <c r="BS144" s="242"/>
      <c r="BT144" s="241"/>
      <c r="BU144" s="244"/>
      <c r="BV144" s="33"/>
      <c r="BW144" s="242"/>
      <c r="BX144" s="241"/>
      <c r="BY144" s="244"/>
      <c r="BZ144" s="33"/>
      <c r="CA144" s="242"/>
      <c r="CB144" s="241"/>
      <c r="CC144" s="244"/>
      <c r="CD144" s="243"/>
      <c r="CE144" s="243"/>
      <c r="CF144" s="243"/>
      <c r="CG144" s="243"/>
      <c r="CH144" s="243"/>
      <c r="CI144" s="243"/>
      <c r="CJ144" s="243"/>
      <c r="CK144" s="243"/>
      <c r="CL144" s="243"/>
      <c r="CM144" s="243"/>
      <c r="CN144" s="243"/>
      <c r="CO144" s="243"/>
      <c r="CP144" s="243"/>
      <c r="CQ144" s="243"/>
      <c r="CR144" s="243"/>
      <c r="CS144" s="243"/>
      <c r="CT144" s="243"/>
      <c r="CU144" s="243"/>
      <c r="CV144" s="243"/>
      <c r="CW144" s="243"/>
      <c r="CX144" s="243"/>
      <c r="CY144" s="243"/>
      <c r="CZ144" s="243"/>
      <c r="DA144" s="243"/>
      <c r="DB144" s="243"/>
      <c r="DC144" s="243"/>
      <c r="DD144" s="243"/>
      <c r="DE144" s="243"/>
      <c r="DF144" s="243"/>
      <c r="DG144" s="243"/>
      <c r="DH144" s="243"/>
      <c r="DI144" s="243"/>
      <c r="DJ144" s="243"/>
      <c r="DK144" s="243"/>
      <c r="DM144" s="242"/>
      <c r="DO144" s="243"/>
      <c r="DQ144" s="242"/>
      <c r="DS144" s="243"/>
      <c r="DU144" s="242"/>
      <c r="DW144" s="243"/>
      <c r="DY144" s="242"/>
      <c r="EA144" s="243"/>
    </row>
    <row r="145" spans="1:131">
      <c r="A145" s="20"/>
      <c r="B145" s="124" t="str">
        <f t="shared" si="134"/>
        <v/>
      </c>
      <c r="C145" s="235"/>
      <c r="D145" s="24">
        <f>'1% Wind'!$M$85</f>
        <v>17.8</v>
      </c>
      <c r="E145" s="90"/>
      <c r="F145" s="90"/>
      <c r="G145" s="79">
        <f ca="1">IF(I141=0.9743,$G144,MAX(G144/D144*D145,2))</f>
        <v>6.001707317073171</v>
      </c>
      <c r="H145" s="121" t="e">
        <f t="shared" ca="1" si="135"/>
        <v>#VALUE!</v>
      </c>
      <c r="J145" s="33"/>
      <c r="K145" s="242">
        <f t="shared" si="136"/>
        <v>1</v>
      </c>
      <c r="L145" s="241" t="e">
        <f t="shared" ca="1" si="137"/>
        <v>#VALUE!</v>
      </c>
      <c r="M145" s="243" t="e">
        <f ca="1">IF(AND(INDEX(FlowCalConstA,MATCH(J141,FlowCalNumber,0),1,1)*L145^INDEX(FlowCalConstB,MATCH(J141,FlowCalNumber,0),1,1)&gt;INDEX(FlowCalLowSetting,MATCH(J141,FlowCalNumber,0),1,1), (INDEX(FlowCalConstA,MATCH(J141,FlowCalNumber,0),1,1)*L145^INDEX(FlowCalConstB,MATCH(J141,FlowCalNumber,0),1,1)&lt;INDEX(FlowCalHighSetting,MATCH(J141,FlowCalNumber,0),1,1))),INDEX(FlowCalConstA,MATCH(J141,FlowCalNumber,0),1,1)*L145^INDEX(FlowCalConstB,MATCH(J141,FlowCalNumber,0),1,1)," ")</f>
        <v>#N/A</v>
      </c>
      <c r="N145" s="33"/>
      <c r="O145" s="242">
        <f t="shared" si="138"/>
        <v>1</v>
      </c>
      <c r="P145" s="241" t="e">
        <f t="shared" ca="1" si="139"/>
        <v>#VALUE!</v>
      </c>
      <c r="Q145" s="243" t="e">
        <f ca="1">IF(AND(INDEX(FlowCalConstA,MATCH(N141,FlowCalNumber,0),1,1)*P145^INDEX(FlowCalConstB,MATCH(N141,FlowCalNumber,0),1,1)&gt;INDEX(FlowCalLowSetting,MATCH(N141,FlowCalNumber,0),1,1), (INDEX(FlowCalConstA,MATCH(N141,FlowCalNumber,0),1,1)*P145^INDEX(FlowCalConstB,MATCH(N141,FlowCalNumber,0),1,1)&lt;INDEX(FlowCalHighSetting,MATCH(N141,FlowCalNumber,0),1,1))),INDEX(FlowCalConstA,MATCH(N141,FlowCalNumber,0),1,1)*P145^INDEX(FlowCalConstB,MATCH(N141,FlowCalNumber,0),1,1)," ")</f>
        <v>#N/A</v>
      </c>
      <c r="R145" s="33"/>
      <c r="S145" s="242">
        <f t="shared" si="140"/>
        <v>1</v>
      </c>
      <c r="T145" s="241" t="e">
        <f t="shared" ca="1" si="141"/>
        <v>#VALUE!</v>
      </c>
      <c r="U145" s="244" t="e">
        <f ca="1">IF(AND(INDEX(FlowCalConstA,MATCH(R141,FlowCalNumber,0),1,1)*T145^INDEX(FlowCalConstB,MATCH(R141,FlowCalNumber,0),1,1)&gt;INDEX(FlowCalLowSetting,MATCH(R141,FlowCalNumber,0),1,1), (INDEX(FlowCalConstA,MATCH(R141,FlowCalNumber,0),1,1)*T145^INDEX(FlowCalConstB,MATCH(R141,FlowCalNumber,0),1,1)&lt;INDEX(FlowCalHighSetting,MATCH(R141,FlowCalNumber,0),1,1))),INDEX(FlowCalConstA,MATCH(R141,FlowCalNumber,0),1,1)*T145^INDEX(FlowCalConstB,MATCH(R141,FlowCalNumber,0),1,1)," ")</f>
        <v>#N/A</v>
      </c>
      <c r="V145" s="33"/>
      <c r="W145" s="242">
        <f t="shared" si="142"/>
        <v>0.1</v>
      </c>
      <c r="X145" s="241" t="e">
        <f t="shared" ca="1" si="143"/>
        <v>#VALUE!</v>
      </c>
      <c r="Y145" s="243" t="e">
        <f ca="1">IF(AND(INDEX(FlowCalConstA,MATCH(V141,FlowCalNumber,0),1,1)*X145^INDEX(FlowCalConstB,MATCH(V141,FlowCalNumber,0),1,1)&gt;INDEX(FlowCalLowSetting,MATCH(V141,FlowCalNumber,0),1,1), (INDEX(FlowCalConstA,MATCH(V141,FlowCalNumber,0),1,1)*X145^INDEX(FlowCalConstB,MATCH(V141,FlowCalNumber,0),1,1)&lt;INDEX(FlowCalHighSetting,MATCH(V141,FlowCalNumber,0),1,1))),INDEX(FlowCalConstA,MATCH(V141,FlowCalNumber,0),1,1)*X145^INDEX(FlowCalConstB,MATCH(V141,FlowCalNumber,0),1,1)," ")</f>
        <v>#N/A</v>
      </c>
      <c r="Z145" s="33"/>
      <c r="AA145" s="242">
        <f t="shared" si="144"/>
        <v>0.9</v>
      </c>
      <c r="AB145" s="241" t="e">
        <f t="shared" ca="1" si="145"/>
        <v>#VALUE!</v>
      </c>
      <c r="AC145" s="243" t="e">
        <f ca="1">IF(AND(INDEX(FlowCalConstA,MATCH(Z141,FlowCalNumber,0),1,1)*AB145^INDEX(FlowCalConstB,MATCH(Z141,FlowCalNumber,0),1,1)&gt;INDEX(FlowCalLowSetting,MATCH(Z141,FlowCalNumber,0),1,1), (INDEX(FlowCalConstA,MATCH(Z141,FlowCalNumber,0),1,1)*AB145^INDEX(FlowCalConstB,MATCH(Z141,FlowCalNumber,0),1,1)&lt;INDEX(FlowCalHighSetting,MATCH(Z141,FlowCalNumber,0),1,1))),INDEX(FlowCalConstA,MATCH(Z141,FlowCalNumber,0),1,1)*AB145^INDEX(FlowCalConstB,MATCH(Z141,FlowCalNumber,0),1,1)," ")</f>
        <v>#N/A</v>
      </c>
      <c r="AD145" s="33"/>
      <c r="AE145" s="242">
        <f t="shared" si="146"/>
        <v>0.1</v>
      </c>
      <c r="AF145" s="241" t="e">
        <f t="shared" ca="1" si="147"/>
        <v>#VALUE!</v>
      </c>
      <c r="AG145" s="243" t="e">
        <f ca="1">IF(AND(INDEX(FlowCalConstA,MATCH(AD141,FlowCalNumber,0),1,1)*AF145^INDEX(FlowCalConstB,MATCH(AD141,FlowCalNumber,0),1,1)&gt;INDEX(FlowCalLowSetting,MATCH(AD141,FlowCalNumber,0),1,1), (INDEX(FlowCalConstA,MATCH(AD141,FlowCalNumber,0),1,1)*AF145^INDEX(FlowCalConstB,MATCH(AD141,FlowCalNumber,0),1,1)&lt;INDEX(FlowCalHighSetting,MATCH(AD141,FlowCalNumber,0),1,1))),INDEX(FlowCalConstA,MATCH(AD141,FlowCalNumber,0),1,1)*AF145^INDEX(FlowCalConstB,MATCH(AD141,FlowCalNumber,0),1,1)," ")</f>
        <v>#N/A</v>
      </c>
      <c r="AH145" s="33"/>
      <c r="AI145" s="242">
        <f t="shared" si="148"/>
        <v>0.9</v>
      </c>
      <c r="AJ145" s="241" t="e">
        <f t="shared" ca="1" si="149"/>
        <v>#VALUE!</v>
      </c>
      <c r="AK145" s="243" t="e">
        <f ca="1">IF(AND(INDEX(FlowCalConstA,MATCH(AH141,FlowCalNumber,0),1,1)*AJ145^INDEX(FlowCalConstB,MATCH(AH141,FlowCalNumber,0),1,1)&gt;INDEX(FlowCalLowSetting,MATCH(AH141,FlowCalNumber,0),1,1), (INDEX(FlowCalConstA,MATCH(AH141,FlowCalNumber,0),1,1)*AJ145^INDEX(FlowCalConstB,MATCH(AH141,FlowCalNumber,0),1,1)&lt;INDEX(FlowCalHighSetting,MATCH(AH141,FlowCalNumber,0),1,1))),INDEX(FlowCalConstA,MATCH(AH141,FlowCalNumber,0),1,1)*AJ145^INDEX(FlowCalConstB,MATCH(AH141,FlowCalNumber,0),1,1)," ")</f>
        <v>#N/A</v>
      </c>
      <c r="AL145" s="33"/>
      <c r="AM145" s="242"/>
      <c r="AN145" s="241"/>
      <c r="AO145" s="244"/>
      <c r="AQ145" s="242"/>
      <c r="AR145" s="241"/>
      <c r="AS145" s="244"/>
      <c r="AT145" s="33"/>
      <c r="AU145" s="242"/>
      <c r="AV145" s="241"/>
      <c r="AW145" s="244"/>
      <c r="AX145" s="33"/>
      <c r="AY145" s="242"/>
      <c r="AZ145" s="241"/>
      <c r="BA145" s="244"/>
      <c r="BB145" s="33"/>
      <c r="BC145" s="242"/>
      <c r="BD145" s="241"/>
      <c r="BE145" s="244"/>
      <c r="BF145" s="33"/>
      <c r="BG145" s="242"/>
      <c r="BH145" s="241"/>
      <c r="BI145" s="244"/>
      <c r="BJ145" s="33"/>
      <c r="BK145" s="242"/>
      <c r="BL145" s="241"/>
      <c r="BM145" s="244"/>
      <c r="BN145" s="33"/>
      <c r="BO145" s="242"/>
      <c r="BP145" s="241"/>
      <c r="BQ145" s="244"/>
      <c r="BR145" s="33"/>
      <c r="BS145" s="242"/>
      <c r="BT145" s="241"/>
      <c r="BU145" s="244"/>
      <c r="BV145" s="33"/>
      <c r="BW145" s="242"/>
      <c r="BX145" s="241"/>
      <c r="BY145" s="244"/>
      <c r="BZ145" s="33"/>
      <c r="CA145" s="242"/>
      <c r="CB145" s="241"/>
      <c r="CC145" s="244"/>
      <c r="CD145" s="243"/>
      <c r="CE145" s="243"/>
      <c r="CF145" s="243"/>
      <c r="CG145" s="243"/>
      <c r="CH145" s="243"/>
      <c r="CI145" s="243"/>
      <c r="CJ145" s="243"/>
      <c r="CK145" s="243"/>
      <c r="CL145" s="243"/>
      <c r="CM145" s="243"/>
      <c r="CN145" s="243"/>
      <c r="CO145" s="243"/>
      <c r="CP145" s="243"/>
      <c r="CQ145" s="243"/>
      <c r="CR145" s="243"/>
      <c r="CS145" s="243"/>
      <c r="CT145" s="243"/>
      <c r="CU145" s="243"/>
      <c r="CV145" s="243"/>
      <c r="CW145" s="243"/>
      <c r="CX145" s="243"/>
      <c r="CY145" s="243"/>
      <c r="CZ145" s="243"/>
      <c r="DA145" s="243"/>
      <c r="DB145" s="243"/>
      <c r="DC145" s="243"/>
      <c r="DD145" s="243"/>
      <c r="DE145" s="243"/>
      <c r="DF145" s="243"/>
      <c r="DG145" s="243"/>
      <c r="DH145" s="243"/>
      <c r="DI145" s="243"/>
      <c r="DJ145" s="243"/>
      <c r="DK145" s="243"/>
      <c r="DM145" s="242"/>
      <c r="DO145" s="243"/>
      <c r="DQ145" s="242"/>
      <c r="DS145" s="243"/>
      <c r="DU145" s="242"/>
      <c r="DW145" s="243"/>
      <c r="DY145" s="242"/>
      <c r="EA145" s="243"/>
    </row>
    <row r="146" spans="1:131">
      <c r="A146" s="20"/>
      <c r="B146" s="124" t="str">
        <f t="shared" si="134"/>
        <v/>
      </c>
      <c r="C146" s="235"/>
      <c r="D146" s="24">
        <f>'1% Wind'!$M$86</f>
        <v>15.5</v>
      </c>
      <c r="E146" s="90"/>
      <c r="F146" s="90"/>
      <c r="G146" s="79">
        <f ca="1">IF(I141=0.9743,$G145,MAX(G145/D145*D146,2))</f>
        <v>6.001707317073171</v>
      </c>
      <c r="H146" s="121" t="e">
        <f t="shared" ca="1" si="135"/>
        <v>#VALUE!</v>
      </c>
      <c r="J146" s="33"/>
      <c r="K146" s="242">
        <f t="shared" si="136"/>
        <v>1</v>
      </c>
      <c r="L146" s="241" t="e">
        <f t="shared" ca="1" si="137"/>
        <v>#VALUE!</v>
      </c>
      <c r="M146" s="243" t="e">
        <f ca="1">IF(AND(INDEX(FlowCalConstA,MATCH(J141,FlowCalNumber,0),1,1)*L146^INDEX(FlowCalConstB,MATCH(J141,FlowCalNumber,0),1,1)&gt;INDEX(FlowCalLowSetting,MATCH(J141,FlowCalNumber,0),1,1), (INDEX(FlowCalConstA,MATCH(J141,FlowCalNumber,0),1,1)*L146^INDEX(FlowCalConstB,MATCH(J141,FlowCalNumber,0),1,1)&lt;INDEX(FlowCalHighSetting,MATCH(J141,FlowCalNumber,0),1,1))),INDEX(FlowCalConstA,MATCH(J141,FlowCalNumber,0),1,1)*L146^INDEX(FlowCalConstB,MATCH(J141,FlowCalNumber,0),1,1)," ")</f>
        <v>#N/A</v>
      </c>
      <c r="N146" s="33"/>
      <c r="O146" s="242">
        <f t="shared" si="138"/>
        <v>1</v>
      </c>
      <c r="P146" s="241" t="e">
        <f t="shared" ca="1" si="139"/>
        <v>#VALUE!</v>
      </c>
      <c r="Q146" s="243" t="e">
        <f ca="1">IF(AND(INDEX(FlowCalConstA,MATCH(N141,FlowCalNumber,0),1,1)*P146^INDEX(FlowCalConstB,MATCH(N141,FlowCalNumber,0),1,1)&gt;INDEX(FlowCalLowSetting,MATCH(N141,FlowCalNumber,0),1,1), (INDEX(FlowCalConstA,MATCH(N141,FlowCalNumber,0),1,1)*P146^INDEX(FlowCalConstB,MATCH(N141,FlowCalNumber,0),1,1)&lt;INDEX(FlowCalHighSetting,MATCH(N141,FlowCalNumber,0),1,1))),INDEX(FlowCalConstA,MATCH(N141,FlowCalNumber,0),1,1)*P146^INDEX(FlowCalConstB,MATCH(N141,FlowCalNumber,0),1,1)," ")</f>
        <v>#N/A</v>
      </c>
      <c r="R146" s="33"/>
      <c r="S146" s="242">
        <f t="shared" si="140"/>
        <v>1</v>
      </c>
      <c r="T146" s="241" t="e">
        <f t="shared" ca="1" si="141"/>
        <v>#VALUE!</v>
      </c>
      <c r="U146" s="244" t="e">
        <f ca="1">IF(AND(INDEX(FlowCalConstA,MATCH(R141,FlowCalNumber,0),1,1)*T146^INDEX(FlowCalConstB,MATCH(R141,FlowCalNumber,0),1,1)&gt;INDEX(FlowCalLowSetting,MATCH(R141,FlowCalNumber,0),1,1), (INDEX(FlowCalConstA,MATCH(R141,FlowCalNumber,0),1,1)*T146^INDEX(FlowCalConstB,MATCH(R141,FlowCalNumber,0),1,1)&lt;INDEX(FlowCalHighSetting,MATCH(R141,FlowCalNumber,0),1,1))),INDEX(FlowCalConstA,MATCH(R141,FlowCalNumber,0),1,1)*T146^INDEX(FlowCalConstB,MATCH(R141,FlowCalNumber,0),1,1)," ")</f>
        <v>#N/A</v>
      </c>
      <c r="V146" s="33"/>
      <c r="W146" s="242">
        <f t="shared" si="142"/>
        <v>0.1</v>
      </c>
      <c r="X146" s="241" t="e">
        <f t="shared" ca="1" si="143"/>
        <v>#VALUE!</v>
      </c>
      <c r="Y146" s="243" t="e">
        <f ca="1">IF(AND(INDEX(FlowCalConstA,MATCH(V141,FlowCalNumber,0),1,1)*X146^INDEX(FlowCalConstB,MATCH(V141,FlowCalNumber,0),1,1)&gt;INDEX(FlowCalLowSetting,MATCH(V141,FlowCalNumber,0),1,1), (INDEX(FlowCalConstA,MATCH(V141,FlowCalNumber,0),1,1)*X146^INDEX(FlowCalConstB,MATCH(V141,FlowCalNumber,0),1,1)&lt;INDEX(FlowCalHighSetting,MATCH(V141,FlowCalNumber,0),1,1))),INDEX(FlowCalConstA,MATCH(V141,FlowCalNumber,0),1,1)*X146^INDEX(FlowCalConstB,MATCH(V141,FlowCalNumber,0),1,1)," ")</f>
        <v>#N/A</v>
      </c>
      <c r="Z146" s="33"/>
      <c r="AA146" s="242">
        <f t="shared" si="144"/>
        <v>0.9</v>
      </c>
      <c r="AB146" s="241" t="e">
        <f t="shared" ca="1" si="145"/>
        <v>#VALUE!</v>
      </c>
      <c r="AC146" s="243" t="e">
        <f ca="1">IF(AND(INDEX(FlowCalConstA,MATCH(Z141,FlowCalNumber,0),1,1)*AB146^INDEX(FlowCalConstB,MATCH(Z141,FlowCalNumber,0),1,1)&gt;INDEX(FlowCalLowSetting,MATCH(Z141,FlowCalNumber,0),1,1), (INDEX(FlowCalConstA,MATCH(Z141,FlowCalNumber,0),1,1)*AB146^INDEX(FlowCalConstB,MATCH(Z141,FlowCalNumber,0),1,1)&lt;INDEX(FlowCalHighSetting,MATCH(Z141,FlowCalNumber,0),1,1))),INDEX(FlowCalConstA,MATCH(Z141,FlowCalNumber,0),1,1)*AB146^INDEX(FlowCalConstB,MATCH(Z141,FlowCalNumber,0),1,1)," ")</f>
        <v>#N/A</v>
      </c>
      <c r="AD146" s="33"/>
      <c r="AE146" s="242">
        <f t="shared" si="146"/>
        <v>0.1</v>
      </c>
      <c r="AF146" s="241" t="e">
        <f t="shared" ca="1" si="147"/>
        <v>#VALUE!</v>
      </c>
      <c r="AG146" s="243" t="e">
        <f ca="1">IF(AND(INDEX(FlowCalConstA,MATCH(AD141,FlowCalNumber,0),1,1)*AF146^INDEX(FlowCalConstB,MATCH(AD141,FlowCalNumber,0),1,1)&gt;INDEX(FlowCalLowSetting,MATCH(AD141,FlowCalNumber,0),1,1), (INDEX(FlowCalConstA,MATCH(AD141,FlowCalNumber,0),1,1)*AF146^INDEX(FlowCalConstB,MATCH(AD141,FlowCalNumber,0),1,1)&lt;INDEX(FlowCalHighSetting,MATCH(AD141,FlowCalNumber,0),1,1))),INDEX(FlowCalConstA,MATCH(AD141,FlowCalNumber,0),1,1)*AF146^INDEX(FlowCalConstB,MATCH(AD141,FlowCalNumber,0),1,1)," ")</f>
        <v>#N/A</v>
      </c>
      <c r="AH146" s="33"/>
      <c r="AI146" s="242">
        <f t="shared" si="148"/>
        <v>0.9</v>
      </c>
      <c r="AJ146" s="241" t="e">
        <f t="shared" ca="1" si="149"/>
        <v>#VALUE!</v>
      </c>
      <c r="AK146" s="243" t="e">
        <f ca="1">IF(AND(INDEX(FlowCalConstA,MATCH(AH141,FlowCalNumber,0),1,1)*AJ146^INDEX(FlowCalConstB,MATCH(AH141,FlowCalNumber,0),1,1)&gt;INDEX(FlowCalLowSetting,MATCH(AH141,FlowCalNumber,0),1,1), (INDEX(FlowCalConstA,MATCH(AH141,FlowCalNumber,0),1,1)*AJ146^INDEX(FlowCalConstB,MATCH(AH141,FlowCalNumber,0),1,1)&lt;INDEX(FlowCalHighSetting,MATCH(AH141,FlowCalNumber,0),1,1))),INDEX(FlowCalConstA,MATCH(AH141,FlowCalNumber,0),1,1)*AJ146^INDEX(FlowCalConstB,MATCH(AH141,FlowCalNumber,0),1,1)," ")</f>
        <v>#N/A</v>
      </c>
      <c r="AL146" s="33"/>
      <c r="AM146" s="242"/>
      <c r="AN146" s="241"/>
      <c r="AO146" s="244"/>
      <c r="AQ146" s="242"/>
      <c r="AR146" s="241"/>
      <c r="AS146" s="244"/>
      <c r="AT146" s="33"/>
      <c r="AU146" s="242"/>
      <c r="AV146" s="241"/>
      <c r="AW146" s="244"/>
      <c r="AX146" s="33"/>
      <c r="AY146" s="242"/>
      <c r="AZ146" s="241"/>
      <c r="BA146" s="244"/>
      <c r="BB146" s="33"/>
      <c r="BC146" s="242"/>
      <c r="BD146" s="241"/>
      <c r="BE146" s="244"/>
      <c r="BF146" s="33"/>
      <c r="BG146" s="242"/>
      <c r="BH146" s="241"/>
      <c r="BI146" s="244"/>
      <c r="BJ146" s="33"/>
      <c r="BK146" s="242"/>
      <c r="BL146" s="241"/>
      <c r="BM146" s="244"/>
      <c r="BN146" s="33"/>
      <c r="BO146" s="242"/>
      <c r="BP146" s="241"/>
      <c r="BQ146" s="244"/>
      <c r="BR146" s="33"/>
      <c r="BS146" s="242"/>
      <c r="BT146" s="241"/>
      <c r="BU146" s="244"/>
      <c r="BV146" s="33"/>
      <c r="BW146" s="242"/>
      <c r="BX146" s="241"/>
      <c r="BY146" s="244"/>
      <c r="BZ146" s="33"/>
      <c r="CA146" s="242"/>
      <c r="CB146" s="241"/>
      <c r="CC146" s="244"/>
      <c r="CD146" s="243"/>
      <c r="CE146" s="243"/>
      <c r="CF146" s="243"/>
      <c r="CG146" s="243"/>
      <c r="CH146" s="243"/>
      <c r="CI146" s="243"/>
      <c r="CJ146" s="243"/>
      <c r="CK146" s="243"/>
      <c r="CL146" s="243"/>
      <c r="CM146" s="243"/>
      <c r="CN146" s="243"/>
      <c r="CO146" s="243"/>
      <c r="CP146" s="243"/>
      <c r="CQ146" s="243"/>
      <c r="CR146" s="243"/>
      <c r="CS146" s="243"/>
      <c r="CT146" s="243"/>
      <c r="CU146" s="243"/>
      <c r="CV146" s="243"/>
      <c r="CW146" s="243"/>
      <c r="CX146" s="243"/>
      <c r="CY146" s="243"/>
      <c r="CZ146" s="243"/>
      <c r="DA146" s="243"/>
      <c r="DB146" s="243"/>
      <c r="DC146" s="243"/>
      <c r="DD146" s="243"/>
      <c r="DE146" s="243"/>
      <c r="DF146" s="243"/>
      <c r="DG146" s="243"/>
      <c r="DH146" s="243"/>
      <c r="DI146" s="243"/>
      <c r="DJ146" s="243"/>
      <c r="DK146" s="243"/>
      <c r="DM146" s="242"/>
      <c r="DO146" s="243"/>
      <c r="DQ146" s="242"/>
      <c r="DS146" s="243"/>
      <c r="DU146" s="242"/>
      <c r="DW146" s="243"/>
      <c r="DY146" s="242"/>
      <c r="EA146" s="243"/>
    </row>
    <row r="147" spans="1:131">
      <c r="A147" s="20"/>
      <c r="B147" s="124" t="str">
        <f t="shared" si="134"/>
        <v/>
      </c>
      <c r="C147" s="235"/>
      <c r="D147" s="24">
        <f>'1% Wind'!$M$87</f>
        <v>13.5</v>
      </c>
      <c r="E147" s="90"/>
      <c r="F147" s="90"/>
      <c r="G147" s="79">
        <f ca="1">IF(I141=0.9743,$G146,MAX(G146/D146*D147,2))</f>
        <v>6.001707317073171</v>
      </c>
      <c r="H147" s="121" t="e">
        <f t="shared" ca="1" si="135"/>
        <v>#VALUE!</v>
      </c>
      <c r="J147" s="33"/>
      <c r="K147" s="242">
        <f t="shared" si="136"/>
        <v>1</v>
      </c>
      <c r="L147" s="241" t="e">
        <f t="shared" ca="1" si="137"/>
        <v>#VALUE!</v>
      </c>
      <c r="M147" s="243" t="e">
        <f ca="1">IF(AND(INDEX(FlowCalConstA,MATCH(J141,FlowCalNumber,0),1,1)*L147^INDEX(FlowCalConstB,MATCH(J141,FlowCalNumber,0),1,1)&gt;INDEX(FlowCalLowSetting,MATCH(J141,FlowCalNumber,0),1,1), (INDEX(FlowCalConstA,MATCH(J141,FlowCalNumber,0),1,1)*L147^INDEX(FlowCalConstB,MATCH(J141,FlowCalNumber,0),1,1)&lt;INDEX(FlowCalHighSetting,MATCH(J141,FlowCalNumber,0),1,1))),INDEX(FlowCalConstA,MATCH(J141,FlowCalNumber,0),1,1)*L147^INDEX(FlowCalConstB,MATCH(J141,FlowCalNumber,0),1,1)," ")</f>
        <v>#N/A</v>
      </c>
      <c r="N147" s="33"/>
      <c r="O147" s="242">
        <f t="shared" si="138"/>
        <v>1</v>
      </c>
      <c r="P147" s="241" t="e">
        <f t="shared" ca="1" si="139"/>
        <v>#VALUE!</v>
      </c>
      <c r="Q147" s="243" t="e">
        <f ca="1">IF(AND(INDEX(FlowCalConstA,MATCH(N141,FlowCalNumber,0),1,1)*P147^INDEX(FlowCalConstB,MATCH(N141,FlowCalNumber,0),1,1)&gt;INDEX(FlowCalLowSetting,MATCH(N141,FlowCalNumber,0),1,1), (INDEX(FlowCalConstA,MATCH(N141,FlowCalNumber,0),1,1)*P147^INDEX(FlowCalConstB,MATCH(N141,FlowCalNumber,0),1,1)&lt;INDEX(FlowCalHighSetting,MATCH(N141,FlowCalNumber,0),1,1))),INDEX(FlowCalConstA,MATCH(N141,FlowCalNumber,0),1,1)*P147^INDEX(FlowCalConstB,MATCH(N141,FlowCalNumber,0),1,1)," ")</f>
        <v>#N/A</v>
      </c>
      <c r="R147" s="33"/>
      <c r="S147" s="242">
        <f t="shared" si="140"/>
        <v>1</v>
      </c>
      <c r="T147" s="241" t="e">
        <f t="shared" ca="1" si="141"/>
        <v>#VALUE!</v>
      </c>
      <c r="U147" s="244" t="e">
        <f ca="1">IF(AND(INDEX(FlowCalConstA,MATCH(R141,FlowCalNumber,0),1,1)*T147^INDEX(FlowCalConstB,MATCH(R141,FlowCalNumber,0),1,1)&gt;INDEX(FlowCalLowSetting,MATCH(R141,FlowCalNumber,0),1,1), (INDEX(FlowCalConstA,MATCH(R141,FlowCalNumber,0),1,1)*T147^INDEX(FlowCalConstB,MATCH(R141,FlowCalNumber,0),1,1)&lt;INDEX(FlowCalHighSetting,MATCH(R141,FlowCalNumber,0),1,1))),INDEX(FlowCalConstA,MATCH(R141,FlowCalNumber,0),1,1)*T147^INDEX(FlowCalConstB,MATCH(R141,FlowCalNumber,0),1,1)," ")</f>
        <v>#N/A</v>
      </c>
      <c r="V147" s="33"/>
      <c r="W147" s="242">
        <f t="shared" si="142"/>
        <v>0.1</v>
      </c>
      <c r="X147" s="241" t="e">
        <f t="shared" ca="1" si="143"/>
        <v>#VALUE!</v>
      </c>
      <c r="Y147" s="243" t="e">
        <f ca="1">IF(AND(INDEX(FlowCalConstA,MATCH(V141,FlowCalNumber,0),1,1)*X147^INDEX(FlowCalConstB,MATCH(V141,FlowCalNumber,0),1,1)&gt;INDEX(FlowCalLowSetting,MATCH(V141,FlowCalNumber,0),1,1), (INDEX(FlowCalConstA,MATCH(V141,FlowCalNumber,0),1,1)*X147^INDEX(FlowCalConstB,MATCH(V141,FlowCalNumber,0),1,1)&lt;INDEX(FlowCalHighSetting,MATCH(V141,FlowCalNumber,0),1,1))),INDEX(FlowCalConstA,MATCH(V141,FlowCalNumber,0),1,1)*X147^INDEX(FlowCalConstB,MATCH(V141,FlowCalNumber,0),1,1)," ")</f>
        <v>#N/A</v>
      </c>
      <c r="Z147" s="33"/>
      <c r="AA147" s="242">
        <f t="shared" si="144"/>
        <v>0.9</v>
      </c>
      <c r="AB147" s="241" t="e">
        <f t="shared" ca="1" si="145"/>
        <v>#VALUE!</v>
      </c>
      <c r="AC147" s="243" t="e">
        <f ca="1">IF(AND(INDEX(FlowCalConstA,MATCH(Z141,FlowCalNumber,0),1,1)*AB147^INDEX(FlowCalConstB,MATCH(Z141,FlowCalNumber,0),1,1)&gt;INDEX(FlowCalLowSetting,MATCH(Z141,FlowCalNumber,0),1,1), (INDEX(FlowCalConstA,MATCH(Z141,FlowCalNumber,0),1,1)*AB147^INDEX(FlowCalConstB,MATCH(Z141,FlowCalNumber,0),1,1)&lt;INDEX(FlowCalHighSetting,MATCH(Z141,FlowCalNumber,0),1,1))),INDEX(FlowCalConstA,MATCH(Z141,FlowCalNumber,0),1,1)*AB147^INDEX(FlowCalConstB,MATCH(Z141,FlowCalNumber,0),1,1)," ")</f>
        <v>#N/A</v>
      </c>
      <c r="AD147" s="33"/>
      <c r="AE147" s="242">
        <f t="shared" si="146"/>
        <v>0.1</v>
      </c>
      <c r="AF147" s="241" t="e">
        <f t="shared" ca="1" si="147"/>
        <v>#VALUE!</v>
      </c>
      <c r="AG147" s="243" t="e">
        <f ca="1">IF(AND(INDEX(FlowCalConstA,MATCH(AD141,FlowCalNumber,0),1,1)*AF147^INDEX(FlowCalConstB,MATCH(AD141,FlowCalNumber,0),1,1)&gt;INDEX(FlowCalLowSetting,MATCH(AD141,FlowCalNumber,0),1,1), (INDEX(FlowCalConstA,MATCH(AD141,FlowCalNumber,0),1,1)*AF147^INDEX(FlowCalConstB,MATCH(AD141,FlowCalNumber,0),1,1)&lt;INDEX(FlowCalHighSetting,MATCH(AD141,FlowCalNumber,0),1,1))),INDEX(FlowCalConstA,MATCH(AD141,FlowCalNumber,0),1,1)*AF147^INDEX(FlowCalConstB,MATCH(AD141,FlowCalNumber,0),1,1)," ")</f>
        <v>#N/A</v>
      </c>
      <c r="AH147" s="33"/>
      <c r="AI147" s="242">
        <f t="shared" si="148"/>
        <v>0.9</v>
      </c>
      <c r="AJ147" s="241" t="e">
        <f t="shared" ca="1" si="149"/>
        <v>#VALUE!</v>
      </c>
      <c r="AK147" s="243" t="e">
        <f ca="1">IF(AND(INDEX(FlowCalConstA,MATCH(AH141,FlowCalNumber,0),1,1)*AJ147^INDEX(FlowCalConstB,MATCH(AH141,FlowCalNumber,0),1,1)&gt;INDEX(FlowCalLowSetting,MATCH(AH141,FlowCalNumber,0),1,1), (INDEX(FlowCalConstA,MATCH(AH141,FlowCalNumber,0),1,1)*AJ147^INDEX(FlowCalConstB,MATCH(AH141,FlowCalNumber,0),1,1)&lt;INDEX(FlowCalHighSetting,MATCH(AH141,FlowCalNumber,0),1,1))),INDEX(FlowCalConstA,MATCH(AH141,FlowCalNumber,0),1,1)*AJ147^INDEX(FlowCalConstB,MATCH(AH141,FlowCalNumber,0),1,1)," ")</f>
        <v>#N/A</v>
      </c>
      <c r="AL147" s="33"/>
      <c r="AM147" s="242"/>
      <c r="AN147" s="241"/>
      <c r="AO147" s="244"/>
      <c r="AQ147" s="242"/>
      <c r="AR147" s="241"/>
      <c r="AS147" s="244"/>
      <c r="AT147" s="33"/>
      <c r="AU147" s="242"/>
      <c r="AV147" s="241"/>
      <c r="AW147" s="244"/>
      <c r="AX147" s="33"/>
      <c r="AY147" s="242"/>
      <c r="AZ147" s="241"/>
      <c r="BA147" s="244"/>
      <c r="BB147" s="33"/>
      <c r="BC147" s="242"/>
      <c r="BD147" s="241"/>
      <c r="BE147" s="244"/>
      <c r="BF147" s="33"/>
      <c r="BG147" s="242"/>
      <c r="BH147" s="241"/>
      <c r="BI147" s="244"/>
      <c r="BJ147" s="33"/>
      <c r="BK147" s="242"/>
      <c r="BL147" s="241"/>
      <c r="BM147" s="244"/>
      <c r="BN147" s="33"/>
      <c r="BO147" s="242"/>
      <c r="BP147" s="241"/>
      <c r="BQ147" s="244"/>
      <c r="BR147" s="33"/>
      <c r="BS147" s="242"/>
      <c r="BT147" s="241"/>
      <c r="BU147" s="244"/>
      <c r="BV147" s="33"/>
      <c r="BW147" s="242"/>
      <c r="BX147" s="241"/>
      <c r="BY147" s="244"/>
      <c r="BZ147" s="33"/>
      <c r="CA147" s="242"/>
      <c r="CB147" s="241"/>
      <c r="CC147" s="244"/>
      <c r="CD147" s="243"/>
      <c r="CE147" s="243"/>
      <c r="CF147" s="243"/>
      <c r="CG147" s="243"/>
      <c r="CH147" s="243"/>
      <c r="CI147" s="243"/>
      <c r="CJ147" s="243"/>
      <c r="CK147" s="243"/>
      <c r="CL147" s="243"/>
      <c r="CM147" s="243"/>
      <c r="CN147" s="243"/>
      <c r="CO147" s="243"/>
      <c r="CP147" s="243"/>
      <c r="CQ147" s="243"/>
      <c r="CR147" s="243"/>
      <c r="CS147" s="243"/>
      <c r="CT147" s="243"/>
      <c r="CU147" s="243"/>
      <c r="CV147" s="243"/>
      <c r="CW147" s="243"/>
      <c r="CX147" s="243"/>
      <c r="CY147" s="243"/>
      <c r="CZ147" s="243"/>
      <c r="DA147" s="243"/>
      <c r="DB147" s="243"/>
      <c r="DC147" s="243"/>
      <c r="DD147" s="243"/>
      <c r="DE147" s="243"/>
      <c r="DF147" s="243"/>
      <c r="DG147" s="243"/>
      <c r="DH147" s="243"/>
      <c r="DI147" s="243"/>
      <c r="DJ147" s="243"/>
      <c r="DK147" s="243"/>
      <c r="DM147" s="242"/>
      <c r="DO147" s="243"/>
      <c r="DQ147" s="242"/>
      <c r="DS147" s="243"/>
      <c r="DU147" s="242"/>
      <c r="DW147" s="243"/>
      <c r="DY147" s="242"/>
      <c r="EA147" s="243"/>
    </row>
    <row r="148" spans="1:131">
      <c r="A148" s="20"/>
      <c r="B148" s="124" t="str">
        <f t="shared" si="134"/>
        <v/>
      </c>
      <c r="C148" s="235"/>
      <c r="D148" s="24">
        <f>'1% Wind'!$M$88</f>
        <v>10.1</v>
      </c>
      <c r="E148" s="90"/>
      <c r="F148" s="90"/>
      <c r="G148" s="79">
        <f ca="1">IF(I141=0.9743,$G147,MAX(G147/D147*D148,2))</f>
        <v>6.001707317073171</v>
      </c>
      <c r="H148" s="121" t="e">
        <f t="shared" ca="1" si="135"/>
        <v>#VALUE!</v>
      </c>
      <c r="J148" s="33"/>
      <c r="K148" s="242">
        <f t="shared" si="136"/>
        <v>1</v>
      </c>
      <c r="L148" s="241" t="e">
        <f t="shared" ca="1" si="137"/>
        <v>#VALUE!</v>
      </c>
      <c r="M148" s="243" t="e">
        <f ca="1">IF(AND(INDEX(FlowCalConstA,MATCH(J141,FlowCalNumber,0),1,1)*L148^INDEX(FlowCalConstB,MATCH(J141,FlowCalNumber,0),1,1)&gt;INDEX(FlowCalLowSetting,MATCH(J141,FlowCalNumber,0),1,1), (INDEX(FlowCalConstA,MATCH(J141,FlowCalNumber,0),1,1)*L148^INDEX(FlowCalConstB,MATCH(J141,FlowCalNumber,0),1,1)&lt;INDEX(FlowCalHighSetting,MATCH(J141,FlowCalNumber,0),1,1))),INDEX(FlowCalConstA,MATCH(J141,FlowCalNumber,0),1,1)*L148^INDEX(FlowCalConstB,MATCH(J141,FlowCalNumber,0),1,1)," ")</f>
        <v>#N/A</v>
      </c>
      <c r="N148" s="33"/>
      <c r="O148" s="242">
        <f t="shared" si="138"/>
        <v>1</v>
      </c>
      <c r="P148" s="241" t="e">
        <f t="shared" ca="1" si="139"/>
        <v>#VALUE!</v>
      </c>
      <c r="Q148" s="243" t="e">
        <f ca="1">IF(AND(INDEX(FlowCalConstA,MATCH(N141,FlowCalNumber,0),1,1)*P148^INDEX(FlowCalConstB,MATCH(N141,FlowCalNumber,0),1,1)&gt;INDEX(FlowCalLowSetting,MATCH(N141,FlowCalNumber,0),1,1), (INDEX(FlowCalConstA,MATCH(N141,FlowCalNumber,0),1,1)*P148^INDEX(FlowCalConstB,MATCH(N141,FlowCalNumber,0),1,1)&lt;INDEX(FlowCalHighSetting,MATCH(N141,FlowCalNumber,0),1,1))),INDEX(FlowCalConstA,MATCH(N141,FlowCalNumber,0),1,1)*P148^INDEX(FlowCalConstB,MATCH(N141,FlowCalNumber,0),1,1)," ")</f>
        <v>#N/A</v>
      </c>
      <c r="R148" s="33"/>
      <c r="S148" s="242">
        <f t="shared" si="140"/>
        <v>1</v>
      </c>
      <c r="T148" s="241" t="e">
        <f t="shared" ca="1" si="141"/>
        <v>#VALUE!</v>
      </c>
      <c r="U148" s="244" t="e">
        <f ca="1">IF(AND(INDEX(FlowCalConstA,MATCH(R141,FlowCalNumber,0),1,1)*T148^INDEX(FlowCalConstB,MATCH(R141,FlowCalNumber,0),1,1)&gt;INDEX(FlowCalLowSetting,MATCH(R141,FlowCalNumber,0),1,1), (INDEX(FlowCalConstA,MATCH(R141,FlowCalNumber,0),1,1)*T148^INDEX(FlowCalConstB,MATCH(R141,FlowCalNumber,0),1,1)&lt;INDEX(FlowCalHighSetting,MATCH(R141,FlowCalNumber,0),1,1))),INDEX(FlowCalConstA,MATCH(R141,FlowCalNumber,0),1,1)*T148^INDEX(FlowCalConstB,MATCH(R141,FlowCalNumber,0),1,1)," ")</f>
        <v>#N/A</v>
      </c>
      <c r="V148" s="33"/>
      <c r="W148" s="242">
        <f t="shared" si="142"/>
        <v>0.1</v>
      </c>
      <c r="X148" s="241" t="e">
        <f t="shared" ca="1" si="143"/>
        <v>#VALUE!</v>
      </c>
      <c r="Y148" s="243" t="e">
        <f ca="1">IF(AND(INDEX(FlowCalConstA,MATCH(V141,FlowCalNumber,0),1,1)*X148^INDEX(FlowCalConstB,MATCH(V141,FlowCalNumber,0),1,1)&gt;INDEX(FlowCalLowSetting,MATCH(V141,FlowCalNumber,0),1,1), (INDEX(FlowCalConstA,MATCH(V141,FlowCalNumber,0),1,1)*X148^INDEX(FlowCalConstB,MATCH(V141,FlowCalNumber,0),1,1)&lt;INDEX(FlowCalHighSetting,MATCH(V141,FlowCalNumber,0),1,1))),INDEX(FlowCalConstA,MATCH(V141,FlowCalNumber,0),1,1)*X148^INDEX(FlowCalConstB,MATCH(V141,FlowCalNumber,0),1,1)," ")</f>
        <v>#N/A</v>
      </c>
      <c r="Z148" s="33"/>
      <c r="AA148" s="242">
        <f t="shared" si="144"/>
        <v>0.9</v>
      </c>
      <c r="AB148" s="241" t="e">
        <f t="shared" ca="1" si="145"/>
        <v>#VALUE!</v>
      </c>
      <c r="AC148" s="243" t="e">
        <f ca="1">IF(AND(INDEX(FlowCalConstA,MATCH(Z141,FlowCalNumber,0),1,1)*AB148^INDEX(FlowCalConstB,MATCH(Z141,FlowCalNumber,0),1,1)&gt;INDEX(FlowCalLowSetting,MATCH(Z141,FlowCalNumber,0),1,1), (INDEX(FlowCalConstA,MATCH(Z141,FlowCalNumber,0),1,1)*AB148^INDEX(FlowCalConstB,MATCH(Z141,FlowCalNumber,0),1,1)&lt;INDEX(FlowCalHighSetting,MATCH(Z141,FlowCalNumber,0),1,1))),INDEX(FlowCalConstA,MATCH(Z141,FlowCalNumber,0),1,1)*AB148^INDEX(FlowCalConstB,MATCH(Z141,FlowCalNumber,0),1,1)," ")</f>
        <v>#N/A</v>
      </c>
      <c r="AD148" s="33"/>
      <c r="AE148" s="242">
        <f t="shared" si="146"/>
        <v>0.1</v>
      </c>
      <c r="AF148" s="241" t="e">
        <f t="shared" ca="1" si="147"/>
        <v>#VALUE!</v>
      </c>
      <c r="AG148" s="243" t="e">
        <f ca="1">IF(AND(INDEX(FlowCalConstA,MATCH(AD141,FlowCalNumber,0),1,1)*AF148^INDEX(FlowCalConstB,MATCH(AD141,FlowCalNumber,0),1,1)&gt;INDEX(FlowCalLowSetting,MATCH(AD141,FlowCalNumber,0),1,1), (INDEX(FlowCalConstA,MATCH(AD141,FlowCalNumber,0),1,1)*AF148^INDEX(FlowCalConstB,MATCH(AD141,FlowCalNumber,0),1,1)&lt;INDEX(FlowCalHighSetting,MATCH(AD141,FlowCalNumber,0),1,1))),INDEX(FlowCalConstA,MATCH(AD141,FlowCalNumber,0),1,1)*AF148^INDEX(FlowCalConstB,MATCH(AD141,FlowCalNumber,0),1,1)," ")</f>
        <v>#N/A</v>
      </c>
      <c r="AH148" s="33"/>
      <c r="AI148" s="242">
        <f t="shared" si="148"/>
        <v>0.9</v>
      </c>
      <c r="AJ148" s="241" t="e">
        <f t="shared" ca="1" si="149"/>
        <v>#VALUE!</v>
      </c>
      <c r="AK148" s="243" t="e">
        <f ca="1">IF(AND(INDEX(FlowCalConstA,MATCH(AH141,FlowCalNumber,0),1,1)*AJ148^INDEX(FlowCalConstB,MATCH(AH141,FlowCalNumber,0),1,1)&gt;INDEX(FlowCalLowSetting,MATCH(AH141,FlowCalNumber,0),1,1), (INDEX(FlowCalConstA,MATCH(AH141,FlowCalNumber,0),1,1)*AJ148^INDEX(FlowCalConstB,MATCH(AH141,FlowCalNumber,0),1,1)&lt;INDEX(FlowCalHighSetting,MATCH(AH141,FlowCalNumber,0),1,1))),INDEX(FlowCalConstA,MATCH(AH141,FlowCalNumber,0),1,1)*AJ148^INDEX(FlowCalConstB,MATCH(AH141,FlowCalNumber,0),1,1)," ")</f>
        <v>#N/A</v>
      </c>
      <c r="AL148" s="33"/>
      <c r="AM148" s="242"/>
      <c r="AN148" s="241"/>
      <c r="AO148" s="244"/>
      <c r="AQ148" s="242"/>
      <c r="AR148" s="241"/>
      <c r="AS148" s="244"/>
      <c r="AT148" s="33"/>
      <c r="AU148" s="242"/>
      <c r="AV148" s="241"/>
      <c r="AW148" s="244"/>
      <c r="AX148" s="33"/>
      <c r="AY148" s="242"/>
      <c r="AZ148" s="241"/>
      <c r="BA148" s="244"/>
      <c r="BB148" s="33"/>
      <c r="BC148" s="242"/>
      <c r="BD148" s="241"/>
      <c r="BE148" s="244"/>
      <c r="BF148" s="33"/>
      <c r="BG148" s="242"/>
      <c r="BH148" s="241"/>
      <c r="BI148" s="244"/>
      <c r="BJ148" s="33"/>
      <c r="BK148" s="242"/>
      <c r="BL148" s="241"/>
      <c r="BM148" s="244"/>
      <c r="BN148" s="33"/>
      <c r="BO148" s="242"/>
      <c r="BP148" s="241"/>
      <c r="BQ148" s="244"/>
      <c r="BR148" s="33"/>
      <c r="BS148" s="242"/>
      <c r="BT148" s="241"/>
      <c r="BU148" s="244"/>
      <c r="BV148" s="33"/>
      <c r="BW148" s="242"/>
      <c r="BX148" s="241"/>
      <c r="BY148" s="244"/>
      <c r="BZ148" s="33"/>
      <c r="CA148" s="242"/>
      <c r="CB148" s="241"/>
      <c r="CC148" s="244"/>
      <c r="CD148" s="243"/>
      <c r="CE148" s="243"/>
      <c r="CF148" s="243"/>
      <c r="CG148" s="243"/>
      <c r="CH148" s="243"/>
      <c r="CI148" s="243"/>
      <c r="CJ148" s="243"/>
      <c r="CK148" s="243"/>
      <c r="CL148" s="243"/>
      <c r="CM148" s="243"/>
      <c r="CN148" s="243"/>
      <c r="CO148" s="243"/>
      <c r="CP148" s="243"/>
      <c r="CQ148" s="243"/>
      <c r="CR148" s="243"/>
      <c r="CS148" s="243"/>
      <c r="CT148" s="243"/>
      <c r="CU148" s="243"/>
      <c r="CV148" s="243"/>
      <c r="CW148" s="243"/>
      <c r="CX148" s="243"/>
      <c r="CY148" s="243"/>
      <c r="CZ148" s="243"/>
      <c r="DA148" s="243"/>
      <c r="DB148" s="243"/>
      <c r="DC148" s="243"/>
      <c r="DD148" s="243"/>
      <c r="DE148" s="243"/>
      <c r="DF148" s="243"/>
      <c r="DG148" s="243"/>
      <c r="DH148" s="243"/>
      <c r="DI148" s="243"/>
      <c r="DJ148" s="243"/>
      <c r="DK148" s="243"/>
      <c r="DM148" s="242"/>
      <c r="DO148" s="243"/>
      <c r="DQ148" s="242"/>
      <c r="DS148" s="243"/>
      <c r="DU148" s="242"/>
      <c r="DW148" s="243"/>
      <c r="DY148" s="242"/>
      <c r="EA148" s="243"/>
    </row>
    <row r="149" spans="1:131">
      <c r="A149" s="20"/>
      <c r="B149" s="124" t="str">
        <f t="shared" si="134"/>
        <v/>
      </c>
      <c r="C149" s="235"/>
      <c r="D149" s="24">
        <f>'1% Wind'!$M$89</f>
        <v>7.6</v>
      </c>
      <c r="E149" s="90"/>
      <c r="F149" s="90"/>
      <c r="G149" s="79">
        <f ca="1">IF(I141=0.9743,$G148,MAX(G148/D148*D149,2))</f>
        <v>6.001707317073171</v>
      </c>
      <c r="H149" s="121" t="e">
        <f t="shared" ca="1" si="135"/>
        <v>#VALUE!</v>
      </c>
      <c r="J149" s="33"/>
      <c r="K149" s="242">
        <f t="shared" si="136"/>
        <v>1</v>
      </c>
      <c r="L149" s="241" t="e">
        <f t="shared" ca="1" si="137"/>
        <v>#VALUE!</v>
      </c>
      <c r="M149" s="243" t="e">
        <f ca="1">IF(AND(INDEX(FlowCalConstA,MATCH(J141,FlowCalNumber,0),1,1)*L149^INDEX(FlowCalConstB,MATCH(J141,FlowCalNumber,0),1,1)&gt;INDEX(FlowCalLowSetting,MATCH(J141,FlowCalNumber,0),1,1), (INDEX(FlowCalConstA,MATCH(J141,FlowCalNumber,0),1,1)*L149^INDEX(FlowCalConstB,MATCH(J141,FlowCalNumber,0),1,1)&lt;INDEX(FlowCalHighSetting,MATCH(J141,FlowCalNumber,0),1,1))),INDEX(FlowCalConstA,MATCH(J141,FlowCalNumber,0),1,1)*L149^INDEX(FlowCalConstB,MATCH(J141,FlowCalNumber,0),1,1)," ")</f>
        <v>#N/A</v>
      </c>
      <c r="N149" s="33"/>
      <c r="O149" s="242">
        <f t="shared" si="138"/>
        <v>1</v>
      </c>
      <c r="P149" s="241" t="e">
        <f t="shared" ca="1" si="139"/>
        <v>#VALUE!</v>
      </c>
      <c r="Q149" s="243" t="e">
        <f ca="1">IF(AND(INDEX(FlowCalConstA,MATCH(N141,FlowCalNumber,0),1,1)*P149^INDEX(FlowCalConstB,MATCH(N141,FlowCalNumber,0),1,1)&gt;INDEX(FlowCalLowSetting,MATCH(N141,FlowCalNumber,0),1,1), (INDEX(FlowCalConstA,MATCH(N141,FlowCalNumber,0),1,1)*P149^INDEX(FlowCalConstB,MATCH(N141,FlowCalNumber,0),1,1)&lt;INDEX(FlowCalHighSetting,MATCH(N141,FlowCalNumber,0),1,1))),INDEX(FlowCalConstA,MATCH(N141,FlowCalNumber,0),1,1)*P149^INDEX(FlowCalConstB,MATCH(N141,FlowCalNumber,0),1,1)," ")</f>
        <v>#N/A</v>
      </c>
      <c r="R149" s="33"/>
      <c r="S149" s="242">
        <f t="shared" si="140"/>
        <v>1</v>
      </c>
      <c r="T149" s="241" t="e">
        <f t="shared" ca="1" si="141"/>
        <v>#VALUE!</v>
      </c>
      <c r="U149" s="244" t="e">
        <f ca="1">IF(AND(INDEX(FlowCalConstA,MATCH(R141,FlowCalNumber,0),1,1)*T149^INDEX(FlowCalConstB,MATCH(R141,FlowCalNumber,0),1,1)&gt;INDEX(FlowCalLowSetting,MATCH(R141,FlowCalNumber,0),1,1), (INDEX(FlowCalConstA,MATCH(R141,FlowCalNumber,0),1,1)*T149^INDEX(FlowCalConstB,MATCH(R141,FlowCalNumber,0),1,1)&lt;INDEX(FlowCalHighSetting,MATCH(R141,FlowCalNumber,0),1,1))),INDEX(FlowCalConstA,MATCH(R141,FlowCalNumber,0),1,1)*T149^INDEX(FlowCalConstB,MATCH(R141,FlowCalNumber,0),1,1)," ")</f>
        <v>#N/A</v>
      </c>
      <c r="V149" s="33"/>
      <c r="W149" s="242">
        <f t="shared" si="142"/>
        <v>0.1</v>
      </c>
      <c r="X149" s="241" t="e">
        <f t="shared" ca="1" si="143"/>
        <v>#VALUE!</v>
      </c>
      <c r="Y149" s="243" t="e">
        <f ca="1">IF(AND(INDEX(FlowCalConstA,MATCH(V141,FlowCalNumber,0),1,1)*X149^INDEX(FlowCalConstB,MATCH(V141,FlowCalNumber,0),1,1)&gt;INDEX(FlowCalLowSetting,MATCH(V141,FlowCalNumber,0),1,1), (INDEX(FlowCalConstA,MATCH(V141,FlowCalNumber,0),1,1)*X149^INDEX(FlowCalConstB,MATCH(V141,FlowCalNumber,0),1,1)&lt;INDEX(FlowCalHighSetting,MATCH(V141,FlowCalNumber,0),1,1))),INDEX(FlowCalConstA,MATCH(V141,FlowCalNumber,0),1,1)*X149^INDEX(FlowCalConstB,MATCH(V141,FlowCalNumber,0),1,1)," ")</f>
        <v>#N/A</v>
      </c>
      <c r="Z149" s="33"/>
      <c r="AA149" s="242">
        <f t="shared" si="144"/>
        <v>0.9</v>
      </c>
      <c r="AB149" s="241" t="e">
        <f t="shared" ca="1" si="145"/>
        <v>#VALUE!</v>
      </c>
      <c r="AC149" s="243" t="e">
        <f ca="1">IF(AND(INDEX(FlowCalConstA,MATCH(Z141,FlowCalNumber,0),1,1)*AB149^INDEX(FlowCalConstB,MATCH(Z141,FlowCalNumber,0),1,1)&gt;INDEX(FlowCalLowSetting,MATCH(Z141,FlowCalNumber,0),1,1), (INDEX(FlowCalConstA,MATCH(Z141,FlowCalNumber,0),1,1)*AB149^INDEX(FlowCalConstB,MATCH(Z141,FlowCalNumber,0),1,1)&lt;INDEX(FlowCalHighSetting,MATCH(Z141,FlowCalNumber,0),1,1))),INDEX(FlowCalConstA,MATCH(Z141,FlowCalNumber,0),1,1)*AB149^INDEX(FlowCalConstB,MATCH(Z141,FlowCalNumber,0),1,1)," ")</f>
        <v>#N/A</v>
      </c>
      <c r="AD149" s="33"/>
      <c r="AE149" s="242">
        <f t="shared" si="146"/>
        <v>0.1</v>
      </c>
      <c r="AF149" s="241" t="e">
        <f t="shared" ca="1" si="147"/>
        <v>#VALUE!</v>
      </c>
      <c r="AG149" s="243" t="e">
        <f ca="1">IF(AND(INDEX(FlowCalConstA,MATCH(AD141,FlowCalNumber,0),1,1)*AF149^INDEX(FlowCalConstB,MATCH(AD141,FlowCalNumber,0),1,1)&gt;INDEX(FlowCalLowSetting,MATCH(AD141,FlowCalNumber,0),1,1), (INDEX(FlowCalConstA,MATCH(AD141,FlowCalNumber,0),1,1)*AF149^INDEX(FlowCalConstB,MATCH(AD141,FlowCalNumber,0),1,1)&lt;INDEX(FlowCalHighSetting,MATCH(AD141,FlowCalNumber,0),1,1))),INDEX(FlowCalConstA,MATCH(AD141,FlowCalNumber,0),1,1)*AF149^INDEX(FlowCalConstB,MATCH(AD141,FlowCalNumber,0),1,1)," ")</f>
        <v>#N/A</v>
      </c>
      <c r="AH149" s="33"/>
      <c r="AI149" s="242">
        <f t="shared" si="148"/>
        <v>0.9</v>
      </c>
      <c r="AJ149" s="241" t="e">
        <f t="shared" ca="1" si="149"/>
        <v>#VALUE!</v>
      </c>
      <c r="AK149" s="243" t="e">
        <f ca="1">IF(AND(INDEX(FlowCalConstA,MATCH(AH141,FlowCalNumber,0),1,1)*AJ149^INDEX(FlowCalConstB,MATCH(AH141,FlowCalNumber,0),1,1)&gt;INDEX(FlowCalLowSetting,MATCH(AH141,FlowCalNumber,0),1,1), (INDEX(FlowCalConstA,MATCH(AH141,FlowCalNumber,0),1,1)*AJ149^INDEX(FlowCalConstB,MATCH(AH141,FlowCalNumber,0),1,1)&lt;INDEX(FlowCalHighSetting,MATCH(AH141,FlowCalNumber,0),1,1))),INDEX(FlowCalConstA,MATCH(AH141,FlowCalNumber,0),1,1)*AJ149^INDEX(FlowCalConstB,MATCH(AH141,FlowCalNumber,0),1,1)," ")</f>
        <v>#N/A</v>
      </c>
      <c r="AL149" s="33"/>
      <c r="AM149" s="242"/>
      <c r="AN149" s="241"/>
      <c r="AO149" s="244"/>
      <c r="AQ149" s="242"/>
      <c r="AR149" s="241"/>
      <c r="AS149" s="244"/>
      <c r="AT149" s="33"/>
      <c r="AU149" s="242"/>
      <c r="AV149" s="241"/>
      <c r="AW149" s="244"/>
      <c r="AX149" s="33"/>
      <c r="AY149" s="242"/>
      <c r="AZ149" s="241"/>
      <c r="BA149" s="244"/>
      <c r="BB149" s="33"/>
      <c r="BC149" s="242"/>
      <c r="BD149" s="241"/>
      <c r="BE149" s="244"/>
      <c r="BF149" s="33"/>
      <c r="BG149" s="242"/>
      <c r="BH149" s="241"/>
      <c r="BI149" s="244"/>
      <c r="BJ149" s="33"/>
      <c r="BK149" s="242"/>
      <c r="BL149" s="241"/>
      <c r="BM149" s="244"/>
      <c r="BN149" s="33"/>
      <c r="BO149" s="242"/>
      <c r="BP149" s="241"/>
      <c r="BQ149" s="244"/>
      <c r="BR149" s="33"/>
      <c r="BS149" s="242"/>
      <c r="BT149" s="241"/>
      <c r="BU149" s="244"/>
      <c r="BV149" s="33"/>
      <c r="BW149" s="242"/>
      <c r="BX149" s="241"/>
      <c r="BY149" s="244"/>
      <c r="BZ149" s="33"/>
      <c r="CA149" s="242"/>
      <c r="CB149" s="241"/>
      <c r="CC149" s="244"/>
      <c r="CD149" s="243"/>
      <c r="CE149" s="243"/>
      <c r="CF149" s="243"/>
      <c r="CG149" s="243"/>
      <c r="CH149" s="243"/>
      <c r="CI149" s="243"/>
      <c r="CJ149" s="243"/>
      <c r="CK149" s="243"/>
      <c r="CL149" s="243"/>
      <c r="CM149" s="243"/>
      <c r="CN149" s="243"/>
      <c r="CO149" s="243"/>
      <c r="CP149" s="243"/>
      <c r="CQ149" s="243"/>
      <c r="CR149" s="243"/>
      <c r="CS149" s="243"/>
      <c r="CT149" s="243"/>
      <c r="CU149" s="243"/>
      <c r="CV149" s="243"/>
      <c r="CW149" s="243"/>
      <c r="CX149" s="243"/>
      <c r="CY149" s="243"/>
      <c r="CZ149" s="243"/>
      <c r="DA149" s="243"/>
      <c r="DB149" s="243"/>
      <c r="DC149" s="243"/>
      <c r="DD149" s="243"/>
      <c r="DE149" s="243"/>
      <c r="DF149" s="243"/>
      <c r="DG149" s="243"/>
      <c r="DH149" s="243"/>
      <c r="DI149" s="243"/>
      <c r="DJ149" s="243"/>
      <c r="DK149" s="243"/>
      <c r="DM149" s="242"/>
      <c r="DO149" s="243"/>
      <c r="DQ149" s="242"/>
      <c r="DS149" s="243"/>
      <c r="DU149" s="242"/>
      <c r="DW149" s="243"/>
      <c r="DY149" s="242"/>
      <c r="EA149" s="243"/>
    </row>
    <row r="150" spans="1:131">
      <c r="A150" s="20"/>
      <c r="B150" s="124" t="str">
        <f t="shared" si="134"/>
        <v/>
      </c>
      <c r="C150" s="235"/>
      <c r="D150" s="24">
        <f>'1% Wind'!$M$90</f>
        <v>5.7</v>
      </c>
      <c r="E150" s="90"/>
      <c r="F150" s="90"/>
      <c r="G150" s="79">
        <f ca="1">IF(I141=0.9743,$G149,MAX(G149/D149*D150,2))</f>
        <v>6.001707317073171</v>
      </c>
      <c r="H150" s="121" t="e">
        <f t="shared" ca="1" si="135"/>
        <v>#VALUE!</v>
      </c>
      <c r="J150" s="33"/>
      <c r="K150" s="242">
        <f t="shared" si="136"/>
        <v>1</v>
      </c>
      <c r="L150" s="241" t="e">
        <f t="shared" ca="1" si="137"/>
        <v>#VALUE!</v>
      </c>
      <c r="M150" s="243" t="e">
        <f ca="1">IF(AND(INDEX(FlowCalConstA,MATCH(J141,FlowCalNumber,0),1,1)*L150^INDEX(FlowCalConstB,MATCH(J141,FlowCalNumber,0),1,1)&gt;INDEX(FlowCalLowSetting,MATCH(J141,FlowCalNumber,0),1,1), (INDEX(FlowCalConstA,MATCH(J141,FlowCalNumber,0),1,1)*L150^INDEX(FlowCalConstB,MATCH(J141,FlowCalNumber,0),1,1)&lt;INDEX(FlowCalHighSetting,MATCH(J141,FlowCalNumber,0),1,1))),INDEX(FlowCalConstA,MATCH(J141,FlowCalNumber,0),1,1)*L150^INDEX(FlowCalConstB,MATCH(J141,FlowCalNumber,0),1,1)," ")</f>
        <v>#N/A</v>
      </c>
      <c r="N150" s="33"/>
      <c r="O150" s="242">
        <f t="shared" si="138"/>
        <v>1</v>
      </c>
      <c r="P150" s="241" t="e">
        <f t="shared" ca="1" si="139"/>
        <v>#VALUE!</v>
      </c>
      <c r="Q150" s="243" t="e">
        <f ca="1">IF(AND(INDEX(FlowCalConstA,MATCH(N141,FlowCalNumber,0),1,1)*P150^INDEX(FlowCalConstB,MATCH(N141,FlowCalNumber,0),1,1)&gt;INDEX(FlowCalLowSetting,MATCH(N141,FlowCalNumber,0),1,1), (INDEX(FlowCalConstA,MATCH(N141,FlowCalNumber,0),1,1)*P150^INDEX(FlowCalConstB,MATCH(N141,FlowCalNumber,0),1,1)&lt;INDEX(FlowCalHighSetting,MATCH(N141,FlowCalNumber,0),1,1))),INDEX(FlowCalConstA,MATCH(N141,FlowCalNumber,0),1,1)*P150^INDEX(FlowCalConstB,MATCH(N141,FlowCalNumber,0),1,1)," ")</f>
        <v>#N/A</v>
      </c>
      <c r="R150" s="33"/>
      <c r="S150" s="242">
        <f t="shared" si="140"/>
        <v>1</v>
      </c>
      <c r="T150" s="241" t="e">
        <f t="shared" ca="1" si="141"/>
        <v>#VALUE!</v>
      </c>
      <c r="U150" s="244" t="e">
        <f ca="1">IF(AND(INDEX(FlowCalConstA,MATCH(R141,FlowCalNumber,0),1,1)*T150^INDEX(FlowCalConstB,MATCH(R141,FlowCalNumber,0),1,1)&gt;INDEX(FlowCalLowSetting,MATCH(R141,FlowCalNumber,0),1,1), (INDEX(FlowCalConstA,MATCH(R141,FlowCalNumber,0),1,1)*T150^INDEX(FlowCalConstB,MATCH(R141,FlowCalNumber,0),1,1)&lt;INDEX(FlowCalHighSetting,MATCH(R141,FlowCalNumber,0),1,1))),INDEX(FlowCalConstA,MATCH(R141,FlowCalNumber,0),1,1)*T150^INDEX(FlowCalConstB,MATCH(R141,FlowCalNumber,0),1,1)," ")</f>
        <v>#N/A</v>
      </c>
      <c r="V150" s="33"/>
      <c r="W150" s="242">
        <f t="shared" si="142"/>
        <v>0.1</v>
      </c>
      <c r="X150" s="241" t="e">
        <f t="shared" ca="1" si="143"/>
        <v>#VALUE!</v>
      </c>
      <c r="Y150" s="243" t="e">
        <f ca="1">IF(AND(INDEX(FlowCalConstA,MATCH(V141,FlowCalNumber,0),1,1)*X150^INDEX(FlowCalConstB,MATCH(V141,FlowCalNumber,0),1,1)&gt;INDEX(FlowCalLowSetting,MATCH(V141,FlowCalNumber,0),1,1), (INDEX(FlowCalConstA,MATCH(V141,FlowCalNumber,0),1,1)*X150^INDEX(FlowCalConstB,MATCH(V141,FlowCalNumber,0),1,1)&lt;INDEX(FlowCalHighSetting,MATCH(V141,FlowCalNumber,0),1,1))),INDEX(FlowCalConstA,MATCH(V141,FlowCalNumber,0),1,1)*X150^INDEX(FlowCalConstB,MATCH(V141,FlowCalNumber,0),1,1)," ")</f>
        <v>#N/A</v>
      </c>
      <c r="Z150" s="33"/>
      <c r="AA150" s="242">
        <f t="shared" si="144"/>
        <v>0.9</v>
      </c>
      <c r="AB150" s="241" t="e">
        <f t="shared" ca="1" si="145"/>
        <v>#VALUE!</v>
      </c>
      <c r="AC150" s="243" t="e">
        <f ca="1">IF(AND(INDEX(FlowCalConstA,MATCH(Z141,FlowCalNumber,0),1,1)*AB150^INDEX(FlowCalConstB,MATCH(Z141,FlowCalNumber,0),1,1)&gt;INDEX(FlowCalLowSetting,MATCH(Z141,FlowCalNumber,0),1,1), (INDEX(FlowCalConstA,MATCH(Z141,FlowCalNumber,0),1,1)*AB150^INDEX(FlowCalConstB,MATCH(Z141,FlowCalNumber,0),1,1)&lt;INDEX(FlowCalHighSetting,MATCH(Z141,FlowCalNumber,0),1,1))),INDEX(FlowCalConstA,MATCH(Z141,FlowCalNumber,0),1,1)*AB150^INDEX(FlowCalConstB,MATCH(Z141,FlowCalNumber,0),1,1)," ")</f>
        <v>#N/A</v>
      </c>
      <c r="AD150" s="33"/>
      <c r="AE150" s="242">
        <f t="shared" si="146"/>
        <v>0.1</v>
      </c>
      <c r="AF150" s="241" t="e">
        <f t="shared" ca="1" si="147"/>
        <v>#VALUE!</v>
      </c>
      <c r="AG150" s="243" t="e">
        <f ca="1">IF(AND(INDEX(FlowCalConstA,MATCH(AD141,FlowCalNumber,0),1,1)*AF150^INDEX(FlowCalConstB,MATCH(AD141,FlowCalNumber,0),1,1)&gt;INDEX(FlowCalLowSetting,MATCH(AD141,FlowCalNumber,0),1,1), (INDEX(FlowCalConstA,MATCH(AD141,FlowCalNumber,0),1,1)*AF150^INDEX(FlowCalConstB,MATCH(AD141,FlowCalNumber,0),1,1)&lt;INDEX(FlowCalHighSetting,MATCH(AD141,FlowCalNumber,0),1,1))),INDEX(FlowCalConstA,MATCH(AD141,FlowCalNumber,0),1,1)*AF150^INDEX(FlowCalConstB,MATCH(AD141,FlowCalNumber,0),1,1)," ")</f>
        <v>#N/A</v>
      </c>
      <c r="AH150" s="33"/>
      <c r="AI150" s="242">
        <f t="shared" si="148"/>
        <v>0.9</v>
      </c>
      <c r="AJ150" s="241" t="e">
        <f t="shared" ca="1" si="149"/>
        <v>#VALUE!</v>
      </c>
      <c r="AK150" s="243" t="e">
        <f ca="1">IF(AND(INDEX(FlowCalConstA,MATCH(AH141,FlowCalNumber,0),1,1)*AJ150^INDEX(FlowCalConstB,MATCH(AH141,FlowCalNumber,0),1,1)&gt;INDEX(FlowCalLowSetting,MATCH(AH141,FlowCalNumber,0),1,1), (INDEX(FlowCalConstA,MATCH(AH141,FlowCalNumber,0),1,1)*AJ150^INDEX(FlowCalConstB,MATCH(AH141,FlowCalNumber,0),1,1)&lt;INDEX(FlowCalHighSetting,MATCH(AH141,FlowCalNumber,0),1,1))),INDEX(FlowCalConstA,MATCH(AH141,FlowCalNumber,0),1,1)*AJ150^INDEX(FlowCalConstB,MATCH(AH141,FlowCalNumber,0),1,1)," ")</f>
        <v>#N/A</v>
      </c>
      <c r="AL150" s="33"/>
      <c r="AM150" s="242"/>
      <c r="AN150" s="241"/>
      <c r="AO150" s="244"/>
      <c r="AQ150" s="242"/>
      <c r="AR150" s="241"/>
      <c r="AS150" s="244"/>
      <c r="AT150" s="33"/>
      <c r="AU150" s="242"/>
      <c r="AV150" s="241"/>
      <c r="AW150" s="244"/>
      <c r="AX150" s="33"/>
      <c r="AY150" s="242"/>
      <c r="AZ150" s="241"/>
      <c r="BA150" s="244"/>
      <c r="BB150" s="33"/>
      <c r="BC150" s="242"/>
      <c r="BD150" s="241"/>
      <c r="BE150" s="244"/>
      <c r="BF150" s="33"/>
      <c r="BG150" s="242"/>
      <c r="BH150" s="241"/>
      <c r="BI150" s="244"/>
      <c r="BJ150" s="33"/>
      <c r="BK150" s="242"/>
      <c r="BL150" s="241"/>
      <c r="BM150" s="244"/>
      <c r="BN150" s="33"/>
      <c r="BO150" s="242"/>
      <c r="BP150" s="241"/>
      <c r="BQ150" s="244"/>
      <c r="BR150" s="33"/>
      <c r="BS150" s="242"/>
      <c r="BT150" s="241"/>
      <c r="BU150" s="244"/>
      <c r="BV150" s="33"/>
      <c r="BW150" s="242"/>
      <c r="BX150" s="241"/>
      <c r="BY150" s="244"/>
      <c r="BZ150" s="33"/>
      <c r="CA150" s="242"/>
      <c r="CB150" s="241"/>
      <c r="CC150" s="244"/>
      <c r="CD150" s="243"/>
      <c r="CE150" s="243"/>
      <c r="CF150" s="243"/>
      <c r="CG150" s="243"/>
      <c r="CH150" s="243"/>
      <c r="CI150" s="243"/>
      <c r="CJ150" s="243"/>
      <c r="CK150" s="243"/>
      <c r="CL150" s="243"/>
      <c r="CM150" s="243"/>
      <c r="CN150" s="243"/>
      <c r="CO150" s="243"/>
      <c r="CP150" s="243"/>
      <c r="CQ150" s="243"/>
      <c r="CR150" s="243"/>
      <c r="CS150" s="243"/>
      <c r="CT150" s="243"/>
      <c r="CU150" s="243"/>
      <c r="CV150" s="243"/>
      <c r="CW150" s="243"/>
      <c r="CX150" s="243"/>
      <c r="CY150" s="243"/>
      <c r="CZ150" s="243"/>
      <c r="DA150" s="243"/>
      <c r="DB150" s="243"/>
      <c r="DC150" s="243"/>
      <c r="DD150" s="243"/>
      <c r="DE150" s="243"/>
      <c r="DF150" s="243"/>
      <c r="DG150" s="243"/>
      <c r="DH150" s="243"/>
      <c r="DI150" s="243"/>
      <c r="DJ150" s="243"/>
      <c r="DK150" s="243"/>
      <c r="DM150" s="242"/>
      <c r="DO150" s="243"/>
      <c r="DQ150" s="242"/>
      <c r="DS150" s="243"/>
      <c r="DU150" s="242"/>
      <c r="DW150" s="243"/>
      <c r="DY150" s="242"/>
      <c r="EA150" s="243"/>
    </row>
    <row r="151" spans="1:131">
      <c r="A151" s="20"/>
      <c r="B151" s="124" t="str">
        <f t="shared" si="134"/>
        <v/>
      </c>
      <c r="C151" s="235"/>
      <c r="D151" s="24">
        <f>'1% Wind'!$M$91</f>
        <v>4.2</v>
      </c>
      <c r="E151" s="90"/>
      <c r="F151" s="90"/>
      <c r="G151" s="79">
        <f ca="1">IF(I141=0.9743,$G150,MAX(G150/D150*D151,2))</f>
        <v>6.001707317073171</v>
      </c>
      <c r="H151" s="121" t="e">
        <f t="shared" ca="1" si="135"/>
        <v>#VALUE!</v>
      </c>
      <c r="J151" s="33"/>
      <c r="K151" s="242">
        <f t="shared" si="136"/>
        <v>1</v>
      </c>
      <c r="L151" s="241" t="e">
        <f t="shared" ca="1" si="137"/>
        <v>#VALUE!</v>
      </c>
      <c r="M151" s="243" t="e">
        <f ca="1">IF(AND(INDEX(FlowCalConstA,MATCH(J141,FlowCalNumber,0),1,1)*L151^INDEX(FlowCalConstB,MATCH(J141,FlowCalNumber,0),1,1)&gt;INDEX(FlowCalLowSetting,MATCH(J141,FlowCalNumber,0),1,1), (INDEX(FlowCalConstA,MATCH(J141,FlowCalNumber,0),1,1)*L151^INDEX(FlowCalConstB,MATCH(J141,FlowCalNumber,0),1,1)&lt;INDEX(FlowCalHighSetting,MATCH(J141,FlowCalNumber,0),1,1))),INDEX(FlowCalConstA,MATCH(J141,FlowCalNumber,0),1,1)*L151^INDEX(FlowCalConstB,MATCH(J141,FlowCalNumber,0),1,1)," ")</f>
        <v>#N/A</v>
      </c>
      <c r="N151" s="33"/>
      <c r="O151" s="242">
        <f t="shared" si="138"/>
        <v>1</v>
      </c>
      <c r="P151" s="241" t="e">
        <f t="shared" ca="1" si="139"/>
        <v>#VALUE!</v>
      </c>
      <c r="Q151" s="243" t="e">
        <f ca="1">IF(AND(INDEX(FlowCalConstA,MATCH(N141,FlowCalNumber,0),1,1)*P151^INDEX(FlowCalConstB,MATCH(N141,FlowCalNumber,0),1,1)&gt;INDEX(FlowCalLowSetting,MATCH(N141,FlowCalNumber,0),1,1), (INDEX(FlowCalConstA,MATCH(N141,FlowCalNumber,0),1,1)*P151^INDEX(FlowCalConstB,MATCH(N141,FlowCalNumber,0),1,1)&lt;INDEX(FlowCalHighSetting,MATCH(N141,FlowCalNumber,0),1,1))),INDEX(FlowCalConstA,MATCH(N141,FlowCalNumber,0),1,1)*P151^INDEX(FlowCalConstB,MATCH(N141,FlowCalNumber,0),1,1)," ")</f>
        <v>#N/A</v>
      </c>
      <c r="R151" s="33"/>
      <c r="S151" s="242">
        <f t="shared" si="140"/>
        <v>1</v>
      </c>
      <c r="T151" s="241" t="e">
        <f t="shared" ca="1" si="141"/>
        <v>#VALUE!</v>
      </c>
      <c r="U151" s="244" t="e">
        <f ca="1">IF(AND(INDEX(FlowCalConstA,MATCH(R141,FlowCalNumber,0),1,1)*T151^INDEX(FlowCalConstB,MATCH(R141,FlowCalNumber,0),1,1)&gt;INDEX(FlowCalLowSetting,MATCH(R141,FlowCalNumber,0),1,1), (INDEX(FlowCalConstA,MATCH(R141,FlowCalNumber,0),1,1)*T151^INDEX(FlowCalConstB,MATCH(R141,FlowCalNumber,0),1,1)&lt;INDEX(FlowCalHighSetting,MATCH(R141,FlowCalNumber,0),1,1))),INDEX(FlowCalConstA,MATCH(R141,FlowCalNumber,0),1,1)*T151^INDEX(FlowCalConstB,MATCH(R141,FlowCalNumber,0),1,1)," ")</f>
        <v>#N/A</v>
      </c>
      <c r="V151" s="33"/>
      <c r="W151" s="242">
        <f t="shared" si="142"/>
        <v>0.1</v>
      </c>
      <c r="X151" s="241" t="e">
        <f t="shared" ca="1" si="143"/>
        <v>#VALUE!</v>
      </c>
      <c r="Y151" s="243" t="e">
        <f ca="1">IF(AND(INDEX(FlowCalConstA,MATCH(V141,FlowCalNumber,0),1,1)*X151^INDEX(FlowCalConstB,MATCH(V141,FlowCalNumber,0),1,1)&gt;INDEX(FlowCalLowSetting,MATCH(V141,FlowCalNumber,0),1,1), (INDEX(FlowCalConstA,MATCH(V141,FlowCalNumber,0),1,1)*X151^INDEX(FlowCalConstB,MATCH(V141,FlowCalNumber,0),1,1)&lt;INDEX(FlowCalHighSetting,MATCH(V141,FlowCalNumber,0),1,1))),INDEX(FlowCalConstA,MATCH(V141,FlowCalNumber,0),1,1)*X151^INDEX(FlowCalConstB,MATCH(V141,FlowCalNumber,0),1,1)," ")</f>
        <v>#N/A</v>
      </c>
      <c r="Z151" s="33"/>
      <c r="AA151" s="242">
        <f t="shared" si="144"/>
        <v>0.9</v>
      </c>
      <c r="AB151" s="241" t="e">
        <f t="shared" ca="1" si="145"/>
        <v>#VALUE!</v>
      </c>
      <c r="AC151" s="243" t="e">
        <f ca="1">IF(AND(INDEX(FlowCalConstA,MATCH(Z141,FlowCalNumber,0),1,1)*AB151^INDEX(FlowCalConstB,MATCH(Z141,FlowCalNumber,0),1,1)&gt;INDEX(FlowCalLowSetting,MATCH(Z141,FlowCalNumber,0),1,1), (INDEX(FlowCalConstA,MATCH(Z141,FlowCalNumber,0),1,1)*AB151^INDEX(FlowCalConstB,MATCH(Z141,FlowCalNumber,0),1,1)&lt;INDEX(FlowCalHighSetting,MATCH(Z141,FlowCalNumber,0),1,1))),INDEX(FlowCalConstA,MATCH(Z141,FlowCalNumber,0),1,1)*AB151^INDEX(FlowCalConstB,MATCH(Z141,FlowCalNumber,0),1,1)," ")</f>
        <v>#N/A</v>
      </c>
      <c r="AD151" s="33"/>
      <c r="AE151" s="242">
        <f t="shared" si="146"/>
        <v>0.1</v>
      </c>
      <c r="AF151" s="241" t="e">
        <f t="shared" ca="1" si="147"/>
        <v>#VALUE!</v>
      </c>
      <c r="AG151" s="243" t="e">
        <f ca="1">IF(AND(INDEX(FlowCalConstA,MATCH(AD141,FlowCalNumber,0),1,1)*AF151^INDEX(FlowCalConstB,MATCH(AD141,FlowCalNumber,0),1,1)&gt;INDEX(FlowCalLowSetting,MATCH(AD141,FlowCalNumber,0),1,1), (INDEX(FlowCalConstA,MATCH(AD141,FlowCalNumber,0),1,1)*AF151^INDEX(FlowCalConstB,MATCH(AD141,FlowCalNumber,0),1,1)&lt;INDEX(FlowCalHighSetting,MATCH(AD141,FlowCalNumber,0),1,1))),INDEX(FlowCalConstA,MATCH(AD141,FlowCalNumber,0),1,1)*AF151^INDEX(FlowCalConstB,MATCH(AD141,FlowCalNumber,0),1,1)," ")</f>
        <v>#N/A</v>
      </c>
      <c r="AH151" s="33"/>
      <c r="AI151" s="242">
        <f t="shared" si="148"/>
        <v>0.9</v>
      </c>
      <c r="AJ151" s="241" t="e">
        <f t="shared" ca="1" si="149"/>
        <v>#VALUE!</v>
      </c>
      <c r="AK151" s="243" t="e">
        <f ca="1">IF(AND(INDEX(FlowCalConstA,MATCH(AH141,FlowCalNumber,0),1,1)*AJ151^INDEX(FlowCalConstB,MATCH(AH141,FlowCalNumber,0),1,1)&gt;INDEX(FlowCalLowSetting,MATCH(AH141,FlowCalNumber,0),1,1), (INDEX(FlowCalConstA,MATCH(AH141,FlowCalNumber,0),1,1)*AJ151^INDEX(FlowCalConstB,MATCH(AH141,FlowCalNumber,0),1,1)&lt;INDEX(FlowCalHighSetting,MATCH(AH141,FlowCalNumber,0),1,1))),INDEX(FlowCalConstA,MATCH(AH141,FlowCalNumber,0),1,1)*AJ151^INDEX(FlowCalConstB,MATCH(AH141,FlowCalNumber,0),1,1)," ")</f>
        <v>#N/A</v>
      </c>
      <c r="AL151" s="33"/>
      <c r="AM151" s="242"/>
      <c r="AN151" s="241"/>
      <c r="AO151" s="244"/>
      <c r="AQ151" s="242"/>
      <c r="AR151" s="241"/>
      <c r="AS151" s="244"/>
      <c r="AT151" s="33"/>
      <c r="AU151" s="242"/>
      <c r="AV151" s="241"/>
      <c r="AW151" s="244"/>
      <c r="AX151" s="33"/>
      <c r="AY151" s="242"/>
      <c r="AZ151" s="241"/>
      <c r="BA151" s="244"/>
      <c r="BB151" s="33"/>
      <c r="BC151" s="242"/>
      <c r="BD151" s="241"/>
      <c r="BE151" s="244"/>
      <c r="BF151" s="33"/>
      <c r="BG151" s="242"/>
      <c r="BH151" s="241"/>
      <c r="BI151" s="244"/>
      <c r="BJ151" s="33"/>
      <c r="BK151" s="242"/>
      <c r="BL151" s="241"/>
      <c r="BM151" s="244"/>
      <c r="BN151" s="33"/>
      <c r="BO151" s="242"/>
      <c r="BP151" s="241"/>
      <c r="BQ151" s="244"/>
      <c r="BR151" s="33"/>
      <c r="BS151" s="242"/>
      <c r="BT151" s="241"/>
      <c r="BU151" s="244"/>
      <c r="BV151" s="33"/>
      <c r="BW151" s="242"/>
      <c r="BX151" s="241"/>
      <c r="BY151" s="244"/>
      <c r="BZ151" s="33"/>
      <c r="CA151" s="242"/>
      <c r="CB151" s="241"/>
      <c r="CC151" s="244"/>
      <c r="CD151" s="243"/>
      <c r="CE151" s="243"/>
      <c r="CF151" s="243"/>
      <c r="CG151" s="243"/>
      <c r="CH151" s="243"/>
      <c r="CI151" s="243"/>
      <c r="CJ151" s="243"/>
      <c r="CK151" s="243"/>
      <c r="CL151" s="243"/>
      <c r="CM151" s="243"/>
      <c r="CN151" s="243"/>
      <c r="CO151" s="243"/>
      <c r="CP151" s="243"/>
      <c r="CQ151" s="243"/>
      <c r="CR151" s="243"/>
      <c r="CS151" s="243"/>
      <c r="CT151" s="243"/>
      <c r="CU151" s="243"/>
      <c r="CV151" s="243"/>
      <c r="CW151" s="243"/>
      <c r="CX151" s="243"/>
      <c r="CY151" s="243"/>
      <c r="CZ151" s="243"/>
      <c r="DA151" s="243"/>
      <c r="DB151" s="243"/>
      <c r="DC151" s="243"/>
      <c r="DD151" s="243"/>
      <c r="DE151" s="243"/>
      <c r="DF151" s="243"/>
      <c r="DG151" s="243"/>
      <c r="DH151" s="243"/>
      <c r="DI151" s="243"/>
      <c r="DJ151" s="243"/>
      <c r="DK151" s="243"/>
      <c r="DM151" s="242"/>
      <c r="DO151" s="243"/>
      <c r="DQ151" s="242"/>
      <c r="DS151" s="243"/>
      <c r="DU151" s="242"/>
      <c r="DW151" s="243"/>
      <c r="DY151" s="242"/>
      <c r="EA151" s="243"/>
    </row>
    <row r="152" spans="1:131">
      <c r="A152" s="20"/>
      <c r="B152" s="124" t="str">
        <f t="shared" si="134"/>
        <v/>
      </c>
      <c r="C152" s="235"/>
      <c r="D152" s="24">
        <f>'1% Wind'!$M$92</f>
        <v>3.2</v>
      </c>
      <c r="E152" s="90"/>
      <c r="F152" s="90"/>
      <c r="G152" s="79">
        <f ca="1">IF(I141=0.9743,$G151,MAX(G151/D151*D152,2))</f>
        <v>6.001707317073171</v>
      </c>
      <c r="H152" s="121" t="e">
        <f t="shared" ca="1" si="135"/>
        <v>#VALUE!</v>
      </c>
      <c r="J152" s="33"/>
      <c r="K152" s="242">
        <f t="shared" si="136"/>
        <v>1</v>
      </c>
      <c r="L152" s="241" t="e">
        <f t="shared" ca="1" si="137"/>
        <v>#VALUE!</v>
      </c>
      <c r="M152" s="243" t="e">
        <f ca="1">IF(AND(INDEX(FlowCalConstA,MATCH(J141,FlowCalNumber,0),1,1)*L152^INDEX(FlowCalConstB,MATCH(J141,FlowCalNumber,0),1,1)&gt;INDEX(FlowCalLowSetting,MATCH(J141,FlowCalNumber,0),1,1), (INDEX(FlowCalConstA,MATCH(J141,FlowCalNumber,0),1,1)*L152^INDEX(FlowCalConstB,MATCH(J141,FlowCalNumber,0),1,1)&lt;INDEX(FlowCalHighSetting,MATCH(J141,FlowCalNumber,0),1,1))),INDEX(FlowCalConstA,MATCH(J141,FlowCalNumber,0),1,1)*L152^INDEX(FlowCalConstB,MATCH(J141,FlowCalNumber,0),1,1)," ")</f>
        <v>#N/A</v>
      </c>
      <c r="N152" s="33"/>
      <c r="O152" s="242">
        <f t="shared" si="138"/>
        <v>1</v>
      </c>
      <c r="P152" s="241" t="e">
        <f t="shared" ca="1" si="139"/>
        <v>#VALUE!</v>
      </c>
      <c r="Q152" s="243" t="e">
        <f ca="1">IF(AND(INDEX(FlowCalConstA,MATCH(N141,FlowCalNumber,0),1,1)*P152^INDEX(FlowCalConstB,MATCH(N141,FlowCalNumber,0),1,1)&gt;INDEX(FlowCalLowSetting,MATCH(N141,FlowCalNumber,0),1,1), (INDEX(FlowCalConstA,MATCH(N141,FlowCalNumber,0),1,1)*P152^INDEX(FlowCalConstB,MATCH(N141,FlowCalNumber,0),1,1)&lt;INDEX(FlowCalHighSetting,MATCH(N141,FlowCalNumber,0),1,1))),INDEX(FlowCalConstA,MATCH(N141,FlowCalNumber,0),1,1)*P152^INDEX(FlowCalConstB,MATCH(N141,FlowCalNumber,0),1,1)," ")</f>
        <v>#N/A</v>
      </c>
      <c r="R152" s="33"/>
      <c r="S152" s="242">
        <f t="shared" si="140"/>
        <v>1</v>
      </c>
      <c r="T152" s="241" t="e">
        <f t="shared" ca="1" si="141"/>
        <v>#VALUE!</v>
      </c>
      <c r="U152" s="244" t="e">
        <f ca="1">IF(AND(INDEX(FlowCalConstA,MATCH(R141,FlowCalNumber,0),1,1)*T152^INDEX(FlowCalConstB,MATCH(R141,FlowCalNumber,0),1,1)&gt;INDEX(FlowCalLowSetting,MATCH(R141,FlowCalNumber,0),1,1), (INDEX(FlowCalConstA,MATCH(R141,FlowCalNumber,0),1,1)*T152^INDEX(FlowCalConstB,MATCH(R141,FlowCalNumber,0),1,1)&lt;INDEX(FlowCalHighSetting,MATCH(R141,FlowCalNumber,0),1,1))),INDEX(FlowCalConstA,MATCH(R141,FlowCalNumber,0),1,1)*T152^INDEX(FlowCalConstB,MATCH(R141,FlowCalNumber,0),1,1)," ")</f>
        <v>#N/A</v>
      </c>
      <c r="V152" s="33"/>
      <c r="W152" s="242">
        <f t="shared" si="142"/>
        <v>0.1</v>
      </c>
      <c r="X152" s="241" t="e">
        <f t="shared" ca="1" si="143"/>
        <v>#VALUE!</v>
      </c>
      <c r="Y152" s="243" t="e">
        <f ca="1">IF(AND(INDEX(FlowCalConstA,MATCH(V141,FlowCalNumber,0),1,1)*X152^INDEX(FlowCalConstB,MATCH(V141,FlowCalNumber,0),1,1)&gt;INDEX(FlowCalLowSetting,MATCH(V141,FlowCalNumber,0),1,1), (INDEX(FlowCalConstA,MATCH(V141,FlowCalNumber,0),1,1)*X152^INDEX(FlowCalConstB,MATCH(V141,FlowCalNumber,0),1,1)&lt;INDEX(FlowCalHighSetting,MATCH(V141,FlowCalNumber,0),1,1))),INDEX(FlowCalConstA,MATCH(V141,FlowCalNumber,0),1,1)*X152^INDEX(FlowCalConstB,MATCH(V141,FlowCalNumber,0),1,1)," ")</f>
        <v>#N/A</v>
      </c>
      <c r="Z152" s="33"/>
      <c r="AA152" s="242">
        <f t="shared" si="144"/>
        <v>0.9</v>
      </c>
      <c r="AB152" s="241" t="e">
        <f t="shared" ca="1" si="145"/>
        <v>#VALUE!</v>
      </c>
      <c r="AC152" s="243" t="e">
        <f ca="1">IF(AND(INDEX(FlowCalConstA,MATCH(Z141,FlowCalNumber,0),1,1)*AB152^INDEX(FlowCalConstB,MATCH(Z141,FlowCalNumber,0),1,1)&gt;INDEX(FlowCalLowSetting,MATCH(Z141,FlowCalNumber,0),1,1), (INDEX(FlowCalConstA,MATCH(Z141,FlowCalNumber,0),1,1)*AB152^INDEX(FlowCalConstB,MATCH(Z141,FlowCalNumber,0),1,1)&lt;INDEX(FlowCalHighSetting,MATCH(Z141,FlowCalNumber,0),1,1))),INDEX(FlowCalConstA,MATCH(Z141,FlowCalNumber,0),1,1)*AB152^INDEX(FlowCalConstB,MATCH(Z141,FlowCalNumber,0),1,1)," ")</f>
        <v>#N/A</v>
      </c>
      <c r="AD152" s="33"/>
      <c r="AE152" s="242">
        <f t="shared" si="146"/>
        <v>0.1</v>
      </c>
      <c r="AF152" s="241" t="e">
        <f t="shared" ca="1" si="147"/>
        <v>#VALUE!</v>
      </c>
      <c r="AG152" s="243" t="e">
        <f ca="1">IF(AND(INDEX(FlowCalConstA,MATCH(AD141,FlowCalNumber,0),1,1)*AF152^INDEX(FlowCalConstB,MATCH(AD141,FlowCalNumber,0),1,1)&gt;INDEX(FlowCalLowSetting,MATCH(AD141,FlowCalNumber,0),1,1), (INDEX(FlowCalConstA,MATCH(AD141,FlowCalNumber,0),1,1)*AF152^INDEX(FlowCalConstB,MATCH(AD141,FlowCalNumber,0),1,1)&lt;INDEX(FlowCalHighSetting,MATCH(AD141,FlowCalNumber,0),1,1))),INDEX(FlowCalConstA,MATCH(AD141,FlowCalNumber,0),1,1)*AF152^INDEX(FlowCalConstB,MATCH(AD141,FlowCalNumber,0),1,1)," ")</f>
        <v>#N/A</v>
      </c>
      <c r="AH152" s="33"/>
      <c r="AI152" s="242">
        <f t="shared" si="148"/>
        <v>0.9</v>
      </c>
      <c r="AJ152" s="241" t="e">
        <f t="shared" ca="1" si="149"/>
        <v>#VALUE!</v>
      </c>
      <c r="AK152" s="243" t="e">
        <f ca="1">IF(AND(INDEX(FlowCalConstA,MATCH(AH141,FlowCalNumber,0),1,1)*AJ152^INDEX(FlowCalConstB,MATCH(AH141,FlowCalNumber,0),1,1)&gt;INDEX(FlowCalLowSetting,MATCH(AH141,FlowCalNumber,0),1,1), (INDEX(FlowCalConstA,MATCH(AH141,FlowCalNumber,0),1,1)*AJ152^INDEX(FlowCalConstB,MATCH(AH141,FlowCalNumber,0),1,1)&lt;INDEX(FlowCalHighSetting,MATCH(AH141,FlowCalNumber,0),1,1))),INDEX(FlowCalConstA,MATCH(AH141,FlowCalNumber,0),1,1)*AJ152^INDEX(FlowCalConstB,MATCH(AH141,FlowCalNumber,0),1,1)," ")</f>
        <v>#N/A</v>
      </c>
      <c r="AL152" s="33"/>
      <c r="AM152" s="242"/>
      <c r="AN152" s="241"/>
      <c r="AO152" s="244"/>
      <c r="AQ152" s="242"/>
      <c r="AR152" s="241"/>
      <c r="AS152" s="244"/>
      <c r="AT152" s="33"/>
      <c r="AU152" s="242"/>
      <c r="AV152" s="241"/>
      <c r="AW152" s="244"/>
      <c r="AX152" s="33"/>
      <c r="AY152" s="242"/>
      <c r="AZ152" s="241"/>
      <c r="BA152" s="244"/>
      <c r="BB152" s="33"/>
      <c r="BC152" s="242"/>
      <c r="BD152" s="241"/>
      <c r="BE152" s="244"/>
      <c r="BF152" s="33"/>
      <c r="BG152" s="242"/>
      <c r="BH152" s="241"/>
      <c r="BI152" s="244"/>
      <c r="BJ152" s="33"/>
      <c r="BK152" s="242"/>
      <c r="BL152" s="241"/>
      <c r="BM152" s="244"/>
      <c r="BN152" s="33"/>
      <c r="BO152" s="242"/>
      <c r="BP152" s="241"/>
      <c r="BQ152" s="244"/>
      <c r="BR152" s="33"/>
      <c r="BS152" s="242"/>
      <c r="BT152" s="241"/>
      <c r="BU152" s="244"/>
      <c r="BV152" s="33"/>
      <c r="BW152" s="242"/>
      <c r="BX152" s="241"/>
      <c r="BY152" s="244"/>
      <c r="BZ152" s="33"/>
      <c r="CA152" s="242"/>
      <c r="CB152" s="241"/>
      <c r="CC152" s="244"/>
      <c r="CD152" s="243"/>
      <c r="CE152" s="243"/>
      <c r="CF152" s="243"/>
      <c r="CG152" s="243"/>
      <c r="CH152" s="243"/>
      <c r="CI152" s="243"/>
      <c r="CJ152" s="243"/>
      <c r="CK152" s="243"/>
      <c r="CL152" s="243"/>
      <c r="CM152" s="243"/>
      <c r="CN152" s="243"/>
      <c r="CO152" s="243"/>
      <c r="CP152" s="243"/>
      <c r="CQ152" s="243"/>
      <c r="CR152" s="243"/>
      <c r="CS152" s="243"/>
      <c r="CT152" s="243"/>
      <c r="CU152" s="243"/>
      <c r="CV152" s="243"/>
      <c r="CW152" s="243"/>
      <c r="CX152" s="243"/>
      <c r="CY152" s="243"/>
      <c r="CZ152" s="243"/>
      <c r="DA152" s="243"/>
      <c r="DB152" s="243"/>
      <c r="DC152" s="243"/>
      <c r="DD152" s="243"/>
      <c r="DE152" s="243"/>
      <c r="DF152" s="243"/>
      <c r="DG152" s="243"/>
      <c r="DH152" s="243"/>
      <c r="DI152" s="243"/>
      <c r="DJ152" s="243"/>
      <c r="DK152" s="243"/>
      <c r="DM152" s="242"/>
      <c r="DO152" s="243"/>
      <c r="DQ152" s="242"/>
      <c r="DS152" s="243"/>
      <c r="DU152" s="242"/>
      <c r="DW152" s="243"/>
      <c r="DY152" s="242"/>
      <c r="EA152" s="243"/>
    </row>
    <row r="153" spans="1:131">
      <c r="A153" s="20"/>
      <c r="B153" s="124" t="str">
        <f t="shared" si="134"/>
        <v/>
      </c>
      <c r="C153" s="235"/>
      <c r="D153" s="24">
        <f>'1% Wind'!$M$93</f>
        <v>2.4</v>
      </c>
      <c r="E153" s="90"/>
      <c r="F153" s="90"/>
      <c r="G153" s="79">
        <f ca="1">IF(I141=0.9743,$G152,MAX(G152/D152*D153,2))</f>
        <v>6.001707317073171</v>
      </c>
      <c r="H153" s="121" t="e">
        <f t="shared" ca="1" si="135"/>
        <v>#VALUE!</v>
      </c>
      <c r="J153" s="33"/>
      <c r="K153" s="242">
        <f t="shared" si="136"/>
        <v>1</v>
      </c>
      <c r="L153" s="241" t="e">
        <f t="shared" ca="1" si="137"/>
        <v>#VALUE!</v>
      </c>
      <c r="M153" s="243" t="e">
        <f ca="1">IF(AND(INDEX(FlowCalConstA,MATCH(J141,FlowCalNumber,0),1,1)*L153^INDEX(FlowCalConstB,MATCH(J141,FlowCalNumber,0),1,1)&gt;INDEX(FlowCalLowSetting,MATCH(J141,FlowCalNumber,0),1,1), (INDEX(FlowCalConstA,MATCH(J141,FlowCalNumber,0),1,1)*L153^INDEX(FlowCalConstB,MATCH(J141,FlowCalNumber,0),1,1)&lt;INDEX(FlowCalHighSetting,MATCH(J141,FlowCalNumber,0),1,1))),INDEX(FlowCalConstA,MATCH(J141,FlowCalNumber,0),1,1)*L153^INDEX(FlowCalConstB,MATCH(J141,FlowCalNumber,0),1,1)," ")</f>
        <v>#N/A</v>
      </c>
      <c r="N153" s="33"/>
      <c r="O153" s="242">
        <f t="shared" si="138"/>
        <v>1</v>
      </c>
      <c r="P153" s="241" t="e">
        <f t="shared" ca="1" si="139"/>
        <v>#VALUE!</v>
      </c>
      <c r="Q153" s="243" t="e">
        <f ca="1">IF(AND(INDEX(FlowCalConstA,MATCH(N141,FlowCalNumber,0),1,1)*P153^INDEX(FlowCalConstB,MATCH(N141,FlowCalNumber,0),1,1)&gt;INDEX(FlowCalLowSetting,MATCH(N141,FlowCalNumber,0),1,1), (INDEX(FlowCalConstA,MATCH(N141,FlowCalNumber,0),1,1)*P153^INDEX(FlowCalConstB,MATCH(N141,FlowCalNumber,0),1,1)&lt;INDEX(FlowCalHighSetting,MATCH(N141,FlowCalNumber,0),1,1))),INDEX(FlowCalConstA,MATCH(N141,FlowCalNumber,0),1,1)*P153^INDEX(FlowCalConstB,MATCH(N141,FlowCalNumber,0),1,1)," ")</f>
        <v>#N/A</v>
      </c>
      <c r="R153" s="33"/>
      <c r="S153" s="242">
        <f t="shared" si="140"/>
        <v>1</v>
      </c>
      <c r="T153" s="241" t="e">
        <f t="shared" ca="1" si="141"/>
        <v>#VALUE!</v>
      </c>
      <c r="U153" s="244" t="e">
        <f ca="1">IF(AND(INDEX(FlowCalConstA,MATCH(R141,FlowCalNumber,0),1,1)*T153^INDEX(FlowCalConstB,MATCH(R141,FlowCalNumber,0),1,1)&gt;INDEX(FlowCalLowSetting,MATCH(R141,FlowCalNumber,0),1,1), (INDEX(FlowCalConstA,MATCH(R141,FlowCalNumber,0),1,1)*T153^INDEX(FlowCalConstB,MATCH(R141,FlowCalNumber,0),1,1)&lt;INDEX(FlowCalHighSetting,MATCH(R141,FlowCalNumber,0),1,1))),INDEX(FlowCalConstA,MATCH(R141,FlowCalNumber,0),1,1)*T153^INDEX(FlowCalConstB,MATCH(R141,FlowCalNumber,0),1,1)," ")</f>
        <v>#N/A</v>
      </c>
      <c r="V153" s="33"/>
      <c r="W153" s="242">
        <f t="shared" si="142"/>
        <v>0.1</v>
      </c>
      <c r="X153" s="241" t="e">
        <f t="shared" ca="1" si="143"/>
        <v>#VALUE!</v>
      </c>
      <c r="Y153" s="243" t="e">
        <f ca="1">IF(AND(INDEX(FlowCalConstA,MATCH(V141,FlowCalNumber,0),1,1)*X153^INDEX(FlowCalConstB,MATCH(V141,FlowCalNumber,0),1,1)&gt;INDEX(FlowCalLowSetting,MATCH(V141,FlowCalNumber,0),1,1), (INDEX(FlowCalConstA,MATCH(V141,FlowCalNumber,0),1,1)*X153^INDEX(FlowCalConstB,MATCH(V141,FlowCalNumber,0),1,1)&lt;INDEX(FlowCalHighSetting,MATCH(V141,FlowCalNumber,0),1,1))),INDEX(FlowCalConstA,MATCH(V141,FlowCalNumber,0),1,1)*X153^INDEX(FlowCalConstB,MATCH(V141,FlowCalNumber,0),1,1)," ")</f>
        <v>#N/A</v>
      </c>
      <c r="Z153" s="33"/>
      <c r="AA153" s="242">
        <f t="shared" si="144"/>
        <v>0.9</v>
      </c>
      <c r="AB153" s="241" t="e">
        <f t="shared" ca="1" si="145"/>
        <v>#VALUE!</v>
      </c>
      <c r="AC153" s="243" t="e">
        <f ca="1">IF(AND(INDEX(FlowCalConstA,MATCH(Z141,FlowCalNumber,0),1,1)*AB153^INDEX(FlowCalConstB,MATCH(Z141,FlowCalNumber,0),1,1)&gt;INDEX(FlowCalLowSetting,MATCH(Z141,FlowCalNumber,0),1,1), (INDEX(FlowCalConstA,MATCH(Z141,FlowCalNumber,0),1,1)*AB153^INDEX(FlowCalConstB,MATCH(Z141,FlowCalNumber,0),1,1)&lt;INDEX(FlowCalHighSetting,MATCH(Z141,FlowCalNumber,0),1,1))),INDEX(FlowCalConstA,MATCH(Z141,FlowCalNumber,0),1,1)*AB153^INDEX(FlowCalConstB,MATCH(Z141,FlowCalNumber,0),1,1)," ")</f>
        <v>#N/A</v>
      </c>
      <c r="AD153" s="33"/>
      <c r="AE153" s="242">
        <f t="shared" si="146"/>
        <v>0.1</v>
      </c>
      <c r="AF153" s="241" t="e">
        <f t="shared" ca="1" si="147"/>
        <v>#VALUE!</v>
      </c>
      <c r="AG153" s="243" t="e">
        <f ca="1">IF(AND(INDEX(FlowCalConstA,MATCH(AD141,FlowCalNumber,0),1,1)*AF153^INDEX(FlowCalConstB,MATCH(AD141,FlowCalNumber,0),1,1)&gt;INDEX(FlowCalLowSetting,MATCH(AD141,FlowCalNumber,0),1,1), (INDEX(FlowCalConstA,MATCH(AD141,FlowCalNumber,0),1,1)*AF153^INDEX(FlowCalConstB,MATCH(AD141,FlowCalNumber,0),1,1)&lt;INDEX(FlowCalHighSetting,MATCH(AD141,FlowCalNumber,0),1,1))),INDEX(FlowCalConstA,MATCH(AD141,FlowCalNumber,0),1,1)*AF153^INDEX(FlowCalConstB,MATCH(AD141,FlowCalNumber,0),1,1)," ")</f>
        <v>#N/A</v>
      </c>
      <c r="AH153" s="33"/>
      <c r="AI153" s="242">
        <f t="shared" si="148"/>
        <v>0.9</v>
      </c>
      <c r="AJ153" s="241" t="e">
        <f t="shared" ca="1" si="149"/>
        <v>#VALUE!</v>
      </c>
      <c r="AK153" s="243" t="e">
        <f ca="1">IF(AND(INDEX(FlowCalConstA,MATCH(AH141,FlowCalNumber,0),1,1)*AJ153^INDEX(FlowCalConstB,MATCH(AH141,FlowCalNumber,0),1,1)&gt;INDEX(FlowCalLowSetting,MATCH(AH141,FlowCalNumber,0),1,1), (INDEX(FlowCalConstA,MATCH(AH141,FlowCalNumber,0),1,1)*AJ153^INDEX(FlowCalConstB,MATCH(AH141,FlowCalNumber,0),1,1)&lt;INDEX(FlowCalHighSetting,MATCH(AH141,FlowCalNumber,0),1,1))),INDEX(FlowCalConstA,MATCH(AH141,FlowCalNumber,0),1,1)*AJ153^INDEX(FlowCalConstB,MATCH(AH141,FlowCalNumber,0),1,1)," ")</f>
        <v>#N/A</v>
      </c>
      <c r="AL153" s="33"/>
      <c r="AM153" s="242"/>
      <c r="AN153" s="241"/>
      <c r="AO153" s="244"/>
      <c r="AQ153" s="242"/>
      <c r="AR153" s="241"/>
      <c r="AS153" s="244"/>
      <c r="AT153" s="33"/>
      <c r="AU153" s="242"/>
      <c r="AV153" s="241"/>
      <c r="AW153" s="244"/>
      <c r="AX153" s="33"/>
      <c r="AY153" s="242"/>
      <c r="AZ153" s="241"/>
      <c r="BA153" s="244"/>
      <c r="BB153" s="33"/>
      <c r="BC153" s="242"/>
      <c r="BD153" s="241"/>
      <c r="BE153" s="244"/>
      <c r="BF153" s="33"/>
      <c r="BG153" s="242"/>
      <c r="BH153" s="241"/>
      <c r="BI153" s="244"/>
      <c r="BJ153" s="33"/>
      <c r="BK153" s="242"/>
      <c r="BL153" s="241"/>
      <c r="BM153" s="244"/>
      <c r="BN153" s="33"/>
      <c r="BO153" s="242"/>
      <c r="BP153" s="241"/>
      <c r="BQ153" s="244"/>
      <c r="BR153" s="33"/>
      <c r="BS153" s="242"/>
      <c r="BT153" s="241"/>
      <c r="BU153" s="244"/>
      <c r="BV153" s="33"/>
      <c r="BW153" s="242"/>
      <c r="BX153" s="241"/>
      <c r="BY153" s="244"/>
      <c r="BZ153" s="33"/>
      <c r="CA153" s="242"/>
      <c r="CB153" s="241"/>
      <c r="CC153" s="244"/>
      <c r="CD153" s="243"/>
      <c r="CE153" s="243"/>
      <c r="CF153" s="243"/>
      <c r="CG153" s="243"/>
      <c r="CH153" s="243"/>
      <c r="CI153" s="243"/>
      <c r="CJ153" s="243"/>
      <c r="CK153" s="243"/>
      <c r="CL153" s="243"/>
      <c r="CM153" s="243"/>
      <c r="CN153" s="243"/>
      <c r="CO153" s="243"/>
      <c r="CP153" s="243"/>
      <c r="CQ153" s="243"/>
      <c r="CR153" s="243"/>
      <c r="CS153" s="243"/>
      <c r="CT153" s="243"/>
      <c r="CU153" s="243"/>
      <c r="CV153" s="243"/>
      <c r="CW153" s="243"/>
      <c r="CX153" s="243"/>
      <c r="CY153" s="243"/>
      <c r="CZ153" s="243"/>
      <c r="DA153" s="243"/>
      <c r="DB153" s="243"/>
      <c r="DC153" s="243"/>
      <c r="DD153" s="243"/>
      <c r="DE153" s="243"/>
      <c r="DF153" s="243"/>
      <c r="DG153" s="243"/>
      <c r="DH153" s="243"/>
      <c r="DI153" s="243"/>
      <c r="DJ153" s="243"/>
      <c r="DK153" s="243"/>
      <c r="DM153" s="242"/>
      <c r="DO153" s="243"/>
      <c r="DQ153" s="242"/>
      <c r="DS153" s="243"/>
      <c r="DU153" s="242"/>
      <c r="DW153" s="243"/>
      <c r="DY153" s="242"/>
      <c r="EA153" s="243"/>
    </row>
    <row r="154" spans="1:131">
      <c r="A154" s="20"/>
      <c r="B154" s="124" t="str">
        <f t="shared" si="134"/>
        <v/>
      </c>
      <c r="C154" s="235"/>
      <c r="D154" s="24">
        <f>'1% Wind'!$M$94</f>
        <v>1.8</v>
      </c>
      <c r="E154" s="90"/>
      <c r="F154" s="90"/>
      <c r="G154" s="79">
        <f ca="1">IF(I141=0.9743,$G153,MAX(G153/D153*D154,2))</f>
        <v>6.001707317073171</v>
      </c>
      <c r="H154" s="121" t="e">
        <f t="shared" ca="1" si="135"/>
        <v>#VALUE!</v>
      </c>
      <c r="J154" s="33"/>
      <c r="K154" s="242">
        <f t="shared" si="136"/>
        <v>1</v>
      </c>
      <c r="L154" s="241" t="e">
        <f t="shared" ca="1" si="137"/>
        <v>#VALUE!</v>
      </c>
      <c r="M154" s="243" t="e">
        <f ca="1">IF(AND(INDEX(FlowCalConstA,MATCH(J141,FlowCalNumber,0),1,1)*L154^INDEX(FlowCalConstB,MATCH(J141,FlowCalNumber,0),1,1)&gt;INDEX(FlowCalLowSetting,MATCH(J141,FlowCalNumber,0),1,1), (INDEX(FlowCalConstA,MATCH(J141,FlowCalNumber,0),1,1)*L154^INDEX(FlowCalConstB,MATCH(J141,FlowCalNumber,0),1,1)&lt;INDEX(FlowCalHighSetting,MATCH(J141,FlowCalNumber,0),1,1))),INDEX(FlowCalConstA,MATCH(J141,FlowCalNumber,0),1,1)*L154^INDEX(FlowCalConstB,MATCH(J141,FlowCalNumber,0),1,1)," ")</f>
        <v>#N/A</v>
      </c>
      <c r="N154" s="33"/>
      <c r="O154" s="242">
        <f t="shared" si="138"/>
        <v>1</v>
      </c>
      <c r="P154" s="241" t="e">
        <f t="shared" ca="1" si="139"/>
        <v>#VALUE!</v>
      </c>
      <c r="Q154" s="243" t="e">
        <f ca="1">IF(AND(INDEX(FlowCalConstA,MATCH(N141,FlowCalNumber,0),1,1)*P154^INDEX(FlowCalConstB,MATCH(N141,FlowCalNumber,0),1,1)&gt;INDEX(FlowCalLowSetting,MATCH(N141,FlowCalNumber,0),1,1), (INDEX(FlowCalConstA,MATCH(N141,FlowCalNumber,0),1,1)*P154^INDEX(FlowCalConstB,MATCH(N141,FlowCalNumber,0),1,1)&lt;INDEX(FlowCalHighSetting,MATCH(N141,FlowCalNumber,0),1,1))),INDEX(FlowCalConstA,MATCH(N141,FlowCalNumber,0),1,1)*P154^INDEX(FlowCalConstB,MATCH(N141,FlowCalNumber,0),1,1)," ")</f>
        <v>#N/A</v>
      </c>
      <c r="R154" s="33"/>
      <c r="S154" s="242">
        <f t="shared" si="140"/>
        <v>1</v>
      </c>
      <c r="T154" s="241" t="e">
        <f t="shared" ca="1" si="141"/>
        <v>#VALUE!</v>
      </c>
      <c r="U154" s="244" t="e">
        <f ca="1">IF(AND(INDEX(FlowCalConstA,MATCH(R141,FlowCalNumber,0),1,1)*T154^INDEX(FlowCalConstB,MATCH(R141,FlowCalNumber,0),1,1)&gt;INDEX(FlowCalLowSetting,MATCH(R141,FlowCalNumber,0),1,1), (INDEX(FlowCalConstA,MATCH(R141,FlowCalNumber,0),1,1)*T154^INDEX(FlowCalConstB,MATCH(R141,FlowCalNumber,0),1,1)&lt;INDEX(FlowCalHighSetting,MATCH(R141,FlowCalNumber,0),1,1))),INDEX(FlowCalConstA,MATCH(R141,FlowCalNumber,0),1,1)*T154^INDEX(FlowCalConstB,MATCH(R141,FlowCalNumber,0),1,1)," ")</f>
        <v>#N/A</v>
      </c>
      <c r="V154" s="33"/>
      <c r="W154" s="242">
        <f t="shared" si="142"/>
        <v>0.1</v>
      </c>
      <c r="X154" s="241" t="e">
        <f t="shared" ca="1" si="143"/>
        <v>#VALUE!</v>
      </c>
      <c r="Y154" s="243" t="e">
        <f ca="1">IF(AND(INDEX(FlowCalConstA,MATCH(V141,FlowCalNumber,0),1,1)*X154^INDEX(FlowCalConstB,MATCH(V141,FlowCalNumber,0),1,1)&gt;INDEX(FlowCalLowSetting,MATCH(V141,FlowCalNumber,0),1,1), (INDEX(FlowCalConstA,MATCH(V141,FlowCalNumber,0),1,1)*X154^INDEX(FlowCalConstB,MATCH(V141,FlowCalNumber,0),1,1)&lt;INDEX(FlowCalHighSetting,MATCH(V141,FlowCalNumber,0),1,1))),INDEX(FlowCalConstA,MATCH(V141,FlowCalNumber,0),1,1)*X154^INDEX(FlowCalConstB,MATCH(V141,FlowCalNumber,0),1,1)," ")</f>
        <v>#N/A</v>
      </c>
      <c r="Z154" s="33"/>
      <c r="AA154" s="242">
        <f t="shared" si="144"/>
        <v>0.9</v>
      </c>
      <c r="AB154" s="241" t="e">
        <f t="shared" ca="1" si="145"/>
        <v>#VALUE!</v>
      </c>
      <c r="AC154" s="243" t="e">
        <f ca="1">IF(AND(INDEX(FlowCalConstA,MATCH(Z141,FlowCalNumber,0),1,1)*AB154^INDEX(FlowCalConstB,MATCH(Z141,FlowCalNumber,0),1,1)&gt;INDEX(FlowCalLowSetting,MATCH(Z141,FlowCalNumber,0),1,1), (INDEX(FlowCalConstA,MATCH(Z141,FlowCalNumber,0),1,1)*AB154^INDEX(FlowCalConstB,MATCH(Z141,FlowCalNumber,0),1,1)&lt;INDEX(FlowCalHighSetting,MATCH(Z141,FlowCalNumber,0),1,1))),INDEX(FlowCalConstA,MATCH(Z141,FlowCalNumber,0),1,1)*AB154^INDEX(FlowCalConstB,MATCH(Z141,FlowCalNumber,0),1,1)," ")</f>
        <v>#N/A</v>
      </c>
      <c r="AD154" s="33"/>
      <c r="AE154" s="242">
        <f t="shared" si="146"/>
        <v>0.1</v>
      </c>
      <c r="AF154" s="241" t="e">
        <f t="shared" ca="1" si="147"/>
        <v>#VALUE!</v>
      </c>
      <c r="AG154" s="243" t="e">
        <f ca="1">IF(AND(INDEX(FlowCalConstA,MATCH(AD141,FlowCalNumber,0),1,1)*AF154^INDEX(FlowCalConstB,MATCH(AD141,FlowCalNumber,0),1,1)&gt;INDEX(FlowCalLowSetting,MATCH(AD141,FlowCalNumber,0),1,1), (INDEX(FlowCalConstA,MATCH(AD141,FlowCalNumber,0),1,1)*AF154^INDEX(FlowCalConstB,MATCH(AD141,FlowCalNumber,0),1,1)&lt;INDEX(FlowCalHighSetting,MATCH(AD141,FlowCalNumber,0),1,1))),INDEX(FlowCalConstA,MATCH(AD141,FlowCalNumber,0),1,1)*AF154^INDEX(FlowCalConstB,MATCH(AD141,FlowCalNumber,0),1,1)," ")</f>
        <v>#N/A</v>
      </c>
      <c r="AH154" s="33"/>
      <c r="AI154" s="242">
        <f t="shared" si="148"/>
        <v>0.9</v>
      </c>
      <c r="AJ154" s="241" t="e">
        <f t="shared" ca="1" si="149"/>
        <v>#VALUE!</v>
      </c>
      <c r="AK154" s="243" t="e">
        <f ca="1">IF(AND(INDEX(FlowCalConstA,MATCH(AH141,FlowCalNumber,0),1,1)*AJ154^INDEX(FlowCalConstB,MATCH(AH141,FlowCalNumber,0),1,1)&gt;INDEX(FlowCalLowSetting,MATCH(AH141,FlowCalNumber,0),1,1), (INDEX(FlowCalConstA,MATCH(AH141,FlowCalNumber,0),1,1)*AJ154^INDEX(FlowCalConstB,MATCH(AH141,FlowCalNumber,0),1,1)&lt;INDEX(FlowCalHighSetting,MATCH(AH141,FlowCalNumber,0),1,1))),INDEX(FlowCalConstA,MATCH(AH141,FlowCalNumber,0),1,1)*AJ154^INDEX(FlowCalConstB,MATCH(AH141,FlowCalNumber,0),1,1)," ")</f>
        <v>#N/A</v>
      </c>
      <c r="AL154" s="33"/>
      <c r="AM154" s="242"/>
      <c r="AN154" s="241"/>
      <c r="AO154" s="244"/>
      <c r="AQ154" s="242"/>
      <c r="AR154" s="241"/>
      <c r="AS154" s="244"/>
      <c r="AT154" s="33"/>
      <c r="AU154" s="242"/>
      <c r="AV154" s="241"/>
      <c r="AW154" s="244"/>
      <c r="AX154" s="33"/>
      <c r="AY154" s="242"/>
      <c r="AZ154" s="241"/>
      <c r="BA154" s="244"/>
      <c r="BB154" s="33"/>
      <c r="BC154" s="242"/>
      <c r="BD154" s="241"/>
      <c r="BE154" s="244"/>
      <c r="BF154" s="33"/>
      <c r="BG154" s="242"/>
      <c r="BH154" s="241"/>
      <c r="BI154" s="244"/>
      <c r="BJ154" s="33"/>
      <c r="BK154" s="242"/>
      <c r="BL154" s="241"/>
      <c r="BM154" s="244"/>
      <c r="BN154" s="33"/>
      <c r="BO154" s="242"/>
      <c r="BP154" s="241"/>
      <c r="BQ154" s="244"/>
      <c r="BR154" s="33"/>
      <c r="BS154" s="242"/>
      <c r="BT154" s="241"/>
      <c r="BU154" s="244"/>
      <c r="BV154" s="33"/>
      <c r="BW154" s="242"/>
      <c r="BX154" s="241"/>
      <c r="BY154" s="244"/>
      <c r="BZ154" s="33"/>
      <c r="CA154" s="242"/>
      <c r="CB154" s="241"/>
      <c r="CC154" s="244"/>
      <c r="CD154" s="243"/>
      <c r="CE154" s="243"/>
      <c r="CF154" s="243"/>
      <c r="CG154" s="243"/>
      <c r="CH154" s="243"/>
      <c r="CI154" s="243"/>
      <c r="CJ154" s="243"/>
      <c r="CK154" s="243"/>
      <c r="CL154" s="243"/>
      <c r="CM154" s="243"/>
      <c r="CN154" s="243"/>
      <c r="CO154" s="243"/>
      <c r="CP154" s="243"/>
      <c r="CQ154" s="243"/>
      <c r="CR154" s="243"/>
      <c r="CS154" s="243"/>
      <c r="CT154" s="243"/>
      <c r="CU154" s="243"/>
      <c r="CV154" s="243"/>
      <c r="CW154" s="243"/>
      <c r="CX154" s="243"/>
      <c r="CY154" s="243"/>
      <c r="CZ154" s="243"/>
      <c r="DA154" s="243"/>
      <c r="DB154" s="243"/>
      <c r="DC154" s="243"/>
      <c r="DD154" s="243"/>
      <c r="DE154" s="243"/>
      <c r="DF154" s="243"/>
      <c r="DG154" s="243"/>
      <c r="DH154" s="243"/>
      <c r="DI154" s="243"/>
      <c r="DJ154" s="243"/>
      <c r="DK154" s="243"/>
      <c r="DM154" s="242"/>
      <c r="DO154" s="243"/>
      <c r="DQ154" s="242"/>
      <c r="DS154" s="243"/>
      <c r="DU154" s="242"/>
      <c r="DW154" s="243"/>
      <c r="DY154" s="242"/>
      <c r="EA154" s="243"/>
    </row>
    <row r="155" spans="1:131">
      <c r="A155" s="20"/>
      <c r="B155" s="124" t="str">
        <f t="shared" si="134"/>
        <v/>
      </c>
      <c r="C155" s="235"/>
      <c r="D155" s="24">
        <f>'1% Wind'!$M$95</f>
        <v>1.3</v>
      </c>
      <c r="E155" s="90"/>
      <c r="F155" s="90"/>
      <c r="G155" s="79">
        <f ca="1">IF(I141=0.9743,$G154,MAX(G154/D154*D155,2))</f>
        <v>6.001707317073171</v>
      </c>
      <c r="H155" s="121" t="e">
        <f t="shared" ca="1" si="135"/>
        <v>#VALUE!</v>
      </c>
      <c r="J155" s="33"/>
      <c r="K155" s="242">
        <f t="shared" si="136"/>
        <v>1</v>
      </c>
      <c r="L155" s="241" t="e">
        <f t="shared" ca="1" si="137"/>
        <v>#VALUE!</v>
      </c>
      <c r="M155" s="243" t="e">
        <f ca="1">IF(AND(INDEX(FlowCalConstA,MATCH(J141,FlowCalNumber,0),1,1)*L155^INDEX(FlowCalConstB,MATCH(J141,FlowCalNumber,0),1,1)&gt;INDEX(FlowCalLowSetting,MATCH(J141,FlowCalNumber,0),1,1), (INDEX(FlowCalConstA,MATCH(J141,FlowCalNumber,0),1,1)*L155^INDEX(FlowCalConstB,MATCH(J141,FlowCalNumber,0),1,1)&lt;INDEX(FlowCalHighSetting,MATCH(J141,FlowCalNumber,0),1,1))),INDEX(FlowCalConstA,MATCH(J141,FlowCalNumber,0),1,1)*L155^INDEX(FlowCalConstB,MATCH(J141,FlowCalNumber,0),1,1)," ")</f>
        <v>#N/A</v>
      </c>
      <c r="N155" s="33"/>
      <c r="O155" s="242">
        <f t="shared" si="138"/>
        <v>1</v>
      </c>
      <c r="P155" s="241" t="e">
        <f t="shared" ca="1" si="139"/>
        <v>#VALUE!</v>
      </c>
      <c r="Q155" s="243" t="e">
        <f ca="1">IF(AND(INDEX(FlowCalConstA,MATCH(N141,FlowCalNumber,0),1,1)*P155^INDEX(FlowCalConstB,MATCH(N141,FlowCalNumber,0),1,1)&gt;INDEX(FlowCalLowSetting,MATCH(N141,FlowCalNumber,0),1,1), (INDEX(FlowCalConstA,MATCH(N141,FlowCalNumber,0),1,1)*P155^INDEX(FlowCalConstB,MATCH(N141,FlowCalNumber,0),1,1)&lt;INDEX(FlowCalHighSetting,MATCH(N141,FlowCalNumber,0),1,1))),INDEX(FlowCalConstA,MATCH(N141,FlowCalNumber,0),1,1)*P155^INDEX(FlowCalConstB,MATCH(N141,FlowCalNumber,0),1,1)," ")</f>
        <v>#N/A</v>
      </c>
      <c r="R155" s="33"/>
      <c r="S155" s="242">
        <f t="shared" si="140"/>
        <v>1</v>
      </c>
      <c r="T155" s="241" t="e">
        <f t="shared" ca="1" si="141"/>
        <v>#VALUE!</v>
      </c>
      <c r="U155" s="244" t="e">
        <f ca="1">IF(AND(INDEX(FlowCalConstA,MATCH(R141,FlowCalNumber,0),1,1)*T155^INDEX(FlowCalConstB,MATCH(R141,FlowCalNumber,0),1,1)&gt;INDEX(FlowCalLowSetting,MATCH(R141,FlowCalNumber,0),1,1), (INDEX(FlowCalConstA,MATCH(R141,FlowCalNumber,0),1,1)*T155^INDEX(FlowCalConstB,MATCH(R141,FlowCalNumber,0),1,1)&lt;INDEX(FlowCalHighSetting,MATCH(R141,FlowCalNumber,0),1,1))),INDEX(FlowCalConstA,MATCH(R141,FlowCalNumber,0),1,1)*T155^INDEX(FlowCalConstB,MATCH(R141,FlowCalNumber,0),1,1)," ")</f>
        <v>#N/A</v>
      </c>
      <c r="V155" s="33"/>
      <c r="W155" s="242">
        <f t="shared" si="142"/>
        <v>0.1</v>
      </c>
      <c r="X155" s="241" t="e">
        <f t="shared" ca="1" si="143"/>
        <v>#VALUE!</v>
      </c>
      <c r="Y155" s="243" t="e">
        <f ca="1">IF(AND(INDEX(FlowCalConstA,MATCH(V141,FlowCalNumber,0),1,1)*X155^INDEX(FlowCalConstB,MATCH(V141,FlowCalNumber,0),1,1)&gt;INDEX(FlowCalLowSetting,MATCH(V141,FlowCalNumber,0),1,1), (INDEX(FlowCalConstA,MATCH(V141,FlowCalNumber,0),1,1)*X155^INDEX(FlowCalConstB,MATCH(V141,FlowCalNumber,0),1,1)&lt;INDEX(FlowCalHighSetting,MATCH(V141,FlowCalNumber,0),1,1))),INDEX(FlowCalConstA,MATCH(V141,FlowCalNumber,0),1,1)*X155^INDEX(FlowCalConstB,MATCH(V141,FlowCalNumber,0),1,1)," ")</f>
        <v>#N/A</v>
      </c>
      <c r="Z155" s="33"/>
      <c r="AA155" s="242">
        <f t="shared" si="144"/>
        <v>0.9</v>
      </c>
      <c r="AB155" s="241" t="e">
        <f t="shared" ca="1" si="145"/>
        <v>#VALUE!</v>
      </c>
      <c r="AC155" s="243" t="e">
        <f ca="1">IF(AND(INDEX(FlowCalConstA,MATCH(Z141,FlowCalNumber,0),1,1)*AB155^INDEX(FlowCalConstB,MATCH(Z141,FlowCalNumber,0),1,1)&gt;INDEX(FlowCalLowSetting,MATCH(Z141,FlowCalNumber,0),1,1), (INDEX(FlowCalConstA,MATCH(Z141,FlowCalNumber,0),1,1)*AB155^INDEX(FlowCalConstB,MATCH(Z141,FlowCalNumber,0),1,1)&lt;INDEX(FlowCalHighSetting,MATCH(Z141,FlowCalNumber,0),1,1))),INDEX(FlowCalConstA,MATCH(Z141,FlowCalNumber,0),1,1)*AB155^INDEX(FlowCalConstB,MATCH(Z141,FlowCalNumber,0),1,1)," ")</f>
        <v>#N/A</v>
      </c>
      <c r="AD155" s="33"/>
      <c r="AE155" s="242">
        <f t="shared" si="146"/>
        <v>0.1</v>
      </c>
      <c r="AF155" s="241" t="e">
        <f t="shared" ca="1" si="147"/>
        <v>#VALUE!</v>
      </c>
      <c r="AG155" s="243" t="e">
        <f ca="1">IF(AND(INDEX(FlowCalConstA,MATCH(AD141,FlowCalNumber,0),1,1)*AF155^INDEX(FlowCalConstB,MATCH(AD141,FlowCalNumber,0),1,1)&gt;INDEX(FlowCalLowSetting,MATCH(AD141,FlowCalNumber,0),1,1), (INDEX(FlowCalConstA,MATCH(AD141,FlowCalNumber,0),1,1)*AF155^INDEX(FlowCalConstB,MATCH(AD141,FlowCalNumber,0),1,1)&lt;INDEX(FlowCalHighSetting,MATCH(AD141,FlowCalNumber,0),1,1))),INDEX(FlowCalConstA,MATCH(AD141,FlowCalNumber,0),1,1)*AF155^INDEX(FlowCalConstB,MATCH(AD141,FlowCalNumber,0),1,1)," ")</f>
        <v>#N/A</v>
      </c>
      <c r="AH155" s="33"/>
      <c r="AI155" s="242">
        <f t="shared" si="148"/>
        <v>0.9</v>
      </c>
      <c r="AJ155" s="241" t="e">
        <f t="shared" ca="1" si="149"/>
        <v>#VALUE!</v>
      </c>
      <c r="AK155" s="243" t="e">
        <f ca="1">IF(AND(INDEX(FlowCalConstA,MATCH(AH141,FlowCalNumber,0),1,1)*AJ155^INDEX(FlowCalConstB,MATCH(AH141,FlowCalNumber,0),1,1)&gt;INDEX(FlowCalLowSetting,MATCH(AH141,FlowCalNumber,0),1,1), (INDEX(FlowCalConstA,MATCH(AH141,FlowCalNumber,0),1,1)*AJ155^INDEX(FlowCalConstB,MATCH(AH141,FlowCalNumber,0),1,1)&lt;INDEX(FlowCalHighSetting,MATCH(AH141,FlowCalNumber,0),1,1))),INDEX(FlowCalConstA,MATCH(AH141,FlowCalNumber,0),1,1)*AJ155^INDEX(FlowCalConstB,MATCH(AH141,FlowCalNumber,0),1,1)," ")</f>
        <v>#N/A</v>
      </c>
      <c r="AL155" s="33"/>
      <c r="AM155" s="242"/>
      <c r="AN155" s="241"/>
      <c r="AO155" s="244"/>
      <c r="AQ155" s="242"/>
      <c r="AR155" s="241"/>
      <c r="AS155" s="244"/>
      <c r="AT155" s="33"/>
      <c r="AU155" s="242"/>
      <c r="AV155" s="241"/>
      <c r="AW155" s="244"/>
      <c r="AX155" s="33"/>
      <c r="AY155" s="242"/>
      <c r="AZ155" s="241"/>
      <c r="BA155" s="244"/>
      <c r="BB155" s="33"/>
      <c r="BC155" s="242"/>
      <c r="BD155" s="241"/>
      <c r="BE155" s="244"/>
      <c r="BF155" s="33"/>
      <c r="BG155" s="242"/>
      <c r="BH155" s="241"/>
      <c r="BI155" s="244"/>
      <c r="BJ155" s="33"/>
      <c r="BK155" s="242"/>
      <c r="BL155" s="241"/>
      <c r="BM155" s="244"/>
      <c r="BN155" s="33"/>
      <c r="BO155" s="242"/>
      <c r="BP155" s="241"/>
      <c r="BQ155" s="244"/>
      <c r="BR155" s="33"/>
      <c r="BS155" s="242"/>
      <c r="BT155" s="241"/>
      <c r="BU155" s="244"/>
      <c r="BV155" s="33"/>
      <c r="BW155" s="242"/>
      <c r="BX155" s="241"/>
      <c r="BY155" s="244"/>
      <c r="BZ155" s="33"/>
      <c r="CA155" s="242"/>
      <c r="CB155" s="241"/>
      <c r="CC155" s="244"/>
      <c r="CD155" s="243"/>
      <c r="CE155" s="243"/>
      <c r="CF155" s="243"/>
      <c r="CG155" s="243"/>
      <c r="CH155" s="243"/>
      <c r="CI155" s="243"/>
      <c r="CJ155" s="243"/>
      <c r="CK155" s="243"/>
      <c r="CL155" s="243"/>
      <c r="CM155" s="243"/>
      <c r="CN155" s="243"/>
      <c r="CO155" s="243"/>
      <c r="CP155" s="243"/>
      <c r="CQ155" s="243"/>
      <c r="CR155" s="243"/>
      <c r="CS155" s="243"/>
      <c r="CT155" s="243"/>
      <c r="CU155" s="243"/>
      <c r="CV155" s="243"/>
      <c r="CW155" s="243"/>
      <c r="CX155" s="243"/>
      <c r="CY155" s="243"/>
      <c r="CZ155" s="243"/>
      <c r="DA155" s="243"/>
      <c r="DB155" s="243"/>
      <c r="DC155" s="243"/>
      <c r="DD155" s="243"/>
      <c r="DE155" s="243"/>
      <c r="DF155" s="243"/>
      <c r="DG155" s="243"/>
      <c r="DH155" s="243"/>
      <c r="DI155" s="243"/>
      <c r="DJ155" s="243"/>
      <c r="DK155" s="243"/>
      <c r="DM155" s="242"/>
      <c r="DO155" s="243"/>
      <c r="DQ155" s="242"/>
      <c r="DS155" s="243"/>
      <c r="DU155" s="242"/>
      <c r="DW155" s="243"/>
      <c r="DY155" s="242"/>
      <c r="EA155" s="243"/>
    </row>
    <row r="156" spans="1:131">
      <c r="A156" s="20"/>
      <c r="B156" s="124" t="str">
        <f t="shared" si="134"/>
        <v/>
      </c>
      <c r="C156" s="235"/>
      <c r="D156" s="24">
        <f>'1% Wind'!$M$96</f>
        <v>1</v>
      </c>
      <c r="E156" s="90"/>
      <c r="F156" s="90"/>
      <c r="G156" s="79">
        <f ca="1">IF(I141=0.9743,$G155,MAX(G155/D155*D156,2))</f>
        <v>6.001707317073171</v>
      </c>
      <c r="H156" s="121" t="e">
        <f t="shared" ca="1" si="135"/>
        <v>#VALUE!</v>
      </c>
      <c r="J156" s="33"/>
      <c r="K156" s="242">
        <f t="shared" si="136"/>
        <v>1</v>
      </c>
      <c r="L156" s="241" t="e">
        <f t="shared" ca="1" si="137"/>
        <v>#VALUE!</v>
      </c>
      <c r="M156" s="243" t="e">
        <f ca="1">IF(AND(INDEX(FlowCalConstA,MATCH(J141,FlowCalNumber,0),1,1)*L156^INDEX(FlowCalConstB,MATCH(J141,FlowCalNumber,0),1,1)&gt;INDEX(FlowCalLowSetting,MATCH(J141,FlowCalNumber,0),1,1), (INDEX(FlowCalConstA,MATCH(J141,FlowCalNumber,0),1,1)*L156^INDEX(FlowCalConstB,MATCH(J141,FlowCalNumber,0),1,1)&lt;INDEX(FlowCalHighSetting,MATCH(J141,FlowCalNumber,0),1,1))),INDEX(FlowCalConstA,MATCH(J141,FlowCalNumber,0),1,1)*L156^INDEX(FlowCalConstB,MATCH(J141,FlowCalNumber,0),1,1)," ")</f>
        <v>#N/A</v>
      </c>
      <c r="N156" s="33"/>
      <c r="O156" s="242">
        <f t="shared" si="138"/>
        <v>1</v>
      </c>
      <c r="P156" s="241" t="e">
        <f t="shared" ca="1" si="139"/>
        <v>#VALUE!</v>
      </c>
      <c r="Q156" s="243" t="e">
        <f ca="1">IF(AND(INDEX(FlowCalConstA,MATCH(N141,FlowCalNumber,0),1,1)*P156^INDEX(FlowCalConstB,MATCH(N141,FlowCalNumber,0),1,1)&gt;INDEX(FlowCalLowSetting,MATCH(N141,FlowCalNumber,0),1,1), (INDEX(FlowCalConstA,MATCH(N141,FlowCalNumber,0),1,1)*P156^INDEX(FlowCalConstB,MATCH(N141,FlowCalNumber,0),1,1)&lt;INDEX(FlowCalHighSetting,MATCH(N141,FlowCalNumber,0),1,1))),INDEX(FlowCalConstA,MATCH(N141,FlowCalNumber,0),1,1)*P156^INDEX(FlowCalConstB,MATCH(N141,FlowCalNumber,0),1,1)," ")</f>
        <v>#N/A</v>
      </c>
      <c r="R156" s="33"/>
      <c r="S156" s="242">
        <f t="shared" si="140"/>
        <v>1</v>
      </c>
      <c r="T156" s="241" t="e">
        <f t="shared" ca="1" si="141"/>
        <v>#VALUE!</v>
      </c>
      <c r="U156" s="244" t="e">
        <f ca="1">IF(AND(INDEX(FlowCalConstA,MATCH(R141,FlowCalNumber,0),1,1)*T156^INDEX(FlowCalConstB,MATCH(R141,FlowCalNumber,0),1,1)&gt;INDEX(FlowCalLowSetting,MATCH(R141,FlowCalNumber,0),1,1), (INDEX(FlowCalConstA,MATCH(R141,FlowCalNumber,0),1,1)*T156^INDEX(FlowCalConstB,MATCH(R141,FlowCalNumber,0),1,1)&lt;INDEX(FlowCalHighSetting,MATCH(R141,FlowCalNumber,0),1,1))),INDEX(FlowCalConstA,MATCH(R141,FlowCalNumber,0),1,1)*T156^INDEX(FlowCalConstB,MATCH(R141,FlowCalNumber,0),1,1)," ")</f>
        <v>#N/A</v>
      </c>
      <c r="V156" s="33"/>
      <c r="W156" s="242">
        <f t="shared" si="142"/>
        <v>0.1</v>
      </c>
      <c r="X156" s="241" t="e">
        <f t="shared" ca="1" si="143"/>
        <v>#VALUE!</v>
      </c>
      <c r="Y156" s="243" t="e">
        <f ca="1">IF(AND(INDEX(FlowCalConstA,MATCH(V141,FlowCalNumber,0),1,1)*X156^INDEX(FlowCalConstB,MATCH(V141,FlowCalNumber,0),1,1)&gt;INDEX(FlowCalLowSetting,MATCH(V141,FlowCalNumber,0),1,1), (INDEX(FlowCalConstA,MATCH(V141,FlowCalNumber,0),1,1)*X156^INDEX(FlowCalConstB,MATCH(V141,FlowCalNumber,0),1,1)&lt;INDEX(FlowCalHighSetting,MATCH(V141,FlowCalNumber,0),1,1))),INDEX(FlowCalConstA,MATCH(V141,FlowCalNumber,0),1,1)*X156^INDEX(FlowCalConstB,MATCH(V141,FlowCalNumber,0),1,1)," ")</f>
        <v>#N/A</v>
      </c>
      <c r="Z156" s="33"/>
      <c r="AA156" s="242">
        <f t="shared" si="144"/>
        <v>0.9</v>
      </c>
      <c r="AB156" s="241" t="e">
        <f t="shared" ca="1" si="145"/>
        <v>#VALUE!</v>
      </c>
      <c r="AC156" s="243" t="e">
        <f ca="1">IF(AND(INDEX(FlowCalConstA,MATCH(Z141,FlowCalNumber,0),1,1)*AB156^INDEX(FlowCalConstB,MATCH(Z141,FlowCalNumber,0),1,1)&gt;INDEX(FlowCalLowSetting,MATCH(Z141,FlowCalNumber,0),1,1), (INDEX(FlowCalConstA,MATCH(Z141,FlowCalNumber,0),1,1)*AB156^INDEX(FlowCalConstB,MATCH(Z141,FlowCalNumber,0),1,1)&lt;INDEX(FlowCalHighSetting,MATCH(Z141,FlowCalNumber,0),1,1))),INDEX(FlowCalConstA,MATCH(Z141,FlowCalNumber,0),1,1)*AB156^INDEX(FlowCalConstB,MATCH(Z141,FlowCalNumber,0),1,1)," ")</f>
        <v>#N/A</v>
      </c>
      <c r="AD156" s="33"/>
      <c r="AE156" s="242">
        <f t="shared" si="146"/>
        <v>0.1</v>
      </c>
      <c r="AF156" s="241" t="e">
        <f t="shared" ca="1" si="147"/>
        <v>#VALUE!</v>
      </c>
      <c r="AG156" s="243" t="e">
        <f ca="1">IF(AND(INDEX(FlowCalConstA,MATCH(AD141,FlowCalNumber,0),1,1)*AF156^INDEX(FlowCalConstB,MATCH(AD141,FlowCalNumber,0),1,1)&gt;INDEX(FlowCalLowSetting,MATCH(AD141,FlowCalNumber,0),1,1), (INDEX(FlowCalConstA,MATCH(AD141,FlowCalNumber,0),1,1)*AF156^INDEX(FlowCalConstB,MATCH(AD141,FlowCalNumber,0),1,1)&lt;INDEX(FlowCalHighSetting,MATCH(AD141,FlowCalNumber,0),1,1))),INDEX(FlowCalConstA,MATCH(AD141,FlowCalNumber,0),1,1)*AF156^INDEX(FlowCalConstB,MATCH(AD141,FlowCalNumber,0),1,1)," ")</f>
        <v>#N/A</v>
      </c>
      <c r="AH156" s="33"/>
      <c r="AI156" s="242">
        <f t="shared" si="148"/>
        <v>0.9</v>
      </c>
      <c r="AJ156" s="241" t="e">
        <f t="shared" ca="1" si="149"/>
        <v>#VALUE!</v>
      </c>
      <c r="AK156" s="243" t="e">
        <f ca="1">IF(AND(INDEX(FlowCalConstA,MATCH(AH141,FlowCalNumber,0),1,1)*AJ156^INDEX(FlowCalConstB,MATCH(AH141,FlowCalNumber,0),1,1)&gt;INDEX(FlowCalLowSetting,MATCH(AH141,FlowCalNumber,0),1,1), (INDEX(FlowCalConstA,MATCH(AH141,FlowCalNumber,0),1,1)*AJ156^INDEX(FlowCalConstB,MATCH(AH141,FlowCalNumber,0),1,1)&lt;INDEX(FlowCalHighSetting,MATCH(AH141,FlowCalNumber,0),1,1))),INDEX(FlowCalConstA,MATCH(AH141,FlowCalNumber,0),1,1)*AJ156^INDEX(FlowCalConstB,MATCH(AH141,FlowCalNumber,0),1,1)," ")</f>
        <v>#N/A</v>
      </c>
      <c r="AL156" s="33"/>
      <c r="AM156" s="242"/>
      <c r="AN156" s="241"/>
      <c r="AO156" s="244"/>
      <c r="AQ156" s="242"/>
      <c r="AR156" s="241"/>
      <c r="AS156" s="244"/>
      <c r="AT156" s="33"/>
      <c r="AU156" s="242"/>
      <c r="AV156" s="241"/>
      <c r="AW156" s="244"/>
      <c r="AX156" s="33"/>
      <c r="AY156" s="242"/>
      <c r="AZ156" s="241"/>
      <c r="BA156" s="244"/>
      <c r="BB156" s="33"/>
      <c r="BC156" s="242"/>
      <c r="BD156" s="241"/>
      <c r="BE156" s="244"/>
      <c r="BF156" s="33"/>
      <c r="BG156" s="242"/>
      <c r="BH156" s="241"/>
      <c r="BI156" s="244"/>
      <c r="BJ156" s="33"/>
      <c r="BK156" s="242"/>
      <c r="BL156" s="241"/>
      <c r="BM156" s="244"/>
      <c r="BN156" s="33"/>
      <c r="BO156" s="242"/>
      <c r="BP156" s="241"/>
      <c r="BQ156" s="244"/>
      <c r="BR156" s="33"/>
      <c r="BS156" s="242"/>
      <c r="BT156" s="241"/>
      <c r="BU156" s="244"/>
      <c r="BV156" s="33"/>
      <c r="BW156" s="242"/>
      <c r="BX156" s="241"/>
      <c r="BY156" s="244"/>
      <c r="BZ156" s="33"/>
      <c r="CA156" s="242"/>
      <c r="CB156" s="241"/>
      <c r="CC156" s="244"/>
      <c r="CD156" s="243"/>
      <c r="CE156" s="243"/>
      <c r="CF156" s="243"/>
      <c r="CG156" s="243"/>
      <c r="CH156" s="243"/>
      <c r="CI156" s="243"/>
      <c r="CJ156" s="243"/>
      <c r="CK156" s="243"/>
      <c r="CL156" s="243"/>
      <c r="CM156" s="243"/>
      <c r="CN156" s="243"/>
      <c r="CO156" s="243"/>
      <c r="CP156" s="243"/>
      <c r="CQ156" s="243"/>
      <c r="CR156" s="243"/>
      <c r="CS156" s="243"/>
      <c r="CT156" s="243"/>
      <c r="CU156" s="243"/>
      <c r="CV156" s="243"/>
      <c r="CW156" s="243"/>
      <c r="CX156" s="243"/>
      <c r="CY156" s="243"/>
      <c r="CZ156" s="243"/>
      <c r="DA156" s="243"/>
      <c r="DB156" s="243"/>
      <c r="DC156" s="243"/>
      <c r="DD156" s="243"/>
      <c r="DE156" s="243"/>
      <c r="DF156" s="243"/>
      <c r="DG156" s="243"/>
      <c r="DH156" s="243"/>
      <c r="DI156" s="243"/>
      <c r="DJ156" s="243"/>
      <c r="DK156" s="243"/>
      <c r="DM156" s="242"/>
      <c r="DO156" s="243"/>
      <c r="DQ156" s="242"/>
      <c r="DS156" s="243"/>
      <c r="DU156" s="242"/>
      <c r="DW156" s="243"/>
      <c r="DY156" s="242"/>
      <c r="EA156" s="243"/>
    </row>
    <row r="157" spans="1:131">
      <c r="A157" s="33"/>
      <c r="B157" s="33"/>
      <c r="C157" s="235"/>
      <c r="E157" s="90"/>
      <c r="F157" s="90"/>
      <c r="G157" s="33"/>
      <c r="J157" s="33"/>
      <c r="N157" s="33"/>
      <c r="Q157" s="243"/>
      <c r="R157" s="33"/>
      <c r="U157" s="244"/>
      <c r="V157" s="33"/>
      <c r="Y157" s="243"/>
      <c r="Z157" s="33"/>
      <c r="AC157" s="243"/>
      <c r="AD157" s="33"/>
      <c r="AG157" s="243"/>
      <c r="AH157" s="33"/>
      <c r="AK157" s="244"/>
      <c r="AL157" s="792"/>
      <c r="AM157" s="243"/>
      <c r="AN157" s="243"/>
      <c r="AO157" s="244"/>
      <c r="AP157" s="243"/>
      <c r="AQ157" s="243"/>
      <c r="AR157" s="243"/>
      <c r="AS157" s="244"/>
      <c r="AT157" s="243"/>
      <c r="AU157" s="243"/>
      <c r="AV157" s="243"/>
      <c r="AW157" s="244"/>
      <c r="AX157" s="243"/>
      <c r="AY157" s="243"/>
      <c r="AZ157" s="243"/>
      <c r="BA157" s="244"/>
      <c r="BB157" s="33"/>
      <c r="BE157" s="244"/>
      <c r="BF157" s="33"/>
      <c r="BI157" s="244"/>
      <c r="BJ157" s="33"/>
      <c r="BM157" s="244"/>
      <c r="BN157" s="243"/>
      <c r="BO157" s="243"/>
      <c r="BP157" s="243"/>
      <c r="BQ157" s="244"/>
      <c r="BR157" s="792"/>
      <c r="BS157" s="243"/>
      <c r="BT157" s="243"/>
      <c r="BU157" s="244"/>
      <c r="BV157" s="792"/>
      <c r="BW157" s="243"/>
      <c r="BX157" s="243"/>
      <c r="BY157" s="244"/>
      <c r="BZ157" s="792"/>
      <c r="CA157" s="243"/>
      <c r="CB157" s="243"/>
      <c r="CC157" s="244"/>
      <c r="CD157" s="243"/>
      <c r="CE157" s="243"/>
      <c r="CF157" s="243"/>
      <c r="CG157" s="243"/>
      <c r="CH157" s="243"/>
      <c r="CI157" s="243"/>
      <c r="CJ157" s="243"/>
      <c r="CK157" s="243"/>
      <c r="CL157" s="243"/>
      <c r="CM157" s="243"/>
      <c r="CN157" s="243"/>
      <c r="CO157" s="243"/>
      <c r="CP157" s="243"/>
      <c r="CQ157" s="243"/>
      <c r="CR157" s="243"/>
      <c r="CS157" s="243"/>
      <c r="CT157" s="243"/>
      <c r="CU157" s="243"/>
      <c r="CV157" s="243"/>
      <c r="CW157" s="243"/>
      <c r="CX157" s="243"/>
      <c r="CY157" s="243"/>
      <c r="CZ157" s="243"/>
      <c r="DA157" s="243"/>
      <c r="DB157" s="243"/>
      <c r="DC157" s="243"/>
      <c r="DD157" s="243"/>
      <c r="DE157" s="243"/>
      <c r="DF157" s="243"/>
      <c r="DG157" s="243"/>
      <c r="DH157" s="243"/>
      <c r="DI157" s="243"/>
      <c r="DJ157" s="243"/>
      <c r="DK157" s="243"/>
      <c r="DO157" s="243"/>
      <c r="DS157" s="243"/>
      <c r="DW157" s="243"/>
      <c r="EA157" s="243"/>
    </row>
    <row r="158" spans="1:131">
      <c r="A158" s="256" t="str">
        <f>IF((RIGHT(A141,1))&lt;&gt;"Z",CHAR(CODE(A141))&amp;CHAR(CODE(RIGHT(A141,1))+1),CHAR(CODE(A141)+1)&amp;"A")</f>
        <v>AI</v>
      </c>
      <c r="B158" s="270" t="str">
        <f>INDEX(SourceID,MATCH($A158,SourceNumber,0),1,1)</f>
        <v>EF-9</v>
      </c>
      <c r="C158" s="354">
        <f>INDEX(SourceExitDiameter,MATCH($A158,SourceNumber,0),1,1)*3.28*12</f>
        <v>160</v>
      </c>
      <c r="D158" s="24" t="str">
        <f>UAnem1percent</f>
        <v>1% Wind</v>
      </c>
      <c r="E158" s="350" t="e">
        <f ca="1">INDIRECT(ADDRESS(53,6,1,,CONCATENATE("TA",$A158)))</f>
        <v>#REF!</v>
      </c>
      <c r="F158" s="625" t="e">
        <f ca="1">(ROUND((INDIRECT(ADDRESS(15,7,1,,CONCATENATE("TA",$A158)))*3.28*12*32),0)&amp;"/32")</f>
        <v>#REF!</v>
      </c>
      <c r="G158" s="125">
        <f ca="1">INDIRECT(ADDRESS(29,7,1,,$A158))</f>
        <v>6.001707317073171</v>
      </c>
      <c r="H158" s="24" t="e">
        <f ca="1">INDIRECT(ADDRESS(19,7,1,,$A158))*100^3</f>
        <v>#VALUE!</v>
      </c>
      <c r="I158" s="941">
        <f ca="1">INDIRECT(ADDRESS(53,7,1,,$A158))</f>
        <v>0.97430000000000005</v>
      </c>
      <c r="J158" s="20" t="str">
        <f ca="1">IF($I158=$I$6,K$16&amp;$G$6&amp;J$6,IF($I158=$I$7,K$16&amp;$G$7&amp;J$7,"Bad"))</f>
        <v>100EthPick a Tunnel</v>
      </c>
      <c r="K158" t="e">
        <f ca="1">INDEX(FlowCalGasMixture,MATCH(J158,FlowCalNumber,0),1,1)</f>
        <v>#N/A</v>
      </c>
      <c r="M158" s="944" t="e">
        <f ca="1">INDEX(FlowCalDevice,MATCH(J158,FlowCalNumber,0),1,1)</f>
        <v>#N/A</v>
      </c>
      <c r="N158" s="943" t="str">
        <f ca="1">IF($I158=$I$6,O$16&amp;$G$6&amp;"90"&amp;$H$6&amp;N$6,IF($I158=$I$7,O$16&amp;$G$7&amp;"90"&amp;$H$7&amp;N$7,"Bad"))</f>
        <v>10Eth90N2Pick a Tunnel</v>
      </c>
      <c r="O158" t="e">
        <f ca="1">INDEX(FlowCalGasMixture,MATCH(N158,FlowCalNumber,0),1,1)</f>
        <v>#N/A</v>
      </c>
      <c r="Q158" s="944" t="e">
        <f ca="1">INDEX(FlowCalDevice,MATCH(N158,FlowCalNumber,0),1,1)</f>
        <v>#N/A</v>
      </c>
      <c r="R158" s="943" t="str">
        <f ca="1">IF($I158=$I$6,S$16&amp;$G$6&amp;"90"&amp;$H$6&amp;R$6,IF($I158=$I$7,S$16&amp;$G$7&amp;"90"&amp;$H$7&amp;R$7,"Bad"))</f>
        <v>10Eth90N2Pick a Tunnel</v>
      </c>
      <c r="S158" t="e">
        <f ca="1">INDEX(FlowCalGasMixture,MATCH(R158,FlowCalNumber,0),1,1)</f>
        <v>#N/A</v>
      </c>
      <c r="U158" s="944" t="e">
        <f ca="1">INDEX(FlowCalDevice,MATCH(R158,FlowCalNumber,0),1,1)</f>
        <v>#N/A</v>
      </c>
      <c r="V158" s="20" t="str">
        <f ca="1">IF($I158=$I$6,W$16&amp;$G$6&amp;V$6,IF($I158=$I$7,W$16&amp;$G$7&amp;V$7,"Bad"))</f>
        <v>100EthPick a Tunnel</v>
      </c>
      <c r="W158" t="e">
        <f ca="1">INDEX(FlowCalGasMixture,MATCH(V158,FlowCalNumber,0),1,1)</f>
        <v>#N/A</v>
      </c>
      <c r="Y158" s="944" t="e">
        <f ca="1">INDEX(FlowCalDevice,MATCH(V158,FlowCalNumber,0),1,1)</f>
        <v>#N/A</v>
      </c>
      <c r="Z158" s="946" t="str">
        <f ca="1">IF($I158=$I$6,AA$18&amp;$H$6&amp;Z$6,IF($I158=$I$7,AA$18&amp;$H$7&amp;Z$7,"Bad"))</f>
        <v>100N2Pick a Tunnel</v>
      </c>
      <c r="AA158" t="e">
        <f ca="1">INDEX(FlowCalGasMixture,MATCH(Z158,FlowCalNumber,0),1,1)</f>
        <v>#N/A</v>
      </c>
      <c r="AC158" s="944" t="e">
        <f ca="1">INDEX(FlowCalDevice,MATCH(Z158,FlowCalNumber,0),1,1)</f>
        <v>#N/A</v>
      </c>
      <c r="AD158" s="20" t="str">
        <f ca="1">IF($I158=$I$6,AE$16&amp;$G$6&amp;AD$6,IF($I158=$I$7,AE$16&amp;$G$7&amp;AD$7,"Bad"))</f>
        <v>100EthPick a Tunnel</v>
      </c>
      <c r="AE158" t="e">
        <f ca="1">INDEX(FlowCalGasMixture,MATCH(AD158,FlowCalNumber,0),1,1)</f>
        <v>#N/A</v>
      </c>
      <c r="AG158" s="944" t="e">
        <f ca="1">INDEX(FlowCalDevice,MATCH(AD158,FlowCalNumber,0),1,1)</f>
        <v>#N/A</v>
      </c>
      <c r="AH158" s="946" t="str">
        <f ca="1">IF($I158=$I$6,AI$18&amp;$H$6&amp;AH$6,IF($I158=$I$7,AI$18&amp;$H$7&amp;AH$7,"Bad"))</f>
        <v>100N2Pick a Tunnel</v>
      </c>
      <c r="AI158" t="e">
        <f ca="1">INDEX(FlowCalGasMixture,MATCH(AH158,FlowCalNumber,0),1,1)</f>
        <v>#N/A</v>
      </c>
      <c r="AK158" s="944" t="e">
        <f ca="1">INDEX(FlowCalDevice,MATCH(AH158,FlowCalNumber,0),1,1)</f>
        <v>#N/A</v>
      </c>
      <c r="AL158" s="20"/>
      <c r="AO158" s="982"/>
      <c r="AP158" s="960"/>
      <c r="AS158" s="982"/>
      <c r="AT158" s="20"/>
      <c r="AW158" s="982"/>
      <c r="AX158" s="946"/>
      <c r="BA158" s="982"/>
      <c r="BB158" s="20"/>
      <c r="BC158" s="16"/>
      <c r="BE158" s="982"/>
      <c r="BF158" s="946"/>
      <c r="BG158" s="16"/>
      <c r="BI158" s="982"/>
      <c r="BJ158" s="946"/>
      <c r="BK158" s="16"/>
      <c r="BM158" s="982"/>
      <c r="BN158" s="20"/>
      <c r="BO158" s="16"/>
      <c r="BQ158" s="982"/>
      <c r="BR158" s="946"/>
      <c r="BS158" s="16"/>
      <c r="BU158" s="982"/>
      <c r="BV158" s="946"/>
      <c r="BW158" s="16"/>
      <c r="BY158" s="982"/>
      <c r="BZ158" s="946"/>
      <c r="CA158" s="16"/>
      <c r="CC158" s="982"/>
      <c r="CD158" s="355"/>
      <c r="CE158" s="355"/>
      <c r="CF158" s="355"/>
      <c r="CG158" s="355"/>
      <c r="CH158" s="355"/>
      <c r="CI158" s="355"/>
      <c r="CJ158" s="355"/>
      <c r="CK158" s="355"/>
      <c r="CL158" s="355"/>
      <c r="CM158" s="355"/>
      <c r="CN158" s="355"/>
      <c r="CO158" s="355"/>
      <c r="CP158" s="355"/>
      <c r="CQ158" s="355"/>
      <c r="CR158" s="355"/>
      <c r="CS158" s="355"/>
      <c r="CT158" s="355"/>
      <c r="CU158" s="355"/>
      <c r="CV158" s="355"/>
      <c r="CW158" s="355"/>
      <c r="CX158" s="355"/>
      <c r="CY158" s="355"/>
      <c r="CZ158" s="355"/>
      <c r="DA158" s="355"/>
      <c r="DB158" s="355"/>
      <c r="DC158" s="355"/>
      <c r="DD158" s="355"/>
      <c r="DE158" s="355"/>
      <c r="DF158" s="355"/>
      <c r="DG158" s="355"/>
      <c r="DH158" s="355"/>
      <c r="DI158" s="355"/>
      <c r="DJ158" s="355"/>
      <c r="DK158" s="355"/>
      <c r="DL158" s="46"/>
      <c r="DM158" s="16"/>
      <c r="DO158" s="355"/>
      <c r="DP158" s="42"/>
      <c r="DQ158" s="16"/>
      <c r="DS158" s="355"/>
      <c r="DT158" s="42"/>
      <c r="DU158" s="16"/>
      <c r="DW158" s="355"/>
      <c r="DX158" s="42"/>
      <c r="DY158" s="16"/>
      <c r="EA158" s="355"/>
    </row>
    <row r="159" spans="1:131">
      <c r="A159" s="20"/>
      <c r="B159" s="124" t="str">
        <f t="shared" ref="B159:B173" si="150">IF(D159=UAnem1percent,"1% Wind","")</f>
        <v/>
      </c>
      <c r="C159" s="235"/>
      <c r="D159" s="24">
        <f>'1% Wind'!$M$82</f>
        <v>27</v>
      </c>
      <c r="E159" s="90"/>
      <c r="F159" s="90"/>
      <c r="G159" s="79">
        <f ca="1">IF(I158=0.9743,$G158,MAX(G158/D158*D159,2))</f>
        <v>6.001707317073171</v>
      </c>
      <c r="H159" s="121" t="e">
        <f t="shared" ref="H159:H173" ca="1" si="151">H158*(D158/D159)*(G159/G158)</f>
        <v>#VALUE!</v>
      </c>
      <c r="J159" s="33"/>
      <c r="K159" s="260">
        <f>K$17/100</f>
        <v>1</v>
      </c>
      <c r="L159" s="241" t="e">
        <f ca="1">K159*$H159</f>
        <v>#VALUE!</v>
      </c>
      <c r="M159" s="243" t="e">
        <f ca="1">IF(AND(INDEX(FlowCalConstA,MATCH(J158,FlowCalNumber,0),1,1)*L159^INDEX(FlowCalConstB,MATCH(J158,FlowCalNumber,0),1,1)&gt;INDEX(FlowCalLowSetting,MATCH(J158,FlowCalNumber,0),1,1), (INDEX(FlowCalConstA,MATCH(J158,FlowCalNumber,0),1,1)*L159^INDEX(FlowCalConstB,MATCH(J158,FlowCalNumber,0),1,1)&lt;INDEX(FlowCalHighSetting,MATCH(J158,FlowCalNumber,0),1,1))),INDEX(FlowCalConstA,MATCH(J158,FlowCalNumber,0),1,1)*L159^INDEX(FlowCalConstB,MATCH(J158,FlowCalNumber,0),1,1)," ")</f>
        <v>#N/A</v>
      </c>
      <c r="N159" s="33"/>
      <c r="O159" s="260">
        <f>O$17/100</f>
        <v>1</v>
      </c>
      <c r="P159" s="241" t="e">
        <f ca="1">O159*$H159</f>
        <v>#VALUE!</v>
      </c>
      <c r="Q159" s="243" t="e">
        <f ca="1">IF(AND(INDEX(FlowCalConstA,MATCH(N158,FlowCalNumber,0),1,1)*P159^INDEX(FlowCalConstB,MATCH(N158,FlowCalNumber,0),1,1)&gt;INDEX(FlowCalLowSetting,MATCH(N158,FlowCalNumber,0),1,1), (INDEX(FlowCalConstA,MATCH(N158,FlowCalNumber,0),1,1)*P159^INDEX(FlowCalConstB,MATCH(N158,FlowCalNumber,0),1,1)&lt;INDEX(FlowCalHighSetting,MATCH(N158,FlowCalNumber,0),1,1))),INDEX(FlowCalConstA,MATCH(N158,FlowCalNumber,0),1,1)*P159^INDEX(FlowCalConstB,MATCH(N158,FlowCalNumber,0),1,1)," ")</f>
        <v>#N/A</v>
      </c>
      <c r="R159" s="33"/>
      <c r="S159" s="260">
        <f>S$17/100</f>
        <v>1</v>
      </c>
      <c r="T159" s="241" t="e">
        <f ca="1">S159*$H159</f>
        <v>#VALUE!</v>
      </c>
      <c r="U159" s="244" t="e">
        <f ca="1">IF(AND(INDEX(FlowCalConstA,MATCH(R158,FlowCalNumber,0),1,1)*T159^INDEX(FlowCalConstB,MATCH(R158,FlowCalNumber,0),1,1)&gt;INDEX(FlowCalLowSetting,MATCH(R158,FlowCalNumber,0),1,1), (INDEX(FlowCalConstA,MATCH(R158,FlowCalNumber,0),1,1)*T159^INDEX(FlowCalConstB,MATCH(R158,FlowCalNumber,0),1,1)&lt;INDEX(FlowCalHighSetting,MATCH(R158,FlowCalNumber,0),1,1))),INDEX(FlowCalConstA,MATCH(R158,FlowCalNumber,0),1,1)*T159^INDEX(FlowCalConstB,MATCH(R158,FlowCalNumber,0),1,1)," ")</f>
        <v>#N/A</v>
      </c>
      <c r="V159" s="33"/>
      <c r="W159" s="260">
        <f>W$17/100</f>
        <v>0.1</v>
      </c>
      <c r="X159" s="241" t="e">
        <f ca="1">W159*$H159</f>
        <v>#VALUE!</v>
      </c>
      <c r="Y159" s="243" t="e">
        <f ca="1">IF(AND(INDEX(FlowCalConstA,MATCH(V158,FlowCalNumber,0),1,1)*X159^INDEX(FlowCalConstB,MATCH(V158,FlowCalNumber,0),1,1)&gt;INDEX(FlowCalLowSetting,MATCH(V158,FlowCalNumber,0),1,1), (INDEX(FlowCalConstA,MATCH(V158,FlowCalNumber,0),1,1)*X159^INDEX(FlowCalConstB,MATCH(V158,FlowCalNumber,0),1,1)&lt;INDEX(FlowCalHighSetting,MATCH(V158,FlowCalNumber,0),1,1))),INDEX(FlowCalConstA,MATCH(V158,FlowCalNumber,0),1,1)*X159^INDEX(FlowCalConstB,MATCH(V158,FlowCalNumber,0),1,1)," ")</f>
        <v>#N/A</v>
      </c>
      <c r="Z159" s="33"/>
      <c r="AA159" s="260">
        <f>AA$17/100</f>
        <v>0.9</v>
      </c>
      <c r="AB159" s="241" t="e">
        <f ca="1">AA159*$H159</f>
        <v>#VALUE!</v>
      </c>
      <c r="AC159" s="243" t="e">
        <f ca="1">IF(AND(INDEX(FlowCalConstA,MATCH(Z158,FlowCalNumber,0),1,1)*AB159^INDEX(FlowCalConstB,MATCH(Z158,FlowCalNumber,0),1,1)&gt;INDEX(FlowCalLowSetting,MATCH(Z158,FlowCalNumber,0),1,1), (INDEX(FlowCalConstA,MATCH(Z158,FlowCalNumber,0),1,1)*AB159^INDEX(FlowCalConstB,MATCH(Z158,FlowCalNumber,0),1,1)&lt;INDEX(FlowCalHighSetting,MATCH(Z158,FlowCalNumber,0),1,1))),INDEX(FlowCalConstA,MATCH(Z158,FlowCalNumber,0),1,1)*AB159^INDEX(FlowCalConstB,MATCH(Z158,FlowCalNumber,0),1,1)," ")</f>
        <v>#N/A</v>
      </c>
      <c r="AD159" s="33"/>
      <c r="AE159" s="260">
        <f>AE$17/100</f>
        <v>0.1</v>
      </c>
      <c r="AF159" s="241" t="e">
        <f ca="1">AE159*$H159</f>
        <v>#VALUE!</v>
      </c>
      <c r="AG159" s="243" t="e">
        <f ca="1">IF(AND(INDEX(FlowCalConstA,MATCH(AD158,FlowCalNumber,0),1,1)*AF159^INDEX(FlowCalConstB,MATCH(AD158,FlowCalNumber,0),1,1)&gt;INDEX(FlowCalLowSetting,MATCH(AD158,FlowCalNumber,0),1,1), (INDEX(FlowCalConstA,MATCH(AD158,FlowCalNumber,0),1,1)*AF159^INDEX(FlowCalConstB,MATCH(AD158,FlowCalNumber,0),1,1)&lt;INDEX(FlowCalHighSetting,MATCH(AD158,FlowCalNumber,0),1,1))),INDEX(FlowCalConstA,MATCH(AD158,FlowCalNumber,0),1,1)*AF159^INDEX(FlowCalConstB,MATCH(AD158,FlowCalNumber,0),1,1)," ")</f>
        <v>#N/A</v>
      </c>
      <c r="AH159" s="33"/>
      <c r="AI159" s="260">
        <f>AI$17/100</f>
        <v>0.9</v>
      </c>
      <c r="AJ159" s="241" t="e">
        <f ca="1">AI159*$H159</f>
        <v>#VALUE!</v>
      </c>
      <c r="AK159" s="243" t="e">
        <f ca="1">IF(AND(INDEX(FlowCalConstA,MATCH(AH158,FlowCalNumber,0),1,1)*AJ159^INDEX(FlowCalConstB,MATCH(AH158,FlowCalNumber,0),1,1)&gt;INDEX(FlowCalLowSetting,MATCH(AH158,FlowCalNumber,0),1,1), (INDEX(FlowCalConstA,MATCH(AH158,FlowCalNumber,0),1,1)*AJ159^INDEX(FlowCalConstB,MATCH(AH158,FlowCalNumber,0),1,1)&lt;INDEX(FlowCalHighSetting,MATCH(AH158,FlowCalNumber,0),1,1))),INDEX(FlowCalConstA,MATCH(AH158,FlowCalNumber,0),1,1)*AJ159^INDEX(FlowCalConstB,MATCH(AH158,FlowCalNumber,0),1,1)," ")</f>
        <v>#N/A</v>
      </c>
      <c r="AL159" s="33"/>
      <c r="AM159" s="260"/>
      <c r="AN159" s="241"/>
      <c r="AO159" s="244"/>
      <c r="AQ159" s="260"/>
      <c r="AR159" s="241"/>
      <c r="AS159" s="244"/>
      <c r="AT159" s="33"/>
      <c r="AU159" s="260"/>
      <c r="AV159" s="241"/>
      <c r="AW159" s="244"/>
      <c r="AX159" s="33"/>
      <c r="AY159" s="260"/>
      <c r="AZ159" s="241"/>
      <c r="BA159" s="244"/>
      <c r="BB159" s="33"/>
      <c r="BC159" s="260"/>
      <c r="BD159" s="241"/>
      <c r="BE159" s="244"/>
      <c r="BF159" s="33"/>
      <c r="BG159" s="260"/>
      <c r="BH159" s="241"/>
      <c r="BI159" s="244"/>
      <c r="BJ159" s="33"/>
      <c r="BK159" s="260"/>
      <c r="BL159" s="241"/>
      <c r="BM159" s="244"/>
      <c r="BN159" s="33"/>
      <c r="BO159" s="260"/>
      <c r="BP159" s="241"/>
      <c r="BQ159" s="244"/>
      <c r="BR159" s="33"/>
      <c r="BS159" s="260"/>
      <c r="BT159" s="241"/>
      <c r="BU159" s="244"/>
      <c r="BV159" s="33"/>
      <c r="BW159" s="260"/>
      <c r="BX159" s="241"/>
      <c r="BY159" s="244"/>
      <c r="BZ159" s="33"/>
      <c r="CA159" s="260"/>
      <c r="CB159" s="241"/>
      <c r="CC159" s="244"/>
      <c r="CD159" s="243"/>
      <c r="CE159" s="243"/>
      <c r="CF159" s="243"/>
      <c r="CG159" s="243"/>
      <c r="CH159" s="243"/>
      <c r="CI159" s="243"/>
      <c r="CJ159" s="243"/>
      <c r="CK159" s="243"/>
      <c r="CL159" s="243"/>
      <c r="CM159" s="243"/>
      <c r="CN159" s="243"/>
      <c r="CO159" s="243"/>
      <c r="CP159" s="243"/>
      <c r="CQ159" s="243"/>
      <c r="CR159" s="243"/>
      <c r="CS159" s="243"/>
      <c r="CT159" s="243"/>
      <c r="CU159" s="243"/>
      <c r="CV159" s="243"/>
      <c r="CW159" s="243"/>
      <c r="CX159" s="243"/>
      <c r="CY159" s="243"/>
      <c r="CZ159" s="243"/>
      <c r="DA159" s="243"/>
      <c r="DB159" s="243"/>
      <c r="DC159" s="243"/>
      <c r="DD159" s="243"/>
      <c r="DE159" s="243"/>
      <c r="DF159" s="243"/>
      <c r="DG159" s="243"/>
      <c r="DH159" s="243"/>
      <c r="DI159" s="243"/>
      <c r="DJ159" s="243"/>
      <c r="DK159" s="243"/>
      <c r="DM159" s="259"/>
      <c r="DO159" s="243"/>
      <c r="DQ159" s="259"/>
      <c r="DS159" s="243"/>
      <c r="DU159" s="259"/>
      <c r="DW159" s="243"/>
      <c r="DY159" s="260"/>
      <c r="EA159" s="243"/>
    </row>
    <row r="160" spans="1:131">
      <c r="A160" s="20"/>
      <c r="B160" s="124" t="str">
        <f t="shared" si="150"/>
        <v/>
      </c>
      <c r="C160" s="235"/>
      <c r="D160" s="24">
        <f>'1% Wind'!$M$83</f>
        <v>23.5</v>
      </c>
      <c r="E160" s="90"/>
      <c r="F160" s="90"/>
      <c r="G160" s="79">
        <f ca="1">IF(I158=0.9743,$G159,MAX(G159/D159*D160,2))</f>
        <v>6.001707317073171</v>
      </c>
      <c r="H160" s="121" t="e">
        <f t="shared" ca="1" si="151"/>
        <v>#VALUE!</v>
      </c>
      <c r="J160" s="33"/>
      <c r="K160" s="242">
        <f t="shared" ref="K160:K173" si="152">K159</f>
        <v>1</v>
      </c>
      <c r="L160" s="241" t="e">
        <f t="shared" ref="L160:L173" ca="1" si="153">K160*$H160</f>
        <v>#VALUE!</v>
      </c>
      <c r="M160" s="243" t="e">
        <f ca="1">IF(AND(INDEX(FlowCalConstA,MATCH(J158,FlowCalNumber,0),1,1)*L160^INDEX(FlowCalConstB,MATCH(J158,FlowCalNumber,0),1,1)&gt;INDEX(FlowCalLowSetting,MATCH(J158,FlowCalNumber,0),1,1), (INDEX(FlowCalConstA,MATCH(J158,FlowCalNumber,0),1,1)*L160^INDEX(FlowCalConstB,MATCH(J158,FlowCalNumber,0),1,1)&lt;INDEX(FlowCalHighSetting,MATCH(J158,FlowCalNumber,0),1,1))),INDEX(FlowCalConstA,MATCH(J158,FlowCalNumber,0),1,1)*L160^INDEX(FlowCalConstB,MATCH(J158,FlowCalNumber,0),1,1)," ")</f>
        <v>#N/A</v>
      </c>
      <c r="N160" s="33"/>
      <c r="O160" s="242">
        <f t="shared" ref="O160:O173" si="154">O159</f>
        <v>1</v>
      </c>
      <c r="P160" s="241" t="e">
        <f t="shared" ref="P160:P173" ca="1" si="155">O160*$H160</f>
        <v>#VALUE!</v>
      </c>
      <c r="Q160" s="243" t="e">
        <f ca="1">IF(AND(INDEX(FlowCalConstA,MATCH(N158,FlowCalNumber,0),1,1)*P160^INDEX(FlowCalConstB,MATCH(N158,FlowCalNumber,0),1,1)&gt;INDEX(FlowCalLowSetting,MATCH(N158,FlowCalNumber,0),1,1), (INDEX(FlowCalConstA,MATCH(N158,FlowCalNumber,0),1,1)*P160^INDEX(FlowCalConstB,MATCH(N158,FlowCalNumber,0),1,1)&lt;INDEX(FlowCalHighSetting,MATCH(N158,FlowCalNumber,0),1,1))),INDEX(FlowCalConstA,MATCH(N158,FlowCalNumber,0),1,1)*P160^INDEX(FlowCalConstB,MATCH(N158,FlowCalNumber,0),1,1)," ")</f>
        <v>#N/A</v>
      </c>
      <c r="R160" s="33"/>
      <c r="S160" s="242">
        <f t="shared" ref="S160:S173" si="156">S159</f>
        <v>1</v>
      </c>
      <c r="T160" s="241" t="e">
        <f t="shared" ref="T160:T173" ca="1" si="157">S160*$H160</f>
        <v>#VALUE!</v>
      </c>
      <c r="U160" s="244" t="e">
        <f ca="1">IF(AND(INDEX(FlowCalConstA,MATCH(R158,FlowCalNumber,0),1,1)*T160^INDEX(FlowCalConstB,MATCH(R158,FlowCalNumber,0),1,1)&gt;INDEX(FlowCalLowSetting,MATCH(R158,FlowCalNumber,0),1,1), (INDEX(FlowCalConstA,MATCH(R158,FlowCalNumber,0),1,1)*T160^INDEX(FlowCalConstB,MATCH(R158,FlowCalNumber,0),1,1)&lt;INDEX(FlowCalHighSetting,MATCH(R158,FlowCalNumber,0),1,1))),INDEX(FlowCalConstA,MATCH(R158,FlowCalNumber,0),1,1)*T160^INDEX(FlowCalConstB,MATCH(R158,FlowCalNumber,0),1,1)," ")</f>
        <v>#N/A</v>
      </c>
      <c r="V160" s="33"/>
      <c r="W160" s="242">
        <f t="shared" ref="W160:W173" si="158">W159</f>
        <v>0.1</v>
      </c>
      <c r="X160" s="241" t="e">
        <f t="shared" ref="X160:X173" ca="1" si="159">W160*$H160</f>
        <v>#VALUE!</v>
      </c>
      <c r="Y160" s="243" t="e">
        <f ca="1">IF(AND(INDEX(FlowCalConstA,MATCH(V158,FlowCalNumber,0),1,1)*X160^INDEX(FlowCalConstB,MATCH(V158,FlowCalNumber,0),1,1)&gt;INDEX(FlowCalLowSetting,MATCH(V158,FlowCalNumber,0),1,1), (INDEX(FlowCalConstA,MATCH(V158,FlowCalNumber,0),1,1)*X160^INDEX(FlowCalConstB,MATCH(V158,FlowCalNumber,0),1,1)&lt;INDEX(FlowCalHighSetting,MATCH(V158,FlowCalNumber,0),1,1))),INDEX(FlowCalConstA,MATCH(V158,FlowCalNumber,0),1,1)*X160^INDEX(FlowCalConstB,MATCH(V158,FlowCalNumber,0),1,1)," ")</f>
        <v>#N/A</v>
      </c>
      <c r="Z160" s="33"/>
      <c r="AA160" s="242">
        <f t="shared" ref="AA160:AA173" si="160">AA159</f>
        <v>0.9</v>
      </c>
      <c r="AB160" s="241" t="e">
        <f t="shared" ref="AB160:AB173" ca="1" si="161">AA160*$H160</f>
        <v>#VALUE!</v>
      </c>
      <c r="AC160" s="243" t="e">
        <f ca="1">IF(AND(INDEX(FlowCalConstA,MATCH(Z158,FlowCalNumber,0),1,1)*AB160^INDEX(FlowCalConstB,MATCH(Z158,FlowCalNumber,0),1,1)&gt;INDEX(FlowCalLowSetting,MATCH(Z158,FlowCalNumber,0),1,1), (INDEX(FlowCalConstA,MATCH(Z158,FlowCalNumber,0),1,1)*AB160^INDEX(FlowCalConstB,MATCH(Z158,FlowCalNumber,0),1,1)&lt;INDEX(FlowCalHighSetting,MATCH(Z158,FlowCalNumber,0),1,1))),INDEX(FlowCalConstA,MATCH(Z158,FlowCalNumber,0),1,1)*AB160^INDEX(FlowCalConstB,MATCH(Z158,FlowCalNumber,0),1,1)," ")</f>
        <v>#N/A</v>
      </c>
      <c r="AD160" s="33"/>
      <c r="AE160" s="242">
        <f t="shared" ref="AE160:AE173" si="162">AE159</f>
        <v>0.1</v>
      </c>
      <c r="AF160" s="241" t="e">
        <f t="shared" ref="AF160:AF173" ca="1" si="163">AE160*$H160</f>
        <v>#VALUE!</v>
      </c>
      <c r="AG160" s="243" t="e">
        <f ca="1">IF(AND(INDEX(FlowCalConstA,MATCH(AD158,FlowCalNumber,0),1,1)*AF160^INDEX(FlowCalConstB,MATCH(AD158,FlowCalNumber,0),1,1)&gt;INDEX(FlowCalLowSetting,MATCH(AD158,FlowCalNumber,0),1,1), (INDEX(FlowCalConstA,MATCH(AD158,FlowCalNumber,0),1,1)*AF160^INDEX(FlowCalConstB,MATCH(AD158,FlowCalNumber,0),1,1)&lt;INDEX(FlowCalHighSetting,MATCH(AD158,FlowCalNumber,0),1,1))),INDEX(FlowCalConstA,MATCH(AD158,FlowCalNumber,0),1,1)*AF160^INDEX(FlowCalConstB,MATCH(AD158,FlowCalNumber,0),1,1)," ")</f>
        <v>#N/A</v>
      </c>
      <c r="AH160" s="33"/>
      <c r="AI160" s="242">
        <f t="shared" ref="AI160:AI173" si="164">AI159</f>
        <v>0.9</v>
      </c>
      <c r="AJ160" s="241" t="e">
        <f t="shared" ref="AJ160:AJ173" ca="1" si="165">AI160*$H160</f>
        <v>#VALUE!</v>
      </c>
      <c r="AK160" s="243" t="e">
        <f ca="1">IF(AND(INDEX(FlowCalConstA,MATCH(AH158,FlowCalNumber,0),1,1)*AJ160^INDEX(FlowCalConstB,MATCH(AH158,FlowCalNumber,0),1,1)&gt;INDEX(FlowCalLowSetting,MATCH(AH158,FlowCalNumber,0),1,1), (INDEX(FlowCalConstA,MATCH(AH158,FlowCalNumber,0),1,1)*AJ160^INDEX(FlowCalConstB,MATCH(AH158,FlowCalNumber,0),1,1)&lt;INDEX(FlowCalHighSetting,MATCH(AH158,FlowCalNumber,0),1,1))),INDEX(FlowCalConstA,MATCH(AH158,FlowCalNumber,0),1,1)*AJ160^INDEX(FlowCalConstB,MATCH(AH158,FlowCalNumber,0),1,1)," ")</f>
        <v>#N/A</v>
      </c>
      <c r="AL160" s="33"/>
      <c r="AM160" s="242"/>
      <c r="AN160" s="241"/>
      <c r="AO160" s="244"/>
      <c r="AQ160" s="242"/>
      <c r="AR160" s="241"/>
      <c r="AS160" s="244"/>
      <c r="AT160" s="33"/>
      <c r="AU160" s="242"/>
      <c r="AV160" s="241"/>
      <c r="AW160" s="244"/>
      <c r="AX160" s="33"/>
      <c r="AY160" s="242"/>
      <c r="AZ160" s="241"/>
      <c r="BA160" s="244"/>
      <c r="BB160" s="33"/>
      <c r="BC160" s="242"/>
      <c r="BD160" s="241"/>
      <c r="BE160" s="244"/>
      <c r="BF160" s="33"/>
      <c r="BG160" s="242"/>
      <c r="BH160" s="241"/>
      <c r="BI160" s="244"/>
      <c r="BJ160" s="33"/>
      <c r="BK160" s="242"/>
      <c r="BL160" s="241"/>
      <c r="BM160" s="244"/>
      <c r="BN160" s="33"/>
      <c r="BO160" s="242"/>
      <c r="BP160" s="241"/>
      <c r="BQ160" s="244"/>
      <c r="BR160" s="33"/>
      <c r="BS160" s="242"/>
      <c r="BT160" s="241"/>
      <c r="BU160" s="244"/>
      <c r="BV160" s="33"/>
      <c r="BW160" s="242"/>
      <c r="BX160" s="241"/>
      <c r="BY160" s="244"/>
      <c r="BZ160" s="33"/>
      <c r="CA160" s="242"/>
      <c r="CB160" s="241"/>
      <c r="CC160" s="244"/>
      <c r="CD160" s="243"/>
      <c r="CE160" s="243"/>
      <c r="CF160" s="243"/>
      <c r="CG160" s="243"/>
      <c r="CH160" s="243"/>
      <c r="CI160" s="243"/>
      <c r="CJ160" s="243"/>
      <c r="CK160" s="243"/>
      <c r="CL160" s="243"/>
      <c r="CM160" s="243"/>
      <c r="CN160" s="243"/>
      <c r="CO160" s="243"/>
      <c r="CP160" s="243"/>
      <c r="CQ160" s="243"/>
      <c r="CR160" s="243"/>
      <c r="CS160" s="243"/>
      <c r="CT160" s="243"/>
      <c r="CU160" s="243"/>
      <c r="CV160" s="243"/>
      <c r="CW160" s="243"/>
      <c r="CX160" s="243"/>
      <c r="CY160" s="243"/>
      <c r="CZ160" s="243"/>
      <c r="DA160" s="243"/>
      <c r="DB160" s="243"/>
      <c r="DC160" s="243"/>
      <c r="DD160" s="243"/>
      <c r="DE160" s="243"/>
      <c r="DF160" s="243"/>
      <c r="DG160" s="243"/>
      <c r="DH160" s="243"/>
      <c r="DI160" s="243"/>
      <c r="DJ160" s="243"/>
      <c r="DK160" s="243"/>
      <c r="DM160" s="242"/>
      <c r="DO160" s="243"/>
      <c r="DQ160" s="242"/>
      <c r="DS160" s="243"/>
      <c r="DU160" s="242"/>
      <c r="DW160" s="243"/>
      <c r="DY160" s="242"/>
      <c r="EA160" s="243"/>
    </row>
    <row r="161" spans="1:131">
      <c r="A161" s="20"/>
      <c r="B161" s="124" t="str">
        <f t="shared" si="150"/>
        <v/>
      </c>
      <c r="C161" s="235"/>
      <c r="D161" s="24">
        <f>'1% Wind'!$M$84</f>
        <v>20.5</v>
      </c>
      <c r="E161" s="90"/>
      <c r="F161" s="90"/>
      <c r="G161" s="79">
        <f ca="1">IF(I158=0.9743,$G160,MAX(G160/D160*D161,2))</f>
        <v>6.001707317073171</v>
      </c>
      <c r="H161" s="121" t="e">
        <f t="shared" ca="1" si="151"/>
        <v>#VALUE!</v>
      </c>
      <c r="J161" s="33"/>
      <c r="K161" s="242">
        <f t="shared" si="152"/>
        <v>1</v>
      </c>
      <c r="L161" s="241" t="e">
        <f t="shared" ca="1" si="153"/>
        <v>#VALUE!</v>
      </c>
      <c r="M161" s="243" t="e">
        <f ca="1">IF(AND(INDEX(FlowCalConstA,MATCH(J158,FlowCalNumber,0),1,1)*L161^INDEX(FlowCalConstB,MATCH(J158,FlowCalNumber,0),1,1)&gt;INDEX(FlowCalLowSetting,MATCH(J158,FlowCalNumber,0),1,1), (INDEX(FlowCalConstA,MATCH(J158,FlowCalNumber,0),1,1)*L161^INDEX(FlowCalConstB,MATCH(J158,FlowCalNumber,0),1,1)&lt;INDEX(FlowCalHighSetting,MATCH(J158,FlowCalNumber,0),1,1))),INDEX(FlowCalConstA,MATCH(J158,FlowCalNumber,0),1,1)*L161^INDEX(FlowCalConstB,MATCH(J158,FlowCalNumber,0),1,1)," ")</f>
        <v>#N/A</v>
      </c>
      <c r="N161" s="33"/>
      <c r="O161" s="242">
        <f t="shared" si="154"/>
        <v>1</v>
      </c>
      <c r="P161" s="241" t="e">
        <f t="shared" ca="1" si="155"/>
        <v>#VALUE!</v>
      </c>
      <c r="Q161" s="243" t="e">
        <f ca="1">IF(AND(INDEX(FlowCalConstA,MATCH(N158,FlowCalNumber,0),1,1)*P161^INDEX(FlowCalConstB,MATCH(N158,FlowCalNumber,0),1,1)&gt;INDEX(FlowCalLowSetting,MATCH(N158,FlowCalNumber,0),1,1), (INDEX(FlowCalConstA,MATCH(N158,FlowCalNumber,0),1,1)*P161^INDEX(FlowCalConstB,MATCH(N158,FlowCalNumber,0),1,1)&lt;INDEX(FlowCalHighSetting,MATCH(N158,FlowCalNumber,0),1,1))),INDEX(FlowCalConstA,MATCH(N158,FlowCalNumber,0),1,1)*P161^INDEX(FlowCalConstB,MATCH(N158,FlowCalNumber,0),1,1)," ")</f>
        <v>#N/A</v>
      </c>
      <c r="R161" s="33"/>
      <c r="S161" s="242">
        <f t="shared" si="156"/>
        <v>1</v>
      </c>
      <c r="T161" s="241" t="e">
        <f t="shared" ca="1" si="157"/>
        <v>#VALUE!</v>
      </c>
      <c r="U161" s="244" t="e">
        <f ca="1">IF(AND(INDEX(FlowCalConstA,MATCH(R158,FlowCalNumber,0),1,1)*T161^INDEX(FlowCalConstB,MATCH(R158,FlowCalNumber,0),1,1)&gt;INDEX(FlowCalLowSetting,MATCH(R158,FlowCalNumber,0),1,1), (INDEX(FlowCalConstA,MATCH(R158,FlowCalNumber,0),1,1)*T161^INDEX(FlowCalConstB,MATCH(R158,FlowCalNumber,0),1,1)&lt;INDEX(FlowCalHighSetting,MATCH(R158,FlowCalNumber,0),1,1))),INDEX(FlowCalConstA,MATCH(R158,FlowCalNumber,0),1,1)*T161^INDEX(FlowCalConstB,MATCH(R158,FlowCalNumber,0),1,1)," ")</f>
        <v>#N/A</v>
      </c>
      <c r="V161" s="33"/>
      <c r="W161" s="242">
        <f t="shared" si="158"/>
        <v>0.1</v>
      </c>
      <c r="X161" s="241" t="e">
        <f t="shared" ca="1" si="159"/>
        <v>#VALUE!</v>
      </c>
      <c r="Y161" s="243" t="e">
        <f ca="1">IF(AND(INDEX(FlowCalConstA,MATCH(V158,FlowCalNumber,0),1,1)*X161^INDEX(FlowCalConstB,MATCH(V158,FlowCalNumber,0),1,1)&gt;INDEX(FlowCalLowSetting,MATCH(V158,FlowCalNumber,0),1,1), (INDEX(FlowCalConstA,MATCH(V158,FlowCalNumber,0),1,1)*X161^INDEX(FlowCalConstB,MATCH(V158,FlowCalNumber,0),1,1)&lt;INDEX(FlowCalHighSetting,MATCH(V158,FlowCalNumber,0),1,1))),INDEX(FlowCalConstA,MATCH(V158,FlowCalNumber,0),1,1)*X161^INDEX(FlowCalConstB,MATCH(V158,FlowCalNumber,0),1,1)," ")</f>
        <v>#N/A</v>
      </c>
      <c r="Z161" s="33"/>
      <c r="AA161" s="242">
        <f t="shared" si="160"/>
        <v>0.9</v>
      </c>
      <c r="AB161" s="241" t="e">
        <f t="shared" ca="1" si="161"/>
        <v>#VALUE!</v>
      </c>
      <c r="AC161" s="243" t="e">
        <f ca="1">IF(AND(INDEX(FlowCalConstA,MATCH(Z158,FlowCalNumber,0),1,1)*AB161^INDEX(FlowCalConstB,MATCH(Z158,FlowCalNumber,0),1,1)&gt;INDEX(FlowCalLowSetting,MATCH(Z158,FlowCalNumber,0),1,1), (INDEX(FlowCalConstA,MATCH(Z158,FlowCalNumber,0),1,1)*AB161^INDEX(FlowCalConstB,MATCH(Z158,FlowCalNumber,0),1,1)&lt;INDEX(FlowCalHighSetting,MATCH(Z158,FlowCalNumber,0),1,1))),INDEX(FlowCalConstA,MATCH(Z158,FlowCalNumber,0),1,1)*AB161^INDEX(FlowCalConstB,MATCH(Z158,FlowCalNumber,0),1,1)," ")</f>
        <v>#N/A</v>
      </c>
      <c r="AD161" s="33"/>
      <c r="AE161" s="242">
        <f t="shared" si="162"/>
        <v>0.1</v>
      </c>
      <c r="AF161" s="241" t="e">
        <f t="shared" ca="1" si="163"/>
        <v>#VALUE!</v>
      </c>
      <c r="AG161" s="243" t="e">
        <f ca="1">IF(AND(INDEX(FlowCalConstA,MATCH(AD158,FlowCalNumber,0),1,1)*AF161^INDEX(FlowCalConstB,MATCH(AD158,FlowCalNumber,0),1,1)&gt;INDEX(FlowCalLowSetting,MATCH(AD158,FlowCalNumber,0),1,1), (INDEX(FlowCalConstA,MATCH(AD158,FlowCalNumber,0),1,1)*AF161^INDEX(FlowCalConstB,MATCH(AD158,FlowCalNumber,0),1,1)&lt;INDEX(FlowCalHighSetting,MATCH(AD158,FlowCalNumber,0),1,1))),INDEX(FlowCalConstA,MATCH(AD158,FlowCalNumber,0),1,1)*AF161^INDEX(FlowCalConstB,MATCH(AD158,FlowCalNumber,0),1,1)," ")</f>
        <v>#N/A</v>
      </c>
      <c r="AH161" s="33"/>
      <c r="AI161" s="242">
        <f t="shared" si="164"/>
        <v>0.9</v>
      </c>
      <c r="AJ161" s="241" t="e">
        <f t="shared" ca="1" si="165"/>
        <v>#VALUE!</v>
      </c>
      <c r="AK161" s="243" t="e">
        <f ca="1">IF(AND(INDEX(FlowCalConstA,MATCH(AH158,FlowCalNumber,0),1,1)*AJ161^INDEX(FlowCalConstB,MATCH(AH158,FlowCalNumber,0),1,1)&gt;INDEX(FlowCalLowSetting,MATCH(AH158,FlowCalNumber,0),1,1), (INDEX(FlowCalConstA,MATCH(AH158,FlowCalNumber,0),1,1)*AJ161^INDEX(FlowCalConstB,MATCH(AH158,FlowCalNumber,0),1,1)&lt;INDEX(FlowCalHighSetting,MATCH(AH158,FlowCalNumber,0),1,1))),INDEX(FlowCalConstA,MATCH(AH158,FlowCalNumber,0),1,1)*AJ161^INDEX(FlowCalConstB,MATCH(AH158,FlowCalNumber,0),1,1)," ")</f>
        <v>#N/A</v>
      </c>
      <c r="AL161" s="33"/>
      <c r="AM161" s="242"/>
      <c r="AN161" s="241"/>
      <c r="AO161" s="244"/>
      <c r="AQ161" s="242"/>
      <c r="AR161" s="241"/>
      <c r="AS161" s="244"/>
      <c r="AT161" s="33"/>
      <c r="AU161" s="242"/>
      <c r="AV161" s="241"/>
      <c r="AW161" s="244"/>
      <c r="AX161" s="33"/>
      <c r="AY161" s="242"/>
      <c r="AZ161" s="241"/>
      <c r="BA161" s="244"/>
      <c r="BB161" s="33"/>
      <c r="BC161" s="242"/>
      <c r="BD161" s="241"/>
      <c r="BE161" s="244"/>
      <c r="BF161" s="33"/>
      <c r="BG161" s="242"/>
      <c r="BH161" s="241"/>
      <c r="BI161" s="244"/>
      <c r="BJ161" s="33"/>
      <c r="BK161" s="242"/>
      <c r="BL161" s="241"/>
      <c r="BM161" s="244"/>
      <c r="BN161" s="33"/>
      <c r="BO161" s="242"/>
      <c r="BP161" s="241"/>
      <c r="BQ161" s="244"/>
      <c r="BR161" s="33"/>
      <c r="BS161" s="242"/>
      <c r="BT161" s="241"/>
      <c r="BU161" s="244"/>
      <c r="BV161" s="33"/>
      <c r="BW161" s="242"/>
      <c r="BX161" s="241"/>
      <c r="BY161" s="244"/>
      <c r="BZ161" s="33"/>
      <c r="CA161" s="242"/>
      <c r="CB161" s="241"/>
      <c r="CC161" s="244"/>
      <c r="CD161" s="243"/>
      <c r="CE161" s="243"/>
      <c r="CF161" s="243"/>
      <c r="CG161" s="243"/>
      <c r="CH161" s="243"/>
      <c r="CI161" s="243"/>
      <c r="CJ161" s="243"/>
      <c r="CK161" s="243"/>
      <c r="CL161" s="243"/>
      <c r="CM161" s="243"/>
      <c r="CN161" s="243"/>
      <c r="CO161" s="243"/>
      <c r="CP161" s="243"/>
      <c r="CQ161" s="243"/>
      <c r="CR161" s="243"/>
      <c r="CS161" s="243"/>
      <c r="CT161" s="243"/>
      <c r="CU161" s="243"/>
      <c r="CV161" s="243"/>
      <c r="CW161" s="243"/>
      <c r="CX161" s="243"/>
      <c r="CY161" s="243"/>
      <c r="CZ161" s="243"/>
      <c r="DA161" s="243"/>
      <c r="DB161" s="243"/>
      <c r="DC161" s="243"/>
      <c r="DD161" s="243"/>
      <c r="DE161" s="243"/>
      <c r="DF161" s="243"/>
      <c r="DG161" s="243"/>
      <c r="DH161" s="243"/>
      <c r="DI161" s="243"/>
      <c r="DJ161" s="243"/>
      <c r="DK161" s="243"/>
      <c r="DM161" s="242"/>
      <c r="DO161" s="243"/>
      <c r="DQ161" s="242"/>
      <c r="DS161" s="243"/>
      <c r="DU161" s="242"/>
      <c r="DW161" s="243"/>
      <c r="DY161" s="242"/>
      <c r="EA161" s="243"/>
    </row>
    <row r="162" spans="1:131">
      <c r="A162" s="20"/>
      <c r="B162" s="124" t="str">
        <f t="shared" si="150"/>
        <v/>
      </c>
      <c r="C162" s="235"/>
      <c r="D162" s="24">
        <f>'1% Wind'!$M$85</f>
        <v>17.8</v>
      </c>
      <c r="E162" s="90"/>
      <c r="F162" s="90"/>
      <c r="G162" s="79">
        <f ca="1">IF(I158=0.9743,$G161,MAX(G161/D161*D162,2))</f>
        <v>6.001707317073171</v>
      </c>
      <c r="H162" s="121" t="e">
        <f t="shared" ca="1" si="151"/>
        <v>#VALUE!</v>
      </c>
      <c r="J162" s="33"/>
      <c r="K162" s="242">
        <f t="shared" si="152"/>
        <v>1</v>
      </c>
      <c r="L162" s="241" t="e">
        <f t="shared" ca="1" si="153"/>
        <v>#VALUE!</v>
      </c>
      <c r="M162" s="243" t="e">
        <f ca="1">IF(AND(INDEX(FlowCalConstA,MATCH(J158,FlowCalNumber,0),1,1)*L162^INDEX(FlowCalConstB,MATCH(J158,FlowCalNumber,0),1,1)&gt;INDEX(FlowCalLowSetting,MATCH(J158,FlowCalNumber,0),1,1), (INDEX(FlowCalConstA,MATCH(J158,FlowCalNumber,0),1,1)*L162^INDEX(FlowCalConstB,MATCH(J158,FlowCalNumber,0),1,1)&lt;INDEX(FlowCalHighSetting,MATCH(J158,FlowCalNumber,0),1,1))),INDEX(FlowCalConstA,MATCH(J158,FlowCalNumber,0),1,1)*L162^INDEX(FlowCalConstB,MATCH(J158,FlowCalNumber,0),1,1)," ")</f>
        <v>#N/A</v>
      </c>
      <c r="N162" s="33"/>
      <c r="O162" s="242">
        <f t="shared" si="154"/>
        <v>1</v>
      </c>
      <c r="P162" s="241" t="e">
        <f t="shared" ca="1" si="155"/>
        <v>#VALUE!</v>
      </c>
      <c r="Q162" s="243" t="e">
        <f ca="1">IF(AND(INDEX(FlowCalConstA,MATCH(N158,FlowCalNumber,0),1,1)*P162^INDEX(FlowCalConstB,MATCH(N158,FlowCalNumber,0),1,1)&gt;INDEX(FlowCalLowSetting,MATCH(N158,FlowCalNumber,0),1,1), (INDEX(FlowCalConstA,MATCH(N158,FlowCalNumber,0),1,1)*P162^INDEX(FlowCalConstB,MATCH(N158,FlowCalNumber,0),1,1)&lt;INDEX(FlowCalHighSetting,MATCH(N158,FlowCalNumber,0),1,1))),INDEX(FlowCalConstA,MATCH(N158,FlowCalNumber,0),1,1)*P162^INDEX(FlowCalConstB,MATCH(N158,FlowCalNumber,0),1,1)," ")</f>
        <v>#N/A</v>
      </c>
      <c r="R162" s="33"/>
      <c r="S162" s="242">
        <f t="shared" si="156"/>
        <v>1</v>
      </c>
      <c r="T162" s="241" t="e">
        <f t="shared" ca="1" si="157"/>
        <v>#VALUE!</v>
      </c>
      <c r="U162" s="244" t="e">
        <f ca="1">IF(AND(INDEX(FlowCalConstA,MATCH(R158,FlowCalNumber,0),1,1)*T162^INDEX(FlowCalConstB,MATCH(R158,FlowCalNumber,0),1,1)&gt;INDEX(FlowCalLowSetting,MATCH(R158,FlowCalNumber,0),1,1), (INDEX(FlowCalConstA,MATCH(R158,FlowCalNumber,0),1,1)*T162^INDEX(FlowCalConstB,MATCH(R158,FlowCalNumber,0),1,1)&lt;INDEX(FlowCalHighSetting,MATCH(R158,FlowCalNumber,0),1,1))),INDEX(FlowCalConstA,MATCH(R158,FlowCalNumber,0),1,1)*T162^INDEX(FlowCalConstB,MATCH(R158,FlowCalNumber,0),1,1)," ")</f>
        <v>#N/A</v>
      </c>
      <c r="V162" s="33"/>
      <c r="W162" s="242">
        <f t="shared" si="158"/>
        <v>0.1</v>
      </c>
      <c r="X162" s="241" t="e">
        <f t="shared" ca="1" si="159"/>
        <v>#VALUE!</v>
      </c>
      <c r="Y162" s="243" t="e">
        <f ca="1">IF(AND(INDEX(FlowCalConstA,MATCH(V158,FlowCalNumber,0),1,1)*X162^INDEX(FlowCalConstB,MATCH(V158,FlowCalNumber,0),1,1)&gt;INDEX(FlowCalLowSetting,MATCH(V158,FlowCalNumber,0),1,1), (INDEX(FlowCalConstA,MATCH(V158,FlowCalNumber,0),1,1)*X162^INDEX(FlowCalConstB,MATCH(V158,FlowCalNumber,0),1,1)&lt;INDEX(FlowCalHighSetting,MATCH(V158,FlowCalNumber,0),1,1))),INDEX(FlowCalConstA,MATCH(V158,FlowCalNumber,0),1,1)*X162^INDEX(FlowCalConstB,MATCH(V158,FlowCalNumber,0),1,1)," ")</f>
        <v>#N/A</v>
      </c>
      <c r="Z162" s="33"/>
      <c r="AA162" s="242">
        <f t="shared" si="160"/>
        <v>0.9</v>
      </c>
      <c r="AB162" s="241" t="e">
        <f t="shared" ca="1" si="161"/>
        <v>#VALUE!</v>
      </c>
      <c r="AC162" s="243" t="e">
        <f ca="1">IF(AND(INDEX(FlowCalConstA,MATCH(Z158,FlowCalNumber,0),1,1)*AB162^INDEX(FlowCalConstB,MATCH(Z158,FlowCalNumber,0),1,1)&gt;INDEX(FlowCalLowSetting,MATCH(Z158,FlowCalNumber,0),1,1), (INDEX(FlowCalConstA,MATCH(Z158,FlowCalNumber,0),1,1)*AB162^INDEX(FlowCalConstB,MATCH(Z158,FlowCalNumber,0),1,1)&lt;INDEX(FlowCalHighSetting,MATCH(Z158,FlowCalNumber,0),1,1))),INDEX(FlowCalConstA,MATCH(Z158,FlowCalNumber,0),1,1)*AB162^INDEX(FlowCalConstB,MATCH(Z158,FlowCalNumber,0),1,1)," ")</f>
        <v>#N/A</v>
      </c>
      <c r="AD162" s="33"/>
      <c r="AE162" s="242">
        <f t="shared" si="162"/>
        <v>0.1</v>
      </c>
      <c r="AF162" s="241" t="e">
        <f t="shared" ca="1" si="163"/>
        <v>#VALUE!</v>
      </c>
      <c r="AG162" s="243" t="e">
        <f ca="1">IF(AND(INDEX(FlowCalConstA,MATCH(AD158,FlowCalNumber,0),1,1)*AF162^INDEX(FlowCalConstB,MATCH(AD158,FlowCalNumber,0),1,1)&gt;INDEX(FlowCalLowSetting,MATCH(AD158,FlowCalNumber,0),1,1), (INDEX(FlowCalConstA,MATCH(AD158,FlowCalNumber,0),1,1)*AF162^INDEX(FlowCalConstB,MATCH(AD158,FlowCalNumber,0),1,1)&lt;INDEX(FlowCalHighSetting,MATCH(AD158,FlowCalNumber,0),1,1))),INDEX(FlowCalConstA,MATCH(AD158,FlowCalNumber,0),1,1)*AF162^INDEX(FlowCalConstB,MATCH(AD158,FlowCalNumber,0),1,1)," ")</f>
        <v>#N/A</v>
      </c>
      <c r="AH162" s="33"/>
      <c r="AI162" s="242">
        <f t="shared" si="164"/>
        <v>0.9</v>
      </c>
      <c r="AJ162" s="241" t="e">
        <f t="shared" ca="1" si="165"/>
        <v>#VALUE!</v>
      </c>
      <c r="AK162" s="243" t="e">
        <f ca="1">IF(AND(INDEX(FlowCalConstA,MATCH(AH158,FlowCalNumber,0),1,1)*AJ162^INDEX(FlowCalConstB,MATCH(AH158,FlowCalNumber,0),1,1)&gt;INDEX(FlowCalLowSetting,MATCH(AH158,FlowCalNumber,0),1,1), (INDEX(FlowCalConstA,MATCH(AH158,FlowCalNumber,0),1,1)*AJ162^INDEX(FlowCalConstB,MATCH(AH158,FlowCalNumber,0),1,1)&lt;INDEX(FlowCalHighSetting,MATCH(AH158,FlowCalNumber,0),1,1))),INDEX(FlowCalConstA,MATCH(AH158,FlowCalNumber,0),1,1)*AJ162^INDEX(FlowCalConstB,MATCH(AH158,FlowCalNumber,0),1,1)," ")</f>
        <v>#N/A</v>
      </c>
      <c r="AL162" s="33"/>
      <c r="AM162" s="242"/>
      <c r="AN162" s="241"/>
      <c r="AO162" s="244"/>
      <c r="AQ162" s="242"/>
      <c r="AR162" s="241"/>
      <c r="AS162" s="244"/>
      <c r="AT162" s="33"/>
      <c r="AU162" s="242"/>
      <c r="AV162" s="241"/>
      <c r="AW162" s="244"/>
      <c r="AX162" s="33"/>
      <c r="AY162" s="242"/>
      <c r="AZ162" s="241"/>
      <c r="BA162" s="244"/>
      <c r="BB162" s="33"/>
      <c r="BC162" s="242"/>
      <c r="BD162" s="241"/>
      <c r="BE162" s="244"/>
      <c r="BF162" s="33"/>
      <c r="BG162" s="242"/>
      <c r="BH162" s="241"/>
      <c r="BI162" s="244"/>
      <c r="BJ162" s="33"/>
      <c r="BK162" s="242"/>
      <c r="BL162" s="241"/>
      <c r="BM162" s="244"/>
      <c r="BN162" s="33"/>
      <c r="BO162" s="242"/>
      <c r="BP162" s="241"/>
      <c r="BQ162" s="244"/>
      <c r="BR162" s="33"/>
      <c r="BS162" s="242"/>
      <c r="BT162" s="241"/>
      <c r="BU162" s="244"/>
      <c r="BV162" s="33"/>
      <c r="BW162" s="242"/>
      <c r="BX162" s="241"/>
      <c r="BY162" s="244"/>
      <c r="BZ162" s="33"/>
      <c r="CA162" s="242"/>
      <c r="CB162" s="241"/>
      <c r="CC162" s="244"/>
      <c r="CD162" s="243"/>
      <c r="CE162" s="243"/>
      <c r="CF162" s="243"/>
      <c r="CG162" s="243"/>
      <c r="CH162" s="243"/>
      <c r="CI162" s="243"/>
      <c r="CJ162" s="243"/>
      <c r="CK162" s="243"/>
      <c r="CL162" s="243"/>
      <c r="CM162" s="243"/>
      <c r="CN162" s="243"/>
      <c r="CO162" s="243"/>
      <c r="CP162" s="243"/>
      <c r="CQ162" s="243"/>
      <c r="CR162" s="243"/>
      <c r="CS162" s="243"/>
      <c r="CT162" s="243"/>
      <c r="CU162" s="243"/>
      <c r="CV162" s="243"/>
      <c r="CW162" s="243"/>
      <c r="CX162" s="243"/>
      <c r="CY162" s="243"/>
      <c r="CZ162" s="243"/>
      <c r="DA162" s="243"/>
      <c r="DB162" s="243"/>
      <c r="DC162" s="243"/>
      <c r="DD162" s="243"/>
      <c r="DE162" s="243"/>
      <c r="DF162" s="243"/>
      <c r="DG162" s="243"/>
      <c r="DH162" s="243"/>
      <c r="DI162" s="243"/>
      <c r="DJ162" s="243"/>
      <c r="DK162" s="243"/>
      <c r="DM162" s="242"/>
      <c r="DO162" s="243"/>
      <c r="DQ162" s="242"/>
      <c r="DS162" s="243"/>
      <c r="DU162" s="242"/>
      <c r="DW162" s="243"/>
      <c r="DY162" s="242"/>
      <c r="EA162" s="243"/>
    </row>
    <row r="163" spans="1:131">
      <c r="A163" s="20"/>
      <c r="B163" s="124" t="str">
        <f t="shared" si="150"/>
        <v/>
      </c>
      <c r="C163" s="235"/>
      <c r="D163" s="24">
        <f>'1% Wind'!$M$86</f>
        <v>15.5</v>
      </c>
      <c r="E163" s="90"/>
      <c r="F163" s="90"/>
      <c r="G163" s="79">
        <f ca="1">IF(I158=0.9743,$G162,MAX(G162/D162*D163,2))</f>
        <v>6.001707317073171</v>
      </c>
      <c r="H163" s="121" t="e">
        <f t="shared" ca="1" si="151"/>
        <v>#VALUE!</v>
      </c>
      <c r="J163" s="33"/>
      <c r="K163" s="242">
        <f t="shared" si="152"/>
        <v>1</v>
      </c>
      <c r="L163" s="241" t="e">
        <f t="shared" ca="1" si="153"/>
        <v>#VALUE!</v>
      </c>
      <c r="M163" s="243" t="e">
        <f ca="1">IF(AND(INDEX(FlowCalConstA,MATCH(J158,FlowCalNumber,0),1,1)*L163^INDEX(FlowCalConstB,MATCH(J158,FlowCalNumber,0),1,1)&gt;INDEX(FlowCalLowSetting,MATCH(J158,FlowCalNumber,0),1,1), (INDEX(FlowCalConstA,MATCH(J158,FlowCalNumber,0),1,1)*L163^INDEX(FlowCalConstB,MATCH(J158,FlowCalNumber,0),1,1)&lt;INDEX(FlowCalHighSetting,MATCH(J158,FlowCalNumber,0),1,1))),INDEX(FlowCalConstA,MATCH(J158,FlowCalNumber,0),1,1)*L163^INDEX(FlowCalConstB,MATCH(J158,FlowCalNumber,0),1,1)," ")</f>
        <v>#N/A</v>
      </c>
      <c r="N163" s="33"/>
      <c r="O163" s="242">
        <f t="shared" si="154"/>
        <v>1</v>
      </c>
      <c r="P163" s="241" t="e">
        <f t="shared" ca="1" si="155"/>
        <v>#VALUE!</v>
      </c>
      <c r="Q163" s="243" t="e">
        <f ca="1">IF(AND(INDEX(FlowCalConstA,MATCH(N158,FlowCalNumber,0),1,1)*P163^INDEX(FlowCalConstB,MATCH(N158,FlowCalNumber,0),1,1)&gt;INDEX(FlowCalLowSetting,MATCH(N158,FlowCalNumber,0),1,1), (INDEX(FlowCalConstA,MATCH(N158,FlowCalNumber,0),1,1)*P163^INDEX(FlowCalConstB,MATCH(N158,FlowCalNumber,0),1,1)&lt;INDEX(FlowCalHighSetting,MATCH(N158,FlowCalNumber,0),1,1))),INDEX(FlowCalConstA,MATCH(N158,FlowCalNumber,0),1,1)*P163^INDEX(FlowCalConstB,MATCH(N158,FlowCalNumber,0),1,1)," ")</f>
        <v>#N/A</v>
      </c>
      <c r="R163" s="33"/>
      <c r="S163" s="242">
        <f t="shared" si="156"/>
        <v>1</v>
      </c>
      <c r="T163" s="241" t="e">
        <f t="shared" ca="1" si="157"/>
        <v>#VALUE!</v>
      </c>
      <c r="U163" s="244" t="e">
        <f ca="1">IF(AND(INDEX(FlowCalConstA,MATCH(R158,FlowCalNumber,0),1,1)*T163^INDEX(FlowCalConstB,MATCH(R158,FlowCalNumber,0),1,1)&gt;INDEX(FlowCalLowSetting,MATCH(R158,FlowCalNumber,0),1,1), (INDEX(FlowCalConstA,MATCH(R158,FlowCalNumber,0),1,1)*T163^INDEX(FlowCalConstB,MATCH(R158,FlowCalNumber,0),1,1)&lt;INDEX(FlowCalHighSetting,MATCH(R158,FlowCalNumber,0),1,1))),INDEX(FlowCalConstA,MATCH(R158,FlowCalNumber,0),1,1)*T163^INDEX(FlowCalConstB,MATCH(R158,FlowCalNumber,0),1,1)," ")</f>
        <v>#N/A</v>
      </c>
      <c r="V163" s="33"/>
      <c r="W163" s="242">
        <f t="shared" si="158"/>
        <v>0.1</v>
      </c>
      <c r="X163" s="241" t="e">
        <f t="shared" ca="1" si="159"/>
        <v>#VALUE!</v>
      </c>
      <c r="Y163" s="243" t="e">
        <f ca="1">IF(AND(INDEX(FlowCalConstA,MATCH(V158,FlowCalNumber,0),1,1)*X163^INDEX(FlowCalConstB,MATCH(V158,FlowCalNumber,0),1,1)&gt;INDEX(FlowCalLowSetting,MATCH(V158,FlowCalNumber,0),1,1), (INDEX(FlowCalConstA,MATCH(V158,FlowCalNumber,0),1,1)*X163^INDEX(FlowCalConstB,MATCH(V158,FlowCalNumber,0),1,1)&lt;INDEX(FlowCalHighSetting,MATCH(V158,FlowCalNumber,0),1,1))),INDEX(FlowCalConstA,MATCH(V158,FlowCalNumber,0),1,1)*X163^INDEX(FlowCalConstB,MATCH(V158,FlowCalNumber,0),1,1)," ")</f>
        <v>#N/A</v>
      </c>
      <c r="Z163" s="33"/>
      <c r="AA163" s="242">
        <f t="shared" si="160"/>
        <v>0.9</v>
      </c>
      <c r="AB163" s="241" t="e">
        <f t="shared" ca="1" si="161"/>
        <v>#VALUE!</v>
      </c>
      <c r="AC163" s="243" t="e">
        <f ca="1">IF(AND(INDEX(FlowCalConstA,MATCH(Z158,FlowCalNumber,0),1,1)*AB163^INDEX(FlowCalConstB,MATCH(Z158,FlowCalNumber,0),1,1)&gt;INDEX(FlowCalLowSetting,MATCH(Z158,FlowCalNumber,0),1,1), (INDEX(FlowCalConstA,MATCH(Z158,FlowCalNumber,0),1,1)*AB163^INDEX(FlowCalConstB,MATCH(Z158,FlowCalNumber,0),1,1)&lt;INDEX(FlowCalHighSetting,MATCH(Z158,FlowCalNumber,0),1,1))),INDEX(FlowCalConstA,MATCH(Z158,FlowCalNumber,0),1,1)*AB163^INDEX(FlowCalConstB,MATCH(Z158,FlowCalNumber,0),1,1)," ")</f>
        <v>#N/A</v>
      </c>
      <c r="AD163" s="33"/>
      <c r="AE163" s="242">
        <f t="shared" si="162"/>
        <v>0.1</v>
      </c>
      <c r="AF163" s="241" t="e">
        <f t="shared" ca="1" si="163"/>
        <v>#VALUE!</v>
      </c>
      <c r="AG163" s="243" t="e">
        <f ca="1">IF(AND(INDEX(FlowCalConstA,MATCH(AD158,FlowCalNumber,0),1,1)*AF163^INDEX(FlowCalConstB,MATCH(AD158,FlowCalNumber,0),1,1)&gt;INDEX(FlowCalLowSetting,MATCH(AD158,FlowCalNumber,0),1,1), (INDEX(FlowCalConstA,MATCH(AD158,FlowCalNumber,0),1,1)*AF163^INDEX(FlowCalConstB,MATCH(AD158,FlowCalNumber,0),1,1)&lt;INDEX(FlowCalHighSetting,MATCH(AD158,FlowCalNumber,0),1,1))),INDEX(FlowCalConstA,MATCH(AD158,FlowCalNumber,0),1,1)*AF163^INDEX(FlowCalConstB,MATCH(AD158,FlowCalNumber,0),1,1)," ")</f>
        <v>#N/A</v>
      </c>
      <c r="AH163" s="33"/>
      <c r="AI163" s="242">
        <f t="shared" si="164"/>
        <v>0.9</v>
      </c>
      <c r="AJ163" s="241" t="e">
        <f t="shared" ca="1" si="165"/>
        <v>#VALUE!</v>
      </c>
      <c r="AK163" s="243" t="e">
        <f ca="1">IF(AND(INDEX(FlowCalConstA,MATCH(AH158,FlowCalNumber,0),1,1)*AJ163^INDEX(FlowCalConstB,MATCH(AH158,FlowCalNumber,0),1,1)&gt;INDEX(FlowCalLowSetting,MATCH(AH158,FlowCalNumber,0),1,1), (INDEX(FlowCalConstA,MATCH(AH158,FlowCalNumber,0),1,1)*AJ163^INDEX(FlowCalConstB,MATCH(AH158,FlowCalNumber,0),1,1)&lt;INDEX(FlowCalHighSetting,MATCH(AH158,FlowCalNumber,0),1,1))),INDEX(FlowCalConstA,MATCH(AH158,FlowCalNumber,0),1,1)*AJ163^INDEX(FlowCalConstB,MATCH(AH158,FlowCalNumber,0),1,1)," ")</f>
        <v>#N/A</v>
      </c>
      <c r="AL163" s="33"/>
      <c r="AM163" s="242"/>
      <c r="AN163" s="241"/>
      <c r="AO163" s="244"/>
      <c r="AQ163" s="242"/>
      <c r="AR163" s="241"/>
      <c r="AS163" s="244"/>
      <c r="AT163" s="33"/>
      <c r="AU163" s="242"/>
      <c r="AV163" s="241"/>
      <c r="AW163" s="244"/>
      <c r="AX163" s="33"/>
      <c r="AY163" s="242"/>
      <c r="AZ163" s="241"/>
      <c r="BA163" s="244"/>
      <c r="BB163" s="33"/>
      <c r="BC163" s="242"/>
      <c r="BD163" s="241"/>
      <c r="BE163" s="244"/>
      <c r="BF163" s="33"/>
      <c r="BG163" s="242"/>
      <c r="BH163" s="241"/>
      <c r="BI163" s="244"/>
      <c r="BJ163" s="33"/>
      <c r="BK163" s="242"/>
      <c r="BL163" s="241"/>
      <c r="BM163" s="244"/>
      <c r="BN163" s="33"/>
      <c r="BO163" s="242"/>
      <c r="BP163" s="241"/>
      <c r="BQ163" s="244"/>
      <c r="BR163" s="33"/>
      <c r="BS163" s="242"/>
      <c r="BT163" s="241"/>
      <c r="BU163" s="244"/>
      <c r="BV163" s="33"/>
      <c r="BW163" s="242"/>
      <c r="BX163" s="241"/>
      <c r="BY163" s="244"/>
      <c r="BZ163" s="33"/>
      <c r="CA163" s="242"/>
      <c r="CB163" s="241"/>
      <c r="CC163" s="244"/>
      <c r="CD163" s="243"/>
      <c r="CE163" s="243"/>
      <c r="CF163" s="243"/>
      <c r="CG163" s="243"/>
      <c r="CH163" s="243"/>
      <c r="CI163" s="243"/>
      <c r="CJ163" s="243"/>
      <c r="CK163" s="243"/>
      <c r="CL163" s="243"/>
      <c r="CM163" s="243"/>
      <c r="CN163" s="243"/>
      <c r="CO163" s="243"/>
      <c r="CP163" s="243"/>
      <c r="CQ163" s="243"/>
      <c r="CR163" s="243"/>
      <c r="CS163" s="243"/>
      <c r="CT163" s="243"/>
      <c r="CU163" s="243"/>
      <c r="CV163" s="243"/>
      <c r="CW163" s="243"/>
      <c r="CX163" s="243"/>
      <c r="CY163" s="243"/>
      <c r="CZ163" s="243"/>
      <c r="DA163" s="243"/>
      <c r="DB163" s="243"/>
      <c r="DC163" s="243"/>
      <c r="DD163" s="243"/>
      <c r="DE163" s="243"/>
      <c r="DF163" s="243"/>
      <c r="DG163" s="243"/>
      <c r="DH163" s="243"/>
      <c r="DI163" s="243"/>
      <c r="DJ163" s="243"/>
      <c r="DK163" s="243"/>
      <c r="DM163" s="242"/>
      <c r="DO163" s="243"/>
      <c r="DQ163" s="242"/>
      <c r="DS163" s="243"/>
      <c r="DU163" s="242"/>
      <c r="DW163" s="243"/>
      <c r="DY163" s="242"/>
      <c r="EA163" s="243"/>
    </row>
    <row r="164" spans="1:131">
      <c r="A164" s="20"/>
      <c r="B164" s="124" t="str">
        <f t="shared" si="150"/>
        <v/>
      </c>
      <c r="C164" s="235"/>
      <c r="D164" s="24">
        <f>'1% Wind'!$M$87</f>
        <v>13.5</v>
      </c>
      <c r="E164" s="90"/>
      <c r="F164" s="90"/>
      <c r="G164" s="79">
        <f ca="1">IF(I158=0.9743,$G163,MAX(G163/D163*D164,2))</f>
        <v>6.001707317073171</v>
      </c>
      <c r="H164" s="121" t="e">
        <f t="shared" ca="1" si="151"/>
        <v>#VALUE!</v>
      </c>
      <c r="J164" s="33"/>
      <c r="K164" s="242">
        <f t="shared" si="152"/>
        <v>1</v>
      </c>
      <c r="L164" s="241" t="e">
        <f t="shared" ca="1" si="153"/>
        <v>#VALUE!</v>
      </c>
      <c r="M164" s="243" t="e">
        <f ca="1">IF(AND(INDEX(FlowCalConstA,MATCH(J158,FlowCalNumber,0),1,1)*L164^INDEX(FlowCalConstB,MATCH(J158,FlowCalNumber,0),1,1)&gt;INDEX(FlowCalLowSetting,MATCH(J158,FlowCalNumber,0),1,1), (INDEX(FlowCalConstA,MATCH(J158,FlowCalNumber,0),1,1)*L164^INDEX(FlowCalConstB,MATCH(J158,FlowCalNumber,0),1,1)&lt;INDEX(FlowCalHighSetting,MATCH(J158,FlowCalNumber,0),1,1))),INDEX(FlowCalConstA,MATCH(J158,FlowCalNumber,0),1,1)*L164^INDEX(FlowCalConstB,MATCH(J158,FlowCalNumber,0),1,1)," ")</f>
        <v>#N/A</v>
      </c>
      <c r="N164" s="33"/>
      <c r="O164" s="242">
        <f t="shared" si="154"/>
        <v>1</v>
      </c>
      <c r="P164" s="241" t="e">
        <f t="shared" ca="1" si="155"/>
        <v>#VALUE!</v>
      </c>
      <c r="Q164" s="243" t="e">
        <f ca="1">IF(AND(INDEX(FlowCalConstA,MATCH(N158,FlowCalNumber,0),1,1)*P164^INDEX(FlowCalConstB,MATCH(N158,FlowCalNumber,0),1,1)&gt;INDEX(FlowCalLowSetting,MATCH(N158,FlowCalNumber,0),1,1), (INDEX(FlowCalConstA,MATCH(N158,FlowCalNumber,0),1,1)*P164^INDEX(FlowCalConstB,MATCH(N158,FlowCalNumber,0),1,1)&lt;INDEX(FlowCalHighSetting,MATCH(N158,FlowCalNumber,0),1,1))),INDEX(FlowCalConstA,MATCH(N158,FlowCalNumber,0),1,1)*P164^INDEX(FlowCalConstB,MATCH(N158,FlowCalNumber,0),1,1)," ")</f>
        <v>#N/A</v>
      </c>
      <c r="R164" s="33"/>
      <c r="S164" s="242">
        <f t="shared" si="156"/>
        <v>1</v>
      </c>
      <c r="T164" s="241" t="e">
        <f t="shared" ca="1" si="157"/>
        <v>#VALUE!</v>
      </c>
      <c r="U164" s="244" t="e">
        <f ca="1">IF(AND(INDEX(FlowCalConstA,MATCH(R158,FlowCalNumber,0),1,1)*T164^INDEX(FlowCalConstB,MATCH(R158,FlowCalNumber,0),1,1)&gt;INDEX(FlowCalLowSetting,MATCH(R158,FlowCalNumber,0),1,1), (INDEX(FlowCalConstA,MATCH(R158,FlowCalNumber,0),1,1)*T164^INDEX(FlowCalConstB,MATCH(R158,FlowCalNumber,0),1,1)&lt;INDEX(FlowCalHighSetting,MATCH(R158,FlowCalNumber,0),1,1))),INDEX(FlowCalConstA,MATCH(R158,FlowCalNumber,0),1,1)*T164^INDEX(FlowCalConstB,MATCH(R158,FlowCalNumber,0),1,1)," ")</f>
        <v>#N/A</v>
      </c>
      <c r="V164" s="33"/>
      <c r="W164" s="242">
        <f t="shared" si="158"/>
        <v>0.1</v>
      </c>
      <c r="X164" s="241" t="e">
        <f t="shared" ca="1" si="159"/>
        <v>#VALUE!</v>
      </c>
      <c r="Y164" s="243" t="e">
        <f ca="1">IF(AND(INDEX(FlowCalConstA,MATCH(V158,FlowCalNumber,0),1,1)*X164^INDEX(FlowCalConstB,MATCH(V158,FlowCalNumber,0),1,1)&gt;INDEX(FlowCalLowSetting,MATCH(V158,FlowCalNumber,0),1,1), (INDEX(FlowCalConstA,MATCH(V158,FlowCalNumber,0),1,1)*X164^INDEX(FlowCalConstB,MATCH(V158,FlowCalNumber,0),1,1)&lt;INDEX(FlowCalHighSetting,MATCH(V158,FlowCalNumber,0),1,1))),INDEX(FlowCalConstA,MATCH(V158,FlowCalNumber,0),1,1)*X164^INDEX(FlowCalConstB,MATCH(V158,FlowCalNumber,0),1,1)," ")</f>
        <v>#N/A</v>
      </c>
      <c r="Z164" s="33"/>
      <c r="AA164" s="242">
        <f t="shared" si="160"/>
        <v>0.9</v>
      </c>
      <c r="AB164" s="241" t="e">
        <f t="shared" ca="1" si="161"/>
        <v>#VALUE!</v>
      </c>
      <c r="AC164" s="243" t="e">
        <f ca="1">IF(AND(INDEX(FlowCalConstA,MATCH(Z158,FlowCalNumber,0),1,1)*AB164^INDEX(FlowCalConstB,MATCH(Z158,FlowCalNumber,0),1,1)&gt;INDEX(FlowCalLowSetting,MATCH(Z158,FlowCalNumber,0),1,1), (INDEX(FlowCalConstA,MATCH(Z158,FlowCalNumber,0),1,1)*AB164^INDEX(FlowCalConstB,MATCH(Z158,FlowCalNumber,0),1,1)&lt;INDEX(FlowCalHighSetting,MATCH(Z158,FlowCalNumber,0),1,1))),INDEX(FlowCalConstA,MATCH(Z158,FlowCalNumber,0),1,1)*AB164^INDEX(FlowCalConstB,MATCH(Z158,FlowCalNumber,0),1,1)," ")</f>
        <v>#N/A</v>
      </c>
      <c r="AD164" s="33"/>
      <c r="AE164" s="242">
        <f t="shared" si="162"/>
        <v>0.1</v>
      </c>
      <c r="AF164" s="241" t="e">
        <f t="shared" ca="1" si="163"/>
        <v>#VALUE!</v>
      </c>
      <c r="AG164" s="243" t="e">
        <f ca="1">IF(AND(INDEX(FlowCalConstA,MATCH(AD158,FlowCalNumber,0),1,1)*AF164^INDEX(FlowCalConstB,MATCH(AD158,FlowCalNumber,0),1,1)&gt;INDEX(FlowCalLowSetting,MATCH(AD158,FlowCalNumber,0),1,1), (INDEX(FlowCalConstA,MATCH(AD158,FlowCalNumber,0),1,1)*AF164^INDEX(FlowCalConstB,MATCH(AD158,FlowCalNumber,0),1,1)&lt;INDEX(FlowCalHighSetting,MATCH(AD158,FlowCalNumber,0),1,1))),INDEX(FlowCalConstA,MATCH(AD158,FlowCalNumber,0),1,1)*AF164^INDEX(FlowCalConstB,MATCH(AD158,FlowCalNumber,0),1,1)," ")</f>
        <v>#N/A</v>
      </c>
      <c r="AH164" s="33"/>
      <c r="AI164" s="242">
        <f t="shared" si="164"/>
        <v>0.9</v>
      </c>
      <c r="AJ164" s="241" t="e">
        <f t="shared" ca="1" si="165"/>
        <v>#VALUE!</v>
      </c>
      <c r="AK164" s="243" t="e">
        <f ca="1">IF(AND(INDEX(FlowCalConstA,MATCH(AH158,FlowCalNumber,0),1,1)*AJ164^INDEX(FlowCalConstB,MATCH(AH158,FlowCalNumber,0),1,1)&gt;INDEX(FlowCalLowSetting,MATCH(AH158,FlowCalNumber,0),1,1), (INDEX(FlowCalConstA,MATCH(AH158,FlowCalNumber,0),1,1)*AJ164^INDEX(FlowCalConstB,MATCH(AH158,FlowCalNumber,0),1,1)&lt;INDEX(FlowCalHighSetting,MATCH(AH158,FlowCalNumber,0),1,1))),INDEX(FlowCalConstA,MATCH(AH158,FlowCalNumber,0),1,1)*AJ164^INDEX(FlowCalConstB,MATCH(AH158,FlowCalNumber,0),1,1)," ")</f>
        <v>#N/A</v>
      </c>
      <c r="AL164" s="33"/>
      <c r="AM164" s="242"/>
      <c r="AN164" s="241"/>
      <c r="AO164" s="244"/>
      <c r="AQ164" s="242"/>
      <c r="AR164" s="241"/>
      <c r="AS164" s="244"/>
      <c r="AT164" s="33"/>
      <c r="AU164" s="242"/>
      <c r="AV164" s="241"/>
      <c r="AW164" s="244"/>
      <c r="AX164" s="33"/>
      <c r="AY164" s="242"/>
      <c r="AZ164" s="241"/>
      <c r="BA164" s="244"/>
      <c r="BB164" s="33"/>
      <c r="BC164" s="242"/>
      <c r="BD164" s="241"/>
      <c r="BE164" s="244"/>
      <c r="BF164" s="33"/>
      <c r="BG164" s="242"/>
      <c r="BH164" s="241"/>
      <c r="BI164" s="244"/>
      <c r="BJ164" s="33"/>
      <c r="BK164" s="242"/>
      <c r="BL164" s="241"/>
      <c r="BM164" s="244"/>
      <c r="BN164" s="33"/>
      <c r="BO164" s="242"/>
      <c r="BP164" s="241"/>
      <c r="BQ164" s="244"/>
      <c r="BR164" s="33"/>
      <c r="BS164" s="242"/>
      <c r="BT164" s="241"/>
      <c r="BU164" s="244"/>
      <c r="BV164" s="33"/>
      <c r="BW164" s="242"/>
      <c r="BX164" s="241"/>
      <c r="BY164" s="244"/>
      <c r="BZ164" s="33"/>
      <c r="CA164" s="242"/>
      <c r="CB164" s="241"/>
      <c r="CC164" s="244"/>
      <c r="CD164" s="243"/>
      <c r="CE164" s="243"/>
      <c r="CF164" s="243"/>
      <c r="CG164" s="243"/>
      <c r="CH164" s="243"/>
      <c r="CI164" s="243"/>
      <c r="CJ164" s="243"/>
      <c r="CK164" s="243"/>
      <c r="CL164" s="243"/>
      <c r="CM164" s="243"/>
      <c r="CN164" s="243"/>
      <c r="CO164" s="243"/>
      <c r="CP164" s="243"/>
      <c r="CQ164" s="243"/>
      <c r="CR164" s="243"/>
      <c r="CS164" s="243"/>
      <c r="CT164" s="243"/>
      <c r="CU164" s="243"/>
      <c r="CV164" s="243"/>
      <c r="CW164" s="243"/>
      <c r="CX164" s="243"/>
      <c r="CY164" s="243"/>
      <c r="CZ164" s="243"/>
      <c r="DA164" s="243"/>
      <c r="DB164" s="243"/>
      <c r="DC164" s="243"/>
      <c r="DD164" s="243"/>
      <c r="DE164" s="243"/>
      <c r="DF164" s="243"/>
      <c r="DG164" s="243"/>
      <c r="DH164" s="243"/>
      <c r="DI164" s="243"/>
      <c r="DJ164" s="243"/>
      <c r="DK164" s="243"/>
      <c r="DM164" s="242"/>
      <c r="DO164" s="243"/>
      <c r="DQ164" s="242"/>
      <c r="DS164" s="243"/>
      <c r="DU164" s="242"/>
      <c r="DW164" s="243"/>
      <c r="DY164" s="242"/>
      <c r="EA164" s="243"/>
    </row>
    <row r="165" spans="1:131">
      <c r="A165" s="20"/>
      <c r="B165" s="124" t="str">
        <f t="shared" si="150"/>
        <v/>
      </c>
      <c r="C165" s="235"/>
      <c r="D165" s="24">
        <f>'1% Wind'!$M$88</f>
        <v>10.1</v>
      </c>
      <c r="E165" s="90"/>
      <c r="F165" s="90"/>
      <c r="G165" s="79">
        <f ca="1">IF(I158=0.9743,$G164,MAX(G164/D164*D165,2))</f>
        <v>6.001707317073171</v>
      </c>
      <c r="H165" s="121" t="e">
        <f t="shared" ca="1" si="151"/>
        <v>#VALUE!</v>
      </c>
      <c r="J165" s="33"/>
      <c r="K165" s="242">
        <f t="shared" si="152"/>
        <v>1</v>
      </c>
      <c r="L165" s="241" t="e">
        <f t="shared" ca="1" si="153"/>
        <v>#VALUE!</v>
      </c>
      <c r="M165" s="243" t="e">
        <f ca="1">IF(AND(INDEX(FlowCalConstA,MATCH(J158,FlowCalNumber,0),1,1)*L165^INDEX(FlowCalConstB,MATCH(J158,FlowCalNumber,0),1,1)&gt;INDEX(FlowCalLowSetting,MATCH(J158,FlowCalNumber,0),1,1), (INDEX(FlowCalConstA,MATCH(J158,FlowCalNumber,0),1,1)*L165^INDEX(FlowCalConstB,MATCH(J158,FlowCalNumber,0),1,1)&lt;INDEX(FlowCalHighSetting,MATCH(J158,FlowCalNumber,0),1,1))),INDEX(FlowCalConstA,MATCH(J158,FlowCalNumber,0),1,1)*L165^INDEX(FlowCalConstB,MATCH(J158,FlowCalNumber,0),1,1)," ")</f>
        <v>#N/A</v>
      </c>
      <c r="N165" s="33"/>
      <c r="O165" s="242">
        <f t="shared" si="154"/>
        <v>1</v>
      </c>
      <c r="P165" s="241" t="e">
        <f t="shared" ca="1" si="155"/>
        <v>#VALUE!</v>
      </c>
      <c r="Q165" s="243" t="e">
        <f ca="1">IF(AND(INDEX(FlowCalConstA,MATCH(N158,FlowCalNumber,0),1,1)*P165^INDEX(FlowCalConstB,MATCH(N158,FlowCalNumber,0),1,1)&gt;INDEX(FlowCalLowSetting,MATCH(N158,FlowCalNumber,0),1,1), (INDEX(FlowCalConstA,MATCH(N158,FlowCalNumber,0),1,1)*P165^INDEX(FlowCalConstB,MATCH(N158,FlowCalNumber,0),1,1)&lt;INDEX(FlowCalHighSetting,MATCH(N158,FlowCalNumber,0),1,1))),INDEX(FlowCalConstA,MATCH(N158,FlowCalNumber,0),1,1)*P165^INDEX(FlowCalConstB,MATCH(N158,FlowCalNumber,0),1,1)," ")</f>
        <v>#N/A</v>
      </c>
      <c r="R165" s="33"/>
      <c r="S165" s="242">
        <f t="shared" si="156"/>
        <v>1</v>
      </c>
      <c r="T165" s="241" t="e">
        <f t="shared" ca="1" si="157"/>
        <v>#VALUE!</v>
      </c>
      <c r="U165" s="244" t="e">
        <f ca="1">IF(AND(INDEX(FlowCalConstA,MATCH(R158,FlowCalNumber,0),1,1)*T165^INDEX(FlowCalConstB,MATCH(R158,FlowCalNumber,0),1,1)&gt;INDEX(FlowCalLowSetting,MATCH(R158,FlowCalNumber,0),1,1), (INDEX(FlowCalConstA,MATCH(R158,FlowCalNumber,0),1,1)*T165^INDEX(FlowCalConstB,MATCH(R158,FlowCalNumber,0),1,1)&lt;INDEX(FlowCalHighSetting,MATCH(R158,FlowCalNumber,0),1,1))),INDEX(FlowCalConstA,MATCH(R158,FlowCalNumber,0),1,1)*T165^INDEX(FlowCalConstB,MATCH(R158,FlowCalNumber,0),1,1)," ")</f>
        <v>#N/A</v>
      </c>
      <c r="V165" s="33"/>
      <c r="W165" s="242">
        <f t="shared" si="158"/>
        <v>0.1</v>
      </c>
      <c r="X165" s="241" t="e">
        <f t="shared" ca="1" si="159"/>
        <v>#VALUE!</v>
      </c>
      <c r="Y165" s="243" t="e">
        <f ca="1">IF(AND(INDEX(FlowCalConstA,MATCH(V158,FlowCalNumber,0),1,1)*X165^INDEX(FlowCalConstB,MATCH(V158,FlowCalNumber,0),1,1)&gt;INDEX(FlowCalLowSetting,MATCH(V158,FlowCalNumber,0),1,1), (INDEX(FlowCalConstA,MATCH(V158,FlowCalNumber,0),1,1)*X165^INDEX(FlowCalConstB,MATCH(V158,FlowCalNumber,0),1,1)&lt;INDEX(FlowCalHighSetting,MATCH(V158,FlowCalNumber,0),1,1))),INDEX(FlowCalConstA,MATCH(V158,FlowCalNumber,0),1,1)*X165^INDEX(FlowCalConstB,MATCH(V158,FlowCalNumber,0),1,1)," ")</f>
        <v>#N/A</v>
      </c>
      <c r="Z165" s="33"/>
      <c r="AA165" s="242">
        <f t="shared" si="160"/>
        <v>0.9</v>
      </c>
      <c r="AB165" s="241" t="e">
        <f t="shared" ca="1" si="161"/>
        <v>#VALUE!</v>
      </c>
      <c r="AC165" s="243" t="e">
        <f ca="1">IF(AND(INDEX(FlowCalConstA,MATCH(Z158,FlowCalNumber,0),1,1)*AB165^INDEX(FlowCalConstB,MATCH(Z158,FlowCalNumber,0),1,1)&gt;INDEX(FlowCalLowSetting,MATCH(Z158,FlowCalNumber,0),1,1), (INDEX(FlowCalConstA,MATCH(Z158,FlowCalNumber,0),1,1)*AB165^INDEX(FlowCalConstB,MATCH(Z158,FlowCalNumber,0),1,1)&lt;INDEX(FlowCalHighSetting,MATCH(Z158,FlowCalNumber,0),1,1))),INDEX(FlowCalConstA,MATCH(Z158,FlowCalNumber,0),1,1)*AB165^INDEX(FlowCalConstB,MATCH(Z158,FlowCalNumber,0),1,1)," ")</f>
        <v>#N/A</v>
      </c>
      <c r="AD165" s="33"/>
      <c r="AE165" s="242">
        <f t="shared" si="162"/>
        <v>0.1</v>
      </c>
      <c r="AF165" s="241" t="e">
        <f t="shared" ca="1" si="163"/>
        <v>#VALUE!</v>
      </c>
      <c r="AG165" s="243" t="e">
        <f ca="1">IF(AND(INDEX(FlowCalConstA,MATCH(AD158,FlowCalNumber,0),1,1)*AF165^INDEX(FlowCalConstB,MATCH(AD158,FlowCalNumber,0),1,1)&gt;INDEX(FlowCalLowSetting,MATCH(AD158,FlowCalNumber,0),1,1), (INDEX(FlowCalConstA,MATCH(AD158,FlowCalNumber,0),1,1)*AF165^INDEX(FlowCalConstB,MATCH(AD158,FlowCalNumber,0),1,1)&lt;INDEX(FlowCalHighSetting,MATCH(AD158,FlowCalNumber,0),1,1))),INDEX(FlowCalConstA,MATCH(AD158,FlowCalNumber,0),1,1)*AF165^INDEX(FlowCalConstB,MATCH(AD158,FlowCalNumber,0),1,1)," ")</f>
        <v>#N/A</v>
      </c>
      <c r="AH165" s="33"/>
      <c r="AI165" s="242">
        <f t="shared" si="164"/>
        <v>0.9</v>
      </c>
      <c r="AJ165" s="241" t="e">
        <f t="shared" ca="1" si="165"/>
        <v>#VALUE!</v>
      </c>
      <c r="AK165" s="243" t="e">
        <f ca="1">IF(AND(INDEX(FlowCalConstA,MATCH(AH158,FlowCalNumber,0),1,1)*AJ165^INDEX(FlowCalConstB,MATCH(AH158,FlowCalNumber,0),1,1)&gt;INDEX(FlowCalLowSetting,MATCH(AH158,FlowCalNumber,0),1,1), (INDEX(FlowCalConstA,MATCH(AH158,FlowCalNumber,0),1,1)*AJ165^INDEX(FlowCalConstB,MATCH(AH158,FlowCalNumber,0),1,1)&lt;INDEX(FlowCalHighSetting,MATCH(AH158,FlowCalNumber,0),1,1))),INDEX(FlowCalConstA,MATCH(AH158,FlowCalNumber,0),1,1)*AJ165^INDEX(FlowCalConstB,MATCH(AH158,FlowCalNumber,0),1,1)," ")</f>
        <v>#N/A</v>
      </c>
      <c r="AL165" s="33"/>
      <c r="AM165" s="242"/>
      <c r="AN165" s="241"/>
      <c r="AO165" s="244"/>
      <c r="AQ165" s="242"/>
      <c r="AR165" s="241"/>
      <c r="AS165" s="244"/>
      <c r="AT165" s="33"/>
      <c r="AU165" s="242"/>
      <c r="AV165" s="241"/>
      <c r="AW165" s="244"/>
      <c r="AX165" s="33"/>
      <c r="AY165" s="242"/>
      <c r="AZ165" s="241"/>
      <c r="BA165" s="244"/>
      <c r="BB165" s="33"/>
      <c r="BC165" s="242"/>
      <c r="BD165" s="241"/>
      <c r="BE165" s="244"/>
      <c r="BF165" s="33"/>
      <c r="BG165" s="242"/>
      <c r="BH165" s="241"/>
      <c r="BI165" s="244"/>
      <c r="BJ165" s="33"/>
      <c r="BK165" s="242"/>
      <c r="BL165" s="241"/>
      <c r="BM165" s="244"/>
      <c r="BN165" s="33"/>
      <c r="BO165" s="242"/>
      <c r="BP165" s="241"/>
      <c r="BQ165" s="244"/>
      <c r="BR165" s="33"/>
      <c r="BS165" s="242"/>
      <c r="BT165" s="241"/>
      <c r="BU165" s="244"/>
      <c r="BV165" s="33"/>
      <c r="BW165" s="242"/>
      <c r="BX165" s="241"/>
      <c r="BY165" s="244"/>
      <c r="BZ165" s="33"/>
      <c r="CA165" s="242"/>
      <c r="CB165" s="241"/>
      <c r="CC165" s="244"/>
      <c r="CD165" s="243"/>
      <c r="CE165" s="243"/>
      <c r="CF165" s="243"/>
      <c r="CG165" s="243"/>
      <c r="CH165" s="243"/>
      <c r="CI165" s="243"/>
      <c r="CJ165" s="243"/>
      <c r="CK165" s="243"/>
      <c r="CL165" s="243"/>
      <c r="CM165" s="243"/>
      <c r="CN165" s="243"/>
      <c r="CO165" s="243"/>
      <c r="CP165" s="243"/>
      <c r="CQ165" s="243"/>
      <c r="CR165" s="243"/>
      <c r="CS165" s="243"/>
      <c r="CT165" s="243"/>
      <c r="CU165" s="243"/>
      <c r="CV165" s="243"/>
      <c r="CW165" s="243"/>
      <c r="CX165" s="243"/>
      <c r="CY165" s="243"/>
      <c r="CZ165" s="243"/>
      <c r="DA165" s="243"/>
      <c r="DB165" s="243"/>
      <c r="DC165" s="243"/>
      <c r="DD165" s="243"/>
      <c r="DE165" s="243"/>
      <c r="DF165" s="243"/>
      <c r="DG165" s="243"/>
      <c r="DH165" s="243"/>
      <c r="DI165" s="243"/>
      <c r="DJ165" s="243"/>
      <c r="DK165" s="243"/>
      <c r="DM165" s="242"/>
      <c r="DO165" s="243"/>
      <c r="DQ165" s="242"/>
      <c r="DS165" s="243"/>
      <c r="DU165" s="242"/>
      <c r="DW165" s="243"/>
      <c r="DY165" s="242"/>
      <c r="EA165" s="243"/>
    </row>
    <row r="166" spans="1:131">
      <c r="A166" s="20"/>
      <c r="B166" s="124" t="str">
        <f t="shared" si="150"/>
        <v/>
      </c>
      <c r="C166" s="235"/>
      <c r="D166" s="24">
        <f>'1% Wind'!$M$89</f>
        <v>7.6</v>
      </c>
      <c r="E166" s="90"/>
      <c r="F166" s="90"/>
      <c r="G166" s="79">
        <f ca="1">IF(I158=0.9743,$G165,MAX(G165/D165*D166,2))</f>
        <v>6.001707317073171</v>
      </c>
      <c r="H166" s="121" t="e">
        <f t="shared" ca="1" si="151"/>
        <v>#VALUE!</v>
      </c>
      <c r="J166" s="33"/>
      <c r="K166" s="242">
        <f t="shared" si="152"/>
        <v>1</v>
      </c>
      <c r="L166" s="241" t="e">
        <f t="shared" ca="1" si="153"/>
        <v>#VALUE!</v>
      </c>
      <c r="M166" s="243" t="e">
        <f ca="1">IF(AND(INDEX(FlowCalConstA,MATCH(J158,FlowCalNumber,0),1,1)*L166^INDEX(FlowCalConstB,MATCH(J158,FlowCalNumber,0),1,1)&gt;INDEX(FlowCalLowSetting,MATCH(J158,FlowCalNumber,0),1,1), (INDEX(FlowCalConstA,MATCH(J158,FlowCalNumber,0),1,1)*L166^INDEX(FlowCalConstB,MATCH(J158,FlowCalNumber,0),1,1)&lt;INDEX(FlowCalHighSetting,MATCH(J158,FlowCalNumber,0),1,1))),INDEX(FlowCalConstA,MATCH(J158,FlowCalNumber,0),1,1)*L166^INDEX(FlowCalConstB,MATCH(J158,FlowCalNumber,0),1,1)," ")</f>
        <v>#N/A</v>
      </c>
      <c r="N166" s="33"/>
      <c r="O166" s="242">
        <f t="shared" si="154"/>
        <v>1</v>
      </c>
      <c r="P166" s="241" t="e">
        <f t="shared" ca="1" si="155"/>
        <v>#VALUE!</v>
      </c>
      <c r="Q166" s="243" t="e">
        <f ca="1">IF(AND(INDEX(FlowCalConstA,MATCH(N158,FlowCalNumber,0),1,1)*P166^INDEX(FlowCalConstB,MATCH(N158,FlowCalNumber,0),1,1)&gt;INDEX(FlowCalLowSetting,MATCH(N158,FlowCalNumber,0),1,1), (INDEX(FlowCalConstA,MATCH(N158,FlowCalNumber,0),1,1)*P166^INDEX(FlowCalConstB,MATCH(N158,FlowCalNumber,0),1,1)&lt;INDEX(FlowCalHighSetting,MATCH(N158,FlowCalNumber,0),1,1))),INDEX(FlowCalConstA,MATCH(N158,FlowCalNumber,0),1,1)*P166^INDEX(FlowCalConstB,MATCH(N158,FlowCalNumber,0),1,1)," ")</f>
        <v>#N/A</v>
      </c>
      <c r="R166" s="33"/>
      <c r="S166" s="242">
        <f t="shared" si="156"/>
        <v>1</v>
      </c>
      <c r="T166" s="241" t="e">
        <f t="shared" ca="1" si="157"/>
        <v>#VALUE!</v>
      </c>
      <c r="U166" s="244" t="e">
        <f ca="1">IF(AND(INDEX(FlowCalConstA,MATCH(R158,FlowCalNumber,0),1,1)*T166^INDEX(FlowCalConstB,MATCH(R158,FlowCalNumber,0),1,1)&gt;INDEX(FlowCalLowSetting,MATCH(R158,FlowCalNumber,0),1,1), (INDEX(FlowCalConstA,MATCH(R158,FlowCalNumber,0),1,1)*T166^INDEX(FlowCalConstB,MATCH(R158,FlowCalNumber,0),1,1)&lt;INDEX(FlowCalHighSetting,MATCH(R158,FlowCalNumber,0),1,1))),INDEX(FlowCalConstA,MATCH(R158,FlowCalNumber,0),1,1)*T166^INDEX(FlowCalConstB,MATCH(R158,FlowCalNumber,0),1,1)," ")</f>
        <v>#N/A</v>
      </c>
      <c r="V166" s="33"/>
      <c r="W166" s="242">
        <f t="shared" si="158"/>
        <v>0.1</v>
      </c>
      <c r="X166" s="241" t="e">
        <f t="shared" ca="1" si="159"/>
        <v>#VALUE!</v>
      </c>
      <c r="Y166" s="243" t="e">
        <f ca="1">IF(AND(INDEX(FlowCalConstA,MATCH(V158,FlowCalNumber,0),1,1)*X166^INDEX(FlowCalConstB,MATCH(V158,FlowCalNumber,0),1,1)&gt;INDEX(FlowCalLowSetting,MATCH(V158,FlowCalNumber,0),1,1), (INDEX(FlowCalConstA,MATCH(V158,FlowCalNumber,0),1,1)*X166^INDEX(FlowCalConstB,MATCH(V158,FlowCalNumber,0),1,1)&lt;INDEX(FlowCalHighSetting,MATCH(V158,FlowCalNumber,0),1,1))),INDEX(FlowCalConstA,MATCH(V158,FlowCalNumber,0),1,1)*X166^INDEX(FlowCalConstB,MATCH(V158,FlowCalNumber,0),1,1)," ")</f>
        <v>#N/A</v>
      </c>
      <c r="Z166" s="33"/>
      <c r="AA166" s="242">
        <f t="shared" si="160"/>
        <v>0.9</v>
      </c>
      <c r="AB166" s="241" t="e">
        <f t="shared" ca="1" si="161"/>
        <v>#VALUE!</v>
      </c>
      <c r="AC166" s="243" t="e">
        <f ca="1">IF(AND(INDEX(FlowCalConstA,MATCH(Z158,FlowCalNumber,0),1,1)*AB166^INDEX(FlowCalConstB,MATCH(Z158,FlowCalNumber,0),1,1)&gt;INDEX(FlowCalLowSetting,MATCH(Z158,FlowCalNumber,0),1,1), (INDEX(FlowCalConstA,MATCH(Z158,FlowCalNumber,0),1,1)*AB166^INDEX(FlowCalConstB,MATCH(Z158,FlowCalNumber,0),1,1)&lt;INDEX(FlowCalHighSetting,MATCH(Z158,FlowCalNumber,0),1,1))),INDEX(FlowCalConstA,MATCH(Z158,FlowCalNumber,0),1,1)*AB166^INDEX(FlowCalConstB,MATCH(Z158,FlowCalNumber,0),1,1)," ")</f>
        <v>#N/A</v>
      </c>
      <c r="AD166" s="33"/>
      <c r="AE166" s="242">
        <f t="shared" si="162"/>
        <v>0.1</v>
      </c>
      <c r="AF166" s="241" t="e">
        <f t="shared" ca="1" si="163"/>
        <v>#VALUE!</v>
      </c>
      <c r="AG166" s="243" t="e">
        <f ca="1">IF(AND(INDEX(FlowCalConstA,MATCH(AD158,FlowCalNumber,0),1,1)*AF166^INDEX(FlowCalConstB,MATCH(AD158,FlowCalNumber,0),1,1)&gt;INDEX(FlowCalLowSetting,MATCH(AD158,FlowCalNumber,0),1,1), (INDEX(FlowCalConstA,MATCH(AD158,FlowCalNumber,0),1,1)*AF166^INDEX(FlowCalConstB,MATCH(AD158,FlowCalNumber,0),1,1)&lt;INDEX(FlowCalHighSetting,MATCH(AD158,FlowCalNumber,0),1,1))),INDEX(FlowCalConstA,MATCH(AD158,FlowCalNumber,0),1,1)*AF166^INDEX(FlowCalConstB,MATCH(AD158,FlowCalNumber,0),1,1)," ")</f>
        <v>#N/A</v>
      </c>
      <c r="AH166" s="33"/>
      <c r="AI166" s="242">
        <f t="shared" si="164"/>
        <v>0.9</v>
      </c>
      <c r="AJ166" s="241" t="e">
        <f t="shared" ca="1" si="165"/>
        <v>#VALUE!</v>
      </c>
      <c r="AK166" s="243" t="e">
        <f ca="1">IF(AND(INDEX(FlowCalConstA,MATCH(AH158,FlowCalNumber,0),1,1)*AJ166^INDEX(FlowCalConstB,MATCH(AH158,FlowCalNumber,0),1,1)&gt;INDEX(FlowCalLowSetting,MATCH(AH158,FlowCalNumber,0),1,1), (INDEX(FlowCalConstA,MATCH(AH158,FlowCalNumber,0),1,1)*AJ166^INDEX(FlowCalConstB,MATCH(AH158,FlowCalNumber,0),1,1)&lt;INDEX(FlowCalHighSetting,MATCH(AH158,FlowCalNumber,0),1,1))),INDEX(FlowCalConstA,MATCH(AH158,FlowCalNumber,0),1,1)*AJ166^INDEX(FlowCalConstB,MATCH(AH158,FlowCalNumber,0),1,1)," ")</f>
        <v>#N/A</v>
      </c>
      <c r="AL166" s="33"/>
      <c r="AM166" s="242"/>
      <c r="AN166" s="241"/>
      <c r="AO166" s="244"/>
      <c r="AQ166" s="242"/>
      <c r="AR166" s="241"/>
      <c r="AS166" s="244"/>
      <c r="AT166" s="33"/>
      <c r="AU166" s="242"/>
      <c r="AV166" s="241"/>
      <c r="AW166" s="244"/>
      <c r="AX166" s="33"/>
      <c r="AY166" s="242"/>
      <c r="AZ166" s="241"/>
      <c r="BA166" s="244"/>
      <c r="BB166" s="33"/>
      <c r="BC166" s="242"/>
      <c r="BD166" s="241"/>
      <c r="BE166" s="244"/>
      <c r="BF166" s="33"/>
      <c r="BG166" s="242"/>
      <c r="BH166" s="241"/>
      <c r="BI166" s="244"/>
      <c r="BJ166" s="33"/>
      <c r="BK166" s="242"/>
      <c r="BL166" s="241"/>
      <c r="BM166" s="244"/>
      <c r="BN166" s="33"/>
      <c r="BO166" s="242"/>
      <c r="BP166" s="241"/>
      <c r="BQ166" s="244"/>
      <c r="BR166" s="33"/>
      <c r="BS166" s="242"/>
      <c r="BT166" s="241"/>
      <c r="BU166" s="244"/>
      <c r="BV166" s="33"/>
      <c r="BW166" s="242"/>
      <c r="BX166" s="241"/>
      <c r="BY166" s="244"/>
      <c r="BZ166" s="33"/>
      <c r="CA166" s="242"/>
      <c r="CB166" s="241"/>
      <c r="CC166" s="244"/>
      <c r="CD166" s="243"/>
      <c r="CE166" s="243"/>
      <c r="CF166" s="243"/>
      <c r="CG166" s="243"/>
      <c r="CH166" s="243"/>
      <c r="CI166" s="243"/>
      <c r="CJ166" s="243"/>
      <c r="CK166" s="243"/>
      <c r="CL166" s="243"/>
      <c r="CM166" s="243"/>
      <c r="CN166" s="243"/>
      <c r="CO166" s="243"/>
      <c r="CP166" s="243"/>
      <c r="CQ166" s="243"/>
      <c r="CR166" s="243"/>
      <c r="CS166" s="243"/>
      <c r="CT166" s="243"/>
      <c r="CU166" s="243"/>
      <c r="CV166" s="243"/>
      <c r="CW166" s="243"/>
      <c r="CX166" s="243"/>
      <c r="CY166" s="243"/>
      <c r="CZ166" s="243"/>
      <c r="DA166" s="243"/>
      <c r="DB166" s="243"/>
      <c r="DC166" s="243"/>
      <c r="DD166" s="243"/>
      <c r="DE166" s="243"/>
      <c r="DF166" s="243"/>
      <c r="DG166" s="243"/>
      <c r="DH166" s="243"/>
      <c r="DI166" s="243"/>
      <c r="DJ166" s="243"/>
      <c r="DK166" s="243"/>
      <c r="DM166" s="242"/>
      <c r="DO166" s="243"/>
      <c r="DQ166" s="242"/>
      <c r="DS166" s="243"/>
      <c r="DU166" s="242"/>
      <c r="DW166" s="243"/>
      <c r="DY166" s="242"/>
      <c r="EA166" s="243"/>
    </row>
    <row r="167" spans="1:131">
      <c r="A167" s="20"/>
      <c r="B167" s="124" t="str">
        <f t="shared" si="150"/>
        <v/>
      </c>
      <c r="C167" s="235"/>
      <c r="D167" s="24">
        <f>'1% Wind'!$M$90</f>
        <v>5.7</v>
      </c>
      <c r="E167" s="90"/>
      <c r="F167" s="90"/>
      <c r="G167" s="79">
        <f ca="1">IF(I158=0.9743,$G166,MAX(G166/D166*D167,2))</f>
        <v>6.001707317073171</v>
      </c>
      <c r="H167" s="121" t="e">
        <f t="shared" ca="1" si="151"/>
        <v>#VALUE!</v>
      </c>
      <c r="J167" s="33"/>
      <c r="K167" s="242">
        <f t="shared" si="152"/>
        <v>1</v>
      </c>
      <c r="L167" s="241" t="e">
        <f t="shared" ca="1" si="153"/>
        <v>#VALUE!</v>
      </c>
      <c r="M167" s="243" t="e">
        <f ca="1">IF(AND(INDEX(FlowCalConstA,MATCH(J158,FlowCalNumber,0),1,1)*L167^INDEX(FlowCalConstB,MATCH(J158,FlowCalNumber,0),1,1)&gt;INDEX(FlowCalLowSetting,MATCH(J158,FlowCalNumber,0),1,1), (INDEX(FlowCalConstA,MATCH(J158,FlowCalNumber,0),1,1)*L167^INDEX(FlowCalConstB,MATCH(J158,FlowCalNumber,0),1,1)&lt;INDEX(FlowCalHighSetting,MATCH(J158,FlowCalNumber,0),1,1))),INDEX(FlowCalConstA,MATCH(J158,FlowCalNumber,0),1,1)*L167^INDEX(FlowCalConstB,MATCH(J158,FlowCalNumber,0),1,1)," ")</f>
        <v>#N/A</v>
      </c>
      <c r="N167" s="33"/>
      <c r="O167" s="242">
        <f t="shared" si="154"/>
        <v>1</v>
      </c>
      <c r="P167" s="241" t="e">
        <f t="shared" ca="1" si="155"/>
        <v>#VALUE!</v>
      </c>
      <c r="Q167" s="243" t="e">
        <f ca="1">IF(AND(INDEX(FlowCalConstA,MATCH(N158,FlowCalNumber,0),1,1)*P167^INDEX(FlowCalConstB,MATCH(N158,FlowCalNumber,0),1,1)&gt;INDEX(FlowCalLowSetting,MATCH(N158,FlowCalNumber,0),1,1), (INDEX(FlowCalConstA,MATCH(N158,FlowCalNumber,0),1,1)*P167^INDEX(FlowCalConstB,MATCH(N158,FlowCalNumber,0),1,1)&lt;INDEX(FlowCalHighSetting,MATCH(N158,FlowCalNumber,0),1,1))),INDEX(FlowCalConstA,MATCH(N158,FlowCalNumber,0),1,1)*P167^INDEX(FlowCalConstB,MATCH(N158,FlowCalNumber,0),1,1)," ")</f>
        <v>#N/A</v>
      </c>
      <c r="R167" s="33"/>
      <c r="S167" s="242">
        <f t="shared" si="156"/>
        <v>1</v>
      </c>
      <c r="T167" s="241" t="e">
        <f t="shared" ca="1" si="157"/>
        <v>#VALUE!</v>
      </c>
      <c r="U167" s="244" t="e">
        <f ca="1">IF(AND(INDEX(FlowCalConstA,MATCH(R158,FlowCalNumber,0),1,1)*T167^INDEX(FlowCalConstB,MATCH(R158,FlowCalNumber,0),1,1)&gt;INDEX(FlowCalLowSetting,MATCH(R158,FlowCalNumber,0),1,1), (INDEX(FlowCalConstA,MATCH(R158,FlowCalNumber,0),1,1)*T167^INDEX(FlowCalConstB,MATCH(R158,FlowCalNumber,0),1,1)&lt;INDEX(FlowCalHighSetting,MATCH(R158,FlowCalNumber,0),1,1))),INDEX(FlowCalConstA,MATCH(R158,FlowCalNumber,0),1,1)*T167^INDEX(FlowCalConstB,MATCH(R158,FlowCalNumber,0),1,1)," ")</f>
        <v>#N/A</v>
      </c>
      <c r="V167" s="33"/>
      <c r="W167" s="242">
        <f t="shared" si="158"/>
        <v>0.1</v>
      </c>
      <c r="X167" s="241" t="e">
        <f t="shared" ca="1" si="159"/>
        <v>#VALUE!</v>
      </c>
      <c r="Y167" s="243" t="e">
        <f ca="1">IF(AND(INDEX(FlowCalConstA,MATCH(V158,FlowCalNumber,0),1,1)*X167^INDEX(FlowCalConstB,MATCH(V158,FlowCalNumber,0),1,1)&gt;INDEX(FlowCalLowSetting,MATCH(V158,FlowCalNumber,0),1,1), (INDEX(FlowCalConstA,MATCH(V158,FlowCalNumber,0),1,1)*X167^INDEX(FlowCalConstB,MATCH(V158,FlowCalNumber,0),1,1)&lt;INDEX(FlowCalHighSetting,MATCH(V158,FlowCalNumber,0),1,1))),INDEX(FlowCalConstA,MATCH(V158,FlowCalNumber,0),1,1)*X167^INDEX(FlowCalConstB,MATCH(V158,FlowCalNumber,0),1,1)," ")</f>
        <v>#N/A</v>
      </c>
      <c r="Z167" s="33"/>
      <c r="AA167" s="242">
        <f t="shared" si="160"/>
        <v>0.9</v>
      </c>
      <c r="AB167" s="241" t="e">
        <f t="shared" ca="1" si="161"/>
        <v>#VALUE!</v>
      </c>
      <c r="AC167" s="243" t="e">
        <f ca="1">IF(AND(INDEX(FlowCalConstA,MATCH(Z158,FlowCalNumber,0),1,1)*AB167^INDEX(FlowCalConstB,MATCH(Z158,FlowCalNumber,0),1,1)&gt;INDEX(FlowCalLowSetting,MATCH(Z158,FlowCalNumber,0),1,1), (INDEX(FlowCalConstA,MATCH(Z158,FlowCalNumber,0),1,1)*AB167^INDEX(FlowCalConstB,MATCH(Z158,FlowCalNumber,0),1,1)&lt;INDEX(FlowCalHighSetting,MATCH(Z158,FlowCalNumber,0),1,1))),INDEX(FlowCalConstA,MATCH(Z158,FlowCalNumber,0),1,1)*AB167^INDEX(FlowCalConstB,MATCH(Z158,FlowCalNumber,0),1,1)," ")</f>
        <v>#N/A</v>
      </c>
      <c r="AD167" s="33"/>
      <c r="AE167" s="242">
        <f t="shared" si="162"/>
        <v>0.1</v>
      </c>
      <c r="AF167" s="241" t="e">
        <f t="shared" ca="1" si="163"/>
        <v>#VALUE!</v>
      </c>
      <c r="AG167" s="243" t="e">
        <f ca="1">IF(AND(INDEX(FlowCalConstA,MATCH(AD158,FlowCalNumber,0),1,1)*AF167^INDEX(FlowCalConstB,MATCH(AD158,FlowCalNumber,0),1,1)&gt;INDEX(FlowCalLowSetting,MATCH(AD158,FlowCalNumber,0),1,1), (INDEX(FlowCalConstA,MATCH(AD158,FlowCalNumber,0),1,1)*AF167^INDEX(FlowCalConstB,MATCH(AD158,FlowCalNumber,0),1,1)&lt;INDEX(FlowCalHighSetting,MATCH(AD158,FlowCalNumber,0),1,1))),INDEX(FlowCalConstA,MATCH(AD158,FlowCalNumber,0),1,1)*AF167^INDEX(FlowCalConstB,MATCH(AD158,FlowCalNumber,0),1,1)," ")</f>
        <v>#N/A</v>
      </c>
      <c r="AH167" s="33"/>
      <c r="AI167" s="242">
        <f t="shared" si="164"/>
        <v>0.9</v>
      </c>
      <c r="AJ167" s="241" t="e">
        <f t="shared" ca="1" si="165"/>
        <v>#VALUE!</v>
      </c>
      <c r="AK167" s="243" t="e">
        <f ca="1">IF(AND(INDEX(FlowCalConstA,MATCH(AH158,FlowCalNumber,0),1,1)*AJ167^INDEX(FlowCalConstB,MATCH(AH158,FlowCalNumber,0),1,1)&gt;INDEX(FlowCalLowSetting,MATCH(AH158,FlowCalNumber,0),1,1), (INDEX(FlowCalConstA,MATCH(AH158,FlowCalNumber,0),1,1)*AJ167^INDEX(FlowCalConstB,MATCH(AH158,FlowCalNumber,0),1,1)&lt;INDEX(FlowCalHighSetting,MATCH(AH158,FlowCalNumber,0),1,1))),INDEX(FlowCalConstA,MATCH(AH158,FlowCalNumber,0),1,1)*AJ167^INDEX(FlowCalConstB,MATCH(AH158,FlowCalNumber,0),1,1)," ")</f>
        <v>#N/A</v>
      </c>
      <c r="AL167" s="33"/>
      <c r="AM167" s="242"/>
      <c r="AN167" s="241"/>
      <c r="AO167" s="244"/>
      <c r="AQ167" s="242"/>
      <c r="AR167" s="241"/>
      <c r="AS167" s="244"/>
      <c r="AT167" s="33"/>
      <c r="AU167" s="242"/>
      <c r="AV167" s="241"/>
      <c r="AW167" s="244"/>
      <c r="AX167" s="33"/>
      <c r="AY167" s="242"/>
      <c r="AZ167" s="241"/>
      <c r="BA167" s="244"/>
      <c r="BB167" s="33"/>
      <c r="BC167" s="242"/>
      <c r="BD167" s="241"/>
      <c r="BE167" s="244"/>
      <c r="BF167" s="33"/>
      <c r="BG167" s="242"/>
      <c r="BH167" s="241"/>
      <c r="BI167" s="244"/>
      <c r="BJ167" s="33"/>
      <c r="BK167" s="242"/>
      <c r="BL167" s="241"/>
      <c r="BM167" s="244"/>
      <c r="BN167" s="33"/>
      <c r="BO167" s="242"/>
      <c r="BP167" s="241"/>
      <c r="BQ167" s="244"/>
      <c r="BR167" s="33"/>
      <c r="BS167" s="242"/>
      <c r="BT167" s="241"/>
      <c r="BU167" s="244"/>
      <c r="BV167" s="33"/>
      <c r="BW167" s="242"/>
      <c r="BX167" s="241"/>
      <c r="BY167" s="244"/>
      <c r="BZ167" s="33"/>
      <c r="CA167" s="242"/>
      <c r="CB167" s="241"/>
      <c r="CC167" s="244"/>
      <c r="CD167" s="243"/>
      <c r="CE167" s="243"/>
      <c r="CF167" s="243"/>
      <c r="CG167" s="243"/>
      <c r="CH167" s="243"/>
      <c r="CI167" s="243"/>
      <c r="CJ167" s="243"/>
      <c r="CK167" s="243"/>
      <c r="CL167" s="243"/>
      <c r="CM167" s="243"/>
      <c r="CN167" s="243"/>
      <c r="CO167" s="243"/>
      <c r="CP167" s="243"/>
      <c r="CQ167" s="243"/>
      <c r="CR167" s="243"/>
      <c r="CS167" s="243"/>
      <c r="CT167" s="243"/>
      <c r="CU167" s="243"/>
      <c r="CV167" s="243"/>
      <c r="CW167" s="243"/>
      <c r="CX167" s="243"/>
      <c r="CY167" s="243"/>
      <c r="CZ167" s="243"/>
      <c r="DA167" s="243"/>
      <c r="DB167" s="243"/>
      <c r="DC167" s="243"/>
      <c r="DD167" s="243"/>
      <c r="DE167" s="243"/>
      <c r="DF167" s="243"/>
      <c r="DG167" s="243"/>
      <c r="DH167" s="243"/>
      <c r="DI167" s="243"/>
      <c r="DJ167" s="243"/>
      <c r="DK167" s="243"/>
      <c r="DM167" s="242"/>
      <c r="DO167" s="243"/>
      <c r="DQ167" s="242"/>
      <c r="DS167" s="243"/>
      <c r="DU167" s="242"/>
      <c r="DW167" s="243"/>
      <c r="DY167" s="242"/>
      <c r="EA167" s="243"/>
    </row>
    <row r="168" spans="1:131">
      <c r="A168" s="20"/>
      <c r="B168" s="124" t="str">
        <f t="shared" si="150"/>
        <v/>
      </c>
      <c r="C168" s="235"/>
      <c r="D168" s="24">
        <f>'1% Wind'!$M$91</f>
        <v>4.2</v>
      </c>
      <c r="E168" s="90"/>
      <c r="F168" s="90"/>
      <c r="G168" s="79">
        <f ca="1">IF(I158=0.9743,$G167,MAX(G167/D167*D168,2))</f>
        <v>6.001707317073171</v>
      </c>
      <c r="H168" s="121" t="e">
        <f t="shared" ca="1" si="151"/>
        <v>#VALUE!</v>
      </c>
      <c r="J168" s="33"/>
      <c r="K168" s="242">
        <f t="shared" si="152"/>
        <v>1</v>
      </c>
      <c r="L168" s="241" t="e">
        <f t="shared" ca="1" si="153"/>
        <v>#VALUE!</v>
      </c>
      <c r="M168" s="243" t="e">
        <f ca="1">IF(AND(INDEX(FlowCalConstA,MATCH(J158,FlowCalNumber,0),1,1)*L168^INDEX(FlowCalConstB,MATCH(J158,FlowCalNumber,0),1,1)&gt;INDEX(FlowCalLowSetting,MATCH(J158,FlowCalNumber,0),1,1), (INDEX(FlowCalConstA,MATCH(J158,FlowCalNumber,0),1,1)*L168^INDEX(FlowCalConstB,MATCH(J158,FlowCalNumber,0),1,1)&lt;INDEX(FlowCalHighSetting,MATCH(J158,FlowCalNumber,0),1,1))),INDEX(FlowCalConstA,MATCH(J158,FlowCalNumber,0),1,1)*L168^INDEX(FlowCalConstB,MATCH(J158,FlowCalNumber,0),1,1)," ")</f>
        <v>#N/A</v>
      </c>
      <c r="N168" s="33"/>
      <c r="O168" s="242">
        <f t="shared" si="154"/>
        <v>1</v>
      </c>
      <c r="P168" s="241" t="e">
        <f t="shared" ca="1" si="155"/>
        <v>#VALUE!</v>
      </c>
      <c r="Q168" s="243" t="e">
        <f ca="1">IF(AND(INDEX(FlowCalConstA,MATCH(N158,FlowCalNumber,0),1,1)*P168^INDEX(FlowCalConstB,MATCH(N158,FlowCalNumber,0),1,1)&gt;INDEX(FlowCalLowSetting,MATCH(N158,FlowCalNumber,0),1,1), (INDEX(FlowCalConstA,MATCH(N158,FlowCalNumber,0),1,1)*P168^INDEX(FlowCalConstB,MATCH(N158,FlowCalNumber,0),1,1)&lt;INDEX(FlowCalHighSetting,MATCH(N158,FlowCalNumber,0),1,1))),INDEX(FlowCalConstA,MATCH(N158,FlowCalNumber,0),1,1)*P168^INDEX(FlowCalConstB,MATCH(N158,FlowCalNumber,0),1,1)," ")</f>
        <v>#N/A</v>
      </c>
      <c r="R168" s="33"/>
      <c r="S168" s="242">
        <f t="shared" si="156"/>
        <v>1</v>
      </c>
      <c r="T168" s="241" t="e">
        <f t="shared" ca="1" si="157"/>
        <v>#VALUE!</v>
      </c>
      <c r="U168" s="244" t="e">
        <f ca="1">IF(AND(INDEX(FlowCalConstA,MATCH(R158,FlowCalNumber,0),1,1)*T168^INDEX(FlowCalConstB,MATCH(R158,FlowCalNumber,0),1,1)&gt;INDEX(FlowCalLowSetting,MATCH(R158,FlowCalNumber,0),1,1), (INDEX(FlowCalConstA,MATCH(R158,FlowCalNumber,0),1,1)*T168^INDEX(FlowCalConstB,MATCH(R158,FlowCalNumber,0),1,1)&lt;INDEX(FlowCalHighSetting,MATCH(R158,FlowCalNumber,0),1,1))),INDEX(FlowCalConstA,MATCH(R158,FlowCalNumber,0),1,1)*T168^INDEX(FlowCalConstB,MATCH(R158,FlowCalNumber,0),1,1)," ")</f>
        <v>#N/A</v>
      </c>
      <c r="V168" s="33"/>
      <c r="W168" s="242">
        <f t="shared" si="158"/>
        <v>0.1</v>
      </c>
      <c r="X168" s="241" t="e">
        <f t="shared" ca="1" si="159"/>
        <v>#VALUE!</v>
      </c>
      <c r="Y168" s="243" t="e">
        <f ca="1">IF(AND(INDEX(FlowCalConstA,MATCH(V158,FlowCalNumber,0),1,1)*X168^INDEX(FlowCalConstB,MATCH(V158,FlowCalNumber,0),1,1)&gt;INDEX(FlowCalLowSetting,MATCH(V158,FlowCalNumber,0),1,1), (INDEX(FlowCalConstA,MATCH(V158,FlowCalNumber,0),1,1)*X168^INDEX(FlowCalConstB,MATCH(V158,FlowCalNumber,0),1,1)&lt;INDEX(FlowCalHighSetting,MATCH(V158,FlowCalNumber,0),1,1))),INDEX(FlowCalConstA,MATCH(V158,FlowCalNumber,0),1,1)*X168^INDEX(FlowCalConstB,MATCH(V158,FlowCalNumber,0),1,1)," ")</f>
        <v>#N/A</v>
      </c>
      <c r="Z168" s="33"/>
      <c r="AA168" s="242">
        <f t="shared" si="160"/>
        <v>0.9</v>
      </c>
      <c r="AB168" s="241" t="e">
        <f t="shared" ca="1" si="161"/>
        <v>#VALUE!</v>
      </c>
      <c r="AC168" s="243" t="e">
        <f ca="1">IF(AND(INDEX(FlowCalConstA,MATCH(Z158,FlowCalNumber,0),1,1)*AB168^INDEX(FlowCalConstB,MATCH(Z158,FlowCalNumber,0),1,1)&gt;INDEX(FlowCalLowSetting,MATCH(Z158,FlowCalNumber,0),1,1), (INDEX(FlowCalConstA,MATCH(Z158,FlowCalNumber,0),1,1)*AB168^INDEX(FlowCalConstB,MATCH(Z158,FlowCalNumber,0),1,1)&lt;INDEX(FlowCalHighSetting,MATCH(Z158,FlowCalNumber,0),1,1))),INDEX(FlowCalConstA,MATCH(Z158,FlowCalNumber,0),1,1)*AB168^INDEX(FlowCalConstB,MATCH(Z158,FlowCalNumber,0),1,1)," ")</f>
        <v>#N/A</v>
      </c>
      <c r="AD168" s="33"/>
      <c r="AE168" s="242">
        <f t="shared" si="162"/>
        <v>0.1</v>
      </c>
      <c r="AF168" s="241" t="e">
        <f t="shared" ca="1" si="163"/>
        <v>#VALUE!</v>
      </c>
      <c r="AG168" s="243" t="e">
        <f ca="1">IF(AND(INDEX(FlowCalConstA,MATCH(AD158,FlowCalNumber,0),1,1)*AF168^INDEX(FlowCalConstB,MATCH(AD158,FlowCalNumber,0),1,1)&gt;INDEX(FlowCalLowSetting,MATCH(AD158,FlowCalNumber,0),1,1), (INDEX(FlowCalConstA,MATCH(AD158,FlowCalNumber,0),1,1)*AF168^INDEX(FlowCalConstB,MATCH(AD158,FlowCalNumber,0),1,1)&lt;INDEX(FlowCalHighSetting,MATCH(AD158,FlowCalNumber,0),1,1))),INDEX(FlowCalConstA,MATCH(AD158,FlowCalNumber,0),1,1)*AF168^INDEX(FlowCalConstB,MATCH(AD158,FlowCalNumber,0),1,1)," ")</f>
        <v>#N/A</v>
      </c>
      <c r="AH168" s="33"/>
      <c r="AI168" s="242">
        <f t="shared" si="164"/>
        <v>0.9</v>
      </c>
      <c r="AJ168" s="241" t="e">
        <f t="shared" ca="1" si="165"/>
        <v>#VALUE!</v>
      </c>
      <c r="AK168" s="243" t="e">
        <f ca="1">IF(AND(INDEX(FlowCalConstA,MATCH(AH158,FlowCalNumber,0),1,1)*AJ168^INDEX(FlowCalConstB,MATCH(AH158,FlowCalNumber,0),1,1)&gt;INDEX(FlowCalLowSetting,MATCH(AH158,FlowCalNumber,0),1,1), (INDEX(FlowCalConstA,MATCH(AH158,FlowCalNumber,0),1,1)*AJ168^INDEX(FlowCalConstB,MATCH(AH158,FlowCalNumber,0),1,1)&lt;INDEX(FlowCalHighSetting,MATCH(AH158,FlowCalNumber,0),1,1))),INDEX(FlowCalConstA,MATCH(AH158,FlowCalNumber,0),1,1)*AJ168^INDEX(FlowCalConstB,MATCH(AH158,FlowCalNumber,0),1,1)," ")</f>
        <v>#N/A</v>
      </c>
      <c r="AL168" s="33"/>
      <c r="AM168" s="242"/>
      <c r="AN168" s="241"/>
      <c r="AO168" s="244"/>
      <c r="AQ168" s="242"/>
      <c r="AR168" s="241"/>
      <c r="AS168" s="244"/>
      <c r="AT168" s="33"/>
      <c r="AU168" s="242"/>
      <c r="AV168" s="241"/>
      <c r="AW168" s="244"/>
      <c r="AX168" s="33"/>
      <c r="AY168" s="242"/>
      <c r="AZ168" s="241"/>
      <c r="BA168" s="244"/>
      <c r="BB168" s="33"/>
      <c r="BC168" s="242"/>
      <c r="BD168" s="241"/>
      <c r="BE168" s="244"/>
      <c r="BF168" s="33"/>
      <c r="BG168" s="242"/>
      <c r="BH168" s="241"/>
      <c r="BI168" s="244"/>
      <c r="BJ168" s="33"/>
      <c r="BK168" s="242"/>
      <c r="BL168" s="241"/>
      <c r="BM168" s="244"/>
      <c r="BN168" s="33"/>
      <c r="BO168" s="242"/>
      <c r="BP168" s="241"/>
      <c r="BQ168" s="244"/>
      <c r="BR168" s="33"/>
      <c r="BS168" s="242"/>
      <c r="BT168" s="241"/>
      <c r="BU168" s="244"/>
      <c r="BV168" s="33"/>
      <c r="BW168" s="242"/>
      <c r="BX168" s="241"/>
      <c r="BY168" s="244"/>
      <c r="BZ168" s="33"/>
      <c r="CA168" s="242"/>
      <c r="CB168" s="241"/>
      <c r="CC168" s="244"/>
      <c r="CD168" s="243"/>
      <c r="CE168" s="243"/>
      <c r="CF168" s="243"/>
      <c r="CG168" s="243"/>
      <c r="CH168" s="243"/>
      <c r="CI168" s="243"/>
      <c r="CJ168" s="243"/>
      <c r="CK168" s="243"/>
      <c r="CL168" s="243"/>
      <c r="CM168" s="243"/>
      <c r="CN168" s="243"/>
      <c r="CO168" s="243"/>
      <c r="CP168" s="243"/>
      <c r="CQ168" s="243"/>
      <c r="CR168" s="243"/>
      <c r="CS168" s="243"/>
      <c r="CT168" s="243"/>
      <c r="CU168" s="243"/>
      <c r="CV168" s="243"/>
      <c r="CW168" s="243"/>
      <c r="CX168" s="243"/>
      <c r="CY168" s="243"/>
      <c r="CZ168" s="243"/>
      <c r="DA168" s="243"/>
      <c r="DB168" s="243"/>
      <c r="DC168" s="243"/>
      <c r="DD168" s="243"/>
      <c r="DE168" s="243"/>
      <c r="DF168" s="243"/>
      <c r="DG168" s="243"/>
      <c r="DH168" s="243"/>
      <c r="DI168" s="243"/>
      <c r="DJ168" s="243"/>
      <c r="DK168" s="243"/>
      <c r="DM168" s="242"/>
      <c r="DO168" s="243"/>
      <c r="DQ168" s="242"/>
      <c r="DS168" s="243"/>
      <c r="DU168" s="242"/>
      <c r="DW168" s="243"/>
      <c r="DY168" s="242"/>
      <c r="EA168" s="243"/>
    </row>
    <row r="169" spans="1:131">
      <c r="A169" s="20"/>
      <c r="B169" s="124" t="str">
        <f t="shared" si="150"/>
        <v/>
      </c>
      <c r="C169" s="235"/>
      <c r="D169" s="24">
        <f>'1% Wind'!$M$92</f>
        <v>3.2</v>
      </c>
      <c r="E169" s="90"/>
      <c r="F169" s="90"/>
      <c r="G169" s="79">
        <f ca="1">IF(I158=0.9743,$G168,MAX(G168/D168*D169,2))</f>
        <v>6.001707317073171</v>
      </c>
      <c r="H169" s="121" t="e">
        <f t="shared" ca="1" si="151"/>
        <v>#VALUE!</v>
      </c>
      <c r="J169" s="33"/>
      <c r="K169" s="242">
        <f t="shared" si="152"/>
        <v>1</v>
      </c>
      <c r="L169" s="241" t="e">
        <f t="shared" ca="1" si="153"/>
        <v>#VALUE!</v>
      </c>
      <c r="M169" s="243" t="e">
        <f ca="1">IF(AND(INDEX(FlowCalConstA,MATCH(J158,FlowCalNumber,0),1,1)*L169^INDEX(FlowCalConstB,MATCH(J158,FlowCalNumber,0),1,1)&gt;INDEX(FlowCalLowSetting,MATCH(J158,FlowCalNumber,0),1,1), (INDEX(FlowCalConstA,MATCH(J158,FlowCalNumber,0),1,1)*L169^INDEX(FlowCalConstB,MATCH(J158,FlowCalNumber,0),1,1)&lt;INDEX(FlowCalHighSetting,MATCH(J158,FlowCalNumber,0),1,1))),INDEX(FlowCalConstA,MATCH(J158,FlowCalNumber,0),1,1)*L169^INDEX(FlowCalConstB,MATCH(J158,FlowCalNumber,0),1,1)," ")</f>
        <v>#N/A</v>
      </c>
      <c r="N169" s="33"/>
      <c r="O169" s="242">
        <f t="shared" si="154"/>
        <v>1</v>
      </c>
      <c r="P169" s="241" t="e">
        <f t="shared" ca="1" si="155"/>
        <v>#VALUE!</v>
      </c>
      <c r="Q169" s="243" t="e">
        <f ca="1">IF(AND(INDEX(FlowCalConstA,MATCH(N158,FlowCalNumber,0),1,1)*P169^INDEX(FlowCalConstB,MATCH(N158,FlowCalNumber,0),1,1)&gt;INDEX(FlowCalLowSetting,MATCH(N158,FlowCalNumber,0),1,1), (INDEX(FlowCalConstA,MATCH(N158,FlowCalNumber,0),1,1)*P169^INDEX(FlowCalConstB,MATCH(N158,FlowCalNumber,0),1,1)&lt;INDEX(FlowCalHighSetting,MATCH(N158,FlowCalNumber,0),1,1))),INDEX(FlowCalConstA,MATCH(N158,FlowCalNumber,0),1,1)*P169^INDEX(FlowCalConstB,MATCH(N158,FlowCalNumber,0),1,1)," ")</f>
        <v>#N/A</v>
      </c>
      <c r="R169" s="33"/>
      <c r="S169" s="242">
        <f t="shared" si="156"/>
        <v>1</v>
      </c>
      <c r="T169" s="241" t="e">
        <f t="shared" ca="1" si="157"/>
        <v>#VALUE!</v>
      </c>
      <c r="U169" s="244" t="e">
        <f ca="1">IF(AND(INDEX(FlowCalConstA,MATCH(R158,FlowCalNumber,0),1,1)*T169^INDEX(FlowCalConstB,MATCH(R158,FlowCalNumber,0),1,1)&gt;INDEX(FlowCalLowSetting,MATCH(R158,FlowCalNumber,0),1,1), (INDEX(FlowCalConstA,MATCH(R158,FlowCalNumber,0),1,1)*T169^INDEX(FlowCalConstB,MATCH(R158,FlowCalNumber,0),1,1)&lt;INDEX(FlowCalHighSetting,MATCH(R158,FlowCalNumber,0),1,1))),INDEX(FlowCalConstA,MATCH(R158,FlowCalNumber,0),1,1)*T169^INDEX(FlowCalConstB,MATCH(R158,FlowCalNumber,0),1,1)," ")</f>
        <v>#N/A</v>
      </c>
      <c r="V169" s="33"/>
      <c r="W169" s="242">
        <f t="shared" si="158"/>
        <v>0.1</v>
      </c>
      <c r="X169" s="241" t="e">
        <f t="shared" ca="1" si="159"/>
        <v>#VALUE!</v>
      </c>
      <c r="Y169" s="243" t="e">
        <f ca="1">IF(AND(INDEX(FlowCalConstA,MATCH(V158,FlowCalNumber,0),1,1)*X169^INDEX(FlowCalConstB,MATCH(V158,FlowCalNumber,0),1,1)&gt;INDEX(FlowCalLowSetting,MATCH(V158,FlowCalNumber,0),1,1), (INDEX(FlowCalConstA,MATCH(V158,FlowCalNumber,0),1,1)*X169^INDEX(FlowCalConstB,MATCH(V158,FlowCalNumber,0),1,1)&lt;INDEX(FlowCalHighSetting,MATCH(V158,FlowCalNumber,0),1,1))),INDEX(FlowCalConstA,MATCH(V158,FlowCalNumber,0),1,1)*X169^INDEX(FlowCalConstB,MATCH(V158,FlowCalNumber,0),1,1)," ")</f>
        <v>#N/A</v>
      </c>
      <c r="Z169" s="33"/>
      <c r="AA169" s="242">
        <f t="shared" si="160"/>
        <v>0.9</v>
      </c>
      <c r="AB169" s="241" t="e">
        <f t="shared" ca="1" si="161"/>
        <v>#VALUE!</v>
      </c>
      <c r="AC169" s="243" t="e">
        <f ca="1">IF(AND(INDEX(FlowCalConstA,MATCH(Z158,FlowCalNumber,0),1,1)*AB169^INDEX(FlowCalConstB,MATCH(Z158,FlowCalNumber,0),1,1)&gt;INDEX(FlowCalLowSetting,MATCH(Z158,FlowCalNumber,0),1,1), (INDEX(FlowCalConstA,MATCH(Z158,FlowCalNumber,0),1,1)*AB169^INDEX(FlowCalConstB,MATCH(Z158,FlowCalNumber,0),1,1)&lt;INDEX(FlowCalHighSetting,MATCH(Z158,FlowCalNumber,0),1,1))),INDEX(FlowCalConstA,MATCH(Z158,FlowCalNumber,0),1,1)*AB169^INDEX(FlowCalConstB,MATCH(Z158,FlowCalNumber,0),1,1)," ")</f>
        <v>#N/A</v>
      </c>
      <c r="AD169" s="33"/>
      <c r="AE169" s="242">
        <f t="shared" si="162"/>
        <v>0.1</v>
      </c>
      <c r="AF169" s="241" t="e">
        <f t="shared" ca="1" si="163"/>
        <v>#VALUE!</v>
      </c>
      <c r="AG169" s="243" t="e">
        <f ca="1">IF(AND(INDEX(FlowCalConstA,MATCH(AD158,FlowCalNumber,0),1,1)*AF169^INDEX(FlowCalConstB,MATCH(AD158,FlowCalNumber,0),1,1)&gt;INDEX(FlowCalLowSetting,MATCH(AD158,FlowCalNumber,0),1,1), (INDEX(FlowCalConstA,MATCH(AD158,FlowCalNumber,0),1,1)*AF169^INDEX(FlowCalConstB,MATCH(AD158,FlowCalNumber,0),1,1)&lt;INDEX(FlowCalHighSetting,MATCH(AD158,FlowCalNumber,0),1,1))),INDEX(FlowCalConstA,MATCH(AD158,FlowCalNumber,0),1,1)*AF169^INDEX(FlowCalConstB,MATCH(AD158,FlowCalNumber,0),1,1)," ")</f>
        <v>#N/A</v>
      </c>
      <c r="AH169" s="33"/>
      <c r="AI169" s="242">
        <f t="shared" si="164"/>
        <v>0.9</v>
      </c>
      <c r="AJ169" s="241" t="e">
        <f t="shared" ca="1" si="165"/>
        <v>#VALUE!</v>
      </c>
      <c r="AK169" s="243" t="e">
        <f ca="1">IF(AND(INDEX(FlowCalConstA,MATCH(AH158,FlowCalNumber,0),1,1)*AJ169^INDEX(FlowCalConstB,MATCH(AH158,FlowCalNumber,0),1,1)&gt;INDEX(FlowCalLowSetting,MATCH(AH158,FlowCalNumber,0),1,1), (INDEX(FlowCalConstA,MATCH(AH158,FlowCalNumber,0),1,1)*AJ169^INDEX(FlowCalConstB,MATCH(AH158,FlowCalNumber,0),1,1)&lt;INDEX(FlowCalHighSetting,MATCH(AH158,FlowCalNumber,0),1,1))),INDEX(FlowCalConstA,MATCH(AH158,FlowCalNumber,0),1,1)*AJ169^INDEX(FlowCalConstB,MATCH(AH158,FlowCalNumber,0),1,1)," ")</f>
        <v>#N/A</v>
      </c>
      <c r="AL169" s="33"/>
      <c r="AM169" s="242"/>
      <c r="AN169" s="241"/>
      <c r="AO169" s="244"/>
      <c r="AQ169" s="242"/>
      <c r="AR169" s="241"/>
      <c r="AS169" s="244"/>
      <c r="AT169" s="33"/>
      <c r="AU169" s="242"/>
      <c r="AV169" s="241"/>
      <c r="AW169" s="244"/>
      <c r="AX169" s="33"/>
      <c r="AY169" s="242"/>
      <c r="AZ169" s="241"/>
      <c r="BA169" s="244"/>
      <c r="BB169" s="33"/>
      <c r="BC169" s="242"/>
      <c r="BD169" s="241"/>
      <c r="BE169" s="244"/>
      <c r="BF169" s="33"/>
      <c r="BG169" s="242"/>
      <c r="BH169" s="241"/>
      <c r="BI169" s="244"/>
      <c r="BJ169" s="33"/>
      <c r="BK169" s="242"/>
      <c r="BL169" s="241"/>
      <c r="BM169" s="244"/>
      <c r="BN169" s="33"/>
      <c r="BO169" s="242"/>
      <c r="BP169" s="241"/>
      <c r="BQ169" s="244"/>
      <c r="BR169" s="33"/>
      <c r="BS169" s="242"/>
      <c r="BT169" s="241"/>
      <c r="BU169" s="244"/>
      <c r="BV169" s="33"/>
      <c r="BW169" s="242"/>
      <c r="BX169" s="241"/>
      <c r="BY169" s="244"/>
      <c r="BZ169" s="33"/>
      <c r="CA169" s="242"/>
      <c r="CB169" s="241"/>
      <c r="CC169" s="244"/>
      <c r="CD169" s="243"/>
      <c r="CE169" s="243"/>
      <c r="CF169" s="243"/>
      <c r="CG169" s="243"/>
      <c r="CH169" s="243"/>
      <c r="CI169" s="243"/>
      <c r="CJ169" s="243"/>
      <c r="CK169" s="243"/>
      <c r="CL169" s="243"/>
      <c r="CM169" s="243"/>
      <c r="CN169" s="243"/>
      <c r="CO169" s="243"/>
      <c r="CP169" s="243"/>
      <c r="CQ169" s="243"/>
      <c r="CR169" s="243"/>
      <c r="CS169" s="243"/>
      <c r="CT169" s="243"/>
      <c r="CU169" s="243"/>
      <c r="CV169" s="243"/>
      <c r="CW169" s="243"/>
      <c r="CX169" s="243"/>
      <c r="CY169" s="243"/>
      <c r="CZ169" s="243"/>
      <c r="DA169" s="243"/>
      <c r="DB169" s="243"/>
      <c r="DC169" s="243"/>
      <c r="DD169" s="243"/>
      <c r="DE169" s="243"/>
      <c r="DF169" s="243"/>
      <c r="DG169" s="243"/>
      <c r="DH169" s="243"/>
      <c r="DI169" s="243"/>
      <c r="DJ169" s="243"/>
      <c r="DK169" s="243"/>
      <c r="DM169" s="242"/>
      <c r="DO169" s="243"/>
      <c r="DQ169" s="242"/>
      <c r="DS169" s="243"/>
      <c r="DU169" s="242"/>
      <c r="DW169" s="243"/>
      <c r="DY169" s="242"/>
      <c r="EA169" s="243"/>
    </row>
    <row r="170" spans="1:131">
      <c r="A170" s="20"/>
      <c r="B170" s="124" t="str">
        <f t="shared" si="150"/>
        <v/>
      </c>
      <c r="C170" s="235"/>
      <c r="D170" s="24">
        <f>'1% Wind'!$M$93</f>
        <v>2.4</v>
      </c>
      <c r="E170" s="90"/>
      <c r="F170" s="90"/>
      <c r="G170" s="79">
        <f ca="1">IF(I158=0.9743,$G169,MAX(G169/D169*D170,2))</f>
        <v>6.001707317073171</v>
      </c>
      <c r="H170" s="121" t="e">
        <f t="shared" ca="1" si="151"/>
        <v>#VALUE!</v>
      </c>
      <c r="J170" s="33"/>
      <c r="K170" s="242">
        <f t="shared" si="152"/>
        <v>1</v>
      </c>
      <c r="L170" s="241" t="e">
        <f t="shared" ca="1" si="153"/>
        <v>#VALUE!</v>
      </c>
      <c r="M170" s="243" t="e">
        <f ca="1">IF(AND(INDEX(FlowCalConstA,MATCH(J158,FlowCalNumber,0),1,1)*L170^INDEX(FlowCalConstB,MATCH(J158,FlowCalNumber,0),1,1)&gt;INDEX(FlowCalLowSetting,MATCH(J158,FlowCalNumber,0),1,1), (INDEX(FlowCalConstA,MATCH(J158,FlowCalNumber,0),1,1)*L170^INDEX(FlowCalConstB,MATCH(J158,FlowCalNumber,0),1,1)&lt;INDEX(FlowCalHighSetting,MATCH(J158,FlowCalNumber,0),1,1))),INDEX(FlowCalConstA,MATCH(J158,FlowCalNumber,0),1,1)*L170^INDEX(FlowCalConstB,MATCH(J158,FlowCalNumber,0),1,1)," ")</f>
        <v>#N/A</v>
      </c>
      <c r="N170" s="33"/>
      <c r="O170" s="242">
        <f t="shared" si="154"/>
        <v>1</v>
      </c>
      <c r="P170" s="241" t="e">
        <f t="shared" ca="1" si="155"/>
        <v>#VALUE!</v>
      </c>
      <c r="Q170" s="243" t="e">
        <f ca="1">IF(AND(INDEX(FlowCalConstA,MATCH(N158,FlowCalNumber,0),1,1)*P170^INDEX(FlowCalConstB,MATCH(N158,FlowCalNumber,0),1,1)&gt;INDEX(FlowCalLowSetting,MATCH(N158,FlowCalNumber,0),1,1), (INDEX(FlowCalConstA,MATCH(N158,FlowCalNumber,0),1,1)*P170^INDEX(FlowCalConstB,MATCH(N158,FlowCalNumber,0),1,1)&lt;INDEX(FlowCalHighSetting,MATCH(N158,FlowCalNumber,0),1,1))),INDEX(FlowCalConstA,MATCH(N158,FlowCalNumber,0),1,1)*P170^INDEX(FlowCalConstB,MATCH(N158,FlowCalNumber,0),1,1)," ")</f>
        <v>#N/A</v>
      </c>
      <c r="R170" s="33"/>
      <c r="S170" s="242">
        <f t="shared" si="156"/>
        <v>1</v>
      </c>
      <c r="T170" s="241" t="e">
        <f t="shared" ca="1" si="157"/>
        <v>#VALUE!</v>
      </c>
      <c r="U170" s="244" t="e">
        <f ca="1">IF(AND(INDEX(FlowCalConstA,MATCH(R158,FlowCalNumber,0),1,1)*T170^INDEX(FlowCalConstB,MATCH(R158,FlowCalNumber,0),1,1)&gt;INDEX(FlowCalLowSetting,MATCH(R158,FlowCalNumber,0),1,1), (INDEX(FlowCalConstA,MATCH(R158,FlowCalNumber,0),1,1)*T170^INDEX(FlowCalConstB,MATCH(R158,FlowCalNumber,0),1,1)&lt;INDEX(FlowCalHighSetting,MATCH(R158,FlowCalNumber,0),1,1))),INDEX(FlowCalConstA,MATCH(R158,FlowCalNumber,0),1,1)*T170^INDEX(FlowCalConstB,MATCH(R158,FlowCalNumber,0),1,1)," ")</f>
        <v>#N/A</v>
      </c>
      <c r="V170" s="33"/>
      <c r="W170" s="242">
        <f t="shared" si="158"/>
        <v>0.1</v>
      </c>
      <c r="X170" s="241" t="e">
        <f t="shared" ca="1" si="159"/>
        <v>#VALUE!</v>
      </c>
      <c r="Y170" s="243" t="e">
        <f ca="1">IF(AND(INDEX(FlowCalConstA,MATCH(V158,FlowCalNumber,0),1,1)*X170^INDEX(FlowCalConstB,MATCH(V158,FlowCalNumber,0),1,1)&gt;INDEX(FlowCalLowSetting,MATCH(V158,FlowCalNumber,0),1,1), (INDEX(FlowCalConstA,MATCH(V158,FlowCalNumber,0),1,1)*X170^INDEX(FlowCalConstB,MATCH(V158,FlowCalNumber,0),1,1)&lt;INDEX(FlowCalHighSetting,MATCH(V158,FlowCalNumber,0),1,1))),INDEX(FlowCalConstA,MATCH(V158,FlowCalNumber,0),1,1)*X170^INDEX(FlowCalConstB,MATCH(V158,FlowCalNumber,0),1,1)," ")</f>
        <v>#N/A</v>
      </c>
      <c r="Z170" s="33"/>
      <c r="AA170" s="242">
        <f t="shared" si="160"/>
        <v>0.9</v>
      </c>
      <c r="AB170" s="241" t="e">
        <f t="shared" ca="1" si="161"/>
        <v>#VALUE!</v>
      </c>
      <c r="AC170" s="243" t="e">
        <f ca="1">IF(AND(INDEX(FlowCalConstA,MATCH(Z158,FlowCalNumber,0),1,1)*AB170^INDEX(FlowCalConstB,MATCH(Z158,FlowCalNumber,0),1,1)&gt;INDEX(FlowCalLowSetting,MATCH(Z158,FlowCalNumber,0),1,1), (INDEX(FlowCalConstA,MATCH(Z158,FlowCalNumber,0),1,1)*AB170^INDEX(FlowCalConstB,MATCH(Z158,FlowCalNumber,0),1,1)&lt;INDEX(FlowCalHighSetting,MATCH(Z158,FlowCalNumber,0),1,1))),INDEX(FlowCalConstA,MATCH(Z158,FlowCalNumber,0),1,1)*AB170^INDEX(FlowCalConstB,MATCH(Z158,FlowCalNumber,0),1,1)," ")</f>
        <v>#N/A</v>
      </c>
      <c r="AD170" s="33"/>
      <c r="AE170" s="242">
        <f t="shared" si="162"/>
        <v>0.1</v>
      </c>
      <c r="AF170" s="241" t="e">
        <f t="shared" ca="1" si="163"/>
        <v>#VALUE!</v>
      </c>
      <c r="AG170" s="243" t="e">
        <f ca="1">IF(AND(INDEX(FlowCalConstA,MATCH(AD158,FlowCalNumber,0),1,1)*AF170^INDEX(FlowCalConstB,MATCH(AD158,FlowCalNumber,0),1,1)&gt;INDEX(FlowCalLowSetting,MATCH(AD158,FlowCalNumber,0),1,1), (INDEX(FlowCalConstA,MATCH(AD158,FlowCalNumber,0),1,1)*AF170^INDEX(FlowCalConstB,MATCH(AD158,FlowCalNumber,0),1,1)&lt;INDEX(FlowCalHighSetting,MATCH(AD158,FlowCalNumber,0),1,1))),INDEX(FlowCalConstA,MATCH(AD158,FlowCalNumber,0),1,1)*AF170^INDEX(FlowCalConstB,MATCH(AD158,FlowCalNumber,0),1,1)," ")</f>
        <v>#N/A</v>
      </c>
      <c r="AH170" s="33"/>
      <c r="AI170" s="242">
        <f t="shared" si="164"/>
        <v>0.9</v>
      </c>
      <c r="AJ170" s="241" t="e">
        <f t="shared" ca="1" si="165"/>
        <v>#VALUE!</v>
      </c>
      <c r="AK170" s="243" t="e">
        <f ca="1">IF(AND(INDEX(FlowCalConstA,MATCH(AH158,FlowCalNumber,0),1,1)*AJ170^INDEX(FlowCalConstB,MATCH(AH158,FlowCalNumber,0),1,1)&gt;INDEX(FlowCalLowSetting,MATCH(AH158,FlowCalNumber,0),1,1), (INDEX(FlowCalConstA,MATCH(AH158,FlowCalNumber,0),1,1)*AJ170^INDEX(FlowCalConstB,MATCH(AH158,FlowCalNumber,0),1,1)&lt;INDEX(FlowCalHighSetting,MATCH(AH158,FlowCalNumber,0),1,1))),INDEX(FlowCalConstA,MATCH(AH158,FlowCalNumber,0),1,1)*AJ170^INDEX(FlowCalConstB,MATCH(AH158,FlowCalNumber,0),1,1)," ")</f>
        <v>#N/A</v>
      </c>
      <c r="AL170" s="33"/>
      <c r="AM170" s="242"/>
      <c r="AN170" s="241"/>
      <c r="AO170" s="244"/>
      <c r="AQ170" s="242"/>
      <c r="AR170" s="241"/>
      <c r="AS170" s="244"/>
      <c r="AT170" s="33"/>
      <c r="AU170" s="242"/>
      <c r="AV170" s="241"/>
      <c r="AW170" s="244"/>
      <c r="AX170" s="33"/>
      <c r="AY170" s="242"/>
      <c r="AZ170" s="241"/>
      <c r="BA170" s="244"/>
      <c r="BB170" s="33"/>
      <c r="BC170" s="242"/>
      <c r="BD170" s="241"/>
      <c r="BE170" s="244"/>
      <c r="BF170" s="33"/>
      <c r="BG170" s="242"/>
      <c r="BH170" s="241"/>
      <c r="BI170" s="244"/>
      <c r="BJ170" s="33"/>
      <c r="BK170" s="242"/>
      <c r="BL170" s="241"/>
      <c r="BM170" s="244"/>
      <c r="BN170" s="33"/>
      <c r="BO170" s="242"/>
      <c r="BP170" s="241"/>
      <c r="BQ170" s="244"/>
      <c r="BR170" s="33"/>
      <c r="BS170" s="242"/>
      <c r="BT170" s="241"/>
      <c r="BU170" s="244"/>
      <c r="BV170" s="33"/>
      <c r="BW170" s="242"/>
      <c r="BX170" s="241"/>
      <c r="BY170" s="244"/>
      <c r="BZ170" s="33"/>
      <c r="CA170" s="242"/>
      <c r="CB170" s="241"/>
      <c r="CC170" s="244"/>
      <c r="CD170" s="243"/>
      <c r="CE170" s="243"/>
      <c r="CF170" s="243"/>
      <c r="CG170" s="243"/>
      <c r="CH170" s="243"/>
      <c r="CI170" s="243"/>
      <c r="CJ170" s="243"/>
      <c r="CK170" s="243"/>
      <c r="CL170" s="243"/>
      <c r="CM170" s="243"/>
      <c r="CN170" s="243"/>
      <c r="CO170" s="243"/>
      <c r="CP170" s="243"/>
      <c r="CQ170" s="243"/>
      <c r="CR170" s="243"/>
      <c r="CS170" s="243"/>
      <c r="CT170" s="243"/>
      <c r="CU170" s="243"/>
      <c r="CV170" s="243"/>
      <c r="CW170" s="243"/>
      <c r="CX170" s="243"/>
      <c r="CY170" s="243"/>
      <c r="CZ170" s="243"/>
      <c r="DA170" s="243"/>
      <c r="DB170" s="243"/>
      <c r="DC170" s="243"/>
      <c r="DD170" s="243"/>
      <c r="DE170" s="243"/>
      <c r="DF170" s="243"/>
      <c r="DG170" s="243"/>
      <c r="DH170" s="243"/>
      <c r="DI170" s="243"/>
      <c r="DJ170" s="243"/>
      <c r="DK170" s="243"/>
      <c r="DM170" s="242"/>
      <c r="DO170" s="243"/>
      <c r="DQ170" s="242"/>
      <c r="DS170" s="243"/>
      <c r="DU170" s="242"/>
      <c r="DW170" s="243"/>
      <c r="DY170" s="242"/>
      <c r="EA170" s="243"/>
    </row>
    <row r="171" spans="1:131">
      <c r="A171" s="20"/>
      <c r="B171" s="124" t="str">
        <f t="shared" si="150"/>
        <v/>
      </c>
      <c r="C171" s="235"/>
      <c r="D171" s="24">
        <f>'1% Wind'!$M$94</f>
        <v>1.8</v>
      </c>
      <c r="E171" s="90"/>
      <c r="F171" s="90"/>
      <c r="G171" s="79">
        <f ca="1">IF(I158=0.9743,$G170,MAX(G170/D170*D171,2))</f>
        <v>6.001707317073171</v>
      </c>
      <c r="H171" s="121" t="e">
        <f t="shared" ca="1" si="151"/>
        <v>#VALUE!</v>
      </c>
      <c r="J171" s="33"/>
      <c r="K171" s="242">
        <f t="shared" si="152"/>
        <v>1</v>
      </c>
      <c r="L171" s="241" t="e">
        <f t="shared" ca="1" si="153"/>
        <v>#VALUE!</v>
      </c>
      <c r="M171" s="243" t="e">
        <f ca="1">IF(AND(INDEX(FlowCalConstA,MATCH(J158,FlowCalNumber,0),1,1)*L171^INDEX(FlowCalConstB,MATCH(J158,FlowCalNumber,0),1,1)&gt;INDEX(FlowCalLowSetting,MATCH(J158,FlowCalNumber,0),1,1), (INDEX(FlowCalConstA,MATCH(J158,FlowCalNumber,0),1,1)*L171^INDEX(FlowCalConstB,MATCH(J158,FlowCalNumber,0),1,1)&lt;INDEX(FlowCalHighSetting,MATCH(J158,FlowCalNumber,0),1,1))),INDEX(FlowCalConstA,MATCH(J158,FlowCalNumber,0),1,1)*L171^INDEX(FlowCalConstB,MATCH(J158,FlowCalNumber,0),1,1)," ")</f>
        <v>#N/A</v>
      </c>
      <c r="N171" s="33"/>
      <c r="O171" s="242">
        <f t="shared" si="154"/>
        <v>1</v>
      </c>
      <c r="P171" s="241" t="e">
        <f t="shared" ca="1" si="155"/>
        <v>#VALUE!</v>
      </c>
      <c r="Q171" s="243" t="e">
        <f ca="1">IF(AND(INDEX(FlowCalConstA,MATCH(N158,FlowCalNumber,0),1,1)*P171^INDEX(FlowCalConstB,MATCH(N158,FlowCalNumber,0),1,1)&gt;INDEX(FlowCalLowSetting,MATCH(N158,FlowCalNumber,0),1,1), (INDEX(FlowCalConstA,MATCH(N158,FlowCalNumber,0),1,1)*P171^INDEX(FlowCalConstB,MATCH(N158,FlowCalNumber,0),1,1)&lt;INDEX(FlowCalHighSetting,MATCH(N158,FlowCalNumber,0),1,1))),INDEX(FlowCalConstA,MATCH(N158,FlowCalNumber,0),1,1)*P171^INDEX(FlowCalConstB,MATCH(N158,FlowCalNumber,0),1,1)," ")</f>
        <v>#N/A</v>
      </c>
      <c r="R171" s="33"/>
      <c r="S171" s="242">
        <f t="shared" si="156"/>
        <v>1</v>
      </c>
      <c r="T171" s="241" t="e">
        <f t="shared" ca="1" si="157"/>
        <v>#VALUE!</v>
      </c>
      <c r="U171" s="244" t="e">
        <f ca="1">IF(AND(INDEX(FlowCalConstA,MATCH(R158,FlowCalNumber,0),1,1)*T171^INDEX(FlowCalConstB,MATCH(R158,FlowCalNumber,0),1,1)&gt;INDEX(FlowCalLowSetting,MATCH(R158,FlowCalNumber,0),1,1), (INDEX(FlowCalConstA,MATCH(R158,FlowCalNumber,0),1,1)*T171^INDEX(FlowCalConstB,MATCH(R158,FlowCalNumber,0),1,1)&lt;INDEX(FlowCalHighSetting,MATCH(R158,FlowCalNumber,0),1,1))),INDEX(FlowCalConstA,MATCH(R158,FlowCalNumber,0),1,1)*T171^INDEX(FlowCalConstB,MATCH(R158,FlowCalNumber,0),1,1)," ")</f>
        <v>#N/A</v>
      </c>
      <c r="V171" s="33"/>
      <c r="W171" s="242">
        <f t="shared" si="158"/>
        <v>0.1</v>
      </c>
      <c r="X171" s="241" t="e">
        <f t="shared" ca="1" si="159"/>
        <v>#VALUE!</v>
      </c>
      <c r="Y171" s="243" t="e">
        <f ca="1">IF(AND(INDEX(FlowCalConstA,MATCH(V158,FlowCalNumber,0),1,1)*X171^INDEX(FlowCalConstB,MATCH(V158,FlowCalNumber,0),1,1)&gt;INDEX(FlowCalLowSetting,MATCH(V158,FlowCalNumber,0),1,1), (INDEX(FlowCalConstA,MATCH(V158,FlowCalNumber,0),1,1)*X171^INDEX(FlowCalConstB,MATCH(V158,FlowCalNumber,0),1,1)&lt;INDEX(FlowCalHighSetting,MATCH(V158,FlowCalNumber,0),1,1))),INDEX(FlowCalConstA,MATCH(V158,FlowCalNumber,0),1,1)*X171^INDEX(FlowCalConstB,MATCH(V158,FlowCalNumber,0),1,1)," ")</f>
        <v>#N/A</v>
      </c>
      <c r="Z171" s="33"/>
      <c r="AA171" s="242">
        <f t="shared" si="160"/>
        <v>0.9</v>
      </c>
      <c r="AB171" s="241" t="e">
        <f t="shared" ca="1" si="161"/>
        <v>#VALUE!</v>
      </c>
      <c r="AC171" s="243" t="e">
        <f ca="1">IF(AND(INDEX(FlowCalConstA,MATCH(Z158,FlowCalNumber,0),1,1)*AB171^INDEX(FlowCalConstB,MATCH(Z158,FlowCalNumber,0),1,1)&gt;INDEX(FlowCalLowSetting,MATCH(Z158,FlowCalNumber,0),1,1), (INDEX(FlowCalConstA,MATCH(Z158,FlowCalNumber,0),1,1)*AB171^INDEX(FlowCalConstB,MATCH(Z158,FlowCalNumber,0),1,1)&lt;INDEX(FlowCalHighSetting,MATCH(Z158,FlowCalNumber,0),1,1))),INDEX(FlowCalConstA,MATCH(Z158,FlowCalNumber,0),1,1)*AB171^INDEX(FlowCalConstB,MATCH(Z158,FlowCalNumber,0),1,1)," ")</f>
        <v>#N/A</v>
      </c>
      <c r="AD171" s="33"/>
      <c r="AE171" s="242">
        <f t="shared" si="162"/>
        <v>0.1</v>
      </c>
      <c r="AF171" s="241" t="e">
        <f t="shared" ca="1" si="163"/>
        <v>#VALUE!</v>
      </c>
      <c r="AG171" s="243" t="e">
        <f ca="1">IF(AND(INDEX(FlowCalConstA,MATCH(AD158,FlowCalNumber,0),1,1)*AF171^INDEX(FlowCalConstB,MATCH(AD158,FlowCalNumber,0),1,1)&gt;INDEX(FlowCalLowSetting,MATCH(AD158,FlowCalNumber,0),1,1), (INDEX(FlowCalConstA,MATCH(AD158,FlowCalNumber,0),1,1)*AF171^INDEX(FlowCalConstB,MATCH(AD158,FlowCalNumber,0),1,1)&lt;INDEX(FlowCalHighSetting,MATCH(AD158,FlowCalNumber,0),1,1))),INDEX(FlowCalConstA,MATCH(AD158,FlowCalNumber,0),1,1)*AF171^INDEX(FlowCalConstB,MATCH(AD158,FlowCalNumber,0),1,1)," ")</f>
        <v>#N/A</v>
      </c>
      <c r="AH171" s="33"/>
      <c r="AI171" s="242">
        <f t="shared" si="164"/>
        <v>0.9</v>
      </c>
      <c r="AJ171" s="241" t="e">
        <f t="shared" ca="1" si="165"/>
        <v>#VALUE!</v>
      </c>
      <c r="AK171" s="243" t="e">
        <f ca="1">IF(AND(INDEX(FlowCalConstA,MATCH(AH158,FlowCalNumber,0),1,1)*AJ171^INDEX(FlowCalConstB,MATCH(AH158,FlowCalNumber,0),1,1)&gt;INDEX(FlowCalLowSetting,MATCH(AH158,FlowCalNumber,0),1,1), (INDEX(FlowCalConstA,MATCH(AH158,FlowCalNumber,0),1,1)*AJ171^INDEX(FlowCalConstB,MATCH(AH158,FlowCalNumber,0),1,1)&lt;INDEX(FlowCalHighSetting,MATCH(AH158,FlowCalNumber,0),1,1))),INDEX(FlowCalConstA,MATCH(AH158,FlowCalNumber,0),1,1)*AJ171^INDEX(FlowCalConstB,MATCH(AH158,FlowCalNumber,0),1,1)," ")</f>
        <v>#N/A</v>
      </c>
      <c r="AL171" s="33"/>
      <c r="AM171" s="242"/>
      <c r="AN171" s="241"/>
      <c r="AO171" s="244"/>
      <c r="AQ171" s="242"/>
      <c r="AR171" s="241"/>
      <c r="AS171" s="244"/>
      <c r="AT171" s="33"/>
      <c r="AU171" s="242"/>
      <c r="AV171" s="241"/>
      <c r="AW171" s="244"/>
      <c r="AX171" s="33"/>
      <c r="AY171" s="242"/>
      <c r="AZ171" s="241"/>
      <c r="BA171" s="244"/>
      <c r="BB171" s="33"/>
      <c r="BC171" s="242"/>
      <c r="BD171" s="241"/>
      <c r="BE171" s="244"/>
      <c r="BF171" s="33"/>
      <c r="BG171" s="242"/>
      <c r="BH171" s="241"/>
      <c r="BI171" s="244"/>
      <c r="BJ171" s="33"/>
      <c r="BK171" s="242"/>
      <c r="BL171" s="241"/>
      <c r="BM171" s="244"/>
      <c r="BN171" s="33"/>
      <c r="BO171" s="242"/>
      <c r="BP171" s="241"/>
      <c r="BQ171" s="244"/>
      <c r="BR171" s="33"/>
      <c r="BS171" s="242"/>
      <c r="BT171" s="241"/>
      <c r="BU171" s="244"/>
      <c r="BV171" s="33"/>
      <c r="BW171" s="242"/>
      <c r="BX171" s="241"/>
      <c r="BY171" s="244"/>
      <c r="BZ171" s="33"/>
      <c r="CA171" s="242"/>
      <c r="CB171" s="241"/>
      <c r="CC171" s="244"/>
      <c r="CD171" s="243"/>
      <c r="CE171" s="243"/>
      <c r="CF171" s="243"/>
      <c r="CG171" s="243"/>
      <c r="CH171" s="243"/>
      <c r="CI171" s="243"/>
      <c r="CJ171" s="243"/>
      <c r="CK171" s="243"/>
      <c r="CL171" s="243"/>
      <c r="CM171" s="243"/>
      <c r="CN171" s="243"/>
      <c r="CO171" s="243"/>
      <c r="CP171" s="243"/>
      <c r="CQ171" s="243"/>
      <c r="CR171" s="243"/>
      <c r="CS171" s="243"/>
      <c r="CT171" s="243"/>
      <c r="CU171" s="243"/>
      <c r="CV171" s="243"/>
      <c r="CW171" s="243"/>
      <c r="CX171" s="243"/>
      <c r="CY171" s="243"/>
      <c r="CZ171" s="243"/>
      <c r="DA171" s="243"/>
      <c r="DB171" s="243"/>
      <c r="DC171" s="243"/>
      <c r="DD171" s="243"/>
      <c r="DE171" s="243"/>
      <c r="DF171" s="243"/>
      <c r="DG171" s="243"/>
      <c r="DH171" s="243"/>
      <c r="DI171" s="243"/>
      <c r="DJ171" s="243"/>
      <c r="DK171" s="243"/>
      <c r="DM171" s="242"/>
      <c r="DO171" s="243"/>
      <c r="DQ171" s="242"/>
      <c r="DS171" s="243"/>
      <c r="DU171" s="242"/>
      <c r="DW171" s="243"/>
      <c r="DY171" s="242"/>
      <c r="EA171" s="243"/>
    </row>
    <row r="172" spans="1:131">
      <c r="A172" s="20"/>
      <c r="B172" s="124" t="str">
        <f t="shared" si="150"/>
        <v/>
      </c>
      <c r="C172" s="235"/>
      <c r="D172" s="24">
        <f>'1% Wind'!$M$95</f>
        <v>1.3</v>
      </c>
      <c r="E172" s="90"/>
      <c r="F172" s="90"/>
      <c r="G172" s="79">
        <f ca="1">IF(I158=0.9743,$G171,MAX(G171/D171*D172,2))</f>
        <v>6.001707317073171</v>
      </c>
      <c r="H172" s="121" t="e">
        <f t="shared" ca="1" si="151"/>
        <v>#VALUE!</v>
      </c>
      <c r="J172" s="33"/>
      <c r="K172" s="242">
        <f t="shared" si="152"/>
        <v>1</v>
      </c>
      <c r="L172" s="241" t="e">
        <f t="shared" ca="1" si="153"/>
        <v>#VALUE!</v>
      </c>
      <c r="M172" s="243" t="e">
        <f ca="1">IF(AND(INDEX(FlowCalConstA,MATCH(J158,FlowCalNumber,0),1,1)*L172^INDEX(FlowCalConstB,MATCH(J158,FlowCalNumber,0),1,1)&gt;INDEX(FlowCalLowSetting,MATCH(J158,FlowCalNumber,0),1,1), (INDEX(FlowCalConstA,MATCH(J158,FlowCalNumber,0),1,1)*L172^INDEX(FlowCalConstB,MATCH(J158,FlowCalNumber,0),1,1)&lt;INDEX(FlowCalHighSetting,MATCH(J158,FlowCalNumber,0),1,1))),INDEX(FlowCalConstA,MATCH(J158,FlowCalNumber,0),1,1)*L172^INDEX(FlowCalConstB,MATCH(J158,FlowCalNumber,0),1,1)," ")</f>
        <v>#N/A</v>
      </c>
      <c r="N172" s="33"/>
      <c r="O172" s="242">
        <f t="shared" si="154"/>
        <v>1</v>
      </c>
      <c r="P172" s="241" t="e">
        <f t="shared" ca="1" si="155"/>
        <v>#VALUE!</v>
      </c>
      <c r="Q172" s="243" t="e">
        <f ca="1">IF(AND(INDEX(FlowCalConstA,MATCH(N158,FlowCalNumber,0),1,1)*P172^INDEX(FlowCalConstB,MATCH(N158,FlowCalNumber,0),1,1)&gt;INDEX(FlowCalLowSetting,MATCH(N158,FlowCalNumber,0),1,1), (INDEX(FlowCalConstA,MATCH(N158,FlowCalNumber,0),1,1)*P172^INDEX(FlowCalConstB,MATCH(N158,FlowCalNumber,0),1,1)&lt;INDEX(FlowCalHighSetting,MATCH(N158,FlowCalNumber,0),1,1))),INDEX(FlowCalConstA,MATCH(N158,FlowCalNumber,0),1,1)*P172^INDEX(FlowCalConstB,MATCH(N158,FlowCalNumber,0),1,1)," ")</f>
        <v>#N/A</v>
      </c>
      <c r="R172" s="33"/>
      <c r="S172" s="242">
        <f t="shared" si="156"/>
        <v>1</v>
      </c>
      <c r="T172" s="241" t="e">
        <f t="shared" ca="1" si="157"/>
        <v>#VALUE!</v>
      </c>
      <c r="U172" s="244" t="e">
        <f ca="1">IF(AND(INDEX(FlowCalConstA,MATCH(R158,FlowCalNumber,0),1,1)*T172^INDEX(FlowCalConstB,MATCH(R158,FlowCalNumber,0),1,1)&gt;INDEX(FlowCalLowSetting,MATCH(R158,FlowCalNumber,0),1,1), (INDEX(FlowCalConstA,MATCH(R158,FlowCalNumber,0),1,1)*T172^INDEX(FlowCalConstB,MATCH(R158,FlowCalNumber,0),1,1)&lt;INDEX(FlowCalHighSetting,MATCH(R158,FlowCalNumber,0),1,1))),INDEX(FlowCalConstA,MATCH(R158,FlowCalNumber,0),1,1)*T172^INDEX(FlowCalConstB,MATCH(R158,FlowCalNumber,0),1,1)," ")</f>
        <v>#N/A</v>
      </c>
      <c r="V172" s="33"/>
      <c r="W172" s="242">
        <f t="shared" si="158"/>
        <v>0.1</v>
      </c>
      <c r="X172" s="241" t="e">
        <f t="shared" ca="1" si="159"/>
        <v>#VALUE!</v>
      </c>
      <c r="Y172" s="243" t="e">
        <f ca="1">IF(AND(INDEX(FlowCalConstA,MATCH(V158,FlowCalNumber,0),1,1)*X172^INDEX(FlowCalConstB,MATCH(V158,FlowCalNumber,0),1,1)&gt;INDEX(FlowCalLowSetting,MATCH(V158,FlowCalNumber,0),1,1), (INDEX(FlowCalConstA,MATCH(V158,FlowCalNumber,0),1,1)*X172^INDEX(FlowCalConstB,MATCH(V158,FlowCalNumber,0),1,1)&lt;INDEX(FlowCalHighSetting,MATCH(V158,FlowCalNumber,0),1,1))),INDEX(FlowCalConstA,MATCH(V158,FlowCalNumber,0),1,1)*X172^INDEX(FlowCalConstB,MATCH(V158,FlowCalNumber,0),1,1)," ")</f>
        <v>#N/A</v>
      </c>
      <c r="Z172" s="33"/>
      <c r="AA172" s="242">
        <f t="shared" si="160"/>
        <v>0.9</v>
      </c>
      <c r="AB172" s="241" t="e">
        <f t="shared" ca="1" si="161"/>
        <v>#VALUE!</v>
      </c>
      <c r="AC172" s="243" t="e">
        <f ca="1">IF(AND(INDEX(FlowCalConstA,MATCH(Z158,FlowCalNumber,0),1,1)*AB172^INDEX(FlowCalConstB,MATCH(Z158,FlowCalNumber,0),1,1)&gt;INDEX(FlowCalLowSetting,MATCH(Z158,FlowCalNumber,0),1,1), (INDEX(FlowCalConstA,MATCH(Z158,FlowCalNumber,0),1,1)*AB172^INDEX(FlowCalConstB,MATCH(Z158,FlowCalNumber,0),1,1)&lt;INDEX(FlowCalHighSetting,MATCH(Z158,FlowCalNumber,0),1,1))),INDEX(FlowCalConstA,MATCH(Z158,FlowCalNumber,0),1,1)*AB172^INDEX(FlowCalConstB,MATCH(Z158,FlowCalNumber,0),1,1)," ")</f>
        <v>#N/A</v>
      </c>
      <c r="AD172" s="33"/>
      <c r="AE172" s="242">
        <f t="shared" si="162"/>
        <v>0.1</v>
      </c>
      <c r="AF172" s="241" t="e">
        <f t="shared" ca="1" si="163"/>
        <v>#VALUE!</v>
      </c>
      <c r="AG172" s="243" t="e">
        <f ca="1">IF(AND(INDEX(FlowCalConstA,MATCH(AD158,FlowCalNumber,0),1,1)*AF172^INDEX(FlowCalConstB,MATCH(AD158,FlowCalNumber,0),1,1)&gt;INDEX(FlowCalLowSetting,MATCH(AD158,FlowCalNumber,0),1,1), (INDEX(FlowCalConstA,MATCH(AD158,FlowCalNumber,0),1,1)*AF172^INDEX(FlowCalConstB,MATCH(AD158,FlowCalNumber,0),1,1)&lt;INDEX(FlowCalHighSetting,MATCH(AD158,FlowCalNumber,0),1,1))),INDEX(FlowCalConstA,MATCH(AD158,FlowCalNumber,0),1,1)*AF172^INDEX(FlowCalConstB,MATCH(AD158,FlowCalNumber,0),1,1)," ")</f>
        <v>#N/A</v>
      </c>
      <c r="AH172" s="33"/>
      <c r="AI172" s="242">
        <f t="shared" si="164"/>
        <v>0.9</v>
      </c>
      <c r="AJ172" s="241" t="e">
        <f t="shared" ca="1" si="165"/>
        <v>#VALUE!</v>
      </c>
      <c r="AK172" s="243" t="e">
        <f ca="1">IF(AND(INDEX(FlowCalConstA,MATCH(AH158,FlowCalNumber,0),1,1)*AJ172^INDEX(FlowCalConstB,MATCH(AH158,FlowCalNumber,0),1,1)&gt;INDEX(FlowCalLowSetting,MATCH(AH158,FlowCalNumber,0),1,1), (INDEX(FlowCalConstA,MATCH(AH158,FlowCalNumber,0),1,1)*AJ172^INDEX(FlowCalConstB,MATCH(AH158,FlowCalNumber,0),1,1)&lt;INDEX(FlowCalHighSetting,MATCH(AH158,FlowCalNumber,0),1,1))),INDEX(FlowCalConstA,MATCH(AH158,FlowCalNumber,0),1,1)*AJ172^INDEX(FlowCalConstB,MATCH(AH158,FlowCalNumber,0),1,1)," ")</f>
        <v>#N/A</v>
      </c>
      <c r="AL172" s="33"/>
      <c r="AM172" s="242"/>
      <c r="AN172" s="241"/>
      <c r="AO172" s="244"/>
      <c r="AQ172" s="242"/>
      <c r="AR172" s="241"/>
      <c r="AS172" s="244"/>
      <c r="AT172" s="33"/>
      <c r="AU172" s="242"/>
      <c r="AV172" s="241"/>
      <c r="AW172" s="244"/>
      <c r="AX172" s="33"/>
      <c r="AY172" s="242"/>
      <c r="AZ172" s="241"/>
      <c r="BA172" s="244"/>
      <c r="BB172" s="33"/>
      <c r="BC172" s="242"/>
      <c r="BD172" s="241"/>
      <c r="BE172" s="244"/>
      <c r="BF172" s="33"/>
      <c r="BG172" s="242"/>
      <c r="BH172" s="241"/>
      <c r="BI172" s="244"/>
      <c r="BJ172" s="33"/>
      <c r="BK172" s="242"/>
      <c r="BL172" s="241"/>
      <c r="BM172" s="244"/>
      <c r="BN172" s="33"/>
      <c r="BO172" s="242"/>
      <c r="BP172" s="241"/>
      <c r="BQ172" s="244"/>
      <c r="BR172" s="33"/>
      <c r="BS172" s="242"/>
      <c r="BT172" s="241"/>
      <c r="BU172" s="244"/>
      <c r="BV172" s="33"/>
      <c r="BW172" s="242"/>
      <c r="BX172" s="241"/>
      <c r="BY172" s="244"/>
      <c r="BZ172" s="33"/>
      <c r="CA172" s="242"/>
      <c r="CB172" s="241"/>
      <c r="CC172" s="244"/>
      <c r="CD172" s="243"/>
      <c r="CE172" s="243"/>
      <c r="CF172" s="243"/>
      <c r="CG172" s="243"/>
      <c r="CH172" s="243"/>
      <c r="CI172" s="243"/>
      <c r="CJ172" s="243"/>
      <c r="CK172" s="243"/>
      <c r="CL172" s="243"/>
      <c r="CM172" s="243"/>
      <c r="CN172" s="243"/>
      <c r="CO172" s="243"/>
      <c r="CP172" s="243"/>
      <c r="CQ172" s="243"/>
      <c r="CR172" s="243"/>
      <c r="CS172" s="243"/>
      <c r="CT172" s="243"/>
      <c r="CU172" s="243"/>
      <c r="CV172" s="243"/>
      <c r="CW172" s="243"/>
      <c r="CX172" s="243"/>
      <c r="CY172" s="243"/>
      <c r="CZ172" s="243"/>
      <c r="DA172" s="243"/>
      <c r="DB172" s="243"/>
      <c r="DC172" s="243"/>
      <c r="DD172" s="243"/>
      <c r="DE172" s="243"/>
      <c r="DF172" s="243"/>
      <c r="DG172" s="243"/>
      <c r="DH172" s="243"/>
      <c r="DI172" s="243"/>
      <c r="DJ172" s="243"/>
      <c r="DK172" s="243"/>
      <c r="DM172" s="242"/>
      <c r="DO172" s="243"/>
      <c r="DQ172" s="242"/>
      <c r="DS172" s="243"/>
      <c r="DU172" s="242"/>
      <c r="DW172" s="243"/>
      <c r="DY172" s="242"/>
      <c r="EA172" s="243"/>
    </row>
    <row r="173" spans="1:131">
      <c r="A173" s="20"/>
      <c r="B173" s="124" t="str">
        <f t="shared" si="150"/>
        <v/>
      </c>
      <c r="C173" s="235"/>
      <c r="D173" s="24">
        <f>'1% Wind'!$M$96</f>
        <v>1</v>
      </c>
      <c r="E173" s="90"/>
      <c r="F173" s="90"/>
      <c r="G173" s="79">
        <f ca="1">IF(I158=0.9743,$G172,MAX(G172/D172*D173,2))</f>
        <v>6.001707317073171</v>
      </c>
      <c r="H173" s="121" t="e">
        <f t="shared" ca="1" si="151"/>
        <v>#VALUE!</v>
      </c>
      <c r="J173" s="33"/>
      <c r="K173" s="242">
        <f t="shared" si="152"/>
        <v>1</v>
      </c>
      <c r="L173" s="241" t="e">
        <f t="shared" ca="1" si="153"/>
        <v>#VALUE!</v>
      </c>
      <c r="M173" s="243" t="e">
        <f ca="1">IF(AND(INDEX(FlowCalConstA,MATCH(J158,FlowCalNumber,0),1,1)*L173^INDEX(FlowCalConstB,MATCH(J158,FlowCalNumber,0),1,1)&gt;INDEX(FlowCalLowSetting,MATCH(J158,FlowCalNumber,0),1,1), (INDEX(FlowCalConstA,MATCH(J158,FlowCalNumber,0),1,1)*L173^INDEX(FlowCalConstB,MATCH(J158,FlowCalNumber,0),1,1)&lt;INDEX(FlowCalHighSetting,MATCH(J158,FlowCalNumber,0),1,1))),INDEX(FlowCalConstA,MATCH(J158,FlowCalNumber,0),1,1)*L173^INDEX(FlowCalConstB,MATCH(J158,FlowCalNumber,0),1,1)," ")</f>
        <v>#N/A</v>
      </c>
      <c r="N173" s="33"/>
      <c r="O173" s="242">
        <f t="shared" si="154"/>
        <v>1</v>
      </c>
      <c r="P173" s="241" t="e">
        <f t="shared" ca="1" si="155"/>
        <v>#VALUE!</v>
      </c>
      <c r="Q173" s="243" t="e">
        <f ca="1">IF(AND(INDEX(FlowCalConstA,MATCH(N158,FlowCalNumber,0),1,1)*P173^INDEX(FlowCalConstB,MATCH(N158,FlowCalNumber,0),1,1)&gt;INDEX(FlowCalLowSetting,MATCH(N158,FlowCalNumber,0),1,1), (INDEX(FlowCalConstA,MATCH(N158,FlowCalNumber,0),1,1)*P173^INDEX(FlowCalConstB,MATCH(N158,FlowCalNumber,0),1,1)&lt;INDEX(FlowCalHighSetting,MATCH(N158,FlowCalNumber,0),1,1))),INDEX(FlowCalConstA,MATCH(N158,FlowCalNumber,0),1,1)*P173^INDEX(FlowCalConstB,MATCH(N158,FlowCalNumber,0),1,1)," ")</f>
        <v>#N/A</v>
      </c>
      <c r="R173" s="33"/>
      <c r="S173" s="242">
        <f t="shared" si="156"/>
        <v>1</v>
      </c>
      <c r="T173" s="241" t="e">
        <f t="shared" ca="1" si="157"/>
        <v>#VALUE!</v>
      </c>
      <c r="U173" s="244" t="e">
        <f ca="1">IF(AND(INDEX(FlowCalConstA,MATCH(R158,FlowCalNumber,0),1,1)*T173^INDEX(FlowCalConstB,MATCH(R158,FlowCalNumber,0),1,1)&gt;INDEX(FlowCalLowSetting,MATCH(R158,FlowCalNumber,0),1,1), (INDEX(FlowCalConstA,MATCH(R158,FlowCalNumber,0),1,1)*T173^INDEX(FlowCalConstB,MATCH(R158,FlowCalNumber,0),1,1)&lt;INDEX(FlowCalHighSetting,MATCH(R158,FlowCalNumber,0),1,1))),INDEX(FlowCalConstA,MATCH(R158,FlowCalNumber,0),1,1)*T173^INDEX(FlowCalConstB,MATCH(R158,FlowCalNumber,0),1,1)," ")</f>
        <v>#N/A</v>
      </c>
      <c r="V173" s="33"/>
      <c r="W173" s="242">
        <f t="shared" si="158"/>
        <v>0.1</v>
      </c>
      <c r="X173" s="241" t="e">
        <f t="shared" ca="1" si="159"/>
        <v>#VALUE!</v>
      </c>
      <c r="Y173" s="243" t="e">
        <f ca="1">IF(AND(INDEX(FlowCalConstA,MATCH(V158,FlowCalNumber,0),1,1)*X173^INDEX(FlowCalConstB,MATCH(V158,FlowCalNumber,0),1,1)&gt;INDEX(FlowCalLowSetting,MATCH(V158,FlowCalNumber,0),1,1), (INDEX(FlowCalConstA,MATCH(V158,FlowCalNumber,0),1,1)*X173^INDEX(FlowCalConstB,MATCH(V158,FlowCalNumber,0),1,1)&lt;INDEX(FlowCalHighSetting,MATCH(V158,FlowCalNumber,0),1,1))),INDEX(FlowCalConstA,MATCH(V158,FlowCalNumber,0),1,1)*X173^INDEX(FlowCalConstB,MATCH(V158,FlowCalNumber,0),1,1)," ")</f>
        <v>#N/A</v>
      </c>
      <c r="Z173" s="33"/>
      <c r="AA173" s="242">
        <f t="shared" si="160"/>
        <v>0.9</v>
      </c>
      <c r="AB173" s="241" t="e">
        <f t="shared" ca="1" si="161"/>
        <v>#VALUE!</v>
      </c>
      <c r="AC173" s="243" t="e">
        <f ca="1">IF(AND(INDEX(FlowCalConstA,MATCH(Z158,FlowCalNumber,0),1,1)*AB173^INDEX(FlowCalConstB,MATCH(Z158,FlowCalNumber,0),1,1)&gt;INDEX(FlowCalLowSetting,MATCH(Z158,FlowCalNumber,0),1,1), (INDEX(FlowCalConstA,MATCH(Z158,FlowCalNumber,0),1,1)*AB173^INDEX(FlowCalConstB,MATCH(Z158,FlowCalNumber,0),1,1)&lt;INDEX(FlowCalHighSetting,MATCH(Z158,FlowCalNumber,0),1,1))),INDEX(FlowCalConstA,MATCH(Z158,FlowCalNumber,0),1,1)*AB173^INDEX(FlowCalConstB,MATCH(Z158,FlowCalNumber,0),1,1)," ")</f>
        <v>#N/A</v>
      </c>
      <c r="AD173" s="33"/>
      <c r="AE173" s="242">
        <f t="shared" si="162"/>
        <v>0.1</v>
      </c>
      <c r="AF173" s="241" t="e">
        <f t="shared" ca="1" si="163"/>
        <v>#VALUE!</v>
      </c>
      <c r="AG173" s="243" t="e">
        <f ca="1">IF(AND(INDEX(FlowCalConstA,MATCH(AD158,FlowCalNumber,0),1,1)*AF173^INDEX(FlowCalConstB,MATCH(AD158,FlowCalNumber,0),1,1)&gt;INDEX(FlowCalLowSetting,MATCH(AD158,FlowCalNumber,0),1,1), (INDEX(FlowCalConstA,MATCH(AD158,FlowCalNumber,0),1,1)*AF173^INDEX(FlowCalConstB,MATCH(AD158,FlowCalNumber,0),1,1)&lt;INDEX(FlowCalHighSetting,MATCH(AD158,FlowCalNumber,0),1,1))),INDEX(FlowCalConstA,MATCH(AD158,FlowCalNumber,0),1,1)*AF173^INDEX(FlowCalConstB,MATCH(AD158,FlowCalNumber,0),1,1)," ")</f>
        <v>#N/A</v>
      </c>
      <c r="AH173" s="33"/>
      <c r="AI173" s="242">
        <f t="shared" si="164"/>
        <v>0.9</v>
      </c>
      <c r="AJ173" s="241" t="e">
        <f t="shared" ca="1" si="165"/>
        <v>#VALUE!</v>
      </c>
      <c r="AK173" s="243" t="e">
        <f ca="1">IF(AND(INDEX(FlowCalConstA,MATCH(AH158,FlowCalNumber,0),1,1)*AJ173^INDEX(FlowCalConstB,MATCH(AH158,FlowCalNumber,0),1,1)&gt;INDEX(FlowCalLowSetting,MATCH(AH158,FlowCalNumber,0),1,1), (INDEX(FlowCalConstA,MATCH(AH158,FlowCalNumber,0),1,1)*AJ173^INDEX(FlowCalConstB,MATCH(AH158,FlowCalNumber,0),1,1)&lt;INDEX(FlowCalHighSetting,MATCH(AH158,FlowCalNumber,0),1,1))),INDEX(FlowCalConstA,MATCH(AH158,FlowCalNumber,0),1,1)*AJ173^INDEX(FlowCalConstB,MATCH(AH158,FlowCalNumber,0),1,1)," ")</f>
        <v>#N/A</v>
      </c>
      <c r="AL173" s="33"/>
      <c r="AM173" s="242"/>
      <c r="AN173" s="241"/>
      <c r="AO173" s="244"/>
      <c r="AQ173" s="242"/>
      <c r="AR173" s="241"/>
      <c r="AS173" s="244"/>
      <c r="AT173" s="33"/>
      <c r="AU173" s="242"/>
      <c r="AV173" s="241"/>
      <c r="AW173" s="244"/>
      <c r="AX173" s="33"/>
      <c r="AY173" s="242"/>
      <c r="AZ173" s="241"/>
      <c r="BA173" s="244"/>
      <c r="BB173" s="33"/>
      <c r="BC173" s="242"/>
      <c r="BD173" s="241"/>
      <c r="BE173" s="244"/>
      <c r="BF173" s="33"/>
      <c r="BG173" s="242"/>
      <c r="BH173" s="241"/>
      <c r="BI173" s="244"/>
      <c r="BJ173" s="33"/>
      <c r="BK173" s="242"/>
      <c r="BL173" s="241"/>
      <c r="BM173" s="244"/>
      <c r="BN173" s="33"/>
      <c r="BO173" s="242"/>
      <c r="BP173" s="241"/>
      <c r="BQ173" s="244"/>
      <c r="BR173" s="33"/>
      <c r="BS173" s="242"/>
      <c r="BT173" s="241"/>
      <c r="BU173" s="244"/>
      <c r="BV173" s="33"/>
      <c r="BW173" s="242"/>
      <c r="BX173" s="241"/>
      <c r="BY173" s="244"/>
      <c r="BZ173" s="33"/>
      <c r="CA173" s="242"/>
      <c r="CB173" s="241"/>
      <c r="CC173" s="244"/>
      <c r="CD173" s="243"/>
      <c r="CE173" s="243"/>
      <c r="CF173" s="243"/>
      <c r="CG173" s="243"/>
      <c r="CH173" s="243"/>
      <c r="CI173" s="243"/>
      <c r="CJ173" s="243"/>
      <c r="CK173" s="243"/>
      <c r="CL173" s="243"/>
      <c r="CM173" s="243"/>
      <c r="CN173" s="243"/>
      <c r="CO173" s="243"/>
      <c r="CP173" s="243"/>
      <c r="CQ173" s="243"/>
      <c r="CR173" s="243"/>
      <c r="CS173" s="243"/>
      <c r="CT173" s="243"/>
      <c r="CU173" s="243"/>
      <c r="CV173" s="243"/>
      <c r="CW173" s="243"/>
      <c r="CX173" s="243"/>
      <c r="CY173" s="243"/>
      <c r="CZ173" s="243"/>
      <c r="DA173" s="243"/>
      <c r="DB173" s="243"/>
      <c r="DC173" s="243"/>
      <c r="DD173" s="243"/>
      <c r="DE173" s="243"/>
      <c r="DF173" s="243"/>
      <c r="DG173" s="243"/>
      <c r="DH173" s="243"/>
      <c r="DI173" s="243"/>
      <c r="DJ173" s="243"/>
      <c r="DK173" s="243"/>
      <c r="DM173" s="242"/>
      <c r="DO173" s="243"/>
      <c r="DQ173" s="242"/>
      <c r="DS173" s="243"/>
      <c r="DU173" s="242"/>
      <c r="DW173" s="243"/>
      <c r="DY173" s="242"/>
      <c r="EA173" s="243"/>
    </row>
    <row r="174" spans="1:131">
      <c r="A174" s="33"/>
      <c r="B174" s="33"/>
      <c r="C174" s="235"/>
      <c r="E174" s="90"/>
      <c r="F174" s="90"/>
      <c r="G174" s="33"/>
      <c r="J174" s="33"/>
      <c r="N174" s="33"/>
      <c r="Q174" s="243"/>
      <c r="R174" s="33"/>
      <c r="U174" s="244"/>
      <c r="V174" s="33"/>
      <c r="Y174" s="243"/>
      <c r="Z174" s="33"/>
      <c r="AC174" s="243"/>
      <c r="AD174" s="33"/>
      <c r="AG174" s="243"/>
      <c r="AH174" s="33"/>
      <c r="AK174" s="244"/>
      <c r="AL174" s="792"/>
      <c r="AM174" s="243"/>
      <c r="AN174" s="243"/>
      <c r="AO174" s="244"/>
      <c r="AP174" s="243"/>
      <c r="AQ174" s="243"/>
      <c r="AR174" s="243"/>
      <c r="AS174" s="244"/>
      <c r="AT174" s="243"/>
      <c r="AU174" s="243"/>
      <c r="AV174" s="243"/>
      <c r="AW174" s="244"/>
      <c r="AX174" s="243"/>
      <c r="AY174" s="243"/>
      <c r="AZ174" s="243"/>
      <c r="BA174" s="244"/>
      <c r="BB174" s="33"/>
      <c r="BE174" s="244"/>
      <c r="BF174" s="33"/>
      <c r="BI174" s="244"/>
      <c r="BJ174" s="33"/>
      <c r="BM174" s="244"/>
      <c r="BN174" s="243"/>
      <c r="BO174" s="243"/>
      <c r="BP174" s="243"/>
      <c r="BQ174" s="244"/>
      <c r="BR174" s="792"/>
      <c r="BS174" s="243"/>
      <c r="BT174" s="243"/>
      <c r="BU174" s="244"/>
      <c r="BV174" s="792"/>
      <c r="BW174" s="243"/>
      <c r="BX174" s="243"/>
      <c r="BY174" s="244"/>
      <c r="BZ174" s="792"/>
      <c r="CA174" s="243"/>
      <c r="CB174" s="243"/>
      <c r="CC174" s="244"/>
      <c r="CD174" s="243"/>
      <c r="CE174" s="243"/>
      <c r="CF174" s="243"/>
      <c r="CG174" s="243"/>
      <c r="CH174" s="243"/>
      <c r="CI174" s="243"/>
      <c r="CJ174" s="243"/>
      <c r="CK174" s="243"/>
      <c r="CL174" s="243"/>
      <c r="CM174" s="243"/>
      <c r="CN174" s="243"/>
      <c r="CO174" s="243"/>
      <c r="CP174" s="243"/>
      <c r="CQ174" s="243"/>
      <c r="CR174" s="243"/>
      <c r="CS174" s="243"/>
      <c r="CT174" s="243"/>
      <c r="CU174" s="243"/>
      <c r="CV174" s="243"/>
      <c r="CW174" s="243"/>
      <c r="CX174" s="243"/>
      <c r="CY174" s="243"/>
      <c r="CZ174" s="243"/>
      <c r="DA174" s="243"/>
      <c r="DB174" s="243"/>
      <c r="DC174" s="243"/>
      <c r="DD174" s="243"/>
      <c r="DE174" s="243"/>
      <c r="DF174" s="243"/>
      <c r="DG174" s="243"/>
      <c r="DH174" s="243"/>
      <c r="DI174" s="243"/>
      <c r="DJ174" s="243"/>
      <c r="DK174" s="243"/>
      <c r="DO174" s="243"/>
      <c r="DS174" s="243"/>
      <c r="DW174" s="243"/>
      <c r="EA174" s="243"/>
    </row>
    <row r="175" spans="1:131">
      <c r="A175" s="256" t="str">
        <f>IF((RIGHT(A158,1))&lt;&gt;"Z",CHAR(CODE(A158))&amp;CHAR(CODE(RIGHT(A158,1))+1),CHAR(CODE(A158)+1)&amp;"A")</f>
        <v>AJ</v>
      </c>
      <c r="B175" s="270" t="str">
        <f>INDEX(SourceID,MATCH($A175,SourceNumber,0),1,1)</f>
        <v>BSL3-2</v>
      </c>
      <c r="C175" s="354">
        <f>INDEX(SourceExitDiameter,MATCH($A175,SourceNumber,0),1,1)*3.28*12</f>
        <v>24.72</v>
      </c>
      <c r="D175" s="24" t="str">
        <f>UAnem1percent</f>
        <v>1% Wind</v>
      </c>
      <c r="E175" s="350" t="e">
        <f ca="1">INDIRECT(ADDRESS(53,6,1,,CONCATENATE("TA",$A175)))</f>
        <v>#REF!</v>
      </c>
      <c r="F175" s="625" t="e">
        <f ca="1">(ROUND((INDIRECT(ADDRESS(15,7,1,,CONCATENATE("TA",$A175)))*3.28*12*32),0)&amp;"/32")</f>
        <v>#REF!</v>
      </c>
      <c r="G175" s="125">
        <f ca="1">INDIRECT(ADDRESS(29,7,1,,$A175))</f>
        <v>6.001707317073171</v>
      </c>
      <c r="H175" s="24" t="e">
        <f ca="1">INDIRECT(ADDRESS(19,7,1,,$A175))*100^3</f>
        <v>#VALUE!</v>
      </c>
      <c r="I175" s="941">
        <f ca="1">INDIRECT(ADDRESS(53,7,1,,$A175))</f>
        <v>0.97430000000000005</v>
      </c>
      <c r="J175" s="20" t="str">
        <f ca="1">IF($I175=$I$6,K$16&amp;$G$6&amp;J$6,IF($I175=$I$7,K$16&amp;$G$7&amp;J$7,"Bad"))</f>
        <v>100EthPick a Tunnel</v>
      </c>
      <c r="K175" t="e">
        <f ca="1">INDEX(FlowCalGasMixture,MATCH(J175,FlowCalNumber,0),1,1)</f>
        <v>#N/A</v>
      </c>
      <c r="M175" s="944" t="e">
        <f ca="1">INDEX(FlowCalDevice,MATCH(J175,FlowCalNumber,0),1,1)</f>
        <v>#N/A</v>
      </c>
      <c r="N175" s="943" t="str">
        <f ca="1">IF($I175=$I$6,O$16&amp;$G$6&amp;"90"&amp;$H$6&amp;N$6,IF($I175=$I$7,O$16&amp;$G$7&amp;"90"&amp;$H$7&amp;N$7,"Bad"))</f>
        <v>10Eth90N2Pick a Tunnel</v>
      </c>
      <c r="O175" t="e">
        <f ca="1">INDEX(FlowCalGasMixture,MATCH(N175,FlowCalNumber,0),1,1)</f>
        <v>#N/A</v>
      </c>
      <c r="Q175" s="944" t="e">
        <f ca="1">INDEX(FlowCalDevice,MATCH(N175,FlowCalNumber,0),1,1)</f>
        <v>#N/A</v>
      </c>
      <c r="R175" s="943" t="str">
        <f ca="1">IF($I175=$I$6,S$16&amp;$G$6&amp;"90"&amp;$H$6&amp;R$6,IF($I175=$I$7,S$16&amp;$G$7&amp;"90"&amp;$H$7&amp;R$7,"Bad"))</f>
        <v>10Eth90N2Pick a Tunnel</v>
      </c>
      <c r="S175" t="e">
        <f ca="1">INDEX(FlowCalGasMixture,MATCH(R175,FlowCalNumber,0),1,1)</f>
        <v>#N/A</v>
      </c>
      <c r="U175" s="944" t="e">
        <f ca="1">INDEX(FlowCalDevice,MATCH(R175,FlowCalNumber,0),1,1)</f>
        <v>#N/A</v>
      </c>
      <c r="V175" s="20" t="str">
        <f ca="1">IF($I175=$I$6,W$16&amp;$G$6&amp;V$6,IF($I175=$I$7,W$16&amp;$G$7&amp;V$7,"Bad"))</f>
        <v>100EthPick a Tunnel</v>
      </c>
      <c r="W175" t="e">
        <f ca="1">INDEX(FlowCalGasMixture,MATCH(V175,FlowCalNumber,0),1,1)</f>
        <v>#N/A</v>
      </c>
      <c r="Y175" s="944" t="e">
        <f ca="1">INDEX(FlowCalDevice,MATCH(V175,FlowCalNumber,0),1,1)</f>
        <v>#N/A</v>
      </c>
      <c r="Z175" s="946" t="str">
        <f ca="1">IF($I175=$I$6,AA$18&amp;$H$6&amp;Z$6,IF($I175=$I$7,AA$18&amp;$H$7&amp;Z$7,"Bad"))</f>
        <v>100N2Pick a Tunnel</v>
      </c>
      <c r="AA175" t="e">
        <f ca="1">INDEX(FlowCalGasMixture,MATCH(Z175,FlowCalNumber,0),1,1)</f>
        <v>#N/A</v>
      </c>
      <c r="AC175" s="944" t="e">
        <f ca="1">INDEX(FlowCalDevice,MATCH(Z175,FlowCalNumber,0),1,1)</f>
        <v>#N/A</v>
      </c>
      <c r="AD175" s="20" t="str">
        <f ca="1">IF($I175=$I$6,AE$16&amp;$G$6&amp;AD$6,IF($I175=$I$7,AE$16&amp;$G$7&amp;AD$7,"Bad"))</f>
        <v>100EthPick a Tunnel</v>
      </c>
      <c r="AE175" t="e">
        <f ca="1">INDEX(FlowCalGasMixture,MATCH(AD175,FlowCalNumber,0),1,1)</f>
        <v>#N/A</v>
      </c>
      <c r="AG175" s="944" t="e">
        <f ca="1">INDEX(FlowCalDevice,MATCH(AD175,FlowCalNumber,0),1,1)</f>
        <v>#N/A</v>
      </c>
      <c r="AH175" s="946" t="str">
        <f ca="1">IF($I175=$I$6,AI$18&amp;$H$6&amp;AH$6,IF($I175=$I$7,AI$18&amp;$H$7&amp;AH$7,"Bad"))</f>
        <v>100N2Pick a Tunnel</v>
      </c>
      <c r="AI175" t="e">
        <f ca="1">INDEX(FlowCalGasMixture,MATCH(AH175,FlowCalNumber,0),1,1)</f>
        <v>#N/A</v>
      </c>
      <c r="AK175" s="944" t="e">
        <f ca="1">INDEX(FlowCalDevice,MATCH(AH175,FlowCalNumber,0),1,1)</f>
        <v>#N/A</v>
      </c>
      <c r="AL175" s="20"/>
      <c r="AO175" s="982"/>
      <c r="AP175" s="960"/>
      <c r="AS175" s="982"/>
      <c r="AT175" s="20"/>
      <c r="AW175" s="982"/>
      <c r="AX175" s="946"/>
      <c r="BA175" s="982"/>
      <c r="BB175" s="20"/>
      <c r="BC175" s="16"/>
      <c r="BE175" s="982"/>
      <c r="BF175" s="946"/>
      <c r="BG175" s="16"/>
      <c r="BI175" s="982"/>
      <c r="BJ175" s="946"/>
      <c r="BK175" s="16"/>
      <c r="BM175" s="982"/>
      <c r="BN175" s="20"/>
      <c r="BO175" s="16"/>
      <c r="BQ175" s="982"/>
      <c r="BR175" s="946"/>
      <c r="BS175" s="16"/>
      <c r="BU175" s="982"/>
      <c r="BV175" s="946"/>
      <c r="BW175" s="16"/>
      <c r="BY175" s="982"/>
      <c r="BZ175" s="946"/>
      <c r="CA175" s="16"/>
      <c r="CC175" s="982"/>
      <c r="CD175" s="355"/>
      <c r="CE175" s="355"/>
      <c r="CF175" s="355"/>
      <c r="CG175" s="355"/>
      <c r="CH175" s="355"/>
      <c r="CI175" s="355"/>
      <c r="CJ175" s="355"/>
      <c r="CK175" s="355"/>
      <c r="CL175" s="355"/>
      <c r="CM175" s="355"/>
      <c r="CN175" s="355"/>
      <c r="CO175" s="355"/>
      <c r="CP175" s="355"/>
      <c r="CQ175" s="355"/>
      <c r="CR175" s="355"/>
      <c r="CS175" s="355"/>
      <c r="CT175" s="355"/>
      <c r="CU175" s="355"/>
      <c r="CV175" s="355"/>
      <c r="CW175" s="355"/>
      <c r="CX175" s="355"/>
      <c r="CY175" s="355"/>
      <c r="CZ175" s="355"/>
      <c r="DA175" s="355"/>
      <c r="DB175" s="355"/>
      <c r="DC175" s="355"/>
      <c r="DD175" s="355"/>
      <c r="DE175" s="355"/>
      <c r="DF175" s="355"/>
      <c r="DG175" s="355"/>
      <c r="DH175" s="355"/>
      <c r="DI175" s="355"/>
      <c r="DJ175" s="355"/>
      <c r="DK175" s="355"/>
      <c r="DL175" s="46"/>
      <c r="DM175" s="16"/>
      <c r="DO175" s="355"/>
      <c r="DP175" s="42"/>
      <c r="DQ175" s="16"/>
      <c r="DS175" s="355"/>
      <c r="DT175" s="42"/>
      <c r="DU175" s="16"/>
      <c r="DW175" s="355"/>
      <c r="DX175" s="42"/>
      <c r="DY175" s="16"/>
      <c r="EA175" s="355"/>
    </row>
    <row r="176" spans="1:131">
      <c r="A176" s="20"/>
      <c r="B176" s="124" t="str">
        <f t="shared" ref="B176:B190" si="166">IF(D176=UAnem1percent,"1% Wind","")</f>
        <v/>
      </c>
      <c r="C176" s="235"/>
      <c r="D176" s="24">
        <f>'1% Wind'!$M$82</f>
        <v>27</v>
      </c>
      <c r="E176" s="90"/>
      <c r="F176" s="90"/>
      <c r="G176" s="79">
        <f ca="1">IF(I175=0.9743,$G175,MAX(G175/D175*D176,2))</f>
        <v>6.001707317073171</v>
      </c>
      <c r="H176" s="121" t="e">
        <f t="shared" ref="H176:H190" ca="1" si="167">H175*(D175/D176)*(G176/G175)</f>
        <v>#VALUE!</v>
      </c>
      <c r="J176" s="33"/>
      <c r="K176" s="260">
        <f>K$17/100</f>
        <v>1</v>
      </c>
      <c r="L176" s="241" t="e">
        <f ca="1">K176*$H176</f>
        <v>#VALUE!</v>
      </c>
      <c r="M176" s="243" t="e">
        <f ca="1">IF(AND(INDEX(FlowCalConstA,MATCH(J175,FlowCalNumber,0),1,1)*L176^INDEX(FlowCalConstB,MATCH(J175,FlowCalNumber,0),1,1)&gt;INDEX(FlowCalLowSetting,MATCH(J175,FlowCalNumber,0),1,1), (INDEX(FlowCalConstA,MATCH(J175,FlowCalNumber,0),1,1)*L176^INDEX(FlowCalConstB,MATCH(J175,FlowCalNumber,0),1,1)&lt;INDEX(FlowCalHighSetting,MATCH(J175,FlowCalNumber,0),1,1))),INDEX(FlowCalConstA,MATCH(J175,FlowCalNumber,0),1,1)*L176^INDEX(FlowCalConstB,MATCH(J175,FlowCalNumber,0),1,1)," ")</f>
        <v>#N/A</v>
      </c>
      <c r="N176" s="33"/>
      <c r="O176" s="260">
        <f>O$17/100</f>
        <v>1</v>
      </c>
      <c r="P176" s="241" t="e">
        <f ca="1">O176*$H176</f>
        <v>#VALUE!</v>
      </c>
      <c r="Q176" s="243" t="e">
        <f ca="1">IF(AND(INDEX(FlowCalConstA,MATCH(N175,FlowCalNumber,0),1,1)*P176^INDEX(FlowCalConstB,MATCH(N175,FlowCalNumber,0),1,1)&gt;INDEX(FlowCalLowSetting,MATCH(N175,FlowCalNumber,0),1,1), (INDEX(FlowCalConstA,MATCH(N175,FlowCalNumber,0),1,1)*P176^INDEX(FlowCalConstB,MATCH(N175,FlowCalNumber,0),1,1)&lt;INDEX(FlowCalHighSetting,MATCH(N175,FlowCalNumber,0),1,1))),INDEX(FlowCalConstA,MATCH(N175,FlowCalNumber,0),1,1)*P176^INDEX(FlowCalConstB,MATCH(N175,FlowCalNumber,0),1,1)," ")</f>
        <v>#N/A</v>
      </c>
      <c r="R176" s="33"/>
      <c r="S176" s="260">
        <f>S$17/100</f>
        <v>1</v>
      </c>
      <c r="T176" s="241" t="e">
        <f ca="1">S176*$H176</f>
        <v>#VALUE!</v>
      </c>
      <c r="U176" s="244" t="e">
        <f ca="1">IF(AND(INDEX(FlowCalConstA,MATCH(R175,FlowCalNumber,0),1,1)*T176^INDEX(FlowCalConstB,MATCH(R175,FlowCalNumber,0),1,1)&gt;INDEX(FlowCalLowSetting,MATCH(R175,FlowCalNumber,0),1,1), (INDEX(FlowCalConstA,MATCH(R175,FlowCalNumber,0),1,1)*T176^INDEX(FlowCalConstB,MATCH(R175,FlowCalNumber,0),1,1)&lt;INDEX(FlowCalHighSetting,MATCH(R175,FlowCalNumber,0),1,1))),INDEX(FlowCalConstA,MATCH(R175,FlowCalNumber,0),1,1)*T176^INDEX(FlowCalConstB,MATCH(R175,FlowCalNumber,0),1,1)," ")</f>
        <v>#N/A</v>
      </c>
      <c r="V176" s="33"/>
      <c r="W176" s="260">
        <f>W$17/100</f>
        <v>0.1</v>
      </c>
      <c r="X176" s="241" t="e">
        <f ca="1">W176*$H176</f>
        <v>#VALUE!</v>
      </c>
      <c r="Y176" s="243" t="e">
        <f ca="1">IF(AND(INDEX(FlowCalConstA,MATCH(V175,FlowCalNumber,0),1,1)*X176^INDEX(FlowCalConstB,MATCH(V175,FlowCalNumber,0),1,1)&gt;INDEX(FlowCalLowSetting,MATCH(V175,FlowCalNumber,0),1,1), (INDEX(FlowCalConstA,MATCH(V175,FlowCalNumber,0),1,1)*X176^INDEX(FlowCalConstB,MATCH(V175,FlowCalNumber,0),1,1)&lt;INDEX(FlowCalHighSetting,MATCH(V175,FlowCalNumber,0),1,1))),INDEX(FlowCalConstA,MATCH(V175,FlowCalNumber,0),1,1)*X176^INDEX(FlowCalConstB,MATCH(V175,FlowCalNumber,0),1,1)," ")</f>
        <v>#N/A</v>
      </c>
      <c r="Z176" s="33"/>
      <c r="AA176" s="260">
        <f>AA$17/100</f>
        <v>0.9</v>
      </c>
      <c r="AB176" s="241" t="e">
        <f ca="1">AA176*$H176</f>
        <v>#VALUE!</v>
      </c>
      <c r="AC176" s="243" t="e">
        <f ca="1">IF(AND(INDEX(FlowCalConstA,MATCH(Z175,FlowCalNumber,0),1,1)*AB176^INDEX(FlowCalConstB,MATCH(Z175,FlowCalNumber,0),1,1)&gt;INDEX(FlowCalLowSetting,MATCH(Z175,FlowCalNumber,0),1,1), (INDEX(FlowCalConstA,MATCH(Z175,FlowCalNumber,0),1,1)*AB176^INDEX(FlowCalConstB,MATCH(Z175,FlowCalNumber,0),1,1)&lt;INDEX(FlowCalHighSetting,MATCH(Z175,FlowCalNumber,0),1,1))),INDEX(FlowCalConstA,MATCH(Z175,FlowCalNumber,0),1,1)*AB176^INDEX(FlowCalConstB,MATCH(Z175,FlowCalNumber,0),1,1)," ")</f>
        <v>#N/A</v>
      </c>
      <c r="AD176" s="33"/>
      <c r="AE176" s="260">
        <f>AE$17/100</f>
        <v>0.1</v>
      </c>
      <c r="AF176" s="241" t="e">
        <f ca="1">AE176*$H176</f>
        <v>#VALUE!</v>
      </c>
      <c r="AG176" s="243" t="e">
        <f ca="1">IF(AND(INDEX(FlowCalConstA,MATCH(AD175,FlowCalNumber,0),1,1)*AF176^INDEX(FlowCalConstB,MATCH(AD175,FlowCalNumber,0),1,1)&gt;INDEX(FlowCalLowSetting,MATCH(AD175,FlowCalNumber,0),1,1), (INDEX(FlowCalConstA,MATCH(AD175,FlowCalNumber,0),1,1)*AF176^INDEX(FlowCalConstB,MATCH(AD175,FlowCalNumber,0),1,1)&lt;INDEX(FlowCalHighSetting,MATCH(AD175,FlowCalNumber,0),1,1))),INDEX(FlowCalConstA,MATCH(AD175,FlowCalNumber,0),1,1)*AF176^INDEX(FlowCalConstB,MATCH(AD175,FlowCalNumber,0),1,1)," ")</f>
        <v>#N/A</v>
      </c>
      <c r="AH176" s="33"/>
      <c r="AI176" s="260">
        <f>AI$17/100</f>
        <v>0.9</v>
      </c>
      <c r="AJ176" s="241" t="e">
        <f ca="1">AI176*$H176</f>
        <v>#VALUE!</v>
      </c>
      <c r="AK176" s="243" t="e">
        <f ca="1">IF(AND(INDEX(FlowCalConstA,MATCH(AH175,FlowCalNumber,0),1,1)*AJ176^INDEX(FlowCalConstB,MATCH(AH175,FlowCalNumber,0),1,1)&gt;INDEX(FlowCalLowSetting,MATCH(AH175,FlowCalNumber,0),1,1), (INDEX(FlowCalConstA,MATCH(AH175,FlowCalNumber,0),1,1)*AJ176^INDEX(FlowCalConstB,MATCH(AH175,FlowCalNumber,0),1,1)&lt;INDEX(FlowCalHighSetting,MATCH(AH175,FlowCalNumber,0),1,1))),INDEX(FlowCalConstA,MATCH(AH175,FlowCalNumber,0),1,1)*AJ176^INDEX(FlowCalConstB,MATCH(AH175,FlowCalNumber,0),1,1)," ")</f>
        <v>#N/A</v>
      </c>
      <c r="AL176" s="33"/>
      <c r="AM176" s="260"/>
      <c r="AN176" s="241"/>
      <c r="AO176" s="244"/>
      <c r="AQ176" s="260"/>
      <c r="AR176" s="241"/>
      <c r="AS176" s="244"/>
      <c r="AT176" s="33"/>
      <c r="AU176" s="260"/>
      <c r="AV176" s="241"/>
      <c r="AW176" s="244"/>
      <c r="AX176" s="33"/>
      <c r="AY176" s="260"/>
      <c r="AZ176" s="241"/>
      <c r="BA176" s="244"/>
      <c r="BB176" s="33"/>
      <c r="BC176" s="260"/>
      <c r="BD176" s="241"/>
      <c r="BE176" s="244"/>
      <c r="BF176" s="33"/>
      <c r="BG176" s="260"/>
      <c r="BH176" s="241"/>
      <c r="BI176" s="244"/>
      <c r="BJ176" s="33"/>
      <c r="BK176" s="260"/>
      <c r="BL176" s="241"/>
      <c r="BM176" s="244"/>
      <c r="BN176" s="33"/>
      <c r="BO176" s="260"/>
      <c r="BP176" s="241"/>
      <c r="BQ176" s="244"/>
      <c r="BR176" s="33"/>
      <c r="BS176" s="260"/>
      <c r="BT176" s="241"/>
      <c r="BU176" s="244"/>
      <c r="BV176" s="33"/>
      <c r="BW176" s="260"/>
      <c r="BX176" s="241"/>
      <c r="BY176" s="244"/>
      <c r="BZ176" s="33"/>
      <c r="CA176" s="260"/>
      <c r="CB176" s="241"/>
      <c r="CC176" s="244"/>
      <c r="CD176" s="243"/>
      <c r="CE176" s="243"/>
      <c r="CF176" s="243"/>
      <c r="CG176" s="243"/>
      <c r="CH176" s="243"/>
      <c r="CI176" s="243"/>
      <c r="CJ176" s="243"/>
      <c r="CK176" s="243"/>
      <c r="CL176" s="243"/>
      <c r="CM176" s="243"/>
      <c r="CN176" s="243"/>
      <c r="CO176" s="243"/>
      <c r="CP176" s="243"/>
      <c r="CQ176" s="243"/>
      <c r="CR176" s="243"/>
      <c r="CS176" s="243"/>
      <c r="CT176" s="243"/>
      <c r="CU176" s="243"/>
      <c r="CV176" s="243"/>
      <c r="CW176" s="243"/>
      <c r="CX176" s="243"/>
      <c r="CY176" s="243"/>
      <c r="CZ176" s="243"/>
      <c r="DA176" s="243"/>
      <c r="DB176" s="243"/>
      <c r="DC176" s="243"/>
      <c r="DD176" s="243"/>
      <c r="DE176" s="243"/>
      <c r="DF176" s="243"/>
      <c r="DG176" s="243"/>
      <c r="DH176" s="243"/>
      <c r="DI176" s="243"/>
      <c r="DJ176" s="243"/>
      <c r="DK176" s="243"/>
      <c r="DM176" s="259"/>
      <c r="DO176" s="243"/>
      <c r="DQ176" s="259"/>
      <c r="DS176" s="243"/>
      <c r="DU176" s="259"/>
      <c r="DW176" s="243"/>
      <c r="DY176" s="260"/>
      <c r="EA176" s="243"/>
    </row>
    <row r="177" spans="1:131">
      <c r="A177" s="20"/>
      <c r="B177" s="124" t="str">
        <f t="shared" si="166"/>
        <v/>
      </c>
      <c r="C177" s="235"/>
      <c r="D177" s="24">
        <f>'1% Wind'!$M$83</f>
        <v>23.5</v>
      </c>
      <c r="E177" s="90"/>
      <c r="F177" s="90"/>
      <c r="G177" s="79">
        <f ca="1">IF(I175=0.9743,$G176,MAX(G176/D176*D177,2))</f>
        <v>6.001707317073171</v>
      </c>
      <c r="H177" s="121" t="e">
        <f t="shared" ca="1" si="167"/>
        <v>#VALUE!</v>
      </c>
      <c r="J177" s="33"/>
      <c r="K177" s="242">
        <f t="shared" ref="K177:K190" si="168">K176</f>
        <v>1</v>
      </c>
      <c r="L177" s="241" t="e">
        <f t="shared" ref="L177:L190" ca="1" si="169">K177*$H177</f>
        <v>#VALUE!</v>
      </c>
      <c r="M177" s="243" t="e">
        <f ca="1">IF(AND(INDEX(FlowCalConstA,MATCH(J175,FlowCalNumber,0),1,1)*L177^INDEX(FlowCalConstB,MATCH(J175,FlowCalNumber,0),1,1)&gt;INDEX(FlowCalLowSetting,MATCH(J175,FlowCalNumber,0),1,1), (INDEX(FlowCalConstA,MATCH(J175,FlowCalNumber,0),1,1)*L177^INDEX(FlowCalConstB,MATCH(J175,FlowCalNumber,0),1,1)&lt;INDEX(FlowCalHighSetting,MATCH(J175,FlowCalNumber,0),1,1))),INDEX(FlowCalConstA,MATCH(J175,FlowCalNumber,0),1,1)*L177^INDEX(FlowCalConstB,MATCH(J175,FlowCalNumber,0),1,1)," ")</f>
        <v>#N/A</v>
      </c>
      <c r="N177" s="33"/>
      <c r="O177" s="242">
        <f t="shared" ref="O177:O190" si="170">O176</f>
        <v>1</v>
      </c>
      <c r="P177" s="241" t="e">
        <f t="shared" ref="P177:P190" ca="1" si="171">O177*$H177</f>
        <v>#VALUE!</v>
      </c>
      <c r="Q177" s="243" t="e">
        <f ca="1">IF(AND(INDEX(FlowCalConstA,MATCH(N175,FlowCalNumber,0),1,1)*P177^INDEX(FlowCalConstB,MATCH(N175,FlowCalNumber,0),1,1)&gt;INDEX(FlowCalLowSetting,MATCH(N175,FlowCalNumber,0),1,1), (INDEX(FlowCalConstA,MATCH(N175,FlowCalNumber,0),1,1)*P177^INDEX(FlowCalConstB,MATCH(N175,FlowCalNumber,0),1,1)&lt;INDEX(FlowCalHighSetting,MATCH(N175,FlowCalNumber,0),1,1))),INDEX(FlowCalConstA,MATCH(N175,FlowCalNumber,0),1,1)*P177^INDEX(FlowCalConstB,MATCH(N175,FlowCalNumber,0),1,1)," ")</f>
        <v>#N/A</v>
      </c>
      <c r="R177" s="33"/>
      <c r="S177" s="242">
        <f t="shared" ref="S177:S190" si="172">S176</f>
        <v>1</v>
      </c>
      <c r="T177" s="241" t="e">
        <f t="shared" ref="T177:T190" ca="1" si="173">S177*$H177</f>
        <v>#VALUE!</v>
      </c>
      <c r="U177" s="244" t="e">
        <f ca="1">IF(AND(INDEX(FlowCalConstA,MATCH(R175,FlowCalNumber,0),1,1)*T177^INDEX(FlowCalConstB,MATCH(R175,FlowCalNumber,0),1,1)&gt;INDEX(FlowCalLowSetting,MATCH(R175,FlowCalNumber,0),1,1), (INDEX(FlowCalConstA,MATCH(R175,FlowCalNumber,0),1,1)*T177^INDEX(FlowCalConstB,MATCH(R175,FlowCalNumber,0),1,1)&lt;INDEX(FlowCalHighSetting,MATCH(R175,FlowCalNumber,0),1,1))),INDEX(FlowCalConstA,MATCH(R175,FlowCalNumber,0),1,1)*T177^INDEX(FlowCalConstB,MATCH(R175,FlowCalNumber,0),1,1)," ")</f>
        <v>#N/A</v>
      </c>
      <c r="V177" s="33"/>
      <c r="W177" s="242">
        <f t="shared" ref="W177:W190" si="174">W176</f>
        <v>0.1</v>
      </c>
      <c r="X177" s="241" t="e">
        <f t="shared" ref="X177:X190" ca="1" si="175">W177*$H177</f>
        <v>#VALUE!</v>
      </c>
      <c r="Y177" s="243" t="e">
        <f ca="1">IF(AND(INDEX(FlowCalConstA,MATCH(V175,FlowCalNumber,0),1,1)*X177^INDEX(FlowCalConstB,MATCH(V175,FlowCalNumber,0),1,1)&gt;INDEX(FlowCalLowSetting,MATCH(V175,FlowCalNumber,0),1,1), (INDEX(FlowCalConstA,MATCH(V175,FlowCalNumber,0),1,1)*X177^INDEX(FlowCalConstB,MATCH(V175,FlowCalNumber,0),1,1)&lt;INDEX(FlowCalHighSetting,MATCH(V175,FlowCalNumber,0),1,1))),INDEX(FlowCalConstA,MATCH(V175,FlowCalNumber,0),1,1)*X177^INDEX(FlowCalConstB,MATCH(V175,FlowCalNumber,0),1,1)," ")</f>
        <v>#N/A</v>
      </c>
      <c r="Z177" s="33"/>
      <c r="AA177" s="242">
        <f t="shared" ref="AA177:AA190" si="176">AA176</f>
        <v>0.9</v>
      </c>
      <c r="AB177" s="241" t="e">
        <f t="shared" ref="AB177:AB190" ca="1" si="177">AA177*$H177</f>
        <v>#VALUE!</v>
      </c>
      <c r="AC177" s="243" t="e">
        <f ca="1">IF(AND(INDEX(FlowCalConstA,MATCH(Z175,FlowCalNumber,0),1,1)*AB177^INDEX(FlowCalConstB,MATCH(Z175,FlowCalNumber,0),1,1)&gt;INDEX(FlowCalLowSetting,MATCH(Z175,FlowCalNumber,0),1,1), (INDEX(FlowCalConstA,MATCH(Z175,FlowCalNumber,0),1,1)*AB177^INDEX(FlowCalConstB,MATCH(Z175,FlowCalNumber,0),1,1)&lt;INDEX(FlowCalHighSetting,MATCH(Z175,FlowCalNumber,0),1,1))),INDEX(FlowCalConstA,MATCH(Z175,FlowCalNumber,0),1,1)*AB177^INDEX(FlowCalConstB,MATCH(Z175,FlowCalNumber,0),1,1)," ")</f>
        <v>#N/A</v>
      </c>
      <c r="AD177" s="33"/>
      <c r="AE177" s="242">
        <f t="shared" ref="AE177:AE190" si="178">AE176</f>
        <v>0.1</v>
      </c>
      <c r="AF177" s="241" t="e">
        <f t="shared" ref="AF177:AF190" ca="1" si="179">AE177*$H177</f>
        <v>#VALUE!</v>
      </c>
      <c r="AG177" s="243" t="e">
        <f ca="1">IF(AND(INDEX(FlowCalConstA,MATCH(AD175,FlowCalNumber,0),1,1)*AF177^INDEX(FlowCalConstB,MATCH(AD175,FlowCalNumber,0),1,1)&gt;INDEX(FlowCalLowSetting,MATCH(AD175,FlowCalNumber,0),1,1), (INDEX(FlowCalConstA,MATCH(AD175,FlowCalNumber,0),1,1)*AF177^INDEX(FlowCalConstB,MATCH(AD175,FlowCalNumber,0),1,1)&lt;INDEX(FlowCalHighSetting,MATCH(AD175,FlowCalNumber,0),1,1))),INDEX(FlowCalConstA,MATCH(AD175,FlowCalNumber,0),1,1)*AF177^INDEX(FlowCalConstB,MATCH(AD175,FlowCalNumber,0),1,1)," ")</f>
        <v>#N/A</v>
      </c>
      <c r="AH177" s="33"/>
      <c r="AI177" s="242">
        <f t="shared" ref="AI177:AI190" si="180">AI176</f>
        <v>0.9</v>
      </c>
      <c r="AJ177" s="241" t="e">
        <f t="shared" ref="AJ177:AJ190" ca="1" si="181">AI177*$H177</f>
        <v>#VALUE!</v>
      </c>
      <c r="AK177" s="243" t="e">
        <f ca="1">IF(AND(INDEX(FlowCalConstA,MATCH(AH175,FlowCalNumber,0),1,1)*AJ177^INDEX(FlowCalConstB,MATCH(AH175,FlowCalNumber,0),1,1)&gt;INDEX(FlowCalLowSetting,MATCH(AH175,FlowCalNumber,0),1,1), (INDEX(FlowCalConstA,MATCH(AH175,FlowCalNumber,0),1,1)*AJ177^INDEX(FlowCalConstB,MATCH(AH175,FlowCalNumber,0),1,1)&lt;INDEX(FlowCalHighSetting,MATCH(AH175,FlowCalNumber,0),1,1))),INDEX(FlowCalConstA,MATCH(AH175,FlowCalNumber,0),1,1)*AJ177^INDEX(FlowCalConstB,MATCH(AH175,FlowCalNumber,0),1,1)," ")</f>
        <v>#N/A</v>
      </c>
      <c r="AL177" s="33"/>
      <c r="AM177" s="242"/>
      <c r="AN177" s="241"/>
      <c r="AO177" s="244"/>
      <c r="AQ177" s="242"/>
      <c r="AR177" s="241"/>
      <c r="AS177" s="244"/>
      <c r="AT177" s="33"/>
      <c r="AU177" s="242"/>
      <c r="AV177" s="241"/>
      <c r="AW177" s="244"/>
      <c r="AX177" s="33"/>
      <c r="AY177" s="242"/>
      <c r="AZ177" s="241"/>
      <c r="BA177" s="244"/>
      <c r="BB177" s="33"/>
      <c r="BC177" s="242"/>
      <c r="BD177" s="241"/>
      <c r="BE177" s="244"/>
      <c r="BF177" s="33"/>
      <c r="BG177" s="242"/>
      <c r="BH177" s="241"/>
      <c r="BI177" s="244"/>
      <c r="BJ177" s="33"/>
      <c r="BK177" s="242"/>
      <c r="BL177" s="241"/>
      <c r="BM177" s="244"/>
      <c r="BN177" s="33"/>
      <c r="BO177" s="242"/>
      <c r="BP177" s="241"/>
      <c r="BQ177" s="244"/>
      <c r="BR177" s="33"/>
      <c r="BS177" s="242"/>
      <c r="BT177" s="241"/>
      <c r="BU177" s="244"/>
      <c r="BV177" s="33"/>
      <c r="BW177" s="242"/>
      <c r="BX177" s="241"/>
      <c r="BY177" s="244"/>
      <c r="BZ177" s="33"/>
      <c r="CA177" s="242"/>
      <c r="CB177" s="241"/>
      <c r="CC177" s="244"/>
      <c r="CD177" s="243"/>
      <c r="CE177" s="243"/>
      <c r="CF177" s="243"/>
      <c r="CG177" s="243"/>
      <c r="CH177" s="243"/>
      <c r="CI177" s="243"/>
      <c r="CJ177" s="243"/>
      <c r="CK177" s="243"/>
      <c r="CL177" s="243"/>
      <c r="CM177" s="243"/>
      <c r="CN177" s="243"/>
      <c r="CO177" s="243"/>
      <c r="CP177" s="243"/>
      <c r="CQ177" s="243"/>
      <c r="CR177" s="243"/>
      <c r="CS177" s="243"/>
      <c r="CT177" s="243"/>
      <c r="CU177" s="243"/>
      <c r="CV177" s="243"/>
      <c r="CW177" s="243"/>
      <c r="CX177" s="243"/>
      <c r="CY177" s="243"/>
      <c r="CZ177" s="243"/>
      <c r="DA177" s="243"/>
      <c r="DB177" s="243"/>
      <c r="DC177" s="243"/>
      <c r="DD177" s="243"/>
      <c r="DE177" s="243"/>
      <c r="DF177" s="243"/>
      <c r="DG177" s="243"/>
      <c r="DH177" s="243"/>
      <c r="DI177" s="243"/>
      <c r="DJ177" s="243"/>
      <c r="DK177" s="243"/>
      <c r="DM177" s="242"/>
      <c r="DO177" s="243"/>
      <c r="DQ177" s="242"/>
      <c r="DS177" s="243"/>
      <c r="DU177" s="242"/>
      <c r="DW177" s="243"/>
      <c r="DY177" s="242"/>
      <c r="EA177" s="243"/>
    </row>
    <row r="178" spans="1:131">
      <c r="A178" s="20"/>
      <c r="B178" s="124" t="str">
        <f t="shared" si="166"/>
        <v/>
      </c>
      <c r="C178" s="235"/>
      <c r="D178" s="24">
        <f>'1% Wind'!$M$84</f>
        <v>20.5</v>
      </c>
      <c r="E178" s="90"/>
      <c r="F178" s="90"/>
      <c r="G178" s="79">
        <f ca="1">IF(I175=0.9743,$G177,MAX(G177/D177*D178,2))</f>
        <v>6.001707317073171</v>
      </c>
      <c r="H178" s="121" t="e">
        <f t="shared" ca="1" si="167"/>
        <v>#VALUE!</v>
      </c>
      <c r="J178" s="33"/>
      <c r="K178" s="242">
        <f t="shared" si="168"/>
        <v>1</v>
      </c>
      <c r="L178" s="241" t="e">
        <f t="shared" ca="1" si="169"/>
        <v>#VALUE!</v>
      </c>
      <c r="M178" s="243" t="e">
        <f ca="1">IF(AND(INDEX(FlowCalConstA,MATCH(J175,FlowCalNumber,0),1,1)*L178^INDEX(FlowCalConstB,MATCH(J175,FlowCalNumber,0),1,1)&gt;INDEX(FlowCalLowSetting,MATCH(J175,FlowCalNumber,0),1,1), (INDEX(FlowCalConstA,MATCH(J175,FlowCalNumber,0),1,1)*L178^INDEX(FlowCalConstB,MATCH(J175,FlowCalNumber,0),1,1)&lt;INDEX(FlowCalHighSetting,MATCH(J175,FlowCalNumber,0),1,1))),INDEX(FlowCalConstA,MATCH(J175,FlowCalNumber,0),1,1)*L178^INDEX(FlowCalConstB,MATCH(J175,FlowCalNumber,0),1,1)," ")</f>
        <v>#N/A</v>
      </c>
      <c r="N178" s="33"/>
      <c r="O178" s="242">
        <f t="shared" si="170"/>
        <v>1</v>
      </c>
      <c r="P178" s="241" t="e">
        <f t="shared" ca="1" si="171"/>
        <v>#VALUE!</v>
      </c>
      <c r="Q178" s="243" t="e">
        <f ca="1">IF(AND(INDEX(FlowCalConstA,MATCH(N175,FlowCalNumber,0),1,1)*P178^INDEX(FlowCalConstB,MATCH(N175,FlowCalNumber,0),1,1)&gt;INDEX(FlowCalLowSetting,MATCH(N175,FlowCalNumber,0),1,1), (INDEX(FlowCalConstA,MATCH(N175,FlowCalNumber,0),1,1)*P178^INDEX(FlowCalConstB,MATCH(N175,FlowCalNumber,0),1,1)&lt;INDEX(FlowCalHighSetting,MATCH(N175,FlowCalNumber,0),1,1))),INDEX(FlowCalConstA,MATCH(N175,FlowCalNumber,0),1,1)*P178^INDEX(FlowCalConstB,MATCH(N175,FlowCalNumber,0),1,1)," ")</f>
        <v>#N/A</v>
      </c>
      <c r="R178" s="33"/>
      <c r="S178" s="242">
        <f t="shared" si="172"/>
        <v>1</v>
      </c>
      <c r="T178" s="241" t="e">
        <f t="shared" ca="1" si="173"/>
        <v>#VALUE!</v>
      </c>
      <c r="U178" s="244" t="e">
        <f ca="1">IF(AND(INDEX(FlowCalConstA,MATCH(R175,FlowCalNumber,0),1,1)*T178^INDEX(FlowCalConstB,MATCH(R175,FlowCalNumber,0),1,1)&gt;INDEX(FlowCalLowSetting,MATCH(R175,FlowCalNumber,0),1,1), (INDEX(FlowCalConstA,MATCH(R175,FlowCalNumber,0),1,1)*T178^INDEX(FlowCalConstB,MATCH(R175,FlowCalNumber,0),1,1)&lt;INDEX(FlowCalHighSetting,MATCH(R175,FlowCalNumber,0),1,1))),INDEX(FlowCalConstA,MATCH(R175,FlowCalNumber,0),1,1)*T178^INDEX(FlowCalConstB,MATCH(R175,FlowCalNumber,0),1,1)," ")</f>
        <v>#N/A</v>
      </c>
      <c r="V178" s="33"/>
      <c r="W178" s="242">
        <f t="shared" si="174"/>
        <v>0.1</v>
      </c>
      <c r="X178" s="241" t="e">
        <f t="shared" ca="1" si="175"/>
        <v>#VALUE!</v>
      </c>
      <c r="Y178" s="243" t="e">
        <f ca="1">IF(AND(INDEX(FlowCalConstA,MATCH(V175,FlowCalNumber,0),1,1)*X178^INDEX(FlowCalConstB,MATCH(V175,FlowCalNumber,0),1,1)&gt;INDEX(FlowCalLowSetting,MATCH(V175,FlowCalNumber,0),1,1), (INDEX(FlowCalConstA,MATCH(V175,FlowCalNumber,0),1,1)*X178^INDEX(FlowCalConstB,MATCH(V175,FlowCalNumber,0),1,1)&lt;INDEX(FlowCalHighSetting,MATCH(V175,FlowCalNumber,0),1,1))),INDEX(FlowCalConstA,MATCH(V175,FlowCalNumber,0),1,1)*X178^INDEX(FlowCalConstB,MATCH(V175,FlowCalNumber,0),1,1)," ")</f>
        <v>#N/A</v>
      </c>
      <c r="Z178" s="33"/>
      <c r="AA178" s="242">
        <f t="shared" si="176"/>
        <v>0.9</v>
      </c>
      <c r="AB178" s="241" t="e">
        <f t="shared" ca="1" si="177"/>
        <v>#VALUE!</v>
      </c>
      <c r="AC178" s="243" t="e">
        <f ca="1">IF(AND(INDEX(FlowCalConstA,MATCH(Z175,FlowCalNumber,0),1,1)*AB178^INDEX(FlowCalConstB,MATCH(Z175,FlowCalNumber,0),1,1)&gt;INDEX(FlowCalLowSetting,MATCH(Z175,FlowCalNumber,0),1,1), (INDEX(FlowCalConstA,MATCH(Z175,FlowCalNumber,0),1,1)*AB178^INDEX(FlowCalConstB,MATCH(Z175,FlowCalNumber,0),1,1)&lt;INDEX(FlowCalHighSetting,MATCH(Z175,FlowCalNumber,0),1,1))),INDEX(FlowCalConstA,MATCH(Z175,FlowCalNumber,0),1,1)*AB178^INDEX(FlowCalConstB,MATCH(Z175,FlowCalNumber,0),1,1)," ")</f>
        <v>#N/A</v>
      </c>
      <c r="AD178" s="33"/>
      <c r="AE178" s="242">
        <f t="shared" si="178"/>
        <v>0.1</v>
      </c>
      <c r="AF178" s="241" t="e">
        <f t="shared" ca="1" si="179"/>
        <v>#VALUE!</v>
      </c>
      <c r="AG178" s="243" t="e">
        <f ca="1">IF(AND(INDEX(FlowCalConstA,MATCH(AD175,FlowCalNumber,0),1,1)*AF178^INDEX(FlowCalConstB,MATCH(AD175,FlowCalNumber,0),1,1)&gt;INDEX(FlowCalLowSetting,MATCH(AD175,FlowCalNumber,0),1,1), (INDEX(FlowCalConstA,MATCH(AD175,FlowCalNumber,0),1,1)*AF178^INDEX(FlowCalConstB,MATCH(AD175,FlowCalNumber,0),1,1)&lt;INDEX(FlowCalHighSetting,MATCH(AD175,FlowCalNumber,0),1,1))),INDEX(FlowCalConstA,MATCH(AD175,FlowCalNumber,0),1,1)*AF178^INDEX(FlowCalConstB,MATCH(AD175,FlowCalNumber,0),1,1)," ")</f>
        <v>#N/A</v>
      </c>
      <c r="AH178" s="33"/>
      <c r="AI178" s="242">
        <f t="shared" si="180"/>
        <v>0.9</v>
      </c>
      <c r="AJ178" s="241" t="e">
        <f t="shared" ca="1" si="181"/>
        <v>#VALUE!</v>
      </c>
      <c r="AK178" s="243" t="e">
        <f ca="1">IF(AND(INDEX(FlowCalConstA,MATCH(AH175,FlowCalNumber,0),1,1)*AJ178^INDEX(FlowCalConstB,MATCH(AH175,FlowCalNumber,0),1,1)&gt;INDEX(FlowCalLowSetting,MATCH(AH175,FlowCalNumber,0),1,1), (INDEX(FlowCalConstA,MATCH(AH175,FlowCalNumber,0),1,1)*AJ178^INDEX(FlowCalConstB,MATCH(AH175,FlowCalNumber,0),1,1)&lt;INDEX(FlowCalHighSetting,MATCH(AH175,FlowCalNumber,0),1,1))),INDEX(FlowCalConstA,MATCH(AH175,FlowCalNumber,0),1,1)*AJ178^INDEX(FlowCalConstB,MATCH(AH175,FlowCalNumber,0),1,1)," ")</f>
        <v>#N/A</v>
      </c>
      <c r="AL178" s="33"/>
      <c r="AM178" s="242"/>
      <c r="AN178" s="241"/>
      <c r="AO178" s="244"/>
      <c r="AQ178" s="242"/>
      <c r="AR178" s="241"/>
      <c r="AS178" s="244"/>
      <c r="AT178" s="33"/>
      <c r="AU178" s="242"/>
      <c r="AV178" s="241"/>
      <c r="AW178" s="244"/>
      <c r="AX178" s="33"/>
      <c r="AY178" s="242"/>
      <c r="AZ178" s="241"/>
      <c r="BA178" s="244"/>
      <c r="BB178" s="33"/>
      <c r="BC178" s="242"/>
      <c r="BD178" s="241"/>
      <c r="BE178" s="244"/>
      <c r="BF178" s="33"/>
      <c r="BG178" s="242"/>
      <c r="BH178" s="241"/>
      <c r="BI178" s="244"/>
      <c r="BJ178" s="33"/>
      <c r="BK178" s="242"/>
      <c r="BL178" s="241"/>
      <c r="BM178" s="244"/>
      <c r="BN178" s="33"/>
      <c r="BO178" s="242"/>
      <c r="BP178" s="241"/>
      <c r="BQ178" s="244"/>
      <c r="BR178" s="33"/>
      <c r="BS178" s="242"/>
      <c r="BT178" s="241"/>
      <c r="BU178" s="244"/>
      <c r="BV178" s="33"/>
      <c r="BW178" s="242"/>
      <c r="BX178" s="241"/>
      <c r="BY178" s="244"/>
      <c r="BZ178" s="33"/>
      <c r="CA178" s="242"/>
      <c r="CB178" s="241"/>
      <c r="CC178" s="244"/>
      <c r="CD178" s="243"/>
      <c r="CE178" s="243"/>
      <c r="CF178" s="243"/>
      <c r="CG178" s="243"/>
      <c r="CH178" s="243"/>
      <c r="CI178" s="243"/>
      <c r="CJ178" s="243"/>
      <c r="CK178" s="243"/>
      <c r="CL178" s="243"/>
      <c r="CM178" s="243"/>
      <c r="CN178" s="243"/>
      <c r="CO178" s="243"/>
      <c r="CP178" s="243"/>
      <c r="CQ178" s="243"/>
      <c r="CR178" s="243"/>
      <c r="CS178" s="243"/>
      <c r="CT178" s="243"/>
      <c r="CU178" s="243"/>
      <c r="CV178" s="243"/>
      <c r="CW178" s="243"/>
      <c r="CX178" s="243"/>
      <c r="CY178" s="243"/>
      <c r="CZ178" s="243"/>
      <c r="DA178" s="243"/>
      <c r="DB178" s="243"/>
      <c r="DC178" s="243"/>
      <c r="DD178" s="243"/>
      <c r="DE178" s="243"/>
      <c r="DF178" s="243"/>
      <c r="DG178" s="243"/>
      <c r="DH178" s="243"/>
      <c r="DI178" s="243"/>
      <c r="DJ178" s="243"/>
      <c r="DK178" s="243"/>
      <c r="DM178" s="242"/>
      <c r="DO178" s="243"/>
      <c r="DQ178" s="242"/>
      <c r="DS178" s="243"/>
      <c r="DU178" s="242"/>
      <c r="DW178" s="243"/>
      <c r="DY178" s="242"/>
      <c r="EA178" s="243"/>
    </row>
    <row r="179" spans="1:131">
      <c r="A179" s="20"/>
      <c r="B179" s="124" t="str">
        <f t="shared" si="166"/>
        <v/>
      </c>
      <c r="C179" s="235"/>
      <c r="D179" s="24">
        <f>'1% Wind'!$M$85</f>
        <v>17.8</v>
      </c>
      <c r="E179" s="90"/>
      <c r="F179" s="90"/>
      <c r="G179" s="79">
        <f ca="1">IF(I175=0.9743,$G178,MAX(G178/D178*D179,2))</f>
        <v>6.001707317073171</v>
      </c>
      <c r="H179" s="121" t="e">
        <f t="shared" ca="1" si="167"/>
        <v>#VALUE!</v>
      </c>
      <c r="J179" s="33"/>
      <c r="K179" s="242">
        <f t="shared" si="168"/>
        <v>1</v>
      </c>
      <c r="L179" s="241" t="e">
        <f t="shared" ca="1" si="169"/>
        <v>#VALUE!</v>
      </c>
      <c r="M179" s="243" t="e">
        <f ca="1">IF(AND(INDEX(FlowCalConstA,MATCH(J175,FlowCalNumber,0),1,1)*L179^INDEX(FlowCalConstB,MATCH(J175,FlowCalNumber,0),1,1)&gt;INDEX(FlowCalLowSetting,MATCH(J175,FlowCalNumber,0),1,1), (INDEX(FlowCalConstA,MATCH(J175,FlowCalNumber,0),1,1)*L179^INDEX(FlowCalConstB,MATCH(J175,FlowCalNumber,0),1,1)&lt;INDEX(FlowCalHighSetting,MATCH(J175,FlowCalNumber,0),1,1))),INDEX(FlowCalConstA,MATCH(J175,FlowCalNumber,0),1,1)*L179^INDEX(FlowCalConstB,MATCH(J175,FlowCalNumber,0),1,1)," ")</f>
        <v>#N/A</v>
      </c>
      <c r="N179" s="33"/>
      <c r="O179" s="242">
        <f t="shared" si="170"/>
        <v>1</v>
      </c>
      <c r="P179" s="241" t="e">
        <f t="shared" ca="1" si="171"/>
        <v>#VALUE!</v>
      </c>
      <c r="Q179" s="243" t="e">
        <f ca="1">IF(AND(INDEX(FlowCalConstA,MATCH(N175,FlowCalNumber,0),1,1)*P179^INDEX(FlowCalConstB,MATCH(N175,FlowCalNumber,0),1,1)&gt;INDEX(FlowCalLowSetting,MATCH(N175,FlowCalNumber,0),1,1), (INDEX(FlowCalConstA,MATCH(N175,FlowCalNumber,0),1,1)*P179^INDEX(FlowCalConstB,MATCH(N175,FlowCalNumber,0),1,1)&lt;INDEX(FlowCalHighSetting,MATCH(N175,FlowCalNumber,0),1,1))),INDEX(FlowCalConstA,MATCH(N175,FlowCalNumber,0),1,1)*P179^INDEX(FlowCalConstB,MATCH(N175,FlowCalNumber,0),1,1)," ")</f>
        <v>#N/A</v>
      </c>
      <c r="R179" s="33"/>
      <c r="S179" s="242">
        <f t="shared" si="172"/>
        <v>1</v>
      </c>
      <c r="T179" s="241" t="e">
        <f t="shared" ca="1" si="173"/>
        <v>#VALUE!</v>
      </c>
      <c r="U179" s="244" t="e">
        <f ca="1">IF(AND(INDEX(FlowCalConstA,MATCH(R175,FlowCalNumber,0),1,1)*T179^INDEX(FlowCalConstB,MATCH(R175,FlowCalNumber,0),1,1)&gt;INDEX(FlowCalLowSetting,MATCH(R175,FlowCalNumber,0),1,1), (INDEX(FlowCalConstA,MATCH(R175,FlowCalNumber,0),1,1)*T179^INDEX(FlowCalConstB,MATCH(R175,FlowCalNumber,0),1,1)&lt;INDEX(FlowCalHighSetting,MATCH(R175,FlowCalNumber,0),1,1))),INDEX(FlowCalConstA,MATCH(R175,FlowCalNumber,0),1,1)*T179^INDEX(FlowCalConstB,MATCH(R175,FlowCalNumber,0),1,1)," ")</f>
        <v>#N/A</v>
      </c>
      <c r="V179" s="33"/>
      <c r="W179" s="242">
        <f t="shared" si="174"/>
        <v>0.1</v>
      </c>
      <c r="X179" s="241" t="e">
        <f t="shared" ca="1" si="175"/>
        <v>#VALUE!</v>
      </c>
      <c r="Y179" s="243" t="e">
        <f ca="1">IF(AND(INDEX(FlowCalConstA,MATCH(V175,FlowCalNumber,0),1,1)*X179^INDEX(FlowCalConstB,MATCH(V175,FlowCalNumber,0),1,1)&gt;INDEX(FlowCalLowSetting,MATCH(V175,FlowCalNumber,0),1,1), (INDEX(FlowCalConstA,MATCH(V175,FlowCalNumber,0),1,1)*X179^INDEX(FlowCalConstB,MATCH(V175,FlowCalNumber,0),1,1)&lt;INDEX(FlowCalHighSetting,MATCH(V175,FlowCalNumber,0),1,1))),INDEX(FlowCalConstA,MATCH(V175,FlowCalNumber,0),1,1)*X179^INDEX(FlowCalConstB,MATCH(V175,FlowCalNumber,0),1,1)," ")</f>
        <v>#N/A</v>
      </c>
      <c r="Z179" s="33"/>
      <c r="AA179" s="242">
        <f t="shared" si="176"/>
        <v>0.9</v>
      </c>
      <c r="AB179" s="241" t="e">
        <f t="shared" ca="1" si="177"/>
        <v>#VALUE!</v>
      </c>
      <c r="AC179" s="243" t="e">
        <f ca="1">IF(AND(INDEX(FlowCalConstA,MATCH(Z175,FlowCalNumber,0),1,1)*AB179^INDEX(FlowCalConstB,MATCH(Z175,FlowCalNumber,0),1,1)&gt;INDEX(FlowCalLowSetting,MATCH(Z175,FlowCalNumber,0),1,1), (INDEX(FlowCalConstA,MATCH(Z175,FlowCalNumber,0),1,1)*AB179^INDEX(FlowCalConstB,MATCH(Z175,FlowCalNumber,0),1,1)&lt;INDEX(FlowCalHighSetting,MATCH(Z175,FlowCalNumber,0),1,1))),INDEX(FlowCalConstA,MATCH(Z175,FlowCalNumber,0),1,1)*AB179^INDEX(FlowCalConstB,MATCH(Z175,FlowCalNumber,0),1,1)," ")</f>
        <v>#N/A</v>
      </c>
      <c r="AD179" s="33"/>
      <c r="AE179" s="242">
        <f t="shared" si="178"/>
        <v>0.1</v>
      </c>
      <c r="AF179" s="241" t="e">
        <f t="shared" ca="1" si="179"/>
        <v>#VALUE!</v>
      </c>
      <c r="AG179" s="243" t="e">
        <f ca="1">IF(AND(INDEX(FlowCalConstA,MATCH(AD175,FlowCalNumber,0),1,1)*AF179^INDEX(FlowCalConstB,MATCH(AD175,FlowCalNumber,0),1,1)&gt;INDEX(FlowCalLowSetting,MATCH(AD175,FlowCalNumber,0),1,1), (INDEX(FlowCalConstA,MATCH(AD175,FlowCalNumber,0),1,1)*AF179^INDEX(FlowCalConstB,MATCH(AD175,FlowCalNumber,0),1,1)&lt;INDEX(FlowCalHighSetting,MATCH(AD175,FlowCalNumber,0),1,1))),INDEX(FlowCalConstA,MATCH(AD175,FlowCalNumber,0),1,1)*AF179^INDEX(FlowCalConstB,MATCH(AD175,FlowCalNumber,0),1,1)," ")</f>
        <v>#N/A</v>
      </c>
      <c r="AH179" s="33"/>
      <c r="AI179" s="242">
        <f t="shared" si="180"/>
        <v>0.9</v>
      </c>
      <c r="AJ179" s="241" t="e">
        <f t="shared" ca="1" si="181"/>
        <v>#VALUE!</v>
      </c>
      <c r="AK179" s="243" t="e">
        <f ca="1">IF(AND(INDEX(FlowCalConstA,MATCH(AH175,FlowCalNumber,0),1,1)*AJ179^INDEX(FlowCalConstB,MATCH(AH175,FlowCalNumber,0),1,1)&gt;INDEX(FlowCalLowSetting,MATCH(AH175,FlowCalNumber,0),1,1), (INDEX(FlowCalConstA,MATCH(AH175,FlowCalNumber,0),1,1)*AJ179^INDEX(FlowCalConstB,MATCH(AH175,FlowCalNumber,0),1,1)&lt;INDEX(FlowCalHighSetting,MATCH(AH175,FlowCalNumber,0),1,1))),INDEX(FlowCalConstA,MATCH(AH175,FlowCalNumber,0),1,1)*AJ179^INDEX(FlowCalConstB,MATCH(AH175,FlowCalNumber,0),1,1)," ")</f>
        <v>#N/A</v>
      </c>
      <c r="AL179" s="33"/>
      <c r="AM179" s="242"/>
      <c r="AN179" s="241"/>
      <c r="AO179" s="244"/>
      <c r="AQ179" s="242"/>
      <c r="AR179" s="241"/>
      <c r="AS179" s="244"/>
      <c r="AT179" s="33"/>
      <c r="AU179" s="242"/>
      <c r="AV179" s="241"/>
      <c r="AW179" s="244"/>
      <c r="AX179" s="33"/>
      <c r="AY179" s="242"/>
      <c r="AZ179" s="241"/>
      <c r="BA179" s="244"/>
      <c r="BB179" s="33"/>
      <c r="BC179" s="242"/>
      <c r="BD179" s="241"/>
      <c r="BE179" s="244"/>
      <c r="BF179" s="33"/>
      <c r="BG179" s="242"/>
      <c r="BH179" s="241"/>
      <c r="BI179" s="244"/>
      <c r="BJ179" s="33"/>
      <c r="BK179" s="242"/>
      <c r="BL179" s="241"/>
      <c r="BM179" s="244"/>
      <c r="BN179" s="33"/>
      <c r="BO179" s="242"/>
      <c r="BP179" s="241"/>
      <c r="BQ179" s="244"/>
      <c r="BR179" s="33"/>
      <c r="BS179" s="242"/>
      <c r="BT179" s="241"/>
      <c r="BU179" s="244"/>
      <c r="BV179" s="33"/>
      <c r="BW179" s="242"/>
      <c r="BX179" s="241"/>
      <c r="BY179" s="244"/>
      <c r="BZ179" s="33"/>
      <c r="CA179" s="242"/>
      <c r="CB179" s="241"/>
      <c r="CC179" s="244"/>
      <c r="CD179" s="243"/>
      <c r="CE179" s="243"/>
      <c r="CF179" s="243"/>
      <c r="CG179" s="243"/>
      <c r="CH179" s="243"/>
      <c r="CI179" s="243"/>
      <c r="CJ179" s="243"/>
      <c r="CK179" s="243"/>
      <c r="CL179" s="243"/>
      <c r="CM179" s="243"/>
      <c r="CN179" s="243"/>
      <c r="CO179" s="243"/>
      <c r="CP179" s="243"/>
      <c r="CQ179" s="243"/>
      <c r="CR179" s="243"/>
      <c r="CS179" s="243"/>
      <c r="CT179" s="243"/>
      <c r="CU179" s="243"/>
      <c r="CV179" s="243"/>
      <c r="CW179" s="243"/>
      <c r="CX179" s="243"/>
      <c r="CY179" s="243"/>
      <c r="CZ179" s="243"/>
      <c r="DA179" s="243"/>
      <c r="DB179" s="243"/>
      <c r="DC179" s="243"/>
      <c r="DD179" s="243"/>
      <c r="DE179" s="243"/>
      <c r="DF179" s="243"/>
      <c r="DG179" s="243"/>
      <c r="DH179" s="243"/>
      <c r="DI179" s="243"/>
      <c r="DJ179" s="243"/>
      <c r="DK179" s="243"/>
      <c r="DM179" s="242"/>
      <c r="DO179" s="243"/>
      <c r="DQ179" s="242"/>
      <c r="DS179" s="243"/>
      <c r="DU179" s="242"/>
      <c r="DW179" s="243"/>
      <c r="DY179" s="242"/>
      <c r="EA179" s="243"/>
    </row>
    <row r="180" spans="1:131">
      <c r="A180" s="20"/>
      <c r="B180" s="124" t="str">
        <f t="shared" si="166"/>
        <v/>
      </c>
      <c r="C180" s="235"/>
      <c r="D180" s="24">
        <f>'1% Wind'!$M$86</f>
        <v>15.5</v>
      </c>
      <c r="E180" s="90"/>
      <c r="F180" s="90"/>
      <c r="G180" s="79">
        <f ca="1">IF(I175=0.9743,$G179,MAX(G179/D179*D180,2))</f>
        <v>6.001707317073171</v>
      </c>
      <c r="H180" s="121" t="e">
        <f t="shared" ca="1" si="167"/>
        <v>#VALUE!</v>
      </c>
      <c r="J180" s="33"/>
      <c r="K180" s="242">
        <f t="shared" si="168"/>
        <v>1</v>
      </c>
      <c r="L180" s="241" t="e">
        <f t="shared" ca="1" si="169"/>
        <v>#VALUE!</v>
      </c>
      <c r="M180" s="243" t="e">
        <f ca="1">IF(AND(INDEX(FlowCalConstA,MATCH(J175,FlowCalNumber,0),1,1)*L180^INDEX(FlowCalConstB,MATCH(J175,FlowCalNumber,0),1,1)&gt;INDEX(FlowCalLowSetting,MATCH(J175,FlowCalNumber,0),1,1), (INDEX(FlowCalConstA,MATCH(J175,FlowCalNumber,0),1,1)*L180^INDEX(FlowCalConstB,MATCH(J175,FlowCalNumber,0),1,1)&lt;INDEX(FlowCalHighSetting,MATCH(J175,FlowCalNumber,0),1,1))),INDEX(FlowCalConstA,MATCH(J175,FlowCalNumber,0),1,1)*L180^INDEX(FlowCalConstB,MATCH(J175,FlowCalNumber,0),1,1)," ")</f>
        <v>#N/A</v>
      </c>
      <c r="N180" s="33"/>
      <c r="O180" s="242">
        <f t="shared" si="170"/>
        <v>1</v>
      </c>
      <c r="P180" s="241" t="e">
        <f t="shared" ca="1" si="171"/>
        <v>#VALUE!</v>
      </c>
      <c r="Q180" s="243" t="e">
        <f ca="1">IF(AND(INDEX(FlowCalConstA,MATCH(N175,FlowCalNumber,0),1,1)*P180^INDEX(FlowCalConstB,MATCH(N175,FlowCalNumber,0),1,1)&gt;INDEX(FlowCalLowSetting,MATCH(N175,FlowCalNumber,0),1,1), (INDEX(FlowCalConstA,MATCH(N175,FlowCalNumber,0),1,1)*P180^INDEX(FlowCalConstB,MATCH(N175,FlowCalNumber,0),1,1)&lt;INDEX(FlowCalHighSetting,MATCH(N175,FlowCalNumber,0),1,1))),INDEX(FlowCalConstA,MATCH(N175,FlowCalNumber,0),1,1)*P180^INDEX(FlowCalConstB,MATCH(N175,FlowCalNumber,0),1,1)," ")</f>
        <v>#N/A</v>
      </c>
      <c r="R180" s="33"/>
      <c r="S180" s="242">
        <f t="shared" si="172"/>
        <v>1</v>
      </c>
      <c r="T180" s="241" t="e">
        <f t="shared" ca="1" si="173"/>
        <v>#VALUE!</v>
      </c>
      <c r="U180" s="244" t="e">
        <f ca="1">IF(AND(INDEX(FlowCalConstA,MATCH(R175,FlowCalNumber,0),1,1)*T180^INDEX(FlowCalConstB,MATCH(R175,FlowCalNumber,0),1,1)&gt;INDEX(FlowCalLowSetting,MATCH(R175,FlowCalNumber,0),1,1), (INDEX(FlowCalConstA,MATCH(R175,FlowCalNumber,0),1,1)*T180^INDEX(FlowCalConstB,MATCH(R175,FlowCalNumber,0),1,1)&lt;INDEX(FlowCalHighSetting,MATCH(R175,FlowCalNumber,0),1,1))),INDEX(FlowCalConstA,MATCH(R175,FlowCalNumber,0),1,1)*T180^INDEX(FlowCalConstB,MATCH(R175,FlowCalNumber,0),1,1)," ")</f>
        <v>#N/A</v>
      </c>
      <c r="V180" s="33"/>
      <c r="W180" s="242">
        <f t="shared" si="174"/>
        <v>0.1</v>
      </c>
      <c r="X180" s="241" t="e">
        <f t="shared" ca="1" si="175"/>
        <v>#VALUE!</v>
      </c>
      <c r="Y180" s="243" t="e">
        <f ca="1">IF(AND(INDEX(FlowCalConstA,MATCH(V175,FlowCalNumber,0),1,1)*X180^INDEX(FlowCalConstB,MATCH(V175,FlowCalNumber,0),1,1)&gt;INDEX(FlowCalLowSetting,MATCH(V175,FlowCalNumber,0),1,1), (INDEX(FlowCalConstA,MATCH(V175,FlowCalNumber,0),1,1)*X180^INDEX(FlowCalConstB,MATCH(V175,FlowCalNumber,0),1,1)&lt;INDEX(FlowCalHighSetting,MATCH(V175,FlowCalNumber,0),1,1))),INDEX(FlowCalConstA,MATCH(V175,FlowCalNumber,0),1,1)*X180^INDEX(FlowCalConstB,MATCH(V175,FlowCalNumber,0),1,1)," ")</f>
        <v>#N/A</v>
      </c>
      <c r="Z180" s="33"/>
      <c r="AA180" s="242">
        <f t="shared" si="176"/>
        <v>0.9</v>
      </c>
      <c r="AB180" s="241" t="e">
        <f t="shared" ca="1" si="177"/>
        <v>#VALUE!</v>
      </c>
      <c r="AC180" s="243" t="e">
        <f ca="1">IF(AND(INDEX(FlowCalConstA,MATCH(Z175,FlowCalNumber,0),1,1)*AB180^INDEX(FlowCalConstB,MATCH(Z175,FlowCalNumber,0),1,1)&gt;INDEX(FlowCalLowSetting,MATCH(Z175,FlowCalNumber,0),1,1), (INDEX(FlowCalConstA,MATCH(Z175,FlowCalNumber,0),1,1)*AB180^INDEX(FlowCalConstB,MATCH(Z175,FlowCalNumber,0),1,1)&lt;INDEX(FlowCalHighSetting,MATCH(Z175,FlowCalNumber,0),1,1))),INDEX(FlowCalConstA,MATCH(Z175,FlowCalNumber,0),1,1)*AB180^INDEX(FlowCalConstB,MATCH(Z175,FlowCalNumber,0),1,1)," ")</f>
        <v>#N/A</v>
      </c>
      <c r="AD180" s="33"/>
      <c r="AE180" s="242">
        <f t="shared" si="178"/>
        <v>0.1</v>
      </c>
      <c r="AF180" s="241" t="e">
        <f t="shared" ca="1" si="179"/>
        <v>#VALUE!</v>
      </c>
      <c r="AG180" s="243" t="e">
        <f ca="1">IF(AND(INDEX(FlowCalConstA,MATCH(AD175,FlowCalNumber,0),1,1)*AF180^INDEX(FlowCalConstB,MATCH(AD175,FlowCalNumber,0),1,1)&gt;INDEX(FlowCalLowSetting,MATCH(AD175,FlowCalNumber,0),1,1), (INDEX(FlowCalConstA,MATCH(AD175,FlowCalNumber,0),1,1)*AF180^INDEX(FlowCalConstB,MATCH(AD175,FlowCalNumber,0),1,1)&lt;INDEX(FlowCalHighSetting,MATCH(AD175,FlowCalNumber,0),1,1))),INDEX(FlowCalConstA,MATCH(AD175,FlowCalNumber,0),1,1)*AF180^INDEX(FlowCalConstB,MATCH(AD175,FlowCalNumber,0),1,1)," ")</f>
        <v>#N/A</v>
      </c>
      <c r="AH180" s="33"/>
      <c r="AI180" s="242">
        <f t="shared" si="180"/>
        <v>0.9</v>
      </c>
      <c r="AJ180" s="241" t="e">
        <f t="shared" ca="1" si="181"/>
        <v>#VALUE!</v>
      </c>
      <c r="AK180" s="243" t="e">
        <f ca="1">IF(AND(INDEX(FlowCalConstA,MATCH(AH175,FlowCalNumber,0),1,1)*AJ180^INDEX(FlowCalConstB,MATCH(AH175,FlowCalNumber,0),1,1)&gt;INDEX(FlowCalLowSetting,MATCH(AH175,FlowCalNumber,0),1,1), (INDEX(FlowCalConstA,MATCH(AH175,FlowCalNumber,0),1,1)*AJ180^INDEX(FlowCalConstB,MATCH(AH175,FlowCalNumber,0),1,1)&lt;INDEX(FlowCalHighSetting,MATCH(AH175,FlowCalNumber,0),1,1))),INDEX(FlowCalConstA,MATCH(AH175,FlowCalNumber,0),1,1)*AJ180^INDEX(FlowCalConstB,MATCH(AH175,FlowCalNumber,0),1,1)," ")</f>
        <v>#N/A</v>
      </c>
      <c r="AL180" s="33"/>
      <c r="AM180" s="242"/>
      <c r="AN180" s="241"/>
      <c r="AO180" s="244"/>
      <c r="AQ180" s="242"/>
      <c r="AR180" s="241"/>
      <c r="AS180" s="244"/>
      <c r="AT180" s="33"/>
      <c r="AU180" s="242"/>
      <c r="AV180" s="241"/>
      <c r="AW180" s="244"/>
      <c r="AX180" s="33"/>
      <c r="AY180" s="242"/>
      <c r="AZ180" s="241"/>
      <c r="BA180" s="244"/>
      <c r="BB180" s="33"/>
      <c r="BC180" s="242"/>
      <c r="BD180" s="241"/>
      <c r="BE180" s="244"/>
      <c r="BF180" s="33"/>
      <c r="BG180" s="242"/>
      <c r="BH180" s="241"/>
      <c r="BI180" s="244"/>
      <c r="BJ180" s="33"/>
      <c r="BK180" s="242"/>
      <c r="BL180" s="241"/>
      <c r="BM180" s="244"/>
      <c r="BN180" s="33"/>
      <c r="BO180" s="242"/>
      <c r="BP180" s="241"/>
      <c r="BQ180" s="244"/>
      <c r="BR180" s="33"/>
      <c r="BS180" s="242"/>
      <c r="BT180" s="241"/>
      <c r="BU180" s="244"/>
      <c r="BV180" s="33"/>
      <c r="BW180" s="242"/>
      <c r="BX180" s="241"/>
      <c r="BY180" s="244"/>
      <c r="BZ180" s="33"/>
      <c r="CA180" s="242"/>
      <c r="CB180" s="241"/>
      <c r="CC180" s="244"/>
      <c r="CD180" s="243"/>
      <c r="CE180" s="243"/>
      <c r="CF180" s="243"/>
      <c r="CG180" s="243"/>
      <c r="CH180" s="243"/>
      <c r="CI180" s="243"/>
      <c r="CJ180" s="243"/>
      <c r="CK180" s="243"/>
      <c r="CL180" s="243"/>
      <c r="CM180" s="243"/>
      <c r="CN180" s="243"/>
      <c r="CO180" s="243"/>
      <c r="CP180" s="243"/>
      <c r="CQ180" s="243"/>
      <c r="CR180" s="243"/>
      <c r="CS180" s="243"/>
      <c r="CT180" s="243"/>
      <c r="CU180" s="243"/>
      <c r="CV180" s="243"/>
      <c r="CW180" s="243"/>
      <c r="CX180" s="243"/>
      <c r="CY180" s="243"/>
      <c r="CZ180" s="243"/>
      <c r="DA180" s="243"/>
      <c r="DB180" s="243"/>
      <c r="DC180" s="243"/>
      <c r="DD180" s="243"/>
      <c r="DE180" s="243"/>
      <c r="DF180" s="243"/>
      <c r="DG180" s="243"/>
      <c r="DH180" s="243"/>
      <c r="DI180" s="243"/>
      <c r="DJ180" s="243"/>
      <c r="DK180" s="243"/>
      <c r="DM180" s="242"/>
      <c r="DO180" s="243"/>
      <c r="DQ180" s="242"/>
      <c r="DS180" s="243"/>
      <c r="DU180" s="242"/>
      <c r="DW180" s="243"/>
      <c r="DY180" s="242"/>
      <c r="EA180" s="243"/>
    </row>
    <row r="181" spans="1:131">
      <c r="A181" s="20"/>
      <c r="B181" s="124" t="str">
        <f t="shared" si="166"/>
        <v/>
      </c>
      <c r="C181" s="235"/>
      <c r="D181" s="24">
        <f>'1% Wind'!$M$87</f>
        <v>13.5</v>
      </c>
      <c r="E181" s="90"/>
      <c r="F181" s="90"/>
      <c r="G181" s="79">
        <f ca="1">IF(I175=0.9743,$G180,MAX(G180/D180*D181,2))</f>
        <v>6.001707317073171</v>
      </c>
      <c r="H181" s="121" t="e">
        <f t="shared" ca="1" si="167"/>
        <v>#VALUE!</v>
      </c>
      <c r="J181" s="33"/>
      <c r="K181" s="242">
        <f t="shared" si="168"/>
        <v>1</v>
      </c>
      <c r="L181" s="241" t="e">
        <f t="shared" ca="1" si="169"/>
        <v>#VALUE!</v>
      </c>
      <c r="M181" s="243" t="e">
        <f ca="1">IF(AND(INDEX(FlowCalConstA,MATCH(J175,FlowCalNumber,0),1,1)*L181^INDEX(FlowCalConstB,MATCH(J175,FlowCalNumber,0),1,1)&gt;INDEX(FlowCalLowSetting,MATCH(J175,FlowCalNumber,0),1,1), (INDEX(FlowCalConstA,MATCH(J175,FlowCalNumber,0),1,1)*L181^INDEX(FlowCalConstB,MATCH(J175,FlowCalNumber,0),1,1)&lt;INDEX(FlowCalHighSetting,MATCH(J175,FlowCalNumber,0),1,1))),INDEX(FlowCalConstA,MATCH(J175,FlowCalNumber,0),1,1)*L181^INDEX(FlowCalConstB,MATCH(J175,FlowCalNumber,0),1,1)," ")</f>
        <v>#N/A</v>
      </c>
      <c r="N181" s="33"/>
      <c r="O181" s="242">
        <f t="shared" si="170"/>
        <v>1</v>
      </c>
      <c r="P181" s="241" t="e">
        <f t="shared" ca="1" si="171"/>
        <v>#VALUE!</v>
      </c>
      <c r="Q181" s="243" t="e">
        <f ca="1">IF(AND(INDEX(FlowCalConstA,MATCH(N175,FlowCalNumber,0),1,1)*P181^INDEX(FlowCalConstB,MATCH(N175,FlowCalNumber,0),1,1)&gt;INDEX(FlowCalLowSetting,MATCH(N175,FlowCalNumber,0),1,1), (INDEX(FlowCalConstA,MATCH(N175,FlowCalNumber,0),1,1)*P181^INDEX(FlowCalConstB,MATCH(N175,FlowCalNumber,0),1,1)&lt;INDEX(FlowCalHighSetting,MATCH(N175,FlowCalNumber,0),1,1))),INDEX(FlowCalConstA,MATCH(N175,FlowCalNumber,0),1,1)*P181^INDEX(FlowCalConstB,MATCH(N175,FlowCalNumber,0),1,1)," ")</f>
        <v>#N/A</v>
      </c>
      <c r="R181" s="33"/>
      <c r="S181" s="242">
        <f t="shared" si="172"/>
        <v>1</v>
      </c>
      <c r="T181" s="241" t="e">
        <f t="shared" ca="1" si="173"/>
        <v>#VALUE!</v>
      </c>
      <c r="U181" s="244" t="e">
        <f ca="1">IF(AND(INDEX(FlowCalConstA,MATCH(R175,FlowCalNumber,0),1,1)*T181^INDEX(FlowCalConstB,MATCH(R175,FlowCalNumber,0),1,1)&gt;INDEX(FlowCalLowSetting,MATCH(R175,FlowCalNumber,0),1,1), (INDEX(FlowCalConstA,MATCH(R175,FlowCalNumber,0),1,1)*T181^INDEX(FlowCalConstB,MATCH(R175,FlowCalNumber,0),1,1)&lt;INDEX(FlowCalHighSetting,MATCH(R175,FlowCalNumber,0),1,1))),INDEX(FlowCalConstA,MATCH(R175,FlowCalNumber,0),1,1)*T181^INDEX(FlowCalConstB,MATCH(R175,FlowCalNumber,0),1,1)," ")</f>
        <v>#N/A</v>
      </c>
      <c r="V181" s="33"/>
      <c r="W181" s="242">
        <f t="shared" si="174"/>
        <v>0.1</v>
      </c>
      <c r="X181" s="241" t="e">
        <f t="shared" ca="1" si="175"/>
        <v>#VALUE!</v>
      </c>
      <c r="Y181" s="243" t="e">
        <f ca="1">IF(AND(INDEX(FlowCalConstA,MATCH(V175,FlowCalNumber,0),1,1)*X181^INDEX(FlowCalConstB,MATCH(V175,FlowCalNumber,0),1,1)&gt;INDEX(FlowCalLowSetting,MATCH(V175,FlowCalNumber,0),1,1), (INDEX(FlowCalConstA,MATCH(V175,FlowCalNumber,0),1,1)*X181^INDEX(FlowCalConstB,MATCH(V175,FlowCalNumber,0),1,1)&lt;INDEX(FlowCalHighSetting,MATCH(V175,FlowCalNumber,0),1,1))),INDEX(FlowCalConstA,MATCH(V175,FlowCalNumber,0),1,1)*X181^INDEX(FlowCalConstB,MATCH(V175,FlowCalNumber,0),1,1)," ")</f>
        <v>#N/A</v>
      </c>
      <c r="Z181" s="33"/>
      <c r="AA181" s="242">
        <f t="shared" si="176"/>
        <v>0.9</v>
      </c>
      <c r="AB181" s="241" t="e">
        <f t="shared" ca="1" si="177"/>
        <v>#VALUE!</v>
      </c>
      <c r="AC181" s="243" t="e">
        <f ca="1">IF(AND(INDEX(FlowCalConstA,MATCH(Z175,FlowCalNumber,0),1,1)*AB181^INDEX(FlowCalConstB,MATCH(Z175,FlowCalNumber,0),1,1)&gt;INDEX(FlowCalLowSetting,MATCH(Z175,FlowCalNumber,0),1,1), (INDEX(FlowCalConstA,MATCH(Z175,FlowCalNumber,0),1,1)*AB181^INDEX(FlowCalConstB,MATCH(Z175,FlowCalNumber,0),1,1)&lt;INDEX(FlowCalHighSetting,MATCH(Z175,FlowCalNumber,0),1,1))),INDEX(FlowCalConstA,MATCH(Z175,FlowCalNumber,0),1,1)*AB181^INDEX(FlowCalConstB,MATCH(Z175,FlowCalNumber,0),1,1)," ")</f>
        <v>#N/A</v>
      </c>
      <c r="AD181" s="33"/>
      <c r="AE181" s="242">
        <f t="shared" si="178"/>
        <v>0.1</v>
      </c>
      <c r="AF181" s="241" t="e">
        <f t="shared" ca="1" si="179"/>
        <v>#VALUE!</v>
      </c>
      <c r="AG181" s="243" t="e">
        <f ca="1">IF(AND(INDEX(FlowCalConstA,MATCH(AD175,FlowCalNumber,0),1,1)*AF181^INDEX(FlowCalConstB,MATCH(AD175,FlowCalNumber,0),1,1)&gt;INDEX(FlowCalLowSetting,MATCH(AD175,FlowCalNumber,0),1,1), (INDEX(FlowCalConstA,MATCH(AD175,FlowCalNumber,0),1,1)*AF181^INDEX(FlowCalConstB,MATCH(AD175,FlowCalNumber,0),1,1)&lt;INDEX(FlowCalHighSetting,MATCH(AD175,FlowCalNumber,0),1,1))),INDEX(FlowCalConstA,MATCH(AD175,FlowCalNumber,0),1,1)*AF181^INDEX(FlowCalConstB,MATCH(AD175,FlowCalNumber,0),1,1)," ")</f>
        <v>#N/A</v>
      </c>
      <c r="AH181" s="33"/>
      <c r="AI181" s="242">
        <f t="shared" si="180"/>
        <v>0.9</v>
      </c>
      <c r="AJ181" s="241" t="e">
        <f t="shared" ca="1" si="181"/>
        <v>#VALUE!</v>
      </c>
      <c r="AK181" s="243" t="e">
        <f ca="1">IF(AND(INDEX(FlowCalConstA,MATCH(AH175,FlowCalNumber,0),1,1)*AJ181^INDEX(FlowCalConstB,MATCH(AH175,FlowCalNumber,0),1,1)&gt;INDEX(FlowCalLowSetting,MATCH(AH175,FlowCalNumber,0),1,1), (INDEX(FlowCalConstA,MATCH(AH175,FlowCalNumber,0),1,1)*AJ181^INDEX(FlowCalConstB,MATCH(AH175,FlowCalNumber,0),1,1)&lt;INDEX(FlowCalHighSetting,MATCH(AH175,FlowCalNumber,0),1,1))),INDEX(FlowCalConstA,MATCH(AH175,FlowCalNumber,0),1,1)*AJ181^INDEX(FlowCalConstB,MATCH(AH175,FlowCalNumber,0),1,1)," ")</f>
        <v>#N/A</v>
      </c>
      <c r="AL181" s="33"/>
      <c r="AM181" s="242"/>
      <c r="AN181" s="241"/>
      <c r="AO181" s="244"/>
      <c r="AQ181" s="242"/>
      <c r="AR181" s="241"/>
      <c r="AS181" s="244"/>
      <c r="AT181" s="33"/>
      <c r="AU181" s="242"/>
      <c r="AV181" s="241"/>
      <c r="AW181" s="244"/>
      <c r="AX181" s="33"/>
      <c r="AY181" s="242"/>
      <c r="AZ181" s="241"/>
      <c r="BA181" s="244"/>
      <c r="BB181" s="33"/>
      <c r="BC181" s="242"/>
      <c r="BD181" s="241"/>
      <c r="BE181" s="244"/>
      <c r="BF181" s="33"/>
      <c r="BG181" s="242"/>
      <c r="BH181" s="241"/>
      <c r="BI181" s="244"/>
      <c r="BJ181" s="33"/>
      <c r="BK181" s="242"/>
      <c r="BL181" s="241"/>
      <c r="BM181" s="244"/>
      <c r="BN181" s="33"/>
      <c r="BO181" s="242"/>
      <c r="BP181" s="241"/>
      <c r="BQ181" s="244"/>
      <c r="BR181" s="33"/>
      <c r="BS181" s="242"/>
      <c r="BT181" s="241"/>
      <c r="BU181" s="244"/>
      <c r="BV181" s="33"/>
      <c r="BW181" s="242"/>
      <c r="BX181" s="241"/>
      <c r="BY181" s="244"/>
      <c r="BZ181" s="33"/>
      <c r="CA181" s="242"/>
      <c r="CB181" s="241"/>
      <c r="CC181" s="244"/>
      <c r="CD181" s="243"/>
      <c r="CE181" s="243"/>
      <c r="CF181" s="243"/>
      <c r="CG181" s="243"/>
      <c r="CH181" s="243"/>
      <c r="CI181" s="243"/>
      <c r="CJ181" s="243"/>
      <c r="CK181" s="243"/>
      <c r="CL181" s="243"/>
      <c r="CM181" s="243"/>
      <c r="CN181" s="243"/>
      <c r="CO181" s="243"/>
      <c r="CP181" s="243"/>
      <c r="CQ181" s="243"/>
      <c r="CR181" s="243"/>
      <c r="CS181" s="243"/>
      <c r="CT181" s="243"/>
      <c r="CU181" s="243"/>
      <c r="CV181" s="243"/>
      <c r="CW181" s="243"/>
      <c r="CX181" s="243"/>
      <c r="CY181" s="243"/>
      <c r="CZ181" s="243"/>
      <c r="DA181" s="243"/>
      <c r="DB181" s="243"/>
      <c r="DC181" s="243"/>
      <c r="DD181" s="243"/>
      <c r="DE181" s="243"/>
      <c r="DF181" s="243"/>
      <c r="DG181" s="243"/>
      <c r="DH181" s="243"/>
      <c r="DI181" s="243"/>
      <c r="DJ181" s="243"/>
      <c r="DK181" s="243"/>
      <c r="DM181" s="242"/>
      <c r="DO181" s="243"/>
      <c r="DQ181" s="242"/>
      <c r="DS181" s="243"/>
      <c r="DU181" s="242"/>
      <c r="DW181" s="243"/>
      <c r="DY181" s="242"/>
      <c r="EA181" s="243"/>
    </row>
    <row r="182" spans="1:131">
      <c r="A182" s="20"/>
      <c r="B182" s="124" t="str">
        <f t="shared" si="166"/>
        <v/>
      </c>
      <c r="C182" s="235"/>
      <c r="D182" s="24">
        <f>'1% Wind'!$M$88</f>
        <v>10.1</v>
      </c>
      <c r="E182" s="90"/>
      <c r="F182" s="90"/>
      <c r="G182" s="79">
        <f ca="1">IF(I175=0.9743,$G181,MAX(G181/D181*D182,2))</f>
        <v>6.001707317073171</v>
      </c>
      <c r="H182" s="121" t="e">
        <f t="shared" ca="1" si="167"/>
        <v>#VALUE!</v>
      </c>
      <c r="J182" s="33"/>
      <c r="K182" s="242">
        <f t="shared" si="168"/>
        <v>1</v>
      </c>
      <c r="L182" s="241" t="e">
        <f t="shared" ca="1" si="169"/>
        <v>#VALUE!</v>
      </c>
      <c r="M182" s="243" t="e">
        <f ca="1">IF(AND(INDEX(FlowCalConstA,MATCH(J175,FlowCalNumber,0),1,1)*L182^INDEX(FlowCalConstB,MATCH(J175,FlowCalNumber,0),1,1)&gt;INDEX(FlowCalLowSetting,MATCH(J175,FlowCalNumber,0),1,1), (INDEX(FlowCalConstA,MATCH(J175,FlowCalNumber,0),1,1)*L182^INDEX(FlowCalConstB,MATCH(J175,FlowCalNumber,0),1,1)&lt;INDEX(FlowCalHighSetting,MATCH(J175,FlowCalNumber,0),1,1))),INDEX(FlowCalConstA,MATCH(J175,FlowCalNumber,0),1,1)*L182^INDEX(FlowCalConstB,MATCH(J175,FlowCalNumber,0),1,1)," ")</f>
        <v>#N/A</v>
      </c>
      <c r="N182" s="33"/>
      <c r="O182" s="242">
        <f t="shared" si="170"/>
        <v>1</v>
      </c>
      <c r="P182" s="241" t="e">
        <f t="shared" ca="1" si="171"/>
        <v>#VALUE!</v>
      </c>
      <c r="Q182" s="243" t="e">
        <f ca="1">IF(AND(INDEX(FlowCalConstA,MATCH(N175,FlowCalNumber,0),1,1)*P182^INDEX(FlowCalConstB,MATCH(N175,FlowCalNumber,0),1,1)&gt;INDEX(FlowCalLowSetting,MATCH(N175,FlowCalNumber,0),1,1), (INDEX(FlowCalConstA,MATCH(N175,FlowCalNumber,0),1,1)*P182^INDEX(FlowCalConstB,MATCH(N175,FlowCalNumber,0),1,1)&lt;INDEX(FlowCalHighSetting,MATCH(N175,FlowCalNumber,0),1,1))),INDEX(FlowCalConstA,MATCH(N175,FlowCalNumber,0),1,1)*P182^INDEX(FlowCalConstB,MATCH(N175,FlowCalNumber,0),1,1)," ")</f>
        <v>#N/A</v>
      </c>
      <c r="R182" s="33"/>
      <c r="S182" s="242">
        <f t="shared" si="172"/>
        <v>1</v>
      </c>
      <c r="T182" s="241" t="e">
        <f t="shared" ca="1" si="173"/>
        <v>#VALUE!</v>
      </c>
      <c r="U182" s="244" t="e">
        <f ca="1">IF(AND(INDEX(FlowCalConstA,MATCH(R175,FlowCalNumber,0),1,1)*T182^INDEX(FlowCalConstB,MATCH(R175,FlowCalNumber,0),1,1)&gt;INDEX(FlowCalLowSetting,MATCH(R175,FlowCalNumber,0),1,1), (INDEX(FlowCalConstA,MATCH(R175,FlowCalNumber,0),1,1)*T182^INDEX(FlowCalConstB,MATCH(R175,FlowCalNumber,0),1,1)&lt;INDEX(FlowCalHighSetting,MATCH(R175,FlowCalNumber,0),1,1))),INDEX(FlowCalConstA,MATCH(R175,FlowCalNumber,0),1,1)*T182^INDEX(FlowCalConstB,MATCH(R175,FlowCalNumber,0),1,1)," ")</f>
        <v>#N/A</v>
      </c>
      <c r="V182" s="33"/>
      <c r="W182" s="242">
        <f t="shared" si="174"/>
        <v>0.1</v>
      </c>
      <c r="X182" s="241" t="e">
        <f t="shared" ca="1" si="175"/>
        <v>#VALUE!</v>
      </c>
      <c r="Y182" s="243" t="e">
        <f ca="1">IF(AND(INDEX(FlowCalConstA,MATCH(V175,FlowCalNumber,0),1,1)*X182^INDEX(FlowCalConstB,MATCH(V175,FlowCalNumber,0),1,1)&gt;INDEX(FlowCalLowSetting,MATCH(V175,FlowCalNumber,0),1,1), (INDEX(FlowCalConstA,MATCH(V175,FlowCalNumber,0),1,1)*X182^INDEX(FlowCalConstB,MATCH(V175,FlowCalNumber,0),1,1)&lt;INDEX(FlowCalHighSetting,MATCH(V175,FlowCalNumber,0),1,1))),INDEX(FlowCalConstA,MATCH(V175,FlowCalNumber,0),1,1)*X182^INDEX(FlowCalConstB,MATCH(V175,FlowCalNumber,0),1,1)," ")</f>
        <v>#N/A</v>
      </c>
      <c r="Z182" s="33"/>
      <c r="AA182" s="242">
        <f t="shared" si="176"/>
        <v>0.9</v>
      </c>
      <c r="AB182" s="241" t="e">
        <f t="shared" ca="1" si="177"/>
        <v>#VALUE!</v>
      </c>
      <c r="AC182" s="243" t="e">
        <f ca="1">IF(AND(INDEX(FlowCalConstA,MATCH(Z175,FlowCalNumber,0),1,1)*AB182^INDEX(FlowCalConstB,MATCH(Z175,FlowCalNumber,0),1,1)&gt;INDEX(FlowCalLowSetting,MATCH(Z175,FlowCalNumber,0),1,1), (INDEX(FlowCalConstA,MATCH(Z175,FlowCalNumber,0),1,1)*AB182^INDEX(FlowCalConstB,MATCH(Z175,FlowCalNumber,0),1,1)&lt;INDEX(FlowCalHighSetting,MATCH(Z175,FlowCalNumber,0),1,1))),INDEX(FlowCalConstA,MATCH(Z175,FlowCalNumber,0),1,1)*AB182^INDEX(FlowCalConstB,MATCH(Z175,FlowCalNumber,0),1,1)," ")</f>
        <v>#N/A</v>
      </c>
      <c r="AD182" s="33"/>
      <c r="AE182" s="242">
        <f t="shared" si="178"/>
        <v>0.1</v>
      </c>
      <c r="AF182" s="241" t="e">
        <f t="shared" ca="1" si="179"/>
        <v>#VALUE!</v>
      </c>
      <c r="AG182" s="243" t="e">
        <f ca="1">IF(AND(INDEX(FlowCalConstA,MATCH(AD175,FlowCalNumber,0),1,1)*AF182^INDEX(FlowCalConstB,MATCH(AD175,FlowCalNumber,0),1,1)&gt;INDEX(FlowCalLowSetting,MATCH(AD175,FlowCalNumber,0),1,1), (INDEX(FlowCalConstA,MATCH(AD175,FlowCalNumber,0),1,1)*AF182^INDEX(FlowCalConstB,MATCH(AD175,FlowCalNumber,0),1,1)&lt;INDEX(FlowCalHighSetting,MATCH(AD175,FlowCalNumber,0),1,1))),INDEX(FlowCalConstA,MATCH(AD175,FlowCalNumber,0),1,1)*AF182^INDEX(FlowCalConstB,MATCH(AD175,FlowCalNumber,0),1,1)," ")</f>
        <v>#N/A</v>
      </c>
      <c r="AH182" s="33"/>
      <c r="AI182" s="242">
        <f t="shared" si="180"/>
        <v>0.9</v>
      </c>
      <c r="AJ182" s="241" t="e">
        <f t="shared" ca="1" si="181"/>
        <v>#VALUE!</v>
      </c>
      <c r="AK182" s="243" t="e">
        <f ca="1">IF(AND(INDEX(FlowCalConstA,MATCH(AH175,FlowCalNumber,0),1,1)*AJ182^INDEX(FlowCalConstB,MATCH(AH175,FlowCalNumber,0),1,1)&gt;INDEX(FlowCalLowSetting,MATCH(AH175,FlowCalNumber,0),1,1), (INDEX(FlowCalConstA,MATCH(AH175,FlowCalNumber,0),1,1)*AJ182^INDEX(FlowCalConstB,MATCH(AH175,FlowCalNumber,0),1,1)&lt;INDEX(FlowCalHighSetting,MATCH(AH175,FlowCalNumber,0),1,1))),INDEX(FlowCalConstA,MATCH(AH175,FlowCalNumber,0),1,1)*AJ182^INDEX(FlowCalConstB,MATCH(AH175,FlowCalNumber,0),1,1)," ")</f>
        <v>#N/A</v>
      </c>
      <c r="AL182" s="33"/>
      <c r="AM182" s="242"/>
      <c r="AN182" s="241"/>
      <c r="AO182" s="244"/>
      <c r="AQ182" s="242"/>
      <c r="AR182" s="241"/>
      <c r="AS182" s="244"/>
      <c r="AT182" s="33"/>
      <c r="AU182" s="242"/>
      <c r="AV182" s="241"/>
      <c r="AW182" s="244"/>
      <c r="AX182" s="33"/>
      <c r="AY182" s="242"/>
      <c r="AZ182" s="241"/>
      <c r="BA182" s="244"/>
      <c r="BB182" s="33"/>
      <c r="BC182" s="242"/>
      <c r="BD182" s="241"/>
      <c r="BE182" s="244"/>
      <c r="BF182" s="33"/>
      <c r="BG182" s="242"/>
      <c r="BH182" s="241"/>
      <c r="BI182" s="244"/>
      <c r="BJ182" s="33"/>
      <c r="BK182" s="242"/>
      <c r="BL182" s="241"/>
      <c r="BM182" s="244"/>
      <c r="BN182" s="33"/>
      <c r="BO182" s="242"/>
      <c r="BP182" s="241"/>
      <c r="BQ182" s="244"/>
      <c r="BR182" s="33"/>
      <c r="BS182" s="242"/>
      <c r="BT182" s="241"/>
      <c r="BU182" s="244"/>
      <c r="BV182" s="33"/>
      <c r="BW182" s="242"/>
      <c r="BX182" s="241"/>
      <c r="BY182" s="244"/>
      <c r="BZ182" s="33"/>
      <c r="CA182" s="242"/>
      <c r="CB182" s="241"/>
      <c r="CC182" s="244"/>
      <c r="CD182" s="243"/>
      <c r="CE182" s="243"/>
      <c r="CF182" s="243"/>
      <c r="CG182" s="243"/>
      <c r="CH182" s="243"/>
      <c r="CI182" s="243"/>
      <c r="CJ182" s="243"/>
      <c r="CK182" s="243"/>
      <c r="CL182" s="243"/>
      <c r="CM182" s="243"/>
      <c r="CN182" s="243"/>
      <c r="CO182" s="243"/>
      <c r="CP182" s="243"/>
      <c r="CQ182" s="243"/>
      <c r="CR182" s="243"/>
      <c r="CS182" s="243"/>
      <c r="CT182" s="243"/>
      <c r="CU182" s="243"/>
      <c r="CV182" s="243"/>
      <c r="CW182" s="243"/>
      <c r="CX182" s="243"/>
      <c r="CY182" s="243"/>
      <c r="CZ182" s="243"/>
      <c r="DA182" s="243"/>
      <c r="DB182" s="243"/>
      <c r="DC182" s="243"/>
      <c r="DD182" s="243"/>
      <c r="DE182" s="243"/>
      <c r="DF182" s="243"/>
      <c r="DG182" s="243"/>
      <c r="DH182" s="243"/>
      <c r="DI182" s="243"/>
      <c r="DJ182" s="243"/>
      <c r="DK182" s="243"/>
      <c r="DM182" s="242"/>
      <c r="DO182" s="243"/>
      <c r="DQ182" s="242"/>
      <c r="DS182" s="243"/>
      <c r="DU182" s="242"/>
      <c r="DW182" s="243"/>
      <c r="DY182" s="242"/>
      <c r="EA182" s="243"/>
    </row>
    <row r="183" spans="1:131">
      <c r="A183" s="20"/>
      <c r="B183" s="124" t="str">
        <f t="shared" si="166"/>
        <v/>
      </c>
      <c r="C183" s="235"/>
      <c r="D183" s="24">
        <f>'1% Wind'!$M$89</f>
        <v>7.6</v>
      </c>
      <c r="E183" s="90"/>
      <c r="F183" s="90"/>
      <c r="G183" s="79">
        <f ca="1">IF(I175=0.9743,$G182,MAX(G182/D182*D183,2))</f>
        <v>6.001707317073171</v>
      </c>
      <c r="H183" s="121" t="e">
        <f t="shared" ca="1" si="167"/>
        <v>#VALUE!</v>
      </c>
      <c r="J183" s="33"/>
      <c r="K183" s="242">
        <f t="shared" si="168"/>
        <v>1</v>
      </c>
      <c r="L183" s="241" t="e">
        <f t="shared" ca="1" si="169"/>
        <v>#VALUE!</v>
      </c>
      <c r="M183" s="243" t="e">
        <f ca="1">IF(AND(INDEX(FlowCalConstA,MATCH(J175,FlowCalNumber,0),1,1)*L183^INDEX(FlowCalConstB,MATCH(J175,FlowCalNumber,0),1,1)&gt;INDEX(FlowCalLowSetting,MATCH(J175,FlowCalNumber,0),1,1), (INDEX(FlowCalConstA,MATCH(J175,FlowCalNumber,0),1,1)*L183^INDEX(FlowCalConstB,MATCH(J175,FlowCalNumber,0),1,1)&lt;INDEX(FlowCalHighSetting,MATCH(J175,FlowCalNumber,0),1,1))),INDEX(FlowCalConstA,MATCH(J175,FlowCalNumber,0),1,1)*L183^INDEX(FlowCalConstB,MATCH(J175,FlowCalNumber,0),1,1)," ")</f>
        <v>#N/A</v>
      </c>
      <c r="N183" s="33"/>
      <c r="O183" s="242">
        <f t="shared" si="170"/>
        <v>1</v>
      </c>
      <c r="P183" s="241" t="e">
        <f t="shared" ca="1" si="171"/>
        <v>#VALUE!</v>
      </c>
      <c r="Q183" s="243" t="e">
        <f ca="1">IF(AND(INDEX(FlowCalConstA,MATCH(N175,FlowCalNumber,0),1,1)*P183^INDEX(FlowCalConstB,MATCH(N175,FlowCalNumber,0),1,1)&gt;INDEX(FlowCalLowSetting,MATCH(N175,FlowCalNumber,0),1,1), (INDEX(FlowCalConstA,MATCH(N175,FlowCalNumber,0),1,1)*P183^INDEX(FlowCalConstB,MATCH(N175,FlowCalNumber,0),1,1)&lt;INDEX(FlowCalHighSetting,MATCH(N175,FlowCalNumber,0),1,1))),INDEX(FlowCalConstA,MATCH(N175,FlowCalNumber,0),1,1)*P183^INDEX(FlowCalConstB,MATCH(N175,FlowCalNumber,0),1,1)," ")</f>
        <v>#N/A</v>
      </c>
      <c r="R183" s="33"/>
      <c r="S183" s="242">
        <f t="shared" si="172"/>
        <v>1</v>
      </c>
      <c r="T183" s="241" t="e">
        <f t="shared" ca="1" si="173"/>
        <v>#VALUE!</v>
      </c>
      <c r="U183" s="244" t="e">
        <f ca="1">IF(AND(INDEX(FlowCalConstA,MATCH(R175,FlowCalNumber,0),1,1)*T183^INDEX(FlowCalConstB,MATCH(R175,FlowCalNumber,0),1,1)&gt;INDEX(FlowCalLowSetting,MATCH(R175,FlowCalNumber,0),1,1), (INDEX(FlowCalConstA,MATCH(R175,FlowCalNumber,0),1,1)*T183^INDEX(FlowCalConstB,MATCH(R175,FlowCalNumber,0),1,1)&lt;INDEX(FlowCalHighSetting,MATCH(R175,FlowCalNumber,0),1,1))),INDEX(FlowCalConstA,MATCH(R175,FlowCalNumber,0),1,1)*T183^INDEX(FlowCalConstB,MATCH(R175,FlowCalNumber,0),1,1)," ")</f>
        <v>#N/A</v>
      </c>
      <c r="V183" s="33"/>
      <c r="W183" s="242">
        <f t="shared" si="174"/>
        <v>0.1</v>
      </c>
      <c r="X183" s="241" t="e">
        <f t="shared" ca="1" si="175"/>
        <v>#VALUE!</v>
      </c>
      <c r="Y183" s="243" t="e">
        <f ca="1">IF(AND(INDEX(FlowCalConstA,MATCH(V175,FlowCalNumber,0),1,1)*X183^INDEX(FlowCalConstB,MATCH(V175,FlowCalNumber,0),1,1)&gt;INDEX(FlowCalLowSetting,MATCH(V175,FlowCalNumber,0),1,1), (INDEX(FlowCalConstA,MATCH(V175,FlowCalNumber,0),1,1)*X183^INDEX(FlowCalConstB,MATCH(V175,FlowCalNumber,0),1,1)&lt;INDEX(FlowCalHighSetting,MATCH(V175,FlowCalNumber,0),1,1))),INDEX(FlowCalConstA,MATCH(V175,FlowCalNumber,0),1,1)*X183^INDEX(FlowCalConstB,MATCH(V175,FlowCalNumber,0),1,1)," ")</f>
        <v>#N/A</v>
      </c>
      <c r="Z183" s="33"/>
      <c r="AA183" s="242">
        <f t="shared" si="176"/>
        <v>0.9</v>
      </c>
      <c r="AB183" s="241" t="e">
        <f t="shared" ca="1" si="177"/>
        <v>#VALUE!</v>
      </c>
      <c r="AC183" s="243" t="e">
        <f ca="1">IF(AND(INDEX(FlowCalConstA,MATCH(Z175,FlowCalNumber,0),1,1)*AB183^INDEX(FlowCalConstB,MATCH(Z175,FlowCalNumber,0),1,1)&gt;INDEX(FlowCalLowSetting,MATCH(Z175,FlowCalNumber,0),1,1), (INDEX(FlowCalConstA,MATCH(Z175,FlowCalNumber,0),1,1)*AB183^INDEX(FlowCalConstB,MATCH(Z175,FlowCalNumber,0),1,1)&lt;INDEX(FlowCalHighSetting,MATCH(Z175,FlowCalNumber,0),1,1))),INDEX(FlowCalConstA,MATCH(Z175,FlowCalNumber,0),1,1)*AB183^INDEX(FlowCalConstB,MATCH(Z175,FlowCalNumber,0),1,1)," ")</f>
        <v>#N/A</v>
      </c>
      <c r="AD183" s="33"/>
      <c r="AE183" s="242">
        <f t="shared" si="178"/>
        <v>0.1</v>
      </c>
      <c r="AF183" s="241" t="e">
        <f t="shared" ca="1" si="179"/>
        <v>#VALUE!</v>
      </c>
      <c r="AG183" s="243" t="e">
        <f ca="1">IF(AND(INDEX(FlowCalConstA,MATCH(AD175,FlowCalNumber,0),1,1)*AF183^INDEX(FlowCalConstB,MATCH(AD175,FlowCalNumber,0),1,1)&gt;INDEX(FlowCalLowSetting,MATCH(AD175,FlowCalNumber,0),1,1), (INDEX(FlowCalConstA,MATCH(AD175,FlowCalNumber,0),1,1)*AF183^INDEX(FlowCalConstB,MATCH(AD175,FlowCalNumber,0),1,1)&lt;INDEX(FlowCalHighSetting,MATCH(AD175,FlowCalNumber,0),1,1))),INDEX(FlowCalConstA,MATCH(AD175,FlowCalNumber,0),1,1)*AF183^INDEX(FlowCalConstB,MATCH(AD175,FlowCalNumber,0),1,1)," ")</f>
        <v>#N/A</v>
      </c>
      <c r="AH183" s="33"/>
      <c r="AI183" s="242">
        <f t="shared" si="180"/>
        <v>0.9</v>
      </c>
      <c r="AJ183" s="241" t="e">
        <f t="shared" ca="1" si="181"/>
        <v>#VALUE!</v>
      </c>
      <c r="AK183" s="243" t="e">
        <f ca="1">IF(AND(INDEX(FlowCalConstA,MATCH(AH175,FlowCalNumber,0),1,1)*AJ183^INDEX(FlowCalConstB,MATCH(AH175,FlowCalNumber,0),1,1)&gt;INDEX(FlowCalLowSetting,MATCH(AH175,FlowCalNumber,0),1,1), (INDEX(FlowCalConstA,MATCH(AH175,FlowCalNumber,0),1,1)*AJ183^INDEX(FlowCalConstB,MATCH(AH175,FlowCalNumber,0),1,1)&lt;INDEX(FlowCalHighSetting,MATCH(AH175,FlowCalNumber,0),1,1))),INDEX(FlowCalConstA,MATCH(AH175,FlowCalNumber,0),1,1)*AJ183^INDEX(FlowCalConstB,MATCH(AH175,FlowCalNumber,0),1,1)," ")</f>
        <v>#N/A</v>
      </c>
      <c r="AL183" s="33"/>
      <c r="AM183" s="242"/>
      <c r="AN183" s="241"/>
      <c r="AO183" s="244"/>
      <c r="AQ183" s="242"/>
      <c r="AR183" s="241"/>
      <c r="AS183" s="244"/>
      <c r="AT183" s="33"/>
      <c r="AU183" s="242"/>
      <c r="AV183" s="241"/>
      <c r="AW183" s="244"/>
      <c r="AX183" s="33"/>
      <c r="AY183" s="242"/>
      <c r="AZ183" s="241"/>
      <c r="BA183" s="244"/>
      <c r="BB183" s="33"/>
      <c r="BC183" s="242"/>
      <c r="BD183" s="241"/>
      <c r="BE183" s="244"/>
      <c r="BF183" s="33"/>
      <c r="BG183" s="242"/>
      <c r="BH183" s="241"/>
      <c r="BI183" s="244"/>
      <c r="BJ183" s="33"/>
      <c r="BK183" s="242"/>
      <c r="BL183" s="241"/>
      <c r="BM183" s="244"/>
      <c r="BN183" s="33"/>
      <c r="BO183" s="242"/>
      <c r="BP183" s="241"/>
      <c r="BQ183" s="244"/>
      <c r="BR183" s="33"/>
      <c r="BS183" s="242"/>
      <c r="BT183" s="241"/>
      <c r="BU183" s="244"/>
      <c r="BV183" s="33"/>
      <c r="BW183" s="242"/>
      <c r="BX183" s="241"/>
      <c r="BY183" s="244"/>
      <c r="BZ183" s="33"/>
      <c r="CA183" s="242"/>
      <c r="CB183" s="241"/>
      <c r="CC183" s="244"/>
      <c r="CD183" s="243"/>
      <c r="CE183" s="243"/>
      <c r="CF183" s="243"/>
      <c r="CG183" s="243"/>
      <c r="CH183" s="243"/>
      <c r="CI183" s="243"/>
      <c r="CJ183" s="243"/>
      <c r="CK183" s="243"/>
      <c r="CL183" s="243"/>
      <c r="CM183" s="243"/>
      <c r="CN183" s="243"/>
      <c r="CO183" s="243"/>
      <c r="CP183" s="243"/>
      <c r="CQ183" s="243"/>
      <c r="CR183" s="243"/>
      <c r="CS183" s="243"/>
      <c r="CT183" s="243"/>
      <c r="CU183" s="243"/>
      <c r="CV183" s="243"/>
      <c r="CW183" s="243"/>
      <c r="CX183" s="243"/>
      <c r="CY183" s="243"/>
      <c r="CZ183" s="243"/>
      <c r="DA183" s="243"/>
      <c r="DB183" s="243"/>
      <c r="DC183" s="243"/>
      <c r="DD183" s="243"/>
      <c r="DE183" s="243"/>
      <c r="DF183" s="243"/>
      <c r="DG183" s="243"/>
      <c r="DH183" s="243"/>
      <c r="DI183" s="243"/>
      <c r="DJ183" s="243"/>
      <c r="DK183" s="243"/>
      <c r="DM183" s="242"/>
      <c r="DO183" s="243"/>
      <c r="DQ183" s="242"/>
      <c r="DS183" s="243"/>
      <c r="DU183" s="242"/>
      <c r="DW183" s="243"/>
      <c r="DY183" s="242"/>
      <c r="EA183" s="243"/>
    </row>
    <row r="184" spans="1:131">
      <c r="A184" s="20"/>
      <c r="B184" s="124" t="str">
        <f t="shared" si="166"/>
        <v/>
      </c>
      <c r="C184" s="235"/>
      <c r="D184" s="24">
        <f>'1% Wind'!$M$90</f>
        <v>5.7</v>
      </c>
      <c r="E184" s="90"/>
      <c r="F184" s="90"/>
      <c r="G184" s="79">
        <f ca="1">IF(I175=0.9743,$G183,MAX(G183/D183*D184,2))</f>
        <v>6.001707317073171</v>
      </c>
      <c r="H184" s="121" t="e">
        <f t="shared" ca="1" si="167"/>
        <v>#VALUE!</v>
      </c>
      <c r="J184" s="33"/>
      <c r="K184" s="242">
        <f t="shared" si="168"/>
        <v>1</v>
      </c>
      <c r="L184" s="241" t="e">
        <f t="shared" ca="1" si="169"/>
        <v>#VALUE!</v>
      </c>
      <c r="M184" s="243" t="e">
        <f ca="1">IF(AND(INDEX(FlowCalConstA,MATCH(J175,FlowCalNumber,0),1,1)*L184^INDEX(FlowCalConstB,MATCH(J175,FlowCalNumber,0),1,1)&gt;INDEX(FlowCalLowSetting,MATCH(J175,FlowCalNumber,0),1,1), (INDEX(FlowCalConstA,MATCH(J175,FlowCalNumber,0),1,1)*L184^INDEX(FlowCalConstB,MATCH(J175,FlowCalNumber,0),1,1)&lt;INDEX(FlowCalHighSetting,MATCH(J175,FlowCalNumber,0),1,1))),INDEX(FlowCalConstA,MATCH(J175,FlowCalNumber,0),1,1)*L184^INDEX(FlowCalConstB,MATCH(J175,FlowCalNumber,0),1,1)," ")</f>
        <v>#N/A</v>
      </c>
      <c r="N184" s="33"/>
      <c r="O184" s="242">
        <f t="shared" si="170"/>
        <v>1</v>
      </c>
      <c r="P184" s="241" t="e">
        <f t="shared" ca="1" si="171"/>
        <v>#VALUE!</v>
      </c>
      <c r="Q184" s="243" t="e">
        <f ca="1">IF(AND(INDEX(FlowCalConstA,MATCH(N175,FlowCalNumber,0),1,1)*P184^INDEX(FlowCalConstB,MATCH(N175,FlowCalNumber,0),1,1)&gt;INDEX(FlowCalLowSetting,MATCH(N175,FlowCalNumber,0),1,1), (INDEX(FlowCalConstA,MATCH(N175,FlowCalNumber,0),1,1)*P184^INDEX(FlowCalConstB,MATCH(N175,FlowCalNumber,0),1,1)&lt;INDEX(FlowCalHighSetting,MATCH(N175,FlowCalNumber,0),1,1))),INDEX(FlowCalConstA,MATCH(N175,FlowCalNumber,0),1,1)*P184^INDEX(FlowCalConstB,MATCH(N175,FlowCalNumber,0),1,1)," ")</f>
        <v>#N/A</v>
      </c>
      <c r="R184" s="33"/>
      <c r="S184" s="242">
        <f t="shared" si="172"/>
        <v>1</v>
      </c>
      <c r="T184" s="241" t="e">
        <f t="shared" ca="1" si="173"/>
        <v>#VALUE!</v>
      </c>
      <c r="U184" s="244" t="e">
        <f ca="1">IF(AND(INDEX(FlowCalConstA,MATCH(R175,FlowCalNumber,0),1,1)*T184^INDEX(FlowCalConstB,MATCH(R175,FlowCalNumber,0),1,1)&gt;INDEX(FlowCalLowSetting,MATCH(R175,FlowCalNumber,0),1,1), (INDEX(FlowCalConstA,MATCH(R175,FlowCalNumber,0),1,1)*T184^INDEX(FlowCalConstB,MATCH(R175,FlowCalNumber,0),1,1)&lt;INDEX(FlowCalHighSetting,MATCH(R175,FlowCalNumber,0),1,1))),INDEX(FlowCalConstA,MATCH(R175,FlowCalNumber,0),1,1)*T184^INDEX(FlowCalConstB,MATCH(R175,FlowCalNumber,0),1,1)," ")</f>
        <v>#N/A</v>
      </c>
      <c r="V184" s="33"/>
      <c r="W184" s="242">
        <f t="shared" si="174"/>
        <v>0.1</v>
      </c>
      <c r="X184" s="241" t="e">
        <f t="shared" ca="1" si="175"/>
        <v>#VALUE!</v>
      </c>
      <c r="Y184" s="243" t="e">
        <f ca="1">IF(AND(INDEX(FlowCalConstA,MATCH(V175,FlowCalNumber,0),1,1)*X184^INDEX(FlowCalConstB,MATCH(V175,FlowCalNumber,0),1,1)&gt;INDEX(FlowCalLowSetting,MATCH(V175,FlowCalNumber,0),1,1), (INDEX(FlowCalConstA,MATCH(V175,FlowCalNumber,0),1,1)*X184^INDEX(FlowCalConstB,MATCH(V175,FlowCalNumber,0),1,1)&lt;INDEX(FlowCalHighSetting,MATCH(V175,FlowCalNumber,0),1,1))),INDEX(FlowCalConstA,MATCH(V175,FlowCalNumber,0),1,1)*X184^INDEX(FlowCalConstB,MATCH(V175,FlowCalNumber,0),1,1)," ")</f>
        <v>#N/A</v>
      </c>
      <c r="Z184" s="33"/>
      <c r="AA184" s="242">
        <f t="shared" si="176"/>
        <v>0.9</v>
      </c>
      <c r="AB184" s="241" t="e">
        <f t="shared" ca="1" si="177"/>
        <v>#VALUE!</v>
      </c>
      <c r="AC184" s="243" t="e">
        <f ca="1">IF(AND(INDEX(FlowCalConstA,MATCH(Z175,FlowCalNumber,0),1,1)*AB184^INDEX(FlowCalConstB,MATCH(Z175,FlowCalNumber,0),1,1)&gt;INDEX(FlowCalLowSetting,MATCH(Z175,FlowCalNumber,0),1,1), (INDEX(FlowCalConstA,MATCH(Z175,FlowCalNumber,0),1,1)*AB184^INDEX(FlowCalConstB,MATCH(Z175,FlowCalNumber,0),1,1)&lt;INDEX(FlowCalHighSetting,MATCH(Z175,FlowCalNumber,0),1,1))),INDEX(FlowCalConstA,MATCH(Z175,FlowCalNumber,0),1,1)*AB184^INDEX(FlowCalConstB,MATCH(Z175,FlowCalNumber,0),1,1)," ")</f>
        <v>#N/A</v>
      </c>
      <c r="AD184" s="33"/>
      <c r="AE184" s="242">
        <f t="shared" si="178"/>
        <v>0.1</v>
      </c>
      <c r="AF184" s="241" t="e">
        <f t="shared" ca="1" si="179"/>
        <v>#VALUE!</v>
      </c>
      <c r="AG184" s="243" t="e">
        <f ca="1">IF(AND(INDEX(FlowCalConstA,MATCH(AD175,FlowCalNumber,0),1,1)*AF184^INDEX(FlowCalConstB,MATCH(AD175,FlowCalNumber,0),1,1)&gt;INDEX(FlowCalLowSetting,MATCH(AD175,FlowCalNumber,0),1,1), (INDEX(FlowCalConstA,MATCH(AD175,FlowCalNumber,0),1,1)*AF184^INDEX(FlowCalConstB,MATCH(AD175,FlowCalNumber,0),1,1)&lt;INDEX(FlowCalHighSetting,MATCH(AD175,FlowCalNumber,0),1,1))),INDEX(FlowCalConstA,MATCH(AD175,FlowCalNumber,0),1,1)*AF184^INDEX(FlowCalConstB,MATCH(AD175,FlowCalNumber,0),1,1)," ")</f>
        <v>#N/A</v>
      </c>
      <c r="AH184" s="33"/>
      <c r="AI184" s="242">
        <f t="shared" si="180"/>
        <v>0.9</v>
      </c>
      <c r="AJ184" s="241" t="e">
        <f t="shared" ca="1" si="181"/>
        <v>#VALUE!</v>
      </c>
      <c r="AK184" s="243" t="e">
        <f ca="1">IF(AND(INDEX(FlowCalConstA,MATCH(AH175,FlowCalNumber,0),1,1)*AJ184^INDEX(FlowCalConstB,MATCH(AH175,FlowCalNumber,0),1,1)&gt;INDEX(FlowCalLowSetting,MATCH(AH175,FlowCalNumber,0),1,1), (INDEX(FlowCalConstA,MATCH(AH175,FlowCalNumber,0),1,1)*AJ184^INDEX(FlowCalConstB,MATCH(AH175,FlowCalNumber,0),1,1)&lt;INDEX(FlowCalHighSetting,MATCH(AH175,FlowCalNumber,0),1,1))),INDEX(FlowCalConstA,MATCH(AH175,FlowCalNumber,0),1,1)*AJ184^INDEX(FlowCalConstB,MATCH(AH175,FlowCalNumber,0),1,1)," ")</f>
        <v>#N/A</v>
      </c>
      <c r="AL184" s="33"/>
      <c r="AM184" s="242"/>
      <c r="AN184" s="241"/>
      <c r="AO184" s="244"/>
      <c r="AQ184" s="242"/>
      <c r="AR184" s="241"/>
      <c r="AS184" s="244"/>
      <c r="AT184" s="33"/>
      <c r="AU184" s="242"/>
      <c r="AV184" s="241"/>
      <c r="AW184" s="244"/>
      <c r="AX184" s="33"/>
      <c r="AY184" s="242"/>
      <c r="AZ184" s="241"/>
      <c r="BA184" s="244"/>
      <c r="BB184" s="33"/>
      <c r="BC184" s="242"/>
      <c r="BD184" s="241"/>
      <c r="BE184" s="244"/>
      <c r="BF184" s="33"/>
      <c r="BG184" s="242"/>
      <c r="BH184" s="241"/>
      <c r="BI184" s="244"/>
      <c r="BJ184" s="33"/>
      <c r="BK184" s="242"/>
      <c r="BL184" s="241"/>
      <c r="BM184" s="244"/>
      <c r="BN184" s="33"/>
      <c r="BO184" s="242"/>
      <c r="BP184" s="241"/>
      <c r="BQ184" s="244"/>
      <c r="BR184" s="33"/>
      <c r="BS184" s="242"/>
      <c r="BT184" s="241"/>
      <c r="BU184" s="244"/>
      <c r="BV184" s="33"/>
      <c r="BW184" s="242"/>
      <c r="BX184" s="241"/>
      <c r="BY184" s="244"/>
      <c r="BZ184" s="33"/>
      <c r="CA184" s="242"/>
      <c r="CB184" s="241"/>
      <c r="CC184" s="244"/>
      <c r="CD184" s="243"/>
      <c r="CE184" s="243"/>
      <c r="CF184" s="243"/>
      <c r="CG184" s="243"/>
      <c r="CH184" s="243"/>
      <c r="CI184" s="243"/>
      <c r="CJ184" s="243"/>
      <c r="CK184" s="243"/>
      <c r="CL184" s="243"/>
      <c r="CM184" s="243"/>
      <c r="CN184" s="243"/>
      <c r="CO184" s="243"/>
      <c r="CP184" s="243"/>
      <c r="CQ184" s="243"/>
      <c r="CR184" s="243"/>
      <c r="CS184" s="243"/>
      <c r="CT184" s="243"/>
      <c r="CU184" s="243"/>
      <c r="CV184" s="243"/>
      <c r="CW184" s="243"/>
      <c r="CX184" s="243"/>
      <c r="CY184" s="243"/>
      <c r="CZ184" s="243"/>
      <c r="DA184" s="243"/>
      <c r="DB184" s="243"/>
      <c r="DC184" s="243"/>
      <c r="DD184" s="243"/>
      <c r="DE184" s="243"/>
      <c r="DF184" s="243"/>
      <c r="DG184" s="243"/>
      <c r="DH184" s="243"/>
      <c r="DI184" s="243"/>
      <c r="DJ184" s="243"/>
      <c r="DK184" s="243"/>
      <c r="DM184" s="242"/>
      <c r="DO184" s="243"/>
      <c r="DQ184" s="242"/>
      <c r="DS184" s="243"/>
      <c r="DU184" s="242"/>
      <c r="DW184" s="243"/>
      <c r="DY184" s="242"/>
      <c r="EA184" s="243"/>
    </row>
    <row r="185" spans="1:131">
      <c r="A185" s="20"/>
      <c r="B185" s="124" t="str">
        <f t="shared" si="166"/>
        <v/>
      </c>
      <c r="C185" s="235"/>
      <c r="D185" s="24">
        <f>'1% Wind'!$M$91</f>
        <v>4.2</v>
      </c>
      <c r="E185" s="90"/>
      <c r="F185" s="90"/>
      <c r="G185" s="79">
        <f ca="1">IF(I175=0.9743,$G184,MAX(G184/D184*D185,2))</f>
        <v>6.001707317073171</v>
      </c>
      <c r="H185" s="121" t="e">
        <f t="shared" ca="1" si="167"/>
        <v>#VALUE!</v>
      </c>
      <c r="J185" s="33"/>
      <c r="K185" s="242">
        <f t="shared" si="168"/>
        <v>1</v>
      </c>
      <c r="L185" s="241" t="e">
        <f t="shared" ca="1" si="169"/>
        <v>#VALUE!</v>
      </c>
      <c r="M185" s="243" t="e">
        <f ca="1">IF(AND(INDEX(FlowCalConstA,MATCH(J175,FlowCalNumber,0),1,1)*L185^INDEX(FlowCalConstB,MATCH(J175,FlowCalNumber,0),1,1)&gt;INDEX(FlowCalLowSetting,MATCH(J175,FlowCalNumber,0),1,1), (INDEX(FlowCalConstA,MATCH(J175,FlowCalNumber,0),1,1)*L185^INDEX(FlowCalConstB,MATCH(J175,FlowCalNumber,0),1,1)&lt;INDEX(FlowCalHighSetting,MATCH(J175,FlowCalNumber,0),1,1))),INDEX(FlowCalConstA,MATCH(J175,FlowCalNumber,0),1,1)*L185^INDEX(FlowCalConstB,MATCH(J175,FlowCalNumber,0),1,1)," ")</f>
        <v>#N/A</v>
      </c>
      <c r="N185" s="33"/>
      <c r="O185" s="242">
        <f t="shared" si="170"/>
        <v>1</v>
      </c>
      <c r="P185" s="241" t="e">
        <f t="shared" ca="1" si="171"/>
        <v>#VALUE!</v>
      </c>
      <c r="Q185" s="243" t="e">
        <f ca="1">IF(AND(INDEX(FlowCalConstA,MATCH(N175,FlowCalNumber,0),1,1)*P185^INDEX(FlowCalConstB,MATCH(N175,FlowCalNumber,0),1,1)&gt;INDEX(FlowCalLowSetting,MATCH(N175,FlowCalNumber,0),1,1), (INDEX(FlowCalConstA,MATCH(N175,FlowCalNumber,0),1,1)*P185^INDEX(FlowCalConstB,MATCH(N175,FlowCalNumber,0),1,1)&lt;INDEX(FlowCalHighSetting,MATCH(N175,FlowCalNumber,0),1,1))),INDEX(FlowCalConstA,MATCH(N175,FlowCalNumber,0),1,1)*P185^INDEX(FlowCalConstB,MATCH(N175,FlowCalNumber,0),1,1)," ")</f>
        <v>#N/A</v>
      </c>
      <c r="R185" s="33"/>
      <c r="S185" s="242">
        <f t="shared" si="172"/>
        <v>1</v>
      </c>
      <c r="T185" s="241" t="e">
        <f t="shared" ca="1" si="173"/>
        <v>#VALUE!</v>
      </c>
      <c r="U185" s="244" t="e">
        <f ca="1">IF(AND(INDEX(FlowCalConstA,MATCH(R175,FlowCalNumber,0),1,1)*T185^INDEX(FlowCalConstB,MATCH(R175,FlowCalNumber,0),1,1)&gt;INDEX(FlowCalLowSetting,MATCH(R175,FlowCalNumber,0),1,1), (INDEX(FlowCalConstA,MATCH(R175,FlowCalNumber,0),1,1)*T185^INDEX(FlowCalConstB,MATCH(R175,FlowCalNumber,0),1,1)&lt;INDEX(FlowCalHighSetting,MATCH(R175,FlowCalNumber,0),1,1))),INDEX(FlowCalConstA,MATCH(R175,FlowCalNumber,0),1,1)*T185^INDEX(FlowCalConstB,MATCH(R175,FlowCalNumber,0),1,1)," ")</f>
        <v>#N/A</v>
      </c>
      <c r="V185" s="33"/>
      <c r="W185" s="242">
        <f t="shared" si="174"/>
        <v>0.1</v>
      </c>
      <c r="X185" s="241" t="e">
        <f t="shared" ca="1" si="175"/>
        <v>#VALUE!</v>
      </c>
      <c r="Y185" s="243" t="e">
        <f ca="1">IF(AND(INDEX(FlowCalConstA,MATCH(V175,FlowCalNumber,0),1,1)*X185^INDEX(FlowCalConstB,MATCH(V175,FlowCalNumber,0),1,1)&gt;INDEX(FlowCalLowSetting,MATCH(V175,FlowCalNumber,0),1,1), (INDEX(FlowCalConstA,MATCH(V175,FlowCalNumber,0),1,1)*X185^INDEX(FlowCalConstB,MATCH(V175,FlowCalNumber,0),1,1)&lt;INDEX(FlowCalHighSetting,MATCH(V175,FlowCalNumber,0),1,1))),INDEX(FlowCalConstA,MATCH(V175,FlowCalNumber,0),1,1)*X185^INDEX(FlowCalConstB,MATCH(V175,FlowCalNumber,0),1,1)," ")</f>
        <v>#N/A</v>
      </c>
      <c r="Z185" s="33"/>
      <c r="AA185" s="242">
        <f t="shared" si="176"/>
        <v>0.9</v>
      </c>
      <c r="AB185" s="241" t="e">
        <f t="shared" ca="1" si="177"/>
        <v>#VALUE!</v>
      </c>
      <c r="AC185" s="243" t="e">
        <f ca="1">IF(AND(INDEX(FlowCalConstA,MATCH(Z175,FlowCalNumber,0),1,1)*AB185^INDEX(FlowCalConstB,MATCH(Z175,FlowCalNumber,0),1,1)&gt;INDEX(FlowCalLowSetting,MATCH(Z175,FlowCalNumber,0),1,1), (INDEX(FlowCalConstA,MATCH(Z175,FlowCalNumber,0),1,1)*AB185^INDEX(FlowCalConstB,MATCH(Z175,FlowCalNumber,0),1,1)&lt;INDEX(FlowCalHighSetting,MATCH(Z175,FlowCalNumber,0),1,1))),INDEX(FlowCalConstA,MATCH(Z175,FlowCalNumber,0),1,1)*AB185^INDEX(FlowCalConstB,MATCH(Z175,FlowCalNumber,0),1,1)," ")</f>
        <v>#N/A</v>
      </c>
      <c r="AD185" s="33"/>
      <c r="AE185" s="242">
        <f t="shared" si="178"/>
        <v>0.1</v>
      </c>
      <c r="AF185" s="241" t="e">
        <f t="shared" ca="1" si="179"/>
        <v>#VALUE!</v>
      </c>
      <c r="AG185" s="243" t="e">
        <f ca="1">IF(AND(INDEX(FlowCalConstA,MATCH(AD175,FlowCalNumber,0),1,1)*AF185^INDEX(FlowCalConstB,MATCH(AD175,FlowCalNumber,0),1,1)&gt;INDEX(FlowCalLowSetting,MATCH(AD175,FlowCalNumber,0),1,1), (INDEX(FlowCalConstA,MATCH(AD175,FlowCalNumber,0),1,1)*AF185^INDEX(FlowCalConstB,MATCH(AD175,FlowCalNumber,0),1,1)&lt;INDEX(FlowCalHighSetting,MATCH(AD175,FlowCalNumber,0),1,1))),INDEX(FlowCalConstA,MATCH(AD175,FlowCalNumber,0),1,1)*AF185^INDEX(FlowCalConstB,MATCH(AD175,FlowCalNumber,0),1,1)," ")</f>
        <v>#N/A</v>
      </c>
      <c r="AH185" s="33"/>
      <c r="AI185" s="242">
        <f t="shared" si="180"/>
        <v>0.9</v>
      </c>
      <c r="AJ185" s="241" t="e">
        <f t="shared" ca="1" si="181"/>
        <v>#VALUE!</v>
      </c>
      <c r="AK185" s="243" t="e">
        <f ca="1">IF(AND(INDEX(FlowCalConstA,MATCH(AH175,FlowCalNumber,0),1,1)*AJ185^INDEX(FlowCalConstB,MATCH(AH175,FlowCalNumber,0),1,1)&gt;INDEX(FlowCalLowSetting,MATCH(AH175,FlowCalNumber,0),1,1), (INDEX(FlowCalConstA,MATCH(AH175,FlowCalNumber,0),1,1)*AJ185^INDEX(FlowCalConstB,MATCH(AH175,FlowCalNumber,0),1,1)&lt;INDEX(FlowCalHighSetting,MATCH(AH175,FlowCalNumber,0),1,1))),INDEX(FlowCalConstA,MATCH(AH175,FlowCalNumber,0),1,1)*AJ185^INDEX(FlowCalConstB,MATCH(AH175,FlowCalNumber,0),1,1)," ")</f>
        <v>#N/A</v>
      </c>
      <c r="AL185" s="33"/>
      <c r="AM185" s="242"/>
      <c r="AN185" s="241"/>
      <c r="AO185" s="244"/>
      <c r="AQ185" s="242"/>
      <c r="AR185" s="241"/>
      <c r="AS185" s="244"/>
      <c r="AT185" s="33"/>
      <c r="AU185" s="242"/>
      <c r="AV185" s="241"/>
      <c r="AW185" s="244"/>
      <c r="AX185" s="33"/>
      <c r="AY185" s="242"/>
      <c r="AZ185" s="241"/>
      <c r="BA185" s="244"/>
      <c r="BB185" s="33"/>
      <c r="BC185" s="242"/>
      <c r="BD185" s="241"/>
      <c r="BE185" s="244"/>
      <c r="BF185" s="33"/>
      <c r="BG185" s="242"/>
      <c r="BH185" s="241"/>
      <c r="BI185" s="244"/>
      <c r="BJ185" s="33"/>
      <c r="BK185" s="242"/>
      <c r="BL185" s="241"/>
      <c r="BM185" s="244"/>
      <c r="BN185" s="33"/>
      <c r="BO185" s="242"/>
      <c r="BP185" s="241"/>
      <c r="BQ185" s="244"/>
      <c r="BR185" s="33"/>
      <c r="BS185" s="242"/>
      <c r="BT185" s="241"/>
      <c r="BU185" s="244"/>
      <c r="BV185" s="33"/>
      <c r="BW185" s="242"/>
      <c r="BX185" s="241"/>
      <c r="BY185" s="244"/>
      <c r="BZ185" s="33"/>
      <c r="CA185" s="242"/>
      <c r="CB185" s="241"/>
      <c r="CC185" s="244"/>
      <c r="CD185" s="243"/>
      <c r="CE185" s="243"/>
      <c r="CF185" s="243"/>
      <c r="CG185" s="243"/>
      <c r="CH185" s="243"/>
      <c r="CI185" s="243"/>
      <c r="CJ185" s="243"/>
      <c r="CK185" s="243"/>
      <c r="CL185" s="243"/>
      <c r="CM185" s="243"/>
      <c r="CN185" s="243"/>
      <c r="CO185" s="243"/>
      <c r="CP185" s="243"/>
      <c r="CQ185" s="243"/>
      <c r="CR185" s="243"/>
      <c r="CS185" s="243"/>
      <c r="CT185" s="243"/>
      <c r="CU185" s="243"/>
      <c r="CV185" s="243"/>
      <c r="CW185" s="243"/>
      <c r="CX185" s="243"/>
      <c r="CY185" s="243"/>
      <c r="CZ185" s="243"/>
      <c r="DA185" s="243"/>
      <c r="DB185" s="243"/>
      <c r="DC185" s="243"/>
      <c r="DD185" s="243"/>
      <c r="DE185" s="243"/>
      <c r="DF185" s="243"/>
      <c r="DG185" s="243"/>
      <c r="DH185" s="243"/>
      <c r="DI185" s="243"/>
      <c r="DJ185" s="243"/>
      <c r="DK185" s="243"/>
      <c r="DM185" s="242"/>
      <c r="DO185" s="243"/>
      <c r="DQ185" s="242"/>
      <c r="DS185" s="243"/>
      <c r="DU185" s="242"/>
      <c r="DW185" s="243"/>
      <c r="DY185" s="242"/>
      <c r="EA185" s="243"/>
    </row>
    <row r="186" spans="1:131">
      <c r="A186" s="20"/>
      <c r="B186" s="124" t="str">
        <f t="shared" si="166"/>
        <v/>
      </c>
      <c r="C186" s="235"/>
      <c r="D186" s="24">
        <f>'1% Wind'!$M$92</f>
        <v>3.2</v>
      </c>
      <c r="E186" s="90"/>
      <c r="F186" s="90"/>
      <c r="G186" s="79">
        <f ca="1">IF(I175=0.9743,$G185,MAX(G185/D185*D186,2))</f>
        <v>6.001707317073171</v>
      </c>
      <c r="H186" s="121" t="e">
        <f t="shared" ca="1" si="167"/>
        <v>#VALUE!</v>
      </c>
      <c r="J186" s="33"/>
      <c r="K186" s="242">
        <f t="shared" si="168"/>
        <v>1</v>
      </c>
      <c r="L186" s="241" t="e">
        <f t="shared" ca="1" si="169"/>
        <v>#VALUE!</v>
      </c>
      <c r="M186" s="243" t="e">
        <f ca="1">IF(AND(INDEX(FlowCalConstA,MATCH(J175,FlowCalNumber,0),1,1)*L186^INDEX(FlowCalConstB,MATCH(J175,FlowCalNumber,0),1,1)&gt;INDEX(FlowCalLowSetting,MATCH(J175,FlowCalNumber,0),1,1), (INDEX(FlowCalConstA,MATCH(J175,FlowCalNumber,0),1,1)*L186^INDEX(FlowCalConstB,MATCH(J175,FlowCalNumber,0),1,1)&lt;INDEX(FlowCalHighSetting,MATCH(J175,FlowCalNumber,0),1,1))),INDEX(FlowCalConstA,MATCH(J175,FlowCalNumber,0),1,1)*L186^INDEX(FlowCalConstB,MATCH(J175,FlowCalNumber,0),1,1)," ")</f>
        <v>#N/A</v>
      </c>
      <c r="N186" s="33"/>
      <c r="O186" s="242">
        <f t="shared" si="170"/>
        <v>1</v>
      </c>
      <c r="P186" s="241" t="e">
        <f t="shared" ca="1" si="171"/>
        <v>#VALUE!</v>
      </c>
      <c r="Q186" s="243" t="e">
        <f ca="1">IF(AND(INDEX(FlowCalConstA,MATCH(N175,FlowCalNumber,0),1,1)*P186^INDEX(FlowCalConstB,MATCH(N175,FlowCalNumber,0),1,1)&gt;INDEX(FlowCalLowSetting,MATCH(N175,FlowCalNumber,0),1,1), (INDEX(FlowCalConstA,MATCH(N175,FlowCalNumber,0),1,1)*P186^INDEX(FlowCalConstB,MATCH(N175,FlowCalNumber,0),1,1)&lt;INDEX(FlowCalHighSetting,MATCH(N175,FlowCalNumber,0),1,1))),INDEX(FlowCalConstA,MATCH(N175,FlowCalNumber,0),1,1)*P186^INDEX(FlowCalConstB,MATCH(N175,FlowCalNumber,0),1,1)," ")</f>
        <v>#N/A</v>
      </c>
      <c r="R186" s="33"/>
      <c r="S186" s="242">
        <f t="shared" si="172"/>
        <v>1</v>
      </c>
      <c r="T186" s="241" t="e">
        <f t="shared" ca="1" si="173"/>
        <v>#VALUE!</v>
      </c>
      <c r="U186" s="244" t="e">
        <f ca="1">IF(AND(INDEX(FlowCalConstA,MATCH(R175,FlowCalNumber,0),1,1)*T186^INDEX(FlowCalConstB,MATCH(R175,FlowCalNumber,0),1,1)&gt;INDEX(FlowCalLowSetting,MATCH(R175,FlowCalNumber,0),1,1), (INDEX(FlowCalConstA,MATCH(R175,FlowCalNumber,0),1,1)*T186^INDEX(FlowCalConstB,MATCH(R175,FlowCalNumber,0),1,1)&lt;INDEX(FlowCalHighSetting,MATCH(R175,FlowCalNumber,0),1,1))),INDEX(FlowCalConstA,MATCH(R175,FlowCalNumber,0),1,1)*T186^INDEX(FlowCalConstB,MATCH(R175,FlowCalNumber,0),1,1)," ")</f>
        <v>#N/A</v>
      </c>
      <c r="V186" s="33"/>
      <c r="W186" s="242">
        <f t="shared" si="174"/>
        <v>0.1</v>
      </c>
      <c r="X186" s="241" t="e">
        <f t="shared" ca="1" si="175"/>
        <v>#VALUE!</v>
      </c>
      <c r="Y186" s="243" t="e">
        <f ca="1">IF(AND(INDEX(FlowCalConstA,MATCH(V175,FlowCalNumber,0),1,1)*X186^INDEX(FlowCalConstB,MATCH(V175,FlowCalNumber,0),1,1)&gt;INDEX(FlowCalLowSetting,MATCH(V175,FlowCalNumber,0),1,1), (INDEX(FlowCalConstA,MATCH(V175,FlowCalNumber,0),1,1)*X186^INDEX(FlowCalConstB,MATCH(V175,FlowCalNumber,0),1,1)&lt;INDEX(FlowCalHighSetting,MATCH(V175,FlowCalNumber,0),1,1))),INDEX(FlowCalConstA,MATCH(V175,FlowCalNumber,0),1,1)*X186^INDEX(FlowCalConstB,MATCH(V175,FlowCalNumber,0),1,1)," ")</f>
        <v>#N/A</v>
      </c>
      <c r="Z186" s="33"/>
      <c r="AA186" s="242">
        <f t="shared" si="176"/>
        <v>0.9</v>
      </c>
      <c r="AB186" s="241" t="e">
        <f t="shared" ca="1" si="177"/>
        <v>#VALUE!</v>
      </c>
      <c r="AC186" s="243" t="e">
        <f ca="1">IF(AND(INDEX(FlowCalConstA,MATCH(Z175,FlowCalNumber,0),1,1)*AB186^INDEX(FlowCalConstB,MATCH(Z175,FlowCalNumber,0),1,1)&gt;INDEX(FlowCalLowSetting,MATCH(Z175,FlowCalNumber,0),1,1), (INDEX(FlowCalConstA,MATCH(Z175,FlowCalNumber,0),1,1)*AB186^INDEX(FlowCalConstB,MATCH(Z175,FlowCalNumber,0),1,1)&lt;INDEX(FlowCalHighSetting,MATCH(Z175,FlowCalNumber,0),1,1))),INDEX(FlowCalConstA,MATCH(Z175,FlowCalNumber,0),1,1)*AB186^INDEX(FlowCalConstB,MATCH(Z175,FlowCalNumber,0),1,1)," ")</f>
        <v>#N/A</v>
      </c>
      <c r="AD186" s="33"/>
      <c r="AE186" s="242">
        <f t="shared" si="178"/>
        <v>0.1</v>
      </c>
      <c r="AF186" s="241" t="e">
        <f t="shared" ca="1" si="179"/>
        <v>#VALUE!</v>
      </c>
      <c r="AG186" s="243" t="e">
        <f ca="1">IF(AND(INDEX(FlowCalConstA,MATCH(AD175,FlowCalNumber,0),1,1)*AF186^INDEX(FlowCalConstB,MATCH(AD175,FlowCalNumber,0),1,1)&gt;INDEX(FlowCalLowSetting,MATCH(AD175,FlowCalNumber,0),1,1), (INDEX(FlowCalConstA,MATCH(AD175,FlowCalNumber,0),1,1)*AF186^INDEX(FlowCalConstB,MATCH(AD175,FlowCalNumber,0),1,1)&lt;INDEX(FlowCalHighSetting,MATCH(AD175,FlowCalNumber,0),1,1))),INDEX(FlowCalConstA,MATCH(AD175,FlowCalNumber,0),1,1)*AF186^INDEX(FlowCalConstB,MATCH(AD175,FlowCalNumber,0),1,1)," ")</f>
        <v>#N/A</v>
      </c>
      <c r="AH186" s="33"/>
      <c r="AI186" s="242">
        <f t="shared" si="180"/>
        <v>0.9</v>
      </c>
      <c r="AJ186" s="241" t="e">
        <f t="shared" ca="1" si="181"/>
        <v>#VALUE!</v>
      </c>
      <c r="AK186" s="243" t="e">
        <f ca="1">IF(AND(INDEX(FlowCalConstA,MATCH(AH175,FlowCalNumber,0),1,1)*AJ186^INDEX(FlowCalConstB,MATCH(AH175,FlowCalNumber,0),1,1)&gt;INDEX(FlowCalLowSetting,MATCH(AH175,FlowCalNumber,0),1,1), (INDEX(FlowCalConstA,MATCH(AH175,FlowCalNumber,0),1,1)*AJ186^INDEX(FlowCalConstB,MATCH(AH175,FlowCalNumber,0),1,1)&lt;INDEX(FlowCalHighSetting,MATCH(AH175,FlowCalNumber,0),1,1))),INDEX(FlowCalConstA,MATCH(AH175,FlowCalNumber,0),1,1)*AJ186^INDEX(FlowCalConstB,MATCH(AH175,FlowCalNumber,0),1,1)," ")</f>
        <v>#N/A</v>
      </c>
      <c r="AL186" s="33"/>
      <c r="AM186" s="242"/>
      <c r="AN186" s="241"/>
      <c r="AO186" s="244"/>
      <c r="AQ186" s="242"/>
      <c r="AR186" s="241"/>
      <c r="AS186" s="244"/>
      <c r="AT186" s="33"/>
      <c r="AU186" s="242"/>
      <c r="AV186" s="241"/>
      <c r="AW186" s="244"/>
      <c r="AX186" s="33"/>
      <c r="AY186" s="242"/>
      <c r="AZ186" s="241"/>
      <c r="BA186" s="244"/>
      <c r="BB186" s="33"/>
      <c r="BC186" s="242"/>
      <c r="BD186" s="241"/>
      <c r="BE186" s="244"/>
      <c r="BF186" s="33"/>
      <c r="BG186" s="242"/>
      <c r="BH186" s="241"/>
      <c r="BI186" s="244"/>
      <c r="BJ186" s="33"/>
      <c r="BK186" s="242"/>
      <c r="BL186" s="241"/>
      <c r="BM186" s="244"/>
      <c r="BN186" s="33"/>
      <c r="BO186" s="242"/>
      <c r="BP186" s="241"/>
      <c r="BQ186" s="244"/>
      <c r="BR186" s="33"/>
      <c r="BS186" s="242"/>
      <c r="BT186" s="241"/>
      <c r="BU186" s="244"/>
      <c r="BV186" s="33"/>
      <c r="BW186" s="242"/>
      <c r="BX186" s="241"/>
      <c r="BY186" s="244"/>
      <c r="BZ186" s="33"/>
      <c r="CA186" s="242"/>
      <c r="CB186" s="241"/>
      <c r="CC186" s="244"/>
      <c r="CD186" s="243"/>
      <c r="CE186" s="243"/>
      <c r="CF186" s="243"/>
      <c r="CG186" s="243"/>
      <c r="CH186" s="243"/>
      <c r="CI186" s="243"/>
      <c r="CJ186" s="243"/>
      <c r="CK186" s="243"/>
      <c r="CL186" s="243"/>
      <c r="CM186" s="243"/>
      <c r="CN186" s="243"/>
      <c r="CO186" s="243"/>
      <c r="CP186" s="243"/>
      <c r="CQ186" s="243"/>
      <c r="CR186" s="243"/>
      <c r="CS186" s="243"/>
      <c r="CT186" s="243"/>
      <c r="CU186" s="243"/>
      <c r="CV186" s="243"/>
      <c r="CW186" s="243"/>
      <c r="CX186" s="243"/>
      <c r="CY186" s="243"/>
      <c r="CZ186" s="243"/>
      <c r="DA186" s="243"/>
      <c r="DB186" s="243"/>
      <c r="DC186" s="243"/>
      <c r="DD186" s="243"/>
      <c r="DE186" s="243"/>
      <c r="DF186" s="243"/>
      <c r="DG186" s="243"/>
      <c r="DH186" s="243"/>
      <c r="DI186" s="243"/>
      <c r="DJ186" s="243"/>
      <c r="DK186" s="243"/>
      <c r="DM186" s="242"/>
      <c r="DO186" s="243"/>
      <c r="DQ186" s="242"/>
      <c r="DS186" s="243"/>
      <c r="DU186" s="242"/>
      <c r="DW186" s="243"/>
      <c r="DY186" s="242"/>
      <c r="EA186" s="243"/>
    </row>
    <row r="187" spans="1:131">
      <c r="A187" s="20"/>
      <c r="B187" s="124" t="str">
        <f t="shared" si="166"/>
        <v/>
      </c>
      <c r="C187" s="235"/>
      <c r="D187" s="24">
        <f>'1% Wind'!$M$93</f>
        <v>2.4</v>
      </c>
      <c r="E187" s="90"/>
      <c r="F187" s="90"/>
      <c r="G187" s="79">
        <f ca="1">IF(I175=0.9743,$G186,MAX(G186/D186*D187,2))</f>
        <v>6.001707317073171</v>
      </c>
      <c r="H187" s="121" t="e">
        <f t="shared" ca="1" si="167"/>
        <v>#VALUE!</v>
      </c>
      <c r="J187" s="33"/>
      <c r="K187" s="242">
        <f t="shared" si="168"/>
        <v>1</v>
      </c>
      <c r="L187" s="241" t="e">
        <f t="shared" ca="1" si="169"/>
        <v>#VALUE!</v>
      </c>
      <c r="M187" s="243" t="e">
        <f ca="1">IF(AND(INDEX(FlowCalConstA,MATCH(J175,FlowCalNumber,0),1,1)*L187^INDEX(FlowCalConstB,MATCH(J175,FlowCalNumber,0),1,1)&gt;INDEX(FlowCalLowSetting,MATCH(J175,FlowCalNumber,0),1,1), (INDEX(FlowCalConstA,MATCH(J175,FlowCalNumber,0),1,1)*L187^INDEX(FlowCalConstB,MATCH(J175,FlowCalNumber,0),1,1)&lt;INDEX(FlowCalHighSetting,MATCH(J175,FlowCalNumber,0),1,1))),INDEX(FlowCalConstA,MATCH(J175,FlowCalNumber,0),1,1)*L187^INDEX(FlowCalConstB,MATCH(J175,FlowCalNumber,0),1,1)," ")</f>
        <v>#N/A</v>
      </c>
      <c r="N187" s="33"/>
      <c r="O187" s="242">
        <f t="shared" si="170"/>
        <v>1</v>
      </c>
      <c r="P187" s="241" t="e">
        <f t="shared" ca="1" si="171"/>
        <v>#VALUE!</v>
      </c>
      <c r="Q187" s="243" t="e">
        <f ca="1">IF(AND(INDEX(FlowCalConstA,MATCH(N175,FlowCalNumber,0),1,1)*P187^INDEX(FlowCalConstB,MATCH(N175,FlowCalNumber,0),1,1)&gt;INDEX(FlowCalLowSetting,MATCH(N175,FlowCalNumber,0),1,1), (INDEX(FlowCalConstA,MATCH(N175,FlowCalNumber,0),1,1)*P187^INDEX(FlowCalConstB,MATCH(N175,FlowCalNumber,0),1,1)&lt;INDEX(FlowCalHighSetting,MATCH(N175,FlowCalNumber,0),1,1))),INDEX(FlowCalConstA,MATCH(N175,FlowCalNumber,0),1,1)*P187^INDEX(FlowCalConstB,MATCH(N175,FlowCalNumber,0),1,1)," ")</f>
        <v>#N/A</v>
      </c>
      <c r="R187" s="33"/>
      <c r="S187" s="242">
        <f t="shared" si="172"/>
        <v>1</v>
      </c>
      <c r="T187" s="241" t="e">
        <f t="shared" ca="1" si="173"/>
        <v>#VALUE!</v>
      </c>
      <c r="U187" s="244" t="e">
        <f ca="1">IF(AND(INDEX(FlowCalConstA,MATCH(R175,FlowCalNumber,0),1,1)*T187^INDEX(FlowCalConstB,MATCH(R175,FlowCalNumber,0),1,1)&gt;INDEX(FlowCalLowSetting,MATCH(R175,FlowCalNumber,0),1,1), (INDEX(FlowCalConstA,MATCH(R175,FlowCalNumber,0),1,1)*T187^INDEX(FlowCalConstB,MATCH(R175,FlowCalNumber,0),1,1)&lt;INDEX(FlowCalHighSetting,MATCH(R175,FlowCalNumber,0),1,1))),INDEX(FlowCalConstA,MATCH(R175,FlowCalNumber,0),1,1)*T187^INDEX(FlowCalConstB,MATCH(R175,FlowCalNumber,0),1,1)," ")</f>
        <v>#N/A</v>
      </c>
      <c r="V187" s="33"/>
      <c r="W187" s="242">
        <f t="shared" si="174"/>
        <v>0.1</v>
      </c>
      <c r="X187" s="241" t="e">
        <f t="shared" ca="1" si="175"/>
        <v>#VALUE!</v>
      </c>
      <c r="Y187" s="243" t="e">
        <f ca="1">IF(AND(INDEX(FlowCalConstA,MATCH(V175,FlowCalNumber,0),1,1)*X187^INDEX(FlowCalConstB,MATCH(V175,FlowCalNumber,0),1,1)&gt;INDEX(FlowCalLowSetting,MATCH(V175,FlowCalNumber,0),1,1), (INDEX(FlowCalConstA,MATCH(V175,FlowCalNumber,0),1,1)*X187^INDEX(FlowCalConstB,MATCH(V175,FlowCalNumber,0),1,1)&lt;INDEX(FlowCalHighSetting,MATCH(V175,FlowCalNumber,0),1,1))),INDEX(FlowCalConstA,MATCH(V175,FlowCalNumber,0),1,1)*X187^INDEX(FlowCalConstB,MATCH(V175,FlowCalNumber,0),1,1)," ")</f>
        <v>#N/A</v>
      </c>
      <c r="Z187" s="33"/>
      <c r="AA187" s="242">
        <f t="shared" si="176"/>
        <v>0.9</v>
      </c>
      <c r="AB187" s="241" t="e">
        <f t="shared" ca="1" si="177"/>
        <v>#VALUE!</v>
      </c>
      <c r="AC187" s="243" t="e">
        <f ca="1">IF(AND(INDEX(FlowCalConstA,MATCH(Z175,FlowCalNumber,0),1,1)*AB187^INDEX(FlowCalConstB,MATCH(Z175,FlowCalNumber,0),1,1)&gt;INDEX(FlowCalLowSetting,MATCH(Z175,FlowCalNumber,0),1,1), (INDEX(FlowCalConstA,MATCH(Z175,FlowCalNumber,0),1,1)*AB187^INDEX(FlowCalConstB,MATCH(Z175,FlowCalNumber,0),1,1)&lt;INDEX(FlowCalHighSetting,MATCH(Z175,FlowCalNumber,0),1,1))),INDEX(FlowCalConstA,MATCH(Z175,FlowCalNumber,0),1,1)*AB187^INDEX(FlowCalConstB,MATCH(Z175,FlowCalNumber,0),1,1)," ")</f>
        <v>#N/A</v>
      </c>
      <c r="AD187" s="33"/>
      <c r="AE187" s="242">
        <f t="shared" si="178"/>
        <v>0.1</v>
      </c>
      <c r="AF187" s="241" t="e">
        <f t="shared" ca="1" si="179"/>
        <v>#VALUE!</v>
      </c>
      <c r="AG187" s="243" t="e">
        <f ca="1">IF(AND(INDEX(FlowCalConstA,MATCH(AD175,FlowCalNumber,0),1,1)*AF187^INDEX(FlowCalConstB,MATCH(AD175,FlowCalNumber,0),1,1)&gt;INDEX(FlowCalLowSetting,MATCH(AD175,FlowCalNumber,0),1,1), (INDEX(FlowCalConstA,MATCH(AD175,FlowCalNumber,0),1,1)*AF187^INDEX(FlowCalConstB,MATCH(AD175,FlowCalNumber,0),1,1)&lt;INDEX(FlowCalHighSetting,MATCH(AD175,FlowCalNumber,0),1,1))),INDEX(FlowCalConstA,MATCH(AD175,FlowCalNumber,0),1,1)*AF187^INDEX(FlowCalConstB,MATCH(AD175,FlowCalNumber,0),1,1)," ")</f>
        <v>#N/A</v>
      </c>
      <c r="AH187" s="33"/>
      <c r="AI187" s="242">
        <f t="shared" si="180"/>
        <v>0.9</v>
      </c>
      <c r="AJ187" s="241" t="e">
        <f t="shared" ca="1" si="181"/>
        <v>#VALUE!</v>
      </c>
      <c r="AK187" s="243" t="e">
        <f ca="1">IF(AND(INDEX(FlowCalConstA,MATCH(AH175,FlowCalNumber,0),1,1)*AJ187^INDEX(FlowCalConstB,MATCH(AH175,FlowCalNumber,0),1,1)&gt;INDEX(FlowCalLowSetting,MATCH(AH175,FlowCalNumber,0),1,1), (INDEX(FlowCalConstA,MATCH(AH175,FlowCalNumber,0),1,1)*AJ187^INDEX(FlowCalConstB,MATCH(AH175,FlowCalNumber,0),1,1)&lt;INDEX(FlowCalHighSetting,MATCH(AH175,FlowCalNumber,0),1,1))),INDEX(FlowCalConstA,MATCH(AH175,FlowCalNumber,0),1,1)*AJ187^INDEX(FlowCalConstB,MATCH(AH175,FlowCalNumber,0),1,1)," ")</f>
        <v>#N/A</v>
      </c>
      <c r="AL187" s="33"/>
      <c r="AM187" s="242"/>
      <c r="AN187" s="241"/>
      <c r="AO187" s="244"/>
      <c r="AQ187" s="242"/>
      <c r="AR187" s="241"/>
      <c r="AS187" s="244"/>
      <c r="AT187" s="33"/>
      <c r="AU187" s="242"/>
      <c r="AV187" s="241"/>
      <c r="AW187" s="244"/>
      <c r="AX187" s="33"/>
      <c r="AY187" s="242"/>
      <c r="AZ187" s="241"/>
      <c r="BA187" s="244"/>
      <c r="BB187" s="33"/>
      <c r="BC187" s="242"/>
      <c r="BD187" s="241"/>
      <c r="BE187" s="244"/>
      <c r="BF187" s="33"/>
      <c r="BG187" s="242"/>
      <c r="BH187" s="241"/>
      <c r="BI187" s="244"/>
      <c r="BJ187" s="33"/>
      <c r="BK187" s="242"/>
      <c r="BL187" s="241"/>
      <c r="BM187" s="244"/>
      <c r="BN187" s="33"/>
      <c r="BO187" s="242"/>
      <c r="BP187" s="241"/>
      <c r="BQ187" s="244"/>
      <c r="BR187" s="33"/>
      <c r="BS187" s="242"/>
      <c r="BT187" s="241"/>
      <c r="BU187" s="244"/>
      <c r="BV187" s="33"/>
      <c r="BW187" s="242"/>
      <c r="BX187" s="241"/>
      <c r="BY187" s="244"/>
      <c r="BZ187" s="33"/>
      <c r="CA187" s="242"/>
      <c r="CB187" s="241"/>
      <c r="CC187" s="244"/>
      <c r="CD187" s="243"/>
      <c r="CE187" s="243"/>
      <c r="CF187" s="243"/>
      <c r="CG187" s="243"/>
      <c r="CH187" s="243"/>
      <c r="CI187" s="243"/>
      <c r="CJ187" s="243"/>
      <c r="CK187" s="243"/>
      <c r="CL187" s="243"/>
      <c r="CM187" s="243"/>
      <c r="CN187" s="243"/>
      <c r="CO187" s="243"/>
      <c r="CP187" s="243"/>
      <c r="CQ187" s="243"/>
      <c r="CR187" s="243"/>
      <c r="CS187" s="243"/>
      <c r="CT187" s="243"/>
      <c r="CU187" s="243"/>
      <c r="CV187" s="243"/>
      <c r="CW187" s="243"/>
      <c r="CX187" s="243"/>
      <c r="CY187" s="243"/>
      <c r="CZ187" s="243"/>
      <c r="DA187" s="243"/>
      <c r="DB187" s="243"/>
      <c r="DC187" s="243"/>
      <c r="DD187" s="243"/>
      <c r="DE187" s="243"/>
      <c r="DF187" s="243"/>
      <c r="DG187" s="243"/>
      <c r="DH187" s="243"/>
      <c r="DI187" s="243"/>
      <c r="DJ187" s="243"/>
      <c r="DK187" s="243"/>
      <c r="DM187" s="242"/>
      <c r="DO187" s="243"/>
      <c r="DQ187" s="242"/>
      <c r="DS187" s="243"/>
      <c r="DU187" s="242"/>
      <c r="DW187" s="243"/>
      <c r="DY187" s="242"/>
      <c r="EA187" s="243"/>
    </row>
    <row r="188" spans="1:131">
      <c r="A188" s="20"/>
      <c r="B188" s="124" t="str">
        <f t="shared" si="166"/>
        <v/>
      </c>
      <c r="C188" s="235"/>
      <c r="D188" s="24">
        <f>'1% Wind'!$M$94</f>
        <v>1.8</v>
      </c>
      <c r="E188" s="90"/>
      <c r="F188" s="90"/>
      <c r="G188" s="79">
        <f ca="1">IF(I175=0.9743,$G187,MAX(G187/D187*D188,2))</f>
        <v>6.001707317073171</v>
      </c>
      <c r="H188" s="121" t="e">
        <f t="shared" ca="1" si="167"/>
        <v>#VALUE!</v>
      </c>
      <c r="J188" s="33"/>
      <c r="K188" s="242">
        <f t="shared" si="168"/>
        <v>1</v>
      </c>
      <c r="L188" s="241" t="e">
        <f t="shared" ca="1" si="169"/>
        <v>#VALUE!</v>
      </c>
      <c r="M188" s="243" t="e">
        <f ca="1">IF(AND(INDEX(FlowCalConstA,MATCH(J175,FlowCalNumber,0),1,1)*L188^INDEX(FlowCalConstB,MATCH(J175,FlowCalNumber,0),1,1)&gt;INDEX(FlowCalLowSetting,MATCH(J175,FlowCalNumber,0),1,1), (INDEX(FlowCalConstA,MATCH(J175,FlowCalNumber,0),1,1)*L188^INDEX(FlowCalConstB,MATCH(J175,FlowCalNumber,0),1,1)&lt;INDEX(FlowCalHighSetting,MATCH(J175,FlowCalNumber,0),1,1))),INDEX(FlowCalConstA,MATCH(J175,FlowCalNumber,0),1,1)*L188^INDEX(FlowCalConstB,MATCH(J175,FlowCalNumber,0),1,1)," ")</f>
        <v>#N/A</v>
      </c>
      <c r="N188" s="33"/>
      <c r="O188" s="242">
        <f t="shared" si="170"/>
        <v>1</v>
      </c>
      <c r="P188" s="241" t="e">
        <f t="shared" ca="1" si="171"/>
        <v>#VALUE!</v>
      </c>
      <c r="Q188" s="243" t="e">
        <f ca="1">IF(AND(INDEX(FlowCalConstA,MATCH(N175,FlowCalNumber,0),1,1)*P188^INDEX(FlowCalConstB,MATCH(N175,FlowCalNumber,0),1,1)&gt;INDEX(FlowCalLowSetting,MATCH(N175,FlowCalNumber,0),1,1), (INDEX(FlowCalConstA,MATCH(N175,FlowCalNumber,0),1,1)*P188^INDEX(FlowCalConstB,MATCH(N175,FlowCalNumber,0),1,1)&lt;INDEX(FlowCalHighSetting,MATCH(N175,FlowCalNumber,0),1,1))),INDEX(FlowCalConstA,MATCH(N175,FlowCalNumber,0),1,1)*P188^INDEX(FlowCalConstB,MATCH(N175,FlowCalNumber,0),1,1)," ")</f>
        <v>#N/A</v>
      </c>
      <c r="R188" s="33"/>
      <c r="S188" s="242">
        <f t="shared" si="172"/>
        <v>1</v>
      </c>
      <c r="T188" s="241" t="e">
        <f t="shared" ca="1" si="173"/>
        <v>#VALUE!</v>
      </c>
      <c r="U188" s="244" t="e">
        <f ca="1">IF(AND(INDEX(FlowCalConstA,MATCH(R175,FlowCalNumber,0),1,1)*T188^INDEX(FlowCalConstB,MATCH(R175,FlowCalNumber,0),1,1)&gt;INDEX(FlowCalLowSetting,MATCH(R175,FlowCalNumber,0),1,1), (INDEX(FlowCalConstA,MATCH(R175,FlowCalNumber,0),1,1)*T188^INDEX(FlowCalConstB,MATCH(R175,FlowCalNumber,0),1,1)&lt;INDEX(FlowCalHighSetting,MATCH(R175,FlowCalNumber,0),1,1))),INDEX(FlowCalConstA,MATCH(R175,FlowCalNumber,0),1,1)*T188^INDEX(FlowCalConstB,MATCH(R175,FlowCalNumber,0),1,1)," ")</f>
        <v>#N/A</v>
      </c>
      <c r="V188" s="33"/>
      <c r="W188" s="242">
        <f t="shared" si="174"/>
        <v>0.1</v>
      </c>
      <c r="X188" s="241" t="e">
        <f t="shared" ca="1" si="175"/>
        <v>#VALUE!</v>
      </c>
      <c r="Y188" s="243" t="e">
        <f ca="1">IF(AND(INDEX(FlowCalConstA,MATCH(V175,FlowCalNumber,0),1,1)*X188^INDEX(FlowCalConstB,MATCH(V175,FlowCalNumber,0),1,1)&gt;INDEX(FlowCalLowSetting,MATCH(V175,FlowCalNumber,0),1,1), (INDEX(FlowCalConstA,MATCH(V175,FlowCalNumber,0),1,1)*X188^INDEX(FlowCalConstB,MATCH(V175,FlowCalNumber,0),1,1)&lt;INDEX(FlowCalHighSetting,MATCH(V175,FlowCalNumber,0),1,1))),INDEX(FlowCalConstA,MATCH(V175,FlowCalNumber,0),1,1)*X188^INDEX(FlowCalConstB,MATCH(V175,FlowCalNumber,0),1,1)," ")</f>
        <v>#N/A</v>
      </c>
      <c r="Z188" s="33"/>
      <c r="AA188" s="242">
        <f t="shared" si="176"/>
        <v>0.9</v>
      </c>
      <c r="AB188" s="241" t="e">
        <f t="shared" ca="1" si="177"/>
        <v>#VALUE!</v>
      </c>
      <c r="AC188" s="243" t="e">
        <f ca="1">IF(AND(INDEX(FlowCalConstA,MATCH(Z175,FlowCalNumber,0),1,1)*AB188^INDEX(FlowCalConstB,MATCH(Z175,FlowCalNumber,0),1,1)&gt;INDEX(FlowCalLowSetting,MATCH(Z175,FlowCalNumber,0),1,1), (INDEX(FlowCalConstA,MATCH(Z175,FlowCalNumber,0),1,1)*AB188^INDEX(FlowCalConstB,MATCH(Z175,FlowCalNumber,0),1,1)&lt;INDEX(FlowCalHighSetting,MATCH(Z175,FlowCalNumber,0),1,1))),INDEX(FlowCalConstA,MATCH(Z175,FlowCalNumber,0),1,1)*AB188^INDEX(FlowCalConstB,MATCH(Z175,FlowCalNumber,0),1,1)," ")</f>
        <v>#N/A</v>
      </c>
      <c r="AD188" s="33"/>
      <c r="AE188" s="242">
        <f t="shared" si="178"/>
        <v>0.1</v>
      </c>
      <c r="AF188" s="241" t="e">
        <f t="shared" ca="1" si="179"/>
        <v>#VALUE!</v>
      </c>
      <c r="AG188" s="243" t="e">
        <f ca="1">IF(AND(INDEX(FlowCalConstA,MATCH(AD175,FlowCalNumber,0),1,1)*AF188^INDEX(FlowCalConstB,MATCH(AD175,FlowCalNumber,0),1,1)&gt;INDEX(FlowCalLowSetting,MATCH(AD175,FlowCalNumber,0),1,1), (INDEX(FlowCalConstA,MATCH(AD175,FlowCalNumber,0),1,1)*AF188^INDEX(FlowCalConstB,MATCH(AD175,FlowCalNumber,0),1,1)&lt;INDEX(FlowCalHighSetting,MATCH(AD175,FlowCalNumber,0),1,1))),INDEX(FlowCalConstA,MATCH(AD175,FlowCalNumber,0),1,1)*AF188^INDEX(FlowCalConstB,MATCH(AD175,FlowCalNumber,0),1,1)," ")</f>
        <v>#N/A</v>
      </c>
      <c r="AH188" s="33"/>
      <c r="AI188" s="242">
        <f t="shared" si="180"/>
        <v>0.9</v>
      </c>
      <c r="AJ188" s="241" t="e">
        <f t="shared" ca="1" si="181"/>
        <v>#VALUE!</v>
      </c>
      <c r="AK188" s="243" t="e">
        <f ca="1">IF(AND(INDEX(FlowCalConstA,MATCH(AH175,FlowCalNumber,0),1,1)*AJ188^INDEX(FlowCalConstB,MATCH(AH175,FlowCalNumber,0),1,1)&gt;INDEX(FlowCalLowSetting,MATCH(AH175,FlowCalNumber,0),1,1), (INDEX(FlowCalConstA,MATCH(AH175,FlowCalNumber,0),1,1)*AJ188^INDEX(FlowCalConstB,MATCH(AH175,FlowCalNumber,0),1,1)&lt;INDEX(FlowCalHighSetting,MATCH(AH175,FlowCalNumber,0),1,1))),INDEX(FlowCalConstA,MATCH(AH175,FlowCalNumber,0),1,1)*AJ188^INDEX(FlowCalConstB,MATCH(AH175,FlowCalNumber,0),1,1)," ")</f>
        <v>#N/A</v>
      </c>
      <c r="AL188" s="33"/>
      <c r="AM188" s="242"/>
      <c r="AN188" s="241"/>
      <c r="AO188" s="244"/>
      <c r="AQ188" s="242"/>
      <c r="AR188" s="241"/>
      <c r="AS188" s="244"/>
      <c r="AT188" s="33"/>
      <c r="AU188" s="242"/>
      <c r="AV188" s="241"/>
      <c r="AW188" s="244"/>
      <c r="AX188" s="33"/>
      <c r="AY188" s="242"/>
      <c r="AZ188" s="241"/>
      <c r="BA188" s="244"/>
      <c r="BB188" s="33"/>
      <c r="BC188" s="242"/>
      <c r="BD188" s="241"/>
      <c r="BE188" s="244"/>
      <c r="BF188" s="33"/>
      <c r="BG188" s="242"/>
      <c r="BH188" s="241"/>
      <c r="BI188" s="244"/>
      <c r="BJ188" s="33"/>
      <c r="BK188" s="242"/>
      <c r="BL188" s="241"/>
      <c r="BM188" s="244"/>
      <c r="BN188" s="33"/>
      <c r="BO188" s="242"/>
      <c r="BP188" s="241"/>
      <c r="BQ188" s="244"/>
      <c r="BR188" s="33"/>
      <c r="BS188" s="242"/>
      <c r="BT188" s="241"/>
      <c r="BU188" s="244"/>
      <c r="BV188" s="33"/>
      <c r="BW188" s="242"/>
      <c r="BX188" s="241"/>
      <c r="BY188" s="244"/>
      <c r="BZ188" s="33"/>
      <c r="CA188" s="242"/>
      <c r="CB188" s="241"/>
      <c r="CC188" s="244"/>
      <c r="CD188" s="243"/>
      <c r="CE188" s="243"/>
      <c r="CF188" s="243"/>
      <c r="CG188" s="243"/>
      <c r="CH188" s="243"/>
      <c r="CI188" s="243"/>
      <c r="CJ188" s="243"/>
      <c r="CK188" s="243"/>
      <c r="CL188" s="243"/>
      <c r="CM188" s="243"/>
      <c r="CN188" s="243"/>
      <c r="CO188" s="243"/>
      <c r="CP188" s="243"/>
      <c r="CQ188" s="243"/>
      <c r="CR188" s="243"/>
      <c r="CS188" s="243"/>
      <c r="CT188" s="243"/>
      <c r="CU188" s="243"/>
      <c r="CV188" s="243"/>
      <c r="CW188" s="243"/>
      <c r="CX188" s="243"/>
      <c r="CY188" s="243"/>
      <c r="CZ188" s="243"/>
      <c r="DA188" s="243"/>
      <c r="DB188" s="243"/>
      <c r="DC188" s="243"/>
      <c r="DD188" s="243"/>
      <c r="DE188" s="243"/>
      <c r="DF188" s="243"/>
      <c r="DG188" s="243"/>
      <c r="DH188" s="243"/>
      <c r="DI188" s="243"/>
      <c r="DJ188" s="243"/>
      <c r="DK188" s="243"/>
      <c r="DM188" s="242"/>
      <c r="DO188" s="243"/>
      <c r="DQ188" s="242"/>
      <c r="DS188" s="243"/>
      <c r="DU188" s="242"/>
      <c r="DW188" s="243"/>
      <c r="DY188" s="242"/>
      <c r="EA188" s="243"/>
    </row>
    <row r="189" spans="1:131">
      <c r="A189" s="20"/>
      <c r="B189" s="124" t="str">
        <f t="shared" si="166"/>
        <v/>
      </c>
      <c r="C189" s="235"/>
      <c r="D189" s="24">
        <f>'1% Wind'!$M$95</f>
        <v>1.3</v>
      </c>
      <c r="E189" s="90"/>
      <c r="F189" s="90"/>
      <c r="G189" s="79">
        <f ca="1">IF(I175=0.9743,$G188,MAX(G188/D188*D189,2))</f>
        <v>6.001707317073171</v>
      </c>
      <c r="H189" s="121" t="e">
        <f t="shared" ca="1" si="167"/>
        <v>#VALUE!</v>
      </c>
      <c r="J189" s="33"/>
      <c r="K189" s="242">
        <f t="shared" si="168"/>
        <v>1</v>
      </c>
      <c r="L189" s="241" t="e">
        <f t="shared" ca="1" si="169"/>
        <v>#VALUE!</v>
      </c>
      <c r="M189" s="243" t="e">
        <f ca="1">IF(AND(INDEX(FlowCalConstA,MATCH(J175,FlowCalNumber,0),1,1)*L189^INDEX(FlowCalConstB,MATCH(J175,FlowCalNumber,0),1,1)&gt;INDEX(FlowCalLowSetting,MATCH(J175,FlowCalNumber,0),1,1), (INDEX(FlowCalConstA,MATCH(J175,FlowCalNumber,0),1,1)*L189^INDEX(FlowCalConstB,MATCH(J175,FlowCalNumber,0),1,1)&lt;INDEX(FlowCalHighSetting,MATCH(J175,FlowCalNumber,0),1,1))),INDEX(FlowCalConstA,MATCH(J175,FlowCalNumber,0),1,1)*L189^INDEX(FlowCalConstB,MATCH(J175,FlowCalNumber,0),1,1)," ")</f>
        <v>#N/A</v>
      </c>
      <c r="N189" s="33"/>
      <c r="O189" s="242">
        <f t="shared" si="170"/>
        <v>1</v>
      </c>
      <c r="P189" s="241" t="e">
        <f t="shared" ca="1" si="171"/>
        <v>#VALUE!</v>
      </c>
      <c r="Q189" s="243" t="e">
        <f ca="1">IF(AND(INDEX(FlowCalConstA,MATCH(N175,FlowCalNumber,0),1,1)*P189^INDEX(FlowCalConstB,MATCH(N175,FlowCalNumber,0),1,1)&gt;INDEX(FlowCalLowSetting,MATCH(N175,FlowCalNumber,0),1,1), (INDEX(FlowCalConstA,MATCH(N175,FlowCalNumber,0),1,1)*P189^INDEX(FlowCalConstB,MATCH(N175,FlowCalNumber,0),1,1)&lt;INDEX(FlowCalHighSetting,MATCH(N175,FlowCalNumber,0),1,1))),INDEX(FlowCalConstA,MATCH(N175,FlowCalNumber,0),1,1)*P189^INDEX(FlowCalConstB,MATCH(N175,FlowCalNumber,0),1,1)," ")</f>
        <v>#N/A</v>
      </c>
      <c r="R189" s="33"/>
      <c r="S189" s="242">
        <f t="shared" si="172"/>
        <v>1</v>
      </c>
      <c r="T189" s="241" t="e">
        <f t="shared" ca="1" si="173"/>
        <v>#VALUE!</v>
      </c>
      <c r="U189" s="244" t="e">
        <f ca="1">IF(AND(INDEX(FlowCalConstA,MATCH(R175,FlowCalNumber,0),1,1)*T189^INDEX(FlowCalConstB,MATCH(R175,FlowCalNumber,0),1,1)&gt;INDEX(FlowCalLowSetting,MATCH(R175,FlowCalNumber,0),1,1), (INDEX(FlowCalConstA,MATCH(R175,FlowCalNumber,0),1,1)*T189^INDEX(FlowCalConstB,MATCH(R175,FlowCalNumber,0),1,1)&lt;INDEX(FlowCalHighSetting,MATCH(R175,FlowCalNumber,0),1,1))),INDEX(FlowCalConstA,MATCH(R175,FlowCalNumber,0),1,1)*T189^INDEX(FlowCalConstB,MATCH(R175,FlowCalNumber,0),1,1)," ")</f>
        <v>#N/A</v>
      </c>
      <c r="V189" s="33"/>
      <c r="W189" s="242">
        <f t="shared" si="174"/>
        <v>0.1</v>
      </c>
      <c r="X189" s="241" t="e">
        <f t="shared" ca="1" si="175"/>
        <v>#VALUE!</v>
      </c>
      <c r="Y189" s="243" t="e">
        <f ca="1">IF(AND(INDEX(FlowCalConstA,MATCH(V175,FlowCalNumber,0),1,1)*X189^INDEX(FlowCalConstB,MATCH(V175,FlowCalNumber,0),1,1)&gt;INDEX(FlowCalLowSetting,MATCH(V175,FlowCalNumber,0),1,1), (INDEX(FlowCalConstA,MATCH(V175,FlowCalNumber,0),1,1)*X189^INDEX(FlowCalConstB,MATCH(V175,FlowCalNumber,0),1,1)&lt;INDEX(FlowCalHighSetting,MATCH(V175,FlowCalNumber,0),1,1))),INDEX(FlowCalConstA,MATCH(V175,FlowCalNumber,0),1,1)*X189^INDEX(FlowCalConstB,MATCH(V175,FlowCalNumber,0),1,1)," ")</f>
        <v>#N/A</v>
      </c>
      <c r="Z189" s="33"/>
      <c r="AA189" s="242">
        <f t="shared" si="176"/>
        <v>0.9</v>
      </c>
      <c r="AB189" s="241" t="e">
        <f t="shared" ca="1" si="177"/>
        <v>#VALUE!</v>
      </c>
      <c r="AC189" s="243" t="e">
        <f ca="1">IF(AND(INDEX(FlowCalConstA,MATCH(Z175,FlowCalNumber,0),1,1)*AB189^INDEX(FlowCalConstB,MATCH(Z175,FlowCalNumber,0),1,1)&gt;INDEX(FlowCalLowSetting,MATCH(Z175,FlowCalNumber,0),1,1), (INDEX(FlowCalConstA,MATCH(Z175,FlowCalNumber,0),1,1)*AB189^INDEX(FlowCalConstB,MATCH(Z175,FlowCalNumber,0),1,1)&lt;INDEX(FlowCalHighSetting,MATCH(Z175,FlowCalNumber,0),1,1))),INDEX(FlowCalConstA,MATCH(Z175,FlowCalNumber,0),1,1)*AB189^INDEX(FlowCalConstB,MATCH(Z175,FlowCalNumber,0),1,1)," ")</f>
        <v>#N/A</v>
      </c>
      <c r="AD189" s="33"/>
      <c r="AE189" s="242">
        <f t="shared" si="178"/>
        <v>0.1</v>
      </c>
      <c r="AF189" s="241" t="e">
        <f t="shared" ca="1" si="179"/>
        <v>#VALUE!</v>
      </c>
      <c r="AG189" s="243" t="e">
        <f ca="1">IF(AND(INDEX(FlowCalConstA,MATCH(AD175,FlowCalNumber,0),1,1)*AF189^INDEX(FlowCalConstB,MATCH(AD175,FlowCalNumber,0),1,1)&gt;INDEX(FlowCalLowSetting,MATCH(AD175,FlowCalNumber,0),1,1), (INDEX(FlowCalConstA,MATCH(AD175,FlowCalNumber,0),1,1)*AF189^INDEX(FlowCalConstB,MATCH(AD175,FlowCalNumber,0),1,1)&lt;INDEX(FlowCalHighSetting,MATCH(AD175,FlowCalNumber,0),1,1))),INDEX(FlowCalConstA,MATCH(AD175,FlowCalNumber,0),1,1)*AF189^INDEX(FlowCalConstB,MATCH(AD175,FlowCalNumber,0),1,1)," ")</f>
        <v>#N/A</v>
      </c>
      <c r="AH189" s="33"/>
      <c r="AI189" s="242">
        <f t="shared" si="180"/>
        <v>0.9</v>
      </c>
      <c r="AJ189" s="241" t="e">
        <f t="shared" ca="1" si="181"/>
        <v>#VALUE!</v>
      </c>
      <c r="AK189" s="243" t="e">
        <f ca="1">IF(AND(INDEX(FlowCalConstA,MATCH(AH175,FlowCalNumber,0),1,1)*AJ189^INDEX(FlowCalConstB,MATCH(AH175,FlowCalNumber,0),1,1)&gt;INDEX(FlowCalLowSetting,MATCH(AH175,FlowCalNumber,0),1,1), (INDEX(FlowCalConstA,MATCH(AH175,FlowCalNumber,0),1,1)*AJ189^INDEX(FlowCalConstB,MATCH(AH175,FlowCalNumber,0),1,1)&lt;INDEX(FlowCalHighSetting,MATCH(AH175,FlowCalNumber,0),1,1))),INDEX(FlowCalConstA,MATCH(AH175,FlowCalNumber,0),1,1)*AJ189^INDEX(FlowCalConstB,MATCH(AH175,FlowCalNumber,0),1,1)," ")</f>
        <v>#N/A</v>
      </c>
      <c r="AL189" s="33"/>
      <c r="AM189" s="242"/>
      <c r="AN189" s="241"/>
      <c r="AO189" s="244"/>
      <c r="AQ189" s="242"/>
      <c r="AR189" s="241"/>
      <c r="AS189" s="244"/>
      <c r="AT189" s="33"/>
      <c r="AU189" s="242"/>
      <c r="AV189" s="241"/>
      <c r="AW189" s="244"/>
      <c r="AX189" s="33"/>
      <c r="AY189" s="242"/>
      <c r="AZ189" s="241"/>
      <c r="BA189" s="244"/>
      <c r="BB189" s="33"/>
      <c r="BC189" s="242"/>
      <c r="BD189" s="241"/>
      <c r="BE189" s="244"/>
      <c r="BF189" s="33"/>
      <c r="BG189" s="242"/>
      <c r="BH189" s="241"/>
      <c r="BI189" s="244"/>
      <c r="BJ189" s="33"/>
      <c r="BK189" s="242"/>
      <c r="BL189" s="241"/>
      <c r="BM189" s="244"/>
      <c r="BN189" s="33"/>
      <c r="BO189" s="242"/>
      <c r="BP189" s="241"/>
      <c r="BQ189" s="244"/>
      <c r="BR189" s="33"/>
      <c r="BS189" s="242"/>
      <c r="BT189" s="241"/>
      <c r="BU189" s="244"/>
      <c r="BV189" s="33"/>
      <c r="BW189" s="242"/>
      <c r="BX189" s="241"/>
      <c r="BY189" s="244"/>
      <c r="BZ189" s="33"/>
      <c r="CA189" s="242"/>
      <c r="CB189" s="241"/>
      <c r="CC189" s="244"/>
      <c r="CD189" s="243"/>
      <c r="CE189" s="243"/>
      <c r="CF189" s="243"/>
      <c r="CG189" s="243"/>
      <c r="CH189" s="243"/>
      <c r="CI189" s="243"/>
      <c r="CJ189" s="243"/>
      <c r="CK189" s="243"/>
      <c r="CL189" s="243"/>
      <c r="CM189" s="243"/>
      <c r="CN189" s="243"/>
      <c r="CO189" s="243"/>
      <c r="CP189" s="243"/>
      <c r="CQ189" s="243"/>
      <c r="CR189" s="243"/>
      <c r="CS189" s="243"/>
      <c r="CT189" s="243"/>
      <c r="CU189" s="243"/>
      <c r="CV189" s="243"/>
      <c r="CW189" s="243"/>
      <c r="CX189" s="243"/>
      <c r="CY189" s="243"/>
      <c r="CZ189" s="243"/>
      <c r="DA189" s="243"/>
      <c r="DB189" s="243"/>
      <c r="DC189" s="243"/>
      <c r="DD189" s="243"/>
      <c r="DE189" s="243"/>
      <c r="DF189" s="243"/>
      <c r="DG189" s="243"/>
      <c r="DH189" s="243"/>
      <c r="DI189" s="243"/>
      <c r="DJ189" s="243"/>
      <c r="DK189" s="243"/>
      <c r="DM189" s="242"/>
      <c r="DO189" s="243"/>
      <c r="DQ189" s="242"/>
      <c r="DS189" s="243"/>
      <c r="DU189" s="242"/>
      <c r="DW189" s="243"/>
      <c r="DY189" s="242"/>
      <c r="EA189" s="243"/>
    </row>
    <row r="190" spans="1:131">
      <c r="A190" s="20"/>
      <c r="B190" s="124" t="str">
        <f t="shared" si="166"/>
        <v/>
      </c>
      <c r="C190" s="235"/>
      <c r="D190" s="24">
        <f>'1% Wind'!$M$96</f>
        <v>1</v>
      </c>
      <c r="E190" s="90"/>
      <c r="F190" s="90"/>
      <c r="G190" s="79">
        <f ca="1">IF(I175=0.9743,$G189,MAX(G189/D189*D190,2))</f>
        <v>6.001707317073171</v>
      </c>
      <c r="H190" s="121" t="e">
        <f t="shared" ca="1" si="167"/>
        <v>#VALUE!</v>
      </c>
      <c r="J190" s="33"/>
      <c r="K190" s="242">
        <f t="shared" si="168"/>
        <v>1</v>
      </c>
      <c r="L190" s="241" t="e">
        <f t="shared" ca="1" si="169"/>
        <v>#VALUE!</v>
      </c>
      <c r="M190" s="243" t="e">
        <f ca="1">IF(AND(INDEX(FlowCalConstA,MATCH(J175,FlowCalNumber,0),1,1)*L190^INDEX(FlowCalConstB,MATCH(J175,FlowCalNumber,0),1,1)&gt;INDEX(FlowCalLowSetting,MATCH(J175,FlowCalNumber,0),1,1), (INDEX(FlowCalConstA,MATCH(J175,FlowCalNumber,0),1,1)*L190^INDEX(FlowCalConstB,MATCH(J175,FlowCalNumber,0),1,1)&lt;INDEX(FlowCalHighSetting,MATCH(J175,FlowCalNumber,0),1,1))),INDEX(FlowCalConstA,MATCH(J175,FlowCalNumber,0),1,1)*L190^INDEX(FlowCalConstB,MATCH(J175,FlowCalNumber,0),1,1)," ")</f>
        <v>#N/A</v>
      </c>
      <c r="N190" s="33"/>
      <c r="O190" s="242">
        <f t="shared" si="170"/>
        <v>1</v>
      </c>
      <c r="P190" s="241" t="e">
        <f t="shared" ca="1" si="171"/>
        <v>#VALUE!</v>
      </c>
      <c r="Q190" s="243" t="e">
        <f ca="1">IF(AND(INDEX(FlowCalConstA,MATCH(N175,FlowCalNumber,0),1,1)*P190^INDEX(FlowCalConstB,MATCH(N175,FlowCalNumber,0),1,1)&gt;INDEX(FlowCalLowSetting,MATCH(N175,FlowCalNumber,0),1,1), (INDEX(FlowCalConstA,MATCH(N175,FlowCalNumber,0),1,1)*P190^INDEX(FlowCalConstB,MATCH(N175,FlowCalNumber,0),1,1)&lt;INDEX(FlowCalHighSetting,MATCH(N175,FlowCalNumber,0),1,1))),INDEX(FlowCalConstA,MATCH(N175,FlowCalNumber,0),1,1)*P190^INDEX(FlowCalConstB,MATCH(N175,FlowCalNumber,0),1,1)," ")</f>
        <v>#N/A</v>
      </c>
      <c r="R190" s="33"/>
      <c r="S190" s="242">
        <f t="shared" si="172"/>
        <v>1</v>
      </c>
      <c r="T190" s="241" t="e">
        <f t="shared" ca="1" si="173"/>
        <v>#VALUE!</v>
      </c>
      <c r="U190" s="244" t="e">
        <f ca="1">IF(AND(INDEX(FlowCalConstA,MATCH(R175,FlowCalNumber,0),1,1)*T190^INDEX(FlowCalConstB,MATCH(R175,FlowCalNumber,0),1,1)&gt;INDEX(FlowCalLowSetting,MATCH(R175,FlowCalNumber,0),1,1), (INDEX(FlowCalConstA,MATCH(R175,FlowCalNumber,0),1,1)*T190^INDEX(FlowCalConstB,MATCH(R175,FlowCalNumber,0),1,1)&lt;INDEX(FlowCalHighSetting,MATCH(R175,FlowCalNumber,0),1,1))),INDEX(FlowCalConstA,MATCH(R175,FlowCalNumber,0),1,1)*T190^INDEX(FlowCalConstB,MATCH(R175,FlowCalNumber,0),1,1)," ")</f>
        <v>#N/A</v>
      </c>
      <c r="V190" s="33"/>
      <c r="W190" s="242">
        <f t="shared" si="174"/>
        <v>0.1</v>
      </c>
      <c r="X190" s="241" t="e">
        <f t="shared" ca="1" si="175"/>
        <v>#VALUE!</v>
      </c>
      <c r="Y190" s="243" t="e">
        <f ca="1">IF(AND(INDEX(FlowCalConstA,MATCH(V175,FlowCalNumber,0),1,1)*X190^INDEX(FlowCalConstB,MATCH(V175,FlowCalNumber,0),1,1)&gt;INDEX(FlowCalLowSetting,MATCH(V175,FlowCalNumber,0),1,1), (INDEX(FlowCalConstA,MATCH(V175,FlowCalNumber,0),1,1)*X190^INDEX(FlowCalConstB,MATCH(V175,FlowCalNumber,0),1,1)&lt;INDEX(FlowCalHighSetting,MATCH(V175,FlowCalNumber,0),1,1))),INDEX(FlowCalConstA,MATCH(V175,FlowCalNumber,0),1,1)*X190^INDEX(FlowCalConstB,MATCH(V175,FlowCalNumber,0),1,1)," ")</f>
        <v>#N/A</v>
      </c>
      <c r="Z190" s="33"/>
      <c r="AA190" s="242">
        <f t="shared" si="176"/>
        <v>0.9</v>
      </c>
      <c r="AB190" s="241" t="e">
        <f t="shared" ca="1" si="177"/>
        <v>#VALUE!</v>
      </c>
      <c r="AC190" s="243" t="e">
        <f ca="1">IF(AND(INDEX(FlowCalConstA,MATCH(Z175,FlowCalNumber,0),1,1)*AB190^INDEX(FlowCalConstB,MATCH(Z175,FlowCalNumber,0),1,1)&gt;INDEX(FlowCalLowSetting,MATCH(Z175,FlowCalNumber,0),1,1), (INDEX(FlowCalConstA,MATCH(Z175,FlowCalNumber,0),1,1)*AB190^INDEX(FlowCalConstB,MATCH(Z175,FlowCalNumber,0),1,1)&lt;INDEX(FlowCalHighSetting,MATCH(Z175,FlowCalNumber,0),1,1))),INDEX(FlowCalConstA,MATCH(Z175,FlowCalNumber,0),1,1)*AB190^INDEX(FlowCalConstB,MATCH(Z175,FlowCalNumber,0),1,1)," ")</f>
        <v>#N/A</v>
      </c>
      <c r="AD190" s="33"/>
      <c r="AE190" s="242">
        <f t="shared" si="178"/>
        <v>0.1</v>
      </c>
      <c r="AF190" s="241" t="e">
        <f t="shared" ca="1" si="179"/>
        <v>#VALUE!</v>
      </c>
      <c r="AG190" s="243" t="e">
        <f ca="1">IF(AND(INDEX(FlowCalConstA,MATCH(AD175,FlowCalNumber,0),1,1)*AF190^INDEX(FlowCalConstB,MATCH(AD175,FlowCalNumber,0),1,1)&gt;INDEX(FlowCalLowSetting,MATCH(AD175,FlowCalNumber,0),1,1), (INDEX(FlowCalConstA,MATCH(AD175,FlowCalNumber,0),1,1)*AF190^INDEX(FlowCalConstB,MATCH(AD175,FlowCalNumber,0),1,1)&lt;INDEX(FlowCalHighSetting,MATCH(AD175,FlowCalNumber,0),1,1))),INDEX(FlowCalConstA,MATCH(AD175,FlowCalNumber,0),1,1)*AF190^INDEX(FlowCalConstB,MATCH(AD175,FlowCalNumber,0),1,1)," ")</f>
        <v>#N/A</v>
      </c>
      <c r="AH190" s="33"/>
      <c r="AI190" s="242">
        <f t="shared" si="180"/>
        <v>0.9</v>
      </c>
      <c r="AJ190" s="241" t="e">
        <f t="shared" ca="1" si="181"/>
        <v>#VALUE!</v>
      </c>
      <c r="AK190" s="243" t="e">
        <f ca="1">IF(AND(INDEX(FlowCalConstA,MATCH(AH175,FlowCalNumber,0),1,1)*AJ190^INDEX(FlowCalConstB,MATCH(AH175,FlowCalNumber,0),1,1)&gt;INDEX(FlowCalLowSetting,MATCH(AH175,FlowCalNumber,0),1,1), (INDEX(FlowCalConstA,MATCH(AH175,FlowCalNumber,0),1,1)*AJ190^INDEX(FlowCalConstB,MATCH(AH175,FlowCalNumber,0),1,1)&lt;INDEX(FlowCalHighSetting,MATCH(AH175,FlowCalNumber,0),1,1))),INDEX(FlowCalConstA,MATCH(AH175,FlowCalNumber,0),1,1)*AJ190^INDEX(FlowCalConstB,MATCH(AH175,FlowCalNumber,0),1,1)," ")</f>
        <v>#N/A</v>
      </c>
      <c r="AL190" s="33"/>
      <c r="AM190" s="242"/>
      <c r="AN190" s="241"/>
      <c r="AO190" s="244"/>
      <c r="AQ190" s="242"/>
      <c r="AR190" s="241"/>
      <c r="AS190" s="244"/>
      <c r="AT190" s="33"/>
      <c r="AU190" s="242"/>
      <c r="AV190" s="241"/>
      <c r="AW190" s="244"/>
      <c r="AX190" s="33"/>
      <c r="AY190" s="242"/>
      <c r="AZ190" s="241"/>
      <c r="BA190" s="244"/>
      <c r="BB190" s="33"/>
      <c r="BC190" s="242"/>
      <c r="BD190" s="241"/>
      <c r="BE190" s="244"/>
      <c r="BF190" s="33"/>
      <c r="BG190" s="242"/>
      <c r="BH190" s="241"/>
      <c r="BI190" s="244"/>
      <c r="BJ190" s="33"/>
      <c r="BK190" s="242"/>
      <c r="BL190" s="241"/>
      <c r="BM190" s="244"/>
      <c r="BN190" s="33"/>
      <c r="BO190" s="242"/>
      <c r="BP190" s="241"/>
      <c r="BQ190" s="244"/>
      <c r="BR190" s="33"/>
      <c r="BS190" s="242"/>
      <c r="BT190" s="241"/>
      <c r="BU190" s="244"/>
      <c r="BV190" s="33"/>
      <c r="BW190" s="242"/>
      <c r="BX190" s="241"/>
      <c r="BY190" s="244"/>
      <c r="BZ190" s="33"/>
      <c r="CA190" s="242"/>
      <c r="CB190" s="241"/>
      <c r="CC190" s="244"/>
      <c r="CD190" s="243"/>
      <c r="CE190" s="243"/>
      <c r="CF190" s="243"/>
      <c r="CG190" s="243"/>
      <c r="CH190" s="243"/>
      <c r="CI190" s="243"/>
      <c r="CJ190" s="243"/>
      <c r="CK190" s="243"/>
      <c r="CL190" s="243"/>
      <c r="CM190" s="243"/>
      <c r="CN190" s="243"/>
      <c r="CO190" s="243"/>
      <c r="CP190" s="243"/>
      <c r="CQ190" s="243"/>
      <c r="CR190" s="243"/>
      <c r="CS190" s="243"/>
      <c r="CT190" s="243"/>
      <c r="CU190" s="243"/>
      <c r="CV190" s="243"/>
      <c r="CW190" s="243"/>
      <c r="CX190" s="243"/>
      <c r="CY190" s="243"/>
      <c r="CZ190" s="243"/>
      <c r="DA190" s="243"/>
      <c r="DB190" s="243"/>
      <c r="DC190" s="243"/>
      <c r="DD190" s="243"/>
      <c r="DE190" s="243"/>
      <c r="DF190" s="243"/>
      <c r="DG190" s="243"/>
      <c r="DH190" s="243"/>
      <c r="DI190" s="243"/>
      <c r="DJ190" s="243"/>
      <c r="DK190" s="243"/>
      <c r="DM190" s="242"/>
      <c r="DO190" s="243"/>
      <c r="DQ190" s="242"/>
      <c r="DS190" s="243"/>
      <c r="DU190" s="242"/>
      <c r="DW190" s="243"/>
      <c r="DY190" s="242"/>
      <c r="EA190" s="243"/>
    </row>
    <row r="191" spans="1:131">
      <c r="A191" s="33"/>
      <c r="B191" s="33"/>
      <c r="C191" s="235"/>
      <c r="E191" s="90"/>
      <c r="F191" s="90"/>
      <c r="G191" s="33"/>
      <c r="J191" s="33"/>
      <c r="M191" s="243"/>
      <c r="N191" s="33"/>
      <c r="Q191" s="243"/>
      <c r="R191" s="33"/>
      <c r="U191" s="244"/>
      <c r="V191" s="33"/>
      <c r="Y191" s="243"/>
      <c r="Z191" s="33"/>
      <c r="AC191" s="243"/>
      <c r="AD191" s="33"/>
      <c r="AG191" s="243"/>
      <c r="AH191" s="33"/>
      <c r="AK191" s="243"/>
      <c r="AL191" s="33"/>
      <c r="AO191" s="244"/>
      <c r="AS191" s="244"/>
      <c r="AT191" s="33"/>
      <c r="AW191" s="244"/>
      <c r="AX191" s="33"/>
      <c r="BA191" s="244"/>
      <c r="BB191" s="33"/>
      <c r="BE191" s="244"/>
      <c r="BF191" s="33"/>
      <c r="BI191" s="244"/>
      <c r="BJ191" s="33"/>
      <c r="BM191" s="244"/>
      <c r="BN191" s="33"/>
      <c r="BQ191" s="244"/>
      <c r="BR191" s="792"/>
      <c r="BS191" s="243"/>
      <c r="BT191" s="243"/>
      <c r="BU191" s="244"/>
      <c r="BV191" s="33"/>
      <c r="BY191" s="244"/>
      <c r="BZ191" s="33"/>
      <c r="CC191" s="244"/>
      <c r="CD191" s="243"/>
      <c r="CE191" s="243"/>
      <c r="CF191" s="243"/>
      <c r="CG191" s="243"/>
      <c r="CH191" s="243"/>
      <c r="CI191" s="243"/>
      <c r="CJ191" s="243"/>
      <c r="CK191" s="243"/>
      <c r="CL191" s="243"/>
      <c r="CM191" s="243"/>
      <c r="CN191" s="243"/>
      <c r="CO191" s="243"/>
      <c r="CP191" s="243"/>
      <c r="CQ191" s="243"/>
      <c r="CR191" s="243"/>
      <c r="CS191" s="243"/>
      <c r="CT191" s="243"/>
      <c r="CU191" s="243"/>
      <c r="CV191" s="243"/>
      <c r="CW191" s="243"/>
      <c r="CX191" s="243"/>
      <c r="CY191" s="243"/>
      <c r="CZ191" s="243"/>
      <c r="DA191" s="243"/>
      <c r="DB191" s="243"/>
      <c r="DC191" s="243"/>
      <c r="DD191" s="243"/>
      <c r="DE191" s="243"/>
      <c r="DF191" s="243"/>
      <c r="DG191" s="243"/>
      <c r="DH191" s="243"/>
      <c r="DI191" s="243"/>
      <c r="DJ191" s="243"/>
      <c r="DK191" s="243"/>
      <c r="DO191" s="243"/>
      <c r="DS191" s="243"/>
      <c r="DW191" s="243"/>
      <c r="EA191" s="243"/>
    </row>
    <row r="192" spans="1:131">
      <c r="A192" s="256" t="str">
        <f>IF((RIGHT(A175,1))&lt;&gt;"Z",CHAR(CODE(A175))&amp;CHAR(CODE(RIGHT(A175,1))+1),CHAR(CODE(A175)+1)&amp;"A")</f>
        <v>AK</v>
      </c>
      <c r="B192" s="270" t="str">
        <f>INDEX(SourceID,MATCH($A192,SourceNumber,0),1,1)</f>
        <v>DT</v>
      </c>
      <c r="C192" s="354">
        <f>INDEX(SourceExitDiameter,MATCH($A192,SourceNumber,0),1,1)*3.28*12</f>
        <v>5.9999999999999991</v>
      </c>
      <c r="D192" s="24" t="str">
        <f>UAnem1percent</f>
        <v>1% Wind</v>
      </c>
      <c r="E192" s="350" t="e">
        <f ca="1">INDIRECT(ADDRESS(53,6,1,,CONCATENATE("TA",$A192)))</f>
        <v>#REF!</v>
      </c>
      <c r="F192" s="625" t="e">
        <f ca="1">(ROUND((INDIRECT(ADDRESS(15,7,1,,CONCATENATE("TA",$A192)))*3.28*12*32),0)&amp;"/32")</f>
        <v>#REF!</v>
      </c>
      <c r="G192" s="125">
        <f ca="1">INDIRECT(ADDRESS(29,7,1,,$A192))</f>
        <v>6.001707317073171</v>
      </c>
      <c r="H192" s="24" t="e">
        <f ca="1">INDIRECT(ADDRESS(19,7,1,,$A192))*100^3</f>
        <v>#VALUE!</v>
      </c>
      <c r="I192" s="941">
        <f ca="1">INDIRECT(ADDRESS(53,7,1,,$A192))</f>
        <v>0.97430000000000005</v>
      </c>
      <c r="J192" s="20" t="str">
        <f ca="1">IF($I192=$I$6,K$16&amp;$G$6&amp;J$6,IF($I192=$I$7,K$16&amp;$G$7&amp;J$7,"Bad"))</f>
        <v>100EthPick a Tunnel</v>
      </c>
      <c r="K192" t="e">
        <f ca="1">INDEX(FlowCalGasMixture,MATCH(J192,FlowCalNumber,0),1,1)</f>
        <v>#N/A</v>
      </c>
      <c r="M192" s="944" t="e">
        <f ca="1">INDEX(FlowCalDevice,MATCH(J192,FlowCalNumber,0),1,1)</f>
        <v>#N/A</v>
      </c>
      <c r="N192" s="943" t="str">
        <f ca="1">IF($I192=$I$6,O$16&amp;$G$6&amp;"90"&amp;$H$6&amp;N$6,IF($I192=$I$7,O$16&amp;$G$7&amp;"90"&amp;$H$7&amp;N$7,"Bad"))</f>
        <v>10Eth90N2Pick a Tunnel</v>
      </c>
      <c r="O192" t="e">
        <f ca="1">INDEX(FlowCalGasMixture,MATCH(N192,FlowCalNumber,0),1,1)</f>
        <v>#N/A</v>
      </c>
      <c r="Q192" s="944" t="e">
        <f ca="1">INDEX(FlowCalDevice,MATCH(N192,FlowCalNumber,0),1,1)</f>
        <v>#N/A</v>
      </c>
      <c r="R192" s="943" t="str">
        <f ca="1">IF($I192=$I$6,S$16&amp;$G$6&amp;"90"&amp;$H$6&amp;R$6,IF($I192=$I$7,S$16&amp;$G$7&amp;"90"&amp;$H$7&amp;R$7,"Bad"))</f>
        <v>10Eth90N2Pick a Tunnel</v>
      </c>
      <c r="S192" t="e">
        <f ca="1">INDEX(FlowCalGasMixture,MATCH(R192,FlowCalNumber,0),1,1)</f>
        <v>#N/A</v>
      </c>
      <c r="U192" s="944" t="e">
        <f ca="1">INDEX(FlowCalDevice,MATCH(R192,FlowCalNumber,0),1,1)</f>
        <v>#N/A</v>
      </c>
      <c r="V192" s="20" t="str">
        <f ca="1">IF($I192=$I$6,W$16&amp;$G$6&amp;V$6,IF($I192=$I$7,W$16&amp;$G$7&amp;V$7,"Bad"))</f>
        <v>100EthPick a Tunnel</v>
      </c>
      <c r="W192" t="e">
        <f ca="1">INDEX(FlowCalGasMixture,MATCH(V192,FlowCalNumber,0),1,1)</f>
        <v>#N/A</v>
      </c>
      <c r="Y192" s="944" t="e">
        <f ca="1">INDEX(FlowCalDevice,MATCH(V192,FlowCalNumber,0),1,1)</f>
        <v>#N/A</v>
      </c>
      <c r="Z192" s="946" t="str">
        <f ca="1">IF($I192=$I$6,AA$18&amp;$H$6&amp;Z$6,IF($I192=$I$7,AA$18&amp;$H$7&amp;Z$7,"Bad"))</f>
        <v>100N2Pick a Tunnel</v>
      </c>
      <c r="AA192" t="e">
        <f ca="1">INDEX(FlowCalGasMixture,MATCH(Z192,FlowCalNumber,0),1,1)</f>
        <v>#N/A</v>
      </c>
      <c r="AC192" s="944" t="e">
        <f ca="1">INDEX(FlowCalDevice,MATCH(Z192,FlowCalNumber,0),1,1)</f>
        <v>#N/A</v>
      </c>
      <c r="AD192" s="20" t="str">
        <f ca="1">IF($I192=$I$6,AE$16&amp;$G$6&amp;AD$6,IF($I192=$I$7,AE$16&amp;$G$7&amp;AD$7,"Bad"))</f>
        <v>100EthPick a Tunnel</v>
      </c>
      <c r="AE192" t="e">
        <f ca="1">INDEX(FlowCalGasMixture,MATCH(AD192,FlowCalNumber,0),1,1)</f>
        <v>#N/A</v>
      </c>
      <c r="AG192" s="944" t="e">
        <f ca="1">INDEX(FlowCalDevice,MATCH(AD192,FlowCalNumber,0),1,1)</f>
        <v>#N/A</v>
      </c>
      <c r="AH192" s="946" t="str">
        <f ca="1">IF($I192=$I$6,AI$18&amp;$H$6&amp;AH$6,IF($I192=$I$7,AI$18&amp;$H$7&amp;AH$7,"Bad"))</f>
        <v>100N2Pick a Tunnel</v>
      </c>
      <c r="AI192" t="e">
        <f ca="1">INDEX(FlowCalGasMixture,MATCH(AH192,FlowCalNumber,0),1,1)</f>
        <v>#N/A</v>
      </c>
      <c r="AK192" s="944" t="e">
        <f ca="1">INDEX(FlowCalDevice,MATCH(AH192,FlowCalNumber,0),1,1)</f>
        <v>#N/A</v>
      </c>
      <c r="AL192" s="20"/>
      <c r="AO192" s="982"/>
      <c r="AP192" s="960"/>
      <c r="AS192" s="982"/>
      <c r="AT192" s="20"/>
      <c r="AW192" s="982"/>
      <c r="AX192" s="946"/>
      <c r="BA192" s="982"/>
      <c r="BB192" s="20"/>
      <c r="BC192" s="16"/>
      <c r="BE192" s="982"/>
      <c r="BF192" s="946"/>
      <c r="BG192" s="16"/>
      <c r="BI192" s="982"/>
      <c r="BJ192" s="946"/>
      <c r="BK192" s="16"/>
      <c r="BM192" s="982"/>
      <c r="BN192" s="20"/>
      <c r="BO192" s="16"/>
      <c r="BQ192" s="982"/>
      <c r="BR192" s="946"/>
      <c r="BS192" s="16"/>
      <c r="BU192" s="982"/>
      <c r="BV192" s="946"/>
      <c r="BW192" s="16"/>
      <c r="BY192" s="982"/>
      <c r="BZ192" s="946"/>
      <c r="CA192" s="16"/>
      <c r="CC192" s="982"/>
      <c r="CD192" s="355"/>
      <c r="CE192" s="355"/>
      <c r="CF192" s="355"/>
      <c r="CG192" s="355"/>
      <c r="CH192" s="355"/>
      <c r="CI192" s="355"/>
      <c r="CJ192" s="355"/>
      <c r="CK192" s="355"/>
      <c r="CL192" s="355"/>
      <c r="CM192" s="355"/>
      <c r="CN192" s="355"/>
      <c r="CO192" s="355"/>
      <c r="CP192" s="355"/>
      <c r="CQ192" s="355"/>
      <c r="CR192" s="355"/>
      <c r="CS192" s="355"/>
      <c r="CT192" s="355"/>
      <c r="CU192" s="355"/>
      <c r="CV192" s="355"/>
      <c r="CW192" s="355"/>
      <c r="CX192" s="355"/>
      <c r="CY192" s="355"/>
      <c r="CZ192" s="355"/>
      <c r="DA192" s="355"/>
      <c r="DB192" s="355"/>
      <c r="DC192" s="355"/>
      <c r="DD192" s="355"/>
      <c r="DE192" s="355"/>
      <c r="DF192" s="355"/>
      <c r="DG192" s="355"/>
      <c r="DH192" s="355"/>
      <c r="DI192" s="355"/>
      <c r="DJ192" s="355"/>
      <c r="DK192" s="355"/>
      <c r="DL192" s="46"/>
      <c r="DM192" s="16"/>
      <c r="DO192" s="355"/>
      <c r="DP192" s="42"/>
      <c r="DQ192" s="16"/>
      <c r="DS192" s="355"/>
      <c r="DT192" s="42"/>
      <c r="DU192" s="16"/>
      <c r="DW192" s="355"/>
      <c r="DX192" s="42"/>
      <c r="DY192" s="16"/>
      <c r="EA192" s="355"/>
    </row>
    <row r="193" spans="1:131">
      <c r="A193" s="20"/>
      <c r="B193" s="124" t="str">
        <f t="shared" ref="B193:B207" si="182">IF(D193=UAnem1percent,"1% Wind","")</f>
        <v/>
      </c>
      <c r="C193" s="235"/>
      <c r="D193" s="24">
        <f>'1% Wind'!$M$82</f>
        <v>27</v>
      </c>
      <c r="E193" s="90"/>
      <c r="F193" s="90"/>
      <c r="G193" s="79">
        <f ca="1">IF(I192=0.9743,$G192,MAX(G192/D192*D193,2))</f>
        <v>6.001707317073171</v>
      </c>
      <c r="H193" s="121" t="e">
        <f t="shared" ref="H193:H207" ca="1" si="183">H192*(D192/D193)*(G193/G192)</f>
        <v>#VALUE!</v>
      </c>
      <c r="J193" s="33"/>
      <c r="K193" s="260">
        <f>K$17/100</f>
        <v>1</v>
      </c>
      <c r="L193" s="241" t="e">
        <f ca="1">K193*$H193</f>
        <v>#VALUE!</v>
      </c>
      <c r="M193" s="243" t="e">
        <f ca="1">IF(AND(INDEX(FlowCalConstA,MATCH(J192,FlowCalNumber,0),1,1)*L193^INDEX(FlowCalConstB,MATCH(J192,FlowCalNumber,0),1,1)&gt;INDEX(FlowCalLowSetting,MATCH(J192,FlowCalNumber,0),1,1), (INDEX(FlowCalConstA,MATCH(J192,FlowCalNumber,0),1,1)*L193^INDEX(FlowCalConstB,MATCH(J192,FlowCalNumber,0),1,1)&lt;INDEX(FlowCalHighSetting,MATCH(J192,FlowCalNumber,0),1,1))),INDEX(FlowCalConstA,MATCH(J192,FlowCalNumber,0),1,1)*L193^INDEX(FlowCalConstB,MATCH(J192,FlowCalNumber,0),1,1)," ")</f>
        <v>#N/A</v>
      </c>
      <c r="N193" s="33"/>
      <c r="O193" s="260">
        <f>O$17/100</f>
        <v>1</v>
      </c>
      <c r="P193" s="241" t="e">
        <f ca="1">O193*$H193</f>
        <v>#VALUE!</v>
      </c>
      <c r="Q193" s="243" t="e">
        <f ca="1">IF(AND(INDEX(FlowCalConstA,MATCH(N192,FlowCalNumber,0),1,1)*P193^INDEX(FlowCalConstB,MATCH(N192,FlowCalNumber,0),1,1)&gt;INDEX(FlowCalLowSetting,MATCH(N192,FlowCalNumber,0),1,1), (INDEX(FlowCalConstA,MATCH(N192,FlowCalNumber,0),1,1)*P193^INDEX(FlowCalConstB,MATCH(N192,FlowCalNumber,0),1,1)&lt;INDEX(FlowCalHighSetting,MATCH(N192,FlowCalNumber,0),1,1))),INDEX(FlowCalConstA,MATCH(N192,FlowCalNumber,0),1,1)*P193^INDEX(FlowCalConstB,MATCH(N192,FlowCalNumber,0),1,1)," ")</f>
        <v>#N/A</v>
      </c>
      <c r="R193" s="33"/>
      <c r="S193" s="260">
        <f>S$17/100</f>
        <v>1</v>
      </c>
      <c r="T193" s="241" t="e">
        <f ca="1">S193*$H193</f>
        <v>#VALUE!</v>
      </c>
      <c r="U193" s="244" t="e">
        <f ca="1">IF(AND(INDEX(FlowCalConstA,MATCH(R192,FlowCalNumber,0),1,1)*T193^INDEX(FlowCalConstB,MATCH(R192,FlowCalNumber,0),1,1)&gt;INDEX(FlowCalLowSetting,MATCH(R192,FlowCalNumber,0),1,1), (INDEX(FlowCalConstA,MATCH(R192,FlowCalNumber,0),1,1)*T193^INDEX(FlowCalConstB,MATCH(R192,FlowCalNumber,0),1,1)&lt;INDEX(FlowCalHighSetting,MATCH(R192,FlowCalNumber,0),1,1))),INDEX(FlowCalConstA,MATCH(R192,FlowCalNumber,0),1,1)*T193^INDEX(FlowCalConstB,MATCH(R192,FlowCalNumber,0),1,1)," ")</f>
        <v>#N/A</v>
      </c>
      <c r="V193" s="33"/>
      <c r="W193" s="260">
        <f>W$17/100</f>
        <v>0.1</v>
      </c>
      <c r="X193" s="241" t="e">
        <f ca="1">W193*$H193</f>
        <v>#VALUE!</v>
      </c>
      <c r="Y193" s="243" t="e">
        <f ca="1">IF(AND(INDEX(FlowCalConstA,MATCH(V192,FlowCalNumber,0),1,1)*X193^INDEX(FlowCalConstB,MATCH(V192,FlowCalNumber,0),1,1)&gt;INDEX(FlowCalLowSetting,MATCH(V192,FlowCalNumber,0),1,1), (INDEX(FlowCalConstA,MATCH(V192,FlowCalNumber,0),1,1)*X193^INDEX(FlowCalConstB,MATCH(V192,FlowCalNumber,0),1,1)&lt;INDEX(FlowCalHighSetting,MATCH(V192,FlowCalNumber,0),1,1))),INDEX(FlowCalConstA,MATCH(V192,FlowCalNumber,0),1,1)*X193^INDEX(FlowCalConstB,MATCH(V192,FlowCalNumber,0),1,1)," ")</f>
        <v>#N/A</v>
      </c>
      <c r="Z193" s="33"/>
      <c r="AA193" s="260">
        <f>AA$17/100</f>
        <v>0.9</v>
      </c>
      <c r="AB193" s="241" t="e">
        <f ca="1">AA193*$H193</f>
        <v>#VALUE!</v>
      </c>
      <c r="AC193" s="243" t="e">
        <f ca="1">IF(AND(INDEX(FlowCalConstA,MATCH(Z192,FlowCalNumber,0),1,1)*AB193^INDEX(FlowCalConstB,MATCH(Z192,FlowCalNumber,0),1,1)&gt;INDEX(FlowCalLowSetting,MATCH(Z192,FlowCalNumber,0),1,1), (INDEX(FlowCalConstA,MATCH(Z192,FlowCalNumber,0),1,1)*AB193^INDEX(FlowCalConstB,MATCH(Z192,FlowCalNumber,0),1,1)&lt;INDEX(FlowCalHighSetting,MATCH(Z192,FlowCalNumber,0),1,1))),INDEX(FlowCalConstA,MATCH(Z192,FlowCalNumber,0),1,1)*AB193^INDEX(FlowCalConstB,MATCH(Z192,FlowCalNumber,0),1,1)," ")</f>
        <v>#N/A</v>
      </c>
      <c r="AD193" s="33"/>
      <c r="AE193" s="260">
        <f>AE$17/100</f>
        <v>0.1</v>
      </c>
      <c r="AF193" s="241" t="e">
        <f ca="1">AE193*$H193</f>
        <v>#VALUE!</v>
      </c>
      <c r="AG193" s="243" t="e">
        <f ca="1">IF(AND(INDEX(FlowCalConstA,MATCH(AD192,FlowCalNumber,0),1,1)*AF193^INDEX(FlowCalConstB,MATCH(AD192,FlowCalNumber,0),1,1)&gt;INDEX(FlowCalLowSetting,MATCH(AD192,FlowCalNumber,0),1,1), (INDEX(FlowCalConstA,MATCH(AD192,FlowCalNumber,0),1,1)*AF193^INDEX(FlowCalConstB,MATCH(AD192,FlowCalNumber,0),1,1)&lt;INDEX(FlowCalHighSetting,MATCH(AD192,FlowCalNumber,0),1,1))),INDEX(FlowCalConstA,MATCH(AD192,FlowCalNumber,0),1,1)*AF193^INDEX(FlowCalConstB,MATCH(AD192,FlowCalNumber,0),1,1)," ")</f>
        <v>#N/A</v>
      </c>
      <c r="AH193" s="33"/>
      <c r="AI193" s="260">
        <f>AI$17/100</f>
        <v>0.9</v>
      </c>
      <c r="AJ193" s="241" t="e">
        <f ca="1">AI193*$H193</f>
        <v>#VALUE!</v>
      </c>
      <c r="AK193" s="243" t="e">
        <f ca="1">IF(AND(INDEX(FlowCalConstA,MATCH(AH192,FlowCalNumber,0),1,1)*AJ193^INDEX(FlowCalConstB,MATCH(AH192,FlowCalNumber,0),1,1)&gt;INDEX(FlowCalLowSetting,MATCH(AH192,FlowCalNumber,0),1,1), (INDEX(FlowCalConstA,MATCH(AH192,FlowCalNumber,0),1,1)*AJ193^INDEX(FlowCalConstB,MATCH(AH192,FlowCalNumber,0),1,1)&lt;INDEX(FlowCalHighSetting,MATCH(AH192,FlowCalNumber,0),1,1))),INDEX(FlowCalConstA,MATCH(AH192,FlowCalNumber,0),1,1)*AJ193^INDEX(FlowCalConstB,MATCH(AH192,FlowCalNumber,0),1,1)," ")</f>
        <v>#N/A</v>
      </c>
      <c r="AL193" s="33"/>
      <c r="AM193" s="260"/>
      <c r="AN193" s="241"/>
      <c r="AO193" s="244"/>
      <c r="AQ193" s="260"/>
      <c r="AR193" s="241"/>
      <c r="AS193" s="244"/>
      <c r="AT193" s="33"/>
      <c r="AU193" s="260"/>
      <c r="AV193" s="241"/>
      <c r="AW193" s="244"/>
      <c r="AX193" s="33"/>
      <c r="AY193" s="260"/>
      <c r="AZ193" s="241"/>
      <c r="BA193" s="244"/>
      <c r="BB193" s="33"/>
      <c r="BC193" s="260"/>
      <c r="BD193" s="241"/>
      <c r="BE193" s="244"/>
      <c r="BF193" s="33"/>
      <c r="BG193" s="260"/>
      <c r="BH193" s="241"/>
      <c r="BI193" s="244"/>
      <c r="BJ193" s="33"/>
      <c r="BK193" s="260"/>
      <c r="BL193" s="241"/>
      <c r="BM193" s="244"/>
      <c r="BN193" s="33"/>
      <c r="BO193" s="260"/>
      <c r="BP193" s="241"/>
      <c r="BQ193" s="244"/>
      <c r="BR193" s="33"/>
      <c r="BS193" s="260"/>
      <c r="BT193" s="241"/>
      <c r="BU193" s="244"/>
      <c r="BV193" s="33"/>
      <c r="BW193" s="260"/>
      <c r="BX193" s="241"/>
      <c r="BY193" s="244"/>
      <c r="BZ193" s="33"/>
      <c r="CA193" s="260"/>
      <c r="CB193" s="241"/>
      <c r="CC193" s="244"/>
      <c r="CD193" s="243"/>
      <c r="CE193" s="243"/>
      <c r="CF193" s="243"/>
      <c r="CG193" s="243"/>
      <c r="CH193" s="243"/>
      <c r="CI193" s="243"/>
      <c r="CJ193" s="243"/>
      <c r="CK193" s="243"/>
      <c r="CL193" s="243"/>
      <c r="CM193" s="243"/>
      <c r="CN193" s="243"/>
      <c r="CO193" s="243"/>
      <c r="CP193" s="243"/>
      <c r="CQ193" s="243"/>
      <c r="CR193" s="243"/>
      <c r="CS193" s="243"/>
      <c r="CT193" s="243"/>
      <c r="CU193" s="243"/>
      <c r="CV193" s="243"/>
      <c r="CW193" s="243"/>
      <c r="CX193" s="243"/>
      <c r="CY193" s="243"/>
      <c r="CZ193" s="243"/>
      <c r="DA193" s="243"/>
      <c r="DB193" s="243"/>
      <c r="DC193" s="243"/>
      <c r="DD193" s="243"/>
      <c r="DE193" s="243"/>
      <c r="DF193" s="243"/>
      <c r="DG193" s="243"/>
      <c r="DH193" s="243"/>
      <c r="DI193" s="243"/>
      <c r="DJ193" s="243"/>
      <c r="DK193" s="243"/>
      <c r="DM193" s="259"/>
      <c r="DO193" s="243"/>
      <c r="DQ193" s="259"/>
      <c r="DS193" s="243"/>
      <c r="DU193" s="259"/>
      <c r="DW193" s="243"/>
      <c r="DY193" s="260"/>
      <c r="EA193" s="243"/>
    </row>
    <row r="194" spans="1:131">
      <c r="A194" s="20"/>
      <c r="B194" s="124" t="str">
        <f t="shared" si="182"/>
        <v/>
      </c>
      <c r="C194" s="235"/>
      <c r="D194" s="24">
        <f>'1% Wind'!$M$83</f>
        <v>23.5</v>
      </c>
      <c r="E194" s="90"/>
      <c r="F194" s="90"/>
      <c r="G194" s="79">
        <f ca="1">IF(I192=0.9743,$G193,MAX(G193/D193*D194,2))</f>
        <v>6.001707317073171</v>
      </c>
      <c r="H194" s="121" t="e">
        <f t="shared" ca="1" si="183"/>
        <v>#VALUE!</v>
      </c>
      <c r="J194" s="33"/>
      <c r="K194" s="242">
        <f t="shared" ref="K194:K207" si="184">K193</f>
        <v>1</v>
      </c>
      <c r="L194" s="241" t="e">
        <f t="shared" ref="L194:L207" ca="1" si="185">K194*$H194</f>
        <v>#VALUE!</v>
      </c>
      <c r="M194" s="243" t="e">
        <f ca="1">IF(AND(INDEX(FlowCalConstA,MATCH(J192,FlowCalNumber,0),1,1)*L194^INDEX(FlowCalConstB,MATCH(J192,FlowCalNumber,0),1,1)&gt;INDEX(FlowCalLowSetting,MATCH(J192,FlowCalNumber,0),1,1), (INDEX(FlowCalConstA,MATCH(J192,FlowCalNumber,0),1,1)*L194^INDEX(FlowCalConstB,MATCH(J192,FlowCalNumber,0),1,1)&lt;INDEX(FlowCalHighSetting,MATCH(J192,FlowCalNumber,0),1,1))),INDEX(FlowCalConstA,MATCH(J192,FlowCalNumber,0),1,1)*L194^INDEX(FlowCalConstB,MATCH(J192,FlowCalNumber,0),1,1)," ")</f>
        <v>#N/A</v>
      </c>
      <c r="N194" s="33"/>
      <c r="O194" s="242">
        <f t="shared" ref="O194:O207" si="186">O193</f>
        <v>1</v>
      </c>
      <c r="P194" s="241" t="e">
        <f t="shared" ref="P194:P207" ca="1" si="187">O194*$H194</f>
        <v>#VALUE!</v>
      </c>
      <c r="Q194" s="243" t="e">
        <f ca="1">IF(AND(INDEX(FlowCalConstA,MATCH(N192,FlowCalNumber,0),1,1)*P194^INDEX(FlowCalConstB,MATCH(N192,FlowCalNumber,0),1,1)&gt;INDEX(FlowCalLowSetting,MATCH(N192,FlowCalNumber,0),1,1), (INDEX(FlowCalConstA,MATCH(N192,FlowCalNumber,0),1,1)*P194^INDEX(FlowCalConstB,MATCH(N192,FlowCalNumber,0),1,1)&lt;INDEX(FlowCalHighSetting,MATCH(N192,FlowCalNumber,0),1,1))),INDEX(FlowCalConstA,MATCH(N192,FlowCalNumber,0),1,1)*P194^INDEX(FlowCalConstB,MATCH(N192,FlowCalNumber,0),1,1)," ")</f>
        <v>#N/A</v>
      </c>
      <c r="R194" s="33"/>
      <c r="S194" s="242">
        <f t="shared" ref="S194:S207" si="188">S193</f>
        <v>1</v>
      </c>
      <c r="T194" s="241" t="e">
        <f t="shared" ref="T194:T207" ca="1" si="189">S194*$H194</f>
        <v>#VALUE!</v>
      </c>
      <c r="U194" s="244" t="e">
        <f ca="1">IF(AND(INDEX(FlowCalConstA,MATCH(R192,FlowCalNumber,0),1,1)*T194^INDEX(FlowCalConstB,MATCH(R192,FlowCalNumber,0),1,1)&gt;INDEX(FlowCalLowSetting,MATCH(R192,FlowCalNumber,0),1,1), (INDEX(FlowCalConstA,MATCH(R192,FlowCalNumber,0),1,1)*T194^INDEX(FlowCalConstB,MATCH(R192,FlowCalNumber,0),1,1)&lt;INDEX(FlowCalHighSetting,MATCH(R192,FlowCalNumber,0),1,1))),INDEX(FlowCalConstA,MATCH(R192,FlowCalNumber,0),1,1)*T194^INDEX(FlowCalConstB,MATCH(R192,FlowCalNumber,0),1,1)," ")</f>
        <v>#N/A</v>
      </c>
      <c r="V194" s="33"/>
      <c r="W194" s="242">
        <f t="shared" ref="W194:W207" si="190">W193</f>
        <v>0.1</v>
      </c>
      <c r="X194" s="241" t="e">
        <f t="shared" ref="X194:X207" ca="1" si="191">W194*$H194</f>
        <v>#VALUE!</v>
      </c>
      <c r="Y194" s="243" t="e">
        <f ca="1">IF(AND(INDEX(FlowCalConstA,MATCH(V192,FlowCalNumber,0),1,1)*X194^INDEX(FlowCalConstB,MATCH(V192,FlowCalNumber,0),1,1)&gt;INDEX(FlowCalLowSetting,MATCH(V192,FlowCalNumber,0),1,1), (INDEX(FlowCalConstA,MATCH(V192,FlowCalNumber,0),1,1)*X194^INDEX(FlowCalConstB,MATCH(V192,FlowCalNumber,0),1,1)&lt;INDEX(FlowCalHighSetting,MATCH(V192,FlowCalNumber,0),1,1))),INDEX(FlowCalConstA,MATCH(V192,FlowCalNumber,0),1,1)*X194^INDEX(FlowCalConstB,MATCH(V192,FlowCalNumber,0),1,1)," ")</f>
        <v>#N/A</v>
      </c>
      <c r="Z194" s="33"/>
      <c r="AA194" s="242">
        <f t="shared" ref="AA194:AA207" si="192">AA193</f>
        <v>0.9</v>
      </c>
      <c r="AB194" s="241" t="e">
        <f t="shared" ref="AB194:AB207" ca="1" si="193">AA194*$H194</f>
        <v>#VALUE!</v>
      </c>
      <c r="AC194" s="243" t="e">
        <f ca="1">IF(AND(INDEX(FlowCalConstA,MATCH(Z192,FlowCalNumber,0),1,1)*AB194^INDEX(FlowCalConstB,MATCH(Z192,FlowCalNumber,0),1,1)&gt;INDEX(FlowCalLowSetting,MATCH(Z192,FlowCalNumber,0),1,1), (INDEX(FlowCalConstA,MATCH(Z192,FlowCalNumber,0),1,1)*AB194^INDEX(FlowCalConstB,MATCH(Z192,FlowCalNumber,0),1,1)&lt;INDEX(FlowCalHighSetting,MATCH(Z192,FlowCalNumber,0),1,1))),INDEX(FlowCalConstA,MATCH(Z192,FlowCalNumber,0),1,1)*AB194^INDEX(FlowCalConstB,MATCH(Z192,FlowCalNumber,0),1,1)," ")</f>
        <v>#N/A</v>
      </c>
      <c r="AD194" s="33"/>
      <c r="AE194" s="242">
        <f t="shared" ref="AE194:AE207" si="194">AE193</f>
        <v>0.1</v>
      </c>
      <c r="AF194" s="241" t="e">
        <f t="shared" ref="AF194:AF207" ca="1" si="195">AE194*$H194</f>
        <v>#VALUE!</v>
      </c>
      <c r="AG194" s="243" t="e">
        <f ca="1">IF(AND(INDEX(FlowCalConstA,MATCH(AD192,FlowCalNumber,0),1,1)*AF194^INDEX(FlowCalConstB,MATCH(AD192,FlowCalNumber,0),1,1)&gt;INDEX(FlowCalLowSetting,MATCH(AD192,FlowCalNumber,0),1,1), (INDEX(FlowCalConstA,MATCH(AD192,FlowCalNumber,0),1,1)*AF194^INDEX(FlowCalConstB,MATCH(AD192,FlowCalNumber,0),1,1)&lt;INDEX(FlowCalHighSetting,MATCH(AD192,FlowCalNumber,0),1,1))),INDEX(FlowCalConstA,MATCH(AD192,FlowCalNumber,0),1,1)*AF194^INDEX(FlowCalConstB,MATCH(AD192,FlowCalNumber,0),1,1)," ")</f>
        <v>#N/A</v>
      </c>
      <c r="AH194" s="33"/>
      <c r="AI194" s="242">
        <f t="shared" ref="AI194:AI207" si="196">AI193</f>
        <v>0.9</v>
      </c>
      <c r="AJ194" s="241" t="e">
        <f t="shared" ref="AJ194:AJ207" ca="1" si="197">AI194*$H194</f>
        <v>#VALUE!</v>
      </c>
      <c r="AK194" s="243" t="e">
        <f ca="1">IF(AND(INDEX(FlowCalConstA,MATCH(AH192,FlowCalNumber,0),1,1)*AJ194^INDEX(FlowCalConstB,MATCH(AH192,FlowCalNumber,0),1,1)&gt;INDEX(FlowCalLowSetting,MATCH(AH192,FlowCalNumber,0),1,1), (INDEX(FlowCalConstA,MATCH(AH192,FlowCalNumber,0),1,1)*AJ194^INDEX(FlowCalConstB,MATCH(AH192,FlowCalNumber,0),1,1)&lt;INDEX(FlowCalHighSetting,MATCH(AH192,FlowCalNumber,0),1,1))),INDEX(FlowCalConstA,MATCH(AH192,FlowCalNumber,0),1,1)*AJ194^INDEX(FlowCalConstB,MATCH(AH192,FlowCalNumber,0),1,1)," ")</f>
        <v>#N/A</v>
      </c>
      <c r="AL194" s="33"/>
      <c r="AM194" s="242"/>
      <c r="AN194" s="241"/>
      <c r="AO194" s="244"/>
      <c r="AQ194" s="242"/>
      <c r="AR194" s="241"/>
      <c r="AS194" s="244"/>
      <c r="AT194" s="33"/>
      <c r="AU194" s="242"/>
      <c r="AV194" s="241"/>
      <c r="AW194" s="244"/>
      <c r="AX194" s="33"/>
      <c r="AY194" s="242"/>
      <c r="AZ194" s="241"/>
      <c r="BA194" s="244"/>
      <c r="BB194" s="33"/>
      <c r="BC194" s="242"/>
      <c r="BD194" s="241"/>
      <c r="BE194" s="244"/>
      <c r="BF194" s="33"/>
      <c r="BG194" s="242"/>
      <c r="BH194" s="241"/>
      <c r="BI194" s="244"/>
      <c r="BJ194" s="33"/>
      <c r="BK194" s="242"/>
      <c r="BL194" s="241"/>
      <c r="BM194" s="244"/>
      <c r="BN194" s="33"/>
      <c r="BO194" s="242"/>
      <c r="BP194" s="241"/>
      <c r="BQ194" s="244"/>
      <c r="BR194" s="33"/>
      <c r="BS194" s="242"/>
      <c r="BT194" s="241"/>
      <c r="BU194" s="244"/>
      <c r="BV194" s="33"/>
      <c r="BW194" s="242"/>
      <c r="BX194" s="241"/>
      <c r="BY194" s="244"/>
      <c r="BZ194" s="33"/>
      <c r="CA194" s="242"/>
      <c r="CB194" s="241"/>
      <c r="CC194" s="244"/>
      <c r="CD194" s="243"/>
      <c r="CE194" s="243"/>
      <c r="CF194" s="243"/>
      <c r="CG194" s="243"/>
      <c r="CH194" s="243"/>
      <c r="CI194" s="243"/>
      <c r="CJ194" s="243"/>
      <c r="CK194" s="243"/>
      <c r="CL194" s="243"/>
      <c r="CM194" s="243"/>
      <c r="CN194" s="243"/>
      <c r="CO194" s="243"/>
      <c r="CP194" s="243"/>
      <c r="CQ194" s="243"/>
      <c r="CR194" s="243"/>
      <c r="CS194" s="243"/>
      <c r="CT194" s="243"/>
      <c r="CU194" s="243"/>
      <c r="CV194" s="243"/>
      <c r="CW194" s="243"/>
      <c r="CX194" s="243"/>
      <c r="CY194" s="243"/>
      <c r="CZ194" s="243"/>
      <c r="DA194" s="243"/>
      <c r="DB194" s="243"/>
      <c r="DC194" s="243"/>
      <c r="DD194" s="243"/>
      <c r="DE194" s="243"/>
      <c r="DF194" s="243"/>
      <c r="DG194" s="243"/>
      <c r="DH194" s="243"/>
      <c r="DI194" s="243"/>
      <c r="DJ194" s="243"/>
      <c r="DK194" s="243"/>
      <c r="DM194" s="242"/>
      <c r="DO194" s="243"/>
      <c r="DQ194" s="242"/>
      <c r="DS194" s="243"/>
      <c r="DU194" s="242"/>
      <c r="DW194" s="243"/>
      <c r="DY194" s="242"/>
      <c r="EA194" s="243"/>
    </row>
    <row r="195" spans="1:131">
      <c r="A195" s="20"/>
      <c r="B195" s="124" t="str">
        <f t="shared" si="182"/>
        <v/>
      </c>
      <c r="C195" s="235"/>
      <c r="D195" s="24">
        <f>'1% Wind'!$M$84</f>
        <v>20.5</v>
      </c>
      <c r="E195" s="90"/>
      <c r="F195" s="90"/>
      <c r="G195" s="79">
        <f ca="1">IF(I192=0.9743,$G194,MAX(G194/D194*D195,2))</f>
        <v>6.001707317073171</v>
      </c>
      <c r="H195" s="121" t="e">
        <f t="shared" ca="1" si="183"/>
        <v>#VALUE!</v>
      </c>
      <c r="J195" s="33"/>
      <c r="K195" s="242">
        <f t="shared" si="184"/>
        <v>1</v>
      </c>
      <c r="L195" s="241" t="e">
        <f t="shared" ca="1" si="185"/>
        <v>#VALUE!</v>
      </c>
      <c r="M195" s="243" t="e">
        <f ca="1">IF(AND(INDEX(FlowCalConstA,MATCH(J192,FlowCalNumber,0),1,1)*L195^INDEX(FlowCalConstB,MATCH(J192,FlowCalNumber,0),1,1)&gt;INDEX(FlowCalLowSetting,MATCH(J192,FlowCalNumber,0),1,1), (INDEX(FlowCalConstA,MATCH(J192,FlowCalNumber,0),1,1)*L195^INDEX(FlowCalConstB,MATCH(J192,FlowCalNumber,0),1,1)&lt;INDEX(FlowCalHighSetting,MATCH(J192,FlowCalNumber,0),1,1))),INDEX(FlowCalConstA,MATCH(J192,FlowCalNumber,0),1,1)*L195^INDEX(FlowCalConstB,MATCH(J192,FlowCalNumber,0),1,1)," ")</f>
        <v>#N/A</v>
      </c>
      <c r="N195" s="33"/>
      <c r="O195" s="242">
        <f t="shared" si="186"/>
        <v>1</v>
      </c>
      <c r="P195" s="241" t="e">
        <f t="shared" ca="1" si="187"/>
        <v>#VALUE!</v>
      </c>
      <c r="Q195" s="243" t="e">
        <f ca="1">IF(AND(INDEX(FlowCalConstA,MATCH(N192,FlowCalNumber,0),1,1)*P195^INDEX(FlowCalConstB,MATCH(N192,FlowCalNumber,0),1,1)&gt;INDEX(FlowCalLowSetting,MATCH(N192,FlowCalNumber,0),1,1), (INDEX(FlowCalConstA,MATCH(N192,FlowCalNumber,0),1,1)*P195^INDEX(FlowCalConstB,MATCH(N192,FlowCalNumber,0),1,1)&lt;INDEX(FlowCalHighSetting,MATCH(N192,FlowCalNumber,0),1,1))),INDEX(FlowCalConstA,MATCH(N192,FlowCalNumber,0),1,1)*P195^INDEX(FlowCalConstB,MATCH(N192,FlowCalNumber,0),1,1)," ")</f>
        <v>#N/A</v>
      </c>
      <c r="R195" s="33"/>
      <c r="S195" s="242">
        <f t="shared" si="188"/>
        <v>1</v>
      </c>
      <c r="T195" s="241" t="e">
        <f t="shared" ca="1" si="189"/>
        <v>#VALUE!</v>
      </c>
      <c r="U195" s="244" t="e">
        <f ca="1">IF(AND(INDEX(FlowCalConstA,MATCH(R192,FlowCalNumber,0),1,1)*T195^INDEX(FlowCalConstB,MATCH(R192,FlowCalNumber,0),1,1)&gt;INDEX(FlowCalLowSetting,MATCH(R192,FlowCalNumber,0),1,1), (INDEX(FlowCalConstA,MATCH(R192,FlowCalNumber,0),1,1)*T195^INDEX(FlowCalConstB,MATCH(R192,FlowCalNumber,0),1,1)&lt;INDEX(FlowCalHighSetting,MATCH(R192,FlowCalNumber,0),1,1))),INDEX(FlowCalConstA,MATCH(R192,FlowCalNumber,0),1,1)*T195^INDEX(FlowCalConstB,MATCH(R192,FlowCalNumber,0),1,1)," ")</f>
        <v>#N/A</v>
      </c>
      <c r="V195" s="33"/>
      <c r="W195" s="242">
        <f t="shared" si="190"/>
        <v>0.1</v>
      </c>
      <c r="X195" s="241" t="e">
        <f t="shared" ca="1" si="191"/>
        <v>#VALUE!</v>
      </c>
      <c r="Y195" s="243" t="e">
        <f ca="1">IF(AND(INDEX(FlowCalConstA,MATCH(V192,FlowCalNumber,0),1,1)*X195^INDEX(FlowCalConstB,MATCH(V192,FlowCalNumber,0),1,1)&gt;INDEX(FlowCalLowSetting,MATCH(V192,FlowCalNumber,0),1,1), (INDEX(FlowCalConstA,MATCH(V192,FlowCalNumber,0),1,1)*X195^INDEX(FlowCalConstB,MATCH(V192,FlowCalNumber,0),1,1)&lt;INDEX(FlowCalHighSetting,MATCH(V192,FlowCalNumber,0),1,1))),INDEX(FlowCalConstA,MATCH(V192,FlowCalNumber,0),1,1)*X195^INDEX(FlowCalConstB,MATCH(V192,FlowCalNumber,0),1,1)," ")</f>
        <v>#N/A</v>
      </c>
      <c r="Z195" s="33"/>
      <c r="AA195" s="242">
        <f t="shared" si="192"/>
        <v>0.9</v>
      </c>
      <c r="AB195" s="241" t="e">
        <f t="shared" ca="1" si="193"/>
        <v>#VALUE!</v>
      </c>
      <c r="AC195" s="243" t="e">
        <f ca="1">IF(AND(INDEX(FlowCalConstA,MATCH(Z192,FlowCalNumber,0),1,1)*AB195^INDEX(FlowCalConstB,MATCH(Z192,FlowCalNumber,0),1,1)&gt;INDEX(FlowCalLowSetting,MATCH(Z192,FlowCalNumber,0),1,1), (INDEX(FlowCalConstA,MATCH(Z192,FlowCalNumber,0),1,1)*AB195^INDEX(FlowCalConstB,MATCH(Z192,FlowCalNumber,0),1,1)&lt;INDEX(FlowCalHighSetting,MATCH(Z192,FlowCalNumber,0),1,1))),INDEX(FlowCalConstA,MATCH(Z192,FlowCalNumber,0),1,1)*AB195^INDEX(FlowCalConstB,MATCH(Z192,FlowCalNumber,0),1,1)," ")</f>
        <v>#N/A</v>
      </c>
      <c r="AD195" s="33"/>
      <c r="AE195" s="242">
        <f t="shared" si="194"/>
        <v>0.1</v>
      </c>
      <c r="AF195" s="241" t="e">
        <f t="shared" ca="1" si="195"/>
        <v>#VALUE!</v>
      </c>
      <c r="AG195" s="243" t="e">
        <f ca="1">IF(AND(INDEX(FlowCalConstA,MATCH(AD192,FlowCalNumber,0),1,1)*AF195^INDEX(FlowCalConstB,MATCH(AD192,FlowCalNumber,0),1,1)&gt;INDEX(FlowCalLowSetting,MATCH(AD192,FlowCalNumber,0),1,1), (INDEX(FlowCalConstA,MATCH(AD192,FlowCalNumber,0),1,1)*AF195^INDEX(FlowCalConstB,MATCH(AD192,FlowCalNumber,0),1,1)&lt;INDEX(FlowCalHighSetting,MATCH(AD192,FlowCalNumber,0),1,1))),INDEX(FlowCalConstA,MATCH(AD192,FlowCalNumber,0),1,1)*AF195^INDEX(FlowCalConstB,MATCH(AD192,FlowCalNumber,0),1,1)," ")</f>
        <v>#N/A</v>
      </c>
      <c r="AH195" s="33"/>
      <c r="AI195" s="242">
        <f t="shared" si="196"/>
        <v>0.9</v>
      </c>
      <c r="AJ195" s="241" t="e">
        <f t="shared" ca="1" si="197"/>
        <v>#VALUE!</v>
      </c>
      <c r="AK195" s="243" t="e">
        <f ca="1">IF(AND(INDEX(FlowCalConstA,MATCH(AH192,FlowCalNumber,0),1,1)*AJ195^INDEX(FlowCalConstB,MATCH(AH192,FlowCalNumber,0),1,1)&gt;INDEX(FlowCalLowSetting,MATCH(AH192,FlowCalNumber,0),1,1), (INDEX(FlowCalConstA,MATCH(AH192,FlowCalNumber,0),1,1)*AJ195^INDEX(FlowCalConstB,MATCH(AH192,FlowCalNumber,0),1,1)&lt;INDEX(FlowCalHighSetting,MATCH(AH192,FlowCalNumber,0),1,1))),INDEX(FlowCalConstA,MATCH(AH192,FlowCalNumber,0),1,1)*AJ195^INDEX(FlowCalConstB,MATCH(AH192,FlowCalNumber,0),1,1)," ")</f>
        <v>#N/A</v>
      </c>
      <c r="AL195" s="33"/>
      <c r="AM195" s="242"/>
      <c r="AN195" s="241"/>
      <c r="AO195" s="244"/>
      <c r="AQ195" s="242"/>
      <c r="AR195" s="241"/>
      <c r="AS195" s="244"/>
      <c r="AT195" s="33"/>
      <c r="AU195" s="242"/>
      <c r="AV195" s="241"/>
      <c r="AW195" s="244"/>
      <c r="AX195" s="33"/>
      <c r="AY195" s="242"/>
      <c r="AZ195" s="241"/>
      <c r="BA195" s="244"/>
      <c r="BB195" s="33"/>
      <c r="BC195" s="242"/>
      <c r="BD195" s="241"/>
      <c r="BE195" s="244"/>
      <c r="BF195" s="33"/>
      <c r="BG195" s="242"/>
      <c r="BH195" s="241"/>
      <c r="BI195" s="244"/>
      <c r="BJ195" s="33"/>
      <c r="BK195" s="242"/>
      <c r="BL195" s="241"/>
      <c r="BM195" s="244"/>
      <c r="BN195" s="33"/>
      <c r="BO195" s="242"/>
      <c r="BP195" s="241"/>
      <c r="BQ195" s="244"/>
      <c r="BR195" s="33"/>
      <c r="BS195" s="242"/>
      <c r="BT195" s="241"/>
      <c r="BU195" s="244"/>
      <c r="BV195" s="33"/>
      <c r="BW195" s="242"/>
      <c r="BX195" s="241"/>
      <c r="BY195" s="244"/>
      <c r="BZ195" s="33"/>
      <c r="CA195" s="242"/>
      <c r="CB195" s="241"/>
      <c r="CC195" s="244"/>
      <c r="CD195" s="243"/>
      <c r="CE195" s="243"/>
      <c r="CF195" s="243"/>
      <c r="CG195" s="243"/>
      <c r="CH195" s="243"/>
      <c r="CI195" s="243"/>
      <c r="CJ195" s="243"/>
      <c r="CK195" s="243"/>
      <c r="CL195" s="243"/>
      <c r="CM195" s="243"/>
      <c r="CN195" s="243"/>
      <c r="CO195" s="243"/>
      <c r="CP195" s="243"/>
      <c r="CQ195" s="243"/>
      <c r="CR195" s="243"/>
      <c r="CS195" s="243"/>
      <c r="CT195" s="243"/>
      <c r="CU195" s="243"/>
      <c r="CV195" s="243"/>
      <c r="CW195" s="243"/>
      <c r="CX195" s="243"/>
      <c r="CY195" s="243"/>
      <c r="CZ195" s="243"/>
      <c r="DA195" s="243"/>
      <c r="DB195" s="243"/>
      <c r="DC195" s="243"/>
      <c r="DD195" s="243"/>
      <c r="DE195" s="243"/>
      <c r="DF195" s="243"/>
      <c r="DG195" s="243"/>
      <c r="DH195" s="243"/>
      <c r="DI195" s="243"/>
      <c r="DJ195" s="243"/>
      <c r="DK195" s="243"/>
      <c r="DM195" s="242"/>
      <c r="DO195" s="243"/>
      <c r="DQ195" s="242"/>
      <c r="DS195" s="243"/>
      <c r="DU195" s="242"/>
      <c r="DW195" s="243"/>
      <c r="DY195" s="242"/>
      <c r="EA195" s="243"/>
    </row>
    <row r="196" spans="1:131">
      <c r="A196" s="20"/>
      <c r="B196" s="124" t="str">
        <f t="shared" si="182"/>
        <v/>
      </c>
      <c r="C196" s="235"/>
      <c r="D196" s="24">
        <f>'1% Wind'!$M$85</f>
        <v>17.8</v>
      </c>
      <c r="E196" s="90"/>
      <c r="F196" s="90"/>
      <c r="G196" s="79">
        <f ca="1">IF(I192=0.9743,$G195,MAX(G195/D195*D196,2))</f>
        <v>6.001707317073171</v>
      </c>
      <c r="H196" s="121" t="e">
        <f t="shared" ca="1" si="183"/>
        <v>#VALUE!</v>
      </c>
      <c r="J196" s="33"/>
      <c r="K196" s="242">
        <f t="shared" si="184"/>
        <v>1</v>
      </c>
      <c r="L196" s="241" t="e">
        <f t="shared" ca="1" si="185"/>
        <v>#VALUE!</v>
      </c>
      <c r="M196" s="243" t="e">
        <f ca="1">IF(AND(INDEX(FlowCalConstA,MATCH(J192,FlowCalNumber,0),1,1)*L196^INDEX(FlowCalConstB,MATCH(J192,FlowCalNumber,0),1,1)&gt;INDEX(FlowCalLowSetting,MATCH(J192,FlowCalNumber,0),1,1), (INDEX(FlowCalConstA,MATCH(J192,FlowCalNumber,0),1,1)*L196^INDEX(FlowCalConstB,MATCH(J192,FlowCalNumber,0),1,1)&lt;INDEX(FlowCalHighSetting,MATCH(J192,FlowCalNumber,0),1,1))),INDEX(FlowCalConstA,MATCH(J192,FlowCalNumber,0),1,1)*L196^INDEX(FlowCalConstB,MATCH(J192,FlowCalNumber,0),1,1)," ")</f>
        <v>#N/A</v>
      </c>
      <c r="N196" s="33"/>
      <c r="O196" s="242">
        <f t="shared" si="186"/>
        <v>1</v>
      </c>
      <c r="P196" s="241" t="e">
        <f t="shared" ca="1" si="187"/>
        <v>#VALUE!</v>
      </c>
      <c r="Q196" s="243" t="e">
        <f ca="1">IF(AND(INDEX(FlowCalConstA,MATCH(N192,FlowCalNumber,0),1,1)*P196^INDEX(FlowCalConstB,MATCH(N192,FlowCalNumber,0),1,1)&gt;INDEX(FlowCalLowSetting,MATCH(N192,FlowCalNumber,0),1,1), (INDEX(FlowCalConstA,MATCH(N192,FlowCalNumber,0),1,1)*P196^INDEX(FlowCalConstB,MATCH(N192,FlowCalNumber,0),1,1)&lt;INDEX(FlowCalHighSetting,MATCH(N192,FlowCalNumber,0),1,1))),INDEX(FlowCalConstA,MATCH(N192,FlowCalNumber,0),1,1)*P196^INDEX(FlowCalConstB,MATCH(N192,FlowCalNumber,0),1,1)," ")</f>
        <v>#N/A</v>
      </c>
      <c r="R196" s="33"/>
      <c r="S196" s="242">
        <f t="shared" si="188"/>
        <v>1</v>
      </c>
      <c r="T196" s="241" t="e">
        <f t="shared" ca="1" si="189"/>
        <v>#VALUE!</v>
      </c>
      <c r="U196" s="244" t="e">
        <f ca="1">IF(AND(INDEX(FlowCalConstA,MATCH(R192,FlowCalNumber,0),1,1)*T196^INDEX(FlowCalConstB,MATCH(R192,FlowCalNumber,0),1,1)&gt;INDEX(FlowCalLowSetting,MATCH(R192,FlowCalNumber,0),1,1), (INDEX(FlowCalConstA,MATCH(R192,FlowCalNumber,0),1,1)*T196^INDEX(FlowCalConstB,MATCH(R192,FlowCalNumber,0),1,1)&lt;INDEX(FlowCalHighSetting,MATCH(R192,FlowCalNumber,0),1,1))),INDEX(FlowCalConstA,MATCH(R192,FlowCalNumber,0),1,1)*T196^INDEX(FlowCalConstB,MATCH(R192,FlowCalNumber,0),1,1)," ")</f>
        <v>#N/A</v>
      </c>
      <c r="V196" s="33"/>
      <c r="W196" s="242">
        <f t="shared" si="190"/>
        <v>0.1</v>
      </c>
      <c r="X196" s="241" t="e">
        <f t="shared" ca="1" si="191"/>
        <v>#VALUE!</v>
      </c>
      <c r="Y196" s="243" t="e">
        <f ca="1">IF(AND(INDEX(FlowCalConstA,MATCH(V192,FlowCalNumber,0),1,1)*X196^INDEX(FlowCalConstB,MATCH(V192,FlowCalNumber,0),1,1)&gt;INDEX(FlowCalLowSetting,MATCH(V192,FlowCalNumber,0),1,1), (INDEX(FlowCalConstA,MATCH(V192,FlowCalNumber,0),1,1)*X196^INDEX(FlowCalConstB,MATCH(V192,FlowCalNumber,0),1,1)&lt;INDEX(FlowCalHighSetting,MATCH(V192,FlowCalNumber,0),1,1))),INDEX(FlowCalConstA,MATCH(V192,FlowCalNumber,0),1,1)*X196^INDEX(FlowCalConstB,MATCH(V192,FlowCalNumber,0),1,1)," ")</f>
        <v>#N/A</v>
      </c>
      <c r="Z196" s="33"/>
      <c r="AA196" s="242">
        <f t="shared" si="192"/>
        <v>0.9</v>
      </c>
      <c r="AB196" s="241" t="e">
        <f t="shared" ca="1" si="193"/>
        <v>#VALUE!</v>
      </c>
      <c r="AC196" s="243" t="e">
        <f ca="1">IF(AND(INDEX(FlowCalConstA,MATCH(Z192,FlowCalNumber,0),1,1)*AB196^INDEX(FlowCalConstB,MATCH(Z192,FlowCalNumber,0),1,1)&gt;INDEX(FlowCalLowSetting,MATCH(Z192,FlowCalNumber,0),1,1), (INDEX(FlowCalConstA,MATCH(Z192,FlowCalNumber,0),1,1)*AB196^INDEX(FlowCalConstB,MATCH(Z192,FlowCalNumber,0),1,1)&lt;INDEX(FlowCalHighSetting,MATCH(Z192,FlowCalNumber,0),1,1))),INDEX(FlowCalConstA,MATCH(Z192,FlowCalNumber,0),1,1)*AB196^INDEX(FlowCalConstB,MATCH(Z192,FlowCalNumber,0),1,1)," ")</f>
        <v>#N/A</v>
      </c>
      <c r="AD196" s="33"/>
      <c r="AE196" s="242">
        <f t="shared" si="194"/>
        <v>0.1</v>
      </c>
      <c r="AF196" s="241" t="e">
        <f t="shared" ca="1" si="195"/>
        <v>#VALUE!</v>
      </c>
      <c r="AG196" s="243" t="e">
        <f ca="1">IF(AND(INDEX(FlowCalConstA,MATCH(AD192,FlowCalNumber,0),1,1)*AF196^INDEX(FlowCalConstB,MATCH(AD192,FlowCalNumber,0),1,1)&gt;INDEX(FlowCalLowSetting,MATCH(AD192,FlowCalNumber,0),1,1), (INDEX(FlowCalConstA,MATCH(AD192,FlowCalNumber,0),1,1)*AF196^INDEX(FlowCalConstB,MATCH(AD192,FlowCalNumber,0),1,1)&lt;INDEX(FlowCalHighSetting,MATCH(AD192,FlowCalNumber,0),1,1))),INDEX(FlowCalConstA,MATCH(AD192,FlowCalNumber,0),1,1)*AF196^INDEX(FlowCalConstB,MATCH(AD192,FlowCalNumber,0),1,1)," ")</f>
        <v>#N/A</v>
      </c>
      <c r="AH196" s="33"/>
      <c r="AI196" s="242">
        <f t="shared" si="196"/>
        <v>0.9</v>
      </c>
      <c r="AJ196" s="241" t="e">
        <f t="shared" ca="1" si="197"/>
        <v>#VALUE!</v>
      </c>
      <c r="AK196" s="243" t="e">
        <f ca="1">IF(AND(INDEX(FlowCalConstA,MATCH(AH192,FlowCalNumber,0),1,1)*AJ196^INDEX(FlowCalConstB,MATCH(AH192,FlowCalNumber,0),1,1)&gt;INDEX(FlowCalLowSetting,MATCH(AH192,FlowCalNumber,0),1,1), (INDEX(FlowCalConstA,MATCH(AH192,FlowCalNumber,0),1,1)*AJ196^INDEX(FlowCalConstB,MATCH(AH192,FlowCalNumber,0),1,1)&lt;INDEX(FlowCalHighSetting,MATCH(AH192,FlowCalNumber,0),1,1))),INDEX(FlowCalConstA,MATCH(AH192,FlowCalNumber,0),1,1)*AJ196^INDEX(FlowCalConstB,MATCH(AH192,FlowCalNumber,0),1,1)," ")</f>
        <v>#N/A</v>
      </c>
      <c r="AL196" s="33"/>
      <c r="AM196" s="242"/>
      <c r="AN196" s="241"/>
      <c r="AO196" s="244"/>
      <c r="AQ196" s="242"/>
      <c r="AR196" s="241"/>
      <c r="AS196" s="244"/>
      <c r="AT196" s="33"/>
      <c r="AU196" s="242"/>
      <c r="AV196" s="241"/>
      <c r="AW196" s="244"/>
      <c r="AX196" s="33"/>
      <c r="AY196" s="242"/>
      <c r="AZ196" s="241"/>
      <c r="BA196" s="244"/>
      <c r="BB196" s="33"/>
      <c r="BC196" s="242"/>
      <c r="BD196" s="241"/>
      <c r="BE196" s="244"/>
      <c r="BF196" s="33"/>
      <c r="BG196" s="242"/>
      <c r="BH196" s="241"/>
      <c r="BI196" s="244"/>
      <c r="BJ196" s="33"/>
      <c r="BK196" s="242"/>
      <c r="BL196" s="241"/>
      <c r="BM196" s="244"/>
      <c r="BN196" s="33"/>
      <c r="BO196" s="242"/>
      <c r="BP196" s="241"/>
      <c r="BQ196" s="244"/>
      <c r="BR196" s="33"/>
      <c r="BS196" s="242"/>
      <c r="BT196" s="241"/>
      <c r="BU196" s="244"/>
      <c r="BV196" s="33"/>
      <c r="BW196" s="242"/>
      <c r="BX196" s="241"/>
      <c r="BY196" s="244"/>
      <c r="BZ196" s="33"/>
      <c r="CA196" s="242"/>
      <c r="CB196" s="241"/>
      <c r="CC196" s="244"/>
      <c r="CD196" s="243"/>
      <c r="CE196" s="243"/>
      <c r="CF196" s="243"/>
      <c r="CG196" s="243"/>
      <c r="CH196" s="243"/>
      <c r="CI196" s="243"/>
      <c r="CJ196" s="243"/>
      <c r="CK196" s="243"/>
      <c r="CL196" s="243"/>
      <c r="CM196" s="243"/>
      <c r="CN196" s="243"/>
      <c r="CO196" s="243"/>
      <c r="CP196" s="243"/>
      <c r="CQ196" s="243"/>
      <c r="CR196" s="243"/>
      <c r="CS196" s="243"/>
      <c r="CT196" s="243"/>
      <c r="CU196" s="243"/>
      <c r="CV196" s="243"/>
      <c r="CW196" s="243"/>
      <c r="CX196" s="243"/>
      <c r="CY196" s="243"/>
      <c r="CZ196" s="243"/>
      <c r="DA196" s="243"/>
      <c r="DB196" s="243"/>
      <c r="DC196" s="243"/>
      <c r="DD196" s="243"/>
      <c r="DE196" s="243"/>
      <c r="DF196" s="243"/>
      <c r="DG196" s="243"/>
      <c r="DH196" s="243"/>
      <c r="DI196" s="243"/>
      <c r="DJ196" s="243"/>
      <c r="DK196" s="243"/>
      <c r="DM196" s="242"/>
      <c r="DO196" s="243"/>
      <c r="DQ196" s="242"/>
      <c r="DS196" s="243"/>
      <c r="DU196" s="242"/>
      <c r="DW196" s="243"/>
      <c r="DY196" s="242"/>
      <c r="EA196" s="243"/>
    </row>
    <row r="197" spans="1:131">
      <c r="A197" s="20"/>
      <c r="B197" s="124" t="str">
        <f t="shared" si="182"/>
        <v/>
      </c>
      <c r="C197" s="235"/>
      <c r="D197" s="24">
        <f>'1% Wind'!$M$86</f>
        <v>15.5</v>
      </c>
      <c r="E197" s="90"/>
      <c r="F197" s="90"/>
      <c r="G197" s="79">
        <f ca="1">IF(I192=0.9743,$G196,MAX(G196/D196*D197,2))</f>
        <v>6.001707317073171</v>
      </c>
      <c r="H197" s="121" t="e">
        <f t="shared" ca="1" si="183"/>
        <v>#VALUE!</v>
      </c>
      <c r="J197" s="33"/>
      <c r="K197" s="242">
        <f t="shared" si="184"/>
        <v>1</v>
      </c>
      <c r="L197" s="241" t="e">
        <f t="shared" ca="1" si="185"/>
        <v>#VALUE!</v>
      </c>
      <c r="M197" s="243" t="e">
        <f ca="1">IF(AND(INDEX(FlowCalConstA,MATCH(J192,FlowCalNumber,0),1,1)*L197^INDEX(FlowCalConstB,MATCH(J192,FlowCalNumber,0),1,1)&gt;INDEX(FlowCalLowSetting,MATCH(J192,FlowCalNumber,0),1,1), (INDEX(FlowCalConstA,MATCH(J192,FlowCalNumber,0),1,1)*L197^INDEX(FlowCalConstB,MATCH(J192,FlowCalNumber,0),1,1)&lt;INDEX(FlowCalHighSetting,MATCH(J192,FlowCalNumber,0),1,1))),INDEX(FlowCalConstA,MATCH(J192,FlowCalNumber,0),1,1)*L197^INDEX(FlowCalConstB,MATCH(J192,FlowCalNumber,0),1,1)," ")</f>
        <v>#N/A</v>
      </c>
      <c r="N197" s="33"/>
      <c r="O197" s="242">
        <f t="shared" si="186"/>
        <v>1</v>
      </c>
      <c r="P197" s="241" t="e">
        <f t="shared" ca="1" si="187"/>
        <v>#VALUE!</v>
      </c>
      <c r="Q197" s="243" t="e">
        <f ca="1">IF(AND(INDEX(FlowCalConstA,MATCH(N192,FlowCalNumber,0),1,1)*P197^INDEX(FlowCalConstB,MATCH(N192,FlowCalNumber,0),1,1)&gt;INDEX(FlowCalLowSetting,MATCH(N192,FlowCalNumber,0),1,1), (INDEX(FlowCalConstA,MATCH(N192,FlowCalNumber,0),1,1)*P197^INDEX(FlowCalConstB,MATCH(N192,FlowCalNumber,0),1,1)&lt;INDEX(FlowCalHighSetting,MATCH(N192,FlowCalNumber,0),1,1))),INDEX(FlowCalConstA,MATCH(N192,FlowCalNumber,0),1,1)*P197^INDEX(FlowCalConstB,MATCH(N192,FlowCalNumber,0),1,1)," ")</f>
        <v>#N/A</v>
      </c>
      <c r="R197" s="33"/>
      <c r="S197" s="242">
        <f t="shared" si="188"/>
        <v>1</v>
      </c>
      <c r="T197" s="241" t="e">
        <f t="shared" ca="1" si="189"/>
        <v>#VALUE!</v>
      </c>
      <c r="U197" s="244" t="e">
        <f ca="1">IF(AND(INDEX(FlowCalConstA,MATCH(R192,FlowCalNumber,0),1,1)*T197^INDEX(FlowCalConstB,MATCH(R192,FlowCalNumber,0),1,1)&gt;INDEX(FlowCalLowSetting,MATCH(R192,FlowCalNumber,0),1,1), (INDEX(FlowCalConstA,MATCH(R192,FlowCalNumber,0),1,1)*T197^INDEX(FlowCalConstB,MATCH(R192,FlowCalNumber,0),1,1)&lt;INDEX(FlowCalHighSetting,MATCH(R192,FlowCalNumber,0),1,1))),INDEX(FlowCalConstA,MATCH(R192,FlowCalNumber,0),1,1)*T197^INDEX(FlowCalConstB,MATCH(R192,FlowCalNumber,0),1,1)," ")</f>
        <v>#N/A</v>
      </c>
      <c r="V197" s="33"/>
      <c r="W197" s="242">
        <f t="shared" si="190"/>
        <v>0.1</v>
      </c>
      <c r="X197" s="241" t="e">
        <f t="shared" ca="1" si="191"/>
        <v>#VALUE!</v>
      </c>
      <c r="Y197" s="243" t="e">
        <f ca="1">IF(AND(INDEX(FlowCalConstA,MATCH(V192,FlowCalNumber,0),1,1)*X197^INDEX(FlowCalConstB,MATCH(V192,FlowCalNumber,0),1,1)&gt;INDEX(FlowCalLowSetting,MATCH(V192,FlowCalNumber,0),1,1), (INDEX(FlowCalConstA,MATCH(V192,FlowCalNumber,0),1,1)*X197^INDEX(FlowCalConstB,MATCH(V192,FlowCalNumber,0),1,1)&lt;INDEX(FlowCalHighSetting,MATCH(V192,FlowCalNumber,0),1,1))),INDEX(FlowCalConstA,MATCH(V192,FlowCalNumber,0),1,1)*X197^INDEX(FlowCalConstB,MATCH(V192,FlowCalNumber,0),1,1)," ")</f>
        <v>#N/A</v>
      </c>
      <c r="Z197" s="33"/>
      <c r="AA197" s="242">
        <f t="shared" si="192"/>
        <v>0.9</v>
      </c>
      <c r="AB197" s="241" t="e">
        <f t="shared" ca="1" si="193"/>
        <v>#VALUE!</v>
      </c>
      <c r="AC197" s="243" t="e">
        <f ca="1">IF(AND(INDEX(FlowCalConstA,MATCH(Z192,FlowCalNumber,0),1,1)*AB197^INDEX(FlowCalConstB,MATCH(Z192,FlowCalNumber,0),1,1)&gt;INDEX(FlowCalLowSetting,MATCH(Z192,FlowCalNumber,0),1,1), (INDEX(FlowCalConstA,MATCH(Z192,FlowCalNumber,0),1,1)*AB197^INDEX(FlowCalConstB,MATCH(Z192,FlowCalNumber,0),1,1)&lt;INDEX(FlowCalHighSetting,MATCH(Z192,FlowCalNumber,0),1,1))),INDEX(FlowCalConstA,MATCH(Z192,FlowCalNumber,0),1,1)*AB197^INDEX(FlowCalConstB,MATCH(Z192,FlowCalNumber,0),1,1)," ")</f>
        <v>#N/A</v>
      </c>
      <c r="AD197" s="33"/>
      <c r="AE197" s="242">
        <f t="shared" si="194"/>
        <v>0.1</v>
      </c>
      <c r="AF197" s="241" t="e">
        <f t="shared" ca="1" si="195"/>
        <v>#VALUE!</v>
      </c>
      <c r="AG197" s="243" t="e">
        <f ca="1">IF(AND(INDEX(FlowCalConstA,MATCH(AD192,FlowCalNumber,0),1,1)*AF197^INDEX(FlowCalConstB,MATCH(AD192,FlowCalNumber,0),1,1)&gt;INDEX(FlowCalLowSetting,MATCH(AD192,FlowCalNumber,0),1,1), (INDEX(FlowCalConstA,MATCH(AD192,FlowCalNumber,0),1,1)*AF197^INDEX(FlowCalConstB,MATCH(AD192,FlowCalNumber,0),1,1)&lt;INDEX(FlowCalHighSetting,MATCH(AD192,FlowCalNumber,0),1,1))),INDEX(FlowCalConstA,MATCH(AD192,FlowCalNumber,0),1,1)*AF197^INDEX(FlowCalConstB,MATCH(AD192,FlowCalNumber,0),1,1)," ")</f>
        <v>#N/A</v>
      </c>
      <c r="AH197" s="33"/>
      <c r="AI197" s="242">
        <f t="shared" si="196"/>
        <v>0.9</v>
      </c>
      <c r="AJ197" s="241" t="e">
        <f t="shared" ca="1" si="197"/>
        <v>#VALUE!</v>
      </c>
      <c r="AK197" s="243" t="e">
        <f ca="1">IF(AND(INDEX(FlowCalConstA,MATCH(AH192,FlowCalNumber,0),1,1)*AJ197^INDEX(FlowCalConstB,MATCH(AH192,FlowCalNumber,0),1,1)&gt;INDEX(FlowCalLowSetting,MATCH(AH192,FlowCalNumber,0),1,1), (INDEX(FlowCalConstA,MATCH(AH192,FlowCalNumber,0),1,1)*AJ197^INDEX(FlowCalConstB,MATCH(AH192,FlowCalNumber,0),1,1)&lt;INDEX(FlowCalHighSetting,MATCH(AH192,FlowCalNumber,0),1,1))),INDEX(FlowCalConstA,MATCH(AH192,FlowCalNumber,0),1,1)*AJ197^INDEX(FlowCalConstB,MATCH(AH192,FlowCalNumber,0),1,1)," ")</f>
        <v>#N/A</v>
      </c>
      <c r="AL197" s="33"/>
      <c r="AM197" s="242"/>
      <c r="AN197" s="241"/>
      <c r="AO197" s="244"/>
      <c r="AQ197" s="242"/>
      <c r="AR197" s="241"/>
      <c r="AS197" s="244"/>
      <c r="AT197" s="33"/>
      <c r="AU197" s="242"/>
      <c r="AV197" s="241"/>
      <c r="AW197" s="244"/>
      <c r="AX197" s="33"/>
      <c r="AY197" s="242"/>
      <c r="AZ197" s="241"/>
      <c r="BA197" s="244"/>
      <c r="BB197" s="33"/>
      <c r="BC197" s="242"/>
      <c r="BD197" s="241"/>
      <c r="BE197" s="244"/>
      <c r="BF197" s="33"/>
      <c r="BG197" s="242"/>
      <c r="BH197" s="241"/>
      <c r="BI197" s="244"/>
      <c r="BJ197" s="33"/>
      <c r="BK197" s="242"/>
      <c r="BL197" s="241"/>
      <c r="BM197" s="244"/>
      <c r="BN197" s="33"/>
      <c r="BO197" s="242"/>
      <c r="BP197" s="241"/>
      <c r="BQ197" s="244"/>
      <c r="BR197" s="33"/>
      <c r="BS197" s="242"/>
      <c r="BT197" s="241"/>
      <c r="BU197" s="244"/>
      <c r="BV197" s="33"/>
      <c r="BW197" s="242"/>
      <c r="BX197" s="241"/>
      <c r="BY197" s="244"/>
      <c r="BZ197" s="33"/>
      <c r="CA197" s="242"/>
      <c r="CB197" s="241"/>
      <c r="CC197" s="244"/>
      <c r="CD197" s="243"/>
      <c r="CE197" s="243"/>
      <c r="CF197" s="243"/>
      <c r="CG197" s="243"/>
      <c r="CH197" s="243"/>
      <c r="CI197" s="243"/>
      <c r="CJ197" s="243"/>
      <c r="CK197" s="243"/>
      <c r="CL197" s="243"/>
      <c r="CM197" s="243"/>
      <c r="CN197" s="243"/>
      <c r="CO197" s="243"/>
      <c r="CP197" s="243"/>
      <c r="CQ197" s="243"/>
      <c r="CR197" s="243"/>
      <c r="CS197" s="243"/>
      <c r="CT197" s="243"/>
      <c r="CU197" s="243"/>
      <c r="CV197" s="243"/>
      <c r="CW197" s="243"/>
      <c r="CX197" s="243"/>
      <c r="CY197" s="243"/>
      <c r="CZ197" s="243"/>
      <c r="DA197" s="243"/>
      <c r="DB197" s="243"/>
      <c r="DC197" s="243"/>
      <c r="DD197" s="243"/>
      <c r="DE197" s="243"/>
      <c r="DF197" s="243"/>
      <c r="DG197" s="243"/>
      <c r="DH197" s="243"/>
      <c r="DI197" s="243"/>
      <c r="DJ197" s="243"/>
      <c r="DK197" s="243"/>
      <c r="DM197" s="242"/>
      <c r="DO197" s="243"/>
      <c r="DQ197" s="242"/>
      <c r="DS197" s="243"/>
      <c r="DU197" s="242"/>
      <c r="DW197" s="243"/>
      <c r="DY197" s="242"/>
      <c r="EA197" s="243"/>
    </row>
    <row r="198" spans="1:131">
      <c r="A198" s="20"/>
      <c r="B198" s="124" t="str">
        <f t="shared" si="182"/>
        <v/>
      </c>
      <c r="C198" s="235"/>
      <c r="D198" s="24">
        <f>'1% Wind'!$M$87</f>
        <v>13.5</v>
      </c>
      <c r="E198" s="90"/>
      <c r="F198" s="90"/>
      <c r="G198" s="79">
        <f ca="1">IF(I192=0.9743,$G197,MAX(G197/D197*D198,2))</f>
        <v>6.001707317073171</v>
      </c>
      <c r="H198" s="121" t="e">
        <f t="shared" ca="1" si="183"/>
        <v>#VALUE!</v>
      </c>
      <c r="J198" s="33"/>
      <c r="K198" s="242">
        <f t="shared" si="184"/>
        <v>1</v>
      </c>
      <c r="L198" s="241" t="e">
        <f t="shared" ca="1" si="185"/>
        <v>#VALUE!</v>
      </c>
      <c r="M198" s="243" t="e">
        <f ca="1">IF(AND(INDEX(FlowCalConstA,MATCH(J192,FlowCalNumber,0),1,1)*L198^INDEX(FlowCalConstB,MATCH(J192,FlowCalNumber,0),1,1)&gt;INDEX(FlowCalLowSetting,MATCH(J192,FlowCalNumber,0),1,1), (INDEX(FlowCalConstA,MATCH(J192,FlowCalNumber,0),1,1)*L198^INDEX(FlowCalConstB,MATCH(J192,FlowCalNumber,0),1,1)&lt;INDEX(FlowCalHighSetting,MATCH(J192,FlowCalNumber,0),1,1))),INDEX(FlowCalConstA,MATCH(J192,FlowCalNumber,0),1,1)*L198^INDEX(FlowCalConstB,MATCH(J192,FlowCalNumber,0),1,1)," ")</f>
        <v>#N/A</v>
      </c>
      <c r="N198" s="33"/>
      <c r="O198" s="242">
        <f t="shared" si="186"/>
        <v>1</v>
      </c>
      <c r="P198" s="241" t="e">
        <f t="shared" ca="1" si="187"/>
        <v>#VALUE!</v>
      </c>
      <c r="Q198" s="243" t="e">
        <f ca="1">IF(AND(INDEX(FlowCalConstA,MATCH(N192,FlowCalNumber,0),1,1)*P198^INDEX(FlowCalConstB,MATCH(N192,FlowCalNumber,0),1,1)&gt;INDEX(FlowCalLowSetting,MATCH(N192,FlowCalNumber,0),1,1), (INDEX(FlowCalConstA,MATCH(N192,FlowCalNumber,0),1,1)*P198^INDEX(FlowCalConstB,MATCH(N192,FlowCalNumber,0),1,1)&lt;INDEX(FlowCalHighSetting,MATCH(N192,FlowCalNumber,0),1,1))),INDEX(FlowCalConstA,MATCH(N192,FlowCalNumber,0),1,1)*P198^INDEX(FlowCalConstB,MATCH(N192,FlowCalNumber,0),1,1)," ")</f>
        <v>#N/A</v>
      </c>
      <c r="R198" s="33"/>
      <c r="S198" s="242">
        <f t="shared" si="188"/>
        <v>1</v>
      </c>
      <c r="T198" s="241" t="e">
        <f t="shared" ca="1" si="189"/>
        <v>#VALUE!</v>
      </c>
      <c r="U198" s="244" t="e">
        <f ca="1">IF(AND(INDEX(FlowCalConstA,MATCH(R192,FlowCalNumber,0),1,1)*T198^INDEX(FlowCalConstB,MATCH(R192,FlowCalNumber,0),1,1)&gt;INDEX(FlowCalLowSetting,MATCH(R192,FlowCalNumber,0),1,1), (INDEX(FlowCalConstA,MATCH(R192,FlowCalNumber,0),1,1)*T198^INDEX(FlowCalConstB,MATCH(R192,FlowCalNumber,0),1,1)&lt;INDEX(FlowCalHighSetting,MATCH(R192,FlowCalNumber,0),1,1))),INDEX(FlowCalConstA,MATCH(R192,FlowCalNumber,0),1,1)*T198^INDEX(FlowCalConstB,MATCH(R192,FlowCalNumber,0),1,1)," ")</f>
        <v>#N/A</v>
      </c>
      <c r="V198" s="33"/>
      <c r="W198" s="242">
        <f t="shared" si="190"/>
        <v>0.1</v>
      </c>
      <c r="X198" s="241" t="e">
        <f t="shared" ca="1" si="191"/>
        <v>#VALUE!</v>
      </c>
      <c r="Y198" s="243" t="e">
        <f ca="1">IF(AND(INDEX(FlowCalConstA,MATCH(V192,FlowCalNumber,0),1,1)*X198^INDEX(FlowCalConstB,MATCH(V192,FlowCalNumber,0),1,1)&gt;INDEX(FlowCalLowSetting,MATCH(V192,FlowCalNumber,0),1,1), (INDEX(FlowCalConstA,MATCH(V192,FlowCalNumber,0),1,1)*X198^INDEX(FlowCalConstB,MATCH(V192,FlowCalNumber,0),1,1)&lt;INDEX(FlowCalHighSetting,MATCH(V192,FlowCalNumber,0),1,1))),INDEX(FlowCalConstA,MATCH(V192,FlowCalNumber,0),1,1)*X198^INDEX(FlowCalConstB,MATCH(V192,FlowCalNumber,0),1,1)," ")</f>
        <v>#N/A</v>
      </c>
      <c r="Z198" s="33"/>
      <c r="AA198" s="242">
        <f t="shared" si="192"/>
        <v>0.9</v>
      </c>
      <c r="AB198" s="241" t="e">
        <f t="shared" ca="1" si="193"/>
        <v>#VALUE!</v>
      </c>
      <c r="AC198" s="243" t="e">
        <f ca="1">IF(AND(INDEX(FlowCalConstA,MATCH(Z192,FlowCalNumber,0),1,1)*AB198^INDEX(FlowCalConstB,MATCH(Z192,FlowCalNumber,0),1,1)&gt;INDEX(FlowCalLowSetting,MATCH(Z192,FlowCalNumber,0),1,1), (INDEX(FlowCalConstA,MATCH(Z192,FlowCalNumber,0),1,1)*AB198^INDEX(FlowCalConstB,MATCH(Z192,FlowCalNumber,0),1,1)&lt;INDEX(FlowCalHighSetting,MATCH(Z192,FlowCalNumber,0),1,1))),INDEX(FlowCalConstA,MATCH(Z192,FlowCalNumber,0),1,1)*AB198^INDEX(FlowCalConstB,MATCH(Z192,FlowCalNumber,0),1,1)," ")</f>
        <v>#N/A</v>
      </c>
      <c r="AD198" s="33"/>
      <c r="AE198" s="242">
        <f t="shared" si="194"/>
        <v>0.1</v>
      </c>
      <c r="AF198" s="241" t="e">
        <f t="shared" ca="1" si="195"/>
        <v>#VALUE!</v>
      </c>
      <c r="AG198" s="243" t="e">
        <f ca="1">IF(AND(INDEX(FlowCalConstA,MATCH(AD192,FlowCalNumber,0),1,1)*AF198^INDEX(FlowCalConstB,MATCH(AD192,FlowCalNumber,0),1,1)&gt;INDEX(FlowCalLowSetting,MATCH(AD192,FlowCalNumber,0),1,1), (INDEX(FlowCalConstA,MATCH(AD192,FlowCalNumber,0),1,1)*AF198^INDEX(FlowCalConstB,MATCH(AD192,FlowCalNumber,0),1,1)&lt;INDEX(FlowCalHighSetting,MATCH(AD192,FlowCalNumber,0),1,1))),INDEX(FlowCalConstA,MATCH(AD192,FlowCalNumber,0),1,1)*AF198^INDEX(FlowCalConstB,MATCH(AD192,FlowCalNumber,0),1,1)," ")</f>
        <v>#N/A</v>
      </c>
      <c r="AH198" s="33"/>
      <c r="AI198" s="242">
        <f t="shared" si="196"/>
        <v>0.9</v>
      </c>
      <c r="AJ198" s="241" t="e">
        <f t="shared" ca="1" si="197"/>
        <v>#VALUE!</v>
      </c>
      <c r="AK198" s="243" t="e">
        <f ca="1">IF(AND(INDEX(FlowCalConstA,MATCH(AH192,FlowCalNumber,0),1,1)*AJ198^INDEX(FlowCalConstB,MATCH(AH192,FlowCalNumber,0),1,1)&gt;INDEX(FlowCalLowSetting,MATCH(AH192,FlowCalNumber,0),1,1), (INDEX(FlowCalConstA,MATCH(AH192,FlowCalNumber,0),1,1)*AJ198^INDEX(FlowCalConstB,MATCH(AH192,FlowCalNumber,0),1,1)&lt;INDEX(FlowCalHighSetting,MATCH(AH192,FlowCalNumber,0),1,1))),INDEX(FlowCalConstA,MATCH(AH192,FlowCalNumber,0),1,1)*AJ198^INDEX(FlowCalConstB,MATCH(AH192,FlowCalNumber,0),1,1)," ")</f>
        <v>#N/A</v>
      </c>
      <c r="AL198" s="33"/>
      <c r="AM198" s="242"/>
      <c r="AN198" s="241"/>
      <c r="AO198" s="244"/>
      <c r="AQ198" s="242"/>
      <c r="AR198" s="241"/>
      <c r="AS198" s="244"/>
      <c r="AT198" s="33"/>
      <c r="AU198" s="242"/>
      <c r="AV198" s="241"/>
      <c r="AW198" s="244"/>
      <c r="AX198" s="33"/>
      <c r="AY198" s="242"/>
      <c r="AZ198" s="241"/>
      <c r="BA198" s="244"/>
      <c r="BB198" s="33"/>
      <c r="BC198" s="242"/>
      <c r="BD198" s="241"/>
      <c r="BE198" s="244"/>
      <c r="BF198" s="33"/>
      <c r="BG198" s="242"/>
      <c r="BH198" s="241"/>
      <c r="BI198" s="244"/>
      <c r="BJ198" s="33"/>
      <c r="BK198" s="242"/>
      <c r="BL198" s="241"/>
      <c r="BM198" s="244"/>
      <c r="BN198" s="33"/>
      <c r="BO198" s="242"/>
      <c r="BP198" s="241"/>
      <c r="BQ198" s="244"/>
      <c r="BR198" s="33"/>
      <c r="BS198" s="242"/>
      <c r="BT198" s="241"/>
      <c r="BU198" s="244"/>
      <c r="BV198" s="33"/>
      <c r="BW198" s="242"/>
      <c r="BX198" s="241"/>
      <c r="BY198" s="244"/>
      <c r="BZ198" s="33"/>
      <c r="CA198" s="242"/>
      <c r="CB198" s="241"/>
      <c r="CC198" s="244"/>
      <c r="CD198" s="243"/>
      <c r="CE198" s="243"/>
      <c r="CF198" s="243"/>
      <c r="CG198" s="243"/>
      <c r="CH198" s="243"/>
      <c r="CI198" s="243"/>
      <c r="CJ198" s="243"/>
      <c r="CK198" s="243"/>
      <c r="CL198" s="243"/>
      <c r="CM198" s="243"/>
      <c r="CN198" s="243"/>
      <c r="CO198" s="243"/>
      <c r="CP198" s="243"/>
      <c r="CQ198" s="243"/>
      <c r="CR198" s="243"/>
      <c r="CS198" s="243"/>
      <c r="CT198" s="243"/>
      <c r="CU198" s="243"/>
      <c r="CV198" s="243"/>
      <c r="CW198" s="243"/>
      <c r="CX198" s="243"/>
      <c r="CY198" s="243"/>
      <c r="CZ198" s="243"/>
      <c r="DA198" s="243"/>
      <c r="DB198" s="243"/>
      <c r="DC198" s="243"/>
      <c r="DD198" s="243"/>
      <c r="DE198" s="243"/>
      <c r="DF198" s="243"/>
      <c r="DG198" s="243"/>
      <c r="DH198" s="243"/>
      <c r="DI198" s="243"/>
      <c r="DJ198" s="243"/>
      <c r="DK198" s="243"/>
      <c r="DM198" s="242"/>
      <c r="DO198" s="243"/>
      <c r="DQ198" s="242"/>
      <c r="DS198" s="243"/>
      <c r="DU198" s="242"/>
      <c r="DW198" s="243"/>
      <c r="DY198" s="242"/>
      <c r="EA198" s="243"/>
    </row>
    <row r="199" spans="1:131">
      <c r="A199" s="20"/>
      <c r="B199" s="124" t="str">
        <f t="shared" si="182"/>
        <v/>
      </c>
      <c r="C199" s="235"/>
      <c r="D199" s="24">
        <f>'1% Wind'!$M$88</f>
        <v>10.1</v>
      </c>
      <c r="E199" s="90"/>
      <c r="F199" s="90"/>
      <c r="G199" s="79">
        <f ca="1">IF(I192=0.9743,$G198,MAX(G198/D198*D199,2))</f>
        <v>6.001707317073171</v>
      </c>
      <c r="H199" s="121" t="e">
        <f t="shared" ca="1" si="183"/>
        <v>#VALUE!</v>
      </c>
      <c r="J199" s="33"/>
      <c r="K199" s="242">
        <f t="shared" si="184"/>
        <v>1</v>
      </c>
      <c r="L199" s="241" t="e">
        <f t="shared" ca="1" si="185"/>
        <v>#VALUE!</v>
      </c>
      <c r="M199" s="243" t="e">
        <f ca="1">IF(AND(INDEX(FlowCalConstA,MATCH(J192,FlowCalNumber,0),1,1)*L199^INDEX(FlowCalConstB,MATCH(J192,FlowCalNumber,0),1,1)&gt;INDEX(FlowCalLowSetting,MATCH(J192,FlowCalNumber,0),1,1), (INDEX(FlowCalConstA,MATCH(J192,FlowCalNumber,0),1,1)*L199^INDEX(FlowCalConstB,MATCH(J192,FlowCalNumber,0),1,1)&lt;INDEX(FlowCalHighSetting,MATCH(J192,FlowCalNumber,0),1,1))),INDEX(FlowCalConstA,MATCH(J192,FlowCalNumber,0),1,1)*L199^INDEX(FlowCalConstB,MATCH(J192,FlowCalNumber,0),1,1)," ")</f>
        <v>#N/A</v>
      </c>
      <c r="N199" s="33"/>
      <c r="O199" s="242">
        <f t="shared" si="186"/>
        <v>1</v>
      </c>
      <c r="P199" s="241" t="e">
        <f t="shared" ca="1" si="187"/>
        <v>#VALUE!</v>
      </c>
      <c r="Q199" s="243" t="e">
        <f ca="1">IF(AND(INDEX(FlowCalConstA,MATCH(N192,FlowCalNumber,0),1,1)*P199^INDEX(FlowCalConstB,MATCH(N192,FlowCalNumber,0),1,1)&gt;INDEX(FlowCalLowSetting,MATCH(N192,FlowCalNumber,0),1,1), (INDEX(FlowCalConstA,MATCH(N192,FlowCalNumber,0),1,1)*P199^INDEX(FlowCalConstB,MATCH(N192,FlowCalNumber,0),1,1)&lt;INDEX(FlowCalHighSetting,MATCH(N192,FlowCalNumber,0),1,1))),INDEX(FlowCalConstA,MATCH(N192,FlowCalNumber,0),1,1)*P199^INDEX(FlowCalConstB,MATCH(N192,FlowCalNumber,0),1,1)," ")</f>
        <v>#N/A</v>
      </c>
      <c r="R199" s="33"/>
      <c r="S199" s="242">
        <f t="shared" si="188"/>
        <v>1</v>
      </c>
      <c r="T199" s="241" t="e">
        <f t="shared" ca="1" si="189"/>
        <v>#VALUE!</v>
      </c>
      <c r="U199" s="244" t="e">
        <f ca="1">IF(AND(INDEX(FlowCalConstA,MATCH(R192,FlowCalNumber,0),1,1)*T199^INDEX(FlowCalConstB,MATCH(R192,FlowCalNumber,0),1,1)&gt;INDEX(FlowCalLowSetting,MATCH(R192,FlowCalNumber,0),1,1), (INDEX(FlowCalConstA,MATCH(R192,FlowCalNumber,0),1,1)*T199^INDEX(FlowCalConstB,MATCH(R192,FlowCalNumber,0),1,1)&lt;INDEX(FlowCalHighSetting,MATCH(R192,FlowCalNumber,0),1,1))),INDEX(FlowCalConstA,MATCH(R192,FlowCalNumber,0),1,1)*T199^INDEX(FlowCalConstB,MATCH(R192,FlowCalNumber,0),1,1)," ")</f>
        <v>#N/A</v>
      </c>
      <c r="V199" s="33"/>
      <c r="W199" s="242">
        <f t="shared" si="190"/>
        <v>0.1</v>
      </c>
      <c r="X199" s="241" t="e">
        <f t="shared" ca="1" si="191"/>
        <v>#VALUE!</v>
      </c>
      <c r="Y199" s="243" t="e">
        <f ca="1">IF(AND(INDEX(FlowCalConstA,MATCH(V192,FlowCalNumber,0),1,1)*X199^INDEX(FlowCalConstB,MATCH(V192,FlowCalNumber,0),1,1)&gt;INDEX(FlowCalLowSetting,MATCH(V192,FlowCalNumber,0),1,1), (INDEX(FlowCalConstA,MATCH(V192,FlowCalNumber,0),1,1)*X199^INDEX(FlowCalConstB,MATCH(V192,FlowCalNumber,0),1,1)&lt;INDEX(FlowCalHighSetting,MATCH(V192,FlowCalNumber,0),1,1))),INDEX(FlowCalConstA,MATCH(V192,FlowCalNumber,0),1,1)*X199^INDEX(FlowCalConstB,MATCH(V192,FlowCalNumber,0),1,1)," ")</f>
        <v>#N/A</v>
      </c>
      <c r="Z199" s="33"/>
      <c r="AA199" s="242">
        <f t="shared" si="192"/>
        <v>0.9</v>
      </c>
      <c r="AB199" s="241" t="e">
        <f t="shared" ca="1" si="193"/>
        <v>#VALUE!</v>
      </c>
      <c r="AC199" s="243" t="e">
        <f ca="1">IF(AND(INDEX(FlowCalConstA,MATCH(Z192,FlowCalNumber,0),1,1)*AB199^INDEX(FlowCalConstB,MATCH(Z192,FlowCalNumber,0),1,1)&gt;INDEX(FlowCalLowSetting,MATCH(Z192,FlowCalNumber,0),1,1), (INDEX(FlowCalConstA,MATCH(Z192,FlowCalNumber,0),1,1)*AB199^INDEX(FlowCalConstB,MATCH(Z192,FlowCalNumber,0),1,1)&lt;INDEX(FlowCalHighSetting,MATCH(Z192,FlowCalNumber,0),1,1))),INDEX(FlowCalConstA,MATCH(Z192,FlowCalNumber,0),1,1)*AB199^INDEX(FlowCalConstB,MATCH(Z192,FlowCalNumber,0),1,1)," ")</f>
        <v>#N/A</v>
      </c>
      <c r="AD199" s="33"/>
      <c r="AE199" s="242">
        <f t="shared" si="194"/>
        <v>0.1</v>
      </c>
      <c r="AF199" s="241" t="e">
        <f t="shared" ca="1" si="195"/>
        <v>#VALUE!</v>
      </c>
      <c r="AG199" s="243" t="e">
        <f ca="1">IF(AND(INDEX(FlowCalConstA,MATCH(AD192,FlowCalNumber,0),1,1)*AF199^INDEX(FlowCalConstB,MATCH(AD192,FlowCalNumber,0),1,1)&gt;INDEX(FlowCalLowSetting,MATCH(AD192,FlowCalNumber,0),1,1), (INDEX(FlowCalConstA,MATCH(AD192,FlowCalNumber,0),1,1)*AF199^INDEX(FlowCalConstB,MATCH(AD192,FlowCalNumber,0),1,1)&lt;INDEX(FlowCalHighSetting,MATCH(AD192,FlowCalNumber,0),1,1))),INDEX(FlowCalConstA,MATCH(AD192,FlowCalNumber,0),1,1)*AF199^INDEX(FlowCalConstB,MATCH(AD192,FlowCalNumber,0),1,1)," ")</f>
        <v>#N/A</v>
      </c>
      <c r="AH199" s="33"/>
      <c r="AI199" s="242">
        <f t="shared" si="196"/>
        <v>0.9</v>
      </c>
      <c r="AJ199" s="241" t="e">
        <f t="shared" ca="1" si="197"/>
        <v>#VALUE!</v>
      </c>
      <c r="AK199" s="243" t="e">
        <f ca="1">IF(AND(INDEX(FlowCalConstA,MATCH(AH192,FlowCalNumber,0),1,1)*AJ199^INDEX(FlowCalConstB,MATCH(AH192,FlowCalNumber,0),1,1)&gt;INDEX(FlowCalLowSetting,MATCH(AH192,FlowCalNumber,0),1,1), (INDEX(FlowCalConstA,MATCH(AH192,FlowCalNumber,0),1,1)*AJ199^INDEX(FlowCalConstB,MATCH(AH192,FlowCalNumber,0),1,1)&lt;INDEX(FlowCalHighSetting,MATCH(AH192,FlowCalNumber,0),1,1))),INDEX(FlowCalConstA,MATCH(AH192,FlowCalNumber,0),1,1)*AJ199^INDEX(FlowCalConstB,MATCH(AH192,FlowCalNumber,0),1,1)," ")</f>
        <v>#N/A</v>
      </c>
      <c r="AL199" s="33"/>
      <c r="AM199" s="242"/>
      <c r="AN199" s="241"/>
      <c r="AO199" s="244"/>
      <c r="AQ199" s="242"/>
      <c r="AR199" s="241"/>
      <c r="AS199" s="244"/>
      <c r="AT199" s="33"/>
      <c r="AU199" s="242"/>
      <c r="AV199" s="241"/>
      <c r="AW199" s="244"/>
      <c r="AX199" s="33"/>
      <c r="AY199" s="242"/>
      <c r="AZ199" s="241"/>
      <c r="BA199" s="244"/>
      <c r="BB199" s="33"/>
      <c r="BC199" s="242"/>
      <c r="BD199" s="241"/>
      <c r="BE199" s="244"/>
      <c r="BF199" s="33"/>
      <c r="BG199" s="242"/>
      <c r="BH199" s="241"/>
      <c r="BI199" s="244"/>
      <c r="BJ199" s="33"/>
      <c r="BK199" s="242"/>
      <c r="BL199" s="241"/>
      <c r="BM199" s="244"/>
      <c r="BN199" s="33"/>
      <c r="BO199" s="242"/>
      <c r="BP199" s="241"/>
      <c r="BQ199" s="244"/>
      <c r="BR199" s="33"/>
      <c r="BS199" s="242"/>
      <c r="BT199" s="241"/>
      <c r="BU199" s="244"/>
      <c r="BV199" s="33"/>
      <c r="BW199" s="242"/>
      <c r="BX199" s="241"/>
      <c r="BY199" s="244"/>
      <c r="BZ199" s="33"/>
      <c r="CA199" s="242"/>
      <c r="CB199" s="241"/>
      <c r="CC199" s="244"/>
      <c r="CD199" s="243"/>
      <c r="CE199" s="243"/>
      <c r="CF199" s="243"/>
      <c r="CG199" s="243"/>
      <c r="CH199" s="243"/>
      <c r="CI199" s="243"/>
      <c r="CJ199" s="243"/>
      <c r="CK199" s="243"/>
      <c r="CL199" s="243"/>
      <c r="CM199" s="243"/>
      <c r="CN199" s="243"/>
      <c r="CO199" s="243"/>
      <c r="CP199" s="243"/>
      <c r="CQ199" s="243"/>
      <c r="CR199" s="243"/>
      <c r="CS199" s="243"/>
      <c r="CT199" s="243"/>
      <c r="CU199" s="243"/>
      <c r="CV199" s="243"/>
      <c r="CW199" s="243"/>
      <c r="CX199" s="243"/>
      <c r="CY199" s="243"/>
      <c r="CZ199" s="243"/>
      <c r="DA199" s="243"/>
      <c r="DB199" s="243"/>
      <c r="DC199" s="243"/>
      <c r="DD199" s="243"/>
      <c r="DE199" s="243"/>
      <c r="DF199" s="243"/>
      <c r="DG199" s="243"/>
      <c r="DH199" s="243"/>
      <c r="DI199" s="243"/>
      <c r="DJ199" s="243"/>
      <c r="DK199" s="243"/>
      <c r="DM199" s="242"/>
      <c r="DO199" s="243"/>
      <c r="DQ199" s="242"/>
      <c r="DS199" s="243"/>
      <c r="DU199" s="242"/>
      <c r="DW199" s="243"/>
      <c r="DY199" s="242"/>
      <c r="EA199" s="243"/>
    </row>
    <row r="200" spans="1:131">
      <c r="A200" s="20"/>
      <c r="B200" s="124" t="str">
        <f t="shared" si="182"/>
        <v/>
      </c>
      <c r="C200" s="235"/>
      <c r="D200" s="24">
        <f>'1% Wind'!$M$89</f>
        <v>7.6</v>
      </c>
      <c r="E200" s="90"/>
      <c r="F200" s="90"/>
      <c r="G200" s="79">
        <f ca="1">IF(I192=0.9743,$G199,MAX(G199/D199*D200,2))</f>
        <v>6.001707317073171</v>
      </c>
      <c r="H200" s="121" t="e">
        <f t="shared" ca="1" si="183"/>
        <v>#VALUE!</v>
      </c>
      <c r="J200" s="33"/>
      <c r="K200" s="242">
        <f t="shared" si="184"/>
        <v>1</v>
      </c>
      <c r="L200" s="241" t="e">
        <f t="shared" ca="1" si="185"/>
        <v>#VALUE!</v>
      </c>
      <c r="M200" s="243" t="e">
        <f ca="1">IF(AND(INDEX(FlowCalConstA,MATCH(J192,FlowCalNumber,0),1,1)*L200^INDEX(FlowCalConstB,MATCH(J192,FlowCalNumber,0),1,1)&gt;INDEX(FlowCalLowSetting,MATCH(J192,FlowCalNumber,0),1,1), (INDEX(FlowCalConstA,MATCH(J192,FlowCalNumber,0),1,1)*L200^INDEX(FlowCalConstB,MATCH(J192,FlowCalNumber,0),1,1)&lt;INDEX(FlowCalHighSetting,MATCH(J192,FlowCalNumber,0),1,1))),INDEX(FlowCalConstA,MATCH(J192,FlowCalNumber,0),1,1)*L200^INDEX(FlowCalConstB,MATCH(J192,FlowCalNumber,0),1,1)," ")</f>
        <v>#N/A</v>
      </c>
      <c r="N200" s="33"/>
      <c r="O200" s="242">
        <f t="shared" si="186"/>
        <v>1</v>
      </c>
      <c r="P200" s="241" t="e">
        <f t="shared" ca="1" si="187"/>
        <v>#VALUE!</v>
      </c>
      <c r="Q200" s="243" t="e">
        <f ca="1">IF(AND(INDEX(FlowCalConstA,MATCH(N192,FlowCalNumber,0),1,1)*P200^INDEX(FlowCalConstB,MATCH(N192,FlowCalNumber,0),1,1)&gt;INDEX(FlowCalLowSetting,MATCH(N192,FlowCalNumber,0),1,1), (INDEX(FlowCalConstA,MATCH(N192,FlowCalNumber,0),1,1)*P200^INDEX(FlowCalConstB,MATCH(N192,FlowCalNumber,0),1,1)&lt;INDEX(FlowCalHighSetting,MATCH(N192,FlowCalNumber,0),1,1))),INDEX(FlowCalConstA,MATCH(N192,FlowCalNumber,0),1,1)*P200^INDEX(FlowCalConstB,MATCH(N192,FlowCalNumber,0),1,1)," ")</f>
        <v>#N/A</v>
      </c>
      <c r="R200" s="33"/>
      <c r="S200" s="242">
        <f t="shared" si="188"/>
        <v>1</v>
      </c>
      <c r="T200" s="241" t="e">
        <f t="shared" ca="1" si="189"/>
        <v>#VALUE!</v>
      </c>
      <c r="U200" s="244" t="e">
        <f ca="1">IF(AND(INDEX(FlowCalConstA,MATCH(R192,FlowCalNumber,0),1,1)*T200^INDEX(FlowCalConstB,MATCH(R192,FlowCalNumber,0),1,1)&gt;INDEX(FlowCalLowSetting,MATCH(R192,FlowCalNumber,0),1,1), (INDEX(FlowCalConstA,MATCH(R192,FlowCalNumber,0),1,1)*T200^INDEX(FlowCalConstB,MATCH(R192,FlowCalNumber,0),1,1)&lt;INDEX(FlowCalHighSetting,MATCH(R192,FlowCalNumber,0),1,1))),INDEX(FlowCalConstA,MATCH(R192,FlowCalNumber,0),1,1)*T200^INDEX(FlowCalConstB,MATCH(R192,FlowCalNumber,0),1,1)," ")</f>
        <v>#N/A</v>
      </c>
      <c r="V200" s="33"/>
      <c r="W200" s="242">
        <f t="shared" si="190"/>
        <v>0.1</v>
      </c>
      <c r="X200" s="241" t="e">
        <f t="shared" ca="1" si="191"/>
        <v>#VALUE!</v>
      </c>
      <c r="Y200" s="243" t="e">
        <f ca="1">IF(AND(INDEX(FlowCalConstA,MATCH(V192,FlowCalNumber,0),1,1)*X200^INDEX(FlowCalConstB,MATCH(V192,FlowCalNumber,0),1,1)&gt;INDEX(FlowCalLowSetting,MATCH(V192,FlowCalNumber,0),1,1), (INDEX(FlowCalConstA,MATCH(V192,FlowCalNumber,0),1,1)*X200^INDEX(FlowCalConstB,MATCH(V192,FlowCalNumber,0),1,1)&lt;INDEX(FlowCalHighSetting,MATCH(V192,FlowCalNumber,0),1,1))),INDEX(FlowCalConstA,MATCH(V192,FlowCalNumber,0),1,1)*X200^INDEX(FlowCalConstB,MATCH(V192,FlowCalNumber,0),1,1)," ")</f>
        <v>#N/A</v>
      </c>
      <c r="Z200" s="33"/>
      <c r="AA200" s="242">
        <f t="shared" si="192"/>
        <v>0.9</v>
      </c>
      <c r="AB200" s="241" t="e">
        <f t="shared" ca="1" si="193"/>
        <v>#VALUE!</v>
      </c>
      <c r="AC200" s="243" t="e">
        <f ca="1">IF(AND(INDEX(FlowCalConstA,MATCH(Z192,FlowCalNumber,0),1,1)*AB200^INDEX(FlowCalConstB,MATCH(Z192,FlowCalNumber,0),1,1)&gt;INDEX(FlowCalLowSetting,MATCH(Z192,FlowCalNumber,0),1,1), (INDEX(FlowCalConstA,MATCH(Z192,FlowCalNumber,0),1,1)*AB200^INDEX(FlowCalConstB,MATCH(Z192,FlowCalNumber,0),1,1)&lt;INDEX(FlowCalHighSetting,MATCH(Z192,FlowCalNumber,0),1,1))),INDEX(FlowCalConstA,MATCH(Z192,FlowCalNumber,0),1,1)*AB200^INDEX(FlowCalConstB,MATCH(Z192,FlowCalNumber,0),1,1)," ")</f>
        <v>#N/A</v>
      </c>
      <c r="AD200" s="33"/>
      <c r="AE200" s="242">
        <f t="shared" si="194"/>
        <v>0.1</v>
      </c>
      <c r="AF200" s="241" t="e">
        <f t="shared" ca="1" si="195"/>
        <v>#VALUE!</v>
      </c>
      <c r="AG200" s="243" t="e">
        <f ca="1">IF(AND(INDEX(FlowCalConstA,MATCH(AD192,FlowCalNumber,0),1,1)*AF200^INDEX(FlowCalConstB,MATCH(AD192,FlowCalNumber,0),1,1)&gt;INDEX(FlowCalLowSetting,MATCH(AD192,FlowCalNumber,0),1,1), (INDEX(FlowCalConstA,MATCH(AD192,FlowCalNumber,0),1,1)*AF200^INDEX(FlowCalConstB,MATCH(AD192,FlowCalNumber,0),1,1)&lt;INDEX(FlowCalHighSetting,MATCH(AD192,FlowCalNumber,0),1,1))),INDEX(FlowCalConstA,MATCH(AD192,FlowCalNumber,0),1,1)*AF200^INDEX(FlowCalConstB,MATCH(AD192,FlowCalNumber,0),1,1)," ")</f>
        <v>#N/A</v>
      </c>
      <c r="AH200" s="33"/>
      <c r="AI200" s="242">
        <f t="shared" si="196"/>
        <v>0.9</v>
      </c>
      <c r="AJ200" s="241" t="e">
        <f t="shared" ca="1" si="197"/>
        <v>#VALUE!</v>
      </c>
      <c r="AK200" s="243" t="e">
        <f ca="1">IF(AND(INDEX(FlowCalConstA,MATCH(AH192,FlowCalNumber,0),1,1)*AJ200^INDEX(FlowCalConstB,MATCH(AH192,FlowCalNumber,0),1,1)&gt;INDEX(FlowCalLowSetting,MATCH(AH192,FlowCalNumber,0),1,1), (INDEX(FlowCalConstA,MATCH(AH192,FlowCalNumber,0),1,1)*AJ200^INDEX(FlowCalConstB,MATCH(AH192,FlowCalNumber,0),1,1)&lt;INDEX(FlowCalHighSetting,MATCH(AH192,FlowCalNumber,0),1,1))),INDEX(FlowCalConstA,MATCH(AH192,FlowCalNumber,0),1,1)*AJ200^INDEX(FlowCalConstB,MATCH(AH192,FlowCalNumber,0),1,1)," ")</f>
        <v>#N/A</v>
      </c>
      <c r="AL200" s="33"/>
      <c r="AM200" s="242"/>
      <c r="AN200" s="241"/>
      <c r="AO200" s="244"/>
      <c r="AQ200" s="242"/>
      <c r="AR200" s="241"/>
      <c r="AS200" s="244"/>
      <c r="AT200" s="33"/>
      <c r="AU200" s="242"/>
      <c r="AV200" s="241"/>
      <c r="AW200" s="244"/>
      <c r="AX200" s="33"/>
      <c r="AY200" s="242"/>
      <c r="AZ200" s="241"/>
      <c r="BA200" s="244"/>
      <c r="BB200" s="33"/>
      <c r="BC200" s="242"/>
      <c r="BD200" s="241"/>
      <c r="BE200" s="244"/>
      <c r="BF200" s="33"/>
      <c r="BG200" s="242"/>
      <c r="BH200" s="241"/>
      <c r="BI200" s="244"/>
      <c r="BJ200" s="33"/>
      <c r="BK200" s="242"/>
      <c r="BL200" s="241"/>
      <c r="BM200" s="244"/>
      <c r="BN200" s="33"/>
      <c r="BO200" s="242"/>
      <c r="BP200" s="241"/>
      <c r="BQ200" s="244"/>
      <c r="BR200" s="33"/>
      <c r="BS200" s="242"/>
      <c r="BT200" s="241"/>
      <c r="BU200" s="244"/>
      <c r="BV200" s="33"/>
      <c r="BW200" s="242"/>
      <c r="BX200" s="241"/>
      <c r="BY200" s="244"/>
      <c r="BZ200" s="33"/>
      <c r="CA200" s="242"/>
      <c r="CB200" s="241"/>
      <c r="CC200" s="244"/>
      <c r="CD200" s="243"/>
      <c r="CE200" s="243"/>
      <c r="CF200" s="243"/>
      <c r="CG200" s="243"/>
      <c r="CH200" s="243"/>
      <c r="CI200" s="243"/>
      <c r="CJ200" s="243"/>
      <c r="CK200" s="243"/>
      <c r="CL200" s="243"/>
      <c r="CM200" s="243"/>
      <c r="CN200" s="243"/>
      <c r="CO200" s="243"/>
      <c r="CP200" s="243"/>
      <c r="CQ200" s="243"/>
      <c r="CR200" s="243"/>
      <c r="CS200" s="243"/>
      <c r="CT200" s="243"/>
      <c r="CU200" s="243"/>
      <c r="CV200" s="243"/>
      <c r="CW200" s="243"/>
      <c r="CX200" s="243"/>
      <c r="CY200" s="243"/>
      <c r="CZ200" s="243"/>
      <c r="DA200" s="243"/>
      <c r="DB200" s="243"/>
      <c r="DC200" s="243"/>
      <c r="DD200" s="243"/>
      <c r="DE200" s="243"/>
      <c r="DF200" s="243"/>
      <c r="DG200" s="243"/>
      <c r="DH200" s="243"/>
      <c r="DI200" s="243"/>
      <c r="DJ200" s="243"/>
      <c r="DK200" s="243"/>
      <c r="DM200" s="242"/>
      <c r="DO200" s="243"/>
      <c r="DQ200" s="242"/>
      <c r="DS200" s="243"/>
      <c r="DU200" s="242"/>
      <c r="DW200" s="243"/>
      <c r="DY200" s="242"/>
      <c r="EA200" s="243"/>
    </row>
    <row r="201" spans="1:131">
      <c r="A201" s="20"/>
      <c r="B201" s="124" t="str">
        <f t="shared" si="182"/>
        <v/>
      </c>
      <c r="C201" s="235"/>
      <c r="D201" s="24">
        <f>'1% Wind'!$M$90</f>
        <v>5.7</v>
      </c>
      <c r="E201" s="90"/>
      <c r="F201" s="90"/>
      <c r="G201" s="79">
        <f ca="1">IF(I192=0.9743,$G200,MAX(G200/D200*D201,2))</f>
        <v>6.001707317073171</v>
      </c>
      <c r="H201" s="121" t="e">
        <f t="shared" ca="1" si="183"/>
        <v>#VALUE!</v>
      </c>
      <c r="J201" s="33"/>
      <c r="K201" s="242">
        <f t="shared" si="184"/>
        <v>1</v>
      </c>
      <c r="L201" s="241" t="e">
        <f t="shared" ca="1" si="185"/>
        <v>#VALUE!</v>
      </c>
      <c r="M201" s="243" t="e">
        <f ca="1">IF(AND(INDEX(FlowCalConstA,MATCH(J192,FlowCalNumber,0),1,1)*L201^INDEX(FlowCalConstB,MATCH(J192,FlowCalNumber,0),1,1)&gt;INDEX(FlowCalLowSetting,MATCH(J192,FlowCalNumber,0),1,1), (INDEX(FlowCalConstA,MATCH(J192,FlowCalNumber,0),1,1)*L201^INDEX(FlowCalConstB,MATCH(J192,FlowCalNumber,0),1,1)&lt;INDEX(FlowCalHighSetting,MATCH(J192,FlowCalNumber,0),1,1))),INDEX(FlowCalConstA,MATCH(J192,FlowCalNumber,0),1,1)*L201^INDEX(FlowCalConstB,MATCH(J192,FlowCalNumber,0),1,1)," ")</f>
        <v>#N/A</v>
      </c>
      <c r="N201" s="33"/>
      <c r="O201" s="242">
        <f t="shared" si="186"/>
        <v>1</v>
      </c>
      <c r="P201" s="241" t="e">
        <f t="shared" ca="1" si="187"/>
        <v>#VALUE!</v>
      </c>
      <c r="Q201" s="243" t="e">
        <f ca="1">IF(AND(INDEX(FlowCalConstA,MATCH(N192,FlowCalNumber,0),1,1)*P201^INDEX(FlowCalConstB,MATCH(N192,FlowCalNumber,0),1,1)&gt;INDEX(FlowCalLowSetting,MATCH(N192,FlowCalNumber,0),1,1), (INDEX(FlowCalConstA,MATCH(N192,FlowCalNumber,0),1,1)*P201^INDEX(FlowCalConstB,MATCH(N192,FlowCalNumber,0),1,1)&lt;INDEX(FlowCalHighSetting,MATCH(N192,FlowCalNumber,0),1,1))),INDEX(FlowCalConstA,MATCH(N192,FlowCalNumber,0),1,1)*P201^INDEX(FlowCalConstB,MATCH(N192,FlowCalNumber,0),1,1)," ")</f>
        <v>#N/A</v>
      </c>
      <c r="R201" s="33"/>
      <c r="S201" s="242">
        <f t="shared" si="188"/>
        <v>1</v>
      </c>
      <c r="T201" s="241" t="e">
        <f t="shared" ca="1" si="189"/>
        <v>#VALUE!</v>
      </c>
      <c r="U201" s="244" t="e">
        <f ca="1">IF(AND(INDEX(FlowCalConstA,MATCH(R192,FlowCalNumber,0),1,1)*T201^INDEX(FlowCalConstB,MATCH(R192,FlowCalNumber,0),1,1)&gt;INDEX(FlowCalLowSetting,MATCH(R192,FlowCalNumber,0),1,1), (INDEX(FlowCalConstA,MATCH(R192,FlowCalNumber,0),1,1)*T201^INDEX(FlowCalConstB,MATCH(R192,FlowCalNumber,0),1,1)&lt;INDEX(FlowCalHighSetting,MATCH(R192,FlowCalNumber,0),1,1))),INDEX(FlowCalConstA,MATCH(R192,FlowCalNumber,0),1,1)*T201^INDEX(FlowCalConstB,MATCH(R192,FlowCalNumber,0),1,1)," ")</f>
        <v>#N/A</v>
      </c>
      <c r="V201" s="33"/>
      <c r="W201" s="242">
        <f t="shared" si="190"/>
        <v>0.1</v>
      </c>
      <c r="X201" s="241" t="e">
        <f t="shared" ca="1" si="191"/>
        <v>#VALUE!</v>
      </c>
      <c r="Y201" s="243" t="e">
        <f ca="1">IF(AND(INDEX(FlowCalConstA,MATCH(V192,FlowCalNumber,0),1,1)*X201^INDEX(FlowCalConstB,MATCH(V192,FlowCalNumber,0),1,1)&gt;INDEX(FlowCalLowSetting,MATCH(V192,FlowCalNumber,0),1,1), (INDEX(FlowCalConstA,MATCH(V192,FlowCalNumber,0),1,1)*X201^INDEX(FlowCalConstB,MATCH(V192,FlowCalNumber,0),1,1)&lt;INDEX(FlowCalHighSetting,MATCH(V192,FlowCalNumber,0),1,1))),INDEX(FlowCalConstA,MATCH(V192,FlowCalNumber,0),1,1)*X201^INDEX(FlowCalConstB,MATCH(V192,FlowCalNumber,0),1,1)," ")</f>
        <v>#N/A</v>
      </c>
      <c r="Z201" s="33"/>
      <c r="AA201" s="242">
        <f t="shared" si="192"/>
        <v>0.9</v>
      </c>
      <c r="AB201" s="241" t="e">
        <f t="shared" ca="1" si="193"/>
        <v>#VALUE!</v>
      </c>
      <c r="AC201" s="243" t="e">
        <f ca="1">IF(AND(INDEX(FlowCalConstA,MATCH(Z192,FlowCalNumber,0),1,1)*AB201^INDEX(FlowCalConstB,MATCH(Z192,FlowCalNumber,0),1,1)&gt;INDEX(FlowCalLowSetting,MATCH(Z192,FlowCalNumber,0),1,1), (INDEX(FlowCalConstA,MATCH(Z192,FlowCalNumber,0),1,1)*AB201^INDEX(FlowCalConstB,MATCH(Z192,FlowCalNumber,0),1,1)&lt;INDEX(FlowCalHighSetting,MATCH(Z192,FlowCalNumber,0),1,1))),INDEX(FlowCalConstA,MATCH(Z192,FlowCalNumber,0),1,1)*AB201^INDEX(FlowCalConstB,MATCH(Z192,FlowCalNumber,0),1,1)," ")</f>
        <v>#N/A</v>
      </c>
      <c r="AD201" s="33"/>
      <c r="AE201" s="242">
        <f t="shared" si="194"/>
        <v>0.1</v>
      </c>
      <c r="AF201" s="241" t="e">
        <f t="shared" ca="1" si="195"/>
        <v>#VALUE!</v>
      </c>
      <c r="AG201" s="243" t="e">
        <f ca="1">IF(AND(INDEX(FlowCalConstA,MATCH(AD192,FlowCalNumber,0),1,1)*AF201^INDEX(FlowCalConstB,MATCH(AD192,FlowCalNumber,0),1,1)&gt;INDEX(FlowCalLowSetting,MATCH(AD192,FlowCalNumber,0),1,1), (INDEX(FlowCalConstA,MATCH(AD192,FlowCalNumber,0),1,1)*AF201^INDEX(FlowCalConstB,MATCH(AD192,FlowCalNumber,0),1,1)&lt;INDEX(FlowCalHighSetting,MATCH(AD192,FlowCalNumber,0),1,1))),INDEX(FlowCalConstA,MATCH(AD192,FlowCalNumber,0),1,1)*AF201^INDEX(FlowCalConstB,MATCH(AD192,FlowCalNumber,0),1,1)," ")</f>
        <v>#N/A</v>
      </c>
      <c r="AH201" s="33"/>
      <c r="AI201" s="242">
        <f t="shared" si="196"/>
        <v>0.9</v>
      </c>
      <c r="AJ201" s="241" t="e">
        <f t="shared" ca="1" si="197"/>
        <v>#VALUE!</v>
      </c>
      <c r="AK201" s="243" t="e">
        <f ca="1">IF(AND(INDEX(FlowCalConstA,MATCH(AH192,FlowCalNumber,0),1,1)*AJ201^INDEX(FlowCalConstB,MATCH(AH192,FlowCalNumber,0),1,1)&gt;INDEX(FlowCalLowSetting,MATCH(AH192,FlowCalNumber,0),1,1), (INDEX(FlowCalConstA,MATCH(AH192,FlowCalNumber,0),1,1)*AJ201^INDEX(FlowCalConstB,MATCH(AH192,FlowCalNumber,0),1,1)&lt;INDEX(FlowCalHighSetting,MATCH(AH192,FlowCalNumber,0),1,1))),INDEX(FlowCalConstA,MATCH(AH192,FlowCalNumber,0),1,1)*AJ201^INDEX(FlowCalConstB,MATCH(AH192,FlowCalNumber,0),1,1)," ")</f>
        <v>#N/A</v>
      </c>
      <c r="AL201" s="33"/>
      <c r="AM201" s="242"/>
      <c r="AN201" s="241"/>
      <c r="AO201" s="244"/>
      <c r="AQ201" s="242"/>
      <c r="AR201" s="241"/>
      <c r="AS201" s="244"/>
      <c r="AT201" s="33"/>
      <c r="AU201" s="242"/>
      <c r="AV201" s="241"/>
      <c r="AW201" s="244"/>
      <c r="AX201" s="33"/>
      <c r="AY201" s="242"/>
      <c r="AZ201" s="241"/>
      <c r="BA201" s="244"/>
      <c r="BB201" s="33"/>
      <c r="BC201" s="242"/>
      <c r="BD201" s="241"/>
      <c r="BE201" s="244"/>
      <c r="BF201" s="33"/>
      <c r="BG201" s="242"/>
      <c r="BH201" s="241"/>
      <c r="BI201" s="244"/>
      <c r="BJ201" s="33"/>
      <c r="BK201" s="242"/>
      <c r="BL201" s="241"/>
      <c r="BM201" s="244"/>
      <c r="BN201" s="33"/>
      <c r="BO201" s="242"/>
      <c r="BP201" s="241"/>
      <c r="BQ201" s="244"/>
      <c r="BR201" s="33"/>
      <c r="BS201" s="242"/>
      <c r="BT201" s="241"/>
      <c r="BU201" s="244"/>
      <c r="BV201" s="33"/>
      <c r="BW201" s="242"/>
      <c r="BX201" s="241"/>
      <c r="BY201" s="244"/>
      <c r="BZ201" s="33"/>
      <c r="CA201" s="242"/>
      <c r="CB201" s="241"/>
      <c r="CC201" s="244"/>
      <c r="CD201" s="243"/>
      <c r="CE201" s="243"/>
      <c r="CF201" s="243"/>
      <c r="CG201" s="243"/>
      <c r="CH201" s="243"/>
      <c r="CI201" s="243"/>
      <c r="CJ201" s="243"/>
      <c r="CK201" s="243"/>
      <c r="CL201" s="243"/>
      <c r="CM201" s="243"/>
      <c r="CN201" s="243"/>
      <c r="CO201" s="243"/>
      <c r="CP201" s="243"/>
      <c r="CQ201" s="243"/>
      <c r="CR201" s="243"/>
      <c r="CS201" s="243"/>
      <c r="CT201" s="243"/>
      <c r="CU201" s="243"/>
      <c r="CV201" s="243"/>
      <c r="CW201" s="243"/>
      <c r="CX201" s="243"/>
      <c r="CY201" s="243"/>
      <c r="CZ201" s="243"/>
      <c r="DA201" s="243"/>
      <c r="DB201" s="243"/>
      <c r="DC201" s="243"/>
      <c r="DD201" s="243"/>
      <c r="DE201" s="243"/>
      <c r="DF201" s="243"/>
      <c r="DG201" s="243"/>
      <c r="DH201" s="243"/>
      <c r="DI201" s="243"/>
      <c r="DJ201" s="243"/>
      <c r="DK201" s="243"/>
      <c r="DM201" s="242"/>
      <c r="DO201" s="243"/>
      <c r="DQ201" s="242"/>
      <c r="DS201" s="243"/>
      <c r="DU201" s="242"/>
      <c r="DW201" s="243"/>
      <c r="DY201" s="242"/>
      <c r="EA201" s="243"/>
    </row>
    <row r="202" spans="1:131">
      <c r="A202" s="20"/>
      <c r="B202" s="124" t="str">
        <f t="shared" si="182"/>
        <v/>
      </c>
      <c r="C202" s="235"/>
      <c r="D202" s="24">
        <f>'1% Wind'!$M$91</f>
        <v>4.2</v>
      </c>
      <c r="E202" s="90"/>
      <c r="F202" s="90"/>
      <c r="G202" s="79">
        <f ca="1">IF(I192=0.9743,$G201,MAX(G201/D201*D202,2))</f>
        <v>6.001707317073171</v>
      </c>
      <c r="H202" s="121" t="e">
        <f t="shared" ca="1" si="183"/>
        <v>#VALUE!</v>
      </c>
      <c r="J202" s="33"/>
      <c r="K202" s="242">
        <f t="shared" si="184"/>
        <v>1</v>
      </c>
      <c r="L202" s="241" t="e">
        <f t="shared" ca="1" si="185"/>
        <v>#VALUE!</v>
      </c>
      <c r="M202" s="243" t="e">
        <f ca="1">IF(AND(INDEX(FlowCalConstA,MATCH(J192,FlowCalNumber,0),1,1)*L202^INDEX(FlowCalConstB,MATCH(J192,FlowCalNumber,0),1,1)&gt;INDEX(FlowCalLowSetting,MATCH(J192,FlowCalNumber,0),1,1), (INDEX(FlowCalConstA,MATCH(J192,FlowCalNumber,0),1,1)*L202^INDEX(FlowCalConstB,MATCH(J192,FlowCalNumber,0),1,1)&lt;INDEX(FlowCalHighSetting,MATCH(J192,FlowCalNumber,0),1,1))),INDEX(FlowCalConstA,MATCH(J192,FlowCalNumber,0),1,1)*L202^INDEX(FlowCalConstB,MATCH(J192,FlowCalNumber,0),1,1)," ")</f>
        <v>#N/A</v>
      </c>
      <c r="N202" s="33"/>
      <c r="O202" s="242">
        <f t="shared" si="186"/>
        <v>1</v>
      </c>
      <c r="P202" s="241" t="e">
        <f t="shared" ca="1" si="187"/>
        <v>#VALUE!</v>
      </c>
      <c r="Q202" s="243" t="e">
        <f ca="1">IF(AND(INDEX(FlowCalConstA,MATCH(N192,FlowCalNumber,0),1,1)*P202^INDEX(FlowCalConstB,MATCH(N192,FlowCalNumber,0),1,1)&gt;INDEX(FlowCalLowSetting,MATCH(N192,FlowCalNumber,0),1,1), (INDEX(FlowCalConstA,MATCH(N192,FlowCalNumber,0),1,1)*P202^INDEX(FlowCalConstB,MATCH(N192,FlowCalNumber,0),1,1)&lt;INDEX(FlowCalHighSetting,MATCH(N192,FlowCalNumber,0),1,1))),INDEX(FlowCalConstA,MATCH(N192,FlowCalNumber,0),1,1)*P202^INDEX(FlowCalConstB,MATCH(N192,FlowCalNumber,0),1,1)," ")</f>
        <v>#N/A</v>
      </c>
      <c r="R202" s="33"/>
      <c r="S202" s="242">
        <f t="shared" si="188"/>
        <v>1</v>
      </c>
      <c r="T202" s="241" t="e">
        <f t="shared" ca="1" si="189"/>
        <v>#VALUE!</v>
      </c>
      <c r="U202" s="244" t="e">
        <f ca="1">IF(AND(INDEX(FlowCalConstA,MATCH(R192,FlowCalNumber,0),1,1)*T202^INDEX(FlowCalConstB,MATCH(R192,FlowCalNumber,0),1,1)&gt;INDEX(FlowCalLowSetting,MATCH(R192,FlowCalNumber,0),1,1), (INDEX(FlowCalConstA,MATCH(R192,FlowCalNumber,0),1,1)*T202^INDEX(FlowCalConstB,MATCH(R192,FlowCalNumber,0),1,1)&lt;INDEX(FlowCalHighSetting,MATCH(R192,FlowCalNumber,0),1,1))),INDEX(FlowCalConstA,MATCH(R192,FlowCalNumber,0),1,1)*T202^INDEX(FlowCalConstB,MATCH(R192,FlowCalNumber,0),1,1)," ")</f>
        <v>#N/A</v>
      </c>
      <c r="V202" s="33"/>
      <c r="W202" s="242">
        <f t="shared" si="190"/>
        <v>0.1</v>
      </c>
      <c r="X202" s="241" t="e">
        <f t="shared" ca="1" si="191"/>
        <v>#VALUE!</v>
      </c>
      <c r="Y202" s="243" t="e">
        <f ca="1">IF(AND(INDEX(FlowCalConstA,MATCH(V192,FlowCalNumber,0),1,1)*X202^INDEX(FlowCalConstB,MATCH(V192,FlowCalNumber,0),1,1)&gt;INDEX(FlowCalLowSetting,MATCH(V192,FlowCalNumber,0),1,1), (INDEX(FlowCalConstA,MATCH(V192,FlowCalNumber,0),1,1)*X202^INDEX(FlowCalConstB,MATCH(V192,FlowCalNumber,0),1,1)&lt;INDEX(FlowCalHighSetting,MATCH(V192,FlowCalNumber,0),1,1))),INDEX(FlowCalConstA,MATCH(V192,FlowCalNumber,0),1,1)*X202^INDEX(FlowCalConstB,MATCH(V192,FlowCalNumber,0),1,1)," ")</f>
        <v>#N/A</v>
      </c>
      <c r="Z202" s="33"/>
      <c r="AA202" s="242">
        <f t="shared" si="192"/>
        <v>0.9</v>
      </c>
      <c r="AB202" s="241" t="e">
        <f t="shared" ca="1" si="193"/>
        <v>#VALUE!</v>
      </c>
      <c r="AC202" s="243" t="e">
        <f ca="1">IF(AND(INDEX(FlowCalConstA,MATCH(Z192,FlowCalNumber,0),1,1)*AB202^INDEX(FlowCalConstB,MATCH(Z192,FlowCalNumber,0),1,1)&gt;INDEX(FlowCalLowSetting,MATCH(Z192,FlowCalNumber,0),1,1), (INDEX(FlowCalConstA,MATCH(Z192,FlowCalNumber,0),1,1)*AB202^INDEX(FlowCalConstB,MATCH(Z192,FlowCalNumber,0),1,1)&lt;INDEX(FlowCalHighSetting,MATCH(Z192,FlowCalNumber,0),1,1))),INDEX(FlowCalConstA,MATCH(Z192,FlowCalNumber,0),1,1)*AB202^INDEX(FlowCalConstB,MATCH(Z192,FlowCalNumber,0),1,1)," ")</f>
        <v>#N/A</v>
      </c>
      <c r="AD202" s="33"/>
      <c r="AE202" s="242">
        <f t="shared" si="194"/>
        <v>0.1</v>
      </c>
      <c r="AF202" s="241" t="e">
        <f t="shared" ca="1" si="195"/>
        <v>#VALUE!</v>
      </c>
      <c r="AG202" s="243" t="e">
        <f ca="1">IF(AND(INDEX(FlowCalConstA,MATCH(AD192,FlowCalNumber,0),1,1)*AF202^INDEX(FlowCalConstB,MATCH(AD192,FlowCalNumber,0),1,1)&gt;INDEX(FlowCalLowSetting,MATCH(AD192,FlowCalNumber,0),1,1), (INDEX(FlowCalConstA,MATCH(AD192,FlowCalNumber,0),1,1)*AF202^INDEX(FlowCalConstB,MATCH(AD192,FlowCalNumber,0),1,1)&lt;INDEX(FlowCalHighSetting,MATCH(AD192,FlowCalNumber,0),1,1))),INDEX(FlowCalConstA,MATCH(AD192,FlowCalNumber,0),1,1)*AF202^INDEX(FlowCalConstB,MATCH(AD192,FlowCalNumber,0),1,1)," ")</f>
        <v>#N/A</v>
      </c>
      <c r="AH202" s="33"/>
      <c r="AI202" s="242">
        <f t="shared" si="196"/>
        <v>0.9</v>
      </c>
      <c r="AJ202" s="241" t="e">
        <f t="shared" ca="1" si="197"/>
        <v>#VALUE!</v>
      </c>
      <c r="AK202" s="243" t="e">
        <f ca="1">IF(AND(INDEX(FlowCalConstA,MATCH(AH192,FlowCalNumber,0),1,1)*AJ202^INDEX(FlowCalConstB,MATCH(AH192,FlowCalNumber,0),1,1)&gt;INDEX(FlowCalLowSetting,MATCH(AH192,FlowCalNumber,0),1,1), (INDEX(FlowCalConstA,MATCH(AH192,FlowCalNumber,0),1,1)*AJ202^INDEX(FlowCalConstB,MATCH(AH192,FlowCalNumber,0),1,1)&lt;INDEX(FlowCalHighSetting,MATCH(AH192,FlowCalNumber,0),1,1))),INDEX(FlowCalConstA,MATCH(AH192,FlowCalNumber,0),1,1)*AJ202^INDEX(FlowCalConstB,MATCH(AH192,FlowCalNumber,0),1,1)," ")</f>
        <v>#N/A</v>
      </c>
      <c r="AL202" s="33"/>
      <c r="AM202" s="242"/>
      <c r="AN202" s="241"/>
      <c r="AO202" s="244"/>
      <c r="AQ202" s="242"/>
      <c r="AR202" s="241"/>
      <c r="AS202" s="244"/>
      <c r="AT202" s="33"/>
      <c r="AU202" s="242"/>
      <c r="AV202" s="241"/>
      <c r="AW202" s="244"/>
      <c r="AX202" s="33"/>
      <c r="AY202" s="242"/>
      <c r="AZ202" s="241"/>
      <c r="BA202" s="244"/>
      <c r="BB202" s="33"/>
      <c r="BC202" s="242"/>
      <c r="BD202" s="241"/>
      <c r="BE202" s="244"/>
      <c r="BF202" s="33"/>
      <c r="BG202" s="242"/>
      <c r="BH202" s="241"/>
      <c r="BI202" s="244"/>
      <c r="BJ202" s="33"/>
      <c r="BK202" s="242"/>
      <c r="BL202" s="241"/>
      <c r="BM202" s="244"/>
      <c r="BN202" s="33"/>
      <c r="BO202" s="242"/>
      <c r="BP202" s="241"/>
      <c r="BQ202" s="244"/>
      <c r="BR202" s="33"/>
      <c r="BS202" s="242"/>
      <c r="BT202" s="241"/>
      <c r="BU202" s="244"/>
      <c r="BV202" s="33"/>
      <c r="BW202" s="242"/>
      <c r="BX202" s="241"/>
      <c r="BY202" s="244"/>
      <c r="BZ202" s="33"/>
      <c r="CA202" s="242"/>
      <c r="CB202" s="241"/>
      <c r="CC202" s="244"/>
      <c r="CD202" s="243"/>
      <c r="CE202" s="243"/>
      <c r="CF202" s="243"/>
      <c r="CG202" s="243"/>
      <c r="CH202" s="243"/>
      <c r="CI202" s="243"/>
      <c r="CJ202" s="243"/>
      <c r="CK202" s="243"/>
      <c r="CL202" s="243"/>
      <c r="CM202" s="243"/>
      <c r="CN202" s="243"/>
      <c r="CO202" s="243"/>
      <c r="CP202" s="243"/>
      <c r="CQ202" s="243"/>
      <c r="CR202" s="243"/>
      <c r="CS202" s="243"/>
      <c r="CT202" s="243"/>
      <c r="CU202" s="243"/>
      <c r="CV202" s="243"/>
      <c r="CW202" s="243"/>
      <c r="CX202" s="243"/>
      <c r="CY202" s="243"/>
      <c r="CZ202" s="243"/>
      <c r="DA202" s="243"/>
      <c r="DB202" s="243"/>
      <c r="DC202" s="243"/>
      <c r="DD202" s="243"/>
      <c r="DE202" s="243"/>
      <c r="DF202" s="243"/>
      <c r="DG202" s="243"/>
      <c r="DH202" s="243"/>
      <c r="DI202" s="243"/>
      <c r="DJ202" s="243"/>
      <c r="DK202" s="243"/>
      <c r="DM202" s="242"/>
      <c r="DO202" s="243"/>
      <c r="DQ202" s="242"/>
      <c r="DS202" s="243"/>
      <c r="DU202" s="242"/>
      <c r="DW202" s="243"/>
      <c r="DY202" s="242"/>
      <c r="EA202" s="243"/>
    </row>
    <row r="203" spans="1:131">
      <c r="A203" s="20"/>
      <c r="B203" s="124" t="str">
        <f t="shared" si="182"/>
        <v/>
      </c>
      <c r="C203" s="235"/>
      <c r="D203" s="24">
        <f>'1% Wind'!$M$92</f>
        <v>3.2</v>
      </c>
      <c r="E203" s="90"/>
      <c r="F203" s="90"/>
      <c r="G203" s="79">
        <f ca="1">IF(I192=0.9743,$G202,MAX(G202/D202*D203,2))</f>
        <v>6.001707317073171</v>
      </c>
      <c r="H203" s="121" t="e">
        <f t="shared" ca="1" si="183"/>
        <v>#VALUE!</v>
      </c>
      <c r="J203" s="33"/>
      <c r="K203" s="242">
        <f t="shared" si="184"/>
        <v>1</v>
      </c>
      <c r="L203" s="241" t="e">
        <f t="shared" ca="1" si="185"/>
        <v>#VALUE!</v>
      </c>
      <c r="M203" s="243" t="e">
        <f ca="1">IF(AND(INDEX(FlowCalConstA,MATCH(J192,FlowCalNumber,0),1,1)*L203^INDEX(FlowCalConstB,MATCH(J192,FlowCalNumber,0),1,1)&gt;INDEX(FlowCalLowSetting,MATCH(J192,FlowCalNumber,0),1,1), (INDEX(FlowCalConstA,MATCH(J192,FlowCalNumber,0),1,1)*L203^INDEX(FlowCalConstB,MATCH(J192,FlowCalNumber,0),1,1)&lt;INDEX(FlowCalHighSetting,MATCH(J192,FlowCalNumber,0),1,1))),INDEX(FlowCalConstA,MATCH(J192,FlowCalNumber,0),1,1)*L203^INDEX(FlowCalConstB,MATCH(J192,FlowCalNumber,0),1,1)," ")</f>
        <v>#N/A</v>
      </c>
      <c r="N203" s="33"/>
      <c r="O203" s="242">
        <f t="shared" si="186"/>
        <v>1</v>
      </c>
      <c r="P203" s="241" t="e">
        <f t="shared" ca="1" si="187"/>
        <v>#VALUE!</v>
      </c>
      <c r="Q203" s="243" t="e">
        <f ca="1">IF(AND(INDEX(FlowCalConstA,MATCH(N192,FlowCalNumber,0),1,1)*P203^INDEX(FlowCalConstB,MATCH(N192,FlowCalNumber,0),1,1)&gt;INDEX(FlowCalLowSetting,MATCH(N192,FlowCalNumber,0),1,1), (INDEX(FlowCalConstA,MATCH(N192,FlowCalNumber,0),1,1)*P203^INDEX(FlowCalConstB,MATCH(N192,FlowCalNumber,0),1,1)&lt;INDEX(FlowCalHighSetting,MATCH(N192,FlowCalNumber,0),1,1))),INDEX(FlowCalConstA,MATCH(N192,FlowCalNumber,0),1,1)*P203^INDEX(FlowCalConstB,MATCH(N192,FlowCalNumber,0),1,1)," ")</f>
        <v>#N/A</v>
      </c>
      <c r="R203" s="33"/>
      <c r="S203" s="242">
        <f t="shared" si="188"/>
        <v>1</v>
      </c>
      <c r="T203" s="241" t="e">
        <f t="shared" ca="1" si="189"/>
        <v>#VALUE!</v>
      </c>
      <c r="U203" s="244" t="e">
        <f ca="1">IF(AND(INDEX(FlowCalConstA,MATCH(R192,FlowCalNumber,0),1,1)*T203^INDEX(FlowCalConstB,MATCH(R192,FlowCalNumber,0),1,1)&gt;INDEX(FlowCalLowSetting,MATCH(R192,FlowCalNumber,0),1,1), (INDEX(FlowCalConstA,MATCH(R192,FlowCalNumber,0),1,1)*T203^INDEX(FlowCalConstB,MATCH(R192,FlowCalNumber,0),1,1)&lt;INDEX(FlowCalHighSetting,MATCH(R192,FlowCalNumber,0),1,1))),INDEX(FlowCalConstA,MATCH(R192,FlowCalNumber,0),1,1)*T203^INDEX(FlowCalConstB,MATCH(R192,FlowCalNumber,0),1,1)," ")</f>
        <v>#N/A</v>
      </c>
      <c r="V203" s="33"/>
      <c r="W203" s="242">
        <f t="shared" si="190"/>
        <v>0.1</v>
      </c>
      <c r="X203" s="241" t="e">
        <f t="shared" ca="1" si="191"/>
        <v>#VALUE!</v>
      </c>
      <c r="Y203" s="243" t="e">
        <f ca="1">IF(AND(INDEX(FlowCalConstA,MATCH(V192,FlowCalNumber,0),1,1)*X203^INDEX(FlowCalConstB,MATCH(V192,FlowCalNumber,0),1,1)&gt;INDEX(FlowCalLowSetting,MATCH(V192,FlowCalNumber,0),1,1), (INDEX(FlowCalConstA,MATCH(V192,FlowCalNumber,0),1,1)*X203^INDEX(FlowCalConstB,MATCH(V192,FlowCalNumber,0),1,1)&lt;INDEX(FlowCalHighSetting,MATCH(V192,FlowCalNumber,0),1,1))),INDEX(FlowCalConstA,MATCH(V192,FlowCalNumber,0),1,1)*X203^INDEX(FlowCalConstB,MATCH(V192,FlowCalNumber,0),1,1)," ")</f>
        <v>#N/A</v>
      </c>
      <c r="Z203" s="33"/>
      <c r="AA203" s="242">
        <f t="shared" si="192"/>
        <v>0.9</v>
      </c>
      <c r="AB203" s="241" t="e">
        <f t="shared" ca="1" si="193"/>
        <v>#VALUE!</v>
      </c>
      <c r="AC203" s="243" t="e">
        <f ca="1">IF(AND(INDEX(FlowCalConstA,MATCH(Z192,FlowCalNumber,0),1,1)*AB203^INDEX(FlowCalConstB,MATCH(Z192,FlowCalNumber,0),1,1)&gt;INDEX(FlowCalLowSetting,MATCH(Z192,FlowCalNumber,0),1,1), (INDEX(FlowCalConstA,MATCH(Z192,FlowCalNumber,0),1,1)*AB203^INDEX(FlowCalConstB,MATCH(Z192,FlowCalNumber,0),1,1)&lt;INDEX(FlowCalHighSetting,MATCH(Z192,FlowCalNumber,0),1,1))),INDEX(FlowCalConstA,MATCH(Z192,FlowCalNumber,0),1,1)*AB203^INDEX(FlowCalConstB,MATCH(Z192,FlowCalNumber,0),1,1)," ")</f>
        <v>#N/A</v>
      </c>
      <c r="AD203" s="33"/>
      <c r="AE203" s="242">
        <f t="shared" si="194"/>
        <v>0.1</v>
      </c>
      <c r="AF203" s="241" t="e">
        <f t="shared" ca="1" si="195"/>
        <v>#VALUE!</v>
      </c>
      <c r="AG203" s="243" t="e">
        <f ca="1">IF(AND(INDEX(FlowCalConstA,MATCH(AD192,FlowCalNumber,0),1,1)*AF203^INDEX(FlowCalConstB,MATCH(AD192,FlowCalNumber,0),1,1)&gt;INDEX(FlowCalLowSetting,MATCH(AD192,FlowCalNumber,0),1,1), (INDEX(FlowCalConstA,MATCH(AD192,FlowCalNumber,0),1,1)*AF203^INDEX(FlowCalConstB,MATCH(AD192,FlowCalNumber,0),1,1)&lt;INDEX(FlowCalHighSetting,MATCH(AD192,FlowCalNumber,0),1,1))),INDEX(FlowCalConstA,MATCH(AD192,FlowCalNumber,0),1,1)*AF203^INDEX(FlowCalConstB,MATCH(AD192,FlowCalNumber,0),1,1)," ")</f>
        <v>#N/A</v>
      </c>
      <c r="AH203" s="33"/>
      <c r="AI203" s="242">
        <f t="shared" si="196"/>
        <v>0.9</v>
      </c>
      <c r="AJ203" s="241" t="e">
        <f t="shared" ca="1" si="197"/>
        <v>#VALUE!</v>
      </c>
      <c r="AK203" s="243" t="e">
        <f ca="1">IF(AND(INDEX(FlowCalConstA,MATCH(AH192,FlowCalNumber,0),1,1)*AJ203^INDEX(FlowCalConstB,MATCH(AH192,FlowCalNumber,0),1,1)&gt;INDEX(FlowCalLowSetting,MATCH(AH192,FlowCalNumber,0),1,1), (INDEX(FlowCalConstA,MATCH(AH192,FlowCalNumber,0),1,1)*AJ203^INDEX(FlowCalConstB,MATCH(AH192,FlowCalNumber,0),1,1)&lt;INDEX(FlowCalHighSetting,MATCH(AH192,FlowCalNumber,0),1,1))),INDEX(FlowCalConstA,MATCH(AH192,FlowCalNumber,0),1,1)*AJ203^INDEX(FlowCalConstB,MATCH(AH192,FlowCalNumber,0),1,1)," ")</f>
        <v>#N/A</v>
      </c>
      <c r="AL203" s="33"/>
      <c r="AM203" s="242"/>
      <c r="AN203" s="241"/>
      <c r="AO203" s="244"/>
      <c r="AQ203" s="242"/>
      <c r="AR203" s="241"/>
      <c r="AS203" s="244"/>
      <c r="AT203" s="33"/>
      <c r="AU203" s="242"/>
      <c r="AV203" s="241"/>
      <c r="AW203" s="244"/>
      <c r="AX203" s="33"/>
      <c r="AY203" s="242"/>
      <c r="AZ203" s="241"/>
      <c r="BA203" s="244"/>
      <c r="BB203" s="33"/>
      <c r="BC203" s="242"/>
      <c r="BD203" s="241"/>
      <c r="BE203" s="244"/>
      <c r="BF203" s="33"/>
      <c r="BG203" s="242"/>
      <c r="BH203" s="241"/>
      <c r="BI203" s="244"/>
      <c r="BJ203" s="33"/>
      <c r="BK203" s="242"/>
      <c r="BL203" s="241"/>
      <c r="BM203" s="244"/>
      <c r="BN203" s="33"/>
      <c r="BO203" s="242"/>
      <c r="BP203" s="241"/>
      <c r="BQ203" s="244"/>
      <c r="BR203" s="33"/>
      <c r="BS203" s="242"/>
      <c r="BT203" s="241"/>
      <c r="BU203" s="244"/>
      <c r="BV203" s="33"/>
      <c r="BW203" s="242"/>
      <c r="BX203" s="241"/>
      <c r="BY203" s="244"/>
      <c r="BZ203" s="33"/>
      <c r="CA203" s="242"/>
      <c r="CB203" s="241"/>
      <c r="CC203" s="244"/>
      <c r="CD203" s="243"/>
      <c r="CE203" s="243"/>
      <c r="CF203" s="243"/>
      <c r="CG203" s="243"/>
      <c r="CH203" s="243"/>
      <c r="CI203" s="243"/>
      <c r="CJ203" s="243"/>
      <c r="CK203" s="243"/>
      <c r="CL203" s="243"/>
      <c r="CM203" s="243"/>
      <c r="CN203" s="243"/>
      <c r="CO203" s="243"/>
      <c r="CP203" s="243"/>
      <c r="CQ203" s="243"/>
      <c r="CR203" s="243"/>
      <c r="CS203" s="243"/>
      <c r="CT203" s="243"/>
      <c r="CU203" s="243"/>
      <c r="CV203" s="243"/>
      <c r="CW203" s="243"/>
      <c r="CX203" s="243"/>
      <c r="CY203" s="243"/>
      <c r="CZ203" s="243"/>
      <c r="DA203" s="243"/>
      <c r="DB203" s="243"/>
      <c r="DC203" s="243"/>
      <c r="DD203" s="243"/>
      <c r="DE203" s="243"/>
      <c r="DF203" s="243"/>
      <c r="DG203" s="243"/>
      <c r="DH203" s="243"/>
      <c r="DI203" s="243"/>
      <c r="DJ203" s="243"/>
      <c r="DK203" s="243"/>
      <c r="DM203" s="242"/>
      <c r="DO203" s="243"/>
      <c r="DQ203" s="242"/>
      <c r="DS203" s="243"/>
      <c r="DU203" s="242"/>
      <c r="DW203" s="243"/>
      <c r="DY203" s="242"/>
      <c r="EA203" s="243"/>
    </row>
    <row r="204" spans="1:131">
      <c r="A204" s="20"/>
      <c r="B204" s="124" t="str">
        <f t="shared" si="182"/>
        <v/>
      </c>
      <c r="C204" s="235"/>
      <c r="D204" s="24">
        <f>'1% Wind'!$M$93</f>
        <v>2.4</v>
      </c>
      <c r="E204" s="90"/>
      <c r="F204" s="90"/>
      <c r="G204" s="79">
        <f ca="1">IF(I192=0.9743,$G203,MAX(G203/D203*D204,2))</f>
        <v>6.001707317073171</v>
      </c>
      <c r="H204" s="121" t="e">
        <f t="shared" ca="1" si="183"/>
        <v>#VALUE!</v>
      </c>
      <c r="J204" s="33"/>
      <c r="K204" s="242">
        <f t="shared" si="184"/>
        <v>1</v>
      </c>
      <c r="L204" s="241" t="e">
        <f t="shared" ca="1" si="185"/>
        <v>#VALUE!</v>
      </c>
      <c r="M204" s="243" t="e">
        <f ca="1">IF(AND(INDEX(FlowCalConstA,MATCH(J192,FlowCalNumber,0),1,1)*L204^INDEX(FlowCalConstB,MATCH(J192,FlowCalNumber,0),1,1)&gt;INDEX(FlowCalLowSetting,MATCH(J192,FlowCalNumber,0),1,1), (INDEX(FlowCalConstA,MATCH(J192,FlowCalNumber,0),1,1)*L204^INDEX(FlowCalConstB,MATCH(J192,FlowCalNumber,0),1,1)&lt;INDEX(FlowCalHighSetting,MATCH(J192,FlowCalNumber,0),1,1))),INDEX(FlowCalConstA,MATCH(J192,FlowCalNumber,0),1,1)*L204^INDEX(FlowCalConstB,MATCH(J192,FlowCalNumber,0),1,1)," ")</f>
        <v>#N/A</v>
      </c>
      <c r="N204" s="33"/>
      <c r="O204" s="242">
        <f t="shared" si="186"/>
        <v>1</v>
      </c>
      <c r="P204" s="241" t="e">
        <f t="shared" ca="1" si="187"/>
        <v>#VALUE!</v>
      </c>
      <c r="Q204" s="243" t="e">
        <f ca="1">IF(AND(INDEX(FlowCalConstA,MATCH(N192,FlowCalNumber,0),1,1)*P204^INDEX(FlowCalConstB,MATCH(N192,FlowCalNumber,0),1,1)&gt;INDEX(FlowCalLowSetting,MATCH(N192,FlowCalNumber,0),1,1), (INDEX(FlowCalConstA,MATCH(N192,FlowCalNumber,0),1,1)*P204^INDEX(FlowCalConstB,MATCH(N192,FlowCalNumber,0),1,1)&lt;INDEX(FlowCalHighSetting,MATCH(N192,FlowCalNumber,0),1,1))),INDEX(FlowCalConstA,MATCH(N192,FlowCalNumber,0),1,1)*P204^INDEX(FlowCalConstB,MATCH(N192,FlowCalNumber,0),1,1)," ")</f>
        <v>#N/A</v>
      </c>
      <c r="R204" s="33"/>
      <c r="S204" s="242">
        <f t="shared" si="188"/>
        <v>1</v>
      </c>
      <c r="T204" s="241" t="e">
        <f t="shared" ca="1" si="189"/>
        <v>#VALUE!</v>
      </c>
      <c r="U204" s="244" t="e">
        <f ca="1">IF(AND(INDEX(FlowCalConstA,MATCH(R192,FlowCalNumber,0),1,1)*T204^INDEX(FlowCalConstB,MATCH(R192,FlowCalNumber,0),1,1)&gt;INDEX(FlowCalLowSetting,MATCH(R192,FlowCalNumber,0),1,1), (INDEX(FlowCalConstA,MATCH(R192,FlowCalNumber,0),1,1)*T204^INDEX(FlowCalConstB,MATCH(R192,FlowCalNumber,0),1,1)&lt;INDEX(FlowCalHighSetting,MATCH(R192,FlowCalNumber,0),1,1))),INDEX(FlowCalConstA,MATCH(R192,FlowCalNumber,0),1,1)*T204^INDEX(FlowCalConstB,MATCH(R192,FlowCalNumber,0),1,1)," ")</f>
        <v>#N/A</v>
      </c>
      <c r="V204" s="33"/>
      <c r="W204" s="242">
        <f t="shared" si="190"/>
        <v>0.1</v>
      </c>
      <c r="X204" s="241" t="e">
        <f t="shared" ca="1" si="191"/>
        <v>#VALUE!</v>
      </c>
      <c r="Y204" s="243" t="e">
        <f ca="1">IF(AND(INDEX(FlowCalConstA,MATCH(V192,FlowCalNumber,0),1,1)*X204^INDEX(FlowCalConstB,MATCH(V192,FlowCalNumber,0),1,1)&gt;INDEX(FlowCalLowSetting,MATCH(V192,FlowCalNumber,0),1,1), (INDEX(FlowCalConstA,MATCH(V192,FlowCalNumber,0),1,1)*X204^INDEX(FlowCalConstB,MATCH(V192,FlowCalNumber,0),1,1)&lt;INDEX(FlowCalHighSetting,MATCH(V192,FlowCalNumber,0),1,1))),INDEX(FlowCalConstA,MATCH(V192,FlowCalNumber,0),1,1)*X204^INDEX(FlowCalConstB,MATCH(V192,FlowCalNumber,0),1,1)," ")</f>
        <v>#N/A</v>
      </c>
      <c r="Z204" s="33"/>
      <c r="AA204" s="242">
        <f t="shared" si="192"/>
        <v>0.9</v>
      </c>
      <c r="AB204" s="241" t="e">
        <f t="shared" ca="1" si="193"/>
        <v>#VALUE!</v>
      </c>
      <c r="AC204" s="243" t="e">
        <f ca="1">IF(AND(INDEX(FlowCalConstA,MATCH(Z192,FlowCalNumber,0),1,1)*AB204^INDEX(FlowCalConstB,MATCH(Z192,FlowCalNumber,0),1,1)&gt;INDEX(FlowCalLowSetting,MATCH(Z192,FlowCalNumber,0),1,1), (INDEX(FlowCalConstA,MATCH(Z192,FlowCalNumber,0),1,1)*AB204^INDEX(FlowCalConstB,MATCH(Z192,FlowCalNumber,0),1,1)&lt;INDEX(FlowCalHighSetting,MATCH(Z192,FlowCalNumber,0),1,1))),INDEX(FlowCalConstA,MATCH(Z192,FlowCalNumber,0),1,1)*AB204^INDEX(FlowCalConstB,MATCH(Z192,FlowCalNumber,0),1,1)," ")</f>
        <v>#N/A</v>
      </c>
      <c r="AD204" s="33"/>
      <c r="AE204" s="242">
        <f t="shared" si="194"/>
        <v>0.1</v>
      </c>
      <c r="AF204" s="241" t="e">
        <f t="shared" ca="1" si="195"/>
        <v>#VALUE!</v>
      </c>
      <c r="AG204" s="243" t="e">
        <f ca="1">IF(AND(INDEX(FlowCalConstA,MATCH(AD192,FlowCalNumber,0),1,1)*AF204^INDEX(FlowCalConstB,MATCH(AD192,FlowCalNumber,0),1,1)&gt;INDEX(FlowCalLowSetting,MATCH(AD192,FlowCalNumber,0),1,1), (INDEX(FlowCalConstA,MATCH(AD192,FlowCalNumber,0),1,1)*AF204^INDEX(FlowCalConstB,MATCH(AD192,FlowCalNumber,0),1,1)&lt;INDEX(FlowCalHighSetting,MATCH(AD192,FlowCalNumber,0),1,1))),INDEX(FlowCalConstA,MATCH(AD192,FlowCalNumber,0),1,1)*AF204^INDEX(FlowCalConstB,MATCH(AD192,FlowCalNumber,0),1,1)," ")</f>
        <v>#N/A</v>
      </c>
      <c r="AH204" s="33"/>
      <c r="AI204" s="242">
        <f t="shared" si="196"/>
        <v>0.9</v>
      </c>
      <c r="AJ204" s="241" t="e">
        <f t="shared" ca="1" si="197"/>
        <v>#VALUE!</v>
      </c>
      <c r="AK204" s="243" t="e">
        <f ca="1">IF(AND(INDEX(FlowCalConstA,MATCH(AH192,FlowCalNumber,0),1,1)*AJ204^INDEX(FlowCalConstB,MATCH(AH192,FlowCalNumber,0),1,1)&gt;INDEX(FlowCalLowSetting,MATCH(AH192,FlowCalNumber,0),1,1), (INDEX(FlowCalConstA,MATCH(AH192,FlowCalNumber,0),1,1)*AJ204^INDEX(FlowCalConstB,MATCH(AH192,FlowCalNumber,0),1,1)&lt;INDEX(FlowCalHighSetting,MATCH(AH192,FlowCalNumber,0),1,1))),INDEX(FlowCalConstA,MATCH(AH192,FlowCalNumber,0),1,1)*AJ204^INDEX(FlowCalConstB,MATCH(AH192,FlowCalNumber,0),1,1)," ")</f>
        <v>#N/A</v>
      </c>
      <c r="AL204" s="33"/>
      <c r="AM204" s="242"/>
      <c r="AN204" s="241"/>
      <c r="AO204" s="244"/>
      <c r="AQ204" s="242"/>
      <c r="AR204" s="241"/>
      <c r="AS204" s="244"/>
      <c r="AT204" s="33"/>
      <c r="AU204" s="242"/>
      <c r="AV204" s="241"/>
      <c r="AW204" s="244"/>
      <c r="AX204" s="33"/>
      <c r="AY204" s="242"/>
      <c r="AZ204" s="241"/>
      <c r="BA204" s="244"/>
      <c r="BB204" s="33"/>
      <c r="BC204" s="242"/>
      <c r="BD204" s="241"/>
      <c r="BE204" s="244"/>
      <c r="BF204" s="33"/>
      <c r="BG204" s="242"/>
      <c r="BH204" s="241"/>
      <c r="BI204" s="244"/>
      <c r="BJ204" s="33"/>
      <c r="BK204" s="242"/>
      <c r="BL204" s="241"/>
      <c r="BM204" s="244"/>
      <c r="BN204" s="33"/>
      <c r="BO204" s="242"/>
      <c r="BP204" s="241"/>
      <c r="BQ204" s="244"/>
      <c r="BR204" s="33"/>
      <c r="BS204" s="242"/>
      <c r="BT204" s="241"/>
      <c r="BU204" s="244"/>
      <c r="BV204" s="33"/>
      <c r="BW204" s="242"/>
      <c r="BX204" s="241"/>
      <c r="BY204" s="244"/>
      <c r="BZ204" s="33"/>
      <c r="CA204" s="242"/>
      <c r="CB204" s="241"/>
      <c r="CC204" s="244"/>
      <c r="CD204" s="243"/>
      <c r="CE204" s="243"/>
      <c r="CF204" s="243"/>
      <c r="CG204" s="243"/>
      <c r="CH204" s="243"/>
      <c r="CI204" s="243"/>
      <c r="CJ204" s="243"/>
      <c r="CK204" s="243"/>
      <c r="CL204" s="243"/>
      <c r="CM204" s="243"/>
      <c r="CN204" s="243"/>
      <c r="CO204" s="243"/>
      <c r="CP204" s="243"/>
      <c r="CQ204" s="243"/>
      <c r="CR204" s="243"/>
      <c r="CS204" s="243"/>
      <c r="CT204" s="243"/>
      <c r="CU204" s="243"/>
      <c r="CV204" s="243"/>
      <c r="CW204" s="243"/>
      <c r="CX204" s="243"/>
      <c r="CY204" s="243"/>
      <c r="CZ204" s="243"/>
      <c r="DA204" s="243"/>
      <c r="DB204" s="243"/>
      <c r="DC204" s="243"/>
      <c r="DD204" s="243"/>
      <c r="DE204" s="243"/>
      <c r="DF204" s="243"/>
      <c r="DG204" s="243"/>
      <c r="DH204" s="243"/>
      <c r="DI204" s="243"/>
      <c r="DJ204" s="243"/>
      <c r="DK204" s="243"/>
      <c r="DM204" s="242"/>
      <c r="DO204" s="243"/>
      <c r="DQ204" s="242"/>
      <c r="DS204" s="243"/>
      <c r="DU204" s="242"/>
      <c r="DW204" s="243"/>
      <c r="DY204" s="242"/>
      <c r="EA204" s="243"/>
    </row>
    <row r="205" spans="1:131">
      <c r="A205" s="20"/>
      <c r="B205" s="124" t="str">
        <f t="shared" si="182"/>
        <v/>
      </c>
      <c r="C205" s="235"/>
      <c r="D205" s="24">
        <f>'1% Wind'!$M$94</f>
        <v>1.8</v>
      </c>
      <c r="E205" s="90"/>
      <c r="F205" s="90"/>
      <c r="G205" s="79">
        <f ca="1">IF(I192=0.9743,$G204,MAX(G204/D204*D205,2))</f>
        <v>6.001707317073171</v>
      </c>
      <c r="H205" s="121" t="e">
        <f t="shared" ca="1" si="183"/>
        <v>#VALUE!</v>
      </c>
      <c r="J205" s="33"/>
      <c r="K205" s="242">
        <f t="shared" si="184"/>
        <v>1</v>
      </c>
      <c r="L205" s="241" t="e">
        <f t="shared" ca="1" si="185"/>
        <v>#VALUE!</v>
      </c>
      <c r="M205" s="243" t="e">
        <f ca="1">IF(AND(INDEX(FlowCalConstA,MATCH(J192,FlowCalNumber,0),1,1)*L205^INDEX(FlowCalConstB,MATCH(J192,FlowCalNumber,0),1,1)&gt;INDEX(FlowCalLowSetting,MATCH(J192,FlowCalNumber,0),1,1), (INDEX(FlowCalConstA,MATCH(J192,FlowCalNumber,0),1,1)*L205^INDEX(FlowCalConstB,MATCH(J192,FlowCalNumber,0),1,1)&lt;INDEX(FlowCalHighSetting,MATCH(J192,FlowCalNumber,0),1,1))),INDEX(FlowCalConstA,MATCH(J192,FlowCalNumber,0),1,1)*L205^INDEX(FlowCalConstB,MATCH(J192,FlowCalNumber,0),1,1)," ")</f>
        <v>#N/A</v>
      </c>
      <c r="N205" s="33"/>
      <c r="O205" s="242">
        <f t="shared" si="186"/>
        <v>1</v>
      </c>
      <c r="P205" s="241" t="e">
        <f t="shared" ca="1" si="187"/>
        <v>#VALUE!</v>
      </c>
      <c r="Q205" s="243" t="e">
        <f ca="1">IF(AND(INDEX(FlowCalConstA,MATCH(N192,FlowCalNumber,0),1,1)*P205^INDEX(FlowCalConstB,MATCH(N192,FlowCalNumber,0),1,1)&gt;INDEX(FlowCalLowSetting,MATCH(N192,FlowCalNumber,0),1,1), (INDEX(FlowCalConstA,MATCH(N192,FlowCalNumber,0),1,1)*P205^INDEX(FlowCalConstB,MATCH(N192,FlowCalNumber,0),1,1)&lt;INDEX(FlowCalHighSetting,MATCH(N192,FlowCalNumber,0),1,1))),INDEX(FlowCalConstA,MATCH(N192,FlowCalNumber,0),1,1)*P205^INDEX(FlowCalConstB,MATCH(N192,FlowCalNumber,0),1,1)," ")</f>
        <v>#N/A</v>
      </c>
      <c r="R205" s="33"/>
      <c r="S205" s="242">
        <f t="shared" si="188"/>
        <v>1</v>
      </c>
      <c r="T205" s="241" t="e">
        <f t="shared" ca="1" si="189"/>
        <v>#VALUE!</v>
      </c>
      <c r="U205" s="244" t="e">
        <f ca="1">IF(AND(INDEX(FlowCalConstA,MATCH(R192,FlowCalNumber,0),1,1)*T205^INDEX(FlowCalConstB,MATCH(R192,FlowCalNumber,0),1,1)&gt;INDEX(FlowCalLowSetting,MATCH(R192,FlowCalNumber,0),1,1), (INDEX(FlowCalConstA,MATCH(R192,FlowCalNumber,0),1,1)*T205^INDEX(FlowCalConstB,MATCH(R192,FlowCalNumber,0),1,1)&lt;INDEX(FlowCalHighSetting,MATCH(R192,FlowCalNumber,0),1,1))),INDEX(FlowCalConstA,MATCH(R192,FlowCalNumber,0),1,1)*T205^INDEX(FlowCalConstB,MATCH(R192,FlowCalNumber,0),1,1)," ")</f>
        <v>#N/A</v>
      </c>
      <c r="V205" s="33"/>
      <c r="W205" s="242">
        <f t="shared" si="190"/>
        <v>0.1</v>
      </c>
      <c r="X205" s="241" t="e">
        <f t="shared" ca="1" si="191"/>
        <v>#VALUE!</v>
      </c>
      <c r="Y205" s="243" t="e">
        <f ca="1">IF(AND(INDEX(FlowCalConstA,MATCH(V192,FlowCalNumber,0),1,1)*X205^INDEX(FlowCalConstB,MATCH(V192,FlowCalNumber,0),1,1)&gt;INDEX(FlowCalLowSetting,MATCH(V192,FlowCalNumber,0),1,1), (INDEX(FlowCalConstA,MATCH(V192,FlowCalNumber,0),1,1)*X205^INDEX(FlowCalConstB,MATCH(V192,FlowCalNumber,0),1,1)&lt;INDEX(FlowCalHighSetting,MATCH(V192,FlowCalNumber,0),1,1))),INDEX(FlowCalConstA,MATCH(V192,FlowCalNumber,0),1,1)*X205^INDEX(FlowCalConstB,MATCH(V192,FlowCalNumber,0),1,1)," ")</f>
        <v>#N/A</v>
      </c>
      <c r="Z205" s="33"/>
      <c r="AA205" s="242">
        <f t="shared" si="192"/>
        <v>0.9</v>
      </c>
      <c r="AB205" s="241" t="e">
        <f t="shared" ca="1" si="193"/>
        <v>#VALUE!</v>
      </c>
      <c r="AC205" s="243" t="e">
        <f ca="1">IF(AND(INDEX(FlowCalConstA,MATCH(Z192,FlowCalNumber,0),1,1)*AB205^INDEX(FlowCalConstB,MATCH(Z192,FlowCalNumber,0),1,1)&gt;INDEX(FlowCalLowSetting,MATCH(Z192,FlowCalNumber,0),1,1), (INDEX(FlowCalConstA,MATCH(Z192,FlowCalNumber,0),1,1)*AB205^INDEX(FlowCalConstB,MATCH(Z192,FlowCalNumber,0),1,1)&lt;INDEX(FlowCalHighSetting,MATCH(Z192,FlowCalNumber,0),1,1))),INDEX(FlowCalConstA,MATCH(Z192,FlowCalNumber,0),1,1)*AB205^INDEX(FlowCalConstB,MATCH(Z192,FlowCalNumber,0),1,1)," ")</f>
        <v>#N/A</v>
      </c>
      <c r="AD205" s="33"/>
      <c r="AE205" s="242">
        <f t="shared" si="194"/>
        <v>0.1</v>
      </c>
      <c r="AF205" s="241" t="e">
        <f t="shared" ca="1" si="195"/>
        <v>#VALUE!</v>
      </c>
      <c r="AG205" s="243" t="e">
        <f ca="1">IF(AND(INDEX(FlowCalConstA,MATCH(AD192,FlowCalNumber,0),1,1)*AF205^INDEX(FlowCalConstB,MATCH(AD192,FlowCalNumber,0),1,1)&gt;INDEX(FlowCalLowSetting,MATCH(AD192,FlowCalNumber,0),1,1), (INDEX(FlowCalConstA,MATCH(AD192,FlowCalNumber,0),1,1)*AF205^INDEX(FlowCalConstB,MATCH(AD192,FlowCalNumber,0),1,1)&lt;INDEX(FlowCalHighSetting,MATCH(AD192,FlowCalNumber,0),1,1))),INDEX(FlowCalConstA,MATCH(AD192,FlowCalNumber,0),1,1)*AF205^INDEX(FlowCalConstB,MATCH(AD192,FlowCalNumber,0),1,1)," ")</f>
        <v>#N/A</v>
      </c>
      <c r="AH205" s="33"/>
      <c r="AI205" s="242">
        <f t="shared" si="196"/>
        <v>0.9</v>
      </c>
      <c r="AJ205" s="241" t="e">
        <f t="shared" ca="1" si="197"/>
        <v>#VALUE!</v>
      </c>
      <c r="AK205" s="243" t="e">
        <f ca="1">IF(AND(INDEX(FlowCalConstA,MATCH(AH192,FlowCalNumber,0),1,1)*AJ205^INDEX(FlowCalConstB,MATCH(AH192,FlowCalNumber,0),1,1)&gt;INDEX(FlowCalLowSetting,MATCH(AH192,FlowCalNumber,0),1,1), (INDEX(FlowCalConstA,MATCH(AH192,FlowCalNumber,0),1,1)*AJ205^INDEX(FlowCalConstB,MATCH(AH192,FlowCalNumber,0),1,1)&lt;INDEX(FlowCalHighSetting,MATCH(AH192,FlowCalNumber,0),1,1))),INDEX(FlowCalConstA,MATCH(AH192,FlowCalNumber,0),1,1)*AJ205^INDEX(FlowCalConstB,MATCH(AH192,FlowCalNumber,0),1,1)," ")</f>
        <v>#N/A</v>
      </c>
      <c r="AL205" s="33"/>
      <c r="AM205" s="242"/>
      <c r="AN205" s="241"/>
      <c r="AO205" s="244"/>
      <c r="AQ205" s="242"/>
      <c r="AR205" s="241"/>
      <c r="AS205" s="244"/>
      <c r="AT205" s="33"/>
      <c r="AU205" s="242"/>
      <c r="AV205" s="241"/>
      <c r="AW205" s="244"/>
      <c r="AX205" s="33"/>
      <c r="AY205" s="242"/>
      <c r="AZ205" s="241"/>
      <c r="BA205" s="244"/>
      <c r="BB205" s="33"/>
      <c r="BC205" s="242"/>
      <c r="BD205" s="241"/>
      <c r="BE205" s="244"/>
      <c r="BF205" s="33"/>
      <c r="BG205" s="242"/>
      <c r="BH205" s="241"/>
      <c r="BI205" s="244"/>
      <c r="BJ205" s="33"/>
      <c r="BK205" s="242"/>
      <c r="BL205" s="241"/>
      <c r="BM205" s="244"/>
      <c r="BN205" s="33"/>
      <c r="BO205" s="242"/>
      <c r="BP205" s="241"/>
      <c r="BQ205" s="244"/>
      <c r="BR205" s="33"/>
      <c r="BS205" s="242"/>
      <c r="BT205" s="241"/>
      <c r="BU205" s="244"/>
      <c r="BV205" s="33"/>
      <c r="BW205" s="242"/>
      <c r="BX205" s="241"/>
      <c r="BY205" s="244"/>
      <c r="BZ205" s="33"/>
      <c r="CA205" s="242"/>
      <c r="CB205" s="241"/>
      <c r="CC205" s="244"/>
      <c r="CD205" s="243"/>
      <c r="CE205" s="243"/>
      <c r="CF205" s="243"/>
      <c r="CG205" s="243"/>
      <c r="CH205" s="243"/>
      <c r="CI205" s="243"/>
      <c r="CJ205" s="243"/>
      <c r="CK205" s="243"/>
      <c r="CL205" s="243"/>
      <c r="CM205" s="243"/>
      <c r="CN205" s="243"/>
      <c r="CO205" s="243"/>
      <c r="CP205" s="243"/>
      <c r="CQ205" s="243"/>
      <c r="CR205" s="243"/>
      <c r="CS205" s="243"/>
      <c r="CT205" s="243"/>
      <c r="CU205" s="243"/>
      <c r="CV205" s="243"/>
      <c r="CW205" s="243"/>
      <c r="CX205" s="243"/>
      <c r="CY205" s="243"/>
      <c r="CZ205" s="243"/>
      <c r="DA205" s="243"/>
      <c r="DB205" s="243"/>
      <c r="DC205" s="243"/>
      <c r="DD205" s="243"/>
      <c r="DE205" s="243"/>
      <c r="DF205" s="243"/>
      <c r="DG205" s="243"/>
      <c r="DH205" s="243"/>
      <c r="DI205" s="243"/>
      <c r="DJ205" s="243"/>
      <c r="DK205" s="243"/>
      <c r="DM205" s="242"/>
      <c r="DO205" s="243"/>
      <c r="DQ205" s="242"/>
      <c r="DS205" s="243"/>
      <c r="DU205" s="242"/>
      <c r="DW205" s="243"/>
      <c r="DY205" s="242"/>
      <c r="EA205" s="243"/>
    </row>
    <row r="206" spans="1:131">
      <c r="A206" s="20"/>
      <c r="B206" s="124" t="str">
        <f t="shared" si="182"/>
        <v/>
      </c>
      <c r="C206" s="235"/>
      <c r="D206" s="24">
        <f>'1% Wind'!$M$95</f>
        <v>1.3</v>
      </c>
      <c r="E206" s="90"/>
      <c r="F206" s="90"/>
      <c r="G206" s="79">
        <f ca="1">IF(I192=0.9743,$G205,MAX(G205/D205*D206,2))</f>
        <v>6.001707317073171</v>
      </c>
      <c r="H206" s="121" t="e">
        <f t="shared" ca="1" si="183"/>
        <v>#VALUE!</v>
      </c>
      <c r="J206" s="33"/>
      <c r="K206" s="242">
        <f t="shared" si="184"/>
        <v>1</v>
      </c>
      <c r="L206" s="241" t="e">
        <f t="shared" ca="1" si="185"/>
        <v>#VALUE!</v>
      </c>
      <c r="M206" s="243" t="e">
        <f ca="1">IF(AND(INDEX(FlowCalConstA,MATCH(J192,FlowCalNumber,0),1,1)*L206^INDEX(FlowCalConstB,MATCH(J192,FlowCalNumber,0),1,1)&gt;INDEX(FlowCalLowSetting,MATCH(J192,FlowCalNumber,0),1,1), (INDEX(FlowCalConstA,MATCH(J192,FlowCalNumber,0),1,1)*L206^INDEX(FlowCalConstB,MATCH(J192,FlowCalNumber,0),1,1)&lt;INDEX(FlowCalHighSetting,MATCH(J192,FlowCalNumber,0),1,1))),INDEX(FlowCalConstA,MATCH(J192,FlowCalNumber,0),1,1)*L206^INDEX(FlowCalConstB,MATCH(J192,FlowCalNumber,0),1,1)," ")</f>
        <v>#N/A</v>
      </c>
      <c r="N206" s="33"/>
      <c r="O206" s="242">
        <f t="shared" si="186"/>
        <v>1</v>
      </c>
      <c r="P206" s="241" t="e">
        <f t="shared" ca="1" si="187"/>
        <v>#VALUE!</v>
      </c>
      <c r="Q206" s="243" t="e">
        <f ca="1">IF(AND(INDEX(FlowCalConstA,MATCH(N192,FlowCalNumber,0),1,1)*P206^INDEX(FlowCalConstB,MATCH(N192,FlowCalNumber,0),1,1)&gt;INDEX(FlowCalLowSetting,MATCH(N192,FlowCalNumber,0),1,1), (INDEX(FlowCalConstA,MATCH(N192,FlowCalNumber,0),1,1)*P206^INDEX(FlowCalConstB,MATCH(N192,FlowCalNumber,0),1,1)&lt;INDEX(FlowCalHighSetting,MATCH(N192,FlowCalNumber,0),1,1))),INDEX(FlowCalConstA,MATCH(N192,FlowCalNumber,0),1,1)*P206^INDEX(FlowCalConstB,MATCH(N192,FlowCalNumber,0),1,1)," ")</f>
        <v>#N/A</v>
      </c>
      <c r="R206" s="33"/>
      <c r="S206" s="242">
        <f t="shared" si="188"/>
        <v>1</v>
      </c>
      <c r="T206" s="241" t="e">
        <f t="shared" ca="1" si="189"/>
        <v>#VALUE!</v>
      </c>
      <c r="U206" s="244" t="e">
        <f ca="1">IF(AND(INDEX(FlowCalConstA,MATCH(R192,FlowCalNumber,0),1,1)*T206^INDEX(FlowCalConstB,MATCH(R192,FlowCalNumber,0),1,1)&gt;INDEX(FlowCalLowSetting,MATCH(R192,FlowCalNumber,0),1,1), (INDEX(FlowCalConstA,MATCH(R192,FlowCalNumber,0),1,1)*T206^INDEX(FlowCalConstB,MATCH(R192,FlowCalNumber,0),1,1)&lt;INDEX(FlowCalHighSetting,MATCH(R192,FlowCalNumber,0),1,1))),INDEX(FlowCalConstA,MATCH(R192,FlowCalNumber,0),1,1)*T206^INDEX(FlowCalConstB,MATCH(R192,FlowCalNumber,0),1,1)," ")</f>
        <v>#N/A</v>
      </c>
      <c r="V206" s="33"/>
      <c r="W206" s="242">
        <f t="shared" si="190"/>
        <v>0.1</v>
      </c>
      <c r="X206" s="241" t="e">
        <f t="shared" ca="1" si="191"/>
        <v>#VALUE!</v>
      </c>
      <c r="Y206" s="243" t="e">
        <f ca="1">IF(AND(INDEX(FlowCalConstA,MATCH(V192,FlowCalNumber,0),1,1)*X206^INDEX(FlowCalConstB,MATCH(V192,FlowCalNumber,0),1,1)&gt;INDEX(FlowCalLowSetting,MATCH(V192,FlowCalNumber,0),1,1), (INDEX(FlowCalConstA,MATCH(V192,FlowCalNumber,0),1,1)*X206^INDEX(FlowCalConstB,MATCH(V192,FlowCalNumber,0),1,1)&lt;INDEX(FlowCalHighSetting,MATCH(V192,FlowCalNumber,0),1,1))),INDEX(FlowCalConstA,MATCH(V192,FlowCalNumber,0),1,1)*X206^INDEX(FlowCalConstB,MATCH(V192,FlowCalNumber,0),1,1)," ")</f>
        <v>#N/A</v>
      </c>
      <c r="Z206" s="33"/>
      <c r="AA206" s="242">
        <f t="shared" si="192"/>
        <v>0.9</v>
      </c>
      <c r="AB206" s="241" t="e">
        <f t="shared" ca="1" si="193"/>
        <v>#VALUE!</v>
      </c>
      <c r="AC206" s="243" t="e">
        <f ca="1">IF(AND(INDEX(FlowCalConstA,MATCH(Z192,FlowCalNumber,0),1,1)*AB206^INDEX(FlowCalConstB,MATCH(Z192,FlowCalNumber,0),1,1)&gt;INDEX(FlowCalLowSetting,MATCH(Z192,FlowCalNumber,0),1,1), (INDEX(FlowCalConstA,MATCH(Z192,FlowCalNumber,0),1,1)*AB206^INDEX(FlowCalConstB,MATCH(Z192,FlowCalNumber,0),1,1)&lt;INDEX(FlowCalHighSetting,MATCH(Z192,FlowCalNumber,0),1,1))),INDEX(FlowCalConstA,MATCH(Z192,FlowCalNumber,0),1,1)*AB206^INDEX(FlowCalConstB,MATCH(Z192,FlowCalNumber,0),1,1)," ")</f>
        <v>#N/A</v>
      </c>
      <c r="AD206" s="33"/>
      <c r="AE206" s="242">
        <f t="shared" si="194"/>
        <v>0.1</v>
      </c>
      <c r="AF206" s="241" t="e">
        <f t="shared" ca="1" si="195"/>
        <v>#VALUE!</v>
      </c>
      <c r="AG206" s="243" t="e">
        <f ca="1">IF(AND(INDEX(FlowCalConstA,MATCH(AD192,FlowCalNumber,0),1,1)*AF206^INDEX(FlowCalConstB,MATCH(AD192,FlowCalNumber,0),1,1)&gt;INDEX(FlowCalLowSetting,MATCH(AD192,FlowCalNumber,0),1,1), (INDEX(FlowCalConstA,MATCH(AD192,FlowCalNumber,0),1,1)*AF206^INDEX(FlowCalConstB,MATCH(AD192,FlowCalNumber,0),1,1)&lt;INDEX(FlowCalHighSetting,MATCH(AD192,FlowCalNumber,0),1,1))),INDEX(FlowCalConstA,MATCH(AD192,FlowCalNumber,0),1,1)*AF206^INDEX(FlowCalConstB,MATCH(AD192,FlowCalNumber,0),1,1)," ")</f>
        <v>#N/A</v>
      </c>
      <c r="AH206" s="33"/>
      <c r="AI206" s="242">
        <f t="shared" si="196"/>
        <v>0.9</v>
      </c>
      <c r="AJ206" s="241" t="e">
        <f t="shared" ca="1" si="197"/>
        <v>#VALUE!</v>
      </c>
      <c r="AK206" s="243" t="e">
        <f ca="1">IF(AND(INDEX(FlowCalConstA,MATCH(AH192,FlowCalNumber,0),1,1)*AJ206^INDEX(FlowCalConstB,MATCH(AH192,FlowCalNumber,0),1,1)&gt;INDEX(FlowCalLowSetting,MATCH(AH192,FlowCalNumber,0),1,1), (INDEX(FlowCalConstA,MATCH(AH192,FlowCalNumber,0),1,1)*AJ206^INDEX(FlowCalConstB,MATCH(AH192,FlowCalNumber,0),1,1)&lt;INDEX(FlowCalHighSetting,MATCH(AH192,FlowCalNumber,0),1,1))),INDEX(FlowCalConstA,MATCH(AH192,FlowCalNumber,0),1,1)*AJ206^INDEX(FlowCalConstB,MATCH(AH192,FlowCalNumber,0),1,1)," ")</f>
        <v>#N/A</v>
      </c>
      <c r="AL206" s="33"/>
      <c r="AM206" s="242"/>
      <c r="AN206" s="241"/>
      <c r="AO206" s="244"/>
      <c r="AQ206" s="242"/>
      <c r="AR206" s="241"/>
      <c r="AS206" s="244"/>
      <c r="AT206" s="33"/>
      <c r="AU206" s="242"/>
      <c r="AV206" s="241"/>
      <c r="AW206" s="244"/>
      <c r="AX206" s="33"/>
      <c r="AY206" s="242"/>
      <c r="AZ206" s="241"/>
      <c r="BA206" s="244"/>
      <c r="BB206" s="33"/>
      <c r="BC206" s="242"/>
      <c r="BD206" s="241"/>
      <c r="BE206" s="244"/>
      <c r="BF206" s="33"/>
      <c r="BG206" s="242"/>
      <c r="BH206" s="241"/>
      <c r="BI206" s="244"/>
      <c r="BJ206" s="33"/>
      <c r="BK206" s="242"/>
      <c r="BL206" s="241"/>
      <c r="BM206" s="244"/>
      <c r="BN206" s="33"/>
      <c r="BO206" s="242"/>
      <c r="BP206" s="241"/>
      <c r="BQ206" s="244"/>
      <c r="BR206" s="33"/>
      <c r="BS206" s="242"/>
      <c r="BT206" s="241"/>
      <c r="BU206" s="244"/>
      <c r="BV206" s="33"/>
      <c r="BW206" s="242"/>
      <c r="BX206" s="241"/>
      <c r="BY206" s="244"/>
      <c r="BZ206" s="33"/>
      <c r="CA206" s="242"/>
      <c r="CB206" s="241"/>
      <c r="CC206" s="244"/>
      <c r="CD206" s="243"/>
      <c r="CE206" s="243"/>
      <c r="CF206" s="243"/>
      <c r="CG206" s="243"/>
      <c r="CH206" s="243"/>
      <c r="CI206" s="243"/>
      <c r="CJ206" s="243"/>
      <c r="CK206" s="243"/>
      <c r="CL206" s="243"/>
      <c r="CM206" s="243"/>
      <c r="CN206" s="243"/>
      <c r="CO206" s="243"/>
      <c r="CP206" s="243"/>
      <c r="CQ206" s="243"/>
      <c r="CR206" s="243"/>
      <c r="CS206" s="243"/>
      <c r="CT206" s="243"/>
      <c r="CU206" s="243"/>
      <c r="CV206" s="243"/>
      <c r="CW206" s="243"/>
      <c r="CX206" s="243"/>
      <c r="CY206" s="243"/>
      <c r="CZ206" s="243"/>
      <c r="DA206" s="243"/>
      <c r="DB206" s="243"/>
      <c r="DC206" s="243"/>
      <c r="DD206" s="243"/>
      <c r="DE206" s="243"/>
      <c r="DF206" s="243"/>
      <c r="DG206" s="243"/>
      <c r="DH206" s="243"/>
      <c r="DI206" s="243"/>
      <c r="DJ206" s="243"/>
      <c r="DK206" s="243"/>
      <c r="DM206" s="242"/>
      <c r="DO206" s="243"/>
      <c r="DQ206" s="242"/>
      <c r="DS206" s="243"/>
      <c r="DU206" s="242"/>
      <c r="DW206" s="243"/>
      <c r="DY206" s="242"/>
      <c r="EA206" s="243"/>
    </row>
    <row r="207" spans="1:131">
      <c r="A207" s="20"/>
      <c r="B207" s="124" t="str">
        <f t="shared" si="182"/>
        <v/>
      </c>
      <c r="C207" s="235"/>
      <c r="D207" s="24">
        <f>'1% Wind'!$M$96</f>
        <v>1</v>
      </c>
      <c r="E207" s="90"/>
      <c r="F207" s="90"/>
      <c r="G207" s="79">
        <f ca="1">IF(I192=0.9743,$G206,MAX(G206/D206*D207,2))</f>
        <v>6.001707317073171</v>
      </c>
      <c r="H207" s="121" t="e">
        <f t="shared" ca="1" si="183"/>
        <v>#VALUE!</v>
      </c>
      <c r="J207" s="33"/>
      <c r="K207" s="242">
        <f t="shared" si="184"/>
        <v>1</v>
      </c>
      <c r="L207" s="241" t="e">
        <f t="shared" ca="1" si="185"/>
        <v>#VALUE!</v>
      </c>
      <c r="M207" s="243" t="e">
        <f ca="1">IF(AND(INDEX(FlowCalConstA,MATCH(J192,FlowCalNumber,0),1,1)*L207^INDEX(FlowCalConstB,MATCH(J192,FlowCalNumber,0),1,1)&gt;INDEX(FlowCalLowSetting,MATCH(J192,FlowCalNumber,0),1,1), (INDEX(FlowCalConstA,MATCH(J192,FlowCalNumber,0),1,1)*L207^INDEX(FlowCalConstB,MATCH(J192,FlowCalNumber,0),1,1)&lt;INDEX(FlowCalHighSetting,MATCH(J192,FlowCalNumber,0),1,1))),INDEX(FlowCalConstA,MATCH(J192,FlowCalNumber,0),1,1)*L207^INDEX(FlowCalConstB,MATCH(J192,FlowCalNumber,0),1,1)," ")</f>
        <v>#N/A</v>
      </c>
      <c r="N207" s="33"/>
      <c r="O207" s="242">
        <f t="shared" si="186"/>
        <v>1</v>
      </c>
      <c r="P207" s="241" t="e">
        <f t="shared" ca="1" si="187"/>
        <v>#VALUE!</v>
      </c>
      <c r="Q207" s="243" t="e">
        <f ca="1">IF(AND(INDEX(FlowCalConstA,MATCH(N192,FlowCalNumber,0),1,1)*P207^INDEX(FlowCalConstB,MATCH(N192,FlowCalNumber,0),1,1)&gt;INDEX(FlowCalLowSetting,MATCH(N192,FlowCalNumber,0),1,1), (INDEX(FlowCalConstA,MATCH(N192,FlowCalNumber,0),1,1)*P207^INDEX(FlowCalConstB,MATCH(N192,FlowCalNumber,0),1,1)&lt;INDEX(FlowCalHighSetting,MATCH(N192,FlowCalNumber,0),1,1))),INDEX(FlowCalConstA,MATCH(N192,FlowCalNumber,0),1,1)*P207^INDEX(FlowCalConstB,MATCH(N192,FlowCalNumber,0),1,1)," ")</f>
        <v>#N/A</v>
      </c>
      <c r="R207" s="33"/>
      <c r="S207" s="242">
        <f t="shared" si="188"/>
        <v>1</v>
      </c>
      <c r="T207" s="241" t="e">
        <f t="shared" ca="1" si="189"/>
        <v>#VALUE!</v>
      </c>
      <c r="U207" s="244" t="e">
        <f ca="1">IF(AND(INDEX(FlowCalConstA,MATCH(R192,FlowCalNumber,0),1,1)*T207^INDEX(FlowCalConstB,MATCH(R192,FlowCalNumber,0),1,1)&gt;INDEX(FlowCalLowSetting,MATCH(R192,FlowCalNumber,0),1,1), (INDEX(FlowCalConstA,MATCH(R192,FlowCalNumber,0),1,1)*T207^INDEX(FlowCalConstB,MATCH(R192,FlowCalNumber,0),1,1)&lt;INDEX(FlowCalHighSetting,MATCH(R192,FlowCalNumber,0),1,1))),INDEX(FlowCalConstA,MATCH(R192,FlowCalNumber,0),1,1)*T207^INDEX(FlowCalConstB,MATCH(R192,FlowCalNumber,0),1,1)," ")</f>
        <v>#N/A</v>
      </c>
      <c r="V207" s="33"/>
      <c r="W207" s="242">
        <f t="shared" si="190"/>
        <v>0.1</v>
      </c>
      <c r="X207" s="241" t="e">
        <f t="shared" ca="1" si="191"/>
        <v>#VALUE!</v>
      </c>
      <c r="Y207" s="243" t="e">
        <f ca="1">IF(AND(INDEX(FlowCalConstA,MATCH(V192,FlowCalNumber,0),1,1)*X207^INDEX(FlowCalConstB,MATCH(V192,FlowCalNumber,0),1,1)&gt;INDEX(FlowCalLowSetting,MATCH(V192,FlowCalNumber,0),1,1), (INDEX(FlowCalConstA,MATCH(V192,FlowCalNumber,0),1,1)*X207^INDEX(FlowCalConstB,MATCH(V192,FlowCalNumber,0),1,1)&lt;INDEX(FlowCalHighSetting,MATCH(V192,FlowCalNumber,0),1,1))),INDEX(FlowCalConstA,MATCH(V192,FlowCalNumber,0),1,1)*X207^INDEX(FlowCalConstB,MATCH(V192,FlowCalNumber,0),1,1)," ")</f>
        <v>#N/A</v>
      </c>
      <c r="Z207" s="33"/>
      <c r="AA207" s="242">
        <f t="shared" si="192"/>
        <v>0.9</v>
      </c>
      <c r="AB207" s="241" t="e">
        <f t="shared" ca="1" si="193"/>
        <v>#VALUE!</v>
      </c>
      <c r="AC207" s="243" t="e">
        <f ca="1">IF(AND(INDEX(FlowCalConstA,MATCH(Z192,FlowCalNumber,0),1,1)*AB207^INDEX(FlowCalConstB,MATCH(Z192,FlowCalNumber,0),1,1)&gt;INDEX(FlowCalLowSetting,MATCH(Z192,FlowCalNumber,0),1,1), (INDEX(FlowCalConstA,MATCH(Z192,FlowCalNumber,0),1,1)*AB207^INDEX(FlowCalConstB,MATCH(Z192,FlowCalNumber,0),1,1)&lt;INDEX(FlowCalHighSetting,MATCH(Z192,FlowCalNumber,0),1,1))),INDEX(FlowCalConstA,MATCH(Z192,FlowCalNumber,0),1,1)*AB207^INDEX(FlowCalConstB,MATCH(Z192,FlowCalNumber,0),1,1)," ")</f>
        <v>#N/A</v>
      </c>
      <c r="AD207" s="33"/>
      <c r="AE207" s="242">
        <f t="shared" si="194"/>
        <v>0.1</v>
      </c>
      <c r="AF207" s="241" t="e">
        <f t="shared" ca="1" si="195"/>
        <v>#VALUE!</v>
      </c>
      <c r="AG207" s="243" t="e">
        <f ca="1">IF(AND(INDEX(FlowCalConstA,MATCH(AD192,FlowCalNumber,0),1,1)*AF207^INDEX(FlowCalConstB,MATCH(AD192,FlowCalNumber,0),1,1)&gt;INDEX(FlowCalLowSetting,MATCH(AD192,FlowCalNumber,0),1,1), (INDEX(FlowCalConstA,MATCH(AD192,FlowCalNumber,0),1,1)*AF207^INDEX(FlowCalConstB,MATCH(AD192,FlowCalNumber,0),1,1)&lt;INDEX(FlowCalHighSetting,MATCH(AD192,FlowCalNumber,0),1,1))),INDEX(FlowCalConstA,MATCH(AD192,FlowCalNumber,0),1,1)*AF207^INDEX(FlowCalConstB,MATCH(AD192,FlowCalNumber,0),1,1)," ")</f>
        <v>#N/A</v>
      </c>
      <c r="AH207" s="33"/>
      <c r="AI207" s="242">
        <f t="shared" si="196"/>
        <v>0.9</v>
      </c>
      <c r="AJ207" s="241" t="e">
        <f t="shared" ca="1" si="197"/>
        <v>#VALUE!</v>
      </c>
      <c r="AK207" s="243" t="e">
        <f ca="1">IF(AND(INDEX(FlowCalConstA,MATCH(AH192,FlowCalNumber,0),1,1)*AJ207^INDEX(FlowCalConstB,MATCH(AH192,FlowCalNumber,0),1,1)&gt;INDEX(FlowCalLowSetting,MATCH(AH192,FlowCalNumber,0),1,1), (INDEX(FlowCalConstA,MATCH(AH192,FlowCalNumber,0),1,1)*AJ207^INDEX(FlowCalConstB,MATCH(AH192,FlowCalNumber,0),1,1)&lt;INDEX(FlowCalHighSetting,MATCH(AH192,FlowCalNumber,0),1,1))),INDEX(FlowCalConstA,MATCH(AH192,FlowCalNumber,0),1,1)*AJ207^INDEX(FlowCalConstB,MATCH(AH192,FlowCalNumber,0),1,1)," ")</f>
        <v>#N/A</v>
      </c>
      <c r="AL207" s="33"/>
      <c r="AM207" s="242"/>
      <c r="AN207" s="241"/>
      <c r="AO207" s="244"/>
      <c r="AQ207" s="242"/>
      <c r="AR207" s="241"/>
      <c r="AS207" s="244"/>
      <c r="AT207" s="33"/>
      <c r="AU207" s="242"/>
      <c r="AV207" s="241"/>
      <c r="AW207" s="244"/>
      <c r="AX207" s="33"/>
      <c r="AY207" s="242"/>
      <c r="AZ207" s="241"/>
      <c r="BA207" s="244"/>
      <c r="BB207" s="33"/>
      <c r="BC207" s="242"/>
      <c r="BD207" s="241"/>
      <c r="BE207" s="244"/>
      <c r="BF207" s="33"/>
      <c r="BG207" s="242"/>
      <c r="BH207" s="241"/>
      <c r="BI207" s="244"/>
      <c r="BJ207" s="33"/>
      <c r="BK207" s="242"/>
      <c r="BL207" s="241"/>
      <c r="BM207" s="244"/>
      <c r="BN207" s="33"/>
      <c r="BO207" s="242"/>
      <c r="BP207" s="241"/>
      <c r="BQ207" s="244"/>
      <c r="BR207" s="33"/>
      <c r="BS207" s="242"/>
      <c r="BT207" s="241"/>
      <c r="BU207" s="244"/>
      <c r="BV207" s="33"/>
      <c r="BW207" s="242"/>
      <c r="BX207" s="241"/>
      <c r="BY207" s="244"/>
      <c r="BZ207" s="33"/>
      <c r="CA207" s="242"/>
      <c r="CB207" s="241"/>
      <c r="CC207" s="244"/>
      <c r="CD207" s="243"/>
      <c r="CE207" s="243"/>
      <c r="CF207" s="243"/>
      <c r="CG207" s="243"/>
      <c r="CH207" s="243"/>
      <c r="CI207" s="243"/>
      <c r="CJ207" s="243"/>
      <c r="CK207" s="243"/>
      <c r="CL207" s="243"/>
      <c r="CM207" s="243"/>
      <c r="CN207" s="243"/>
      <c r="CO207" s="243"/>
      <c r="CP207" s="243"/>
      <c r="CQ207" s="243"/>
      <c r="CR207" s="243"/>
      <c r="CS207" s="243"/>
      <c r="CT207" s="243"/>
      <c r="CU207" s="243"/>
      <c r="CV207" s="243"/>
      <c r="CW207" s="243"/>
      <c r="CX207" s="243"/>
      <c r="CY207" s="243"/>
      <c r="CZ207" s="243"/>
      <c r="DA207" s="243"/>
      <c r="DB207" s="243"/>
      <c r="DC207" s="243"/>
      <c r="DD207" s="243"/>
      <c r="DE207" s="243"/>
      <c r="DF207" s="243"/>
      <c r="DG207" s="243"/>
      <c r="DH207" s="243"/>
      <c r="DI207" s="243"/>
      <c r="DJ207" s="243"/>
      <c r="DK207" s="243"/>
      <c r="DM207" s="242"/>
      <c r="DO207" s="243"/>
      <c r="DQ207" s="242"/>
      <c r="DS207" s="243"/>
      <c r="DU207" s="242"/>
      <c r="DW207" s="243"/>
      <c r="DY207" s="242"/>
      <c r="EA207" s="243"/>
    </row>
    <row r="208" spans="1:131">
      <c r="A208" s="33"/>
      <c r="B208" s="33"/>
      <c r="C208" s="235"/>
      <c r="E208" s="90"/>
      <c r="F208" s="90"/>
      <c r="G208" s="33"/>
      <c r="J208" s="33"/>
      <c r="M208" s="243"/>
      <c r="N208" s="33"/>
      <c r="Q208" s="243"/>
      <c r="R208" s="33"/>
      <c r="U208" s="244"/>
      <c r="V208" s="33"/>
      <c r="Y208" s="243"/>
      <c r="Z208" s="33"/>
      <c r="AC208" s="243"/>
      <c r="AD208" s="33"/>
      <c r="AG208" s="243"/>
      <c r="AH208" s="33"/>
      <c r="AK208" s="243"/>
      <c r="AL208" s="33"/>
      <c r="AO208" s="244"/>
      <c r="AS208" s="244"/>
      <c r="AT208" s="33"/>
      <c r="AW208" s="244"/>
      <c r="AX208" s="33"/>
      <c r="BA208" s="244"/>
      <c r="BB208" s="33"/>
      <c r="BE208" s="244"/>
      <c r="BF208" s="33"/>
      <c r="BI208" s="244"/>
      <c r="BJ208" s="33"/>
      <c r="BM208" s="244"/>
      <c r="BN208" s="33"/>
      <c r="BQ208" s="244"/>
      <c r="BR208" s="792"/>
      <c r="BS208" s="243"/>
      <c r="BT208" s="243"/>
      <c r="BU208" s="244"/>
      <c r="BV208" s="33"/>
      <c r="BY208" s="244"/>
      <c r="BZ208" s="33"/>
      <c r="CC208" s="244"/>
      <c r="CD208" s="243"/>
      <c r="CE208" s="243"/>
      <c r="CF208" s="243"/>
      <c r="CG208" s="243"/>
      <c r="CH208" s="243"/>
      <c r="CI208" s="243"/>
      <c r="CJ208" s="243"/>
      <c r="CK208" s="243"/>
      <c r="CL208" s="243"/>
      <c r="CM208" s="243"/>
      <c r="CN208" s="243"/>
      <c r="CO208" s="243"/>
      <c r="CP208" s="243"/>
      <c r="CQ208" s="243"/>
      <c r="CR208" s="243"/>
      <c r="CS208" s="243"/>
      <c r="CT208" s="243"/>
      <c r="CU208" s="243"/>
      <c r="CV208" s="243"/>
      <c r="CW208" s="243"/>
      <c r="CX208" s="243"/>
      <c r="CY208" s="243"/>
      <c r="CZ208" s="243"/>
      <c r="DA208" s="243"/>
      <c r="DB208" s="243"/>
      <c r="DC208" s="243"/>
      <c r="DD208" s="243"/>
      <c r="DE208" s="243"/>
      <c r="DF208" s="243"/>
      <c r="DG208" s="243"/>
      <c r="DH208" s="243"/>
      <c r="DI208" s="243"/>
      <c r="DJ208" s="243"/>
      <c r="DK208" s="243"/>
      <c r="DO208" s="243"/>
      <c r="DS208" s="243"/>
      <c r="DW208" s="243"/>
      <c r="EA208" s="243"/>
    </row>
    <row r="209" spans="1:131">
      <c r="A209" s="256" t="str">
        <f>IF((RIGHT(A192,1))&lt;&gt;"Z",CHAR(CODE(A192))&amp;CHAR(CODE(RIGHT(A192,1))+1),CHAR(CODE(A192)+1)&amp;"A")</f>
        <v>AL</v>
      </c>
      <c r="B209" s="270" t="str">
        <f>INDEX(SourceID,MATCH($A209,SourceNumber,0),1,1)</f>
        <v>DG</v>
      </c>
      <c r="C209" s="354">
        <f>INDEX(SourceExitDiameter,MATCH($A209,SourceNumber,0),1,1)*3.28*12</f>
        <v>14</v>
      </c>
      <c r="D209" s="24" t="str">
        <f>UAnem1percent</f>
        <v>1% Wind</v>
      </c>
      <c r="E209" s="350" t="e">
        <f ca="1">INDIRECT(ADDRESS(53,6,1,,CONCATENATE("TA",$A209)))</f>
        <v>#REF!</v>
      </c>
      <c r="F209" s="625" t="e">
        <f ca="1">(ROUND((INDIRECT(ADDRESS(15,7,1,,CONCATENATE("TA",$A209)))*3.28*12*32),0)&amp;"/32")</f>
        <v>#REF!</v>
      </c>
      <c r="G209" s="125">
        <f ca="1">INDIRECT(ADDRESS(29,7,1,,$A209))</f>
        <v>6.001707317073171</v>
      </c>
      <c r="H209" s="24" t="e">
        <f ca="1">INDIRECT(ADDRESS(19,7,1,,$A209))*100^3</f>
        <v>#VALUE!</v>
      </c>
      <c r="I209" s="941">
        <f ca="1">INDIRECT(ADDRESS(53,7,1,,$A209))</f>
        <v>0.97430000000000005</v>
      </c>
      <c r="J209" s="20" t="str">
        <f ca="1">IF($I209=$I$6,K$16&amp;$G$6&amp;J$6,IF($I209=$I$7,K$16&amp;$G$7&amp;J$7,"Bad"))</f>
        <v>100EthPick a Tunnel</v>
      </c>
      <c r="K209" t="e">
        <f ca="1">INDEX(FlowCalGasMixture,MATCH(J209,FlowCalNumber,0),1,1)</f>
        <v>#N/A</v>
      </c>
      <c r="M209" s="944" t="e">
        <f ca="1">INDEX(FlowCalDevice,MATCH(J209,FlowCalNumber,0),1,1)</f>
        <v>#N/A</v>
      </c>
      <c r="N209" s="943" t="str">
        <f ca="1">IF($I209=$I$6,O$16&amp;$G$6&amp;"90"&amp;$H$6&amp;N$6,IF($I209=$I$7,O$16&amp;$G$7&amp;"90"&amp;$H$7&amp;N$7,"Bad"))</f>
        <v>10Eth90N2Pick a Tunnel</v>
      </c>
      <c r="O209" t="e">
        <f ca="1">INDEX(FlowCalGasMixture,MATCH(N209,FlowCalNumber,0),1,1)</f>
        <v>#N/A</v>
      </c>
      <c r="Q209" s="944" t="e">
        <f ca="1">INDEX(FlowCalDevice,MATCH(N209,FlowCalNumber,0),1,1)</f>
        <v>#N/A</v>
      </c>
      <c r="R209" s="943" t="str">
        <f ca="1">IF($I209=$I$6,S$16&amp;$G$6&amp;"90"&amp;$H$6&amp;R$6,IF($I209=$I$7,S$16&amp;$G$7&amp;"90"&amp;$H$7&amp;R$7,"Bad"))</f>
        <v>10Eth90N2Pick a Tunnel</v>
      </c>
      <c r="S209" t="e">
        <f ca="1">INDEX(FlowCalGasMixture,MATCH(R209,FlowCalNumber,0),1,1)</f>
        <v>#N/A</v>
      </c>
      <c r="U209" s="944" t="e">
        <f ca="1">INDEX(FlowCalDevice,MATCH(R209,FlowCalNumber,0),1,1)</f>
        <v>#N/A</v>
      </c>
      <c r="V209" s="20" t="str">
        <f ca="1">IF($I209=$I$6,W$16&amp;$G$6&amp;V$6,IF($I209=$I$7,W$16&amp;$G$7&amp;V$7,"Bad"))</f>
        <v>100EthPick a Tunnel</v>
      </c>
      <c r="W209" t="e">
        <f ca="1">INDEX(FlowCalGasMixture,MATCH(V209,FlowCalNumber,0),1,1)</f>
        <v>#N/A</v>
      </c>
      <c r="Y209" s="944" t="e">
        <f ca="1">INDEX(FlowCalDevice,MATCH(V209,FlowCalNumber,0),1,1)</f>
        <v>#N/A</v>
      </c>
      <c r="Z209" s="946" t="str">
        <f ca="1">IF($I209=$I$6,AA$18&amp;$H$6&amp;Z$6,IF($I209=$I$7,AA$18&amp;$H$7&amp;Z$7,"Bad"))</f>
        <v>100N2Pick a Tunnel</v>
      </c>
      <c r="AA209" t="e">
        <f ca="1">INDEX(FlowCalGasMixture,MATCH(Z209,FlowCalNumber,0),1,1)</f>
        <v>#N/A</v>
      </c>
      <c r="AC209" s="944" t="e">
        <f ca="1">INDEX(FlowCalDevice,MATCH(Z209,FlowCalNumber,0),1,1)</f>
        <v>#N/A</v>
      </c>
      <c r="AD209" s="20" t="str">
        <f ca="1">IF($I209=$I$6,AE$16&amp;$G$6&amp;AD$6,IF($I209=$I$7,AE$16&amp;$G$7&amp;AD$7,"Bad"))</f>
        <v>100EthPick a Tunnel</v>
      </c>
      <c r="AE209" t="e">
        <f ca="1">INDEX(FlowCalGasMixture,MATCH(AD209,FlowCalNumber,0),1,1)</f>
        <v>#N/A</v>
      </c>
      <c r="AG209" s="944" t="e">
        <f ca="1">INDEX(FlowCalDevice,MATCH(AD209,FlowCalNumber,0),1,1)</f>
        <v>#N/A</v>
      </c>
      <c r="AH209" s="946" t="str">
        <f ca="1">IF($I209=$I$6,AI$18&amp;$H$6&amp;AH$6,IF($I209=$I$7,AI$18&amp;$H$7&amp;AH$7,"Bad"))</f>
        <v>100N2Pick a Tunnel</v>
      </c>
      <c r="AI209" t="e">
        <f ca="1">INDEX(FlowCalGasMixture,MATCH(AH209,FlowCalNumber,0),1,1)</f>
        <v>#N/A</v>
      </c>
      <c r="AK209" s="944" t="e">
        <f ca="1">INDEX(FlowCalDevice,MATCH(AH209,FlowCalNumber,0),1,1)</f>
        <v>#N/A</v>
      </c>
      <c r="AL209" s="20"/>
      <c r="AO209" s="982"/>
      <c r="AP209" s="960"/>
      <c r="AS209" s="982"/>
      <c r="AT209" s="20"/>
      <c r="AW209" s="982"/>
      <c r="AX209" s="946"/>
      <c r="BA209" s="982"/>
      <c r="BB209" s="20"/>
      <c r="BC209" s="16"/>
      <c r="BE209" s="982"/>
      <c r="BF209" s="946"/>
      <c r="BG209" s="16"/>
      <c r="BI209" s="982"/>
      <c r="BJ209" s="946"/>
      <c r="BK209" s="16"/>
      <c r="BM209" s="982"/>
      <c r="BN209" s="20"/>
      <c r="BO209" s="16"/>
      <c r="BQ209" s="982"/>
      <c r="BR209" s="946"/>
      <c r="BS209" s="16"/>
      <c r="BU209" s="982"/>
      <c r="BV209" s="946"/>
      <c r="BW209" s="16"/>
      <c r="BY209" s="982"/>
      <c r="BZ209" s="946"/>
      <c r="CA209" s="16"/>
      <c r="CC209" s="982"/>
      <c r="CD209" s="355"/>
      <c r="CE209" s="355"/>
      <c r="CF209" s="355"/>
      <c r="CG209" s="355"/>
      <c r="CH209" s="355"/>
      <c r="CI209" s="355"/>
      <c r="CJ209" s="355"/>
      <c r="CK209" s="355"/>
      <c r="CL209" s="355"/>
      <c r="CM209" s="355"/>
      <c r="CN209" s="355"/>
      <c r="CO209" s="355"/>
      <c r="CP209" s="355"/>
      <c r="CQ209" s="355"/>
      <c r="CR209" s="355"/>
      <c r="CS209" s="355"/>
      <c r="CT209" s="355"/>
      <c r="CU209" s="355"/>
      <c r="CV209" s="355"/>
      <c r="CW209" s="355"/>
      <c r="CX209" s="355"/>
      <c r="CY209" s="355"/>
      <c r="CZ209" s="355"/>
      <c r="DA209" s="355"/>
      <c r="DB209" s="355"/>
      <c r="DC209" s="355"/>
      <c r="DD209" s="355"/>
      <c r="DE209" s="355"/>
      <c r="DF209" s="355"/>
      <c r="DG209" s="355"/>
      <c r="DH209" s="355"/>
      <c r="DI209" s="355"/>
      <c r="DJ209" s="355"/>
      <c r="DK209" s="355"/>
      <c r="DL209" s="46"/>
      <c r="DM209" s="16"/>
      <c r="DO209" s="355"/>
      <c r="DP209" s="42"/>
      <c r="DQ209" s="16"/>
      <c r="DS209" s="355"/>
      <c r="DT209" s="42"/>
      <c r="DU209" s="16"/>
      <c r="DW209" s="355"/>
      <c r="DX209" s="42"/>
      <c r="DY209" s="16"/>
      <c r="EA209" s="355"/>
    </row>
    <row r="210" spans="1:131">
      <c r="A210" s="20"/>
      <c r="B210" s="124" t="str">
        <f t="shared" ref="B210:B224" si="198">IF(D210=UAnem1percent,"1% Wind","")</f>
        <v/>
      </c>
      <c r="C210" s="235"/>
      <c r="D210" s="24">
        <f>'1% Wind'!$M$82</f>
        <v>27</v>
      </c>
      <c r="E210" s="90"/>
      <c r="F210" s="90"/>
      <c r="G210" s="79">
        <f ca="1">IF(I209=0.9743,$G209,MAX(G209/D209*D210,2))</f>
        <v>6.001707317073171</v>
      </c>
      <c r="H210" s="121" t="e">
        <f t="shared" ref="H210:H224" ca="1" si="199">H209*(D209/D210)*(G210/G209)</f>
        <v>#VALUE!</v>
      </c>
      <c r="J210" s="33"/>
      <c r="K210" s="260">
        <f>K$17/100</f>
        <v>1</v>
      </c>
      <c r="L210" s="241" t="e">
        <f ca="1">K210*$H210</f>
        <v>#VALUE!</v>
      </c>
      <c r="M210" s="243" t="e">
        <f ca="1">IF(AND(INDEX(FlowCalConstA,MATCH(J209,FlowCalNumber,0),1,1)*L210^INDEX(FlowCalConstB,MATCH(J209,FlowCalNumber,0),1,1)&gt;INDEX(FlowCalLowSetting,MATCH(J209,FlowCalNumber,0),1,1), (INDEX(FlowCalConstA,MATCH(J209,FlowCalNumber,0),1,1)*L210^INDEX(FlowCalConstB,MATCH(J209,FlowCalNumber,0),1,1)&lt;INDEX(FlowCalHighSetting,MATCH(J209,FlowCalNumber,0),1,1))),INDEX(FlowCalConstA,MATCH(J209,FlowCalNumber,0),1,1)*L210^INDEX(FlowCalConstB,MATCH(J209,FlowCalNumber,0),1,1)," ")</f>
        <v>#N/A</v>
      </c>
      <c r="N210" s="33"/>
      <c r="O210" s="260">
        <f>O$17/100</f>
        <v>1</v>
      </c>
      <c r="P210" s="241" t="e">
        <f ca="1">O210*$H210</f>
        <v>#VALUE!</v>
      </c>
      <c r="Q210" s="243" t="e">
        <f ca="1">IF(AND(INDEX(FlowCalConstA,MATCH(N209,FlowCalNumber,0),1,1)*P210^INDEX(FlowCalConstB,MATCH(N209,FlowCalNumber,0),1,1)&gt;INDEX(FlowCalLowSetting,MATCH(N209,FlowCalNumber,0),1,1), (INDEX(FlowCalConstA,MATCH(N209,FlowCalNumber,0),1,1)*P210^INDEX(FlowCalConstB,MATCH(N209,FlowCalNumber,0),1,1)&lt;INDEX(FlowCalHighSetting,MATCH(N209,FlowCalNumber,0),1,1))),INDEX(FlowCalConstA,MATCH(N209,FlowCalNumber,0),1,1)*P210^INDEX(FlowCalConstB,MATCH(N209,FlowCalNumber,0),1,1)," ")</f>
        <v>#N/A</v>
      </c>
      <c r="R210" s="33"/>
      <c r="S210" s="260">
        <f>S$17/100</f>
        <v>1</v>
      </c>
      <c r="T210" s="241" t="e">
        <f ca="1">S210*$H210</f>
        <v>#VALUE!</v>
      </c>
      <c r="U210" s="244" t="e">
        <f ca="1">IF(AND(INDEX(FlowCalConstA,MATCH(R209,FlowCalNumber,0),1,1)*T210^INDEX(FlowCalConstB,MATCH(R209,FlowCalNumber,0),1,1)&gt;INDEX(FlowCalLowSetting,MATCH(R209,FlowCalNumber,0),1,1), (INDEX(FlowCalConstA,MATCH(R209,FlowCalNumber,0),1,1)*T210^INDEX(FlowCalConstB,MATCH(R209,FlowCalNumber,0),1,1)&lt;INDEX(FlowCalHighSetting,MATCH(R209,FlowCalNumber,0),1,1))),INDEX(FlowCalConstA,MATCH(R209,FlowCalNumber,0),1,1)*T210^INDEX(FlowCalConstB,MATCH(R209,FlowCalNumber,0),1,1)," ")</f>
        <v>#N/A</v>
      </c>
      <c r="V210" s="33"/>
      <c r="W210" s="260">
        <f>W$17/100</f>
        <v>0.1</v>
      </c>
      <c r="X210" s="241" t="e">
        <f ca="1">W210*$H210</f>
        <v>#VALUE!</v>
      </c>
      <c r="Y210" s="243" t="e">
        <f ca="1">IF(AND(INDEX(FlowCalConstA,MATCH(V209,FlowCalNumber,0),1,1)*X210^INDEX(FlowCalConstB,MATCH(V209,FlowCalNumber,0),1,1)&gt;INDEX(FlowCalLowSetting,MATCH(V209,FlowCalNumber,0),1,1), (INDEX(FlowCalConstA,MATCH(V209,FlowCalNumber,0),1,1)*X210^INDEX(FlowCalConstB,MATCH(V209,FlowCalNumber,0),1,1)&lt;INDEX(FlowCalHighSetting,MATCH(V209,FlowCalNumber,0),1,1))),INDEX(FlowCalConstA,MATCH(V209,FlowCalNumber,0),1,1)*X210^INDEX(FlowCalConstB,MATCH(V209,FlowCalNumber,0),1,1)," ")</f>
        <v>#N/A</v>
      </c>
      <c r="Z210" s="33"/>
      <c r="AA210" s="260">
        <f>AA$17/100</f>
        <v>0.9</v>
      </c>
      <c r="AB210" s="241" t="e">
        <f ca="1">AA210*$H210</f>
        <v>#VALUE!</v>
      </c>
      <c r="AC210" s="243" t="e">
        <f ca="1">IF(AND(INDEX(FlowCalConstA,MATCH(Z209,FlowCalNumber,0),1,1)*AB210^INDEX(FlowCalConstB,MATCH(Z209,FlowCalNumber,0),1,1)&gt;INDEX(FlowCalLowSetting,MATCH(Z209,FlowCalNumber,0),1,1), (INDEX(FlowCalConstA,MATCH(Z209,FlowCalNumber,0),1,1)*AB210^INDEX(FlowCalConstB,MATCH(Z209,FlowCalNumber,0),1,1)&lt;INDEX(FlowCalHighSetting,MATCH(Z209,FlowCalNumber,0),1,1))),INDEX(FlowCalConstA,MATCH(Z209,FlowCalNumber,0),1,1)*AB210^INDEX(FlowCalConstB,MATCH(Z209,FlowCalNumber,0),1,1)," ")</f>
        <v>#N/A</v>
      </c>
      <c r="AD210" s="33"/>
      <c r="AE210" s="260">
        <f>AE$17/100</f>
        <v>0.1</v>
      </c>
      <c r="AF210" s="241" t="e">
        <f ca="1">AE210*$H210</f>
        <v>#VALUE!</v>
      </c>
      <c r="AG210" s="243" t="e">
        <f ca="1">IF(AND(INDEX(FlowCalConstA,MATCH(AD209,FlowCalNumber,0),1,1)*AF210^INDEX(FlowCalConstB,MATCH(AD209,FlowCalNumber,0),1,1)&gt;INDEX(FlowCalLowSetting,MATCH(AD209,FlowCalNumber,0),1,1), (INDEX(FlowCalConstA,MATCH(AD209,FlowCalNumber,0),1,1)*AF210^INDEX(FlowCalConstB,MATCH(AD209,FlowCalNumber,0),1,1)&lt;INDEX(FlowCalHighSetting,MATCH(AD209,FlowCalNumber,0),1,1))),INDEX(FlowCalConstA,MATCH(AD209,FlowCalNumber,0),1,1)*AF210^INDEX(FlowCalConstB,MATCH(AD209,FlowCalNumber,0),1,1)," ")</f>
        <v>#N/A</v>
      </c>
      <c r="AH210" s="33"/>
      <c r="AI210" s="260">
        <f>AI$17/100</f>
        <v>0.9</v>
      </c>
      <c r="AJ210" s="241" t="e">
        <f ca="1">AI210*$H210</f>
        <v>#VALUE!</v>
      </c>
      <c r="AK210" s="243" t="e">
        <f ca="1">IF(AND(INDEX(FlowCalConstA,MATCH(AH209,FlowCalNumber,0),1,1)*AJ210^INDEX(FlowCalConstB,MATCH(AH209,FlowCalNumber,0),1,1)&gt;INDEX(FlowCalLowSetting,MATCH(AH209,FlowCalNumber,0),1,1), (INDEX(FlowCalConstA,MATCH(AH209,FlowCalNumber,0),1,1)*AJ210^INDEX(FlowCalConstB,MATCH(AH209,FlowCalNumber,0),1,1)&lt;INDEX(FlowCalHighSetting,MATCH(AH209,FlowCalNumber,0),1,1))),INDEX(FlowCalConstA,MATCH(AH209,FlowCalNumber,0),1,1)*AJ210^INDEX(FlowCalConstB,MATCH(AH209,FlowCalNumber,0),1,1)," ")</f>
        <v>#N/A</v>
      </c>
      <c r="AL210" s="33"/>
      <c r="AM210" s="260"/>
      <c r="AN210" s="241"/>
      <c r="AO210" s="244"/>
      <c r="AQ210" s="260"/>
      <c r="AR210" s="241"/>
      <c r="AS210" s="244"/>
      <c r="AT210" s="33"/>
      <c r="AU210" s="260"/>
      <c r="AV210" s="241"/>
      <c r="AW210" s="244"/>
      <c r="AX210" s="33"/>
      <c r="AY210" s="260"/>
      <c r="AZ210" s="241"/>
      <c r="BA210" s="244"/>
      <c r="BB210" s="33"/>
      <c r="BC210" s="260"/>
      <c r="BD210" s="241"/>
      <c r="BE210" s="244"/>
      <c r="BF210" s="33"/>
      <c r="BG210" s="260"/>
      <c r="BH210" s="241"/>
      <c r="BI210" s="244"/>
      <c r="BJ210" s="33"/>
      <c r="BK210" s="260"/>
      <c r="BL210" s="241"/>
      <c r="BM210" s="244"/>
      <c r="BN210" s="33"/>
      <c r="BO210" s="260"/>
      <c r="BP210" s="241"/>
      <c r="BQ210" s="244"/>
      <c r="BR210" s="33"/>
      <c r="BS210" s="260"/>
      <c r="BT210" s="241"/>
      <c r="BU210" s="244"/>
      <c r="BV210" s="33"/>
      <c r="BW210" s="260"/>
      <c r="BX210" s="241"/>
      <c r="BY210" s="244"/>
      <c r="BZ210" s="33"/>
      <c r="CA210" s="260"/>
      <c r="CB210" s="241"/>
      <c r="CC210" s="244"/>
      <c r="CD210" s="243"/>
      <c r="CE210" s="243"/>
      <c r="CF210" s="243"/>
      <c r="CG210" s="243"/>
      <c r="CH210" s="243"/>
      <c r="CI210" s="243"/>
      <c r="CJ210" s="243"/>
      <c r="CK210" s="243"/>
      <c r="CL210" s="243"/>
      <c r="CM210" s="243"/>
      <c r="CN210" s="243"/>
      <c r="CO210" s="243"/>
      <c r="CP210" s="243"/>
      <c r="CQ210" s="243"/>
      <c r="CR210" s="243"/>
      <c r="CS210" s="243"/>
      <c r="CT210" s="243"/>
      <c r="CU210" s="243"/>
      <c r="CV210" s="243"/>
      <c r="CW210" s="243"/>
      <c r="CX210" s="243"/>
      <c r="CY210" s="243"/>
      <c r="CZ210" s="243"/>
      <c r="DA210" s="243"/>
      <c r="DB210" s="243"/>
      <c r="DC210" s="243"/>
      <c r="DD210" s="243"/>
      <c r="DE210" s="243"/>
      <c r="DF210" s="243"/>
      <c r="DG210" s="243"/>
      <c r="DH210" s="243"/>
      <c r="DI210" s="243"/>
      <c r="DJ210" s="243"/>
      <c r="DK210" s="243"/>
      <c r="DM210" s="259"/>
      <c r="DO210" s="243"/>
      <c r="DQ210" s="259"/>
      <c r="DS210" s="243"/>
      <c r="DU210" s="259"/>
      <c r="DW210" s="243"/>
      <c r="DY210" s="260"/>
      <c r="EA210" s="243"/>
    </row>
    <row r="211" spans="1:131">
      <c r="A211" s="20"/>
      <c r="B211" s="124" t="str">
        <f t="shared" si="198"/>
        <v/>
      </c>
      <c r="C211" s="235"/>
      <c r="D211" s="24">
        <f>'1% Wind'!$M$83</f>
        <v>23.5</v>
      </c>
      <c r="E211" s="90"/>
      <c r="F211" s="90"/>
      <c r="G211" s="79">
        <f ca="1">IF(I209=0.9743,$G210,MAX(G210/D210*D211,2))</f>
        <v>6.001707317073171</v>
      </c>
      <c r="H211" s="121" t="e">
        <f t="shared" ca="1" si="199"/>
        <v>#VALUE!</v>
      </c>
      <c r="J211" s="33"/>
      <c r="K211" s="242">
        <f t="shared" ref="K211:K224" si="200">K210</f>
        <v>1</v>
      </c>
      <c r="L211" s="241" t="e">
        <f t="shared" ref="L211:L224" ca="1" si="201">K211*$H211</f>
        <v>#VALUE!</v>
      </c>
      <c r="M211" s="243" t="e">
        <f ca="1">IF(AND(INDEX(FlowCalConstA,MATCH(J209,FlowCalNumber,0),1,1)*L211^INDEX(FlowCalConstB,MATCH(J209,FlowCalNumber,0),1,1)&gt;INDEX(FlowCalLowSetting,MATCH(J209,FlowCalNumber,0),1,1), (INDEX(FlowCalConstA,MATCH(J209,FlowCalNumber,0),1,1)*L211^INDEX(FlowCalConstB,MATCH(J209,FlowCalNumber,0),1,1)&lt;INDEX(FlowCalHighSetting,MATCH(J209,FlowCalNumber,0),1,1))),INDEX(FlowCalConstA,MATCH(J209,FlowCalNumber,0),1,1)*L211^INDEX(FlowCalConstB,MATCH(J209,FlowCalNumber,0),1,1)," ")</f>
        <v>#N/A</v>
      </c>
      <c r="N211" s="33"/>
      <c r="O211" s="242">
        <f t="shared" ref="O211:O224" si="202">O210</f>
        <v>1</v>
      </c>
      <c r="P211" s="241" t="e">
        <f t="shared" ref="P211:P224" ca="1" si="203">O211*$H211</f>
        <v>#VALUE!</v>
      </c>
      <c r="Q211" s="243" t="e">
        <f ca="1">IF(AND(INDEX(FlowCalConstA,MATCH(N209,FlowCalNumber,0),1,1)*P211^INDEX(FlowCalConstB,MATCH(N209,FlowCalNumber,0),1,1)&gt;INDEX(FlowCalLowSetting,MATCH(N209,FlowCalNumber,0),1,1), (INDEX(FlowCalConstA,MATCH(N209,FlowCalNumber,0),1,1)*P211^INDEX(FlowCalConstB,MATCH(N209,FlowCalNumber,0),1,1)&lt;INDEX(FlowCalHighSetting,MATCH(N209,FlowCalNumber,0),1,1))),INDEX(FlowCalConstA,MATCH(N209,FlowCalNumber,0),1,1)*P211^INDEX(FlowCalConstB,MATCH(N209,FlowCalNumber,0),1,1)," ")</f>
        <v>#N/A</v>
      </c>
      <c r="R211" s="33"/>
      <c r="S211" s="242">
        <f t="shared" ref="S211:S224" si="204">S210</f>
        <v>1</v>
      </c>
      <c r="T211" s="241" t="e">
        <f t="shared" ref="T211:T224" ca="1" si="205">S211*$H211</f>
        <v>#VALUE!</v>
      </c>
      <c r="U211" s="244" t="e">
        <f ca="1">IF(AND(INDEX(FlowCalConstA,MATCH(R209,FlowCalNumber,0),1,1)*T211^INDEX(FlowCalConstB,MATCH(R209,FlowCalNumber,0),1,1)&gt;INDEX(FlowCalLowSetting,MATCH(R209,FlowCalNumber,0),1,1), (INDEX(FlowCalConstA,MATCH(R209,FlowCalNumber,0),1,1)*T211^INDEX(FlowCalConstB,MATCH(R209,FlowCalNumber,0),1,1)&lt;INDEX(FlowCalHighSetting,MATCH(R209,FlowCalNumber,0),1,1))),INDEX(FlowCalConstA,MATCH(R209,FlowCalNumber,0),1,1)*T211^INDEX(FlowCalConstB,MATCH(R209,FlowCalNumber,0),1,1)," ")</f>
        <v>#N/A</v>
      </c>
      <c r="V211" s="33"/>
      <c r="W211" s="242">
        <f t="shared" ref="W211:W224" si="206">W210</f>
        <v>0.1</v>
      </c>
      <c r="X211" s="241" t="e">
        <f t="shared" ref="X211:X224" ca="1" si="207">W211*$H211</f>
        <v>#VALUE!</v>
      </c>
      <c r="Y211" s="243" t="e">
        <f ca="1">IF(AND(INDEX(FlowCalConstA,MATCH(V209,FlowCalNumber,0),1,1)*X211^INDEX(FlowCalConstB,MATCH(V209,FlowCalNumber,0),1,1)&gt;INDEX(FlowCalLowSetting,MATCH(V209,FlowCalNumber,0),1,1), (INDEX(FlowCalConstA,MATCH(V209,FlowCalNumber,0),1,1)*X211^INDEX(FlowCalConstB,MATCH(V209,FlowCalNumber,0),1,1)&lt;INDEX(FlowCalHighSetting,MATCH(V209,FlowCalNumber,0),1,1))),INDEX(FlowCalConstA,MATCH(V209,FlowCalNumber,0),1,1)*X211^INDEX(FlowCalConstB,MATCH(V209,FlowCalNumber,0),1,1)," ")</f>
        <v>#N/A</v>
      </c>
      <c r="Z211" s="33"/>
      <c r="AA211" s="242">
        <f t="shared" ref="AA211:AA224" si="208">AA210</f>
        <v>0.9</v>
      </c>
      <c r="AB211" s="241" t="e">
        <f t="shared" ref="AB211:AB224" ca="1" si="209">AA211*$H211</f>
        <v>#VALUE!</v>
      </c>
      <c r="AC211" s="243" t="e">
        <f ca="1">IF(AND(INDEX(FlowCalConstA,MATCH(Z209,FlowCalNumber,0),1,1)*AB211^INDEX(FlowCalConstB,MATCH(Z209,FlowCalNumber,0),1,1)&gt;INDEX(FlowCalLowSetting,MATCH(Z209,FlowCalNumber,0),1,1), (INDEX(FlowCalConstA,MATCH(Z209,FlowCalNumber,0),1,1)*AB211^INDEX(FlowCalConstB,MATCH(Z209,FlowCalNumber,0),1,1)&lt;INDEX(FlowCalHighSetting,MATCH(Z209,FlowCalNumber,0),1,1))),INDEX(FlowCalConstA,MATCH(Z209,FlowCalNumber,0),1,1)*AB211^INDEX(FlowCalConstB,MATCH(Z209,FlowCalNumber,0),1,1)," ")</f>
        <v>#N/A</v>
      </c>
      <c r="AD211" s="33"/>
      <c r="AE211" s="242">
        <f t="shared" ref="AE211:AE224" si="210">AE210</f>
        <v>0.1</v>
      </c>
      <c r="AF211" s="241" t="e">
        <f t="shared" ref="AF211:AF224" ca="1" si="211">AE211*$H211</f>
        <v>#VALUE!</v>
      </c>
      <c r="AG211" s="243" t="e">
        <f ca="1">IF(AND(INDEX(FlowCalConstA,MATCH(AD209,FlowCalNumber,0),1,1)*AF211^INDEX(FlowCalConstB,MATCH(AD209,FlowCalNumber,0),1,1)&gt;INDEX(FlowCalLowSetting,MATCH(AD209,FlowCalNumber,0),1,1), (INDEX(FlowCalConstA,MATCH(AD209,FlowCalNumber,0),1,1)*AF211^INDEX(FlowCalConstB,MATCH(AD209,FlowCalNumber,0),1,1)&lt;INDEX(FlowCalHighSetting,MATCH(AD209,FlowCalNumber,0),1,1))),INDEX(FlowCalConstA,MATCH(AD209,FlowCalNumber,0),1,1)*AF211^INDEX(FlowCalConstB,MATCH(AD209,FlowCalNumber,0),1,1)," ")</f>
        <v>#N/A</v>
      </c>
      <c r="AH211" s="33"/>
      <c r="AI211" s="242">
        <f t="shared" ref="AI211:AI224" si="212">AI210</f>
        <v>0.9</v>
      </c>
      <c r="AJ211" s="241" t="e">
        <f t="shared" ref="AJ211:AJ224" ca="1" si="213">AI211*$H211</f>
        <v>#VALUE!</v>
      </c>
      <c r="AK211" s="243" t="e">
        <f ca="1">IF(AND(INDEX(FlowCalConstA,MATCH(AH209,FlowCalNumber,0),1,1)*AJ211^INDEX(FlowCalConstB,MATCH(AH209,FlowCalNumber,0),1,1)&gt;INDEX(FlowCalLowSetting,MATCH(AH209,FlowCalNumber,0),1,1), (INDEX(FlowCalConstA,MATCH(AH209,FlowCalNumber,0),1,1)*AJ211^INDEX(FlowCalConstB,MATCH(AH209,FlowCalNumber,0),1,1)&lt;INDEX(FlowCalHighSetting,MATCH(AH209,FlowCalNumber,0),1,1))),INDEX(FlowCalConstA,MATCH(AH209,FlowCalNumber,0),1,1)*AJ211^INDEX(FlowCalConstB,MATCH(AH209,FlowCalNumber,0),1,1)," ")</f>
        <v>#N/A</v>
      </c>
      <c r="AL211" s="33"/>
      <c r="AM211" s="242"/>
      <c r="AN211" s="241"/>
      <c r="AO211" s="244"/>
      <c r="AQ211" s="242"/>
      <c r="AR211" s="241"/>
      <c r="AS211" s="244"/>
      <c r="AT211" s="33"/>
      <c r="AU211" s="242"/>
      <c r="AV211" s="241"/>
      <c r="AW211" s="244"/>
      <c r="AX211" s="33"/>
      <c r="AY211" s="242"/>
      <c r="AZ211" s="241"/>
      <c r="BA211" s="244"/>
      <c r="BB211" s="33"/>
      <c r="BC211" s="242"/>
      <c r="BD211" s="241"/>
      <c r="BE211" s="244"/>
      <c r="BF211" s="33"/>
      <c r="BG211" s="242"/>
      <c r="BH211" s="241"/>
      <c r="BI211" s="244"/>
      <c r="BJ211" s="33"/>
      <c r="BK211" s="242"/>
      <c r="BL211" s="241"/>
      <c r="BM211" s="244"/>
      <c r="BN211" s="33"/>
      <c r="BO211" s="242"/>
      <c r="BP211" s="241"/>
      <c r="BQ211" s="244"/>
      <c r="BR211" s="33"/>
      <c r="BS211" s="242"/>
      <c r="BT211" s="241"/>
      <c r="BU211" s="244"/>
      <c r="BV211" s="33"/>
      <c r="BW211" s="242"/>
      <c r="BX211" s="241"/>
      <c r="BY211" s="244"/>
      <c r="BZ211" s="33"/>
      <c r="CA211" s="242"/>
      <c r="CB211" s="241"/>
      <c r="CC211" s="244"/>
      <c r="CD211" s="243"/>
      <c r="CE211" s="243"/>
      <c r="CF211" s="243"/>
      <c r="CG211" s="243"/>
      <c r="CH211" s="243"/>
      <c r="CI211" s="243"/>
      <c r="CJ211" s="243"/>
      <c r="CK211" s="243"/>
      <c r="CL211" s="243"/>
      <c r="CM211" s="243"/>
      <c r="CN211" s="243"/>
      <c r="CO211" s="243"/>
      <c r="CP211" s="243"/>
      <c r="CQ211" s="243"/>
      <c r="CR211" s="243"/>
      <c r="CS211" s="243"/>
      <c r="CT211" s="243"/>
      <c r="CU211" s="243"/>
      <c r="CV211" s="243"/>
      <c r="CW211" s="243"/>
      <c r="CX211" s="243"/>
      <c r="CY211" s="243"/>
      <c r="CZ211" s="243"/>
      <c r="DA211" s="243"/>
      <c r="DB211" s="243"/>
      <c r="DC211" s="243"/>
      <c r="DD211" s="243"/>
      <c r="DE211" s="243"/>
      <c r="DF211" s="243"/>
      <c r="DG211" s="243"/>
      <c r="DH211" s="243"/>
      <c r="DI211" s="243"/>
      <c r="DJ211" s="243"/>
      <c r="DK211" s="243"/>
      <c r="DM211" s="242"/>
      <c r="DO211" s="243"/>
      <c r="DQ211" s="242"/>
      <c r="DS211" s="243"/>
      <c r="DU211" s="242"/>
      <c r="DW211" s="243"/>
      <c r="DY211" s="242"/>
      <c r="EA211" s="243"/>
    </row>
    <row r="212" spans="1:131">
      <c r="A212" s="20"/>
      <c r="B212" s="124" t="str">
        <f t="shared" si="198"/>
        <v/>
      </c>
      <c r="C212" s="235"/>
      <c r="D212" s="24">
        <f>'1% Wind'!$M$84</f>
        <v>20.5</v>
      </c>
      <c r="E212" s="90"/>
      <c r="F212" s="90"/>
      <c r="G212" s="79">
        <f ca="1">IF(I209=0.9743,$G211,MAX(G211/D211*D212,2))</f>
        <v>6.001707317073171</v>
      </c>
      <c r="H212" s="121" t="e">
        <f t="shared" ca="1" si="199"/>
        <v>#VALUE!</v>
      </c>
      <c r="J212" s="33"/>
      <c r="K212" s="242">
        <f t="shared" si="200"/>
        <v>1</v>
      </c>
      <c r="L212" s="241" t="e">
        <f t="shared" ca="1" si="201"/>
        <v>#VALUE!</v>
      </c>
      <c r="M212" s="243" t="e">
        <f ca="1">IF(AND(INDEX(FlowCalConstA,MATCH(J209,FlowCalNumber,0),1,1)*L212^INDEX(FlowCalConstB,MATCH(J209,FlowCalNumber,0),1,1)&gt;INDEX(FlowCalLowSetting,MATCH(J209,FlowCalNumber,0),1,1), (INDEX(FlowCalConstA,MATCH(J209,FlowCalNumber,0),1,1)*L212^INDEX(FlowCalConstB,MATCH(J209,FlowCalNumber,0),1,1)&lt;INDEX(FlowCalHighSetting,MATCH(J209,FlowCalNumber,0),1,1))),INDEX(FlowCalConstA,MATCH(J209,FlowCalNumber,0),1,1)*L212^INDEX(FlowCalConstB,MATCH(J209,FlowCalNumber,0),1,1)," ")</f>
        <v>#N/A</v>
      </c>
      <c r="N212" s="33"/>
      <c r="O212" s="242">
        <f t="shared" si="202"/>
        <v>1</v>
      </c>
      <c r="P212" s="241" t="e">
        <f t="shared" ca="1" si="203"/>
        <v>#VALUE!</v>
      </c>
      <c r="Q212" s="243" t="e">
        <f ca="1">IF(AND(INDEX(FlowCalConstA,MATCH(N209,FlowCalNumber,0),1,1)*P212^INDEX(FlowCalConstB,MATCH(N209,FlowCalNumber,0),1,1)&gt;INDEX(FlowCalLowSetting,MATCH(N209,FlowCalNumber,0),1,1), (INDEX(FlowCalConstA,MATCH(N209,FlowCalNumber,0),1,1)*P212^INDEX(FlowCalConstB,MATCH(N209,FlowCalNumber,0),1,1)&lt;INDEX(FlowCalHighSetting,MATCH(N209,FlowCalNumber,0),1,1))),INDEX(FlowCalConstA,MATCH(N209,FlowCalNumber,0),1,1)*P212^INDEX(FlowCalConstB,MATCH(N209,FlowCalNumber,0),1,1)," ")</f>
        <v>#N/A</v>
      </c>
      <c r="R212" s="33"/>
      <c r="S212" s="242">
        <f t="shared" si="204"/>
        <v>1</v>
      </c>
      <c r="T212" s="241" t="e">
        <f t="shared" ca="1" si="205"/>
        <v>#VALUE!</v>
      </c>
      <c r="U212" s="244" t="e">
        <f ca="1">IF(AND(INDEX(FlowCalConstA,MATCH(R209,FlowCalNumber,0),1,1)*T212^INDEX(FlowCalConstB,MATCH(R209,FlowCalNumber,0),1,1)&gt;INDEX(FlowCalLowSetting,MATCH(R209,FlowCalNumber,0),1,1), (INDEX(FlowCalConstA,MATCH(R209,FlowCalNumber,0),1,1)*T212^INDEX(FlowCalConstB,MATCH(R209,FlowCalNumber,0),1,1)&lt;INDEX(FlowCalHighSetting,MATCH(R209,FlowCalNumber,0),1,1))),INDEX(FlowCalConstA,MATCH(R209,FlowCalNumber,0),1,1)*T212^INDEX(FlowCalConstB,MATCH(R209,FlowCalNumber,0),1,1)," ")</f>
        <v>#N/A</v>
      </c>
      <c r="V212" s="33"/>
      <c r="W212" s="242">
        <f t="shared" si="206"/>
        <v>0.1</v>
      </c>
      <c r="X212" s="241" t="e">
        <f t="shared" ca="1" si="207"/>
        <v>#VALUE!</v>
      </c>
      <c r="Y212" s="243" t="e">
        <f ca="1">IF(AND(INDEX(FlowCalConstA,MATCH(V209,FlowCalNumber,0),1,1)*X212^INDEX(FlowCalConstB,MATCH(V209,FlowCalNumber,0),1,1)&gt;INDEX(FlowCalLowSetting,MATCH(V209,FlowCalNumber,0),1,1), (INDEX(FlowCalConstA,MATCH(V209,FlowCalNumber,0),1,1)*X212^INDEX(FlowCalConstB,MATCH(V209,FlowCalNumber,0),1,1)&lt;INDEX(FlowCalHighSetting,MATCH(V209,FlowCalNumber,0),1,1))),INDEX(FlowCalConstA,MATCH(V209,FlowCalNumber,0),1,1)*X212^INDEX(FlowCalConstB,MATCH(V209,FlowCalNumber,0),1,1)," ")</f>
        <v>#N/A</v>
      </c>
      <c r="Z212" s="33"/>
      <c r="AA212" s="242">
        <f t="shared" si="208"/>
        <v>0.9</v>
      </c>
      <c r="AB212" s="241" t="e">
        <f t="shared" ca="1" si="209"/>
        <v>#VALUE!</v>
      </c>
      <c r="AC212" s="243" t="e">
        <f ca="1">IF(AND(INDEX(FlowCalConstA,MATCH(Z209,FlowCalNumber,0),1,1)*AB212^INDEX(FlowCalConstB,MATCH(Z209,FlowCalNumber,0),1,1)&gt;INDEX(FlowCalLowSetting,MATCH(Z209,FlowCalNumber,0),1,1), (INDEX(FlowCalConstA,MATCH(Z209,FlowCalNumber,0),1,1)*AB212^INDEX(FlowCalConstB,MATCH(Z209,FlowCalNumber,0),1,1)&lt;INDEX(FlowCalHighSetting,MATCH(Z209,FlowCalNumber,0),1,1))),INDEX(FlowCalConstA,MATCH(Z209,FlowCalNumber,0),1,1)*AB212^INDEX(FlowCalConstB,MATCH(Z209,FlowCalNumber,0),1,1)," ")</f>
        <v>#N/A</v>
      </c>
      <c r="AD212" s="33"/>
      <c r="AE212" s="242">
        <f t="shared" si="210"/>
        <v>0.1</v>
      </c>
      <c r="AF212" s="241" t="e">
        <f t="shared" ca="1" si="211"/>
        <v>#VALUE!</v>
      </c>
      <c r="AG212" s="243" t="e">
        <f ca="1">IF(AND(INDEX(FlowCalConstA,MATCH(AD209,FlowCalNumber,0),1,1)*AF212^INDEX(FlowCalConstB,MATCH(AD209,FlowCalNumber,0),1,1)&gt;INDEX(FlowCalLowSetting,MATCH(AD209,FlowCalNumber,0),1,1), (INDEX(FlowCalConstA,MATCH(AD209,FlowCalNumber,0),1,1)*AF212^INDEX(FlowCalConstB,MATCH(AD209,FlowCalNumber,0),1,1)&lt;INDEX(FlowCalHighSetting,MATCH(AD209,FlowCalNumber,0),1,1))),INDEX(FlowCalConstA,MATCH(AD209,FlowCalNumber,0),1,1)*AF212^INDEX(FlowCalConstB,MATCH(AD209,FlowCalNumber,0),1,1)," ")</f>
        <v>#N/A</v>
      </c>
      <c r="AH212" s="33"/>
      <c r="AI212" s="242">
        <f t="shared" si="212"/>
        <v>0.9</v>
      </c>
      <c r="AJ212" s="241" t="e">
        <f t="shared" ca="1" si="213"/>
        <v>#VALUE!</v>
      </c>
      <c r="AK212" s="243" t="e">
        <f ca="1">IF(AND(INDEX(FlowCalConstA,MATCH(AH209,FlowCalNumber,0),1,1)*AJ212^INDEX(FlowCalConstB,MATCH(AH209,FlowCalNumber,0),1,1)&gt;INDEX(FlowCalLowSetting,MATCH(AH209,FlowCalNumber,0),1,1), (INDEX(FlowCalConstA,MATCH(AH209,FlowCalNumber,0),1,1)*AJ212^INDEX(FlowCalConstB,MATCH(AH209,FlowCalNumber,0),1,1)&lt;INDEX(FlowCalHighSetting,MATCH(AH209,FlowCalNumber,0),1,1))),INDEX(FlowCalConstA,MATCH(AH209,FlowCalNumber,0),1,1)*AJ212^INDEX(FlowCalConstB,MATCH(AH209,FlowCalNumber,0),1,1)," ")</f>
        <v>#N/A</v>
      </c>
      <c r="AL212" s="33"/>
      <c r="AM212" s="242"/>
      <c r="AN212" s="241"/>
      <c r="AO212" s="244"/>
      <c r="AQ212" s="242"/>
      <c r="AR212" s="241"/>
      <c r="AS212" s="244"/>
      <c r="AT212" s="33"/>
      <c r="AU212" s="242"/>
      <c r="AV212" s="241"/>
      <c r="AW212" s="244"/>
      <c r="AX212" s="33"/>
      <c r="AY212" s="242"/>
      <c r="AZ212" s="241"/>
      <c r="BA212" s="244"/>
      <c r="BB212" s="33"/>
      <c r="BC212" s="242"/>
      <c r="BD212" s="241"/>
      <c r="BE212" s="244"/>
      <c r="BF212" s="33"/>
      <c r="BG212" s="242"/>
      <c r="BH212" s="241"/>
      <c r="BI212" s="244"/>
      <c r="BJ212" s="33"/>
      <c r="BK212" s="242"/>
      <c r="BL212" s="241"/>
      <c r="BM212" s="244"/>
      <c r="BN212" s="33"/>
      <c r="BO212" s="242"/>
      <c r="BP212" s="241"/>
      <c r="BQ212" s="244"/>
      <c r="BR212" s="33"/>
      <c r="BS212" s="242"/>
      <c r="BT212" s="241"/>
      <c r="BU212" s="244"/>
      <c r="BV212" s="33"/>
      <c r="BW212" s="242"/>
      <c r="BX212" s="241"/>
      <c r="BY212" s="244"/>
      <c r="BZ212" s="33"/>
      <c r="CA212" s="242"/>
      <c r="CB212" s="241"/>
      <c r="CC212" s="244"/>
      <c r="CD212" s="243"/>
      <c r="CE212" s="243"/>
      <c r="CF212" s="243"/>
      <c r="CG212" s="243"/>
      <c r="CH212" s="243"/>
      <c r="CI212" s="243"/>
      <c r="CJ212" s="243"/>
      <c r="CK212" s="243"/>
      <c r="CL212" s="243"/>
      <c r="CM212" s="243"/>
      <c r="CN212" s="243"/>
      <c r="CO212" s="243"/>
      <c r="CP212" s="243"/>
      <c r="CQ212" s="243"/>
      <c r="CR212" s="243"/>
      <c r="CS212" s="243"/>
      <c r="CT212" s="243"/>
      <c r="CU212" s="243"/>
      <c r="CV212" s="243"/>
      <c r="CW212" s="243"/>
      <c r="CX212" s="243"/>
      <c r="CY212" s="243"/>
      <c r="CZ212" s="243"/>
      <c r="DA212" s="243"/>
      <c r="DB212" s="243"/>
      <c r="DC212" s="243"/>
      <c r="DD212" s="243"/>
      <c r="DE212" s="243"/>
      <c r="DF212" s="243"/>
      <c r="DG212" s="243"/>
      <c r="DH212" s="243"/>
      <c r="DI212" s="243"/>
      <c r="DJ212" s="243"/>
      <c r="DK212" s="243"/>
      <c r="DM212" s="242"/>
      <c r="DO212" s="243"/>
      <c r="DQ212" s="242"/>
      <c r="DS212" s="243"/>
      <c r="DU212" s="242"/>
      <c r="DW212" s="243"/>
      <c r="DY212" s="242"/>
      <c r="EA212" s="243"/>
    </row>
    <row r="213" spans="1:131">
      <c r="A213" s="20"/>
      <c r="B213" s="124" t="str">
        <f t="shared" si="198"/>
        <v/>
      </c>
      <c r="C213" s="235"/>
      <c r="D213" s="24">
        <f>'1% Wind'!$M$85</f>
        <v>17.8</v>
      </c>
      <c r="E213" s="90"/>
      <c r="F213" s="90"/>
      <c r="G213" s="79">
        <f ca="1">IF(I209=0.9743,$G212,MAX(G212/D212*D213,2))</f>
        <v>6.001707317073171</v>
      </c>
      <c r="H213" s="121" t="e">
        <f t="shared" ca="1" si="199"/>
        <v>#VALUE!</v>
      </c>
      <c r="J213" s="33"/>
      <c r="K213" s="242">
        <f t="shared" si="200"/>
        <v>1</v>
      </c>
      <c r="L213" s="241" t="e">
        <f t="shared" ca="1" si="201"/>
        <v>#VALUE!</v>
      </c>
      <c r="M213" s="243" t="e">
        <f ca="1">IF(AND(INDEX(FlowCalConstA,MATCH(J209,FlowCalNumber,0),1,1)*L213^INDEX(FlowCalConstB,MATCH(J209,FlowCalNumber,0),1,1)&gt;INDEX(FlowCalLowSetting,MATCH(J209,FlowCalNumber,0),1,1), (INDEX(FlowCalConstA,MATCH(J209,FlowCalNumber,0),1,1)*L213^INDEX(FlowCalConstB,MATCH(J209,FlowCalNumber,0),1,1)&lt;INDEX(FlowCalHighSetting,MATCH(J209,FlowCalNumber,0),1,1))),INDEX(FlowCalConstA,MATCH(J209,FlowCalNumber,0),1,1)*L213^INDEX(FlowCalConstB,MATCH(J209,FlowCalNumber,0),1,1)," ")</f>
        <v>#N/A</v>
      </c>
      <c r="N213" s="33"/>
      <c r="O213" s="242">
        <f t="shared" si="202"/>
        <v>1</v>
      </c>
      <c r="P213" s="241" t="e">
        <f t="shared" ca="1" si="203"/>
        <v>#VALUE!</v>
      </c>
      <c r="Q213" s="243" t="e">
        <f ca="1">IF(AND(INDEX(FlowCalConstA,MATCH(N209,FlowCalNumber,0),1,1)*P213^INDEX(FlowCalConstB,MATCH(N209,FlowCalNumber,0),1,1)&gt;INDEX(FlowCalLowSetting,MATCH(N209,FlowCalNumber,0),1,1), (INDEX(FlowCalConstA,MATCH(N209,FlowCalNumber,0),1,1)*P213^INDEX(FlowCalConstB,MATCH(N209,FlowCalNumber,0),1,1)&lt;INDEX(FlowCalHighSetting,MATCH(N209,FlowCalNumber,0),1,1))),INDEX(FlowCalConstA,MATCH(N209,FlowCalNumber,0),1,1)*P213^INDEX(FlowCalConstB,MATCH(N209,FlowCalNumber,0),1,1)," ")</f>
        <v>#N/A</v>
      </c>
      <c r="R213" s="33"/>
      <c r="S213" s="242">
        <f t="shared" si="204"/>
        <v>1</v>
      </c>
      <c r="T213" s="241" t="e">
        <f t="shared" ca="1" si="205"/>
        <v>#VALUE!</v>
      </c>
      <c r="U213" s="244" t="e">
        <f ca="1">IF(AND(INDEX(FlowCalConstA,MATCH(R209,FlowCalNumber,0),1,1)*T213^INDEX(FlowCalConstB,MATCH(R209,FlowCalNumber,0),1,1)&gt;INDEX(FlowCalLowSetting,MATCH(R209,FlowCalNumber,0),1,1), (INDEX(FlowCalConstA,MATCH(R209,FlowCalNumber,0),1,1)*T213^INDEX(FlowCalConstB,MATCH(R209,FlowCalNumber,0),1,1)&lt;INDEX(FlowCalHighSetting,MATCH(R209,FlowCalNumber,0),1,1))),INDEX(FlowCalConstA,MATCH(R209,FlowCalNumber,0),1,1)*T213^INDEX(FlowCalConstB,MATCH(R209,FlowCalNumber,0),1,1)," ")</f>
        <v>#N/A</v>
      </c>
      <c r="V213" s="33"/>
      <c r="W213" s="242">
        <f t="shared" si="206"/>
        <v>0.1</v>
      </c>
      <c r="X213" s="241" t="e">
        <f t="shared" ca="1" si="207"/>
        <v>#VALUE!</v>
      </c>
      <c r="Y213" s="243" t="e">
        <f ca="1">IF(AND(INDEX(FlowCalConstA,MATCH(V209,FlowCalNumber,0),1,1)*X213^INDEX(FlowCalConstB,MATCH(V209,FlowCalNumber,0),1,1)&gt;INDEX(FlowCalLowSetting,MATCH(V209,FlowCalNumber,0),1,1), (INDEX(FlowCalConstA,MATCH(V209,FlowCalNumber,0),1,1)*X213^INDEX(FlowCalConstB,MATCH(V209,FlowCalNumber,0),1,1)&lt;INDEX(FlowCalHighSetting,MATCH(V209,FlowCalNumber,0),1,1))),INDEX(FlowCalConstA,MATCH(V209,FlowCalNumber,0),1,1)*X213^INDEX(FlowCalConstB,MATCH(V209,FlowCalNumber,0),1,1)," ")</f>
        <v>#N/A</v>
      </c>
      <c r="Z213" s="33"/>
      <c r="AA213" s="242">
        <f t="shared" si="208"/>
        <v>0.9</v>
      </c>
      <c r="AB213" s="241" t="e">
        <f t="shared" ca="1" si="209"/>
        <v>#VALUE!</v>
      </c>
      <c r="AC213" s="243" t="e">
        <f ca="1">IF(AND(INDEX(FlowCalConstA,MATCH(Z209,FlowCalNumber,0),1,1)*AB213^INDEX(FlowCalConstB,MATCH(Z209,FlowCalNumber,0),1,1)&gt;INDEX(FlowCalLowSetting,MATCH(Z209,FlowCalNumber,0),1,1), (INDEX(FlowCalConstA,MATCH(Z209,FlowCalNumber,0),1,1)*AB213^INDEX(FlowCalConstB,MATCH(Z209,FlowCalNumber,0),1,1)&lt;INDEX(FlowCalHighSetting,MATCH(Z209,FlowCalNumber,0),1,1))),INDEX(FlowCalConstA,MATCH(Z209,FlowCalNumber,0),1,1)*AB213^INDEX(FlowCalConstB,MATCH(Z209,FlowCalNumber,0),1,1)," ")</f>
        <v>#N/A</v>
      </c>
      <c r="AD213" s="33"/>
      <c r="AE213" s="242">
        <f t="shared" si="210"/>
        <v>0.1</v>
      </c>
      <c r="AF213" s="241" t="e">
        <f t="shared" ca="1" si="211"/>
        <v>#VALUE!</v>
      </c>
      <c r="AG213" s="243" t="e">
        <f ca="1">IF(AND(INDEX(FlowCalConstA,MATCH(AD209,FlowCalNumber,0),1,1)*AF213^INDEX(FlowCalConstB,MATCH(AD209,FlowCalNumber,0),1,1)&gt;INDEX(FlowCalLowSetting,MATCH(AD209,FlowCalNumber,0),1,1), (INDEX(FlowCalConstA,MATCH(AD209,FlowCalNumber,0),1,1)*AF213^INDEX(FlowCalConstB,MATCH(AD209,FlowCalNumber,0),1,1)&lt;INDEX(FlowCalHighSetting,MATCH(AD209,FlowCalNumber,0),1,1))),INDEX(FlowCalConstA,MATCH(AD209,FlowCalNumber,0),1,1)*AF213^INDEX(FlowCalConstB,MATCH(AD209,FlowCalNumber,0),1,1)," ")</f>
        <v>#N/A</v>
      </c>
      <c r="AH213" s="33"/>
      <c r="AI213" s="242">
        <f t="shared" si="212"/>
        <v>0.9</v>
      </c>
      <c r="AJ213" s="241" t="e">
        <f t="shared" ca="1" si="213"/>
        <v>#VALUE!</v>
      </c>
      <c r="AK213" s="243" t="e">
        <f ca="1">IF(AND(INDEX(FlowCalConstA,MATCH(AH209,FlowCalNumber,0),1,1)*AJ213^INDEX(FlowCalConstB,MATCH(AH209,FlowCalNumber,0),1,1)&gt;INDEX(FlowCalLowSetting,MATCH(AH209,FlowCalNumber,0),1,1), (INDEX(FlowCalConstA,MATCH(AH209,FlowCalNumber,0),1,1)*AJ213^INDEX(FlowCalConstB,MATCH(AH209,FlowCalNumber,0),1,1)&lt;INDEX(FlowCalHighSetting,MATCH(AH209,FlowCalNumber,0),1,1))),INDEX(FlowCalConstA,MATCH(AH209,FlowCalNumber,0),1,1)*AJ213^INDEX(FlowCalConstB,MATCH(AH209,FlowCalNumber,0),1,1)," ")</f>
        <v>#N/A</v>
      </c>
      <c r="AL213" s="33"/>
      <c r="AM213" s="242"/>
      <c r="AN213" s="241"/>
      <c r="AO213" s="244"/>
      <c r="AQ213" s="242"/>
      <c r="AR213" s="241"/>
      <c r="AS213" s="244"/>
      <c r="AT213" s="33"/>
      <c r="AU213" s="242"/>
      <c r="AV213" s="241"/>
      <c r="AW213" s="244"/>
      <c r="AX213" s="33"/>
      <c r="AY213" s="242"/>
      <c r="AZ213" s="241"/>
      <c r="BA213" s="244"/>
      <c r="BB213" s="33"/>
      <c r="BC213" s="242"/>
      <c r="BD213" s="241"/>
      <c r="BE213" s="244"/>
      <c r="BF213" s="33"/>
      <c r="BG213" s="242"/>
      <c r="BH213" s="241"/>
      <c r="BI213" s="244"/>
      <c r="BJ213" s="33"/>
      <c r="BK213" s="242"/>
      <c r="BL213" s="241"/>
      <c r="BM213" s="244"/>
      <c r="BN213" s="33"/>
      <c r="BO213" s="242"/>
      <c r="BP213" s="241"/>
      <c r="BQ213" s="244"/>
      <c r="BR213" s="33"/>
      <c r="BS213" s="242"/>
      <c r="BT213" s="241"/>
      <c r="BU213" s="244"/>
      <c r="BV213" s="33"/>
      <c r="BW213" s="242"/>
      <c r="BX213" s="241"/>
      <c r="BY213" s="244"/>
      <c r="BZ213" s="33"/>
      <c r="CA213" s="242"/>
      <c r="CB213" s="241"/>
      <c r="CC213" s="244"/>
      <c r="CD213" s="243"/>
      <c r="CE213" s="243"/>
      <c r="CF213" s="243"/>
      <c r="CG213" s="243"/>
      <c r="CH213" s="243"/>
      <c r="CI213" s="243"/>
      <c r="CJ213" s="243"/>
      <c r="CK213" s="243"/>
      <c r="CL213" s="243"/>
      <c r="CM213" s="243"/>
      <c r="CN213" s="243"/>
      <c r="CO213" s="243"/>
      <c r="CP213" s="243"/>
      <c r="CQ213" s="243"/>
      <c r="CR213" s="243"/>
      <c r="CS213" s="243"/>
      <c r="CT213" s="243"/>
      <c r="CU213" s="243"/>
      <c r="CV213" s="243"/>
      <c r="CW213" s="243"/>
      <c r="CX213" s="243"/>
      <c r="CY213" s="243"/>
      <c r="CZ213" s="243"/>
      <c r="DA213" s="243"/>
      <c r="DB213" s="243"/>
      <c r="DC213" s="243"/>
      <c r="DD213" s="243"/>
      <c r="DE213" s="243"/>
      <c r="DF213" s="243"/>
      <c r="DG213" s="243"/>
      <c r="DH213" s="243"/>
      <c r="DI213" s="243"/>
      <c r="DJ213" s="243"/>
      <c r="DK213" s="243"/>
      <c r="DM213" s="242"/>
      <c r="DO213" s="243"/>
      <c r="DQ213" s="242"/>
      <c r="DS213" s="243"/>
      <c r="DU213" s="242"/>
      <c r="DW213" s="243"/>
      <c r="DY213" s="242"/>
      <c r="EA213" s="243"/>
    </row>
    <row r="214" spans="1:131">
      <c r="A214" s="20"/>
      <c r="B214" s="124" t="str">
        <f t="shared" si="198"/>
        <v/>
      </c>
      <c r="C214" s="235"/>
      <c r="D214" s="24">
        <f>'1% Wind'!$M$86</f>
        <v>15.5</v>
      </c>
      <c r="E214" s="90"/>
      <c r="F214" s="90"/>
      <c r="G214" s="79">
        <f ca="1">IF(I209=0.9743,$G213,MAX(G213/D213*D214,2))</f>
        <v>6.001707317073171</v>
      </c>
      <c r="H214" s="121" t="e">
        <f t="shared" ca="1" si="199"/>
        <v>#VALUE!</v>
      </c>
      <c r="J214" s="33"/>
      <c r="K214" s="242">
        <f t="shared" si="200"/>
        <v>1</v>
      </c>
      <c r="L214" s="241" t="e">
        <f t="shared" ca="1" si="201"/>
        <v>#VALUE!</v>
      </c>
      <c r="M214" s="243" t="e">
        <f ca="1">IF(AND(INDEX(FlowCalConstA,MATCH(J209,FlowCalNumber,0),1,1)*L214^INDEX(FlowCalConstB,MATCH(J209,FlowCalNumber,0),1,1)&gt;INDEX(FlowCalLowSetting,MATCH(J209,FlowCalNumber,0),1,1), (INDEX(FlowCalConstA,MATCH(J209,FlowCalNumber,0),1,1)*L214^INDEX(FlowCalConstB,MATCH(J209,FlowCalNumber,0),1,1)&lt;INDEX(FlowCalHighSetting,MATCH(J209,FlowCalNumber,0),1,1))),INDEX(FlowCalConstA,MATCH(J209,FlowCalNumber,0),1,1)*L214^INDEX(FlowCalConstB,MATCH(J209,FlowCalNumber,0),1,1)," ")</f>
        <v>#N/A</v>
      </c>
      <c r="N214" s="33"/>
      <c r="O214" s="242">
        <f t="shared" si="202"/>
        <v>1</v>
      </c>
      <c r="P214" s="241" t="e">
        <f t="shared" ca="1" si="203"/>
        <v>#VALUE!</v>
      </c>
      <c r="Q214" s="243" t="e">
        <f ca="1">IF(AND(INDEX(FlowCalConstA,MATCH(N209,FlowCalNumber,0),1,1)*P214^INDEX(FlowCalConstB,MATCH(N209,FlowCalNumber,0),1,1)&gt;INDEX(FlowCalLowSetting,MATCH(N209,FlowCalNumber,0),1,1), (INDEX(FlowCalConstA,MATCH(N209,FlowCalNumber,0),1,1)*P214^INDEX(FlowCalConstB,MATCH(N209,FlowCalNumber,0),1,1)&lt;INDEX(FlowCalHighSetting,MATCH(N209,FlowCalNumber,0),1,1))),INDEX(FlowCalConstA,MATCH(N209,FlowCalNumber,0),1,1)*P214^INDEX(FlowCalConstB,MATCH(N209,FlowCalNumber,0),1,1)," ")</f>
        <v>#N/A</v>
      </c>
      <c r="R214" s="33"/>
      <c r="S214" s="242">
        <f t="shared" si="204"/>
        <v>1</v>
      </c>
      <c r="T214" s="241" t="e">
        <f t="shared" ca="1" si="205"/>
        <v>#VALUE!</v>
      </c>
      <c r="U214" s="244" t="e">
        <f ca="1">IF(AND(INDEX(FlowCalConstA,MATCH(R209,FlowCalNumber,0),1,1)*T214^INDEX(FlowCalConstB,MATCH(R209,FlowCalNumber,0),1,1)&gt;INDEX(FlowCalLowSetting,MATCH(R209,FlowCalNumber,0),1,1), (INDEX(FlowCalConstA,MATCH(R209,FlowCalNumber,0),1,1)*T214^INDEX(FlowCalConstB,MATCH(R209,FlowCalNumber,0),1,1)&lt;INDEX(FlowCalHighSetting,MATCH(R209,FlowCalNumber,0),1,1))),INDEX(FlowCalConstA,MATCH(R209,FlowCalNumber,0),1,1)*T214^INDEX(FlowCalConstB,MATCH(R209,FlowCalNumber,0),1,1)," ")</f>
        <v>#N/A</v>
      </c>
      <c r="V214" s="33"/>
      <c r="W214" s="242">
        <f t="shared" si="206"/>
        <v>0.1</v>
      </c>
      <c r="X214" s="241" t="e">
        <f t="shared" ca="1" si="207"/>
        <v>#VALUE!</v>
      </c>
      <c r="Y214" s="243" t="e">
        <f ca="1">IF(AND(INDEX(FlowCalConstA,MATCH(V209,FlowCalNumber,0),1,1)*X214^INDEX(FlowCalConstB,MATCH(V209,FlowCalNumber,0),1,1)&gt;INDEX(FlowCalLowSetting,MATCH(V209,FlowCalNumber,0),1,1), (INDEX(FlowCalConstA,MATCH(V209,FlowCalNumber,0),1,1)*X214^INDEX(FlowCalConstB,MATCH(V209,FlowCalNumber,0),1,1)&lt;INDEX(FlowCalHighSetting,MATCH(V209,FlowCalNumber,0),1,1))),INDEX(FlowCalConstA,MATCH(V209,FlowCalNumber,0),1,1)*X214^INDEX(FlowCalConstB,MATCH(V209,FlowCalNumber,0),1,1)," ")</f>
        <v>#N/A</v>
      </c>
      <c r="Z214" s="33"/>
      <c r="AA214" s="242">
        <f t="shared" si="208"/>
        <v>0.9</v>
      </c>
      <c r="AB214" s="241" t="e">
        <f t="shared" ca="1" si="209"/>
        <v>#VALUE!</v>
      </c>
      <c r="AC214" s="243" t="e">
        <f ca="1">IF(AND(INDEX(FlowCalConstA,MATCH(Z209,FlowCalNumber,0),1,1)*AB214^INDEX(FlowCalConstB,MATCH(Z209,FlowCalNumber,0),1,1)&gt;INDEX(FlowCalLowSetting,MATCH(Z209,FlowCalNumber,0),1,1), (INDEX(FlowCalConstA,MATCH(Z209,FlowCalNumber,0),1,1)*AB214^INDEX(FlowCalConstB,MATCH(Z209,FlowCalNumber,0),1,1)&lt;INDEX(FlowCalHighSetting,MATCH(Z209,FlowCalNumber,0),1,1))),INDEX(FlowCalConstA,MATCH(Z209,FlowCalNumber,0),1,1)*AB214^INDEX(FlowCalConstB,MATCH(Z209,FlowCalNumber,0),1,1)," ")</f>
        <v>#N/A</v>
      </c>
      <c r="AD214" s="33"/>
      <c r="AE214" s="242">
        <f t="shared" si="210"/>
        <v>0.1</v>
      </c>
      <c r="AF214" s="241" t="e">
        <f t="shared" ca="1" si="211"/>
        <v>#VALUE!</v>
      </c>
      <c r="AG214" s="243" t="e">
        <f ca="1">IF(AND(INDEX(FlowCalConstA,MATCH(AD209,FlowCalNumber,0),1,1)*AF214^INDEX(FlowCalConstB,MATCH(AD209,FlowCalNumber,0),1,1)&gt;INDEX(FlowCalLowSetting,MATCH(AD209,FlowCalNumber,0),1,1), (INDEX(FlowCalConstA,MATCH(AD209,FlowCalNumber,0),1,1)*AF214^INDEX(FlowCalConstB,MATCH(AD209,FlowCalNumber,0),1,1)&lt;INDEX(FlowCalHighSetting,MATCH(AD209,FlowCalNumber,0),1,1))),INDEX(FlowCalConstA,MATCH(AD209,FlowCalNumber,0),1,1)*AF214^INDEX(FlowCalConstB,MATCH(AD209,FlowCalNumber,0),1,1)," ")</f>
        <v>#N/A</v>
      </c>
      <c r="AH214" s="33"/>
      <c r="AI214" s="242">
        <f t="shared" si="212"/>
        <v>0.9</v>
      </c>
      <c r="AJ214" s="241" t="e">
        <f t="shared" ca="1" si="213"/>
        <v>#VALUE!</v>
      </c>
      <c r="AK214" s="243" t="e">
        <f ca="1">IF(AND(INDEX(FlowCalConstA,MATCH(AH209,FlowCalNumber,0),1,1)*AJ214^INDEX(FlowCalConstB,MATCH(AH209,FlowCalNumber,0),1,1)&gt;INDEX(FlowCalLowSetting,MATCH(AH209,FlowCalNumber,0),1,1), (INDEX(FlowCalConstA,MATCH(AH209,FlowCalNumber,0),1,1)*AJ214^INDEX(FlowCalConstB,MATCH(AH209,FlowCalNumber,0),1,1)&lt;INDEX(FlowCalHighSetting,MATCH(AH209,FlowCalNumber,0),1,1))),INDEX(FlowCalConstA,MATCH(AH209,FlowCalNumber,0),1,1)*AJ214^INDEX(FlowCalConstB,MATCH(AH209,FlowCalNumber,0),1,1)," ")</f>
        <v>#N/A</v>
      </c>
      <c r="AL214" s="33"/>
      <c r="AM214" s="242"/>
      <c r="AN214" s="241"/>
      <c r="AO214" s="244"/>
      <c r="AQ214" s="242"/>
      <c r="AR214" s="241"/>
      <c r="AS214" s="244"/>
      <c r="AT214" s="33"/>
      <c r="AU214" s="242"/>
      <c r="AV214" s="241"/>
      <c r="AW214" s="244"/>
      <c r="AX214" s="33"/>
      <c r="AY214" s="242"/>
      <c r="AZ214" s="241"/>
      <c r="BA214" s="244"/>
      <c r="BB214" s="33"/>
      <c r="BC214" s="242"/>
      <c r="BD214" s="241"/>
      <c r="BE214" s="244"/>
      <c r="BF214" s="33"/>
      <c r="BG214" s="242"/>
      <c r="BH214" s="241"/>
      <c r="BI214" s="244"/>
      <c r="BJ214" s="33"/>
      <c r="BK214" s="242"/>
      <c r="BL214" s="241"/>
      <c r="BM214" s="244"/>
      <c r="BN214" s="33"/>
      <c r="BO214" s="242"/>
      <c r="BP214" s="241"/>
      <c r="BQ214" s="244"/>
      <c r="BR214" s="33"/>
      <c r="BS214" s="242"/>
      <c r="BT214" s="241"/>
      <c r="BU214" s="244"/>
      <c r="BV214" s="33"/>
      <c r="BW214" s="242"/>
      <c r="BX214" s="241"/>
      <c r="BY214" s="244"/>
      <c r="BZ214" s="33"/>
      <c r="CA214" s="242"/>
      <c r="CB214" s="241"/>
      <c r="CC214" s="244"/>
      <c r="CD214" s="243"/>
      <c r="CE214" s="243"/>
      <c r="CF214" s="243"/>
      <c r="CG214" s="243"/>
      <c r="CH214" s="243"/>
      <c r="CI214" s="243"/>
      <c r="CJ214" s="243"/>
      <c r="CK214" s="243"/>
      <c r="CL214" s="243"/>
      <c r="CM214" s="243"/>
      <c r="CN214" s="243"/>
      <c r="CO214" s="243"/>
      <c r="CP214" s="243"/>
      <c r="CQ214" s="243"/>
      <c r="CR214" s="243"/>
      <c r="CS214" s="243"/>
      <c r="CT214" s="243"/>
      <c r="CU214" s="243"/>
      <c r="CV214" s="243"/>
      <c r="CW214" s="243"/>
      <c r="CX214" s="243"/>
      <c r="CY214" s="243"/>
      <c r="CZ214" s="243"/>
      <c r="DA214" s="243"/>
      <c r="DB214" s="243"/>
      <c r="DC214" s="243"/>
      <c r="DD214" s="243"/>
      <c r="DE214" s="243"/>
      <c r="DF214" s="243"/>
      <c r="DG214" s="243"/>
      <c r="DH214" s="243"/>
      <c r="DI214" s="243"/>
      <c r="DJ214" s="243"/>
      <c r="DK214" s="243"/>
      <c r="DM214" s="242"/>
      <c r="DO214" s="243"/>
      <c r="DQ214" s="242"/>
      <c r="DS214" s="243"/>
      <c r="DU214" s="242"/>
      <c r="DW214" s="243"/>
      <c r="DY214" s="242"/>
      <c r="EA214" s="243"/>
    </row>
    <row r="215" spans="1:131">
      <c r="A215" s="20"/>
      <c r="B215" s="124" t="str">
        <f t="shared" si="198"/>
        <v/>
      </c>
      <c r="C215" s="235"/>
      <c r="D215" s="24">
        <f>'1% Wind'!$M$87</f>
        <v>13.5</v>
      </c>
      <c r="E215" s="90"/>
      <c r="F215" s="90"/>
      <c r="G215" s="79">
        <f ca="1">IF(I209=0.9743,$G214,MAX(G214/D214*D215,2))</f>
        <v>6.001707317073171</v>
      </c>
      <c r="H215" s="121" t="e">
        <f t="shared" ca="1" si="199"/>
        <v>#VALUE!</v>
      </c>
      <c r="J215" s="33"/>
      <c r="K215" s="242">
        <f t="shared" si="200"/>
        <v>1</v>
      </c>
      <c r="L215" s="241" t="e">
        <f t="shared" ca="1" si="201"/>
        <v>#VALUE!</v>
      </c>
      <c r="M215" s="243" t="e">
        <f ca="1">IF(AND(INDEX(FlowCalConstA,MATCH(J209,FlowCalNumber,0),1,1)*L215^INDEX(FlowCalConstB,MATCH(J209,FlowCalNumber,0),1,1)&gt;INDEX(FlowCalLowSetting,MATCH(J209,FlowCalNumber,0),1,1), (INDEX(FlowCalConstA,MATCH(J209,FlowCalNumber,0),1,1)*L215^INDEX(FlowCalConstB,MATCH(J209,FlowCalNumber,0),1,1)&lt;INDEX(FlowCalHighSetting,MATCH(J209,FlowCalNumber,0),1,1))),INDEX(FlowCalConstA,MATCH(J209,FlowCalNumber,0),1,1)*L215^INDEX(FlowCalConstB,MATCH(J209,FlowCalNumber,0),1,1)," ")</f>
        <v>#N/A</v>
      </c>
      <c r="N215" s="33"/>
      <c r="O215" s="242">
        <f t="shared" si="202"/>
        <v>1</v>
      </c>
      <c r="P215" s="241" t="e">
        <f t="shared" ca="1" si="203"/>
        <v>#VALUE!</v>
      </c>
      <c r="Q215" s="243" t="e">
        <f ca="1">IF(AND(INDEX(FlowCalConstA,MATCH(N209,FlowCalNumber,0),1,1)*P215^INDEX(FlowCalConstB,MATCH(N209,FlowCalNumber,0),1,1)&gt;INDEX(FlowCalLowSetting,MATCH(N209,FlowCalNumber,0),1,1), (INDEX(FlowCalConstA,MATCH(N209,FlowCalNumber,0),1,1)*P215^INDEX(FlowCalConstB,MATCH(N209,FlowCalNumber,0),1,1)&lt;INDEX(FlowCalHighSetting,MATCH(N209,FlowCalNumber,0),1,1))),INDEX(FlowCalConstA,MATCH(N209,FlowCalNumber,0),1,1)*P215^INDEX(FlowCalConstB,MATCH(N209,FlowCalNumber,0),1,1)," ")</f>
        <v>#N/A</v>
      </c>
      <c r="R215" s="33"/>
      <c r="S215" s="242">
        <f t="shared" si="204"/>
        <v>1</v>
      </c>
      <c r="T215" s="241" t="e">
        <f t="shared" ca="1" si="205"/>
        <v>#VALUE!</v>
      </c>
      <c r="U215" s="244" t="e">
        <f ca="1">IF(AND(INDEX(FlowCalConstA,MATCH(R209,FlowCalNumber,0),1,1)*T215^INDEX(FlowCalConstB,MATCH(R209,FlowCalNumber,0),1,1)&gt;INDEX(FlowCalLowSetting,MATCH(R209,FlowCalNumber,0),1,1), (INDEX(FlowCalConstA,MATCH(R209,FlowCalNumber,0),1,1)*T215^INDEX(FlowCalConstB,MATCH(R209,FlowCalNumber,0),1,1)&lt;INDEX(FlowCalHighSetting,MATCH(R209,FlowCalNumber,0),1,1))),INDEX(FlowCalConstA,MATCH(R209,FlowCalNumber,0),1,1)*T215^INDEX(FlowCalConstB,MATCH(R209,FlowCalNumber,0),1,1)," ")</f>
        <v>#N/A</v>
      </c>
      <c r="V215" s="33"/>
      <c r="W215" s="242">
        <f t="shared" si="206"/>
        <v>0.1</v>
      </c>
      <c r="X215" s="241" t="e">
        <f t="shared" ca="1" si="207"/>
        <v>#VALUE!</v>
      </c>
      <c r="Y215" s="243" t="e">
        <f ca="1">IF(AND(INDEX(FlowCalConstA,MATCH(V209,FlowCalNumber,0),1,1)*X215^INDEX(FlowCalConstB,MATCH(V209,FlowCalNumber,0),1,1)&gt;INDEX(FlowCalLowSetting,MATCH(V209,FlowCalNumber,0),1,1), (INDEX(FlowCalConstA,MATCH(V209,FlowCalNumber,0),1,1)*X215^INDEX(FlowCalConstB,MATCH(V209,FlowCalNumber,0),1,1)&lt;INDEX(FlowCalHighSetting,MATCH(V209,FlowCalNumber,0),1,1))),INDEX(FlowCalConstA,MATCH(V209,FlowCalNumber,0),1,1)*X215^INDEX(FlowCalConstB,MATCH(V209,FlowCalNumber,0),1,1)," ")</f>
        <v>#N/A</v>
      </c>
      <c r="Z215" s="33"/>
      <c r="AA215" s="242">
        <f t="shared" si="208"/>
        <v>0.9</v>
      </c>
      <c r="AB215" s="241" t="e">
        <f t="shared" ca="1" si="209"/>
        <v>#VALUE!</v>
      </c>
      <c r="AC215" s="243" t="e">
        <f ca="1">IF(AND(INDEX(FlowCalConstA,MATCH(Z209,FlowCalNumber,0),1,1)*AB215^INDEX(FlowCalConstB,MATCH(Z209,FlowCalNumber,0),1,1)&gt;INDEX(FlowCalLowSetting,MATCH(Z209,FlowCalNumber,0),1,1), (INDEX(FlowCalConstA,MATCH(Z209,FlowCalNumber,0),1,1)*AB215^INDEX(FlowCalConstB,MATCH(Z209,FlowCalNumber,0),1,1)&lt;INDEX(FlowCalHighSetting,MATCH(Z209,FlowCalNumber,0),1,1))),INDEX(FlowCalConstA,MATCH(Z209,FlowCalNumber,0),1,1)*AB215^INDEX(FlowCalConstB,MATCH(Z209,FlowCalNumber,0),1,1)," ")</f>
        <v>#N/A</v>
      </c>
      <c r="AD215" s="33"/>
      <c r="AE215" s="242">
        <f t="shared" si="210"/>
        <v>0.1</v>
      </c>
      <c r="AF215" s="241" t="e">
        <f t="shared" ca="1" si="211"/>
        <v>#VALUE!</v>
      </c>
      <c r="AG215" s="243" t="e">
        <f ca="1">IF(AND(INDEX(FlowCalConstA,MATCH(AD209,FlowCalNumber,0),1,1)*AF215^INDEX(FlowCalConstB,MATCH(AD209,FlowCalNumber,0),1,1)&gt;INDEX(FlowCalLowSetting,MATCH(AD209,FlowCalNumber,0),1,1), (INDEX(FlowCalConstA,MATCH(AD209,FlowCalNumber,0),1,1)*AF215^INDEX(FlowCalConstB,MATCH(AD209,FlowCalNumber,0),1,1)&lt;INDEX(FlowCalHighSetting,MATCH(AD209,FlowCalNumber,0),1,1))),INDEX(FlowCalConstA,MATCH(AD209,FlowCalNumber,0),1,1)*AF215^INDEX(FlowCalConstB,MATCH(AD209,FlowCalNumber,0),1,1)," ")</f>
        <v>#N/A</v>
      </c>
      <c r="AH215" s="33"/>
      <c r="AI215" s="242">
        <f t="shared" si="212"/>
        <v>0.9</v>
      </c>
      <c r="AJ215" s="241" t="e">
        <f t="shared" ca="1" si="213"/>
        <v>#VALUE!</v>
      </c>
      <c r="AK215" s="243" t="e">
        <f ca="1">IF(AND(INDEX(FlowCalConstA,MATCH(AH209,FlowCalNumber,0),1,1)*AJ215^INDEX(FlowCalConstB,MATCH(AH209,FlowCalNumber,0),1,1)&gt;INDEX(FlowCalLowSetting,MATCH(AH209,FlowCalNumber,0),1,1), (INDEX(FlowCalConstA,MATCH(AH209,FlowCalNumber,0),1,1)*AJ215^INDEX(FlowCalConstB,MATCH(AH209,FlowCalNumber,0),1,1)&lt;INDEX(FlowCalHighSetting,MATCH(AH209,FlowCalNumber,0),1,1))),INDEX(FlowCalConstA,MATCH(AH209,FlowCalNumber,0),1,1)*AJ215^INDEX(FlowCalConstB,MATCH(AH209,FlowCalNumber,0),1,1)," ")</f>
        <v>#N/A</v>
      </c>
      <c r="AL215" s="33"/>
      <c r="AM215" s="242"/>
      <c r="AN215" s="241"/>
      <c r="AO215" s="244"/>
      <c r="AQ215" s="242"/>
      <c r="AR215" s="241"/>
      <c r="AS215" s="244"/>
      <c r="AT215" s="33"/>
      <c r="AU215" s="242"/>
      <c r="AV215" s="241"/>
      <c r="AW215" s="244"/>
      <c r="AX215" s="33"/>
      <c r="AY215" s="242"/>
      <c r="AZ215" s="241"/>
      <c r="BA215" s="244"/>
      <c r="BB215" s="33"/>
      <c r="BC215" s="242"/>
      <c r="BD215" s="241"/>
      <c r="BE215" s="244"/>
      <c r="BF215" s="33"/>
      <c r="BG215" s="242"/>
      <c r="BH215" s="241"/>
      <c r="BI215" s="244"/>
      <c r="BJ215" s="33"/>
      <c r="BK215" s="242"/>
      <c r="BL215" s="241"/>
      <c r="BM215" s="244"/>
      <c r="BN215" s="33"/>
      <c r="BO215" s="242"/>
      <c r="BP215" s="241"/>
      <c r="BQ215" s="244"/>
      <c r="BR215" s="33"/>
      <c r="BS215" s="242"/>
      <c r="BT215" s="241"/>
      <c r="BU215" s="244"/>
      <c r="BV215" s="33"/>
      <c r="BW215" s="242"/>
      <c r="BX215" s="241"/>
      <c r="BY215" s="244"/>
      <c r="BZ215" s="33"/>
      <c r="CA215" s="242"/>
      <c r="CB215" s="241"/>
      <c r="CC215" s="244"/>
      <c r="CD215" s="243"/>
      <c r="CE215" s="243"/>
      <c r="CF215" s="243"/>
      <c r="CG215" s="243"/>
      <c r="CH215" s="243"/>
      <c r="CI215" s="243"/>
      <c r="CJ215" s="243"/>
      <c r="CK215" s="243"/>
      <c r="CL215" s="243"/>
      <c r="CM215" s="243"/>
      <c r="CN215" s="243"/>
      <c r="CO215" s="243"/>
      <c r="CP215" s="243"/>
      <c r="CQ215" s="243"/>
      <c r="CR215" s="243"/>
      <c r="CS215" s="243"/>
      <c r="CT215" s="243"/>
      <c r="CU215" s="243"/>
      <c r="CV215" s="243"/>
      <c r="CW215" s="243"/>
      <c r="CX215" s="243"/>
      <c r="CY215" s="243"/>
      <c r="CZ215" s="243"/>
      <c r="DA215" s="243"/>
      <c r="DB215" s="243"/>
      <c r="DC215" s="243"/>
      <c r="DD215" s="243"/>
      <c r="DE215" s="243"/>
      <c r="DF215" s="243"/>
      <c r="DG215" s="243"/>
      <c r="DH215" s="243"/>
      <c r="DI215" s="243"/>
      <c r="DJ215" s="243"/>
      <c r="DK215" s="243"/>
      <c r="DM215" s="242"/>
      <c r="DO215" s="243"/>
      <c r="DQ215" s="242"/>
      <c r="DS215" s="243"/>
      <c r="DU215" s="242"/>
      <c r="DW215" s="243"/>
      <c r="DY215" s="242"/>
      <c r="EA215" s="243"/>
    </row>
    <row r="216" spans="1:131">
      <c r="A216" s="20"/>
      <c r="B216" s="124" t="str">
        <f t="shared" si="198"/>
        <v/>
      </c>
      <c r="C216" s="235"/>
      <c r="D216" s="24">
        <f>'1% Wind'!$M$88</f>
        <v>10.1</v>
      </c>
      <c r="E216" s="90"/>
      <c r="F216" s="90"/>
      <c r="G216" s="79">
        <f ca="1">IF(I209=0.9743,$G215,MAX(G215/D215*D216,2))</f>
        <v>6.001707317073171</v>
      </c>
      <c r="H216" s="121" t="e">
        <f t="shared" ca="1" si="199"/>
        <v>#VALUE!</v>
      </c>
      <c r="J216" s="33"/>
      <c r="K216" s="242">
        <f t="shared" si="200"/>
        <v>1</v>
      </c>
      <c r="L216" s="241" t="e">
        <f t="shared" ca="1" si="201"/>
        <v>#VALUE!</v>
      </c>
      <c r="M216" s="243" t="e">
        <f ca="1">IF(AND(INDEX(FlowCalConstA,MATCH(J209,FlowCalNumber,0),1,1)*L216^INDEX(FlowCalConstB,MATCH(J209,FlowCalNumber,0),1,1)&gt;INDEX(FlowCalLowSetting,MATCH(J209,FlowCalNumber,0),1,1), (INDEX(FlowCalConstA,MATCH(J209,FlowCalNumber,0),1,1)*L216^INDEX(FlowCalConstB,MATCH(J209,FlowCalNumber,0),1,1)&lt;INDEX(FlowCalHighSetting,MATCH(J209,FlowCalNumber,0),1,1))),INDEX(FlowCalConstA,MATCH(J209,FlowCalNumber,0),1,1)*L216^INDEX(FlowCalConstB,MATCH(J209,FlowCalNumber,0),1,1)," ")</f>
        <v>#N/A</v>
      </c>
      <c r="N216" s="33"/>
      <c r="O216" s="242">
        <f t="shared" si="202"/>
        <v>1</v>
      </c>
      <c r="P216" s="241" t="e">
        <f t="shared" ca="1" si="203"/>
        <v>#VALUE!</v>
      </c>
      <c r="Q216" s="243" t="e">
        <f ca="1">IF(AND(INDEX(FlowCalConstA,MATCH(N209,FlowCalNumber,0),1,1)*P216^INDEX(FlowCalConstB,MATCH(N209,FlowCalNumber,0),1,1)&gt;INDEX(FlowCalLowSetting,MATCH(N209,FlowCalNumber,0),1,1), (INDEX(FlowCalConstA,MATCH(N209,FlowCalNumber,0),1,1)*P216^INDEX(FlowCalConstB,MATCH(N209,FlowCalNumber,0),1,1)&lt;INDEX(FlowCalHighSetting,MATCH(N209,FlowCalNumber,0),1,1))),INDEX(FlowCalConstA,MATCH(N209,FlowCalNumber,0),1,1)*P216^INDEX(FlowCalConstB,MATCH(N209,FlowCalNumber,0),1,1)," ")</f>
        <v>#N/A</v>
      </c>
      <c r="R216" s="33"/>
      <c r="S216" s="242">
        <f t="shared" si="204"/>
        <v>1</v>
      </c>
      <c r="T216" s="241" t="e">
        <f t="shared" ca="1" si="205"/>
        <v>#VALUE!</v>
      </c>
      <c r="U216" s="244" t="e">
        <f ca="1">IF(AND(INDEX(FlowCalConstA,MATCH(R209,FlowCalNumber,0),1,1)*T216^INDEX(FlowCalConstB,MATCH(R209,FlowCalNumber,0),1,1)&gt;INDEX(FlowCalLowSetting,MATCH(R209,FlowCalNumber,0),1,1), (INDEX(FlowCalConstA,MATCH(R209,FlowCalNumber,0),1,1)*T216^INDEX(FlowCalConstB,MATCH(R209,FlowCalNumber,0),1,1)&lt;INDEX(FlowCalHighSetting,MATCH(R209,FlowCalNumber,0),1,1))),INDEX(FlowCalConstA,MATCH(R209,FlowCalNumber,0),1,1)*T216^INDEX(FlowCalConstB,MATCH(R209,FlowCalNumber,0),1,1)," ")</f>
        <v>#N/A</v>
      </c>
      <c r="V216" s="33"/>
      <c r="W216" s="242">
        <f t="shared" si="206"/>
        <v>0.1</v>
      </c>
      <c r="X216" s="241" t="e">
        <f t="shared" ca="1" si="207"/>
        <v>#VALUE!</v>
      </c>
      <c r="Y216" s="243" t="e">
        <f ca="1">IF(AND(INDEX(FlowCalConstA,MATCH(V209,FlowCalNumber,0),1,1)*X216^INDEX(FlowCalConstB,MATCH(V209,FlowCalNumber,0),1,1)&gt;INDEX(FlowCalLowSetting,MATCH(V209,FlowCalNumber,0),1,1), (INDEX(FlowCalConstA,MATCH(V209,FlowCalNumber,0),1,1)*X216^INDEX(FlowCalConstB,MATCH(V209,FlowCalNumber,0),1,1)&lt;INDEX(FlowCalHighSetting,MATCH(V209,FlowCalNumber,0),1,1))),INDEX(FlowCalConstA,MATCH(V209,FlowCalNumber,0),1,1)*X216^INDEX(FlowCalConstB,MATCH(V209,FlowCalNumber,0),1,1)," ")</f>
        <v>#N/A</v>
      </c>
      <c r="Z216" s="33"/>
      <c r="AA216" s="242">
        <f t="shared" si="208"/>
        <v>0.9</v>
      </c>
      <c r="AB216" s="241" t="e">
        <f t="shared" ca="1" si="209"/>
        <v>#VALUE!</v>
      </c>
      <c r="AC216" s="243" t="e">
        <f ca="1">IF(AND(INDEX(FlowCalConstA,MATCH(Z209,FlowCalNumber,0),1,1)*AB216^INDEX(FlowCalConstB,MATCH(Z209,FlowCalNumber,0),1,1)&gt;INDEX(FlowCalLowSetting,MATCH(Z209,FlowCalNumber,0),1,1), (INDEX(FlowCalConstA,MATCH(Z209,FlowCalNumber,0),1,1)*AB216^INDEX(FlowCalConstB,MATCH(Z209,FlowCalNumber,0),1,1)&lt;INDEX(FlowCalHighSetting,MATCH(Z209,FlowCalNumber,0),1,1))),INDEX(FlowCalConstA,MATCH(Z209,FlowCalNumber,0),1,1)*AB216^INDEX(FlowCalConstB,MATCH(Z209,FlowCalNumber,0),1,1)," ")</f>
        <v>#N/A</v>
      </c>
      <c r="AD216" s="33"/>
      <c r="AE216" s="242">
        <f t="shared" si="210"/>
        <v>0.1</v>
      </c>
      <c r="AF216" s="241" t="e">
        <f t="shared" ca="1" si="211"/>
        <v>#VALUE!</v>
      </c>
      <c r="AG216" s="243" t="e">
        <f ca="1">IF(AND(INDEX(FlowCalConstA,MATCH(AD209,FlowCalNumber,0),1,1)*AF216^INDEX(FlowCalConstB,MATCH(AD209,FlowCalNumber,0),1,1)&gt;INDEX(FlowCalLowSetting,MATCH(AD209,FlowCalNumber,0),1,1), (INDEX(FlowCalConstA,MATCH(AD209,FlowCalNumber,0),1,1)*AF216^INDEX(FlowCalConstB,MATCH(AD209,FlowCalNumber,0),1,1)&lt;INDEX(FlowCalHighSetting,MATCH(AD209,FlowCalNumber,0),1,1))),INDEX(FlowCalConstA,MATCH(AD209,FlowCalNumber,0),1,1)*AF216^INDEX(FlowCalConstB,MATCH(AD209,FlowCalNumber,0),1,1)," ")</f>
        <v>#N/A</v>
      </c>
      <c r="AH216" s="33"/>
      <c r="AI216" s="242">
        <f t="shared" si="212"/>
        <v>0.9</v>
      </c>
      <c r="AJ216" s="241" t="e">
        <f t="shared" ca="1" si="213"/>
        <v>#VALUE!</v>
      </c>
      <c r="AK216" s="243" t="e">
        <f ca="1">IF(AND(INDEX(FlowCalConstA,MATCH(AH209,FlowCalNumber,0),1,1)*AJ216^INDEX(FlowCalConstB,MATCH(AH209,FlowCalNumber,0),1,1)&gt;INDEX(FlowCalLowSetting,MATCH(AH209,FlowCalNumber,0),1,1), (INDEX(FlowCalConstA,MATCH(AH209,FlowCalNumber,0),1,1)*AJ216^INDEX(FlowCalConstB,MATCH(AH209,FlowCalNumber,0),1,1)&lt;INDEX(FlowCalHighSetting,MATCH(AH209,FlowCalNumber,0),1,1))),INDEX(FlowCalConstA,MATCH(AH209,FlowCalNumber,0),1,1)*AJ216^INDEX(FlowCalConstB,MATCH(AH209,FlowCalNumber,0),1,1)," ")</f>
        <v>#N/A</v>
      </c>
      <c r="AL216" s="33"/>
      <c r="AM216" s="242"/>
      <c r="AN216" s="241"/>
      <c r="AO216" s="244"/>
      <c r="AQ216" s="242"/>
      <c r="AR216" s="241"/>
      <c r="AS216" s="244"/>
      <c r="AT216" s="33"/>
      <c r="AU216" s="242"/>
      <c r="AV216" s="241"/>
      <c r="AW216" s="244"/>
      <c r="AX216" s="33"/>
      <c r="AY216" s="242"/>
      <c r="AZ216" s="241"/>
      <c r="BA216" s="244"/>
      <c r="BB216" s="33"/>
      <c r="BC216" s="242"/>
      <c r="BD216" s="241"/>
      <c r="BE216" s="244"/>
      <c r="BF216" s="33"/>
      <c r="BG216" s="242"/>
      <c r="BH216" s="241"/>
      <c r="BI216" s="244"/>
      <c r="BJ216" s="33"/>
      <c r="BK216" s="242"/>
      <c r="BL216" s="241"/>
      <c r="BM216" s="244"/>
      <c r="BN216" s="33"/>
      <c r="BO216" s="242"/>
      <c r="BP216" s="241"/>
      <c r="BQ216" s="244"/>
      <c r="BR216" s="33"/>
      <c r="BS216" s="242"/>
      <c r="BT216" s="241"/>
      <c r="BU216" s="244"/>
      <c r="BV216" s="33"/>
      <c r="BW216" s="242"/>
      <c r="BX216" s="241"/>
      <c r="BY216" s="244"/>
      <c r="BZ216" s="33"/>
      <c r="CA216" s="242"/>
      <c r="CB216" s="241"/>
      <c r="CC216" s="244"/>
      <c r="CD216" s="243"/>
      <c r="CE216" s="243"/>
      <c r="CF216" s="243"/>
      <c r="CG216" s="243"/>
      <c r="CH216" s="243"/>
      <c r="CI216" s="243"/>
      <c r="CJ216" s="243"/>
      <c r="CK216" s="243"/>
      <c r="CL216" s="243"/>
      <c r="CM216" s="243"/>
      <c r="CN216" s="243"/>
      <c r="CO216" s="243"/>
      <c r="CP216" s="243"/>
      <c r="CQ216" s="243"/>
      <c r="CR216" s="243"/>
      <c r="CS216" s="243"/>
      <c r="CT216" s="243"/>
      <c r="CU216" s="243"/>
      <c r="CV216" s="243"/>
      <c r="CW216" s="243"/>
      <c r="CX216" s="243"/>
      <c r="CY216" s="243"/>
      <c r="CZ216" s="243"/>
      <c r="DA216" s="243"/>
      <c r="DB216" s="243"/>
      <c r="DC216" s="243"/>
      <c r="DD216" s="243"/>
      <c r="DE216" s="243"/>
      <c r="DF216" s="243"/>
      <c r="DG216" s="243"/>
      <c r="DH216" s="243"/>
      <c r="DI216" s="243"/>
      <c r="DJ216" s="243"/>
      <c r="DK216" s="243"/>
      <c r="DM216" s="242"/>
      <c r="DO216" s="243"/>
      <c r="DQ216" s="242"/>
      <c r="DS216" s="243"/>
      <c r="DU216" s="242"/>
      <c r="DW216" s="243"/>
      <c r="DY216" s="242"/>
      <c r="EA216" s="243"/>
    </row>
    <row r="217" spans="1:131">
      <c r="A217" s="20"/>
      <c r="B217" s="124" t="str">
        <f t="shared" si="198"/>
        <v/>
      </c>
      <c r="C217" s="235"/>
      <c r="D217" s="24">
        <f>'1% Wind'!$M$89</f>
        <v>7.6</v>
      </c>
      <c r="E217" s="90"/>
      <c r="F217" s="90"/>
      <c r="G217" s="79">
        <f ca="1">IF(I209=0.9743,$G216,MAX(G216/D216*D217,2))</f>
        <v>6.001707317073171</v>
      </c>
      <c r="H217" s="121" t="e">
        <f t="shared" ca="1" si="199"/>
        <v>#VALUE!</v>
      </c>
      <c r="J217" s="33"/>
      <c r="K217" s="242">
        <f t="shared" si="200"/>
        <v>1</v>
      </c>
      <c r="L217" s="241" t="e">
        <f t="shared" ca="1" si="201"/>
        <v>#VALUE!</v>
      </c>
      <c r="M217" s="243" t="e">
        <f ca="1">IF(AND(INDEX(FlowCalConstA,MATCH(J209,FlowCalNumber,0),1,1)*L217^INDEX(FlowCalConstB,MATCH(J209,FlowCalNumber,0),1,1)&gt;INDEX(FlowCalLowSetting,MATCH(J209,FlowCalNumber,0),1,1), (INDEX(FlowCalConstA,MATCH(J209,FlowCalNumber,0),1,1)*L217^INDEX(FlowCalConstB,MATCH(J209,FlowCalNumber,0),1,1)&lt;INDEX(FlowCalHighSetting,MATCH(J209,FlowCalNumber,0),1,1))),INDEX(FlowCalConstA,MATCH(J209,FlowCalNumber,0),1,1)*L217^INDEX(FlowCalConstB,MATCH(J209,FlowCalNumber,0),1,1)," ")</f>
        <v>#N/A</v>
      </c>
      <c r="N217" s="33"/>
      <c r="O217" s="242">
        <f t="shared" si="202"/>
        <v>1</v>
      </c>
      <c r="P217" s="241" t="e">
        <f t="shared" ca="1" si="203"/>
        <v>#VALUE!</v>
      </c>
      <c r="Q217" s="243" t="e">
        <f ca="1">IF(AND(INDEX(FlowCalConstA,MATCH(N209,FlowCalNumber,0),1,1)*P217^INDEX(FlowCalConstB,MATCH(N209,FlowCalNumber,0),1,1)&gt;INDEX(FlowCalLowSetting,MATCH(N209,FlowCalNumber,0),1,1), (INDEX(FlowCalConstA,MATCH(N209,FlowCalNumber,0),1,1)*P217^INDEX(FlowCalConstB,MATCH(N209,FlowCalNumber,0),1,1)&lt;INDEX(FlowCalHighSetting,MATCH(N209,FlowCalNumber,0),1,1))),INDEX(FlowCalConstA,MATCH(N209,FlowCalNumber,0),1,1)*P217^INDEX(FlowCalConstB,MATCH(N209,FlowCalNumber,0),1,1)," ")</f>
        <v>#N/A</v>
      </c>
      <c r="R217" s="33"/>
      <c r="S217" s="242">
        <f t="shared" si="204"/>
        <v>1</v>
      </c>
      <c r="T217" s="241" t="e">
        <f t="shared" ca="1" si="205"/>
        <v>#VALUE!</v>
      </c>
      <c r="U217" s="244" t="e">
        <f ca="1">IF(AND(INDEX(FlowCalConstA,MATCH(R209,FlowCalNumber,0),1,1)*T217^INDEX(FlowCalConstB,MATCH(R209,FlowCalNumber,0),1,1)&gt;INDEX(FlowCalLowSetting,MATCH(R209,FlowCalNumber,0),1,1), (INDEX(FlowCalConstA,MATCH(R209,FlowCalNumber,0),1,1)*T217^INDEX(FlowCalConstB,MATCH(R209,FlowCalNumber,0),1,1)&lt;INDEX(FlowCalHighSetting,MATCH(R209,FlowCalNumber,0),1,1))),INDEX(FlowCalConstA,MATCH(R209,FlowCalNumber,0),1,1)*T217^INDEX(FlowCalConstB,MATCH(R209,FlowCalNumber,0),1,1)," ")</f>
        <v>#N/A</v>
      </c>
      <c r="V217" s="33"/>
      <c r="W217" s="242">
        <f t="shared" si="206"/>
        <v>0.1</v>
      </c>
      <c r="X217" s="241" t="e">
        <f t="shared" ca="1" si="207"/>
        <v>#VALUE!</v>
      </c>
      <c r="Y217" s="243" t="e">
        <f ca="1">IF(AND(INDEX(FlowCalConstA,MATCH(V209,FlowCalNumber,0),1,1)*X217^INDEX(FlowCalConstB,MATCH(V209,FlowCalNumber,0),1,1)&gt;INDEX(FlowCalLowSetting,MATCH(V209,FlowCalNumber,0),1,1), (INDEX(FlowCalConstA,MATCH(V209,FlowCalNumber,0),1,1)*X217^INDEX(FlowCalConstB,MATCH(V209,FlowCalNumber,0),1,1)&lt;INDEX(FlowCalHighSetting,MATCH(V209,FlowCalNumber,0),1,1))),INDEX(FlowCalConstA,MATCH(V209,FlowCalNumber,0),1,1)*X217^INDEX(FlowCalConstB,MATCH(V209,FlowCalNumber,0),1,1)," ")</f>
        <v>#N/A</v>
      </c>
      <c r="Z217" s="33"/>
      <c r="AA217" s="242">
        <f t="shared" si="208"/>
        <v>0.9</v>
      </c>
      <c r="AB217" s="241" t="e">
        <f t="shared" ca="1" si="209"/>
        <v>#VALUE!</v>
      </c>
      <c r="AC217" s="243" t="e">
        <f ca="1">IF(AND(INDEX(FlowCalConstA,MATCH(Z209,FlowCalNumber,0),1,1)*AB217^INDEX(FlowCalConstB,MATCH(Z209,FlowCalNumber,0),1,1)&gt;INDEX(FlowCalLowSetting,MATCH(Z209,FlowCalNumber,0),1,1), (INDEX(FlowCalConstA,MATCH(Z209,FlowCalNumber,0),1,1)*AB217^INDEX(FlowCalConstB,MATCH(Z209,FlowCalNumber,0),1,1)&lt;INDEX(FlowCalHighSetting,MATCH(Z209,FlowCalNumber,0),1,1))),INDEX(FlowCalConstA,MATCH(Z209,FlowCalNumber,0),1,1)*AB217^INDEX(FlowCalConstB,MATCH(Z209,FlowCalNumber,0),1,1)," ")</f>
        <v>#N/A</v>
      </c>
      <c r="AD217" s="33"/>
      <c r="AE217" s="242">
        <f t="shared" si="210"/>
        <v>0.1</v>
      </c>
      <c r="AF217" s="241" t="e">
        <f t="shared" ca="1" si="211"/>
        <v>#VALUE!</v>
      </c>
      <c r="AG217" s="243" t="e">
        <f ca="1">IF(AND(INDEX(FlowCalConstA,MATCH(AD209,FlowCalNumber,0),1,1)*AF217^INDEX(FlowCalConstB,MATCH(AD209,FlowCalNumber,0),1,1)&gt;INDEX(FlowCalLowSetting,MATCH(AD209,FlowCalNumber,0),1,1), (INDEX(FlowCalConstA,MATCH(AD209,FlowCalNumber,0),1,1)*AF217^INDEX(FlowCalConstB,MATCH(AD209,FlowCalNumber,0),1,1)&lt;INDEX(FlowCalHighSetting,MATCH(AD209,FlowCalNumber,0),1,1))),INDEX(FlowCalConstA,MATCH(AD209,FlowCalNumber,0),1,1)*AF217^INDEX(FlowCalConstB,MATCH(AD209,FlowCalNumber,0),1,1)," ")</f>
        <v>#N/A</v>
      </c>
      <c r="AH217" s="33"/>
      <c r="AI217" s="242">
        <f t="shared" si="212"/>
        <v>0.9</v>
      </c>
      <c r="AJ217" s="241" t="e">
        <f t="shared" ca="1" si="213"/>
        <v>#VALUE!</v>
      </c>
      <c r="AK217" s="243" t="e">
        <f ca="1">IF(AND(INDEX(FlowCalConstA,MATCH(AH209,FlowCalNumber,0),1,1)*AJ217^INDEX(FlowCalConstB,MATCH(AH209,FlowCalNumber,0),1,1)&gt;INDEX(FlowCalLowSetting,MATCH(AH209,FlowCalNumber,0),1,1), (INDEX(FlowCalConstA,MATCH(AH209,FlowCalNumber,0),1,1)*AJ217^INDEX(FlowCalConstB,MATCH(AH209,FlowCalNumber,0),1,1)&lt;INDEX(FlowCalHighSetting,MATCH(AH209,FlowCalNumber,0),1,1))),INDEX(FlowCalConstA,MATCH(AH209,FlowCalNumber,0),1,1)*AJ217^INDEX(FlowCalConstB,MATCH(AH209,FlowCalNumber,0),1,1)," ")</f>
        <v>#N/A</v>
      </c>
      <c r="AL217" s="33"/>
      <c r="AM217" s="242"/>
      <c r="AN217" s="241"/>
      <c r="AO217" s="244"/>
      <c r="AQ217" s="242"/>
      <c r="AR217" s="241"/>
      <c r="AS217" s="244"/>
      <c r="AT217" s="33"/>
      <c r="AU217" s="242"/>
      <c r="AV217" s="241"/>
      <c r="AW217" s="244"/>
      <c r="AX217" s="33"/>
      <c r="AY217" s="242"/>
      <c r="AZ217" s="241"/>
      <c r="BA217" s="244"/>
      <c r="BB217" s="33"/>
      <c r="BC217" s="242"/>
      <c r="BD217" s="241"/>
      <c r="BE217" s="244"/>
      <c r="BF217" s="33"/>
      <c r="BG217" s="242"/>
      <c r="BH217" s="241"/>
      <c r="BI217" s="244"/>
      <c r="BJ217" s="33"/>
      <c r="BK217" s="242"/>
      <c r="BL217" s="241"/>
      <c r="BM217" s="244"/>
      <c r="BN217" s="33"/>
      <c r="BO217" s="242"/>
      <c r="BP217" s="241"/>
      <c r="BQ217" s="244"/>
      <c r="BR217" s="33"/>
      <c r="BS217" s="242"/>
      <c r="BT217" s="241"/>
      <c r="BU217" s="244"/>
      <c r="BV217" s="33"/>
      <c r="BW217" s="242"/>
      <c r="BX217" s="241"/>
      <c r="BY217" s="244"/>
      <c r="BZ217" s="33"/>
      <c r="CA217" s="242"/>
      <c r="CB217" s="241"/>
      <c r="CC217" s="244"/>
      <c r="CD217" s="243"/>
      <c r="CE217" s="243"/>
      <c r="CF217" s="243"/>
      <c r="CG217" s="243"/>
      <c r="CH217" s="243"/>
      <c r="CI217" s="243"/>
      <c r="CJ217" s="243"/>
      <c r="CK217" s="243"/>
      <c r="CL217" s="243"/>
      <c r="CM217" s="243"/>
      <c r="CN217" s="243"/>
      <c r="CO217" s="243"/>
      <c r="CP217" s="243"/>
      <c r="CQ217" s="243"/>
      <c r="CR217" s="243"/>
      <c r="CS217" s="243"/>
      <c r="CT217" s="243"/>
      <c r="CU217" s="243"/>
      <c r="CV217" s="243"/>
      <c r="CW217" s="243"/>
      <c r="CX217" s="243"/>
      <c r="CY217" s="243"/>
      <c r="CZ217" s="243"/>
      <c r="DA217" s="243"/>
      <c r="DB217" s="243"/>
      <c r="DC217" s="243"/>
      <c r="DD217" s="243"/>
      <c r="DE217" s="243"/>
      <c r="DF217" s="243"/>
      <c r="DG217" s="243"/>
      <c r="DH217" s="243"/>
      <c r="DI217" s="243"/>
      <c r="DJ217" s="243"/>
      <c r="DK217" s="243"/>
      <c r="DM217" s="242"/>
      <c r="DO217" s="243"/>
      <c r="DQ217" s="242"/>
      <c r="DS217" s="243"/>
      <c r="DU217" s="242"/>
      <c r="DW217" s="243"/>
      <c r="DY217" s="242"/>
      <c r="EA217" s="243"/>
    </row>
    <row r="218" spans="1:131">
      <c r="A218" s="20"/>
      <c r="B218" s="124" t="str">
        <f t="shared" si="198"/>
        <v/>
      </c>
      <c r="C218" s="235"/>
      <c r="D218" s="24">
        <f>'1% Wind'!$M$90</f>
        <v>5.7</v>
      </c>
      <c r="E218" s="90"/>
      <c r="F218" s="90"/>
      <c r="G218" s="79">
        <f ca="1">IF(I209=0.9743,$G217,MAX(G217/D217*D218,2))</f>
        <v>6.001707317073171</v>
      </c>
      <c r="H218" s="121" t="e">
        <f t="shared" ca="1" si="199"/>
        <v>#VALUE!</v>
      </c>
      <c r="J218" s="33"/>
      <c r="K218" s="242">
        <f t="shared" si="200"/>
        <v>1</v>
      </c>
      <c r="L218" s="241" t="e">
        <f t="shared" ca="1" si="201"/>
        <v>#VALUE!</v>
      </c>
      <c r="M218" s="243" t="e">
        <f ca="1">IF(AND(INDEX(FlowCalConstA,MATCH(J209,FlowCalNumber,0),1,1)*L218^INDEX(FlowCalConstB,MATCH(J209,FlowCalNumber,0),1,1)&gt;INDEX(FlowCalLowSetting,MATCH(J209,FlowCalNumber,0),1,1), (INDEX(FlowCalConstA,MATCH(J209,FlowCalNumber,0),1,1)*L218^INDEX(FlowCalConstB,MATCH(J209,FlowCalNumber,0),1,1)&lt;INDEX(FlowCalHighSetting,MATCH(J209,FlowCalNumber,0),1,1))),INDEX(FlowCalConstA,MATCH(J209,FlowCalNumber,0),1,1)*L218^INDEX(FlowCalConstB,MATCH(J209,FlowCalNumber,0),1,1)," ")</f>
        <v>#N/A</v>
      </c>
      <c r="N218" s="33"/>
      <c r="O218" s="242">
        <f t="shared" si="202"/>
        <v>1</v>
      </c>
      <c r="P218" s="241" t="e">
        <f t="shared" ca="1" si="203"/>
        <v>#VALUE!</v>
      </c>
      <c r="Q218" s="243" t="e">
        <f ca="1">IF(AND(INDEX(FlowCalConstA,MATCH(N209,FlowCalNumber,0),1,1)*P218^INDEX(FlowCalConstB,MATCH(N209,FlowCalNumber,0),1,1)&gt;INDEX(FlowCalLowSetting,MATCH(N209,FlowCalNumber,0),1,1), (INDEX(FlowCalConstA,MATCH(N209,FlowCalNumber,0),1,1)*P218^INDEX(FlowCalConstB,MATCH(N209,FlowCalNumber,0),1,1)&lt;INDEX(FlowCalHighSetting,MATCH(N209,FlowCalNumber,0),1,1))),INDEX(FlowCalConstA,MATCH(N209,FlowCalNumber,0),1,1)*P218^INDEX(FlowCalConstB,MATCH(N209,FlowCalNumber,0),1,1)," ")</f>
        <v>#N/A</v>
      </c>
      <c r="R218" s="33"/>
      <c r="S218" s="242">
        <f t="shared" si="204"/>
        <v>1</v>
      </c>
      <c r="T218" s="241" t="e">
        <f t="shared" ca="1" si="205"/>
        <v>#VALUE!</v>
      </c>
      <c r="U218" s="244" t="e">
        <f ca="1">IF(AND(INDEX(FlowCalConstA,MATCH(R209,FlowCalNumber,0),1,1)*T218^INDEX(FlowCalConstB,MATCH(R209,FlowCalNumber,0),1,1)&gt;INDEX(FlowCalLowSetting,MATCH(R209,FlowCalNumber,0),1,1), (INDEX(FlowCalConstA,MATCH(R209,FlowCalNumber,0),1,1)*T218^INDEX(FlowCalConstB,MATCH(R209,FlowCalNumber,0),1,1)&lt;INDEX(FlowCalHighSetting,MATCH(R209,FlowCalNumber,0),1,1))),INDEX(FlowCalConstA,MATCH(R209,FlowCalNumber,0),1,1)*T218^INDEX(FlowCalConstB,MATCH(R209,FlowCalNumber,0),1,1)," ")</f>
        <v>#N/A</v>
      </c>
      <c r="V218" s="33"/>
      <c r="W218" s="242">
        <f t="shared" si="206"/>
        <v>0.1</v>
      </c>
      <c r="X218" s="241" t="e">
        <f t="shared" ca="1" si="207"/>
        <v>#VALUE!</v>
      </c>
      <c r="Y218" s="243" t="e">
        <f ca="1">IF(AND(INDEX(FlowCalConstA,MATCH(V209,FlowCalNumber,0),1,1)*X218^INDEX(FlowCalConstB,MATCH(V209,FlowCalNumber,0),1,1)&gt;INDEX(FlowCalLowSetting,MATCH(V209,FlowCalNumber,0),1,1), (INDEX(FlowCalConstA,MATCH(V209,FlowCalNumber,0),1,1)*X218^INDEX(FlowCalConstB,MATCH(V209,FlowCalNumber,0),1,1)&lt;INDEX(FlowCalHighSetting,MATCH(V209,FlowCalNumber,0),1,1))),INDEX(FlowCalConstA,MATCH(V209,FlowCalNumber,0),1,1)*X218^INDEX(FlowCalConstB,MATCH(V209,FlowCalNumber,0),1,1)," ")</f>
        <v>#N/A</v>
      </c>
      <c r="Z218" s="33"/>
      <c r="AA218" s="242">
        <f t="shared" si="208"/>
        <v>0.9</v>
      </c>
      <c r="AB218" s="241" t="e">
        <f t="shared" ca="1" si="209"/>
        <v>#VALUE!</v>
      </c>
      <c r="AC218" s="243" t="e">
        <f ca="1">IF(AND(INDEX(FlowCalConstA,MATCH(Z209,FlowCalNumber,0),1,1)*AB218^INDEX(FlowCalConstB,MATCH(Z209,FlowCalNumber,0),1,1)&gt;INDEX(FlowCalLowSetting,MATCH(Z209,FlowCalNumber,0),1,1), (INDEX(FlowCalConstA,MATCH(Z209,FlowCalNumber,0),1,1)*AB218^INDEX(FlowCalConstB,MATCH(Z209,FlowCalNumber,0),1,1)&lt;INDEX(FlowCalHighSetting,MATCH(Z209,FlowCalNumber,0),1,1))),INDEX(FlowCalConstA,MATCH(Z209,FlowCalNumber,0),1,1)*AB218^INDEX(FlowCalConstB,MATCH(Z209,FlowCalNumber,0),1,1)," ")</f>
        <v>#N/A</v>
      </c>
      <c r="AD218" s="33"/>
      <c r="AE218" s="242">
        <f t="shared" si="210"/>
        <v>0.1</v>
      </c>
      <c r="AF218" s="241" t="e">
        <f t="shared" ca="1" si="211"/>
        <v>#VALUE!</v>
      </c>
      <c r="AG218" s="243" t="e">
        <f ca="1">IF(AND(INDEX(FlowCalConstA,MATCH(AD209,FlowCalNumber,0),1,1)*AF218^INDEX(FlowCalConstB,MATCH(AD209,FlowCalNumber,0),1,1)&gt;INDEX(FlowCalLowSetting,MATCH(AD209,FlowCalNumber,0),1,1), (INDEX(FlowCalConstA,MATCH(AD209,FlowCalNumber,0),1,1)*AF218^INDEX(FlowCalConstB,MATCH(AD209,FlowCalNumber,0),1,1)&lt;INDEX(FlowCalHighSetting,MATCH(AD209,FlowCalNumber,0),1,1))),INDEX(FlowCalConstA,MATCH(AD209,FlowCalNumber,0),1,1)*AF218^INDEX(FlowCalConstB,MATCH(AD209,FlowCalNumber,0),1,1)," ")</f>
        <v>#N/A</v>
      </c>
      <c r="AH218" s="33"/>
      <c r="AI218" s="242">
        <f t="shared" si="212"/>
        <v>0.9</v>
      </c>
      <c r="AJ218" s="241" t="e">
        <f t="shared" ca="1" si="213"/>
        <v>#VALUE!</v>
      </c>
      <c r="AK218" s="243" t="e">
        <f ca="1">IF(AND(INDEX(FlowCalConstA,MATCH(AH209,FlowCalNumber,0),1,1)*AJ218^INDEX(FlowCalConstB,MATCH(AH209,FlowCalNumber,0),1,1)&gt;INDEX(FlowCalLowSetting,MATCH(AH209,FlowCalNumber,0),1,1), (INDEX(FlowCalConstA,MATCH(AH209,FlowCalNumber,0),1,1)*AJ218^INDEX(FlowCalConstB,MATCH(AH209,FlowCalNumber,0),1,1)&lt;INDEX(FlowCalHighSetting,MATCH(AH209,FlowCalNumber,0),1,1))),INDEX(FlowCalConstA,MATCH(AH209,FlowCalNumber,0),1,1)*AJ218^INDEX(FlowCalConstB,MATCH(AH209,FlowCalNumber,0),1,1)," ")</f>
        <v>#N/A</v>
      </c>
      <c r="AL218" s="33"/>
      <c r="AM218" s="242"/>
      <c r="AN218" s="241"/>
      <c r="AO218" s="244"/>
      <c r="AQ218" s="242"/>
      <c r="AR218" s="241"/>
      <c r="AS218" s="244"/>
      <c r="AT218" s="33"/>
      <c r="AU218" s="242"/>
      <c r="AV218" s="241"/>
      <c r="AW218" s="244"/>
      <c r="AX218" s="33"/>
      <c r="AY218" s="242"/>
      <c r="AZ218" s="241"/>
      <c r="BA218" s="244"/>
      <c r="BB218" s="33"/>
      <c r="BC218" s="242"/>
      <c r="BD218" s="241"/>
      <c r="BE218" s="244"/>
      <c r="BF218" s="33"/>
      <c r="BG218" s="242"/>
      <c r="BH218" s="241"/>
      <c r="BI218" s="244"/>
      <c r="BJ218" s="33"/>
      <c r="BK218" s="242"/>
      <c r="BL218" s="241"/>
      <c r="BM218" s="244"/>
      <c r="BN218" s="33"/>
      <c r="BO218" s="242"/>
      <c r="BP218" s="241"/>
      <c r="BQ218" s="244"/>
      <c r="BR218" s="33"/>
      <c r="BS218" s="242"/>
      <c r="BT218" s="241"/>
      <c r="BU218" s="244"/>
      <c r="BV218" s="33"/>
      <c r="BW218" s="242"/>
      <c r="BX218" s="241"/>
      <c r="BY218" s="244"/>
      <c r="BZ218" s="33"/>
      <c r="CA218" s="242"/>
      <c r="CB218" s="241"/>
      <c r="CC218" s="244"/>
      <c r="CD218" s="243"/>
      <c r="CE218" s="243"/>
      <c r="CF218" s="243"/>
      <c r="CG218" s="243"/>
      <c r="CH218" s="243"/>
      <c r="CI218" s="243"/>
      <c r="CJ218" s="243"/>
      <c r="CK218" s="243"/>
      <c r="CL218" s="243"/>
      <c r="CM218" s="243"/>
      <c r="CN218" s="243"/>
      <c r="CO218" s="243"/>
      <c r="CP218" s="243"/>
      <c r="CQ218" s="243"/>
      <c r="CR218" s="243"/>
      <c r="CS218" s="243"/>
      <c r="CT218" s="243"/>
      <c r="CU218" s="243"/>
      <c r="CV218" s="243"/>
      <c r="CW218" s="243"/>
      <c r="CX218" s="243"/>
      <c r="CY218" s="243"/>
      <c r="CZ218" s="243"/>
      <c r="DA218" s="243"/>
      <c r="DB218" s="243"/>
      <c r="DC218" s="243"/>
      <c r="DD218" s="243"/>
      <c r="DE218" s="243"/>
      <c r="DF218" s="243"/>
      <c r="DG218" s="243"/>
      <c r="DH218" s="243"/>
      <c r="DI218" s="243"/>
      <c r="DJ218" s="243"/>
      <c r="DK218" s="243"/>
      <c r="DM218" s="242"/>
      <c r="DO218" s="243"/>
      <c r="DQ218" s="242"/>
      <c r="DS218" s="243"/>
      <c r="DU218" s="242"/>
      <c r="DW218" s="243"/>
      <c r="DY218" s="242"/>
      <c r="EA218" s="243"/>
    </row>
    <row r="219" spans="1:131">
      <c r="A219" s="20"/>
      <c r="B219" s="124" t="str">
        <f t="shared" si="198"/>
        <v/>
      </c>
      <c r="C219" s="235"/>
      <c r="D219" s="24">
        <f>'1% Wind'!$M$91</f>
        <v>4.2</v>
      </c>
      <c r="E219" s="90"/>
      <c r="F219" s="90"/>
      <c r="G219" s="79">
        <f ca="1">IF(I209=0.9743,$G218,MAX(G218/D218*D219,2))</f>
        <v>6.001707317073171</v>
      </c>
      <c r="H219" s="121" t="e">
        <f t="shared" ca="1" si="199"/>
        <v>#VALUE!</v>
      </c>
      <c r="J219" s="33"/>
      <c r="K219" s="242">
        <f t="shared" si="200"/>
        <v>1</v>
      </c>
      <c r="L219" s="241" t="e">
        <f t="shared" ca="1" si="201"/>
        <v>#VALUE!</v>
      </c>
      <c r="M219" s="243" t="e">
        <f ca="1">IF(AND(INDEX(FlowCalConstA,MATCH(J209,FlowCalNumber,0),1,1)*L219^INDEX(FlowCalConstB,MATCH(J209,FlowCalNumber,0),1,1)&gt;INDEX(FlowCalLowSetting,MATCH(J209,FlowCalNumber,0),1,1), (INDEX(FlowCalConstA,MATCH(J209,FlowCalNumber,0),1,1)*L219^INDEX(FlowCalConstB,MATCH(J209,FlowCalNumber,0),1,1)&lt;INDEX(FlowCalHighSetting,MATCH(J209,FlowCalNumber,0),1,1))),INDEX(FlowCalConstA,MATCH(J209,FlowCalNumber,0),1,1)*L219^INDEX(FlowCalConstB,MATCH(J209,FlowCalNumber,0),1,1)," ")</f>
        <v>#N/A</v>
      </c>
      <c r="N219" s="33"/>
      <c r="O219" s="242">
        <f t="shared" si="202"/>
        <v>1</v>
      </c>
      <c r="P219" s="241" t="e">
        <f t="shared" ca="1" si="203"/>
        <v>#VALUE!</v>
      </c>
      <c r="Q219" s="243" t="e">
        <f ca="1">IF(AND(INDEX(FlowCalConstA,MATCH(N209,FlowCalNumber,0),1,1)*P219^INDEX(FlowCalConstB,MATCH(N209,FlowCalNumber,0),1,1)&gt;INDEX(FlowCalLowSetting,MATCH(N209,FlowCalNumber,0),1,1), (INDEX(FlowCalConstA,MATCH(N209,FlowCalNumber,0),1,1)*P219^INDEX(FlowCalConstB,MATCH(N209,FlowCalNumber,0),1,1)&lt;INDEX(FlowCalHighSetting,MATCH(N209,FlowCalNumber,0),1,1))),INDEX(FlowCalConstA,MATCH(N209,FlowCalNumber,0),1,1)*P219^INDEX(FlowCalConstB,MATCH(N209,FlowCalNumber,0),1,1)," ")</f>
        <v>#N/A</v>
      </c>
      <c r="R219" s="33"/>
      <c r="S219" s="242">
        <f t="shared" si="204"/>
        <v>1</v>
      </c>
      <c r="T219" s="241" t="e">
        <f t="shared" ca="1" si="205"/>
        <v>#VALUE!</v>
      </c>
      <c r="U219" s="244" t="e">
        <f ca="1">IF(AND(INDEX(FlowCalConstA,MATCH(R209,FlowCalNumber,0),1,1)*T219^INDEX(FlowCalConstB,MATCH(R209,FlowCalNumber,0),1,1)&gt;INDEX(FlowCalLowSetting,MATCH(R209,FlowCalNumber,0),1,1), (INDEX(FlowCalConstA,MATCH(R209,FlowCalNumber,0),1,1)*T219^INDEX(FlowCalConstB,MATCH(R209,FlowCalNumber,0),1,1)&lt;INDEX(FlowCalHighSetting,MATCH(R209,FlowCalNumber,0),1,1))),INDEX(FlowCalConstA,MATCH(R209,FlowCalNumber,0),1,1)*T219^INDEX(FlowCalConstB,MATCH(R209,FlowCalNumber,0),1,1)," ")</f>
        <v>#N/A</v>
      </c>
      <c r="V219" s="33"/>
      <c r="W219" s="242">
        <f t="shared" si="206"/>
        <v>0.1</v>
      </c>
      <c r="X219" s="241" t="e">
        <f t="shared" ca="1" si="207"/>
        <v>#VALUE!</v>
      </c>
      <c r="Y219" s="243" t="e">
        <f ca="1">IF(AND(INDEX(FlowCalConstA,MATCH(V209,FlowCalNumber,0),1,1)*X219^INDEX(FlowCalConstB,MATCH(V209,FlowCalNumber,0),1,1)&gt;INDEX(FlowCalLowSetting,MATCH(V209,FlowCalNumber,0),1,1), (INDEX(FlowCalConstA,MATCH(V209,FlowCalNumber,0),1,1)*X219^INDEX(FlowCalConstB,MATCH(V209,FlowCalNumber,0),1,1)&lt;INDEX(FlowCalHighSetting,MATCH(V209,FlowCalNumber,0),1,1))),INDEX(FlowCalConstA,MATCH(V209,FlowCalNumber,0),1,1)*X219^INDEX(FlowCalConstB,MATCH(V209,FlowCalNumber,0),1,1)," ")</f>
        <v>#N/A</v>
      </c>
      <c r="Z219" s="33"/>
      <c r="AA219" s="242">
        <f t="shared" si="208"/>
        <v>0.9</v>
      </c>
      <c r="AB219" s="241" t="e">
        <f t="shared" ca="1" si="209"/>
        <v>#VALUE!</v>
      </c>
      <c r="AC219" s="243" t="e">
        <f ca="1">IF(AND(INDEX(FlowCalConstA,MATCH(Z209,FlowCalNumber,0),1,1)*AB219^INDEX(FlowCalConstB,MATCH(Z209,FlowCalNumber,0),1,1)&gt;INDEX(FlowCalLowSetting,MATCH(Z209,FlowCalNumber,0),1,1), (INDEX(FlowCalConstA,MATCH(Z209,FlowCalNumber,0),1,1)*AB219^INDEX(FlowCalConstB,MATCH(Z209,FlowCalNumber,0),1,1)&lt;INDEX(FlowCalHighSetting,MATCH(Z209,FlowCalNumber,0),1,1))),INDEX(FlowCalConstA,MATCH(Z209,FlowCalNumber,0),1,1)*AB219^INDEX(FlowCalConstB,MATCH(Z209,FlowCalNumber,0),1,1)," ")</f>
        <v>#N/A</v>
      </c>
      <c r="AD219" s="33"/>
      <c r="AE219" s="242">
        <f t="shared" si="210"/>
        <v>0.1</v>
      </c>
      <c r="AF219" s="241" t="e">
        <f t="shared" ca="1" si="211"/>
        <v>#VALUE!</v>
      </c>
      <c r="AG219" s="243" t="e">
        <f ca="1">IF(AND(INDEX(FlowCalConstA,MATCH(AD209,FlowCalNumber,0),1,1)*AF219^INDEX(FlowCalConstB,MATCH(AD209,FlowCalNumber,0),1,1)&gt;INDEX(FlowCalLowSetting,MATCH(AD209,FlowCalNumber,0),1,1), (INDEX(FlowCalConstA,MATCH(AD209,FlowCalNumber,0),1,1)*AF219^INDEX(FlowCalConstB,MATCH(AD209,FlowCalNumber,0),1,1)&lt;INDEX(FlowCalHighSetting,MATCH(AD209,FlowCalNumber,0),1,1))),INDEX(FlowCalConstA,MATCH(AD209,FlowCalNumber,0),1,1)*AF219^INDEX(FlowCalConstB,MATCH(AD209,FlowCalNumber,0),1,1)," ")</f>
        <v>#N/A</v>
      </c>
      <c r="AH219" s="33"/>
      <c r="AI219" s="242">
        <f t="shared" si="212"/>
        <v>0.9</v>
      </c>
      <c r="AJ219" s="241" t="e">
        <f t="shared" ca="1" si="213"/>
        <v>#VALUE!</v>
      </c>
      <c r="AK219" s="243" t="e">
        <f ca="1">IF(AND(INDEX(FlowCalConstA,MATCH(AH209,FlowCalNumber,0),1,1)*AJ219^INDEX(FlowCalConstB,MATCH(AH209,FlowCalNumber,0),1,1)&gt;INDEX(FlowCalLowSetting,MATCH(AH209,FlowCalNumber,0),1,1), (INDEX(FlowCalConstA,MATCH(AH209,FlowCalNumber,0),1,1)*AJ219^INDEX(FlowCalConstB,MATCH(AH209,FlowCalNumber,0),1,1)&lt;INDEX(FlowCalHighSetting,MATCH(AH209,FlowCalNumber,0),1,1))),INDEX(FlowCalConstA,MATCH(AH209,FlowCalNumber,0),1,1)*AJ219^INDEX(FlowCalConstB,MATCH(AH209,FlowCalNumber,0),1,1)," ")</f>
        <v>#N/A</v>
      </c>
      <c r="AL219" s="33"/>
      <c r="AM219" s="242"/>
      <c r="AN219" s="241"/>
      <c r="AO219" s="244"/>
      <c r="AQ219" s="242"/>
      <c r="AR219" s="241"/>
      <c r="AS219" s="244"/>
      <c r="AT219" s="33"/>
      <c r="AU219" s="242"/>
      <c r="AV219" s="241"/>
      <c r="AW219" s="244"/>
      <c r="AX219" s="33"/>
      <c r="AY219" s="242"/>
      <c r="AZ219" s="241"/>
      <c r="BA219" s="244"/>
      <c r="BB219" s="33"/>
      <c r="BC219" s="242"/>
      <c r="BD219" s="241"/>
      <c r="BE219" s="244"/>
      <c r="BF219" s="33"/>
      <c r="BG219" s="242"/>
      <c r="BH219" s="241"/>
      <c r="BI219" s="244"/>
      <c r="BJ219" s="33"/>
      <c r="BK219" s="242"/>
      <c r="BL219" s="241"/>
      <c r="BM219" s="244"/>
      <c r="BN219" s="33"/>
      <c r="BO219" s="242"/>
      <c r="BP219" s="241"/>
      <c r="BQ219" s="244"/>
      <c r="BR219" s="33"/>
      <c r="BS219" s="242"/>
      <c r="BT219" s="241"/>
      <c r="BU219" s="244"/>
      <c r="BV219" s="33"/>
      <c r="BW219" s="242"/>
      <c r="BX219" s="241"/>
      <c r="BY219" s="244"/>
      <c r="BZ219" s="33"/>
      <c r="CA219" s="242"/>
      <c r="CB219" s="241"/>
      <c r="CC219" s="244"/>
      <c r="CD219" s="243"/>
      <c r="CE219" s="243"/>
      <c r="CF219" s="243"/>
      <c r="CG219" s="243"/>
      <c r="CH219" s="243"/>
      <c r="CI219" s="243"/>
      <c r="CJ219" s="243"/>
      <c r="CK219" s="243"/>
      <c r="CL219" s="243"/>
      <c r="CM219" s="243"/>
      <c r="CN219" s="243"/>
      <c r="CO219" s="243"/>
      <c r="CP219" s="243"/>
      <c r="CQ219" s="243"/>
      <c r="CR219" s="243"/>
      <c r="CS219" s="243"/>
      <c r="CT219" s="243"/>
      <c r="CU219" s="243"/>
      <c r="CV219" s="243"/>
      <c r="CW219" s="243"/>
      <c r="CX219" s="243"/>
      <c r="CY219" s="243"/>
      <c r="CZ219" s="243"/>
      <c r="DA219" s="243"/>
      <c r="DB219" s="243"/>
      <c r="DC219" s="243"/>
      <c r="DD219" s="243"/>
      <c r="DE219" s="243"/>
      <c r="DF219" s="243"/>
      <c r="DG219" s="243"/>
      <c r="DH219" s="243"/>
      <c r="DI219" s="243"/>
      <c r="DJ219" s="243"/>
      <c r="DK219" s="243"/>
      <c r="DM219" s="242"/>
      <c r="DO219" s="243"/>
      <c r="DQ219" s="242"/>
      <c r="DS219" s="243"/>
      <c r="DU219" s="242"/>
      <c r="DW219" s="243"/>
      <c r="DY219" s="242"/>
      <c r="EA219" s="243"/>
    </row>
    <row r="220" spans="1:131">
      <c r="A220" s="20"/>
      <c r="B220" s="124" t="str">
        <f t="shared" si="198"/>
        <v/>
      </c>
      <c r="C220" s="235"/>
      <c r="D220" s="24">
        <f>'1% Wind'!$M$92</f>
        <v>3.2</v>
      </c>
      <c r="E220" s="90"/>
      <c r="F220" s="90"/>
      <c r="G220" s="79">
        <f ca="1">IF(I209=0.9743,$G219,MAX(G219/D219*D220,2))</f>
        <v>6.001707317073171</v>
      </c>
      <c r="H220" s="121" t="e">
        <f t="shared" ca="1" si="199"/>
        <v>#VALUE!</v>
      </c>
      <c r="J220" s="33"/>
      <c r="K220" s="242">
        <f t="shared" si="200"/>
        <v>1</v>
      </c>
      <c r="L220" s="241" t="e">
        <f t="shared" ca="1" si="201"/>
        <v>#VALUE!</v>
      </c>
      <c r="M220" s="243" t="e">
        <f ca="1">IF(AND(INDEX(FlowCalConstA,MATCH(J209,FlowCalNumber,0),1,1)*L220^INDEX(FlowCalConstB,MATCH(J209,FlowCalNumber,0),1,1)&gt;INDEX(FlowCalLowSetting,MATCH(J209,FlowCalNumber,0),1,1), (INDEX(FlowCalConstA,MATCH(J209,FlowCalNumber,0),1,1)*L220^INDEX(FlowCalConstB,MATCH(J209,FlowCalNumber,0),1,1)&lt;INDEX(FlowCalHighSetting,MATCH(J209,FlowCalNumber,0),1,1))),INDEX(FlowCalConstA,MATCH(J209,FlowCalNumber,0),1,1)*L220^INDEX(FlowCalConstB,MATCH(J209,FlowCalNumber,0),1,1)," ")</f>
        <v>#N/A</v>
      </c>
      <c r="N220" s="33"/>
      <c r="O220" s="242">
        <f t="shared" si="202"/>
        <v>1</v>
      </c>
      <c r="P220" s="241" t="e">
        <f t="shared" ca="1" si="203"/>
        <v>#VALUE!</v>
      </c>
      <c r="Q220" s="243" t="e">
        <f ca="1">IF(AND(INDEX(FlowCalConstA,MATCH(N209,FlowCalNumber,0),1,1)*P220^INDEX(FlowCalConstB,MATCH(N209,FlowCalNumber,0),1,1)&gt;INDEX(FlowCalLowSetting,MATCH(N209,FlowCalNumber,0),1,1), (INDEX(FlowCalConstA,MATCH(N209,FlowCalNumber,0),1,1)*P220^INDEX(FlowCalConstB,MATCH(N209,FlowCalNumber,0),1,1)&lt;INDEX(FlowCalHighSetting,MATCH(N209,FlowCalNumber,0),1,1))),INDEX(FlowCalConstA,MATCH(N209,FlowCalNumber,0),1,1)*P220^INDEX(FlowCalConstB,MATCH(N209,FlowCalNumber,0),1,1)," ")</f>
        <v>#N/A</v>
      </c>
      <c r="R220" s="33"/>
      <c r="S220" s="242">
        <f t="shared" si="204"/>
        <v>1</v>
      </c>
      <c r="T220" s="241" t="e">
        <f t="shared" ca="1" si="205"/>
        <v>#VALUE!</v>
      </c>
      <c r="U220" s="244" t="e">
        <f ca="1">IF(AND(INDEX(FlowCalConstA,MATCH(R209,FlowCalNumber,0),1,1)*T220^INDEX(FlowCalConstB,MATCH(R209,FlowCalNumber,0),1,1)&gt;INDEX(FlowCalLowSetting,MATCH(R209,FlowCalNumber,0),1,1), (INDEX(FlowCalConstA,MATCH(R209,FlowCalNumber,0),1,1)*T220^INDEX(FlowCalConstB,MATCH(R209,FlowCalNumber,0),1,1)&lt;INDEX(FlowCalHighSetting,MATCH(R209,FlowCalNumber,0),1,1))),INDEX(FlowCalConstA,MATCH(R209,FlowCalNumber,0),1,1)*T220^INDEX(FlowCalConstB,MATCH(R209,FlowCalNumber,0),1,1)," ")</f>
        <v>#N/A</v>
      </c>
      <c r="V220" s="33"/>
      <c r="W220" s="242">
        <f t="shared" si="206"/>
        <v>0.1</v>
      </c>
      <c r="X220" s="241" t="e">
        <f t="shared" ca="1" si="207"/>
        <v>#VALUE!</v>
      </c>
      <c r="Y220" s="243" t="e">
        <f ca="1">IF(AND(INDEX(FlowCalConstA,MATCH(V209,FlowCalNumber,0),1,1)*X220^INDEX(FlowCalConstB,MATCH(V209,FlowCalNumber,0),1,1)&gt;INDEX(FlowCalLowSetting,MATCH(V209,FlowCalNumber,0),1,1), (INDEX(FlowCalConstA,MATCH(V209,FlowCalNumber,0),1,1)*X220^INDEX(FlowCalConstB,MATCH(V209,FlowCalNumber,0),1,1)&lt;INDEX(FlowCalHighSetting,MATCH(V209,FlowCalNumber,0),1,1))),INDEX(FlowCalConstA,MATCH(V209,FlowCalNumber,0),1,1)*X220^INDEX(FlowCalConstB,MATCH(V209,FlowCalNumber,0),1,1)," ")</f>
        <v>#N/A</v>
      </c>
      <c r="Z220" s="33"/>
      <c r="AA220" s="242">
        <f t="shared" si="208"/>
        <v>0.9</v>
      </c>
      <c r="AB220" s="241" t="e">
        <f t="shared" ca="1" si="209"/>
        <v>#VALUE!</v>
      </c>
      <c r="AC220" s="243" t="e">
        <f ca="1">IF(AND(INDEX(FlowCalConstA,MATCH(Z209,FlowCalNumber,0),1,1)*AB220^INDEX(FlowCalConstB,MATCH(Z209,FlowCalNumber,0),1,1)&gt;INDEX(FlowCalLowSetting,MATCH(Z209,FlowCalNumber,0),1,1), (INDEX(FlowCalConstA,MATCH(Z209,FlowCalNumber,0),1,1)*AB220^INDEX(FlowCalConstB,MATCH(Z209,FlowCalNumber,0),1,1)&lt;INDEX(FlowCalHighSetting,MATCH(Z209,FlowCalNumber,0),1,1))),INDEX(FlowCalConstA,MATCH(Z209,FlowCalNumber,0),1,1)*AB220^INDEX(FlowCalConstB,MATCH(Z209,FlowCalNumber,0),1,1)," ")</f>
        <v>#N/A</v>
      </c>
      <c r="AD220" s="33"/>
      <c r="AE220" s="242">
        <f t="shared" si="210"/>
        <v>0.1</v>
      </c>
      <c r="AF220" s="241" t="e">
        <f t="shared" ca="1" si="211"/>
        <v>#VALUE!</v>
      </c>
      <c r="AG220" s="243" t="e">
        <f ca="1">IF(AND(INDEX(FlowCalConstA,MATCH(AD209,FlowCalNumber,0),1,1)*AF220^INDEX(FlowCalConstB,MATCH(AD209,FlowCalNumber,0),1,1)&gt;INDEX(FlowCalLowSetting,MATCH(AD209,FlowCalNumber,0),1,1), (INDEX(FlowCalConstA,MATCH(AD209,FlowCalNumber,0),1,1)*AF220^INDEX(FlowCalConstB,MATCH(AD209,FlowCalNumber,0),1,1)&lt;INDEX(FlowCalHighSetting,MATCH(AD209,FlowCalNumber,0),1,1))),INDEX(FlowCalConstA,MATCH(AD209,FlowCalNumber,0),1,1)*AF220^INDEX(FlowCalConstB,MATCH(AD209,FlowCalNumber,0),1,1)," ")</f>
        <v>#N/A</v>
      </c>
      <c r="AH220" s="33"/>
      <c r="AI220" s="242">
        <f t="shared" si="212"/>
        <v>0.9</v>
      </c>
      <c r="AJ220" s="241" t="e">
        <f t="shared" ca="1" si="213"/>
        <v>#VALUE!</v>
      </c>
      <c r="AK220" s="243" t="e">
        <f ca="1">IF(AND(INDEX(FlowCalConstA,MATCH(AH209,FlowCalNumber,0),1,1)*AJ220^INDEX(FlowCalConstB,MATCH(AH209,FlowCalNumber,0),1,1)&gt;INDEX(FlowCalLowSetting,MATCH(AH209,FlowCalNumber,0),1,1), (INDEX(FlowCalConstA,MATCH(AH209,FlowCalNumber,0),1,1)*AJ220^INDEX(FlowCalConstB,MATCH(AH209,FlowCalNumber,0),1,1)&lt;INDEX(FlowCalHighSetting,MATCH(AH209,FlowCalNumber,0),1,1))),INDEX(FlowCalConstA,MATCH(AH209,FlowCalNumber,0),1,1)*AJ220^INDEX(FlowCalConstB,MATCH(AH209,FlowCalNumber,0),1,1)," ")</f>
        <v>#N/A</v>
      </c>
      <c r="AL220" s="33"/>
      <c r="AM220" s="242"/>
      <c r="AN220" s="241"/>
      <c r="AO220" s="244"/>
      <c r="AQ220" s="242"/>
      <c r="AR220" s="241"/>
      <c r="AS220" s="244"/>
      <c r="AT220" s="33"/>
      <c r="AU220" s="242"/>
      <c r="AV220" s="241"/>
      <c r="AW220" s="244"/>
      <c r="AX220" s="33"/>
      <c r="AY220" s="242"/>
      <c r="AZ220" s="241"/>
      <c r="BA220" s="244"/>
      <c r="BB220" s="33"/>
      <c r="BC220" s="242"/>
      <c r="BD220" s="241"/>
      <c r="BE220" s="244"/>
      <c r="BF220" s="33"/>
      <c r="BG220" s="242"/>
      <c r="BH220" s="241"/>
      <c r="BI220" s="244"/>
      <c r="BJ220" s="33"/>
      <c r="BK220" s="242"/>
      <c r="BL220" s="241"/>
      <c r="BM220" s="244"/>
      <c r="BN220" s="33"/>
      <c r="BO220" s="242"/>
      <c r="BP220" s="241"/>
      <c r="BQ220" s="244"/>
      <c r="BR220" s="33"/>
      <c r="BS220" s="242"/>
      <c r="BT220" s="241"/>
      <c r="BU220" s="244"/>
      <c r="BV220" s="33"/>
      <c r="BW220" s="242"/>
      <c r="BX220" s="241"/>
      <c r="BY220" s="244"/>
      <c r="BZ220" s="33"/>
      <c r="CA220" s="242"/>
      <c r="CB220" s="241"/>
      <c r="CC220" s="244"/>
      <c r="CD220" s="243"/>
      <c r="CE220" s="243"/>
      <c r="CF220" s="243"/>
      <c r="CG220" s="243"/>
      <c r="CH220" s="243"/>
      <c r="CI220" s="243"/>
      <c r="CJ220" s="243"/>
      <c r="CK220" s="243"/>
      <c r="CL220" s="243"/>
      <c r="CM220" s="243"/>
      <c r="CN220" s="243"/>
      <c r="CO220" s="243"/>
      <c r="CP220" s="243"/>
      <c r="CQ220" s="243"/>
      <c r="CR220" s="243"/>
      <c r="CS220" s="243"/>
      <c r="CT220" s="243"/>
      <c r="CU220" s="243"/>
      <c r="CV220" s="243"/>
      <c r="CW220" s="243"/>
      <c r="CX220" s="243"/>
      <c r="CY220" s="243"/>
      <c r="CZ220" s="243"/>
      <c r="DA220" s="243"/>
      <c r="DB220" s="243"/>
      <c r="DC220" s="243"/>
      <c r="DD220" s="243"/>
      <c r="DE220" s="243"/>
      <c r="DF220" s="243"/>
      <c r="DG220" s="243"/>
      <c r="DH220" s="243"/>
      <c r="DI220" s="243"/>
      <c r="DJ220" s="243"/>
      <c r="DK220" s="243"/>
      <c r="DM220" s="242"/>
      <c r="DO220" s="243"/>
      <c r="DQ220" s="242"/>
      <c r="DS220" s="243"/>
      <c r="DU220" s="242"/>
      <c r="DW220" s="243"/>
      <c r="DY220" s="242"/>
      <c r="EA220" s="243"/>
    </row>
    <row r="221" spans="1:131">
      <c r="A221" s="20"/>
      <c r="B221" s="124" t="str">
        <f t="shared" si="198"/>
        <v/>
      </c>
      <c r="C221" s="235"/>
      <c r="D221" s="24">
        <f>'1% Wind'!$M$93</f>
        <v>2.4</v>
      </c>
      <c r="E221" s="90"/>
      <c r="F221" s="90"/>
      <c r="G221" s="79">
        <f ca="1">IF(I209=0.9743,$G220,MAX(G220/D220*D221,2))</f>
        <v>6.001707317073171</v>
      </c>
      <c r="H221" s="121" t="e">
        <f t="shared" ca="1" si="199"/>
        <v>#VALUE!</v>
      </c>
      <c r="J221" s="33"/>
      <c r="K221" s="242">
        <f t="shared" si="200"/>
        <v>1</v>
      </c>
      <c r="L221" s="241" t="e">
        <f t="shared" ca="1" si="201"/>
        <v>#VALUE!</v>
      </c>
      <c r="M221" s="243" t="e">
        <f ca="1">IF(AND(INDEX(FlowCalConstA,MATCH(J209,FlowCalNumber,0),1,1)*L221^INDEX(FlowCalConstB,MATCH(J209,FlowCalNumber,0),1,1)&gt;INDEX(FlowCalLowSetting,MATCH(J209,FlowCalNumber,0),1,1), (INDEX(FlowCalConstA,MATCH(J209,FlowCalNumber,0),1,1)*L221^INDEX(FlowCalConstB,MATCH(J209,FlowCalNumber,0),1,1)&lt;INDEX(FlowCalHighSetting,MATCH(J209,FlowCalNumber,0),1,1))),INDEX(FlowCalConstA,MATCH(J209,FlowCalNumber,0),1,1)*L221^INDEX(FlowCalConstB,MATCH(J209,FlowCalNumber,0),1,1)," ")</f>
        <v>#N/A</v>
      </c>
      <c r="N221" s="33"/>
      <c r="O221" s="242">
        <f t="shared" si="202"/>
        <v>1</v>
      </c>
      <c r="P221" s="241" t="e">
        <f t="shared" ca="1" si="203"/>
        <v>#VALUE!</v>
      </c>
      <c r="Q221" s="243" t="e">
        <f ca="1">IF(AND(INDEX(FlowCalConstA,MATCH(N209,FlowCalNumber,0),1,1)*P221^INDEX(FlowCalConstB,MATCH(N209,FlowCalNumber,0),1,1)&gt;INDEX(FlowCalLowSetting,MATCH(N209,FlowCalNumber,0),1,1), (INDEX(FlowCalConstA,MATCH(N209,FlowCalNumber,0),1,1)*P221^INDEX(FlowCalConstB,MATCH(N209,FlowCalNumber,0),1,1)&lt;INDEX(FlowCalHighSetting,MATCH(N209,FlowCalNumber,0),1,1))),INDEX(FlowCalConstA,MATCH(N209,FlowCalNumber,0),1,1)*P221^INDEX(FlowCalConstB,MATCH(N209,FlowCalNumber,0),1,1)," ")</f>
        <v>#N/A</v>
      </c>
      <c r="R221" s="33"/>
      <c r="S221" s="242">
        <f t="shared" si="204"/>
        <v>1</v>
      </c>
      <c r="T221" s="241" t="e">
        <f t="shared" ca="1" si="205"/>
        <v>#VALUE!</v>
      </c>
      <c r="U221" s="244" t="e">
        <f ca="1">IF(AND(INDEX(FlowCalConstA,MATCH(R209,FlowCalNumber,0),1,1)*T221^INDEX(FlowCalConstB,MATCH(R209,FlowCalNumber,0),1,1)&gt;INDEX(FlowCalLowSetting,MATCH(R209,FlowCalNumber,0),1,1), (INDEX(FlowCalConstA,MATCH(R209,FlowCalNumber,0),1,1)*T221^INDEX(FlowCalConstB,MATCH(R209,FlowCalNumber,0),1,1)&lt;INDEX(FlowCalHighSetting,MATCH(R209,FlowCalNumber,0),1,1))),INDEX(FlowCalConstA,MATCH(R209,FlowCalNumber,0),1,1)*T221^INDEX(FlowCalConstB,MATCH(R209,FlowCalNumber,0),1,1)," ")</f>
        <v>#N/A</v>
      </c>
      <c r="V221" s="33"/>
      <c r="W221" s="242">
        <f t="shared" si="206"/>
        <v>0.1</v>
      </c>
      <c r="X221" s="241" t="e">
        <f t="shared" ca="1" si="207"/>
        <v>#VALUE!</v>
      </c>
      <c r="Y221" s="243" t="e">
        <f ca="1">IF(AND(INDEX(FlowCalConstA,MATCH(V209,FlowCalNumber,0),1,1)*X221^INDEX(FlowCalConstB,MATCH(V209,FlowCalNumber,0),1,1)&gt;INDEX(FlowCalLowSetting,MATCH(V209,FlowCalNumber,0),1,1), (INDEX(FlowCalConstA,MATCH(V209,FlowCalNumber,0),1,1)*X221^INDEX(FlowCalConstB,MATCH(V209,FlowCalNumber,0),1,1)&lt;INDEX(FlowCalHighSetting,MATCH(V209,FlowCalNumber,0),1,1))),INDEX(FlowCalConstA,MATCH(V209,FlowCalNumber,0),1,1)*X221^INDEX(FlowCalConstB,MATCH(V209,FlowCalNumber,0),1,1)," ")</f>
        <v>#N/A</v>
      </c>
      <c r="Z221" s="33"/>
      <c r="AA221" s="242">
        <f t="shared" si="208"/>
        <v>0.9</v>
      </c>
      <c r="AB221" s="241" t="e">
        <f t="shared" ca="1" si="209"/>
        <v>#VALUE!</v>
      </c>
      <c r="AC221" s="243" t="e">
        <f ca="1">IF(AND(INDEX(FlowCalConstA,MATCH(Z209,FlowCalNumber,0),1,1)*AB221^INDEX(FlowCalConstB,MATCH(Z209,FlowCalNumber,0),1,1)&gt;INDEX(FlowCalLowSetting,MATCH(Z209,FlowCalNumber,0),1,1), (INDEX(FlowCalConstA,MATCH(Z209,FlowCalNumber,0),1,1)*AB221^INDEX(FlowCalConstB,MATCH(Z209,FlowCalNumber,0),1,1)&lt;INDEX(FlowCalHighSetting,MATCH(Z209,FlowCalNumber,0),1,1))),INDEX(FlowCalConstA,MATCH(Z209,FlowCalNumber,0),1,1)*AB221^INDEX(FlowCalConstB,MATCH(Z209,FlowCalNumber,0),1,1)," ")</f>
        <v>#N/A</v>
      </c>
      <c r="AD221" s="33"/>
      <c r="AE221" s="242">
        <f t="shared" si="210"/>
        <v>0.1</v>
      </c>
      <c r="AF221" s="241" t="e">
        <f t="shared" ca="1" si="211"/>
        <v>#VALUE!</v>
      </c>
      <c r="AG221" s="243" t="e">
        <f ca="1">IF(AND(INDEX(FlowCalConstA,MATCH(AD209,FlowCalNumber,0),1,1)*AF221^INDEX(FlowCalConstB,MATCH(AD209,FlowCalNumber,0),1,1)&gt;INDEX(FlowCalLowSetting,MATCH(AD209,FlowCalNumber,0),1,1), (INDEX(FlowCalConstA,MATCH(AD209,FlowCalNumber,0),1,1)*AF221^INDEX(FlowCalConstB,MATCH(AD209,FlowCalNumber,0),1,1)&lt;INDEX(FlowCalHighSetting,MATCH(AD209,FlowCalNumber,0),1,1))),INDEX(FlowCalConstA,MATCH(AD209,FlowCalNumber,0),1,1)*AF221^INDEX(FlowCalConstB,MATCH(AD209,FlowCalNumber,0),1,1)," ")</f>
        <v>#N/A</v>
      </c>
      <c r="AH221" s="33"/>
      <c r="AI221" s="242">
        <f t="shared" si="212"/>
        <v>0.9</v>
      </c>
      <c r="AJ221" s="241" t="e">
        <f t="shared" ca="1" si="213"/>
        <v>#VALUE!</v>
      </c>
      <c r="AK221" s="243" t="e">
        <f ca="1">IF(AND(INDEX(FlowCalConstA,MATCH(AH209,FlowCalNumber,0),1,1)*AJ221^INDEX(FlowCalConstB,MATCH(AH209,FlowCalNumber,0),1,1)&gt;INDEX(FlowCalLowSetting,MATCH(AH209,FlowCalNumber,0),1,1), (INDEX(FlowCalConstA,MATCH(AH209,FlowCalNumber,0),1,1)*AJ221^INDEX(FlowCalConstB,MATCH(AH209,FlowCalNumber,0),1,1)&lt;INDEX(FlowCalHighSetting,MATCH(AH209,FlowCalNumber,0),1,1))),INDEX(FlowCalConstA,MATCH(AH209,FlowCalNumber,0),1,1)*AJ221^INDEX(FlowCalConstB,MATCH(AH209,FlowCalNumber,0),1,1)," ")</f>
        <v>#N/A</v>
      </c>
      <c r="AL221" s="33"/>
      <c r="AM221" s="242"/>
      <c r="AN221" s="241"/>
      <c r="AO221" s="244"/>
      <c r="AQ221" s="242"/>
      <c r="AR221" s="241"/>
      <c r="AS221" s="244"/>
      <c r="AT221" s="33"/>
      <c r="AU221" s="242"/>
      <c r="AV221" s="241"/>
      <c r="AW221" s="244"/>
      <c r="AX221" s="33"/>
      <c r="AY221" s="242"/>
      <c r="AZ221" s="241"/>
      <c r="BA221" s="244"/>
      <c r="BB221" s="33"/>
      <c r="BC221" s="242"/>
      <c r="BD221" s="241"/>
      <c r="BE221" s="244"/>
      <c r="BF221" s="33"/>
      <c r="BG221" s="242"/>
      <c r="BH221" s="241"/>
      <c r="BI221" s="244"/>
      <c r="BJ221" s="33"/>
      <c r="BK221" s="242"/>
      <c r="BL221" s="241"/>
      <c r="BM221" s="244"/>
      <c r="BN221" s="33"/>
      <c r="BO221" s="242"/>
      <c r="BP221" s="241"/>
      <c r="BQ221" s="244"/>
      <c r="BR221" s="33"/>
      <c r="BS221" s="242"/>
      <c r="BT221" s="241"/>
      <c r="BU221" s="244"/>
      <c r="BV221" s="33"/>
      <c r="BW221" s="242"/>
      <c r="BX221" s="241"/>
      <c r="BY221" s="244"/>
      <c r="BZ221" s="33"/>
      <c r="CA221" s="242"/>
      <c r="CB221" s="241"/>
      <c r="CC221" s="244"/>
      <c r="CD221" s="243"/>
      <c r="CE221" s="243"/>
      <c r="CF221" s="243"/>
      <c r="CG221" s="243"/>
      <c r="CH221" s="243"/>
      <c r="CI221" s="243"/>
      <c r="CJ221" s="243"/>
      <c r="CK221" s="243"/>
      <c r="CL221" s="243"/>
      <c r="CM221" s="243"/>
      <c r="CN221" s="243"/>
      <c r="CO221" s="243"/>
      <c r="CP221" s="243"/>
      <c r="CQ221" s="243"/>
      <c r="CR221" s="243"/>
      <c r="CS221" s="243"/>
      <c r="CT221" s="243"/>
      <c r="CU221" s="243"/>
      <c r="CV221" s="243"/>
      <c r="CW221" s="243"/>
      <c r="CX221" s="243"/>
      <c r="CY221" s="243"/>
      <c r="CZ221" s="243"/>
      <c r="DA221" s="243"/>
      <c r="DB221" s="243"/>
      <c r="DC221" s="243"/>
      <c r="DD221" s="243"/>
      <c r="DE221" s="243"/>
      <c r="DF221" s="243"/>
      <c r="DG221" s="243"/>
      <c r="DH221" s="243"/>
      <c r="DI221" s="243"/>
      <c r="DJ221" s="243"/>
      <c r="DK221" s="243"/>
      <c r="DM221" s="242"/>
      <c r="DO221" s="243"/>
      <c r="DQ221" s="242"/>
      <c r="DS221" s="243"/>
      <c r="DU221" s="242"/>
      <c r="DW221" s="243"/>
      <c r="DY221" s="242"/>
      <c r="EA221" s="243"/>
    </row>
    <row r="222" spans="1:131">
      <c r="A222" s="20"/>
      <c r="B222" s="124" t="str">
        <f t="shared" si="198"/>
        <v/>
      </c>
      <c r="C222" s="235"/>
      <c r="D222" s="24">
        <f>'1% Wind'!$M$94</f>
        <v>1.8</v>
      </c>
      <c r="E222" s="90"/>
      <c r="F222" s="90"/>
      <c r="G222" s="79">
        <f ca="1">IF(I209=0.9743,$G221,MAX(G221/D221*D222,2))</f>
        <v>6.001707317073171</v>
      </c>
      <c r="H222" s="121" t="e">
        <f t="shared" ca="1" si="199"/>
        <v>#VALUE!</v>
      </c>
      <c r="J222" s="33"/>
      <c r="K222" s="242">
        <f t="shared" si="200"/>
        <v>1</v>
      </c>
      <c r="L222" s="241" t="e">
        <f t="shared" ca="1" si="201"/>
        <v>#VALUE!</v>
      </c>
      <c r="M222" s="243" t="e">
        <f ca="1">IF(AND(INDEX(FlowCalConstA,MATCH(J209,FlowCalNumber,0),1,1)*L222^INDEX(FlowCalConstB,MATCH(J209,FlowCalNumber,0),1,1)&gt;INDEX(FlowCalLowSetting,MATCH(J209,FlowCalNumber,0),1,1), (INDEX(FlowCalConstA,MATCH(J209,FlowCalNumber,0),1,1)*L222^INDEX(FlowCalConstB,MATCH(J209,FlowCalNumber,0),1,1)&lt;INDEX(FlowCalHighSetting,MATCH(J209,FlowCalNumber,0),1,1))),INDEX(FlowCalConstA,MATCH(J209,FlowCalNumber,0),1,1)*L222^INDEX(FlowCalConstB,MATCH(J209,FlowCalNumber,0),1,1)," ")</f>
        <v>#N/A</v>
      </c>
      <c r="N222" s="33"/>
      <c r="O222" s="242">
        <f t="shared" si="202"/>
        <v>1</v>
      </c>
      <c r="P222" s="241" t="e">
        <f t="shared" ca="1" si="203"/>
        <v>#VALUE!</v>
      </c>
      <c r="Q222" s="243" t="e">
        <f ca="1">IF(AND(INDEX(FlowCalConstA,MATCH(N209,FlowCalNumber,0),1,1)*P222^INDEX(FlowCalConstB,MATCH(N209,FlowCalNumber,0),1,1)&gt;INDEX(FlowCalLowSetting,MATCH(N209,FlowCalNumber,0),1,1), (INDEX(FlowCalConstA,MATCH(N209,FlowCalNumber,0),1,1)*P222^INDEX(FlowCalConstB,MATCH(N209,FlowCalNumber,0),1,1)&lt;INDEX(FlowCalHighSetting,MATCH(N209,FlowCalNumber,0),1,1))),INDEX(FlowCalConstA,MATCH(N209,FlowCalNumber,0),1,1)*P222^INDEX(FlowCalConstB,MATCH(N209,FlowCalNumber,0),1,1)," ")</f>
        <v>#N/A</v>
      </c>
      <c r="R222" s="33"/>
      <c r="S222" s="242">
        <f t="shared" si="204"/>
        <v>1</v>
      </c>
      <c r="T222" s="241" t="e">
        <f t="shared" ca="1" si="205"/>
        <v>#VALUE!</v>
      </c>
      <c r="U222" s="244" t="e">
        <f ca="1">IF(AND(INDEX(FlowCalConstA,MATCH(R209,FlowCalNumber,0),1,1)*T222^INDEX(FlowCalConstB,MATCH(R209,FlowCalNumber,0),1,1)&gt;INDEX(FlowCalLowSetting,MATCH(R209,FlowCalNumber,0),1,1), (INDEX(FlowCalConstA,MATCH(R209,FlowCalNumber,0),1,1)*T222^INDEX(FlowCalConstB,MATCH(R209,FlowCalNumber,0),1,1)&lt;INDEX(FlowCalHighSetting,MATCH(R209,FlowCalNumber,0),1,1))),INDEX(FlowCalConstA,MATCH(R209,FlowCalNumber,0),1,1)*T222^INDEX(FlowCalConstB,MATCH(R209,FlowCalNumber,0),1,1)," ")</f>
        <v>#N/A</v>
      </c>
      <c r="V222" s="33"/>
      <c r="W222" s="242">
        <f t="shared" si="206"/>
        <v>0.1</v>
      </c>
      <c r="X222" s="241" t="e">
        <f t="shared" ca="1" si="207"/>
        <v>#VALUE!</v>
      </c>
      <c r="Y222" s="243" t="e">
        <f ca="1">IF(AND(INDEX(FlowCalConstA,MATCH(V209,FlowCalNumber,0),1,1)*X222^INDEX(FlowCalConstB,MATCH(V209,FlowCalNumber,0),1,1)&gt;INDEX(FlowCalLowSetting,MATCH(V209,FlowCalNumber,0),1,1), (INDEX(FlowCalConstA,MATCH(V209,FlowCalNumber,0),1,1)*X222^INDEX(FlowCalConstB,MATCH(V209,FlowCalNumber,0),1,1)&lt;INDEX(FlowCalHighSetting,MATCH(V209,FlowCalNumber,0),1,1))),INDEX(FlowCalConstA,MATCH(V209,FlowCalNumber,0),1,1)*X222^INDEX(FlowCalConstB,MATCH(V209,FlowCalNumber,0),1,1)," ")</f>
        <v>#N/A</v>
      </c>
      <c r="Z222" s="33"/>
      <c r="AA222" s="242">
        <f t="shared" si="208"/>
        <v>0.9</v>
      </c>
      <c r="AB222" s="241" t="e">
        <f t="shared" ca="1" si="209"/>
        <v>#VALUE!</v>
      </c>
      <c r="AC222" s="243" t="e">
        <f ca="1">IF(AND(INDEX(FlowCalConstA,MATCH(Z209,FlowCalNumber,0),1,1)*AB222^INDEX(FlowCalConstB,MATCH(Z209,FlowCalNumber,0),1,1)&gt;INDEX(FlowCalLowSetting,MATCH(Z209,FlowCalNumber,0),1,1), (INDEX(FlowCalConstA,MATCH(Z209,FlowCalNumber,0),1,1)*AB222^INDEX(FlowCalConstB,MATCH(Z209,FlowCalNumber,0),1,1)&lt;INDEX(FlowCalHighSetting,MATCH(Z209,FlowCalNumber,0),1,1))),INDEX(FlowCalConstA,MATCH(Z209,FlowCalNumber,0),1,1)*AB222^INDEX(FlowCalConstB,MATCH(Z209,FlowCalNumber,0),1,1)," ")</f>
        <v>#N/A</v>
      </c>
      <c r="AD222" s="33"/>
      <c r="AE222" s="242">
        <f t="shared" si="210"/>
        <v>0.1</v>
      </c>
      <c r="AF222" s="241" t="e">
        <f t="shared" ca="1" si="211"/>
        <v>#VALUE!</v>
      </c>
      <c r="AG222" s="243" t="e">
        <f ca="1">IF(AND(INDEX(FlowCalConstA,MATCH(AD209,FlowCalNumber,0),1,1)*AF222^INDEX(FlowCalConstB,MATCH(AD209,FlowCalNumber,0),1,1)&gt;INDEX(FlowCalLowSetting,MATCH(AD209,FlowCalNumber,0),1,1), (INDEX(FlowCalConstA,MATCH(AD209,FlowCalNumber,0),1,1)*AF222^INDEX(FlowCalConstB,MATCH(AD209,FlowCalNumber,0),1,1)&lt;INDEX(FlowCalHighSetting,MATCH(AD209,FlowCalNumber,0),1,1))),INDEX(FlowCalConstA,MATCH(AD209,FlowCalNumber,0),1,1)*AF222^INDEX(FlowCalConstB,MATCH(AD209,FlowCalNumber,0),1,1)," ")</f>
        <v>#N/A</v>
      </c>
      <c r="AH222" s="33"/>
      <c r="AI222" s="242">
        <f t="shared" si="212"/>
        <v>0.9</v>
      </c>
      <c r="AJ222" s="241" t="e">
        <f t="shared" ca="1" si="213"/>
        <v>#VALUE!</v>
      </c>
      <c r="AK222" s="243" t="e">
        <f ca="1">IF(AND(INDEX(FlowCalConstA,MATCH(AH209,FlowCalNumber,0),1,1)*AJ222^INDEX(FlowCalConstB,MATCH(AH209,FlowCalNumber,0),1,1)&gt;INDEX(FlowCalLowSetting,MATCH(AH209,FlowCalNumber,0),1,1), (INDEX(FlowCalConstA,MATCH(AH209,FlowCalNumber,0),1,1)*AJ222^INDEX(FlowCalConstB,MATCH(AH209,FlowCalNumber,0),1,1)&lt;INDEX(FlowCalHighSetting,MATCH(AH209,FlowCalNumber,0),1,1))),INDEX(FlowCalConstA,MATCH(AH209,FlowCalNumber,0),1,1)*AJ222^INDEX(FlowCalConstB,MATCH(AH209,FlowCalNumber,0),1,1)," ")</f>
        <v>#N/A</v>
      </c>
      <c r="AL222" s="33"/>
      <c r="AM222" s="242"/>
      <c r="AN222" s="241"/>
      <c r="AO222" s="244"/>
      <c r="AQ222" s="242"/>
      <c r="AR222" s="241"/>
      <c r="AS222" s="244"/>
      <c r="AT222" s="33"/>
      <c r="AU222" s="242"/>
      <c r="AV222" s="241"/>
      <c r="AW222" s="244"/>
      <c r="AX222" s="33"/>
      <c r="AY222" s="242"/>
      <c r="AZ222" s="241"/>
      <c r="BA222" s="244"/>
      <c r="BB222" s="33"/>
      <c r="BC222" s="242"/>
      <c r="BD222" s="241"/>
      <c r="BE222" s="244"/>
      <c r="BF222" s="33"/>
      <c r="BG222" s="242"/>
      <c r="BH222" s="241"/>
      <c r="BI222" s="244"/>
      <c r="BJ222" s="33"/>
      <c r="BK222" s="242"/>
      <c r="BL222" s="241"/>
      <c r="BM222" s="244"/>
      <c r="BN222" s="33"/>
      <c r="BO222" s="242"/>
      <c r="BP222" s="241"/>
      <c r="BQ222" s="244"/>
      <c r="BR222" s="33"/>
      <c r="BS222" s="242"/>
      <c r="BT222" s="241"/>
      <c r="BU222" s="244"/>
      <c r="BV222" s="33"/>
      <c r="BW222" s="242"/>
      <c r="BX222" s="241"/>
      <c r="BY222" s="244"/>
      <c r="BZ222" s="33"/>
      <c r="CA222" s="242"/>
      <c r="CB222" s="241"/>
      <c r="CC222" s="244"/>
      <c r="CD222" s="243"/>
      <c r="CE222" s="243"/>
      <c r="CF222" s="243"/>
      <c r="CG222" s="243"/>
      <c r="CH222" s="243"/>
      <c r="CI222" s="243"/>
      <c r="CJ222" s="243"/>
      <c r="CK222" s="243"/>
      <c r="CL222" s="243"/>
      <c r="CM222" s="243"/>
      <c r="CN222" s="243"/>
      <c r="CO222" s="243"/>
      <c r="CP222" s="243"/>
      <c r="CQ222" s="243"/>
      <c r="CR222" s="243"/>
      <c r="CS222" s="243"/>
      <c r="CT222" s="243"/>
      <c r="CU222" s="243"/>
      <c r="CV222" s="243"/>
      <c r="CW222" s="243"/>
      <c r="CX222" s="243"/>
      <c r="CY222" s="243"/>
      <c r="CZ222" s="243"/>
      <c r="DA222" s="243"/>
      <c r="DB222" s="243"/>
      <c r="DC222" s="243"/>
      <c r="DD222" s="243"/>
      <c r="DE222" s="243"/>
      <c r="DF222" s="243"/>
      <c r="DG222" s="243"/>
      <c r="DH222" s="243"/>
      <c r="DI222" s="243"/>
      <c r="DJ222" s="243"/>
      <c r="DK222" s="243"/>
      <c r="DM222" s="242"/>
      <c r="DO222" s="243"/>
      <c r="DQ222" s="242"/>
      <c r="DS222" s="243"/>
      <c r="DU222" s="242"/>
      <c r="DW222" s="243"/>
      <c r="DY222" s="242"/>
      <c r="EA222" s="243"/>
    </row>
    <row r="223" spans="1:131">
      <c r="A223" s="20"/>
      <c r="B223" s="124" t="str">
        <f t="shared" si="198"/>
        <v/>
      </c>
      <c r="C223" s="235"/>
      <c r="D223" s="24">
        <f>'1% Wind'!$M$95</f>
        <v>1.3</v>
      </c>
      <c r="E223" s="90"/>
      <c r="F223" s="90"/>
      <c r="G223" s="79">
        <f ca="1">IF(I209=0.9743,$G222,MAX(G222/D222*D223,2))</f>
        <v>6.001707317073171</v>
      </c>
      <c r="H223" s="121" t="e">
        <f t="shared" ca="1" si="199"/>
        <v>#VALUE!</v>
      </c>
      <c r="J223" s="33"/>
      <c r="K223" s="242">
        <f t="shared" si="200"/>
        <v>1</v>
      </c>
      <c r="L223" s="241" t="e">
        <f t="shared" ca="1" si="201"/>
        <v>#VALUE!</v>
      </c>
      <c r="M223" s="243" t="e">
        <f ca="1">IF(AND(INDEX(FlowCalConstA,MATCH(J209,FlowCalNumber,0),1,1)*L223^INDEX(FlowCalConstB,MATCH(J209,FlowCalNumber,0),1,1)&gt;INDEX(FlowCalLowSetting,MATCH(J209,FlowCalNumber,0),1,1), (INDEX(FlowCalConstA,MATCH(J209,FlowCalNumber,0),1,1)*L223^INDEX(FlowCalConstB,MATCH(J209,FlowCalNumber,0),1,1)&lt;INDEX(FlowCalHighSetting,MATCH(J209,FlowCalNumber,0),1,1))),INDEX(FlowCalConstA,MATCH(J209,FlowCalNumber,0),1,1)*L223^INDEX(FlowCalConstB,MATCH(J209,FlowCalNumber,0),1,1)," ")</f>
        <v>#N/A</v>
      </c>
      <c r="N223" s="33"/>
      <c r="O223" s="242">
        <f t="shared" si="202"/>
        <v>1</v>
      </c>
      <c r="P223" s="241" t="e">
        <f t="shared" ca="1" si="203"/>
        <v>#VALUE!</v>
      </c>
      <c r="Q223" s="243" t="e">
        <f ca="1">IF(AND(INDEX(FlowCalConstA,MATCH(N209,FlowCalNumber,0),1,1)*P223^INDEX(FlowCalConstB,MATCH(N209,FlowCalNumber,0),1,1)&gt;INDEX(FlowCalLowSetting,MATCH(N209,FlowCalNumber,0),1,1), (INDEX(FlowCalConstA,MATCH(N209,FlowCalNumber,0),1,1)*P223^INDEX(FlowCalConstB,MATCH(N209,FlowCalNumber,0),1,1)&lt;INDEX(FlowCalHighSetting,MATCH(N209,FlowCalNumber,0),1,1))),INDEX(FlowCalConstA,MATCH(N209,FlowCalNumber,0),1,1)*P223^INDEX(FlowCalConstB,MATCH(N209,FlowCalNumber,0),1,1)," ")</f>
        <v>#N/A</v>
      </c>
      <c r="R223" s="33"/>
      <c r="S223" s="242">
        <f t="shared" si="204"/>
        <v>1</v>
      </c>
      <c r="T223" s="241" t="e">
        <f t="shared" ca="1" si="205"/>
        <v>#VALUE!</v>
      </c>
      <c r="U223" s="244" t="e">
        <f ca="1">IF(AND(INDEX(FlowCalConstA,MATCH(R209,FlowCalNumber,0),1,1)*T223^INDEX(FlowCalConstB,MATCH(R209,FlowCalNumber,0),1,1)&gt;INDEX(FlowCalLowSetting,MATCH(R209,FlowCalNumber,0),1,1), (INDEX(FlowCalConstA,MATCH(R209,FlowCalNumber,0),1,1)*T223^INDEX(FlowCalConstB,MATCH(R209,FlowCalNumber,0),1,1)&lt;INDEX(FlowCalHighSetting,MATCH(R209,FlowCalNumber,0),1,1))),INDEX(FlowCalConstA,MATCH(R209,FlowCalNumber,0),1,1)*T223^INDEX(FlowCalConstB,MATCH(R209,FlowCalNumber,0),1,1)," ")</f>
        <v>#N/A</v>
      </c>
      <c r="V223" s="33"/>
      <c r="W223" s="242">
        <f t="shared" si="206"/>
        <v>0.1</v>
      </c>
      <c r="X223" s="241" t="e">
        <f t="shared" ca="1" si="207"/>
        <v>#VALUE!</v>
      </c>
      <c r="Y223" s="243" t="e">
        <f ca="1">IF(AND(INDEX(FlowCalConstA,MATCH(V209,FlowCalNumber,0),1,1)*X223^INDEX(FlowCalConstB,MATCH(V209,FlowCalNumber,0),1,1)&gt;INDEX(FlowCalLowSetting,MATCH(V209,FlowCalNumber,0),1,1), (INDEX(FlowCalConstA,MATCH(V209,FlowCalNumber,0),1,1)*X223^INDEX(FlowCalConstB,MATCH(V209,FlowCalNumber,0),1,1)&lt;INDEX(FlowCalHighSetting,MATCH(V209,FlowCalNumber,0),1,1))),INDEX(FlowCalConstA,MATCH(V209,FlowCalNumber,0),1,1)*X223^INDEX(FlowCalConstB,MATCH(V209,FlowCalNumber,0),1,1)," ")</f>
        <v>#N/A</v>
      </c>
      <c r="Z223" s="33"/>
      <c r="AA223" s="242">
        <f t="shared" si="208"/>
        <v>0.9</v>
      </c>
      <c r="AB223" s="241" t="e">
        <f t="shared" ca="1" si="209"/>
        <v>#VALUE!</v>
      </c>
      <c r="AC223" s="243" t="e">
        <f ca="1">IF(AND(INDEX(FlowCalConstA,MATCH(Z209,FlowCalNumber,0),1,1)*AB223^INDEX(FlowCalConstB,MATCH(Z209,FlowCalNumber,0),1,1)&gt;INDEX(FlowCalLowSetting,MATCH(Z209,FlowCalNumber,0),1,1), (INDEX(FlowCalConstA,MATCH(Z209,FlowCalNumber,0),1,1)*AB223^INDEX(FlowCalConstB,MATCH(Z209,FlowCalNumber,0),1,1)&lt;INDEX(FlowCalHighSetting,MATCH(Z209,FlowCalNumber,0),1,1))),INDEX(FlowCalConstA,MATCH(Z209,FlowCalNumber,0),1,1)*AB223^INDEX(FlowCalConstB,MATCH(Z209,FlowCalNumber,0),1,1)," ")</f>
        <v>#N/A</v>
      </c>
      <c r="AD223" s="33"/>
      <c r="AE223" s="242">
        <f t="shared" si="210"/>
        <v>0.1</v>
      </c>
      <c r="AF223" s="241" t="e">
        <f t="shared" ca="1" si="211"/>
        <v>#VALUE!</v>
      </c>
      <c r="AG223" s="243" t="e">
        <f ca="1">IF(AND(INDEX(FlowCalConstA,MATCH(AD209,FlowCalNumber,0),1,1)*AF223^INDEX(FlowCalConstB,MATCH(AD209,FlowCalNumber,0),1,1)&gt;INDEX(FlowCalLowSetting,MATCH(AD209,FlowCalNumber,0),1,1), (INDEX(FlowCalConstA,MATCH(AD209,FlowCalNumber,0),1,1)*AF223^INDEX(FlowCalConstB,MATCH(AD209,FlowCalNumber,0),1,1)&lt;INDEX(FlowCalHighSetting,MATCH(AD209,FlowCalNumber,0),1,1))),INDEX(FlowCalConstA,MATCH(AD209,FlowCalNumber,0),1,1)*AF223^INDEX(FlowCalConstB,MATCH(AD209,FlowCalNumber,0),1,1)," ")</f>
        <v>#N/A</v>
      </c>
      <c r="AH223" s="33"/>
      <c r="AI223" s="242">
        <f t="shared" si="212"/>
        <v>0.9</v>
      </c>
      <c r="AJ223" s="241" t="e">
        <f t="shared" ca="1" si="213"/>
        <v>#VALUE!</v>
      </c>
      <c r="AK223" s="243" t="e">
        <f ca="1">IF(AND(INDEX(FlowCalConstA,MATCH(AH209,FlowCalNumber,0),1,1)*AJ223^INDEX(FlowCalConstB,MATCH(AH209,FlowCalNumber,0),1,1)&gt;INDEX(FlowCalLowSetting,MATCH(AH209,FlowCalNumber,0),1,1), (INDEX(FlowCalConstA,MATCH(AH209,FlowCalNumber,0),1,1)*AJ223^INDEX(FlowCalConstB,MATCH(AH209,FlowCalNumber,0),1,1)&lt;INDEX(FlowCalHighSetting,MATCH(AH209,FlowCalNumber,0),1,1))),INDEX(FlowCalConstA,MATCH(AH209,FlowCalNumber,0),1,1)*AJ223^INDEX(FlowCalConstB,MATCH(AH209,FlowCalNumber,0),1,1)," ")</f>
        <v>#N/A</v>
      </c>
      <c r="AL223" s="33"/>
      <c r="AM223" s="242"/>
      <c r="AN223" s="241"/>
      <c r="AO223" s="244"/>
      <c r="AQ223" s="242"/>
      <c r="AR223" s="241"/>
      <c r="AS223" s="244"/>
      <c r="AT223" s="33"/>
      <c r="AU223" s="242"/>
      <c r="AV223" s="241"/>
      <c r="AW223" s="244"/>
      <c r="AX223" s="33"/>
      <c r="AY223" s="242"/>
      <c r="AZ223" s="241"/>
      <c r="BA223" s="244"/>
      <c r="BB223" s="33"/>
      <c r="BC223" s="242"/>
      <c r="BD223" s="241"/>
      <c r="BE223" s="244"/>
      <c r="BF223" s="33"/>
      <c r="BG223" s="242"/>
      <c r="BH223" s="241"/>
      <c r="BI223" s="244"/>
      <c r="BJ223" s="33"/>
      <c r="BK223" s="242"/>
      <c r="BL223" s="241"/>
      <c r="BM223" s="244"/>
      <c r="BN223" s="33"/>
      <c r="BO223" s="242"/>
      <c r="BP223" s="241"/>
      <c r="BQ223" s="244"/>
      <c r="BR223" s="33"/>
      <c r="BS223" s="242"/>
      <c r="BT223" s="241"/>
      <c r="BU223" s="244"/>
      <c r="BV223" s="33"/>
      <c r="BW223" s="242"/>
      <c r="BX223" s="241"/>
      <c r="BY223" s="244"/>
      <c r="BZ223" s="33"/>
      <c r="CA223" s="242"/>
      <c r="CB223" s="241"/>
      <c r="CC223" s="244"/>
      <c r="CD223" s="243"/>
      <c r="CE223" s="243"/>
      <c r="CF223" s="243"/>
      <c r="CG223" s="243"/>
      <c r="CH223" s="243"/>
      <c r="CI223" s="243"/>
      <c r="CJ223" s="243"/>
      <c r="CK223" s="243"/>
      <c r="CL223" s="243"/>
      <c r="CM223" s="243"/>
      <c r="CN223" s="243"/>
      <c r="CO223" s="243"/>
      <c r="CP223" s="243"/>
      <c r="CQ223" s="243"/>
      <c r="CR223" s="243"/>
      <c r="CS223" s="243"/>
      <c r="CT223" s="243"/>
      <c r="CU223" s="243"/>
      <c r="CV223" s="243"/>
      <c r="CW223" s="243"/>
      <c r="CX223" s="243"/>
      <c r="CY223" s="243"/>
      <c r="CZ223" s="243"/>
      <c r="DA223" s="243"/>
      <c r="DB223" s="243"/>
      <c r="DC223" s="243"/>
      <c r="DD223" s="243"/>
      <c r="DE223" s="243"/>
      <c r="DF223" s="243"/>
      <c r="DG223" s="243"/>
      <c r="DH223" s="243"/>
      <c r="DI223" s="243"/>
      <c r="DJ223" s="243"/>
      <c r="DK223" s="243"/>
      <c r="DM223" s="242"/>
      <c r="DO223" s="243"/>
      <c r="DQ223" s="242"/>
      <c r="DS223" s="243"/>
      <c r="DU223" s="242"/>
      <c r="DW223" s="243"/>
      <c r="DY223" s="242"/>
      <c r="EA223" s="243"/>
    </row>
    <row r="224" spans="1:131">
      <c r="A224" s="20"/>
      <c r="B224" s="124" t="str">
        <f t="shared" si="198"/>
        <v/>
      </c>
      <c r="C224" s="235"/>
      <c r="D224" s="24">
        <f>'1% Wind'!$M$96</f>
        <v>1</v>
      </c>
      <c r="E224" s="90"/>
      <c r="F224" s="90"/>
      <c r="G224" s="79">
        <f ca="1">IF(I209=0.9743,$G223,MAX(G223/D223*D224,2))</f>
        <v>6.001707317073171</v>
      </c>
      <c r="H224" s="121" t="e">
        <f t="shared" ca="1" si="199"/>
        <v>#VALUE!</v>
      </c>
      <c r="J224" s="33"/>
      <c r="K224" s="242">
        <f t="shared" si="200"/>
        <v>1</v>
      </c>
      <c r="L224" s="241" t="e">
        <f t="shared" ca="1" si="201"/>
        <v>#VALUE!</v>
      </c>
      <c r="M224" s="243" t="e">
        <f ca="1">IF(AND(INDEX(FlowCalConstA,MATCH(J209,FlowCalNumber,0),1,1)*L224^INDEX(FlowCalConstB,MATCH(J209,FlowCalNumber,0),1,1)&gt;INDEX(FlowCalLowSetting,MATCH(J209,FlowCalNumber,0),1,1), (INDEX(FlowCalConstA,MATCH(J209,FlowCalNumber,0),1,1)*L224^INDEX(FlowCalConstB,MATCH(J209,FlowCalNumber,0),1,1)&lt;INDEX(FlowCalHighSetting,MATCH(J209,FlowCalNumber,0),1,1))),INDEX(FlowCalConstA,MATCH(J209,FlowCalNumber,0),1,1)*L224^INDEX(FlowCalConstB,MATCH(J209,FlowCalNumber,0),1,1)," ")</f>
        <v>#N/A</v>
      </c>
      <c r="N224" s="33"/>
      <c r="O224" s="242">
        <f t="shared" si="202"/>
        <v>1</v>
      </c>
      <c r="P224" s="241" t="e">
        <f t="shared" ca="1" si="203"/>
        <v>#VALUE!</v>
      </c>
      <c r="Q224" s="243" t="e">
        <f ca="1">IF(AND(INDEX(FlowCalConstA,MATCH(N209,FlowCalNumber,0),1,1)*P224^INDEX(FlowCalConstB,MATCH(N209,FlowCalNumber,0),1,1)&gt;INDEX(FlowCalLowSetting,MATCH(N209,FlowCalNumber,0),1,1), (INDEX(FlowCalConstA,MATCH(N209,FlowCalNumber,0),1,1)*P224^INDEX(FlowCalConstB,MATCH(N209,FlowCalNumber,0),1,1)&lt;INDEX(FlowCalHighSetting,MATCH(N209,FlowCalNumber,0),1,1))),INDEX(FlowCalConstA,MATCH(N209,FlowCalNumber,0),1,1)*P224^INDEX(FlowCalConstB,MATCH(N209,FlowCalNumber,0),1,1)," ")</f>
        <v>#N/A</v>
      </c>
      <c r="R224" s="33"/>
      <c r="S224" s="242">
        <f t="shared" si="204"/>
        <v>1</v>
      </c>
      <c r="T224" s="241" t="e">
        <f t="shared" ca="1" si="205"/>
        <v>#VALUE!</v>
      </c>
      <c r="U224" s="244" t="e">
        <f ca="1">IF(AND(INDEX(FlowCalConstA,MATCH(R209,FlowCalNumber,0),1,1)*T224^INDEX(FlowCalConstB,MATCH(R209,FlowCalNumber,0),1,1)&gt;INDEX(FlowCalLowSetting,MATCH(R209,FlowCalNumber,0),1,1), (INDEX(FlowCalConstA,MATCH(R209,FlowCalNumber,0),1,1)*T224^INDEX(FlowCalConstB,MATCH(R209,FlowCalNumber,0),1,1)&lt;INDEX(FlowCalHighSetting,MATCH(R209,FlowCalNumber,0),1,1))),INDEX(FlowCalConstA,MATCH(R209,FlowCalNumber,0),1,1)*T224^INDEX(FlowCalConstB,MATCH(R209,FlowCalNumber,0),1,1)," ")</f>
        <v>#N/A</v>
      </c>
      <c r="V224" s="33"/>
      <c r="W224" s="242">
        <f t="shared" si="206"/>
        <v>0.1</v>
      </c>
      <c r="X224" s="241" t="e">
        <f t="shared" ca="1" si="207"/>
        <v>#VALUE!</v>
      </c>
      <c r="Y224" s="243" t="e">
        <f ca="1">IF(AND(INDEX(FlowCalConstA,MATCH(V209,FlowCalNumber,0),1,1)*X224^INDEX(FlowCalConstB,MATCH(V209,FlowCalNumber,0),1,1)&gt;INDEX(FlowCalLowSetting,MATCH(V209,FlowCalNumber,0),1,1), (INDEX(FlowCalConstA,MATCH(V209,FlowCalNumber,0),1,1)*X224^INDEX(FlowCalConstB,MATCH(V209,FlowCalNumber,0),1,1)&lt;INDEX(FlowCalHighSetting,MATCH(V209,FlowCalNumber,0),1,1))),INDEX(FlowCalConstA,MATCH(V209,FlowCalNumber,0),1,1)*X224^INDEX(FlowCalConstB,MATCH(V209,FlowCalNumber,0),1,1)," ")</f>
        <v>#N/A</v>
      </c>
      <c r="Z224" s="33"/>
      <c r="AA224" s="242">
        <f t="shared" si="208"/>
        <v>0.9</v>
      </c>
      <c r="AB224" s="241" t="e">
        <f t="shared" ca="1" si="209"/>
        <v>#VALUE!</v>
      </c>
      <c r="AC224" s="243" t="e">
        <f ca="1">IF(AND(INDEX(FlowCalConstA,MATCH(Z209,FlowCalNumber,0),1,1)*AB224^INDEX(FlowCalConstB,MATCH(Z209,FlowCalNumber,0),1,1)&gt;INDEX(FlowCalLowSetting,MATCH(Z209,FlowCalNumber,0),1,1), (INDEX(FlowCalConstA,MATCH(Z209,FlowCalNumber,0),1,1)*AB224^INDEX(FlowCalConstB,MATCH(Z209,FlowCalNumber,0),1,1)&lt;INDEX(FlowCalHighSetting,MATCH(Z209,FlowCalNumber,0),1,1))),INDEX(FlowCalConstA,MATCH(Z209,FlowCalNumber,0),1,1)*AB224^INDEX(FlowCalConstB,MATCH(Z209,FlowCalNumber,0),1,1)," ")</f>
        <v>#N/A</v>
      </c>
      <c r="AD224" s="33"/>
      <c r="AE224" s="242">
        <f t="shared" si="210"/>
        <v>0.1</v>
      </c>
      <c r="AF224" s="241" t="e">
        <f t="shared" ca="1" si="211"/>
        <v>#VALUE!</v>
      </c>
      <c r="AG224" s="243" t="e">
        <f ca="1">IF(AND(INDEX(FlowCalConstA,MATCH(AD209,FlowCalNumber,0),1,1)*AF224^INDEX(FlowCalConstB,MATCH(AD209,FlowCalNumber,0),1,1)&gt;INDEX(FlowCalLowSetting,MATCH(AD209,FlowCalNumber,0),1,1), (INDEX(FlowCalConstA,MATCH(AD209,FlowCalNumber,0),1,1)*AF224^INDEX(FlowCalConstB,MATCH(AD209,FlowCalNumber,0),1,1)&lt;INDEX(FlowCalHighSetting,MATCH(AD209,FlowCalNumber,0),1,1))),INDEX(FlowCalConstA,MATCH(AD209,FlowCalNumber,0),1,1)*AF224^INDEX(FlowCalConstB,MATCH(AD209,FlowCalNumber,0),1,1)," ")</f>
        <v>#N/A</v>
      </c>
      <c r="AH224" s="33"/>
      <c r="AI224" s="242">
        <f t="shared" si="212"/>
        <v>0.9</v>
      </c>
      <c r="AJ224" s="241" t="e">
        <f t="shared" ca="1" si="213"/>
        <v>#VALUE!</v>
      </c>
      <c r="AK224" s="243" t="e">
        <f ca="1">IF(AND(INDEX(FlowCalConstA,MATCH(AH209,FlowCalNumber,0),1,1)*AJ224^INDEX(FlowCalConstB,MATCH(AH209,FlowCalNumber,0),1,1)&gt;INDEX(FlowCalLowSetting,MATCH(AH209,FlowCalNumber,0),1,1), (INDEX(FlowCalConstA,MATCH(AH209,FlowCalNumber,0),1,1)*AJ224^INDEX(FlowCalConstB,MATCH(AH209,FlowCalNumber,0),1,1)&lt;INDEX(FlowCalHighSetting,MATCH(AH209,FlowCalNumber,0),1,1))),INDEX(FlowCalConstA,MATCH(AH209,FlowCalNumber,0),1,1)*AJ224^INDEX(FlowCalConstB,MATCH(AH209,FlowCalNumber,0),1,1)," ")</f>
        <v>#N/A</v>
      </c>
      <c r="AL224" s="33"/>
      <c r="AM224" s="242"/>
      <c r="AN224" s="241"/>
      <c r="AO224" s="244"/>
      <c r="AQ224" s="242"/>
      <c r="AR224" s="241"/>
      <c r="AS224" s="244"/>
      <c r="AT224" s="33"/>
      <c r="AU224" s="242"/>
      <c r="AV224" s="241"/>
      <c r="AW224" s="244"/>
      <c r="AX224" s="33"/>
      <c r="AY224" s="242"/>
      <c r="AZ224" s="241"/>
      <c r="BA224" s="244"/>
      <c r="BB224" s="33"/>
      <c r="BC224" s="242"/>
      <c r="BD224" s="241"/>
      <c r="BE224" s="244"/>
      <c r="BF224" s="33"/>
      <c r="BG224" s="242"/>
      <c r="BH224" s="241"/>
      <c r="BI224" s="244"/>
      <c r="BJ224" s="33"/>
      <c r="BK224" s="242"/>
      <c r="BL224" s="241"/>
      <c r="BM224" s="244"/>
      <c r="BN224" s="33"/>
      <c r="BO224" s="242"/>
      <c r="BP224" s="241"/>
      <c r="BQ224" s="244"/>
      <c r="BR224" s="33"/>
      <c r="BS224" s="242"/>
      <c r="BT224" s="241"/>
      <c r="BU224" s="244"/>
      <c r="BV224" s="33"/>
      <c r="BW224" s="242"/>
      <c r="BX224" s="241"/>
      <c r="BY224" s="244"/>
      <c r="BZ224" s="33"/>
      <c r="CA224" s="242"/>
      <c r="CB224" s="241"/>
      <c r="CC224" s="244"/>
      <c r="CD224" s="243"/>
      <c r="CE224" s="243"/>
      <c r="CF224" s="243"/>
      <c r="CG224" s="243"/>
      <c r="CH224" s="243"/>
      <c r="CI224" s="243"/>
      <c r="CJ224" s="243"/>
      <c r="CK224" s="243"/>
      <c r="CL224" s="243"/>
      <c r="CM224" s="243"/>
      <c r="CN224" s="243"/>
      <c r="CO224" s="243"/>
      <c r="CP224" s="243"/>
      <c r="CQ224" s="243"/>
      <c r="CR224" s="243"/>
      <c r="CS224" s="243"/>
      <c r="CT224" s="243"/>
      <c r="CU224" s="243"/>
      <c r="CV224" s="243"/>
      <c r="CW224" s="243"/>
      <c r="CX224" s="243"/>
      <c r="CY224" s="243"/>
      <c r="CZ224" s="243"/>
      <c r="DA224" s="243"/>
      <c r="DB224" s="243"/>
      <c r="DC224" s="243"/>
      <c r="DD224" s="243"/>
      <c r="DE224" s="243"/>
      <c r="DF224" s="243"/>
      <c r="DG224" s="243"/>
      <c r="DH224" s="243"/>
      <c r="DI224" s="243"/>
      <c r="DJ224" s="243"/>
      <c r="DK224" s="243"/>
      <c r="DM224" s="242"/>
      <c r="DO224" s="243"/>
      <c r="DQ224" s="242"/>
      <c r="DS224" s="243"/>
      <c r="DU224" s="242"/>
      <c r="DW224" s="243"/>
      <c r="DY224" s="242"/>
      <c r="EA224" s="243"/>
    </row>
    <row r="225" spans="1:131">
      <c r="A225" s="33"/>
      <c r="B225" s="33"/>
      <c r="C225" s="235"/>
      <c r="E225" s="90"/>
      <c r="F225" s="90"/>
      <c r="G225" s="33"/>
      <c r="J225" s="33"/>
      <c r="N225" s="33"/>
      <c r="Q225" s="243"/>
      <c r="R225" s="33"/>
      <c r="U225" s="244"/>
      <c r="V225" s="33"/>
      <c r="Y225" s="243"/>
      <c r="Z225" s="33"/>
      <c r="AC225" s="243"/>
      <c r="AD225" s="33"/>
      <c r="AG225" s="243"/>
      <c r="AH225" s="33"/>
      <c r="AK225" s="244"/>
      <c r="AL225" s="792"/>
      <c r="AM225" s="243"/>
      <c r="AN225" s="243"/>
      <c r="AO225" s="244"/>
      <c r="AP225" s="243"/>
      <c r="AQ225" s="243"/>
      <c r="AR225" s="243"/>
      <c r="AS225" s="244"/>
      <c r="AT225" s="243"/>
      <c r="AU225" s="243"/>
      <c r="AV225" s="243"/>
      <c r="AW225" s="244"/>
      <c r="AX225" s="243"/>
      <c r="AY225" s="243"/>
      <c r="AZ225" s="243"/>
      <c r="BA225" s="244"/>
      <c r="BB225" s="33"/>
      <c r="BE225" s="244"/>
      <c r="BF225" s="33"/>
      <c r="BI225" s="244"/>
      <c r="BJ225" s="33"/>
      <c r="BM225" s="244"/>
      <c r="BN225" s="243"/>
      <c r="BO225" s="243"/>
      <c r="BP225" s="243"/>
      <c r="BQ225" s="244"/>
      <c r="BR225" s="792"/>
      <c r="BS225" s="243"/>
      <c r="BT225" s="243"/>
      <c r="BU225" s="244"/>
      <c r="BV225" s="792"/>
      <c r="BW225" s="243"/>
      <c r="BX225" s="243"/>
      <c r="BY225" s="244"/>
      <c r="BZ225" s="792"/>
      <c r="CA225" s="243"/>
      <c r="CB225" s="243"/>
      <c r="CC225" s="244"/>
      <c r="CD225" s="243"/>
      <c r="CE225" s="243"/>
      <c r="CF225" s="243"/>
      <c r="CG225" s="243"/>
      <c r="CH225" s="243"/>
      <c r="CI225" s="243"/>
      <c r="CJ225" s="243"/>
      <c r="CK225" s="243"/>
      <c r="CL225" s="243"/>
      <c r="CM225" s="243"/>
      <c r="CN225" s="243"/>
      <c r="CO225" s="243"/>
      <c r="CP225" s="243"/>
      <c r="CQ225" s="243"/>
      <c r="CR225" s="243"/>
      <c r="CS225" s="243"/>
      <c r="CT225" s="243"/>
      <c r="CU225" s="243"/>
      <c r="CV225" s="243"/>
      <c r="CW225" s="243"/>
      <c r="CX225" s="243"/>
      <c r="CY225" s="243"/>
      <c r="CZ225" s="243"/>
      <c r="DA225" s="243"/>
      <c r="DB225" s="243"/>
      <c r="DC225" s="243"/>
      <c r="DD225" s="243"/>
      <c r="DE225" s="243"/>
      <c r="DF225" s="243"/>
      <c r="DG225" s="243"/>
      <c r="DH225" s="243"/>
      <c r="DI225" s="243"/>
      <c r="DJ225" s="243"/>
      <c r="DK225" s="243"/>
      <c r="DO225" s="243"/>
      <c r="DS225" s="243"/>
      <c r="DW225" s="243"/>
      <c r="EA225" s="243"/>
    </row>
    <row r="226" spans="1:131">
      <c r="A226" s="256" t="str">
        <f>IF((RIGHT(A209,1))&lt;&gt;"Z",CHAR(CODE(A209))&amp;CHAR(CODE(RIGHT(A209,1))+1),CHAR(CODE(A209)+1)&amp;"A")</f>
        <v>AM</v>
      </c>
      <c r="B226" s="270" t="e">
        <f>INDEX(SourceID,MATCH($A226,SourceNumber,0),1,1)</f>
        <v>#N/A</v>
      </c>
      <c r="C226" s="354" t="e">
        <f>INDEX(SourceExitDiameter,MATCH($A226,SourceNumber,0),1,1)*3.28*12</f>
        <v>#N/A</v>
      </c>
      <c r="D226" s="24" t="str">
        <f>UAnem1percent</f>
        <v>1% Wind</v>
      </c>
      <c r="E226" s="350" t="e">
        <f ca="1">INDIRECT(ADDRESS(53,6,1,,CONCATENATE("TA",$A226)))</f>
        <v>#REF!</v>
      </c>
      <c r="F226" s="625" t="e">
        <f ca="1">(ROUND((INDIRECT(ADDRESS(15,7,1,,CONCATENATE("TA",$A226)))*3.28*12*32),0)&amp;"/32")</f>
        <v>#REF!</v>
      </c>
      <c r="G226" s="125" t="e">
        <f ca="1">INDIRECT(ADDRESS(29,7,1,,$A226))</f>
        <v>#N/A</v>
      </c>
      <c r="H226" s="24" t="e">
        <f ca="1">INDIRECT(ADDRESS(19,7,1,,$A226))*100^3</f>
        <v>#N/A</v>
      </c>
      <c r="I226" s="941" t="e">
        <f ca="1">INDIRECT(ADDRESS(53,7,1,,$A226))</f>
        <v>#N/A</v>
      </c>
      <c r="J226" s="20" t="e">
        <f ca="1">IF($I226=$I$6,K$16&amp;$G$6&amp;J$6,IF($I226=$I$7,K$16&amp;$G$7&amp;J$7,"Bad"))</f>
        <v>#N/A</v>
      </c>
      <c r="K226" t="e">
        <f ca="1">INDEX(FlowCalGasMixture,MATCH(J226,FlowCalNumber,0),1,1)</f>
        <v>#N/A</v>
      </c>
      <c r="M226" s="944" t="e">
        <f ca="1">INDEX(FlowCalDevice,MATCH(J226,FlowCalNumber,0),1,1)</f>
        <v>#N/A</v>
      </c>
      <c r="N226" s="943" t="e">
        <f ca="1">IF($I226=$I$6,O$16&amp;$G$6&amp;"90"&amp;$H$6&amp;N$6,IF($I226=$I$7,O$16&amp;$G$7&amp;"90"&amp;$H$7&amp;N$7,"Bad"))</f>
        <v>#N/A</v>
      </c>
      <c r="O226" t="e">
        <f ca="1">INDEX(FlowCalGasMixture,MATCH(N226,FlowCalNumber,0),1,1)</f>
        <v>#N/A</v>
      </c>
      <c r="Q226" s="944" t="e">
        <f ca="1">INDEX(FlowCalDevice,MATCH(N226,FlowCalNumber,0),1,1)</f>
        <v>#N/A</v>
      </c>
      <c r="R226" s="943" t="e">
        <f ca="1">IF($I226=$I$6,S$16&amp;$G$6&amp;"90"&amp;$H$6&amp;R$6,IF($I226=$I$7,S$16&amp;$G$7&amp;"90"&amp;$H$7&amp;R$7,"Bad"))</f>
        <v>#N/A</v>
      </c>
      <c r="S226" t="e">
        <f ca="1">INDEX(FlowCalGasMixture,MATCH(R226,FlowCalNumber,0),1,1)</f>
        <v>#N/A</v>
      </c>
      <c r="U226" s="944" t="e">
        <f ca="1">INDEX(FlowCalDevice,MATCH(R226,FlowCalNumber,0),1,1)</f>
        <v>#N/A</v>
      </c>
      <c r="V226" s="20" t="e">
        <f ca="1">IF($I226=$I$6,W$16&amp;$G$6&amp;V$6,IF($I226=$I$7,W$16&amp;$G$7&amp;V$7,"Bad"))</f>
        <v>#N/A</v>
      </c>
      <c r="W226" t="e">
        <f ca="1">INDEX(FlowCalGasMixture,MATCH(V226,FlowCalNumber,0),1,1)</f>
        <v>#N/A</v>
      </c>
      <c r="Y226" s="944" t="e">
        <f ca="1">INDEX(FlowCalDevice,MATCH(V226,FlowCalNumber,0),1,1)</f>
        <v>#N/A</v>
      </c>
      <c r="Z226" s="946" t="e">
        <f ca="1">IF($I226=$I$6,AA$18&amp;$H$6&amp;Z$6,IF($I226=$I$7,AA$18&amp;$H$7&amp;Z$7,"Bad"))</f>
        <v>#N/A</v>
      </c>
      <c r="AA226" t="e">
        <f ca="1">INDEX(FlowCalGasMixture,MATCH(Z226,FlowCalNumber,0),1,1)</f>
        <v>#N/A</v>
      </c>
      <c r="AC226" s="944" t="e">
        <f ca="1">INDEX(FlowCalDevice,MATCH(Z226,FlowCalNumber,0),1,1)</f>
        <v>#N/A</v>
      </c>
      <c r="AD226" s="20" t="e">
        <f ca="1">IF($I226=$I$6,AE$16&amp;$G$6&amp;AD$6,IF($I226=$I$7,AE$16&amp;$G$7&amp;AD$7,"Bad"))</f>
        <v>#N/A</v>
      </c>
      <c r="AE226" t="e">
        <f ca="1">INDEX(FlowCalGasMixture,MATCH(AD226,FlowCalNumber,0),1,1)</f>
        <v>#N/A</v>
      </c>
      <c r="AG226" s="944" t="e">
        <f ca="1">INDEX(FlowCalDevice,MATCH(AD226,FlowCalNumber,0),1,1)</f>
        <v>#N/A</v>
      </c>
      <c r="AH226" s="946" t="e">
        <f ca="1">IF($I226=$I$6,AI$18&amp;$H$6&amp;AH$6,IF($I226=$I$7,AI$18&amp;$H$7&amp;AH$7,"Bad"))</f>
        <v>#N/A</v>
      </c>
      <c r="AI226" t="e">
        <f ca="1">INDEX(FlowCalGasMixture,MATCH(AH226,FlowCalNumber,0),1,1)</f>
        <v>#N/A</v>
      </c>
      <c r="AK226" s="944" t="e">
        <f ca="1">INDEX(FlowCalDevice,MATCH(AH226,FlowCalNumber,0),1,1)</f>
        <v>#N/A</v>
      </c>
      <c r="AL226" s="20"/>
      <c r="AO226" s="982"/>
      <c r="AP226" s="960"/>
      <c r="AS226" s="982"/>
      <c r="AT226" s="20"/>
      <c r="AW226" s="982"/>
      <c r="AX226" s="946"/>
      <c r="BA226" s="982"/>
      <c r="BB226" s="20"/>
      <c r="BC226" s="16"/>
      <c r="BE226" s="982"/>
      <c r="BF226" s="946"/>
      <c r="BG226" s="16"/>
      <c r="BI226" s="982"/>
      <c r="BJ226" s="946"/>
      <c r="BK226" s="16"/>
      <c r="BM226" s="982"/>
      <c r="BN226" s="20"/>
      <c r="BO226" s="16"/>
      <c r="BQ226" s="982"/>
      <c r="BR226" s="946"/>
      <c r="BS226" s="16"/>
      <c r="BU226" s="982"/>
      <c r="BV226" s="946"/>
      <c r="BW226" s="16"/>
      <c r="BY226" s="982"/>
      <c r="BZ226" s="946"/>
      <c r="CA226" s="16"/>
      <c r="CC226" s="982"/>
      <c r="CD226" s="355"/>
      <c r="CE226" s="355"/>
      <c r="CF226" s="355"/>
      <c r="CG226" s="355"/>
      <c r="CH226" s="355"/>
      <c r="CI226" s="355"/>
      <c r="CJ226" s="355"/>
      <c r="CK226" s="355"/>
      <c r="CL226" s="355"/>
      <c r="CM226" s="355"/>
      <c r="CN226" s="355"/>
      <c r="CO226" s="355"/>
      <c r="CP226" s="355"/>
      <c r="CQ226" s="355"/>
      <c r="CR226" s="355"/>
      <c r="CS226" s="355"/>
      <c r="CT226" s="355"/>
      <c r="CU226" s="355"/>
      <c r="CV226" s="355"/>
      <c r="CW226" s="355"/>
      <c r="CX226" s="355"/>
      <c r="CY226" s="355"/>
      <c r="CZ226" s="355"/>
      <c r="DA226" s="355"/>
      <c r="DB226" s="355"/>
      <c r="DC226" s="355"/>
      <c r="DD226" s="355"/>
      <c r="DE226" s="355"/>
      <c r="DF226" s="355"/>
      <c r="DG226" s="355"/>
      <c r="DH226" s="355"/>
      <c r="DI226" s="355"/>
      <c r="DJ226" s="355"/>
      <c r="DK226" s="355"/>
      <c r="DL226" s="46"/>
      <c r="DM226" s="16"/>
      <c r="DO226" s="355"/>
      <c r="DP226" s="42"/>
      <c r="DQ226" s="16"/>
      <c r="DS226" s="355"/>
      <c r="DT226" s="42"/>
      <c r="DU226" s="16"/>
      <c r="DW226" s="355"/>
      <c r="DX226" s="42"/>
      <c r="DY226" s="16"/>
      <c r="EA226" s="355"/>
    </row>
    <row r="227" spans="1:131">
      <c r="A227" s="20"/>
      <c r="B227" s="124" t="str">
        <f t="shared" ref="B227:B241" si="214">IF(D227=UAnem1percent,"1% Wind","")</f>
        <v/>
      </c>
      <c r="C227" s="235"/>
      <c r="D227" s="24">
        <f>'1% Wind'!$M$82</f>
        <v>27</v>
      </c>
      <c r="E227" s="90"/>
      <c r="F227" s="90"/>
      <c r="G227" s="79" t="e">
        <f ca="1">IF(I226=0.9743,$G226,MAX(G226/D226*D227,2))</f>
        <v>#N/A</v>
      </c>
      <c r="H227" s="121" t="e">
        <f t="shared" ref="H227:H241" ca="1" si="215">H226*(D226/D227)*(G227/G226)</f>
        <v>#N/A</v>
      </c>
      <c r="J227" s="33"/>
      <c r="K227" s="260">
        <f>K$17/100</f>
        <v>1</v>
      </c>
      <c r="L227" s="241" t="e">
        <f ca="1">K227*$H227</f>
        <v>#N/A</v>
      </c>
      <c r="M227" s="243" t="e">
        <f ca="1">IF(AND(INDEX(FlowCalConstA,MATCH(J226,FlowCalNumber,0),1,1)*L227^INDEX(FlowCalConstB,MATCH(J226,FlowCalNumber,0),1,1)&gt;INDEX(FlowCalLowSetting,MATCH(J226,FlowCalNumber,0),1,1), (INDEX(FlowCalConstA,MATCH(J226,FlowCalNumber,0),1,1)*L227^INDEX(FlowCalConstB,MATCH(J226,FlowCalNumber,0),1,1)&lt;INDEX(FlowCalHighSetting,MATCH(J226,FlowCalNumber,0),1,1))),INDEX(FlowCalConstA,MATCH(J226,FlowCalNumber,0),1,1)*L227^INDEX(FlowCalConstB,MATCH(J226,FlowCalNumber,0),1,1)," ")</f>
        <v>#N/A</v>
      </c>
      <c r="N227" s="33"/>
      <c r="O227" s="260">
        <f>O$17/100</f>
        <v>1</v>
      </c>
      <c r="P227" s="241" t="e">
        <f ca="1">O227*$H227</f>
        <v>#N/A</v>
      </c>
      <c r="Q227" s="243" t="e">
        <f ca="1">IF(AND(INDEX(FlowCalConstA,MATCH(N226,FlowCalNumber,0),1,1)*P227^INDEX(FlowCalConstB,MATCH(N226,FlowCalNumber,0),1,1)&gt;INDEX(FlowCalLowSetting,MATCH(N226,FlowCalNumber,0),1,1), (INDEX(FlowCalConstA,MATCH(N226,FlowCalNumber,0),1,1)*P227^INDEX(FlowCalConstB,MATCH(N226,FlowCalNumber,0),1,1)&lt;INDEX(FlowCalHighSetting,MATCH(N226,FlowCalNumber,0),1,1))),INDEX(FlowCalConstA,MATCH(N226,FlowCalNumber,0),1,1)*P227^INDEX(FlowCalConstB,MATCH(N226,FlowCalNumber,0),1,1)," ")</f>
        <v>#N/A</v>
      </c>
      <c r="R227" s="33"/>
      <c r="S227" s="260">
        <f>S$17/100</f>
        <v>1</v>
      </c>
      <c r="T227" s="241" t="e">
        <f ca="1">S227*$H227</f>
        <v>#N/A</v>
      </c>
      <c r="U227" s="244" t="e">
        <f ca="1">IF(AND(INDEX(FlowCalConstA,MATCH(R226,FlowCalNumber,0),1,1)*T227^INDEX(FlowCalConstB,MATCH(R226,FlowCalNumber,0),1,1)&gt;INDEX(FlowCalLowSetting,MATCH(R226,FlowCalNumber,0),1,1), (INDEX(FlowCalConstA,MATCH(R226,FlowCalNumber,0),1,1)*T227^INDEX(FlowCalConstB,MATCH(R226,FlowCalNumber,0),1,1)&lt;INDEX(FlowCalHighSetting,MATCH(R226,FlowCalNumber,0),1,1))),INDEX(FlowCalConstA,MATCH(R226,FlowCalNumber,0),1,1)*T227^INDEX(FlowCalConstB,MATCH(R226,FlowCalNumber,0),1,1)," ")</f>
        <v>#N/A</v>
      </c>
      <c r="V227" s="33"/>
      <c r="W227" s="260">
        <f>W$17/100</f>
        <v>0.1</v>
      </c>
      <c r="X227" s="241" t="e">
        <f ca="1">W227*$H227</f>
        <v>#N/A</v>
      </c>
      <c r="Y227" s="243" t="e">
        <f ca="1">IF(AND(INDEX(FlowCalConstA,MATCH(V226,FlowCalNumber,0),1,1)*X227^INDEX(FlowCalConstB,MATCH(V226,FlowCalNumber,0),1,1)&gt;INDEX(FlowCalLowSetting,MATCH(V226,FlowCalNumber,0),1,1), (INDEX(FlowCalConstA,MATCH(V226,FlowCalNumber,0),1,1)*X227^INDEX(FlowCalConstB,MATCH(V226,FlowCalNumber,0),1,1)&lt;INDEX(FlowCalHighSetting,MATCH(V226,FlowCalNumber,0),1,1))),INDEX(FlowCalConstA,MATCH(V226,FlowCalNumber,0),1,1)*X227^INDEX(FlowCalConstB,MATCH(V226,FlowCalNumber,0),1,1)," ")</f>
        <v>#N/A</v>
      </c>
      <c r="Z227" s="33"/>
      <c r="AA227" s="260">
        <f>AA$17/100</f>
        <v>0.9</v>
      </c>
      <c r="AB227" s="241" t="e">
        <f ca="1">AA227*$H227</f>
        <v>#N/A</v>
      </c>
      <c r="AC227" s="243" t="e">
        <f ca="1">IF(AND(INDEX(FlowCalConstA,MATCH(Z226,FlowCalNumber,0),1,1)*AB227^INDEX(FlowCalConstB,MATCH(Z226,FlowCalNumber,0),1,1)&gt;INDEX(FlowCalLowSetting,MATCH(Z226,FlowCalNumber,0),1,1), (INDEX(FlowCalConstA,MATCH(Z226,FlowCalNumber,0),1,1)*AB227^INDEX(FlowCalConstB,MATCH(Z226,FlowCalNumber,0),1,1)&lt;INDEX(FlowCalHighSetting,MATCH(Z226,FlowCalNumber,0),1,1))),INDEX(FlowCalConstA,MATCH(Z226,FlowCalNumber,0),1,1)*AB227^INDEX(FlowCalConstB,MATCH(Z226,FlowCalNumber,0),1,1)," ")</f>
        <v>#N/A</v>
      </c>
      <c r="AD227" s="33"/>
      <c r="AE227" s="260">
        <f>AE$17/100</f>
        <v>0.1</v>
      </c>
      <c r="AF227" s="241" t="e">
        <f ca="1">AE227*$H227</f>
        <v>#N/A</v>
      </c>
      <c r="AG227" s="243" t="e">
        <f ca="1">IF(AND(INDEX(FlowCalConstA,MATCH(AD226,FlowCalNumber,0),1,1)*AF227^INDEX(FlowCalConstB,MATCH(AD226,FlowCalNumber,0),1,1)&gt;INDEX(FlowCalLowSetting,MATCH(AD226,FlowCalNumber,0),1,1), (INDEX(FlowCalConstA,MATCH(AD226,FlowCalNumber,0),1,1)*AF227^INDEX(FlowCalConstB,MATCH(AD226,FlowCalNumber,0),1,1)&lt;INDEX(FlowCalHighSetting,MATCH(AD226,FlowCalNumber,0),1,1))),INDEX(FlowCalConstA,MATCH(AD226,FlowCalNumber,0),1,1)*AF227^INDEX(FlowCalConstB,MATCH(AD226,FlowCalNumber,0),1,1)," ")</f>
        <v>#N/A</v>
      </c>
      <c r="AH227" s="33"/>
      <c r="AI227" s="260">
        <f>AI$17/100</f>
        <v>0.9</v>
      </c>
      <c r="AJ227" s="241" t="e">
        <f ca="1">AI227*$H227</f>
        <v>#N/A</v>
      </c>
      <c r="AK227" s="243" t="e">
        <f ca="1">IF(AND(INDEX(FlowCalConstA,MATCH(AH226,FlowCalNumber,0),1,1)*AJ227^INDEX(FlowCalConstB,MATCH(AH226,FlowCalNumber,0),1,1)&gt;INDEX(FlowCalLowSetting,MATCH(AH226,FlowCalNumber,0),1,1), (INDEX(FlowCalConstA,MATCH(AH226,FlowCalNumber,0),1,1)*AJ227^INDEX(FlowCalConstB,MATCH(AH226,FlowCalNumber,0),1,1)&lt;INDEX(FlowCalHighSetting,MATCH(AH226,FlowCalNumber,0),1,1))),INDEX(FlowCalConstA,MATCH(AH226,FlowCalNumber,0),1,1)*AJ227^INDEX(FlowCalConstB,MATCH(AH226,FlowCalNumber,0),1,1)," ")</f>
        <v>#N/A</v>
      </c>
      <c r="AL227" s="33"/>
      <c r="AM227" s="260"/>
      <c r="AN227" s="241"/>
      <c r="AO227" s="244"/>
      <c r="AQ227" s="260"/>
      <c r="AR227" s="241"/>
      <c r="AS227" s="244"/>
      <c r="AT227" s="33"/>
      <c r="AU227" s="260"/>
      <c r="AV227" s="241"/>
      <c r="AW227" s="244"/>
      <c r="AX227" s="33"/>
      <c r="AY227" s="260"/>
      <c r="AZ227" s="241"/>
      <c r="BA227" s="244"/>
      <c r="BB227" s="33"/>
      <c r="BC227" s="260"/>
      <c r="BD227" s="241"/>
      <c r="BE227" s="244"/>
      <c r="BF227" s="33"/>
      <c r="BG227" s="260"/>
      <c r="BH227" s="241"/>
      <c r="BI227" s="244"/>
      <c r="BJ227" s="33"/>
      <c r="BK227" s="260"/>
      <c r="BL227" s="241"/>
      <c r="BM227" s="244"/>
      <c r="BN227" s="33"/>
      <c r="BO227" s="260"/>
      <c r="BP227" s="241"/>
      <c r="BQ227" s="244"/>
      <c r="BR227" s="33"/>
      <c r="BS227" s="260"/>
      <c r="BT227" s="241"/>
      <c r="BU227" s="244"/>
      <c r="BV227" s="33"/>
      <c r="BW227" s="260"/>
      <c r="BX227" s="241"/>
      <c r="BY227" s="244"/>
      <c r="BZ227" s="33"/>
      <c r="CA227" s="260"/>
      <c r="CB227" s="241"/>
      <c r="CC227" s="244"/>
      <c r="CD227" s="243"/>
      <c r="CE227" s="243"/>
      <c r="CF227" s="243"/>
      <c r="CG227" s="243"/>
      <c r="CH227" s="243"/>
      <c r="CI227" s="243"/>
      <c r="CJ227" s="243"/>
      <c r="CK227" s="243"/>
      <c r="CL227" s="243"/>
      <c r="CM227" s="243"/>
      <c r="CN227" s="243"/>
      <c r="CO227" s="243"/>
      <c r="CP227" s="243"/>
      <c r="CQ227" s="243"/>
      <c r="CR227" s="243"/>
      <c r="CS227" s="243"/>
      <c r="CT227" s="243"/>
      <c r="CU227" s="243"/>
      <c r="CV227" s="243"/>
      <c r="CW227" s="243"/>
      <c r="CX227" s="243"/>
      <c r="CY227" s="243"/>
      <c r="CZ227" s="243"/>
      <c r="DA227" s="243"/>
      <c r="DB227" s="243"/>
      <c r="DC227" s="243"/>
      <c r="DD227" s="243"/>
      <c r="DE227" s="243"/>
      <c r="DF227" s="243"/>
      <c r="DG227" s="243"/>
      <c r="DH227" s="243"/>
      <c r="DI227" s="243"/>
      <c r="DJ227" s="243"/>
      <c r="DK227" s="243"/>
      <c r="DM227" s="259"/>
      <c r="DO227" s="243"/>
      <c r="DQ227" s="259"/>
      <c r="DS227" s="243"/>
      <c r="DU227" s="259"/>
      <c r="DW227" s="243"/>
      <c r="DY227" s="260"/>
      <c r="EA227" s="243"/>
    </row>
    <row r="228" spans="1:131">
      <c r="A228" s="20"/>
      <c r="B228" s="124" t="str">
        <f t="shared" si="214"/>
        <v/>
      </c>
      <c r="C228" s="235"/>
      <c r="D228" s="24">
        <f>'1% Wind'!$M$83</f>
        <v>23.5</v>
      </c>
      <c r="E228" s="90"/>
      <c r="F228" s="90"/>
      <c r="G228" s="79" t="e">
        <f ca="1">IF(I226=0.9743,$G227,MAX(G227/D227*D228,2))</f>
        <v>#N/A</v>
      </c>
      <c r="H228" s="121" t="e">
        <f t="shared" ca="1" si="215"/>
        <v>#N/A</v>
      </c>
      <c r="J228" s="33"/>
      <c r="K228" s="242">
        <f t="shared" ref="K228:K241" si="216">K227</f>
        <v>1</v>
      </c>
      <c r="L228" s="241" t="e">
        <f t="shared" ref="L228:L241" ca="1" si="217">K228*$H228</f>
        <v>#N/A</v>
      </c>
      <c r="M228" s="243" t="e">
        <f ca="1">IF(AND(INDEX(FlowCalConstA,MATCH(J226,FlowCalNumber,0),1,1)*L228^INDEX(FlowCalConstB,MATCH(J226,FlowCalNumber,0),1,1)&gt;INDEX(FlowCalLowSetting,MATCH(J226,FlowCalNumber,0),1,1), (INDEX(FlowCalConstA,MATCH(J226,FlowCalNumber,0),1,1)*L228^INDEX(FlowCalConstB,MATCH(J226,FlowCalNumber,0),1,1)&lt;INDEX(FlowCalHighSetting,MATCH(J226,FlowCalNumber,0),1,1))),INDEX(FlowCalConstA,MATCH(J226,FlowCalNumber,0),1,1)*L228^INDEX(FlowCalConstB,MATCH(J226,FlowCalNumber,0),1,1)," ")</f>
        <v>#N/A</v>
      </c>
      <c r="N228" s="33"/>
      <c r="O228" s="242">
        <f t="shared" ref="O228:O241" si="218">O227</f>
        <v>1</v>
      </c>
      <c r="P228" s="241" t="e">
        <f t="shared" ref="P228:P241" ca="1" si="219">O228*$H228</f>
        <v>#N/A</v>
      </c>
      <c r="Q228" s="243" t="e">
        <f ca="1">IF(AND(INDEX(FlowCalConstA,MATCH(N226,FlowCalNumber,0),1,1)*P228^INDEX(FlowCalConstB,MATCH(N226,FlowCalNumber,0),1,1)&gt;INDEX(FlowCalLowSetting,MATCH(N226,FlowCalNumber,0),1,1), (INDEX(FlowCalConstA,MATCH(N226,FlowCalNumber,0),1,1)*P228^INDEX(FlowCalConstB,MATCH(N226,FlowCalNumber,0),1,1)&lt;INDEX(FlowCalHighSetting,MATCH(N226,FlowCalNumber,0),1,1))),INDEX(FlowCalConstA,MATCH(N226,FlowCalNumber,0),1,1)*P228^INDEX(FlowCalConstB,MATCH(N226,FlowCalNumber,0),1,1)," ")</f>
        <v>#N/A</v>
      </c>
      <c r="R228" s="33"/>
      <c r="S228" s="242">
        <f t="shared" ref="S228:S241" si="220">S227</f>
        <v>1</v>
      </c>
      <c r="T228" s="241" t="e">
        <f t="shared" ref="T228:T241" ca="1" si="221">S228*$H228</f>
        <v>#N/A</v>
      </c>
      <c r="U228" s="244" t="e">
        <f ca="1">IF(AND(INDEX(FlowCalConstA,MATCH(R226,FlowCalNumber,0),1,1)*T228^INDEX(FlowCalConstB,MATCH(R226,FlowCalNumber,0),1,1)&gt;INDEX(FlowCalLowSetting,MATCH(R226,FlowCalNumber,0),1,1), (INDEX(FlowCalConstA,MATCH(R226,FlowCalNumber,0),1,1)*T228^INDEX(FlowCalConstB,MATCH(R226,FlowCalNumber,0),1,1)&lt;INDEX(FlowCalHighSetting,MATCH(R226,FlowCalNumber,0),1,1))),INDEX(FlowCalConstA,MATCH(R226,FlowCalNumber,0),1,1)*T228^INDEX(FlowCalConstB,MATCH(R226,FlowCalNumber,0),1,1)," ")</f>
        <v>#N/A</v>
      </c>
      <c r="V228" s="33"/>
      <c r="W228" s="242">
        <f t="shared" ref="W228:W241" si="222">W227</f>
        <v>0.1</v>
      </c>
      <c r="X228" s="241" t="e">
        <f t="shared" ref="X228:X241" ca="1" si="223">W228*$H228</f>
        <v>#N/A</v>
      </c>
      <c r="Y228" s="243" t="e">
        <f ca="1">IF(AND(INDEX(FlowCalConstA,MATCH(V226,FlowCalNumber,0),1,1)*X228^INDEX(FlowCalConstB,MATCH(V226,FlowCalNumber,0),1,1)&gt;INDEX(FlowCalLowSetting,MATCH(V226,FlowCalNumber,0),1,1), (INDEX(FlowCalConstA,MATCH(V226,FlowCalNumber,0),1,1)*X228^INDEX(FlowCalConstB,MATCH(V226,FlowCalNumber,0),1,1)&lt;INDEX(FlowCalHighSetting,MATCH(V226,FlowCalNumber,0),1,1))),INDEX(FlowCalConstA,MATCH(V226,FlowCalNumber,0),1,1)*X228^INDEX(FlowCalConstB,MATCH(V226,FlowCalNumber,0),1,1)," ")</f>
        <v>#N/A</v>
      </c>
      <c r="Z228" s="33"/>
      <c r="AA228" s="242">
        <f t="shared" ref="AA228:AA241" si="224">AA227</f>
        <v>0.9</v>
      </c>
      <c r="AB228" s="241" t="e">
        <f t="shared" ref="AB228:AB241" ca="1" si="225">AA228*$H228</f>
        <v>#N/A</v>
      </c>
      <c r="AC228" s="243" t="e">
        <f ca="1">IF(AND(INDEX(FlowCalConstA,MATCH(Z226,FlowCalNumber,0),1,1)*AB228^INDEX(FlowCalConstB,MATCH(Z226,FlowCalNumber,0),1,1)&gt;INDEX(FlowCalLowSetting,MATCH(Z226,FlowCalNumber,0),1,1), (INDEX(FlowCalConstA,MATCH(Z226,FlowCalNumber,0),1,1)*AB228^INDEX(FlowCalConstB,MATCH(Z226,FlowCalNumber,0),1,1)&lt;INDEX(FlowCalHighSetting,MATCH(Z226,FlowCalNumber,0),1,1))),INDEX(FlowCalConstA,MATCH(Z226,FlowCalNumber,0),1,1)*AB228^INDEX(FlowCalConstB,MATCH(Z226,FlowCalNumber,0),1,1)," ")</f>
        <v>#N/A</v>
      </c>
      <c r="AD228" s="33"/>
      <c r="AE228" s="242">
        <f t="shared" ref="AE228:AE241" si="226">AE227</f>
        <v>0.1</v>
      </c>
      <c r="AF228" s="241" t="e">
        <f t="shared" ref="AF228:AF241" ca="1" si="227">AE228*$H228</f>
        <v>#N/A</v>
      </c>
      <c r="AG228" s="243" t="e">
        <f ca="1">IF(AND(INDEX(FlowCalConstA,MATCH(AD226,FlowCalNumber,0),1,1)*AF228^INDEX(FlowCalConstB,MATCH(AD226,FlowCalNumber,0),1,1)&gt;INDEX(FlowCalLowSetting,MATCH(AD226,FlowCalNumber,0),1,1), (INDEX(FlowCalConstA,MATCH(AD226,FlowCalNumber,0),1,1)*AF228^INDEX(FlowCalConstB,MATCH(AD226,FlowCalNumber,0),1,1)&lt;INDEX(FlowCalHighSetting,MATCH(AD226,FlowCalNumber,0),1,1))),INDEX(FlowCalConstA,MATCH(AD226,FlowCalNumber,0),1,1)*AF228^INDEX(FlowCalConstB,MATCH(AD226,FlowCalNumber,0),1,1)," ")</f>
        <v>#N/A</v>
      </c>
      <c r="AH228" s="33"/>
      <c r="AI228" s="242">
        <f t="shared" ref="AI228:AI241" si="228">AI227</f>
        <v>0.9</v>
      </c>
      <c r="AJ228" s="241" t="e">
        <f t="shared" ref="AJ228:AJ241" ca="1" si="229">AI228*$H228</f>
        <v>#N/A</v>
      </c>
      <c r="AK228" s="243" t="e">
        <f ca="1">IF(AND(INDEX(FlowCalConstA,MATCH(AH226,FlowCalNumber,0),1,1)*AJ228^INDEX(FlowCalConstB,MATCH(AH226,FlowCalNumber,0),1,1)&gt;INDEX(FlowCalLowSetting,MATCH(AH226,FlowCalNumber,0),1,1), (INDEX(FlowCalConstA,MATCH(AH226,FlowCalNumber,0),1,1)*AJ228^INDEX(FlowCalConstB,MATCH(AH226,FlowCalNumber,0),1,1)&lt;INDEX(FlowCalHighSetting,MATCH(AH226,FlowCalNumber,0),1,1))),INDEX(FlowCalConstA,MATCH(AH226,FlowCalNumber,0),1,1)*AJ228^INDEX(FlowCalConstB,MATCH(AH226,FlowCalNumber,0),1,1)," ")</f>
        <v>#N/A</v>
      </c>
      <c r="AL228" s="33"/>
      <c r="AM228" s="242"/>
      <c r="AN228" s="241"/>
      <c r="AO228" s="244"/>
      <c r="AQ228" s="242"/>
      <c r="AR228" s="241"/>
      <c r="AS228" s="244"/>
      <c r="AT228" s="33"/>
      <c r="AU228" s="242"/>
      <c r="AV228" s="241"/>
      <c r="AW228" s="244"/>
      <c r="AX228" s="33"/>
      <c r="AY228" s="242"/>
      <c r="AZ228" s="241"/>
      <c r="BA228" s="244"/>
      <c r="BB228" s="33"/>
      <c r="BC228" s="242"/>
      <c r="BD228" s="241"/>
      <c r="BE228" s="244"/>
      <c r="BF228" s="33"/>
      <c r="BG228" s="242"/>
      <c r="BH228" s="241"/>
      <c r="BI228" s="244"/>
      <c r="BJ228" s="33"/>
      <c r="BK228" s="242"/>
      <c r="BL228" s="241"/>
      <c r="BM228" s="244"/>
      <c r="BN228" s="33"/>
      <c r="BO228" s="242"/>
      <c r="BP228" s="241"/>
      <c r="BQ228" s="244"/>
      <c r="BR228" s="33"/>
      <c r="BS228" s="242"/>
      <c r="BT228" s="241"/>
      <c r="BU228" s="244"/>
      <c r="BV228" s="33"/>
      <c r="BW228" s="242"/>
      <c r="BX228" s="241"/>
      <c r="BY228" s="244"/>
      <c r="BZ228" s="33"/>
      <c r="CA228" s="242"/>
      <c r="CB228" s="241"/>
      <c r="CC228" s="244"/>
      <c r="CD228" s="243"/>
      <c r="CE228" s="243"/>
      <c r="CF228" s="243"/>
      <c r="CG228" s="243"/>
      <c r="CH228" s="243"/>
      <c r="CI228" s="243"/>
      <c r="CJ228" s="243"/>
      <c r="CK228" s="243"/>
      <c r="CL228" s="243"/>
      <c r="CM228" s="243"/>
      <c r="CN228" s="243"/>
      <c r="CO228" s="243"/>
      <c r="CP228" s="243"/>
      <c r="CQ228" s="243"/>
      <c r="CR228" s="243"/>
      <c r="CS228" s="243"/>
      <c r="CT228" s="243"/>
      <c r="CU228" s="243"/>
      <c r="CV228" s="243"/>
      <c r="CW228" s="243"/>
      <c r="CX228" s="243"/>
      <c r="CY228" s="243"/>
      <c r="CZ228" s="243"/>
      <c r="DA228" s="243"/>
      <c r="DB228" s="243"/>
      <c r="DC228" s="243"/>
      <c r="DD228" s="243"/>
      <c r="DE228" s="243"/>
      <c r="DF228" s="243"/>
      <c r="DG228" s="243"/>
      <c r="DH228" s="243"/>
      <c r="DI228" s="243"/>
      <c r="DJ228" s="243"/>
      <c r="DK228" s="243"/>
      <c r="DM228" s="242"/>
      <c r="DO228" s="243"/>
      <c r="DQ228" s="242"/>
      <c r="DS228" s="243"/>
      <c r="DU228" s="242"/>
      <c r="DW228" s="243"/>
      <c r="DY228" s="242"/>
      <c r="EA228" s="243"/>
    </row>
    <row r="229" spans="1:131">
      <c r="A229" s="20"/>
      <c r="B229" s="124" t="str">
        <f t="shared" si="214"/>
        <v/>
      </c>
      <c r="C229" s="235"/>
      <c r="D229" s="24">
        <f>'1% Wind'!$M$84</f>
        <v>20.5</v>
      </c>
      <c r="E229" s="90"/>
      <c r="F229" s="90"/>
      <c r="G229" s="79" t="e">
        <f ca="1">IF(I226=0.9743,$G228,MAX(G228/D228*D229,2))</f>
        <v>#N/A</v>
      </c>
      <c r="H229" s="121" t="e">
        <f t="shared" ca="1" si="215"/>
        <v>#N/A</v>
      </c>
      <c r="J229" s="33"/>
      <c r="K229" s="242">
        <f t="shared" si="216"/>
        <v>1</v>
      </c>
      <c r="L229" s="241" t="e">
        <f t="shared" ca="1" si="217"/>
        <v>#N/A</v>
      </c>
      <c r="M229" s="243" t="e">
        <f ca="1">IF(AND(INDEX(FlowCalConstA,MATCH(J226,FlowCalNumber,0),1,1)*L229^INDEX(FlowCalConstB,MATCH(J226,FlowCalNumber,0),1,1)&gt;INDEX(FlowCalLowSetting,MATCH(J226,FlowCalNumber,0),1,1), (INDEX(FlowCalConstA,MATCH(J226,FlowCalNumber,0),1,1)*L229^INDEX(FlowCalConstB,MATCH(J226,FlowCalNumber,0),1,1)&lt;INDEX(FlowCalHighSetting,MATCH(J226,FlowCalNumber,0),1,1))),INDEX(FlowCalConstA,MATCH(J226,FlowCalNumber,0),1,1)*L229^INDEX(FlowCalConstB,MATCH(J226,FlowCalNumber,0),1,1)," ")</f>
        <v>#N/A</v>
      </c>
      <c r="N229" s="33"/>
      <c r="O229" s="242">
        <f t="shared" si="218"/>
        <v>1</v>
      </c>
      <c r="P229" s="241" t="e">
        <f t="shared" ca="1" si="219"/>
        <v>#N/A</v>
      </c>
      <c r="Q229" s="243" t="e">
        <f ca="1">IF(AND(INDEX(FlowCalConstA,MATCH(N226,FlowCalNumber,0),1,1)*P229^INDEX(FlowCalConstB,MATCH(N226,FlowCalNumber,0),1,1)&gt;INDEX(FlowCalLowSetting,MATCH(N226,FlowCalNumber,0),1,1), (INDEX(FlowCalConstA,MATCH(N226,FlowCalNumber,0),1,1)*P229^INDEX(FlowCalConstB,MATCH(N226,FlowCalNumber,0),1,1)&lt;INDEX(FlowCalHighSetting,MATCH(N226,FlowCalNumber,0),1,1))),INDEX(FlowCalConstA,MATCH(N226,FlowCalNumber,0),1,1)*P229^INDEX(FlowCalConstB,MATCH(N226,FlowCalNumber,0),1,1)," ")</f>
        <v>#N/A</v>
      </c>
      <c r="R229" s="33"/>
      <c r="S229" s="242">
        <f t="shared" si="220"/>
        <v>1</v>
      </c>
      <c r="T229" s="241" t="e">
        <f t="shared" ca="1" si="221"/>
        <v>#N/A</v>
      </c>
      <c r="U229" s="244" t="e">
        <f ca="1">IF(AND(INDEX(FlowCalConstA,MATCH(R226,FlowCalNumber,0),1,1)*T229^INDEX(FlowCalConstB,MATCH(R226,FlowCalNumber,0),1,1)&gt;INDEX(FlowCalLowSetting,MATCH(R226,FlowCalNumber,0),1,1), (INDEX(FlowCalConstA,MATCH(R226,FlowCalNumber,0),1,1)*T229^INDEX(FlowCalConstB,MATCH(R226,FlowCalNumber,0),1,1)&lt;INDEX(FlowCalHighSetting,MATCH(R226,FlowCalNumber,0),1,1))),INDEX(FlowCalConstA,MATCH(R226,FlowCalNumber,0),1,1)*T229^INDEX(FlowCalConstB,MATCH(R226,FlowCalNumber,0),1,1)," ")</f>
        <v>#N/A</v>
      </c>
      <c r="V229" s="33"/>
      <c r="W229" s="242">
        <f t="shared" si="222"/>
        <v>0.1</v>
      </c>
      <c r="X229" s="241" t="e">
        <f t="shared" ca="1" si="223"/>
        <v>#N/A</v>
      </c>
      <c r="Y229" s="243" t="e">
        <f ca="1">IF(AND(INDEX(FlowCalConstA,MATCH(V226,FlowCalNumber,0),1,1)*X229^INDEX(FlowCalConstB,MATCH(V226,FlowCalNumber,0),1,1)&gt;INDEX(FlowCalLowSetting,MATCH(V226,FlowCalNumber,0),1,1), (INDEX(FlowCalConstA,MATCH(V226,FlowCalNumber,0),1,1)*X229^INDEX(FlowCalConstB,MATCH(V226,FlowCalNumber,0),1,1)&lt;INDEX(FlowCalHighSetting,MATCH(V226,FlowCalNumber,0),1,1))),INDEX(FlowCalConstA,MATCH(V226,FlowCalNumber,0),1,1)*X229^INDEX(FlowCalConstB,MATCH(V226,FlowCalNumber,0),1,1)," ")</f>
        <v>#N/A</v>
      </c>
      <c r="Z229" s="33"/>
      <c r="AA229" s="242">
        <f t="shared" si="224"/>
        <v>0.9</v>
      </c>
      <c r="AB229" s="241" t="e">
        <f t="shared" ca="1" si="225"/>
        <v>#N/A</v>
      </c>
      <c r="AC229" s="243" t="e">
        <f ca="1">IF(AND(INDEX(FlowCalConstA,MATCH(Z226,FlowCalNumber,0),1,1)*AB229^INDEX(FlowCalConstB,MATCH(Z226,FlowCalNumber,0),1,1)&gt;INDEX(FlowCalLowSetting,MATCH(Z226,FlowCalNumber,0),1,1), (INDEX(FlowCalConstA,MATCH(Z226,FlowCalNumber,0),1,1)*AB229^INDEX(FlowCalConstB,MATCH(Z226,FlowCalNumber,0),1,1)&lt;INDEX(FlowCalHighSetting,MATCH(Z226,FlowCalNumber,0),1,1))),INDEX(FlowCalConstA,MATCH(Z226,FlowCalNumber,0),1,1)*AB229^INDEX(FlowCalConstB,MATCH(Z226,FlowCalNumber,0),1,1)," ")</f>
        <v>#N/A</v>
      </c>
      <c r="AD229" s="33"/>
      <c r="AE229" s="242">
        <f t="shared" si="226"/>
        <v>0.1</v>
      </c>
      <c r="AF229" s="241" t="e">
        <f t="shared" ca="1" si="227"/>
        <v>#N/A</v>
      </c>
      <c r="AG229" s="243" t="e">
        <f ca="1">IF(AND(INDEX(FlowCalConstA,MATCH(AD226,FlowCalNumber,0),1,1)*AF229^INDEX(FlowCalConstB,MATCH(AD226,FlowCalNumber,0),1,1)&gt;INDEX(FlowCalLowSetting,MATCH(AD226,FlowCalNumber,0),1,1), (INDEX(FlowCalConstA,MATCH(AD226,FlowCalNumber,0),1,1)*AF229^INDEX(FlowCalConstB,MATCH(AD226,FlowCalNumber,0),1,1)&lt;INDEX(FlowCalHighSetting,MATCH(AD226,FlowCalNumber,0),1,1))),INDEX(FlowCalConstA,MATCH(AD226,FlowCalNumber,0),1,1)*AF229^INDEX(FlowCalConstB,MATCH(AD226,FlowCalNumber,0),1,1)," ")</f>
        <v>#N/A</v>
      </c>
      <c r="AH229" s="33"/>
      <c r="AI229" s="242">
        <f t="shared" si="228"/>
        <v>0.9</v>
      </c>
      <c r="AJ229" s="241" t="e">
        <f t="shared" ca="1" si="229"/>
        <v>#N/A</v>
      </c>
      <c r="AK229" s="243" t="e">
        <f ca="1">IF(AND(INDEX(FlowCalConstA,MATCH(AH226,FlowCalNumber,0),1,1)*AJ229^INDEX(FlowCalConstB,MATCH(AH226,FlowCalNumber,0),1,1)&gt;INDEX(FlowCalLowSetting,MATCH(AH226,FlowCalNumber,0),1,1), (INDEX(FlowCalConstA,MATCH(AH226,FlowCalNumber,0),1,1)*AJ229^INDEX(FlowCalConstB,MATCH(AH226,FlowCalNumber,0),1,1)&lt;INDEX(FlowCalHighSetting,MATCH(AH226,FlowCalNumber,0),1,1))),INDEX(FlowCalConstA,MATCH(AH226,FlowCalNumber,0),1,1)*AJ229^INDEX(FlowCalConstB,MATCH(AH226,FlowCalNumber,0),1,1)," ")</f>
        <v>#N/A</v>
      </c>
      <c r="AL229" s="33"/>
      <c r="AM229" s="242"/>
      <c r="AN229" s="241"/>
      <c r="AO229" s="244"/>
      <c r="AQ229" s="242"/>
      <c r="AR229" s="241"/>
      <c r="AS229" s="244"/>
      <c r="AT229" s="33"/>
      <c r="AU229" s="242"/>
      <c r="AV229" s="241"/>
      <c r="AW229" s="244"/>
      <c r="AX229" s="33"/>
      <c r="AY229" s="242"/>
      <c r="AZ229" s="241"/>
      <c r="BA229" s="244"/>
      <c r="BB229" s="33"/>
      <c r="BC229" s="242"/>
      <c r="BD229" s="241"/>
      <c r="BE229" s="244"/>
      <c r="BF229" s="33"/>
      <c r="BG229" s="242"/>
      <c r="BH229" s="241"/>
      <c r="BI229" s="244"/>
      <c r="BJ229" s="33"/>
      <c r="BK229" s="242"/>
      <c r="BL229" s="241"/>
      <c r="BM229" s="244"/>
      <c r="BN229" s="33"/>
      <c r="BO229" s="242"/>
      <c r="BP229" s="241"/>
      <c r="BQ229" s="244"/>
      <c r="BR229" s="33"/>
      <c r="BS229" s="242"/>
      <c r="BT229" s="241"/>
      <c r="BU229" s="244"/>
      <c r="BV229" s="33"/>
      <c r="BW229" s="242"/>
      <c r="BX229" s="241"/>
      <c r="BY229" s="244"/>
      <c r="BZ229" s="33"/>
      <c r="CA229" s="242"/>
      <c r="CB229" s="241"/>
      <c r="CC229" s="244"/>
      <c r="CD229" s="243"/>
      <c r="CE229" s="243"/>
      <c r="CF229" s="243"/>
      <c r="CG229" s="243"/>
      <c r="CH229" s="243"/>
      <c r="CI229" s="243"/>
      <c r="CJ229" s="243"/>
      <c r="CK229" s="243"/>
      <c r="CL229" s="243"/>
      <c r="CM229" s="243"/>
      <c r="CN229" s="243"/>
      <c r="CO229" s="243"/>
      <c r="CP229" s="243"/>
      <c r="CQ229" s="243"/>
      <c r="CR229" s="243"/>
      <c r="CS229" s="243"/>
      <c r="CT229" s="243"/>
      <c r="CU229" s="243"/>
      <c r="CV229" s="243"/>
      <c r="CW229" s="243"/>
      <c r="CX229" s="243"/>
      <c r="CY229" s="243"/>
      <c r="CZ229" s="243"/>
      <c r="DA229" s="243"/>
      <c r="DB229" s="243"/>
      <c r="DC229" s="243"/>
      <c r="DD229" s="243"/>
      <c r="DE229" s="243"/>
      <c r="DF229" s="243"/>
      <c r="DG229" s="243"/>
      <c r="DH229" s="243"/>
      <c r="DI229" s="243"/>
      <c r="DJ229" s="243"/>
      <c r="DK229" s="243"/>
      <c r="DM229" s="242"/>
      <c r="DO229" s="243"/>
      <c r="DQ229" s="242"/>
      <c r="DS229" s="243"/>
      <c r="DU229" s="242"/>
      <c r="DW229" s="243"/>
      <c r="DY229" s="242"/>
      <c r="EA229" s="243"/>
    </row>
    <row r="230" spans="1:131">
      <c r="A230" s="20"/>
      <c r="B230" s="124" t="str">
        <f t="shared" si="214"/>
        <v/>
      </c>
      <c r="C230" s="235"/>
      <c r="D230" s="24">
        <f>'1% Wind'!$M$85</f>
        <v>17.8</v>
      </c>
      <c r="E230" s="90"/>
      <c r="F230" s="90"/>
      <c r="G230" s="79" t="e">
        <f ca="1">IF(I226=0.9743,$G229,MAX(G229/D229*D230,2))</f>
        <v>#N/A</v>
      </c>
      <c r="H230" s="121" t="e">
        <f t="shared" ca="1" si="215"/>
        <v>#N/A</v>
      </c>
      <c r="J230" s="33"/>
      <c r="K230" s="242">
        <f t="shared" si="216"/>
        <v>1</v>
      </c>
      <c r="L230" s="241" t="e">
        <f t="shared" ca="1" si="217"/>
        <v>#N/A</v>
      </c>
      <c r="M230" s="243" t="e">
        <f ca="1">IF(AND(INDEX(FlowCalConstA,MATCH(J226,FlowCalNumber,0),1,1)*L230^INDEX(FlowCalConstB,MATCH(J226,FlowCalNumber,0),1,1)&gt;INDEX(FlowCalLowSetting,MATCH(J226,FlowCalNumber,0),1,1), (INDEX(FlowCalConstA,MATCH(J226,FlowCalNumber,0),1,1)*L230^INDEX(FlowCalConstB,MATCH(J226,FlowCalNumber,0),1,1)&lt;INDEX(FlowCalHighSetting,MATCH(J226,FlowCalNumber,0),1,1))),INDEX(FlowCalConstA,MATCH(J226,FlowCalNumber,0),1,1)*L230^INDEX(FlowCalConstB,MATCH(J226,FlowCalNumber,0),1,1)," ")</f>
        <v>#N/A</v>
      </c>
      <c r="N230" s="33"/>
      <c r="O230" s="242">
        <f t="shared" si="218"/>
        <v>1</v>
      </c>
      <c r="P230" s="241" t="e">
        <f t="shared" ca="1" si="219"/>
        <v>#N/A</v>
      </c>
      <c r="Q230" s="243" t="e">
        <f ca="1">IF(AND(INDEX(FlowCalConstA,MATCH(N226,FlowCalNumber,0),1,1)*P230^INDEX(FlowCalConstB,MATCH(N226,FlowCalNumber,0),1,1)&gt;INDEX(FlowCalLowSetting,MATCH(N226,FlowCalNumber,0),1,1), (INDEX(FlowCalConstA,MATCH(N226,FlowCalNumber,0),1,1)*P230^INDEX(FlowCalConstB,MATCH(N226,FlowCalNumber,0),1,1)&lt;INDEX(FlowCalHighSetting,MATCH(N226,FlowCalNumber,0),1,1))),INDEX(FlowCalConstA,MATCH(N226,FlowCalNumber,0),1,1)*P230^INDEX(FlowCalConstB,MATCH(N226,FlowCalNumber,0),1,1)," ")</f>
        <v>#N/A</v>
      </c>
      <c r="R230" s="33"/>
      <c r="S230" s="242">
        <f t="shared" si="220"/>
        <v>1</v>
      </c>
      <c r="T230" s="241" t="e">
        <f t="shared" ca="1" si="221"/>
        <v>#N/A</v>
      </c>
      <c r="U230" s="244" t="e">
        <f ca="1">IF(AND(INDEX(FlowCalConstA,MATCH(R226,FlowCalNumber,0),1,1)*T230^INDEX(FlowCalConstB,MATCH(R226,FlowCalNumber,0),1,1)&gt;INDEX(FlowCalLowSetting,MATCH(R226,FlowCalNumber,0),1,1), (INDEX(FlowCalConstA,MATCH(R226,FlowCalNumber,0),1,1)*T230^INDEX(FlowCalConstB,MATCH(R226,FlowCalNumber,0),1,1)&lt;INDEX(FlowCalHighSetting,MATCH(R226,FlowCalNumber,0),1,1))),INDEX(FlowCalConstA,MATCH(R226,FlowCalNumber,0),1,1)*T230^INDEX(FlowCalConstB,MATCH(R226,FlowCalNumber,0),1,1)," ")</f>
        <v>#N/A</v>
      </c>
      <c r="V230" s="33"/>
      <c r="W230" s="242">
        <f t="shared" si="222"/>
        <v>0.1</v>
      </c>
      <c r="X230" s="241" t="e">
        <f t="shared" ca="1" si="223"/>
        <v>#N/A</v>
      </c>
      <c r="Y230" s="243" t="e">
        <f ca="1">IF(AND(INDEX(FlowCalConstA,MATCH(V226,FlowCalNumber,0),1,1)*X230^INDEX(FlowCalConstB,MATCH(V226,FlowCalNumber,0),1,1)&gt;INDEX(FlowCalLowSetting,MATCH(V226,FlowCalNumber,0),1,1), (INDEX(FlowCalConstA,MATCH(V226,FlowCalNumber,0),1,1)*X230^INDEX(FlowCalConstB,MATCH(V226,FlowCalNumber,0),1,1)&lt;INDEX(FlowCalHighSetting,MATCH(V226,FlowCalNumber,0),1,1))),INDEX(FlowCalConstA,MATCH(V226,FlowCalNumber,0),1,1)*X230^INDEX(FlowCalConstB,MATCH(V226,FlowCalNumber,0),1,1)," ")</f>
        <v>#N/A</v>
      </c>
      <c r="Z230" s="33"/>
      <c r="AA230" s="242">
        <f t="shared" si="224"/>
        <v>0.9</v>
      </c>
      <c r="AB230" s="241" t="e">
        <f t="shared" ca="1" si="225"/>
        <v>#N/A</v>
      </c>
      <c r="AC230" s="243" t="e">
        <f ca="1">IF(AND(INDEX(FlowCalConstA,MATCH(Z226,FlowCalNumber,0),1,1)*AB230^INDEX(FlowCalConstB,MATCH(Z226,FlowCalNumber,0),1,1)&gt;INDEX(FlowCalLowSetting,MATCH(Z226,FlowCalNumber,0),1,1), (INDEX(FlowCalConstA,MATCH(Z226,FlowCalNumber,0),1,1)*AB230^INDEX(FlowCalConstB,MATCH(Z226,FlowCalNumber,0),1,1)&lt;INDEX(FlowCalHighSetting,MATCH(Z226,FlowCalNumber,0),1,1))),INDEX(FlowCalConstA,MATCH(Z226,FlowCalNumber,0),1,1)*AB230^INDEX(FlowCalConstB,MATCH(Z226,FlowCalNumber,0),1,1)," ")</f>
        <v>#N/A</v>
      </c>
      <c r="AD230" s="33"/>
      <c r="AE230" s="242">
        <f t="shared" si="226"/>
        <v>0.1</v>
      </c>
      <c r="AF230" s="241" t="e">
        <f t="shared" ca="1" si="227"/>
        <v>#N/A</v>
      </c>
      <c r="AG230" s="243" t="e">
        <f ca="1">IF(AND(INDEX(FlowCalConstA,MATCH(AD226,FlowCalNumber,0),1,1)*AF230^INDEX(FlowCalConstB,MATCH(AD226,FlowCalNumber,0),1,1)&gt;INDEX(FlowCalLowSetting,MATCH(AD226,FlowCalNumber,0),1,1), (INDEX(FlowCalConstA,MATCH(AD226,FlowCalNumber,0),1,1)*AF230^INDEX(FlowCalConstB,MATCH(AD226,FlowCalNumber,0),1,1)&lt;INDEX(FlowCalHighSetting,MATCH(AD226,FlowCalNumber,0),1,1))),INDEX(FlowCalConstA,MATCH(AD226,FlowCalNumber,0),1,1)*AF230^INDEX(FlowCalConstB,MATCH(AD226,FlowCalNumber,0),1,1)," ")</f>
        <v>#N/A</v>
      </c>
      <c r="AH230" s="33"/>
      <c r="AI230" s="242">
        <f t="shared" si="228"/>
        <v>0.9</v>
      </c>
      <c r="AJ230" s="241" t="e">
        <f t="shared" ca="1" si="229"/>
        <v>#N/A</v>
      </c>
      <c r="AK230" s="243" t="e">
        <f ca="1">IF(AND(INDEX(FlowCalConstA,MATCH(AH226,FlowCalNumber,0),1,1)*AJ230^INDEX(FlowCalConstB,MATCH(AH226,FlowCalNumber,0),1,1)&gt;INDEX(FlowCalLowSetting,MATCH(AH226,FlowCalNumber,0),1,1), (INDEX(FlowCalConstA,MATCH(AH226,FlowCalNumber,0),1,1)*AJ230^INDEX(FlowCalConstB,MATCH(AH226,FlowCalNumber,0),1,1)&lt;INDEX(FlowCalHighSetting,MATCH(AH226,FlowCalNumber,0),1,1))),INDEX(FlowCalConstA,MATCH(AH226,FlowCalNumber,0),1,1)*AJ230^INDEX(FlowCalConstB,MATCH(AH226,FlowCalNumber,0),1,1)," ")</f>
        <v>#N/A</v>
      </c>
      <c r="AL230" s="33"/>
      <c r="AM230" s="242"/>
      <c r="AN230" s="241"/>
      <c r="AO230" s="244"/>
      <c r="AQ230" s="242"/>
      <c r="AR230" s="241"/>
      <c r="AS230" s="244"/>
      <c r="AT230" s="33"/>
      <c r="AU230" s="242"/>
      <c r="AV230" s="241"/>
      <c r="AW230" s="244"/>
      <c r="AX230" s="33"/>
      <c r="AY230" s="242"/>
      <c r="AZ230" s="241"/>
      <c r="BA230" s="244"/>
      <c r="BB230" s="33"/>
      <c r="BC230" s="242"/>
      <c r="BD230" s="241"/>
      <c r="BE230" s="244"/>
      <c r="BF230" s="33"/>
      <c r="BG230" s="242"/>
      <c r="BH230" s="241"/>
      <c r="BI230" s="244"/>
      <c r="BJ230" s="33"/>
      <c r="BK230" s="242"/>
      <c r="BL230" s="241"/>
      <c r="BM230" s="244"/>
      <c r="BN230" s="33"/>
      <c r="BO230" s="242"/>
      <c r="BP230" s="241"/>
      <c r="BQ230" s="244"/>
      <c r="BR230" s="33"/>
      <c r="BS230" s="242"/>
      <c r="BT230" s="241"/>
      <c r="BU230" s="244"/>
      <c r="BV230" s="33"/>
      <c r="BW230" s="242"/>
      <c r="BX230" s="241"/>
      <c r="BY230" s="244"/>
      <c r="BZ230" s="33"/>
      <c r="CA230" s="242"/>
      <c r="CB230" s="241"/>
      <c r="CC230" s="244"/>
      <c r="CD230" s="243"/>
      <c r="CE230" s="243"/>
      <c r="CF230" s="243"/>
      <c r="CG230" s="243"/>
      <c r="CH230" s="243"/>
      <c r="CI230" s="243"/>
      <c r="CJ230" s="243"/>
      <c r="CK230" s="243"/>
      <c r="CL230" s="243"/>
      <c r="CM230" s="243"/>
      <c r="CN230" s="243"/>
      <c r="CO230" s="243"/>
      <c r="CP230" s="243"/>
      <c r="CQ230" s="243"/>
      <c r="CR230" s="243"/>
      <c r="CS230" s="243"/>
      <c r="CT230" s="243"/>
      <c r="CU230" s="243"/>
      <c r="CV230" s="243"/>
      <c r="CW230" s="243"/>
      <c r="CX230" s="243"/>
      <c r="CY230" s="243"/>
      <c r="CZ230" s="243"/>
      <c r="DA230" s="243"/>
      <c r="DB230" s="243"/>
      <c r="DC230" s="243"/>
      <c r="DD230" s="243"/>
      <c r="DE230" s="243"/>
      <c r="DF230" s="243"/>
      <c r="DG230" s="243"/>
      <c r="DH230" s="243"/>
      <c r="DI230" s="243"/>
      <c r="DJ230" s="243"/>
      <c r="DK230" s="243"/>
      <c r="DM230" s="242"/>
      <c r="DO230" s="243"/>
      <c r="DQ230" s="242"/>
      <c r="DS230" s="243"/>
      <c r="DU230" s="242"/>
      <c r="DW230" s="243"/>
      <c r="DY230" s="242"/>
      <c r="EA230" s="243"/>
    </row>
    <row r="231" spans="1:131">
      <c r="A231" s="20"/>
      <c r="B231" s="124" t="str">
        <f t="shared" si="214"/>
        <v/>
      </c>
      <c r="C231" s="235"/>
      <c r="D231" s="24">
        <f>'1% Wind'!$M$86</f>
        <v>15.5</v>
      </c>
      <c r="E231" s="90"/>
      <c r="F231" s="90"/>
      <c r="G231" s="79" t="e">
        <f ca="1">IF(I226=0.9743,$G230,MAX(G230/D230*D231,2))</f>
        <v>#N/A</v>
      </c>
      <c r="H231" s="121" t="e">
        <f t="shared" ca="1" si="215"/>
        <v>#N/A</v>
      </c>
      <c r="J231" s="33"/>
      <c r="K231" s="242">
        <f t="shared" si="216"/>
        <v>1</v>
      </c>
      <c r="L231" s="241" t="e">
        <f t="shared" ca="1" si="217"/>
        <v>#N/A</v>
      </c>
      <c r="M231" s="243" t="e">
        <f ca="1">IF(AND(INDEX(FlowCalConstA,MATCH(J226,FlowCalNumber,0),1,1)*L231^INDEX(FlowCalConstB,MATCH(J226,FlowCalNumber,0),1,1)&gt;INDEX(FlowCalLowSetting,MATCH(J226,FlowCalNumber,0),1,1), (INDEX(FlowCalConstA,MATCH(J226,FlowCalNumber,0),1,1)*L231^INDEX(FlowCalConstB,MATCH(J226,FlowCalNumber,0),1,1)&lt;INDEX(FlowCalHighSetting,MATCH(J226,FlowCalNumber,0),1,1))),INDEX(FlowCalConstA,MATCH(J226,FlowCalNumber,0),1,1)*L231^INDEX(FlowCalConstB,MATCH(J226,FlowCalNumber,0),1,1)," ")</f>
        <v>#N/A</v>
      </c>
      <c r="N231" s="33"/>
      <c r="O231" s="242">
        <f t="shared" si="218"/>
        <v>1</v>
      </c>
      <c r="P231" s="241" t="e">
        <f t="shared" ca="1" si="219"/>
        <v>#N/A</v>
      </c>
      <c r="Q231" s="243" t="e">
        <f ca="1">IF(AND(INDEX(FlowCalConstA,MATCH(N226,FlowCalNumber,0),1,1)*P231^INDEX(FlowCalConstB,MATCH(N226,FlowCalNumber,0),1,1)&gt;INDEX(FlowCalLowSetting,MATCH(N226,FlowCalNumber,0),1,1), (INDEX(FlowCalConstA,MATCH(N226,FlowCalNumber,0),1,1)*P231^INDEX(FlowCalConstB,MATCH(N226,FlowCalNumber,0),1,1)&lt;INDEX(FlowCalHighSetting,MATCH(N226,FlowCalNumber,0),1,1))),INDEX(FlowCalConstA,MATCH(N226,FlowCalNumber,0),1,1)*P231^INDEX(FlowCalConstB,MATCH(N226,FlowCalNumber,0),1,1)," ")</f>
        <v>#N/A</v>
      </c>
      <c r="R231" s="33"/>
      <c r="S231" s="242">
        <f t="shared" si="220"/>
        <v>1</v>
      </c>
      <c r="T231" s="241" t="e">
        <f t="shared" ca="1" si="221"/>
        <v>#N/A</v>
      </c>
      <c r="U231" s="244" t="e">
        <f ca="1">IF(AND(INDEX(FlowCalConstA,MATCH(R226,FlowCalNumber,0),1,1)*T231^INDEX(FlowCalConstB,MATCH(R226,FlowCalNumber,0),1,1)&gt;INDEX(FlowCalLowSetting,MATCH(R226,FlowCalNumber,0),1,1), (INDEX(FlowCalConstA,MATCH(R226,FlowCalNumber,0),1,1)*T231^INDEX(FlowCalConstB,MATCH(R226,FlowCalNumber,0),1,1)&lt;INDEX(FlowCalHighSetting,MATCH(R226,FlowCalNumber,0),1,1))),INDEX(FlowCalConstA,MATCH(R226,FlowCalNumber,0),1,1)*T231^INDEX(FlowCalConstB,MATCH(R226,FlowCalNumber,0),1,1)," ")</f>
        <v>#N/A</v>
      </c>
      <c r="V231" s="33"/>
      <c r="W231" s="242">
        <f t="shared" si="222"/>
        <v>0.1</v>
      </c>
      <c r="X231" s="241" t="e">
        <f t="shared" ca="1" si="223"/>
        <v>#N/A</v>
      </c>
      <c r="Y231" s="243" t="e">
        <f ca="1">IF(AND(INDEX(FlowCalConstA,MATCH(V226,FlowCalNumber,0),1,1)*X231^INDEX(FlowCalConstB,MATCH(V226,FlowCalNumber,0),1,1)&gt;INDEX(FlowCalLowSetting,MATCH(V226,FlowCalNumber,0),1,1), (INDEX(FlowCalConstA,MATCH(V226,FlowCalNumber,0),1,1)*X231^INDEX(FlowCalConstB,MATCH(V226,FlowCalNumber,0),1,1)&lt;INDEX(FlowCalHighSetting,MATCH(V226,FlowCalNumber,0),1,1))),INDEX(FlowCalConstA,MATCH(V226,FlowCalNumber,0),1,1)*X231^INDEX(FlowCalConstB,MATCH(V226,FlowCalNumber,0),1,1)," ")</f>
        <v>#N/A</v>
      </c>
      <c r="Z231" s="33"/>
      <c r="AA231" s="242">
        <f t="shared" si="224"/>
        <v>0.9</v>
      </c>
      <c r="AB231" s="241" t="e">
        <f t="shared" ca="1" si="225"/>
        <v>#N/A</v>
      </c>
      <c r="AC231" s="243" t="e">
        <f ca="1">IF(AND(INDEX(FlowCalConstA,MATCH(Z226,FlowCalNumber,0),1,1)*AB231^INDEX(FlowCalConstB,MATCH(Z226,FlowCalNumber,0),1,1)&gt;INDEX(FlowCalLowSetting,MATCH(Z226,FlowCalNumber,0),1,1), (INDEX(FlowCalConstA,MATCH(Z226,FlowCalNumber,0),1,1)*AB231^INDEX(FlowCalConstB,MATCH(Z226,FlowCalNumber,0),1,1)&lt;INDEX(FlowCalHighSetting,MATCH(Z226,FlowCalNumber,0),1,1))),INDEX(FlowCalConstA,MATCH(Z226,FlowCalNumber,0),1,1)*AB231^INDEX(FlowCalConstB,MATCH(Z226,FlowCalNumber,0),1,1)," ")</f>
        <v>#N/A</v>
      </c>
      <c r="AD231" s="33"/>
      <c r="AE231" s="242">
        <f t="shared" si="226"/>
        <v>0.1</v>
      </c>
      <c r="AF231" s="241" t="e">
        <f t="shared" ca="1" si="227"/>
        <v>#N/A</v>
      </c>
      <c r="AG231" s="243" t="e">
        <f ca="1">IF(AND(INDEX(FlowCalConstA,MATCH(AD226,FlowCalNumber,0),1,1)*AF231^INDEX(FlowCalConstB,MATCH(AD226,FlowCalNumber,0),1,1)&gt;INDEX(FlowCalLowSetting,MATCH(AD226,FlowCalNumber,0),1,1), (INDEX(FlowCalConstA,MATCH(AD226,FlowCalNumber,0),1,1)*AF231^INDEX(FlowCalConstB,MATCH(AD226,FlowCalNumber,0),1,1)&lt;INDEX(FlowCalHighSetting,MATCH(AD226,FlowCalNumber,0),1,1))),INDEX(FlowCalConstA,MATCH(AD226,FlowCalNumber,0),1,1)*AF231^INDEX(FlowCalConstB,MATCH(AD226,FlowCalNumber,0),1,1)," ")</f>
        <v>#N/A</v>
      </c>
      <c r="AH231" s="33"/>
      <c r="AI231" s="242">
        <f t="shared" si="228"/>
        <v>0.9</v>
      </c>
      <c r="AJ231" s="241" t="e">
        <f t="shared" ca="1" si="229"/>
        <v>#N/A</v>
      </c>
      <c r="AK231" s="243" t="e">
        <f ca="1">IF(AND(INDEX(FlowCalConstA,MATCH(AH226,FlowCalNumber,0),1,1)*AJ231^INDEX(FlowCalConstB,MATCH(AH226,FlowCalNumber,0),1,1)&gt;INDEX(FlowCalLowSetting,MATCH(AH226,FlowCalNumber,0),1,1), (INDEX(FlowCalConstA,MATCH(AH226,FlowCalNumber,0),1,1)*AJ231^INDEX(FlowCalConstB,MATCH(AH226,FlowCalNumber,0),1,1)&lt;INDEX(FlowCalHighSetting,MATCH(AH226,FlowCalNumber,0),1,1))),INDEX(FlowCalConstA,MATCH(AH226,FlowCalNumber,0),1,1)*AJ231^INDEX(FlowCalConstB,MATCH(AH226,FlowCalNumber,0),1,1)," ")</f>
        <v>#N/A</v>
      </c>
      <c r="AL231" s="33"/>
      <c r="AM231" s="242"/>
      <c r="AN231" s="241"/>
      <c r="AO231" s="244"/>
      <c r="AQ231" s="242"/>
      <c r="AR231" s="241"/>
      <c r="AS231" s="244"/>
      <c r="AT231" s="33"/>
      <c r="AU231" s="242"/>
      <c r="AV231" s="241"/>
      <c r="AW231" s="244"/>
      <c r="AX231" s="33"/>
      <c r="AY231" s="242"/>
      <c r="AZ231" s="241"/>
      <c r="BA231" s="244"/>
      <c r="BB231" s="33"/>
      <c r="BC231" s="242"/>
      <c r="BD231" s="241"/>
      <c r="BE231" s="244"/>
      <c r="BF231" s="33"/>
      <c r="BG231" s="242"/>
      <c r="BH231" s="241"/>
      <c r="BI231" s="244"/>
      <c r="BJ231" s="33"/>
      <c r="BK231" s="242"/>
      <c r="BL231" s="241"/>
      <c r="BM231" s="244"/>
      <c r="BN231" s="33"/>
      <c r="BO231" s="242"/>
      <c r="BP231" s="241"/>
      <c r="BQ231" s="244"/>
      <c r="BR231" s="33"/>
      <c r="BS231" s="242"/>
      <c r="BT231" s="241"/>
      <c r="BU231" s="244"/>
      <c r="BV231" s="33"/>
      <c r="BW231" s="242"/>
      <c r="BX231" s="241"/>
      <c r="BY231" s="244"/>
      <c r="BZ231" s="33"/>
      <c r="CA231" s="242"/>
      <c r="CB231" s="241"/>
      <c r="CC231" s="244"/>
      <c r="CD231" s="243"/>
      <c r="CE231" s="243"/>
      <c r="CF231" s="243"/>
      <c r="CG231" s="243"/>
      <c r="CH231" s="243"/>
      <c r="CI231" s="243"/>
      <c r="CJ231" s="243"/>
      <c r="CK231" s="243"/>
      <c r="CL231" s="243"/>
      <c r="CM231" s="243"/>
      <c r="CN231" s="243"/>
      <c r="CO231" s="243"/>
      <c r="CP231" s="243"/>
      <c r="CQ231" s="243"/>
      <c r="CR231" s="243"/>
      <c r="CS231" s="243"/>
      <c r="CT231" s="243"/>
      <c r="CU231" s="243"/>
      <c r="CV231" s="243"/>
      <c r="CW231" s="243"/>
      <c r="CX231" s="243"/>
      <c r="CY231" s="243"/>
      <c r="CZ231" s="243"/>
      <c r="DA231" s="243"/>
      <c r="DB231" s="243"/>
      <c r="DC231" s="243"/>
      <c r="DD231" s="243"/>
      <c r="DE231" s="243"/>
      <c r="DF231" s="243"/>
      <c r="DG231" s="243"/>
      <c r="DH231" s="243"/>
      <c r="DI231" s="243"/>
      <c r="DJ231" s="243"/>
      <c r="DK231" s="243"/>
      <c r="DM231" s="242"/>
      <c r="DO231" s="243"/>
      <c r="DQ231" s="242"/>
      <c r="DS231" s="243"/>
      <c r="DU231" s="242"/>
      <c r="DW231" s="243"/>
      <c r="DY231" s="242"/>
      <c r="EA231" s="243"/>
    </row>
    <row r="232" spans="1:131">
      <c r="A232" s="20"/>
      <c r="B232" s="124" t="str">
        <f t="shared" si="214"/>
        <v/>
      </c>
      <c r="C232" s="235"/>
      <c r="D232" s="24">
        <f>'1% Wind'!$M$87</f>
        <v>13.5</v>
      </c>
      <c r="E232" s="90"/>
      <c r="F232" s="90"/>
      <c r="G232" s="79" t="e">
        <f ca="1">IF(I226=0.9743,$G231,MAX(G231/D231*D232,2))</f>
        <v>#N/A</v>
      </c>
      <c r="H232" s="121" t="e">
        <f t="shared" ca="1" si="215"/>
        <v>#N/A</v>
      </c>
      <c r="J232" s="33"/>
      <c r="K232" s="242">
        <f t="shared" si="216"/>
        <v>1</v>
      </c>
      <c r="L232" s="241" t="e">
        <f t="shared" ca="1" si="217"/>
        <v>#N/A</v>
      </c>
      <c r="M232" s="243" t="e">
        <f ca="1">IF(AND(INDEX(FlowCalConstA,MATCH(J226,FlowCalNumber,0),1,1)*L232^INDEX(FlowCalConstB,MATCH(J226,FlowCalNumber,0),1,1)&gt;INDEX(FlowCalLowSetting,MATCH(J226,FlowCalNumber,0),1,1), (INDEX(FlowCalConstA,MATCH(J226,FlowCalNumber,0),1,1)*L232^INDEX(FlowCalConstB,MATCH(J226,FlowCalNumber,0),1,1)&lt;INDEX(FlowCalHighSetting,MATCH(J226,FlowCalNumber,0),1,1))),INDEX(FlowCalConstA,MATCH(J226,FlowCalNumber,0),1,1)*L232^INDEX(FlowCalConstB,MATCH(J226,FlowCalNumber,0),1,1)," ")</f>
        <v>#N/A</v>
      </c>
      <c r="N232" s="33"/>
      <c r="O232" s="242">
        <f t="shared" si="218"/>
        <v>1</v>
      </c>
      <c r="P232" s="241" t="e">
        <f t="shared" ca="1" si="219"/>
        <v>#N/A</v>
      </c>
      <c r="Q232" s="243" t="e">
        <f ca="1">IF(AND(INDEX(FlowCalConstA,MATCH(N226,FlowCalNumber,0),1,1)*P232^INDEX(FlowCalConstB,MATCH(N226,FlowCalNumber,0),1,1)&gt;INDEX(FlowCalLowSetting,MATCH(N226,FlowCalNumber,0),1,1), (INDEX(FlowCalConstA,MATCH(N226,FlowCalNumber,0),1,1)*P232^INDEX(FlowCalConstB,MATCH(N226,FlowCalNumber,0),1,1)&lt;INDEX(FlowCalHighSetting,MATCH(N226,FlowCalNumber,0),1,1))),INDEX(FlowCalConstA,MATCH(N226,FlowCalNumber,0),1,1)*P232^INDEX(FlowCalConstB,MATCH(N226,FlowCalNumber,0),1,1)," ")</f>
        <v>#N/A</v>
      </c>
      <c r="R232" s="33"/>
      <c r="S232" s="242">
        <f t="shared" si="220"/>
        <v>1</v>
      </c>
      <c r="T232" s="241" t="e">
        <f t="shared" ca="1" si="221"/>
        <v>#N/A</v>
      </c>
      <c r="U232" s="244" t="e">
        <f ca="1">IF(AND(INDEX(FlowCalConstA,MATCH(R226,FlowCalNumber,0),1,1)*T232^INDEX(FlowCalConstB,MATCH(R226,FlowCalNumber,0),1,1)&gt;INDEX(FlowCalLowSetting,MATCH(R226,FlowCalNumber,0),1,1), (INDEX(FlowCalConstA,MATCH(R226,FlowCalNumber,0),1,1)*T232^INDEX(FlowCalConstB,MATCH(R226,FlowCalNumber,0),1,1)&lt;INDEX(FlowCalHighSetting,MATCH(R226,FlowCalNumber,0),1,1))),INDEX(FlowCalConstA,MATCH(R226,FlowCalNumber,0),1,1)*T232^INDEX(FlowCalConstB,MATCH(R226,FlowCalNumber,0),1,1)," ")</f>
        <v>#N/A</v>
      </c>
      <c r="V232" s="33"/>
      <c r="W232" s="242">
        <f t="shared" si="222"/>
        <v>0.1</v>
      </c>
      <c r="X232" s="241" t="e">
        <f t="shared" ca="1" si="223"/>
        <v>#N/A</v>
      </c>
      <c r="Y232" s="243" t="e">
        <f ca="1">IF(AND(INDEX(FlowCalConstA,MATCH(V226,FlowCalNumber,0),1,1)*X232^INDEX(FlowCalConstB,MATCH(V226,FlowCalNumber,0),1,1)&gt;INDEX(FlowCalLowSetting,MATCH(V226,FlowCalNumber,0),1,1), (INDEX(FlowCalConstA,MATCH(V226,FlowCalNumber,0),1,1)*X232^INDEX(FlowCalConstB,MATCH(V226,FlowCalNumber,0),1,1)&lt;INDEX(FlowCalHighSetting,MATCH(V226,FlowCalNumber,0),1,1))),INDEX(FlowCalConstA,MATCH(V226,FlowCalNumber,0),1,1)*X232^INDEX(FlowCalConstB,MATCH(V226,FlowCalNumber,0),1,1)," ")</f>
        <v>#N/A</v>
      </c>
      <c r="Z232" s="33"/>
      <c r="AA232" s="242">
        <f t="shared" si="224"/>
        <v>0.9</v>
      </c>
      <c r="AB232" s="241" t="e">
        <f t="shared" ca="1" si="225"/>
        <v>#N/A</v>
      </c>
      <c r="AC232" s="243" t="e">
        <f ca="1">IF(AND(INDEX(FlowCalConstA,MATCH(Z226,FlowCalNumber,0),1,1)*AB232^INDEX(FlowCalConstB,MATCH(Z226,FlowCalNumber,0),1,1)&gt;INDEX(FlowCalLowSetting,MATCH(Z226,FlowCalNumber,0),1,1), (INDEX(FlowCalConstA,MATCH(Z226,FlowCalNumber,0),1,1)*AB232^INDEX(FlowCalConstB,MATCH(Z226,FlowCalNumber,0),1,1)&lt;INDEX(FlowCalHighSetting,MATCH(Z226,FlowCalNumber,0),1,1))),INDEX(FlowCalConstA,MATCH(Z226,FlowCalNumber,0),1,1)*AB232^INDEX(FlowCalConstB,MATCH(Z226,FlowCalNumber,0),1,1)," ")</f>
        <v>#N/A</v>
      </c>
      <c r="AD232" s="33"/>
      <c r="AE232" s="242">
        <f t="shared" si="226"/>
        <v>0.1</v>
      </c>
      <c r="AF232" s="241" t="e">
        <f t="shared" ca="1" si="227"/>
        <v>#N/A</v>
      </c>
      <c r="AG232" s="243" t="e">
        <f ca="1">IF(AND(INDEX(FlowCalConstA,MATCH(AD226,FlowCalNumber,0),1,1)*AF232^INDEX(FlowCalConstB,MATCH(AD226,FlowCalNumber,0),1,1)&gt;INDEX(FlowCalLowSetting,MATCH(AD226,FlowCalNumber,0),1,1), (INDEX(FlowCalConstA,MATCH(AD226,FlowCalNumber,0),1,1)*AF232^INDEX(FlowCalConstB,MATCH(AD226,FlowCalNumber,0),1,1)&lt;INDEX(FlowCalHighSetting,MATCH(AD226,FlowCalNumber,0),1,1))),INDEX(FlowCalConstA,MATCH(AD226,FlowCalNumber,0),1,1)*AF232^INDEX(FlowCalConstB,MATCH(AD226,FlowCalNumber,0),1,1)," ")</f>
        <v>#N/A</v>
      </c>
      <c r="AH232" s="33"/>
      <c r="AI232" s="242">
        <f t="shared" si="228"/>
        <v>0.9</v>
      </c>
      <c r="AJ232" s="241" t="e">
        <f t="shared" ca="1" si="229"/>
        <v>#N/A</v>
      </c>
      <c r="AK232" s="243" t="e">
        <f ca="1">IF(AND(INDEX(FlowCalConstA,MATCH(AH226,FlowCalNumber,0),1,1)*AJ232^INDEX(FlowCalConstB,MATCH(AH226,FlowCalNumber,0),1,1)&gt;INDEX(FlowCalLowSetting,MATCH(AH226,FlowCalNumber,0),1,1), (INDEX(FlowCalConstA,MATCH(AH226,FlowCalNumber,0),1,1)*AJ232^INDEX(FlowCalConstB,MATCH(AH226,FlowCalNumber,0),1,1)&lt;INDEX(FlowCalHighSetting,MATCH(AH226,FlowCalNumber,0),1,1))),INDEX(FlowCalConstA,MATCH(AH226,FlowCalNumber,0),1,1)*AJ232^INDEX(FlowCalConstB,MATCH(AH226,FlowCalNumber,0),1,1)," ")</f>
        <v>#N/A</v>
      </c>
      <c r="AL232" s="33"/>
      <c r="AM232" s="242"/>
      <c r="AN232" s="241"/>
      <c r="AO232" s="244"/>
      <c r="AQ232" s="242"/>
      <c r="AR232" s="241"/>
      <c r="AS232" s="244"/>
      <c r="AT232" s="33"/>
      <c r="AU232" s="242"/>
      <c r="AV232" s="241"/>
      <c r="AW232" s="244"/>
      <c r="AX232" s="33"/>
      <c r="AY232" s="242"/>
      <c r="AZ232" s="241"/>
      <c r="BA232" s="244"/>
      <c r="BB232" s="33"/>
      <c r="BC232" s="242"/>
      <c r="BD232" s="241"/>
      <c r="BE232" s="244"/>
      <c r="BF232" s="33"/>
      <c r="BG232" s="242"/>
      <c r="BH232" s="241"/>
      <c r="BI232" s="244"/>
      <c r="BJ232" s="33"/>
      <c r="BK232" s="242"/>
      <c r="BL232" s="241"/>
      <c r="BM232" s="244"/>
      <c r="BN232" s="33"/>
      <c r="BO232" s="242"/>
      <c r="BP232" s="241"/>
      <c r="BQ232" s="244"/>
      <c r="BR232" s="33"/>
      <c r="BS232" s="242"/>
      <c r="BT232" s="241"/>
      <c r="BU232" s="244"/>
      <c r="BV232" s="33"/>
      <c r="BW232" s="242"/>
      <c r="BX232" s="241"/>
      <c r="BY232" s="244"/>
      <c r="BZ232" s="33"/>
      <c r="CA232" s="242"/>
      <c r="CB232" s="241"/>
      <c r="CC232" s="244"/>
      <c r="CD232" s="243"/>
      <c r="CE232" s="243"/>
      <c r="CF232" s="243"/>
      <c r="CG232" s="243"/>
      <c r="CH232" s="243"/>
      <c r="CI232" s="243"/>
      <c r="CJ232" s="243"/>
      <c r="CK232" s="243"/>
      <c r="CL232" s="243"/>
      <c r="CM232" s="243"/>
      <c r="CN232" s="243"/>
      <c r="CO232" s="243"/>
      <c r="CP232" s="243"/>
      <c r="CQ232" s="243"/>
      <c r="CR232" s="243"/>
      <c r="CS232" s="243"/>
      <c r="CT232" s="243"/>
      <c r="CU232" s="243"/>
      <c r="CV232" s="243"/>
      <c r="CW232" s="243"/>
      <c r="CX232" s="243"/>
      <c r="CY232" s="243"/>
      <c r="CZ232" s="243"/>
      <c r="DA232" s="243"/>
      <c r="DB232" s="243"/>
      <c r="DC232" s="243"/>
      <c r="DD232" s="243"/>
      <c r="DE232" s="243"/>
      <c r="DF232" s="243"/>
      <c r="DG232" s="243"/>
      <c r="DH232" s="243"/>
      <c r="DI232" s="243"/>
      <c r="DJ232" s="243"/>
      <c r="DK232" s="243"/>
      <c r="DM232" s="242"/>
      <c r="DO232" s="243"/>
      <c r="DQ232" s="242"/>
      <c r="DS232" s="243"/>
      <c r="DU232" s="242"/>
      <c r="DW232" s="243"/>
      <c r="DY232" s="242"/>
      <c r="EA232" s="243"/>
    </row>
    <row r="233" spans="1:131">
      <c r="A233" s="20"/>
      <c r="B233" s="124" t="str">
        <f t="shared" si="214"/>
        <v/>
      </c>
      <c r="C233" s="235"/>
      <c r="D233" s="24">
        <f>'1% Wind'!$M$88</f>
        <v>10.1</v>
      </c>
      <c r="E233" s="90"/>
      <c r="F233" s="90"/>
      <c r="G233" s="79" t="e">
        <f ca="1">IF(I226=0.9743,$G232,MAX(G232/D232*D233,2))</f>
        <v>#N/A</v>
      </c>
      <c r="H233" s="121" t="e">
        <f t="shared" ca="1" si="215"/>
        <v>#N/A</v>
      </c>
      <c r="J233" s="33"/>
      <c r="K233" s="242">
        <f t="shared" si="216"/>
        <v>1</v>
      </c>
      <c r="L233" s="241" t="e">
        <f t="shared" ca="1" si="217"/>
        <v>#N/A</v>
      </c>
      <c r="M233" s="243" t="e">
        <f ca="1">IF(AND(INDEX(FlowCalConstA,MATCH(J226,FlowCalNumber,0),1,1)*L233^INDEX(FlowCalConstB,MATCH(J226,FlowCalNumber,0),1,1)&gt;INDEX(FlowCalLowSetting,MATCH(J226,FlowCalNumber,0),1,1), (INDEX(FlowCalConstA,MATCH(J226,FlowCalNumber,0),1,1)*L233^INDEX(FlowCalConstB,MATCH(J226,FlowCalNumber,0),1,1)&lt;INDEX(FlowCalHighSetting,MATCH(J226,FlowCalNumber,0),1,1))),INDEX(FlowCalConstA,MATCH(J226,FlowCalNumber,0),1,1)*L233^INDEX(FlowCalConstB,MATCH(J226,FlowCalNumber,0),1,1)," ")</f>
        <v>#N/A</v>
      </c>
      <c r="N233" s="33"/>
      <c r="O233" s="242">
        <f t="shared" si="218"/>
        <v>1</v>
      </c>
      <c r="P233" s="241" t="e">
        <f t="shared" ca="1" si="219"/>
        <v>#N/A</v>
      </c>
      <c r="Q233" s="243" t="e">
        <f ca="1">IF(AND(INDEX(FlowCalConstA,MATCH(N226,FlowCalNumber,0),1,1)*P233^INDEX(FlowCalConstB,MATCH(N226,FlowCalNumber,0),1,1)&gt;INDEX(FlowCalLowSetting,MATCH(N226,FlowCalNumber,0),1,1), (INDEX(FlowCalConstA,MATCH(N226,FlowCalNumber,0),1,1)*P233^INDEX(FlowCalConstB,MATCH(N226,FlowCalNumber,0),1,1)&lt;INDEX(FlowCalHighSetting,MATCH(N226,FlowCalNumber,0),1,1))),INDEX(FlowCalConstA,MATCH(N226,FlowCalNumber,0),1,1)*P233^INDEX(FlowCalConstB,MATCH(N226,FlowCalNumber,0),1,1)," ")</f>
        <v>#N/A</v>
      </c>
      <c r="R233" s="33"/>
      <c r="S233" s="242">
        <f t="shared" si="220"/>
        <v>1</v>
      </c>
      <c r="T233" s="241" t="e">
        <f t="shared" ca="1" si="221"/>
        <v>#N/A</v>
      </c>
      <c r="U233" s="244" t="e">
        <f ca="1">IF(AND(INDEX(FlowCalConstA,MATCH(R226,FlowCalNumber,0),1,1)*T233^INDEX(FlowCalConstB,MATCH(R226,FlowCalNumber,0),1,1)&gt;INDEX(FlowCalLowSetting,MATCH(R226,FlowCalNumber,0),1,1), (INDEX(FlowCalConstA,MATCH(R226,FlowCalNumber,0),1,1)*T233^INDEX(FlowCalConstB,MATCH(R226,FlowCalNumber,0),1,1)&lt;INDEX(FlowCalHighSetting,MATCH(R226,FlowCalNumber,0),1,1))),INDEX(FlowCalConstA,MATCH(R226,FlowCalNumber,0),1,1)*T233^INDEX(FlowCalConstB,MATCH(R226,FlowCalNumber,0),1,1)," ")</f>
        <v>#N/A</v>
      </c>
      <c r="V233" s="33"/>
      <c r="W233" s="242">
        <f t="shared" si="222"/>
        <v>0.1</v>
      </c>
      <c r="X233" s="241" t="e">
        <f t="shared" ca="1" si="223"/>
        <v>#N/A</v>
      </c>
      <c r="Y233" s="243" t="e">
        <f ca="1">IF(AND(INDEX(FlowCalConstA,MATCH(V226,FlowCalNumber,0),1,1)*X233^INDEX(FlowCalConstB,MATCH(V226,FlowCalNumber,0),1,1)&gt;INDEX(FlowCalLowSetting,MATCH(V226,FlowCalNumber,0),1,1), (INDEX(FlowCalConstA,MATCH(V226,FlowCalNumber,0),1,1)*X233^INDEX(FlowCalConstB,MATCH(V226,FlowCalNumber,0),1,1)&lt;INDEX(FlowCalHighSetting,MATCH(V226,FlowCalNumber,0),1,1))),INDEX(FlowCalConstA,MATCH(V226,FlowCalNumber,0),1,1)*X233^INDEX(FlowCalConstB,MATCH(V226,FlowCalNumber,0),1,1)," ")</f>
        <v>#N/A</v>
      </c>
      <c r="Z233" s="33"/>
      <c r="AA233" s="242">
        <f t="shared" si="224"/>
        <v>0.9</v>
      </c>
      <c r="AB233" s="241" t="e">
        <f t="shared" ca="1" si="225"/>
        <v>#N/A</v>
      </c>
      <c r="AC233" s="243" t="e">
        <f ca="1">IF(AND(INDEX(FlowCalConstA,MATCH(Z226,FlowCalNumber,0),1,1)*AB233^INDEX(FlowCalConstB,MATCH(Z226,FlowCalNumber,0),1,1)&gt;INDEX(FlowCalLowSetting,MATCH(Z226,FlowCalNumber,0),1,1), (INDEX(FlowCalConstA,MATCH(Z226,FlowCalNumber,0),1,1)*AB233^INDEX(FlowCalConstB,MATCH(Z226,FlowCalNumber,0),1,1)&lt;INDEX(FlowCalHighSetting,MATCH(Z226,FlowCalNumber,0),1,1))),INDEX(FlowCalConstA,MATCH(Z226,FlowCalNumber,0),1,1)*AB233^INDEX(FlowCalConstB,MATCH(Z226,FlowCalNumber,0),1,1)," ")</f>
        <v>#N/A</v>
      </c>
      <c r="AD233" s="33"/>
      <c r="AE233" s="242">
        <f t="shared" si="226"/>
        <v>0.1</v>
      </c>
      <c r="AF233" s="241" t="e">
        <f t="shared" ca="1" si="227"/>
        <v>#N/A</v>
      </c>
      <c r="AG233" s="243" t="e">
        <f ca="1">IF(AND(INDEX(FlowCalConstA,MATCH(AD226,FlowCalNumber,0),1,1)*AF233^INDEX(FlowCalConstB,MATCH(AD226,FlowCalNumber,0),1,1)&gt;INDEX(FlowCalLowSetting,MATCH(AD226,FlowCalNumber,0),1,1), (INDEX(FlowCalConstA,MATCH(AD226,FlowCalNumber,0),1,1)*AF233^INDEX(FlowCalConstB,MATCH(AD226,FlowCalNumber,0),1,1)&lt;INDEX(FlowCalHighSetting,MATCH(AD226,FlowCalNumber,0),1,1))),INDEX(FlowCalConstA,MATCH(AD226,FlowCalNumber,0),1,1)*AF233^INDEX(FlowCalConstB,MATCH(AD226,FlowCalNumber,0),1,1)," ")</f>
        <v>#N/A</v>
      </c>
      <c r="AH233" s="33"/>
      <c r="AI233" s="242">
        <f t="shared" si="228"/>
        <v>0.9</v>
      </c>
      <c r="AJ233" s="241" t="e">
        <f t="shared" ca="1" si="229"/>
        <v>#N/A</v>
      </c>
      <c r="AK233" s="243" t="e">
        <f ca="1">IF(AND(INDEX(FlowCalConstA,MATCH(AH226,FlowCalNumber,0),1,1)*AJ233^INDEX(FlowCalConstB,MATCH(AH226,FlowCalNumber,0),1,1)&gt;INDEX(FlowCalLowSetting,MATCH(AH226,FlowCalNumber,0),1,1), (INDEX(FlowCalConstA,MATCH(AH226,FlowCalNumber,0),1,1)*AJ233^INDEX(FlowCalConstB,MATCH(AH226,FlowCalNumber,0),1,1)&lt;INDEX(FlowCalHighSetting,MATCH(AH226,FlowCalNumber,0),1,1))),INDEX(FlowCalConstA,MATCH(AH226,FlowCalNumber,0),1,1)*AJ233^INDEX(FlowCalConstB,MATCH(AH226,FlowCalNumber,0),1,1)," ")</f>
        <v>#N/A</v>
      </c>
      <c r="AL233" s="33"/>
      <c r="AM233" s="242"/>
      <c r="AN233" s="241"/>
      <c r="AO233" s="244"/>
      <c r="AQ233" s="242"/>
      <c r="AR233" s="241"/>
      <c r="AS233" s="244"/>
      <c r="AT233" s="33"/>
      <c r="AU233" s="242"/>
      <c r="AV233" s="241"/>
      <c r="AW233" s="244"/>
      <c r="AX233" s="33"/>
      <c r="AY233" s="242"/>
      <c r="AZ233" s="241"/>
      <c r="BA233" s="244"/>
      <c r="BB233" s="33"/>
      <c r="BC233" s="242"/>
      <c r="BD233" s="241"/>
      <c r="BE233" s="244"/>
      <c r="BF233" s="33"/>
      <c r="BG233" s="242"/>
      <c r="BH233" s="241"/>
      <c r="BI233" s="244"/>
      <c r="BJ233" s="33"/>
      <c r="BK233" s="242"/>
      <c r="BL233" s="241"/>
      <c r="BM233" s="244"/>
      <c r="BN233" s="33"/>
      <c r="BO233" s="242"/>
      <c r="BP233" s="241"/>
      <c r="BQ233" s="244"/>
      <c r="BR233" s="33"/>
      <c r="BS233" s="242"/>
      <c r="BT233" s="241"/>
      <c r="BU233" s="244"/>
      <c r="BV233" s="33"/>
      <c r="BW233" s="242"/>
      <c r="BX233" s="241"/>
      <c r="BY233" s="244"/>
      <c r="BZ233" s="33"/>
      <c r="CA233" s="242"/>
      <c r="CB233" s="241"/>
      <c r="CC233" s="244"/>
      <c r="CD233" s="243"/>
      <c r="CE233" s="243"/>
      <c r="CF233" s="243"/>
      <c r="CG233" s="243"/>
      <c r="CH233" s="243"/>
      <c r="CI233" s="243"/>
      <c r="CJ233" s="243"/>
      <c r="CK233" s="243"/>
      <c r="CL233" s="243"/>
      <c r="CM233" s="243"/>
      <c r="CN233" s="243"/>
      <c r="CO233" s="243"/>
      <c r="CP233" s="243"/>
      <c r="CQ233" s="243"/>
      <c r="CR233" s="243"/>
      <c r="CS233" s="243"/>
      <c r="CT233" s="243"/>
      <c r="CU233" s="243"/>
      <c r="CV233" s="243"/>
      <c r="CW233" s="243"/>
      <c r="CX233" s="243"/>
      <c r="CY233" s="243"/>
      <c r="CZ233" s="243"/>
      <c r="DA233" s="243"/>
      <c r="DB233" s="243"/>
      <c r="DC233" s="243"/>
      <c r="DD233" s="243"/>
      <c r="DE233" s="243"/>
      <c r="DF233" s="243"/>
      <c r="DG233" s="243"/>
      <c r="DH233" s="243"/>
      <c r="DI233" s="243"/>
      <c r="DJ233" s="243"/>
      <c r="DK233" s="243"/>
      <c r="DM233" s="242"/>
      <c r="DO233" s="243"/>
      <c r="DQ233" s="242"/>
      <c r="DS233" s="243"/>
      <c r="DU233" s="242"/>
      <c r="DW233" s="243"/>
      <c r="DY233" s="242"/>
      <c r="EA233" s="243"/>
    </row>
    <row r="234" spans="1:131">
      <c r="A234" s="20"/>
      <c r="B234" s="124" t="str">
        <f t="shared" si="214"/>
        <v/>
      </c>
      <c r="C234" s="235"/>
      <c r="D234" s="24">
        <f>'1% Wind'!$M$89</f>
        <v>7.6</v>
      </c>
      <c r="E234" s="90"/>
      <c r="F234" s="90"/>
      <c r="G234" s="79" t="e">
        <f ca="1">IF(I226=0.9743,$G233,MAX(G233/D233*D234,2))</f>
        <v>#N/A</v>
      </c>
      <c r="H234" s="121" t="e">
        <f t="shared" ca="1" si="215"/>
        <v>#N/A</v>
      </c>
      <c r="J234" s="33"/>
      <c r="K234" s="242">
        <f t="shared" si="216"/>
        <v>1</v>
      </c>
      <c r="L234" s="241" t="e">
        <f t="shared" ca="1" si="217"/>
        <v>#N/A</v>
      </c>
      <c r="M234" s="243" t="e">
        <f ca="1">IF(AND(INDEX(FlowCalConstA,MATCH(J226,FlowCalNumber,0),1,1)*L234^INDEX(FlowCalConstB,MATCH(J226,FlowCalNumber,0),1,1)&gt;INDEX(FlowCalLowSetting,MATCH(J226,FlowCalNumber,0),1,1), (INDEX(FlowCalConstA,MATCH(J226,FlowCalNumber,0),1,1)*L234^INDEX(FlowCalConstB,MATCH(J226,FlowCalNumber,0),1,1)&lt;INDEX(FlowCalHighSetting,MATCH(J226,FlowCalNumber,0),1,1))),INDEX(FlowCalConstA,MATCH(J226,FlowCalNumber,0),1,1)*L234^INDEX(FlowCalConstB,MATCH(J226,FlowCalNumber,0),1,1)," ")</f>
        <v>#N/A</v>
      </c>
      <c r="N234" s="33"/>
      <c r="O234" s="242">
        <f t="shared" si="218"/>
        <v>1</v>
      </c>
      <c r="P234" s="241" t="e">
        <f t="shared" ca="1" si="219"/>
        <v>#N/A</v>
      </c>
      <c r="Q234" s="243" t="e">
        <f ca="1">IF(AND(INDEX(FlowCalConstA,MATCH(N226,FlowCalNumber,0),1,1)*P234^INDEX(FlowCalConstB,MATCH(N226,FlowCalNumber,0),1,1)&gt;INDEX(FlowCalLowSetting,MATCH(N226,FlowCalNumber,0),1,1), (INDEX(FlowCalConstA,MATCH(N226,FlowCalNumber,0),1,1)*P234^INDEX(FlowCalConstB,MATCH(N226,FlowCalNumber,0),1,1)&lt;INDEX(FlowCalHighSetting,MATCH(N226,FlowCalNumber,0),1,1))),INDEX(FlowCalConstA,MATCH(N226,FlowCalNumber,0),1,1)*P234^INDEX(FlowCalConstB,MATCH(N226,FlowCalNumber,0),1,1)," ")</f>
        <v>#N/A</v>
      </c>
      <c r="R234" s="33"/>
      <c r="S234" s="242">
        <f t="shared" si="220"/>
        <v>1</v>
      </c>
      <c r="T234" s="241" t="e">
        <f t="shared" ca="1" si="221"/>
        <v>#N/A</v>
      </c>
      <c r="U234" s="244" t="e">
        <f ca="1">IF(AND(INDEX(FlowCalConstA,MATCH(R226,FlowCalNumber,0),1,1)*T234^INDEX(FlowCalConstB,MATCH(R226,FlowCalNumber,0),1,1)&gt;INDEX(FlowCalLowSetting,MATCH(R226,FlowCalNumber,0),1,1), (INDEX(FlowCalConstA,MATCH(R226,FlowCalNumber,0),1,1)*T234^INDEX(FlowCalConstB,MATCH(R226,FlowCalNumber,0),1,1)&lt;INDEX(FlowCalHighSetting,MATCH(R226,FlowCalNumber,0),1,1))),INDEX(FlowCalConstA,MATCH(R226,FlowCalNumber,0),1,1)*T234^INDEX(FlowCalConstB,MATCH(R226,FlowCalNumber,0),1,1)," ")</f>
        <v>#N/A</v>
      </c>
      <c r="V234" s="33"/>
      <c r="W234" s="242">
        <f t="shared" si="222"/>
        <v>0.1</v>
      </c>
      <c r="X234" s="241" t="e">
        <f t="shared" ca="1" si="223"/>
        <v>#N/A</v>
      </c>
      <c r="Y234" s="243" t="e">
        <f ca="1">IF(AND(INDEX(FlowCalConstA,MATCH(V226,FlowCalNumber,0),1,1)*X234^INDEX(FlowCalConstB,MATCH(V226,FlowCalNumber,0),1,1)&gt;INDEX(FlowCalLowSetting,MATCH(V226,FlowCalNumber,0),1,1), (INDEX(FlowCalConstA,MATCH(V226,FlowCalNumber,0),1,1)*X234^INDEX(FlowCalConstB,MATCH(V226,FlowCalNumber,0),1,1)&lt;INDEX(FlowCalHighSetting,MATCH(V226,FlowCalNumber,0),1,1))),INDEX(FlowCalConstA,MATCH(V226,FlowCalNumber,0),1,1)*X234^INDEX(FlowCalConstB,MATCH(V226,FlowCalNumber,0),1,1)," ")</f>
        <v>#N/A</v>
      </c>
      <c r="Z234" s="33"/>
      <c r="AA234" s="242">
        <f t="shared" si="224"/>
        <v>0.9</v>
      </c>
      <c r="AB234" s="241" t="e">
        <f t="shared" ca="1" si="225"/>
        <v>#N/A</v>
      </c>
      <c r="AC234" s="243" t="e">
        <f ca="1">IF(AND(INDEX(FlowCalConstA,MATCH(Z226,FlowCalNumber,0),1,1)*AB234^INDEX(FlowCalConstB,MATCH(Z226,FlowCalNumber,0),1,1)&gt;INDEX(FlowCalLowSetting,MATCH(Z226,FlowCalNumber,0),1,1), (INDEX(FlowCalConstA,MATCH(Z226,FlowCalNumber,0),1,1)*AB234^INDEX(FlowCalConstB,MATCH(Z226,FlowCalNumber,0),1,1)&lt;INDEX(FlowCalHighSetting,MATCH(Z226,FlowCalNumber,0),1,1))),INDEX(FlowCalConstA,MATCH(Z226,FlowCalNumber,0),1,1)*AB234^INDEX(FlowCalConstB,MATCH(Z226,FlowCalNumber,0),1,1)," ")</f>
        <v>#N/A</v>
      </c>
      <c r="AD234" s="33"/>
      <c r="AE234" s="242">
        <f t="shared" si="226"/>
        <v>0.1</v>
      </c>
      <c r="AF234" s="241" t="e">
        <f t="shared" ca="1" si="227"/>
        <v>#N/A</v>
      </c>
      <c r="AG234" s="243" t="e">
        <f ca="1">IF(AND(INDEX(FlowCalConstA,MATCH(AD226,FlowCalNumber,0),1,1)*AF234^INDEX(FlowCalConstB,MATCH(AD226,FlowCalNumber,0),1,1)&gt;INDEX(FlowCalLowSetting,MATCH(AD226,FlowCalNumber,0),1,1), (INDEX(FlowCalConstA,MATCH(AD226,FlowCalNumber,0),1,1)*AF234^INDEX(FlowCalConstB,MATCH(AD226,FlowCalNumber,0),1,1)&lt;INDEX(FlowCalHighSetting,MATCH(AD226,FlowCalNumber,0),1,1))),INDEX(FlowCalConstA,MATCH(AD226,FlowCalNumber,0),1,1)*AF234^INDEX(FlowCalConstB,MATCH(AD226,FlowCalNumber,0),1,1)," ")</f>
        <v>#N/A</v>
      </c>
      <c r="AH234" s="33"/>
      <c r="AI234" s="242">
        <f t="shared" si="228"/>
        <v>0.9</v>
      </c>
      <c r="AJ234" s="241" t="e">
        <f t="shared" ca="1" si="229"/>
        <v>#N/A</v>
      </c>
      <c r="AK234" s="243" t="e">
        <f ca="1">IF(AND(INDEX(FlowCalConstA,MATCH(AH226,FlowCalNumber,0),1,1)*AJ234^INDEX(FlowCalConstB,MATCH(AH226,FlowCalNumber,0),1,1)&gt;INDEX(FlowCalLowSetting,MATCH(AH226,FlowCalNumber,0),1,1), (INDEX(FlowCalConstA,MATCH(AH226,FlowCalNumber,0),1,1)*AJ234^INDEX(FlowCalConstB,MATCH(AH226,FlowCalNumber,0),1,1)&lt;INDEX(FlowCalHighSetting,MATCH(AH226,FlowCalNumber,0),1,1))),INDEX(FlowCalConstA,MATCH(AH226,FlowCalNumber,0),1,1)*AJ234^INDEX(FlowCalConstB,MATCH(AH226,FlowCalNumber,0),1,1)," ")</f>
        <v>#N/A</v>
      </c>
      <c r="AL234" s="33"/>
      <c r="AM234" s="242"/>
      <c r="AN234" s="241"/>
      <c r="AO234" s="244"/>
      <c r="AQ234" s="242"/>
      <c r="AR234" s="241"/>
      <c r="AS234" s="244"/>
      <c r="AT234" s="33"/>
      <c r="AU234" s="242"/>
      <c r="AV234" s="241"/>
      <c r="AW234" s="244"/>
      <c r="AX234" s="33"/>
      <c r="AY234" s="242"/>
      <c r="AZ234" s="241"/>
      <c r="BA234" s="244"/>
      <c r="BB234" s="33"/>
      <c r="BC234" s="242"/>
      <c r="BD234" s="241"/>
      <c r="BE234" s="244"/>
      <c r="BF234" s="33"/>
      <c r="BG234" s="242"/>
      <c r="BH234" s="241"/>
      <c r="BI234" s="244"/>
      <c r="BJ234" s="33"/>
      <c r="BK234" s="242"/>
      <c r="BL234" s="241"/>
      <c r="BM234" s="244"/>
      <c r="BN234" s="33"/>
      <c r="BO234" s="242"/>
      <c r="BP234" s="241"/>
      <c r="BQ234" s="244"/>
      <c r="BR234" s="33"/>
      <c r="BS234" s="242"/>
      <c r="BT234" s="241"/>
      <c r="BU234" s="244"/>
      <c r="BV234" s="33"/>
      <c r="BW234" s="242"/>
      <c r="BX234" s="241"/>
      <c r="BY234" s="244"/>
      <c r="BZ234" s="33"/>
      <c r="CA234" s="242"/>
      <c r="CB234" s="241"/>
      <c r="CC234" s="244"/>
      <c r="CD234" s="243"/>
      <c r="CE234" s="243"/>
      <c r="CF234" s="243"/>
      <c r="CG234" s="243"/>
      <c r="CH234" s="243"/>
      <c r="CI234" s="243"/>
      <c r="CJ234" s="243"/>
      <c r="CK234" s="243"/>
      <c r="CL234" s="243"/>
      <c r="CM234" s="243"/>
      <c r="CN234" s="243"/>
      <c r="CO234" s="243"/>
      <c r="CP234" s="243"/>
      <c r="CQ234" s="243"/>
      <c r="CR234" s="243"/>
      <c r="CS234" s="243"/>
      <c r="CT234" s="243"/>
      <c r="CU234" s="243"/>
      <c r="CV234" s="243"/>
      <c r="CW234" s="243"/>
      <c r="CX234" s="243"/>
      <c r="CY234" s="243"/>
      <c r="CZ234" s="243"/>
      <c r="DA234" s="243"/>
      <c r="DB234" s="243"/>
      <c r="DC234" s="243"/>
      <c r="DD234" s="243"/>
      <c r="DE234" s="243"/>
      <c r="DF234" s="243"/>
      <c r="DG234" s="243"/>
      <c r="DH234" s="243"/>
      <c r="DI234" s="243"/>
      <c r="DJ234" s="243"/>
      <c r="DK234" s="243"/>
      <c r="DM234" s="242"/>
      <c r="DO234" s="243"/>
      <c r="DQ234" s="242"/>
      <c r="DS234" s="243"/>
      <c r="DU234" s="242"/>
      <c r="DW234" s="243"/>
      <c r="DY234" s="242"/>
      <c r="EA234" s="243"/>
    </row>
    <row r="235" spans="1:131">
      <c r="A235" s="20"/>
      <c r="B235" s="124" t="str">
        <f t="shared" si="214"/>
        <v/>
      </c>
      <c r="C235" s="235"/>
      <c r="D235" s="24">
        <f>'1% Wind'!$M$90</f>
        <v>5.7</v>
      </c>
      <c r="E235" s="90"/>
      <c r="F235" s="90"/>
      <c r="G235" s="79" t="e">
        <f ca="1">IF(I226=0.9743,$G234,MAX(G234/D234*D235,2))</f>
        <v>#N/A</v>
      </c>
      <c r="H235" s="121" t="e">
        <f t="shared" ca="1" si="215"/>
        <v>#N/A</v>
      </c>
      <c r="J235" s="33"/>
      <c r="K235" s="242">
        <f t="shared" si="216"/>
        <v>1</v>
      </c>
      <c r="L235" s="241" t="e">
        <f t="shared" ca="1" si="217"/>
        <v>#N/A</v>
      </c>
      <c r="M235" s="243" t="e">
        <f ca="1">IF(AND(INDEX(FlowCalConstA,MATCH(J226,FlowCalNumber,0),1,1)*L235^INDEX(FlowCalConstB,MATCH(J226,FlowCalNumber,0),1,1)&gt;INDEX(FlowCalLowSetting,MATCH(J226,FlowCalNumber,0),1,1), (INDEX(FlowCalConstA,MATCH(J226,FlowCalNumber,0),1,1)*L235^INDEX(FlowCalConstB,MATCH(J226,FlowCalNumber,0),1,1)&lt;INDEX(FlowCalHighSetting,MATCH(J226,FlowCalNumber,0),1,1))),INDEX(FlowCalConstA,MATCH(J226,FlowCalNumber,0),1,1)*L235^INDEX(FlowCalConstB,MATCH(J226,FlowCalNumber,0),1,1)," ")</f>
        <v>#N/A</v>
      </c>
      <c r="N235" s="33"/>
      <c r="O235" s="242">
        <f t="shared" si="218"/>
        <v>1</v>
      </c>
      <c r="P235" s="241" t="e">
        <f t="shared" ca="1" si="219"/>
        <v>#N/A</v>
      </c>
      <c r="Q235" s="243" t="e">
        <f ca="1">IF(AND(INDEX(FlowCalConstA,MATCH(N226,FlowCalNumber,0),1,1)*P235^INDEX(FlowCalConstB,MATCH(N226,FlowCalNumber,0),1,1)&gt;INDEX(FlowCalLowSetting,MATCH(N226,FlowCalNumber,0),1,1), (INDEX(FlowCalConstA,MATCH(N226,FlowCalNumber,0),1,1)*P235^INDEX(FlowCalConstB,MATCH(N226,FlowCalNumber,0),1,1)&lt;INDEX(FlowCalHighSetting,MATCH(N226,FlowCalNumber,0),1,1))),INDEX(FlowCalConstA,MATCH(N226,FlowCalNumber,0),1,1)*P235^INDEX(FlowCalConstB,MATCH(N226,FlowCalNumber,0),1,1)," ")</f>
        <v>#N/A</v>
      </c>
      <c r="R235" s="33"/>
      <c r="S235" s="242">
        <f t="shared" si="220"/>
        <v>1</v>
      </c>
      <c r="T235" s="241" t="e">
        <f t="shared" ca="1" si="221"/>
        <v>#N/A</v>
      </c>
      <c r="U235" s="244" t="e">
        <f ca="1">IF(AND(INDEX(FlowCalConstA,MATCH(R226,FlowCalNumber,0),1,1)*T235^INDEX(FlowCalConstB,MATCH(R226,FlowCalNumber,0),1,1)&gt;INDEX(FlowCalLowSetting,MATCH(R226,FlowCalNumber,0),1,1), (INDEX(FlowCalConstA,MATCH(R226,FlowCalNumber,0),1,1)*T235^INDEX(FlowCalConstB,MATCH(R226,FlowCalNumber,0),1,1)&lt;INDEX(FlowCalHighSetting,MATCH(R226,FlowCalNumber,0),1,1))),INDEX(FlowCalConstA,MATCH(R226,FlowCalNumber,0),1,1)*T235^INDEX(FlowCalConstB,MATCH(R226,FlowCalNumber,0),1,1)," ")</f>
        <v>#N/A</v>
      </c>
      <c r="V235" s="33"/>
      <c r="W235" s="242">
        <f t="shared" si="222"/>
        <v>0.1</v>
      </c>
      <c r="X235" s="241" t="e">
        <f t="shared" ca="1" si="223"/>
        <v>#N/A</v>
      </c>
      <c r="Y235" s="243" t="e">
        <f ca="1">IF(AND(INDEX(FlowCalConstA,MATCH(V226,FlowCalNumber,0),1,1)*X235^INDEX(FlowCalConstB,MATCH(V226,FlowCalNumber,0),1,1)&gt;INDEX(FlowCalLowSetting,MATCH(V226,FlowCalNumber,0),1,1), (INDEX(FlowCalConstA,MATCH(V226,FlowCalNumber,0),1,1)*X235^INDEX(FlowCalConstB,MATCH(V226,FlowCalNumber,0),1,1)&lt;INDEX(FlowCalHighSetting,MATCH(V226,FlowCalNumber,0),1,1))),INDEX(FlowCalConstA,MATCH(V226,FlowCalNumber,0),1,1)*X235^INDEX(FlowCalConstB,MATCH(V226,FlowCalNumber,0),1,1)," ")</f>
        <v>#N/A</v>
      </c>
      <c r="Z235" s="33"/>
      <c r="AA235" s="242">
        <f t="shared" si="224"/>
        <v>0.9</v>
      </c>
      <c r="AB235" s="241" t="e">
        <f t="shared" ca="1" si="225"/>
        <v>#N/A</v>
      </c>
      <c r="AC235" s="243" t="e">
        <f ca="1">IF(AND(INDEX(FlowCalConstA,MATCH(Z226,FlowCalNumber,0),1,1)*AB235^INDEX(FlowCalConstB,MATCH(Z226,FlowCalNumber,0),1,1)&gt;INDEX(FlowCalLowSetting,MATCH(Z226,FlowCalNumber,0),1,1), (INDEX(FlowCalConstA,MATCH(Z226,FlowCalNumber,0),1,1)*AB235^INDEX(FlowCalConstB,MATCH(Z226,FlowCalNumber,0),1,1)&lt;INDEX(FlowCalHighSetting,MATCH(Z226,FlowCalNumber,0),1,1))),INDEX(FlowCalConstA,MATCH(Z226,FlowCalNumber,0),1,1)*AB235^INDEX(FlowCalConstB,MATCH(Z226,FlowCalNumber,0),1,1)," ")</f>
        <v>#N/A</v>
      </c>
      <c r="AD235" s="33"/>
      <c r="AE235" s="242">
        <f t="shared" si="226"/>
        <v>0.1</v>
      </c>
      <c r="AF235" s="241" t="e">
        <f t="shared" ca="1" si="227"/>
        <v>#N/A</v>
      </c>
      <c r="AG235" s="243" t="e">
        <f ca="1">IF(AND(INDEX(FlowCalConstA,MATCH(AD226,FlowCalNumber,0),1,1)*AF235^INDEX(FlowCalConstB,MATCH(AD226,FlowCalNumber,0),1,1)&gt;INDEX(FlowCalLowSetting,MATCH(AD226,FlowCalNumber,0),1,1), (INDEX(FlowCalConstA,MATCH(AD226,FlowCalNumber,0),1,1)*AF235^INDEX(FlowCalConstB,MATCH(AD226,FlowCalNumber,0),1,1)&lt;INDEX(FlowCalHighSetting,MATCH(AD226,FlowCalNumber,0),1,1))),INDEX(FlowCalConstA,MATCH(AD226,FlowCalNumber,0),1,1)*AF235^INDEX(FlowCalConstB,MATCH(AD226,FlowCalNumber,0),1,1)," ")</f>
        <v>#N/A</v>
      </c>
      <c r="AH235" s="33"/>
      <c r="AI235" s="242">
        <f t="shared" si="228"/>
        <v>0.9</v>
      </c>
      <c r="AJ235" s="241" t="e">
        <f t="shared" ca="1" si="229"/>
        <v>#N/A</v>
      </c>
      <c r="AK235" s="243" t="e">
        <f ca="1">IF(AND(INDEX(FlowCalConstA,MATCH(AH226,FlowCalNumber,0),1,1)*AJ235^INDEX(FlowCalConstB,MATCH(AH226,FlowCalNumber,0),1,1)&gt;INDEX(FlowCalLowSetting,MATCH(AH226,FlowCalNumber,0),1,1), (INDEX(FlowCalConstA,MATCH(AH226,FlowCalNumber,0),1,1)*AJ235^INDEX(FlowCalConstB,MATCH(AH226,FlowCalNumber,0),1,1)&lt;INDEX(FlowCalHighSetting,MATCH(AH226,FlowCalNumber,0),1,1))),INDEX(FlowCalConstA,MATCH(AH226,FlowCalNumber,0),1,1)*AJ235^INDEX(FlowCalConstB,MATCH(AH226,FlowCalNumber,0),1,1)," ")</f>
        <v>#N/A</v>
      </c>
      <c r="AL235" s="33"/>
      <c r="AM235" s="242"/>
      <c r="AN235" s="241"/>
      <c r="AO235" s="244"/>
      <c r="AQ235" s="242"/>
      <c r="AR235" s="241"/>
      <c r="AS235" s="244"/>
      <c r="AT235" s="33"/>
      <c r="AU235" s="242"/>
      <c r="AV235" s="241"/>
      <c r="AW235" s="244"/>
      <c r="AX235" s="33"/>
      <c r="AY235" s="242"/>
      <c r="AZ235" s="241"/>
      <c r="BA235" s="244"/>
      <c r="BB235" s="33"/>
      <c r="BC235" s="242"/>
      <c r="BD235" s="241"/>
      <c r="BE235" s="244"/>
      <c r="BF235" s="33"/>
      <c r="BG235" s="242"/>
      <c r="BH235" s="241"/>
      <c r="BI235" s="244"/>
      <c r="BJ235" s="33"/>
      <c r="BK235" s="242"/>
      <c r="BL235" s="241"/>
      <c r="BM235" s="244"/>
      <c r="BN235" s="33"/>
      <c r="BO235" s="242"/>
      <c r="BP235" s="241"/>
      <c r="BQ235" s="244"/>
      <c r="BR235" s="33"/>
      <c r="BS235" s="242"/>
      <c r="BT235" s="241"/>
      <c r="BU235" s="244"/>
      <c r="BV235" s="33"/>
      <c r="BW235" s="242"/>
      <c r="BX235" s="241"/>
      <c r="BY235" s="244"/>
      <c r="BZ235" s="33"/>
      <c r="CA235" s="242"/>
      <c r="CB235" s="241"/>
      <c r="CC235" s="244"/>
      <c r="CD235" s="243"/>
      <c r="CE235" s="243"/>
      <c r="CF235" s="243"/>
      <c r="CG235" s="243"/>
      <c r="CH235" s="243"/>
      <c r="CI235" s="243"/>
      <c r="CJ235" s="243"/>
      <c r="CK235" s="243"/>
      <c r="CL235" s="243"/>
      <c r="CM235" s="243"/>
      <c r="CN235" s="243"/>
      <c r="CO235" s="243"/>
      <c r="CP235" s="243"/>
      <c r="CQ235" s="243"/>
      <c r="CR235" s="243"/>
      <c r="CS235" s="243"/>
      <c r="CT235" s="243"/>
      <c r="CU235" s="243"/>
      <c r="CV235" s="243"/>
      <c r="CW235" s="243"/>
      <c r="CX235" s="243"/>
      <c r="CY235" s="243"/>
      <c r="CZ235" s="243"/>
      <c r="DA235" s="243"/>
      <c r="DB235" s="243"/>
      <c r="DC235" s="243"/>
      <c r="DD235" s="243"/>
      <c r="DE235" s="243"/>
      <c r="DF235" s="243"/>
      <c r="DG235" s="243"/>
      <c r="DH235" s="243"/>
      <c r="DI235" s="243"/>
      <c r="DJ235" s="243"/>
      <c r="DK235" s="243"/>
      <c r="DM235" s="242"/>
      <c r="DO235" s="243"/>
      <c r="DQ235" s="242"/>
      <c r="DS235" s="243"/>
      <c r="DU235" s="242"/>
      <c r="DW235" s="243"/>
      <c r="DY235" s="242"/>
      <c r="EA235" s="243"/>
    </row>
    <row r="236" spans="1:131">
      <c r="A236" s="20"/>
      <c r="B236" s="124" t="str">
        <f t="shared" si="214"/>
        <v/>
      </c>
      <c r="C236" s="235"/>
      <c r="D236" s="24">
        <f>'1% Wind'!$M$91</f>
        <v>4.2</v>
      </c>
      <c r="E236" s="90"/>
      <c r="F236" s="90"/>
      <c r="G236" s="79" t="e">
        <f ca="1">IF(I226=0.9743,$G235,MAX(G235/D235*D236,2))</f>
        <v>#N/A</v>
      </c>
      <c r="H236" s="121" t="e">
        <f t="shared" ca="1" si="215"/>
        <v>#N/A</v>
      </c>
      <c r="J236" s="33"/>
      <c r="K236" s="242">
        <f t="shared" si="216"/>
        <v>1</v>
      </c>
      <c r="L236" s="241" t="e">
        <f t="shared" ca="1" si="217"/>
        <v>#N/A</v>
      </c>
      <c r="M236" s="243" t="e">
        <f ca="1">IF(AND(INDEX(FlowCalConstA,MATCH(J226,FlowCalNumber,0),1,1)*L236^INDEX(FlowCalConstB,MATCH(J226,FlowCalNumber,0),1,1)&gt;INDEX(FlowCalLowSetting,MATCH(J226,FlowCalNumber,0),1,1), (INDEX(FlowCalConstA,MATCH(J226,FlowCalNumber,0),1,1)*L236^INDEX(FlowCalConstB,MATCH(J226,FlowCalNumber,0),1,1)&lt;INDEX(FlowCalHighSetting,MATCH(J226,FlowCalNumber,0),1,1))),INDEX(FlowCalConstA,MATCH(J226,FlowCalNumber,0),1,1)*L236^INDEX(FlowCalConstB,MATCH(J226,FlowCalNumber,0),1,1)," ")</f>
        <v>#N/A</v>
      </c>
      <c r="N236" s="33"/>
      <c r="O236" s="242">
        <f t="shared" si="218"/>
        <v>1</v>
      </c>
      <c r="P236" s="241" t="e">
        <f t="shared" ca="1" si="219"/>
        <v>#N/A</v>
      </c>
      <c r="Q236" s="243" t="e">
        <f ca="1">IF(AND(INDEX(FlowCalConstA,MATCH(N226,FlowCalNumber,0),1,1)*P236^INDEX(FlowCalConstB,MATCH(N226,FlowCalNumber,0),1,1)&gt;INDEX(FlowCalLowSetting,MATCH(N226,FlowCalNumber,0),1,1), (INDEX(FlowCalConstA,MATCH(N226,FlowCalNumber,0),1,1)*P236^INDEX(FlowCalConstB,MATCH(N226,FlowCalNumber,0),1,1)&lt;INDEX(FlowCalHighSetting,MATCH(N226,FlowCalNumber,0),1,1))),INDEX(FlowCalConstA,MATCH(N226,FlowCalNumber,0),1,1)*P236^INDEX(FlowCalConstB,MATCH(N226,FlowCalNumber,0),1,1)," ")</f>
        <v>#N/A</v>
      </c>
      <c r="R236" s="33"/>
      <c r="S236" s="242">
        <f t="shared" si="220"/>
        <v>1</v>
      </c>
      <c r="T236" s="241" t="e">
        <f t="shared" ca="1" si="221"/>
        <v>#N/A</v>
      </c>
      <c r="U236" s="244" t="e">
        <f ca="1">IF(AND(INDEX(FlowCalConstA,MATCH(R226,FlowCalNumber,0),1,1)*T236^INDEX(FlowCalConstB,MATCH(R226,FlowCalNumber,0),1,1)&gt;INDEX(FlowCalLowSetting,MATCH(R226,FlowCalNumber,0),1,1), (INDEX(FlowCalConstA,MATCH(R226,FlowCalNumber,0),1,1)*T236^INDEX(FlowCalConstB,MATCH(R226,FlowCalNumber,0),1,1)&lt;INDEX(FlowCalHighSetting,MATCH(R226,FlowCalNumber,0),1,1))),INDEX(FlowCalConstA,MATCH(R226,FlowCalNumber,0),1,1)*T236^INDEX(FlowCalConstB,MATCH(R226,FlowCalNumber,0),1,1)," ")</f>
        <v>#N/A</v>
      </c>
      <c r="V236" s="33"/>
      <c r="W236" s="242">
        <f t="shared" si="222"/>
        <v>0.1</v>
      </c>
      <c r="X236" s="241" t="e">
        <f t="shared" ca="1" si="223"/>
        <v>#N/A</v>
      </c>
      <c r="Y236" s="243" t="e">
        <f ca="1">IF(AND(INDEX(FlowCalConstA,MATCH(V226,FlowCalNumber,0),1,1)*X236^INDEX(FlowCalConstB,MATCH(V226,FlowCalNumber,0),1,1)&gt;INDEX(FlowCalLowSetting,MATCH(V226,FlowCalNumber,0),1,1), (INDEX(FlowCalConstA,MATCH(V226,FlowCalNumber,0),1,1)*X236^INDEX(FlowCalConstB,MATCH(V226,FlowCalNumber,0),1,1)&lt;INDEX(FlowCalHighSetting,MATCH(V226,FlowCalNumber,0),1,1))),INDEX(FlowCalConstA,MATCH(V226,FlowCalNumber,0),1,1)*X236^INDEX(FlowCalConstB,MATCH(V226,FlowCalNumber,0),1,1)," ")</f>
        <v>#N/A</v>
      </c>
      <c r="Z236" s="33"/>
      <c r="AA236" s="242">
        <f t="shared" si="224"/>
        <v>0.9</v>
      </c>
      <c r="AB236" s="241" t="e">
        <f t="shared" ca="1" si="225"/>
        <v>#N/A</v>
      </c>
      <c r="AC236" s="243" t="e">
        <f ca="1">IF(AND(INDEX(FlowCalConstA,MATCH(Z226,FlowCalNumber,0),1,1)*AB236^INDEX(FlowCalConstB,MATCH(Z226,FlowCalNumber,0),1,1)&gt;INDEX(FlowCalLowSetting,MATCH(Z226,FlowCalNumber,0),1,1), (INDEX(FlowCalConstA,MATCH(Z226,FlowCalNumber,0),1,1)*AB236^INDEX(FlowCalConstB,MATCH(Z226,FlowCalNumber,0),1,1)&lt;INDEX(FlowCalHighSetting,MATCH(Z226,FlowCalNumber,0),1,1))),INDEX(FlowCalConstA,MATCH(Z226,FlowCalNumber,0),1,1)*AB236^INDEX(FlowCalConstB,MATCH(Z226,FlowCalNumber,0),1,1)," ")</f>
        <v>#N/A</v>
      </c>
      <c r="AD236" s="33"/>
      <c r="AE236" s="242">
        <f t="shared" si="226"/>
        <v>0.1</v>
      </c>
      <c r="AF236" s="241" t="e">
        <f t="shared" ca="1" si="227"/>
        <v>#N/A</v>
      </c>
      <c r="AG236" s="243" t="e">
        <f ca="1">IF(AND(INDEX(FlowCalConstA,MATCH(AD226,FlowCalNumber,0),1,1)*AF236^INDEX(FlowCalConstB,MATCH(AD226,FlowCalNumber,0),1,1)&gt;INDEX(FlowCalLowSetting,MATCH(AD226,FlowCalNumber,0),1,1), (INDEX(FlowCalConstA,MATCH(AD226,FlowCalNumber,0),1,1)*AF236^INDEX(FlowCalConstB,MATCH(AD226,FlowCalNumber,0),1,1)&lt;INDEX(FlowCalHighSetting,MATCH(AD226,FlowCalNumber,0),1,1))),INDEX(FlowCalConstA,MATCH(AD226,FlowCalNumber,0),1,1)*AF236^INDEX(FlowCalConstB,MATCH(AD226,FlowCalNumber,0),1,1)," ")</f>
        <v>#N/A</v>
      </c>
      <c r="AH236" s="33"/>
      <c r="AI236" s="242">
        <f t="shared" si="228"/>
        <v>0.9</v>
      </c>
      <c r="AJ236" s="241" t="e">
        <f t="shared" ca="1" si="229"/>
        <v>#N/A</v>
      </c>
      <c r="AK236" s="243" t="e">
        <f ca="1">IF(AND(INDEX(FlowCalConstA,MATCH(AH226,FlowCalNumber,0),1,1)*AJ236^INDEX(FlowCalConstB,MATCH(AH226,FlowCalNumber,0),1,1)&gt;INDEX(FlowCalLowSetting,MATCH(AH226,FlowCalNumber,0),1,1), (INDEX(FlowCalConstA,MATCH(AH226,FlowCalNumber,0),1,1)*AJ236^INDEX(FlowCalConstB,MATCH(AH226,FlowCalNumber,0),1,1)&lt;INDEX(FlowCalHighSetting,MATCH(AH226,FlowCalNumber,0),1,1))),INDEX(FlowCalConstA,MATCH(AH226,FlowCalNumber,0),1,1)*AJ236^INDEX(FlowCalConstB,MATCH(AH226,FlowCalNumber,0),1,1)," ")</f>
        <v>#N/A</v>
      </c>
      <c r="AL236" s="33"/>
      <c r="AM236" s="242"/>
      <c r="AN236" s="241"/>
      <c r="AO236" s="244"/>
      <c r="AQ236" s="242"/>
      <c r="AR236" s="241"/>
      <c r="AS236" s="244"/>
      <c r="AT236" s="33"/>
      <c r="AU236" s="242"/>
      <c r="AV236" s="241"/>
      <c r="AW236" s="244"/>
      <c r="AX236" s="33"/>
      <c r="AY236" s="242"/>
      <c r="AZ236" s="241"/>
      <c r="BA236" s="244"/>
      <c r="BB236" s="33"/>
      <c r="BC236" s="242"/>
      <c r="BD236" s="241"/>
      <c r="BE236" s="244"/>
      <c r="BF236" s="33"/>
      <c r="BG236" s="242"/>
      <c r="BH236" s="241"/>
      <c r="BI236" s="244"/>
      <c r="BJ236" s="33"/>
      <c r="BK236" s="242"/>
      <c r="BL236" s="241"/>
      <c r="BM236" s="244"/>
      <c r="BN236" s="33"/>
      <c r="BO236" s="242"/>
      <c r="BP236" s="241"/>
      <c r="BQ236" s="244"/>
      <c r="BR236" s="33"/>
      <c r="BS236" s="242"/>
      <c r="BT236" s="241"/>
      <c r="BU236" s="244"/>
      <c r="BV236" s="33"/>
      <c r="BW236" s="242"/>
      <c r="BX236" s="241"/>
      <c r="BY236" s="244"/>
      <c r="BZ236" s="33"/>
      <c r="CA236" s="242"/>
      <c r="CB236" s="241"/>
      <c r="CC236" s="244"/>
      <c r="CD236" s="243"/>
      <c r="CE236" s="243"/>
      <c r="CF236" s="243"/>
      <c r="CG236" s="243"/>
      <c r="CH236" s="243"/>
      <c r="CI236" s="243"/>
      <c r="CJ236" s="243"/>
      <c r="CK236" s="243"/>
      <c r="CL236" s="243"/>
      <c r="CM236" s="243"/>
      <c r="CN236" s="243"/>
      <c r="CO236" s="243"/>
      <c r="CP236" s="243"/>
      <c r="CQ236" s="243"/>
      <c r="CR236" s="243"/>
      <c r="CS236" s="243"/>
      <c r="CT236" s="243"/>
      <c r="CU236" s="243"/>
      <c r="CV236" s="243"/>
      <c r="CW236" s="243"/>
      <c r="CX236" s="243"/>
      <c r="CY236" s="243"/>
      <c r="CZ236" s="243"/>
      <c r="DA236" s="243"/>
      <c r="DB236" s="243"/>
      <c r="DC236" s="243"/>
      <c r="DD236" s="243"/>
      <c r="DE236" s="243"/>
      <c r="DF236" s="243"/>
      <c r="DG236" s="243"/>
      <c r="DH236" s="243"/>
      <c r="DI236" s="243"/>
      <c r="DJ236" s="243"/>
      <c r="DK236" s="243"/>
      <c r="DM236" s="242"/>
      <c r="DO236" s="243"/>
      <c r="DQ236" s="242"/>
      <c r="DS236" s="243"/>
      <c r="DU236" s="242"/>
      <c r="DW236" s="243"/>
      <c r="DY236" s="242"/>
      <c r="EA236" s="243"/>
    </row>
    <row r="237" spans="1:131">
      <c r="A237" s="20"/>
      <c r="B237" s="124" t="str">
        <f t="shared" si="214"/>
        <v/>
      </c>
      <c r="C237" s="235"/>
      <c r="D237" s="24">
        <f>'1% Wind'!$M$92</f>
        <v>3.2</v>
      </c>
      <c r="E237" s="90"/>
      <c r="F237" s="90"/>
      <c r="G237" s="79" t="e">
        <f ca="1">IF(I226=0.9743,$G236,MAX(G236/D236*D237,2))</f>
        <v>#N/A</v>
      </c>
      <c r="H237" s="121" t="e">
        <f t="shared" ca="1" si="215"/>
        <v>#N/A</v>
      </c>
      <c r="J237" s="33"/>
      <c r="K237" s="242">
        <f t="shared" si="216"/>
        <v>1</v>
      </c>
      <c r="L237" s="241" t="e">
        <f t="shared" ca="1" si="217"/>
        <v>#N/A</v>
      </c>
      <c r="M237" s="243" t="e">
        <f ca="1">IF(AND(INDEX(FlowCalConstA,MATCH(J226,FlowCalNumber,0),1,1)*L237^INDEX(FlowCalConstB,MATCH(J226,FlowCalNumber,0),1,1)&gt;INDEX(FlowCalLowSetting,MATCH(J226,FlowCalNumber,0),1,1), (INDEX(FlowCalConstA,MATCH(J226,FlowCalNumber,0),1,1)*L237^INDEX(FlowCalConstB,MATCH(J226,FlowCalNumber,0),1,1)&lt;INDEX(FlowCalHighSetting,MATCH(J226,FlowCalNumber,0),1,1))),INDEX(FlowCalConstA,MATCH(J226,FlowCalNumber,0),1,1)*L237^INDEX(FlowCalConstB,MATCH(J226,FlowCalNumber,0),1,1)," ")</f>
        <v>#N/A</v>
      </c>
      <c r="N237" s="33"/>
      <c r="O237" s="242">
        <f t="shared" si="218"/>
        <v>1</v>
      </c>
      <c r="P237" s="241" t="e">
        <f t="shared" ca="1" si="219"/>
        <v>#N/A</v>
      </c>
      <c r="Q237" s="243" t="e">
        <f ca="1">IF(AND(INDEX(FlowCalConstA,MATCH(N226,FlowCalNumber,0),1,1)*P237^INDEX(FlowCalConstB,MATCH(N226,FlowCalNumber,0),1,1)&gt;INDEX(FlowCalLowSetting,MATCH(N226,FlowCalNumber,0),1,1), (INDEX(FlowCalConstA,MATCH(N226,FlowCalNumber,0),1,1)*P237^INDEX(FlowCalConstB,MATCH(N226,FlowCalNumber,0),1,1)&lt;INDEX(FlowCalHighSetting,MATCH(N226,FlowCalNumber,0),1,1))),INDEX(FlowCalConstA,MATCH(N226,FlowCalNumber,0),1,1)*P237^INDEX(FlowCalConstB,MATCH(N226,FlowCalNumber,0),1,1)," ")</f>
        <v>#N/A</v>
      </c>
      <c r="R237" s="33"/>
      <c r="S237" s="242">
        <f t="shared" si="220"/>
        <v>1</v>
      </c>
      <c r="T237" s="241" t="e">
        <f t="shared" ca="1" si="221"/>
        <v>#N/A</v>
      </c>
      <c r="U237" s="244" t="e">
        <f ca="1">IF(AND(INDEX(FlowCalConstA,MATCH(R226,FlowCalNumber,0),1,1)*T237^INDEX(FlowCalConstB,MATCH(R226,FlowCalNumber,0),1,1)&gt;INDEX(FlowCalLowSetting,MATCH(R226,FlowCalNumber,0),1,1), (INDEX(FlowCalConstA,MATCH(R226,FlowCalNumber,0),1,1)*T237^INDEX(FlowCalConstB,MATCH(R226,FlowCalNumber,0),1,1)&lt;INDEX(FlowCalHighSetting,MATCH(R226,FlowCalNumber,0),1,1))),INDEX(FlowCalConstA,MATCH(R226,FlowCalNumber,0),1,1)*T237^INDEX(FlowCalConstB,MATCH(R226,FlowCalNumber,0),1,1)," ")</f>
        <v>#N/A</v>
      </c>
      <c r="V237" s="33"/>
      <c r="W237" s="242">
        <f t="shared" si="222"/>
        <v>0.1</v>
      </c>
      <c r="X237" s="241" t="e">
        <f t="shared" ca="1" si="223"/>
        <v>#N/A</v>
      </c>
      <c r="Y237" s="243" t="e">
        <f ca="1">IF(AND(INDEX(FlowCalConstA,MATCH(V226,FlowCalNumber,0),1,1)*X237^INDEX(FlowCalConstB,MATCH(V226,FlowCalNumber,0),1,1)&gt;INDEX(FlowCalLowSetting,MATCH(V226,FlowCalNumber,0),1,1), (INDEX(FlowCalConstA,MATCH(V226,FlowCalNumber,0),1,1)*X237^INDEX(FlowCalConstB,MATCH(V226,FlowCalNumber,0),1,1)&lt;INDEX(FlowCalHighSetting,MATCH(V226,FlowCalNumber,0),1,1))),INDEX(FlowCalConstA,MATCH(V226,FlowCalNumber,0),1,1)*X237^INDEX(FlowCalConstB,MATCH(V226,FlowCalNumber,0),1,1)," ")</f>
        <v>#N/A</v>
      </c>
      <c r="Z237" s="33"/>
      <c r="AA237" s="242">
        <f t="shared" si="224"/>
        <v>0.9</v>
      </c>
      <c r="AB237" s="241" t="e">
        <f t="shared" ca="1" si="225"/>
        <v>#N/A</v>
      </c>
      <c r="AC237" s="243" t="e">
        <f ca="1">IF(AND(INDEX(FlowCalConstA,MATCH(Z226,FlowCalNumber,0),1,1)*AB237^INDEX(FlowCalConstB,MATCH(Z226,FlowCalNumber,0),1,1)&gt;INDEX(FlowCalLowSetting,MATCH(Z226,FlowCalNumber,0),1,1), (INDEX(FlowCalConstA,MATCH(Z226,FlowCalNumber,0),1,1)*AB237^INDEX(FlowCalConstB,MATCH(Z226,FlowCalNumber,0),1,1)&lt;INDEX(FlowCalHighSetting,MATCH(Z226,FlowCalNumber,0),1,1))),INDEX(FlowCalConstA,MATCH(Z226,FlowCalNumber,0),1,1)*AB237^INDEX(FlowCalConstB,MATCH(Z226,FlowCalNumber,0),1,1)," ")</f>
        <v>#N/A</v>
      </c>
      <c r="AD237" s="33"/>
      <c r="AE237" s="242">
        <f t="shared" si="226"/>
        <v>0.1</v>
      </c>
      <c r="AF237" s="241" t="e">
        <f t="shared" ca="1" si="227"/>
        <v>#N/A</v>
      </c>
      <c r="AG237" s="243" t="e">
        <f ca="1">IF(AND(INDEX(FlowCalConstA,MATCH(AD226,FlowCalNumber,0),1,1)*AF237^INDEX(FlowCalConstB,MATCH(AD226,FlowCalNumber,0),1,1)&gt;INDEX(FlowCalLowSetting,MATCH(AD226,FlowCalNumber,0),1,1), (INDEX(FlowCalConstA,MATCH(AD226,FlowCalNumber,0),1,1)*AF237^INDEX(FlowCalConstB,MATCH(AD226,FlowCalNumber,0),1,1)&lt;INDEX(FlowCalHighSetting,MATCH(AD226,FlowCalNumber,0),1,1))),INDEX(FlowCalConstA,MATCH(AD226,FlowCalNumber,0),1,1)*AF237^INDEX(FlowCalConstB,MATCH(AD226,FlowCalNumber,0),1,1)," ")</f>
        <v>#N/A</v>
      </c>
      <c r="AH237" s="33"/>
      <c r="AI237" s="242">
        <f t="shared" si="228"/>
        <v>0.9</v>
      </c>
      <c r="AJ237" s="241" t="e">
        <f t="shared" ca="1" si="229"/>
        <v>#N/A</v>
      </c>
      <c r="AK237" s="243" t="e">
        <f ca="1">IF(AND(INDEX(FlowCalConstA,MATCH(AH226,FlowCalNumber,0),1,1)*AJ237^INDEX(FlowCalConstB,MATCH(AH226,FlowCalNumber,0),1,1)&gt;INDEX(FlowCalLowSetting,MATCH(AH226,FlowCalNumber,0),1,1), (INDEX(FlowCalConstA,MATCH(AH226,FlowCalNumber,0),1,1)*AJ237^INDEX(FlowCalConstB,MATCH(AH226,FlowCalNumber,0),1,1)&lt;INDEX(FlowCalHighSetting,MATCH(AH226,FlowCalNumber,0),1,1))),INDEX(FlowCalConstA,MATCH(AH226,FlowCalNumber,0),1,1)*AJ237^INDEX(FlowCalConstB,MATCH(AH226,FlowCalNumber,0),1,1)," ")</f>
        <v>#N/A</v>
      </c>
      <c r="AL237" s="33"/>
      <c r="AM237" s="242"/>
      <c r="AN237" s="241"/>
      <c r="AO237" s="244"/>
      <c r="AQ237" s="242"/>
      <c r="AR237" s="241"/>
      <c r="AS237" s="244"/>
      <c r="AT237" s="33"/>
      <c r="AU237" s="242"/>
      <c r="AV237" s="241"/>
      <c r="AW237" s="244"/>
      <c r="AX237" s="33"/>
      <c r="AY237" s="242"/>
      <c r="AZ237" s="241"/>
      <c r="BA237" s="244"/>
      <c r="BB237" s="33"/>
      <c r="BC237" s="242"/>
      <c r="BD237" s="241"/>
      <c r="BE237" s="244"/>
      <c r="BF237" s="33"/>
      <c r="BG237" s="242"/>
      <c r="BH237" s="241"/>
      <c r="BI237" s="244"/>
      <c r="BJ237" s="33"/>
      <c r="BK237" s="242"/>
      <c r="BL237" s="241"/>
      <c r="BM237" s="244"/>
      <c r="BN237" s="33"/>
      <c r="BO237" s="242"/>
      <c r="BP237" s="241"/>
      <c r="BQ237" s="244"/>
      <c r="BR237" s="33"/>
      <c r="BS237" s="242"/>
      <c r="BT237" s="241"/>
      <c r="BU237" s="244"/>
      <c r="BV237" s="33"/>
      <c r="BW237" s="242"/>
      <c r="BX237" s="241"/>
      <c r="BY237" s="244"/>
      <c r="BZ237" s="33"/>
      <c r="CA237" s="242"/>
      <c r="CB237" s="241"/>
      <c r="CC237" s="244"/>
      <c r="CD237" s="243"/>
      <c r="CE237" s="243"/>
      <c r="CF237" s="243"/>
      <c r="CG237" s="243"/>
      <c r="CH237" s="243"/>
      <c r="CI237" s="243"/>
      <c r="CJ237" s="243"/>
      <c r="CK237" s="243"/>
      <c r="CL237" s="243"/>
      <c r="CM237" s="243"/>
      <c r="CN237" s="243"/>
      <c r="CO237" s="243"/>
      <c r="CP237" s="243"/>
      <c r="CQ237" s="243"/>
      <c r="CR237" s="243"/>
      <c r="CS237" s="243"/>
      <c r="CT237" s="243"/>
      <c r="CU237" s="243"/>
      <c r="CV237" s="243"/>
      <c r="CW237" s="243"/>
      <c r="CX237" s="243"/>
      <c r="CY237" s="243"/>
      <c r="CZ237" s="243"/>
      <c r="DA237" s="243"/>
      <c r="DB237" s="243"/>
      <c r="DC237" s="243"/>
      <c r="DD237" s="243"/>
      <c r="DE237" s="243"/>
      <c r="DF237" s="243"/>
      <c r="DG237" s="243"/>
      <c r="DH237" s="243"/>
      <c r="DI237" s="243"/>
      <c r="DJ237" s="243"/>
      <c r="DK237" s="243"/>
      <c r="DM237" s="242"/>
      <c r="DO237" s="243"/>
      <c r="DQ237" s="242"/>
      <c r="DS237" s="243"/>
      <c r="DU237" s="242"/>
      <c r="DW237" s="243"/>
      <c r="DY237" s="242"/>
      <c r="EA237" s="243"/>
    </row>
    <row r="238" spans="1:131">
      <c r="A238" s="20"/>
      <c r="B238" s="124" t="str">
        <f t="shared" si="214"/>
        <v/>
      </c>
      <c r="C238" s="235"/>
      <c r="D238" s="24">
        <f>'1% Wind'!$M$93</f>
        <v>2.4</v>
      </c>
      <c r="E238" s="90"/>
      <c r="F238" s="90"/>
      <c r="G238" s="79" t="e">
        <f ca="1">IF(I226=0.9743,$G237,MAX(G237/D237*D238,2))</f>
        <v>#N/A</v>
      </c>
      <c r="H238" s="121" t="e">
        <f t="shared" ca="1" si="215"/>
        <v>#N/A</v>
      </c>
      <c r="J238" s="33"/>
      <c r="K238" s="242">
        <f t="shared" si="216"/>
        <v>1</v>
      </c>
      <c r="L238" s="241" t="e">
        <f t="shared" ca="1" si="217"/>
        <v>#N/A</v>
      </c>
      <c r="M238" s="243" t="e">
        <f ca="1">IF(AND(INDEX(FlowCalConstA,MATCH(J226,FlowCalNumber,0),1,1)*L238^INDEX(FlowCalConstB,MATCH(J226,FlowCalNumber,0),1,1)&gt;INDEX(FlowCalLowSetting,MATCH(J226,FlowCalNumber,0),1,1), (INDEX(FlowCalConstA,MATCH(J226,FlowCalNumber,0),1,1)*L238^INDEX(FlowCalConstB,MATCH(J226,FlowCalNumber,0),1,1)&lt;INDEX(FlowCalHighSetting,MATCH(J226,FlowCalNumber,0),1,1))),INDEX(FlowCalConstA,MATCH(J226,FlowCalNumber,0),1,1)*L238^INDEX(FlowCalConstB,MATCH(J226,FlowCalNumber,0),1,1)," ")</f>
        <v>#N/A</v>
      </c>
      <c r="N238" s="33"/>
      <c r="O238" s="242">
        <f t="shared" si="218"/>
        <v>1</v>
      </c>
      <c r="P238" s="241" t="e">
        <f t="shared" ca="1" si="219"/>
        <v>#N/A</v>
      </c>
      <c r="Q238" s="243" t="e">
        <f ca="1">IF(AND(INDEX(FlowCalConstA,MATCH(N226,FlowCalNumber,0),1,1)*P238^INDEX(FlowCalConstB,MATCH(N226,FlowCalNumber,0),1,1)&gt;INDEX(FlowCalLowSetting,MATCH(N226,FlowCalNumber,0),1,1), (INDEX(FlowCalConstA,MATCH(N226,FlowCalNumber,0),1,1)*P238^INDEX(FlowCalConstB,MATCH(N226,FlowCalNumber,0),1,1)&lt;INDEX(FlowCalHighSetting,MATCH(N226,FlowCalNumber,0),1,1))),INDEX(FlowCalConstA,MATCH(N226,FlowCalNumber,0),1,1)*P238^INDEX(FlowCalConstB,MATCH(N226,FlowCalNumber,0),1,1)," ")</f>
        <v>#N/A</v>
      </c>
      <c r="R238" s="33"/>
      <c r="S238" s="242">
        <f t="shared" si="220"/>
        <v>1</v>
      </c>
      <c r="T238" s="241" t="e">
        <f t="shared" ca="1" si="221"/>
        <v>#N/A</v>
      </c>
      <c r="U238" s="244" t="e">
        <f ca="1">IF(AND(INDEX(FlowCalConstA,MATCH(R226,FlowCalNumber,0),1,1)*T238^INDEX(FlowCalConstB,MATCH(R226,FlowCalNumber,0),1,1)&gt;INDEX(FlowCalLowSetting,MATCH(R226,FlowCalNumber,0),1,1), (INDEX(FlowCalConstA,MATCH(R226,FlowCalNumber,0),1,1)*T238^INDEX(FlowCalConstB,MATCH(R226,FlowCalNumber,0),1,1)&lt;INDEX(FlowCalHighSetting,MATCH(R226,FlowCalNumber,0),1,1))),INDEX(FlowCalConstA,MATCH(R226,FlowCalNumber,0),1,1)*T238^INDEX(FlowCalConstB,MATCH(R226,FlowCalNumber,0),1,1)," ")</f>
        <v>#N/A</v>
      </c>
      <c r="V238" s="33"/>
      <c r="W238" s="242">
        <f t="shared" si="222"/>
        <v>0.1</v>
      </c>
      <c r="X238" s="241" t="e">
        <f t="shared" ca="1" si="223"/>
        <v>#N/A</v>
      </c>
      <c r="Y238" s="243" t="e">
        <f ca="1">IF(AND(INDEX(FlowCalConstA,MATCH(V226,FlowCalNumber,0),1,1)*X238^INDEX(FlowCalConstB,MATCH(V226,FlowCalNumber,0),1,1)&gt;INDEX(FlowCalLowSetting,MATCH(V226,FlowCalNumber,0),1,1), (INDEX(FlowCalConstA,MATCH(V226,FlowCalNumber,0),1,1)*X238^INDEX(FlowCalConstB,MATCH(V226,FlowCalNumber,0),1,1)&lt;INDEX(FlowCalHighSetting,MATCH(V226,FlowCalNumber,0),1,1))),INDEX(FlowCalConstA,MATCH(V226,FlowCalNumber,0),1,1)*X238^INDEX(FlowCalConstB,MATCH(V226,FlowCalNumber,0),1,1)," ")</f>
        <v>#N/A</v>
      </c>
      <c r="Z238" s="33"/>
      <c r="AA238" s="242">
        <f t="shared" si="224"/>
        <v>0.9</v>
      </c>
      <c r="AB238" s="241" t="e">
        <f t="shared" ca="1" si="225"/>
        <v>#N/A</v>
      </c>
      <c r="AC238" s="243" t="e">
        <f ca="1">IF(AND(INDEX(FlowCalConstA,MATCH(Z226,FlowCalNumber,0),1,1)*AB238^INDEX(FlowCalConstB,MATCH(Z226,FlowCalNumber,0),1,1)&gt;INDEX(FlowCalLowSetting,MATCH(Z226,FlowCalNumber,0),1,1), (INDEX(FlowCalConstA,MATCH(Z226,FlowCalNumber,0),1,1)*AB238^INDEX(FlowCalConstB,MATCH(Z226,FlowCalNumber,0),1,1)&lt;INDEX(FlowCalHighSetting,MATCH(Z226,FlowCalNumber,0),1,1))),INDEX(FlowCalConstA,MATCH(Z226,FlowCalNumber,0),1,1)*AB238^INDEX(FlowCalConstB,MATCH(Z226,FlowCalNumber,0),1,1)," ")</f>
        <v>#N/A</v>
      </c>
      <c r="AD238" s="33"/>
      <c r="AE238" s="242">
        <f t="shared" si="226"/>
        <v>0.1</v>
      </c>
      <c r="AF238" s="241" t="e">
        <f t="shared" ca="1" si="227"/>
        <v>#N/A</v>
      </c>
      <c r="AG238" s="243" t="e">
        <f ca="1">IF(AND(INDEX(FlowCalConstA,MATCH(AD226,FlowCalNumber,0),1,1)*AF238^INDEX(FlowCalConstB,MATCH(AD226,FlowCalNumber,0),1,1)&gt;INDEX(FlowCalLowSetting,MATCH(AD226,FlowCalNumber,0),1,1), (INDEX(FlowCalConstA,MATCH(AD226,FlowCalNumber,0),1,1)*AF238^INDEX(FlowCalConstB,MATCH(AD226,FlowCalNumber,0),1,1)&lt;INDEX(FlowCalHighSetting,MATCH(AD226,FlowCalNumber,0),1,1))),INDEX(FlowCalConstA,MATCH(AD226,FlowCalNumber,0),1,1)*AF238^INDEX(FlowCalConstB,MATCH(AD226,FlowCalNumber,0),1,1)," ")</f>
        <v>#N/A</v>
      </c>
      <c r="AH238" s="33"/>
      <c r="AI238" s="242">
        <f t="shared" si="228"/>
        <v>0.9</v>
      </c>
      <c r="AJ238" s="241" t="e">
        <f t="shared" ca="1" si="229"/>
        <v>#N/A</v>
      </c>
      <c r="AK238" s="243" t="e">
        <f ca="1">IF(AND(INDEX(FlowCalConstA,MATCH(AH226,FlowCalNumber,0),1,1)*AJ238^INDEX(FlowCalConstB,MATCH(AH226,FlowCalNumber,0),1,1)&gt;INDEX(FlowCalLowSetting,MATCH(AH226,FlowCalNumber,0),1,1), (INDEX(FlowCalConstA,MATCH(AH226,FlowCalNumber,0),1,1)*AJ238^INDEX(FlowCalConstB,MATCH(AH226,FlowCalNumber,0),1,1)&lt;INDEX(FlowCalHighSetting,MATCH(AH226,FlowCalNumber,0),1,1))),INDEX(FlowCalConstA,MATCH(AH226,FlowCalNumber,0),1,1)*AJ238^INDEX(FlowCalConstB,MATCH(AH226,FlowCalNumber,0),1,1)," ")</f>
        <v>#N/A</v>
      </c>
      <c r="AL238" s="33"/>
      <c r="AM238" s="242"/>
      <c r="AN238" s="241"/>
      <c r="AO238" s="244"/>
      <c r="AQ238" s="242"/>
      <c r="AR238" s="241"/>
      <c r="AS238" s="244"/>
      <c r="AT238" s="33"/>
      <c r="AU238" s="242"/>
      <c r="AV238" s="241"/>
      <c r="AW238" s="244"/>
      <c r="AX238" s="33"/>
      <c r="AY238" s="242"/>
      <c r="AZ238" s="241"/>
      <c r="BA238" s="244"/>
      <c r="BB238" s="33"/>
      <c r="BC238" s="242"/>
      <c r="BD238" s="241"/>
      <c r="BE238" s="244"/>
      <c r="BF238" s="33"/>
      <c r="BG238" s="242"/>
      <c r="BH238" s="241"/>
      <c r="BI238" s="244"/>
      <c r="BJ238" s="33"/>
      <c r="BK238" s="242"/>
      <c r="BL238" s="241"/>
      <c r="BM238" s="244"/>
      <c r="BN238" s="33"/>
      <c r="BO238" s="242"/>
      <c r="BP238" s="241"/>
      <c r="BQ238" s="244"/>
      <c r="BR238" s="33"/>
      <c r="BS238" s="242"/>
      <c r="BT238" s="241"/>
      <c r="BU238" s="244"/>
      <c r="BV238" s="33"/>
      <c r="BW238" s="242"/>
      <c r="BX238" s="241"/>
      <c r="BY238" s="244"/>
      <c r="BZ238" s="33"/>
      <c r="CA238" s="242"/>
      <c r="CB238" s="241"/>
      <c r="CC238" s="244"/>
      <c r="CD238" s="243"/>
      <c r="CE238" s="243"/>
      <c r="CF238" s="243"/>
      <c r="CG238" s="243"/>
      <c r="CH238" s="243"/>
      <c r="CI238" s="243"/>
      <c r="CJ238" s="243"/>
      <c r="CK238" s="243"/>
      <c r="CL238" s="243"/>
      <c r="CM238" s="243"/>
      <c r="CN238" s="243"/>
      <c r="CO238" s="243"/>
      <c r="CP238" s="243"/>
      <c r="CQ238" s="243"/>
      <c r="CR238" s="243"/>
      <c r="CS238" s="243"/>
      <c r="CT238" s="243"/>
      <c r="CU238" s="243"/>
      <c r="CV238" s="243"/>
      <c r="CW238" s="243"/>
      <c r="CX238" s="243"/>
      <c r="CY238" s="243"/>
      <c r="CZ238" s="243"/>
      <c r="DA238" s="243"/>
      <c r="DB238" s="243"/>
      <c r="DC238" s="243"/>
      <c r="DD238" s="243"/>
      <c r="DE238" s="243"/>
      <c r="DF238" s="243"/>
      <c r="DG238" s="243"/>
      <c r="DH238" s="243"/>
      <c r="DI238" s="243"/>
      <c r="DJ238" s="243"/>
      <c r="DK238" s="243"/>
      <c r="DM238" s="242"/>
      <c r="DO238" s="243"/>
      <c r="DQ238" s="242"/>
      <c r="DS238" s="243"/>
      <c r="DU238" s="242"/>
      <c r="DW238" s="243"/>
      <c r="DY238" s="242"/>
      <c r="EA238" s="243"/>
    </row>
    <row r="239" spans="1:131">
      <c r="A239" s="20"/>
      <c r="B239" s="124" t="str">
        <f t="shared" si="214"/>
        <v/>
      </c>
      <c r="C239" s="235"/>
      <c r="D239" s="24">
        <f>'1% Wind'!$M$94</f>
        <v>1.8</v>
      </c>
      <c r="E239" s="90"/>
      <c r="F239" s="90"/>
      <c r="G239" s="79" t="e">
        <f ca="1">IF(I226=0.9743,$G238,MAX(G238/D238*D239,2))</f>
        <v>#N/A</v>
      </c>
      <c r="H239" s="121" t="e">
        <f t="shared" ca="1" si="215"/>
        <v>#N/A</v>
      </c>
      <c r="J239" s="33"/>
      <c r="K239" s="242">
        <f t="shared" si="216"/>
        <v>1</v>
      </c>
      <c r="L239" s="241" t="e">
        <f t="shared" ca="1" si="217"/>
        <v>#N/A</v>
      </c>
      <c r="M239" s="243" t="e">
        <f ca="1">IF(AND(INDEX(FlowCalConstA,MATCH(J226,FlowCalNumber,0),1,1)*L239^INDEX(FlowCalConstB,MATCH(J226,FlowCalNumber,0),1,1)&gt;INDEX(FlowCalLowSetting,MATCH(J226,FlowCalNumber,0),1,1), (INDEX(FlowCalConstA,MATCH(J226,FlowCalNumber,0),1,1)*L239^INDEX(FlowCalConstB,MATCH(J226,FlowCalNumber,0),1,1)&lt;INDEX(FlowCalHighSetting,MATCH(J226,FlowCalNumber,0),1,1))),INDEX(FlowCalConstA,MATCH(J226,FlowCalNumber,0),1,1)*L239^INDEX(FlowCalConstB,MATCH(J226,FlowCalNumber,0),1,1)," ")</f>
        <v>#N/A</v>
      </c>
      <c r="N239" s="33"/>
      <c r="O239" s="242">
        <f t="shared" si="218"/>
        <v>1</v>
      </c>
      <c r="P239" s="241" t="e">
        <f t="shared" ca="1" si="219"/>
        <v>#N/A</v>
      </c>
      <c r="Q239" s="243" t="e">
        <f ca="1">IF(AND(INDEX(FlowCalConstA,MATCH(N226,FlowCalNumber,0),1,1)*P239^INDEX(FlowCalConstB,MATCH(N226,FlowCalNumber,0),1,1)&gt;INDEX(FlowCalLowSetting,MATCH(N226,FlowCalNumber,0),1,1), (INDEX(FlowCalConstA,MATCH(N226,FlowCalNumber,0),1,1)*P239^INDEX(FlowCalConstB,MATCH(N226,FlowCalNumber,0),1,1)&lt;INDEX(FlowCalHighSetting,MATCH(N226,FlowCalNumber,0),1,1))),INDEX(FlowCalConstA,MATCH(N226,FlowCalNumber,0),1,1)*P239^INDEX(FlowCalConstB,MATCH(N226,FlowCalNumber,0),1,1)," ")</f>
        <v>#N/A</v>
      </c>
      <c r="R239" s="33"/>
      <c r="S239" s="242">
        <f t="shared" si="220"/>
        <v>1</v>
      </c>
      <c r="T239" s="241" t="e">
        <f t="shared" ca="1" si="221"/>
        <v>#N/A</v>
      </c>
      <c r="U239" s="244" t="e">
        <f ca="1">IF(AND(INDEX(FlowCalConstA,MATCH(R226,FlowCalNumber,0),1,1)*T239^INDEX(FlowCalConstB,MATCH(R226,FlowCalNumber,0),1,1)&gt;INDEX(FlowCalLowSetting,MATCH(R226,FlowCalNumber,0),1,1), (INDEX(FlowCalConstA,MATCH(R226,FlowCalNumber,0),1,1)*T239^INDEX(FlowCalConstB,MATCH(R226,FlowCalNumber,0),1,1)&lt;INDEX(FlowCalHighSetting,MATCH(R226,FlowCalNumber,0),1,1))),INDEX(FlowCalConstA,MATCH(R226,FlowCalNumber,0),1,1)*T239^INDEX(FlowCalConstB,MATCH(R226,FlowCalNumber,0),1,1)," ")</f>
        <v>#N/A</v>
      </c>
      <c r="V239" s="33"/>
      <c r="W239" s="242">
        <f t="shared" si="222"/>
        <v>0.1</v>
      </c>
      <c r="X239" s="241" t="e">
        <f t="shared" ca="1" si="223"/>
        <v>#N/A</v>
      </c>
      <c r="Y239" s="243" t="e">
        <f ca="1">IF(AND(INDEX(FlowCalConstA,MATCH(V226,FlowCalNumber,0),1,1)*X239^INDEX(FlowCalConstB,MATCH(V226,FlowCalNumber,0),1,1)&gt;INDEX(FlowCalLowSetting,MATCH(V226,FlowCalNumber,0),1,1), (INDEX(FlowCalConstA,MATCH(V226,FlowCalNumber,0),1,1)*X239^INDEX(FlowCalConstB,MATCH(V226,FlowCalNumber,0),1,1)&lt;INDEX(FlowCalHighSetting,MATCH(V226,FlowCalNumber,0),1,1))),INDEX(FlowCalConstA,MATCH(V226,FlowCalNumber,0),1,1)*X239^INDEX(FlowCalConstB,MATCH(V226,FlowCalNumber,0),1,1)," ")</f>
        <v>#N/A</v>
      </c>
      <c r="Z239" s="33"/>
      <c r="AA239" s="242">
        <f t="shared" si="224"/>
        <v>0.9</v>
      </c>
      <c r="AB239" s="241" t="e">
        <f t="shared" ca="1" si="225"/>
        <v>#N/A</v>
      </c>
      <c r="AC239" s="243" t="e">
        <f ca="1">IF(AND(INDEX(FlowCalConstA,MATCH(Z226,FlowCalNumber,0),1,1)*AB239^INDEX(FlowCalConstB,MATCH(Z226,FlowCalNumber,0),1,1)&gt;INDEX(FlowCalLowSetting,MATCH(Z226,FlowCalNumber,0),1,1), (INDEX(FlowCalConstA,MATCH(Z226,FlowCalNumber,0),1,1)*AB239^INDEX(FlowCalConstB,MATCH(Z226,FlowCalNumber,0),1,1)&lt;INDEX(FlowCalHighSetting,MATCH(Z226,FlowCalNumber,0),1,1))),INDEX(FlowCalConstA,MATCH(Z226,FlowCalNumber,0),1,1)*AB239^INDEX(FlowCalConstB,MATCH(Z226,FlowCalNumber,0),1,1)," ")</f>
        <v>#N/A</v>
      </c>
      <c r="AD239" s="33"/>
      <c r="AE239" s="242">
        <f t="shared" si="226"/>
        <v>0.1</v>
      </c>
      <c r="AF239" s="241" t="e">
        <f t="shared" ca="1" si="227"/>
        <v>#N/A</v>
      </c>
      <c r="AG239" s="243" t="e">
        <f ca="1">IF(AND(INDEX(FlowCalConstA,MATCH(AD226,FlowCalNumber,0),1,1)*AF239^INDEX(FlowCalConstB,MATCH(AD226,FlowCalNumber,0),1,1)&gt;INDEX(FlowCalLowSetting,MATCH(AD226,FlowCalNumber,0),1,1), (INDEX(FlowCalConstA,MATCH(AD226,FlowCalNumber,0),1,1)*AF239^INDEX(FlowCalConstB,MATCH(AD226,FlowCalNumber,0),1,1)&lt;INDEX(FlowCalHighSetting,MATCH(AD226,FlowCalNumber,0),1,1))),INDEX(FlowCalConstA,MATCH(AD226,FlowCalNumber,0),1,1)*AF239^INDEX(FlowCalConstB,MATCH(AD226,FlowCalNumber,0),1,1)," ")</f>
        <v>#N/A</v>
      </c>
      <c r="AH239" s="33"/>
      <c r="AI239" s="242">
        <f t="shared" si="228"/>
        <v>0.9</v>
      </c>
      <c r="AJ239" s="241" t="e">
        <f t="shared" ca="1" si="229"/>
        <v>#N/A</v>
      </c>
      <c r="AK239" s="243" t="e">
        <f ca="1">IF(AND(INDEX(FlowCalConstA,MATCH(AH226,FlowCalNumber,0),1,1)*AJ239^INDEX(FlowCalConstB,MATCH(AH226,FlowCalNumber,0),1,1)&gt;INDEX(FlowCalLowSetting,MATCH(AH226,FlowCalNumber,0),1,1), (INDEX(FlowCalConstA,MATCH(AH226,FlowCalNumber,0),1,1)*AJ239^INDEX(FlowCalConstB,MATCH(AH226,FlowCalNumber,0),1,1)&lt;INDEX(FlowCalHighSetting,MATCH(AH226,FlowCalNumber,0),1,1))),INDEX(FlowCalConstA,MATCH(AH226,FlowCalNumber,0),1,1)*AJ239^INDEX(FlowCalConstB,MATCH(AH226,FlowCalNumber,0),1,1)," ")</f>
        <v>#N/A</v>
      </c>
      <c r="AL239" s="33"/>
      <c r="AM239" s="242"/>
      <c r="AN239" s="241"/>
      <c r="AO239" s="244"/>
      <c r="AQ239" s="242"/>
      <c r="AR239" s="241"/>
      <c r="AS239" s="244"/>
      <c r="AT239" s="33"/>
      <c r="AU239" s="242"/>
      <c r="AV239" s="241"/>
      <c r="AW239" s="244"/>
      <c r="AX239" s="33"/>
      <c r="AY239" s="242"/>
      <c r="AZ239" s="241"/>
      <c r="BA239" s="244"/>
      <c r="BB239" s="33"/>
      <c r="BC239" s="242"/>
      <c r="BD239" s="241"/>
      <c r="BE239" s="244"/>
      <c r="BF239" s="33"/>
      <c r="BG239" s="242"/>
      <c r="BH239" s="241"/>
      <c r="BI239" s="244"/>
      <c r="BJ239" s="33"/>
      <c r="BK239" s="242"/>
      <c r="BL239" s="241"/>
      <c r="BM239" s="244"/>
      <c r="BN239" s="33"/>
      <c r="BO239" s="242"/>
      <c r="BP239" s="241"/>
      <c r="BQ239" s="244"/>
      <c r="BR239" s="33"/>
      <c r="BS239" s="242"/>
      <c r="BT239" s="241"/>
      <c r="BU239" s="244"/>
      <c r="BV239" s="33"/>
      <c r="BW239" s="242"/>
      <c r="BX239" s="241"/>
      <c r="BY239" s="244"/>
      <c r="BZ239" s="33"/>
      <c r="CA239" s="242"/>
      <c r="CB239" s="241"/>
      <c r="CC239" s="244"/>
      <c r="CD239" s="243"/>
      <c r="CE239" s="243"/>
      <c r="CF239" s="243"/>
      <c r="CG239" s="243"/>
      <c r="CH239" s="243"/>
      <c r="CI239" s="243"/>
      <c r="CJ239" s="243"/>
      <c r="CK239" s="243"/>
      <c r="CL239" s="243"/>
      <c r="CM239" s="243"/>
      <c r="CN239" s="243"/>
      <c r="CO239" s="243"/>
      <c r="CP239" s="243"/>
      <c r="CQ239" s="243"/>
      <c r="CR239" s="243"/>
      <c r="CS239" s="243"/>
      <c r="CT239" s="243"/>
      <c r="CU239" s="243"/>
      <c r="CV239" s="243"/>
      <c r="CW239" s="243"/>
      <c r="CX239" s="243"/>
      <c r="CY239" s="243"/>
      <c r="CZ239" s="243"/>
      <c r="DA239" s="243"/>
      <c r="DB239" s="243"/>
      <c r="DC239" s="243"/>
      <c r="DD239" s="243"/>
      <c r="DE239" s="243"/>
      <c r="DF239" s="243"/>
      <c r="DG239" s="243"/>
      <c r="DH239" s="243"/>
      <c r="DI239" s="243"/>
      <c r="DJ239" s="243"/>
      <c r="DK239" s="243"/>
      <c r="DM239" s="242"/>
      <c r="DO239" s="243"/>
      <c r="DQ239" s="242"/>
      <c r="DS239" s="243"/>
      <c r="DU239" s="242"/>
      <c r="DW239" s="243"/>
      <c r="DY239" s="242"/>
      <c r="EA239" s="243"/>
    </row>
    <row r="240" spans="1:131">
      <c r="A240" s="20"/>
      <c r="B240" s="124" t="str">
        <f t="shared" si="214"/>
        <v/>
      </c>
      <c r="C240" s="235"/>
      <c r="D240" s="24">
        <f>'1% Wind'!$M$95</f>
        <v>1.3</v>
      </c>
      <c r="E240" s="90"/>
      <c r="F240" s="90"/>
      <c r="G240" s="79" t="e">
        <f ca="1">IF(I226=0.9743,$G239,MAX(G239/D239*D240,2))</f>
        <v>#N/A</v>
      </c>
      <c r="H240" s="121" t="e">
        <f t="shared" ca="1" si="215"/>
        <v>#N/A</v>
      </c>
      <c r="J240" s="33"/>
      <c r="K240" s="242">
        <f t="shared" si="216"/>
        <v>1</v>
      </c>
      <c r="L240" s="241" t="e">
        <f t="shared" ca="1" si="217"/>
        <v>#N/A</v>
      </c>
      <c r="M240" s="243" t="e">
        <f ca="1">IF(AND(INDEX(FlowCalConstA,MATCH(J226,FlowCalNumber,0),1,1)*L240^INDEX(FlowCalConstB,MATCH(J226,FlowCalNumber,0),1,1)&gt;INDEX(FlowCalLowSetting,MATCH(J226,FlowCalNumber,0),1,1), (INDEX(FlowCalConstA,MATCH(J226,FlowCalNumber,0),1,1)*L240^INDEX(FlowCalConstB,MATCH(J226,FlowCalNumber,0),1,1)&lt;INDEX(FlowCalHighSetting,MATCH(J226,FlowCalNumber,0),1,1))),INDEX(FlowCalConstA,MATCH(J226,FlowCalNumber,0),1,1)*L240^INDEX(FlowCalConstB,MATCH(J226,FlowCalNumber,0),1,1)," ")</f>
        <v>#N/A</v>
      </c>
      <c r="N240" s="33"/>
      <c r="O240" s="242">
        <f t="shared" si="218"/>
        <v>1</v>
      </c>
      <c r="P240" s="241" t="e">
        <f t="shared" ca="1" si="219"/>
        <v>#N/A</v>
      </c>
      <c r="Q240" s="243" t="e">
        <f ca="1">IF(AND(INDEX(FlowCalConstA,MATCH(N226,FlowCalNumber,0),1,1)*P240^INDEX(FlowCalConstB,MATCH(N226,FlowCalNumber,0),1,1)&gt;INDEX(FlowCalLowSetting,MATCH(N226,FlowCalNumber,0),1,1), (INDEX(FlowCalConstA,MATCH(N226,FlowCalNumber,0),1,1)*P240^INDEX(FlowCalConstB,MATCH(N226,FlowCalNumber,0),1,1)&lt;INDEX(FlowCalHighSetting,MATCH(N226,FlowCalNumber,0),1,1))),INDEX(FlowCalConstA,MATCH(N226,FlowCalNumber,0),1,1)*P240^INDEX(FlowCalConstB,MATCH(N226,FlowCalNumber,0),1,1)," ")</f>
        <v>#N/A</v>
      </c>
      <c r="R240" s="33"/>
      <c r="S240" s="242">
        <f t="shared" si="220"/>
        <v>1</v>
      </c>
      <c r="T240" s="241" t="e">
        <f t="shared" ca="1" si="221"/>
        <v>#N/A</v>
      </c>
      <c r="U240" s="244" t="e">
        <f ca="1">IF(AND(INDEX(FlowCalConstA,MATCH(R226,FlowCalNumber,0),1,1)*T240^INDEX(FlowCalConstB,MATCH(R226,FlowCalNumber,0),1,1)&gt;INDEX(FlowCalLowSetting,MATCH(R226,FlowCalNumber,0),1,1), (INDEX(FlowCalConstA,MATCH(R226,FlowCalNumber,0),1,1)*T240^INDEX(FlowCalConstB,MATCH(R226,FlowCalNumber,0),1,1)&lt;INDEX(FlowCalHighSetting,MATCH(R226,FlowCalNumber,0),1,1))),INDEX(FlowCalConstA,MATCH(R226,FlowCalNumber,0),1,1)*T240^INDEX(FlowCalConstB,MATCH(R226,FlowCalNumber,0),1,1)," ")</f>
        <v>#N/A</v>
      </c>
      <c r="V240" s="33"/>
      <c r="W240" s="242">
        <f t="shared" si="222"/>
        <v>0.1</v>
      </c>
      <c r="X240" s="241" t="e">
        <f t="shared" ca="1" si="223"/>
        <v>#N/A</v>
      </c>
      <c r="Y240" s="243" t="e">
        <f ca="1">IF(AND(INDEX(FlowCalConstA,MATCH(V226,FlowCalNumber,0),1,1)*X240^INDEX(FlowCalConstB,MATCH(V226,FlowCalNumber,0),1,1)&gt;INDEX(FlowCalLowSetting,MATCH(V226,FlowCalNumber,0),1,1), (INDEX(FlowCalConstA,MATCH(V226,FlowCalNumber,0),1,1)*X240^INDEX(FlowCalConstB,MATCH(V226,FlowCalNumber,0),1,1)&lt;INDEX(FlowCalHighSetting,MATCH(V226,FlowCalNumber,0),1,1))),INDEX(FlowCalConstA,MATCH(V226,FlowCalNumber,0),1,1)*X240^INDEX(FlowCalConstB,MATCH(V226,FlowCalNumber,0),1,1)," ")</f>
        <v>#N/A</v>
      </c>
      <c r="Z240" s="33"/>
      <c r="AA240" s="242">
        <f t="shared" si="224"/>
        <v>0.9</v>
      </c>
      <c r="AB240" s="241" t="e">
        <f t="shared" ca="1" si="225"/>
        <v>#N/A</v>
      </c>
      <c r="AC240" s="243" t="e">
        <f ca="1">IF(AND(INDEX(FlowCalConstA,MATCH(Z226,FlowCalNumber,0),1,1)*AB240^INDEX(FlowCalConstB,MATCH(Z226,FlowCalNumber,0),1,1)&gt;INDEX(FlowCalLowSetting,MATCH(Z226,FlowCalNumber,0),1,1), (INDEX(FlowCalConstA,MATCH(Z226,FlowCalNumber,0),1,1)*AB240^INDEX(FlowCalConstB,MATCH(Z226,FlowCalNumber,0),1,1)&lt;INDEX(FlowCalHighSetting,MATCH(Z226,FlowCalNumber,0),1,1))),INDEX(FlowCalConstA,MATCH(Z226,FlowCalNumber,0),1,1)*AB240^INDEX(FlowCalConstB,MATCH(Z226,FlowCalNumber,0),1,1)," ")</f>
        <v>#N/A</v>
      </c>
      <c r="AD240" s="33"/>
      <c r="AE240" s="242">
        <f t="shared" si="226"/>
        <v>0.1</v>
      </c>
      <c r="AF240" s="241" t="e">
        <f t="shared" ca="1" si="227"/>
        <v>#N/A</v>
      </c>
      <c r="AG240" s="243" t="e">
        <f ca="1">IF(AND(INDEX(FlowCalConstA,MATCH(AD226,FlowCalNumber,0),1,1)*AF240^INDEX(FlowCalConstB,MATCH(AD226,FlowCalNumber,0),1,1)&gt;INDEX(FlowCalLowSetting,MATCH(AD226,FlowCalNumber,0),1,1), (INDEX(FlowCalConstA,MATCH(AD226,FlowCalNumber,0),1,1)*AF240^INDEX(FlowCalConstB,MATCH(AD226,FlowCalNumber,0),1,1)&lt;INDEX(FlowCalHighSetting,MATCH(AD226,FlowCalNumber,0),1,1))),INDEX(FlowCalConstA,MATCH(AD226,FlowCalNumber,0),1,1)*AF240^INDEX(FlowCalConstB,MATCH(AD226,FlowCalNumber,0),1,1)," ")</f>
        <v>#N/A</v>
      </c>
      <c r="AH240" s="33"/>
      <c r="AI240" s="242">
        <f t="shared" si="228"/>
        <v>0.9</v>
      </c>
      <c r="AJ240" s="241" t="e">
        <f t="shared" ca="1" si="229"/>
        <v>#N/A</v>
      </c>
      <c r="AK240" s="243" t="e">
        <f ca="1">IF(AND(INDEX(FlowCalConstA,MATCH(AH226,FlowCalNumber,0),1,1)*AJ240^INDEX(FlowCalConstB,MATCH(AH226,FlowCalNumber,0),1,1)&gt;INDEX(FlowCalLowSetting,MATCH(AH226,FlowCalNumber,0),1,1), (INDEX(FlowCalConstA,MATCH(AH226,FlowCalNumber,0),1,1)*AJ240^INDEX(FlowCalConstB,MATCH(AH226,FlowCalNumber,0),1,1)&lt;INDEX(FlowCalHighSetting,MATCH(AH226,FlowCalNumber,0),1,1))),INDEX(FlowCalConstA,MATCH(AH226,FlowCalNumber,0),1,1)*AJ240^INDEX(FlowCalConstB,MATCH(AH226,FlowCalNumber,0),1,1)," ")</f>
        <v>#N/A</v>
      </c>
      <c r="AL240" s="33"/>
      <c r="AM240" s="242"/>
      <c r="AN240" s="241"/>
      <c r="AO240" s="244"/>
      <c r="AQ240" s="242"/>
      <c r="AR240" s="241"/>
      <c r="AS240" s="244"/>
      <c r="AT240" s="33"/>
      <c r="AU240" s="242"/>
      <c r="AV240" s="241"/>
      <c r="AW240" s="244"/>
      <c r="AX240" s="33"/>
      <c r="AY240" s="242"/>
      <c r="AZ240" s="241"/>
      <c r="BA240" s="244"/>
      <c r="BB240" s="33"/>
      <c r="BC240" s="242"/>
      <c r="BD240" s="241"/>
      <c r="BE240" s="244"/>
      <c r="BF240" s="33"/>
      <c r="BG240" s="242"/>
      <c r="BH240" s="241"/>
      <c r="BI240" s="244"/>
      <c r="BJ240" s="33"/>
      <c r="BK240" s="242"/>
      <c r="BL240" s="241"/>
      <c r="BM240" s="244"/>
      <c r="BN240" s="33"/>
      <c r="BO240" s="242"/>
      <c r="BP240" s="241"/>
      <c r="BQ240" s="244"/>
      <c r="BR240" s="33"/>
      <c r="BS240" s="242"/>
      <c r="BT240" s="241"/>
      <c r="BU240" s="244"/>
      <c r="BV240" s="33"/>
      <c r="BW240" s="242"/>
      <c r="BX240" s="241"/>
      <c r="BY240" s="244"/>
      <c r="BZ240" s="33"/>
      <c r="CA240" s="242"/>
      <c r="CB240" s="241"/>
      <c r="CC240" s="244"/>
      <c r="CD240" s="243"/>
      <c r="CE240" s="243"/>
      <c r="CF240" s="243"/>
      <c r="CG240" s="243"/>
      <c r="CH240" s="243"/>
      <c r="CI240" s="243"/>
      <c r="CJ240" s="243"/>
      <c r="CK240" s="243"/>
      <c r="CL240" s="243"/>
      <c r="CM240" s="243"/>
      <c r="CN240" s="243"/>
      <c r="CO240" s="243"/>
      <c r="CP240" s="243"/>
      <c r="CQ240" s="243"/>
      <c r="CR240" s="243"/>
      <c r="CS240" s="243"/>
      <c r="CT240" s="243"/>
      <c r="CU240" s="243"/>
      <c r="CV240" s="243"/>
      <c r="CW240" s="243"/>
      <c r="CX240" s="243"/>
      <c r="CY240" s="243"/>
      <c r="CZ240" s="243"/>
      <c r="DA240" s="243"/>
      <c r="DB240" s="243"/>
      <c r="DC240" s="243"/>
      <c r="DD240" s="243"/>
      <c r="DE240" s="243"/>
      <c r="DF240" s="243"/>
      <c r="DG240" s="243"/>
      <c r="DH240" s="243"/>
      <c r="DI240" s="243"/>
      <c r="DJ240" s="243"/>
      <c r="DK240" s="243"/>
      <c r="DM240" s="242"/>
      <c r="DO240" s="243"/>
      <c r="DQ240" s="242"/>
      <c r="DS240" s="243"/>
      <c r="DU240" s="242"/>
      <c r="DW240" s="243"/>
      <c r="DY240" s="242"/>
      <c r="EA240" s="243"/>
    </row>
    <row r="241" spans="1:131">
      <c r="A241" s="20"/>
      <c r="B241" s="124" t="str">
        <f t="shared" si="214"/>
        <v/>
      </c>
      <c r="C241" s="235"/>
      <c r="D241" s="24">
        <f>'1% Wind'!$M$96</f>
        <v>1</v>
      </c>
      <c r="E241" s="90"/>
      <c r="F241" s="90"/>
      <c r="G241" s="79" t="e">
        <f ca="1">IF(I226=0.9743,$G240,MAX(G240/D240*D241,2))</f>
        <v>#N/A</v>
      </c>
      <c r="H241" s="121" t="e">
        <f t="shared" ca="1" si="215"/>
        <v>#N/A</v>
      </c>
      <c r="J241" s="33"/>
      <c r="K241" s="242">
        <f t="shared" si="216"/>
        <v>1</v>
      </c>
      <c r="L241" s="241" t="e">
        <f t="shared" ca="1" si="217"/>
        <v>#N/A</v>
      </c>
      <c r="M241" s="243" t="e">
        <f ca="1">IF(AND(INDEX(FlowCalConstA,MATCH(J226,FlowCalNumber,0),1,1)*L241^INDEX(FlowCalConstB,MATCH(J226,FlowCalNumber,0),1,1)&gt;INDEX(FlowCalLowSetting,MATCH(J226,FlowCalNumber,0),1,1), (INDEX(FlowCalConstA,MATCH(J226,FlowCalNumber,0),1,1)*L241^INDEX(FlowCalConstB,MATCH(J226,FlowCalNumber,0),1,1)&lt;INDEX(FlowCalHighSetting,MATCH(J226,FlowCalNumber,0),1,1))),INDEX(FlowCalConstA,MATCH(J226,FlowCalNumber,0),1,1)*L241^INDEX(FlowCalConstB,MATCH(J226,FlowCalNumber,0),1,1)," ")</f>
        <v>#N/A</v>
      </c>
      <c r="N241" s="33"/>
      <c r="O241" s="242">
        <f t="shared" si="218"/>
        <v>1</v>
      </c>
      <c r="P241" s="241" t="e">
        <f t="shared" ca="1" si="219"/>
        <v>#N/A</v>
      </c>
      <c r="Q241" s="243" t="e">
        <f ca="1">IF(AND(INDEX(FlowCalConstA,MATCH(N226,FlowCalNumber,0),1,1)*P241^INDEX(FlowCalConstB,MATCH(N226,FlowCalNumber,0),1,1)&gt;INDEX(FlowCalLowSetting,MATCH(N226,FlowCalNumber,0),1,1), (INDEX(FlowCalConstA,MATCH(N226,FlowCalNumber,0),1,1)*P241^INDEX(FlowCalConstB,MATCH(N226,FlowCalNumber,0),1,1)&lt;INDEX(FlowCalHighSetting,MATCH(N226,FlowCalNumber,0),1,1))),INDEX(FlowCalConstA,MATCH(N226,FlowCalNumber,0),1,1)*P241^INDEX(FlowCalConstB,MATCH(N226,FlowCalNumber,0),1,1)," ")</f>
        <v>#N/A</v>
      </c>
      <c r="R241" s="33"/>
      <c r="S241" s="242">
        <f t="shared" si="220"/>
        <v>1</v>
      </c>
      <c r="T241" s="241" t="e">
        <f t="shared" ca="1" si="221"/>
        <v>#N/A</v>
      </c>
      <c r="U241" s="244" t="e">
        <f ca="1">IF(AND(INDEX(FlowCalConstA,MATCH(R226,FlowCalNumber,0),1,1)*T241^INDEX(FlowCalConstB,MATCH(R226,FlowCalNumber,0),1,1)&gt;INDEX(FlowCalLowSetting,MATCH(R226,FlowCalNumber,0),1,1), (INDEX(FlowCalConstA,MATCH(R226,FlowCalNumber,0),1,1)*T241^INDEX(FlowCalConstB,MATCH(R226,FlowCalNumber,0),1,1)&lt;INDEX(FlowCalHighSetting,MATCH(R226,FlowCalNumber,0),1,1))),INDEX(FlowCalConstA,MATCH(R226,FlowCalNumber,0),1,1)*T241^INDEX(FlowCalConstB,MATCH(R226,FlowCalNumber,0),1,1)," ")</f>
        <v>#N/A</v>
      </c>
      <c r="V241" s="33"/>
      <c r="W241" s="242">
        <f t="shared" si="222"/>
        <v>0.1</v>
      </c>
      <c r="X241" s="241" t="e">
        <f t="shared" ca="1" si="223"/>
        <v>#N/A</v>
      </c>
      <c r="Y241" s="243" t="e">
        <f ca="1">IF(AND(INDEX(FlowCalConstA,MATCH(V226,FlowCalNumber,0),1,1)*X241^INDEX(FlowCalConstB,MATCH(V226,FlowCalNumber,0),1,1)&gt;INDEX(FlowCalLowSetting,MATCH(V226,FlowCalNumber,0),1,1), (INDEX(FlowCalConstA,MATCH(V226,FlowCalNumber,0),1,1)*X241^INDEX(FlowCalConstB,MATCH(V226,FlowCalNumber,0),1,1)&lt;INDEX(FlowCalHighSetting,MATCH(V226,FlowCalNumber,0),1,1))),INDEX(FlowCalConstA,MATCH(V226,FlowCalNumber,0),1,1)*X241^INDEX(FlowCalConstB,MATCH(V226,FlowCalNumber,0),1,1)," ")</f>
        <v>#N/A</v>
      </c>
      <c r="Z241" s="33"/>
      <c r="AA241" s="242">
        <f t="shared" si="224"/>
        <v>0.9</v>
      </c>
      <c r="AB241" s="241" t="e">
        <f t="shared" ca="1" si="225"/>
        <v>#N/A</v>
      </c>
      <c r="AC241" s="243" t="e">
        <f ca="1">IF(AND(INDEX(FlowCalConstA,MATCH(Z226,FlowCalNumber,0),1,1)*AB241^INDEX(FlowCalConstB,MATCH(Z226,FlowCalNumber,0),1,1)&gt;INDEX(FlowCalLowSetting,MATCH(Z226,FlowCalNumber,0),1,1), (INDEX(FlowCalConstA,MATCH(Z226,FlowCalNumber,0),1,1)*AB241^INDEX(FlowCalConstB,MATCH(Z226,FlowCalNumber,0),1,1)&lt;INDEX(FlowCalHighSetting,MATCH(Z226,FlowCalNumber,0),1,1))),INDEX(FlowCalConstA,MATCH(Z226,FlowCalNumber,0),1,1)*AB241^INDEX(FlowCalConstB,MATCH(Z226,FlowCalNumber,0),1,1)," ")</f>
        <v>#N/A</v>
      </c>
      <c r="AD241" s="33"/>
      <c r="AE241" s="242">
        <f t="shared" si="226"/>
        <v>0.1</v>
      </c>
      <c r="AF241" s="241" t="e">
        <f t="shared" ca="1" si="227"/>
        <v>#N/A</v>
      </c>
      <c r="AG241" s="243" t="e">
        <f ca="1">IF(AND(INDEX(FlowCalConstA,MATCH(AD226,FlowCalNumber,0),1,1)*AF241^INDEX(FlowCalConstB,MATCH(AD226,FlowCalNumber,0),1,1)&gt;INDEX(FlowCalLowSetting,MATCH(AD226,FlowCalNumber,0),1,1), (INDEX(FlowCalConstA,MATCH(AD226,FlowCalNumber,0),1,1)*AF241^INDEX(FlowCalConstB,MATCH(AD226,FlowCalNumber,0),1,1)&lt;INDEX(FlowCalHighSetting,MATCH(AD226,FlowCalNumber,0),1,1))),INDEX(FlowCalConstA,MATCH(AD226,FlowCalNumber,0),1,1)*AF241^INDEX(FlowCalConstB,MATCH(AD226,FlowCalNumber,0),1,1)," ")</f>
        <v>#N/A</v>
      </c>
      <c r="AH241" s="33"/>
      <c r="AI241" s="242">
        <f t="shared" si="228"/>
        <v>0.9</v>
      </c>
      <c r="AJ241" s="241" t="e">
        <f t="shared" ca="1" si="229"/>
        <v>#N/A</v>
      </c>
      <c r="AK241" s="243" t="e">
        <f ca="1">IF(AND(INDEX(FlowCalConstA,MATCH(AH226,FlowCalNumber,0),1,1)*AJ241^INDEX(FlowCalConstB,MATCH(AH226,FlowCalNumber,0),1,1)&gt;INDEX(FlowCalLowSetting,MATCH(AH226,FlowCalNumber,0),1,1), (INDEX(FlowCalConstA,MATCH(AH226,FlowCalNumber,0),1,1)*AJ241^INDEX(FlowCalConstB,MATCH(AH226,FlowCalNumber,0),1,1)&lt;INDEX(FlowCalHighSetting,MATCH(AH226,FlowCalNumber,0),1,1))),INDEX(FlowCalConstA,MATCH(AH226,FlowCalNumber,0),1,1)*AJ241^INDEX(FlowCalConstB,MATCH(AH226,FlowCalNumber,0),1,1)," ")</f>
        <v>#N/A</v>
      </c>
      <c r="AL241" s="33"/>
      <c r="AM241" s="242"/>
      <c r="AN241" s="241"/>
      <c r="AO241" s="244"/>
      <c r="AQ241" s="242"/>
      <c r="AR241" s="241"/>
      <c r="AS241" s="244"/>
      <c r="AT241" s="33"/>
      <c r="AU241" s="242"/>
      <c r="AV241" s="241"/>
      <c r="AW241" s="244"/>
      <c r="AX241" s="33"/>
      <c r="AY241" s="242"/>
      <c r="AZ241" s="241"/>
      <c r="BA241" s="244"/>
      <c r="BB241" s="33"/>
      <c r="BC241" s="242"/>
      <c r="BD241" s="241"/>
      <c r="BE241" s="244"/>
      <c r="BF241" s="33"/>
      <c r="BG241" s="242"/>
      <c r="BH241" s="241"/>
      <c r="BI241" s="244"/>
      <c r="BJ241" s="33"/>
      <c r="BK241" s="242"/>
      <c r="BL241" s="241"/>
      <c r="BM241" s="244"/>
      <c r="BN241" s="33"/>
      <c r="BO241" s="242"/>
      <c r="BP241" s="241"/>
      <c r="BQ241" s="244"/>
      <c r="BR241" s="33"/>
      <c r="BS241" s="242"/>
      <c r="BT241" s="241"/>
      <c r="BU241" s="244"/>
      <c r="BV241" s="33"/>
      <c r="BW241" s="242"/>
      <c r="BX241" s="241"/>
      <c r="BY241" s="244"/>
      <c r="BZ241" s="33"/>
      <c r="CA241" s="242"/>
      <c r="CB241" s="241"/>
      <c r="CC241" s="244"/>
      <c r="CD241" s="243"/>
      <c r="CE241" s="243"/>
      <c r="CF241" s="243"/>
      <c r="CG241" s="243"/>
      <c r="CH241" s="243"/>
      <c r="CI241" s="243"/>
      <c r="CJ241" s="243"/>
      <c r="CK241" s="243"/>
      <c r="CL241" s="243"/>
      <c r="CM241" s="243"/>
      <c r="CN241" s="243"/>
      <c r="CO241" s="243"/>
      <c r="CP241" s="243"/>
      <c r="CQ241" s="243"/>
      <c r="CR241" s="243"/>
      <c r="CS241" s="243"/>
      <c r="CT241" s="243"/>
      <c r="CU241" s="243"/>
      <c r="CV241" s="243"/>
      <c r="CW241" s="243"/>
      <c r="CX241" s="243"/>
      <c r="CY241" s="243"/>
      <c r="CZ241" s="243"/>
      <c r="DA241" s="243"/>
      <c r="DB241" s="243"/>
      <c r="DC241" s="243"/>
      <c r="DD241" s="243"/>
      <c r="DE241" s="243"/>
      <c r="DF241" s="243"/>
      <c r="DG241" s="243"/>
      <c r="DH241" s="243"/>
      <c r="DI241" s="243"/>
      <c r="DJ241" s="243"/>
      <c r="DK241" s="243"/>
      <c r="DM241" s="242"/>
      <c r="DO241" s="243"/>
      <c r="DQ241" s="242"/>
      <c r="DS241" s="243"/>
      <c r="DU241" s="242"/>
      <c r="DW241" s="243"/>
      <c r="DY241" s="242"/>
      <c r="EA241" s="243"/>
    </row>
    <row r="242" spans="1:131">
      <c r="A242" s="33"/>
      <c r="B242" s="33"/>
      <c r="C242" s="235"/>
      <c r="E242" s="90"/>
      <c r="F242" s="90"/>
      <c r="G242" s="33"/>
      <c r="J242" s="33"/>
      <c r="N242" s="33"/>
      <c r="Q242" s="243"/>
      <c r="R242" s="33"/>
      <c r="U242" s="244"/>
      <c r="V242" s="33"/>
      <c r="Y242" s="243"/>
      <c r="Z242" s="33"/>
      <c r="AC242" s="243"/>
      <c r="AD242" s="33"/>
      <c r="AG242" s="243"/>
      <c r="AH242" s="33"/>
      <c r="AK242" s="244"/>
      <c r="AL242" s="792"/>
      <c r="AM242" s="243"/>
      <c r="AN242" s="243"/>
      <c r="AO242" s="244"/>
      <c r="AP242" s="243"/>
      <c r="AQ242" s="243"/>
      <c r="AR242" s="243"/>
      <c r="AS242" s="244"/>
      <c r="AT242" s="243"/>
      <c r="AU242" s="243"/>
      <c r="AV242" s="243"/>
      <c r="AW242" s="244"/>
      <c r="AX242" s="243"/>
      <c r="AY242" s="243"/>
      <c r="AZ242" s="243"/>
      <c r="BA242" s="244"/>
      <c r="BB242" s="33"/>
      <c r="BE242" s="244"/>
      <c r="BF242" s="33"/>
      <c r="BI242" s="244"/>
      <c r="BJ242" s="33"/>
      <c r="BM242" s="244"/>
      <c r="BN242" s="243"/>
      <c r="BO242" s="243"/>
      <c r="BP242" s="243"/>
      <c r="BQ242" s="244"/>
      <c r="BR242" s="792"/>
      <c r="BS242" s="243"/>
      <c r="BT242" s="243"/>
      <c r="BU242" s="244"/>
      <c r="BV242" s="792"/>
      <c r="BW242" s="243"/>
      <c r="BX242" s="243"/>
      <c r="BY242" s="244"/>
      <c r="BZ242" s="792"/>
      <c r="CA242" s="243"/>
      <c r="CB242" s="243"/>
      <c r="CC242" s="244"/>
      <c r="CD242" s="243"/>
      <c r="CE242" s="243"/>
      <c r="CF242" s="243"/>
      <c r="CG242" s="243"/>
      <c r="CH242" s="243"/>
      <c r="CI242" s="243"/>
      <c r="CJ242" s="243"/>
      <c r="CK242" s="243"/>
      <c r="CL242" s="243"/>
      <c r="CM242" s="243"/>
      <c r="CN242" s="243"/>
      <c r="CO242" s="243"/>
      <c r="CP242" s="243"/>
      <c r="CQ242" s="243"/>
      <c r="CR242" s="243"/>
      <c r="CS242" s="243"/>
      <c r="CT242" s="243"/>
      <c r="CU242" s="243"/>
      <c r="CV242" s="243"/>
      <c r="CW242" s="243"/>
      <c r="CX242" s="243"/>
      <c r="CY242" s="243"/>
      <c r="CZ242" s="243"/>
      <c r="DA242" s="243"/>
      <c r="DB242" s="243"/>
      <c r="DC242" s="243"/>
      <c r="DD242" s="243"/>
      <c r="DE242" s="243"/>
      <c r="DF242" s="243"/>
      <c r="DG242" s="243"/>
      <c r="DH242" s="243"/>
      <c r="DI242" s="243"/>
      <c r="DJ242" s="243"/>
      <c r="DK242" s="243"/>
      <c r="DO242" s="243"/>
      <c r="DS242" s="243"/>
      <c r="DW242" s="243"/>
      <c r="EA242" s="243"/>
    </row>
    <row r="243" spans="1:131">
      <c r="A243" s="256" t="str">
        <f>IF((RIGHT(A226,1))&lt;&gt;"Z",CHAR(CODE(A226))&amp;CHAR(CODE(RIGHT(A226,1))+1),CHAR(CODE(A226)+1)&amp;"A")</f>
        <v>AN</v>
      </c>
      <c r="B243" s="270" t="e">
        <f>INDEX(SourceID,MATCH($A243,SourceNumber,0),1,1)</f>
        <v>#N/A</v>
      </c>
      <c r="C243" s="354" t="e">
        <f>INDEX(SourceExitDiameter,MATCH($A243,SourceNumber,0),1,1)*3.28*12</f>
        <v>#N/A</v>
      </c>
      <c r="D243" s="24" t="str">
        <f>UAnem1percent</f>
        <v>1% Wind</v>
      </c>
      <c r="E243" s="350" t="e">
        <f ca="1">INDIRECT(ADDRESS(53,6,1,,CONCATENATE("TA",$A243)))</f>
        <v>#REF!</v>
      </c>
      <c r="F243" s="625" t="e">
        <f ca="1">(ROUND((INDIRECT(ADDRESS(15,7,1,,CONCATENATE("TA",$A243)))*3.28*12*32),0)&amp;"/32")</f>
        <v>#REF!</v>
      </c>
      <c r="G243" s="125" t="e">
        <f ca="1">INDIRECT(ADDRESS(29,7,1,,$A243))</f>
        <v>#N/A</v>
      </c>
      <c r="H243" s="24" t="e">
        <f ca="1">INDIRECT(ADDRESS(19,7,1,,$A243))*100^3</f>
        <v>#N/A</v>
      </c>
      <c r="I243" s="941" t="e">
        <f ca="1">INDIRECT(ADDRESS(53,7,1,,$A243))</f>
        <v>#N/A</v>
      </c>
      <c r="J243" s="20" t="e">
        <f ca="1">IF($I243=$I$6,K$16&amp;$G$6&amp;J$6,IF($I243=$I$7,K$16&amp;$G$7&amp;J$7,"Bad"))</f>
        <v>#N/A</v>
      </c>
      <c r="K243" t="e">
        <f ca="1">INDEX(FlowCalGasMixture,MATCH(J243,FlowCalNumber,0),1,1)</f>
        <v>#N/A</v>
      </c>
      <c r="M243" s="944" t="e">
        <f ca="1">INDEX(FlowCalDevice,MATCH(J243,FlowCalNumber,0),1,1)</f>
        <v>#N/A</v>
      </c>
      <c r="N243" s="943" t="e">
        <f ca="1">IF($I243=$I$6,O$16&amp;$G$6&amp;"90"&amp;$H$6&amp;N$6,IF($I243=$I$7,O$16&amp;$G$7&amp;"90"&amp;$H$7&amp;N$7,"Bad"))</f>
        <v>#N/A</v>
      </c>
      <c r="O243" t="e">
        <f ca="1">INDEX(FlowCalGasMixture,MATCH(N243,FlowCalNumber,0),1,1)</f>
        <v>#N/A</v>
      </c>
      <c r="Q243" s="944" t="e">
        <f ca="1">INDEX(FlowCalDevice,MATCH(N243,FlowCalNumber,0),1,1)</f>
        <v>#N/A</v>
      </c>
      <c r="R243" s="943" t="e">
        <f ca="1">IF($I243=$I$6,S$16&amp;$G$6&amp;"90"&amp;$H$6&amp;R$6,IF($I243=$I$7,S$16&amp;$G$7&amp;"90"&amp;$H$7&amp;R$7,"Bad"))</f>
        <v>#N/A</v>
      </c>
      <c r="S243" t="e">
        <f ca="1">INDEX(FlowCalGasMixture,MATCH(R243,FlowCalNumber,0),1,1)</f>
        <v>#N/A</v>
      </c>
      <c r="U243" s="944" t="e">
        <f ca="1">INDEX(FlowCalDevice,MATCH(R243,FlowCalNumber,0),1,1)</f>
        <v>#N/A</v>
      </c>
      <c r="V243" s="20" t="e">
        <f ca="1">IF($I243=$I$6,W$16&amp;$G$6&amp;V$6,IF($I243=$I$7,W$16&amp;$G$7&amp;V$7,"Bad"))</f>
        <v>#N/A</v>
      </c>
      <c r="W243" t="e">
        <f ca="1">INDEX(FlowCalGasMixture,MATCH(V243,FlowCalNumber,0),1,1)</f>
        <v>#N/A</v>
      </c>
      <c r="Y243" s="944" t="e">
        <f ca="1">INDEX(FlowCalDevice,MATCH(V243,FlowCalNumber,0),1,1)</f>
        <v>#N/A</v>
      </c>
      <c r="Z243" s="946" t="e">
        <f ca="1">IF($I243=$I$6,AA$18&amp;$H$6&amp;Z$6,IF($I243=$I$7,AA$18&amp;$H$7&amp;Z$7,"Bad"))</f>
        <v>#N/A</v>
      </c>
      <c r="AA243" t="e">
        <f ca="1">INDEX(FlowCalGasMixture,MATCH(Z243,FlowCalNumber,0),1,1)</f>
        <v>#N/A</v>
      </c>
      <c r="AC243" s="944" t="e">
        <f ca="1">INDEX(FlowCalDevice,MATCH(Z243,FlowCalNumber,0),1,1)</f>
        <v>#N/A</v>
      </c>
      <c r="AD243" s="20" t="e">
        <f ca="1">IF($I243=$I$6,AE$16&amp;$G$6&amp;AD$6,IF($I243=$I$7,AE$16&amp;$G$7&amp;AD$7,"Bad"))</f>
        <v>#N/A</v>
      </c>
      <c r="AE243" t="e">
        <f ca="1">INDEX(FlowCalGasMixture,MATCH(AD243,FlowCalNumber,0),1,1)</f>
        <v>#N/A</v>
      </c>
      <c r="AG243" s="944" t="e">
        <f ca="1">INDEX(FlowCalDevice,MATCH(AD243,FlowCalNumber,0),1,1)</f>
        <v>#N/A</v>
      </c>
      <c r="AH243" s="946" t="e">
        <f ca="1">IF($I243=$I$6,AI$18&amp;$H$6&amp;AH$6,IF($I243=$I$7,AI$18&amp;$H$7&amp;AH$7,"Bad"))</f>
        <v>#N/A</v>
      </c>
      <c r="AI243" t="e">
        <f ca="1">INDEX(FlowCalGasMixture,MATCH(AH243,FlowCalNumber,0),1,1)</f>
        <v>#N/A</v>
      </c>
      <c r="AK243" s="944" t="e">
        <f ca="1">INDEX(FlowCalDevice,MATCH(AH243,FlowCalNumber,0),1,1)</f>
        <v>#N/A</v>
      </c>
      <c r="AL243" s="20"/>
      <c r="AO243" s="982"/>
      <c r="AP243" s="960"/>
      <c r="AS243" s="982"/>
      <c r="AT243" s="20"/>
      <c r="AW243" s="982"/>
      <c r="AX243" s="946"/>
      <c r="BA243" s="982"/>
      <c r="BB243" s="20"/>
      <c r="BC243" s="16"/>
      <c r="BE243" s="982"/>
      <c r="BF243" s="946"/>
      <c r="BG243" s="16"/>
      <c r="BI243" s="982"/>
      <c r="BJ243" s="946"/>
      <c r="BK243" s="16"/>
      <c r="BM243" s="982"/>
      <c r="BN243" s="20"/>
      <c r="BO243" s="16"/>
      <c r="BQ243" s="982"/>
      <c r="BR243" s="946"/>
      <c r="BS243" s="16"/>
      <c r="BU243" s="982"/>
      <c r="BV243" s="946"/>
      <c r="BW243" s="16"/>
      <c r="BY243" s="982"/>
      <c r="BZ243" s="946"/>
      <c r="CA243" s="16"/>
      <c r="CC243" s="982"/>
      <c r="CD243" s="355"/>
      <c r="CE243" s="355"/>
      <c r="CF243" s="355"/>
      <c r="CG243" s="355"/>
      <c r="CH243" s="355"/>
      <c r="CI243" s="355"/>
      <c r="CJ243" s="355"/>
      <c r="CK243" s="355"/>
      <c r="CL243" s="355"/>
      <c r="CM243" s="355"/>
      <c r="CN243" s="355"/>
      <c r="CO243" s="355"/>
      <c r="CP243" s="355"/>
      <c r="CQ243" s="355"/>
      <c r="CR243" s="355"/>
      <c r="CS243" s="355"/>
      <c r="CT243" s="355"/>
      <c r="CU243" s="355"/>
      <c r="CV243" s="355"/>
      <c r="CW243" s="355"/>
      <c r="CX243" s="355"/>
      <c r="CY243" s="355"/>
      <c r="CZ243" s="355"/>
      <c r="DA243" s="355"/>
      <c r="DB243" s="355"/>
      <c r="DC243" s="355"/>
      <c r="DD243" s="355"/>
      <c r="DE243" s="355"/>
      <c r="DF243" s="355"/>
      <c r="DG243" s="355"/>
      <c r="DH243" s="355"/>
      <c r="DI243" s="355"/>
      <c r="DJ243" s="355"/>
      <c r="DK243" s="355"/>
      <c r="DL243" s="46"/>
      <c r="DM243" s="16"/>
      <c r="DO243" s="355"/>
      <c r="DP243" s="42"/>
      <c r="DQ243" s="16"/>
      <c r="DS243" s="355"/>
      <c r="DT243" s="42"/>
      <c r="DU243" s="16"/>
      <c r="DW243" s="355"/>
      <c r="DX243" s="42"/>
      <c r="DY243" s="16"/>
      <c r="EA243" s="355"/>
    </row>
    <row r="244" spans="1:131">
      <c r="A244" s="20"/>
      <c r="B244" s="124" t="str">
        <f t="shared" ref="B244:B258" si="230">IF(D244=UAnem1percent,"1% Wind","")</f>
        <v/>
      </c>
      <c r="C244" s="235"/>
      <c r="D244" s="24">
        <f>'1% Wind'!$M$82</f>
        <v>27</v>
      </c>
      <c r="E244" s="90"/>
      <c r="F244" s="90"/>
      <c r="G244" s="79" t="e">
        <f ca="1">IF(I243=0.9743,$G243,MAX(G243/D243*D244,2))</f>
        <v>#N/A</v>
      </c>
      <c r="H244" s="121" t="e">
        <f t="shared" ref="H244:H258" ca="1" si="231">H243*(D243/D244)*(G244/G243)</f>
        <v>#N/A</v>
      </c>
      <c r="J244" s="33"/>
      <c r="K244" s="260">
        <f>K$17/100</f>
        <v>1</v>
      </c>
      <c r="L244" s="241" t="e">
        <f ca="1">K244*$H244</f>
        <v>#N/A</v>
      </c>
      <c r="M244" s="243" t="e">
        <f ca="1">IF(AND(INDEX(FlowCalConstA,MATCH(J243,FlowCalNumber,0),1,1)*L244^INDEX(FlowCalConstB,MATCH(J243,FlowCalNumber,0),1,1)&gt;INDEX(FlowCalLowSetting,MATCH(J243,FlowCalNumber,0),1,1), (INDEX(FlowCalConstA,MATCH(J243,FlowCalNumber,0),1,1)*L244^INDEX(FlowCalConstB,MATCH(J243,FlowCalNumber,0),1,1)&lt;INDEX(FlowCalHighSetting,MATCH(J243,FlowCalNumber,0),1,1))),INDEX(FlowCalConstA,MATCH(J243,FlowCalNumber,0),1,1)*L244^INDEX(FlowCalConstB,MATCH(J243,FlowCalNumber,0),1,1)," ")</f>
        <v>#N/A</v>
      </c>
      <c r="N244" s="33"/>
      <c r="O244" s="260">
        <f>O$17/100</f>
        <v>1</v>
      </c>
      <c r="P244" s="241" t="e">
        <f ca="1">O244*$H244</f>
        <v>#N/A</v>
      </c>
      <c r="Q244" s="243" t="e">
        <f ca="1">IF(AND(INDEX(FlowCalConstA,MATCH(N243,FlowCalNumber,0),1,1)*P244^INDEX(FlowCalConstB,MATCH(N243,FlowCalNumber,0),1,1)&gt;INDEX(FlowCalLowSetting,MATCH(N243,FlowCalNumber,0),1,1), (INDEX(FlowCalConstA,MATCH(N243,FlowCalNumber,0),1,1)*P244^INDEX(FlowCalConstB,MATCH(N243,FlowCalNumber,0),1,1)&lt;INDEX(FlowCalHighSetting,MATCH(N243,FlowCalNumber,0),1,1))),INDEX(FlowCalConstA,MATCH(N243,FlowCalNumber,0),1,1)*P244^INDEX(FlowCalConstB,MATCH(N243,FlowCalNumber,0),1,1)," ")</f>
        <v>#N/A</v>
      </c>
      <c r="R244" s="33"/>
      <c r="S244" s="260">
        <f>S$17/100</f>
        <v>1</v>
      </c>
      <c r="T244" s="241" t="e">
        <f ca="1">S244*$H244</f>
        <v>#N/A</v>
      </c>
      <c r="U244" s="244" t="e">
        <f ca="1">IF(AND(INDEX(FlowCalConstA,MATCH(R243,FlowCalNumber,0),1,1)*T244^INDEX(FlowCalConstB,MATCH(R243,FlowCalNumber,0),1,1)&gt;INDEX(FlowCalLowSetting,MATCH(R243,FlowCalNumber,0),1,1), (INDEX(FlowCalConstA,MATCH(R243,FlowCalNumber,0),1,1)*T244^INDEX(FlowCalConstB,MATCH(R243,FlowCalNumber,0),1,1)&lt;INDEX(FlowCalHighSetting,MATCH(R243,FlowCalNumber,0),1,1))),INDEX(FlowCalConstA,MATCH(R243,FlowCalNumber,0),1,1)*T244^INDEX(FlowCalConstB,MATCH(R243,FlowCalNumber,0),1,1)," ")</f>
        <v>#N/A</v>
      </c>
      <c r="V244" s="33"/>
      <c r="W244" s="260">
        <f>W$17/100</f>
        <v>0.1</v>
      </c>
      <c r="X244" s="241" t="e">
        <f ca="1">W244*$H244</f>
        <v>#N/A</v>
      </c>
      <c r="Y244" s="243" t="e">
        <f ca="1">IF(AND(INDEX(FlowCalConstA,MATCH(V243,FlowCalNumber,0),1,1)*X244^INDEX(FlowCalConstB,MATCH(V243,FlowCalNumber,0),1,1)&gt;INDEX(FlowCalLowSetting,MATCH(V243,FlowCalNumber,0),1,1), (INDEX(FlowCalConstA,MATCH(V243,FlowCalNumber,0),1,1)*X244^INDEX(FlowCalConstB,MATCH(V243,FlowCalNumber,0),1,1)&lt;INDEX(FlowCalHighSetting,MATCH(V243,FlowCalNumber,0),1,1))),INDEX(FlowCalConstA,MATCH(V243,FlowCalNumber,0),1,1)*X244^INDEX(FlowCalConstB,MATCH(V243,FlowCalNumber,0),1,1)," ")</f>
        <v>#N/A</v>
      </c>
      <c r="Z244" s="33"/>
      <c r="AA244" s="260">
        <f>AA$17/100</f>
        <v>0.9</v>
      </c>
      <c r="AB244" s="241" t="e">
        <f ca="1">AA244*$H244</f>
        <v>#N/A</v>
      </c>
      <c r="AC244" s="243" t="e">
        <f ca="1">IF(AND(INDEX(FlowCalConstA,MATCH(Z243,FlowCalNumber,0),1,1)*AB244^INDEX(FlowCalConstB,MATCH(Z243,FlowCalNumber,0),1,1)&gt;INDEX(FlowCalLowSetting,MATCH(Z243,FlowCalNumber,0),1,1), (INDEX(FlowCalConstA,MATCH(Z243,FlowCalNumber,0),1,1)*AB244^INDEX(FlowCalConstB,MATCH(Z243,FlowCalNumber,0),1,1)&lt;INDEX(FlowCalHighSetting,MATCH(Z243,FlowCalNumber,0),1,1))),INDEX(FlowCalConstA,MATCH(Z243,FlowCalNumber,0),1,1)*AB244^INDEX(FlowCalConstB,MATCH(Z243,FlowCalNumber,0),1,1)," ")</f>
        <v>#N/A</v>
      </c>
      <c r="AD244" s="33"/>
      <c r="AE244" s="260">
        <f>AE$17/100</f>
        <v>0.1</v>
      </c>
      <c r="AF244" s="241" t="e">
        <f ca="1">AE244*$H244</f>
        <v>#N/A</v>
      </c>
      <c r="AG244" s="243" t="e">
        <f ca="1">IF(AND(INDEX(FlowCalConstA,MATCH(AD243,FlowCalNumber,0),1,1)*AF244^INDEX(FlowCalConstB,MATCH(AD243,FlowCalNumber,0),1,1)&gt;INDEX(FlowCalLowSetting,MATCH(AD243,FlowCalNumber,0),1,1), (INDEX(FlowCalConstA,MATCH(AD243,FlowCalNumber,0),1,1)*AF244^INDEX(FlowCalConstB,MATCH(AD243,FlowCalNumber,0),1,1)&lt;INDEX(FlowCalHighSetting,MATCH(AD243,FlowCalNumber,0),1,1))),INDEX(FlowCalConstA,MATCH(AD243,FlowCalNumber,0),1,1)*AF244^INDEX(FlowCalConstB,MATCH(AD243,FlowCalNumber,0),1,1)," ")</f>
        <v>#N/A</v>
      </c>
      <c r="AH244" s="33"/>
      <c r="AI244" s="260">
        <f>AI$17/100</f>
        <v>0.9</v>
      </c>
      <c r="AJ244" s="241" t="e">
        <f ca="1">AI244*$H244</f>
        <v>#N/A</v>
      </c>
      <c r="AK244" s="243" t="e">
        <f ca="1">IF(AND(INDEX(FlowCalConstA,MATCH(AH243,FlowCalNumber,0),1,1)*AJ244^INDEX(FlowCalConstB,MATCH(AH243,FlowCalNumber,0),1,1)&gt;INDEX(FlowCalLowSetting,MATCH(AH243,FlowCalNumber,0),1,1), (INDEX(FlowCalConstA,MATCH(AH243,FlowCalNumber,0),1,1)*AJ244^INDEX(FlowCalConstB,MATCH(AH243,FlowCalNumber,0),1,1)&lt;INDEX(FlowCalHighSetting,MATCH(AH243,FlowCalNumber,0),1,1))),INDEX(FlowCalConstA,MATCH(AH243,FlowCalNumber,0),1,1)*AJ244^INDEX(FlowCalConstB,MATCH(AH243,FlowCalNumber,0),1,1)," ")</f>
        <v>#N/A</v>
      </c>
      <c r="AL244" s="33"/>
      <c r="AM244" s="260"/>
      <c r="AN244" s="241"/>
      <c r="AO244" s="244"/>
      <c r="AQ244" s="260"/>
      <c r="AR244" s="241"/>
      <c r="AS244" s="244"/>
      <c r="AT244" s="33"/>
      <c r="AU244" s="260"/>
      <c r="AV244" s="241"/>
      <c r="AW244" s="244"/>
      <c r="AX244" s="33"/>
      <c r="AY244" s="260"/>
      <c r="AZ244" s="241"/>
      <c r="BA244" s="244"/>
      <c r="BB244" s="33"/>
      <c r="BC244" s="260"/>
      <c r="BD244" s="241"/>
      <c r="BE244" s="244"/>
      <c r="BF244" s="33"/>
      <c r="BG244" s="260"/>
      <c r="BH244" s="241"/>
      <c r="BI244" s="244"/>
      <c r="BJ244" s="33"/>
      <c r="BK244" s="260"/>
      <c r="BL244" s="241"/>
      <c r="BM244" s="244"/>
      <c r="BN244" s="33"/>
      <c r="BO244" s="260"/>
      <c r="BP244" s="241"/>
      <c r="BQ244" s="244"/>
      <c r="BR244" s="33"/>
      <c r="BS244" s="260"/>
      <c r="BT244" s="241"/>
      <c r="BU244" s="244"/>
      <c r="BV244" s="33"/>
      <c r="BW244" s="260"/>
      <c r="BX244" s="241"/>
      <c r="BY244" s="244"/>
      <c r="BZ244" s="33"/>
      <c r="CA244" s="260"/>
      <c r="CB244" s="241"/>
      <c r="CC244" s="244"/>
      <c r="CD244" s="243"/>
      <c r="CE244" s="243"/>
      <c r="CF244" s="243"/>
      <c r="CG244" s="243"/>
      <c r="CH244" s="243"/>
      <c r="CI244" s="243"/>
      <c r="CJ244" s="243"/>
      <c r="CK244" s="243"/>
      <c r="CL244" s="243"/>
      <c r="CM244" s="243"/>
      <c r="CN244" s="243"/>
      <c r="CO244" s="243"/>
      <c r="CP244" s="243"/>
      <c r="CQ244" s="243"/>
      <c r="CR244" s="243"/>
      <c r="CS244" s="243"/>
      <c r="CT244" s="243"/>
      <c r="CU244" s="243"/>
      <c r="CV244" s="243"/>
      <c r="CW244" s="243"/>
      <c r="CX244" s="243"/>
      <c r="CY244" s="243"/>
      <c r="CZ244" s="243"/>
      <c r="DA244" s="243"/>
      <c r="DB244" s="243"/>
      <c r="DC244" s="243"/>
      <c r="DD244" s="243"/>
      <c r="DE244" s="243"/>
      <c r="DF244" s="243"/>
      <c r="DG244" s="243"/>
      <c r="DH244" s="243"/>
      <c r="DI244" s="243"/>
      <c r="DJ244" s="243"/>
      <c r="DK244" s="243"/>
      <c r="DM244" s="259"/>
      <c r="DO244" s="243"/>
      <c r="DQ244" s="259"/>
      <c r="DS244" s="243"/>
      <c r="DU244" s="259"/>
      <c r="DW244" s="243"/>
      <c r="DY244" s="260"/>
      <c r="EA244" s="243"/>
    </row>
    <row r="245" spans="1:131">
      <c r="A245" s="20"/>
      <c r="B245" s="124" t="str">
        <f t="shared" si="230"/>
        <v/>
      </c>
      <c r="C245" s="235"/>
      <c r="D245" s="24">
        <f>'1% Wind'!$M$83</f>
        <v>23.5</v>
      </c>
      <c r="E245" s="90"/>
      <c r="F245" s="90"/>
      <c r="G245" s="79" t="e">
        <f ca="1">IF(I243=0.9743,$G244,MAX(G244/D244*D245,2))</f>
        <v>#N/A</v>
      </c>
      <c r="H245" s="121" t="e">
        <f t="shared" ca="1" si="231"/>
        <v>#N/A</v>
      </c>
      <c r="J245" s="33"/>
      <c r="K245" s="242">
        <f t="shared" ref="K245:K258" si="232">K244</f>
        <v>1</v>
      </c>
      <c r="L245" s="241" t="e">
        <f t="shared" ref="L245:L258" ca="1" si="233">K245*$H245</f>
        <v>#N/A</v>
      </c>
      <c r="M245" s="243" t="e">
        <f ca="1">IF(AND(INDEX(FlowCalConstA,MATCH(J243,FlowCalNumber,0),1,1)*L245^INDEX(FlowCalConstB,MATCH(J243,FlowCalNumber,0),1,1)&gt;INDEX(FlowCalLowSetting,MATCH(J243,FlowCalNumber,0),1,1), (INDEX(FlowCalConstA,MATCH(J243,FlowCalNumber,0),1,1)*L245^INDEX(FlowCalConstB,MATCH(J243,FlowCalNumber,0),1,1)&lt;INDEX(FlowCalHighSetting,MATCH(J243,FlowCalNumber,0),1,1))),INDEX(FlowCalConstA,MATCH(J243,FlowCalNumber,0),1,1)*L245^INDEX(FlowCalConstB,MATCH(J243,FlowCalNumber,0),1,1)," ")</f>
        <v>#N/A</v>
      </c>
      <c r="N245" s="33"/>
      <c r="O245" s="242">
        <f t="shared" ref="O245:O258" si="234">O244</f>
        <v>1</v>
      </c>
      <c r="P245" s="241" t="e">
        <f t="shared" ref="P245:P258" ca="1" si="235">O245*$H245</f>
        <v>#N/A</v>
      </c>
      <c r="Q245" s="243" t="e">
        <f ca="1">IF(AND(INDEX(FlowCalConstA,MATCH(N243,FlowCalNumber,0),1,1)*P245^INDEX(FlowCalConstB,MATCH(N243,FlowCalNumber,0),1,1)&gt;INDEX(FlowCalLowSetting,MATCH(N243,FlowCalNumber,0),1,1), (INDEX(FlowCalConstA,MATCH(N243,FlowCalNumber,0),1,1)*P245^INDEX(FlowCalConstB,MATCH(N243,FlowCalNumber,0),1,1)&lt;INDEX(FlowCalHighSetting,MATCH(N243,FlowCalNumber,0),1,1))),INDEX(FlowCalConstA,MATCH(N243,FlowCalNumber,0),1,1)*P245^INDEX(FlowCalConstB,MATCH(N243,FlowCalNumber,0),1,1)," ")</f>
        <v>#N/A</v>
      </c>
      <c r="R245" s="33"/>
      <c r="S245" s="242">
        <f t="shared" ref="S245:S258" si="236">S244</f>
        <v>1</v>
      </c>
      <c r="T245" s="241" t="e">
        <f t="shared" ref="T245:T258" ca="1" si="237">S245*$H245</f>
        <v>#N/A</v>
      </c>
      <c r="U245" s="244" t="e">
        <f ca="1">IF(AND(INDEX(FlowCalConstA,MATCH(R243,FlowCalNumber,0),1,1)*T245^INDEX(FlowCalConstB,MATCH(R243,FlowCalNumber,0),1,1)&gt;INDEX(FlowCalLowSetting,MATCH(R243,FlowCalNumber,0),1,1), (INDEX(FlowCalConstA,MATCH(R243,FlowCalNumber,0),1,1)*T245^INDEX(FlowCalConstB,MATCH(R243,FlowCalNumber,0),1,1)&lt;INDEX(FlowCalHighSetting,MATCH(R243,FlowCalNumber,0),1,1))),INDEX(FlowCalConstA,MATCH(R243,FlowCalNumber,0),1,1)*T245^INDEX(FlowCalConstB,MATCH(R243,FlowCalNumber,0),1,1)," ")</f>
        <v>#N/A</v>
      </c>
      <c r="V245" s="33"/>
      <c r="W245" s="242">
        <f t="shared" ref="W245:W258" si="238">W244</f>
        <v>0.1</v>
      </c>
      <c r="X245" s="241" t="e">
        <f t="shared" ref="X245:X258" ca="1" si="239">W245*$H245</f>
        <v>#N/A</v>
      </c>
      <c r="Y245" s="243" t="e">
        <f ca="1">IF(AND(INDEX(FlowCalConstA,MATCH(V243,FlowCalNumber,0),1,1)*X245^INDEX(FlowCalConstB,MATCH(V243,FlowCalNumber,0),1,1)&gt;INDEX(FlowCalLowSetting,MATCH(V243,FlowCalNumber,0),1,1), (INDEX(FlowCalConstA,MATCH(V243,FlowCalNumber,0),1,1)*X245^INDEX(FlowCalConstB,MATCH(V243,FlowCalNumber,0),1,1)&lt;INDEX(FlowCalHighSetting,MATCH(V243,FlowCalNumber,0),1,1))),INDEX(FlowCalConstA,MATCH(V243,FlowCalNumber,0),1,1)*X245^INDEX(FlowCalConstB,MATCH(V243,FlowCalNumber,0),1,1)," ")</f>
        <v>#N/A</v>
      </c>
      <c r="Z245" s="33"/>
      <c r="AA245" s="242">
        <f t="shared" ref="AA245:AA258" si="240">AA244</f>
        <v>0.9</v>
      </c>
      <c r="AB245" s="241" t="e">
        <f t="shared" ref="AB245:AB258" ca="1" si="241">AA245*$H245</f>
        <v>#N/A</v>
      </c>
      <c r="AC245" s="243" t="e">
        <f ca="1">IF(AND(INDEX(FlowCalConstA,MATCH(Z243,FlowCalNumber,0),1,1)*AB245^INDEX(FlowCalConstB,MATCH(Z243,FlowCalNumber,0),1,1)&gt;INDEX(FlowCalLowSetting,MATCH(Z243,FlowCalNumber,0),1,1), (INDEX(FlowCalConstA,MATCH(Z243,FlowCalNumber,0),1,1)*AB245^INDEX(FlowCalConstB,MATCH(Z243,FlowCalNumber,0),1,1)&lt;INDEX(FlowCalHighSetting,MATCH(Z243,FlowCalNumber,0),1,1))),INDEX(FlowCalConstA,MATCH(Z243,FlowCalNumber,0),1,1)*AB245^INDEX(FlowCalConstB,MATCH(Z243,FlowCalNumber,0),1,1)," ")</f>
        <v>#N/A</v>
      </c>
      <c r="AD245" s="33"/>
      <c r="AE245" s="242">
        <f t="shared" ref="AE245:AE258" si="242">AE244</f>
        <v>0.1</v>
      </c>
      <c r="AF245" s="241" t="e">
        <f t="shared" ref="AF245:AF258" ca="1" si="243">AE245*$H245</f>
        <v>#N/A</v>
      </c>
      <c r="AG245" s="243" t="e">
        <f ca="1">IF(AND(INDEX(FlowCalConstA,MATCH(AD243,FlowCalNumber,0),1,1)*AF245^INDEX(FlowCalConstB,MATCH(AD243,FlowCalNumber,0),1,1)&gt;INDEX(FlowCalLowSetting,MATCH(AD243,FlowCalNumber,0),1,1), (INDEX(FlowCalConstA,MATCH(AD243,FlowCalNumber,0),1,1)*AF245^INDEX(FlowCalConstB,MATCH(AD243,FlowCalNumber,0),1,1)&lt;INDEX(FlowCalHighSetting,MATCH(AD243,FlowCalNumber,0),1,1))),INDEX(FlowCalConstA,MATCH(AD243,FlowCalNumber,0),1,1)*AF245^INDEX(FlowCalConstB,MATCH(AD243,FlowCalNumber,0),1,1)," ")</f>
        <v>#N/A</v>
      </c>
      <c r="AH245" s="33"/>
      <c r="AI245" s="242">
        <f t="shared" ref="AI245:AI258" si="244">AI244</f>
        <v>0.9</v>
      </c>
      <c r="AJ245" s="241" t="e">
        <f t="shared" ref="AJ245:AJ258" ca="1" si="245">AI245*$H245</f>
        <v>#N/A</v>
      </c>
      <c r="AK245" s="243" t="e">
        <f ca="1">IF(AND(INDEX(FlowCalConstA,MATCH(AH243,FlowCalNumber,0),1,1)*AJ245^INDEX(FlowCalConstB,MATCH(AH243,FlowCalNumber,0),1,1)&gt;INDEX(FlowCalLowSetting,MATCH(AH243,FlowCalNumber,0),1,1), (INDEX(FlowCalConstA,MATCH(AH243,FlowCalNumber,0),1,1)*AJ245^INDEX(FlowCalConstB,MATCH(AH243,FlowCalNumber,0),1,1)&lt;INDEX(FlowCalHighSetting,MATCH(AH243,FlowCalNumber,0),1,1))),INDEX(FlowCalConstA,MATCH(AH243,FlowCalNumber,0),1,1)*AJ245^INDEX(FlowCalConstB,MATCH(AH243,FlowCalNumber,0),1,1)," ")</f>
        <v>#N/A</v>
      </c>
      <c r="AL245" s="33"/>
      <c r="AM245" s="242"/>
      <c r="AN245" s="241"/>
      <c r="AO245" s="244"/>
      <c r="AQ245" s="242"/>
      <c r="AR245" s="241"/>
      <c r="AS245" s="244"/>
      <c r="AT245" s="33"/>
      <c r="AU245" s="242"/>
      <c r="AV245" s="241"/>
      <c r="AW245" s="244"/>
      <c r="AX245" s="33"/>
      <c r="AY245" s="242"/>
      <c r="AZ245" s="241"/>
      <c r="BA245" s="244"/>
      <c r="BB245" s="33"/>
      <c r="BC245" s="242"/>
      <c r="BD245" s="241"/>
      <c r="BE245" s="244"/>
      <c r="BF245" s="33"/>
      <c r="BG245" s="242"/>
      <c r="BH245" s="241"/>
      <c r="BI245" s="244"/>
      <c r="BJ245" s="33"/>
      <c r="BK245" s="242"/>
      <c r="BL245" s="241"/>
      <c r="BM245" s="244"/>
      <c r="BN245" s="33"/>
      <c r="BO245" s="242"/>
      <c r="BP245" s="241"/>
      <c r="BQ245" s="244"/>
      <c r="BR245" s="33"/>
      <c r="BS245" s="242"/>
      <c r="BT245" s="241"/>
      <c r="BU245" s="244"/>
      <c r="BV245" s="33"/>
      <c r="BW245" s="242"/>
      <c r="BX245" s="241"/>
      <c r="BY245" s="244"/>
      <c r="BZ245" s="33"/>
      <c r="CA245" s="242"/>
      <c r="CB245" s="241"/>
      <c r="CC245" s="244"/>
      <c r="CD245" s="243"/>
      <c r="CE245" s="243"/>
      <c r="CF245" s="243"/>
      <c r="CG245" s="243"/>
      <c r="CH245" s="243"/>
      <c r="CI245" s="243"/>
      <c r="CJ245" s="243"/>
      <c r="CK245" s="243"/>
      <c r="CL245" s="243"/>
      <c r="CM245" s="243"/>
      <c r="CN245" s="243"/>
      <c r="CO245" s="243"/>
      <c r="CP245" s="243"/>
      <c r="CQ245" s="243"/>
      <c r="CR245" s="243"/>
      <c r="CS245" s="243"/>
      <c r="CT245" s="243"/>
      <c r="CU245" s="243"/>
      <c r="CV245" s="243"/>
      <c r="CW245" s="243"/>
      <c r="CX245" s="243"/>
      <c r="CY245" s="243"/>
      <c r="CZ245" s="243"/>
      <c r="DA245" s="243"/>
      <c r="DB245" s="243"/>
      <c r="DC245" s="243"/>
      <c r="DD245" s="243"/>
      <c r="DE245" s="243"/>
      <c r="DF245" s="243"/>
      <c r="DG245" s="243"/>
      <c r="DH245" s="243"/>
      <c r="DI245" s="243"/>
      <c r="DJ245" s="243"/>
      <c r="DK245" s="243"/>
      <c r="DM245" s="242"/>
      <c r="DO245" s="243"/>
      <c r="DQ245" s="242"/>
      <c r="DS245" s="243"/>
      <c r="DU245" s="242"/>
      <c r="DW245" s="243"/>
      <c r="DY245" s="242"/>
      <c r="EA245" s="243"/>
    </row>
    <row r="246" spans="1:131">
      <c r="A246" s="20"/>
      <c r="B246" s="124" t="str">
        <f t="shared" si="230"/>
        <v/>
      </c>
      <c r="C246" s="235"/>
      <c r="D246" s="24">
        <f>'1% Wind'!$M$84</f>
        <v>20.5</v>
      </c>
      <c r="E246" s="90"/>
      <c r="F246" s="90"/>
      <c r="G246" s="79" t="e">
        <f ca="1">IF(I243=0.9743,$G245,MAX(G245/D245*D246,2))</f>
        <v>#N/A</v>
      </c>
      <c r="H246" s="121" t="e">
        <f t="shared" ca="1" si="231"/>
        <v>#N/A</v>
      </c>
      <c r="J246" s="33"/>
      <c r="K246" s="242">
        <f t="shared" si="232"/>
        <v>1</v>
      </c>
      <c r="L246" s="241" t="e">
        <f t="shared" ca="1" si="233"/>
        <v>#N/A</v>
      </c>
      <c r="M246" s="243" t="e">
        <f ca="1">IF(AND(INDEX(FlowCalConstA,MATCH(J243,FlowCalNumber,0),1,1)*L246^INDEX(FlowCalConstB,MATCH(J243,FlowCalNumber,0),1,1)&gt;INDEX(FlowCalLowSetting,MATCH(J243,FlowCalNumber,0),1,1), (INDEX(FlowCalConstA,MATCH(J243,FlowCalNumber,0),1,1)*L246^INDEX(FlowCalConstB,MATCH(J243,FlowCalNumber,0),1,1)&lt;INDEX(FlowCalHighSetting,MATCH(J243,FlowCalNumber,0),1,1))),INDEX(FlowCalConstA,MATCH(J243,FlowCalNumber,0),1,1)*L246^INDEX(FlowCalConstB,MATCH(J243,FlowCalNumber,0),1,1)," ")</f>
        <v>#N/A</v>
      </c>
      <c r="N246" s="33"/>
      <c r="O246" s="242">
        <f t="shared" si="234"/>
        <v>1</v>
      </c>
      <c r="P246" s="241" t="e">
        <f t="shared" ca="1" si="235"/>
        <v>#N/A</v>
      </c>
      <c r="Q246" s="243" t="e">
        <f ca="1">IF(AND(INDEX(FlowCalConstA,MATCH(N243,FlowCalNumber,0),1,1)*P246^INDEX(FlowCalConstB,MATCH(N243,FlowCalNumber,0),1,1)&gt;INDEX(FlowCalLowSetting,MATCH(N243,FlowCalNumber,0),1,1), (INDEX(FlowCalConstA,MATCH(N243,FlowCalNumber,0),1,1)*P246^INDEX(FlowCalConstB,MATCH(N243,FlowCalNumber,0),1,1)&lt;INDEX(FlowCalHighSetting,MATCH(N243,FlowCalNumber,0),1,1))),INDEX(FlowCalConstA,MATCH(N243,FlowCalNumber,0),1,1)*P246^INDEX(FlowCalConstB,MATCH(N243,FlowCalNumber,0),1,1)," ")</f>
        <v>#N/A</v>
      </c>
      <c r="R246" s="33"/>
      <c r="S246" s="242">
        <f t="shared" si="236"/>
        <v>1</v>
      </c>
      <c r="T246" s="241" t="e">
        <f t="shared" ca="1" si="237"/>
        <v>#N/A</v>
      </c>
      <c r="U246" s="244" t="e">
        <f ca="1">IF(AND(INDEX(FlowCalConstA,MATCH(R243,FlowCalNumber,0),1,1)*T246^INDEX(FlowCalConstB,MATCH(R243,FlowCalNumber,0),1,1)&gt;INDEX(FlowCalLowSetting,MATCH(R243,FlowCalNumber,0),1,1), (INDEX(FlowCalConstA,MATCH(R243,FlowCalNumber,0),1,1)*T246^INDEX(FlowCalConstB,MATCH(R243,FlowCalNumber,0),1,1)&lt;INDEX(FlowCalHighSetting,MATCH(R243,FlowCalNumber,0),1,1))),INDEX(FlowCalConstA,MATCH(R243,FlowCalNumber,0),1,1)*T246^INDEX(FlowCalConstB,MATCH(R243,FlowCalNumber,0),1,1)," ")</f>
        <v>#N/A</v>
      </c>
      <c r="V246" s="33"/>
      <c r="W246" s="242">
        <f t="shared" si="238"/>
        <v>0.1</v>
      </c>
      <c r="X246" s="241" t="e">
        <f t="shared" ca="1" si="239"/>
        <v>#N/A</v>
      </c>
      <c r="Y246" s="243" t="e">
        <f ca="1">IF(AND(INDEX(FlowCalConstA,MATCH(V243,FlowCalNumber,0),1,1)*X246^INDEX(FlowCalConstB,MATCH(V243,FlowCalNumber,0),1,1)&gt;INDEX(FlowCalLowSetting,MATCH(V243,FlowCalNumber,0),1,1), (INDEX(FlowCalConstA,MATCH(V243,FlowCalNumber,0),1,1)*X246^INDEX(FlowCalConstB,MATCH(V243,FlowCalNumber,0),1,1)&lt;INDEX(FlowCalHighSetting,MATCH(V243,FlowCalNumber,0),1,1))),INDEX(FlowCalConstA,MATCH(V243,FlowCalNumber,0),1,1)*X246^INDEX(FlowCalConstB,MATCH(V243,FlowCalNumber,0),1,1)," ")</f>
        <v>#N/A</v>
      </c>
      <c r="Z246" s="33"/>
      <c r="AA246" s="242">
        <f t="shared" si="240"/>
        <v>0.9</v>
      </c>
      <c r="AB246" s="241" t="e">
        <f t="shared" ca="1" si="241"/>
        <v>#N/A</v>
      </c>
      <c r="AC246" s="243" t="e">
        <f ca="1">IF(AND(INDEX(FlowCalConstA,MATCH(Z243,FlowCalNumber,0),1,1)*AB246^INDEX(FlowCalConstB,MATCH(Z243,FlowCalNumber,0),1,1)&gt;INDEX(FlowCalLowSetting,MATCH(Z243,FlowCalNumber,0),1,1), (INDEX(FlowCalConstA,MATCH(Z243,FlowCalNumber,0),1,1)*AB246^INDEX(FlowCalConstB,MATCH(Z243,FlowCalNumber,0),1,1)&lt;INDEX(FlowCalHighSetting,MATCH(Z243,FlowCalNumber,0),1,1))),INDEX(FlowCalConstA,MATCH(Z243,FlowCalNumber,0),1,1)*AB246^INDEX(FlowCalConstB,MATCH(Z243,FlowCalNumber,0),1,1)," ")</f>
        <v>#N/A</v>
      </c>
      <c r="AD246" s="33"/>
      <c r="AE246" s="242">
        <f t="shared" si="242"/>
        <v>0.1</v>
      </c>
      <c r="AF246" s="241" t="e">
        <f t="shared" ca="1" si="243"/>
        <v>#N/A</v>
      </c>
      <c r="AG246" s="243" t="e">
        <f ca="1">IF(AND(INDEX(FlowCalConstA,MATCH(AD243,FlowCalNumber,0),1,1)*AF246^INDEX(FlowCalConstB,MATCH(AD243,FlowCalNumber,0),1,1)&gt;INDEX(FlowCalLowSetting,MATCH(AD243,FlowCalNumber,0),1,1), (INDEX(FlowCalConstA,MATCH(AD243,FlowCalNumber,0),1,1)*AF246^INDEX(FlowCalConstB,MATCH(AD243,FlowCalNumber,0),1,1)&lt;INDEX(FlowCalHighSetting,MATCH(AD243,FlowCalNumber,0),1,1))),INDEX(FlowCalConstA,MATCH(AD243,FlowCalNumber,0),1,1)*AF246^INDEX(FlowCalConstB,MATCH(AD243,FlowCalNumber,0),1,1)," ")</f>
        <v>#N/A</v>
      </c>
      <c r="AH246" s="33"/>
      <c r="AI246" s="242">
        <f t="shared" si="244"/>
        <v>0.9</v>
      </c>
      <c r="AJ246" s="241" t="e">
        <f t="shared" ca="1" si="245"/>
        <v>#N/A</v>
      </c>
      <c r="AK246" s="243" t="e">
        <f ca="1">IF(AND(INDEX(FlowCalConstA,MATCH(AH243,FlowCalNumber,0),1,1)*AJ246^INDEX(FlowCalConstB,MATCH(AH243,FlowCalNumber,0),1,1)&gt;INDEX(FlowCalLowSetting,MATCH(AH243,FlowCalNumber,0),1,1), (INDEX(FlowCalConstA,MATCH(AH243,FlowCalNumber,0),1,1)*AJ246^INDEX(FlowCalConstB,MATCH(AH243,FlowCalNumber,0),1,1)&lt;INDEX(FlowCalHighSetting,MATCH(AH243,FlowCalNumber,0),1,1))),INDEX(FlowCalConstA,MATCH(AH243,FlowCalNumber,0),1,1)*AJ246^INDEX(FlowCalConstB,MATCH(AH243,FlowCalNumber,0),1,1)," ")</f>
        <v>#N/A</v>
      </c>
      <c r="AL246" s="33"/>
      <c r="AM246" s="242"/>
      <c r="AN246" s="241"/>
      <c r="AO246" s="244"/>
      <c r="AQ246" s="242"/>
      <c r="AR246" s="241"/>
      <c r="AS246" s="244"/>
      <c r="AT246" s="33"/>
      <c r="AU246" s="242"/>
      <c r="AV246" s="241"/>
      <c r="AW246" s="244"/>
      <c r="AX246" s="33"/>
      <c r="AY246" s="242"/>
      <c r="AZ246" s="241"/>
      <c r="BA246" s="244"/>
      <c r="BB246" s="33"/>
      <c r="BC246" s="242"/>
      <c r="BD246" s="241"/>
      <c r="BE246" s="244"/>
      <c r="BF246" s="33"/>
      <c r="BG246" s="242"/>
      <c r="BH246" s="241"/>
      <c r="BI246" s="244"/>
      <c r="BJ246" s="33"/>
      <c r="BK246" s="242"/>
      <c r="BL246" s="241"/>
      <c r="BM246" s="244"/>
      <c r="BN246" s="33"/>
      <c r="BO246" s="242"/>
      <c r="BP246" s="241"/>
      <c r="BQ246" s="244"/>
      <c r="BR246" s="33"/>
      <c r="BS246" s="242"/>
      <c r="BT246" s="241"/>
      <c r="BU246" s="244"/>
      <c r="BV246" s="33"/>
      <c r="BW246" s="242"/>
      <c r="BX246" s="241"/>
      <c r="BY246" s="244"/>
      <c r="BZ246" s="33"/>
      <c r="CA246" s="242"/>
      <c r="CB246" s="241"/>
      <c r="CC246" s="244"/>
      <c r="CD246" s="243"/>
      <c r="CE246" s="243"/>
      <c r="CF246" s="243"/>
      <c r="CG246" s="243"/>
      <c r="CH246" s="243"/>
      <c r="CI246" s="243"/>
      <c r="CJ246" s="243"/>
      <c r="CK246" s="243"/>
      <c r="CL246" s="243"/>
      <c r="CM246" s="243"/>
      <c r="CN246" s="243"/>
      <c r="CO246" s="243"/>
      <c r="CP246" s="243"/>
      <c r="CQ246" s="243"/>
      <c r="CR246" s="243"/>
      <c r="CS246" s="243"/>
      <c r="CT246" s="243"/>
      <c r="CU246" s="243"/>
      <c r="CV246" s="243"/>
      <c r="CW246" s="243"/>
      <c r="CX246" s="243"/>
      <c r="CY246" s="243"/>
      <c r="CZ246" s="243"/>
      <c r="DA246" s="243"/>
      <c r="DB246" s="243"/>
      <c r="DC246" s="243"/>
      <c r="DD246" s="243"/>
      <c r="DE246" s="243"/>
      <c r="DF246" s="243"/>
      <c r="DG246" s="243"/>
      <c r="DH246" s="243"/>
      <c r="DI246" s="243"/>
      <c r="DJ246" s="243"/>
      <c r="DK246" s="243"/>
      <c r="DM246" s="242"/>
      <c r="DO246" s="243"/>
      <c r="DQ246" s="242"/>
      <c r="DS246" s="243"/>
      <c r="DU246" s="242"/>
      <c r="DW246" s="243"/>
      <c r="DY246" s="242"/>
      <c r="EA246" s="243"/>
    </row>
    <row r="247" spans="1:131">
      <c r="A247" s="20"/>
      <c r="B247" s="124" t="str">
        <f t="shared" si="230"/>
        <v/>
      </c>
      <c r="C247" s="235"/>
      <c r="D247" s="24">
        <f>'1% Wind'!$M$85</f>
        <v>17.8</v>
      </c>
      <c r="E247" s="90"/>
      <c r="F247" s="90"/>
      <c r="G247" s="79" t="e">
        <f ca="1">IF(I243=0.9743,$G246,MAX(G246/D246*D247,2))</f>
        <v>#N/A</v>
      </c>
      <c r="H247" s="121" t="e">
        <f t="shared" ca="1" si="231"/>
        <v>#N/A</v>
      </c>
      <c r="J247" s="33"/>
      <c r="K247" s="242">
        <f t="shared" si="232"/>
        <v>1</v>
      </c>
      <c r="L247" s="241" t="e">
        <f t="shared" ca="1" si="233"/>
        <v>#N/A</v>
      </c>
      <c r="M247" s="243" t="e">
        <f ca="1">IF(AND(INDEX(FlowCalConstA,MATCH(J243,FlowCalNumber,0),1,1)*L247^INDEX(FlowCalConstB,MATCH(J243,FlowCalNumber,0),1,1)&gt;INDEX(FlowCalLowSetting,MATCH(J243,FlowCalNumber,0),1,1), (INDEX(FlowCalConstA,MATCH(J243,FlowCalNumber,0),1,1)*L247^INDEX(FlowCalConstB,MATCH(J243,FlowCalNumber,0),1,1)&lt;INDEX(FlowCalHighSetting,MATCH(J243,FlowCalNumber,0),1,1))),INDEX(FlowCalConstA,MATCH(J243,FlowCalNumber,0),1,1)*L247^INDEX(FlowCalConstB,MATCH(J243,FlowCalNumber,0),1,1)," ")</f>
        <v>#N/A</v>
      </c>
      <c r="N247" s="33"/>
      <c r="O247" s="242">
        <f t="shared" si="234"/>
        <v>1</v>
      </c>
      <c r="P247" s="241" t="e">
        <f t="shared" ca="1" si="235"/>
        <v>#N/A</v>
      </c>
      <c r="Q247" s="243" t="e">
        <f ca="1">IF(AND(INDEX(FlowCalConstA,MATCH(N243,FlowCalNumber,0),1,1)*P247^INDEX(FlowCalConstB,MATCH(N243,FlowCalNumber,0),1,1)&gt;INDEX(FlowCalLowSetting,MATCH(N243,FlowCalNumber,0),1,1), (INDEX(FlowCalConstA,MATCH(N243,FlowCalNumber,0),1,1)*P247^INDEX(FlowCalConstB,MATCH(N243,FlowCalNumber,0),1,1)&lt;INDEX(FlowCalHighSetting,MATCH(N243,FlowCalNumber,0),1,1))),INDEX(FlowCalConstA,MATCH(N243,FlowCalNumber,0),1,1)*P247^INDEX(FlowCalConstB,MATCH(N243,FlowCalNumber,0),1,1)," ")</f>
        <v>#N/A</v>
      </c>
      <c r="R247" s="33"/>
      <c r="S247" s="242">
        <f t="shared" si="236"/>
        <v>1</v>
      </c>
      <c r="T247" s="241" t="e">
        <f t="shared" ca="1" si="237"/>
        <v>#N/A</v>
      </c>
      <c r="U247" s="244" t="e">
        <f ca="1">IF(AND(INDEX(FlowCalConstA,MATCH(R243,FlowCalNumber,0),1,1)*T247^INDEX(FlowCalConstB,MATCH(R243,FlowCalNumber,0),1,1)&gt;INDEX(FlowCalLowSetting,MATCH(R243,FlowCalNumber,0),1,1), (INDEX(FlowCalConstA,MATCH(R243,FlowCalNumber,0),1,1)*T247^INDEX(FlowCalConstB,MATCH(R243,FlowCalNumber,0),1,1)&lt;INDEX(FlowCalHighSetting,MATCH(R243,FlowCalNumber,0),1,1))),INDEX(FlowCalConstA,MATCH(R243,FlowCalNumber,0),1,1)*T247^INDEX(FlowCalConstB,MATCH(R243,FlowCalNumber,0),1,1)," ")</f>
        <v>#N/A</v>
      </c>
      <c r="V247" s="33"/>
      <c r="W247" s="242">
        <f t="shared" si="238"/>
        <v>0.1</v>
      </c>
      <c r="X247" s="241" t="e">
        <f t="shared" ca="1" si="239"/>
        <v>#N/A</v>
      </c>
      <c r="Y247" s="243" t="e">
        <f ca="1">IF(AND(INDEX(FlowCalConstA,MATCH(V243,FlowCalNumber,0),1,1)*X247^INDEX(FlowCalConstB,MATCH(V243,FlowCalNumber,0),1,1)&gt;INDEX(FlowCalLowSetting,MATCH(V243,FlowCalNumber,0),1,1), (INDEX(FlowCalConstA,MATCH(V243,FlowCalNumber,0),1,1)*X247^INDEX(FlowCalConstB,MATCH(V243,FlowCalNumber,0),1,1)&lt;INDEX(FlowCalHighSetting,MATCH(V243,FlowCalNumber,0),1,1))),INDEX(FlowCalConstA,MATCH(V243,FlowCalNumber,0),1,1)*X247^INDEX(FlowCalConstB,MATCH(V243,FlowCalNumber,0),1,1)," ")</f>
        <v>#N/A</v>
      </c>
      <c r="Z247" s="33"/>
      <c r="AA247" s="242">
        <f t="shared" si="240"/>
        <v>0.9</v>
      </c>
      <c r="AB247" s="241" t="e">
        <f t="shared" ca="1" si="241"/>
        <v>#N/A</v>
      </c>
      <c r="AC247" s="243" t="e">
        <f ca="1">IF(AND(INDEX(FlowCalConstA,MATCH(Z243,FlowCalNumber,0),1,1)*AB247^INDEX(FlowCalConstB,MATCH(Z243,FlowCalNumber,0),1,1)&gt;INDEX(FlowCalLowSetting,MATCH(Z243,FlowCalNumber,0),1,1), (INDEX(FlowCalConstA,MATCH(Z243,FlowCalNumber,0),1,1)*AB247^INDEX(FlowCalConstB,MATCH(Z243,FlowCalNumber,0),1,1)&lt;INDEX(FlowCalHighSetting,MATCH(Z243,FlowCalNumber,0),1,1))),INDEX(FlowCalConstA,MATCH(Z243,FlowCalNumber,0),1,1)*AB247^INDEX(FlowCalConstB,MATCH(Z243,FlowCalNumber,0),1,1)," ")</f>
        <v>#N/A</v>
      </c>
      <c r="AD247" s="33"/>
      <c r="AE247" s="242">
        <f t="shared" si="242"/>
        <v>0.1</v>
      </c>
      <c r="AF247" s="241" t="e">
        <f t="shared" ca="1" si="243"/>
        <v>#N/A</v>
      </c>
      <c r="AG247" s="243" t="e">
        <f ca="1">IF(AND(INDEX(FlowCalConstA,MATCH(AD243,FlowCalNumber,0),1,1)*AF247^INDEX(FlowCalConstB,MATCH(AD243,FlowCalNumber,0),1,1)&gt;INDEX(FlowCalLowSetting,MATCH(AD243,FlowCalNumber,0),1,1), (INDEX(FlowCalConstA,MATCH(AD243,FlowCalNumber,0),1,1)*AF247^INDEX(FlowCalConstB,MATCH(AD243,FlowCalNumber,0),1,1)&lt;INDEX(FlowCalHighSetting,MATCH(AD243,FlowCalNumber,0),1,1))),INDEX(FlowCalConstA,MATCH(AD243,FlowCalNumber,0),1,1)*AF247^INDEX(FlowCalConstB,MATCH(AD243,FlowCalNumber,0),1,1)," ")</f>
        <v>#N/A</v>
      </c>
      <c r="AH247" s="33"/>
      <c r="AI247" s="242">
        <f t="shared" si="244"/>
        <v>0.9</v>
      </c>
      <c r="AJ247" s="241" t="e">
        <f t="shared" ca="1" si="245"/>
        <v>#N/A</v>
      </c>
      <c r="AK247" s="243" t="e">
        <f ca="1">IF(AND(INDEX(FlowCalConstA,MATCH(AH243,FlowCalNumber,0),1,1)*AJ247^INDEX(FlowCalConstB,MATCH(AH243,FlowCalNumber,0),1,1)&gt;INDEX(FlowCalLowSetting,MATCH(AH243,FlowCalNumber,0),1,1), (INDEX(FlowCalConstA,MATCH(AH243,FlowCalNumber,0),1,1)*AJ247^INDEX(FlowCalConstB,MATCH(AH243,FlowCalNumber,0),1,1)&lt;INDEX(FlowCalHighSetting,MATCH(AH243,FlowCalNumber,0),1,1))),INDEX(FlowCalConstA,MATCH(AH243,FlowCalNumber,0),1,1)*AJ247^INDEX(FlowCalConstB,MATCH(AH243,FlowCalNumber,0),1,1)," ")</f>
        <v>#N/A</v>
      </c>
      <c r="AL247" s="33"/>
      <c r="AM247" s="242"/>
      <c r="AN247" s="241"/>
      <c r="AO247" s="244"/>
      <c r="AQ247" s="242"/>
      <c r="AR247" s="241"/>
      <c r="AS247" s="244"/>
      <c r="AT247" s="33"/>
      <c r="AU247" s="242"/>
      <c r="AV247" s="241"/>
      <c r="AW247" s="244"/>
      <c r="AX247" s="33"/>
      <c r="AY247" s="242"/>
      <c r="AZ247" s="241"/>
      <c r="BA247" s="244"/>
      <c r="BB247" s="33"/>
      <c r="BC247" s="242"/>
      <c r="BD247" s="241"/>
      <c r="BE247" s="244"/>
      <c r="BF247" s="33"/>
      <c r="BG247" s="242"/>
      <c r="BH247" s="241"/>
      <c r="BI247" s="244"/>
      <c r="BJ247" s="33"/>
      <c r="BK247" s="242"/>
      <c r="BL247" s="241"/>
      <c r="BM247" s="244"/>
      <c r="BN247" s="33"/>
      <c r="BO247" s="242"/>
      <c r="BP247" s="241"/>
      <c r="BQ247" s="244"/>
      <c r="BR247" s="33"/>
      <c r="BS247" s="242"/>
      <c r="BT247" s="241"/>
      <c r="BU247" s="244"/>
      <c r="BV247" s="33"/>
      <c r="BW247" s="242"/>
      <c r="BX247" s="241"/>
      <c r="BY247" s="244"/>
      <c r="BZ247" s="33"/>
      <c r="CA247" s="242"/>
      <c r="CB247" s="241"/>
      <c r="CC247" s="244"/>
      <c r="CD247" s="243"/>
      <c r="CE247" s="243"/>
      <c r="CF247" s="243"/>
      <c r="CG247" s="243"/>
      <c r="CH247" s="243"/>
      <c r="CI247" s="243"/>
      <c r="CJ247" s="243"/>
      <c r="CK247" s="243"/>
      <c r="CL247" s="243"/>
      <c r="CM247" s="243"/>
      <c r="CN247" s="243"/>
      <c r="CO247" s="243"/>
      <c r="CP247" s="243"/>
      <c r="CQ247" s="243"/>
      <c r="CR247" s="243"/>
      <c r="CS247" s="243"/>
      <c r="CT247" s="243"/>
      <c r="CU247" s="243"/>
      <c r="CV247" s="243"/>
      <c r="CW247" s="243"/>
      <c r="CX247" s="243"/>
      <c r="CY247" s="243"/>
      <c r="CZ247" s="243"/>
      <c r="DA247" s="243"/>
      <c r="DB247" s="243"/>
      <c r="DC247" s="243"/>
      <c r="DD247" s="243"/>
      <c r="DE247" s="243"/>
      <c r="DF247" s="243"/>
      <c r="DG247" s="243"/>
      <c r="DH247" s="243"/>
      <c r="DI247" s="243"/>
      <c r="DJ247" s="243"/>
      <c r="DK247" s="243"/>
      <c r="DM247" s="242"/>
      <c r="DO247" s="243"/>
      <c r="DQ247" s="242"/>
      <c r="DS247" s="243"/>
      <c r="DU247" s="242"/>
      <c r="DW247" s="243"/>
      <c r="DY247" s="242"/>
      <c r="EA247" s="243"/>
    </row>
    <row r="248" spans="1:131">
      <c r="A248" s="20"/>
      <c r="B248" s="124" t="str">
        <f t="shared" si="230"/>
        <v/>
      </c>
      <c r="C248" s="235"/>
      <c r="D248" s="24">
        <f>'1% Wind'!$M$86</f>
        <v>15.5</v>
      </c>
      <c r="E248" s="90"/>
      <c r="F248" s="90"/>
      <c r="G248" s="79" t="e">
        <f ca="1">IF(I243=0.9743,$G247,MAX(G247/D247*D248,2))</f>
        <v>#N/A</v>
      </c>
      <c r="H248" s="121" t="e">
        <f t="shared" ca="1" si="231"/>
        <v>#N/A</v>
      </c>
      <c r="J248" s="33"/>
      <c r="K248" s="242">
        <f t="shared" si="232"/>
        <v>1</v>
      </c>
      <c r="L248" s="241" t="e">
        <f t="shared" ca="1" si="233"/>
        <v>#N/A</v>
      </c>
      <c r="M248" s="243" t="e">
        <f ca="1">IF(AND(INDEX(FlowCalConstA,MATCH(J243,FlowCalNumber,0),1,1)*L248^INDEX(FlowCalConstB,MATCH(J243,FlowCalNumber,0),1,1)&gt;INDEX(FlowCalLowSetting,MATCH(J243,FlowCalNumber,0),1,1), (INDEX(FlowCalConstA,MATCH(J243,FlowCalNumber,0),1,1)*L248^INDEX(FlowCalConstB,MATCH(J243,FlowCalNumber,0),1,1)&lt;INDEX(FlowCalHighSetting,MATCH(J243,FlowCalNumber,0),1,1))),INDEX(FlowCalConstA,MATCH(J243,FlowCalNumber,0),1,1)*L248^INDEX(FlowCalConstB,MATCH(J243,FlowCalNumber,0),1,1)," ")</f>
        <v>#N/A</v>
      </c>
      <c r="N248" s="33"/>
      <c r="O248" s="242">
        <f t="shared" si="234"/>
        <v>1</v>
      </c>
      <c r="P248" s="241" t="e">
        <f t="shared" ca="1" si="235"/>
        <v>#N/A</v>
      </c>
      <c r="Q248" s="243" t="e">
        <f ca="1">IF(AND(INDEX(FlowCalConstA,MATCH(N243,FlowCalNumber,0),1,1)*P248^INDEX(FlowCalConstB,MATCH(N243,FlowCalNumber,0),1,1)&gt;INDEX(FlowCalLowSetting,MATCH(N243,FlowCalNumber,0),1,1), (INDEX(FlowCalConstA,MATCH(N243,FlowCalNumber,0),1,1)*P248^INDEX(FlowCalConstB,MATCH(N243,FlowCalNumber,0),1,1)&lt;INDEX(FlowCalHighSetting,MATCH(N243,FlowCalNumber,0),1,1))),INDEX(FlowCalConstA,MATCH(N243,FlowCalNumber,0),1,1)*P248^INDEX(FlowCalConstB,MATCH(N243,FlowCalNumber,0),1,1)," ")</f>
        <v>#N/A</v>
      </c>
      <c r="R248" s="33"/>
      <c r="S248" s="242">
        <f t="shared" si="236"/>
        <v>1</v>
      </c>
      <c r="T248" s="241" t="e">
        <f t="shared" ca="1" si="237"/>
        <v>#N/A</v>
      </c>
      <c r="U248" s="244" t="e">
        <f ca="1">IF(AND(INDEX(FlowCalConstA,MATCH(R243,FlowCalNumber,0),1,1)*T248^INDEX(FlowCalConstB,MATCH(R243,FlowCalNumber,0),1,1)&gt;INDEX(FlowCalLowSetting,MATCH(R243,FlowCalNumber,0),1,1), (INDEX(FlowCalConstA,MATCH(R243,FlowCalNumber,0),1,1)*T248^INDEX(FlowCalConstB,MATCH(R243,FlowCalNumber,0),1,1)&lt;INDEX(FlowCalHighSetting,MATCH(R243,FlowCalNumber,0),1,1))),INDEX(FlowCalConstA,MATCH(R243,FlowCalNumber,0),1,1)*T248^INDEX(FlowCalConstB,MATCH(R243,FlowCalNumber,0),1,1)," ")</f>
        <v>#N/A</v>
      </c>
      <c r="V248" s="33"/>
      <c r="W248" s="242">
        <f t="shared" si="238"/>
        <v>0.1</v>
      </c>
      <c r="X248" s="241" t="e">
        <f t="shared" ca="1" si="239"/>
        <v>#N/A</v>
      </c>
      <c r="Y248" s="243" t="e">
        <f ca="1">IF(AND(INDEX(FlowCalConstA,MATCH(V243,FlowCalNumber,0),1,1)*X248^INDEX(FlowCalConstB,MATCH(V243,FlowCalNumber,0),1,1)&gt;INDEX(FlowCalLowSetting,MATCH(V243,FlowCalNumber,0),1,1), (INDEX(FlowCalConstA,MATCH(V243,FlowCalNumber,0),1,1)*X248^INDEX(FlowCalConstB,MATCH(V243,FlowCalNumber,0),1,1)&lt;INDEX(FlowCalHighSetting,MATCH(V243,FlowCalNumber,0),1,1))),INDEX(FlowCalConstA,MATCH(V243,FlowCalNumber,0),1,1)*X248^INDEX(FlowCalConstB,MATCH(V243,FlowCalNumber,0),1,1)," ")</f>
        <v>#N/A</v>
      </c>
      <c r="Z248" s="33"/>
      <c r="AA248" s="242">
        <f t="shared" si="240"/>
        <v>0.9</v>
      </c>
      <c r="AB248" s="241" t="e">
        <f t="shared" ca="1" si="241"/>
        <v>#N/A</v>
      </c>
      <c r="AC248" s="243" t="e">
        <f ca="1">IF(AND(INDEX(FlowCalConstA,MATCH(Z243,FlowCalNumber,0),1,1)*AB248^INDEX(FlowCalConstB,MATCH(Z243,FlowCalNumber,0),1,1)&gt;INDEX(FlowCalLowSetting,MATCH(Z243,FlowCalNumber,0),1,1), (INDEX(FlowCalConstA,MATCH(Z243,FlowCalNumber,0),1,1)*AB248^INDEX(FlowCalConstB,MATCH(Z243,FlowCalNumber,0),1,1)&lt;INDEX(FlowCalHighSetting,MATCH(Z243,FlowCalNumber,0),1,1))),INDEX(FlowCalConstA,MATCH(Z243,FlowCalNumber,0),1,1)*AB248^INDEX(FlowCalConstB,MATCH(Z243,FlowCalNumber,0),1,1)," ")</f>
        <v>#N/A</v>
      </c>
      <c r="AD248" s="33"/>
      <c r="AE248" s="242">
        <f t="shared" si="242"/>
        <v>0.1</v>
      </c>
      <c r="AF248" s="241" t="e">
        <f t="shared" ca="1" si="243"/>
        <v>#N/A</v>
      </c>
      <c r="AG248" s="243" t="e">
        <f ca="1">IF(AND(INDEX(FlowCalConstA,MATCH(AD243,FlowCalNumber,0),1,1)*AF248^INDEX(FlowCalConstB,MATCH(AD243,FlowCalNumber,0),1,1)&gt;INDEX(FlowCalLowSetting,MATCH(AD243,FlowCalNumber,0),1,1), (INDEX(FlowCalConstA,MATCH(AD243,FlowCalNumber,0),1,1)*AF248^INDEX(FlowCalConstB,MATCH(AD243,FlowCalNumber,0),1,1)&lt;INDEX(FlowCalHighSetting,MATCH(AD243,FlowCalNumber,0),1,1))),INDEX(FlowCalConstA,MATCH(AD243,FlowCalNumber,0),1,1)*AF248^INDEX(FlowCalConstB,MATCH(AD243,FlowCalNumber,0),1,1)," ")</f>
        <v>#N/A</v>
      </c>
      <c r="AH248" s="33"/>
      <c r="AI248" s="242">
        <f t="shared" si="244"/>
        <v>0.9</v>
      </c>
      <c r="AJ248" s="241" t="e">
        <f t="shared" ca="1" si="245"/>
        <v>#N/A</v>
      </c>
      <c r="AK248" s="243" t="e">
        <f ca="1">IF(AND(INDEX(FlowCalConstA,MATCH(AH243,FlowCalNumber,0),1,1)*AJ248^INDEX(FlowCalConstB,MATCH(AH243,FlowCalNumber,0),1,1)&gt;INDEX(FlowCalLowSetting,MATCH(AH243,FlowCalNumber,0),1,1), (INDEX(FlowCalConstA,MATCH(AH243,FlowCalNumber,0),1,1)*AJ248^INDEX(FlowCalConstB,MATCH(AH243,FlowCalNumber,0),1,1)&lt;INDEX(FlowCalHighSetting,MATCH(AH243,FlowCalNumber,0),1,1))),INDEX(FlowCalConstA,MATCH(AH243,FlowCalNumber,0),1,1)*AJ248^INDEX(FlowCalConstB,MATCH(AH243,FlowCalNumber,0),1,1)," ")</f>
        <v>#N/A</v>
      </c>
      <c r="AL248" s="33"/>
      <c r="AM248" s="242"/>
      <c r="AN248" s="241"/>
      <c r="AO248" s="244"/>
      <c r="AQ248" s="242"/>
      <c r="AR248" s="241"/>
      <c r="AS248" s="244"/>
      <c r="AT248" s="33"/>
      <c r="AU248" s="242"/>
      <c r="AV248" s="241"/>
      <c r="AW248" s="244"/>
      <c r="AX248" s="33"/>
      <c r="AY248" s="242"/>
      <c r="AZ248" s="241"/>
      <c r="BA248" s="244"/>
      <c r="BB248" s="33"/>
      <c r="BC248" s="242"/>
      <c r="BD248" s="241"/>
      <c r="BE248" s="244"/>
      <c r="BF248" s="33"/>
      <c r="BG248" s="242"/>
      <c r="BH248" s="241"/>
      <c r="BI248" s="244"/>
      <c r="BJ248" s="33"/>
      <c r="BK248" s="242"/>
      <c r="BL248" s="241"/>
      <c r="BM248" s="244"/>
      <c r="BN248" s="33"/>
      <c r="BO248" s="242"/>
      <c r="BP248" s="241"/>
      <c r="BQ248" s="244"/>
      <c r="BR248" s="33"/>
      <c r="BS248" s="242"/>
      <c r="BT248" s="241"/>
      <c r="BU248" s="244"/>
      <c r="BV248" s="33"/>
      <c r="BW248" s="242"/>
      <c r="BX248" s="241"/>
      <c r="BY248" s="244"/>
      <c r="BZ248" s="33"/>
      <c r="CA248" s="242"/>
      <c r="CB248" s="241"/>
      <c r="CC248" s="244"/>
      <c r="CD248" s="243"/>
      <c r="CE248" s="243"/>
      <c r="CF248" s="243"/>
      <c r="CG248" s="243"/>
      <c r="CH248" s="243"/>
      <c r="CI248" s="243"/>
      <c r="CJ248" s="243"/>
      <c r="CK248" s="243"/>
      <c r="CL248" s="243"/>
      <c r="CM248" s="243"/>
      <c r="CN248" s="243"/>
      <c r="CO248" s="243"/>
      <c r="CP248" s="243"/>
      <c r="CQ248" s="243"/>
      <c r="CR248" s="243"/>
      <c r="CS248" s="243"/>
      <c r="CT248" s="243"/>
      <c r="CU248" s="243"/>
      <c r="CV248" s="243"/>
      <c r="CW248" s="243"/>
      <c r="CX248" s="243"/>
      <c r="CY248" s="243"/>
      <c r="CZ248" s="243"/>
      <c r="DA248" s="243"/>
      <c r="DB248" s="243"/>
      <c r="DC248" s="243"/>
      <c r="DD248" s="243"/>
      <c r="DE248" s="243"/>
      <c r="DF248" s="243"/>
      <c r="DG248" s="243"/>
      <c r="DH248" s="243"/>
      <c r="DI248" s="243"/>
      <c r="DJ248" s="243"/>
      <c r="DK248" s="243"/>
      <c r="DM248" s="242"/>
      <c r="DO248" s="243"/>
      <c r="DQ248" s="242"/>
      <c r="DS248" s="243"/>
      <c r="DU248" s="242"/>
      <c r="DW248" s="243"/>
      <c r="DY248" s="242"/>
      <c r="EA248" s="243"/>
    </row>
    <row r="249" spans="1:131">
      <c r="A249" s="20"/>
      <c r="B249" s="124" t="str">
        <f t="shared" si="230"/>
        <v/>
      </c>
      <c r="C249" s="235"/>
      <c r="D249" s="24">
        <f>'1% Wind'!$M$87</f>
        <v>13.5</v>
      </c>
      <c r="E249" s="90"/>
      <c r="F249" s="90"/>
      <c r="G249" s="79" t="e">
        <f ca="1">IF(I243=0.9743,$G248,MAX(G248/D248*D249,2))</f>
        <v>#N/A</v>
      </c>
      <c r="H249" s="121" t="e">
        <f t="shared" ca="1" si="231"/>
        <v>#N/A</v>
      </c>
      <c r="J249" s="33"/>
      <c r="K249" s="242">
        <f t="shared" si="232"/>
        <v>1</v>
      </c>
      <c r="L249" s="241" t="e">
        <f t="shared" ca="1" si="233"/>
        <v>#N/A</v>
      </c>
      <c r="M249" s="243" t="e">
        <f ca="1">IF(AND(INDEX(FlowCalConstA,MATCH(J243,FlowCalNumber,0),1,1)*L249^INDEX(FlowCalConstB,MATCH(J243,FlowCalNumber,0),1,1)&gt;INDEX(FlowCalLowSetting,MATCH(J243,FlowCalNumber,0),1,1), (INDEX(FlowCalConstA,MATCH(J243,FlowCalNumber,0),1,1)*L249^INDEX(FlowCalConstB,MATCH(J243,FlowCalNumber,0),1,1)&lt;INDEX(FlowCalHighSetting,MATCH(J243,FlowCalNumber,0),1,1))),INDEX(FlowCalConstA,MATCH(J243,FlowCalNumber,0),1,1)*L249^INDEX(FlowCalConstB,MATCH(J243,FlowCalNumber,0),1,1)," ")</f>
        <v>#N/A</v>
      </c>
      <c r="N249" s="33"/>
      <c r="O249" s="242">
        <f t="shared" si="234"/>
        <v>1</v>
      </c>
      <c r="P249" s="241" t="e">
        <f t="shared" ca="1" si="235"/>
        <v>#N/A</v>
      </c>
      <c r="Q249" s="243" t="e">
        <f ca="1">IF(AND(INDEX(FlowCalConstA,MATCH(N243,FlowCalNumber,0),1,1)*P249^INDEX(FlowCalConstB,MATCH(N243,FlowCalNumber,0),1,1)&gt;INDEX(FlowCalLowSetting,MATCH(N243,FlowCalNumber,0),1,1), (INDEX(FlowCalConstA,MATCH(N243,FlowCalNumber,0),1,1)*P249^INDEX(FlowCalConstB,MATCH(N243,FlowCalNumber,0),1,1)&lt;INDEX(FlowCalHighSetting,MATCH(N243,FlowCalNumber,0),1,1))),INDEX(FlowCalConstA,MATCH(N243,FlowCalNumber,0),1,1)*P249^INDEX(FlowCalConstB,MATCH(N243,FlowCalNumber,0),1,1)," ")</f>
        <v>#N/A</v>
      </c>
      <c r="R249" s="33"/>
      <c r="S249" s="242">
        <f t="shared" si="236"/>
        <v>1</v>
      </c>
      <c r="T249" s="241" t="e">
        <f t="shared" ca="1" si="237"/>
        <v>#N/A</v>
      </c>
      <c r="U249" s="244" t="e">
        <f ca="1">IF(AND(INDEX(FlowCalConstA,MATCH(R243,FlowCalNumber,0),1,1)*T249^INDEX(FlowCalConstB,MATCH(R243,FlowCalNumber,0),1,1)&gt;INDEX(FlowCalLowSetting,MATCH(R243,FlowCalNumber,0),1,1), (INDEX(FlowCalConstA,MATCH(R243,FlowCalNumber,0),1,1)*T249^INDEX(FlowCalConstB,MATCH(R243,FlowCalNumber,0),1,1)&lt;INDEX(FlowCalHighSetting,MATCH(R243,FlowCalNumber,0),1,1))),INDEX(FlowCalConstA,MATCH(R243,FlowCalNumber,0),1,1)*T249^INDEX(FlowCalConstB,MATCH(R243,FlowCalNumber,0),1,1)," ")</f>
        <v>#N/A</v>
      </c>
      <c r="V249" s="33"/>
      <c r="W249" s="242">
        <f t="shared" si="238"/>
        <v>0.1</v>
      </c>
      <c r="X249" s="241" t="e">
        <f t="shared" ca="1" si="239"/>
        <v>#N/A</v>
      </c>
      <c r="Y249" s="243" t="e">
        <f ca="1">IF(AND(INDEX(FlowCalConstA,MATCH(V243,FlowCalNumber,0),1,1)*X249^INDEX(FlowCalConstB,MATCH(V243,FlowCalNumber,0),1,1)&gt;INDEX(FlowCalLowSetting,MATCH(V243,FlowCalNumber,0),1,1), (INDEX(FlowCalConstA,MATCH(V243,FlowCalNumber,0),1,1)*X249^INDEX(FlowCalConstB,MATCH(V243,FlowCalNumber,0),1,1)&lt;INDEX(FlowCalHighSetting,MATCH(V243,FlowCalNumber,0),1,1))),INDEX(FlowCalConstA,MATCH(V243,FlowCalNumber,0),1,1)*X249^INDEX(FlowCalConstB,MATCH(V243,FlowCalNumber,0),1,1)," ")</f>
        <v>#N/A</v>
      </c>
      <c r="Z249" s="33"/>
      <c r="AA249" s="242">
        <f t="shared" si="240"/>
        <v>0.9</v>
      </c>
      <c r="AB249" s="241" t="e">
        <f t="shared" ca="1" si="241"/>
        <v>#N/A</v>
      </c>
      <c r="AC249" s="243" t="e">
        <f ca="1">IF(AND(INDEX(FlowCalConstA,MATCH(Z243,FlowCalNumber,0),1,1)*AB249^INDEX(FlowCalConstB,MATCH(Z243,FlowCalNumber,0),1,1)&gt;INDEX(FlowCalLowSetting,MATCH(Z243,FlowCalNumber,0),1,1), (INDEX(FlowCalConstA,MATCH(Z243,FlowCalNumber,0),1,1)*AB249^INDEX(FlowCalConstB,MATCH(Z243,FlowCalNumber,0),1,1)&lt;INDEX(FlowCalHighSetting,MATCH(Z243,FlowCalNumber,0),1,1))),INDEX(FlowCalConstA,MATCH(Z243,FlowCalNumber,0),1,1)*AB249^INDEX(FlowCalConstB,MATCH(Z243,FlowCalNumber,0),1,1)," ")</f>
        <v>#N/A</v>
      </c>
      <c r="AD249" s="33"/>
      <c r="AE249" s="242">
        <f t="shared" si="242"/>
        <v>0.1</v>
      </c>
      <c r="AF249" s="241" t="e">
        <f t="shared" ca="1" si="243"/>
        <v>#N/A</v>
      </c>
      <c r="AG249" s="243" t="e">
        <f ca="1">IF(AND(INDEX(FlowCalConstA,MATCH(AD243,FlowCalNumber,0),1,1)*AF249^INDEX(FlowCalConstB,MATCH(AD243,FlowCalNumber,0),1,1)&gt;INDEX(FlowCalLowSetting,MATCH(AD243,FlowCalNumber,0),1,1), (INDEX(FlowCalConstA,MATCH(AD243,FlowCalNumber,0),1,1)*AF249^INDEX(FlowCalConstB,MATCH(AD243,FlowCalNumber,0),1,1)&lt;INDEX(FlowCalHighSetting,MATCH(AD243,FlowCalNumber,0),1,1))),INDEX(FlowCalConstA,MATCH(AD243,FlowCalNumber,0),1,1)*AF249^INDEX(FlowCalConstB,MATCH(AD243,FlowCalNumber,0),1,1)," ")</f>
        <v>#N/A</v>
      </c>
      <c r="AH249" s="33"/>
      <c r="AI249" s="242">
        <f t="shared" si="244"/>
        <v>0.9</v>
      </c>
      <c r="AJ249" s="241" t="e">
        <f t="shared" ca="1" si="245"/>
        <v>#N/A</v>
      </c>
      <c r="AK249" s="243" t="e">
        <f ca="1">IF(AND(INDEX(FlowCalConstA,MATCH(AH243,FlowCalNumber,0),1,1)*AJ249^INDEX(FlowCalConstB,MATCH(AH243,FlowCalNumber,0),1,1)&gt;INDEX(FlowCalLowSetting,MATCH(AH243,FlowCalNumber,0),1,1), (INDEX(FlowCalConstA,MATCH(AH243,FlowCalNumber,0),1,1)*AJ249^INDEX(FlowCalConstB,MATCH(AH243,FlowCalNumber,0),1,1)&lt;INDEX(FlowCalHighSetting,MATCH(AH243,FlowCalNumber,0),1,1))),INDEX(FlowCalConstA,MATCH(AH243,FlowCalNumber,0),1,1)*AJ249^INDEX(FlowCalConstB,MATCH(AH243,FlowCalNumber,0),1,1)," ")</f>
        <v>#N/A</v>
      </c>
      <c r="AL249" s="33"/>
      <c r="AM249" s="242"/>
      <c r="AN249" s="241"/>
      <c r="AO249" s="244"/>
      <c r="AQ249" s="242"/>
      <c r="AR249" s="241"/>
      <c r="AS249" s="244"/>
      <c r="AT249" s="33"/>
      <c r="AU249" s="242"/>
      <c r="AV249" s="241"/>
      <c r="AW249" s="244"/>
      <c r="AX249" s="33"/>
      <c r="AY249" s="242"/>
      <c r="AZ249" s="241"/>
      <c r="BA249" s="244"/>
      <c r="BB249" s="33"/>
      <c r="BC249" s="242"/>
      <c r="BD249" s="241"/>
      <c r="BE249" s="244"/>
      <c r="BF249" s="33"/>
      <c r="BG249" s="242"/>
      <c r="BH249" s="241"/>
      <c r="BI249" s="244"/>
      <c r="BJ249" s="33"/>
      <c r="BK249" s="242"/>
      <c r="BL249" s="241"/>
      <c r="BM249" s="244"/>
      <c r="BN249" s="33"/>
      <c r="BO249" s="242"/>
      <c r="BP249" s="241"/>
      <c r="BQ249" s="244"/>
      <c r="BR249" s="33"/>
      <c r="BS249" s="242"/>
      <c r="BT249" s="241"/>
      <c r="BU249" s="244"/>
      <c r="BV249" s="33"/>
      <c r="BW249" s="242"/>
      <c r="BX249" s="241"/>
      <c r="BY249" s="244"/>
      <c r="BZ249" s="33"/>
      <c r="CA249" s="242"/>
      <c r="CB249" s="241"/>
      <c r="CC249" s="244"/>
      <c r="CD249" s="243"/>
      <c r="CE249" s="243"/>
      <c r="CF249" s="243"/>
      <c r="CG249" s="243"/>
      <c r="CH249" s="243"/>
      <c r="CI249" s="243"/>
      <c r="CJ249" s="243"/>
      <c r="CK249" s="243"/>
      <c r="CL249" s="243"/>
      <c r="CM249" s="243"/>
      <c r="CN249" s="243"/>
      <c r="CO249" s="243"/>
      <c r="CP249" s="243"/>
      <c r="CQ249" s="243"/>
      <c r="CR249" s="243"/>
      <c r="CS249" s="243"/>
      <c r="CT249" s="243"/>
      <c r="CU249" s="243"/>
      <c r="CV249" s="243"/>
      <c r="CW249" s="243"/>
      <c r="CX249" s="243"/>
      <c r="CY249" s="243"/>
      <c r="CZ249" s="243"/>
      <c r="DA249" s="243"/>
      <c r="DB249" s="243"/>
      <c r="DC249" s="243"/>
      <c r="DD249" s="243"/>
      <c r="DE249" s="243"/>
      <c r="DF249" s="243"/>
      <c r="DG249" s="243"/>
      <c r="DH249" s="243"/>
      <c r="DI249" s="243"/>
      <c r="DJ249" s="243"/>
      <c r="DK249" s="243"/>
      <c r="DM249" s="242"/>
      <c r="DO249" s="243"/>
      <c r="DQ249" s="242"/>
      <c r="DS249" s="243"/>
      <c r="DU249" s="242"/>
      <c r="DW249" s="243"/>
      <c r="DY249" s="242"/>
      <c r="EA249" s="243"/>
    </row>
    <row r="250" spans="1:131">
      <c r="A250" s="20"/>
      <c r="B250" s="124" t="str">
        <f t="shared" si="230"/>
        <v/>
      </c>
      <c r="C250" s="235"/>
      <c r="D250" s="24">
        <f>'1% Wind'!$M$88</f>
        <v>10.1</v>
      </c>
      <c r="E250" s="90"/>
      <c r="F250" s="90"/>
      <c r="G250" s="79" t="e">
        <f ca="1">IF(I243=0.9743,$G249,MAX(G249/D249*D250,2))</f>
        <v>#N/A</v>
      </c>
      <c r="H250" s="121" t="e">
        <f t="shared" ca="1" si="231"/>
        <v>#N/A</v>
      </c>
      <c r="J250" s="33"/>
      <c r="K250" s="242">
        <f t="shared" si="232"/>
        <v>1</v>
      </c>
      <c r="L250" s="241" t="e">
        <f t="shared" ca="1" si="233"/>
        <v>#N/A</v>
      </c>
      <c r="M250" s="243" t="e">
        <f ca="1">IF(AND(INDEX(FlowCalConstA,MATCH(J243,FlowCalNumber,0),1,1)*L250^INDEX(FlowCalConstB,MATCH(J243,FlowCalNumber,0),1,1)&gt;INDEX(FlowCalLowSetting,MATCH(J243,FlowCalNumber,0),1,1), (INDEX(FlowCalConstA,MATCH(J243,FlowCalNumber,0),1,1)*L250^INDEX(FlowCalConstB,MATCH(J243,FlowCalNumber,0),1,1)&lt;INDEX(FlowCalHighSetting,MATCH(J243,FlowCalNumber,0),1,1))),INDEX(FlowCalConstA,MATCH(J243,FlowCalNumber,0),1,1)*L250^INDEX(FlowCalConstB,MATCH(J243,FlowCalNumber,0),1,1)," ")</f>
        <v>#N/A</v>
      </c>
      <c r="N250" s="33"/>
      <c r="O250" s="242">
        <f t="shared" si="234"/>
        <v>1</v>
      </c>
      <c r="P250" s="241" t="e">
        <f t="shared" ca="1" si="235"/>
        <v>#N/A</v>
      </c>
      <c r="Q250" s="243" t="e">
        <f ca="1">IF(AND(INDEX(FlowCalConstA,MATCH(N243,FlowCalNumber,0),1,1)*P250^INDEX(FlowCalConstB,MATCH(N243,FlowCalNumber,0),1,1)&gt;INDEX(FlowCalLowSetting,MATCH(N243,FlowCalNumber,0),1,1), (INDEX(FlowCalConstA,MATCH(N243,FlowCalNumber,0),1,1)*P250^INDEX(FlowCalConstB,MATCH(N243,FlowCalNumber,0),1,1)&lt;INDEX(FlowCalHighSetting,MATCH(N243,FlowCalNumber,0),1,1))),INDEX(FlowCalConstA,MATCH(N243,FlowCalNumber,0),1,1)*P250^INDEX(FlowCalConstB,MATCH(N243,FlowCalNumber,0),1,1)," ")</f>
        <v>#N/A</v>
      </c>
      <c r="R250" s="33"/>
      <c r="S250" s="242">
        <f t="shared" si="236"/>
        <v>1</v>
      </c>
      <c r="T250" s="241" t="e">
        <f t="shared" ca="1" si="237"/>
        <v>#N/A</v>
      </c>
      <c r="U250" s="244" t="e">
        <f ca="1">IF(AND(INDEX(FlowCalConstA,MATCH(R243,FlowCalNumber,0),1,1)*T250^INDEX(FlowCalConstB,MATCH(R243,FlowCalNumber,0),1,1)&gt;INDEX(FlowCalLowSetting,MATCH(R243,FlowCalNumber,0),1,1), (INDEX(FlowCalConstA,MATCH(R243,FlowCalNumber,0),1,1)*T250^INDEX(FlowCalConstB,MATCH(R243,FlowCalNumber,0),1,1)&lt;INDEX(FlowCalHighSetting,MATCH(R243,FlowCalNumber,0),1,1))),INDEX(FlowCalConstA,MATCH(R243,FlowCalNumber,0),1,1)*T250^INDEX(FlowCalConstB,MATCH(R243,FlowCalNumber,0),1,1)," ")</f>
        <v>#N/A</v>
      </c>
      <c r="V250" s="33"/>
      <c r="W250" s="242">
        <f t="shared" si="238"/>
        <v>0.1</v>
      </c>
      <c r="X250" s="241" t="e">
        <f t="shared" ca="1" si="239"/>
        <v>#N/A</v>
      </c>
      <c r="Y250" s="243" t="e">
        <f ca="1">IF(AND(INDEX(FlowCalConstA,MATCH(V243,FlowCalNumber,0),1,1)*X250^INDEX(FlowCalConstB,MATCH(V243,FlowCalNumber,0),1,1)&gt;INDEX(FlowCalLowSetting,MATCH(V243,FlowCalNumber,0),1,1), (INDEX(FlowCalConstA,MATCH(V243,FlowCalNumber,0),1,1)*X250^INDEX(FlowCalConstB,MATCH(V243,FlowCalNumber,0),1,1)&lt;INDEX(FlowCalHighSetting,MATCH(V243,FlowCalNumber,0),1,1))),INDEX(FlowCalConstA,MATCH(V243,FlowCalNumber,0),1,1)*X250^INDEX(FlowCalConstB,MATCH(V243,FlowCalNumber,0),1,1)," ")</f>
        <v>#N/A</v>
      </c>
      <c r="Z250" s="33"/>
      <c r="AA250" s="242">
        <f t="shared" si="240"/>
        <v>0.9</v>
      </c>
      <c r="AB250" s="241" t="e">
        <f t="shared" ca="1" si="241"/>
        <v>#N/A</v>
      </c>
      <c r="AC250" s="243" t="e">
        <f ca="1">IF(AND(INDEX(FlowCalConstA,MATCH(Z243,FlowCalNumber,0),1,1)*AB250^INDEX(FlowCalConstB,MATCH(Z243,FlowCalNumber,0),1,1)&gt;INDEX(FlowCalLowSetting,MATCH(Z243,FlowCalNumber,0),1,1), (INDEX(FlowCalConstA,MATCH(Z243,FlowCalNumber,0),1,1)*AB250^INDEX(FlowCalConstB,MATCH(Z243,FlowCalNumber,0),1,1)&lt;INDEX(FlowCalHighSetting,MATCH(Z243,FlowCalNumber,0),1,1))),INDEX(FlowCalConstA,MATCH(Z243,FlowCalNumber,0),1,1)*AB250^INDEX(FlowCalConstB,MATCH(Z243,FlowCalNumber,0),1,1)," ")</f>
        <v>#N/A</v>
      </c>
      <c r="AD250" s="33"/>
      <c r="AE250" s="242">
        <f t="shared" si="242"/>
        <v>0.1</v>
      </c>
      <c r="AF250" s="241" t="e">
        <f t="shared" ca="1" si="243"/>
        <v>#N/A</v>
      </c>
      <c r="AG250" s="243" t="e">
        <f ca="1">IF(AND(INDEX(FlowCalConstA,MATCH(AD243,FlowCalNumber,0),1,1)*AF250^INDEX(FlowCalConstB,MATCH(AD243,FlowCalNumber,0),1,1)&gt;INDEX(FlowCalLowSetting,MATCH(AD243,FlowCalNumber,0),1,1), (INDEX(FlowCalConstA,MATCH(AD243,FlowCalNumber,0),1,1)*AF250^INDEX(FlowCalConstB,MATCH(AD243,FlowCalNumber,0),1,1)&lt;INDEX(FlowCalHighSetting,MATCH(AD243,FlowCalNumber,0),1,1))),INDEX(FlowCalConstA,MATCH(AD243,FlowCalNumber,0),1,1)*AF250^INDEX(FlowCalConstB,MATCH(AD243,FlowCalNumber,0),1,1)," ")</f>
        <v>#N/A</v>
      </c>
      <c r="AH250" s="33"/>
      <c r="AI250" s="242">
        <f t="shared" si="244"/>
        <v>0.9</v>
      </c>
      <c r="AJ250" s="241" t="e">
        <f t="shared" ca="1" si="245"/>
        <v>#N/A</v>
      </c>
      <c r="AK250" s="243" t="e">
        <f ca="1">IF(AND(INDEX(FlowCalConstA,MATCH(AH243,FlowCalNumber,0),1,1)*AJ250^INDEX(FlowCalConstB,MATCH(AH243,FlowCalNumber,0),1,1)&gt;INDEX(FlowCalLowSetting,MATCH(AH243,FlowCalNumber,0),1,1), (INDEX(FlowCalConstA,MATCH(AH243,FlowCalNumber,0),1,1)*AJ250^INDEX(FlowCalConstB,MATCH(AH243,FlowCalNumber,0),1,1)&lt;INDEX(FlowCalHighSetting,MATCH(AH243,FlowCalNumber,0),1,1))),INDEX(FlowCalConstA,MATCH(AH243,FlowCalNumber,0),1,1)*AJ250^INDEX(FlowCalConstB,MATCH(AH243,FlowCalNumber,0),1,1)," ")</f>
        <v>#N/A</v>
      </c>
      <c r="AL250" s="33"/>
      <c r="AM250" s="242"/>
      <c r="AN250" s="241"/>
      <c r="AO250" s="244"/>
      <c r="AQ250" s="242"/>
      <c r="AR250" s="241"/>
      <c r="AS250" s="244"/>
      <c r="AT250" s="33"/>
      <c r="AU250" s="242"/>
      <c r="AV250" s="241"/>
      <c r="AW250" s="244"/>
      <c r="AX250" s="33"/>
      <c r="AY250" s="242"/>
      <c r="AZ250" s="241"/>
      <c r="BA250" s="244"/>
      <c r="BB250" s="33"/>
      <c r="BC250" s="242"/>
      <c r="BD250" s="241"/>
      <c r="BE250" s="244"/>
      <c r="BF250" s="33"/>
      <c r="BG250" s="242"/>
      <c r="BH250" s="241"/>
      <c r="BI250" s="244"/>
      <c r="BJ250" s="33"/>
      <c r="BK250" s="242"/>
      <c r="BL250" s="241"/>
      <c r="BM250" s="244"/>
      <c r="BN250" s="33"/>
      <c r="BO250" s="242"/>
      <c r="BP250" s="241"/>
      <c r="BQ250" s="244"/>
      <c r="BR250" s="33"/>
      <c r="BS250" s="242"/>
      <c r="BT250" s="241"/>
      <c r="BU250" s="244"/>
      <c r="BV250" s="33"/>
      <c r="BW250" s="242"/>
      <c r="BX250" s="241"/>
      <c r="BY250" s="244"/>
      <c r="BZ250" s="33"/>
      <c r="CA250" s="242"/>
      <c r="CB250" s="241"/>
      <c r="CC250" s="244"/>
      <c r="CD250" s="243"/>
      <c r="CE250" s="243"/>
      <c r="CF250" s="243"/>
      <c r="CG250" s="243"/>
      <c r="CH250" s="243"/>
      <c r="CI250" s="243"/>
      <c r="CJ250" s="243"/>
      <c r="CK250" s="243"/>
      <c r="CL250" s="243"/>
      <c r="CM250" s="243"/>
      <c r="CN250" s="243"/>
      <c r="CO250" s="243"/>
      <c r="CP250" s="243"/>
      <c r="CQ250" s="243"/>
      <c r="CR250" s="243"/>
      <c r="CS250" s="243"/>
      <c r="CT250" s="243"/>
      <c r="CU250" s="243"/>
      <c r="CV250" s="243"/>
      <c r="CW250" s="243"/>
      <c r="CX250" s="243"/>
      <c r="CY250" s="243"/>
      <c r="CZ250" s="243"/>
      <c r="DA250" s="243"/>
      <c r="DB250" s="243"/>
      <c r="DC250" s="243"/>
      <c r="DD250" s="243"/>
      <c r="DE250" s="243"/>
      <c r="DF250" s="243"/>
      <c r="DG250" s="243"/>
      <c r="DH250" s="243"/>
      <c r="DI250" s="243"/>
      <c r="DJ250" s="243"/>
      <c r="DK250" s="243"/>
      <c r="DM250" s="242"/>
      <c r="DO250" s="243"/>
      <c r="DQ250" s="242"/>
      <c r="DS250" s="243"/>
      <c r="DU250" s="242"/>
      <c r="DW250" s="243"/>
      <c r="DY250" s="242"/>
      <c r="EA250" s="243"/>
    </row>
    <row r="251" spans="1:131">
      <c r="A251" s="20"/>
      <c r="B251" s="124" t="str">
        <f t="shared" si="230"/>
        <v/>
      </c>
      <c r="C251" s="235"/>
      <c r="D251" s="24">
        <f>'1% Wind'!$M$89</f>
        <v>7.6</v>
      </c>
      <c r="E251" s="90"/>
      <c r="F251" s="90"/>
      <c r="G251" s="79" t="e">
        <f ca="1">IF(I243=0.9743,$G250,MAX(G250/D250*D251,2))</f>
        <v>#N/A</v>
      </c>
      <c r="H251" s="121" t="e">
        <f t="shared" ca="1" si="231"/>
        <v>#N/A</v>
      </c>
      <c r="J251" s="33"/>
      <c r="K251" s="242">
        <f t="shared" si="232"/>
        <v>1</v>
      </c>
      <c r="L251" s="241" t="e">
        <f t="shared" ca="1" si="233"/>
        <v>#N/A</v>
      </c>
      <c r="M251" s="243" t="e">
        <f ca="1">IF(AND(INDEX(FlowCalConstA,MATCH(J243,FlowCalNumber,0),1,1)*L251^INDEX(FlowCalConstB,MATCH(J243,FlowCalNumber,0),1,1)&gt;INDEX(FlowCalLowSetting,MATCH(J243,FlowCalNumber,0),1,1), (INDEX(FlowCalConstA,MATCH(J243,FlowCalNumber,0),1,1)*L251^INDEX(FlowCalConstB,MATCH(J243,FlowCalNumber,0),1,1)&lt;INDEX(FlowCalHighSetting,MATCH(J243,FlowCalNumber,0),1,1))),INDEX(FlowCalConstA,MATCH(J243,FlowCalNumber,0),1,1)*L251^INDEX(FlowCalConstB,MATCH(J243,FlowCalNumber,0),1,1)," ")</f>
        <v>#N/A</v>
      </c>
      <c r="N251" s="33"/>
      <c r="O251" s="242">
        <f t="shared" si="234"/>
        <v>1</v>
      </c>
      <c r="P251" s="241" t="e">
        <f t="shared" ca="1" si="235"/>
        <v>#N/A</v>
      </c>
      <c r="Q251" s="243" t="e">
        <f ca="1">IF(AND(INDEX(FlowCalConstA,MATCH(N243,FlowCalNumber,0),1,1)*P251^INDEX(FlowCalConstB,MATCH(N243,FlowCalNumber,0),1,1)&gt;INDEX(FlowCalLowSetting,MATCH(N243,FlowCalNumber,0),1,1), (INDEX(FlowCalConstA,MATCH(N243,FlowCalNumber,0),1,1)*P251^INDEX(FlowCalConstB,MATCH(N243,FlowCalNumber,0),1,1)&lt;INDEX(FlowCalHighSetting,MATCH(N243,FlowCalNumber,0),1,1))),INDEX(FlowCalConstA,MATCH(N243,FlowCalNumber,0),1,1)*P251^INDEX(FlowCalConstB,MATCH(N243,FlowCalNumber,0),1,1)," ")</f>
        <v>#N/A</v>
      </c>
      <c r="R251" s="33"/>
      <c r="S251" s="242">
        <f t="shared" si="236"/>
        <v>1</v>
      </c>
      <c r="T251" s="241" t="e">
        <f t="shared" ca="1" si="237"/>
        <v>#N/A</v>
      </c>
      <c r="U251" s="244" t="e">
        <f ca="1">IF(AND(INDEX(FlowCalConstA,MATCH(R243,FlowCalNumber,0),1,1)*T251^INDEX(FlowCalConstB,MATCH(R243,FlowCalNumber,0),1,1)&gt;INDEX(FlowCalLowSetting,MATCH(R243,FlowCalNumber,0),1,1), (INDEX(FlowCalConstA,MATCH(R243,FlowCalNumber,0),1,1)*T251^INDEX(FlowCalConstB,MATCH(R243,FlowCalNumber,0),1,1)&lt;INDEX(FlowCalHighSetting,MATCH(R243,FlowCalNumber,0),1,1))),INDEX(FlowCalConstA,MATCH(R243,FlowCalNumber,0),1,1)*T251^INDEX(FlowCalConstB,MATCH(R243,FlowCalNumber,0),1,1)," ")</f>
        <v>#N/A</v>
      </c>
      <c r="V251" s="33"/>
      <c r="W251" s="242">
        <f t="shared" si="238"/>
        <v>0.1</v>
      </c>
      <c r="X251" s="241" t="e">
        <f t="shared" ca="1" si="239"/>
        <v>#N/A</v>
      </c>
      <c r="Y251" s="243" t="e">
        <f ca="1">IF(AND(INDEX(FlowCalConstA,MATCH(V243,FlowCalNumber,0),1,1)*X251^INDEX(FlowCalConstB,MATCH(V243,FlowCalNumber,0),1,1)&gt;INDEX(FlowCalLowSetting,MATCH(V243,FlowCalNumber,0),1,1), (INDEX(FlowCalConstA,MATCH(V243,FlowCalNumber,0),1,1)*X251^INDEX(FlowCalConstB,MATCH(V243,FlowCalNumber,0),1,1)&lt;INDEX(FlowCalHighSetting,MATCH(V243,FlowCalNumber,0),1,1))),INDEX(FlowCalConstA,MATCH(V243,FlowCalNumber,0),1,1)*X251^INDEX(FlowCalConstB,MATCH(V243,FlowCalNumber,0),1,1)," ")</f>
        <v>#N/A</v>
      </c>
      <c r="Z251" s="33"/>
      <c r="AA251" s="242">
        <f t="shared" si="240"/>
        <v>0.9</v>
      </c>
      <c r="AB251" s="241" t="e">
        <f t="shared" ca="1" si="241"/>
        <v>#N/A</v>
      </c>
      <c r="AC251" s="243" t="e">
        <f ca="1">IF(AND(INDEX(FlowCalConstA,MATCH(Z243,FlowCalNumber,0),1,1)*AB251^INDEX(FlowCalConstB,MATCH(Z243,FlowCalNumber,0),1,1)&gt;INDEX(FlowCalLowSetting,MATCH(Z243,FlowCalNumber,0),1,1), (INDEX(FlowCalConstA,MATCH(Z243,FlowCalNumber,0),1,1)*AB251^INDEX(FlowCalConstB,MATCH(Z243,FlowCalNumber,0),1,1)&lt;INDEX(FlowCalHighSetting,MATCH(Z243,FlowCalNumber,0),1,1))),INDEX(FlowCalConstA,MATCH(Z243,FlowCalNumber,0),1,1)*AB251^INDEX(FlowCalConstB,MATCH(Z243,FlowCalNumber,0),1,1)," ")</f>
        <v>#N/A</v>
      </c>
      <c r="AD251" s="33"/>
      <c r="AE251" s="242">
        <f t="shared" si="242"/>
        <v>0.1</v>
      </c>
      <c r="AF251" s="241" t="e">
        <f t="shared" ca="1" si="243"/>
        <v>#N/A</v>
      </c>
      <c r="AG251" s="243" t="e">
        <f ca="1">IF(AND(INDEX(FlowCalConstA,MATCH(AD243,FlowCalNumber,0),1,1)*AF251^INDEX(FlowCalConstB,MATCH(AD243,FlowCalNumber,0),1,1)&gt;INDEX(FlowCalLowSetting,MATCH(AD243,FlowCalNumber,0),1,1), (INDEX(FlowCalConstA,MATCH(AD243,FlowCalNumber,0),1,1)*AF251^INDEX(FlowCalConstB,MATCH(AD243,FlowCalNumber,0),1,1)&lt;INDEX(FlowCalHighSetting,MATCH(AD243,FlowCalNumber,0),1,1))),INDEX(FlowCalConstA,MATCH(AD243,FlowCalNumber,0),1,1)*AF251^INDEX(FlowCalConstB,MATCH(AD243,FlowCalNumber,0),1,1)," ")</f>
        <v>#N/A</v>
      </c>
      <c r="AH251" s="33"/>
      <c r="AI251" s="242">
        <f t="shared" si="244"/>
        <v>0.9</v>
      </c>
      <c r="AJ251" s="241" t="e">
        <f t="shared" ca="1" si="245"/>
        <v>#N/A</v>
      </c>
      <c r="AK251" s="243" t="e">
        <f ca="1">IF(AND(INDEX(FlowCalConstA,MATCH(AH243,FlowCalNumber,0),1,1)*AJ251^INDEX(FlowCalConstB,MATCH(AH243,FlowCalNumber,0),1,1)&gt;INDEX(FlowCalLowSetting,MATCH(AH243,FlowCalNumber,0),1,1), (INDEX(FlowCalConstA,MATCH(AH243,FlowCalNumber,0),1,1)*AJ251^INDEX(FlowCalConstB,MATCH(AH243,FlowCalNumber,0),1,1)&lt;INDEX(FlowCalHighSetting,MATCH(AH243,FlowCalNumber,0),1,1))),INDEX(FlowCalConstA,MATCH(AH243,FlowCalNumber,0),1,1)*AJ251^INDEX(FlowCalConstB,MATCH(AH243,FlowCalNumber,0),1,1)," ")</f>
        <v>#N/A</v>
      </c>
      <c r="AL251" s="33"/>
      <c r="AM251" s="242"/>
      <c r="AN251" s="241"/>
      <c r="AO251" s="244"/>
      <c r="AQ251" s="242"/>
      <c r="AR251" s="241"/>
      <c r="AS251" s="244"/>
      <c r="AT251" s="33"/>
      <c r="AU251" s="242"/>
      <c r="AV251" s="241"/>
      <c r="AW251" s="244"/>
      <c r="AX251" s="33"/>
      <c r="AY251" s="242"/>
      <c r="AZ251" s="241"/>
      <c r="BA251" s="244"/>
      <c r="BB251" s="33"/>
      <c r="BC251" s="242"/>
      <c r="BD251" s="241"/>
      <c r="BE251" s="244"/>
      <c r="BF251" s="33"/>
      <c r="BG251" s="242"/>
      <c r="BH251" s="241"/>
      <c r="BI251" s="244"/>
      <c r="BJ251" s="33"/>
      <c r="BK251" s="242"/>
      <c r="BL251" s="241"/>
      <c r="BM251" s="244"/>
      <c r="BN251" s="33"/>
      <c r="BO251" s="242"/>
      <c r="BP251" s="241"/>
      <c r="BQ251" s="244"/>
      <c r="BR251" s="33"/>
      <c r="BS251" s="242"/>
      <c r="BT251" s="241"/>
      <c r="BU251" s="244"/>
      <c r="BV251" s="33"/>
      <c r="BW251" s="242"/>
      <c r="BX251" s="241"/>
      <c r="BY251" s="244"/>
      <c r="BZ251" s="33"/>
      <c r="CA251" s="242"/>
      <c r="CB251" s="241"/>
      <c r="CC251" s="244"/>
      <c r="CD251" s="243"/>
      <c r="CE251" s="243"/>
      <c r="CF251" s="243"/>
      <c r="CG251" s="243"/>
      <c r="CH251" s="243"/>
      <c r="CI251" s="243"/>
      <c r="CJ251" s="243"/>
      <c r="CK251" s="243"/>
      <c r="CL251" s="243"/>
      <c r="CM251" s="243"/>
      <c r="CN251" s="243"/>
      <c r="CO251" s="243"/>
      <c r="CP251" s="243"/>
      <c r="CQ251" s="243"/>
      <c r="CR251" s="243"/>
      <c r="CS251" s="243"/>
      <c r="CT251" s="243"/>
      <c r="CU251" s="243"/>
      <c r="CV251" s="243"/>
      <c r="CW251" s="243"/>
      <c r="CX251" s="243"/>
      <c r="CY251" s="243"/>
      <c r="CZ251" s="243"/>
      <c r="DA251" s="243"/>
      <c r="DB251" s="243"/>
      <c r="DC251" s="243"/>
      <c r="DD251" s="243"/>
      <c r="DE251" s="243"/>
      <c r="DF251" s="243"/>
      <c r="DG251" s="243"/>
      <c r="DH251" s="243"/>
      <c r="DI251" s="243"/>
      <c r="DJ251" s="243"/>
      <c r="DK251" s="243"/>
      <c r="DM251" s="242"/>
      <c r="DO251" s="243"/>
      <c r="DQ251" s="242"/>
      <c r="DS251" s="243"/>
      <c r="DU251" s="242"/>
      <c r="DW251" s="243"/>
      <c r="DY251" s="242"/>
      <c r="EA251" s="243"/>
    </row>
    <row r="252" spans="1:131">
      <c r="A252" s="20"/>
      <c r="B252" s="124" t="str">
        <f t="shared" si="230"/>
        <v/>
      </c>
      <c r="C252" s="235"/>
      <c r="D252" s="24">
        <f>'1% Wind'!$M$90</f>
        <v>5.7</v>
      </c>
      <c r="E252" s="90"/>
      <c r="F252" s="90"/>
      <c r="G252" s="79" t="e">
        <f ca="1">IF(I243=0.9743,$G251,MAX(G251/D251*D252,2))</f>
        <v>#N/A</v>
      </c>
      <c r="H252" s="121" t="e">
        <f t="shared" ca="1" si="231"/>
        <v>#N/A</v>
      </c>
      <c r="J252" s="33"/>
      <c r="K252" s="242">
        <f t="shared" si="232"/>
        <v>1</v>
      </c>
      <c r="L252" s="241" t="e">
        <f t="shared" ca="1" si="233"/>
        <v>#N/A</v>
      </c>
      <c r="M252" s="243" t="e">
        <f ca="1">IF(AND(INDEX(FlowCalConstA,MATCH(J243,FlowCalNumber,0),1,1)*L252^INDEX(FlowCalConstB,MATCH(J243,FlowCalNumber,0),1,1)&gt;INDEX(FlowCalLowSetting,MATCH(J243,FlowCalNumber,0),1,1), (INDEX(FlowCalConstA,MATCH(J243,FlowCalNumber,0),1,1)*L252^INDEX(FlowCalConstB,MATCH(J243,FlowCalNumber,0),1,1)&lt;INDEX(FlowCalHighSetting,MATCH(J243,FlowCalNumber,0),1,1))),INDEX(FlowCalConstA,MATCH(J243,FlowCalNumber,0),1,1)*L252^INDEX(FlowCalConstB,MATCH(J243,FlowCalNumber,0),1,1)," ")</f>
        <v>#N/A</v>
      </c>
      <c r="N252" s="33"/>
      <c r="O252" s="242">
        <f t="shared" si="234"/>
        <v>1</v>
      </c>
      <c r="P252" s="241" t="e">
        <f t="shared" ca="1" si="235"/>
        <v>#N/A</v>
      </c>
      <c r="Q252" s="243" t="e">
        <f ca="1">IF(AND(INDEX(FlowCalConstA,MATCH(N243,FlowCalNumber,0),1,1)*P252^INDEX(FlowCalConstB,MATCH(N243,FlowCalNumber,0),1,1)&gt;INDEX(FlowCalLowSetting,MATCH(N243,FlowCalNumber,0),1,1), (INDEX(FlowCalConstA,MATCH(N243,FlowCalNumber,0),1,1)*P252^INDEX(FlowCalConstB,MATCH(N243,FlowCalNumber,0),1,1)&lt;INDEX(FlowCalHighSetting,MATCH(N243,FlowCalNumber,0),1,1))),INDEX(FlowCalConstA,MATCH(N243,FlowCalNumber,0),1,1)*P252^INDEX(FlowCalConstB,MATCH(N243,FlowCalNumber,0),1,1)," ")</f>
        <v>#N/A</v>
      </c>
      <c r="R252" s="33"/>
      <c r="S252" s="242">
        <f t="shared" si="236"/>
        <v>1</v>
      </c>
      <c r="T252" s="241" t="e">
        <f t="shared" ca="1" si="237"/>
        <v>#N/A</v>
      </c>
      <c r="U252" s="244" t="e">
        <f ca="1">IF(AND(INDEX(FlowCalConstA,MATCH(R243,FlowCalNumber,0),1,1)*T252^INDEX(FlowCalConstB,MATCH(R243,FlowCalNumber,0),1,1)&gt;INDEX(FlowCalLowSetting,MATCH(R243,FlowCalNumber,0),1,1), (INDEX(FlowCalConstA,MATCH(R243,FlowCalNumber,0),1,1)*T252^INDEX(FlowCalConstB,MATCH(R243,FlowCalNumber,0),1,1)&lt;INDEX(FlowCalHighSetting,MATCH(R243,FlowCalNumber,0),1,1))),INDEX(FlowCalConstA,MATCH(R243,FlowCalNumber,0),1,1)*T252^INDEX(FlowCalConstB,MATCH(R243,FlowCalNumber,0),1,1)," ")</f>
        <v>#N/A</v>
      </c>
      <c r="V252" s="33"/>
      <c r="W252" s="242">
        <f t="shared" si="238"/>
        <v>0.1</v>
      </c>
      <c r="X252" s="241" t="e">
        <f t="shared" ca="1" si="239"/>
        <v>#N/A</v>
      </c>
      <c r="Y252" s="243" t="e">
        <f ca="1">IF(AND(INDEX(FlowCalConstA,MATCH(V243,FlowCalNumber,0),1,1)*X252^INDEX(FlowCalConstB,MATCH(V243,FlowCalNumber,0),1,1)&gt;INDEX(FlowCalLowSetting,MATCH(V243,FlowCalNumber,0),1,1), (INDEX(FlowCalConstA,MATCH(V243,FlowCalNumber,0),1,1)*X252^INDEX(FlowCalConstB,MATCH(V243,FlowCalNumber,0),1,1)&lt;INDEX(FlowCalHighSetting,MATCH(V243,FlowCalNumber,0),1,1))),INDEX(FlowCalConstA,MATCH(V243,FlowCalNumber,0),1,1)*X252^INDEX(FlowCalConstB,MATCH(V243,FlowCalNumber,0),1,1)," ")</f>
        <v>#N/A</v>
      </c>
      <c r="Z252" s="33"/>
      <c r="AA252" s="242">
        <f t="shared" si="240"/>
        <v>0.9</v>
      </c>
      <c r="AB252" s="241" t="e">
        <f t="shared" ca="1" si="241"/>
        <v>#N/A</v>
      </c>
      <c r="AC252" s="243" t="e">
        <f ca="1">IF(AND(INDEX(FlowCalConstA,MATCH(Z243,FlowCalNumber,0),1,1)*AB252^INDEX(FlowCalConstB,MATCH(Z243,FlowCalNumber,0),1,1)&gt;INDEX(FlowCalLowSetting,MATCH(Z243,FlowCalNumber,0),1,1), (INDEX(FlowCalConstA,MATCH(Z243,FlowCalNumber,0),1,1)*AB252^INDEX(FlowCalConstB,MATCH(Z243,FlowCalNumber,0),1,1)&lt;INDEX(FlowCalHighSetting,MATCH(Z243,FlowCalNumber,0),1,1))),INDEX(FlowCalConstA,MATCH(Z243,FlowCalNumber,0),1,1)*AB252^INDEX(FlowCalConstB,MATCH(Z243,FlowCalNumber,0),1,1)," ")</f>
        <v>#N/A</v>
      </c>
      <c r="AD252" s="33"/>
      <c r="AE252" s="242">
        <f t="shared" si="242"/>
        <v>0.1</v>
      </c>
      <c r="AF252" s="241" t="e">
        <f t="shared" ca="1" si="243"/>
        <v>#N/A</v>
      </c>
      <c r="AG252" s="243" t="e">
        <f ca="1">IF(AND(INDEX(FlowCalConstA,MATCH(AD243,FlowCalNumber,0),1,1)*AF252^INDEX(FlowCalConstB,MATCH(AD243,FlowCalNumber,0),1,1)&gt;INDEX(FlowCalLowSetting,MATCH(AD243,FlowCalNumber,0),1,1), (INDEX(FlowCalConstA,MATCH(AD243,FlowCalNumber,0),1,1)*AF252^INDEX(FlowCalConstB,MATCH(AD243,FlowCalNumber,0),1,1)&lt;INDEX(FlowCalHighSetting,MATCH(AD243,FlowCalNumber,0),1,1))),INDEX(FlowCalConstA,MATCH(AD243,FlowCalNumber,0),1,1)*AF252^INDEX(FlowCalConstB,MATCH(AD243,FlowCalNumber,0),1,1)," ")</f>
        <v>#N/A</v>
      </c>
      <c r="AH252" s="33"/>
      <c r="AI252" s="242">
        <f t="shared" si="244"/>
        <v>0.9</v>
      </c>
      <c r="AJ252" s="241" t="e">
        <f t="shared" ca="1" si="245"/>
        <v>#N/A</v>
      </c>
      <c r="AK252" s="243" t="e">
        <f ca="1">IF(AND(INDEX(FlowCalConstA,MATCH(AH243,FlowCalNumber,0),1,1)*AJ252^INDEX(FlowCalConstB,MATCH(AH243,FlowCalNumber,0),1,1)&gt;INDEX(FlowCalLowSetting,MATCH(AH243,FlowCalNumber,0),1,1), (INDEX(FlowCalConstA,MATCH(AH243,FlowCalNumber,0),1,1)*AJ252^INDEX(FlowCalConstB,MATCH(AH243,FlowCalNumber,0),1,1)&lt;INDEX(FlowCalHighSetting,MATCH(AH243,FlowCalNumber,0),1,1))),INDEX(FlowCalConstA,MATCH(AH243,FlowCalNumber,0),1,1)*AJ252^INDEX(FlowCalConstB,MATCH(AH243,FlowCalNumber,0),1,1)," ")</f>
        <v>#N/A</v>
      </c>
      <c r="AL252" s="33"/>
      <c r="AM252" s="242"/>
      <c r="AN252" s="241"/>
      <c r="AO252" s="244"/>
      <c r="AQ252" s="242"/>
      <c r="AR252" s="241"/>
      <c r="AS252" s="244"/>
      <c r="AT252" s="33"/>
      <c r="AU252" s="242"/>
      <c r="AV252" s="241"/>
      <c r="AW252" s="244"/>
      <c r="AX252" s="33"/>
      <c r="AY252" s="242"/>
      <c r="AZ252" s="241"/>
      <c r="BA252" s="244"/>
      <c r="BB252" s="33"/>
      <c r="BC252" s="242"/>
      <c r="BD252" s="241"/>
      <c r="BE252" s="244"/>
      <c r="BF252" s="33"/>
      <c r="BG252" s="242"/>
      <c r="BH252" s="241"/>
      <c r="BI252" s="244"/>
      <c r="BJ252" s="33"/>
      <c r="BK252" s="242"/>
      <c r="BL252" s="241"/>
      <c r="BM252" s="244"/>
      <c r="BN252" s="33"/>
      <c r="BO252" s="242"/>
      <c r="BP252" s="241"/>
      <c r="BQ252" s="244"/>
      <c r="BR252" s="33"/>
      <c r="BS252" s="242"/>
      <c r="BT252" s="241"/>
      <c r="BU252" s="244"/>
      <c r="BV252" s="33"/>
      <c r="BW252" s="242"/>
      <c r="BX252" s="241"/>
      <c r="BY252" s="244"/>
      <c r="BZ252" s="33"/>
      <c r="CA252" s="242"/>
      <c r="CB252" s="241"/>
      <c r="CC252" s="244"/>
      <c r="CD252" s="243"/>
      <c r="CE252" s="243"/>
      <c r="CF252" s="243"/>
      <c r="CG252" s="243"/>
      <c r="CH252" s="243"/>
      <c r="CI252" s="243"/>
      <c r="CJ252" s="243"/>
      <c r="CK252" s="243"/>
      <c r="CL252" s="243"/>
      <c r="CM252" s="243"/>
      <c r="CN252" s="243"/>
      <c r="CO252" s="243"/>
      <c r="CP252" s="243"/>
      <c r="CQ252" s="243"/>
      <c r="CR252" s="243"/>
      <c r="CS252" s="243"/>
      <c r="CT252" s="243"/>
      <c r="CU252" s="243"/>
      <c r="CV252" s="243"/>
      <c r="CW252" s="243"/>
      <c r="CX252" s="243"/>
      <c r="CY252" s="243"/>
      <c r="CZ252" s="243"/>
      <c r="DA252" s="243"/>
      <c r="DB252" s="243"/>
      <c r="DC252" s="243"/>
      <c r="DD252" s="243"/>
      <c r="DE252" s="243"/>
      <c r="DF252" s="243"/>
      <c r="DG252" s="243"/>
      <c r="DH252" s="243"/>
      <c r="DI252" s="243"/>
      <c r="DJ252" s="243"/>
      <c r="DK252" s="243"/>
      <c r="DM252" s="242"/>
      <c r="DO252" s="243"/>
      <c r="DQ252" s="242"/>
      <c r="DS252" s="243"/>
      <c r="DU252" s="242"/>
      <c r="DW252" s="243"/>
      <c r="DY252" s="242"/>
      <c r="EA252" s="243"/>
    </row>
    <row r="253" spans="1:131">
      <c r="A253" s="20"/>
      <c r="B253" s="124" t="str">
        <f t="shared" si="230"/>
        <v/>
      </c>
      <c r="C253" s="235"/>
      <c r="D253" s="24">
        <f>'1% Wind'!$M$91</f>
        <v>4.2</v>
      </c>
      <c r="E253" s="90"/>
      <c r="F253" s="90"/>
      <c r="G253" s="79" t="e">
        <f ca="1">IF(I243=0.9743,$G252,MAX(G252/D252*D253,2))</f>
        <v>#N/A</v>
      </c>
      <c r="H253" s="121" t="e">
        <f t="shared" ca="1" si="231"/>
        <v>#N/A</v>
      </c>
      <c r="J253" s="33"/>
      <c r="K253" s="242">
        <f t="shared" si="232"/>
        <v>1</v>
      </c>
      <c r="L253" s="241" t="e">
        <f t="shared" ca="1" si="233"/>
        <v>#N/A</v>
      </c>
      <c r="M253" s="243" t="e">
        <f ca="1">IF(AND(INDEX(FlowCalConstA,MATCH(J243,FlowCalNumber,0),1,1)*L253^INDEX(FlowCalConstB,MATCH(J243,FlowCalNumber,0),1,1)&gt;INDEX(FlowCalLowSetting,MATCH(J243,FlowCalNumber,0),1,1), (INDEX(FlowCalConstA,MATCH(J243,FlowCalNumber,0),1,1)*L253^INDEX(FlowCalConstB,MATCH(J243,FlowCalNumber,0),1,1)&lt;INDEX(FlowCalHighSetting,MATCH(J243,FlowCalNumber,0),1,1))),INDEX(FlowCalConstA,MATCH(J243,FlowCalNumber,0),1,1)*L253^INDEX(FlowCalConstB,MATCH(J243,FlowCalNumber,0),1,1)," ")</f>
        <v>#N/A</v>
      </c>
      <c r="N253" s="33"/>
      <c r="O253" s="242">
        <f t="shared" si="234"/>
        <v>1</v>
      </c>
      <c r="P253" s="241" t="e">
        <f t="shared" ca="1" si="235"/>
        <v>#N/A</v>
      </c>
      <c r="Q253" s="243" t="e">
        <f ca="1">IF(AND(INDEX(FlowCalConstA,MATCH(N243,FlowCalNumber,0),1,1)*P253^INDEX(FlowCalConstB,MATCH(N243,FlowCalNumber,0),1,1)&gt;INDEX(FlowCalLowSetting,MATCH(N243,FlowCalNumber,0),1,1), (INDEX(FlowCalConstA,MATCH(N243,FlowCalNumber,0),1,1)*P253^INDEX(FlowCalConstB,MATCH(N243,FlowCalNumber,0),1,1)&lt;INDEX(FlowCalHighSetting,MATCH(N243,FlowCalNumber,0),1,1))),INDEX(FlowCalConstA,MATCH(N243,FlowCalNumber,0),1,1)*P253^INDEX(FlowCalConstB,MATCH(N243,FlowCalNumber,0),1,1)," ")</f>
        <v>#N/A</v>
      </c>
      <c r="R253" s="33"/>
      <c r="S253" s="242">
        <f t="shared" si="236"/>
        <v>1</v>
      </c>
      <c r="T253" s="241" t="e">
        <f t="shared" ca="1" si="237"/>
        <v>#N/A</v>
      </c>
      <c r="U253" s="244" t="e">
        <f ca="1">IF(AND(INDEX(FlowCalConstA,MATCH(R243,FlowCalNumber,0),1,1)*T253^INDEX(FlowCalConstB,MATCH(R243,FlowCalNumber,0),1,1)&gt;INDEX(FlowCalLowSetting,MATCH(R243,FlowCalNumber,0),1,1), (INDEX(FlowCalConstA,MATCH(R243,FlowCalNumber,0),1,1)*T253^INDEX(FlowCalConstB,MATCH(R243,FlowCalNumber,0),1,1)&lt;INDEX(FlowCalHighSetting,MATCH(R243,FlowCalNumber,0),1,1))),INDEX(FlowCalConstA,MATCH(R243,FlowCalNumber,0),1,1)*T253^INDEX(FlowCalConstB,MATCH(R243,FlowCalNumber,0),1,1)," ")</f>
        <v>#N/A</v>
      </c>
      <c r="V253" s="33"/>
      <c r="W253" s="242">
        <f t="shared" si="238"/>
        <v>0.1</v>
      </c>
      <c r="X253" s="241" t="e">
        <f t="shared" ca="1" si="239"/>
        <v>#N/A</v>
      </c>
      <c r="Y253" s="243" t="e">
        <f ca="1">IF(AND(INDEX(FlowCalConstA,MATCH(V243,FlowCalNumber,0),1,1)*X253^INDEX(FlowCalConstB,MATCH(V243,FlowCalNumber,0),1,1)&gt;INDEX(FlowCalLowSetting,MATCH(V243,FlowCalNumber,0),1,1), (INDEX(FlowCalConstA,MATCH(V243,FlowCalNumber,0),1,1)*X253^INDEX(FlowCalConstB,MATCH(V243,FlowCalNumber,0),1,1)&lt;INDEX(FlowCalHighSetting,MATCH(V243,FlowCalNumber,0),1,1))),INDEX(FlowCalConstA,MATCH(V243,FlowCalNumber,0),1,1)*X253^INDEX(FlowCalConstB,MATCH(V243,FlowCalNumber,0),1,1)," ")</f>
        <v>#N/A</v>
      </c>
      <c r="Z253" s="33"/>
      <c r="AA253" s="242">
        <f t="shared" si="240"/>
        <v>0.9</v>
      </c>
      <c r="AB253" s="241" t="e">
        <f t="shared" ca="1" si="241"/>
        <v>#N/A</v>
      </c>
      <c r="AC253" s="243" t="e">
        <f ca="1">IF(AND(INDEX(FlowCalConstA,MATCH(Z243,FlowCalNumber,0),1,1)*AB253^INDEX(FlowCalConstB,MATCH(Z243,FlowCalNumber,0),1,1)&gt;INDEX(FlowCalLowSetting,MATCH(Z243,FlowCalNumber,0),1,1), (INDEX(FlowCalConstA,MATCH(Z243,FlowCalNumber,0),1,1)*AB253^INDEX(FlowCalConstB,MATCH(Z243,FlowCalNumber,0),1,1)&lt;INDEX(FlowCalHighSetting,MATCH(Z243,FlowCalNumber,0),1,1))),INDEX(FlowCalConstA,MATCH(Z243,FlowCalNumber,0),1,1)*AB253^INDEX(FlowCalConstB,MATCH(Z243,FlowCalNumber,0),1,1)," ")</f>
        <v>#N/A</v>
      </c>
      <c r="AD253" s="33"/>
      <c r="AE253" s="242">
        <f t="shared" si="242"/>
        <v>0.1</v>
      </c>
      <c r="AF253" s="241" t="e">
        <f t="shared" ca="1" si="243"/>
        <v>#N/A</v>
      </c>
      <c r="AG253" s="243" t="e">
        <f ca="1">IF(AND(INDEX(FlowCalConstA,MATCH(AD243,FlowCalNumber,0),1,1)*AF253^INDEX(FlowCalConstB,MATCH(AD243,FlowCalNumber,0),1,1)&gt;INDEX(FlowCalLowSetting,MATCH(AD243,FlowCalNumber,0),1,1), (INDEX(FlowCalConstA,MATCH(AD243,FlowCalNumber,0),1,1)*AF253^INDEX(FlowCalConstB,MATCH(AD243,FlowCalNumber,0),1,1)&lt;INDEX(FlowCalHighSetting,MATCH(AD243,FlowCalNumber,0),1,1))),INDEX(FlowCalConstA,MATCH(AD243,FlowCalNumber,0),1,1)*AF253^INDEX(FlowCalConstB,MATCH(AD243,FlowCalNumber,0),1,1)," ")</f>
        <v>#N/A</v>
      </c>
      <c r="AH253" s="33"/>
      <c r="AI253" s="242">
        <f t="shared" si="244"/>
        <v>0.9</v>
      </c>
      <c r="AJ253" s="241" t="e">
        <f t="shared" ca="1" si="245"/>
        <v>#N/A</v>
      </c>
      <c r="AK253" s="243" t="e">
        <f ca="1">IF(AND(INDEX(FlowCalConstA,MATCH(AH243,FlowCalNumber,0),1,1)*AJ253^INDEX(FlowCalConstB,MATCH(AH243,FlowCalNumber,0),1,1)&gt;INDEX(FlowCalLowSetting,MATCH(AH243,FlowCalNumber,0),1,1), (INDEX(FlowCalConstA,MATCH(AH243,FlowCalNumber,0),1,1)*AJ253^INDEX(FlowCalConstB,MATCH(AH243,FlowCalNumber,0),1,1)&lt;INDEX(FlowCalHighSetting,MATCH(AH243,FlowCalNumber,0),1,1))),INDEX(FlowCalConstA,MATCH(AH243,FlowCalNumber,0),1,1)*AJ253^INDEX(FlowCalConstB,MATCH(AH243,FlowCalNumber,0),1,1)," ")</f>
        <v>#N/A</v>
      </c>
      <c r="AL253" s="33"/>
      <c r="AM253" s="242"/>
      <c r="AN253" s="241"/>
      <c r="AO253" s="244"/>
      <c r="AQ253" s="242"/>
      <c r="AR253" s="241"/>
      <c r="AS253" s="244"/>
      <c r="AT253" s="33"/>
      <c r="AU253" s="242"/>
      <c r="AV253" s="241"/>
      <c r="AW253" s="244"/>
      <c r="AX253" s="33"/>
      <c r="AY253" s="242"/>
      <c r="AZ253" s="241"/>
      <c r="BA253" s="244"/>
      <c r="BB253" s="33"/>
      <c r="BC253" s="242"/>
      <c r="BD253" s="241"/>
      <c r="BE253" s="244"/>
      <c r="BF253" s="33"/>
      <c r="BG253" s="242"/>
      <c r="BH253" s="241"/>
      <c r="BI253" s="244"/>
      <c r="BJ253" s="33"/>
      <c r="BK253" s="242"/>
      <c r="BL253" s="241"/>
      <c r="BM253" s="244"/>
      <c r="BN253" s="33"/>
      <c r="BO253" s="242"/>
      <c r="BP253" s="241"/>
      <c r="BQ253" s="244"/>
      <c r="BR253" s="33"/>
      <c r="BS253" s="242"/>
      <c r="BT253" s="241"/>
      <c r="BU253" s="244"/>
      <c r="BV253" s="33"/>
      <c r="BW253" s="242"/>
      <c r="BX253" s="241"/>
      <c r="BY253" s="244"/>
      <c r="BZ253" s="33"/>
      <c r="CA253" s="242"/>
      <c r="CB253" s="241"/>
      <c r="CC253" s="244"/>
      <c r="CD253" s="243"/>
      <c r="CE253" s="243"/>
      <c r="CF253" s="243"/>
      <c r="CG253" s="243"/>
      <c r="CH253" s="243"/>
      <c r="CI253" s="243"/>
      <c r="CJ253" s="243"/>
      <c r="CK253" s="243"/>
      <c r="CL253" s="243"/>
      <c r="CM253" s="243"/>
      <c r="CN253" s="243"/>
      <c r="CO253" s="243"/>
      <c r="CP253" s="243"/>
      <c r="CQ253" s="243"/>
      <c r="CR253" s="243"/>
      <c r="CS253" s="243"/>
      <c r="CT253" s="243"/>
      <c r="CU253" s="243"/>
      <c r="CV253" s="243"/>
      <c r="CW253" s="243"/>
      <c r="CX253" s="243"/>
      <c r="CY253" s="243"/>
      <c r="CZ253" s="243"/>
      <c r="DA253" s="243"/>
      <c r="DB253" s="243"/>
      <c r="DC253" s="243"/>
      <c r="DD253" s="243"/>
      <c r="DE253" s="243"/>
      <c r="DF253" s="243"/>
      <c r="DG253" s="243"/>
      <c r="DH253" s="243"/>
      <c r="DI253" s="243"/>
      <c r="DJ253" s="243"/>
      <c r="DK253" s="243"/>
      <c r="DM253" s="242"/>
      <c r="DO253" s="243"/>
      <c r="DQ253" s="242"/>
      <c r="DS253" s="243"/>
      <c r="DU253" s="242"/>
      <c r="DW253" s="243"/>
      <c r="DY253" s="242"/>
      <c r="EA253" s="243"/>
    </row>
    <row r="254" spans="1:131">
      <c r="A254" s="20"/>
      <c r="B254" s="124" t="str">
        <f t="shared" si="230"/>
        <v/>
      </c>
      <c r="C254" s="235"/>
      <c r="D254" s="24">
        <f>'1% Wind'!$M$92</f>
        <v>3.2</v>
      </c>
      <c r="E254" s="90"/>
      <c r="F254" s="90"/>
      <c r="G254" s="79" t="e">
        <f ca="1">IF(I243=0.9743,$G253,MAX(G253/D253*D254,2))</f>
        <v>#N/A</v>
      </c>
      <c r="H254" s="121" t="e">
        <f t="shared" ca="1" si="231"/>
        <v>#N/A</v>
      </c>
      <c r="J254" s="33"/>
      <c r="K254" s="242">
        <f t="shared" si="232"/>
        <v>1</v>
      </c>
      <c r="L254" s="241" t="e">
        <f t="shared" ca="1" si="233"/>
        <v>#N/A</v>
      </c>
      <c r="M254" s="243" t="e">
        <f ca="1">IF(AND(INDEX(FlowCalConstA,MATCH(J243,FlowCalNumber,0),1,1)*L254^INDEX(FlowCalConstB,MATCH(J243,FlowCalNumber,0),1,1)&gt;INDEX(FlowCalLowSetting,MATCH(J243,FlowCalNumber,0),1,1), (INDEX(FlowCalConstA,MATCH(J243,FlowCalNumber,0),1,1)*L254^INDEX(FlowCalConstB,MATCH(J243,FlowCalNumber,0),1,1)&lt;INDEX(FlowCalHighSetting,MATCH(J243,FlowCalNumber,0),1,1))),INDEX(FlowCalConstA,MATCH(J243,FlowCalNumber,0),1,1)*L254^INDEX(FlowCalConstB,MATCH(J243,FlowCalNumber,0),1,1)," ")</f>
        <v>#N/A</v>
      </c>
      <c r="N254" s="33"/>
      <c r="O254" s="242">
        <f t="shared" si="234"/>
        <v>1</v>
      </c>
      <c r="P254" s="241" t="e">
        <f t="shared" ca="1" si="235"/>
        <v>#N/A</v>
      </c>
      <c r="Q254" s="243" t="e">
        <f ca="1">IF(AND(INDEX(FlowCalConstA,MATCH(N243,FlowCalNumber,0),1,1)*P254^INDEX(FlowCalConstB,MATCH(N243,FlowCalNumber,0),1,1)&gt;INDEX(FlowCalLowSetting,MATCH(N243,FlowCalNumber,0),1,1), (INDEX(FlowCalConstA,MATCH(N243,FlowCalNumber,0),1,1)*P254^INDEX(FlowCalConstB,MATCH(N243,FlowCalNumber,0),1,1)&lt;INDEX(FlowCalHighSetting,MATCH(N243,FlowCalNumber,0),1,1))),INDEX(FlowCalConstA,MATCH(N243,FlowCalNumber,0),1,1)*P254^INDEX(FlowCalConstB,MATCH(N243,FlowCalNumber,0),1,1)," ")</f>
        <v>#N/A</v>
      </c>
      <c r="R254" s="33"/>
      <c r="S254" s="242">
        <f t="shared" si="236"/>
        <v>1</v>
      </c>
      <c r="T254" s="241" t="e">
        <f t="shared" ca="1" si="237"/>
        <v>#N/A</v>
      </c>
      <c r="U254" s="244" t="e">
        <f ca="1">IF(AND(INDEX(FlowCalConstA,MATCH(R243,FlowCalNumber,0),1,1)*T254^INDEX(FlowCalConstB,MATCH(R243,FlowCalNumber,0),1,1)&gt;INDEX(FlowCalLowSetting,MATCH(R243,FlowCalNumber,0),1,1), (INDEX(FlowCalConstA,MATCH(R243,FlowCalNumber,0),1,1)*T254^INDEX(FlowCalConstB,MATCH(R243,FlowCalNumber,0),1,1)&lt;INDEX(FlowCalHighSetting,MATCH(R243,FlowCalNumber,0),1,1))),INDEX(FlowCalConstA,MATCH(R243,FlowCalNumber,0),1,1)*T254^INDEX(FlowCalConstB,MATCH(R243,FlowCalNumber,0),1,1)," ")</f>
        <v>#N/A</v>
      </c>
      <c r="V254" s="33"/>
      <c r="W254" s="242">
        <f t="shared" si="238"/>
        <v>0.1</v>
      </c>
      <c r="X254" s="241" t="e">
        <f t="shared" ca="1" si="239"/>
        <v>#N/A</v>
      </c>
      <c r="Y254" s="243" t="e">
        <f ca="1">IF(AND(INDEX(FlowCalConstA,MATCH(V243,FlowCalNumber,0),1,1)*X254^INDEX(FlowCalConstB,MATCH(V243,FlowCalNumber,0),1,1)&gt;INDEX(FlowCalLowSetting,MATCH(V243,FlowCalNumber,0),1,1), (INDEX(FlowCalConstA,MATCH(V243,FlowCalNumber,0),1,1)*X254^INDEX(FlowCalConstB,MATCH(V243,FlowCalNumber,0),1,1)&lt;INDEX(FlowCalHighSetting,MATCH(V243,FlowCalNumber,0),1,1))),INDEX(FlowCalConstA,MATCH(V243,FlowCalNumber,0),1,1)*X254^INDEX(FlowCalConstB,MATCH(V243,FlowCalNumber,0),1,1)," ")</f>
        <v>#N/A</v>
      </c>
      <c r="Z254" s="33"/>
      <c r="AA254" s="242">
        <f t="shared" si="240"/>
        <v>0.9</v>
      </c>
      <c r="AB254" s="241" t="e">
        <f t="shared" ca="1" si="241"/>
        <v>#N/A</v>
      </c>
      <c r="AC254" s="243" t="e">
        <f ca="1">IF(AND(INDEX(FlowCalConstA,MATCH(Z243,FlowCalNumber,0),1,1)*AB254^INDEX(FlowCalConstB,MATCH(Z243,FlowCalNumber,0),1,1)&gt;INDEX(FlowCalLowSetting,MATCH(Z243,FlowCalNumber,0),1,1), (INDEX(FlowCalConstA,MATCH(Z243,FlowCalNumber,0),1,1)*AB254^INDEX(FlowCalConstB,MATCH(Z243,FlowCalNumber,0),1,1)&lt;INDEX(FlowCalHighSetting,MATCH(Z243,FlowCalNumber,0),1,1))),INDEX(FlowCalConstA,MATCH(Z243,FlowCalNumber,0),1,1)*AB254^INDEX(FlowCalConstB,MATCH(Z243,FlowCalNumber,0),1,1)," ")</f>
        <v>#N/A</v>
      </c>
      <c r="AD254" s="33"/>
      <c r="AE254" s="242">
        <f t="shared" si="242"/>
        <v>0.1</v>
      </c>
      <c r="AF254" s="241" t="e">
        <f t="shared" ca="1" si="243"/>
        <v>#N/A</v>
      </c>
      <c r="AG254" s="243" t="e">
        <f ca="1">IF(AND(INDEX(FlowCalConstA,MATCH(AD243,FlowCalNumber,0),1,1)*AF254^INDEX(FlowCalConstB,MATCH(AD243,FlowCalNumber,0),1,1)&gt;INDEX(FlowCalLowSetting,MATCH(AD243,FlowCalNumber,0),1,1), (INDEX(FlowCalConstA,MATCH(AD243,FlowCalNumber,0),1,1)*AF254^INDEX(FlowCalConstB,MATCH(AD243,FlowCalNumber,0),1,1)&lt;INDEX(FlowCalHighSetting,MATCH(AD243,FlowCalNumber,0),1,1))),INDEX(FlowCalConstA,MATCH(AD243,FlowCalNumber,0),1,1)*AF254^INDEX(FlowCalConstB,MATCH(AD243,FlowCalNumber,0),1,1)," ")</f>
        <v>#N/A</v>
      </c>
      <c r="AH254" s="33"/>
      <c r="AI254" s="242">
        <f t="shared" si="244"/>
        <v>0.9</v>
      </c>
      <c r="AJ254" s="241" t="e">
        <f t="shared" ca="1" si="245"/>
        <v>#N/A</v>
      </c>
      <c r="AK254" s="243" t="e">
        <f ca="1">IF(AND(INDEX(FlowCalConstA,MATCH(AH243,FlowCalNumber,0),1,1)*AJ254^INDEX(FlowCalConstB,MATCH(AH243,FlowCalNumber,0),1,1)&gt;INDEX(FlowCalLowSetting,MATCH(AH243,FlowCalNumber,0),1,1), (INDEX(FlowCalConstA,MATCH(AH243,FlowCalNumber,0),1,1)*AJ254^INDEX(FlowCalConstB,MATCH(AH243,FlowCalNumber,0),1,1)&lt;INDEX(FlowCalHighSetting,MATCH(AH243,FlowCalNumber,0),1,1))),INDEX(FlowCalConstA,MATCH(AH243,FlowCalNumber,0),1,1)*AJ254^INDEX(FlowCalConstB,MATCH(AH243,FlowCalNumber,0),1,1)," ")</f>
        <v>#N/A</v>
      </c>
      <c r="AL254" s="33"/>
      <c r="AM254" s="242"/>
      <c r="AN254" s="241"/>
      <c r="AO254" s="244"/>
      <c r="AQ254" s="242"/>
      <c r="AR254" s="241"/>
      <c r="AS254" s="244"/>
      <c r="AT254" s="33"/>
      <c r="AU254" s="242"/>
      <c r="AV254" s="241"/>
      <c r="AW254" s="244"/>
      <c r="AX254" s="33"/>
      <c r="AY254" s="242"/>
      <c r="AZ254" s="241"/>
      <c r="BA254" s="244"/>
      <c r="BB254" s="33"/>
      <c r="BC254" s="242"/>
      <c r="BD254" s="241"/>
      <c r="BE254" s="244"/>
      <c r="BF254" s="33"/>
      <c r="BG254" s="242"/>
      <c r="BH254" s="241"/>
      <c r="BI254" s="244"/>
      <c r="BJ254" s="33"/>
      <c r="BK254" s="242"/>
      <c r="BL254" s="241"/>
      <c r="BM254" s="244"/>
      <c r="BN254" s="33"/>
      <c r="BO254" s="242"/>
      <c r="BP254" s="241"/>
      <c r="BQ254" s="244"/>
      <c r="BR254" s="33"/>
      <c r="BS254" s="242"/>
      <c r="BT254" s="241"/>
      <c r="BU254" s="244"/>
      <c r="BV254" s="33"/>
      <c r="BW254" s="242"/>
      <c r="BX254" s="241"/>
      <c r="BY254" s="244"/>
      <c r="BZ254" s="33"/>
      <c r="CA254" s="242"/>
      <c r="CB254" s="241"/>
      <c r="CC254" s="244"/>
      <c r="CD254" s="243"/>
      <c r="CE254" s="243"/>
      <c r="CF254" s="243"/>
      <c r="CG254" s="243"/>
      <c r="CH254" s="243"/>
      <c r="CI254" s="243"/>
      <c r="CJ254" s="243"/>
      <c r="CK254" s="243"/>
      <c r="CL254" s="243"/>
      <c r="CM254" s="243"/>
      <c r="CN254" s="243"/>
      <c r="CO254" s="243"/>
      <c r="CP254" s="243"/>
      <c r="CQ254" s="243"/>
      <c r="CR254" s="243"/>
      <c r="CS254" s="243"/>
      <c r="CT254" s="243"/>
      <c r="CU254" s="243"/>
      <c r="CV254" s="243"/>
      <c r="CW254" s="243"/>
      <c r="CX254" s="243"/>
      <c r="CY254" s="243"/>
      <c r="CZ254" s="243"/>
      <c r="DA254" s="243"/>
      <c r="DB254" s="243"/>
      <c r="DC254" s="243"/>
      <c r="DD254" s="243"/>
      <c r="DE254" s="243"/>
      <c r="DF254" s="243"/>
      <c r="DG254" s="243"/>
      <c r="DH254" s="243"/>
      <c r="DI254" s="243"/>
      <c r="DJ254" s="243"/>
      <c r="DK254" s="243"/>
      <c r="DM254" s="242"/>
      <c r="DO254" s="243"/>
      <c r="DQ254" s="242"/>
      <c r="DS254" s="243"/>
      <c r="DU254" s="242"/>
      <c r="DW254" s="243"/>
      <c r="DY254" s="242"/>
      <c r="EA254" s="243"/>
    </row>
    <row r="255" spans="1:131">
      <c r="A255" s="20"/>
      <c r="B255" s="124" t="str">
        <f t="shared" si="230"/>
        <v/>
      </c>
      <c r="C255" s="235"/>
      <c r="D255" s="24">
        <f>'1% Wind'!$M$93</f>
        <v>2.4</v>
      </c>
      <c r="E255" s="90"/>
      <c r="F255" s="90"/>
      <c r="G255" s="79" t="e">
        <f ca="1">IF(I243=0.9743,$G254,MAX(G254/D254*D255,2))</f>
        <v>#N/A</v>
      </c>
      <c r="H255" s="121" t="e">
        <f t="shared" ca="1" si="231"/>
        <v>#N/A</v>
      </c>
      <c r="J255" s="33"/>
      <c r="K255" s="242">
        <f t="shared" si="232"/>
        <v>1</v>
      </c>
      <c r="L255" s="241" t="e">
        <f t="shared" ca="1" si="233"/>
        <v>#N/A</v>
      </c>
      <c r="M255" s="243" t="e">
        <f ca="1">IF(AND(INDEX(FlowCalConstA,MATCH(J243,FlowCalNumber,0),1,1)*L255^INDEX(FlowCalConstB,MATCH(J243,FlowCalNumber,0),1,1)&gt;INDEX(FlowCalLowSetting,MATCH(J243,FlowCalNumber,0),1,1), (INDEX(FlowCalConstA,MATCH(J243,FlowCalNumber,0),1,1)*L255^INDEX(FlowCalConstB,MATCH(J243,FlowCalNumber,0),1,1)&lt;INDEX(FlowCalHighSetting,MATCH(J243,FlowCalNumber,0),1,1))),INDEX(FlowCalConstA,MATCH(J243,FlowCalNumber,0),1,1)*L255^INDEX(FlowCalConstB,MATCH(J243,FlowCalNumber,0),1,1)," ")</f>
        <v>#N/A</v>
      </c>
      <c r="N255" s="33"/>
      <c r="O255" s="242">
        <f t="shared" si="234"/>
        <v>1</v>
      </c>
      <c r="P255" s="241" t="e">
        <f t="shared" ca="1" si="235"/>
        <v>#N/A</v>
      </c>
      <c r="Q255" s="243" t="e">
        <f ca="1">IF(AND(INDEX(FlowCalConstA,MATCH(N243,FlowCalNumber,0),1,1)*P255^INDEX(FlowCalConstB,MATCH(N243,FlowCalNumber,0),1,1)&gt;INDEX(FlowCalLowSetting,MATCH(N243,FlowCalNumber,0),1,1), (INDEX(FlowCalConstA,MATCH(N243,FlowCalNumber,0),1,1)*P255^INDEX(FlowCalConstB,MATCH(N243,FlowCalNumber,0),1,1)&lt;INDEX(FlowCalHighSetting,MATCH(N243,FlowCalNumber,0),1,1))),INDEX(FlowCalConstA,MATCH(N243,FlowCalNumber,0),1,1)*P255^INDEX(FlowCalConstB,MATCH(N243,FlowCalNumber,0),1,1)," ")</f>
        <v>#N/A</v>
      </c>
      <c r="R255" s="33"/>
      <c r="S255" s="242">
        <f t="shared" si="236"/>
        <v>1</v>
      </c>
      <c r="T255" s="241" t="e">
        <f t="shared" ca="1" si="237"/>
        <v>#N/A</v>
      </c>
      <c r="U255" s="244" t="e">
        <f ca="1">IF(AND(INDEX(FlowCalConstA,MATCH(R243,FlowCalNumber,0),1,1)*T255^INDEX(FlowCalConstB,MATCH(R243,FlowCalNumber,0),1,1)&gt;INDEX(FlowCalLowSetting,MATCH(R243,FlowCalNumber,0),1,1), (INDEX(FlowCalConstA,MATCH(R243,FlowCalNumber,0),1,1)*T255^INDEX(FlowCalConstB,MATCH(R243,FlowCalNumber,0),1,1)&lt;INDEX(FlowCalHighSetting,MATCH(R243,FlowCalNumber,0),1,1))),INDEX(FlowCalConstA,MATCH(R243,FlowCalNumber,0),1,1)*T255^INDEX(FlowCalConstB,MATCH(R243,FlowCalNumber,0),1,1)," ")</f>
        <v>#N/A</v>
      </c>
      <c r="V255" s="33"/>
      <c r="W255" s="242">
        <f t="shared" si="238"/>
        <v>0.1</v>
      </c>
      <c r="X255" s="241" t="e">
        <f t="shared" ca="1" si="239"/>
        <v>#N/A</v>
      </c>
      <c r="Y255" s="243" t="e">
        <f ca="1">IF(AND(INDEX(FlowCalConstA,MATCH(V243,FlowCalNumber,0),1,1)*X255^INDEX(FlowCalConstB,MATCH(V243,FlowCalNumber,0),1,1)&gt;INDEX(FlowCalLowSetting,MATCH(V243,FlowCalNumber,0),1,1), (INDEX(FlowCalConstA,MATCH(V243,FlowCalNumber,0),1,1)*X255^INDEX(FlowCalConstB,MATCH(V243,FlowCalNumber,0),1,1)&lt;INDEX(FlowCalHighSetting,MATCH(V243,FlowCalNumber,0),1,1))),INDEX(FlowCalConstA,MATCH(V243,FlowCalNumber,0),1,1)*X255^INDEX(FlowCalConstB,MATCH(V243,FlowCalNumber,0),1,1)," ")</f>
        <v>#N/A</v>
      </c>
      <c r="Z255" s="33"/>
      <c r="AA255" s="242">
        <f t="shared" si="240"/>
        <v>0.9</v>
      </c>
      <c r="AB255" s="241" t="e">
        <f t="shared" ca="1" si="241"/>
        <v>#N/A</v>
      </c>
      <c r="AC255" s="243" t="e">
        <f ca="1">IF(AND(INDEX(FlowCalConstA,MATCH(Z243,FlowCalNumber,0),1,1)*AB255^INDEX(FlowCalConstB,MATCH(Z243,FlowCalNumber,0),1,1)&gt;INDEX(FlowCalLowSetting,MATCH(Z243,FlowCalNumber,0),1,1), (INDEX(FlowCalConstA,MATCH(Z243,FlowCalNumber,0),1,1)*AB255^INDEX(FlowCalConstB,MATCH(Z243,FlowCalNumber,0),1,1)&lt;INDEX(FlowCalHighSetting,MATCH(Z243,FlowCalNumber,0),1,1))),INDEX(FlowCalConstA,MATCH(Z243,FlowCalNumber,0),1,1)*AB255^INDEX(FlowCalConstB,MATCH(Z243,FlowCalNumber,0),1,1)," ")</f>
        <v>#N/A</v>
      </c>
      <c r="AD255" s="33"/>
      <c r="AE255" s="242">
        <f t="shared" si="242"/>
        <v>0.1</v>
      </c>
      <c r="AF255" s="241" t="e">
        <f t="shared" ca="1" si="243"/>
        <v>#N/A</v>
      </c>
      <c r="AG255" s="243" t="e">
        <f ca="1">IF(AND(INDEX(FlowCalConstA,MATCH(AD243,FlowCalNumber,0),1,1)*AF255^INDEX(FlowCalConstB,MATCH(AD243,FlowCalNumber,0),1,1)&gt;INDEX(FlowCalLowSetting,MATCH(AD243,FlowCalNumber,0),1,1), (INDEX(FlowCalConstA,MATCH(AD243,FlowCalNumber,0),1,1)*AF255^INDEX(FlowCalConstB,MATCH(AD243,FlowCalNumber,0),1,1)&lt;INDEX(FlowCalHighSetting,MATCH(AD243,FlowCalNumber,0),1,1))),INDEX(FlowCalConstA,MATCH(AD243,FlowCalNumber,0),1,1)*AF255^INDEX(FlowCalConstB,MATCH(AD243,FlowCalNumber,0),1,1)," ")</f>
        <v>#N/A</v>
      </c>
      <c r="AH255" s="33"/>
      <c r="AI255" s="242">
        <f t="shared" si="244"/>
        <v>0.9</v>
      </c>
      <c r="AJ255" s="241" t="e">
        <f t="shared" ca="1" si="245"/>
        <v>#N/A</v>
      </c>
      <c r="AK255" s="243" t="e">
        <f ca="1">IF(AND(INDEX(FlowCalConstA,MATCH(AH243,FlowCalNumber,0),1,1)*AJ255^INDEX(FlowCalConstB,MATCH(AH243,FlowCalNumber,0),1,1)&gt;INDEX(FlowCalLowSetting,MATCH(AH243,FlowCalNumber,0),1,1), (INDEX(FlowCalConstA,MATCH(AH243,FlowCalNumber,0),1,1)*AJ255^INDEX(FlowCalConstB,MATCH(AH243,FlowCalNumber,0),1,1)&lt;INDEX(FlowCalHighSetting,MATCH(AH243,FlowCalNumber,0),1,1))),INDEX(FlowCalConstA,MATCH(AH243,FlowCalNumber,0),1,1)*AJ255^INDEX(FlowCalConstB,MATCH(AH243,FlowCalNumber,0),1,1)," ")</f>
        <v>#N/A</v>
      </c>
      <c r="AL255" s="33"/>
      <c r="AM255" s="242"/>
      <c r="AN255" s="241"/>
      <c r="AO255" s="244"/>
      <c r="AQ255" s="242"/>
      <c r="AR255" s="241"/>
      <c r="AS255" s="244"/>
      <c r="AT255" s="33"/>
      <c r="AU255" s="242"/>
      <c r="AV255" s="241"/>
      <c r="AW255" s="244"/>
      <c r="AX255" s="33"/>
      <c r="AY255" s="242"/>
      <c r="AZ255" s="241"/>
      <c r="BA255" s="244"/>
      <c r="BB255" s="33"/>
      <c r="BC255" s="242"/>
      <c r="BD255" s="241"/>
      <c r="BE255" s="244"/>
      <c r="BF255" s="33"/>
      <c r="BG255" s="242"/>
      <c r="BH255" s="241"/>
      <c r="BI255" s="244"/>
      <c r="BJ255" s="33"/>
      <c r="BK255" s="242"/>
      <c r="BL255" s="241"/>
      <c r="BM255" s="244"/>
      <c r="BN255" s="33"/>
      <c r="BO255" s="242"/>
      <c r="BP255" s="241"/>
      <c r="BQ255" s="244"/>
      <c r="BR255" s="33"/>
      <c r="BS255" s="242"/>
      <c r="BT255" s="241"/>
      <c r="BU255" s="244"/>
      <c r="BV255" s="33"/>
      <c r="BW255" s="242"/>
      <c r="BX255" s="241"/>
      <c r="BY255" s="244"/>
      <c r="BZ255" s="33"/>
      <c r="CA255" s="242"/>
      <c r="CB255" s="241"/>
      <c r="CC255" s="244"/>
      <c r="CD255" s="243"/>
      <c r="CE255" s="243"/>
      <c r="CF255" s="243"/>
      <c r="CG255" s="243"/>
      <c r="CH255" s="243"/>
      <c r="CI255" s="243"/>
      <c r="CJ255" s="243"/>
      <c r="CK255" s="243"/>
      <c r="CL255" s="243"/>
      <c r="CM255" s="243"/>
      <c r="CN255" s="243"/>
      <c r="CO255" s="243"/>
      <c r="CP255" s="243"/>
      <c r="CQ255" s="243"/>
      <c r="CR255" s="243"/>
      <c r="CS255" s="243"/>
      <c r="CT255" s="243"/>
      <c r="CU255" s="243"/>
      <c r="CV255" s="243"/>
      <c r="CW255" s="243"/>
      <c r="CX255" s="243"/>
      <c r="CY255" s="243"/>
      <c r="CZ255" s="243"/>
      <c r="DA255" s="243"/>
      <c r="DB255" s="243"/>
      <c r="DC255" s="243"/>
      <c r="DD255" s="243"/>
      <c r="DE255" s="243"/>
      <c r="DF255" s="243"/>
      <c r="DG255" s="243"/>
      <c r="DH255" s="243"/>
      <c r="DI255" s="243"/>
      <c r="DJ255" s="243"/>
      <c r="DK255" s="243"/>
      <c r="DM255" s="242"/>
      <c r="DO255" s="243"/>
      <c r="DQ255" s="242"/>
      <c r="DS255" s="243"/>
      <c r="DU255" s="242"/>
      <c r="DW255" s="243"/>
      <c r="DY255" s="242"/>
      <c r="EA255" s="243"/>
    </row>
    <row r="256" spans="1:131">
      <c r="A256" s="20"/>
      <c r="B256" s="124" t="str">
        <f t="shared" si="230"/>
        <v/>
      </c>
      <c r="C256" s="235"/>
      <c r="D256" s="24">
        <f>'1% Wind'!$M$94</f>
        <v>1.8</v>
      </c>
      <c r="E256" s="90"/>
      <c r="F256" s="90"/>
      <c r="G256" s="79" t="e">
        <f ca="1">IF(I243=0.9743,$G255,MAX(G255/D255*D256,2))</f>
        <v>#N/A</v>
      </c>
      <c r="H256" s="121" t="e">
        <f t="shared" ca="1" si="231"/>
        <v>#N/A</v>
      </c>
      <c r="J256" s="33"/>
      <c r="K256" s="242">
        <f t="shared" si="232"/>
        <v>1</v>
      </c>
      <c r="L256" s="241" t="e">
        <f t="shared" ca="1" si="233"/>
        <v>#N/A</v>
      </c>
      <c r="M256" s="243" t="e">
        <f ca="1">IF(AND(INDEX(FlowCalConstA,MATCH(J243,FlowCalNumber,0),1,1)*L256^INDEX(FlowCalConstB,MATCH(J243,FlowCalNumber,0),1,1)&gt;INDEX(FlowCalLowSetting,MATCH(J243,FlowCalNumber,0),1,1), (INDEX(FlowCalConstA,MATCH(J243,FlowCalNumber,0),1,1)*L256^INDEX(FlowCalConstB,MATCH(J243,FlowCalNumber,0),1,1)&lt;INDEX(FlowCalHighSetting,MATCH(J243,FlowCalNumber,0),1,1))),INDEX(FlowCalConstA,MATCH(J243,FlowCalNumber,0),1,1)*L256^INDEX(FlowCalConstB,MATCH(J243,FlowCalNumber,0),1,1)," ")</f>
        <v>#N/A</v>
      </c>
      <c r="N256" s="33"/>
      <c r="O256" s="242">
        <f t="shared" si="234"/>
        <v>1</v>
      </c>
      <c r="P256" s="241" t="e">
        <f t="shared" ca="1" si="235"/>
        <v>#N/A</v>
      </c>
      <c r="Q256" s="243" t="e">
        <f ca="1">IF(AND(INDEX(FlowCalConstA,MATCH(N243,FlowCalNumber,0),1,1)*P256^INDEX(FlowCalConstB,MATCH(N243,FlowCalNumber,0),1,1)&gt;INDEX(FlowCalLowSetting,MATCH(N243,FlowCalNumber,0),1,1), (INDEX(FlowCalConstA,MATCH(N243,FlowCalNumber,0),1,1)*P256^INDEX(FlowCalConstB,MATCH(N243,FlowCalNumber,0),1,1)&lt;INDEX(FlowCalHighSetting,MATCH(N243,FlowCalNumber,0),1,1))),INDEX(FlowCalConstA,MATCH(N243,FlowCalNumber,0),1,1)*P256^INDEX(FlowCalConstB,MATCH(N243,FlowCalNumber,0),1,1)," ")</f>
        <v>#N/A</v>
      </c>
      <c r="R256" s="33"/>
      <c r="S256" s="242">
        <f t="shared" si="236"/>
        <v>1</v>
      </c>
      <c r="T256" s="241" t="e">
        <f t="shared" ca="1" si="237"/>
        <v>#N/A</v>
      </c>
      <c r="U256" s="244" t="e">
        <f ca="1">IF(AND(INDEX(FlowCalConstA,MATCH(R243,FlowCalNumber,0),1,1)*T256^INDEX(FlowCalConstB,MATCH(R243,FlowCalNumber,0),1,1)&gt;INDEX(FlowCalLowSetting,MATCH(R243,FlowCalNumber,0),1,1), (INDEX(FlowCalConstA,MATCH(R243,FlowCalNumber,0),1,1)*T256^INDEX(FlowCalConstB,MATCH(R243,FlowCalNumber,0),1,1)&lt;INDEX(FlowCalHighSetting,MATCH(R243,FlowCalNumber,0),1,1))),INDEX(FlowCalConstA,MATCH(R243,FlowCalNumber,0),1,1)*T256^INDEX(FlowCalConstB,MATCH(R243,FlowCalNumber,0),1,1)," ")</f>
        <v>#N/A</v>
      </c>
      <c r="V256" s="33"/>
      <c r="W256" s="242">
        <f t="shared" si="238"/>
        <v>0.1</v>
      </c>
      <c r="X256" s="241" t="e">
        <f t="shared" ca="1" si="239"/>
        <v>#N/A</v>
      </c>
      <c r="Y256" s="243" t="e">
        <f ca="1">IF(AND(INDEX(FlowCalConstA,MATCH(V243,FlowCalNumber,0),1,1)*X256^INDEX(FlowCalConstB,MATCH(V243,FlowCalNumber,0),1,1)&gt;INDEX(FlowCalLowSetting,MATCH(V243,FlowCalNumber,0),1,1), (INDEX(FlowCalConstA,MATCH(V243,FlowCalNumber,0),1,1)*X256^INDEX(FlowCalConstB,MATCH(V243,FlowCalNumber,0),1,1)&lt;INDEX(FlowCalHighSetting,MATCH(V243,FlowCalNumber,0),1,1))),INDEX(FlowCalConstA,MATCH(V243,FlowCalNumber,0),1,1)*X256^INDEX(FlowCalConstB,MATCH(V243,FlowCalNumber,0),1,1)," ")</f>
        <v>#N/A</v>
      </c>
      <c r="Z256" s="33"/>
      <c r="AA256" s="242">
        <f t="shared" si="240"/>
        <v>0.9</v>
      </c>
      <c r="AB256" s="241" t="e">
        <f t="shared" ca="1" si="241"/>
        <v>#N/A</v>
      </c>
      <c r="AC256" s="243" t="e">
        <f ca="1">IF(AND(INDEX(FlowCalConstA,MATCH(Z243,FlowCalNumber,0),1,1)*AB256^INDEX(FlowCalConstB,MATCH(Z243,FlowCalNumber,0),1,1)&gt;INDEX(FlowCalLowSetting,MATCH(Z243,FlowCalNumber,0),1,1), (INDEX(FlowCalConstA,MATCH(Z243,FlowCalNumber,0),1,1)*AB256^INDEX(FlowCalConstB,MATCH(Z243,FlowCalNumber,0),1,1)&lt;INDEX(FlowCalHighSetting,MATCH(Z243,FlowCalNumber,0),1,1))),INDEX(FlowCalConstA,MATCH(Z243,FlowCalNumber,0),1,1)*AB256^INDEX(FlowCalConstB,MATCH(Z243,FlowCalNumber,0),1,1)," ")</f>
        <v>#N/A</v>
      </c>
      <c r="AD256" s="33"/>
      <c r="AE256" s="242">
        <f t="shared" si="242"/>
        <v>0.1</v>
      </c>
      <c r="AF256" s="241" t="e">
        <f t="shared" ca="1" si="243"/>
        <v>#N/A</v>
      </c>
      <c r="AG256" s="243" t="e">
        <f ca="1">IF(AND(INDEX(FlowCalConstA,MATCH(AD243,FlowCalNumber,0),1,1)*AF256^INDEX(FlowCalConstB,MATCH(AD243,FlowCalNumber,0),1,1)&gt;INDEX(FlowCalLowSetting,MATCH(AD243,FlowCalNumber,0),1,1), (INDEX(FlowCalConstA,MATCH(AD243,FlowCalNumber,0),1,1)*AF256^INDEX(FlowCalConstB,MATCH(AD243,FlowCalNumber,0),1,1)&lt;INDEX(FlowCalHighSetting,MATCH(AD243,FlowCalNumber,0),1,1))),INDEX(FlowCalConstA,MATCH(AD243,FlowCalNumber,0),1,1)*AF256^INDEX(FlowCalConstB,MATCH(AD243,FlowCalNumber,0),1,1)," ")</f>
        <v>#N/A</v>
      </c>
      <c r="AH256" s="33"/>
      <c r="AI256" s="242">
        <f t="shared" si="244"/>
        <v>0.9</v>
      </c>
      <c r="AJ256" s="241" t="e">
        <f t="shared" ca="1" si="245"/>
        <v>#N/A</v>
      </c>
      <c r="AK256" s="243" t="e">
        <f ca="1">IF(AND(INDEX(FlowCalConstA,MATCH(AH243,FlowCalNumber,0),1,1)*AJ256^INDEX(FlowCalConstB,MATCH(AH243,FlowCalNumber,0),1,1)&gt;INDEX(FlowCalLowSetting,MATCH(AH243,FlowCalNumber,0),1,1), (INDEX(FlowCalConstA,MATCH(AH243,FlowCalNumber,0),1,1)*AJ256^INDEX(FlowCalConstB,MATCH(AH243,FlowCalNumber,0),1,1)&lt;INDEX(FlowCalHighSetting,MATCH(AH243,FlowCalNumber,0),1,1))),INDEX(FlowCalConstA,MATCH(AH243,FlowCalNumber,0),1,1)*AJ256^INDEX(FlowCalConstB,MATCH(AH243,FlowCalNumber,0),1,1)," ")</f>
        <v>#N/A</v>
      </c>
      <c r="AL256" s="33"/>
      <c r="AM256" s="242"/>
      <c r="AN256" s="241"/>
      <c r="AO256" s="244"/>
      <c r="AQ256" s="242"/>
      <c r="AR256" s="241"/>
      <c r="AS256" s="244"/>
      <c r="AT256" s="33"/>
      <c r="AU256" s="242"/>
      <c r="AV256" s="241"/>
      <c r="AW256" s="244"/>
      <c r="AX256" s="33"/>
      <c r="AY256" s="242"/>
      <c r="AZ256" s="241"/>
      <c r="BA256" s="244"/>
      <c r="BB256" s="33"/>
      <c r="BC256" s="242"/>
      <c r="BD256" s="241"/>
      <c r="BE256" s="244"/>
      <c r="BF256" s="33"/>
      <c r="BG256" s="242"/>
      <c r="BH256" s="241"/>
      <c r="BI256" s="244"/>
      <c r="BJ256" s="33"/>
      <c r="BK256" s="242"/>
      <c r="BL256" s="241"/>
      <c r="BM256" s="244"/>
      <c r="BN256" s="33"/>
      <c r="BO256" s="242"/>
      <c r="BP256" s="241"/>
      <c r="BQ256" s="244"/>
      <c r="BR256" s="33"/>
      <c r="BS256" s="242"/>
      <c r="BT256" s="241"/>
      <c r="BU256" s="244"/>
      <c r="BV256" s="33"/>
      <c r="BW256" s="242"/>
      <c r="BX256" s="241"/>
      <c r="BY256" s="244"/>
      <c r="BZ256" s="33"/>
      <c r="CA256" s="242"/>
      <c r="CB256" s="241"/>
      <c r="CC256" s="244"/>
      <c r="CD256" s="243"/>
      <c r="CE256" s="243"/>
      <c r="CF256" s="243"/>
      <c r="CG256" s="243"/>
      <c r="CH256" s="243"/>
      <c r="CI256" s="243"/>
      <c r="CJ256" s="243"/>
      <c r="CK256" s="243"/>
      <c r="CL256" s="243"/>
      <c r="CM256" s="243"/>
      <c r="CN256" s="243"/>
      <c r="CO256" s="243"/>
      <c r="CP256" s="243"/>
      <c r="CQ256" s="243"/>
      <c r="CR256" s="243"/>
      <c r="CS256" s="243"/>
      <c r="CT256" s="243"/>
      <c r="CU256" s="243"/>
      <c r="CV256" s="243"/>
      <c r="CW256" s="243"/>
      <c r="CX256" s="243"/>
      <c r="CY256" s="243"/>
      <c r="CZ256" s="243"/>
      <c r="DA256" s="243"/>
      <c r="DB256" s="243"/>
      <c r="DC256" s="243"/>
      <c r="DD256" s="243"/>
      <c r="DE256" s="243"/>
      <c r="DF256" s="243"/>
      <c r="DG256" s="243"/>
      <c r="DH256" s="243"/>
      <c r="DI256" s="243"/>
      <c r="DJ256" s="243"/>
      <c r="DK256" s="243"/>
      <c r="DM256" s="242"/>
      <c r="DO256" s="243"/>
      <c r="DQ256" s="242"/>
      <c r="DS256" s="243"/>
      <c r="DU256" s="242"/>
      <c r="DW256" s="243"/>
      <c r="DY256" s="242"/>
      <c r="EA256" s="243"/>
    </row>
    <row r="257" spans="1:131">
      <c r="A257" s="20"/>
      <c r="B257" s="124" t="str">
        <f t="shared" si="230"/>
        <v/>
      </c>
      <c r="C257" s="235"/>
      <c r="D257" s="24">
        <f>'1% Wind'!$M$95</f>
        <v>1.3</v>
      </c>
      <c r="E257" s="90"/>
      <c r="F257" s="90"/>
      <c r="G257" s="79" t="e">
        <f ca="1">IF(I243=0.9743,$G256,MAX(G256/D256*D257,2))</f>
        <v>#N/A</v>
      </c>
      <c r="H257" s="121" t="e">
        <f t="shared" ca="1" si="231"/>
        <v>#N/A</v>
      </c>
      <c r="J257" s="33"/>
      <c r="K257" s="242">
        <f t="shared" si="232"/>
        <v>1</v>
      </c>
      <c r="L257" s="241" t="e">
        <f t="shared" ca="1" si="233"/>
        <v>#N/A</v>
      </c>
      <c r="M257" s="243" t="e">
        <f ca="1">IF(AND(INDEX(FlowCalConstA,MATCH(J243,FlowCalNumber,0),1,1)*L257^INDEX(FlowCalConstB,MATCH(J243,FlowCalNumber,0),1,1)&gt;INDEX(FlowCalLowSetting,MATCH(J243,FlowCalNumber,0),1,1), (INDEX(FlowCalConstA,MATCH(J243,FlowCalNumber,0),1,1)*L257^INDEX(FlowCalConstB,MATCH(J243,FlowCalNumber,0),1,1)&lt;INDEX(FlowCalHighSetting,MATCH(J243,FlowCalNumber,0),1,1))),INDEX(FlowCalConstA,MATCH(J243,FlowCalNumber,0),1,1)*L257^INDEX(FlowCalConstB,MATCH(J243,FlowCalNumber,0),1,1)," ")</f>
        <v>#N/A</v>
      </c>
      <c r="N257" s="33"/>
      <c r="O257" s="242">
        <f t="shared" si="234"/>
        <v>1</v>
      </c>
      <c r="P257" s="241" t="e">
        <f t="shared" ca="1" si="235"/>
        <v>#N/A</v>
      </c>
      <c r="Q257" s="243" t="e">
        <f ca="1">IF(AND(INDEX(FlowCalConstA,MATCH(N243,FlowCalNumber,0),1,1)*P257^INDEX(FlowCalConstB,MATCH(N243,FlowCalNumber,0),1,1)&gt;INDEX(FlowCalLowSetting,MATCH(N243,FlowCalNumber,0),1,1), (INDEX(FlowCalConstA,MATCH(N243,FlowCalNumber,0),1,1)*P257^INDEX(FlowCalConstB,MATCH(N243,FlowCalNumber,0),1,1)&lt;INDEX(FlowCalHighSetting,MATCH(N243,FlowCalNumber,0),1,1))),INDEX(FlowCalConstA,MATCH(N243,FlowCalNumber,0),1,1)*P257^INDEX(FlowCalConstB,MATCH(N243,FlowCalNumber,0),1,1)," ")</f>
        <v>#N/A</v>
      </c>
      <c r="R257" s="33"/>
      <c r="S257" s="242">
        <f t="shared" si="236"/>
        <v>1</v>
      </c>
      <c r="T257" s="241" t="e">
        <f t="shared" ca="1" si="237"/>
        <v>#N/A</v>
      </c>
      <c r="U257" s="244" t="e">
        <f ca="1">IF(AND(INDEX(FlowCalConstA,MATCH(R243,FlowCalNumber,0),1,1)*T257^INDEX(FlowCalConstB,MATCH(R243,FlowCalNumber,0),1,1)&gt;INDEX(FlowCalLowSetting,MATCH(R243,FlowCalNumber,0),1,1), (INDEX(FlowCalConstA,MATCH(R243,FlowCalNumber,0),1,1)*T257^INDEX(FlowCalConstB,MATCH(R243,FlowCalNumber,0),1,1)&lt;INDEX(FlowCalHighSetting,MATCH(R243,FlowCalNumber,0),1,1))),INDEX(FlowCalConstA,MATCH(R243,FlowCalNumber,0),1,1)*T257^INDEX(FlowCalConstB,MATCH(R243,FlowCalNumber,0),1,1)," ")</f>
        <v>#N/A</v>
      </c>
      <c r="V257" s="33"/>
      <c r="W257" s="242">
        <f t="shared" si="238"/>
        <v>0.1</v>
      </c>
      <c r="X257" s="241" t="e">
        <f t="shared" ca="1" si="239"/>
        <v>#N/A</v>
      </c>
      <c r="Y257" s="243" t="e">
        <f ca="1">IF(AND(INDEX(FlowCalConstA,MATCH(V243,FlowCalNumber,0),1,1)*X257^INDEX(FlowCalConstB,MATCH(V243,FlowCalNumber,0),1,1)&gt;INDEX(FlowCalLowSetting,MATCH(V243,FlowCalNumber,0),1,1), (INDEX(FlowCalConstA,MATCH(V243,FlowCalNumber,0),1,1)*X257^INDEX(FlowCalConstB,MATCH(V243,FlowCalNumber,0),1,1)&lt;INDEX(FlowCalHighSetting,MATCH(V243,FlowCalNumber,0),1,1))),INDEX(FlowCalConstA,MATCH(V243,FlowCalNumber,0),1,1)*X257^INDEX(FlowCalConstB,MATCH(V243,FlowCalNumber,0),1,1)," ")</f>
        <v>#N/A</v>
      </c>
      <c r="Z257" s="33"/>
      <c r="AA257" s="242">
        <f t="shared" si="240"/>
        <v>0.9</v>
      </c>
      <c r="AB257" s="241" t="e">
        <f t="shared" ca="1" si="241"/>
        <v>#N/A</v>
      </c>
      <c r="AC257" s="243" t="e">
        <f ca="1">IF(AND(INDEX(FlowCalConstA,MATCH(Z243,FlowCalNumber,0),1,1)*AB257^INDEX(FlowCalConstB,MATCH(Z243,FlowCalNumber,0),1,1)&gt;INDEX(FlowCalLowSetting,MATCH(Z243,FlowCalNumber,0),1,1), (INDEX(FlowCalConstA,MATCH(Z243,FlowCalNumber,0),1,1)*AB257^INDEX(FlowCalConstB,MATCH(Z243,FlowCalNumber,0),1,1)&lt;INDEX(FlowCalHighSetting,MATCH(Z243,FlowCalNumber,0),1,1))),INDEX(FlowCalConstA,MATCH(Z243,FlowCalNumber,0),1,1)*AB257^INDEX(FlowCalConstB,MATCH(Z243,FlowCalNumber,0),1,1)," ")</f>
        <v>#N/A</v>
      </c>
      <c r="AD257" s="33"/>
      <c r="AE257" s="242">
        <f t="shared" si="242"/>
        <v>0.1</v>
      </c>
      <c r="AF257" s="241" t="e">
        <f t="shared" ca="1" si="243"/>
        <v>#N/A</v>
      </c>
      <c r="AG257" s="243" t="e">
        <f ca="1">IF(AND(INDEX(FlowCalConstA,MATCH(AD243,FlowCalNumber,0),1,1)*AF257^INDEX(FlowCalConstB,MATCH(AD243,FlowCalNumber,0),1,1)&gt;INDEX(FlowCalLowSetting,MATCH(AD243,FlowCalNumber,0),1,1), (INDEX(FlowCalConstA,MATCH(AD243,FlowCalNumber,0),1,1)*AF257^INDEX(FlowCalConstB,MATCH(AD243,FlowCalNumber,0),1,1)&lt;INDEX(FlowCalHighSetting,MATCH(AD243,FlowCalNumber,0),1,1))),INDEX(FlowCalConstA,MATCH(AD243,FlowCalNumber,0),1,1)*AF257^INDEX(FlowCalConstB,MATCH(AD243,FlowCalNumber,0),1,1)," ")</f>
        <v>#N/A</v>
      </c>
      <c r="AH257" s="33"/>
      <c r="AI257" s="242">
        <f t="shared" si="244"/>
        <v>0.9</v>
      </c>
      <c r="AJ257" s="241" t="e">
        <f t="shared" ca="1" si="245"/>
        <v>#N/A</v>
      </c>
      <c r="AK257" s="243" t="e">
        <f ca="1">IF(AND(INDEX(FlowCalConstA,MATCH(AH243,FlowCalNumber,0),1,1)*AJ257^INDEX(FlowCalConstB,MATCH(AH243,FlowCalNumber,0),1,1)&gt;INDEX(FlowCalLowSetting,MATCH(AH243,FlowCalNumber,0),1,1), (INDEX(FlowCalConstA,MATCH(AH243,FlowCalNumber,0),1,1)*AJ257^INDEX(FlowCalConstB,MATCH(AH243,FlowCalNumber,0),1,1)&lt;INDEX(FlowCalHighSetting,MATCH(AH243,FlowCalNumber,0),1,1))),INDEX(FlowCalConstA,MATCH(AH243,FlowCalNumber,0),1,1)*AJ257^INDEX(FlowCalConstB,MATCH(AH243,FlowCalNumber,0),1,1)," ")</f>
        <v>#N/A</v>
      </c>
      <c r="AL257" s="33"/>
      <c r="AM257" s="242"/>
      <c r="AN257" s="241"/>
      <c r="AO257" s="244"/>
      <c r="AQ257" s="242"/>
      <c r="AR257" s="241"/>
      <c r="AS257" s="244"/>
      <c r="AT257" s="33"/>
      <c r="AU257" s="242"/>
      <c r="AV257" s="241"/>
      <c r="AW257" s="244"/>
      <c r="AX257" s="33"/>
      <c r="AY257" s="242"/>
      <c r="AZ257" s="241"/>
      <c r="BA257" s="244"/>
      <c r="BB257" s="33"/>
      <c r="BC257" s="242"/>
      <c r="BD257" s="241"/>
      <c r="BE257" s="244"/>
      <c r="BF257" s="33"/>
      <c r="BG257" s="242"/>
      <c r="BH257" s="241"/>
      <c r="BI257" s="244"/>
      <c r="BJ257" s="33"/>
      <c r="BK257" s="242"/>
      <c r="BL257" s="241"/>
      <c r="BM257" s="244"/>
      <c r="BN257" s="33"/>
      <c r="BO257" s="242"/>
      <c r="BP257" s="241"/>
      <c r="BQ257" s="244"/>
      <c r="BR257" s="33"/>
      <c r="BS257" s="242"/>
      <c r="BT257" s="241"/>
      <c r="BU257" s="244"/>
      <c r="BV257" s="33"/>
      <c r="BW257" s="242"/>
      <c r="BX257" s="241"/>
      <c r="BY257" s="244"/>
      <c r="BZ257" s="33"/>
      <c r="CA257" s="242"/>
      <c r="CB257" s="241"/>
      <c r="CC257" s="244"/>
      <c r="CD257" s="243"/>
      <c r="CE257" s="243"/>
      <c r="CF257" s="243"/>
      <c r="CG257" s="243"/>
      <c r="CH257" s="243"/>
      <c r="CI257" s="243"/>
      <c r="CJ257" s="243"/>
      <c r="CK257" s="243"/>
      <c r="CL257" s="243"/>
      <c r="CM257" s="243"/>
      <c r="CN257" s="243"/>
      <c r="CO257" s="243"/>
      <c r="CP257" s="243"/>
      <c r="CQ257" s="243"/>
      <c r="CR257" s="243"/>
      <c r="CS257" s="243"/>
      <c r="CT257" s="243"/>
      <c r="CU257" s="243"/>
      <c r="CV257" s="243"/>
      <c r="CW257" s="243"/>
      <c r="CX257" s="243"/>
      <c r="CY257" s="243"/>
      <c r="CZ257" s="243"/>
      <c r="DA257" s="243"/>
      <c r="DB257" s="243"/>
      <c r="DC257" s="243"/>
      <c r="DD257" s="243"/>
      <c r="DE257" s="243"/>
      <c r="DF257" s="243"/>
      <c r="DG257" s="243"/>
      <c r="DH257" s="243"/>
      <c r="DI257" s="243"/>
      <c r="DJ257" s="243"/>
      <c r="DK257" s="243"/>
      <c r="DM257" s="242"/>
      <c r="DO257" s="243"/>
      <c r="DQ257" s="242"/>
      <c r="DS257" s="243"/>
      <c r="DU257" s="242"/>
      <c r="DW257" s="243"/>
      <c r="DY257" s="242"/>
      <c r="EA257" s="243"/>
    </row>
    <row r="258" spans="1:131">
      <c r="A258" s="20"/>
      <c r="B258" s="124" t="str">
        <f t="shared" si="230"/>
        <v/>
      </c>
      <c r="C258" s="235"/>
      <c r="D258" s="24">
        <f>'1% Wind'!$M$96</f>
        <v>1</v>
      </c>
      <c r="E258" s="90"/>
      <c r="F258" s="90"/>
      <c r="G258" s="79" t="e">
        <f ca="1">IF(I243=0.9743,$G257,MAX(G257/D257*D258,2))</f>
        <v>#N/A</v>
      </c>
      <c r="H258" s="121" t="e">
        <f t="shared" ca="1" si="231"/>
        <v>#N/A</v>
      </c>
      <c r="J258" s="33"/>
      <c r="K258" s="242">
        <f t="shared" si="232"/>
        <v>1</v>
      </c>
      <c r="L258" s="241" t="e">
        <f t="shared" ca="1" si="233"/>
        <v>#N/A</v>
      </c>
      <c r="M258" s="243" t="e">
        <f ca="1">IF(AND(INDEX(FlowCalConstA,MATCH(J243,FlowCalNumber,0),1,1)*L258^INDEX(FlowCalConstB,MATCH(J243,FlowCalNumber,0),1,1)&gt;INDEX(FlowCalLowSetting,MATCH(J243,FlowCalNumber,0),1,1), (INDEX(FlowCalConstA,MATCH(J243,FlowCalNumber,0),1,1)*L258^INDEX(FlowCalConstB,MATCH(J243,FlowCalNumber,0),1,1)&lt;INDEX(FlowCalHighSetting,MATCH(J243,FlowCalNumber,0),1,1))),INDEX(FlowCalConstA,MATCH(J243,FlowCalNumber,0),1,1)*L258^INDEX(FlowCalConstB,MATCH(J243,FlowCalNumber,0),1,1)," ")</f>
        <v>#N/A</v>
      </c>
      <c r="N258" s="33"/>
      <c r="O258" s="242">
        <f t="shared" si="234"/>
        <v>1</v>
      </c>
      <c r="P258" s="241" t="e">
        <f t="shared" ca="1" si="235"/>
        <v>#N/A</v>
      </c>
      <c r="Q258" s="243" t="e">
        <f ca="1">IF(AND(INDEX(FlowCalConstA,MATCH(N243,FlowCalNumber,0),1,1)*P258^INDEX(FlowCalConstB,MATCH(N243,FlowCalNumber,0),1,1)&gt;INDEX(FlowCalLowSetting,MATCH(N243,FlowCalNumber,0),1,1), (INDEX(FlowCalConstA,MATCH(N243,FlowCalNumber,0),1,1)*P258^INDEX(FlowCalConstB,MATCH(N243,FlowCalNumber,0),1,1)&lt;INDEX(FlowCalHighSetting,MATCH(N243,FlowCalNumber,0),1,1))),INDEX(FlowCalConstA,MATCH(N243,FlowCalNumber,0),1,1)*P258^INDEX(FlowCalConstB,MATCH(N243,FlowCalNumber,0),1,1)," ")</f>
        <v>#N/A</v>
      </c>
      <c r="R258" s="33"/>
      <c r="S258" s="242">
        <f t="shared" si="236"/>
        <v>1</v>
      </c>
      <c r="T258" s="241" t="e">
        <f t="shared" ca="1" si="237"/>
        <v>#N/A</v>
      </c>
      <c r="U258" s="244" t="e">
        <f ca="1">IF(AND(INDEX(FlowCalConstA,MATCH(R243,FlowCalNumber,0),1,1)*T258^INDEX(FlowCalConstB,MATCH(R243,FlowCalNumber,0),1,1)&gt;INDEX(FlowCalLowSetting,MATCH(R243,FlowCalNumber,0),1,1), (INDEX(FlowCalConstA,MATCH(R243,FlowCalNumber,0),1,1)*T258^INDEX(FlowCalConstB,MATCH(R243,FlowCalNumber,0),1,1)&lt;INDEX(FlowCalHighSetting,MATCH(R243,FlowCalNumber,0),1,1))),INDEX(FlowCalConstA,MATCH(R243,FlowCalNumber,0),1,1)*T258^INDEX(FlowCalConstB,MATCH(R243,FlowCalNumber,0),1,1)," ")</f>
        <v>#N/A</v>
      </c>
      <c r="V258" s="33"/>
      <c r="W258" s="242">
        <f t="shared" si="238"/>
        <v>0.1</v>
      </c>
      <c r="X258" s="241" t="e">
        <f t="shared" ca="1" si="239"/>
        <v>#N/A</v>
      </c>
      <c r="Y258" s="243" t="e">
        <f ca="1">IF(AND(INDEX(FlowCalConstA,MATCH(V243,FlowCalNumber,0),1,1)*X258^INDEX(FlowCalConstB,MATCH(V243,FlowCalNumber,0),1,1)&gt;INDEX(FlowCalLowSetting,MATCH(V243,FlowCalNumber,0),1,1), (INDEX(FlowCalConstA,MATCH(V243,FlowCalNumber,0),1,1)*X258^INDEX(FlowCalConstB,MATCH(V243,FlowCalNumber,0),1,1)&lt;INDEX(FlowCalHighSetting,MATCH(V243,FlowCalNumber,0),1,1))),INDEX(FlowCalConstA,MATCH(V243,FlowCalNumber,0),1,1)*X258^INDEX(FlowCalConstB,MATCH(V243,FlowCalNumber,0),1,1)," ")</f>
        <v>#N/A</v>
      </c>
      <c r="Z258" s="33"/>
      <c r="AA258" s="242">
        <f t="shared" si="240"/>
        <v>0.9</v>
      </c>
      <c r="AB258" s="241" t="e">
        <f t="shared" ca="1" si="241"/>
        <v>#N/A</v>
      </c>
      <c r="AC258" s="243" t="e">
        <f ca="1">IF(AND(INDEX(FlowCalConstA,MATCH(Z243,FlowCalNumber,0),1,1)*AB258^INDEX(FlowCalConstB,MATCH(Z243,FlowCalNumber,0),1,1)&gt;INDEX(FlowCalLowSetting,MATCH(Z243,FlowCalNumber,0),1,1), (INDEX(FlowCalConstA,MATCH(Z243,FlowCalNumber,0),1,1)*AB258^INDEX(FlowCalConstB,MATCH(Z243,FlowCalNumber,0),1,1)&lt;INDEX(FlowCalHighSetting,MATCH(Z243,FlowCalNumber,0),1,1))),INDEX(FlowCalConstA,MATCH(Z243,FlowCalNumber,0),1,1)*AB258^INDEX(FlowCalConstB,MATCH(Z243,FlowCalNumber,0),1,1)," ")</f>
        <v>#N/A</v>
      </c>
      <c r="AD258" s="33"/>
      <c r="AE258" s="242">
        <f t="shared" si="242"/>
        <v>0.1</v>
      </c>
      <c r="AF258" s="241" t="e">
        <f t="shared" ca="1" si="243"/>
        <v>#N/A</v>
      </c>
      <c r="AG258" s="243" t="e">
        <f ca="1">IF(AND(INDEX(FlowCalConstA,MATCH(AD243,FlowCalNumber,0),1,1)*AF258^INDEX(FlowCalConstB,MATCH(AD243,FlowCalNumber,0),1,1)&gt;INDEX(FlowCalLowSetting,MATCH(AD243,FlowCalNumber,0),1,1), (INDEX(FlowCalConstA,MATCH(AD243,FlowCalNumber,0),1,1)*AF258^INDEX(FlowCalConstB,MATCH(AD243,FlowCalNumber,0),1,1)&lt;INDEX(FlowCalHighSetting,MATCH(AD243,FlowCalNumber,0),1,1))),INDEX(FlowCalConstA,MATCH(AD243,FlowCalNumber,0),1,1)*AF258^INDEX(FlowCalConstB,MATCH(AD243,FlowCalNumber,0),1,1)," ")</f>
        <v>#N/A</v>
      </c>
      <c r="AH258" s="33"/>
      <c r="AI258" s="242">
        <f t="shared" si="244"/>
        <v>0.9</v>
      </c>
      <c r="AJ258" s="241" t="e">
        <f t="shared" ca="1" si="245"/>
        <v>#N/A</v>
      </c>
      <c r="AK258" s="243" t="e">
        <f ca="1">IF(AND(INDEX(FlowCalConstA,MATCH(AH243,FlowCalNumber,0),1,1)*AJ258^INDEX(FlowCalConstB,MATCH(AH243,FlowCalNumber,0),1,1)&gt;INDEX(FlowCalLowSetting,MATCH(AH243,FlowCalNumber,0),1,1), (INDEX(FlowCalConstA,MATCH(AH243,FlowCalNumber,0),1,1)*AJ258^INDEX(FlowCalConstB,MATCH(AH243,FlowCalNumber,0),1,1)&lt;INDEX(FlowCalHighSetting,MATCH(AH243,FlowCalNumber,0),1,1))),INDEX(FlowCalConstA,MATCH(AH243,FlowCalNumber,0),1,1)*AJ258^INDEX(FlowCalConstB,MATCH(AH243,FlowCalNumber,0),1,1)," ")</f>
        <v>#N/A</v>
      </c>
      <c r="AL258" s="33"/>
      <c r="AM258" s="242"/>
      <c r="AN258" s="241"/>
      <c r="AO258" s="244"/>
      <c r="AQ258" s="242"/>
      <c r="AR258" s="241"/>
      <c r="AS258" s="244"/>
      <c r="AT258" s="33"/>
      <c r="AU258" s="242"/>
      <c r="AV258" s="241"/>
      <c r="AW258" s="244"/>
      <c r="AX258" s="33"/>
      <c r="AY258" s="242"/>
      <c r="AZ258" s="241"/>
      <c r="BA258" s="244"/>
      <c r="BB258" s="33"/>
      <c r="BC258" s="242"/>
      <c r="BD258" s="241"/>
      <c r="BE258" s="244"/>
      <c r="BF258" s="33"/>
      <c r="BG258" s="242"/>
      <c r="BH258" s="241"/>
      <c r="BI258" s="244"/>
      <c r="BJ258" s="33"/>
      <c r="BK258" s="242"/>
      <c r="BL258" s="241"/>
      <c r="BM258" s="244"/>
      <c r="BN258" s="33"/>
      <c r="BO258" s="242"/>
      <c r="BP258" s="241"/>
      <c r="BQ258" s="244"/>
      <c r="BR258" s="33"/>
      <c r="BS258" s="242"/>
      <c r="BT258" s="241"/>
      <c r="BU258" s="244"/>
      <c r="BV258" s="33"/>
      <c r="BW258" s="242"/>
      <c r="BX258" s="241"/>
      <c r="BY258" s="244"/>
      <c r="BZ258" s="33"/>
      <c r="CA258" s="242"/>
      <c r="CB258" s="241"/>
      <c r="CC258" s="244"/>
      <c r="CD258" s="243"/>
      <c r="CE258" s="243"/>
      <c r="CF258" s="243"/>
      <c r="CG258" s="243"/>
      <c r="CH258" s="243"/>
      <c r="CI258" s="243"/>
      <c r="CJ258" s="243"/>
      <c r="CK258" s="243"/>
      <c r="CL258" s="243"/>
      <c r="CM258" s="243"/>
      <c r="CN258" s="243"/>
      <c r="CO258" s="243"/>
      <c r="CP258" s="243"/>
      <c r="CQ258" s="243"/>
      <c r="CR258" s="243"/>
      <c r="CS258" s="243"/>
      <c r="CT258" s="243"/>
      <c r="CU258" s="243"/>
      <c r="CV258" s="243"/>
      <c r="CW258" s="243"/>
      <c r="CX258" s="243"/>
      <c r="CY258" s="243"/>
      <c r="CZ258" s="243"/>
      <c r="DA258" s="243"/>
      <c r="DB258" s="243"/>
      <c r="DC258" s="243"/>
      <c r="DD258" s="243"/>
      <c r="DE258" s="243"/>
      <c r="DF258" s="243"/>
      <c r="DG258" s="243"/>
      <c r="DH258" s="243"/>
      <c r="DI258" s="243"/>
      <c r="DJ258" s="243"/>
      <c r="DK258" s="243"/>
      <c r="DM258" s="242"/>
      <c r="DO258" s="243"/>
      <c r="DQ258" s="242"/>
      <c r="DS258" s="243"/>
      <c r="DU258" s="242"/>
      <c r="DW258" s="243"/>
      <c r="DY258" s="242"/>
      <c r="EA258" s="243"/>
    </row>
    <row r="259" spans="1:131">
      <c r="A259" s="33"/>
      <c r="B259" s="33"/>
      <c r="C259" s="235"/>
      <c r="E259" s="90"/>
      <c r="F259" s="90"/>
      <c r="G259" s="33"/>
      <c r="J259" s="33"/>
      <c r="N259" s="33"/>
      <c r="Q259" s="243"/>
      <c r="R259" s="33"/>
      <c r="U259" s="244"/>
      <c r="V259" s="33"/>
      <c r="Y259" s="243"/>
      <c r="Z259" s="33"/>
      <c r="AC259" s="243"/>
      <c r="AD259" s="33"/>
      <c r="AG259" s="243"/>
      <c r="AH259" s="33"/>
      <c r="AK259" s="244"/>
      <c r="AL259" s="792"/>
      <c r="AM259" s="243"/>
      <c r="AN259" s="243"/>
      <c r="AO259" s="244"/>
      <c r="AP259" s="243"/>
      <c r="AQ259" s="243"/>
      <c r="AR259" s="243"/>
      <c r="AS259" s="244"/>
      <c r="AT259" s="243"/>
      <c r="AU259" s="243"/>
      <c r="AV259" s="243"/>
      <c r="AW259" s="244"/>
      <c r="AX259" s="243"/>
      <c r="AY259" s="243"/>
      <c r="AZ259" s="243"/>
      <c r="BA259" s="244"/>
      <c r="BB259" s="33"/>
      <c r="BE259" s="244"/>
      <c r="BF259" s="33"/>
      <c r="BI259" s="244"/>
      <c r="BJ259" s="33"/>
      <c r="BM259" s="244"/>
      <c r="BN259" s="243"/>
      <c r="BO259" s="243"/>
      <c r="BP259" s="243"/>
      <c r="BQ259" s="244"/>
      <c r="BR259" s="792"/>
      <c r="BS259" s="243"/>
      <c r="BT259" s="243"/>
      <c r="BU259" s="244"/>
      <c r="BV259" s="792"/>
      <c r="BW259" s="243"/>
      <c r="BX259" s="243"/>
      <c r="BY259" s="244"/>
      <c r="BZ259" s="792"/>
      <c r="CA259" s="243"/>
      <c r="CB259" s="243"/>
      <c r="CC259" s="244"/>
      <c r="CD259" s="243"/>
      <c r="CE259" s="243"/>
      <c r="CF259" s="243"/>
      <c r="CG259" s="243"/>
      <c r="CH259" s="243"/>
      <c r="CI259" s="243"/>
      <c r="CJ259" s="243"/>
      <c r="CK259" s="243"/>
      <c r="CL259" s="243"/>
      <c r="CM259" s="243"/>
      <c r="CN259" s="243"/>
      <c r="CO259" s="243"/>
      <c r="CP259" s="243"/>
      <c r="CQ259" s="243"/>
      <c r="CR259" s="243"/>
      <c r="CS259" s="243"/>
      <c r="CT259" s="243"/>
      <c r="CU259" s="243"/>
      <c r="CV259" s="243"/>
      <c r="CW259" s="243"/>
      <c r="CX259" s="243"/>
      <c r="CY259" s="243"/>
      <c r="CZ259" s="243"/>
      <c r="DA259" s="243"/>
      <c r="DB259" s="243"/>
      <c r="DC259" s="243"/>
      <c r="DD259" s="243"/>
      <c r="DE259" s="243"/>
      <c r="DF259" s="243"/>
      <c r="DG259" s="243"/>
      <c r="DH259" s="243"/>
      <c r="DI259" s="243"/>
      <c r="DJ259" s="243"/>
      <c r="DK259" s="243"/>
      <c r="DO259" s="243"/>
      <c r="DS259" s="243"/>
      <c r="DW259" s="243"/>
      <c r="EA259" s="243"/>
    </row>
    <row r="260" spans="1:131">
      <c r="A260" s="256" t="str">
        <f>IF((RIGHT(A243,1))&lt;&gt;"Z",CHAR(CODE(A243))&amp;CHAR(CODE(RIGHT(A243,1))+1),CHAR(CODE(A243)+1)&amp;"A")</f>
        <v>AO</v>
      </c>
      <c r="B260" s="270" t="e">
        <f>INDEX(SourceID,MATCH($A260,SourceNumber,0),1,1)</f>
        <v>#N/A</v>
      </c>
      <c r="C260" s="354" t="e">
        <f>INDEX(SourceExitDiameter,MATCH($A260,SourceNumber,0),1,1)*3.28*12</f>
        <v>#N/A</v>
      </c>
      <c r="D260" s="24" t="str">
        <f>UAnem1percent</f>
        <v>1% Wind</v>
      </c>
      <c r="E260" s="350" t="e">
        <f ca="1">INDIRECT(ADDRESS(53,6,1,,CONCATENATE("TA",$A260)))</f>
        <v>#REF!</v>
      </c>
      <c r="F260" s="625" t="e">
        <f ca="1">(ROUND((INDIRECT(ADDRESS(15,7,1,,CONCATENATE("TA",$A260)))*3.28*12*32),0)&amp;"/32")</f>
        <v>#REF!</v>
      </c>
      <c r="G260" s="125" t="e">
        <f ca="1">INDIRECT(ADDRESS(29,7,1,,$A260))</f>
        <v>#N/A</v>
      </c>
      <c r="H260" s="24" t="e">
        <f ca="1">INDIRECT(ADDRESS(19,7,1,,$A260))*100^3</f>
        <v>#N/A</v>
      </c>
      <c r="I260" s="941" t="e">
        <f ca="1">INDIRECT(ADDRESS(53,7,1,,$A260))</f>
        <v>#N/A</v>
      </c>
      <c r="J260" s="20" t="e">
        <f ca="1">IF($I260=$I$6,K$16&amp;$G$6&amp;J$6,IF($I260=$I$7,K$16&amp;$G$7&amp;J$7,"Bad"))</f>
        <v>#N/A</v>
      </c>
      <c r="K260" t="e">
        <f ca="1">INDEX(FlowCalGasMixture,MATCH(J260,FlowCalNumber,0),1,1)</f>
        <v>#N/A</v>
      </c>
      <c r="M260" s="944" t="e">
        <f ca="1">INDEX(FlowCalDevice,MATCH(J260,FlowCalNumber,0),1,1)</f>
        <v>#N/A</v>
      </c>
      <c r="N260" s="943" t="e">
        <f ca="1">IF($I260=$I$6,O$16&amp;$G$6&amp;"90"&amp;$H$6&amp;N$6,IF($I260=$I$7,O$16&amp;$G$7&amp;"90"&amp;$H$7&amp;N$7,"Bad"))</f>
        <v>#N/A</v>
      </c>
      <c r="O260" t="e">
        <f ca="1">INDEX(FlowCalGasMixture,MATCH(N260,FlowCalNumber,0),1,1)</f>
        <v>#N/A</v>
      </c>
      <c r="Q260" s="944" t="e">
        <f ca="1">INDEX(FlowCalDevice,MATCH(N260,FlowCalNumber,0),1,1)</f>
        <v>#N/A</v>
      </c>
      <c r="R260" s="943" t="e">
        <f ca="1">IF($I260=$I$6,S$16&amp;$G$6&amp;"90"&amp;$H$6&amp;R$6,IF($I260=$I$7,S$16&amp;$G$7&amp;"90"&amp;$H$7&amp;R$7,"Bad"))</f>
        <v>#N/A</v>
      </c>
      <c r="S260" t="e">
        <f ca="1">INDEX(FlowCalGasMixture,MATCH(R260,FlowCalNumber,0),1,1)</f>
        <v>#N/A</v>
      </c>
      <c r="U260" s="944" t="e">
        <f ca="1">INDEX(FlowCalDevice,MATCH(R260,FlowCalNumber,0),1,1)</f>
        <v>#N/A</v>
      </c>
      <c r="V260" s="20" t="e">
        <f ca="1">IF($I260=$I$6,W$16&amp;$G$6&amp;V$6,IF($I260=$I$7,W$16&amp;$G$7&amp;V$7,"Bad"))</f>
        <v>#N/A</v>
      </c>
      <c r="W260" t="e">
        <f ca="1">INDEX(FlowCalGasMixture,MATCH(V260,FlowCalNumber,0),1,1)</f>
        <v>#N/A</v>
      </c>
      <c r="Y260" s="944" t="e">
        <f ca="1">INDEX(FlowCalDevice,MATCH(V260,FlowCalNumber,0),1,1)</f>
        <v>#N/A</v>
      </c>
      <c r="Z260" s="946" t="e">
        <f ca="1">IF($I260=$I$6,AA$18&amp;$H$6&amp;Z$6,IF($I260=$I$7,AA$18&amp;$H$7&amp;Z$7,"Bad"))</f>
        <v>#N/A</v>
      </c>
      <c r="AA260" t="e">
        <f ca="1">INDEX(FlowCalGasMixture,MATCH(Z260,FlowCalNumber,0),1,1)</f>
        <v>#N/A</v>
      </c>
      <c r="AC260" s="944" t="e">
        <f ca="1">INDEX(FlowCalDevice,MATCH(Z260,FlowCalNumber,0),1,1)</f>
        <v>#N/A</v>
      </c>
      <c r="AD260" s="20" t="e">
        <f ca="1">IF($I260=$I$6,AE$16&amp;$G$6&amp;AD$6,IF($I260=$I$7,AE$16&amp;$G$7&amp;AD$7,"Bad"))</f>
        <v>#N/A</v>
      </c>
      <c r="AE260" t="e">
        <f ca="1">INDEX(FlowCalGasMixture,MATCH(AD260,FlowCalNumber,0),1,1)</f>
        <v>#N/A</v>
      </c>
      <c r="AG260" s="944" t="e">
        <f ca="1">INDEX(FlowCalDevice,MATCH(AD260,FlowCalNumber,0),1,1)</f>
        <v>#N/A</v>
      </c>
      <c r="AH260" s="946" t="e">
        <f ca="1">IF($I260=$I$6,AI$18&amp;$H$6&amp;AH$6,IF($I260=$I$7,AI$18&amp;$H$7&amp;AH$7,"Bad"))</f>
        <v>#N/A</v>
      </c>
      <c r="AI260" t="e">
        <f ca="1">INDEX(FlowCalGasMixture,MATCH(AH260,FlowCalNumber,0),1,1)</f>
        <v>#N/A</v>
      </c>
      <c r="AK260" s="944" t="e">
        <f ca="1">INDEX(FlowCalDevice,MATCH(AH260,FlowCalNumber,0),1,1)</f>
        <v>#N/A</v>
      </c>
      <c r="AL260" s="20"/>
      <c r="AO260" s="982"/>
      <c r="AP260" s="960"/>
      <c r="AS260" s="982"/>
      <c r="AT260" s="20"/>
      <c r="AW260" s="982"/>
      <c r="AX260" s="946"/>
      <c r="BA260" s="982"/>
      <c r="BB260" s="20"/>
      <c r="BC260" s="16"/>
      <c r="BE260" s="982"/>
      <c r="BF260" s="946"/>
      <c r="BG260" s="16"/>
      <c r="BI260" s="982"/>
      <c r="BJ260" s="946"/>
      <c r="BK260" s="16"/>
      <c r="BM260" s="982"/>
      <c r="BN260" s="20"/>
      <c r="BO260" s="16"/>
      <c r="BQ260" s="982"/>
      <c r="BR260" s="946"/>
      <c r="BS260" s="16"/>
      <c r="BU260" s="982"/>
      <c r="BV260" s="946"/>
      <c r="BW260" s="16"/>
      <c r="BY260" s="982"/>
      <c r="BZ260" s="946"/>
      <c r="CA260" s="16"/>
      <c r="CC260" s="982"/>
      <c r="CD260" s="355"/>
      <c r="CE260" s="355"/>
      <c r="CF260" s="355"/>
      <c r="CG260" s="355"/>
      <c r="CH260" s="355"/>
      <c r="CI260" s="355"/>
      <c r="CJ260" s="355"/>
      <c r="CK260" s="355"/>
      <c r="CL260" s="355"/>
      <c r="CM260" s="355"/>
      <c r="CN260" s="355"/>
      <c r="CO260" s="355"/>
      <c r="CP260" s="355"/>
      <c r="CQ260" s="355"/>
      <c r="CR260" s="355"/>
      <c r="CS260" s="355"/>
      <c r="CT260" s="355"/>
      <c r="CU260" s="355"/>
      <c r="CV260" s="355"/>
      <c r="CW260" s="355"/>
      <c r="CX260" s="355"/>
      <c r="CY260" s="355"/>
      <c r="CZ260" s="355"/>
      <c r="DA260" s="355"/>
      <c r="DB260" s="355"/>
      <c r="DC260" s="355"/>
      <c r="DD260" s="355"/>
      <c r="DE260" s="355"/>
      <c r="DF260" s="355"/>
      <c r="DG260" s="355"/>
      <c r="DH260" s="355"/>
      <c r="DI260" s="355"/>
      <c r="DJ260" s="355"/>
      <c r="DK260" s="355"/>
      <c r="DL260" s="46"/>
      <c r="DM260" s="16"/>
      <c r="DO260" s="355"/>
      <c r="DP260" s="42"/>
      <c r="DQ260" s="16"/>
      <c r="DS260" s="355"/>
      <c r="DT260" s="42"/>
      <c r="DU260" s="16"/>
      <c r="DW260" s="355"/>
      <c r="DX260" s="42"/>
      <c r="DY260" s="16"/>
      <c r="EA260" s="355"/>
    </row>
    <row r="261" spans="1:131">
      <c r="A261" s="20"/>
      <c r="B261" s="124" t="str">
        <f t="shared" ref="B261:B275" si="246">IF(D261=UAnem1percent,"1% Wind","")</f>
        <v/>
      </c>
      <c r="C261" s="235"/>
      <c r="D261" s="24">
        <f>'1% Wind'!$M$82</f>
        <v>27</v>
      </c>
      <c r="E261" s="90"/>
      <c r="F261" s="90"/>
      <c r="G261" s="79" t="e">
        <f ca="1">IF(I260=0.9743,$G260,MAX(G260/D260*D261,2))</f>
        <v>#N/A</v>
      </c>
      <c r="H261" s="121" t="e">
        <f t="shared" ref="H261:H275" ca="1" si="247">H260*(D260/D261)*(G261/G260)</f>
        <v>#N/A</v>
      </c>
      <c r="J261" s="33"/>
      <c r="K261" s="260">
        <f>K$17/100</f>
        <v>1</v>
      </c>
      <c r="L261" s="241" t="e">
        <f ca="1">K261*$H261</f>
        <v>#N/A</v>
      </c>
      <c r="M261" s="243" t="e">
        <f ca="1">IF(AND(INDEX(FlowCalConstA,MATCH(J260,FlowCalNumber,0),1,1)*L261^INDEX(FlowCalConstB,MATCH(J260,FlowCalNumber,0),1,1)&gt;INDEX(FlowCalLowSetting,MATCH(J260,FlowCalNumber,0),1,1), (INDEX(FlowCalConstA,MATCH(J260,FlowCalNumber,0),1,1)*L261^INDEX(FlowCalConstB,MATCH(J260,FlowCalNumber,0),1,1)&lt;INDEX(FlowCalHighSetting,MATCH(J260,FlowCalNumber,0),1,1))),INDEX(FlowCalConstA,MATCH(J260,FlowCalNumber,0),1,1)*L261^INDEX(FlowCalConstB,MATCH(J260,FlowCalNumber,0),1,1)," ")</f>
        <v>#N/A</v>
      </c>
      <c r="N261" s="33"/>
      <c r="O261" s="260">
        <f>O$17/100</f>
        <v>1</v>
      </c>
      <c r="P261" s="241" t="e">
        <f ca="1">O261*$H261</f>
        <v>#N/A</v>
      </c>
      <c r="Q261" s="243" t="e">
        <f ca="1">IF(AND(INDEX(FlowCalConstA,MATCH(N260,FlowCalNumber,0),1,1)*P261^INDEX(FlowCalConstB,MATCH(N260,FlowCalNumber,0),1,1)&gt;INDEX(FlowCalLowSetting,MATCH(N260,FlowCalNumber,0),1,1), (INDEX(FlowCalConstA,MATCH(N260,FlowCalNumber,0),1,1)*P261^INDEX(FlowCalConstB,MATCH(N260,FlowCalNumber,0),1,1)&lt;INDEX(FlowCalHighSetting,MATCH(N260,FlowCalNumber,0),1,1))),INDEX(FlowCalConstA,MATCH(N260,FlowCalNumber,0),1,1)*P261^INDEX(FlowCalConstB,MATCH(N260,FlowCalNumber,0),1,1)," ")</f>
        <v>#N/A</v>
      </c>
      <c r="R261" s="33"/>
      <c r="S261" s="260">
        <f>S$17/100</f>
        <v>1</v>
      </c>
      <c r="T261" s="241" t="e">
        <f ca="1">S261*$H261</f>
        <v>#N/A</v>
      </c>
      <c r="U261" s="244" t="e">
        <f ca="1">IF(AND(INDEX(FlowCalConstA,MATCH(R260,FlowCalNumber,0),1,1)*T261^INDEX(FlowCalConstB,MATCH(R260,FlowCalNumber,0),1,1)&gt;INDEX(FlowCalLowSetting,MATCH(R260,FlowCalNumber,0),1,1), (INDEX(FlowCalConstA,MATCH(R260,FlowCalNumber,0),1,1)*T261^INDEX(FlowCalConstB,MATCH(R260,FlowCalNumber,0),1,1)&lt;INDEX(FlowCalHighSetting,MATCH(R260,FlowCalNumber,0),1,1))),INDEX(FlowCalConstA,MATCH(R260,FlowCalNumber,0),1,1)*T261^INDEX(FlowCalConstB,MATCH(R260,FlowCalNumber,0),1,1)," ")</f>
        <v>#N/A</v>
      </c>
      <c r="V261" s="33"/>
      <c r="W261" s="260">
        <f>W$17/100</f>
        <v>0.1</v>
      </c>
      <c r="X261" s="241" t="e">
        <f ca="1">W261*$H261</f>
        <v>#N/A</v>
      </c>
      <c r="Y261" s="243" t="e">
        <f ca="1">IF(AND(INDEX(FlowCalConstA,MATCH(V260,FlowCalNumber,0),1,1)*X261^INDEX(FlowCalConstB,MATCH(V260,FlowCalNumber,0),1,1)&gt;INDEX(FlowCalLowSetting,MATCH(V260,FlowCalNumber,0),1,1), (INDEX(FlowCalConstA,MATCH(V260,FlowCalNumber,0),1,1)*X261^INDEX(FlowCalConstB,MATCH(V260,FlowCalNumber,0),1,1)&lt;INDEX(FlowCalHighSetting,MATCH(V260,FlowCalNumber,0),1,1))),INDEX(FlowCalConstA,MATCH(V260,FlowCalNumber,0),1,1)*X261^INDEX(FlowCalConstB,MATCH(V260,FlowCalNumber,0),1,1)," ")</f>
        <v>#N/A</v>
      </c>
      <c r="Z261" s="33"/>
      <c r="AA261" s="260">
        <f>AA$17/100</f>
        <v>0.9</v>
      </c>
      <c r="AB261" s="241" t="e">
        <f ca="1">AA261*$H261</f>
        <v>#N/A</v>
      </c>
      <c r="AC261" s="243" t="e">
        <f ca="1">IF(AND(INDEX(FlowCalConstA,MATCH(Z260,FlowCalNumber,0),1,1)*AB261^INDEX(FlowCalConstB,MATCH(Z260,FlowCalNumber,0),1,1)&gt;INDEX(FlowCalLowSetting,MATCH(Z260,FlowCalNumber,0),1,1), (INDEX(FlowCalConstA,MATCH(Z260,FlowCalNumber,0),1,1)*AB261^INDEX(FlowCalConstB,MATCH(Z260,FlowCalNumber,0),1,1)&lt;INDEX(FlowCalHighSetting,MATCH(Z260,FlowCalNumber,0),1,1))),INDEX(FlowCalConstA,MATCH(Z260,FlowCalNumber,0),1,1)*AB261^INDEX(FlowCalConstB,MATCH(Z260,FlowCalNumber,0),1,1)," ")</f>
        <v>#N/A</v>
      </c>
      <c r="AD261" s="33"/>
      <c r="AE261" s="260">
        <f>AE$17/100</f>
        <v>0.1</v>
      </c>
      <c r="AF261" s="241" t="e">
        <f ca="1">AE261*$H261</f>
        <v>#N/A</v>
      </c>
      <c r="AG261" s="243" t="e">
        <f ca="1">IF(AND(INDEX(FlowCalConstA,MATCH(AD260,FlowCalNumber,0),1,1)*AF261^INDEX(FlowCalConstB,MATCH(AD260,FlowCalNumber,0),1,1)&gt;INDEX(FlowCalLowSetting,MATCH(AD260,FlowCalNumber,0),1,1), (INDEX(FlowCalConstA,MATCH(AD260,FlowCalNumber,0),1,1)*AF261^INDEX(FlowCalConstB,MATCH(AD260,FlowCalNumber,0),1,1)&lt;INDEX(FlowCalHighSetting,MATCH(AD260,FlowCalNumber,0),1,1))),INDEX(FlowCalConstA,MATCH(AD260,FlowCalNumber,0),1,1)*AF261^INDEX(FlowCalConstB,MATCH(AD260,FlowCalNumber,0),1,1)," ")</f>
        <v>#N/A</v>
      </c>
      <c r="AH261" s="33"/>
      <c r="AI261" s="260">
        <f>AI$17/100</f>
        <v>0.9</v>
      </c>
      <c r="AJ261" s="241" t="e">
        <f ca="1">AI261*$H261</f>
        <v>#N/A</v>
      </c>
      <c r="AK261" s="243" t="e">
        <f ca="1">IF(AND(INDEX(FlowCalConstA,MATCH(AH260,FlowCalNumber,0),1,1)*AJ261^INDEX(FlowCalConstB,MATCH(AH260,FlowCalNumber,0),1,1)&gt;INDEX(FlowCalLowSetting,MATCH(AH260,FlowCalNumber,0),1,1), (INDEX(FlowCalConstA,MATCH(AH260,FlowCalNumber,0),1,1)*AJ261^INDEX(FlowCalConstB,MATCH(AH260,FlowCalNumber,0),1,1)&lt;INDEX(FlowCalHighSetting,MATCH(AH260,FlowCalNumber,0),1,1))),INDEX(FlowCalConstA,MATCH(AH260,FlowCalNumber,0),1,1)*AJ261^INDEX(FlowCalConstB,MATCH(AH260,FlowCalNumber,0),1,1)," ")</f>
        <v>#N/A</v>
      </c>
      <c r="AL261" s="33"/>
      <c r="AM261" s="260"/>
      <c r="AN261" s="241"/>
      <c r="AO261" s="244"/>
      <c r="AQ261" s="260"/>
      <c r="AR261" s="241"/>
      <c r="AS261" s="244"/>
      <c r="AT261" s="33"/>
      <c r="AU261" s="260"/>
      <c r="AV261" s="241"/>
      <c r="AW261" s="244"/>
      <c r="AX261" s="33"/>
      <c r="AY261" s="260"/>
      <c r="AZ261" s="241"/>
      <c r="BA261" s="244"/>
      <c r="BB261" s="33"/>
      <c r="BC261" s="260"/>
      <c r="BD261" s="241"/>
      <c r="BE261" s="244"/>
      <c r="BF261" s="33"/>
      <c r="BG261" s="260"/>
      <c r="BH261" s="241"/>
      <c r="BI261" s="244"/>
      <c r="BJ261" s="33"/>
      <c r="BK261" s="260"/>
      <c r="BL261" s="241"/>
      <c r="BM261" s="244"/>
      <c r="BN261" s="33"/>
      <c r="BO261" s="260"/>
      <c r="BP261" s="241"/>
      <c r="BQ261" s="244"/>
      <c r="BR261" s="33"/>
      <c r="BS261" s="260"/>
      <c r="BT261" s="241"/>
      <c r="BU261" s="244"/>
      <c r="BV261" s="33"/>
      <c r="BW261" s="260"/>
      <c r="BX261" s="241"/>
      <c r="BY261" s="244"/>
      <c r="BZ261" s="33"/>
      <c r="CA261" s="260"/>
      <c r="CB261" s="241"/>
      <c r="CC261" s="244"/>
      <c r="CD261" s="243"/>
      <c r="CE261" s="243"/>
      <c r="CF261" s="243"/>
      <c r="CG261" s="243"/>
      <c r="CH261" s="243"/>
      <c r="CI261" s="243"/>
      <c r="CJ261" s="243"/>
      <c r="CK261" s="243"/>
      <c r="CL261" s="243"/>
      <c r="CM261" s="243"/>
      <c r="CN261" s="243"/>
      <c r="CO261" s="243"/>
      <c r="CP261" s="243"/>
      <c r="CQ261" s="243"/>
      <c r="CR261" s="243"/>
      <c r="CS261" s="243"/>
      <c r="CT261" s="243"/>
      <c r="CU261" s="243"/>
      <c r="CV261" s="243"/>
      <c r="CW261" s="243"/>
      <c r="CX261" s="243"/>
      <c r="CY261" s="243"/>
      <c r="CZ261" s="243"/>
      <c r="DA261" s="243"/>
      <c r="DB261" s="243"/>
      <c r="DC261" s="243"/>
      <c r="DD261" s="243"/>
      <c r="DE261" s="243"/>
      <c r="DF261" s="243"/>
      <c r="DG261" s="243"/>
      <c r="DH261" s="243"/>
      <c r="DI261" s="243"/>
      <c r="DJ261" s="243"/>
      <c r="DK261" s="243"/>
      <c r="DM261" s="259"/>
      <c r="DO261" s="243"/>
      <c r="DQ261" s="259"/>
      <c r="DS261" s="243"/>
      <c r="DU261" s="259"/>
      <c r="DW261" s="243"/>
      <c r="DY261" s="260"/>
      <c r="EA261" s="243"/>
    </row>
    <row r="262" spans="1:131">
      <c r="A262" s="20"/>
      <c r="B262" s="124" t="str">
        <f t="shared" si="246"/>
        <v/>
      </c>
      <c r="C262" s="235"/>
      <c r="D262" s="24">
        <f>'1% Wind'!$M$83</f>
        <v>23.5</v>
      </c>
      <c r="E262" s="90"/>
      <c r="F262" s="90"/>
      <c r="G262" s="79" t="e">
        <f ca="1">IF(I260=0.9743,$G261,MAX(G261/D261*D262,2))</f>
        <v>#N/A</v>
      </c>
      <c r="H262" s="121" t="e">
        <f t="shared" ca="1" si="247"/>
        <v>#N/A</v>
      </c>
      <c r="J262" s="33"/>
      <c r="K262" s="242">
        <f t="shared" ref="K262:K275" si="248">K261</f>
        <v>1</v>
      </c>
      <c r="L262" s="241" t="e">
        <f t="shared" ref="L262:L275" ca="1" si="249">K262*$H262</f>
        <v>#N/A</v>
      </c>
      <c r="M262" s="243" t="e">
        <f ca="1">IF(AND(INDEX(FlowCalConstA,MATCH(J260,FlowCalNumber,0),1,1)*L262^INDEX(FlowCalConstB,MATCH(J260,FlowCalNumber,0),1,1)&gt;INDEX(FlowCalLowSetting,MATCH(J260,FlowCalNumber,0),1,1), (INDEX(FlowCalConstA,MATCH(J260,FlowCalNumber,0),1,1)*L262^INDEX(FlowCalConstB,MATCH(J260,FlowCalNumber,0),1,1)&lt;INDEX(FlowCalHighSetting,MATCH(J260,FlowCalNumber,0),1,1))),INDEX(FlowCalConstA,MATCH(J260,FlowCalNumber,0),1,1)*L262^INDEX(FlowCalConstB,MATCH(J260,FlowCalNumber,0),1,1)," ")</f>
        <v>#N/A</v>
      </c>
      <c r="N262" s="33"/>
      <c r="O262" s="242">
        <f t="shared" ref="O262:O275" si="250">O261</f>
        <v>1</v>
      </c>
      <c r="P262" s="241" t="e">
        <f t="shared" ref="P262:P275" ca="1" si="251">O262*$H262</f>
        <v>#N/A</v>
      </c>
      <c r="Q262" s="243" t="e">
        <f ca="1">IF(AND(INDEX(FlowCalConstA,MATCH(N260,FlowCalNumber,0),1,1)*P262^INDEX(FlowCalConstB,MATCH(N260,FlowCalNumber,0),1,1)&gt;INDEX(FlowCalLowSetting,MATCH(N260,FlowCalNumber,0),1,1), (INDEX(FlowCalConstA,MATCH(N260,FlowCalNumber,0),1,1)*P262^INDEX(FlowCalConstB,MATCH(N260,FlowCalNumber,0),1,1)&lt;INDEX(FlowCalHighSetting,MATCH(N260,FlowCalNumber,0),1,1))),INDEX(FlowCalConstA,MATCH(N260,FlowCalNumber,0),1,1)*P262^INDEX(FlowCalConstB,MATCH(N260,FlowCalNumber,0),1,1)," ")</f>
        <v>#N/A</v>
      </c>
      <c r="R262" s="33"/>
      <c r="S262" s="242">
        <f t="shared" ref="S262:S275" si="252">S261</f>
        <v>1</v>
      </c>
      <c r="T262" s="241" t="e">
        <f t="shared" ref="T262:T275" ca="1" si="253">S262*$H262</f>
        <v>#N/A</v>
      </c>
      <c r="U262" s="244" t="e">
        <f ca="1">IF(AND(INDEX(FlowCalConstA,MATCH(R260,FlowCalNumber,0),1,1)*T262^INDEX(FlowCalConstB,MATCH(R260,FlowCalNumber,0),1,1)&gt;INDEX(FlowCalLowSetting,MATCH(R260,FlowCalNumber,0),1,1), (INDEX(FlowCalConstA,MATCH(R260,FlowCalNumber,0),1,1)*T262^INDEX(FlowCalConstB,MATCH(R260,FlowCalNumber,0),1,1)&lt;INDEX(FlowCalHighSetting,MATCH(R260,FlowCalNumber,0),1,1))),INDEX(FlowCalConstA,MATCH(R260,FlowCalNumber,0),1,1)*T262^INDEX(FlowCalConstB,MATCH(R260,FlowCalNumber,0),1,1)," ")</f>
        <v>#N/A</v>
      </c>
      <c r="V262" s="33"/>
      <c r="W262" s="242">
        <f t="shared" ref="W262:W275" si="254">W261</f>
        <v>0.1</v>
      </c>
      <c r="X262" s="241" t="e">
        <f t="shared" ref="X262:X275" ca="1" si="255">W262*$H262</f>
        <v>#N/A</v>
      </c>
      <c r="Y262" s="243" t="e">
        <f ca="1">IF(AND(INDEX(FlowCalConstA,MATCH(V260,FlowCalNumber,0),1,1)*X262^INDEX(FlowCalConstB,MATCH(V260,FlowCalNumber,0),1,1)&gt;INDEX(FlowCalLowSetting,MATCH(V260,FlowCalNumber,0),1,1), (INDEX(FlowCalConstA,MATCH(V260,FlowCalNumber,0),1,1)*X262^INDEX(FlowCalConstB,MATCH(V260,FlowCalNumber,0),1,1)&lt;INDEX(FlowCalHighSetting,MATCH(V260,FlowCalNumber,0),1,1))),INDEX(FlowCalConstA,MATCH(V260,FlowCalNumber,0),1,1)*X262^INDEX(FlowCalConstB,MATCH(V260,FlowCalNumber,0),1,1)," ")</f>
        <v>#N/A</v>
      </c>
      <c r="Z262" s="33"/>
      <c r="AA262" s="242">
        <f t="shared" ref="AA262:AA275" si="256">AA261</f>
        <v>0.9</v>
      </c>
      <c r="AB262" s="241" t="e">
        <f t="shared" ref="AB262:AB275" ca="1" si="257">AA262*$H262</f>
        <v>#N/A</v>
      </c>
      <c r="AC262" s="243" t="e">
        <f ca="1">IF(AND(INDEX(FlowCalConstA,MATCH(Z260,FlowCalNumber,0),1,1)*AB262^INDEX(FlowCalConstB,MATCH(Z260,FlowCalNumber,0),1,1)&gt;INDEX(FlowCalLowSetting,MATCH(Z260,FlowCalNumber,0),1,1), (INDEX(FlowCalConstA,MATCH(Z260,FlowCalNumber,0),1,1)*AB262^INDEX(FlowCalConstB,MATCH(Z260,FlowCalNumber,0),1,1)&lt;INDEX(FlowCalHighSetting,MATCH(Z260,FlowCalNumber,0),1,1))),INDEX(FlowCalConstA,MATCH(Z260,FlowCalNumber,0),1,1)*AB262^INDEX(FlowCalConstB,MATCH(Z260,FlowCalNumber,0),1,1)," ")</f>
        <v>#N/A</v>
      </c>
      <c r="AD262" s="33"/>
      <c r="AE262" s="242">
        <f t="shared" ref="AE262:AE275" si="258">AE261</f>
        <v>0.1</v>
      </c>
      <c r="AF262" s="241" t="e">
        <f t="shared" ref="AF262:AF275" ca="1" si="259">AE262*$H262</f>
        <v>#N/A</v>
      </c>
      <c r="AG262" s="243" t="e">
        <f ca="1">IF(AND(INDEX(FlowCalConstA,MATCH(AD260,FlowCalNumber,0),1,1)*AF262^INDEX(FlowCalConstB,MATCH(AD260,FlowCalNumber,0),1,1)&gt;INDEX(FlowCalLowSetting,MATCH(AD260,FlowCalNumber,0),1,1), (INDEX(FlowCalConstA,MATCH(AD260,FlowCalNumber,0),1,1)*AF262^INDEX(FlowCalConstB,MATCH(AD260,FlowCalNumber,0),1,1)&lt;INDEX(FlowCalHighSetting,MATCH(AD260,FlowCalNumber,0),1,1))),INDEX(FlowCalConstA,MATCH(AD260,FlowCalNumber,0),1,1)*AF262^INDEX(FlowCalConstB,MATCH(AD260,FlowCalNumber,0),1,1)," ")</f>
        <v>#N/A</v>
      </c>
      <c r="AH262" s="33"/>
      <c r="AI262" s="242">
        <f t="shared" ref="AI262:AI275" si="260">AI261</f>
        <v>0.9</v>
      </c>
      <c r="AJ262" s="241" t="e">
        <f t="shared" ref="AJ262:AJ275" ca="1" si="261">AI262*$H262</f>
        <v>#N/A</v>
      </c>
      <c r="AK262" s="243" t="e">
        <f ca="1">IF(AND(INDEX(FlowCalConstA,MATCH(AH260,FlowCalNumber,0),1,1)*AJ262^INDEX(FlowCalConstB,MATCH(AH260,FlowCalNumber,0),1,1)&gt;INDEX(FlowCalLowSetting,MATCH(AH260,FlowCalNumber,0),1,1), (INDEX(FlowCalConstA,MATCH(AH260,FlowCalNumber,0),1,1)*AJ262^INDEX(FlowCalConstB,MATCH(AH260,FlowCalNumber,0),1,1)&lt;INDEX(FlowCalHighSetting,MATCH(AH260,FlowCalNumber,0),1,1))),INDEX(FlowCalConstA,MATCH(AH260,FlowCalNumber,0),1,1)*AJ262^INDEX(FlowCalConstB,MATCH(AH260,FlowCalNumber,0),1,1)," ")</f>
        <v>#N/A</v>
      </c>
      <c r="AL262" s="33"/>
      <c r="AM262" s="242"/>
      <c r="AN262" s="241"/>
      <c r="AO262" s="244"/>
      <c r="AQ262" s="242"/>
      <c r="AR262" s="241"/>
      <c r="AS262" s="244"/>
      <c r="AT262" s="33"/>
      <c r="AU262" s="242"/>
      <c r="AV262" s="241"/>
      <c r="AW262" s="244"/>
      <c r="AX262" s="33"/>
      <c r="AY262" s="242"/>
      <c r="AZ262" s="241"/>
      <c r="BA262" s="244"/>
      <c r="BB262" s="33"/>
      <c r="BC262" s="242"/>
      <c r="BD262" s="241"/>
      <c r="BE262" s="244"/>
      <c r="BF262" s="33"/>
      <c r="BG262" s="242"/>
      <c r="BH262" s="241"/>
      <c r="BI262" s="244"/>
      <c r="BJ262" s="33"/>
      <c r="BK262" s="242"/>
      <c r="BL262" s="241"/>
      <c r="BM262" s="244"/>
      <c r="BN262" s="33"/>
      <c r="BO262" s="242"/>
      <c r="BP262" s="241"/>
      <c r="BQ262" s="244"/>
      <c r="BR262" s="33"/>
      <c r="BS262" s="242"/>
      <c r="BT262" s="241"/>
      <c r="BU262" s="244"/>
      <c r="BV262" s="33"/>
      <c r="BW262" s="242"/>
      <c r="BX262" s="241"/>
      <c r="BY262" s="244"/>
      <c r="BZ262" s="33"/>
      <c r="CA262" s="242"/>
      <c r="CB262" s="241"/>
      <c r="CC262" s="244"/>
      <c r="CD262" s="243"/>
      <c r="CE262" s="243"/>
      <c r="CF262" s="243"/>
      <c r="CG262" s="243"/>
      <c r="CH262" s="243"/>
      <c r="CI262" s="243"/>
      <c r="CJ262" s="243"/>
      <c r="CK262" s="243"/>
      <c r="CL262" s="243"/>
      <c r="CM262" s="243"/>
      <c r="CN262" s="243"/>
      <c r="CO262" s="243"/>
      <c r="CP262" s="243"/>
      <c r="CQ262" s="243"/>
      <c r="CR262" s="243"/>
      <c r="CS262" s="243"/>
      <c r="CT262" s="243"/>
      <c r="CU262" s="243"/>
      <c r="CV262" s="243"/>
      <c r="CW262" s="243"/>
      <c r="CX262" s="243"/>
      <c r="CY262" s="243"/>
      <c r="CZ262" s="243"/>
      <c r="DA262" s="243"/>
      <c r="DB262" s="243"/>
      <c r="DC262" s="243"/>
      <c r="DD262" s="243"/>
      <c r="DE262" s="243"/>
      <c r="DF262" s="243"/>
      <c r="DG262" s="243"/>
      <c r="DH262" s="243"/>
      <c r="DI262" s="243"/>
      <c r="DJ262" s="243"/>
      <c r="DK262" s="243"/>
      <c r="DM262" s="242"/>
      <c r="DO262" s="243"/>
      <c r="DQ262" s="242"/>
      <c r="DS262" s="243"/>
      <c r="DU262" s="242"/>
      <c r="DW262" s="243"/>
      <c r="DY262" s="242"/>
      <c r="EA262" s="243"/>
    </row>
    <row r="263" spans="1:131">
      <c r="A263" s="20"/>
      <c r="B263" s="124" t="str">
        <f t="shared" si="246"/>
        <v/>
      </c>
      <c r="C263" s="235"/>
      <c r="D263" s="24">
        <f>'1% Wind'!$M$84</f>
        <v>20.5</v>
      </c>
      <c r="E263" s="90"/>
      <c r="F263" s="90"/>
      <c r="G263" s="79" t="e">
        <f ca="1">IF(I260=0.9743,$G262,MAX(G262/D262*D263,2))</f>
        <v>#N/A</v>
      </c>
      <c r="H263" s="121" t="e">
        <f t="shared" ca="1" si="247"/>
        <v>#N/A</v>
      </c>
      <c r="J263" s="33"/>
      <c r="K263" s="242">
        <f t="shared" si="248"/>
        <v>1</v>
      </c>
      <c r="L263" s="241" t="e">
        <f t="shared" ca="1" si="249"/>
        <v>#N/A</v>
      </c>
      <c r="M263" s="243" t="e">
        <f ca="1">IF(AND(INDEX(FlowCalConstA,MATCH(J260,FlowCalNumber,0),1,1)*L263^INDEX(FlowCalConstB,MATCH(J260,FlowCalNumber,0),1,1)&gt;INDEX(FlowCalLowSetting,MATCH(J260,FlowCalNumber,0),1,1), (INDEX(FlowCalConstA,MATCH(J260,FlowCalNumber,0),1,1)*L263^INDEX(FlowCalConstB,MATCH(J260,FlowCalNumber,0),1,1)&lt;INDEX(FlowCalHighSetting,MATCH(J260,FlowCalNumber,0),1,1))),INDEX(FlowCalConstA,MATCH(J260,FlowCalNumber,0),1,1)*L263^INDEX(FlowCalConstB,MATCH(J260,FlowCalNumber,0),1,1)," ")</f>
        <v>#N/A</v>
      </c>
      <c r="N263" s="33"/>
      <c r="O263" s="242">
        <f t="shared" si="250"/>
        <v>1</v>
      </c>
      <c r="P263" s="241" t="e">
        <f t="shared" ca="1" si="251"/>
        <v>#N/A</v>
      </c>
      <c r="Q263" s="243" t="e">
        <f ca="1">IF(AND(INDEX(FlowCalConstA,MATCH(N260,FlowCalNumber,0),1,1)*P263^INDEX(FlowCalConstB,MATCH(N260,FlowCalNumber,0),1,1)&gt;INDEX(FlowCalLowSetting,MATCH(N260,FlowCalNumber,0),1,1), (INDEX(FlowCalConstA,MATCH(N260,FlowCalNumber,0),1,1)*P263^INDEX(FlowCalConstB,MATCH(N260,FlowCalNumber,0),1,1)&lt;INDEX(FlowCalHighSetting,MATCH(N260,FlowCalNumber,0),1,1))),INDEX(FlowCalConstA,MATCH(N260,FlowCalNumber,0),1,1)*P263^INDEX(FlowCalConstB,MATCH(N260,FlowCalNumber,0),1,1)," ")</f>
        <v>#N/A</v>
      </c>
      <c r="R263" s="33"/>
      <c r="S263" s="242">
        <f t="shared" si="252"/>
        <v>1</v>
      </c>
      <c r="T263" s="241" t="e">
        <f t="shared" ca="1" si="253"/>
        <v>#N/A</v>
      </c>
      <c r="U263" s="244" t="e">
        <f ca="1">IF(AND(INDEX(FlowCalConstA,MATCH(R260,FlowCalNumber,0),1,1)*T263^INDEX(FlowCalConstB,MATCH(R260,FlowCalNumber,0),1,1)&gt;INDEX(FlowCalLowSetting,MATCH(R260,FlowCalNumber,0),1,1), (INDEX(FlowCalConstA,MATCH(R260,FlowCalNumber,0),1,1)*T263^INDEX(FlowCalConstB,MATCH(R260,FlowCalNumber,0),1,1)&lt;INDEX(FlowCalHighSetting,MATCH(R260,FlowCalNumber,0),1,1))),INDEX(FlowCalConstA,MATCH(R260,FlowCalNumber,0),1,1)*T263^INDEX(FlowCalConstB,MATCH(R260,FlowCalNumber,0),1,1)," ")</f>
        <v>#N/A</v>
      </c>
      <c r="V263" s="33"/>
      <c r="W263" s="242">
        <f t="shared" si="254"/>
        <v>0.1</v>
      </c>
      <c r="X263" s="241" t="e">
        <f t="shared" ca="1" si="255"/>
        <v>#N/A</v>
      </c>
      <c r="Y263" s="243" t="e">
        <f ca="1">IF(AND(INDEX(FlowCalConstA,MATCH(V260,FlowCalNumber,0),1,1)*X263^INDEX(FlowCalConstB,MATCH(V260,FlowCalNumber,0),1,1)&gt;INDEX(FlowCalLowSetting,MATCH(V260,FlowCalNumber,0),1,1), (INDEX(FlowCalConstA,MATCH(V260,FlowCalNumber,0),1,1)*X263^INDEX(FlowCalConstB,MATCH(V260,FlowCalNumber,0),1,1)&lt;INDEX(FlowCalHighSetting,MATCH(V260,FlowCalNumber,0),1,1))),INDEX(FlowCalConstA,MATCH(V260,FlowCalNumber,0),1,1)*X263^INDEX(FlowCalConstB,MATCH(V260,FlowCalNumber,0),1,1)," ")</f>
        <v>#N/A</v>
      </c>
      <c r="Z263" s="33"/>
      <c r="AA263" s="242">
        <f t="shared" si="256"/>
        <v>0.9</v>
      </c>
      <c r="AB263" s="241" t="e">
        <f t="shared" ca="1" si="257"/>
        <v>#N/A</v>
      </c>
      <c r="AC263" s="243" t="e">
        <f ca="1">IF(AND(INDEX(FlowCalConstA,MATCH(Z260,FlowCalNumber,0),1,1)*AB263^INDEX(FlowCalConstB,MATCH(Z260,FlowCalNumber,0),1,1)&gt;INDEX(FlowCalLowSetting,MATCH(Z260,FlowCalNumber,0),1,1), (INDEX(FlowCalConstA,MATCH(Z260,FlowCalNumber,0),1,1)*AB263^INDEX(FlowCalConstB,MATCH(Z260,FlowCalNumber,0),1,1)&lt;INDEX(FlowCalHighSetting,MATCH(Z260,FlowCalNumber,0),1,1))),INDEX(FlowCalConstA,MATCH(Z260,FlowCalNumber,0),1,1)*AB263^INDEX(FlowCalConstB,MATCH(Z260,FlowCalNumber,0),1,1)," ")</f>
        <v>#N/A</v>
      </c>
      <c r="AD263" s="33"/>
      <c r="AE263" s="242">
        <f t="shared" si="258"/>
        <v>0.1</v>
      </c>
      <c r="AF263" s="241" t="e">
        <f t="shared" ca="1" si="259"/>
        <v>#N/A</v>
      </c>
      <c r="AG263" s="243" t="e">
        <f ca="1">IF(AND(INDEX(FlowCalConstA,MATCH(AD260,FlowCalNumber,0),1,1)*AF263^INDEX(FlowCalConstB,MATCH(AD260,FlowCalNumber,0),1,1)&gt;INDEX(FlowCalLowSetting,MATCH(AD260,FlowCalNumber,0),1,1), (INDEX(FlowCalConstA,MATCH(AD260,FlowCalNumber,0),1,1)*AF263^INDEX(FlowCalConstB,MATCH(AD260,FlowCalNumber,0),1,1)&lt;INDEX(FlowCalHighSetting,MATCH(AD260,FlowCalNumber,0),1,1))),INDEX(FlowCalConstA,MATCH(AD260,FlowCalNumber,0),1,1)*AF263^INDEX(FlowCalConstB,MATCH(AD260,FlowCalNumber,0),1,1)," ")</f>
        <v>#N/A</v>
      </c>
      <c r="AH263" s="33"/>
      <c r="AI263" s="242">
        <f t="shared" si="260"/>
        <v>0.9</v>
      </c>
      <c r="AJ263" s="241" t="e">
        <f t="shared" ca="1" si="261"/>
        <v>#N/A</v>
      </c>
      <c r="AK263" s="243" t="e">
        <f ca="1">IF(AND(INDEX(FlowCalConstA,MATCH(AH260,FlowCalNumber,0),1,1)*AJ263^INDEX(FlowCalConstB,MATCH(AH260,FlowCalNumber,0),1,1)&gt;INDEX(FlowCalLowSetting,MATCH(AH260,FlowCalNumber,0),1,1), (INDEX(FlowCalConstA,MATCH(AH260,FlowCalNumber,0),1,1)*AJ263^INDEX(FlowCalConstB,MATCH(AH260,FlowCalNumber,0),1,1)&lt;INDEX(FlowCalHighSetting,MATCH(AH260,FlowCalNumber,0),1,1))),INDEX(FlowCalConstA,MATCH(AH260,FlowCalNumber,0),1,1)*AJ263^INDEX(FlowCalConstB,MATCH(AH260,FlowCalNumber,0),1,1)," ")</f>
        <v>#N/A</v>
      </c>
      <c r="AL263" s="33"/>
      <c r="AM263" s="242"/>
      <c r="AN263" s="241"/>
      <c r="AO263" s="244"/>
      <c r="AQ263" s="242"/>
      <c r="AR263" s="241"/>
      <c r="AS263" s="244"/>
      <c r="AT263" s="33"/>
      <c r="AU263" s="242"/>
      <c r="AV263" s="241"/>
      <c r="AW263" s="244"/>
      <c r="AX263" s="33"/>
      <c r="AY263" s="242"/>
      <c r="AZ263" s="241"/>
      <c r="BA263" s="244"/>
      <c r="BB263" s="33"/>
      <c r="BC263" s="242"/>
      <c r="BD263" s="241"/>
      <c r="BE263" s="244"/>
      <c r="BF263" s="33"/>
      <c r="BG263" s="242"/>
      <c r="BH263" s="241"/>
      <c r="BI263" s="244"/>
      <c r="BJ263" s="33"/>
      <c r="BK263" s="242"/>
      <c r="BL263" s="241"/>
      <c r="BM263" s="244"/>
      <c r="BN263" s="33"/>
      <c r="BO263" s="242"/>
      <c r="BP263" s="241"/>
      <c r="BQ263" s="244"/>
      <c r="BR263" s="33"/>
      <c r="BS263" s="242"/>
      <c r="BT263" s="241"/>
      <c r="BU263" s="244"/>
      <c r="BV263" s="33"/>
      <c r="BW263" s="242"/>
      <c r="BX263" s="241"/>
      <c r="BY263" s="244"/>
      <c r="BZ263" s="33"/>
      <c r="CA263" s="242"/>
      <c r="CB263" s="241"/>
      <c r="CC263" s="244"/>
      <c r="CD263" s="243"/>
      <c r="CE263" s="243"/>
      <c r="CF263" s="243"/>
      <c r="CG263" s="243"/>
      <c r="CH263" s="243"/>
      <c r="CI263" s="243"/>
      <c r="CJ263" s="243"/>
      <c r="CK263" s="243"/>
      <c r="CL263" s="243"/>
      <c r="CM263" s="243"/>
      <c r="CN263" s="243"/>
      <c r="CO263" s="243"/>
      <c r="CP263" s="243"/>
      <c r="CQ263" s="243"/>
      <c r="CR263" s="243"/>
      <c r="CS263" s="243"/>
      <c r="CT263" s="243"/>
      <c r="CU263" s="243"/>
      <c r="CV263" s="243"/>
      <c r="CW263" s="243"/>
      <c r="CX263" s="243"/>
      <c r="CY263" s="243"/>
      <c r="CZ263" s="243"/>
      <c r="DA263" s="243"/>
      <c r="DB263" s="243"/>
      <c r="DC263" s="243"/>
      <c r="DD263" s="243"/>
      <c r="DE263" s="243"/>
      <c r="DF263" s="243"/>
      <c r="DG263" s="243"/>
      <c r="DH263" s="243"/>
      <c r="DI263" s="243"/>
      <c r="DJ263" s="243"/>
      <c r="DK263" s="243"/>
      <c r="DM263" s="242"/>
      <c r="DO263" s="243"/>
      <c r="DQ263" s="242"/>
      <c r="DS263" s="243"/>
      <c r="DU263" s="242"/>
      <c r="DW263" s="243"/>
      <c r="DY263" s="242"/>
      <c r="EA263" s="243"/>
    </row>
    <row r="264" spans="1:131">
      <c r="A264" s="20"/>
      <c r="B264" s="124" t="str">
        <f t="shared" si="246"/>
        <v/>
      </c>
      <c r="C264" s="235"/>
      <c r="D264" s="24">
        <f>'1% Wind'!$M$85</f>
        <v>17.8</v>
      </c>
      <c r="E264" s="90"/>
      <c r="F264" s="90"/>
      <c r="G264" s="79" t="e">
        <f ca="1">IF(I260=0.9743,$G263,MAX(G263/D263*D264,2))</f>
        <v>#N/A</v>
      </c>
      <c r="H264" s="121" t="e">
        <f t="shared" ca="1" si="247"/>
        <v>#N/A</v>
      </c>
      <c r="J264" s="33"/>
      <c r="K264" s="242">
        <f t="shared" si="248"/>
        <v>1</v>
      </c>
      <c r="L264" s="241" t="e">
        <f t="shared" ca="1" si="249"/>
        <v>#N/A</v>
      </c>
      <c r="M264" s="243" t="e">
        <f ca="1">IF(AND(INDEX(FlowCalConstA,MATCH(J260,FlowCalNumber,0),1,1)*L264^INDEX(FlowCalConstB,MATCH(J260,FlowCalNumber,0),1,1)&gt;INDEX(FlowCalLowSetting,MATCH(J260,FlowCalNumber,0),1,1), (INDEX(FlowCalConstA,MATCH(J260,FlowCalNumber,0),1,1)*L264^INDEX(FlowCalConstB,MATCH(J260,FlowCalNumber,0),1,1)&lt;INDEX(FlowCalHighSetting,MATCH(J260,FlowCalNumber,0),1,1))),INDEX(FlowCalConstA,MATCH(J260,FlowCalNumber,0),1,1)*L264^INDEX(FlowCalConstB,MATCH(J260,FlowCalNumber,0),1,1)," ")</f>
        <v>#N/A</v>
      </c>
      <c r="N264" s="33"/>
      <c r="O264" s="242">
        <f t="shared" si="250"/>
        <v>1</v>
      </c>
      <c r="P264" s="241" t="e">
        <f t="shared" ca="1" si="251"/>
        <v>#N/A</v>
      </c>
      <c r="Q264" s="243" t="e">
        <f ca="1">IF(AND(INDEX(FlowCalConstA,MATCH(N260,FlowCalNumber,0),1,1)*P264^INDEX(FlowCalConstB,MATCH(N260,FlowCalNumber,0),1,1)&gt;INDEX(FlowCalLowSetting,MATCH(N260,FlowCalNumber,0),1,1), (INDEX(FlowCalConstA,MATCH(N260,FlowCalNumber,0),1,1)*P264^INDEX(FlowCalConstB,MATCH(N260,FlowCalNumber,0),1,1)&lt;INDEX(FlowCalHighSetting,MATCH(N260,FlowCalNumber,0),1,1))),INDEX(FlowCalConstA,MATCH(N260,FlowCalNumber,0),1,1)*P264^INDEX(FlowCalConstB,MATCH(N260,FlowCalNumber,0),1,1)," ")</f>
        <v>#N/A</v>
      </c>
      <c r="R264" s="33"/>
      <c r="S264" s="242">
        <f t="shared" si="252"/>
        <v>1</v>
      </c>
      <c r="T264" s="241" t="e">
        <f t="shared" ca="1" si="253"/>
        <v>#N/A</v>
      </c>
      <c r="U264" s="244" t="e">
        <f ca="1">IF(AND(INDEX(FlowCalConstA,MATCH(R260,FlowCalNumber,0),1,1)*T264^INDEX(FlowCalConstB,MATCH(R260,FlowCalNumber,0),1,1)&gt;INDEX(FlowCalLowSetting,MATCH(R260,FlowCalNumber,0),1,1), (INDEX(FlowCalConstA,MATCH(R260,FlowCalNumber,0),1,1)*T264^INDEX(FlowCalConstB,MATCH(R260,FlowCalNumber,0),1,1)&lt;INDEX(FlowCalHighSetting,MATCH(R260,FlowCalNumber,0),1,1))),INDEX(FlowCalConstA,MATCH(R260,FlowCalNumber,0),1,1)*T264^INDEX(FlowCalConstB,MATCH(R260,FlowCalNumber,0),1,1)," ")</f>
        <v>#N/A</v>
      </c>
      <c r="V264" s="33"/>
      <c r="W264" s="242">
        <f t="shared" si="254"/>
        <v>0.1</v>
      </c>
      <c r="X264" s="241" t="e">
        <f t="shared" ca="1" si="255"/>
        <v>#N/A</v>
      </c>
      <c r="Y264" s="243" t="e">
        <f ca="1">IF(AND(INDEX(FlowCalConstA,MATCH(V260,FlowCalNumber,0),1,1)*X264^INDEX(FlowCalConstB,MATCH(V260,FlowCalNumber,0),1,1)&gt;INDEX(FlowCalLowSetting,MATCH(V260,FlowCalNumber,0),1,1), (INDEX(FlowCalConstA,MATCH(V260,FlowCalNumber,0),1,1)*X264^INDEX(FlowCalConstB,MATCH(V260,FlowCalNumber,0),1,1)&lt;INDEX(FlowCalHighSetting,MATCH(V260,FlowCalNumber,0),1,1))),INDEX(FlowCalConstA,MATCH(V260,FlowCalNumber,0),1,1)*X264^INDEX(FlowCalConstB,MATCH(V260,FlowCalNumber,0),1,1)," ")</f>
        <v>#N/A</v>
      </c>
      <c r="Z264" s="33"/>
      <c r="AA264" s="242">
        <f t="shared" si="256"/>
        <v>0.9</v>
      </c>
      <c r="AB264" s="241" t="e">
        <f t="shared" ca="1" si="257"/>
        <v>#N/A</v>
      </c>
      <c r="AC264" s="243" t="e">
        <f ca="1">IF(AND(INDEX(FlowCalConstA,MATCH(Z260,FlowCalNumber,0),1,1)*AB264^INDEX(FlowCalConstB,MATCH(Z260,FlowCalNumber,0),1,1)&gt;INDEX(FlowCalLowSetting,MATCH(Z260,FlowCalNumber,0),1,1), (INDEX(FlowCalConstA,MATCH(Z260,FlowCalNumber,0),1,1)*AB264^INDEX(FlowCalConstB,MATCH(Z260,FlowCalNumber,0),1,1)&lt;INDEX(FlowCalHighSetting,MATCH(Z260,FlowCalNumber,0),1,1))),INDEX(FlowCalConstA,MATCH(Z260,FlowCalNumber,0),1,1)*AB264^INDEX(FlowCalConstB,MATCH(Z260,FlowCalNumber,0),1,1)," ")</f>
        <v>#N/A</v>
      </c>
      <c r="AD264" s="33"/>
      <c r="AE264" s="242">
        <f t="shared" si="258"/>
        <v>0.1</v>
      </c>
      <c r="AF264" s="241" t="e">
        <f t="shared" ca="1" si="259"/>
        <v>#N/A</v>
      </c>
      <c r="AG264" s="243" t="e">
        <f ca="1">IF(AND(INDEX(FlowCalConstA,MATCH(AD260,FlowCalNumber,0),1,1)*AF264^INDEX(FlowCalConstB,MATCH(AD260,FlowCalNumber,0),1,1)&gt;INDEX(FlowCalLowSetting,MATCH(AD260,FlowCalNumber,0),1,1), (INDEX(FlowCalConstA,MATCH(AD260,FlowCalNumber,0),1,1)*AF264^INDEX(FlowCalConstB,MATCH(AD260,FlowCalNumber,0),1,1)&lt;INDEX(FlowCalHighSetting,MATCH(AD260,FlowCalNumber,0),1,1))),INDEX(FlowCalConstA,MATCH(AD260,FlowCalNumber,0),1,1)*AF264^INDEX(FlowCalConstB,MATCH(AD260,FlowCalNumber,0),1,1)," ")</f>
        <v>#N/A</v>
      </c>
      <c r="AH264" s="33"/>
      <c r="AI264" s="242">
        <f t="shared" si="260"/>
        <v>0.9</v>
      </c>
      <c r="AJ264" s="241" t="e">
        <f t="shared" ca="1" si="261"/>
        <v>#N/A</v>
      </c>
      <c r="AK264" s="243" t="e">
        <f ca="1">IF(AND(INDEX(FlowCalConstA,MATCH(AH260,FlowCalNumber,0),1,1)*AJ264^INDEX(FlowCalConstB,MATCH(AH260,FlowCalNumber,0),1,1)&gt;INDEX(FlowCalLowSetting,MATCH(AH260,FlowCalNumber,0),1,1), (INDEX(FlowCalConstA,MATCH(AH260,FlowCalNumber,0),1,1)*AJ264^INDEX(FlowCalConstB,MATCH(AH260,FlowCalNumber,0),1,1)&lt;INDEX(FlowCalHighSetting,MATCH(AH260,FlowCalNumber,0),1,1))),INDEX(FlowCalConstA,MATCH(AH260,FlowCalNumber,0),1,1)*AJ264^INDEX(FlowCalConstB,MATCH(AH260,FlowCalNumber,0),1,1)," ")</f>
        <v>#N/A</v>
      </c>
      <c r="AL264" s="33"/>
      <c r="AM264" s="242"/>
      <c r="AN264" s="241"/>
      <c r="AO264" s="244"/>
      <c r="AQ264" s="242"/>
      <c r="AR264" s="241"/>
      <c r="AS264" s="244"/>
      <c r="AT264" s="33"/>
      <c r="AU264" s="242"/>
      <c r="AV264" s="241"/>
      <c r="AW264" s="244"/>
      <c r="AX264" s="33"/>
      <c r="AY264" s="242"/>
      <c r="AZ264" s="241"/>
      <c r="BA264" s="244"/>
      <c r="BB264" s="33"/>
      <c r="BC264" s="242"/>
      <c r="BD264" s="241"/>
      <c r="BE264" s="244"/>
      <c r="BF264" s="33"/>
      <c r="BG264" s="242"/>
      <c r="BH264" s="241"/>
      <c r="BI264" s="244"/>
      <c r="BJ264" s="33"/>
      <c r="BK264" s="242"/>
      <c r="BL264" s="241"/>
      <c r="BM264" s="244"/>
      <c r="BN264" s="33"/>
      <c r="BO264" s="242"/>
      <c r="BP264" s="241"/>
      <c r="BQ264" s="244"/>
      <c r="BR264" s="33"/>
      <c r="BS264" s="242"/>
      <c r="BT264" s="241"/>
      <c r="BU264" s="244"/>
      <c r="BV264" s="33"/>
      <c r="BW264" s="242"/>
      <c r="BX264" s="241"/>
      <c r="BY264" s="244"/>
      <c r="BZ264" s="33"/>
      <c r="CA264" s="242"/>
      <c r="CB264" s="241"/>
      <c r="CC264" s="244"/>
      <c r="CD264" s="243"/>
      <c r="CE264" s="243"/>
      <c r="CF264" s="243"/>
      <c r="CG264" s="243"/>
      <c r="CH264" s="243"/>
      <c r="CI264" s="243"/>
      <c r="CJ264" s="243"/>
      <c r="CK264" s="243"/>
      <c r="CL264" s="243"/>
      <c r="CM264" s="243"/>
      <c r="CN264" s="243"/>
      <c r="CO264" s="243"/>
      <c r="CP264" s="243"/>
      <c r="CQ264" s="243"/>
      <c r="CR264" s="243"/>
      <c r="CS264" s="243"/>
      <c r="CT264" s="243"/>
      <c r="CU264" s="243"/>
      <c r="CV264" s="243"/>
      <c r="CW264" s="243"/>
      <c r="CX264" s="243"/>
      <c r="CY264" s="243"/>
      <c r="CZ264" s="243"/>
      <c r="DA264" s="243"/>
      <c r="DB264" s="243"/>
      <c r="DC264" s="243"/>
      <c r="DD264" s="243"/>
      <c r="DE264" s="243"/>
      <c r="DF264" s="243"/>
      <c r="DG264" s="243"/>
      <c r="DH264" s="243"/>
      <c r="DI264" s="243"/>
      <c r="DJ264" s="243"/>
      <c r="DK264" s="243"/>
      <c r="DM264" s="242"/>
      <c r="DO264" s="243"/>
      <c r="DQ264" s="242"/>
      <c r="DS264" s="243"/>
      <c r="DU264" s="242"/>
      <c r="DW264" s="243"/>
      <c r="DY264" s="242"/>
      <c r="EA264" s="243"/>
    </row>
    <row r="265" spans="1:131">
      <c r="A265" s="20"/>
      <c r="B265" s="124" t="str">
        <f t="shared" si="246"/>
        <v/>
      </c>
      <c r="C265" s="235"/>
      <c r="D265" s="24">
        <f>'1% Wind'!$M$86</f>
        <v>15.5</v>
      </c>
      <c r="E265" s="90"/>
      <c r="F265" s="90"/>
      <c r="G265" s="79" t="e">
        <f ca="1">IF(I260=0.9743,$G264,MAX(G264/D264*D265,2))</f>
        <v>#N/A</v>
      </c>
      <c r="H265" s="121" t="e">
        <f t="shared" ca="1" si="247"/>
        <v>#N/A</v>
      </c>
      <c r="J265" s="33"/>
      <c r="K265" s="242">
        <f t="shared" si="248"/>
        <v>1</v>
      </c>
      <c r="L265" s="241" t="e">
        <f t="shared" ca="1" si="249"/>
        <v>#N/A</v>
      </c>
      <c r="M265" s="243" t="e">
        <f ca="1">IF(AND(INDEX(FlowCalConstA,MATCH(J260,FlowCalNumber,0),1,1)*L265^INDEX(FlowCalConstB,MATCH(J260,FlowCalNumber,0),1,1)&gt;INDEX(FlowCalLowSetting,MATCH(J260,FlowCalNumber,0),1,1), (INDEX(FlowCalConstA,MATCH(J260,FlowCalNumber,0),1,1)*L265^INDEX(FlowCalConstB,MATCH(J260,FlowCalNumber,0),1,1)&lt;INDEX(FlowCalHighSetting,MATCH(J260,FlowCalNumber,0),1,1))),INDEX(FlowCalConstA,MATCH(J260,FlowCalNumber,0),1,1)*L265^INDEX(FlowCalConstB,MATCH(J260,FlowCalNumber,0),1,1)," ")</f>
        <v>#N/A</v>
      </c>
      <c r="N265" s="33"/>
      <c r="O265" s="242">
        <f t="shared" si="250"/>
        <v>1</v>
      </c>
      <c r="P265" s="241" t="e">
        <f t="shared" ca="1" si="251"/>
        <v>#N/A</v>
      </c>
      <c r="Q265" s="243" t="e">
        <f ca="1">IF(AND(INDEX(FlowCalConstA,MATCH(N260,FlowCalNumber,0),1,1)*P265^INDEX(FlowCalConstB,MATCH(N260,FlowCalNumber,0),1,1)&gt;INDEX(FlowCalLowSetting,MATCH(N260,FlowCalNumber,0),1,1), (INDEX(FlowCalConstA,MATCH(N260,FlowCalNumber,0),1,1)*P265^INDEX(FlowCalConstB,MATCH(N260,FlowCalNumber,0),1,1)&lt;INDEX(FlowCalHighSetting,MATCH(N260,FlowCalNumber,0),1,1))),INDEX(FlowCalConstA,MATCH(N260,FlowCalNumber,0),1,1)*P265^INDEX(FlowCalConstB,MATCH(N260,FlowCalNumber,0),1,1)," ")</f>
        <v>#N/A</v>
      </c>
      <c r="R265" s="33"/>
      <c r="S265" s="242">
        <f t="shared" si="252"/>
        <v>1</v>
      </c>
      <c r="T265" s="241" t="e">
        <f t="shared" ca="1" si="253"/>
        <v>#N/A</v>
      </c>
      <c r="U265" s="244" t="e">
        <f ca="1">IF(AND(INDEX(FlowCalConstA,MATCH(R260,FlowCalNumber,0),1,1)*T265^INDEX(FlowCalConstB,MATCH(R260,FlowCalNumber,0),1,1)&gt;INDEX(FlowCalLowSetting,MATCH(R260,FlowCalNumber,0),1,1), (INDEX(FlowCalConstA,MATCH(R260,FlowCalNumber,0),1,1)*T265^INDEX(FlowCalConstB,MATCH(R260,FlowCalNumber,0),1,1)&lt;INDEX(FlowCalHighSetting,MATCH(R260,FlowCalNumber,0),1,1))),INDEX(FlowCalConstA,MATCH(R260,FlowCalNumber,0),1,1)*T265^INDEX(FlowCalConstB,MATCH(R260,FlowCalNumber,0),1,1)," ")</f>
        <v>#N/A</v>
      </c>
      <c r="V265" s="33"/>
      <c r="W265" s="242">
        <f t="shared" si="254"/>
        <v>0.1</v>
      </c>
      <c r="X265" s="241" t="e">
        <f t="shared" ca="1" si="255"/>
        <v>#N/A</v>
      </c>
      <c r="Y265" s="243" t="e">
        <f ca="1">IF(AND(INDEX(FlowCalConstA,MATCH(V260,FlowCalNumber,0),1,1)*X265^INDEX(FlowCalConstB,MATCH(V260,FlowCalNumber,0),1,1)&gt;INDEX(FlowCalLowSetting,MATCH(V260,FlowCalNumber,0),1,1), (INDEX(FlowCalConstA,MATCH(V260,FlowCalNumber,0),1,1)*X265^INDEX(FlowCalConstB,MATCH(V260,FlowCalNumber,0),1,1)&lt;INDEX(FlowCalHighSetting,MATCH(V260,FlowCalNumber,0),1,1))),INDEX(FlowCalConstA,MATCH(V260,FlowCalNumber,0),1,1)*X265^INDEX(FlowCalConstB,MATCH(V260,FlowCalNumber,0),1,1)," ")</f>
        <v>#N/A</v>
      </c>
      <c r="Z265" s="33"/>
      <c r="AA265" s="242">
        <f t="shared" si="256"/>
        <v>0.9</v>
      </c>
      <c r="AB265" s="241" t="e">
        <f t="shared" ca="1" si="257"/>
        <v>#N/A</v>
      </c>
      <c r="AC265" s="243" t="e">
        <f ca="1">IF(AND(INDEX(FlowCalConstA,MATCH(Z260,FlowCalNumber,0),1,1)*AB265^INDEX(FlowCalConstB,MATCH(Z260,FlowCalNumber,0),1,1)&gt;INDEX(FlowCalLowSetting,MATCH(Z260,FlowCalNumber,0),1,1), (INDEX(FlowCalConstA,MATCH(Z260,FlowCalNumber,0),1,1)*AB265^INDEX(FlowCalConstB,MATCH(Z260,FlowCalNumber,0),1,1)&lt;INDEX(FlowCalHighSetting,MATCH(Z260,FlowCalNumber,0),1,1))),INDEX(FlowCalConstA,MATCH(Z260,FlowCalNumber,0),1,1)*AB265^INDEX(FlowCalConstB,MATCH(Z260,FlowCalNumber,0),1,1)," ")</f>
        <v>#N/A</v>
      </c>
      <c r="AD265" s="33"/>
      <c r="AE265" s="242">
        <f t="shared" si="258"/>
        <v>0.1</v>
      </c>
      <c r="AF265" s="241" t="e">
        <f t="shared" ca="1" si="259"/>
        <v>#N/A</v>
      </c>
      <c r="AG265" s="243" t="e">
        <f ca="1">IF(AND(INDEX(FlowCalConstA,MATCH(AD260,FlowCalNumber,0),1,1)*AF265^INDEX(FlowCalConstB,MATCH(AD260,FlowCalNumber,0),1,1)&gt;INDEX(FlowCalLowSetting,MATCH(AD260,FlowCalNumber,0),1,1), (INDEX(FlowCalConstA,MATCH(AD260,FlowCalNumber,0),1,1)*AF265^INDEX(FlowCalConstB,MATCH(AD260,FlowCalNumber,0),1,1)&lt;INDEX(FlowCalHighSetting,MATCH(AD260,FlowCalNumber,0),1,1))),INDEX(FlowCalConstA,MATCH(AD260,FlowCalNumber,0),1,1)*AF265^INDEX(FlowCalConstB,MATCH(AD260,FlowCalNumber,0),1,1)," ")</f>
        <v>#N/A</v>
      </c>
      <c r="AH265" s="33"/>
      <c r="AI265" s="242">
        <f t="shared" si="260"/>
        <v>0.9</v>
      </c>
      <c r="AJ265" s="241" t="e">
        <f t="shared" ca="1" si="261"/>
        <v>#N/A</v>
      </c>
      <c r="AK265" s="243" t="e">
        <f ca="1">IF(AND(INDEX(FlowCalConstA,MATCH(AH260,FlowCalNumber,0),1,1)*AJ265^INDEX(FlowCalConstB,MATCH(AH260,FlowCalNumber,0),1,1)&gt;INDEX(FlowCalLowSetting,MATCH(AH260,FlowCalNumber,0),1,1), (INDEX(FlowCalConstA,MATCH(AH260,FlowCalNumber,0),1,1)*AJ265^INDEX(FlowCalConstB,MATCH(AH260,FlowCalNumber,0),1,1)&lt;INDEX(FlowCalHighSetting,MATCH(AH260,FlowCalNumber,0),1,1))),INDEX(FlowCalConstA,MATCH(AH260,FlowCalNumber,0),1,1)*AJ265^INDEX(FlowCalConstB,MATCH(AH260,FlowCalNumber,0),1,1)," ")</f>
        <v>#N/A</v>
      </c>
      <c r="AL265" s="33"/>
      <c r="AM265" s="242"/>
      <c r="AN265" s="241"/>
      <c r="AO265" s="244"/>
      <c r="AQ265" s="242"/>
      <c r="AR265" s="241"/>
      <c r="AS265" s="244"/>
      <c r="AT265" s="33"/>
      <c r="AU265" s="242"/>
      <c r="AV265" s="241"/>
      <c r="AW265" s="244"/>
      <c r="AX265" s="33"/>
      <c r="AY265" s="242"/>
      <c r="AZ265" s="241"/>
      <c r="BA265" s="244"/>
      <c r="BB265" s="33"/>
      <c r="BC265" s="242"/>
      <c r="BD265" s="241"/>
      <c r="BE265" s="244"/>
      <c r="BF265" s="33"/>
      <c r="BG265" s="242"/>
      <c r="BH265" s="241"/>
      <c r="BI265" s="244"/>
      <c r="BJ265" s="33"/>
      <c r="BK265" s="242"/>
      <c r="BL265" s="241"/>
      <c r="BM265" s="244"/>
      <c r="BN265" s="33"/>
      <c r="BO265" s="242"/>
      <c r="BP265" s="241"/>
      <c r="BQ265" s="244"/>
      <c r="BR265" s="33"/>
      <c r="BS265" s="242"/>
      <c r="BT265" s="241"/>
      <c r="BU265" s="244"/>
      <c r="BV265" s="33"/>
      <c r="BW265" s="242"/>
      <c r="BX265" s="241"/>
      <c r="BY265" s="244"/>
      <c r="BZ265" s="33"/>
      <c r="CA265" s="242"/>
      <c r="CB265" s="241"/>
      <c r="CC265" s="244"/>
      <c r="CD265" s="243"/>
      <c r="CE265" s="243"/>
      <c r="CF265" s="243"/>
      <c r="CG265" s="243"/>
      <c r="CH265" s="243"/>
      <c r="CI265" s="243"/>
      <c r="CJ265" s="243"/>
      <c r="CK265" s="243"/>
      <c r="CL265" s="243"/>
      <c r="CM265" s="243"/>
      <c r="CN265" s="243"/>
      <c r="CO265" s="243"/>
      <c r="CP265" s="243"/>
      <c r="CQ265" s="243"/>
      <c r="CR265" s="243"/>
      <c r="CS265" s="243"/>
      <c r="CT265" s="243"/>
      <c r="CU265" s="243"/>
      <c r="CV265" s="243"/>
      <c r="CW265" s="243"/>
      <c r="CX265" s="243"/>
      <c r="CY265" s="243"/>
      <c r="CZ265" s="243"/>
      <c r="DA265" s="243"/>
      <c r="DB265" s="243"/>
      <c r="DC265" s="243"/>
      <c r="DD265" s="243"/>
      <c r="DE265" s="243"/>
      <c r="DF265" s="243"/>
      <c r="DG265" s="243"/>
      <c r="DH265" s="243"/>
      <c r="DI265" s="243"/>
      <c r="DJ265" s="243"/>
      <c r="DK265" s="243"/>
      <c r="DM265" s="242"/>
      <c r="DO265" s="243"/>
      <c r="DQ265" s="242"/>
      <c r="DS265" s="243"/>
      <c r="DU265" s="242"/>
      <c r="DW265" s="243"/>
      <c r="DY265" s="242"/>
      <c r="EA265" s="243"/>
    </row>
    <row r="266" spans="1:131">
      <c r="A266" s="20"/>
      <c r="B266" s="124" t="str">
        <f t="shared" si="246"/>
        <v/>
      </c>
      <c r="C266" s="235"/>
      <c r="D266" s="24">
        <f>'1% Wind'!$M$87</f>
        <v>13.5</v>
      </c>
      <c r="E266" s="90"/>
      <c r="F266" s="90"/>
      <c r="G266" s="79" t="e">
        <f ca="1">IF(I260=0.9743,$G265,MAX(G265/D265*D266,2))</f>
        <v>#N/A</v>
      </c>
      <c r="H266" s="121" t="e">
        <f t="shared" ca="1" si="247"/>
        <v>#N/A</v>
      </c>
      <c r="J266" s="33"/>
      <c r="K266" s="242">
        <f t="shared" si="248"/>
        <v>1</v>
      </c>
      <c r="L266" s="241" t="e">
        <f t="shared" ca="1" si="249"/>
        <v>#N/A</v>
      </c>
      <c r="M266" s="243" t="e">
        <f ca="1">IF(AND(INDEX(FlowCalConstA,MATCH(J260,FlowCalNumber,0),1,1)*L266^INDEX(FlowCalConstB,MATCH(J260,FlowCalNumber,0),1,1)&gt;INDEX(FlowCalLowSetting,MATCH(J260,FlowCalNumber,0),1,1), (INDEX(FlowCalConstA,MATCH(J260,FlowCalNumber,0),1,1)*L266^INDEX(FlowCalConstB,MATCH(J260,FlowCalNumber,0),1,1)&lt;INDEX(FlowCalHighSetting,MATCH(J260,FlowCalNumber,0),1,1))),INDEX(FlowCalConstA,MATCH(J260,FlowCalNumber,0),1,1)*L266^INDEX(FlowCalConstB,MATCH(J260,FlowCalNumber,0),1,1)," ")</f>
        <v>#N/A</v>
      </c>
      <c r="N266" s="33"/>
      <c r="O266" s="242">
        <f t="shared" si="250"/>
        <v>1</v>
      </c>
      <c r="P266" s="241" t="e">
        <f t="shared" ca="1" si="251"/>
        <v>#N/A</v>
      </c>
      <c r="Q266" s="243" t="e">
        <f ca="1">IF(AND(INDEX(FlowCalConstA,MATCH(N260,FlowCalNumber,0),1,1)*P266^INDEX(FlowCalConstB,MATCH(N260,FlowCalNumber,0),1,1)&gt;INDEX(FlowCalLowSetting,MATCH(N260,FlowCalNumber,0),1,1), (INDEX(FlowCalConstA,MATCH(N260,FlowCalNumber,0),1,1)*P266^INDEX(FlowCalConstB,MATCH(N260,FlowCalNumber,0),1,1)&lt;INDEX(FlowCalHighSetting,MATCH(N260,FlowCalNumber,0),1,1))),INDEX(FlowCalConstA,MATCH(N260,FlowCalNumber,0),1,1)*P266^INDEX(FlowCalConstB,MATCH(N260,FlowCalNumber,0),1,1)," ")</f>
        <v>#N/A</v>
      </c>
      <c r="R266" s="33"/>
      <c r="S266" s="242">
        <f t="shared" si="252"/>
        <v>1</v>
      </c>
      <c r="T266" s="241" t="e">
        <f t="shared" ca="1" si="253"/>
        <v>#N/A</v>
      </c>
      <c r="U266" s="244" t="e">
        <f ca="1">IF(AND(INDEX(FlowCalConstA,MATCH(R260,FlowCalNumber,0),1,1)*T266^INDEX(FlowCalConstB,MATCH(R260,FlowCalNumber,0),1,1)&gt;INDEX(FlowCalLowSetting,MATCH(R260,FlowCalNumber,0),1,1), (INDEX(FlowCalConstA,MATCH(R260,FlowCalNumber,0),1,1)*T266^INDEX(FlowCalConstB,MATCH(R260,FlowCalNumber,0),1,1)&lt;INDEX(FlowCalHighSetting,MATCH(R260,FlowCalNumber,0),1,1))),INDEX(FlowCalConstA,MATCH(R260,FlowCalNumber,0),1,1)*T266^INDEX(FlowCalConstB,MATCH(R260,FlowCalNumber,0),1,1)," ")</f>
        <v>#N/A</v>
      </c>
      <c r="V266" s="33"/>
      <c r="W266" s="242">
        <f t="shared" si="254"/>
        <v>0.1</v>
      </c>
      <c r="X266" s="241" t="e">
        <f t="shared" ca="1" si="255"/>
        <v>#N/A</v>
      </c>
      <c r="Y266" s="243" t="e">
        <f ca="1">IF(AND(INDEX(FlowCalConstA,MATCH(V260,FlowCalNumber,0),1,1)*X266^INDEX(FlowCalConstB,MATCH(V260,FlowCalNumber,0),1,1)&gt;INDEX(FlowCalLowSetting,MATCH(V260,FlowCalNumber,0),1,1), (INDEX(FlowCalConstA,MATCH(V260,FlowCalNumber,0),1,1)*X266^INDEX(FlowCalConstB,MATCH(V260,FlowCalNumber,0),1,1)&lt;INDEX(FlowCalHighSetting,MATCH(V260,FlowCalNumber,0),1,1))),INDEX(FlowCalConstA,MATCH(V260,FlowCalNumber,0),1,1)*X266^INDEX(FlowCalConstB,MATCH(V260,FlowCalNumber,0),1,1)," ")</f>
        <v>#N/A</v>
      </c>
      <c r="Z266" s="33"/>
      <c r="AA266" s="242">
        <f t="shared" si="256"/>
        <v>0.9</v>
      </c>
      <c r="AB266" s="241" t="e">
        <f t="shared" ca="1" si="257"/>
        <v>#N/A</v>
      </c>
      <c r="AC266" s="243" t="e">
        <f ca="1">IF(AND(INDEX(FlowCalConstA,MATCH(Z260,FlowCalNumber,0),1,1)*AB266^INDEX(FlowCalConstB,MATCH(Z260,FlowCalNumber,0),1,1)&gt;INDEX(FlowCalLowSetting,MATCH(Z260,FlowCalNumber,0),1,1), (INDEX(FlowCalConstA,MATCH(Z260,FlowCalNumber,0),1,1)*AB266^INDEX(FlowCalConstB,MATCH(Z260,FlowCalNumber,0),1,1)&lt;INDEX(FlowCalHighSetting,MATCH(Z260,FlowCalNumber,0),1,1))),INDEX(FlowCalConstA,MATCH(Z260,FlowCalNumber,0),1,1)*AB266^INDEX(FlowCalConstB,MATCH(Z260,FlowCalNumber,0),1,1)," ")</f>
        <v>#N/A</v>
      </c>
      <c r="AD266" s="33"/>
      <c r="AE266" s="242">
        <f t="shared" si="258"/>
        <v>0.1</v>
      </c>
      <c r="AF266" s="241" t="e">
        <f t="shared" ca="1" si="259"/>
        <v>#N/A</v>
      </c>
      <c r="AG266" s="243" t="e">
        <f ca="1">IF(AND(INDEX(FlowCalConstA,MATCH(AD260,FlowCalNumber,0),1,1)*AF266^INDEX(FlowCalConstB,MATCH(AD260,FlowCalNumber,0),1,1)&gt;INDEX(FlowCalLowSetting,MATCH(AD260,FlowCalNumber,0),1,1), (INDEX(FlowCalConstA,MATCH(AD260,FlowCalNumber,0),1,1)*AF266^INDEX(FlowCalConstB,MATCH(AD260,FlowCalNumber,0),1,1)&lt;INDEX(FlowCalHighSetting,MATCH(AD260,FlowCalNumber,0),1,1))),INDEX(FlowCalConstA,MATCH(AD260,FlowCalNumber,0),1,1)*AF266^INDEX(FlowCalConstB,MATCH(AD260,FlowCalNumber,0),1,1)," ")</f>
        <v>#N/A</v>
      </c>
      <c r="AH266" s="33"/>
      <c r="AI266" s="242">
        <f t="shared" si="260"/>
        <v>0.9</v>
      </c>
      <c r="AJ266" s="241" t="e">
        <f t="shared" ca="1" si="261"/>
        <v>#N/A</v>
      </c>
      <c r="AK266" s="243" t="e">
        <f ca="1">IF(AND(INDEX(FlowCalConstA,MATCH(AH260,FlowCalNumber,0),1,1)*AJ266^INDEX(FlowCalConstB,MATCH(AH260,FlowCalNumber,0),1,1)&gt;INDEX(FlowCalLowSetting,MATCH(AH260,FlowCalNumber,0),1,1), (INDEX(FlowCalConstA,MATCH(AH260,FlowCalNumber,0),1,1)*AJ266^INDEX(FlowCalConstB,MATCH(AH260,FlowCalNumber,0),1,1)&lt;INDEX(FlowCalHighSetting,MATCH(AH260,FlowCalNumber,0),1,1))),INDEX(FlowCalConstA,MATCH(AH260,FlowCalNumber,0),1,1)*AJ266^INDEX(FlowCalConstB,MATCH(AH260,FlowCalNumber,0),1,1)," ")</f>
        <v>#N/A</v>
      </c>
      <c r="AL266" s="33"/>
      <c r="AM266" s="242"/>
      <c r="AN266" s="241"/>
      <c r="AO266" s="244"/>
      <c r="AQ266" s="242"/>
      <c r="AR266" s="241"/>
      <c r="AS266" s="244"/>
      <c r="AT266" s="33"/>
      <c r="AU266" s="242"/>
      <c r="AV266" s="241"/>
      <c r="AW266" s="244"/>
      <c r="AX266" s="33"/>
      <c r="AY266" s="242"/>
      <c r="AZ266" s="241"/>
      <c r="BA266" s="244"/>
      <c r="BB266" s="33"/>
      <c r="BC266" s="242"/>
      <c r="BD266" s="241"/>
      <c r="BE266" s="244"/>
      <c r="BF266" s="33"/>
      <c r="BG266" s="242"/>
      <c r="BH266" s="241"/>
      <c r="BI266" s="244"/>
      <c r="BJ266" s="33"/>
      <c r="BK266" s="242"/>
      <c r="BL266" s="241"/>
      <c r="BM266" s="244"/>
      <c r="BN266" s="33"/>
      <c r="BO266" s="242"/>
      <c r="BP266" s="241"/>
      <c r="BQ266" s="244"/>
      <c r="BR266" s="33"/>
      <c r="BS266" s="242"/>
      <c r="BT266" s="241"/>
      <c r="BU266" s="244"/>
      <c r="BV266" s="33"/>
      <c r="BW266" s="242"/>
      <c r="BX266" s="241"/>
      <c r="BY266" s="244"/>
      <c r="BZ266" s="33"/>
      <c r="CA266" s="242"/>
      <c r="CB266" s="241"/>
      <c r="CC266" s="244"/>
      <c r="CD266" s="243"/>
      <c r="CE266" s="243"/>
      <c r="CF266" s="243"/>
      <c r="CG266" s="243"/>
      <c r="CH266" s="243"/>
      <c r="CI266" s="243"/>
      <c r="CJ266" s="243"/>
      <c r="CK266" s="243"/>
      <c r="CL266" s="243"/>
      <c r="CM266" s="243"/>
      <c r="CN266" s="243"/>
      <c r="CO266" s="243"/>
      <c r="CP266" s="243"/>
      <c r="CQ266" s="243"/>
      <c r="CR266" s="243"/>
      <c r="CS266" s="243"/>
      <c r="CT266" s="243"/>
      <c r="CU266" s="243"/>
      <c r="CV266" s="243"/>
      <c r="CW266" s="243"/>
      <c r="CX266" s="243"/>
      <c r="CY266" s="243"/>
      <c r="CZ266" s="243"/>
      <c r="DA266" s="243"/>
      <c r="DB266" s="243"/>
      <c r="DC266" s="243"/>
      <c r="DD266" s="243"/>
      <c r="DE266" s="243"/>
      <c r="DF266" s="243"/>
      <c r="DG266" s="243"/>
      <c r="DH266" s="243"/>
      <c r="DI266" s="243"/>
      <c r="DJ266" s="243"/>
      <c r="DK266" s="243"/>
      <c r="DM266" s="242"/>
      <c r="DO266" s="243"/>
      <c r="DQ266" s="242"/>
      <c r="DS266" s="243"/>
      <c r="DU266" s="242"/>
      <c r="DW266" s="243"/>
      <c r="DY266" s="242"/>
      <c r="EA266" s="243"/>
    </row>
    <row r="267" spans="1:131">
      <c r="A267" s="20"/>
      <c r="B267" s="124" t="str">
        <f t="shared" si="246"/>
        <v/>
      </c>
      <c r="C267" s="235"/>
      <c r="D267" s="24">
        <f>'1% Wind'!$M$88</f>
        <v>10.1</v>
      </c>
      <c r="E267" s="90"/>
      <c r="F267" s="90"/>
      <c r="G267" s="79" t="e">
        <f ca="1">IF(I260=0.9743,$G266,MAX(G266/D266*D267,2))</f>
        <v>#N/A</v>
      </c>
      <c r="H267" s="121" t="e">
        <f t="shared" ca="1" si="247"/>
        <v>#N/A</v>
      </c>
      <c r="J267" s="33"/>
      <c r="K267" s="242">
        <f t="shared" si="248"/>
        <v>1</v>
      </c>
      <c r="L267" s="241" t="e">
        <f t="shared" ca="1" si="249"/>
        <v>#N/A</v>
      </c>
      <c r="M267" s="243" t="e">
        <f ca="1">IF(AND(INDEX(FlowCalConstA,MATCH(J260,FlowCalNumber,0),1,1)*L267^INDEX(FlowCalConstB,MATCH(J260,FlowCalNumber,0),1,1)&gt;INDEX(FlowCalLowSetting,MATCH(J260,FlowCalNumber,0),1,1), (INDEX(FlowCalConstA,MATCH(J260,FlowCalNumber,0),1,1)*L267^INDEX(FlowCalConstB,MATCH(J260,FlowCalNumber,0),1,1)&lt;INDEX(FlowCalHighSetting,MATCH(J260,FlowCalNumber,0),1,1))),INDEX(FlowCalConstA,MATCH(J260,FlowCalNumber,0),1,1)*L267^INDEX(FlowCalConstB,MATCH(J260,FlowCalNumber,0),1,1)," ")</f>
        <v>#N/A</v>
      </c>
      <c r="N267" s="33"/>
      <c r="O267" s="242">
        <f t="shared" si="250"/>
        <v>1</v>
      </c>
      <c r="P267" s="241" t="e">
        <f t="shared" ca="1" si="251"/>
        <v>#N/A</v>
      </c>
      <c r="Q267" s="243" t="e">
        <f ca="1">IF(AND(INDEX(FlowCalConstA,MATCH(N260,FlowCalNumber,0),1,1)*P267^INDEX(FlowCalConstB,MATCH(N260,FlowCalNumber,0),1,1)&gt;INDEX(FlowCalLowSetting,MATCH(N260,FlowCalNumber,0),1,1), (INDEX(FlowCalConstA,MATCH(N260,FlowCalNumber,0),1,1)*P267^INDEX(FlowCalConstB,MATCH(N260,FlowCalNumber,0),1,1)&lt;INDEX(FlowCalHighSetting,MATCH(N260,FlowCalNumber,0),1,1))),INDEX(FlowCalConstA,MATCH(N260,FlowCalNumber,0),1,1)*P267^INDEX(FlowCalConstB,MATCH(N260,FlowCalNumber,0),1,1)," ")</f>
        <v>#N/A</v>
      </c>
      <c r="R267" s="33"/>
      <c r="S267" s="242">
        <f t="shared" si="252"/>
        <v>1</v>
      </c>
      <c r="T267" s="241" t="e">
        <f t="shared" ca="1" si="253"/>
        <v>#N/A</v>
      </c>
      <c r="U267" s="244" t="e">
        <f ca="1">IF(AND(INDEX(FlowCalConstA,MATCH(R260,FlowCalNumber,0),1,1)*T267^INDEX(FlowCalConstB,MATCH(R260,FlowCalNumber,0),1,1)&gt;INDEX(FlowCalLowSetting,MATCH(R260,FlowCalNumber,0),1,1), (INDEX(FlowCalConstA,MATCH(R260,FlowCalNumber,0),1,1)*T267^INDEX(FlowCalConstB,MATCH(R260,FlowCalNumber,0),1,1)&lt;INDEX(FlowCalHighSetting,MATCH(R260,FlowCalNumber,0),1,1))),INDEX(FlowCalConstA,MATCH(R260,FlowCalNumber,0),1,1)*T267^INDEX(FlowCalConstB,MATCH(R260,FlowCalNumber,0),1,1)," ")</f>
        <v>#N/A</v>
      </c>
      <c r="V267" s="33"/>
      <c r="W267" s="242">
        <f t="shared" si="254"/>
        <v>0.1</v>
      </c>
      <c r="X267" s="241" t="e">
        <f t="shared" ca="1" si="255"/>
        <v>#N/A</v>
      </c>
      <c r="Y267" s="243" t="e">
        <f ca="1">IF(AND(INDEX(FlowCalConstA,MATCH(V260,FlowCalNumber,0),1,1)*X267^INDEX(FlowCalConstB,MATCH(V260,FlowCalNumber,0),1,1)&gt;INDEX(FlowCalLowSetting,MATCH(V260,FlowCalNumber,0),1,1), (INDEX(FlowCalConstA,MATCH(V260,FlowCalNumber,0),1,1)*X267^INDEX(FlowCalConstB,MATCH(V260,FlowCalNumber,0),1,1)&lt;INDEX(FlowCalHighSetting,MATCH(V260,FlowCalNumber,0),1,1))),INDEX(FlowCalConstA,MATCH(V260,FlowCalNumber,0),1,1)*X267^INDEX(FlowCalConstB,MATCH(V260,FlowCalNumber,0),1,1)," ")</f>
        <v>#N/A</v>
      </c>
      <c r="Z267" s="33"/>
      <c r="AA267" s="242">
        <f t="shared" si="256"/>
        <v>0.9</v>
      </c>
      <c r="AB267" s="241" t="e">
        <f t="shared" ca="1" si="257"/>
        <v>#N/A</v>
      </c>
      <c r="AC267" s="243" t="e">
        <f ca="1">IF(AND(INDEX(FlowCalConstA,MATCH(Z260,FlowCalNumber,0),1,1)*AB267^INDEX(FlowCalConstB,MATCH(Z260,FlowCalNumber,0),1,1)&gt;INDEX(FlowCalLowSetting,MATCH(Z260,FlowCalNumber,0),1,1), (INDEX(FlowCalConstA,MATCH(Z260,FlowCalNumber,0),1,1)*AB267^INDEX(FlowCalConstB,MATCH(Z260,FlowCalNumber,0),1,1)&lt;INDEX(FlowCalHighSetting,MATCH(Z260,FlowCalNumber,0),1,1))),INDEX(FlowCalConstA,MATCH(Z260,FlowCalNumber,0),1,1)*AB267^INDEX(FlowCalConstB,MATCH(Z260,FlowCalNumber,0),1,1)," ")</f>
        <v>#N/A</v>
      </c>
      <c r="AD267" s="33"/>
      <c r="AE267" s="242">
        <f t="shared" si="258"/>
        <v>0.1</v>
      </c>
      <c r="AF267" s="241" t="e">
        <f t="shared" ca="1" si="259"/>
        <v>#N/A</v>
      </c>
      <c r="AG267" s="243" t="e">
        <f ca="1">IF(AND(INDEX(FlowCalConstA,MATCH(AD260,FlowCalNumber,0),1,1)*AF267^INDEX(FlowCalConstB,MATCH(AD260,FlowCalNumber,0),1,1)&gt;INDEX(FlowCalLowSetting,MATCH(AD260,FlowCalNumber,0),1,1), (INDEX(FlowCalConstA,MATCH(AD260,FlowCalNumber,0),1,1)*AF267^INDEX(FlowCalConstB,MATCH(AD260,FlowCalNumber,0),1,1)&lt;INDEX(FlowCalHighSetting,MATCH(AD260,FlowCalNumber,0),1,1))),INDEX(FlowCalConstA,MATCH(AD260,FlowCalNumber,0),1,1)*AF267^INDEX(FlowCalConstB,MATCH(AD260,FlowCalNumber,0),1,1)," ")</f>
        <v>#N/A</v>
      </c>
      <c r="AH267" s="33"/>
      <c r="AI267" s="242">
        <f t="shared" si="260"/>
        <v>0.9</v>
      </c>
      <c r="AJ267" s="241" t="e">
        <f t="shared" ca="1" si="261"/>
        <v>#N/A</v>
      </c>
      <c r="AK267" s="243" t="e">
        <f ca="1">IF(AND(INDEX(FlowCalConstA,MATCH(AH260,FlowCalNumber,0),1,1)*AJ267^INDEX(FlowCalConstB,MATCH(AH260,FlowCalNumber,0),1,1)&gt;INDEX(FlowCalLowSetting,MATCH(AH260,FlowCalNumber,0),1,1), (INDEX(FlowCalConstA,MATCH(AH260,FlowCalNumber,0),1,1)*AJ267^INDEX(FlowCalConstB,MATCH(AH260,FlowCalNumber,0),1,1)&lt;INDEX(FlowCalHighSetting,MATCH(AH260,FlowCalNumber,0),1,1))),INDEX(FlowCalConstA,MATCH(AH260,FlowCalNumber,0),1,1)*AJ267^INDEX(FlowCalConstB,MATCH(AH260,FlowCalNumber,0),1,1)," ")</f>
        <v>#N/A</v>
      </c>
      <c r="AL267" s="33"/>
      <c r="AM267" s="242"/>
      <c r="AN267" s="241"/>
      <c r="AO267" s="244"/>
      <c r="AQ267" s="242"/>
      <c r="AR267" s="241"/>
      <c r="AS267" s="244"/>
      <c r="AT267" s="33"/>
      <c r="AU267" s="242"/>
      <c r="AV267" s="241"/>
      <c r="AW267" s="244"/>
      <c r="AX267" s="33"/>
      <c r="AY267" s="242"/>
      <c r="AZ267" s="241"/>
      <c r="BA267" s="244"/>
      <c r="BB267" s="33"/>
      <c r="BC267" s="242"/>
      <c r="BD267" s="241"/>
      <c r="BE267" s="244"/>
      <c r="BF267" s="33"/>
      <c r="BG267" s="242"/>
      <c r="BH267" s="241"/>
      <c r="BI267" s="244"/>
      <c r="BJ267" s="33"/>
      <c r="BK267" s="242"/>
      <c r="BL267" s="241"/>
      <c r="BM267" s="244"/>
      <c r="BN267" s="33"/>
      <c r="BO267" s="242"/>
      <c r="BP267" s="241"/>
      <c r="BQ267" s="244"/>
      <c r="BR267" s="33"/>
      <c r="BS267" s="242"/>
      <c r="BT267" s="241"/>
      <c r="BU267" s="244"/>
      <c r="BV267" s="33"/>
      <c r="BW267" s="242"/>
      <c r="BX267" s="241"/>
      <c r="BY267" s="244"/>
      <c r="BZ267" s="33"/>
      <c r="CA267" s="242"/>
      <c r="CB267" s="241"/>
      <c r="CC267" s="244"/>
      <c r="CD267" s="243"/>
      <c r="CE267" s="243"/>
      <c r="CF267" s="243"/>
      <c r="CG267" s="243"/>
      <c r="CH267" s="243"/>
      <c r="CI267" s="243"/>
      <c r="CJ267" s="243"/>
      <c r="CK267" s="243"/>
      <c r="CL267" s="243"/>
      <c r="CM267" s="243"/>
      <c r="CN267" s="243"/>
      <c r="CO267" s="243"/>
      <c r="CP267" s="243"/>
      <c r="CQ267" s="243"/>
      <c r="CR267" s="243"/>
      <c r="CS267" s="243"/>
      <c r="CT267" s="243"/>
      <c r="CU267" s="243"/>
      <c r="CV267" s="243"/>
      <c r="CW267" s="243"/>
      <c r="CX267" s="243"/>
      <c r="CY267" s="243"/>
      <c r="CZ267" s="243"/>
      <c r="DA267" s="243"/>
      <c r="DB267" s="243"/>
      <c r="DC267" s="243"/>
      <c r="DD267" s="243"/>
      <c r="DE267" s="243"/>
      <c r="DF267" s="243"/>
      <c r="DG267" s="243"/>
      <c r="DH267" s="243"/>
      <c r="DI267" s="243"/>
      <c r="DJ267" s="243"/>
      <c r="DK267" s="243"/>
      <c r="DM267" s="242"/>
      <c r="DO267" s="243"/>
      <c r="DQ267" s="242"/>
      <c r="DS267" s="243"/>
      <c r="DU267" s="242"/>
      <c r="DW267" s="243"/>
      <c r="DY267" s="242"/>
      <c r="EA267" s="243"/>
    </row>
    <row r="268" spans="1:131">
      <c r="A268" s="20"/>
      <c r="B268" s="124" t="str">
        <f t="shared" si="246"/>
        <v/>
      </c>
      <c r="C268" s="235"/>
      <c r="D268" s="24">
        <f>'1% Wind'!$M$89</f>
        <v>7.6</v>
      </c>
      <c r="E268" s="90"/>
      <c r="F268" s="90"/>
      <c r="G268" s="79" t="e">
        <f ca="1">IF(I260=0.9743,$G267,MAX(G267/D267*D268,2))</f>
        <v>#N/A</v>
      </c>
      <c r="H268" s="121" t="e">
        <f t="shared" ca="1" si="247"/>
        <v>#N/A</v>
      </c>
      <c r="J268" s="33"/>
      <c r="K268" s="242">
        <f t="shared" si="248"/>
        <v>1</v>
      </c>
      <c r="L268" s="241" t="e">
        <f t="shared" ca="1" si="249"/>
        <v>#N/A</v>
      </c>
      <c r="M268" s="243" t="e">
        <f ca="1">IF(AND(INDEX(FlowCalConstA,MATCH(J260,FlowCalNumber,0),1,1)*L268^INDEX(FlowCalConstB,MATCH(J260,FlowCalNumber,0),1,1)&gt;INDEX(FlowCalLowSetting,MATCH(J260,FlowCalNumber,0),1,1), (INDEX(FlowCalConstA,MATCH(J260,FlowCalNumber,0),1,1)*L268^INDEX(FlowCalConstB,MATCH(J260,FlowCalNumber,0),1,1)&lt;INDEX(FlowCalHighSetting,MATCH(J260,FlowCalNumber,0),1,1))),INDEX(FlowCalConstA,MATCH(J260,FlowCalNumber,0),1,1)*L268^INDEX(FlowCalConstB,MATCH(J260,FlowCalNumber,0),1,1)," ")</f>
        <v>#N/A</v>
      </c>
      <c r="N268" s="33"/>
      <c r="O268" s="242">
        <f t="shared" si="250"/>
        <v>1</v>
      </c>
      <c r="P268" s="241" t="e">
        <f t="shared" ca="1" si="251"/>
        <v>#N/A</v>
      </c>
      <c r="Q268" s="243" t="e">
        <f ca="1">IF(AND(INDEX(FlowCalConstA,MATCH(N260,FlowCalNumber,0),1,1)*P268^INDEX(FlowCalConstB,MATCH(N260,FlowCalNumber,0),1,1)&gt;INDEX(FlowCalLowSetting,MATCH(N260,FlowCalNumber,0),1,1), (INDEX(FlowCalConstA,MATCH(N260,FlowCalNumber,0),1,1)*P268^INDEX(FlowCalConstB,MATCH(N260,FlowCalNumber,0),1,1)&lt;INDEX(FlowCalHighSetting,MATCH(N260,FlowCalNumber,0),1,1))),INDEX(FlowCalConstA,MATCH(N260,FlowCalNumber,0),1,1)*P268^INDEX(FlowCalConstB,MATCH(N260,FlowCalNumber,0),1,1)," ")</f>
        <v>#N/A</v>
      </c>
      <c r="R268" s="33"/>
      <c r="S268" s="242">
        <f t="shared" si="252"/>
        <v>1</v>
      </c>
      <c r="T268" s="241" t="e">
        <f t="shared" ca="1" si="253"/>
        <v>#N/A</v>
      </c>
      <c r="U268" s="244" t="e">
        <f ca="1">IF(AND(INDEX(FlowCalConstA,MATCH(R260,FlowCalNumber,0),1,1)*T268^INDEX(FlowCalConstB,MATCH(R260,FlowCalNumber,0),1,1)&gt;INDEX(FlowCalLowSetting,MATCH(R260,FlowCalNumber,0),1,1), (INDEX(FlowCalConstA,MATCH(R260,FlowCalNumber,0),1,1)*T268^INDEX(FlowCalConstB,MATCH(R260,FlowCalNumber,0),1,1)&lt;INDEX(FlowCalHighSetting,MATCH(R260,FlowCalNumber,0),1,1))),INDEX(FlowCalConstA,MATCH(R260,FlowCalNumber,0),1,1)*T268^INDEX(FlowCalConstB,MATCH(R260,FlowCalNumber,0),1,1)," ")</f>
        <v>#N/A</v>
      </c>
      <c r="V268" s="33"/>
      <c r="W268" s="242">
        <f t="shared" si="254"/>
        <v>0.1</v>
      </c>
      <c r="X268" s="241" t="e">
        <f t="shared" ca="1" si="255"/>
        <v>#N/A</v>
      </c>
      <c r="Y268" s="243" t="e">
        <f ca="1">IF(AND(INDEX(FlowCalConstA,MATCH(V260,FlowCalNumber,0),1,1)*X268^INDEX(FlowCalConstB,MATCH(V260,FlowCalNumber,0),1,1)&gt;INDEX(FlowCalLowSetting,MATCH(V260,FlowCalNumber,0),1,1), (INDEX(FlowCalConstA,MATCH(V260,FlowCalNumber,0),1,1)*X268^INDEX(FlowCalConstB,MATCH(V260,FlowCalNumber,0),1,1)&lt;INDEX(FlowCalHighSetting,MATCH(V260,FlowCalNumber,0),1,1))),INDEX(FlowCalConstA,MATCH(V260,FlowCalNumber,0),1,1)*X268^INDEX(FlowCalConstB,MATCH(V260,FlowCalNumber,0),1,1)," ")</f>
        <v>#N/A</v>
      </c>
      <c r="Z268" s="33"/>
      <c r="AA268" s="242">
        <f t="shared" si="256"/>
        <v>0.9</v>
      </c>
      <c r="AB268" s="241" t="e">
        <f t="shared" ca="1" si="257"/>
        <v>#N/A</v>
      </c>
      <c r="AC268" s="243" t="e">
        <f ca="1">IF(AND(INDEX(FlowCalConstA,MATCH(Z260,FlowCalNumber,0),1,1)*AB268^INDEX(FlowCalConstB,MATCH(Z260,FlowCalNumber,0),1,1)&gt;INDEX(FlowCalLowSetting,MATCH(Z260,FlowCalNumber,0),1,1), (INDEX(FlowCalConstA,MATCH(Z260,FlowCalNumber,0),1,1)*AB268^INDEX(FlowCalConstB,MATCH(Z260,FlowCalNumber,0),1,1)&lt;INDEX(FlowCalHighSetting,MATCH(Z260,FlowCalNumber,0),1,1))),INDEX(FlowCalConstA,MATCH(Z260,FlowCalNumber,0),1,1)*AB268^INDEX(FlowCalConstB,MATCH(Z260,FlowCalNumber,0),1,1)," ")</f>
        <v>#N/A</v>
      </c>
      <c r="AD268" s="33"/>
      <c r="AE268" s="242">
        <f t="shared" si="258"/>
        <v>0.1</v>
      </c>
      <c r="AF268" s="241" t="e">
        <f t="shared" ca="1" si="259"/>
        <v>#N/A</v>
      </c>
      <c r="AG268" s="243" t="e">
        <f ca="1">IF(AND(INDEX(FlowCalConstA,MATCH(AD260,FlowCalNumber,0),1,1)*AF268^INDEX(FlowCalConstB,MATCH(AD260,FlowCalNumber,0),1,1)&gt;INDEX(FlowCalLowSetting,MATCH(AD260,FlowCalNumber,0),1,1), (INDEX(FlowCalConstA,MATCH(AD260,FlowCalNumber,0),1,1)*AF268^INDEX(FlowCalConstB,MATCH(AD260,FlowCalNumber,0),1,1)&lt;INDEX(FlowCalHighSetting,MATCH(AD260,FlowCalNumber,0),1,1))),INDEX(FlowCalConstA,MATCH(AD260,FlowCalNumber,0),1,1)*AF268^INDEX(FlowCalConstB,MATCH(AD260,FlowCalNumber,0),1,1)," ")</f>
        <v>#N/A</v>
      </c>
      <c r="AH268" s="33"/>
      <c r="AI268" s="242">
        <f t="shared" si="260"/>
        <v>0.9</v>
      </c>
      <c r="AJ268" s="241" t="e">
        <f t="shared" ca="1" si="261"/>
        <v>#N/A</v>
      </c>
      <c r="AK268" s="243" t="e">
        <f ca="1">IF(AND(INDEX(FlowCalConstA,MATCH(AH260,FlowCalNumber,0),1,1)*AJ268^INDEX(FlowCalConstB,MATCH(AH260,FlowCalNumber,0),1,1)&gt;INDEX(FlowCalLowSetting,MATCH(AH260,FlowCalNumber,0),1,1), (INDEX(FlowCalConstA,MATCH(AH260,FlowCalNumber,0),1,1)*AJ268^INDEX(FlowCalConstB,MATCH(AH260,FlowCalNumber,0),1,1)&lt;INDEX(FlowCalHighSetting,MATCH(AH260,FlowCalNumber,0),1,1))),INDEX(FlowCalConstA,MATCH(AH260,FlowCalNumber,0),1,1)*AJ268^INDEX(FlowCalConstB,MATCH(AH260,FlowCalNumber,0),1,1)," ")</f>
        <v>#N/A</v>
      </c>
      <c r="AL268" s="33"/>
      <c r="AM268" s="242"/>
      <c r="AN268" s="241"/>
      <c r="AO268" s="244"/>
      <c r="AQ268" s="242"/>
      <c r="AR268" s="241"/>
      <c r="AS268" s="244"/>
      <c r="AT268" s="33"/>
      <c r="AU268" s="242"/>
      <c r="AV268" s="241"/>
      <c r="AW268" s="244"/>
      <c r="AX268" s="33"/>
      <c r="AY268" s="242"/>
      <c r="AZ268" s="241"/>
      <c r="BA268" s="244"/>
      <c r="BB268" s="33"/>
      <c r="BC268" s="242"/>
      <c r="BD268" s="241"/>
      <c r="BE268" s="244"/>
      <c r="BF268" s="33"/>
      <c r="BG268" s="242"/>
      <c r="BH268" s="241"/>
      <c r="BI268" s="244"/>
      <c r="BJ268" s="33"/>
      <c r="BK268" s="242"/>
      <c r="BL268" s="241"/>
      <c r="BM268" s="244"/>
      <c r="BN268" s="33"/>
      <c r="BO268" s="242"/>
      <c r="BP268" s="241"/>
      <c r="BQ268" s="244"/>
      <c r="BR268" s="33"/>
      <c r="BS268" s="242"/>
      <c r="BT268" s="241"/>
      <c r="BU268" s="244"/>
      <c r="BV268" s="33"/>
      <c r="BW268" s="242"/>
      <c r="BX268" s="241"/>
      <c r="BY268" s="244"/>
      <c r="BZ268" s="33"/>
      <c r="CA268" s="242"/>
      <c r="CB268" s="241"/>
      <c r="CC268" s="244"/>
      <c r="CD268" s="243"/>
      <c r="CE268" s="243"/>
      <c r="CF268" s="243"/>
      <c r="CG268" s="243"/>
      <c r="CH268" s="243"/>
      <c r="CI268" s="243"/>
      <c r="CJ268" s="243"/>
      <c r="CK268" s="243"/>
      <c r="CL268" s="243"/>
      <c r="CM268" s="243"/>
      <c r="CN268" s="243"/>
      <c r="CO268" s="243"/>
      <c r="CP268" s="243"/>
      <c r="CQ268" s="243"/>
      <c r="CR268" s="243"/>
      <c r="CS268" s="243"/>
      <c r="CT268" s="243"/>
      <c r="CU268" s="243"/>
      <c r="CV268" s="243"/>
      <c r="CW268" s="243"/>
      <c r="CX268" s="243"/>
      <c r="CY268" s="243"/>
      <c r="CZ268" s="243"/>
      <c r="DA268" s="243"/>
      <c r="DB268" s="243"/>
      <c r="DC268" s="243"/>
      <c r="DD268" s="243"/>
      <c r="DE268" s="243"/>
      <c r="DF268" s="243"/>
      <c r="DG268" s="243"/>
      <c r="DH268" s="243"/>
      <c r="DI268" s="243"/>
      <c r="DJ268" s="243"/>
      <c r="DK268" s="243"/>
      <c r="DM268" s="242"/>
      <c r="DO268" s="243"/>
      <c r="DQ268" s="242"/>
      <c r="DS268" s="243"/>
      <c r="DU268" s="242"/>
      <c r="DW268" s="243"/>
      <c r="DY268" s="242"/>
      <c r="EA268" s="243"/>
    </row>
    <row r="269" spans="1:131">
      <c r="A269" s="20"/>
      <c r="B269" s="124" t="str">
        <f t="shared" si="246"/>
        <v/>
      </c>
      <c r="C269" s="235"/>
      <c r="D269" s="24">
        <f>'1% Wind'!$M$90</f>
        <v>5.7</v>
      </c>
      <c r="E269" s="90"/>
      <c r="F269" s="90"/>
      <c r="G269" s="79" t="e">
        <f ca="1">IF(I260=0.9743,$G268,MAX(G268/D268*D269,2))</f>
        <v>#N/A</v>
      </c>
      <c r="H269" s="121" t="e">
        <f t="shared" ca="1" si="247"/>
        <v>#N/A</v>
      </c>
      <c r="J269" s="33"/>
      <c r="K269" s="242">
        <f t="shared" si="248"/>
        <v>1</v>
      </c>
      <c r="L269" s="241" t="e">
        <f t="shared" ca="1" si="249"/>
        <v>#N/A</v>
      </c>
      <c r="M269" s="243" t="e">
        <f ca="1">IF(AND(INDEX(FlowCalConstA,MATCH(J260,FlowCalNumber,0),1,1)*L269^INDEX(FlowCalConstB,MATCH(J260,FlowCalNumber,0),1,1)&gt;INDEX(FlowCalLowSetting,MATCH(J260,FlowCalNumber,0),1,1), (INDEX(FlowCalConstA,MATCH(J260,FlowCalNumber,0),1,1)*L269^INDEX(FlowCalConstB,MATCH(J260,FlowCalNumber,0),1,1)&lt;INDEX(FlowCalHighSetting,MATCH(J260,FlowCalNumber,0),1,1))),INDEX(FlowCalConstA,MATCH(J260,FlowCalNumber,0),1,1)*L269^INDEX(FlowCalConstB,MATCH(J260,FlowCalNumber,0),1,1)," ")</f>
        <v>#N/A</v>
      </c>
      <c r="N269" s="33"/>
      <c r="O269" s="242">
        <f t="shared" si="250"/>
        <v>1</v>
      </c>
      <c r="P269" s="241" t="e">
        <f t="shared" ca="1" si="251"/>
        <v>#N/A</v>
      </c>
      <c r="Q269" s="243" t="e">
        <f ca="1">IF(AND(INDEX(FlowCalConstA,MATCH(N260,FlowCalNumber,0),1,1)*P269^INDEX(FlowCalConstB,MATCH(N260,FlowCalNumber,0),1,1)&gt;INDEX(FlowCalLowSetting,MATCH(N260,FlowCalNumber,0),1,1), (INDEX(FlowCalConstA,MATCH(N260,FlowCalNumber,0),1,1)*P269^INDEX(FlowCalConstB,MATCH(N260,FlowCalNumber,0),1,1)&lt;INDEX(FlowCalHighSetting,MATCH(N260,FlowCalNumber,0),1,1))),INDEX(FlowCalConstA,MATCH(N260,FlowCalNumber,0),1,1)*P269^INDEX(FlowCalConstB,MATCH(N260,FlowCalNumber,0),1,1)," ")</f>
        <v>#N/A</v>
      </c>
      <c r="R269" s="33"/>
      <c r="S269" s="242">
        <f t="shared" si="252"/>
        <v>1</v>
      </c>
      <c r="T269" s="241" t="e">
        <f t="shared" ca="1" si="253"/>
        <v>#N/A</v>
      </c>
      <c r="U269" s="244" t="e">
        <f ca="1">IF(AND(INDEX(FlowCalConstA,MATCH(R260,FlowCalNumber,0),1,1)*T269^INDEX(FlowCalConstB,MATCH(R260,FlowCalNumber,0),1,1)&gt;INDEX(FlowCalLowSetting,MATCH(R260,FlowCalNumber,0),1,1), (INDEX(FlowCalConstA,MATCH(R260,FlowCalNumber,0),1,1)*T269^INDEX(FlowCalConstB,MATCH(R260,FlowCalNumber,0),1,1)&lt;INDEX(FlowCalHighSetting,MATCH(R260,FlowCalNumber,0),1,1))),INDEX(FlowCalConstA,MATCH(R260,FlowCalNumber,0),1,1)*T269^INDEX(FlowCalConstB,MATCH(R260,FlowCalNumber,0),1,1)," ")</f>
        <v>#N/A</v>
      </c>
      <c r="V269" s="33"/>
      <c r="W269" s="242">
        <f t="shared" si="254"/>
        <v>0.1</v>
      </c>
      <c r="X269" s="241" t="e">
        <f t="shared" ca="1" si="255"/>
        <v>#N/A</v>
      </c>
      <c r="Y269" s="243" t="e">
        <f ca="1">IF(AND(INDEX(FlowCalConstA,MATCH(V260,FlowCalNumber,0),1,1)*X269^INDEX(FlowCalConstB,MATCH(V260,FlowCalNumber,0),1,1)&gt;INDEX(FlowCalLowSetting,MATCH(V260,FlowCalNumber,0),1,1), (INDEX(FlowCalConstA,MATCH(V260,FlowCalNumber,0),1,1)*X269^INDEX(FlowCalConstB,MATCH(V260,FlowCalNumber,0),1,1)&lt;INDEX(FlowCalHighSetting,MATCH(V260,FlowCalNumber,0),1,1))),INDEX(FlowCalConstA,MATCH(V260,FlowCalNumber,0),1,1)*X269^INDEX(FlowCalConstB,MATCH(V260,FlowCalNumber,0),1,1)," ")</f>
        <v>#N/A</v>
      </c>
      <c r="Z269" s="33"/>
      <c r="AA269" s="242">
        <f t="shared" si="256"/>
        <v>0.9</v>
      </c>
      <c r="AB269" s="241" t="e">
        <f t="shared" ca="1" si="257"/>
        <v>#N/A</v>
      </c>
      <c r="AC269" s="243" t="e">
        <f ca="1">IF(AND(INDEX(FlowCalConstA,MATCH(Z260,FlowCalNumber,0),1,1)*AB269^INDEX(FlowCalConstB,MATCH(Z260,FlowCalNumber,0),1,1)&gt;INDEX(FlowCalLowSetting,MATCH(Z260,FlowCalNumber,0),1,1), (INDEX(FlowCalConstA,MATCH(Z260,FlowCalNumber,0),1,1)*AB269^INDEX(FlowCalConstB,MATCH(Z260,FlowCalNumber,0),1,1)&lt;INDEX(FlowCalHighSetting,MATCH(Z260,FlowCalNumber,0),1,1))),INDEX(FlowCalConstA,MATCH(Z260,FlowCalNumber,0),1,1)*AB269^INDEX(FlowCalConstB,MATCH(Z260,FlowCalNumber,0),1,1)," ")</f>
        <v>#N/A</v>
      </c>
      <c r="AD269" s="33"/>
      <c r="AE269" s="242">
        <f t="shared" si="258"/>
        <v>0.1</v>
      </c>
      <c r="AF269" s="241" t="e">
        <f t="shared" ca="1" si="259"/>
        <v>#N/A</v>
      </c>
      <c r="AG269" s="243" t="e">
        <f ca="1">IF(AND(INDEX(FlowCalConstA,MATCH(AD260,FlowCalNumber,0),1,1)*AF269^INDEX(FlowCalConstB,MATCH(AD260,FlowCalNumber,0),1,1)&gt;INDEX(FlowCalLowSetting,MATCH(AD260,FlowCalNumber,0),1,1), (INDEX(FlowCalConstA,MATCH(AD260,FlowCalNumber,0),1,1)*AF269^INDEX(FlowCalConstB,MATCH(AD260,FlowCalNumber,0),1,1)&lt;INDEX(FlowCalHighSetting,MATCH(AD260,FlowCalNumber,0),1,1))),INDEX(FlowCalConstA,MATCH(AD260,FlowCalNumber,0),1,1)*AF269^INDEX(FlowCalConstB,MATCH(AD260,FlowCalNumber,0),1,1)," ")</f>
        <v>#N/A</v>
      </c>
      <c r="AH269" s="33"/>
      <c r="AI269" s="242">
        <f t="shared" si="260"/>
        <v>0.9</v>
      </c>
      <c r="AJ269" s="241" t="e">
        <f t="shared" ca="1" si="261"/>
        <v>#N/A</v>
      </c>
      <c r="AK269" s="243" t="e">
        <f ca="1">IF(AND(INDEX(FlowCalConstA,MATCH(AH260,FlowCalNumber,0),1,1)*AJ269^INDEX(FlowCalConstB,MATCH(AH260,FlowCalNumber,0),1,1)&gt;INDEX(FlowCalLowSetting,MATCH(AH260,FlowCalNumber,0),1,1), (INDEX(FlowCalConstA,MATCH(AH260,FlowCalNumber,0),1,1)*AJ269^INDEX(FlowCalConstB,MATCH(AH260,FlowCalNumber,0),1,1)&lt;INDEX(FlowCalHighSetting,MATCH(AH260,FlowCalNumber,0),1,1))),INDEX(FlowCalConstA,MATCH(AH260,FlowCalNumber,0),1,1)*AJ269^INDEX(FlowCalConstB,MATCH(AH260,FlowCalNumber,0),1,1)," ")</f>
        <v>#N/A</v>
      </c>
      <c r="AL269" s="33"/>
      <c r="AM269" s="242"/>
      <c r="AN269" s="241"/>
      <c r="AO269" s="244"/>
      <c r="AQ269" s="242"/>
      <c r="AR269" s="241"/>
      <c r="AS269" s="244"/>
      <c r="AT269" s="33"/>
      <c r="AU269" s="242"/>
      <c r="AV269" s="241"/>
      <c r="AW269" s="244"/>
      <c r="AX269" s="33"/>
      <c r="AY269" s="242"/>
      <c r="AZ269" s="241"/>
      <c r="BA269" s="244"/>
      <c r="BB269" s="33"/>
      <c r="BC269" s="242"/>
      <c r="BD269" s="241"/>
      <c r="BE269" s="244"/>
      <c r="BF269" s="33"/>
      <c r="BG269" s="242"/>
      <c r="BH269" s="241"/>
      <c r="BI269" s="244"/>
      <c r="BJ269" s="33"/>
      <c r="BK269" s="242"/>
      <c r="BL269" s="241"/>
      <c r="BM269" s="244"/>
      <c r="BN269" s="33"/>
      <c r="BO269" s="242"/>
      <c r="BP269" s="241"/>
      <c r="BQ269" s="244"/>
      <c r="BR269" s="33"/>
      <c r="BS269" s="242"/>
      <c r="BT269" s="241"/>
      <c r="BU269" s="244"/>
      <c r="BV269" s="33"/>
      <c r="BW269" s="242"/>
      <c r="BX269" s="241"/>
      <c r="BY269" s="244"/>
      <c r="BZ269" s="33"/>
      <c r="CA269" s="242"/>
      <c r="CB269" s="241"/>
      <c r="CC269" s="244"/>
      <c r="CD269" s="243"/>
      <c r="CE269" s="243"/>
      <c r="CF269" s="243"/>
      <c r="CG269" s="243"/>
      <c r="CH269" s="243"/>
      <c r="CI269" s="243"/>
      <c r="CJ269" s="243"/>
      <c r="CK269" s="243"/>
      <c r="CL269" s="243"/>
      <c r="CM269" s="243"/>
      <c r="CN269" s="243"/>
      <c r="CO269" s="243"/>
      <c r="CP269" s="243"/>
      <c r="CQ269" s="243"/>
      <c r="CR269" s="243"/>
      <c r="CS269" s="243"/>
      <c r="CT269" s="243"/>
      <c r="CU269" s="243"/>
      <c r="CV269" s="243"/>
      <c r="CW269" s="243"/>
      <c r="CX269" s="243"/>
      <c r="CY269" s="243"/>
      <c r="CZ269" s="243"/>
      <c r="DA269" s="243"/>
      <c r="DB269" s="243"/>
      <c r="DC269" s="243"/>
      <c r="DD269" s="243"/>
      <c r="DE269" s="243"/>
      <c r="DF269" s="243"/>
      <c r="DG269" s="243"/>
      <c r="DH269" s="243"/>
      <c r="DI269" s="243"/>
      <c r="DJ269" s="243"/>
      <c r="DK269" s="243"/>
      <c r="DM269" s="242"/>
      <c r="DO269" s="243"/>
      <c r="DQ269" s="242"/>
      <c r="DS269" s="243"/>
      <c r="DU269" s="242"/>
      <c r="DW269" s="243"/>
      <c r="DY269" s="242"/>
      <c r="EA269" s="243"/>
    </row>
    <row r="270" spans="1:131">
      <c r="A270" s="20"/>
      <c r="B270" s="124" t="str">
        <f t="shared" si="246"/>
        <v/>
      </c>
      <c r="C270" s="235"/>
      <c r="D270" s="24">
        <f>'1% Wind'!$M$91</f>
        <v>4.2</v>
      </c>
      <c r="E270" s="90"/>
      <c r="F270" s="90"/>
      <c r="G270" s="79" t="e">
        <f ca="1">IF(I260=0.9743,$G269,MAX(G269/D269*D270,2))</f>
        <v>#N/A</v>
      </c>
      <c r="H270" s="121" t="e">
        <f t="shared" ca="1" si="247"/>
        <v>#N/A</v>
      </c>
      <c r="J270" s="33"/>
      <c r="K270" s="242">
        <f t="shared" si="248"/>
        <v>1</v>
      </c>
      <c r="L270" s="241" t="e">
        <f t="shared" ca="1" si="249"/>
        <v>#N/A</v>
      </c>
      <c r="M270" s="243" t="e">
        <f ca="1">IF(AND(INDEX(FlowCalConstA,MATCH(J260,FlowCalNumber,0),1,1)*L270^INDEX(FlowCalConstB,MATCH(J260,FlowCalNumber,0),1,1)&gt;INDEX(FlowCalLowSetting,MATCH(J260,FlowCalNumber,0),1,1), (INDEX(FlowCalConstA,MATCH(J260,FlowCalNumber,0),1,1)*L270^INDEX(FlowCalConstB,MATCH(J260,FlowCalNumber,0),1,1)&lt;INDEX(FlowCalHighSetting,MATCH(J260,FlowCalNumber,0),1,1))),INDEX(FlowCalConstA,MATCH(J260,FlowCalNumber,0),1,1)*L270^INDEX(FlowCalConstB,MATCH(J260,FlowCalNumber,0),1,1)," ")</f>
        <v>#N/A</v>
      </c>
      <c r="N270" s="33"/>
      <c r="O270" s="242">
        <f t="shared" si="250"/>
        <v>1</v>
      </c>
      <c r="P270" s="241" t="e">
        <f t="shared" ca="1" si="251"/>
        <v>#N/A</v>
      </c>
      <c r="Q270" s="243" t="e">
        <f ca="1">IF(AND(INDEX(FlowCalConstA,MATCH(N260,FlowCalNumber,0),1,1)*P270^INDEX(FlowCalConstB,MATCH(N260,FlowCalNumber,0),1,1)&gt;INDEX(FlowCalLowSetting,MATCH(N260,FlowCalNumber,0),1,1), (INDEX(FlowCalConstA,MATCH(N260,FlowCalNumber,0),1,1)*P270^INDEX(FlowCalConstB,MATCH(N260,FlowCalNumber,0),1,1)&lt;INDEX(FlowCalHighSetting,MATCH(N260,FlowCalNumber,0),1,1))),INDEX(FlowCalConstA,MATCH(N260,FlowCalNumber,0),1,1)*P270^INDEX(FlowCalConstB,MATCH(N260,FlowCalNumber,0),1,1)," ")</f>
        <v>#N/A</v>
      </c>
      <c r="R270" s="33"/>
      <c r="S270" s="242">
        <f t="shared" si="252"/>
        <v>1</v>
      </c>
      <c r="T270" s="241" t="e">
        <f t="shared" ca="1" si="253"/>
        <v>#N/A</v>
      </c>
      <c r="U270" s="244" t="e">
        <f ca="1">IF(AND(INDEX(FlowCalConstA,MATCH(R260,FlowCalNumber,0),1,1)*T270^INDEX(FlowCalConstB,MATCH(R260,FlowCalNumber,0),1,1)&gt;INDEX(FlowCalLowSetting,MATCH(R260,FlowCalNumber,0),1,1), (INDEX(FlowCalConstA,MATCH(R260,FlowCalNumber,0),1,1)*T270^INDEX(FlowCalConstB,MATCH(R260,FlowCalNumber,0),1,1)&lt;INDEX(FlowCalHighSetting,MATCH(R260,FlowCalNumber,0),1,1))),INDEX(FlowCalConstA,MATCH(R260,FlowCalNumber,0),1,1)*T270^INDEX(FlowCalConstB,MATCH(R260,FlowCalNumber,0),1,1)," ")</f>
        <v>#N/A</v>
      </c>
      <c r="V270" s="33"/>
      <c r="W270" s="242">
        <f t="shared" si="254"/>
        <v>0.1</v>
      </c>
      <c r="X270" s="241" t="e">
        <f t="shared" ca="1" si="255"/>
        <v>#N/A</v>
      </c>
      <c r="Y270" s="243" t="e">
        <f ca="1">IF(AND(INDEX(FlowCalConstA,MATCH(V260,FlowCalNumber,0),1,1)*X270^INDEX(FlowCalConstB,MATCH(V260,FlowCalNumber,0),1,1)&gt;INDEX(FlowCalLowSetting,MATCH(V260,FlowCalNumber,0),1,1), (INDEX(FlowCalConstA,MATCH(V260,FlowCalNumber,0),1,1)*X270^INDEX(FlowCalConstB,MATCH(V260,FlowCalNumber,0),1,1)&lt;INDEX(FlowCalHighSetting,MATCH(V260,FlowCalNumber,0),1,1))),INDEX(FlowCalConstA,MATCH(V260,FlowCalNumber,0),1,1)*X270^INDEX(FlowCalConstB,MATCH(V260,FlowCalNumber,0),1,1)," ")</f>
        <v>#N/A</v>
      </c>
      <c r="Z270" s="33"/>
      <c r="AA270" s="242">
        <f t="shared" si="256"/>
        <v>0.9</v>
      </c>
      <c r="AB270" s="241" t="e">
        <f t="shared" ca="1" si="257"/>
        <v>#N/A</v>
      </c>
      <c r="AC270" s="243" t="e">
        <f ca="1">IF(AND(INDEX(FlowCalConstA,MATCH(Z260,FlowCalNumber,0),1,1)*AB270^INDEX(FlowCalConstB,MATCH(Z260,FlowCalNumber,0),1,1)&gt;INDEX(FlowCalLowSetting,MATCH(Z260,FlowCalNumber,0),1,1), (INDEX(FlowCalConstA,MATCH(Z260,FlowCalNumber,0),1,1)*AB270^INDEX(FlowCalConstB,MATCH(Z260,FlowCalNumber,0),1,1)&lt;INDEX(FlowCalHighSetting,MATCH(Z260,FlowCalNumber,0),1,1))),INDEX(FlowCalConstA,MATCH(Z260,FlowCalNumber,0),1,1)*AB270^INDEX(FlowCalConstB,MATCH(Z260,FlowCalNumber,0),1,1)," ")</f>
        <v>#N/A</v>
      </c>
      <c r="AD270" s="33"/>
      <c r="AE270" s="242">
        <f t="shared" si="258"/>
        <v>0.1</v>
      </c>
      <c r="AF270" s="241" t="e">
        <f t="shared" ca="1" si="259"/>
        <v>#N/A</v>
      </c>
      <c r="AG270" s="243" t="e">
        <f ca="1">IF(AND(INDEX(FlowCalConstA,MATCH(AD260,FlowCalNumber,0),1,1)*AF270^INDEX(FlowCalConstB,MATCH(AD260,FlowCalNumber,0),1,1)&gt;INDEX(FlowCalLowSetting,MATCH(AD260,FlowCalNumber,0),1,1), (INDEX(FlowCalConstA,MATCH(AD260,FlowCalNumber,0),1,1)*AF270^INDEX(FlowCalConstB,MATCH(AD260,FlowCalNumber,0),1,1)&lt;INDEX(FlowCalHighSetting,MATCH(AD260,FlowCalNumber,0),1,1))),INDEX(FlowCalConstA,MATCH(AD260,FlowCalNumber,0),1,1)*AF270^INDEX(FlowCalConstB,MATCH(AD260,FlowCalNumber,0),1,1)," ")</f>
        <v>#N/A</v>
      </c>
      <c r="AH270" s="33"/>
      <c r="AI270" s="242">
        <f t="shared" si="260"/>
        <v>0.9</v>
      </c>
      <c r="AJ270" s="241" t="e">
        <f t="shared" ca="1" si="261"/>
        <v>#N/A</v>
      </c>
      <c r="AK270" s="243" t="e">
        <f ca="1">IF(AND(INDEX(FlowCalConstA,MATCH(AH260,FlowCalNumber,0),1,1)*AJ270^INDEX(FlowCalConstB,MATCH(AH260,FlowCalNumber,0),1,1)&gt;INDEX(FlowCalLowSetting,MATCH(AH260,FlowCalNumber,0),1,1), (INDEX(FlowCalConstA,MATCH(AH260,FlowCalNumber,0),1,1)*AJ270^INDEX(FlowCalConstB,MATCH(AH260,FlowCalNumber,0),1,1)&lt;INDEX(FlowCalHighSetting,MATCH(AH260,FlowCalNumber,0),1,1))),INDEX(FlowCalConstA,MATCH(AH260,FlowCalNumber,0),1,1)*AJ270^INDEX(FlowCalConstB,MATCH(AH260,FlowCalNumber,0),1,1)," ")</f>
        <v>#N/A</v>
      </c>
      <c r="AL270" s="33"/>
      <c r="AM270" s="242"/>
      <c r="AN270" s="241"/>
      <c r="AO270" s="244"/>
      <c r="AQ270" s="242"/>
      <c r="AR270" s="241"/>
      <c r="AS270" s="244"/>
      <c r="AT270" s="33"/>
      <c r="AU270" s="242"/>
      <c r="AV270" s="241"/>
      <c r="AW270" s="244"/>
      <c r="AX270" s="33"/>
      <c r="AY270" s="242"/>
      <c r="AZ270" s="241"/>
      <c r="BA270" s="244"/>
      <c r="BB270" s="33"/>
      <c r="BC270" s="242"/>
      <c r="BD270" s="241"/>
      <c r="BE270" s="244"/>
      <c r="BF270" s="33"/>
      <c r="BG270" s="242"/>
      <c r="BH270" s="241"/>
      <c r="BI270" s="244"/>
      <c r="BJ270" s="33"/>
      <c r="BK270" s="242"/>
      <c r="BL270" s="241"/>
      <c r="BM270" s="244"/>
      <c r="BN270" s="33"/>
      <c r="BO270" s="242"/>
      <c r="BP270" s="241"/>
      <c r="BQ270" s="244"/>
      <c r="BR270" s="33"/>
      <c r="BS270" s="242"/>
      <c r="BT270" s="241"/>
      <c r="BU270" s="244"/>
      <c r="BV270" s="33"/>
      <c r="BW270" s="242"/>
      <c r="BX270" s="241"/>
      <c r="BY270" s="244"/>
      <c r="BZ270" s="33"/>
      <c r="CA270" s="242"/>
      <c r="CB270" s="241"/>
      <c r="CC270" s="244"/>
      <c r="CD270" s="243"/>
      <c r="CE270" s="243"/>
      <c r="CF270" s="243"/>
      <c r="CG270" s="243"/>
      <c r="CH270" s="243"/>
      <c r="CI270" s="243"/>
      <c r="CJ270" s="243"/>
      <c r="CK270" s="243"/>
      <c r="CL270" s="243"/>
      <c r="CM270" s="243"/>
      <c r="CN270" s="243"/>
      <c r="CO270" s="243"/>
      <c r="CP270" s="243"/>
      <c r="CQ270" s="243"/>
      <c r="CR270" s="243"/>
      <c r="CS270" s="243"/>
      <c r="CT270" s="243"/>
      <c r="CU270" s="243"/>
      <c r="CV270" s="243"/>
      <c r="CW270" s="243"/>
      <c r="CX270" s="243"/>
      <c r="CY270" s="243"/>
      <c r="CZ270" s="243"/>
      <c r="DA270" s="243"/>
      <c r="DB270" s="243"/>
      <c r="DC270" s="243"/>
      <c r="DD270" s="243"/>
      <c r="DE270" s="243"/>
      <c r="DF270" s="243"/>
      <c r="DG270" s="243"/>
      <c r="DH270" s="243"/>
      <c r="DI270" s="243"/>
      <c r="DJ270" s="243"/>
      <c r="DK270" s="243"/>
      <c r="DM270" s="242"/>
      <c r="DO270" s="243"/>
      <c r="DQ270" s="242"/>
      <c r="DS270" s="243"/>
      <c r="DU270" s="242"/>
      <c r="DW270" s="243"/>
      <c r="DY270" s="242"/>
      <c r="EA270" s="243"/>
    </row>
    <row r="271" spans="1:131">
      <c r="A271" s="20"/>
      <c r="B271" s="124" t="str">
        <f t="shared" si="246"/>
        <v/>
      </c>
      <c r="C271" s="235"/>
      <c r="D271" s="24">
        <f>'1% Wind'!$M$92</f>
        <v>3.2</v>
      </c>
      <c r="E271" s="90"/>
      <c r="F271" s="90"/>
      <c r="G271" s="79" t="e">
        <f ca="1">IF(I260=0.9743,$G270,MAX(G270/D270*D271,2))</f>
        <v>#N/A</v>
      </c>
      <c r="H271" s="121" t="e">
        <f t="shared" ca="1" si="247"/>
        <v>#N/A</v>
      </c>
      <c r="J271" s="33"/>
      <c r="K271" s="242">
        <f t="shared" si="248"/>
        <v>1</v>
      </c>
      <c r="L271" s="241" t="e">
        <f t="shared" ca="1" si="249"/>
        <v>#N/A</v>
      </c>
      <c r="M271" s="243" t="e">
        <f ca="1">IF(AND(INDEX(FlowCalConstA,MATCH(J260,FlowCalNumber,0),1,1)*L271^INDEX(FlowCalConstB,MATCH(J260,FlowCalNumber,0),1,1)&gt;INDEX(FlowCalLowSetting,MATCH(J260,FlowCalNumber,0),1,1), (INDEX(FlowCalConstA,MATCH(J260,FlowCalNumber,0),1,1)*L271^INDEX(FlowCalConstB,MATCH(J260,FlowCalNumber,0),1,1)&lt;INDEX(FlowCalHighSetting,MATCH(J260,FlowCalNumber,0),1,1))),INDEX(FlowCalConstA,MATCH(J260,FlowCalNumber,0),1,1)*L271^INDEX(FlowCalConstB,MATCH(J260,FlowCalNumber,0),1,1)," ")</f>
        <v>#N/A</v>
      </c>
      <c r="N271" s="33"/>
      <c r="O271" s="242">
        <f t="shared" si="250"/>
        <v>1</v>
      </c>
      <c r="P271" s="241" t="e">
        <f t="shared" ca="1" si="251"/>
        <v>#N/A</v>
      </c>
      <c r="Q271" s="243" t="e">
        <f ca="1">IF(AND(INDEX(FlowCalConstA,MATCH(N260,FlowCalNumber,0),1,1)*P271^INDEX(FlowCalConstB,MATCH(N260,FlowCalNumber,0),1,1)&gt;INDEX(FlowCalLowSetting,MATCH(N260,FlowCalNumber,0),1,1), (INDEX(FlowCalConstA,MATCH(N260,FlowCalNumber,0),1,1)*P271^INDEX(FlowCalConstB,MATCH(N260,FlowCalNumber,0),1,1)&lt;INDEX(FlowCalHighSetting,MATCH(N260,FlowCalNumber,0),1,1))),INDEX(FlowCalConstA,MATCH(N260,FlowCalNumber,0),1,1)*P271^INDEX(FlowCalConstB,MATCH(N260,FlowCalNumber,0),1,1)," ")</f>
        <v>#N/A</v>
      </c>
      <c r="R271" s="33"/>
      <c r="S271" s="242">
        <f t="shared" si="252"/>
        <v>1</v>
      </c>
      <c r="T271" s="241" t="e">
        <f t="shared" ca="1" si="253"/>
        <v>#N/A</v>
      </c>
      <c r="U271" s="244" t="e">
        <f ca="1">IF(AND(INDEX(FlowCalConstA,MATCH(R260,FlowCalNumber,0),1,1)*T271^INDEX(FlowCalConstB,MATCH(R260,FlowCalNumber,0),1,1)&gt;INDEX(FlowCalLowSetting,MATCH(R260,FlowCalNumber,0),1,1), (INDEX(FlowCalConstA,MATCH(R260,FlowCalNumber,0),1,1)*T271^INDEX(FlowCalConstB,MATCH(R260,FlowCalNumber,0),1,1)&lt;INDEX(FlowCalHighSetting,MATCH(R260,FlowCalNumber,0),1,1))),INDEX(FlowCalConstA,MATCH(R260,FlowCalNumber,0),1,1)*T271^INDEX(FlowCalConstB,MATCH(R260,FlowCalNumber,0),1,1)," ")</f>
        <v>#N/A</v>
      </c>
      <c r="V271" s="33"/>
      <c r="W271" s="242">
        <f t="shared" si="254"/>
        <v>0.1</v>
      </c>
      <c r="X271" s="241" t="e">
        <f t="shared" ca="1" si="255"/>
        <v>#N/A</v>
      </c>
      <c r="Y271" s="243" t="e">
        <f ca="1">IF(AND(INDEX(FlowCalConstA,MATCH(V260,FlowCalNumber,0),1,1)*X271^INDEX(FlowCalConstB,MATCH(V260,FlowCalNumber,0),1,1)&gt;INDEX(FlowCalLowSetting,MATCH(V260,FlowCalNumber,0),1,1), (INDEX(FlowCalConstA,MATCH(V260,FlowCalNumber,0),1,1)*X271^INDEX(FlowCalConstB,MATCH(V260,FlowCalNumber,0),1,1)&lt;INDEX(FlowCalHighSetting,MATCH(V260,FlowCalNumber,0),1,1))),INDEX(FlowCalConstA,MATCH(V260,FlowCalNumber,0),1,1)*X271^INDEX(FlowCalConstB,MATCH(V260,FlowCalNumber,0),1,1)," ")</f>
        <v>#N/A</v>
      </c>
      <c r="Z271" s="33"/>
      <c r="AA271" s="242">
        <f t="shared" si="256"/>
        <v>0.9</v>
      </c>
      <c r="AB271" s="241" t="e">
        <f t="shared" ca="1" si="257"/>
        <v>#N/A</v>
      </c>
      <c r="AC271" s="243" t="e">
        <f ca="1">IF(AND(INDEX(FlowCalConstA,MATCH(Z260,FlowCalNumber,0),1,1)*AB271^INDEX(FlowCalConstB,MATCH(Z260,FlowCalNumber,0),1,1)&gt;INDEX(FlowCalLowSetting,MATCH(Z260,FlowCalNumber,0),1,1), (INDEX(FlowCalConstA,MATCH(Z260,FlowCalNumber,0),1,1)*AB271^INDEX(FlowCalConstB,MATCH(Z260,FlowCalNumber,0),1,1)&lt;INDEX(FlowCalHighSetting,MATCH(Z260,FlowCalNumber,0),1,1))),INDEX(FlowCalConstA,MATCH(Z260,FlowCalNumber,0),1,1)*AB271^INDEX(FlowCalConstB,MATCH(Z260,FlowCalNumber,0),1,1)," ")</f>
        <v>#N/A</v>
      </c>
      <c r="AD271" s="33"/>
      <c r="AE271" s="242">
        <f t="shared" si="258"/>
        <v>0.1</v>
      </c>
      <c r="AF271" s="241" t="e">
        <f t="shared" ca="1" si="259"/>
        <v>#N/A</v>
      </c>
      <c r="AG271" s="243" t="e">
        <f ca="1">IF(AND(INDEX(FlowCalConstA,MATCH(AD260,FlowCalNumber,0),1,1)*AF271^INDEX(FlowCalConstB,MATCH(AD260,FlowCalNumber,0),1,1)&gt;INDEX(FlowCalLowSetting,MATCH(AD260,FlowCalNumber,0),1,1), (INDEX(FlowCalConstA,MATCH(AD260,FlowCalNumber,0),1,1)*AF271^INDEX(FlowCalConstB,MATCH(AD260,FlowCalNumber,0),1,1)&lt;INDEX(FlowCalHighSetting,MATCH(AD260,FlowCalNumber,0),1,1))),INDEX(FlowCalConstA,MATCH(AD260,FlowCalNumber,0),1,1)*AF271^INDEX(FlowCalConstB,MATCH(AD260,FlowCalNumber,0),1,1)," ")</f>
        <v>#N/A</v>
      </c>
      <c r="AH271" s="33"/>
      <c r="AI271" s="242">
        <f t="shared" si="260"/>
        <v>0.9</v>
      </c>
      <c r="AJ271" s="241" t="e">
        <f t="shared" ca="1" si="261"/>
        <v>#N/A</v>
      </c>
      <c r="AK271" s="243" t="e">
        <f ca="1">IF(AND(INDEX(FlowCalConstA,MATCH(AH260,FlowCalNumber,0),1,1)*AJ271^INDEX(FlowCalConstB,MATCH(AH260,FlowCalNumber,0),1,1)&gt;INDEX(FlowCalLowSetting,MATCH(AH260,FlowCalNumber,0),1,1), (INDEX(FlowCalConstA,MATCH(AH260,FlowCalNumber,0),1,1)*AJ271^INDEX(FlowCalConstB,MATCH(AH260,FlowCalNumber,0),1,1)&lt;INDEX(FlowCalHighSetting,MATCH(AH260,FlowCalNumber,0),1,1))),INDEX(FlowCalConstA,MATCH(AH260,FlowCalNumber,0),1,1)*AJ271^INDEX(FlowCalConstB,MATCH(AH260,FlowCalNumber,0),1,1)," ")</f>
        <v>#N/A</v>
      </c>
      <c r="AL271" s="33"/>
      <c r="AM271" s="242"/>
      <c r="AN271" s="241"/>
      <c r="AO271" s="244"/>
      <c r="AQ271" s="242"/>
      <c r="AR271" s="241"/>
      <c r="AS271" s="244"/>
      <c r="AT271" s="33"/>
      <c r="AU271" s="242"/>
      <c r="AV271" s="241"/>
      <c r="AW271" s="244"/>
      <c r="AX271" s="33"/>
      <c r="AY271" s="242"/>
      <c r="AZ271" s="241"/>
      <c r="BA271" s="244"/>
      <c r="BB271" s="33"/>
      <c r="BC271" s="242"/>
      <c r="BD271" s="241"/>
      <c r="BE271" s="244"/>
      <c r="BF271" s="33"/>
      <c r="BG271" s="242"/>
      <c r="BH271" s="241"/>
      <c r="BI271" s="244"/>
      <c r="BJ271" s="33"/>
      <c r="BK271" s="242"/>
      <c r="BL271" s="241"/>
      <c r="BM271" s="244"/>
      <c r="BN271" s="33"/>
      <c r="BO271" s="242"/>
      <c r="BP271" s="241"/>
      <c r="BQ271" s="244"/>
      <c r="BR271" s="33"/>
      <c r="BS271" s="242"/>
      <c r="BT271" s="241"/>
      <c r="BU271" s="244"/>
      <c r="BV271" s="33"/>
      <c r="BW271" s="242"/>
      <c r="BX271" s="241"/>
      <c r="BY271" s="244"/>
      <c r="BZ271" s="33"/>
      <c r="CA271" s="242"/>
      <c r="CB271" s="241"/>
      <c r="CC271" s="244"/>
      <c r="CD271" s="243"/>
      <c r="CE271" s="243"/>
      <c r="CF271" s="243"/>
      <c r="CG271" s="243"/>
      <c r="CH271" s="243"/>
      <c r="CI271" s="243"/>
      <c r="CJ271" s="243"/>
      <c r="CK271" s="243"/>
      <c r="CL271" s="243"/>
      <c r="CM271" s="243"/>
      <c r="CN271" s="243"/>
      <c r="CO271" s="243"/>
      <c r="CP271" s="243"/>
      <c r="CQ271" s="243"/>
      <c r="CR271" s="243"/>
      <c r="CS271" s="243"/>
      <c r="CT271" s="243"/>
      <c r="CU271" s="243"/>
      <c r="CV271" s="243"/>
      <c r="CW271" s="243"/>
      <c r="CX271" s="243"/>
      <c r="CY271" s="243"/>
      <c r="CZ271" s="243"/>
      <c r="DA271" s="243"/>
      <c r="DB271" s="243"/>
      <c r="DC271" s="243"/>
      <c r="DD271" s="243"/>
      <c r="DE271" s="243"/>
      <c r="DF271" s="243"/>
      <c r="DG271" s="243"/>
      <c r="DH271" s="243"/>
      <c r="DI271" s="243"/>
      <c r="DJ271" s="243"/>
      <c r="DK271" s="243"/>
      <c r="DM271" s="242"/>
      <c r="DO271" s="243"/>
      <c r="DQ271" s="242"/>
      <c r="DS271" s="243"/>
      <c r="DU271" s="242"/>
      <c r="DW271" s="243"/>
      <c r="DY271" s="242"/>
      <c r="EA271" s="243"/>
    </row>
    <row r="272" spans="1:131">
      <c r="A272" s="20"/>
      <c r="B272" s="124" t="str">
        <f t="shared" si="246"/>
        <v/>
      </c>
      <c r="C272" s="235"/>
      <c r="D272" s="24">
        <f>'1% Wind'!$M$93</f>
        <v>2.4</v>
      </c>
      <c r="E272" s="90"/>
      <c r="F272" s="90"/>
      <c r="G272" s="79" t="e">
        <f ca="1">IF(I260=0.9743,$G271,MAX(G271/D271*D272,2))</f>
        <v>#N/A</v>
      </c>
      <c r="H272" s="121" t="e">
        <f t="shared" ca="1" si="247"/>
        <v>#N/A</v>
      </c>
      <c r="J272" s="33"/>
      <c r="K272" s="242">
        <f t="shared" si="248"/>
        <v>1</v>
      </c>
      <c r="L272" s="241" t="e">
        <f t="shared" ca="1" si="249"/>
        <v>#N/A</v>
      </c>
      <c r="M272" s="243" t="e">
        <f ca="1">IF(AND(INDEX(FlowCalConstA,MATCH(J260,FlowCalNumber,0),1,1)*L272^INDEX(FlowCalConstB,MATCH(J260,FlowCalNumber,0),1,1)&gt;INDEX(FlowCalLowSetting,MATCH(J260,FlowCalNumber,0),1,1), (INDEX(FlowCalConstA,MATCH(J260,FlowCalNumber,0),1,1)*L272^INDEX(FlowCalConstB,MATCH(J260,FlowCalNumber,0),1,1)&lt;INDEX(FlowCalHighSetting,MATCH(J260,FlowCalNumber,0),1,1))),INDEX(FlowCalConstA,MATCH(J260,FlowCalNumber,0),1,1)*L272^INDEX(FlowCalConstB,MATCH(J260,FlowCalNumber,0),1,1)," ")</f>
        <v>#N/A</v>
      </c>
      <c r="N272" s="33"/>
      <c r="O272" s="242">
        <f t="shared" si="250"/>
        <v>1</v>
      </c>
      <c r="P272" s="241" t="e">
        <f t="shared" ca="1" si="251"/>
        <v>#N/A</v>
      </c>
      <c r="Q272" s="243" t="e">
        <f ca="1">IF(AND(INDEX(FlowCalConstA,MATCH(N260,FlowCalNumber,0),1,1)*P272^INDEX(FlowCalConstB,MATCH(N260,FlowCalNumber,0),1,1)&gt;INDEX(FlowCalLowSetting,MATCH(N260,FlowCalNumber,0),1,1), (INDEX(FlowCalConstA,MATCH(N260,FlowCalNumber,0),1,1)*P272^INDEX(FlowCalConstB,MATCH(N260,FlowCalNumber,0),1,1)&lt;INDEX(FlowCalHighSetting,MATCH(N260,FlowCalNumber,0),1,1))),INDEX(FlowCalConstA,MATCH(N260,FlowCalNumber,0),1,1)*P272^INDEX(FlowCalConstB,MATCH(N260,FlowCalNumber,0),1,1)," ")</f>
        <v>#N/A</v>
      </c>
      <c r="R272" s="33"/>
      <c r="S272" s="242">
        <f t="shared" si="252"/>
        <v>1</v>
      </c>
      <c r="T272" s="241" t="e">
        <f t="shared" ca="1" si="253"/>
        <v>#N/A</v>
      </c>
      <c r="U272" s="244" t="e">
        <f ca="1">IF(AND(INDEX(FlowCalConstA,MATCH(R260,FlowCalNumber,0),1,1)*T272^INDEX(FlowCalConstB,MATCH(R260,FlowCalNumber,0),1,1)&gt;INDEX(FlowCalLowSetting,MATCH(R260,FlowCalNumber,0),1,1), (INDEX(FlowCalConstA,MATCH(R260,FlowCalNumber,0),1,1)*T272^INDEX(FlowCalConstB,MATCH(R260,FlowCalNumber,0),1,1)&lt;INDEX(FlowCalHighSetting,MATCH(R260,FlowCalNumber,0),1,1))),INDEX(FlowCalConstA,MATCH(R260,FlowCalNumber,0),1,1)*T272^INDEX(FlowCalConstB,MATCH(R260,FlowCalNumber,0),1,1)," ")</f>
        <v>#N/A</v>
      </c>
      <c r="V272" s="33"/>
      <c r="W272" s="242">
        <f t="shared" si="254"/>
        <v>0.1</v>
      </c>
      <c r="X272" s="241" t="e">
        <f t="shared" ca="1" si="255"/>
        <v>#N/A</v>
      </c>
      <c r="Y272" s="243" t="e">
        <f ca="1">IF(AND(INDEX(FlowCalConstA,MATCH(V260,FlowCalNumber,0),1,1)*X272^INDEX(FlowCalConstB,MATCH(V260,FlowCalNumber,0),1,1)&gt;INDEX(FlowCalLowSetting,MATCH(V260,FlowCalNumber,0),1,1), (INDEX(FlowCalConstA,MATCH(V260,FlowCalNumber,0),1,1)*X272^INDEX(FlowCalConstB,MATCH(V260,FlowCalNumber,0),1,1)&lt;INDEX(FlowCalHighSetting,MATCH(V260,FlowCalNumber,0),1,1))),INDEX(FlowCalConstA,MATCH(V260,FlowCalNumber,0),1,1)*X272^INDEX(FlowCalConstB,MATCH(V260,FlowCalNumber,0),1,1)," ")</f>
        <v>#N/A</v>
      </c>
      <c r="Z272" s="33"/>
      <c r="AA272" s="242">
        <f t="shared" si="256"/>
        <v>0.9</v>
      </c>
      <c r="AB272" s="241" t="e">
        <f t="shared" ca="1" si="257"/>
        <v>#N/A</v>
      </c>
      <c r="AC272" s="243" t="e">
        <f ca="1">IF(AND(INDEX(FlowCalConstA,MATCH(Z260,FlowCalNumber,0),1,1)*AB272^INDEX(FlowCalConstB,MATCH(Z260,FlowCalNumber,0),1,1)&gt;INDEX(FlowCalLowSetting,MATCH(Z260,FlowCalNumber,0),1,1), (INDEX(FlowCalConstA,MATCH(Z260,FlowCalNumber,0),1,1)*AB272^INDEX(FlowCalConstB,MATCH(Z260,FlowCalNumber,0),1,1)&lt;INDEX(FlowCalHighSetting,MATCH(Z260,FlowCalNumber,0),1,1))),INDEX(FlowCalConstA,MATCH(Z260,FlowCalNumber,0),1,1)*AB272^INDEX(FlowCalConstB,MATCH(Z260,FlowCalNumber,0),1,1)," ")</f>
        <v>#N/A</v>
      </c>
      <c r="AD272" s="33"/>
      <c r="AE272" s="242">
        <f t="shared" si="258"/>
        <v>0.1</v>
      </c>
      <c r="AF272" s="241" t="e">
        <f t="shared" ca="1" si="259"/>
        <v>#N/A</v>
      </c>
      <c r="AG272" s="243" t="e">
        <f ca="1">IF(AND(INDEX(FlowCalConstA,MATCH(AD260,FlowCalNumber,0),1,1)*AF272^INDEX(FlowCalConstB,MATCH(AD260,FlowCalNumber,0),1,1)&gt;INDEX(FlowCalLowSetting,MATCH(AD260,FlowCalNumber,0),1,1), (INDEX(FlowCalConstA,MATCH(AD260,FlowCalNumber,0),1,1)*AF272^INDEX(FlowCalConstB,MATCH(AD260,FlowCalNumber,0),1,1)&lt;INDEX(FlowCalHighSetting,MATCH(AD260,FlowCalNumber,0),1,1))),INDEX(FlowCalConstA,MATCH(AD260,FlowCalNumber,0),1,1)*AF272^INDEX(FlowCalConstB,MATCH(AD260,FlowCalNumber,0),1,1)," ")</f>
        <v>#N/A</v>
      </c>
      <c r="AH272" s="33"/>
      <c r="AI272" s="242">
        <f t="shared" si="260"/>
        <v>0.9</v>
      </c>
      <c r="AJ272" s="241" t="e">
        <f t="shared" ca="1" si="261"/>
        <v>#N/A</v>
      </c>
      <c r="AK272" s="243" t="e">
        <f ca="1">IF(AND(INDEX(FlowCalConstA,MATCH(AH260,FlowCalNumber,0),1,1)*AJ272^INDEX(FlowCalConstB,MATCH(AH260,FlowCalNumber,0),1,1)&gt;INDEX(FlowCalLowSetting,MATCH(AH260,FlowCalNumber,0),1,1), (INDEX(FlowCalConstA,MATCH(AH260,FlowCalNumber,0),1,1)*AJ272^INDEX(FlowCalConstB,MATCH(AH260,FlowCalNumber,0),1,1)&lt;INDEX(FlowCalHighSetting,MATCH(AH260,FlowCalNumber,0),1,1))),INDEX(FlowCalConstA,MATCH(AH260,FlowCalNumber,0),1,1)*AJ272^INDEX(FlowCalConstB,MATCH(AH260,FlowCalNumber,0),1,1)," ")</f>
        <v>#N/A</v>
      </c>
      <c r="AL272" s="33"/>
      <c r="AM272" s="242"/>
      <c r="AN272" s="241"/>
      <c r="AO272" s="244"/>
      <c r="AQ272" s="242"/>
      <c r="AR272" s="241"/>
      <c r="AS272" s="244"/>
      <c r="AT272" s="33"/>
      <c r="AU272" s="242"/>
      <c r="AV272" s="241"/>
      <c r="AW272" s="244"/>
      <c r="AX272" s="33"/>
      <c r="AY272" s="242"/>
      <c r="AZ272" s="241"/>
      <c r="BA272" s="244"/>
      <c r="BB272" s="33"/>
      <c r="BC272" s="242"/>
      <c r="BD272" s="241"/>
      <c r="BE272" s="244"/>
      <c r="BF272" s="33"/>
      <c r="BG272" s="242"/>
      <c r="BH272" s="241"/>
      <c r="BI272" s="244"/>
      <c r="BJ272" s="33"/>
      <c r="BK272" s="242"/>
      <c r="BL272" s="241"/>
      <c r="BM272" s="244"/>
      <c r="BN272" s="33"/>
      <c r="BO272" s="242"/>
      <c r="BP272" s="241"/>
      <c r="BQ272" s="244"/>
      <c r="BR272" s="33"/>
      <c r="BS272" s="242"/>
      <c r="BT272" s="241"/>
      <c r="BU272" s="244"/>
      <c r="BV272" s="33"/>
      <c r="BW272" s="242"/>
      <c r="BX272" s="241"/>
      <c r="BY272" s="244"/>
      <c r="BZ272" s="33"/>
      <c r="CA272" s="242"/>
      <c r="CB272" s="241"/>
      <c r="CC272" s="244"/>
      <c r="CD272" s="243"/>
      <c r="CE272" s="243"/>
      <c r="CF272" s="243"/>
      <c r="CG272" s="243"/>
      <c r="CH272" s="243"/>
      <c r="CI272" s="243"/>
      <c r="CJ272" s="243"/>
      <c r="CK272" s="243"/>
      <c r="CL272" s="243"/>
      <c r="CM272" s="243"/>
      <c r="CN272" s="243"/>
      <c r="CO272" s="243"/>
      <c r="CP272" s="243"/>
      <c r="CQ272" s="243"/>
      <c r="CR272" s="243"/>
      <c r="CS272" s="243"/>
      <c r="CT272" s="243"/>
      <c r="CU272" s="243"/>
      <c r="CV272" s="243"/>
      <c r="CW272" s="243"/>
      <c r="CX272" s="243"/>
      <c r="CY272" s="243"/>
      <c r="CZ272" s="243"/>
      <c r="DA272" s="243"/>
      <c r="DB272" s="243"/>
      <c r="DC272" s="243"/>
      <c r="DD272" s="243"/>
      <c r="DE272" s="243"/>
      <c r="DF272" s="243"/>
      <c r="DG272" s="243"/>
      <c r="DH272" s="243"/>
      <c r="DI272" s="243"/>
      <c r="DJ272" s="243"/>
      <c r="DK272" s="243"/>
      <c r="DM272" s="242"/>
      <c r="DO272" s="243"/>
      <c r="DQ272" s="242"/>
      <c r="DS272" s="243"/>
      <c r="DU272" s="242"/>
      <c r="DW272" s="243"/>
      <c r="DY272" s="242"/>
      <c r="EA272" s="243"/>
    </row>
    <row r="273" spans="1:131">
      <c r="A273" s="20"/>
      <c r="B273" s="124" t="str">
        <f t="shared" si="246"/>
        <v/>
      </c>
      <c r="C273" s="235"/>
      <c r="D273" s="24">
        <f>'1% Wind'!$M$94</f>
        <v>1.8</v>
      </c>
      <c r="E273" s="90"/>
      <c r="F273" s="90"/>
      <c r="G273" s="79" t="e">
        <f ca="1">IF(I260=0.9743,$G272,MAX(G272/D272*D273,2))</f>
        <v>#N/A</v>
      </c>
      <c r="H273" s="121" t="e">
        <f t="shared" ca="1" si="247"/>
        <v>#N/A</v>
      </c>
      <c r="J273" s="33"/>
      <c r="K273" s="242">
        <f t="shared" si="248"/>
        <v>1</v>
      </c>
      <c r="L273" s="241" t="e">
        <f t="shared" ca="1" si="249"/>
        <v>#N/A</v>
      </c>
      <c r="M273" s="243" t="e">
        <f ca="1">IF(AND(INDEX(FlowCalConstA,MATCH(J260,FlowCalNumber,0),1,1)*L273^INDEX(FlowCalConstB,MATCH(J260,FlowCalNumber,0),1,1)&gt;INDEX(FlowCalLowSetting,MATCH(J260,FlowCalNumber,0),1,1), (INDEX(FlowCalConstA,MATCH(J260,FlowCalNumber,0),1,1)*L273^INDEX(FlowCalConstB,MATCH(J260,FlowCalNumber,0),1,1)&lt;INDEX(FlowCalHighSetting,MATCH(J260,FlowCalNumber,0),1,1))),INDEX(FlowCalConstA,MATCH(J260,FlowCalNumber,0),1,1)*L273^INDEX(FlowCalConstB,MATCH(J260,FlowCalNumber,0),1,1)," ")</f>
        <v>#N/A</v>
      </c>
      <c r="N273" s="33"/>
      <c r="O273" s="242">
        <f t="shared" si="250"/>
        <v>1</v>
      </c>
      <c r="P273" s="241" t="e">
        <f t="shared" ca="1" si="251"/>
        <v>#N/A</v>
      </c>
      <c r="Q273" s="243" t="e">
        <f ca="1">IF(AND(INDEX(FlowCalConstA,MATCH(N260,FlowCalNumber,0),1,1)*P273^INDEX(FlowCalConstB,MATCH(N260,FlowCalNumber,0),1,1)&gt;INDEX(FlowCalLowSetting,MATCH(N260,FlowCalNumber,0),1,1), (INDEX(FlowCalConstA,MATCH(N260,FlowCalNumber,0),1,1)*P273^INDEX(FlowCalConstB,MATCH(N260,FlowCalNumber,0),1,1)&lt;INDEX(FlowCalHighSetting,MATCH(N260,FlowCalNumber,0),1,1))),INDEX(FlowCalConstA,MATCH(N260,FlowCalNumber,0),1,1)*P273^INDEX(FlowCalConstB,MATCH(N260,FlowCalNumber,0),1,1)," ")</f>
        <v>#N/A</v>
      </c>
      <c r="R273" s="33"/>
      <c r="S273" s="242">
        <f t="shared" si="252"/>
        <v>1</v>
      </c>
      <c r="T273" s="241" t="e">
        <f t="shared" ca="1" si="253"/>
        <v>#N/A</v>
      </c>
      <c r="U273" s="244" t="e">
        <f ca="1">IF(AND(INDEX(FlowCalConstA,MATCH(R260,FlowCalNumber,0),1,1)*T273^INDEX(FlowCalConstB,MATCH(R260,FlowCalNumber,0),1,1)&gt;INDEX(FlowCalLowSetting,MATCH(R260,FlowCalNumber,0),1,1), (INDEX(FlowCalConstA,MATCH(R260,FlowCalNumber,0),1,1)*T273^INDEX(FlowCalConstB,MATCH(R260,FlowCalNumber,0),1,1)&lt;INDEX(FlowCalHighSetting,MATCH(R260,FlowCalNumber,0),1,1))),INDEX(FlowCalConstA,MATCH(R260,FlowCalNumber,0),1,1)*T273^INDEX(FlowCalConstB,MATCH(R260,FlowCalNumber,0),1,1)," ")</f>
        <v>#N/A</v>
      </c>
      <c r="V273" s="33"/>
      <c r="W273" s="242">
        <f t="shared" si="254"/>
        <v>0.1</v>
      </c>
      <c r="X273" s="241" t="e">
        <f t="shared" ca="1" si="255"/>
        <v>#N/A</v>
      </c>
      <c r="Y273" s="243" t="e">
        <f ca="1">IF(AND(INDEX(FlowCalConstA,MATCH(V260,FlowCalNumber,0),1,1)*X273^INDEX(FlowCalConstB,MATCH(V260,FlowCalNumber,0),1,1)&gt;INDEX(FlowCalLowSetting,MATCH(V260,FlowCalNumber,0),1,1), (INDEX(FlowCalConstA,MATCH(V260,FlowCalNumber,0),1,1)*X273^INDEX(FlowCalConstB,MATCH(V260,FlowCalNumber,0),1,1)&lt;INDEX(FlowCalHighSetting,MATCH(V260,FlowCalNumber,0),1,1))),INDEX(FlowCalConstA,MATCH(V260,FlowCalNumber,0),1,1)*X273^INDEX(FlowCalConstB,MATCH(V260,FlowCalNumber,0),1,1)," ")</f>
        <v>#N/A</v>
      </c>
      <c r="Z273" s="33"/>
      <c r="AA273" s="242">
        <f t="shared" si="256"/>
        <v>0.9</v>
      </c>
      <c r="AB273" s="241" t="e">
        <f t="shared" ca="1" si="257"/>
        <v>#N/A</v>
      </c>
      <c r="AC273" s="243" t="e">
        <f ca="1">IF(AND(INDEX(FlowCalConstA,MATCH(Z260,FlowCalNumber,0),1,1)*AB273^INDEX(FlowCalConstB,MATCH(Z260,FlowCalNumber,0),1,1)&gt;INDEX(FlowCalLowSetting,MATCH(Z260,FlowCalNumber,0),1,1), (INDEX(FlowCalConstA,MATCH(Z260,FlowCalNumber,0),1,1)*AB273^INDEX(FlowCalConstB,MATCH(Z260,FlowCalNumber,0),1,1)&lt;INDEX(FlowCalHighSetting,MATCH(Z260,FlowCalNumber,0),1,1))),INDEX(FlowCalConstA,MATCH(Z260,FlowCalNumber,0),1,1)*AB273^INDEX(FlowCalConstB,MATCH(Z260,FlowCalNumber,0),1,1)," ")</f>
        <v>#N/A</v>
      </c>
      <c r="AD273" s="33"/>
      <c r="AE273" s="242">
        <f t="shared" si="258"/>
        <v>0.1</v>
      </c>
      <c r="AF273" s="241" t="e">
        <f t="shared" ca="1" si="259"/>
        <v>#N/A</v>
      </c>
      <c r="AG273" s="243" t="e">
        <f ca="1">IF(AND(INDEX(FlowCalConstA,MATCH(AD260,FlowCalNumber,0),1,1)*AF273^INDEX(FlowCalConstB,MATCH(AD260,FlowCalNumber,0),1,1)&gt;INDEX(FlowCalLowSetting,MATCH(AD260,FlowCalNumber,0),1,1), (INDEX(FlowCalConstA,MATCH(AD260,FlowCalNumber,0),1,1)*AF273^INDEX(FlowCalConstB,MATCH(AD260,FlowCalNumber,0),1,1)&lt;INDEX(FlowCalHighSetting,MATCH(AD260,FlowCalNumber,0),1,1))),INDEX(FlowCalConstA,MATCH(AD260,FlowCalNumber,0),1,1)*AF273^INDEX(FlowCalConstB,MATCH(AD260,FlowCalNumber,0),1,1)," ")</f>
        <v>#N/A</v>
      </c>
      <c r="AH273" s="33"/>
      <c r="AI273" s="242">
        <f t="shared" si="260"/>
        <v>0.9</v>
      </c>
      <c r="AJ273" s="241" t="e">
        <f t="shared" ca="1" si="261"/>
        <v>#N/A</v>
      </c>
      <c r="AK273" s="243" t="e">
        <f ca="1">IF(AND(INDEX(FlowCalConstA,MATCH(AH260,FlowCalNumber,0),1,1)*AJ273^INDEX(FlowCalConstB,MATCH(AH260,FlowCalNumber,0),1,1)&gt;INDEX(FlowCalLowSetting,MATCH(AH260,FlowCalNumber,0),1,1), (INDEX(FlowCalConstA,MATCH(AH260,FlowCalNumber,0),1,1)*AJ273^INDEX(FlowCalConstB,MATCH(AH260,FlowCalNumber,0),1,1)&lt;INDEX(FlowCalHighSetting,MATCH(AH260,FlowCalNumber,0),1,1))),INDEX(FlowCalConstA,MATCH(AH260,FlowCalNumber,0),1,1)*AJ273^INDEX(FlowCalConstB,MATCH(AH260,FlowCalNumber,0),1,1)," ")</f>
        <v>#N/A</v>
      </c>
      <c r="AL273" s="33"/>
      <c r="AM273" s="242"/>
      <c r="AN273" s="241"/>
      <c r="AO273" s="244"/>
      <c r="AQ273" s="242"/>
      <c r="AR273" s="241"/>
      <c r="AS273" s="244"/>
      <c r="AT273" s="33"/>
      <c r="AU273" s="242"/>
      <c r="AV273" s="241"/>
      <c r="AW273" s="244"/>
      <c r="AX273" s="33"/>
      <c r="AY273" s="242"/>
      <c r="AZ273" s="241"/>
      <c r="BA273" s="244"/>
      <c r="BB273" s="33"/>
      <c r="BC273" s="242"/>
      <c r="BD273" s="241"/>
      <c r="BE273" s="244"/>
      <c r="BF273" s="33"/>
      <c r="BG273" s="242"/>
      <c r="BH273" s="241"/>
      <c r="BI273" s="244"/>
      <c r="BJ273" s="33"/>
      <c r="BK273" s="242"/>
      <c r="BL273" s="241"/>
      <c r="BM273" s="244"/>
      <c r="BN273" s="33"/>
      <c r="BO273" s="242"/>
      <c r="BP273" s="241"/>
      <c r="BQ273" s="244"/>
      <c r="BR273" s="33"/>
      <c r="BS273" s="242"/>
      <c r="BT273" s="241"/>
      <c r="BU273" s="244"/>
      <c r="BV273" s="33"/>
      <c r="BW273" s="242"/>
      <c r="BX273" s="241"/>
      <c r="BY273" s="244"/>
      <c r="BZ273" s="33"/>
      <c r="CA273" s="242"/>
      <c r="CB273" s="241"/>
      <c r="CC273" s="244"/>
      <c r="CD273" s="243"/>
      <c r="CE273" s="243"/>
      <c r="CF273" s="243"/>
      <c r="CG273" s="243"/>
      <c r="CH273" s="243"/>
      <c r="CI273" s="243"/>
      <c r="CJ273" s="243"/>
      <c r="CK273" s="243"/>
      <c r="CL273" s="243"/>
      <c r="CM273" s="243"/>
      <c r="CN273" s="243"/>
      <c r="CO273" s="243"/>
      <c r="CP273" s="243"/>
      <c r="CQ273" s="243"/>
      <c r="CR273" s="243"/>
      <c r="CS273" s="243"/>
      <c r="CT273" s="243"/>
      <c r="CU273" s="243"/>
      <c r="CV273" s="243"/>
      <c r="CW273" s="243"/>
      <c r="CX273" s="243"/>
      <c r="CY273" s="243"/>
      <c r="CZ273" s="243"/>
      <c r="DA273" s="243"/>
      <c r="DB273" s="243"/>
      <c r="DC273" s="243"/>
      <c r="DD273" s="243"/>
      <c r="DE273" s="243"/>
      <c r="DF273" s="243"/>
      <c r="DG273" s="243"/>
      <c r="DH273" s="243"/>
      <c r="DI273" s="243"/>
      <c r="DJ273" s="243"/>
      <c r="DK273" s="243"/>
      <c r="DM273" s="242"/>
      <c r="DO273" s="243"/>
      <c r="DQ273" s="242"/>
      <c r="DS273" s="243"/>
      <c r="DU273" s="242"/>
      <c r="DW273" s="243"/>
      <c r="DY273" s="242"/>
      <c r="EA273" s="243"/>
    </row>
    <row r="274" spans="1:131">
      <c r="A274" s="20"/>
      <c r="B274" s="124" t="str">
        <f t="shared" si="246"/>
        <v/>
      </c>
      <c r="C274" s="235"/>
      <c r="D274" s="24">
        <f>'1% Wind'!$M$95</f>
        <v>1.3</v>
      </c>
      <c r="E274" s="90"/>
      <c r="F274" s="90"/>
      <c r="G274" s="79" t="e">
        <f ca="1">IF(I260=0.9743,$G273,MAX(G273/D273*D274,2))</f>
        <v>#N/A</v>
      </c>
      <c r="H274" s="121" t="e">
        <f t="shared" ca="1" si="247"/>
        <v>#N/A</v>
      </c>
      <c r="J274" s="33"/>
      <c r="K274" s="242">
        <f t="shared" si="248"/>
        <v>1</v>
      </c>
      <c r="L274" s="241" t="e">
        <f t="shared" ca="1" si="249"/>
        <v>#N/A</v>
      </c>
      <c r="M274" s="243" t="e">
        <f ca="1">IF(AND(INDEX(FlowCalConstA,MATCH(J260,FlowCalNumber,0),1,1)*L274^INDEX(FlowCalConstB,MATCH(J260,FlowCalNumber,0),1,1)&gt;INDEX(FlowCalLowSetting,MATCH(J260,FlowCalNumber,0),1,1), (INDEX(FlowCalConstA,MATCH(J260,FlowCalNumber,0),1,1)*L274^INDEX(FlowCalConstB,MATCH(J260,FlowCalNumber,0),1,1)&lt;INDEX(FlowCalHighSetting,MATCH(J260,FlowCalNumber,0),1,1))),INDEX(FlowCalConstA,MATCH(J260,FlowCalNumber,0),1,1)*L274^INDEX(FlowCalConstB,MATCH(J260,FlowCalNumber,0),1,1)," ")</f>
        <v>#N/A</v>
      </c>
      <c r="N274" s="33"/>
      <c r="O274" s="242">
        <f t="shared" si="250"/>
        <v>1</v>
      </c>
      <c r="P274" s="241" t="e">
        <f t="shared" ca="1" si="251"/>
        <v>#N/A</v>
      </c>
      <c r="Q274" s="243" t="e">
        <f ca="1">IF(AND(INDEX(FlowCalConstA,MATCH(N260,FlowCalNumber,0),1,1)*P274^INDEX(FlowCalConstB,MATCH(N260,FlowCalNumber,0),1,1)&gt;INDEX(FlowCalLowSetting,MATCH(N260,FlowCalNumber,0),1,1), (INDEX(FlowCalConstA,MATCH(N260,FlowCalNumber,0),1,1)*P274^INDEX(FlowCalConstB,MATCH(N260,FlowCalNumber,0),1,1)&lt;INDEX(FlowCalHighSetting,MATCH(N260,FlowCalNumber,0),1,1))),INDEX(FlowCalConstA,MATCH(N260,FlowCalNumber,0),1,1)*P274^INDEX(FlowCalConstB,MATCH(N260,FlowCalNumber,0),1,1)," ")</f>
        <v>#N/A</v>
      </c>
      <c r="R274" s="33"/>
      <c r="S274" s="242">
        <f t="shared" si="252"/>
        <v>1</v>
      </c>
      <c r="T274" s="241" t="e">
        <f t="shared" ca="1" si="253"/>
        <v>#N/A</v>
      </c>
      <c r="U274" s="244" t="e">
        <f ca="1">IF(AND(INDEX(FlowCalConstA,MATCH(R260,FlowCalNumber,0),1,1)*T274^INDEX(FlowCalConstB,MATCH(R260,FlowCalNumber,0),1,1)&gt;INDEX(FlowCalLowSetting,MATCH(R260,FlowCalNumber,0),1,1), (INDEX(FlowCalConstA,MATCH(R260,FlowCalNumber,0),1,1)*T274^INDEX(FlowCalConstB,MATCH(R260,FlowCalNumber,0),1,1)&lt;INDEX(FlowCalHighSetting,MATCH(R260,FlowCalNumber,0),1,1))),INDEX(FlowCalConstA,MATCH(R260,FlowCalNumber,0),1,1)*T274^INDEX(FlowCalConstB,MATCH(R260,FlowCalNumber,0),1,1)," ")</f>
        <v>#N/A</v>
      </c>
      <c r="V274" s="33"/>
      <c r="W274" s="242">
        <f t="shared" si="254"/>
        <v>0.1</v>
      </c>
      <c r="X274" s="241" t="e">
        <f t="shared" ca="1" si="255"/>
        <v>#N/A</v>
      </c>
      <c r="Y274" s="243" t="e">
        <f ca="1">IF(AND(INDEX(FlowCalConstA,MATCH(V260,FlowCalNumber,0),1,1)*X274^INDEX(FlowCalConstB,MATCH(V260,FlowCalNumber,0),1,1)&gt;INDEX(FlowCalLowSetting,MATCH(V260,FlowCalNumber,0),1,1), (INDEX(FlowCalConstA,MATCH(V260,FlowCalNumber,0),1,1)*X274^INDEX(FlowCalConstB,MATCH(V260,FlowCalNumber,0),1,1)&lt;INDEX(FlowCalHighSetting,MATCH(V260,FlowCalNumber,0),1,1))),INDEX(FlowCalConstA,MATCH(V260,FlowCalNumber,0),1,1)*X274^INDEX(FlowCalConstB,MATCH(V260,FlowCalNumber,0),1,1)," ")</f>
        <v>#N/A</v>
      </c>
      <c r="Z274" s="33"/>
      <c r="AA274" s="242">
        <f t="shared" si="256"/>
        <v>0.9</v>
      </c>
      <c r="AB274" s="241" t="e">
        <f t="shared" ca="1" si="257"/>
        <v>#N/A</v>
      </c>
      <c r="AC274" s="243" t="e">
        <f ca="1">IF(AND(INDEX(FlowCalConstA,MATCH(Z260,FlowCalNumber,0),1,1)*AB274^INDEX(FlowCalConstB,MATCH(Z260,FlowCalNumber,0),1,1)&gt;INDEX(FlowCalLowSetting,MATCH(Z260,FlowCalNumber,0),1,1), (INDEX(FlowCalConstA,MATCH(Z260,FlowCalNumber,0),1,1)*AB274^INDEX(FlowCalConstB,MATCH(Z260,FlowCalNumber,0),1,1)&lt;INDEX(FlowCalHighSetting,MATCH(Z260,FlowCalNumber,0),1,1))),INDEX(FlowCalConstA,MATCH(Z260,FlowCalNumber,0),1,1)*AB274^INDEX(FlowCalConstB,MATCH(Z260,FlowCalNumber,0),1,1)," ")</f>
        <v>#N/A</v>
      </c>
      <c r="AD274" s="33"/>
      <c r="AE274" s="242">
        <f t="shared" si="258"/>
        <v>0.1</v>
      </c>
      <c r="AF274" s="241" t="e">
        <f t="shared" ca="1" si="259"/>
        <v>#N/A</v>
      </c>
      <c r="AG274" s="243" t="e">
        <f ca="1">IF(AND(INDEX(FlowCalConstA,MATCH(AD260,FlowCalNumber,0),1,1)*AF274^INDEX(FlowCalConstB,MATCH(AD260,FlowCalNumber,0),1,1)&gt;INDEX(FlowCalLowSetting,MATCH(AD260,FlowCalNumber,0),1,1), (INDEX(FlowCalConstA,MATCH(AD260,FlowCalNumber,0),1,1)*AF274^INDEX(FlowCalConstB,MATCH(AD260,FlowCalNumber,0),1,1)&lt;INDEX(FlowCalHighSetting,MATCH(AD260,FlowCalNumber,0),1,1))),INDEX(FlowCalConstA,MATCH(AD260,FlowCalNumber,0),1,1)*AF274^INDEX(FlowCalConstB,MATCH(AD260,FlowCalNumber,0),1,1)," ")</f>
        <v>#N/A</v>
      </c>
      <c r="AH274" s="33"/>
      <c r="AI274" s="242">
        <f t="shared" si="260"/>
        <v>0.9</v>
      </c>
      <c r="AJ274" s="241" t="e">
        <f t="shared" ca="1" si="261"/>
        <v>#N/A</v>
      </c>
      <c r="AK274" s="243" t="e">
        <f ca="1">IF(AND(INDEX(FlowCalConstA,MATCH(AH260,FlowCalNumber,0),1,1)*AJ274^INDEX(FlowCalConstB,MATCH(AH260,FlowCalNumber,0),1,1)&gt;INDEX(FlowCalLowSetting,MATCH(AH260,FlowCalNumber,0),1,1), (INDEX(FlowCalConstA,MATCH(AH260,FlowCalNumber,0),1,1)*AJ274^INDEX(FlowCalConstB,MATCH(AH260,FlowCalNumber,0),1,1)&lt;INDEX(FlowCalHighSetting,MATCH(AH260,FlowCalNumber,0),1,1))),INDEX(FlowCalConstA,MATCH(AH260,FlowCalNumber,0),1,1)*AJ274^INDEX(FlowCalConstB,MATCH(AH260,FlowCalNumber,0),1,1)," ")</f>
        <v>#N/A</v>
      </c>
      <c r="AL274" s="33"/>
      <c r="AM274" s="242"/>
      <c r="AN274" s="241"/>
      <c r="AO274" s="244"/>
      <c r="AQ274" s="242"/>
      <c r="AR274" s="241"/>
      <c r="AS274" s="244"/>
      <c r="AT274" s="33"/>
      <c r="AU274" s="242"/>
      <c r="AV274" s="241"/>
      <c r="AW274" s="244"/>
      <c r="AX274" s="33"/>
      <c r="AY274" s="242"/>
      <c r="AZ274" s="241"/>
      <c r="BA274" s="244"/>
      <c r="BB274" s="33"/>
      <c r="BC274" s="242"/>
      <c r="BD274" s="241"/>
      <c r="BE274" s="244"/>
      <c r="BF274" s="33"/>
      <c r="BG274" s="242"/>
      <c r="BH274" s="241"/>
      <c r="BI274" s="244"/>
      <c r="BJ274" s="33"/>
      <c r="BK274" s="242"/>
      <c r="BL274" s="241"/>
      <c r="BM274" s="244"/>
      <c r="BN274" s="33"/>
      <c r="BO274" s="242"/>
      <c r="BP274" s="241"/>
      <c r="BQ274" s="244"/>
      <c r="BR274" s="33"/>
      <c r="BS274" s="242"/>
      <c r="BT274" s="241"/>
      <c r="BU274" s="244"/>
      <c r="BV274" s="33"/>
      <c r="BW274" s="242"/>
      <c r="BX274" s="241"/>
      <c r="BY274" s="244"/>
      <c r="BZ274" s="33"/>
      <c r="CA274" s="242"/>
      <c r="CB274" s="241"/>
      <c r="CC274" s="244"/>
      <c r="CD274" s="243"/>
      <c r="CE274" s="243"/>
      <c r="CF274" s="243"/>
      <c r="CG274" s="243"/>
      <c r="CH274" s="243"/>
      <c r="CI274" s="243"/>
      <c r="CJ274" s="243"/>
      <c r="CK274" s="243"/>
      <c r="CL274" s="243"/>
      <c r="CM274" s="243"/>
      <c r="CN274" s="243"/>
      <c r="CO274" s="243"/>
      <c r="CP274" s="243"/>
      <c r="CQ274" s="243"/>
      <c r="CR274" s="243"/>
      <c r="CS274" s="243"/>
      <c r="CT274" s="243"/>
      <c r="CU274" s="243"/>
      <c r="CV274" s="243"/>
      <c r="CW274" s="243"/>
      <c r="CX274" s="243"/>
      <c r="CY274" s="243"/>
      <c r="CZ274" s="243"/>
      <c r="DA274" s="243"/>
      <c r="DB274" s="243"/>
      <c r="DC274" s="243"/>
      <c r="DD274" s="243"/>
      <c r="DE274" s="243"/>
      <c r="DF274" s="243"/>
      <c r="DG274" s="243"/>
      <c r="DH274" s="243"/>
      <c r="DI274" s="243"/>
      <c r="DJ274" s="243"/>
      <c r="DK274" s="243"/>
      <c r="DM274" s="242"/>
      <c r="DO274" s="243"/>
      <c r="DQ274" s="242"/>
      <c r="DS274" s="243"/>
      <c r="DU274" s="242"/>
      <c r="DW274" s="243"/>
      <c r="DY274" s="242"/>
      <c r="EA274" s="243"/>
    </row>
    <row r="275" spans="1:131">
      <c r="A275" s="20"/>
      <c r="B275" s="124" t="str">
        <f t="shared" si="246"/>
        <v/>
      </c>
      <c r="C275" s="235"/>
      <c r="D275" s="24">
        <f>'1% Wind'!$M$96</f>
        <v>1</v>
      </c>
      <c r="E275" s="90"/>
      <c r="F275" s="90"/>
      <c r="G275" s="79" t="e">
        <f ca="1">IF(I260=0.9743,$G274,MAX(G274/D274*D275,2))</f>
        <v>#N/A</v>
      </c>
      <c r="H275" s="121" t="e">
        <f t="shared" ca="1" si="247"/>
        <v>#N/A</v>
      </c>
      <c r="J275" s="33"/>
      <c r="K275" s="242">
        <f t="shared" si="248"/>
        <v>1</v>
      </c>
      <c r="L275" s="241" t="e">
        <f t="shared" ca="1" si="249"/>
        <v>#N/A</v>
      </c>
      <c r="M275" s="243" t="e">
        <f ca="1">IF(AND(INDEX(FlowCalConstA,MATCH(J260,FlowCalNumber,0),1,1)*L275^INDEX(FlowCalConstB,MATCH(J260,FlowCalNumber,0),1,1)&gt;INDEX(FlowCalLowSetting,MATCH(J260,FlowCalNumber,0),1,1), (INDEX(FlowCalConstA,MATCH(J260,FlowCalNumber,0),1,1)*L275^INDEX(FlowCalConstB,MATCH(J260,FlowCalNumber,0),1,1)&lt;INDEX(FlowCalHighSetting,MATCH(J260,FlowCalNumber,0),1,1))),INDEX(FlowCalConstA,MATCH(J260,FlowCalNumber,0),1,1)*L275^INDEX(FlowCalConstB,MATCH(J260,FlowCalNumber,0),1,1)," ")</f>
        <v>#N/A</v>
      </c>
      <c r="N275" s="33"/>
      <c r="O275" s="242">
        <f t="shared" si="250"/>
        <v>1</v>
      </c>
      <c r="P275" s="241" t="e">
        <f t="shared" ca="1" si="251"/>
        <v>#N/A</v>
      </c>
      <c r="Q275" s="243" t="e">
        <f ca="1">IF(AND(INDEX(FlowCalConstA,MATCH(N260,FlowCalNumber,0),1,1)*P275^INDEX(FlowCalConstB,MATCH(N260,FlowCalNumber,0),1,1)&gt;INDEX(FlowCalLowSetting,MATCH(N260,FlowCalNumber,0),1,1), (INDEX(FlowCalConstA,MATCH(N260,FlowCalNumber,0),1,1)*P275^INDEX(FlowCalConstB,MATCH(N260,FlowCalNumber,0),1,1)&lt;INDEX(FlowCalHighSetting,MATCH(N260,FlowCalNumber,0),1,1))),INDEX(FlowCalConstA,MATCH(N260,FlowCalNumber,0),1,1)*P275^INDEX(FlowCalConstB,MATCH(N260,FlowCalNumber,0),1,1)," ")</f>
        <v>#N/A</v>
      </c>
      <c r="R275" s="33"/>
      <c r="S275" s="242">
        <f t="shared" si="252"/>
        <v>1</v>
      </c>
      <c r="T275" s="241" t="e">
        <f t="shared" ca="1" si="253"/>
        <v>#N/A</v>
      </c>
      <c r="U275" s="244" t="e">
        <f ca="1">IF(AND(INDEX(FlowCalConstA,MATCH(R260,FlowCalNumber,0),1,1)*T275^INDEX(FlowCalConstB,MATCH(R260,FlowCalNumber,0),1,1)&gt;INDEX(FlowCalLowSetting,MATCH(R260,FlowCalNumber,0),1,1), (INDEX(FlowCalConstA,MATCH(R260,FlowCalNumber,0),1,1)*T275^INDEX(FlowCalConstB,MATCH(R260,FlowCalNumber,0),1,1)&lt;INDEX(FlowCalHighSetting,MATCH(R260,FlowCalNumber,0),1,1))),INDEX(FlowCalConstA,MATCH(R260,FlowCalNumber,0),1,1)*T275^INDEX(FlowCalConstB,MATCH(R260,FlowCalNumber,0),1,1)," ")</f>
        <v>#N/A</v>
      </c>
      <c r="V275" s="33"/>
      <c r="W275" s="242">
        <f t="shared" si="254"/>
        <v>0.1</v>
      </c>
      <c r="X275" s="241" t="e">
        <f t="shared" ca="1" si="255"/>
        <v>#N/A</v>
      </c>
      <c r="Y275" s="243" t="e">
        <f ca="1">IF(AND(INDEX(FlowCalConstA,MATCH(V260,FlowCalNumber,0),1,1)*X275^INDEX(FlowCalConstB,MATCH(V260,FlowCalNumber,0),1,1)&gt;INDEX(FlowCalLowSetting,MATCH(V260,FlowCalNumber,0),1,1), (INDEX(FlowCalConstA,MATCH(V260,FlowCalNumber,0),1,1)*X275^INDEX(FlowCalConstB,MATCH(V260,FlowCalNumber,0),1,1)&lt;INDEX(FlowCalHighSetting,MATCH(V260,FlowCalNumber,0),1,1))),INDEX(FlowCalConstA,MATCH(V260,FlowCalNumber,0),1,1)*X275^INDEX(FlowCalConstB,MATCH(V260,FlowCalNumber,0),1,1)," ")</f>
        <v>#N/A</v>
      </c>
      <c r="Z275" s="33"/>
      <c r="AA275" s="242">
        <f t="shared" si="256"/>
        <v>0.9</v>
      </c>
      <c r="AB275" s="241" t="e">
        <f t="shared" ca="1" si="257"/>
        <v>#N/A</v>
      </c>
      <c r="AC275" s="243" t="e">
        <f ca="1">IF(AND(INDEX(FlowCalConstA,MATCH(Z260,FlowCalNumber,0),1,1)*AB275^INDEX(FlowCalConstB,MATCH(Z260,FlowCalNumber,0),1,1)&gt;INDEX(FlowCalLowSetting,MATCH(Z260,FlowCalNumber,0),1,1), (INDEX(FlowCalConstA,MATCH(Z260,FlowCalNumber,0),1,1)*AB275^INDEX(FlowCalConstB,MATCH(Z260,FlowCalNumber,0),1,1)&lt;INDEX(FlowCalHighSetting,MATCH(Z260,FlowCalNumber,0),1,1))),INDEX(FlowCalConstA,MATCH(Z260,FlowCalNumber,0),1,1)*AB275^INDEX(FlowCalConstB,MATCH(Z260,FlowCalNumber,0),1,1)," ")</f>
        <v>#N/A</v>
      </c>
      <c r="AD275" s="33"/>
      <c r="AE275" s="242">
        <f t="shared" si="258"/>
        <v>0.1</v>
      </c>
      <c r="AF275" s="241" t="e">
        <f t="shared" ca="1" si="259"/>
        <v>#N/A</v>
      </c>
      <c r="AG275" s="243" t="e">
        <f ca="1">IF(AND(INDEX(FlowCalConstA,MATCH(AD260,FlowCalNumber,0),1,1)*AF275^INDEX(FlowCalConstB,MATCH(AD260,FlowCalNumber,0),1,1)&gt;INDEX(FlowCalLowSetting,MATCH(AD260,FlowCalNumber,0),1,1), (INDEX(FlowCalConstA,MATCH(AD260,FlowCalNumber,0),1,1)*AF275^INDEX(FlowCalConstB,MATCH(AD260,FlowCalNumber,0),1,1)&lt;INDEX(FlowCalHighSetting,MATCH(AD260,FlowCalNumber,0),1,1))),INDEX(FlowCalConstA,MATCH(AD260,FlowCalNumber,0),1,1)*AF275^INDEX(FlowCalConstB,MATCH(AD260,FlowCalNumber,0),1,1)," ")</f>
        <v>#N/A</v>
      </c>
      <c r="AH275" s="33"/>
      <c r="AI275" s="242">
        <f t="shared" si="260"/>
        <v>0.9</v>
      </c>
      <c r="AJ275" s="241" t="e">
        <f t="shared" ca="1" si="261"/>
        <v>#N/A</v>
      </c>
      <c r="AK275" s="243" t="e">
        <f ca="1">IF(AND(INDEX(FlowCalConstA,MATCH(AH260,FlowCalNumber,0),1,1)*AJ275^INDEX(FlowCalConstB,MATCH(AH260,FlowCalNumber,0),1,1)&gt;INDEX(FlowCalLowSetting,MATCH(AH260,FlowCalNumber,0),1,1), (INDEX(FlowCalConstA,MATCH(AH260,FlowCalNumber,0),1,1)*AJ275^INDEX(FlowCalConstB,MATCH(AH260,FlowCalNumber,0),1,1)&lt;INDEX(FlowCalHighSetting,MATCH(AH260,FlowCalNumber,0),1,1))),INDEX(FlowCalConstA,MATCH(AH260,FlowCalNumber,0),1,1)*AJ275^INDEX(FlowCalConstB,MATCH(AH260,FlowCalNumber,0),1,1)," ")</f>
        <v>#N/A</v>
      </c>
      <c r="AL275" s="33"/>
      <c r="AM275" s="242"/>
      <c r="AN275" s="241"/>
      <c r="AO275" s="244"/>
      <c r="AQ275" s="242"/>
      <c r="AR275" s="241"/>
      <c r="AS275" s="244"/>
      <c r="AT275" s="33"/>
      <c r="AU275" s="242"/>
      <c r="AV275" s="241"/>
      <c r="AW275" s="244"/>
      <c r="AX275" s="33"/>
      <c r="AY275" s="242"/>
      <c r="AZ275" s="241"/>
      <c r="BA275" s="244"/>
      <c r="BB275" s="33"/>
      <c r="BC275" s="242"/>
      <c r="BD275" s="241"/>
      <c r="BE275" s="244"/>
      <c r="BF275" s="33"/>
      <c r="BG275" s="242"/>
      <c r="BH275" s="241"/>
      <c r="BI275" s="244"/>
      <c r="BJ275" s="33"/>
      <c r="BK275" s="242"/>
      <c r="BL275" s="241"/>
      <c r="BM275" s="244"/>
      <c r="BN275" s="33"/>
      <c r="BO275" s="242"/>
      <c r="BP275" s="241"/>
      <c r="BQ275" s="244"/>
      <c r="BR275" s="33"/>
      <c r="BS275" s="242"/>
      <c r="BT275" s="241"/>
      <c r="BU275" s="244"/>
      <c r="BV275" s="33"/>
      <c r="BW275" s="242"/>
      <c r="BX275" s="241"/>
      <c r="BY275" s="244"/>
      <c r="BZ275" s="33"/>
      <c r="CA275" s="242"/>
      <c r="CB275" s="241"/>
      <c r="CC275" s="244"/>
      <c r="CD275" s="243"/>
      <c r="CE275" s="243"/>
      <c r="CF275" s="243"/>
      <c r="CG275" s="243"/>
      <c r="CH275" s="243"/>
      <c r="CI275" s="243"/>
      <c r="CJ275" s="243"/>
      <c r="CK275" s="243"/>
      <c r="CL275" s="243"/>
      <c r="CM275" s="243"/>
      <c r="CN275" s="243"/>
      <c r="CO275" s="243"/>
      <c r="CP275" s="243"/>
      <c r="CQ275" s="243"/>
      <c r="CR275" s="243"/>
      <c r="CS275" s="243"/>
      <c r="CT275" s="243"/>
      <c r="CU275" s="243"/>
      <c r="CV275" s="243"/>
      <c r="CW275" s="243"/>
      <c r="CX275" s="243"/>
      <c r="CY275" s="243"/>
      <c r="CZ275" s="243"/>
      <c r="DA275" s="243"/>
      <c r="DB275" s="243"/>
      <c r="DC275" s="243"/>
      <c r="DD275" s="243"/>
      <c r="DE275" s="243"/>
      <c r="DF275" s="243"/>
      <c r="DG275" s="243"/>
      <c r="DH275" s="243"/>
      <c r="DI275" s="243"/>
      <c r="DJ275" s="243"/>
      <c r="DK275" s="243"/>
      <c r="DM275" s="242"/>
      <c r="DO275" s="243"/>
      <c r="DQ275" s="242"/>
      <c r="DS275" s="243"/>
      <c r="DU275" s="242"/>
      <c r="DW275" s="243"/>
      <c r="DY275" s="242"/>
      <c r="EA275" s="243"/>
    </row>
    <row r="276" spans="1:131">
      <c r="A276" s="33"/>
      <c r="B276" s="33"/>
      <c r="C276" s="235"/>
      <c r="E276" s="90"/>
      <c r="F276" s="90"/>
      <c r="G276" s="33"/>
      <c r="J276" s="33"/>
      <c r="N276" s="33"/>
      <c r="Q276" s="243"/>
      <c r="R276" s="33"/>
      <c r="U276" s="244"/>
      <c r="V276" s="33"/>
      <c r="Y276" s="243"/>
      <c r="Z276" s="33"/>
      <c r="AC276" s="243"/>
      <c r="AD276" s="33"/>
      <c r="AG276" s="243"/>
      <c r="AH276" s="33"/>
      <c r="AK276" s="244"/>
      <c r="AL276" s="792"/>
      <c r="AM276" s="243"/>
      <c r="AN276" s="243"/>
      <c r="AO276" s="244"/>
      <c r="AP276" s="243"/>
      <c r="AQ276" s="243"/>
      <c r="AR276" s="243"/>
      <c r="AS276" s="244"/>
      <c r="AT276" s="243"/>
      <c r="AU276" s="243"/>
      <c r="AV276" s="243"/>
      <c r="AW276" s="244"/>
      <c r="AX276" s="243"/>
      <c r="AY276" s="243"/>
      <c r="AZ276" s="243"/>
      <c r="BA276" s="244"/>
      <c r="BB276" s="33"/>
      <c r="BE276" s="244"/>
      <c r="BF276" s="33"/>
      <c r="BI276" s="244"/>
      <c r="BJ276" s="33"/>
      <c r="BM276" s="244"/>
      <c r="BN276" s="243"/>
      <c r="BO276" s="243"/>
      <c r="BP276" s="243"/>
      <c r="BQ276" s="244"/>
      <c r="BR276" s="792"/>
      <c r="BS276" s="243"/>
      <c r="BT276" s="243"/>
      <c r="BU276" s="244"/>
      <c r="BV276" s="792"/>
      <c r="BW276" s="243"/>
      <c r="BX276" s="243"/>
      <c r="BY276" s="244"/>
      <c r="BZ276" s="792"/>
      <c r="CA276" s="243"/>
      <c r="CB276" s="243"/>
      <c r="CC276" s="244"/>
      <c r="CD276" s="243"/>
      <c r="CE276" s="243"/>
      <c r="CF276" s="243"/>
      <c r="CG276" s="243"/>
      <c r="CH276" s="243"/>
      <c r="CI276" s="243"/>
      <c r="CJ276" s="243"/>
      <c r="CK276" s="243"/>
      <c r="CL276" s="243"/>
      <c r="CM276" s="243"/>
      <c r="CN276" s="243"/>
      <c r="CO276" s="243"/>
      <c r="CP276" s="243"/>
      <c r="CQ276" s="243"/>
      <c r="CR276" s="243"/>
      <c r="CS276" s="243"/>
      <c r="CT276" s="243"/>
      <c r="CU276" s="243"/>
      <c r="CV276" s="243"/>
      <c r="CW276" s="243"/>
      <c r="CX276" s="243"/>
      <c r="CY276" s="243"/>
      <c r="CZ276" s="243"/>
      <c r="DA276" s="243"/>
      <c r="DB276" s="243"/>
      <c r="DC276" s="243"/>
      <c r="DD276" s="243"/>
      <c r="DE276" s="243"/>
      <c r="DF276" s="243"/>
      <c r="DG276" s="243"/>
      <c r="DH276" s="243"/>
      <c r="DI276" s="243"/>
      <c r="DJ276" s="243"/>
      <c r="DK276" s="243"/>
      <c r="DO276" s="243"/>
      <c r="DS276" s="243"/>
      <c r="DW276" s="243"/>
      <c r="EA276" s="243"/>
    </row>
    <row r="277" spans="1:131">
      <c r="A277" s="256" t="str">
        <f>IF((RIGHT(A260,1))&lt;&gt;"Z",CHAR(CODE(A260))&amp;CHAR(CODE(RIGHT(A260,1))+1),CHAR(CODE(A260)+1)&amp;"A")</f>
        <v>AP</v>
      </c>
      <c r="B277" s="270" t="e">
        <f>INDEX(SourceID,MATCH($A277,SourceNumber,0),1,1)</f>
        <v>#N/A</v>
      </c>
      <c r="C277" s="354" t="e">
        <f>INDEX(SourceExitDiameter,MATCH($A277,SourceNumber,0),1,1)*3.28*12</f>
        <v>#N/A</v>
      </c>
      <c r="D277" s="24" t="str">
        <f>UAnem1percent</f>
        <v>1% Wind</v>
      </c>
      <c r="E277" s="350" t="e">
        <f ca="1">INDIRECT(ADDRESS(53,6,1,,CONCATENATE("TA",$A277)))</f>
        <v>#REF!</v>
      </c>
      <c r="F277" s="625" t="e">
        <f ca="1">(ROUND((INDIRECT(ADDRESS(15,7,1,,CONCATENATE("TA",$A277)))*3.28*12*32),0)&amp;"/32")</f>
        <v>#REF!</v>
      </c>
      <c r="G277" s="125" t="e">
        <f ca="1">INDIRECT(ADDRESS(29,7,1,,$A277))</f>
        <v>#N/A</v>
      </c>
      <c r="H277" s="24" t="e">
        <f ca="1">INDIRECT(ADDRESS(19,7,1,,$A277))*100^3</f>
        <v>#N/A</v>
      </c>
      <c r="I277" s="941" t="e">
        <f ca="1">INDIRECT(ADDRESS(53,7,1,,$A277))</f>
        <v>#N/A</v>
      </c>
      <c r="J277" s="20" t="e">
        <f ca="1">IF($I277=$I$6,K$16&amp;$G$6&amp;J$6,IF($I277=$I$7,K$16&amp;$G$7&amp;J$7,"Bad"))</f>
        <v>#N/A</v>
      </c>
      <c r="K277" t="e">
        <f ca="1">INDEX(FlowCalGasMixture,MATCH(J277,FlowCalNumber,0),1,1)</f>
        <v>#N/A</v>
      </c>
      <c r="M277" s="944" t="e">
        <f ca="1">INDEX(FlowCalDevice,MATCH(J277,FlowCalNumber,0),1,1)</f>
        <v>#N/A</v>
      </c>
      <c r="N277" s="943" t="e">
        <f ca="1">IF($I277=$I$6,O$16&amp;$G$6&amp;"90"&amp;$H$6&amp;N$6,IF($I277=$I$7,O$16&amp;$G$7&amp;"90"&amp;$H$7&amp;N$7,"Bad"))</f>
        <v>#N/A</v>
      </c>
      <c r="O277" t="e">
        <f ca="1">INDEX(FlowCalGasMixture,MATCH(N277,FlowCalNumber,0),1,1)</f>
        <v>#N/A</v>
      </c>
      <c r="Q277" s="944" t="e">
        <f ca="1">INDEX(FlowCalDevice,MATCH(N277,FlowCalNumber,0),1,1)</f>
        <v>#N/A</v>
      </c>
      <c r="R277" s="943" t="e">
        <f ca="1">IF($I277=$I$6,S$16&amp;$G$6&amp;"90"&amp;$H$6&amp;R$6,IF($I277=$I$7,S$16&amp;$G$7&amp;"90"&amp;$H$7&amp;R$7,"Bad"))</f>
        <v>#N/A</v>
      </c>
      <c r="S277" t="e">
        <f ca="1">INDEX(FlowCalGasMixture,MATCH(R277,FlowCalNumber,0),1,1)</f>
        <v>#N/A</v>
      </c>
      <c r="U277" s="944" t="e">
        <f ca="1">INDEX(FlowCalDevice,MATCH(R277,FlowCalNumber,0),1,1)</f>
        <v>#N/A</v>
      </c>
      <c r="V277" s="20" t="e">
        <f ca="1">IF($I277=$I$6,W$16&amp;$G$6&amp;V$6,IF($I277=$I$7,W$16&amp;$G$7&amp;V$7,"Bad"))</f>
        <v>#N/A</v>
      </c>
      <c r="W277" t="e">
        <f ca="1">INDEX(FlowCalGasMixture,MATCH(V277,FlowCalNumber,0),1,1)</f>
        <v>#N/A</v>
      </c>
      <c r="Y277" s="944" t="e">
        <f ca="1">INDEX(FlowCalDevice,MATCH(V277,FlowCalNumber,0),1,1)</f>
        <v>#N/A</v>
      </c>
      <c r="Z277" s="946" t="e">
        <f ca="1">IF($I277=$I$6,AA$18&amp;$H$6&amp;Z$6,IF($I277=$I$7,AA$18&amp;$H$7&amp;Z$7,"Bad"))</f>
        <v>#N/A</v>
      </c>
      <c r="AA277" t="e">
        <f ca="1">INDEX(FlowCalGasMixture,MATCH(Z277,FlowCalNumber,0),1,1)</f>
        <v>#N/A</v>
      </c>
      <c r="AC277" s="944" t="e">
        <f ca="1">INDEX(FlowCalDevice,MATCH(Z277,FlowCalNumber,0),1,1)</f>
        <v>#N/A</v>
      </c>
      <c r="AD277" s="20" t="e">
        <f ca="1">IF($I277=$I$6,AE$16&amp;$G$6&amp;AD$6,IF($I277=$I$7,AE$16&amp;$G$7&amp;AD$7,"Bad"))</f>
        <v>#N/A</v>
      </c>
      <c r="AE277" t="e">
        <f ca="1">INDEX(FlowCalGasMixture,MATCH(AD277,FlowCalNumber,0),1,1)</f>
        <v>#N/A</v>
      </c>
      <c r="AG277" s="944" t="e">
        <f ca="1">INDEX(FlowCalDevice,MATCH(AD277,FlowCalNumber,0),1,1)</f>
        <v>#N/A</v>
      </c>
      <c r="AH277" s="946" t="e">
        <f ca="1">IF($I277=$I$6,AI$18&amp;$H$6&amp;AH$6,IF($I277=$I$7,AI$18&amp;$H$7&amp;AH$7,"Bad"))</f>
        <v>#N/A</v>
      </c>
      <c r="AI277" t="e">
        <f ca="1">INDEX(FlowCalGasMixture,MATCH(AH277,FlowCalNumber,0),1,1)</f>
        <v>#N/A</v>
      </c>
      <c r="AK277" s="944" t="e">
        <f ca="1">INDEX(FlowCalDevice,MATCH(AH277,FlowCalNumber,0),1,1)</f>
        <v>#N/A</v>
      </c>
      <c r="AL277" s="20"/>
      <c r="AO277" s="982"/>
      <c r="AP277" s="960"/>
      <c r="AS277" s="982"/>
      <c r="AT277" s="20"/>
      <c r="AW277" s="982"/>
      <c r="AX277" s="946"/>
      <c r="BA277" s="982"/>
      <c r="BB277" s="20"/>
      <c r="BC277" s="16"/>
      <c r="BE277" s="982"/>
      <c r="BF277" s="946"/>
      <c r="BG277" s="16"/>
      <c r="BI277" s="982"/>
      <c r="BJ277" s="946"/>
      <c r="BK277" s="16"/>
      <c r="BM277" s="982"/>
      <c r="BN277" s="20"/>
      <c r="BO277" s="16"/>
      <c r="BQ277" s="982"/>
      <c r="BR277" s="946"/>
      <c r="BS277" s="16"/>
      <c r="BU277" s="982"/>
      <c r="BV277" s="946"/>
      <c r="BW277" s="16"/>
      <c r="BY277" s="982"/>
      <c r="BZ277" s="946"/>
      <c r="CA277" s="16"/>
      <c r="CC277" s="982"/>
      <c r="CD277" s="355"/>
      <c r="CE277" s="355"/>
      <c r="CF277" s="355"/>
      <c r="CG277" s="355"/>
      <c r="CH277" s="355"/>
      <c r="CI277" s="355"/>
      <c r="CJ277" s="355"/>
      <c r="CK277" s="355"/>
      <c r="CL277" s="355"/>
      <c r="CM277" s="355"/>
      <c r="CN277" s="355"/>
      <c r="CO277" s="355"/>
      <c r="CP277" s="355"/>
      <c r="CQ277" s="355"/>
      <c r="CR277" s="355"/>
      <c r="CS277" s="355"/>
      <c r="CT277" s="355"/>
      <c r="CU277" s="355"/>
      <c r="CV277" s="355"/>
      <c r="CW277" s="355"/>
      <c r="CX277" s="355"/>
      <c r="CY277" s="355"/>
      <c r="CZ277" s="355"/>
      <c r="DA277" s="355"/>
      <c r="DB277" s="355"/>
      <c r="DC277" s="355"/>
      <c r="DD277" s="355"/>
      <c r="DE277" s="355"/>
      <c r="DF277" s="355"/>
      <c r="DG277" s="355"/>
      <c r="DH277" s="355"/>
      <c r="DI277" s="355"/>
      <c r="DJ277" s="355"/>
      <c r="DK277" s="355"/>
      <c r="DL277" s="46"/>
      <c r="DM277" s="16"/>
      <c r="DO277" s="355"/>
      <c r="DP277" s="42"/>
      <c r="DQ277" s="16"/>
      <c r="DS277" s="355"/>
      <c r="DT277" s="42"/>
      <c r="DU277" s="16"/>
      <c r="DW277" s="355"/>
      <c r="DX277" s="42"/>
      <c r="DY277" s="16"/>
      <c r="EA277" s="355"/>
    </row>
    <row r="278" spans="1:131">
      <c r="A278" s="20"/>
      <c r="B278" s="124" t="str">
        <f t="shared" ref="B278:B292" si="262">IF(D278=UAnem1percent,"1% Wind","")</f>
        <v/>
      </c>
      <c r="C278" s="235"/>
      <c r="D278" s="24">
        <f>'1% Wind'!$M$82</f>
        <v>27</v>
      </c>
      <c r="E278" s="90"/>
      <c r="F278" s="90"/>
      <c r="G278" s="79" t="e">
        <f ca="1">IF(I277=0.9743,$G277,MAX(G277/D277*D278,2))</f>
        <v>#N/A</v>
      </c>
      <c r="H278" s="121" t="e">
        <f t="shared" ref="H278:H292" ca="1" si="263">H277*(D277/D278)*(G278/G277)</f>
        <v>#N/A</v>
      </c>
      <c r="J278" s="33"/>
      <c r="K278" s="260">
        <f>K$17/100</f>
        <v>1</v>
      </c>
      <c r="L278" s="241" t="e">
        <f ca="1">K278*$H278</f>
        <v>#N/A</v>
      </c>
      <c r="M278" s="243" t="e">
        <f ca="1">IF(AND(INDEX(FlowCalConstA,MATCH(J277,FlowCalNumber,0),1,1)*L278^INDEX(FlowCalConstB,MATCH(J277,FlowCalNumber,0),1,1)&gt;INDEX(FlowCalLowSetting,MATCH(J277,FlowCalNumber,0),1,1), (INDEX(FlowCalConstA,MATCH(J277,FlowCalNumber,0),1,1)*L278^INDEX(FlowCalConstB,MATCH(J277,FlowCalNumber,0),1,1)&lt;INDEX(FlowCalHighSetting,MATCH(J277,FlowCalNumber,0),1,1))),INDEX(FlowCalConstA,MATCH(J277,FlowCalNumber,0),1,1)*L278^INDEX(FlowCalConstB,MATCH(J277,FlowCalNumber,0),1,1)," ")</f>
        <v>#N/A</v>
      </c>
      <c r="N278" s="33"/>
      <c r="O278" s="260">
        <f>O$17/100</f>
        <v>1</v>
      </c>
      <c r="P278" s="241" t="e">
        <f ca="1">O278*$H278</f>
        <v>#N/A</v>
      </c>
      <c r="Q278" s="243" t="e">
        <f ca="1">IF(AND(INDEX(FlowCalConstA,MATCH(N277,FlowCalNumber,0),1,1)*P278^INDEX(FlowCalConstB,MATCH(N277,FlowCalNumber,0),1,1)&gt;INDEX(FlowCalLowSetting,MATCH(N277,FlowCalNumber,0),1,1), (INDEX(FlowCalConstA,MATCH(N277,FlowCalNumber,0),1,1)*P278^INDEX(FlowCalConstB,MATCH(N277,FlowCalNumber,0),1,1)&lt;INDEX(FlowCalHighSetting,MATCH(N277,FlowCalNumber,0),1,1))),INDEX(FlowCalConstA,MATCH(N277,FlowCalNumber,0),1,1)*P278^INDEX(FlowCalConstB,MATCH(N277,FlowCalNumber,0),1,1)," ")</f>
        <v>#N/A</v>
      </c>
      <c r="R278" s="33"/>
      <c r="S278" s="260">
        <f>S$17/100</f>
        <v>1</v>
      </c>
      <c r="T278" s="241" t="e">
        <f ca="1">S278*$H278</f>
        <v>#N/A</v>
      </c>
      <c r="U278" s="244" t="e">
        <f ca="1">IF(AND(INDEX(FlowCalConstA,MATCH(R277,FlowCalNumber,0),1,1)*T278^INDEX(FlowCalConstB,MATCH(R277,FlowCalNumber,0),1,1)&gt;INDEX(FlowCalLowSetting,MATCH(R277,FlowCalNumber,0),1,1), (INDEX(FlowCalConstA,MATCH(R277,FlowCalNumber,0),1,1)*T278^INDEX(FlowCalConstB,MATCH(R277,FlowCalNumber,0),1,1)&lt;INDEX(FlowCalHighSetting,MATCH(R277,FlowCalNumber,0),1,1))),INDEX(FlowCalConstA,MATCH(R277,FlowCalNumber,0),1,1)*T278^INDEX(FlowCalConstB,MATCH(R277,FlowCalNumber,0),1,1)," ")</f>
        <v>#N/A</v>
      </c>
      <c r="V278" s="33"/>
      <c r="W278" s="260">
        <f>W$17/100</f>
        <v>0.1</v>
      </c>
      <c r="X278" s="241" t="e">
        <f ca="1">W278*$H278</f>
        <v>#N/A</v>
      </c>
      <c r="Y278" s="243" t="e">
        <f ca="1">IF(AND(INDEX(FlowCalConstA,MATCH(V277,FlowCalNumber,0),1,1)*X278^INDEX(FlowCalConstB,MATCH(V277,FlowCalNumber,0),1,1)&gt;INDEX(FlowCalLowSetting,MATCH(V277,FlowCalNumber,0),1,1), (INDEX(FlowCalConstA,MATCH(V277,FlowCalNumber,0),1,1)*X278^INDEX(FlowCalConstB,MATCH(V277,FlowCalNumber,0),1,1)&lt;INDEX(FlowCalHighSetting,MATCH(V277,FlowCalNumber,0),1,1))),INDEX(FlowCalConstA,MATCH(V277,FlowCalNumber,0),1,1)*X278^INDEX(FlowCalConstB,MATCH(V277,FlowCalNumber,0),1,1)," ")</f>
        <v>#N/A</v>
      </c>
      <c r="Z278" s="33"/>
      <c r="AA278" s="260">
        <f>AA$17/100</f>
        <v>0.9</v>
      </c>
      <c r="AB278" s="241" t="e">
        <f ca="1">AA278*$H278</f>
        <v>#N/A</v>
      </c>
      <c r="AC278" s="243" t="e">
        <f ca="1">IF(AND(INDEX(FlowCalConstA,MATCH(Z277,FlowCalNumber,0),1,1)*AB278^INDEX(FlowCalConstB,MATCH(Z277,FlowCalNumber,0),1,1)&gt;INDEX(FlowCalLowSetting,MATCH(Z277,FlowCalNumber,0),1,1), (INDEX(FlowCalConstA,MATCH(Z277,FlowCalNumber,0),1,1)*AB278^INDEX(FlowCalConstB,MATCH(Z277,FlowCalNumber,0),1,1)&lt;INDEX(FlowCalHighSetting,MATCH(Z277,FlowCalNumber,0),1,1))),INDEX(FlowCalConstA,MATCH(Z277,FlowCalNumber,0),1,1)*AB278^INDEX(FlowCalConstB,MATCH(Z277,FlowCalNumber,0),1,1)," ")</f>
        <v>#N/A</v>
      </c>
      <c r="AD278" s="33"/>
      <c r="AE278" s="260">
        <f>AE$17/100</f>
        <v>0.1</v>
      </c>
      <c r="AF278" s="241" t="e">
        <f ca="1">AE278*$H278</f>
        <v>#N/A</v>
      </c>
      <c r="AG278" s="243" t="e">
        <f ca="1">IF(AND(INDEX(FlowCalConstA,MATCH(AD277,FlowCalNumber,0),1,1)*AF278^INDEX(FlowCalConstB,MATCH(AD277,FlowCalNumber,0),1,1)&gt;INDEX(FlowCalLowSetting,MATCH(AD277,FlowCalNumber,0),1,1), (INDEX(FlowCalConstA,MATCH(AD277,FlowCalNumber,0),1,1)*AF278^INDEX(FlowCalConstB,MATCH(AD277,FlowCalNumber,0),1,1)&lt;INDEX(FlowCalHighSetting,MATCH(AD277,FlowCalNumber,0),1,1))),INDEX(FlowCalConstA,MATCH(AD277,FlowCalNumber,0),1,1)*AF278^INDEX(FlowCalConstB,MATCH(AD277,FlowCalNumber,0),1,1)," ")</f>
        <v>#N/A</v>
      </c>
      <c r="AH278" s="33"/>
      <c r="AI278" s="260">
        <f>AI$17/100</f>
        <v>0.9</v>
      </c>
      <c r="AJ278" s="241" t="e">
        <f ca="1">AI278*$H278</f>
        <v>#N/A</v>
      </c>
      <c r="AK278" s="243" t="e">
        <f ca="1">IF(AND(INDEX(FlowCalConstA,MATCH(AH277,FlowCalNumber,0),1,1)*AJ278^INDEX(FlowCalConstB,MATCH(AH277,FlowCalNumber,0),1,1)&gt;INDEX(FlowCalLowSetting,MATCH(AH277,FlowCalNumber,0),1,1), (INDEX(FlowCalConstA,MATCH(AH277,FlowCalNumber,0),1,1)*AJ278^INDEX(FlowCalConstB,MATCH(AH277,FlowCalNumber,0),1,1)&lt;INDEX(FlowCalHighSetting,MATCH(AH277,FlowCalNumber,0),1,1))),INDEX(FlowCalConstA,MATCH(AH277,FlowCalNumber,0),1,1)*AJ278^INDEX(FlowCalConstB,MATCH(AH277,FlowCalNumber,0),1,1)," ")</f>
        <v>#N/A</v>
      </c>
      <c r="AL278" s="33"/>
      <c r="AM278" s="260"/>
      <c r="AN278" s="241"/>
      <c r="AO278" s="244"/>
      <c r="AQ278" s="260"/>
      <c r="AR278" s="241"/>
      <c r="AS278" s="244"/>
      <c r="AT278" s="33"/>
      <c r="AU278" s="260"/>
      <c r="AV278" s="241"/>
      <c r="AW278" s="244"/>
      <c r="AX278" s="33"/>
      <c r="AY278" s="260"/>
      <c r="AZ278" s="241"/>
      <c r="BA278" s="244"/>
      <c r="BB278" s="33"/>
      <c r="BC278" s="260"/>
      <c r="BD278" s="241"/>
      <c r="BE278" s="244"/>
      <c r="BF278" s="33"/>
      <c r="BG278" s="260"/>
      <c r="BH278" s="241"/>
      <c r="BI278" s="244"/>
      <c r="BJ278" s="33"/>
      <c r="BK278" s="260"/>
      <c r="BL278" s="241"/>
      <c r="BM278" s="244"/>
      <c r="BN278" s="33"/>
      <c r="BO278" s="260"/>
      <c r="BP278" s="241"/>
      <c r="BQ278" s="244"/>
      <c r="BR278" s="33"/>
      <c r="BS278" s="260"/>
      <c r="BT278" s="241"/>
      <c r="BU278" s="244"/>
      <c r="BV278" s="33"/>
      <c r="BW278" s="260"/>
      <c r="BX278" s="241"/>
      <c r="BY278" s="244"/>
      <c r="BZ278" s="33"/>
      <c r="CA278" s="260"/>
      <c r="CB278" s="241"/>
      <c r="CC278" s="244"/>
      <c r="CD278" s="243"/>
      <c r="CE278" s="243"/>
      <c r="CF278" s="243"/>
      <c r="CG278" s="243"/>
      <c r="CH278" s="243"/>
      <c r="CI278" s="243"/>
      <c r="CJ278" s="243"/>
      <c r="CK278" s="243"/>
      <c r="CL278" s="243"/>
      <c r="CM278" s="243"/>
      <c r="CN278" s="243"/>
      <c r="CO278" s="243"/>
      <c r="CP278" s="243"/>
      <c r="CQ278" s="243"/>
      <c r="CR278" s="243"/>
      <c r="CS278" s="243"/>
      <c r="CT278" s="243"/>
      <c r="CU278" s="243"/>
      <c r="CV278" s="243"/>
      <c r="CW278" s="243"/>
      <c r="CX278" s="243"/>
      <c r="CY278" s="243"/>
      <c r="CZ278" s="243"/>
      <c r="DA278" s="243"/>
      <c r="DB278" s="243"/>
      <c r="DC278" s="243"/>
      <c r="DD278" s="243"/>
      <c r="DE278" s="243"/>
      <c r="DF278" s="243"/>
      <c r="DG278" s="243"/>
      <c r="DH278" s="243"/>
      <c r="DI278" s="243"/>
      <c r="DJ278" s="243"/>
      <c r="DK278" s="243"/>
      <c r="DM278" s="259"/>
      <c r="DO278" s="243"/>
      <c r="DQ278" s="259"/>
      <c r="DS278" s="243"/>
      <c r="DU278" s="259"/>
      <c r="DW278" s="243"/>
      <c r="DY278" s="260"/>
      <c r="EA278" s="243"/>
    </row>
    <row r="279" spans="1:131">
      <c r="A279" s="20"/>
      <c r="B279" s="124" t="str">
        <f t="shared" si="262"/>
        <v/>
      </c>
      <c r="C279" s="235"/>
      <c r="D279" s="24">
        <f>'1% Wind'!$M$83</f>
        <v>23.5</v>
      </c>
      <c r="E279" s="90"/>
      <c r="F279" s="90"/>
      <c r="G279" s="79" t="e">
        <f ca="1">IF(I277=0.9743,$G278,MAX(G278/D278*D279,2))</f>
        <v>#N/A</v>
      </c>
      <c r="H279" s="121" t="e">
        <f t="shared" ca="1" si="263"/>
        <v>#N/A</v>
      </c>
      <c r="J279" s="33"/>
      <c r="K279" s="242">
        <f t="shared" ref="K279:K292" si="264">K278</f>
        <v>1</v>
      </c>
      <c r="L279" s="241" t="e">
        <f t="shared" ref="L279:L292" ca="1" si="265">K279*$H279</f>
        <v>#N/A</v>
      </c>
      <c r="M279" s="243" t="e">
        <f ca="1">IF(AND(INDEX(FlowCalConstA,MATCH(J277,FlowCalNumber,0),1,1)*L279^INDEX(FlowCalConstB,MATCH(J277,FlowCalNumber,0),1,1)&gt;INDEX(FlowCalLowSetting,MATCH(J277,FlowCalNumber,0),1,1), (INDEX(FlowCalConstA,MATCH(J277,FlowCalNumber,0),1,1)*L279^INDEX(FlowCalConstB,MATCH(J277,FlowCalNumber,0),1,1)&lt;INDEX(FlowCalHighSetting,MATCH(J277,FlowCalNumber,0),1,1))),INDEX(FlowCalConstA,MATCH(J277,FlowCalNumber,0),1,1)*L279^INDEX(FlowCalConstB,MATCH(J277,FlowCalNumber,0),1,1)," ")</f>
        <v>#N/A</v>
      </c>
      <c r="N279" s="33"/>
      <c r="O279" s="242">
        <f t="shared" ref="O279:O292" si="266">O278</f>
        <v>1</v>
      </c>
      <c r="P279" s="241" t="e">
        <f t="shared" ref="P279:P292" ca="1" si="267">O279*$H279</f>
        <v>#N/A</v>
      </c>
      <c r="Q279" s="243" t="e">
        <f ca="1">IF(AND(INDEX(FlowCalConstA,MATCH(N277,FlowCalNumber,0),1,1)*P279^INDEX(FlowCalConstB,MATCH(N277,FlowCalNumber,0),1,1)&gt;INDEX(FlowCalLowSetting,MATCH(N277,FlowCalNumber,0),1,1), (INDEX(FlowCalConstA,MATCH(N277,FlowCalNumber,0),1,1)*P279^INDEX(FlowCalConstB,MATCH(N277,FlowCalNumber,0),1,1)&lt;INDEX(FlowCalHighSetting,MATCH(N277,FlowCalNumber,0),1,1))),INDEX(FlowCalConstA,MATCH(N277,FlowCalNumber,0),1,1)*P279^INDEX(FlowCalConstB,MATCH(N277,FlowCalNumber,0),1,1)," ")</f>
        <v>#N/A</v>
      </c>
      <c r="R279" s="33"/>
      <c r="S279" s="242">
        <f t="shared" ref="S279:S292" si="268">S278</f>
        <v>1</v>
      </c>
      <c r="T279" s="241" t="e">
        <f t="shared" ref="T279:T292" ca="1" si="269">S279*$H279</f>
        <v>#N/A</v>
      </c>
      <c r="U279" s="244" t="e">
        <f ca="1">IF(AND(INDEX(FlowCalConstA,MATCH(R277,FlowCalNumber,0),1,1)*T279^INDEX(FlowCalConstB,MATCH(R277,FlowCalNumber,0),1,1)&gt;INDEX(FlowCalLowSetting,MATCH(R277,FlowCalNumber,0),1,1), (INDEX(FlowCalConstA,MATCH(R277,FlowCalNumber,0),1,1)*T279^INDEX(FlowCalConstB,MATCH(R277,FlowCalNumber,0),1,1)&lt;INDEX(FlowCalHighSetting,MATCH(R277,FlowCalNumber,0),1,1))),INDEX(FlowCalConstA,MATCH(R277,FlowCalNumber,0),1,1)*T279^INDEX(FlowCalConstB,MATCH(R277,FlowCalNumber,0),1,1)," ")</f>
        <v>#N/A</v>
      </c>
      <c r="V279" s="33"/>
      <c r="W279" s="242">
        <f t="shared" ref="W279:W292" si="270">W278</f>
        <v>0.1</v>
      </c>
      <c r="X279" s="241" t="e">
        <f t="shared" ref="X279:X292" ca="1" si="271">W279*$H279</f>
        <v>#N/A</v>
      </c>
      <c r="Y279" s="243" t="e">
        <f ca="1">IF(AND(INDEX(FlowCalConstA,MATCH(V277,FlowCalNumber,0),1,1)*X279^INDEX(FlowCalConstB,MATCH(V277,FlowCalNumber,0),1,1)&gt;INDEX(FlowCalLowSetting,MATCH(V277,FlowCalNumber,0),1,1), (INDEX(FlowCalConstA,MATCH(V277,FlowCalNumber,0),1,1)*X279^INDEX(FlowCalConstB,MATCH(V277,FlowCalNumber,0),1,1)&lt;INDEX(FlowCalHighSetting,MATCH(V277,FlowCalNumber,0),1,1))),INDEX(FlowCalConstA,MATCH(V277,FlowCalNumber,0),1,1)*X279^INDEX(FlowCalConstB,MATCH(V277,FlowCalNumber,0),1,1)," ")</f>
        <v>#N/A</v>
      </c>
      <c r="Z279" s="33"/>
      <c r="AA279" s="242">
        <f t="shared" ref="AA279:AA292" si="272">AA278</f>
        <v>0.9</v>
      </c>
      <c r="AB279" s="241" t="e">
        <f t="shared" ref="AB279:AB292" ca="1" si="273">AA279*$H279</f>
        <v>#N/A</v>
      </c>
      <c r="AC279" s="243" t="e">
        <f ca="1">IF(AND(INDEX(FlowCalConstA,MATCH(Z277,FlowCalNumber,0),1,1)*AB279^INDEX(FlowCalConstB,MATCH(Z277,FlowCalNumber,0),1,1)&gt;INDEX(FlowCalLowSetting,MATCH(Z277,FlowCalNumber,0),1,1), (INDEX(FlowCalConstA,MATCH(Z277,FlowCalNumber,0),1,1)*AB279^INDEX(FlowCalConstB,MATCH(Z277,FlowCalNumber,0),1,1)&lt;INDEX(FlowCalHighSetting,MATCH(Z277,FlowCalNumber,0),1,1))),INDEX(FlowCalConstA,MATCH(Z277,FlowCalNumber,0),1,1)*AB279^INDEX(FlowCalConstB,MATCH(Z277,FlowCalNumber,0),1,1)," ")</f>
        <v>#N/A</v>
      </c>
      <c r="AD279" s="33"/>
      <c r="AE279" s="242">
        <f t="shared" ref="AE279:AE292" si="274">AE278</f>
        <v>0.1</v>
      </c>
      <c r="AF279" s="241" t="e">
        <f t="shared" ref="AF279:AF292" ca="1" si="275">AE279*$H279</f>
        <v>#N/A</v>
      </c>
      <c r="AG279" s="243" t="e">
        <f ca="1">IF(AND(INDEX(FlowCalConstA,MATCH(AD277,FlowCalNumber,0),1,1)*AF279^INDEX(FlowCalConstB,MATCH(AD277,FlowCalNumber,0),1,1)&gt;INDEX(FlowCalLowSetting,MATCH(AD277,FlowCalNumber,0),1,1), (INDEX(FlowCalConstA,MATCH(AD277,FlowCalNumber,0),1,1)*AF279^INDEX(FlowCalConstB,MATCH(AD277,FlowCalNumber,0),1,1)&lt;INDEX(FlowCalHighSetting,MATCH(AD277,FlowCalNumber,0),1,1))),INDEX(FlowCalConstA,MATCH(AD277,FlowCalNumber,0),1,1)*AF279^INDEX(FlowCalConstB,MATCH(AD277,FlowCalNumber,0),1,1)," ")</f>
        <v>#N/A</v>
      </c>
      <c r="AH279" s="33"/>
      <c r="AI279" s="242">
        <f t="shared" ref="AI279:AI292" si="276">AI278</f>
        <v>0.9</v>
      </c>
      <c r="AJ279" s="241" t="e">
        <f t="shared" ref="AJ279:AJ292" ca="1" si="277">AI279*$H279</f>
        <v>#N/A</v>
      </c>
      <c r="AK279" s="243" t="e">
        <f ca="1">IF(AND(INDEX(FlowCalConstA,MATCH(AH277,FlowCalNumber,0),1,1)*AJ279^INDEX(FlowCalConstB,MATCH(AH277,FlowCalNumber,0),1,1)&gt;INDEX(FlowCalLowSetting,MATCH(AH277,FlowCalNumber,0),1,1), (INDEX(FlowCalConstA,MATCH(AH277,FlowCalNumber,0),1,1)*AJ279^INDEX(FlowCalConstB,MATCH(AH277,FlowCalNumber,0),1,1)&lt;INDEX(FlowCalHighSetting,MATCH(AH277,FlowCalNumber,0),1,1))),INDEX(FlowCalConstA,MATCH(AH277,FlowCalNumber,0),1,1)*AJ279^INDEX(FlowCalConstB,MATCH(AH277,FlowCalNumber,0),1,1)," ")</f>
        <v>#N/A</v>
      </c>
      <c r="AL279" s="33"/>
      <c r="AM279" s="242"/>
      <c r="AN279" s="241"/>
      <c r="AO279" s="244"/>
      <c r="AQ279" s="242"/>
      <c r="AR279" s="241"/>
      <c r="AS279" s="244"/>
      <c r="AT279" s="33"/>
      <c r="AU279" s="242"/>
      <c r="AV279" s="241"/>
      <c r="AW279" s="244"/>
      <c r="AX279" s="33"/>
      <c r="AY279" s="242"/>
      <c r="AZ279" s="241"/>
      <c r="BA279" s="244"/>
      <c r="BB279" s="33"/>
      <c r="BC279" s="242"/>
      <c r="BD279" s="241"/>
      <c r="BE279" s="244"/>
      <c r="BF279" s="33"/>
      <c r="BG279" s="242"/>
      <c r="BH279" s="241"/>
      <c r="BI279" s="244"/>
      <c r="BJ279" s="33"/>
      <c r="BK279" s="242"/>
      <c r="BL279" s="241"/>
      <c r="BM279" s="244"/>
      <c r="BN279" s="33"/>
      <c r="BO279" s="242"/>
      <c r="BP279" s="241"/>
      <c r="BQ279" s="244"/>
      <c r="BR279" s="33"/>
      <c r="BS279" s="242"/>
      <c r="BT279" s="241"/>
      <c r="BU279" s="244"/>
      <c r="BV279" s="33"/>
      <c r="BW279" s="242"/>
      <c r="BX279" s="241"/>
      <c r="BY279" s="244"/>
      <c r="BZ279" s="33"/>
      <c r="CA279" s="242"/>
      <c r="CB279" s="241"/>
      <c r="CC279" s="244"/>
      <c r="CD279" s="243"/>
      <c r="CE279" s="243"/>
      <c r="CF279" s="243"/>
      <c r="CG279" s="243"/>
      <c r="CH279" s="243"/>
      <c r="CI279" s="243"/>
      <c r="CJ279" s="243"/>
      <c r="CK279" s="243"/>
      <c r="CL279" s="243"/>
      <c r="CM279" s="243"/>
      <c r="CN279" s="243"/>
      <c r="CO279" s="243"/>
      <c r="CP279" s="243"/>
      <c r="CQ279" s="243"/>
      <c r="CR279" s="243"/>
      <c r="CS279" s="243"/>
      <c r="CT279" s="243"/>
      <c r="CU279" s="243"/>
      <c r="CV279" s="243"/>
      <c r="CW279" s="243"/>
      <c r="CX279" s="243"/>
      <c r="CY279" s="243"/>
      <c r="CZ279" s="243"/>
      <c r="DA279" s="243"/>
      <c r="DB279" s="243"/>
      <c r="DC279" s="243"/>
      <c r="DD279" s="243"/>
      <c r="DE279" s="243"/>
      <c r="DF279" s="243"/>
      <c r="DG279" s="243"/>
      <c r="DH279" s="243"/>
      <c r="DI279" s="243"/>
      <c r="DJ279" s="243"/>
      <c r="DK279" s="243"/>
      <c r="DM279" s="242"/>
      <c r="DO279" s="243"/>
      <c r="DQ279" s="242"/>
      <c r="DS279" s="243"/>
      <c r="DU279" s="242"/>
      <c r="DW279" s="243"/>
      <c r="DY279" s="242"/>
      <c r="EA279" s="243"/>
    </row>
    <row r="280" spans="1:131">
      <c r="A280" s="20"/>
      <c r="B280" s="124" t="str">
        <f t="shared" si="262"/>
        <v/>
      </c>
      <c r="C280" s="235"/>
      <c r="D280" s="24">
        <f>'1% Wind'!$M$84</f>
        <v>20.5</v>
      </c>
      <c r="E280" s="90"/>
      <c r="F280" s="90"/>
      <c r="G280" s="79" t="e">
        <f ca="1">IF(I277=0.9743,$G279,MAX(G279/D279*D280,2))</f>
        <v>#N/A</v>
      </c>
      <c r="H280" s="121" t="e">
        <f t="shared" ca="1" si="263"/>
        <v>#N/A</v>
      </c>
      <c r="J280" s="33"/>
      <c r="K280" s="242">
        <f t="shared" si="264"/>
        <v>1</v>
      </c>
      <c r="L280" s="241" t="e">
        <f t="shared" ca="1" si="265"/>
        <v>#N/A</v>
      </c>
      <c r="M280" s="243" t="e">
        <f ca="1">IF(AND(INDEX(FlowCalConstA,MATCH(J277,FlowCalNumber,0),1,1)*L280^INDEX(FlowCalConstB,MATCH(J277,FlowCalNumber,0),1,1)&gt;INDEX(FlowCalLowSetting,MATCH(J277,FlowCalNumber,0),1,1), (INDEX(FlowCalConstA,MATCH(J277,FlowCalNumber,0),1,1)*L280^INDEX(FlowCalConstB,MATCH(J277,FlowCalNumber,0),1,1)&lt;INDEX(FlowCalHighSetting,MATCH(J277,FlowCalNumber,0),1,1))),INDEX(FlowCalConstA,MATCH(J277,FlowCalNumber,0),1,1)*L280^INDEX(FlowCalConstB,MATCH(J277,FlowCalNumber,0),1,1)," ")</f>
        <v>#N/A</v>
      </c>
      <c r="N280" s="33"/>
      <c r="O280" s="242">
        <f t="shared" si="266"/>
        <v>1</v>
      </c>
      <c r="P280" s="241" t="e">
        <f t="shared" ca="1" si="267"/>
        <v>#N/A</v>
      </c>
      <c r="Q280" s="243" t="e">
        <f ca="1">IF(AND(INDEX(FlowCalConstA,MATCH(N277,FlowCalNumber,0),1,1)*P280^INDEX(FlowCalConstB,MATCH(N277,FlowCalNumber,0),1,1)&gt;INDEX(FlowCalLowSetting,MATCH(N277,FlowCalNumber,0),1,1), (INDEX(FlowCalConstA,MATCH(N277,FlowCalNumber,0),1,1)*P280^INDEX(FlowCalConstB,MATCH(N277,FlowCalNumber,0),1,1)&lt;INDEX(FlowCalHighSetting,MATCH(N277,FlowCalNumber,0),1,1))),INDEX(FlowCalConstA,MATCH(N277,FlowCalNumber,0),1,1)*P280^INDEX(FlowCalConstB,MATCH(N277,FlowCalNumber,0),1,1)," ")</f>
        <v>#N/A</v>
      </c>
      <c r="R280" s="33"/>
      <c r="S280" s="242">
        <f t="shared" si="268"/>
        <v>1</v>
      </c>
      <c r="T280" s="241" t="e">
        <f t="shared" ca="1" si="269"/>
        <v>#N/A</v>
      </c>
      <c r="U280" s="244" t="e">
        <f ca="1">IF(AND(INDEX(FlowCalConstA,MATCH(R277,FlowCalNumber,0),1,1)*T280^INDEX(FlowCalConstB,MATCH(R277,FlowCalNumber,0),1,1)&gt;INDEX(FlowCalLowSetting,MATCH(R277,FlowCalNumber,0),1,1), (INDEX(FlowCalConstA,MATCH(R277,FlowCalNumber,0),1,1)*T280^INDEX(FlowCalConstB,MATCH(R277,FlowCalNumber,0),1,1)&lt;INDEX(FlowCalHighSetting,MATCH(R277,FlowCalNumber,0),1,1))),INDEX(FlowCalConstA,MATCH(R277,FlowCalNumber,0),1,1)*T280^INDEX(FlowCalConstB,MATCH(R277,FlowCalNumber,0),1,1)," ")</f>
        <v>#N/A</v>
      </c>
      <c r="V280" s="33"/>
      <c r="W280" s="242">
        <f t="shared" si="270"/>
        <v>0.1</v>
      </c>
      <c r="X280" s="241" t="e">
        <f t="shared" ca="1" si="271"/>
        <v>#N/A</v>
      </c>
      <c r="Y280" s="243" t="e">
        <f ca="1">IF(AND(INDEX(FlowCalConstA,MATCH(V277,FlowCalNumber,0),1,1)*X280^INDEX(FlowCalConstB,MATCH(V277,FlowCalNumber,0),1,1)&gt;INDEX(FlowCalLowSetting,MATCH(V277,FlowCalNumber,0),1,1), (INDEX(FlowCalConstA,MATCH(V277,FlowCalNumber,0),1,1)*X280^INDEX(FlowCalConstB,MATCH(V277,FlowCalNumber,0),1,1)&lt;INDEX(FlowCalHighSetting,MATCH(V277,FlowCalNumber,0),1,1))),INDEX(FlowCalConstA,MATCH(V277,FlowCalNumber,0),1,1)*X280^INDEX(FlowCalConstB,MATCH(V277,FlowCalNumber,0),1,1)," ")</f>
        <v>#N/A</v>
      </c>
      <c r="Z280" s="33"/>
      <c r="AA280" s="242">
        <f t="shared" si="272"/>
        <v>0.9</v>
      </c>
      <c r="AB280" s="241" t="e">
        <f t="shared" ca="1" si="273"/>
        <v>#N/A</v>
      </c>
      <c r="AC280" s="243" t="e">
        <f ca="1">IF(AND(INDEX(FlowCalConstA,MATCH(Z277,FlowCalNumber,0),1,1)*AB280^INDEX(FlowCalConstB,MATCH(Z277,FlowCalNumber,0),1,1)&gt;INDEX(FlowCalLowSetting,MATCH(Z277,FlowCalNumber,0),1,1), (INDEX(FlowCalConstA,MATCH(Z277,FlowCalNumber,0),1,1)*AB280^INDEX(FlowCalConstB,MATCH(Z277,FlowCalNumber,0),1,1)&lt;INDEX(FlowCalHighSetting,MATCH(Z277,FlowCalNumber,0),1,1))),INDEX(FlowCalConstA,MATCH(Z277,FlowCalNumber,0),1,1)*AB280^INDEX(FlowCalConstB,MATCH(Z277,FlowCalNumber,0),1,1)," ")</f>
        <v>#N/A</v>
      </c>
      <c r="AD280" s="33"/>
      <c r="AE280" s="242">
        <f t="shared" si="274"/>
        <v>0.1</v>
      </c>
      <c r="AF280" s="241" t="e">
        <f t="shared" ca="1" si="275"/>
        <v>#N/A</v>
      </c>
      <c r="AG280" s="243" t="e">
        <f ca="1">IF(AND(INDEX(FlowCalConstA,MATCH(AD277,FlowCalNumber,0),1,1)*AF280^INDEX(FlowCalConstB,MATCH(AD277,FlowCalNumber,0),1,1)&gt;INDEX(FlowCalLowSetting,MATCH(AD277,FlowCalNumber,0),1,1), (INDEX(FlowCalConstA,MATCH(AD277,FlowCalNumber,0),1,1)*AF280^INDEX(FlowCalConstB,MATCH(AD277,FlowCalNumber,0),1,1)&lt;INDEX(FlowCalHighSetting,MATCH(AD277,FlowCalNumber,0),1,1))),INDEX(FlowCalConstA,MATCH(AD277,FlowCalNumber,0),1,1)*AF280^INDEX(FlowCalConstB,MATCH(AD277,FlowCalNumber,0),1,1)," ")</f>
        <v>#N/A</v>
      </c>
      <c r="AH280" s="33"/>
      <c r="AI280" s="242">
        <f t="shared" si="276"/>
        <v>0.9</v>
      </c>
      <c r="AJ280" s="241" t="e">
        <f t="shared" ca="1" si="277"/>
        <v>#N/A</v>
      </c>
      <c r="AK280" s="243" t="e">
        <f ca="1">IF(AND(INDEX(FlowCalConstA,MATCH(AH277,FlowCalNumber,0),1,1)*AJ280^INDEX(FlowCalConstB,MATCH(AH277,FlowCalNumber,0),1,1)&gt;INDEX(FlowCalLowSetting,MATCH(AH277,FlowCalNumber,0),1,1), (INDEX(FlowCalConstA,MATCH(AH277,FlowCalNumber,0),1,1)*AJ280^INDEX(FlowCalConstB,MATCH(AH277,FlowCalNumber,0),1,1)&lt;INDEX(FlowCalHighSetting,MATCH(AH277,FlowCalNumber,0),1,1))),INDEX(FlowCalConstA,MATCH(AH277,FlowCalNumber,0),1,1)*AJ280^INDEX(FlowCalConstB,MATCH(AH277,FlowCalNumber,0),1,1)," ")</f>
        <v>#N/A</v>
      </c>
      <c r="AL280" s="33"/>
      <c r="AM280" s="242"/>
      <c r="AN280" s="241"/>
      <c r="AO280" s="244"/>
      <c r="AQ280" s="242"/>
      <c r="AR280" s="241"/>
      <c r="AS280" s="244"/>
      <c r="AT280" s="33"/>
      <c r="AU280" s="242"/>
      <c r="AV280" s="241"/>
      <c r="AW280" s="244"/>
      <c r="AX280" s="33"/>
      <c r="AY280" s="242"/>
      <c r="AZ280" s="241"/>
      <c r="BA280" s="244"/>
      <c r="BB280" s="33"/>
      <c r="BC280" s="242"/>
      <c r="BD280" s="241"/>
      <c r="BE280" s="244"/>
      <c r="BF280" s="33"/>
      <c r="BG280" s="242"/>
      <c r="BH280" s="241"/>
      <c r="BI280" s="244"/>
      <c r="BJ280" s="33"/>
      <c r="BK280" s="242"/>
      <c r="BL280" s="241"/>
      <c r="BM280" s="244"/>
      <c r="BN280" s="33"/>
      <c r="BO280" s="242"/>
      <c r="BP280" s="241"/>
      <c r="BQ280" s="244"/>
      <c r="BR280" s="33"/>
      <c r="BS280" s="242"/>
      <c r="BT280" s="241"/>
      <c r="BU280" s="244"/>
      <c r="BV280" s="33"/>
      <c r="BW280" s="242"/>
      <c r="BX280" s="241"/>
      <c r="BY280" s="244"/>
      <c r="BZ280" s="33"/>
      <c r="CA280" s="242"/>
      <c r="CB280" s="241"/>
      <c r="CC280" s="244"/>
      <c r="CD280" s="243"/>
      <c r="CE280" s="243"/>
      <c r="CF280" s="243"/>
      <c r="CG280" s="243"/>
      <c r="CH280" s="243"/>
      <c r="CI280" s="243"/>
      <c r="CJ280" s="243"/>
      <c r="CK280" s="243"/>
      <c r="CL280" s="243"/>
      <c r="CM280" s="243"/>
      <c r="CN280" s="243"/>
      <c r="CO280" s="243"/>
      <c r="CP280" s="243"/>
      <c r="CQ280" s="243"/>
      <c r="CR280" s="243"/>
      <c r="CS280" s="243"/>
      <c r="CT280" s="243"/>
      <c r="CU280" s="243"/>
      <c r="CV280" s="243"/>
      <c r="CW280" s="243"/>
      <c r="CX280" s="243"/>
      <c r="CY280" s="243"/>
      <c r="CZ280" s="243"/>
      <c r="DA280" s="243"/>
      <c r="DB280" s="243"/>
      <c r="DC280" s="243"/>
      <c r="DD280" s="243"/>
      <c r="DE280" s="243"/>
      <c r="DF280" s="243"/>
      <c r="DG280" s="243"/>
      <c r="DH280" s="243"/>
      <c r="DI280" s="243"/>
      <c r="DJ280" s="243"/>
      <c r="DK280" s="243"/>
      <c r="DM280" s="242"/>
      <c r="DO280" s="243"/>
      <c r="DQ280" s="242"/>
      <c r="DS280" s="243"/>
      <c r="DU280" s="242"/>
      <c r="DW280" s="243"/>
      <c r="DY280" s="242"/>
      <c r="EA280" s="243"/>
    </row>
    <row r="281" spans="1:131">
      <c r="A281" s="20"/>
      <c r="B281" s="124" t="str">
        <f t="shared" si="262"/>
        <v/>
      </c>
      <c r="C281" s="235"/>
      <c r="D281" s="24">
        <f>'1% Wind'!$M$85</f>
        <v>17.8</v>
      </c>
      <c r="E281" s="90"/>
      <c r="F281" s="90"/>
      <c r="G281" s="79" t="e">
        <f ca="1">IF(I277=0.9743,$G280,MAX(G280/D280*D281,2))</f>
        <v>#N/A</v>
      </c>
      <c r="H281" s="121" t="e">
        <f t="shared" ca="1" si="263"/>
        <v>#N/A</v>
      </c>
      <c r="J281" s="33"/>
      <c r="K281" s="242">
        <f t="shared" si="264"/>
        <v>1</v>
      </c>
      <c r="L281" s="241" t="e">
        <f t="shared" ca="1" si="265"/>
        <v>#N/A</v>
      </c>
      <c r="M281" s="243" t="e">
        <f ca="1">IF(AND(INDEX(FlowCalConstA,MATCH(J277,FlowCalNumber,0),1,1)*L281^INDEX(FlowCalConstB,MATCH(J277,FlowCalNumber,0),1,1)&gt;INDEX(FlowCalLowSetting,MATCH(J277,FlowCalNumber,0),1,1), (INDEX(FlowCalConstA,MATCH(J277,FlowCalNumber,0),1,1)*L281^INDEX(FlowCalConstB,MATCH(J277,FlowCalNumber,0),1,1)&lt;INDEX(FlowCalHighSetting,MATCH(J277,FlowCalNumber,0),1,1))),INDEX(FlowCalConstA,MATCH(J277,FlowCalNumber,0),1,1)*L281^INDEX(FlowCalConstB,MATCH(J277,FlowCalNumber,0),1,1)," ")</f>
        <v>#N/A</v>
      </c>
      <c r="N281" s="33"/>
      <c r="O281" s="242">
        <f t="shared" si="266"/>
        <v>1</v>
      </c>
      <c r="P281" s="241" t="e">
        <f t="shared" ca="1" si="267"/>
        <v>#N/A</v>
      </c>
      <c r="Q281" s="243" t="e">
        <f ca="1">IF(AND(INDEX(FlowCalConstA,MATCH(N277,FlowCalNumber,0),1,1)*P281^INDEX(FlowCalConstB,MATCH(N277,FlowCalNumber,0),1,1)&gt;INDEX(FlowCalLowSetting,MATCH(N277,FlowCalNumber,0),1,1), (INDEX(FlowCalConstA,MATCH(N277,FlowCalNumber,0),1,1)*P281^INDEX(FlowCalConstB,MATCH(N277,FlowCalNumber,0),1,1)&lt;INDEX(FlowCalHighSetting,MATCH(N277,FlowCalNumber,0),1,1))),INDEX(FlowCalConstA,MATCH(N277,FlowCalNumber,0),1,1)*P281^INDEX(FlowCalConstB,MATCH(N277,FlowCalNumber,0),1,1)," ")</f>
        <v>#N/A</v>
      </c>
      <c r="R281" s="33"/>
      <c r="S281" s="242">
        <f t="shared" si="268"/>
        <v>1</v>
      </c>
      <c r="T281" s="241" t="e">
        <f t="shared" ca="1" si="269"/>
        <v>#N/A</v>
      </c>
      <c r="U281" s="244" t="e">
        <f ca="1">IF(AND(INDEX(FlowCalConstA,MATCH(R277,FlowCalNumber,0),1,1)*T281^INDEX(FlowCalConstB,MATCH(R277,FlowCalNumber,0),1,1)&gt;INDEX(FlowCalLowSetting,MATCH(R277,FlowCalNumber,0),1,1), (INDEX(FlowCalConstA,MATCH(R277,FlowCalNumber,0),1,1)*T281^INDEX(FlowCalConstB,MATCH(R277,FlowCalNumber,0),1,1)&lt;INDEX(FlowCalHighSetting,MATCH(R277,FlowCalNumber,0),1,1))),INDEX(FlowCalConstA,MATCH(R277,FlowCalNumber,0),1,1)*T281^INDEX(FlowCalConstB,MATCH(R277,FlowCalNumber,0),1,1)," ")</f>
        <v>#N/A</v>
      </c>
      <c r="V281" s="33"/>
      <c r="W281" s="242">
        <f t="shared" si="270"/>
        <v>0.1</v>
      </c>
      <c r="X281" s="241" t="e">
        <f t="shared" ca="1" si="271"/>
        <v>#N/A</v>
      </c>
      <c r="Y281" s="243" t="e">
        <f ca="1">IF(AND(INDEX(FlowCalConstA,MATCH(V277,FlowCalNumber,0),1,1)*X281^INDEX(FlowCalConstB,MATCH(V277,FlowCalNumber,0),1,1)&gt;INDEX(FlowCalLowSetting,MATCH(V277,FlowCalNumber,0),1,1), (INDEX(FlowCalConstA,MATCH(V277,FlowCalNumber,0),1,1)*X281^INDEX(FlowCalConstB,MATCH(V277,FlowCalNumber,0),1,1)&lt;INDEX(FlowCalHighSetting,MATCH(V277,FlowCalNumber,0),1,1))),INDEX(FlowCalConstA,MATCH(V277,FlowCalNumber,0),1,1)*X281^INDEX(FlowCalConstB,MATCH(V277,FlowCalNumber,0),1,1)," ")</f>
        <v>#N/A</v>
      </c>
      <c r="Z281" s="33"/>
      <c r="AA281" s="242">
        <f t="shared" si="272"/>
        <v>0.9</v>
      </c>
      <c r="AB281" s="241" t="e">
        <f t="shared" ca="1" si="273"/>
        <v>#N/A</v>
      </c>
      <c r="AC281" s="243" t="e">
        <f ca="1">IF(AND(INDEX(FlowCalConstA,MATCH(Z277,FlowCalNumber,0),1,1)*AB281^INDEX(FlowCalConstB,MATCH(Z277,FlowCalNumber,0),1,1)&gt;INDEX(FlowCalLowSetting,MATCH(Z277,FlowCalNumber,0),1,1), (INDEX(FlowCalConstA,MATCH(Z277,FlowCalNumber,0),1,1)*AB281^INDEX(FlowCalConstB,MATCH(Z277,FlowCalNumber,0),1,1)&lt;INDEX(FlowCalHighSetting,MATCH(Z277,FlowCalNumber,0),1,1))),INDEX(FlowCalConstA,MATCH(Z277,FlowCalNumber,0),1,1)*AB281^INDEX(FlowCalConstB,MATCH(Z277,FlowCalNumber,0),1,1)," ")</f>
        <v>#N/A</v>
      </c>
      <c r="AD281" s="33"/>
      <c r="AE281" s="242">
        <f t="shared" si="274"/>
        <v>0.1</v>
      </c>
      <c r="AF281" s="241" t="e">
        <f t="shared" ca="1" si="275"/>
        <v>#N/A</v>
      </c>
      <c r="AG281" s="243" t="e">
        <f ca="1">IF(AND(INDEX(FlowCalConstA,MATCH(AD277,FlowCalNumber,0),1,1)*AF281^INDEX(FlowCalConstB,MATCH(AD277,FlowCalNumber,0),1,1)&gt;INDEX(FlowCalLowSetting,MATCH(AD277,FlowCalNumber,0),1,1), (INDEX(FlowCalConstA,MATCH(AD277,FlowCalNumber,0),1,1)*AF281^INDEX(FlowCalConstB,MATCH(AD277,FlowCalNumber,0),1,1)&lt;INDEX(FlowCalHighSetting,MATCH(AD277,FlowCalNumber,0),1,1))),INDEX(FlowCalConstA,MATCH(AD277,FlowCalNumber,0),1,1)*AF281^INDEX(FlowCalConstB,MATCH(AD277,FlowCalNumber,0),1,1)," ")</f>
        <v>#N/A</v>
      </c>
      <c r="AH281" s="33"/>
      <c r="AI281" s="242">
        <f t="shared" si="276"/>
        <v>0.9</v>
      </c>
      <c r="AJ281" s="241" t="e">
        <f t="shared" ca="1" si="277"/>
        <v>#N/A</v>
      </c>
      <c r="AK281" s="243" t="e">
        <f ca="1">IF(AND(INDEX(FlowCalConstA,MATCH(AH277,FlowCalNumber,0),1,1)*AJ281^INDEX(FlowCalConstB,MATCH(AH277,FlowCalNumber,0),1,1)&gt;INDEX(FlowCalLowSetting,MATCH(AH277,FlowCalNumber,0),1,1), (INDEX(FlowCalConstA,MATCH(AH277,FlowCalNumber,0),1,1)*AJ281^INDEX(FlowCalConstB,MATCH(AH277,FlowCalNumber,0),1,1)&lt;INDEX(FlowCalHighSetting,MATCH(AH277,FlowCalNumber,0),1,1))),INDEX(FlowCalConstA,MATCH(AH277,FlowCalNumber,0),1,1)*AJ281^INDEX(FlowCalConstB,MATCH(AH277,FlowCalNumber,0),1,1)," ")</f>
        <v>#N/A</v>
      </c>
      <c r="AL281" s="33"/>
      <c r="AM281" s="242"/>
      <c r="AN281" s="241"/>
      <c r="AO281" s="244"/>
      <c r="AQ281" s="242"/>
      <c r="AR281" s="241"/>
      <c r="AS281" s="244"/>
      <c r="AT281" s="33"/>
      <c r="AU281" s="242"/>
      <c r="AV281" s="241"/>
      <c r="AW281" s="244"/>
      <c r="AX281" s="33"/>
      <c r="AY281" s="242"/>
      <c r="AZ281" s="241"/>
      <c r="BA281" s="244"/>
      <c r="BB281" s="33"/>
      <c r="BC281" s="242"/>
      <c r="BD281" s="241"/>
      <c r="BE281" s="244"/>
      <c r="BF281" s="33"/>
      <c r="BG281" s="242"/>
      <c r="BH281" s="241"/>
      <c r="BI281" s="244"/>
      <c r="BJ281" s="33"/>
      <c r="BK281" s="242"/>
      <c r="BL281" s="241"/>
      <c r="BM281" s="244"/>
      <c r="BN281" s="33"/>
      <c r="BO281" s="242"/>
      <c r="BP281" s="241"/>
      <c r="BQ281" s="244"/>
      <c r="BR281" s="33"/>
      <c r="BS281" s="242"/>
      <c r="BT281" s="241"/>
      <c r="BU281" s="244"/>
      <c r="BV281" s="33"/>
      <c r="BW281" s="242"/>
      <c r="BX281" s="241"/>
      <c r="BY281" s="244"/>
      <c r="BZ281" s="33"/>
      <c r="CA281" s="242"/>
      <c r="CB281" s="241"/>
      <c r="CC281" s="244"/>
      <c r="CD281" s="243"/>
      <c r="CE281" s="243"/>
      <c r="CF281" s="243"/>
      <c r="CG281" s="243"/>
      <c r="CH281" s="243"/>
      <c r="CI281" s="243"/>
      <c r="CJ281" s="243"/>
      <c r="CK281" s="243"/>
      <c r="CL281" s="243"/>
      <c r="CM281" s="243"/>
      <c r="CN281" s="243"/>
      <c r="CO281" s="243"/>
      <c r="CP281" s="243"/>
      <c r="CQ281" s="243"/>
      <c r="CR281" s="243"/>
      <c r="CS281" s="243"/>
      <c r="CT281" s="243"/>
      <c r="CU281" s="243"/>
      <c r="CV281" s="243"/>
      <c r="CW281" s="243"/>
      <c r="CX281" s="243"/>
      <c r="CY281" s="243"/>
      <c r="CZ281" s="243"/>
      <c r="DA281" s="243"/>
      <c r="DB281" s="243"/>
      <c r="DC281" s="243"/>
      <c r="DD281" s="243"/>
      <c r="DE281" s="243"/>
      <c r="DF281" s="243"/>
      <c r="DG281" s="243"/>
      <c r="DH281" s="243"/>
      <c r="DI281" s="243"/>
      <c r="DJ281" s="243"/>
      <c r="DK281" s="243"/>
      <c r="DM281" s="242"/>
      <c r="DO281" s="243"/>
      <c r="DQ281" s="242"/>
      <c r="DS281" s="243"/>
      <c r="DU281" s="242"/>
      <c r="DW281" s="243"/>
      <c r="DY281" s="242"/>
      <c r="EA281" s="243"/>
    </row>
    <row r="282" spans="1:131">
      <c r="A282" s="20"/>
      <c r="B282" s="124" t="str">
        <f t="shared" si="262"/>
        <v/>
      </c>
      <c r="C282" s="235"/>
      <c r="D282" s="24">
        <f>'1% Wind'!$M$86</f>
        <v>15.5</v>
      </c>
      <c r="E282" s="90"/>
      <c r="F282" s="90"/>
      <c r="G282" s="79" t="e">
        <f ca="1">IF(I277=0.9743,$G281,MAX(G281/D281*D282,2))</f>
        <v>#N/A</v>
      </c>
      <c r="H282" s="121" t="e">
        <f t="shared" ca="1" si="263"/>
        <v>#N/A</v>
      </c>
      <c r="J282" s="33"/>
      <c r="K282" s="242">
        <f t="shared" si="264"/>
        <v>1</v>
      </c>
      <c r="L282" s="241" t="e">
        <f t="shared" ca="1" si="265"/>
        <v>#N/A</v>
      </c>
      <c r="M282" s="243" t="e">
        <f ca="1">IF(AND(INDEX(FlowCalConstA,MATCH(J277,FlowCalNumber,0),1,1)*L282^INDEX(FlowCalConstB,MATCH(J277,FlowCalNumber,0),1,1)&gt;INDEX(FlowCalLowSetting,MATCH(J277,FlowCalNumber,0),1,1), (INDEX(FlowCalConstA,MATCH(J277,FlowCalNumber,0),1,1)*L282^INDEX(FlowCalConstB,MATCH(J277,FlowCalNumber,0),1,1)&lt;INDEX(FlowCalHighSetting,MATCH(J277,FlowCalNumber,0),1,1))),INDEX(FlowCalConstA,MATCH(J277,FlowCalNumber,0),1,1)*L282^INDEX(FlowCalConstB,MATCH(J277,FlowCalNumber,0),1,1)," ")</f>
        <v>#N/A</v>
      </c>
      <c r="N282" s="33"/>
      <c r="O282" s="242">
        <f t="shared" si="266"/>
        <v>1</v>
      </c>
      <c r="P282" s="241" t="e">
        <f t="shared" ca="1" si="267"/>
        <v>#N/A</v>
      </c>
      <c r="Q282" s="243" t="e">
        <f ca="1">IF(AND(INDEX(FlowCalConstA,MATCH(N277,FlowCalNumber,0),1,1)*P282^INDEX(FlowCalConstB,MATCH(N277,FlowCalNumber,0),1,1)&gt;INDEX(FlowCalLowSetting,MATCH(N277,FlowCalNumber,0),1,1), (INDEX(FlowCalConstA,MATCH(N277,FlowCalNumber,0),1,1)*P282^INDEX(FlowCalConstB,MATCH(N277,FlowCalNumber,0),1,1)&lt;INDEX(FlowCalHighSetting,MATCH(N277,FlowCalNumber,0),1,1))),INDEX(FlowCalConstA,MATCH(N277,FlowCalNumber,0),1,1)*P282^INDEX(FlowCalConstB,MATCH(N277,FlowCalNumber,0),1,1)," ")</f>
        <v>#N/A</v>
      </c>
      <c r="R282" s="33"/>
      <c r="S282" s="242">
        <f t="shared" si="268"/>
        <v>1</v>
      </c>
      <c r="T282" s="241" t="e">
        <f t="shared" ca="1" si="269"/>
        <v>#N/A</v>
      </c>
      <c r="U282" s="244" t="e">
        <f ca="1">IF(AND(INDEX(FlowCalConstA,MATCH(R277,FlowCalNumber,0),1,1)*T282^INDEX(FlowCalConstB,MATCH(R277,FlowCalNumber,0),1,1)&gt;INDEX(FlowCalLowSetting,MATCH(R277,FlowCalNumber,0),1,1), (INDEX(FlowCalConstA,MATCH(R277,FlowCalNumber,0),1,1)*T282^INDEX(FlowCalConstB,MATCH(R277,FlowCalNumber,0),1,1)&lt;INDEX(FlowCalHighSetting,MATCH(R277,FlowCalNumber,0),1,1))),INDEX(FlowCalConstA,MATCH(R277,FlowCalNumber,0),1,1)*T282^INDEX(FlowCalConstB,MATCH(R277,FlowCalNumber,0),1,1)," ")</f>
        <v>#N/A</v>
      </c>
      <c r="V282" s="33"/>
      <c r="W282" s="242">
        <f t="shared" si="270"/>
        <v>0.1</v>
      </c>
      <c r="X282" s="241" t="e">
        <f t="shared" ca="1" si="271"/>
        <v>#N/A</v>
      </c>
      <c r="Y282" s="243" t="e">
        <f ca="1">IF(AND(INDEX(FlowCalConstA,MATCH(V277,FlowCalNumber,0),1,1)*X282^INDEX(FlowCalConstB,MATCH(V277,FlowCalNumber,0),1,1)&gt;INDEX(FlowCalLowSetting,MATCH(V277,FlowCalNumber,0),1,1), (INDEX(FlowCalConstA,MATCH(V277,FlowCalNumber,0),1,1)*X282^INDEX(FlowCalConstB,MATCH(V277,FlowCalNumber,0),1,1)&lt;INDEX(FlowCalHighSetting,MATCH(V277,FlowCalNumber,0),1,1))),INDEX(FlowCalConstA,MATCH(V277,FlowCalNumber,0),1,1)*X282^INDEX(FlowCalConstB,MATCH(V277,FlowCalNumber,0),1,1)," ")</f>
        <v>#N/A</v>
      </c>
      <c r="Z282" s="33"/>
      <c r="AA282" s="242">
        <f t="shared" si="272"/>
        <v>0.9</v>
      </c>
      <c r="AB282" s="241" t="e">
        <f t="shared" ca="1" si="273"/>
        <v>#N/A</v>
      </c>
      <c r="AC282" s="243" t="e">
        <f ca="1">IF(AND(INDEX(FlowCalConstA,MATCH(Z277,FlowCalNumber,0),1,1)*AB282^INDEX(FlowCalConstB,MATCH(Z277,FlowCalNumber,0),1,1)&gt;INDEX(FlowCalLowSetting,MATCH(Z277,FlowCalNumber,0),1,1), (INDEX(FlowCalConstA,MATCH(Z277,FlowCalNumber,0),1,1)*AB282^INDEX(FlowCalConstB,MATCH(Z277,FlowCalNumber,0),1,1)&lt;INDEX(FlowCalHighSetting,MATCH(Z277,FlowCalNumber,0),1,1))),INDEX(FlowCalConstA,MATCH(Z277,FlowCalNumber,0),1,1)*AB282^INDEX(FlowCalConstB,MATCH(Z277,FlowCalNumber,0),1,1)," ")</f>
        <v>#N/A</v>
      </c>
      <c r="AD282" s="33"/>
      <c r="AE282" s="242">
        <f t="shared" si="274"/>
        <v>0.1</v>
      </c>
      <c r="AF282" s="241" t="e">
        <f t="shared" ca="1" si="275"/>
        <v>#N/A</v>
      </c>
      <c r="AG282" s="243" t="e">
        <f ca="1">IF(AND(INDEX(FlowCalConstA,MATCH(AD277,FlowCalNumber,0),1,1)*AF282^INDEX(FlowCalConstB,MATCH(AD277,FlowCalNumber,0),1,1)&gt;INDEX(FlowCalLowSetting,MATCH(AD277,FlowCalNumber,0),1,1), (INDEX(FlowCalConstA,MATCH(AD277,FlowCalNumber,0),1,1)*AF282^INDEX(FlowCalConstB,MATCH(AD277,FlowCalNumber,0),1,1)&lt;INDEX(FlowCalHighSetting,MATCH(AD277,FlowCalNumber,0),1,1))),INDEX(FlowCalConstA,MATCH(AD277,FlowCalNumber,0),1,1)*AF282^INDEX(FlowCalConstB,MATCH(AD277,FlowCalNumber,0),1,1)," ")</f>
        <v>#N/A</v>
      </c>
      <c r="AH282" s="33"/>
      <c r="AI282" s="242">
        <f t="shared" si="276"/>
        <v>0.9</v>
      </c>
      <c r="AJ282" s="241" t="e">
        <f t="shared" ca="1" si="277"/>
        <v>#N/A</v>
      </c>
      <c r="AK282" s="243" t="e">
        <f ca="1">IF(AND(INDEX(FlowCalConstA,MATCH(AH277,FlowCalNumber,0),1,1)*AJ282^INDEX(FlowCalConstB,MATCH(AH277,FlowCalNumber,0),1,1)&gt;INDEX(FlowCalLowSetting,MATCH(AH277,FlowCalNumber,0),1,1), (INDEX(FlowCalConstA,MATCH(AH277,FlowCalNumber,0),1,1)*AJ282^INDEX(FlowCalConstB,MATCH(AH277,FlowCalNumber,0),1,1)&lt;INDEX(FlowCalHighSetting,MATCH(AH277,FlowCalNumber,0),1,1))),INDEX(FlowCalConstA,MATCH(AH277,FlowCalNumber,0),1,1)*AJ282^INDEX(FlowCalConstB,MATCH(AH277,FlowCalNumber,0),1,1)," ")</f>
        <v>#N/A</v>
      </c>
      <c r="AL282" s="33"/>
      <c r="AM282" s="242"/>
      <c r="AN282" s="241"/>
      <c r="AO282" s="244"/>
      <c r="AQ282" s="242"/>
      <c r="AR282" s="241"/>
      <c r="AS282" s="244"/>
      <c r="AT282" s="33"/>
      <c r="AU282" s="242"/>
      <c r="AV282" s="241"/>
      <c r="AW282" s="244"/>
      <c r="AX282" s="33"/>
      <c r="AY282" s="242"/>
      <c r="AZ282" s="241"/>
      <c r="BA282" s="244"/>
      <c r="BB282" s="33"/>
      <c r="BC282" s="242"/>
      <c r="BD282" s="241"/>
      <c r="BE282" s="244"/>
      <c r="BF282" s="33"/>
      <c r="BG282" s="242"/>
      <c r="BH282" s="241"/>
      <c r="BI282" s="244"/>
      <c r="BJ282" s="33"/>
      <c r="BK282" s="242"/>
      <c r="BL282" s="241"/>
      <c r="BM282" s="244"/>
      <c r="BN282" s="33"/>
      <c r="BO282" s="242"/>
      <c r="BP282" s="241"/>
      <c r="BQ282" s="244"/>
      <c r="BR282" s="33"/>
      <c r="BS282" s="242"/>
      <c r="BT282" s="241"/>
      <c r="BU282" s="244"/>
      <c r="BV282" s="33"/>
      <c r="BW282" s="242"/>
      <c r="BX282" s="241"/>
      <c r="BY282" s="244"/>
      <c r="BZ282" s="33"/>
      <c r="CA282" s="242"/>
      <c r="CB282" s="241"/>
      <c r="CC282" s="244"/>
      <c r="CD282" s="243"/>
      <c r="CE282" s="243"/>
      <c r="CF282" s="243"/>
      <c r="CG282" s="243"/>
      <c r="CH282" s="243"/>
      <c r="CI282" s="243"/>
      <c r="CJ282" s="243"/>
      <c r="CK282" s="243"/>
      <c r="CL282" s="243"/>
      <c r="CM282" s="243"/>
      <c r="CN282" s="243"/>
      <c r="CO282" s="243"/>
      <c r="CP282" s="243"/>
      <c r="CQ282" s="243"/>
      <c r="CR282" s="243"/>
      <c r="CS282" s="243"/>
      <c r="CT282" s="243"/>
      <c r="CU282" s="243"/>
      <c r="CV282" s="243"/>
      <c r="CW282" s="243"/>
      <c r="CX282" s="243"/>
      <c r="CY282" s="243"/>
      <c r="CZ282" s="243"/>
      <c r="DA282" s="243"/>
      <c r="DB282" s="243"/>
      <c r="DC282" s="243"/>
      <c r="DD282" s="243"/>
      <c r="DE282" s="243"/>
      <c r="DF282" s="243"/>
      <c r="DG282" s="243"/>
      <c r="DH282" s="243"/>
      <c r="DI282" s="243"/>
      <c r="DJ282" s="243"/>
      <c r="DK282" s="243"/>
      <c r="DM282" s="242"/>
      <c r="DO282" s="243"/>
      <c r="DQ282" s="242"/>
      <c r="DS282" s="243"/>
      <c r="DU282" s="242"/>
      <c r="DW282" s="243"/>
      <c r="DY282" s="242"/>
      <c r="EA282" s="243"/>
    </row>
    <row r="283" spans="1:131">
      <c r="A283" s="20"/>
      <c r="B283" s="124" t="str">
        <f t="shared" si="262"/>
        <v/>
      </c>
      <c r="C283" s="235"/>
      <c r="D283" s="24">
        <f>'1% Wind'!$M$87</f>
        <v>13.5</v>
      </c>
      <c r="E283" s="90"/>
      <c r="F283" s="90"/>
      <c r="G283" s="79" t="e">
        <f ca="1">IF(I277=0.9743,$G282,MAX(G282/D282*D283,2))</f>
        <v>#N/A</v>
      </c>
      <c r="H283" s="121" t="e">
        <f t="shared" ca="1" si="263"/>
        <v>#N/A</v>
      </c>
      <c r="J283" s="33"/>
      <c r="K283" s="242">
        <f t="shared" si="264"/>
        <v>1</v>
      </c>
      <c r="L283" s="241" t="e">
        <f t="shared" ca="1" si="265"/>
        <v>#N/A</v>
      </c>
      <c r="M283" s="243" t="e">
        <f ca="1">IF(AND(INDEX(FlowCalConstA,MATCH(J277,FlowCalNumber,0),1,1)*L283^INDEX(FlowCalConstB,MATCH(J277,FlowCalNumber,0),1,1)&gt;INDEX(FlowCalLowSetting,MATCH(J277,FlowCalNumber,0),1,1), (INDEX(FlowCalConstA,MATCH(J277,FlowCalNumber,0),1,1)*L283^INDEX(FlowCalConstB,MATCH(J277,FlowCalNumber,0),1,1)&lt;INDEX(FlowCalHighSetting,MATCH(J277,FlowCalNumber,0),1,1))),INDEX(FlowCalConstA,MATCH(J277,FlowCalNumber,0),1,1)*L283^INDEX(FlowCalConstB,MATCH(J277,FlowCalNumber,0),1,1)," ")</f>
        <v>#N/A</v>
      </c>
      <c r="N283" s="33"/>
      <c r="O283" s="242">
        <f t="shared" si="266"/>
        <v>1</v>
      </c>
      <c r="P283" s="241" t="e">
        <f t="shared" ca="1" si="267"/>
        <v>#N/A</v>
      </c>
      <c r="Q283" s="243" t="e">
        <f ca="1">IF(AND(INDEX(FlowCalConstA,MATCH(N277,FlowCalNumber,0),1,1)*P283^INDEX(FlowCalConstB,MATCH(N277,FlowCalNumber,0),1,1)&gt;INDEX(FlowCalLowSetting,MATCH(N277,FlowCalNumber,0),1,1), (INDEX(FlowCalConstA,MATCH(N277,FlowCalNumber,0),1,1)*P283^INDEX(FlowCalConstB,MATCH(N277,FlowCalNumber,0),1,1)&lt;INDEX(FlowCalHighSetting,MATCH(N277,FlowCalNumber,0),1,1))),INDEX(FlowCalConstA,MATCH(N277,FlowCalNumber,0),1,1)*P283^INDEX(FlowCalConstB,MATCH(N277,FlowCalNumber,0),1,1)," ")</f>
        <v>#N/A</v>
      </c>
      <c r="R283" s="33"/>
      <c r="S283" s="242">
        <f t="shared" si="268"/>
        <v>1</v>
      </c>
      <c r="T283" s="241" t="e">
        <f t="shared" ca="1" si="269"/>
        <v>#N/A</v>
      </c>
      <c r="U283" s="244" t="e">
        <f ca="1">IF(AND(INDEX(FlowCalConstA,MATCH(R277,FlowCalNumber,0),1,1)*T283^INDEX(FlowCalConstB,MATCH(R277,FlowCalNumber,0),1,1)&gt;INDEX(FlowCalLowSetting,MATCH(R277,FlowCalNumber,0),1,1), (INDEX(FlowCalConstA,MATCH(R277,FlowCalNumber,0),1,1)*T283^INDEX(FlowCalConstB,MATCH(R277,FlowCalNumber,0),1,1)&lt;INDEX(FlowCalHighSetting,MATCH(R277,FlowCalNumber,0),1,1))),INDEX(FlowCalConstA,MATCH(R277,FlowCalNumber,0),1,1)*T283^INDEX(FlowCalConstB,MATCH(R277,FlowCalNumber,0),1,1)," ")</f>
        <v>#N/A</v>
      </c>
      <c r="V283" s="33"/>
      <c r="W283" s="242">
        <f t="shared" si="270"/>
        <v>0.1</v>
      </c>
      <c r="X283" s="241" t="e">
        <f t="shared" ca="1" si="271"/>
        <v>#N/A</v>
      </c>
      <c r="Y283" s="243" t="e">
        <f ca="1">IF(AND(INDEX(FlowCalConstA,MATCH(V277,FlowCalNumber,0),1,1)*X283^INDEX(FlowCalConstB,MATCH(V277,FlowCalNumber,0),1,1)&gt;INDEX(FlowCalLowSetting,MATCH(V277,FlowCalNumber,0),1,1), (INDEX(FlowCalConstA,MATCH(V277,FlowCalNumber,0),1,1)*X283^INDEX(FlowCalConstB,MATCH(V277,FlowCalNumber,0),1,1)&lt;INDEX(FlowCalHighSetting,MATCH(V277,FlowCalNumber,0),1,1))),INDEX(FlowCalConstA,MATCH(V277,FlowCalNumber,0),1,1)*X283^INDEX(FlowCalConstB,MATCH(V277,FlowCalNumber,0),1,1)," ")</f>
        <v>#N/A</v>
      </c>
      <c r="Z283" s="33"/>
      <c r="AA283" s="242">
        <f t="shared" si="272"/>
        <v>0.9</v>
      </c>
      <c r="AB283" s="241" t="e">
        <f t="shared" ca="1" si="273"/>
        <v>#N/A</v>
      </c>
      <c r="AC283" s="243" t="e">
        <f ca="1">IF(AND(INDEX(FlowCalConstA,MATCH(Z277,FlowCalNumber,0),1,1)*AB283^INDEX(FlowCalConstB,MATCH(Z277,FlowCalNumber,0),1,1)&gt;INDEX(FlowCalLowSetting,MATCH(Z277,FlowCalNumber,0),1,1), (INDEX(FlowCalConstA,MATCH(Z277,FlowCalNumber,0),1,1)*AB283^INDEX(FlowCalConstB,MATCH(Z277,FlowCalNumber,0),1,1)&lt;INDEX(FlowCalHighSetting,MATCH(Z277,FlowCalNumber,0),1,1))),INDEX(FlowCalConstA,MATCH(Z277,FlowCalNumber,0),1,1)*AB283^INDEX(FlowCalConstB,MATCH(Z277,FlowCalNumber,0),1,1)," ")</f>
        <v>#N/A</v>
      </c>
      <c r="AD283" s="33"/>
      <c r="AE283" s="242">
        <f t="shared" si="274"/>
        <v>0.1</v>
      </c>
      <c r="AF283" s="241" t="e">
        <f t="shared" ca="1" si="275"/>
        <v>#N/A</v>
      </c>
      <c r="AG283" s="243" t="e">
        <f ca="1">IF(AND(INDEX(FlowCalConstA,MATCH(AD277,FlowCalNumber,0),1,1)*AF283^INDEX(FlowCalConstB,MATCH(AD277,FlowCalNumber,0),1,1)&gt;INDEX(FlowCalLowSetting,MATCH(AD277,FlowCalNumber,0),1,1), (INDEX(FlowCalConstA,MATCH(AD277,FlowCalNumber,0),1,1)*AF283^INDEX(FlowCalConstB,MATCH(AD277,FlowCalNumber,0),1,1)&lt;INDEX(FlowCalHighSetting,MATCH(AD277,FlowCalNumber,0),1,1))),INDEX(FlowCalConstA,MATCH(AD277,FlowCalNumber,0),1,1)*AF283^INDEX(FlowCalConstB,MATCH(AD277,FlowCalNumber,0),1,1)," ")</f>
        <v>#N/A</v>
      </c>
      <c r="AH283" s="33"/>
      <c r="AI283" s="242">
        <f t="shared" si="276"/>
        <v>0.9</v>
      </c>
      <c r="AJ283" s="241" t="e">
        <f t="shared" ca="1" si="277"/>
        <v>#N/A</v>
      </c>
      <c r="AK283" s="243" t="e">
        <f ca="1">IF(AND(INDEX(FlowCalConstA,MATCH(AH277,FlowCalNumber,0),1,1)*AJ283^INDEX(FlowCalConstB,MATCH(AH277,FlowCalNumber,0),1,1)&gt;INDEX(FlowCalLowSetting,MATCH(AH277,FlowCalNumber,0),1,1), (INDEX(FlowCalConstA,MATCH(AH277,FlowCalNumber,0),1,1)*AJ283^INDEX(FlowCalConstB,MATCH(AH277,FlowCalNumber,0),1,1)&lt;INDEX(FlowCalHighSetting,MATCH(AH277,FlowCalNumber,0),1,1))),INDEX(FlowCalConstA,MATCH(AH277,FlowCalNumber,0),1,1)*AJ283^INDEX(FlowCalConstB,MATCH(AH277,FlowCalNumber,0),1,1)," ")</f>
        <v>#N/A</v>
      </c>
      <c r="AL283" s="33"/>
      <c r="AM283" s="242"/>
      <c r="AN283" s="241"/>
      <c r="AO283" s="244"/>
      <c r="AQ283" s="242"/>
      <c r="AR283" s="241"/>
      <c r="AS283" s="244"/>
      <c r="AT283" s="33"/>
      <c r="AU283" s="242"/>
      <c r="AV283" s="241"/>
      <c r="AW283" s="244"/>
      <c r="AX283" s="33"/>
      <c r="AY283" s="242"/>
      <c r="AZ283" s="241"/>
      <c r="BA283" s="244"/>
      <c r="BB283" s="33"/>
      <c r="BC283" s="242"/>
      <c r="BD283" s="241"/>
      <c r="BE283" s="244"/>
      <c r="BF283" s="33"/>
      <c r="BG283" s="242"/>
      <c r="BH283" s="241"/>
      <c r="BI283" s="244"/>
      <c r="BJ283" s="33"/>
      <c r="BK283" s="242"/>
      <c r="BL283" s="241"/>
      <c r="BM283" s="244"/>
      <c r="BN283" s="33"/>
      <c r="BO283" s="242"/>
      <c r="BP283" s="241"/>
      <c r="BQ283" s="244"/>
      <c r="BR283" s="33"/>
      <c r="BS283" s="242"/>
      <c r="BT283" s="241"/>
      <c r="BU283" s="244"/>
      <c r="BV283" s="33"/>
      <c r="BW283" s="242"/>
      <c r="BX283" s="241"/>
      <c r="BY283" s="244"/>
      <c r="BZ283" s="33"/>
      <c r="CA283" s="242"/>
      <c r="CB283" s="241"/>
      <c r="CC283" s="244"/>
      <c r="CD283" s="243"/>
      <c r="CE283" s="243"/>
      <c r="CF283" s="243"/>
      <c r="CG283" s="243"/>
      <c r="CH283" s="243"/>
      <c r="CI283" s="243"/>
      <c r="CJ283" s="243"/>
      <c r="CK283" s="243"/>
      <c r="CL283" s="243"/>
      <c r="CM283" s="243"/>
      <c r="CN283" s="243"/>
      <c r="CO283" s="243"/>
      <c r="CP283" s="243"/>
      <c r="CQ283" s="243"/>
      <c r="CR283" s="243"/>
      <c r="CS283" s="243"/>
      <c r="CT283" s="243"/>
      <c r="CU283" s="243"/>
      <c r="CV283" s="243"/>
      <c r="CW283" s="243"/>
      <c r="CX283" s="243"/>
      <c r="CY283" s="243"/>
      <c r="CZ283" s="243"/>
      <c r="DA283" s="243"/>
      <c r="DB283" s="243"/>
      <c r="DC283" s="243"/>
      <c r="DD283" s="243"/>
      <c r="DE283" s="243"/>
      <c r="DF283" s="243"/>
      <c r="DG283" s="243"/>
      <c r="DH283" s="243"/>
      <c r="DI283" s="243"/>
      <c r="DJ283" s="243"/>
      <c r="DK283" s="243"/>
      <c r="DM283" s="242"/>
      <c r="DO283" s="243"/>
      <c r="DQ283" s="242"/>
      <c r="DS283" s="243"/>
      <c r="DU283" s="242"/>
      <c r="DW283" s="243"/>
      <c r="DY283" s="242"/>
      <c r="EA283" s="243"/>
    </row>
    <row r="284" spans="1:131">
      <c r="A284" s="20"/>
      <c r="B284" s="124" t="str">
        <f t="shared" si="262"/>
        <v/>
      </c>
      <c r="C284" s="235"/>
      <c r="D284" s="24">
        <f>'1% Wind'!$M$88</f>
        <v>10.1</v>
      </c>
      <c r="E284" s="90"/>
      <c r="F284" s="90"/>
      <c r="G284" s="79" t="e">
        <f ca="1">IF(I277=0.9743,$G283,MAX(G283/D283*D284,2))</f>
        <v>#N/A</v>
      </c>
      <c r="H284" s="121" t="e">
        <f t="shared" ca="1" si="263"/>
        <v>#N/A</v>
      </c>
      <c r="J284" s="33"/>
      <c r="K284" s="242">
        <f t="shared" si="264"/>
        <v>1</v>
      </c>
      <c r="L284" s="241" t="e">
        <f t="shared" ca="1" si="265"/>
        <v>#N/A</v>
      </c>
      <c r="M284" s="243" t="e">
        <f ca="1">IF(AND(INDEX(FlowCalConstA,MATCH(J277,FlowCalNumber,0),1,1)*L284^INDEX(FlowCalConstB,MATCH(J277,FlowCalNumber,0),1,1)&gt;INDEX(FlowCalLowSetting,MATCH(J277,FlowCalNumber,0),1,1), (INDEX(FlowCalConstA,MATCH(J277,FlowCalNumber,0),1,1)*L284^INDEX(FlowCalConstB,MATCH(J277,FlowCalNumber,0),1,1)&lt;INDEX(FlowCalHighSetting,MATCH(J277,FlowCalNumber,0),1,1))),INDEX(FlowCalConstA,MATCH(J277,FlowCalNumber,0),1,1)*L284^INDEX(FlowCalConstB,MATCH(J277,FlowCalNumber,0),1,1)," ")</f>
        <v>#N/A</v>
      </c>
      <c r="N284" s="33"/>
      <c r="O284" s="242">
        <f t="shared" si="266"/>
        <v>1</v>
      </c>
      <c r="P284" s="241" t="e">
        <f t="shared" ca="1" si="267"/>
        <v>#N/A</v>
      </c>
      <c r="Q284" s="243" t="e">
        <f ca="1">IF(AND(INDEX(FlowCalConstA,MATCH(N277,FlowCalNumber,0),1,1)*P284^INDEX(FlowCalConstB,MATCH(N277,FlowCalNumber,0),1,1)&gt;INDEX(FlowCalLowSetting,MATCH(N277,FlowCalNumber,0),1,1), (INDEX(FlowCalConstA,MATCH(N277,FlowCalNumber,0),1,1)*P284^INDEX(FlowCalConstB,MATCH(N277,FlowCalNumber,0),1,1)&lt;INDEX(FlowCalHighSetting,MATCH(N277,FlowCalNumber,0),1,1))),INDEX(FlowCalConstA,MATCH(N277,FlowCalNumber,0),1,1)*P284^INDEX(FlowCalConstB,MATCH(N277,FlowCalNumber,0),1,1)," ")</f>
        <v>#N/A</v>
      </c>
      <c r="R284" s="33"/>
      <c r="S284" s="242">
        <f t="shared" si="268"/>
        <v>1</v>
      </c>
      <c r="T284" s="241" t="e">
        <f t="shared" ca="1" si="269"/>
        <v>#N/A</v>
      </c>
      <c r="U284" s="244" t="e">
        <f ca="1">IF(AND(INDEX(FlowCalConstA,MATCH(R277,FlowCalNumber,0),1,1)*T284^INDEX(FlowCalConstB,MATCH(R277,FlowCalNumber,0),1,1)&gt;INDEX(FlowCalLowSetting,MATCH(R277,FlowCalNumber,0),1,1), (INDEX(FlowCalConstA,MATCH(R277,FlowCalNumber,0),1,1)*T284^INDEX(FlowCalConstB,MATCH(R277,FlowCalNumber,0),1,1)&lt;INDEX(FlowCalHighSetting,MATCH(R277,FlowCalNumber,0),1,1))),INDEX(FlowCalConstA,MATCH(R277,FlowCalNumber,0),1,1)*T284^INDEX(FlowCalConstB,MATCH(R277,FlowCalNumber,0),1,1)," ")</f>
        <v>#N/A</v>
      </c>
      <c r="V284" s="33"/>
      <c r="W284" s="242">
        <f t="shared" si="270"/>
        <v>0.1</v>
      </c>
      <c r="X284" s="241" t="e">
        <f t="shared" ca="1" si="271"/>
        <v>#N/A</v>
      </c>
      <c r="Y284" s="243" t="e">
        <f ca="1">IF(AND(INDEX(FlowCalConstA,MATCH(V277,FlowCalNumber,0),1,1)*X284^INDEX(FlowCalConstB,MATCH(V277,FlowCalNumber,0),1,1)&gt;INDEX(FlowCalLowSetting,MATCH(V277,FlowCalNumber,0),1,1), (INDEX(FlowCalConstA,MATCH(V277,FlowCalNumber,0),1,1)*X284^INDEX(FlowCalConstB,MATCH(V277,FlowCalNumber,0),1,1)&lt;INDEX(FlowCalHighSetting,MATCH(V277,FlowCalNumber,0),1,1))),INDEX(FlowCalConstA,MATCH(V277,FlowCalNumber,0),1,1)*X284^INDEX(FlowCalConstB,MATCH(V277,FlowCalNumber,0),1,1)," ")</f>
        <v>#N/A</v>
      </c>
      <c r="Z284" s="33"/>
      <c r="AA284" s="242">
        <f t="shared" si="272"/>
        <v>0.9</v>
      </c>
      <c r="AB284" s="241" t="e">
        <f t="shared" ca="1" si="273"/>
        <v>#N/A</v>
      </c>
      <c r="AC284" s="243" t="e">
        <f ca="1">IF(AND(INDEX(FlowCalConstA,MATCH(Z277,FlowCalNumber,0),1,1)*AB284^INDEX(FlowCalConstB,MATCH(Z277,FlowCalNumber,0),1,1)&gt;INDEX(FlowCalLowSetting,MATCH(Z277,FlowCalNumber,0),1,1), (INDEX(FlowCalConstA,MATCH(Z277,FlowCalNumber,0),1,1)*AB284^INDEX(FlowCalConstB,MATCH(Z277,FlowCalNumber,0),1,1)&lt;INDEX(FlowCalHighSetting,MATCH(Z277,FlowCalNumber,0),1,1))),INDEX(FlowCalConstA,MATCH(Z277,FlowCalNumber,0),1,1)*AB284^INDEX(FlowCalConstB,MATCH(Z277,FlowCalNumber,0),1,1)," ")</f>
        <v>#N/A</v>
      </c>
      <c r="AD284" s="33"/>
      <c r="AE284" s="242">
        <f t="shared" si="274"/>
        <v>0.1</v>
      </c>
      <c r="AF284" s="241" t="e">
        <f t="shared" ca="1" si="275"/>
        <v>#N/A</v>
      </c>
      <c r="AG284" s="243" t="e">
        <f ca="1">IF(AND(INDEX(FlowCalConstA,MATCH(AD277,FlowCalNumber,0),1,1)*AF284^INDEX(FlowCalConstB,MATCH(AD277,FlowCalNumber,0),1,1)&gt;INDEX(FlowCalLowSetting,MATCH(AD277,FlowCalNumber,0),1,1), (INDEX(FlowCalConstA,MATCH(AD277,FlowCalNumber,0),1,1)*AF284^INDEX(FlowCalConstB,MATCH(AD277,FlowCalNumber,0),1,1)&lt;INDEX(FlowCalHighSetting,MATCH(AD277,FlowCalNumber,0),1,1))),INDEX(FlowCalConstA,MATCH(AD277,FlowCalNumber,0),1,1)*AF284^INDEX(FlowCalConstB,MATCH(AD277,FlowCalNumber,0),1,1)," ")</f>
        <v>#N/A</v>
      </c>
      <c r="AH284" s="33"/>
      <c r="AI284" s="242">
        <f t="shared" si="276"/>
        <v>0.9</v>
      </c>
      <c r="AJ284" s="241" t="e">
        <f t="shared" ca="1" si="277"/>
        <v>#N/A</v>
      </c>
      <c r="AK284" s="243" t="e">
        <f ca="1">IF(AND(INDEX(FlowCalConstA,MATCH(AH277,FlowCalNumber,0),1,1)*AJ284^INDEX(FlowCalConstB,MATCH(AH277,FlowCalNumber,0),1,1)&gt;INDEX(FlowCalLowSetting,MATCH(AH277,FlowCalNumber,0),1,1), (INDEX(FlowCalConstA,MATCH(AH277,FlowCalNumber,0),1,1)*AJ284^INDEX(FlowCalConstB,MATCH(AH277,FlowCalNumber,0),1,1)&lt;INDEX(FlowCalHighSetting,MATCH(AH277,FlowCalNumber,0),1,1))),INDEX(FlowCalConstA,MATCH(AH277,FlowCalNumber,0),1,1)*AJ284^INDEX(FlowCalConstB,MATCH(AH277,FlowCalNumber,0),1,1)," ")</f>
        <v>#N/A</v>
      </c>
      <c r="AL284" s="33"/>
      <c r="AM284" s="242"/>
      <c r="AN284" s="241"/>
      <c r="AO284" s="244"/>
      <c r="AQ284" s="242"/>
      <c r="AR284" s="241"/>
      <c r="AS284" s="244"/>
      <c r="AT284" s="33"/>
      <c r="AU284" s="242"/>
      <c r="AV284" s="241"/>
      <c r="AW284" s="244"/>
      <c r="AX284" s="33"/>
      <c r="AY284" s="242"/>
      <c r="AZ284" s="241"/>
      <c r="BA284" s="244"/>
      <c r="BB284" s="33"/>
      <c r="BC284" s="242"/>
      <c r="BD284" s="241"/>
      <c r="BE284" s="244"/>
      <c r="BF284" s="33"/>
      <c r="BG284" s="242"/>
      <c r="BH284" s="241"/>
      <c r="BI284" s="244"/>
      <c r="BJ284" s="33"/>
      <c r="BK284" s="242"/>
      <c r="BL284" s="241"/>
      <c r="BM284" s="244"/>
      <c r="BN284" s="33"/>
      <c r="BO284" s="242"/>
      <c r="BP284" s="241"/>
      <c r="BQ284" s="244"/>
      <c r="BR284" s="33"/>
      <c r="BS284" s="242"/>
      <c r="BT284" s="241"/>
      <c r="BU284" s="244"/>
      <c r="BV284" s="33"/>
      <c r="BW284" s="242"/>
      <c r="BX284" s="241"/>
      <c r="BY284" s="244"/>
      <c r="BZ284" s="33"/>
      <c r="CA284" s="242"/>
      <c r="CB284" s="241"/>
      <c r="CC284" s="244"/>
      <c r="CD284" s="243"/>
      <c r="CE284" s="243"/>
      <c r="CF284" s="243"/>
      <c r="CG284" s="243"/>
      <c r="CH284" s="243"/>
      <c r="CI284" s="243"/>
      <c r="CJ284" s="243"/>
      <c r="CK284" s="243"/>
      <c r="CL284" s="243"/>
      <c r="CM284" s="243"/>
      <c r="CN284" s="243"/>
      <c r="CO284" s="243"/>
      <c r="CP284" s="243"/>
      <c r="CQ284" s="243"/>
      <c r="CR284" s="243"/>
      <c r="CS284" s="243"/>
      <c r="CT284" s="243"/>
      <c r="CU284" s="243"/>
      <c r="CV284" s="243"/>
      <c r="CW284" s="243"/>
      <c r="CX284" s="243"/>
      <c r="CY284" s="243"/>
      <c r="CZ284" s="243"/>
      <c r="DA284" s="243"/>
      <c r="DB284" s="243"/>
      <c r="DC284" s="243"/>
      <c r="DD284" s="243"/>
      <c r="DE284" s="243"/>
      <c r="DF284" s="243"/>
      <c r="DG284" s="243"/>
      <c r="DH284" s="243"/>
      <c r="DI284" s="243"/>
      <c r="DJ284" s="243"/>
      <c r="DK284" s="243"/>
      <c r="DM284" s="242"/>
      <c r="DO284" s="243"/>
      <c r="DQ284" s="242"/>
      <c r="DS284" s="243"/>
      <c r="DU284" s="242"/>
      <c r="DW284" s="243"/>
      <c r="DY284" s="242"/>
      <c r="EA284" s="243"/>
    </row>
    <row r="285" spans="1:131">
      <c r="A285" s="20"/>
      <c r="B285" s="124" t="str">
        <f t="shared" si="262"/>
        <v/>
      </c>
      <c r="C285" s="235"/>
      <c r="D285" s="24">
        <f>'1% Wind'!$M$89</f>
        <v>7.6</v>
      </c>
      <c r="E285" s="90"/>
      <c r="F285" s="90"/>
      <c r="G285" s="79" t="e">
        <f ca="1">IF(I277=0.9743,$G284,MAX(G284/D284*D285,2))</f>
        <v>#N/A</v>
      </c>
      <c r="H285" s="121" t="e">
        <f t="shared" ca="1" si="263"/>
        <v>#N/A</v>
      </c>
      <c r="J285" s="33"/>
      <c r="K285" s="242">
        <f t="shared" si="264"/>
        <v>1</v>
      </c>
      <c r="L285" s="241" t="e">
        <f t="shared" ca="1" si="265"/>
        <v>#N/A</v>
      </c>
      <c r="M285" s="243" t="e">
        <f ca="1">IF(AND(INDEX(FlowCalConstA,MATCH(J277,FlowCalNumber,0),1,1)*L285^INDEX(FlowCalConstB,MATCH(J277,FlowCalNumber,0),1,1)&gt;INDEX(FlowCalLowSetting,MATCH(J277,FlowCalNumber,0),1,1), (INDEX(FlowCalConstA,MATCH(J277,FlowCalNumber,0),1,1)*L285^INDEX(FlowCalConstB,MATCH(J277,FlowCalNumber,0),1,1)&lt;INDEX(FlowCalHighSetting,MATCH(J277,FlowCalNumber,0),1,1))),INDEX(FlowCalConstA,MATCH(J277,FlowCalNumber,0),1,1)*L285^INDEX(FlowCalConstB,MATCH(J277,FlowCalNumber,0),1,1)," ")</f>
        <v>#N/A</v>
      </c>
      <c r="N285" s="33"/>
      <c r="O285" s="242">
        <f t="shared" si="266"/>
        <v>1</v>
      </c>
      <c r="P285" s="241" t="e">
        <f t="shared" ca="1" si="267"/>
        <v>#N/A</v>
      </c>
      <c r="Q285" s="243" t="e">
        <f ca="1">IF(AND(INDEX(FlowCalConstA,MATCH(N277,FlowCalNumber,0),1,1)*P285^INDEX(FlowCalConstB,MATCH(N277,FlowCalNumber,0),1,1)&gt;INDEX(FlowCalLowSetting,MATCH(N277,FlowCalNumber,0),1,1), (INDEX(FlowCalConstA,MATCH(N277,FlowCalNumber,0),1,1)*P285^INDEX(FlowCalConstB,MATCH(N277,FlowCalNumber,0),1,1)&lt;INDEX(FlowCalHighSetting,MATCH(N277,FlowCalNumber,0),1,1))),INDEX(FlowCalConstA,MATCH(N277,FlowCalNumber,0),1,1)*P285^INDEX(FlowCalConstB,MATCH(N277,FlowCalNumber,0),1,1)," ")</f>
        <v>#N/A</v>
      </c>
      <c r="R285" s="33"/>
      <c r="S285" s="242">
        <f t="shared" si="268"/>
        <v>1</v>
      </c>
      <c r="T285" s="241" t="e">
        <f t="shared" ca="1" si="269"/>
        <v>#N/A</v>
      </c>
      <c r="U285" s="244" t="e">
        <f ca="1">IF(AND(INDEX(FlowCalConstA,MATCH(R277,FlowCalNumber,0),1,1)*T285^INDEX(FlowCalConstB,MATCH(R277,FlowCalNumber,0),1,1)&gt;INDEX(FlowCalLowSetting,MATCH(R277,FlowCalNumber,0),1,1), (INDEX(FlowCalConstA,MATCH(R277,FlowCalNumber,0),1,1)*T285^INDEX(FlowCalConstB,MATCH(R277,FlowCalNumber,0),1,1)&lt;INDEX(FlowCalHighSetting,MATCH(R277,FlowCalNumber,0),1,1))),INDEX(FlowCalConstA,MATCH(R277,FlowCalNumber,0),1,1)*T285^INDEX(FlowCalConstB,MATCH(R277,FlowCalNumber,0),1,1)," ")</f>
        <v>#N/A</v>
      </c>
      <c r="V285" s="33"/>
      <c r="W285" s="242">
        <f t="shared" si="270"/>
        <v>0.1</v>
      </c>
      <c r="X285" s="241" t="e">
        <f t="shared" ca="1" si="271"/>
        <v>#N/A</v>
      </c>
      <c r="Y285" s="243" t="e">
        <f ca="1">IF(AND(INDEX(FlowCalConstA,MATCH(V277,FlowCalNumber,0),1,1)*X285^INDEX(FlowCalConstB,MATCH(V277,FlowCalNumber,0),1,1)&gt;INDEX(FlowCalLowSetting,MATCH(V277,FlowCalNumber,0),1,1), (INDEX(FlowCalConstA,MATCH(V277,FlowCalNumber,0),1,1)*X285^INDEX(FlowCalConstB,MATCH(V277,FlowCalNumber,0),1,1)&lt;INDEX(FlowCalHighSetting,MATCH(V277,FlowCalNumber,0),1,1))),INDEX(FlowCalConstA,MATCH(V277,FlowCalNumber,0),1,1)*X285^INDEX(FlowCalConstB,MATCH(V277,FlowCalNumber,0),1,1)," ")</f>
        <v>#N/A</v>
      </c>
      <c r="Z285" s="33"/>
      <c r="AA285" s="242">
        <f t="shared" si="272"/>
        <v>0.9</v>
      </c>
      <c r="AB285" s="241" t="e">
        <f t="shared" ca="1" si="273"/>
        <v>#N/A</v>
      </c>
      <c r="AC285" s="243" t="e">
        <f ca="1">IF(AND(INDEX(FlowCalConstA,MATCH(Z277,FlowCalNumber,0),1,1)*AB285^INDEX(FlowCalConstB,MATCH(Z277,FlowCalNumber,0),1,1)&gt;INDEX(FlowCalLowSetting,MATCH(Z277,FlowCalNumber,0),1,1), (INDEX(FlowCalConstA,MATCH(Z277,FlowCalNumber,0),1,1)*AB285^INDEX(FlowCalConstB,MATCH(Z277,FlowCalNumber,0),1,1)&lt;INDEX(FlowCalHighSetting,MATCH(Z277,FlowCalNumber,0),1,1))),INDEX(FlowCalConstA,MATCH(Z277,FlowCalNumber,0),1,1)*AB285^INDEX(FlowCalConstB,MATCH(Z277,FlowCalNumber,0),1,1)," ")</f>
        <v>#N/A</v>
      </c>
      <c r="AD285" s="33"/>
      <c r="AE285" s="242">
        <f t="shared" si="274"/>
        <v>0.1</v>
      </c>
      <c r="AF285" s="241" t="e">
        <f t="shared" ca="1" si="275"/>
        <v>#N/A</v>
      </c>
      <c r="AG285" s="243" t="e">
        <f ca="1">IF(AND(INDEX(FlowCalConstA,MATCH(AD277,FlowCalNumber,0),1,1)*AF285^INDEX(FlowCalConstB,MATCH(AD277,FlowCalNumber,0),1,1)&gt;INDEX(FlowCalLowSetting,MATCH(AD277,FlowCalNumber,0),1,1), (INDEX(FlowCalConstA,MATCH(AD277,FlowCalNumber,0),1,1)*AF285^INDEX(FlowCalConstB,MATCH(AD277,FlowCalNumber,0),1,1)&lt;INDEX(FlowCalHighSetting,MATCH(AD277,FlowCalNumber,0),1,1))),INDEX(FlowCalConstA,MATCH(AD277,FlowCalNumber,0),1,1)*AF285^INDEX(FlowCalConstB,MATCH(AD277,FlowCalNumber,0),1,1)," ")</f>
        <v>#N/A</v>
      </c>
      <c r="AH285" s="33"/>
      <c r="AI285" s="242">
        <f t="shared" si="276"/>
        <v>0.9</v>
      </c>
      <c r="AJ285" s="241" t="e">
        <f t="shared" ca="1" si="277"/>
        <v>#N/A</v>
      </c>
      <c r="AK285" s="243" t="e">
        <f ca="1">IF(AND(INDEX(FlowCalConstA,MATCH(AH277,FlowCalNumber,0),1,1)*AJ285^INDEX(FlowCalConstB,MATCH(AH277,FlowCalNumber,0),1,1)&gt;INDEX(FlowCalLowSetting,MATCH(AH277,FlowCalNumber,0),1,1), (INDEX(FlowCalConstA,MATCH(AH277,FlowCalNumber,0),1,1)*AJ285^INDEX(FlowCalConstB,MATCH(AH277,FlowCalNumber,0),1,1)&lt;INDEX(FlowCalHighSetting,MATCH(AH277,FlowCalNumber,0),1,1))),INDEX(FlowCalConstA,MATCH(AH277,FlowCalNumber,0),1,1)*AJ285^INDEX(FlowCalConstB,MATCH(AH277,FlowCalNumber,0),1,1)," ")</f>
        <v>#N/A</v>
      </c>
      <c r="AL285" s="33"/>
      <c r="AM285" s="242"/>
      <c r="AN285" s="241"/>
      <c r="AO285" s="244"/>
      <c r="AQ285" s="242"/>
      <c r="AR285" s="241"/>
      <c r="AS285" s="244"/>
      <c r="AT285" s="33"/>
      <c r="AU285" s="242"/>
      <c r="AV285" s="241"/>
      <c r="AW285" s="244"/>
      <c r="AX285" s="33"/>
      <c r="AY285" s="242"/>
      <c r="AZ285" s="241"/>
      <c r="BA285" s="244"/>
      <c r="BB285" s="33"/>
      <c r="BC285" s="242"/>
      <c r="BD285" s="241"/>
      <c r="BE285" s="244"/>
      <c r="BF285" s="33"/>
      <c r="BG285" s="242"/>
      <c r="BH285" s="241"/>
      <c r="BI285" s="244"/>
      <c r="BJ285" s="33"/>
      <c r="BK285" s="242"/>
      <c r="BL285" s="241"/>
      <c r="BM285" s="244"/>
      <c r="BN285" s="33"/>
      <c r="BO285" s="242"/>
      <c r="BP285" s="241"/>
      <c r="BQ285" s="244"/>
      <c r="BR285" s="33"/>
      <c r="BS285" s="242"/>
      <c r="BT285" s="241"/>
      <c r="BU285" s="244"/>
      <c r="BV285" s="33"/>
      <c r="BW285" s="242"/>
      <c r="BX285" s="241"/>
      <c r="BY285" s="244"/>
      <c r="BZ285" s="33"/>
      <c r="CA285" s="242"/>
      <c r="CB285" s="241"/>
      <c r="CC285" s="244"/>
      <c r="CD285" s="243"/>
      <c r="CE285" s="243"/>
      <c r="CF285" s="243"/>
      <c r="CG285" s="243"/>
      <c r="CH285" s="243"/>
      <c r="CI285" s="243"/>
      <c r="CJ285" s="243"/>
      <c r="CK285" s="243"/>
      <c r="CL285" s="243"/>
      <c r="CM285" s="243"/>
      <c r="CN285" s="243"/>
      <c r="CO285" s="243"/>
      <c r="CP285" s="243"/>
      <c r="CQ285" s="243"/>
      <c r="CR285" s="243"/>
      <c r="CS285" s="243"/>
      <c r="CT285" s="243"/>
      <c r="CU285" s="243"/>
      <c r="CV285" s="243"/>
      <c r="CW285" s="243"/>
      <c r="CX285" s="243"/>
      <c r="CY285" s="243"/>
      <c r="CZ285" s="243"/>
      <c r="DA285" s="243"/>
      <c r="DB285" s="243"/>
      <c r="DC285" s="243"/>
      <c r="DD285" s="243"/>
      <c r="DE285" s="243"/>
      <c r="DF285" s="243"/>
      <c r="DG285" s="243"/>
      <c r="DH285" s="243"/>
      <c r="DI285" s="243"/>
      <c r="DJ285" s="243"/>
      <c r="DK285" s="243"/>
      <c r="DM285" s="242"/>
      <c r="DO285" s="243"/>
      <c r="DQ285" s="242"/>
      <c r="DS285" s="243"/>
      <c r="DU285" s="242"/>
      <c r="DW285" s="243"/>
      <c r="DY285" s="242"/>
      <c r="EA285" s="243"/>
    </row>
    <row r="286" spans="1:131">
      <c r="A286" s="20"/>
      <c r="B286" s="124" t="str">
        <f t="shared" si="262"/>
        <v/>
      </c>
      <c r="C286" s="235"/>
      <c r="D286" s="24">
        <f>'1% Wind'!$M$90</f>
        <v>5.7</v>
      </c>
      <c r="E286" s="90"/>
      <c r="F286" s="90"/>
      <c r="G286" s="79" t="e">
        <f ca="1">IF(I277=0.9743,$G285,MAX(G285/D285*D286,2))</f>
        <v>#N/A</v>
      </c>
      <c r="H286" s="121" t="e">
        <f t="shared" ca="1" si="263"/>
        <v>#N/A</v>
      </c>
      <c r="J286" s="33"/>
      <c r="K286" s="242">
        <f t="shared" si="264"/>
        <v>1</v>
      </c>
      <c r="L286" s="241" t="e">
        <f t="shared" ca="1" si="265"/>
        <v>#N/A</v>
      </c>
      <c r="M286" s="243" t="e">
        <f ca="1">IF(AND(INDEX(FlowCalConstA,MATCH(J277,FlowCalNumber,0),1,1)*L286^INDEX(FlowCalConstB,MATCH(J277,FlowCalNumber,0),1,1)&gt;INDEX(FlowCalLowSetting,MATCH(J277,FlowCalNumber,0),1,1), (INDEX(FlowCalConstA,MATCH(J277,FlowCalNumber,0),1,1)*L286^INDEX(FlowCalConstB,MATCH(J277,FlowCalNumber,0),1,1)&lt;INDEX(FlowCalHighSetting,MATCH(J277,FlowCalNumber,0),1,1))),INDEX(FlowCalConstA,MATCH(J277,FlowCalNumber,0),1,1)*L286^INDEX(FlowCalConstB,MATCH(J277,FlowCalNumber,0),1,1)," ")</f>
        <v>#N/A</v>
      </c>
      <c r="N286" s="33"/>
      <c r="O286" s="242">
        <f t="shared" si="266"/>
        <v>1</v>
      </c>
      <c r="P286" s="241" t="e">
        <f t="shared" ca="1" si="267"/>
        <v>#N/A</v>
      </c>
      <c r="Q286" s="243" t="e">
        <f ca="1">IF(AND(INDEX(FlowCalConstA,MATCH(N277,FlowCalNumber,0),1,1)*P286^INDEX(FlowCalConstB,MATCH(N277,FlowCalNumber,0),1,1)&gt;INDEX(FlowCalLowSetting,MATCH(N277,FlowCalNumber,0),1,1), (INDEX(FlowCalConstA,MATCH(N277,FlowCalNumber,0),1,1)*P286^INDEX(FlowCalConstB,MATCH(N277,FlowCalNumber,0),1,1)&lt;INDEX(FlowCalHighSetting,MATCH(N277,FlowCalNumber,0),1,1))),INDEX(FlowCalConstA,MATCH(N277,FlowCalNumber,0),1,1)*P286^INDEX(FlowCalConstB,MATCH(N277,FlowCalNumber,0),1,1)," ")</f>
        <v>#N/A</v>
      </c>
      <c r="R286" s="33"/>
      <c r="S286" s="242">
        <f t="shared" si="268"/>
        <v>1</v>
      </c>
      <c r="T286" s="241" t="e">
        <f t="shared" ca="1" si="269"/>
        <v>#N/A</v>
      </c>
      <c r="U286" s="244" t="e">
        <f ca="1">IF(AND(INDEX(FlowCalConstA,MATCH(R277,FlowCalNumber,0),1,1)*T286^INDEX(FlowCalConstB,MATCH(R277,FlowCalNumber,0),1,1)&gt;INDEX(FlowCalLowSetting,MATCH(R277,FlowCalNumber,0),1,1), (INDEX(FlowCalConstA,MATCH(R277,FlowCalNumber,0),1,1)*T286^INDEX(FlowCalConstB,MATCH(R277,FlowCalNumber,0),1,1)&lt;INDEX(FlowCalHighSetting,MATCH(R277,FlowCalNumber,0),1,1))),INDEX(FlowCalConstA,MATCH(R277,FlowCalNumber,0),1,1)*T286^INDEX(FlowCalConstB,MATCH(R277,FlowCalNumber,0),1,1)," ")</f>
        <v>#N/A</v>
      </c>
      <c r="V286" s="33"/>
      <c r="W286" s="242">
        <f t="shared" si="270"/>
        <v>0.1</v>
      </c>
      <c r="X286" s="241" t="e">
        <f t="shared" ca="1" si="271"/>
        <v>#N/A</v>
      </c>
      <c r="Y286" s="243" t="e">
        <f ca="1">IF(AND(INDEX(FlowCalConstA,MATCH(V277,FlowCalNumber,0),1,1)*X286^INDEX(FlowCalConstB,MATCH(V277,FlowCalNumber,0),1,1)&gt;INDEX(FlowCalLowSetting,MATCH(V277,FlowCalNumber,0),1,1), (INDEX(FlowCalConstA,MATCH(V277,FlowCalNumber,0),1,1)*X286^INDEX(FlowCalConstB,MATCH(V277,FlowCalNumber,0),1,1)&lt;INDEX(FlowCalHighSetting,MATCH(V277,FlowCalNumber,0),1,1))),INDEX(FlowCalConstA,MATCH(V277,FlowCalNumber,0),1,1)*X286^INDEX(FlowCalConstB,MATCH(V277,FlowCalNumber,0),1,1)," ")</f>
        <v>#N/A</v>
      </c>
      <c r="Z286" s="33"/>
      <c r="AA286" s="242">
        <f t="shared" si="272"/>
        <v>0.9</v>
      </c>
      <c r="AB286" s="241" t="e">
        <f t="shared" ca="1" si="273"/>
        <v>#N/A</v>
      </c>
      <c r="AC286" s="243" t="e">
        <f ca="1">IF(AND(INDEX(FlowCalConstA,MATCH(Z277,FlowCalNumber,0),1,1)*AB286^INDEX(FlowCalConstB,MATCH(Z277,FlowCalNumber,0),1,1)&gt;INDEX(FlowCalLowSetting,MATCH(Z277,FlowCalNumber,0),1,1), (INDEX(FlowCalConstA,MATCH(Z277,FlowCalNumber,0),1,1)*AB286^INDEX(FlowCalConstB,MATCH(Z277,FlowCalNumber,0),1,1)&lt;INDEX(FlowCalHighSetting,MATCH(Z277,FlowCalNumber,0),1,1))),INDEX(FlowCalConstA,MATCH(Z277,FlowCalNumber,0),1,1)*AB286^INDEX(FlowCalConstB,MATCH(Z277,FlowCalNumber,0),1,1)," ")</f>
        <v>#N/A</v>
      </c>
      <c r="AD286" s="33"/>
      <c r="AE286" s="242">
        <f t="shared" si="274"/>
        <v>0.1</v>
      </c>
      <c r="AF286" s="241" t="e">
        <f t="shared" ca="1" si="275"/>
        <v>#N/A</v>
      </c>
      <c r="AG286" s="243" t="e">
        <f ca="1">IF(AND(INDEX(FlowCalConstA,MATCH(AD277,FlowCalNumber,0),1,1)*AF286^INDEX(FlowCalConstB,MATCH(AD277,FlowCalNumber,0),1,1)&gt;INDEX(FlowCalLowSetting,MATCH(AD277,FlowCalNumber,0),1,1), (INDEX(FlowCalConstA,MATCH(AD277,FlowCalNumber,0),1,1)*AF286^INDEX(FlowCalConstB,MATCH(AD277,FlowCalNumber,0),1,1)&lt;INDEX(FlowCalHighSetting,MATCH(AD277,FlowCalNumber,0),1,1))),INDEX(FlowCalConstA,MATCH(AD277,FlowCalNumber,0),1,1)*AF286^INDEX(FlowCalConstB,MATCH(AD277,FlowCalNumber,0),1,1)," ")</f>
        <v>#N/A</v>
      </c>
      <c r="AH286" s="33"/>
      <c r="AI286" s="242">
        <f t="shared" si="276"/>
        <v>0.9</v>
      </c>
      <c r="AJ286" s="241" t="e">
        <f t="shared" ca="1" si="277"/>
        <v>#N/A</v>
      </c>
      <c r="AK286" s="243" t="e">
        <f ca="1">IF(AND(INDEX(FlowCalConstA,MATCH(AH277,FlowCalNumber,0),1,1)*AJ286^INDEX(FlowCalConstB,MATCH(AH277,FlowCalNumber,0),1,1)&gt;INDEX(FlowCalLowSetting,MATCH(AH277,FlowCalNumber,0),1,1), (INDEX(FlowCalConstA,MATCH(AH277,FlowCalNumber,0),1,1)*AJ286^INDEX(FlowCalConstB,MATCH(AH277,FlowCalNumber,0),1,1)&lt;INDEX(FlowCalHighSetting,MATCH(AH277,FlowCalNumber,0),1,1))),INDEX(FlowCalConstA,MATCH(AH277,FlowCalNumber,0),1,1)*AJ286^INDEX(FlowCalConstB,MATCH(AH277,FlowCalNumber,0),1,1)," ")</f>
        <v>#N/A</v>
      </c>
      <c r="AL286" s="33"/>
      <c r="AM286" s="242"/>
      <c r="AN286" s="241"/>
      <c r="AO286" s="244"/>
      <c r="AQ286" s="242"/>
      <c r="AR286" s="241"/>
      <c r="AS286" s="244"/>
      <c r="AT286" s="33"/>
      <c r="AU286" s="242"/>
      <c r="AV286" s="241"/>
      <c r="AW286" s="244"/>
      <c r="AX286" s="33"/>
      <c r="AY286" s="242"/>
      <c r="AZ286" s="241"/>
      <c r="BA286" s="244"/>
      <c r="BB286" s="33"/>
      <c r="BC286" s="242"/>
      <c r="BD286" s="241"/>
      <c r="BE286" s="244"/>
      <c r="BF286" s="33"/>
      <c r="BG286" s="242"/>
      <c r="BH286" s="241"/>
      <c r="BI286" s="244"/>
      <c r="BJ286" s="33"/>
      <c r="BK286" s="242"/>
      <c r="BL286" s="241"/>
      <c r="BM286" s="244"/>
      <c r="BN286" s="33"/>
      <c r="BO286" s="242"/>
      <c r="BP286" s="241"/>
      <c r="BQ286" s="244"/>
      <c r="BR286" s="33"/>
      <c r="BS286" s="242"/>
      <c r="BT286" s="241"/>
      <c r="BU286" s="244"/>
      <c r="BV286" s="33"/>
      <c r="BW286" s="242"/>
      <c r="BX286" s="241"/>
      <c r="BY286" s="244"/>
      <c r="BZ286" s="33"/>
      <c r="CA286" s="242"/>
      <c r="CB286" s="241"/>
      <c r="CC286" s="244"/>
      <c r="CD286" s="243"/>
      <c r="CE286" s="243"/>
      <c r="CF286" s="243"/>
      <c r="CG286" s="243"/>
      <c r="CH286" s="243"/>
      <c r="CI286" s="243"/>
      <c r="CJ286" s="243"/>
      <c r="CK286" s="243"/>
      <c r="CL286" s="243"/>
      <c r="CM286" s="243"/>
      <c r="CN286" s="243"/>
      <c r="CO286" s="243"/>
      <c r="CP286" s="243"/>
      <c r="CQ286" s="243"/>
      <c r="CR286" s="243"/>
      <c r="CS286" s="243"/>
      <c r="CT286" s="243"/>
      <c r="CU286" s="243"/>
      <c r="CV286" s="243"/>
      <c r="CW286" s="243"/>
      <c r="CX286" s="243"/>
      <c r="CY286" s="243"/>
      <c r="CZ286" s="243"/>
      <c r="DA286" s="243"/>
      <c r="DB286" s="243"/>
      <c r="DC286" s="243"/>
      <c r="DD286" s="243"/>
      <c r="DE286" s="243"/>
      <c r="DF286" s="243"/>
      <c r="DG286" s="243"/>
      <c r="DH286" s="243"/>
      <c r="DI286" s="243"/>
      <c r="DJ286" s="243"/>
      <c r="DK286" s="243"/>
      <c r="DM286" s="242"/>
      <c r="DO286" s="243"/>
      <c r="DQ286" s="242"/>
      <c r="DS286" s="243"/>
      <c r="DU286" s="242"/>
      <c r="DW286" s="243"/>
      <c r="DY286" s="242"/>
      <c r="EA286" s="243"/>
    </row>
    <row r="287" spans="1:131">
      <c r="A287" s="20"/>
      <c r="B287" s="124" t="str">
        <f t="shared" si="262"/>
        <v/>
      </c>
      <c r="C287" s="235"/>
      <c r="D287" s="24">
        <f>'1% Wind'!$M$91</f>
        <v>4.2</v>
      </c>
      <c r="E287" s="90"/>
      <c r="F287" s="90"/>
      <c r="G287" s="79" t="e">
        <f ca="1">IF(I277=0.9743,$G286,MAX(G286/D286*D287,2))</f>
        <v>#N/A</v>
      </c>
      <c r="H287" s="121" t="e">
        <f t="shared" ca="1" si="263"/>
        <v>#N/A</v>
      </c>
      <c r="J287" s="33"/>
      <c r="K287" s="242">
        <f t="shared" si="264"/>
        <v>1</v>
      </c>
      <c r="L287" s="241" t="e">
        <f t="shared" ca="1" si="265"/>
        <v>#N/A</v>
      </c>
      <c r="M287" s="243" t="e">
        <f ca="1">IF(AND(INDEX(FlowCalConstA,MATCH(J277,FlowCalNumber,0),1,1)*L287^INDEX(FlowCalConstB,MATCH(J277,FlowCalNumber,0),1,1)&gt;INDEX(FlowCalLowSetting,MATCH(J277,FlowCalNumber,0),1,1), (INDEX(FlowCalConstA,MATCH(J277,FlowCalNumber,0),1,1)*L287^INDEX(FlowCalConstB,MATCH(J277,FlowCalNumber,0),1,1)&lt;INDEX(FlowCalHighSetting,MATCH(J277,FlowCalNumber,0),1,1))),INDEX(FlowCalConstA,MATCH(J277,FlowCalNumber,0),1,1)*L287^INDEX(FlowCalConstB,MATCH(J277,FlowCalNumber,0),1,1)," ")</f>
        <v>#N/A</v>
      </c>
      <c r="N287" s="33"/>
      <c r="O287" s="242">
        <f t="shared" si="266"/>
        <v>1</v>
      </c>
      <c r="P287" s="241" t="e">
        <f t="shared" ca="1" si="267"/>
        <v>#N/A</v>
      </c>
      <c r="Q287" s="243" t="e">
        <f ca="1">IF(AND(INDEX(FlowCalConstA,MATCH(N277,FlowCalNumber,0),1,1)*P287^INDEX(FlowCalConstB,MATCH(N277,FlowCalNumber,0),1,1)&gt;INDEX(FlowCalLowSetting,MATCH(N277,FlowCalNumber,0),1,1), (INDEX(FlowCalConstA,MATCH(N277,FlowCalNumber,0),1,1)*P287^INDEX(FlowCalConstB,MATCH(N277,FlowCalNumber,0),1,1)&lt;INDEX(FlowCalHighSetting,MATCH(N277,FlowCalNumber,0),1,1))),INDEX(FlowCalConstA,MATCH(N277,FlowCalNumber,0),1,1)*P287^INDEX(FlowCalConstB,MATCH(N277,FlowCalNumber,0),1,1)," ")</f>
        <v>#N/A</v>
      </c>
      <c r="R287" s="33"/>
      <c r="S287" s="242">
        <f t="shared" si="268"/>
        <v>1</v>
      </c>
      <c r="T287" s="241" t="e">
        <f t="shared" ca="1" si="269"/>
        <v>#N/A</v>
      </c>
      <c r="U287" s="244" t="e">
        <f ca="1">IF(AND(INDEX(FlowCalConstA,MATCH(R277,FlowCalNumber,0),1,1)*T287^INDEX(FlowCalConstB,MATCH(R277,FlowCalNumber,0),1,1)&gt;INDEX(FlowCalLowSetting,MATCH(R277,FlowCalNumber,0),1,1), (INDEX(FlowCalConstA,MATCH(R277,FlowCalNumber,0),1,1)*T287^INDEX(FlowCalConstB,MATCH(R277,FlowCalNumber,0),1,1)&lt;INDEX(FlowCalHighSetting,MATCH(R277,FlowCalNumber,0),1,1))),INDEX(FlowCalConstA,MATCH(R277,FlowCalNumber,0),1,1)*T287^INDEX(FlowCalConstB,MATCH(R277,FlowCalNumber,0),1,1)," ")</f>
        <v>#N/A</v>
      </c>
      <c r="V287" s="33"/>
      <c r="W287" s="242">
        <f t="shared" si="270"/>
        <v>0.1</v>
      </c>
      <c r="X287" s="241" t="e">
        <f t="shared" ca="1" si="271"/>
        <v>#N/A</v>
      </c>
      <c r="Y287" s="243" t="e">
        <f ca="1">IF(AND(INDEX(FlowCalConstA,MATCH(V277,FlowCalNumber,0),1,1)*X287^INDEX(FlowCalConstB,MATCH(V277,FlowCalNumber,0),1,1)&gt;INDEX(FlowCalLowSetting,MATCH(V277,FlowCalNumber,0),1,1), (INDEX(FlowCalConstA,MATCH(V277,FlowCalNumber,0),1,1)*X287^INDEX(FlowCalConstB,MATCH(V277,FlowCalNumber,0),1,1)&lt;INDEX(FlowCalHighSetting,MATCH(V277,FlowCalNumber,0),1,1))),INDEX(FlowCalConstA,MATCH(V277,FlowCalNumber,0),1,1)*X287^INDEX(FlowCalConstB,MATCH(V277,FlowCalNumber,0),1,1)," ")</f>
        <v>#N/A</v>
      </c>
      <c r="Z287" s="33"/>
      <c r="AA287" s="242">
        <f t="shared" si="272"/>
        <v>0.9</v>
      </c>
      <c r="AB287" s="241" t="e">
        <f t="shared" ca="1" si="273"/>
        <v>#N/A</v>
      </c>
      <c r="AC287" s="243" t="e">
        <f ca="1">IF(AND(INDEX(FlowCalConstA,MATCH(Z277,FlowCalNumber,0),1,1)*AB287^INDEX(FlowCalConstB,MATCH(Z277,FlowCalNumber,0),1,1)&gt;INDEX(FlowCalLowSetting,MATCH(Z277,FlowCalNumber,0),1,1), (INDEX(FlowCalConstA,MATCH(Z277,FlowCalNumber,0),1,1)*AB287^INDEX(FlowCalConstB,MATCH(Z277,FlowCalNumber,0),1,1)&lt;INDEX(FlowCalHighSetting,MATCH(Z277,FlowCalNumber,0),1,1))),INDEX(FlowCalConstA,MATCH(Z277,FlowCalNumber,0),1,1)*AB287^INDEX(FlowCalConstB,MATCH(Z277,FlowCalNumber,0),1,1)," ")</f>
        <v>#N/A</v>
      </c>
      <c r="AD287" s="33"/>
      <c r="AE287" s="242">
        <f t="shared" si="274"/>
        <v>0.1</v>
      </c>
      <c r="AF287" s="241" t="e">
        <f t="shared" ca="1" si="275"/>
        <v>#N/A</v>
      </c>
      <c r="AG287" s="243" t="e">
        <f ca="1">IF(AND(INDEX(FlowCalConstA,MATCH(AD277,FlowCalNumber,0),1,1)*AF287^INDEX(FlowCalConstB,MATCH(AD277,FlowCalNumber,0),1,1)&gt;INDEX(FlowCalLowSetting,MATCH(AD277,FlowCalNumber,0),1,1), (INDEX(FlowCalConstA,MATCH(AD277,FlowCalNumber,0),1,1)*AF287^INDEX(FlowCalConstB,MATCH(AD277,FlowCalNumber,0),1,1)&lt;INDEX(FlowCalHighSetting,MATCH(AD277,FlowCalNumber,0),1,1))),INDEX(FlowCalConstA,MATCH(AD277,FlowCalNumber,0),1,1)*AF287^INDEX(FlowCalConstB,MATCH(AD277,FlowCalNumber,0),1,1)," ")</f>
        <v>#N/A</v>
      </c>
      <c r="AH287" s="33"/>
      <c r="AI287" s="242">
        <f t="shared" si="276"/>
        <v>0.9</v>
      </c>
      <c r="AJ287" s="241" t="e">
        <f t="shared" ca="1" si="277"/>
        <v>#N/A</v>
      </c>
      <c r="AK287" s="243" t="e">
        <f ca="1">IF(AND(INDEX(FlowCalConstA,MATCH(AH277,FlowCalNumber,0),1,1)*AJ287^INDEX(FlowCalConstB,MATCH(AH277,FlowCalNumber,0),1,1)&gt;INDEX(FlowCalLowSetting,MATCH(AH277,FlowCalNumber,0),1,1), (INDEX(FlowCalConstA,MATCH(AH277,FlowCalNumber,0),1,1)*AJ287^INDEX(FlowCalConstB,MATCH(AH277,FlowCalNumber,0),1,1)&lt;INDEX(FlowCalHighSetting,MATCH(AH277,FlowCalNumber,0),1,1))),INDEX(FlowCalConstA,MATCH(AH277,FlowCalNumber,0),1,1)*AJ287^INDEX(FlowCalConstB,MATCH(AH277,FlowCalNumber,0),1,1)," ")</f>
        <v>#N/A</v>
      </c>
      <c r="AL287" s="33"/>
      <c r="AM287" s="242"/>
      <c r="AN287" s="241"/>
      <c r="AO287" s="244"/>
      <c r="AQ287" s="242"/>
      <c r="AR287" s="241"/>
      <c r="AS287" s="244"/>
      <c r="AT287" s="33"/>
      <c r="AU287" s="242"/>
      <c r="AV287" s="241"/>
      <c r="AW287" s="244"/>
      <c r="AX287" s="33"/>
      <c r="AY287" s="242"/>
      <c r="AZ287" s="241"/>
      <c r="BA287" s="244"/>
      <c r="BB287" s="33"/>
      <c r="BC287" s="242"/>
      <c r="BD287" s="241"/>
      <c r="BE287" s="244"/>
      <c r="BF287" s="33"/>
      <c r="BG287" s="242"/>
      <c r="BH287" s="241"/>
      <c r="BI287" s="244"/>
      <c r="BJ287" s="33"/>
      <c r="BK287" s="242"/>
      <c r="BL287" s="241"/>
      <c r="BM287" s="244"/>
      <c r="BN287" s="33"/>
      <c r="BO287" s="242"/>
      <c r="BP287" s="241"/>
      <c r="BQ287" s="244"/>
      <c r="BR287" s="33"/>
      <c r="BS287" s="242"/>
      <c r="BT287" s="241"/>
      <c r="BU287" s="244"/>
      <c r="BV287" s="33"/>
      <c r="BW287" s="242"/>
      <c r="BX287" s="241"/>
      <c r="BY287" s="244"/>
      <c r="BZ287" s="33"/>
      <c r="CA287" s="242"/>
      <c r="CB287" s="241"/>
      <c r="CC287" s="244"/>
      <c r="CD287" s="243"/>
      <c r="CE287" s="243"/>
      <c r="CF287" s="243"/>
      <c r="CG287" s="243"/>
      <c r="CH287" s="243"/>
      <c r="CI287" s="243"/>
      <c r="CJ287" s="243"/>
      <c r="CK287" s="243"/>
      <c r="CL287" s="243"/>
      <c r="CM287" s="243"/>
      <c r="CN287" s="243"/>
      <c r="CO287" s="243"/>
      <c r="CP287" s="243"/>
      <c r="CQ287" s="243"/>
      <c r="CR287" s="243"/>
      <c r="CS287" s="243"/>
      <c r="CT287" s="243"/>
      <c r="CU287" s="243"/>
      <c r="CV287" s="243"/>
      <c r="CW287" s="243"/>
      <c r="CX287" s="243"/>
      <c r="CY287" s="243"/>
      <c r="CZ287" s="243"/>
      <c r="DA287" s="243"/>
      <c r="DB287" s="243"/>
      <c r="DC287" s="243"/>
      <c r="DD287" s="243"/>
      <c r="DE287" s="243"/>
      <c r="DF287" s="243"/>
      <c r="DG287" s="243"/>
      <c r="DH287" s="243"/>
      <c r="DI287" s="243"/>
      <c r="DJ287" s="243"/>
      <c r="DK287" s="243"/>
      <c r="DM287" s="242"/>
      <c r="DO287" s="243"/>
      <c r="DQ287" s="242"/>
      <c r="DS287" s="243"/>
      <c r="DU287" s="242"/>
      <c r="DW287" s="243"/>
      <c r="DY287" s="242"/>
      <c r="EA287" s="243"/>
    </row>
    <row r="288" spans="1:131">
      <c r="A288" s="20"/>
      <c r="B288" s="124" t="str">
        <f t="shared" si="262"/>
        <v/>
      </c>
      <c r="C288" s="235"/>
      <c r="D288" s="24">
        <f>'1% Wind'!$M$92</f>
        <v>3.2</v>
      </c>
      <c r="E288" s="90"/>
      <c r="F288" s="90"/>
      <c r="G288" s="79" t="e">
        <f ca="1">IF(I277=0.9743,$G287,MAX(G287/D287*D288,2))</f>
        <v>#N/A</v>
      </c>
      <c r="H288" s="121" t="e">
        <f t="shared" ca="1" si="263"/>
        <v>#N/A</v>
      </c>
      <c r="J288" s="33"/>
      <c r="K288" s="242">
        <f t="shared" si="264"/>
        <v>1</v>
      </c>
      <c r="L288" s="241" t="e">
        <f t="shared" ca="1" si="265"/>
        <v>#N/A</v>
      </c>
      <c r="M288" s="243" t="e">
        <f ca="1">IF(AND(INDEX(FlowCalConstA,MATCH(J277,FlowCalNumber,0),1,1)*L288^INDEX(FlowCalConstB,MATCH(J277,FlowCalNumber,0),1,1)&gt;INDEX(FlowCalLowSetting,MATCH(J277,FlowCalNumber,0),1,1), (INDEX(FlowCalConstA,MATCH(J277,FlowCalNumber,0),1,1)*L288^INDEX(FlowCalConstB,MATCH(J277,FlowCalNumber,0),1,1)&lt;INDEX(FlowCalHighSetting,MATCH(J277,FlowCalNumber,0),1,1))),INDEX(FlowCalConstA,MATCH(J277,FlowCalNumber,0),1,1)*L288^INDEX(FlowCalConstB,MATCH(J277,FlowCalNumber,0),1,1)," ")</f>
        <v>#N/A</v>
      </c>
      <c r="N288" s="33"/>
      <c r="O288" s="242">
        <f t="shared" si="266"/>
        <v>1</v>
      </c>
      <c r="P288" s="241" t="e">
        <f t="shared" ca="1" si="267"/>
        <v>#N/A</v>
      </c>
      <c r="Q288" s="243" t="e">
        <f ca="1">IF(AND(INDEX(FlowCalConstA,MATCH(N277,FlowCalNumber,0),1,1)*P288^INDEX(FlowCalConstB,MATCH(N277,FlowCalNumber,0),1,1)&gt;INDEX(FlowCalLowSetting,MATCH(N277,FlowCalNumber,0),1,1), (INDEX(FlowCalConstA,MATCH(N277,FlowCalNumber,0),1,1)*P288^INDEX(FlowCalConstB,MATCH(N277,FlowCalNumber,0),1,1)&lt;INDEX(FlowCalHighSetting,MATCH(N277,FlowCalNumber,0),1,1))),INDEX(FlowCalConstA,MATCH(N277,FlowCalNumber,0),1,1)*P288^INDEX(FlowCalConstB,MATCH(N277,FlowCalNumber,0),1,1)," ")</f>
        <v>#N/A</v>
      </c>
      <c r="R288" s="33"/>
      <c r="S288" s="242">
        <f t="shared" si="268"/>
        <v>1</v>
      </c>
      <c r="T288" s="241" t="e">
        <f t="shared" ca="1" si="269"/>
        <v>#N/A</v>
      </c>
      <c r="U288" s="244" t="e">
        <f ca="1">IF(AND(INDEX(FlowCalConstA,MATCH(R277,FlowCalNumber,0),1,1)*T288^INDEX(FlowCalConstB,MATCH(R277,FlowCalNumber,0),1,1)&gt;INDEX(FlowCalLowSetting,MATCH(R277,FlowCalNumber,0),1,1), (INDEX(FlowCalConstA,MATCH(R277,FlowCalNumber,0),1,1)*T288^INDEX(FlowCalConstB,MATCH(R277,FlowCalNumber,0),1,1)&lt;INDEX(FlowCalHighSetting,MATCH(R277,FlowCalNumber,0),1,1))),INDEX(FlowCalConstA,MATCH(R277,FlowCalNumber,0),1,1)*T288^INDEX(FlowCalConstB,MATCH(R277,FlowCalNumber,0),1,1)," ")</f>
        <v>#N/A</v>
      </c>
      <c r="V288" s="33"/>
      <c r="W288" s="242">
        <f t="shared" si="270"/>
        <v>0.1</v>
      </c>
      <c r="X288" s="241" t="e">
        <f t="shared" ca="1" si="271"/>
        <v>#N/A</v>
      </c>
      <c r="Y288" s="243" t="e">
        <f ca="1">IF(AND(INDEX(FlowCalConstA,MATCH(V277,FlowCalNumber,0),1,1)*X288^INDEX(FlowCalConstB,MATCH(V277,FlowCalNumber,0),1,1)&gt;INDEX(FlowCalLowSetting,MATCH(V277,FlowCalNumber,0),1,1), (INDEX(FlowCalConstA,MATCH(V277,FlowCalNumber,0),1,1)*X288^INDEX(FlowCalConstB,MATCH(V277,FlowCalNumber,0),1,1)&lt;INDEX(FlowCalHighSetting,MATCH(V277,FlowCalNumber,0),1,1))),INDEX(FlowCalConstA,MATCH(V277,FlowCalNumber,0),1,1)*X288^INDEX(FlowCalConstB,MATCH(V277,FlowCalNumber,0),1,1)," ")</f>
        <v>#N/A</v>
      </c>
      <c r="Z288" s="33"/>
      <c r="AA288" s="242">
        <f t="shared" si="272"/>
        <v>0.9</v>
      </c>
      <c r="AB288" s="241" t="e">
        <f t="shared" ca="1" si="273"/>
        <v>#N/A</v>
      </c>
      <c r="AC288" s="243" t="e">
        <f ca="1">IF(AND(INDEX(FlowCalConstA,MATCH(Z277,FlowCalNumber,0),1,1)*AB288^INDEX(FlowCalConstB,MATCH(Z277,FlowCalNumber,0),1,1)&gt;INDEX(FlowCalLowSetting,MATCH(Z277,FlowCalNumber,0),1,1), (INDEX(FlowCalConstA,MATCH(Z277,FlowCalNumber,0),1,1)*AB288^INDEX(FlowCalConstB,MATCH(Z277,FlowCalNumber,0),1,1)&lt;INDEX(FlowCalHighSetting,MATCH(Z277,FlowCalNumber,0),1,1))),INDEX(FlowCalConstA,MATCH(Z277,FlowCalNumber,0),1,1)*AB288^INDEX(FlowCalConstB,MATCH(Z277,FlowCalNumber,0),1,1)," ")</f>
        <v>#N/A</v>
      </c>
      <c r="AD288" s="33"/>
      <c r="AE288" s="242">
        <f t="shared" si="274"/>
        <v>0.1</v>
      </c>
      <c r="AF288" s="241" t="e">
        <f t="shared" ca="1" si="275"/>
        <v>#N/A</v>
      </c>
      <c r="AG288" s="243" t="e">
        <f ca="1">IF(AND(INDEX(FlowCalConstA,MATCH(AD277,FlowCalNumber,0),1,1)*AF288^INDEX(FlowCalConstB,MATCH(AD277,FlowCalNumber,0),1,1)&gt;INDEX(FlowCalLowSetting,MATCH(AD277,FlowCalNumber,0),1,1), (INDEX(FlowCalConstA,MATCH(AD277,FlowCalNumber,0),1,1)*AF288^INDEX(FlowCalConstB,MATCH(AD277,FlowCalNumber,0),1,1)&lt;INDEX(FlowCalHighSetting,MATCH(AD277,FlowCalNumber,0),1,1))),INDEX(FlowCalConstA,MATCH(AD277,FlowCalNumber,0),1,1)*AF288^INDEX(FlowCalConstB,MATCH(AD277,FlowCalNumber,0),1,1)," ")</f>
        <v>#N/A</v>
      </c>
      <c r="AH288" s="33"/>
      <c r="AI288" s="242">
        <f t="shared" si="276"/>
        <v>0.9</v>
      </c>
      <c r="AJ288" s="241" t="e">
        <f t="shared" ca="1" si="277"/>
        <v>#N/A</v>
      </c>
      <c r="AK288" s="243" t="e">
        <f ca="1">IF(AND(INDEX(FlowCalConstA,MATCH(AH277,FlowCalNumber,0),1,1)*AJ288^INDEX(FlowCalConstB,MATCH(AH277,FlowCalNumber,0),1,1)&gt;INDEX(FlowCalLowSetting,MATCH(AH277,FlowCalNumber,0),1,1), (INDEX(FlowCalConstA,MATCH(AH277,FlowCalNumber,0),1,1)*AJ288^INDEX(FlowCalConstB,MATCH(AH277,FlowCalNumber,0),1,1)&lt;INDEX(FlowCalHighSetting,MATCH(AH277,FlowCalNumber,0),1,1))),INDEX(FlowCalConstA,MATCH(AH277,FlowCalNumber,0),1,1)*AJ288^INDEX(FlowCalConstB,MATCH(AH277,FlowCalNumber,0),1,1)," ")</f>
        <v>#N/A</v>
      </c>
      <c r="AL288" s="33"/>
      <c r="AM288" s="242"/>
      <c r="AN288" s="241"/>
      <c r="AO288" s="244"/>
      <c r="AQ288" s="242"/>
      <c r="AR288" s="241"/>
      <c r="AS288" s="244"/>
      <c r="AT288" s="33"/>
      <c r="AU288" s="242"/>
      <c r="AV288" s="241"/>
      <c r="AW288" s="244"/>
      <c r="AX288" s="33"/>
      <c r="AY288" s="242"/>
      <c r="AZ288" s="241"/>
      <c r="BA288" s="244"/>
      <c r="BB288" s="33"/>
      <c r="BC288" s="242"/>
      <c r="BD288" s="241"/>
      <c r="BE288" s="244"/>
      <c r="BF288" s="33"/>
      <c r="BG288" s="242"/>
      <c r="BH288" s="241"/>
      <c r="BI288" s="244"/>
      <c r="BJ288" s="33"/>
      <c r="BK288" s="242"/>
      <c r="BL288" s="241"/>
      <c r="BM288" s="244"/>
      <c r="BN288" s="33"/>
      <c r="BO288" s="242"/>
      <c r="BP288" s="241"/>
      <c r="BQ288" s="244"/>
      <c r="BR288" s="33"/>
      <c r="BS288" s="242"/>
      <c r="BT288" s="241"/>
      <c r="BU288" s="244"/>
      <c r="BV288" s="33"/>
      <c r="BW288" s="242"/>
      <c r="BX288" s="241"/>
      <c r="BY288" s="244"/>
      <c r="BZ288" s="33"/>
      <c r="CA288" s="242"/>
      <c r="CB288" s="241"/>
      <c r="CC288" s="244"/>
      <c r="CD288" s="243"/>
      <c r="CE288" s="243"/>
      <c r="CF288" s="243"/>
      <c r="CG288" s="243"/>
      <c r="CH288" s="243"/>
      <c r="CI288" s="243"/>
      <c r="CJ288" s="243"/>
      <c r="CK288" s="243"/>
      <c r="CL288" s="243"/>
      <c r="CM288" s="243"/>
      <c r="CN288" s="243"/>
      <c r="CO288" s="243"/>
      <c r="CP288" s="243"/>
      <c r="CQ288" s="243"/>
      <c r="CR288" s="243"/>
      <c r="CS288" s="243"/>
      <c r="CT288" s="243"/>
      <c r="CU288" s="243"/>
      <c r="CV288" s="243"/>
      <c r="CW288" s="243"/>
      <c r="CX288" s="243"/>
      <c r="CY288" s="243"/>
      <c r="CZ288" s="243"/>
      <c r="DA288" s="243"/>
      <c r="DB288" s="243"/>
      <c r="DC288" s="243"/>
      <c r="DD288" s="243"/>
      <c r="DE288" s="243"/>
      <c r="DF288" s="243"/>
      <c r="DG288" s="243"/>
      <c r="DH288" s="243"/>
      <c r="DI288" s="243"/>
      <c r="DJ288" s="243"/>
      <c r="DK288" s="243"/>
      <c r="DM288" s="242"/>
      <c r="DO288" s="243"/>
      <c r="DQ288" s="242"/>
      <c r="DS288" s="243"/>
      <c r="DU288" s="242"/>
      <c r="DW288" s="243"/>
      <c r="DY288" s="242"/>
      <c r="EA288" s="243"/>
    </row>
    <row r="289" spans="1:131">
      <c r="A289" s="20"/>
      <c r="B289" s="124" t="str">
        <f t="shared" si="262"/>
        <v/>
      </c>
      <c r="C289" s="235"/>
      <c r="D289" s="24">
        <f>'1% Wind'!$M$93</f>
        <v>2.4</v>
      </c>
      <c r="E289" s="90"/>
      <c r="F289" s="90"/>
      <c r="G289" s="79" t="e">
        <f ca="1">IF(I277=0.9743,$G288,MAX(G288/D288*D289,2))</f>
        <v>#N/A</v>
      </c>
      <c r="H289" s="121" t="e">
        <f t="shared" ca="1" si="263"/>
        <v>#N/A</v>
      </c>
      <c r="J289" s="33"/>
      <c r="K289" s="242">
        <f t="shared" si="264"/>
        <v>1</v>
      </c>
      <c r="L289" s="241" t="e">
        <f t="shared" ca="1" si="265"/>
        <v>#N/A</v>
      </c>
      <c r="M289" s="243" t="e">
        <f ca="1">IF(AND(INDEX(FlowCalConstA,MATCH(J277,FlowCalNumber,0),1,1)*L289^INDEX(FlowCalConstB,MATCH(J277,FlowCalNumber,0),1,1)&gt;INDEX(FlowCalLowSetting,MATCH(J277,FlowCalNumber,0),1,1), (INDEX(FlowCalConstA,MATCH(J277,FlowCalNumber,0),1,1)*L289^INDEX(FlowCalConstB,MATCH(J277,FlowCalNumber,0),1,1)&lt;INDEX(FlowCalHighSetting,MATCH(J277,FlowCalNumber,0),1,1))),INDEX(FlowCalConstA,MATCH(J277,FlowCalNumber,0),1,1)*L289^INDEX(FlowCalConstB,MATCH(J277,FlowCalNumber,0),1,1)," ")</f>
        <v>#N/A</v>
      </c>
      <c r="N289" s="33"/>
      <c r="O289" s="242">
        <f t="shared" si="266"/>
        <v>1</v>
      </c>
      <c r="P289" s="241" t="e">
        <f t="shared" ca="1" si="267"/>
        <v>#N/A</v>
      </c>
      <c r="Q289" s="243" t="e">
        <f ca="1">IF(AND(INDEX(FlowCalConstA,MATCH(N277,FlowCalNumber,0),1,1)*P289^INDEX(FlowCalConstB,MATCH(N277,FlowCalNumber,0),1,1)&gt;INDEX(FlowCalLowSetting,MATCH(N277,FlowCalNumber,0),1,1), (INDEX(FlowCalConstA,MATCH(N277,FlowCalNumber,0),1,1)*P289^INDEX(FlowCalConstB,MATCH(N277,FlowCalNumber,0),1,1)&lt;INDEX(FlowCalHighSetting,MATCH(N277,FlowCalNumber,0),1,1))),INDEX(FlowCalConstA,MATCH(N277,FlowCalNumber,0),1,1)*P289^INDEX(FlowCalConstB,MATCH(N277,FlowCalNumber,0),1,1)," ")</f>
        <v>#N/A</v>
      </c>
      <c r="R289" s="33"/>
      <c r="S289" s="242">
        <f t="shared" si="268"/>
        <v>1</v>
      </c>
      <c r="T289" s="241" t="e">
        <f t="shared" ca="1" si="269"/>
        <v>#N/A</v>
      </c>
      <c r="U289" s="244" t="e">
        <f ca="1">IF(AND(INDEX(FlowCalConstA,MATCH(R277,FlowCalNumber,0),1,1)*T289^INDEX(FlowCalConstB,MATCH(R277,FlowCalNumber,0),1,1)&gt;INDEX(FlowCalLowSetting,MATCH(R277,FlowCalNumber,0),1,1), (INDEX(FlowCalConstA,MATCH(R277,FlowCalNumber,0),1,1)*T289^INDEX(FlowCalConstB,MATCH(R277,FlowCalNumber,0),1,1)&lt;INDEX(FlowCalHighSetting,MATCH(R277,FlowCalNumber,0),1,1))),INDEX(FlowCalConstA,MATCH(R277,FlowCalNumber,0),1,1)*T289^INDEX(FlowCalConstB,MATCH(R277,FlowCalNumber,0),1,1)," ")</f>
        <v>#N/A</v>
      </c>
      <c r="V289" s="33"/>
      <c r="W289" s="242">
        <f t="shared" si="270"/>
        <v>0.1</v>
      </c>
      <c r="X289" s="241" t="e">
        <f t="shared" ca="1" si="271"/>
        <v>#N/A</v>
      </c>
      <c r="Y289" s="243" t="e">
        <f ca="1">IF(AND(INDEX(FlowCalConstA,MATCH(V277,FlowCalNumber,0),1,1)*X289^INDEX(FlowCalConstB,MATCH(V277,FlowCalNumber,0),1,1)&gt;INDEX(FlowCalLowSetting,MATCH(V277,FlowCalNumber,0),1,1), (INDEX(FlowCalConstA,MATCH(V277,FlowCalNumber,0),1,1)*X289^INDEX(FlowCalConstB,MATCH(V277,FlowCalNumber,0),1,1)&lt;INDEX(FlowCalHighSetting,MATCH(V277,FlowCalNumber,0),1,1))),INDEX(FlowCalConstA,MATCH(V277,FlowCalNumber,0),1,1)*X289^INDEX(FlowCalConstB,MATCH(V277,FlowCalNumber,0),1,1)," ")</f>
        <v>#N/A</v>
      </c>
      <c r="Z289" s="33"/>
      <c r="AA289" s="242">
        <f t="shared" si="272"/>
        <v>0.9</v>
      </c>
      <c r="AB289" s="241" t="e">
        <f t="shared" ca="1" si="273"/>
        <v>#N/A</v>
      </c>
      <c r="AC289" s="243" t="e">
        <f ca="1">IF(AND(INDEX(FlowCalConstA,MATCH(Z277,FlowCalNumber,0),1,1)*AB289^INDEX(FlowCalConstB,MATCH(Z277,FlowCalNumber,0),1,1)&gt;INDEX(FlowCalLowSetting,MATCH(Z277,FlowCalNumber,0),1,1), (INDEX(FlowCalConstA,MATCH(Z277,FlowCalNumber,0),1,1)*AB289^INDEX(FlowCalConstB,MATCH(Z277,FlowCalNumber,0),1,1)&lt;INDEX(FlowCalHighSetting,MATCH(Z277,FlowCalNumber,0),1,1))),INDEX(FlowCalConstA,MATCH(Z277,FlowCalNumber,0),1,1)*AB289^INDEX(FlowCalConstB,MATCH(Z277,FlowCalNumber,0),1,1)," ")</f>
        <v>#N/A</v>
      </c>
      <c r="AD289" s="33"/>
      <c r="AE289" s="242">
        <f t="shared" si="274"/>
        <v>0.1</v>
      </c>
      <c r="AF289" s="241" t="e">
        <f t="shared" ca="1" si="275"/>
        <v>#N/A</v>
      </c>
      <c r="AG289" s="243" t="e">
        <f ca="1">IF(AND(INDEX(FlowCalConstA,MATCH(AD277,FlowCalNumber,0),1,1)*AF289^INDEX(FlowCalConstB,MATCH(AD277,FlowCalNumber,0),1,1)&gt;INDEX(FlowCalLowSetting,MATCH(AD277,FlowCalNumber,0),1,1), (INDEX(FlowCalConstA,MATCH(AD277,FlowCalNumber,0),1,1)*AF289^INDEX(FlowCalConstB,MATCH(AD277,FlowCalNumber,0),1,1)&lt;INDEX(FlowCalHighSetting,MATCH(AD277,FlowCalNumber,0),1,1))),INDEX(FlowCalConstA,MATCH(AD277,FlowCalNumber,0),1,1)*AF289^INDEX(FlowCalConstB,MATCH(AD277,FlowCalNumber,0),1,1)," ")</f>
        <v>#N/A</v>
      </c>
      <c r="AH289" s="33"/>
      <c r="AI289" s="242">
        <f t="shared" si="276"/>
        <v>0.9</v>
      </c>
      <c r="AJ289" s="241" t="e">
        <f t="shared" ca="1" si="277"/>
        <v>#N/A</v>
      </c>
      <c r="AK289" s="243" t="e">
        <f ca="1">IF(AND(INDEX(FlowCalConstA,MATCH(AH277,FlowCalNumber,0),1,1)*AJ289^INDEX(FlowCalConstB,MATCH(AH277,FlowCalNumber,0),1,1)&gt;INDEX(FlowCalLowSetting,MATCH(AH277,FlowCalNumber,0),1,1), (INDEX(FlowCalConstA,MATCH(AH277,FlowCalNumber,0),1,1)*AJ289^INDEX(FlowCalConstB,MATCH(AH277,FlowCalNumber,0),1,1)&lt;INDEX(FlowCalHighSetting,MATCH(AH277,FlowCalNumber,0),1,1))),INDEX(FlowCalConstA,MATCH(AH277,FlowCalNumber,0),1,1)*AJ289^INDEX(FlowCalConstB,MATCH(AH277,FlowCalNumber,0),1,1)," ")</f>
        <v>#N/A</v>
      </c>
      <c r="AL289" s="33"/>
      <c r="AM289" s="242"/>
      <c r="AN289" s="241"/>
      <c r="AO289" s="244"/>
      <c r="AQ289" s="242"/>
      <c r="AR289" s="241"/>
      <c r="AS289" s="244"/>
      <c r="AT289" s="33"/>
      <c r="AU289" s="242"/>
      <c r="AV289" s="241"/>
      <c r="AW289" s="244"/>
      <c r="AX289" s="33"/>
      <c r="AY289" s="242"/>
      <c r="AZ289" s="241"/>
      <c r="BA289" s="244"/>
      <c r="BB289" s="33"/>
      <c r="BC289" s="242"/>
      <c r="BD289" s="241"/>
      <c r="BE289" s="244"/>
      <c r="BF289" s="33"/>
      <c r="BG289" s="242"/>
      <c r="BH289" s="241"/>
      <c r="BI289" s="244"/>
      <c r="BJ289" s="33"/>
      <c r="BK289" s="242"/>
      <c r="BL289" s="241"/>
      <c r="BM289" s="244"/>
      <c r="BN289" s="33"/>
      <c r="BO289" s="242"/>
      <c r="BP289" s="241"/>
      <c r="BQ289" s="244"/>
      <c r="BR289" s="33"/>
      <c r="BS289" s="242"/>
      <c r="BT289" s="241"/>
      <c r="BU289" s="244"/>
      <c r="BV289" s="33"/>
      <c r="BW289" s="242"/>
      <c r="BX289" s="241"/>
      <c r="BY289" s="244"/>
      <c r="BZ289" s="33"/>
      <c r="CA289" s="242"/>
      <c r="CB289" s="241"/>
      <c r="CC289" s="244"/>
      <c r="CD289" s="243"/>
      <c r="CE289" s="243"/>
      <c r="CF289" s="243"/>
      <c r="CG289" s="243"/>
      <c r="CH289" s="243"/>
      <c r="CI289" s="243"/>
      <c r="CJ289" s="243"/>
      <c r="CK289" s="243"/>
      <c r="CL289" s="243"/>
      <c r="CM289" s="243"/>
      <c r="CN289" s="243"/>
      <c r="CO289" s="243"/>
      <c r="CP289" s="243"/>
      <c r="CQ289" s="243"/>
      <c r="CR289" s="243"/>
      <c r="CS289" s="243"/>
      <c r="CT289" s="243"/>
      <c r="CU289" s="243"/>
      <c r="CV289" s="243"/>
      <c r="CW289" s="243"/>
      <c r="CX289" s="243"/>
      <c r="CY289" s="243"/>
      <c r="CZ289" s="243"/>
      <c r="DA289" s="243"/>
      <c r="DB289" s="243"/>
      <c r="DC289" s="243"/>
      <c r="DD289" s="243"/>
      <c r="DE289" s="243"/>
      <c r="DF289" s="243"/>
      <c r="DG289" s="243"/>
      <c r="DH289" s="243"/>
      <c r="DI289" s="243"/>
      <c r="DJ289" s="243"/>
      <c r="DK289" s="243"/>
      <c r="DM289" s="242"/>
      <c r="DO289" s="243"/>
      <c r="DQ289" s="242"/>
      <c r="DS289" s="243"/>
      <c r="DU289" s="242"/>
      <c r="DW289" s="243"/>
      <c r="DY289" s="242"/>
      <c r="EA289" s="243"/>
    </row>
    <row r="290" spans="1:131">
      <c r="A290" s="20"/>
      <c r="B290" s="124" t="str">
        <f t="shared" si="262"/>
        <v/>
      </c>
      <c r="C290" s="235"/>
      <c r="D290" s="24">
        <f>'1% Wind'!$M$94</f>
        <v>1.8</v>
      </c>
      <c r="E290" s="90"/>
      <c r="F290" s="90"/>
      <c r="G290" s="79" t="e">
        <f ca="1">IF(I277=0.9743,$G289,MAX(G289/D289*D290,2))</f>
        <v>#N/A</v>
      </c>
      <c r="H290" s="121" t="e">
        <f t="shared" ca="1" si="263"/>
        <v>#N/A</v>
      </c>
      <c r="J290" s="33"/>
      <c r="K290" s="242">
        <f t="shared" si="264"/>
        <v>1</v>
      </c>
      <c r="L290" s="241" t="e">
        <f t="shared" ca="1" si="265"/>
        <v>#N/A</v>
      </c>
      <c r="M290" s="243" t="e">
        <f ca="1">IF(AND(INDEX(FlowCalConstA,MATCH(J277,FlowCalNumber,0),1,1)*L290^INDEX(FlowCalConstB,MATCH(J277,FlowCalNumber,0),1,1)&gt;INDEX(FlowCalLowSetting,MATCH(J277,FlowCalNumber,0),1,1), (INDEX(FlowCalConstA,MATCH(J277,FlowCalNumber,0),1,1)*L290^INDEX(FlowCalConstB,MATCH(J277,FlowCalNumber,0),1,1)&lt;INDEX(FlowCalHighSetting,MATCH(J277,FlowCalNumber,0),1,1))),INDEX(FlowCalConstA,MATCH(J277,FlowCalNumber,0),1,1)*L290^INDEX(FlowCalConstB,MATCH(J277,FlowCalNumber,0),1,1)," ")</f>
        <v>#N/A</v>
      </c>
      <c r="N290" s="33"/>
      <c r="O290" s="242">
        <f t="shared" si="266"/>
        <v>1</v>
      </c>
      <c r="P290" s="241" t="e">
        <f t="shared" ca="1" si="267"/>
        <v>#N/A</v>
      </c>
      <c r="Q290" s="243" t="e">
        <f ca="1">IF(AND(INDEX(FlowCalConstA,MATCH(N277,FlowCalNumber,0),1,1)*P290^INDEX(FlowCalConstB,MATCH(N277,FlowCalNumber,0),1,1)&gt;INDEX(FlowCalLowSetting,MATCH(N277,FlowCalNumber,0),1,1), (INDEX(FlowCalConstA,MATCH(N277,FlowCalNumber,0),1,1)*P290^INDEX(FlowCalConstB,MATCH(N277,FlowCalNumber,0),1,1)&lt;INDEX(FlowCalHighSetting,MATCH(N277,FlowCalNumber,0),1,1))),INDEX(FlowCalConstA,MATCH(N277,FlowCalNumber,0),1,1)*P290^INDEX(FlowCalConstB,MATCH(N277,FlowCalNumber,0),1,1)," ")</f>
        <v>#N/A</v>
      </c>
      <c r="R290" s="33"/>
      <c r="S290" s="242">
        <f t="shared" si="268"/>
        <v>1</v>
      </c>
      <c r="T290" s="241" t="e">
        <f t="shared" ca="1" si="269"/>
        <v>#N/A</v>
      </c>
      <c r="U290" s="244" t="e">
        <f ca="1">IF(AND(INDEX(FlowCalConstA,MATCH(R277,FlowCalNumber,0),1,1)*T290^INDEX(FlowCalConstB,MATCH(R277,FlowCalNumber,0),1,1)&gt;INDEX(FlowCalLowSetting,MATCH(R277,FlowCalNumber,0),1,1), (INDEX(FlowCalConstA,MATCH(R277,FlowCalNumber,0),1,1)*T290^INDEX(FlowCalConstB,MATCH(R277,FlowCalNumber,0),1,1)&lt;INDEX(FlowCalHighSetting,MATCH(R277,FlowCalNumber,0),1,1))),INDEX(FlowCalConstA,MATCH(R277,FlowCalNumber,0),1,1)*T290^INDEX(FlowCalConstB,MATCH(R277,FlowCalNumber,0),1,1)," ")</f>
        <v>#N/A</v>
      </c>
      <c r="V290" s="33"/>
      <c r="W290" s="242">
        <f t="shared" si="270"/>
        <v>0.1</v>
      </c>
      <c r="X290" s="241" t="e">
        <f t="shared" ca="1" si="271"/>
        <v>#N/A</v>
      </c>
      <c r="Y290" s="243" t="e">
        <f ca="1">IF(AND(INDEX(FlowCalConstA,MATCH(V277,FlowCalNumber,0),1,1)*X290^INDEX(FlowCalConstB,MATCH(V277,FlowCalNumber,0),1,1)&gt;INDEX(FlowCalLowSetting,MATCH(V277,FlowCalNumber,0),1,1), (INDEX(FlowCalConstA,MATCH(V277,FlowCalNumber,0),1,1)*X290^INDEX(FlowCalConstB,MATCH(V277,FlowCalNumber,0),1,1)&lt;INDEX(FlowCalHighSetting,MATCH(V277,FlowCalNumber,0),1,1))),INDEX(FlowCalConstA,MATCH(V277,FlowCalNumber,0),1,1)*X290^INDEX(FlowCalConstB,MATCH(V277,FlowCalNumber,0),1,1)," ")</f>
        <v>#N/A</v>
      </c>
      <c r="Z290" s="33"/>
      <c r="AA290" s="242">
        <f t="shared" si="272"/>
        <v>0.9</v>
      </c>
      <c r="AB290" s="241" t="e">
        <f t="shared" ca="1" si="273"/>
        <v>#N/A</v>
      </c>
      <c r="AC290" s="243" t="e">
        <f ca="1">IF(AND(INDEX(FlowCalConstA,MATCH(Z277,FlowCalNumber,0),1,1)*AB290^INDEX(FlowCalConstB,MATCH(Z277,FlowCalNumber,0),1,1)&gt;INDEX(FlowCalLowSetting,MATCH(Z277,FlowCalNumber,0),1,1), (INDEX(FlowCalConstA,MATCH(Z277,FlowCalNumber,0),1,1)*AB290^INDEX(FlowCalConstB,MATCH(Z277,FlowCalNumber,0),1,1)&lt;INDEX(FlowCalHighSetting,MATCH(Z277,FlowCalNumber,0),1,1))),INDEX(FlowCalConstA,MATCH(Z277,FlowCalNumber,0),1,1)*AB290^INDEX(FlowCalConstB,MATCH(Z277,FlowCalNumber,0),1,1)," ")</f>
        <v>#N/A</v>
      </c>
      <c r="AD290" s="33"/>
      <c r="AE290" s="242">
        <f t="shared" si="274"/>
        <v>0.1</v>
      </c>
      <c r="AF290" s="241" t="e">
        <f t="shared" ca="1" si="275"/>
        <v>#N/A</v>
      </c>
      <c r="AG290" s="243" t="e">
        <f ca="1">IF(AND(INDEX(FlowCalConstA,MATCH(AD277,FlowCalNumber,0),1,1)*AF290^INDEX(FlowCalConstB,MATCH(AD277,FlowCalNumber,0),1,1)&gt;INDEX(FlowCalLowSetting,MATCH(AD277,FlowCalNumber,0),1,1), (INDEX(FlowCalConstA,MATCH(AD277,FlowCalNumber,0),1,1)*AF290^INDEX(FlowCalConstB,MATCH(AD277,FlowCalNumber,0),1,1)&lt;INDEX(FlowCalHighSetting,MATCH(AD277,FlowCalNumber,0),1,1))),INDEX(FlowCalConstA,MATCH(AD277,FlowCalNumber,0),1,1)*AF290^INDEX(FlowCalConstB,MATCH(AD277,FlowCalNumber,0),1,1)," ")</f>
        <v>#N/A</v>
      </c>
      <c r="AH290" s="33"/>
      <c r="AI290" s="242">
        <f t="shared" si="276"/>
        <v>0.9</v>
      </c>
      <c r="AJ290" s="241" t="e">
        <f t="shared" ca="1" si="277"/>
        <v>#N/A</v>
      </c>
      <c r="AK290" s="243" t="e">
        <f ca="1">IF(AND(INDEX(FlowCalConstA,MATCH(AH277,FlowCalNumber,0),1,1)*AJ290^INDEX(FlowCalConstB,MATCH(AH277,FlowCalNumber,0),1,1)&gt;INDEX(FlowCalLowSetting,MATCH(AH277,FlowCalNumber,0),1,1), (INDEX(FlowCalConstA,MATCH(AH277,FlowCalNumber,0),1,1)*AJ290^INDEX(FlowCalConstB,MATCH(AH277,FlowCalNumber,0),1,1)&lt;INDEX(FlowCalHighSetting,MATCH(AH277,FlowCalNumber,0),1,1))),INDEX(FlowCalConstA,MATCH(AH277,FlowCalNumber,0),1,1)*AJ290^INDEX(FlowCalConstB,MATCH(AH277,FlowCalNumber,0),1,1)," ")</f>
        <v>#N/A</v>
      </c>
      <c r="AL290" s="33"/>
      <c r="AM290" s="242"/>
      <c r="AN290" s="241"/>
      <c r="AO290" s="244"/>
      <c r="AQ290" s="242"/>
      <c r="AR290" s="241"/>
      <c r="AS290" s="244"/>
      <c r="AT290" s="33"/>
      <c r="AU290" s="242"/>
      <c r="AV290" s="241"/>
      <c r="AW290" s="244"/>
      <c r="AX290" s="33"/>
      <c r="AY290" s="242"/>
      <c r="AZ290" s="241"/>
      <c r="BA290" s="244"/>
      <c r="BB290" s="33"/>
      <c r="BC290" s="242"/>
      <c r="BD290" s="241"/>
      <c r="BE290" s="244"/>
      <c r="BF290" s="33"/>
      <c r="BG290" s="242"/>
      <c r="BH290" s="241"/>
      <c r="BI290" s="244"/>
      <c r="BJ290" s="33"/>
      <c r="BK290" s="242"/>
      <c r="BL290" s="241"/>
      <c r="BM290" s="244"/>
      <c r="BN290" s="33"/>
      <c r="BO290" s="242"/>
      <c r="BP290" s="241"/>
      <c r="BQ290" s="244"/>
      <c r="BR290" s="33"/>
      <c r="BS290" s="242"/>
      <c r="BT290" s="241"/>
      <c r="BU290" s="244"/>
      <c r="BV290" s="33"/>
      <c r="BW290" s="242"/>
      <c r="BX290" s="241"/>
      <c r="BY290" s="244"/>
      <c r="BZ290" s="33"/>
      <c r="CA290" s="242"/>
      <c r="CB290" s="241"/>
      <c r="CC290" s="244"/>
      <c r="CD290" s="243"/>
      <c r="CE290" s="243"/>
      <c r="CF290" s="243"/>
      <c r="CG290" s="243"/>
      <c r="CH290" s="243"/>
      <c r="CI290" s="243"/>
      <c r="CJ290" s="243"/>
      <c r="CK290" s="243"/>
      <c r="CL290" s="243"/>
      <c r="CM290" s="243"/>
      <c r="CN290" s="243"/>
      <c r="CO290" s="243"/>
      <c r="CP290" s="243"/>
      <c r="CQ290" s="243"/>
      <c r="CR290" s="243"/>
      <c r="CS290" s="243"/>
      <c r="CT290" s="243"/>
      <c r="CU290" s="243"/>
      <c r="CV290" s="243"/>
      <c r="CW290" s="243"/>
      <c r="CX290" s="243"/>
      <c r="CY290" s="243"/>
      <c r="CZ290" s="243"/>
      <c r="DA290" s="243"/>
      <c r="DB290" s="243"/>
      <c r="DC290" s="243"/>
      <c r="DD290" s="243"/>
      <c r="DE290" s="243"/>
      <c r="DF290" s="243"/>
      <c r="DG290" s="243"/>
      <c r="DH290" s="243"/>
      <c r="DI290" s="243"/>
      <c r="DJ290" s="243"/>
      <c r="DK290" s="243"/>
      <c r="DM290" s="242"/>
      <c r="DO290" s="243"/>
      <c r="DQ290" s="242"/>
      <c r="DS290" s="243"/>
      <c r="DU290" s="242"/>
      <c r="DW290" s="243"/>
      <c r="DY290" s="242"/>
      <c r="EA290" s="243"/>
    </row>
    <row r="291" spans="1:131">
      <c r="A291" s="20"/>
      <c r="B291" s="124" t="str">
        <f t="shared" si="262"/>
        <v/>
      </c>
      <c r="C291" s="235"/>
      <c r="D291" s="24">
        <f>'1% Wind'!$M$95</f>
        <v>1.3</v>
      </c>
      <c r="E291" s="90"/>
      <c r="F291" s="90"/>
      <c r="G291" s="79" t="e">
        <f ca="1">IF(I277=0.9743,$G290,MAX(G290/D290*D291,2))</f>
        <v>#N/A</v>
      </c>
      <c r="H291" s="121" t="e">
        <f t="shared" ca="1" si="263"/>
        <v>#N/A</v>
      </c>
      <c r="J291" s="33"/>
      <c r="K291" s="242">
        <f t="shared" si="264"/>
        <v>1</v>
      </c>
      <c r="L291" s="241" t="e">
        <f t="shared" ca="1" si="265"/>
        <v>#N/A</v>
      </c>
      <c r="M291" s="243" t="e">
        <f ca="1">IF(AND(INDEX(FlowCalConstA,MATCH(J277,FlowCalNumber,0),1,1)*L291^INDEX(FlowCalConstB,MATCH(J277,FlowCalNumber,0),1,1)&gt;INDEX(FlowCalLowSetting,MATCH(J277,FlowCalNumber,0),1,1), (INDEX(FlowCalConstA,MATCH(J277,FlowCalNumber,0),1,1)*L291^INDEX(FlowCalConstB,MATCH(J277,FlowCalNumber,0),1,1)&lt;INDEX(FlowCalHighSetting,MATCH(J277,FlowCalNumber,0),1,1))),INDEX(FlowCalConstA,MATCH(J277,FlowCalNumber,0),1,1)*L291^INDEX(FlowCalConstB,MATCH(J277,FlowCalNumber,0),1,1)," ")</f>
        <v>#N/A</v>
      </c>
      <c r="N291" s="33"/>
      <c r="O291" s="242">
        <f t="shared" si="266"/>
        <v>1</v>
      </c>
      <c r="P291" s="241" t="e">
        <f t="shared" ca="1" si="267"/>
        <v>#N/A</v>
      </c>
      <c r="Q291" s="243" t="e">
        <f ca="1">IF(AND(INDEX(FlowCalConstA,MATCH(N277,FlowCalNumber,0),1,1)*P291^INDEX(FlowCalConstB,MATCH(N277,FlowCalNumber,0),1,1)&gt;INDEX(FlowCalLowSetting,MATCH(N277,FlowCalNumber,0),1,1), (INDEX(FlowCalConstA,MATCH(N277,FlowCalNumber,0),1,1)*P291^INDEX(FlowCalConstB,MATCH(N277,FlowCalNumber,0),1,1)&lt;INDEX(FlowCalHighSetting,MATCH(N277,FlowCalNumber,0),1,1))),INDEX(FlowCalConstA,MATCH(N277,FlowCalNumber,0),1,1)*P291^INDEX(FlowCalConstB,MATCH(N277,FlowCalNumber,0),1,1)," ")</f>
        <v>#N/A</v>
      </c>
      <c r="R291" s="33"/>
      <c r="S291" s="242">
        <f t="shared" si="268"/>
        <v>1</v>
      </c>
      <c r="T291" s="241" t="e">
        <f t="shared" ca="1" si="269"/>
        <v>#N/A</v>
      </c>
      <c r="U291" s="244" t="e">
        <f ca="1">IF(AND(INDEX(FlowCalConstA,MATCH(R277,FlowCalNumber,0),1,1)*T291^INDEX(FlowCalConstB,MATCH(R277,FlowCalNumber,0),1,1)&gt;INDEX(FlowCalLowSetting,MATCH(R277,FlowCalNumber,0),1,1), (INDEX(FlowCalConstA,MATCH(R277,FlowCalNumber,0),1,1)*T291^INDEX(FlowCalConstB,MATCH(R277,FlowCalNumber,0),1,1)&lt;INDEX(FlowCalHighSetting,MATCH(R277,FlowCalNumber,0),1,1))),INDEX(FlowCalConstA,MATCH(R277,FlowCalNumber,0),1,1)*T291^INDEX(FlowCalConstB,MATCH(R277,FlowCalNumber,0),1,1)," ")</f>
        <v>#N/A</v>
      </c>
      <c r="V291" s="33"/>
      <c r="W291" s="242">
        <f t="shared" si="270"/>
        <v>0.1</v>
      </c>
      <c r="X291" s="241" t="e">
        <f t="shared" ca="1" si="271"/>
        <v>#N/A</v>
      </c>
      <c r="Y291" s="243" t="e">
        <f ca="1">IF(AND(INDEX(FlowCalConstA,MATCH(V277,FlowCalNumber,0),1,1)*X291^INDEX(FlowCalConstB,MATCH(V277,FlowCalNumber,0),1,1)&gt;INDEX(FlowCalLowSetting,MATCH(V277,FlowCalNumber,0),1,1), (INDEX(FlowCalConstA,MATCH(V277,FlowCalNumber,0),1,1)*X291^INDEX(FlowCalConstB,MATCH(V277,FlowCalNumber,0),1,1)&lt;INDEX(FlowCalHighSetting,MATCH(V277,FlowCalNumber,0),1,1))),INDEX(FlowCalConstA,MATCH(V277,FlowCalNumber,0),1,1)*X291^INDEX(FlowCalConstB,MATCH(V277,FlowCalNumber,0),1,1)," ")</f>
        <v>#N/A</v>
      </c>
      <c r="Z291" s="33"/>
      <c r="AA291" s="242">
        <f t="shared" si="272"/>
        <v>0.9</v>
      </c>
      <c r="AB291" s="241" t="e">
        <f t="shared" ca="1" si="273"/>
        <v>#N/A</v>
      </c>
      <c r="AC291" s="243" t="e">
        <f ca="1">IF(AND(INDEX(FlowCalConstA,MATCH(Z277,FlowCalNumber,0),1,1)*AB291^INDEX(FlowCalConstB,MATCH(Z277,FlowCalNumber,0),1,1)&gt;INDEX(FlowCalLowSetting,MATCH(Z277,FlowCalNumber,0),1,1), (INDEX(FlowCalConstA,MATCH(Z277,FlowCalNumber,0),1,1)*AB291^INDEX(FlowCalConstB,MATCH(Z277,FlowCalNumber,0),1,1)&lt;INDEX(FlowCalHighSetting,MATCH(Z277,FlowCalNumber,0),1,1))),INDEX(FlowCalConstA,MATCH(Z277,FlowCalNumber,0),1,1)*AB291^INDEX(FlowCalConstB,MATCH(Z277,FlowCalNumber,0),1,1)," ")</f>
        <v>#N/A</v>
      </c>
      <c r="AD291" s="33"/>
      <c r="AE291" s="242">
        <f t="shared" si="274"/>
        <v>0.1</v>
      </c>
      <c r="AF291" s="241" t="e">
        <f t="shared" ca="1" si="275"/>
        <v>#N/A</v>
      </c>
      <c r="AG291" s="243" t="e">
        <f ca="1">IF(AND(INDEX(FlowCalConstA,MATCH(AD277,FlowCalNumber,0),1,1)*AF291^INDEX(FlowCalConstB,MATCH(AD277,FlowCalNumber,0),1,1)&gt;INDEX(FlowCalLowSetting,MATCH(AD277,FlowCalNumber,0),1,1), (INDEX(FlowCalConstA,MATCH(AD277,FlowCalNumber,0),1,1)*AF291^INDEX(FlowCalConstB,MATCH(AD277,FlowCalNumber,0),1,1)&lt;INDEX(FlowCalHighSetting,MATCH(AD277,FlowCalNumber,0),1,1))),INDEX(FlowCalConstA,MATCH(AD277,FlowCalNumber,0),1,1)*AF291^INDEX(FlowCalConstB,MATCH(AD277,FlowCalNumber,0),1,1)," ")</f>
        <v>#N/A</v>
      </c>
      <c r="AH291" s="33"/>
      <c r="AI291" s="242">
        <f t="shared" si="276"/>
        <v>0.9</v>
      </c>
      <c r="AJ291" s="241" t="e">
        <f t="shared" ca="1" si="277"/>
        <v>#N/A</v>
      </c>
      <c r="AK291" s="243" t="e">
        <f ca="1">IF(AND(INDEX(FlowCalConstA,MATCH(AH277,FlowCalNumber,0),1,1)*AJ291^INDEX(FlowCalConstB,MATCH(AH277,FlowCalNumber,0),1,1)&gt;INDEX(FlowCalLowSetting,MATCH(AH277,FlowCalNumber,0),1,1), (INDEX(FlowCalConstA,MATCH(AH277,FlowCalNumber,0),1,1)*AJ291^INDEX(FlowCalConstB,MATCH(AH277,FlowCalNumber,0),1,1)&lt;INDEX(FlowCalHighSetting,MATCH(AH277,FlowCalNumber,0),1,1))),INDEX(FlowCalConstA,MATCH(AH277,FlowCalNumber,0),1,1)*AJ291^INDEX(FlowCalConstB,MATCH(AH277,FlowCalNumber,0),1,1)," ")</f>
        <v>#N/A</v>
      </c>
      <c r="AL291" s="33"/>
      <c r="AM291" s="242"/>
      <c r="AN291" s="241"/>
      <c r="AO291" s="244"/>
      <c r="AQ291" s="242"/>
      <c r="AR291" s="241"/>
      <c r="AS291" s="244"/>
      <c r="AT291" s="33"/>
      <c r="AU291" s="242"/>
      <c r="AV291" s="241"/>
      <c r="AW291" s="244"/>
      <c r="AX291" s="33"/>
      <c r="AY291" s="242"/>
      <c r="AZ291" s="241"/>
      <c r="BA291" s="244"/>
      <c r="BB291" s="33"/>
      <c r="BC291" s="242"/>
      <c r="BD291" s="241"/>
      <c r="BE291" s="244"/>
      <c r="BF291" s="33"/>
      <c r="BG291" s="242"/>
      <c r="BH291" s="241"/>
      <c r="BI291" s="244"/>
      <c r="BJ291" s="33"/>
      <c r="BK291" s="242"/>
      <c r="BL291" s="241"/>
      <c r="BM291" s="244"/>
      <c r="BN291" s="33"/>
      <c r="BO291" s="242"/>
      <c r="BP291" s="241"/>
      <c r="BQ291" s="244"/>
      <c r="BR291" s="33"/>
      <c r="BS291" s="242"/>
      <c r="BT291" s="241"/>
      <c r="BU291" s="244"/>
      <c r="BV291" s="33"/>
      <c r="BW291" s="242"/>
      <c r="BX291" s="241"/>
      <c r="BY291" s="244"/>
      <c r="BZ291" s="33"/>
      <c r="CA291" s="242"/>
      <c r="CB291" s="241"/>
      <c r="CC291" s="244"/>
      <c r="CD291" s="243"/>
      <c r="CE291" s="243"/>
      <c r="CF291" s="243"/>
      <c r="CG291" s="243"/>
      <c r="CH291" s="243"/>
      <c r="CI291" s="243"/>
      <c r="CJ291" s="243"/>
      <c r="CK291" s="243"/>
      <c r="CL291" s="243"/>
      <c r="CM291" s="243"/>
      <c r="CN291" s="243"/>
      <c r="CO291" s="243"/>
      <c r="CP291" s="243"/>
      <c r="CQ291" s="243"/>
      <c r="CR291" s="243"/>
      <c r="CS291" s="243"/>
      <c r="CT291" s="243"/>
      <c r="CU291" s="243"/>
      <c r="CV291" s="243"/>
      <c r="CW291" s="243"/>
      <c r="CX291" s="243"/>
      <c r="CY291" s="243"/>
      <c r="CZ291" s="243"/>
      <c r="DA291" s="243"/>
      <c r="DB291" s="243"/>
      <c r="DC291" s="243"/>
      <c r="DD291" s="243"/>
      <c r="DE291" s="243"/>
      <c r="DF291" s="243"/>
      <c r="DG291" s="243"/>
      <c r="DH291" s="243"/>
      <c r="DI291" s="243"/>
      <c r="DJ291" s="243"/>
      <c r="DK291" s="243"/>
      <c r="DM291" s="242"/>
      <c r="DO291" s="243"/>
      <c r="DQ291" s="242"/>
      <c r="DS291" s="243"/>
      <c r="DU291" s="242"/>
      <c r="DW291" s="243"/>
      <c r="DY291" s="242"/>
      <c r="EA291" s="243"/>
    </row>
    <row r="292" spans="1:131">
      <c r="A292" s="20"/>
      <c r="B292" s="124" t="str">
        <f t="shared" si="262"/>
        <v/>
      </c>
      <c r="C292" s="235"/>
      <c r="D292" s="24">
        <f>'1% Wind'!$M$96</f>
        <v>1</v>
      </c>
      <c r="E292" s="90"/>
      <c r="F292" s="90"/>
      <c r="G292" s="79" t="e">
        <f ca="1">IF(I277=0.9743,$G291,MAX(G291/D291*D292,2))</f>
        <v>#N/A</v>
      </c>
      <c r="H292" s="121" t="e">
        <f t="shared" ca="1" si="263"/>
        <v>#N/A</v>
      </c>
      <c r="J292" s="33"/>
      <c r="K292" s="242">
        <f t="shared" si="264"/>
        <v>1</v>
      </c>
      <c r="L292" s="241" t="e">
        <f t="shared" ca="1" si="265"/>
        <v>#N/A</v>
      </c>
      <c r="M292" s="243" t="e">
        <f ca="1">IF(AND(INDEX(FlowCalConstA,MATCH(J277,FlowCalNumber,0),1,1)*L292^INDEX(FlowCalConstB,MATCH(J277,FlowCalNumber,0),1,1)&gt;INDEX(FlowCalLowSetting,MATCH(J277,FlowCalNumber,0),1,1), (INDEX(FlowCalConstA,MATCH(J277,FlowCalNumber,0),1,1)*L292^INDEX(FlowCalConstB,MATCH(J277,FlowCalNumber,0),1,1)&lt;INDEX(FlowCalHighSetting,MATCH(J277,FlowCalNumber,0),1,1))),INDEX(FlowCalConstA,MATCH(J277,FlowCalNumber,0),1,1)*L292^INDEX(FlowCalConstB,MATCH(J277,FlowCalNumber,0),1,1)," ")</f>
        <v>#N/A</v>
      </c>
      <c r="N292" s="33"/>
      <c r="O292" s="242">
        <f t="shared" si="266"/>
        <v>1</v>
      </c>
      <c r="P292" s="241" t="e">
        <f t="shared" ca="1" si="267"/>
        <v>#N/A</v>
      </c>
      <c r="Q292" s="243" t="e">
        <f ca="1">IF(AND(INDEX(FlowCalConstA,MATCH(N277,FlowCalNumber,0),1,1)*P292^INDEX(FlowCalConstB,MATCH(N277,FlowCalNumber,0),1,1)&gt;INDEX(FlowCalLowSetting,MATCH(N277,FlowCalNumber,0),1,1), (INDEX(FlowCalConstA,MATCH(N277,FlowCalNumber,0),1,1)*P292^INDEX(FlowCalConstB,MATCH(N277,FlowCalNumber,0),1,1)&lt;INDEX(FlowCalHighSetting,MATCH(N277,FlowCalNumber,0),1,1))),INDEX(FlowCalConstA,MATCH(N277,FlowCalNumber,0),1,1)*P292^INDEX(FlowCalConstB,MATCH(N277,FlowCalNumber,0),1,1)," ")</f>
        <v>#N/A</v>
      </c>
      <c r="R292" s="33"/>
      <c r="S292" s="242">
        <f t="shared" si="268"/>
        <v>1</v>
      </c>
      <c r="T292" s="241" t="e">
        <f t="shared" ca="1" si="269"/>
        <v>#N/A</v>
      </c>
      <c r="U292" s="244" t="e">
        <f ca="1">IF(AND(INDEX(FlowCalConstA,MATCH(R277,FlowCalNumber,0),1,1)*T292^INDEX(FlowCalConstB,MATCH(R277,FlowCalNumber,0),1,1)&gt;INDEX(FlowCalLowSetting,MATCH(R277,FlowCalNumber,0),1,1), (INDEX(FlowCalConstA,MATCH(R277,FlowCalNumber,0),1,1)*T292^INDEX(FlowCalConstB,MATCH(R277,FlowCalNumber,0),1,1)&lt;INDEX(FlowCalHighSetting,MATCH(R277,FlowCalNumber,0),1,1))),INDEX(FlowCalConstA,MATCH(R277,FlowCalNumber,0),1,1)*T292^INDEX(FlowCalConstB,MATCH(R277,FlowCalNumber,0),1,1)," ")</f>
        <v>#N/A</v>
      </c>
      <c r="V292" s="33"/>
      <c r="W292" s="242">
        <f t="shared" si="270"/>
        <v>0.1</v>
      </c>
      <c r="X292" s="241" t="e">
        <f t="shared" ca="1" si="271"/>
        <v>#N/A</v>
      </c>
      <c r="Y292" s="243" t="e">
        <f ca="1">IF(AND(INDEX(FlowCalConstA,MATCH(V277,FlowCalNumber,0),1,1)*X292^INDEX(FlowCalConstB,MATCH(V277,FlowCalNumber,0),1,1)&gt;INDEX(FlowCalLowSetting,MATCH(V277,FlowCalNumber,0),1,1), (INDEX(FlowCalConstA,MATCH(V277,FlowCalNumber,0),1,1)*X292^INDEX(FlowCalConstB,MATCH(V277,FlowCalNumber,0),1,1)&lt;INDEX(FlowCalHighSetting,MATCH(V277,FlowCalNumber,0),1,1))),INDEX(FlowCalConstA,MATCH(V277,FlowCalNumber,0),1,1)*X292^INDEX(FlowCalConstB,MATCH(V277,FlowCalNumber,0),1,1)," ")</f>
        <v>#N/A</v>
      </c>
      <c r="Z292" s="33"/>
      <c r="AA292" s="242">
        <f t="shared" si="272"/>
        <v>0.9</v>
      </c>
      <c r="AB292" s="241" t="e">
        <f t="shared" ca="1" si="273"/>
        <v>#N/A</v>
      </c>
      <c r="AC292" s="243" t="e">
        <f ca="1">IF(AND(INDEX(FlowCalConstA,MATCH(Z277,FlowCalNumber,0),1,1)*AB292^INDEX(FlowCalConstB,MATCH(Z277,FlowCalNumber,0),1,1)&gt;INDEX(FlowCalLowSetting,MATCH(Z277,FlowCalNumber,0),1,1), (INDEX(FlowCalConstA,MATCH(Z277,FlowCalNumber,0),1,1)*AB292^INDEX(FlowCalConstB,MATCH(Z277,FlowCalNumber,0),1,1)&lt;INDEX(FlowCalHighSetting,MATCH(Z277,FlowCalNumber,0),1,1))),INDEX(FlowCalConstA,MATCH(Z277,FlowCalNumber,0),1,1)*AB292^INDEX(FlowCalConstB,MATCH(Z277,FlowCalNumber,0),1,1)," ")</f>
        <v>#N/A</v>
      </c>
      <c r="AD292" s="33"/>
      <c r="AE292" s="242">
        <f t="shared" si="274"/>
        <v>0.1</v>
      </c>
      <c r="AF292" s="241" t="e">
        <f t="shared" ca="1" si="275"/>
        <v>#N/A</v>
      </c>
      <c r="AG292" s="243" t="e">
        <f ca="1">IF(AND(INDEX(FlowCalConstA,MATCH(AD277,FlowCalNumber,0),1,1)*AF292^INDEX(FlowCalConstB,MATCH(AD277,FlowCalNumber,0),1,1)&gt;INDEX(FlowCalLowSetting,MATCH(AD277,FlowCalNumber,0),1,1), (INDEX(FlowCalConstA,MATCH(AD277,FlowCalNumber,0),1,1)*AF292^INDEX(FlowCalConstB,MATCH(AD277,FlowCalNumber,0),1,1)&lt;INDEX(FlowCalHighSetting,MATCH(AD277,FlowCalNumber,0),1,1))),INDEX(FlowCalConstA,MATCH(AD277,FlowCalNumber,0),1,1)*AF292^INDEX(FlowCalConstB,MATCH(AD277,FlowCalNumber,0),1,1)," ")</f>
        <v>#N/A</v>
      </c>
      <c r="AH292" s="33"/>
      <c r="AI292" s="242">
        <f t="shared" si="276"/>
        <v>0.9</v>
      </c>
      <c r="AJ292" s="241" t="e">
        <f t="shared" ca="1" si="277"/>
        <v>#N/A</v>
      </c>
      <c r="AK292" s="243" t="e">
        <f ca="1">IF(AND(INDEX(FlowCalConstA,MATCH(AH277,FlowCalNumber,0),1,1)*AJ292^INDEX(FlowCalConstB,MATCH(AH277,FlowCalNumber,0),1,1)&gt;INDEX(FlowCalLowSetting,MATCH(AH277,FlowCalNumber,0),1,1), (INDEX(FlowCalConstA,MATCH(AH277,FlowCalNumber,0),1,1)*AJ292^INDEX(FlowCalConstB,MATCH(AH277,FlowCalNumber,0),1,1)&lt;INDEX(FlowCalHighSetting,MATCH(AH277,FlowCalNumber,0),1,1))),INDEX(FlowCalConstA,MATCH(AH277,FlowCalNumber,0),1,1)*AJ292^INDEX(FlowCalConstB,MATCH(AH277,FlowCalNumber,0),1,1)," ")</f>
        <v>#N/A</v>
      </c>
      <c r="AL292" s="33"/>
      <c r="AM292" s="242"/>
      <c r="AN292" s="241"/>
      <c r="AO292" s="244"/>
      <c r="AQ292" s="242"/>
      <c r="AR292" s="241"/>
      <c r="AS292" s="244"/>
      <c r="AT292" s="33"/>
      <c r="AU292" s="242"/>
      <c r="AV292" s="241"/>
      <c r="AW292" s="244"/>
      <c r="AX292" s="33"/>
      <c r="AY292" s="242"/>
      <c r="AZ292" s="241"/>
      <c r="BA292" s="244"/>
      <c r="BB292" s="33"/>
      <c r="BC292" s="242"/>
      <c r="BD292" s="241"/>
      <c r="BE292" s="244"/>
      <c r="BF292" s="33"/>
      <c r="BG292" s="242"/>
      <c r="BH292" s="241"/>
      <c r="BI292" s="244"/>
      <c r="BJ292" s="33"/>
      <c r="BK292" s="242"/>
      <c r="BL292" s="241"/>
      <c r="BM292" s="244"/>
      <c r="BN292" s="33"/>
      <c r="BO292" s="242"/>
      <c r="BP292" s="241"/>
      <c r="BQ292" s="244"/>
      <c r="BR292" s="33"/>
      <c r="BS292" s="242"/>
      <c r="BT292" s="241"/>
      <c r="BU292" s="244"/>
      <c r="BV292" s="33"/>
      <c r="BW292" s="242"/>
      <c r="BX292" s="241"/>
      <c r="BY292" s="244"/>
      <c r="BZ292" s="33"/>
      <c r="CA292" s="242"/>
      <c r="CB292" s="241"/>
      <c r="CC292" s="244"/>
      <c r="CD292" s="243"/>
      <c r="CE292" s="243"/>
      <c r="CF292" s="243"/>
      <c r="CG292" s="243"/>
      <c r="CH292" s="243"/>
      <c r="CI292" s="243"/>
      <c r="CJ292" s="243"/>
      <c r="CK292" s="243"/>
      <c r="CL292" s="243"/>
      <c r="CM292" s="243"/>
      <c r="CN292" s="243"/>
      <c r="CO292" s="243"/>
      <c r="CP292" s="243"/>
      <c r="CQ292" s="243"/>
      <c r="CR292" s="243"/>
      <c r="CS292" s="243"/>
      <c r="CT292" s="243"/>
      <c r="CU292" s="243"/>
      <c r="CV292" s="243"/>
      <c r="CW292" s="243"/>
      <c r="CX292" s="243"/>
      <c r="CY292" s="243"/>
      <c r="CZ292" s="243"/>
      <c r="DA292" s="243"/>
      <c r="DB292" s="243"/>
      <c r="DC292" s="243"/>
      <c r="DD292" s="243"/>
      <c r="DE292" s="243"/>
      <c r="DF292" s="243"/>
      <c r="DG292" s="243"/>
      <c r="DH292" s="243"/>
      <c r="DI292" s="243"/>
      <c r="DJ292" s="243"/>
      <c r="DK292" s="243"/>
      <c r="DM292" s="242"/>
      <c r="DO292" s="243"/>
      <c r="DQ292" s="242"/>
      <c r="DS292" s="243"/>
      <c r="DU292" s="242"/>
      <c r="DW292" s="243"/>
      <c r="DY292" s="242"/>
      <c r="EA292" s="243"/>
    </row>
    <row r="293" spans="1:131">
      <c r="A293" s="33"/>
      <c r="B293" s="33"/>
      <c r="C293" s="235"/>
      <c r="E293" s="90"/>
      <c r="F293" s="90"/>
      <c r="G293" s="33"/>
      <c r="J293" s="33"/>
      <c r="N293" s="33"/>
      <c r="Q293" s="243"/>
      <c r="R293" s="33"/>
      <c r="U293" s="244"/>
      <c r="V293" s="33"/>
      <c r="Y293" s="243"/>
      <c r="Z293" s="33"/>
      <c r="AC293" s="243"/>
      <c r="AD293" s="33"/>
      <c r="AG293" s="243"/>
      <c r="AH293" s="33"/>
      <c r="AK293" s="244"/>
      <c r="AL293" s="792"/>
      <c r="AM293" s="243"/>
      <c r="AN293" s="243"/>
      <c r="AO293" s="244"/>
      <c r="AP293" s="243"/>
      <c r="AQ293" s="243"/>
      <c r="AR293" s="243"/>
      <c r="AS293" s="244"/>
      <c r="AT293" s="243"/>
      <c r="AU293" s="243"/>
      <c r="AV293" s="243"/>
      <c r="AW293" s="244"/>
      <c r="AX293" s="243"/>
      <c r="AY293" s="243"/>
      <c r="AZ293" s="243"/>
      <c r="BA293" s="244"/>
      <c r="BB293" s="33"/>
      <c r="BE293" s="244"/>
      <c r="BF293" s="33"/>
      <c r="BI293" s="244"/>
      <c r="BJ293" s="33"/>
      <c r="BM293" s="244"/>
      <c r="BN293" s="243"/>
      <c r="BO293" s="243"/>
      <c r="BP293" s="243"/>
      <c r="BQ293" s="244"/>
      <c r="BR293" s="792"/>
      <c r="BS293" s="243"/>
      <c r="BT293" s="243"/>
      <c r="BU293" s="244"/>
      <c r="BV293" s="792"/>
      <c r="BW293" s="243"/>
      <c r="BX293" s="243"/>
      <c r="BY293" s="244"/>
      <c r="BZ293" s="792"/>
      <c r="CA293" s="243"/>
      <c r="CB293" s="243"/>
      <c r="CC293" s="244"/>
      <c r="CD293" s="243"/>
      <c r="CE293" s="243"/>
      <c r="CF293" s="243"/>
      <c r="CG293" s="243"/>
      <c r="CH293" s="243"/>
      <c r="CI293" s="243"/>
      <c r="CJ293" s="243"/>
      <c r="CK293" s="243"/>
      <c r="CL293" s="243"/>
      <c r="CM293" s="243"/>
      <c r="CN293" s="243"/>
      <c r="CO293" s="243"/>
      <c r="CP293" s="243"/>
      <c r="CQ293" s="243"/>
      <c r="CR293" s="243"/>
      <c r="CS293" s="243"/>
      <c r="CT293" s="243"/>
      <c r="CU293" s="243"/>
      <c r="CV293" s="243"/>
      <c r="CW293" s="243"/>
      <c r="CX293" s="243"/>
      <c r="CY293" s="243"/>
      <c r="CZ293" s="243"/>
      <c r="DA293" s="243"/>
      <c r="DB293" s="243"/>
      <c r="DC293" s="243"/>
      <c r="DD293" s="243"/>
      <c r="DE293" s="243"/>
      <c r="DF293" s="243"/>
      <c r="DG293" s="243"/>
      <c r="DH293" s="243"/>
      <c r="DI293" s="243"/>
      <c r="DJ293" s="243"/>
      <c r="DK293" s="243"/>
      <c r="DO293" s="243"/>
      <c r="DS293" s="243"/>
      <c r="DW293" s="243"/>
      <c r="EA293" s="243"/>
    </row>
    <row r="294" spans="1:131">
      <c r="A294" s="256" t="str">
        <f>IF((RIGHT(A277,1))&lt;&gt;"Z",CHAR(CODE(A277))&amp;CHAR(CODE(RIGHT(A277,1))+1),CHAR(CODE(A277)+1)&amp;"A")</f>
        <v>AQ</v>
      </c>
      <c r="B294" s="270" t="e">
        <f>INDEX(SourceID,MATCH($A294,SourceNumber,0),1,1)</f>
        <v>#N/A</v>
      </c>
      <c r="C294" s="354" t="e">
        <f>INDEX(SourceExitDiameter,MATCH($A294,SourceNumber,0),1,1)*3.28*12</f>
        <v>#N/A</v>
      </c>
      <c r="D294" s="24" t="str">
        <f>UAnem1percent</f>
        <v>1% Wind</v>
      </c>
      <c r="E294" s="350" t="e">
        <f ca="1">INDIRECT(ADDRESS(53,6,1,,CONCATENATE("TA",$A294)))</f>
        <v>#REF!</v>
      </c>
      <c r="F294" s="625" t="e">
        <f ca="1">(ROUND((INDIRECT(ADDRESS(15,7,1,,CONCATENATE("TA",$A294)))*3.28*12*32),0)&amp;"/32")</f>
        <v>#REF!</v>
      </c>
      <c r="G294" s="125" t="e">
        <f ca="1">INDIRECT(ADDRESS(29,7,1,,$A294))</f>
        <v>#N/A</v>
      </c>
      <c r="H294" s="24" t="e">
        <f ca="1">INDIRECT(ADDRESS(19,7,1,,$A294))*100^3</f>
        <v>#N/A</v>
      </c>
      <c r="I294" s="941" t="e">
        <f ca="1">INDIRECT(ADDRESS(53,7,1,,$A294))</f>
        <v>#N/A</v>
      </c>
      <c r="J294" s="20" t="e">
        <f ca="1">IF($I294=$I$6,K$16&amp;$G$6&amp;J$6,IF($I294=$I$7,K$16&amp;$G$7&amp;J$7,"Bad"))</f>
        <v>#N/A</v>
      </c>
      <c r="K294" t="e">
        <f ca="1">INDEX(FlowCalGasMixture,MATCH(J294,FlowCalNumber,0),1,1)</f>
        <v>#N/A</v>
      </c>
      <c r="M294" s="944" t="e">
        <f ca="1">INDEX(FlowCalDevice,MATCH(J294,FlowCalNumber,0),1,1)</f>
        <v>#N/A</v>
      </c>
      <c r="N294" s="943" t="e">
        <f ca="1">IF($I294=$I$6,O$16&amp;$G$6&amp;"90"&amp;$H$6&amp;N$6,IF($I294=$I$7,O$16&amp;$G$7&amp;"90"&amp;$H$7&amp;N$7,"Bad"))</f>
        <v>#N/A</v>
      </c>
      <c r="O294" t="e">
        <f ca="1">INDEX(FlowCalGasMixture,MATCH(N294,FlowCalNumber,0),1,1)</f>
        <v>#N/A</v>
      </c>
      <c r="Q294" s="944" t="e">
        <f ca="1">INDEX(FlowCalDevice,MATCH(N294,FlowCalNumber,0),1,1)</f>
        <v>#N/A</v>
      </c>
      <c r="R294" s="943" t="e">
        <f ca="1">IF($I294=$I$6,S$16&amp;$G$6&amp;"90"&amp;$H$6&amp;R$6,IF($I294=$I$7,S$16&amp;$G$7&amp;"90"&amp;$H$7&amp;R$7,"Bad"))</f>
        <v>#N/A</v>
      </c>
      <c r="S294" t="e">
        <f ca="1">INDEX(FlowCalGasMixture,MATCH(R294,FlowCalNumber,0),1,1)</f>
        <v>#N/A</v>
      </c>
      <c r="U294" s="944" t="e">
        <f ca="1">INDEX(FlowCalDevice,MATCH(R294,FlowCalNumber,0),1,1)</f>
        <v>#N/A</v>
      </c>
      <c r="V294" s="20" t="e">
        <f ca="1">IF($I294=$I$6,W$16&amp;$G$6&amp;V$6,IF($I294=$I$7,W$16&amp;$G$7&amp;V$7,"Bad"))</f>
        <v>#N/A</v>
      </c>
      <c r="W294" t="e">
        <f ca="1">INDEX(FlowCalGasMixture,MATCH(V294,FlowCalNumber,0),1,1)</f>
        <v>#N/A</v>
      </c>
      <c r="Y294" s="944" t="e">
        <f ca="1">INDEX(FlowCalDevice,MATCH(V294,FlowCalNumber,0),1,1)</f>
        <v>#N/A</v>
      </c>
      <c r="Z294" s="946" t="e">
        <f ca="1">IF($I294=$I$6,AA$18&amp;$H$6&amp;Z$6,IF($I294=$I$7,AA$18&amp;$H$7&amp;Z$7,"Bad"))</f>
        <v>#N/A</v>
      </c>
      <c r="AA294" t="e">
        <f ca="1">INDEX(FlowCalGasMixture,MATCH(Z294,FlowCalNumber,0),1,1)</f>
        <v>#N/A</v>
      </c>
      <c r="AC294" s="944" t="e">
        <f ca="1">INDEX(FlowCalDevice,MATCH(Z294,FlowCalNumber,0),1,1)</f>
        <v>#N/A</v>
      </c>
      <c r="AD294" s="20" t="e">
        <f ca="1">IF($I294=$I$6,AE$16&amp;$G$6&amp;AD$6,IF($I294=$I$7,AE$16&amp;$G$7&amp;AD$7,"Bad"))</f>
        <v>#N/A</v>
      </c>
      <c r="AE294" t="e">
        <f ca="1">INDEX(FlowCalGasMixture,MATCH(AD294,FlowCalNumber,0),1,1)</f>
        <v>#N/A</v>
      </c>
      <c r="AG294" s="944" t="e">
        <f ca="1">INDEX(FlowCalDevice,MATCH(AD294,FlowCalNumber,0),1,1)</f>
        <v>#N/A</v>
      </c>
      <c r="AH294" s="946" t="e">
        <f ca="1">IF($I294=$I$6,AI$18&amp;$H$6&amp;AH$6,IF($I294=$I$7,AI$18&amp;$H$7&amp;AH$7,"Bad"))</f>
        <v>#N/A</v>
      </c>
      <c r="AI294" t="e">
        <f ca="1">INDEX(FlowCalGasMixture,MATCH(AH294,FlowCalNumber,0),1,1)</f>
        <v>#N/A</v>
      </c>
      <c r="AK294" s="944" t="e">
        <f ca="1">INDEX(FlowCalDevice,MATCH(AH294,FlowCalNumber,0),1,1)</f>
        <v>#N/A</v>
      </c>
      <c r="AL294" s="20"/>
      <c r="AO294" s="982"/>
      <c r="AP294" s="960"/>
      <c r="AS294" s="982"/>
      <c r="AT294" s="20"/>
      <c r="AW294" s="982"/>
      <c r="AX294" s="946"/>
      <c r="BA294" s="982"/>
      <c r="BB294" s="20"/>
      <c r="BC294" s="16"/>
      <c r="BE294" s="982"/>
      <c r="BF294" s="946"/>
      <c r="BG294" s="16"/>
      <c r="BI294" s="982"/>
      <c r="BJ294" s="946"/>
      <c r="BK294" s="16"/>
      <c r="BM294" s="982"/>
      <c r="BN294" s="20"/>
      <c r="BO294" s="16"/>
      <c r="BQ294" s="982"/>
      <c r="BR294" s="946"/>
      <c r="BS294" s="16"/>
      <c r="BU294" s="982"/>
      <c r="BV294" s="946"/>
      <c r="BW294" s="16"/>
      <c r="BY294" s="982"/>
      <c r="BZ294" s="946"/>
      <c r="CA294" s="16"/>
      <c r="CC294" s="982"/>
      <c r="CD294" s="355"/>
      <c r="CE294" s="355"/>
      <c r="CF294" s="355"/>
      <c r="CG294" s="355"/>
      <c r="CH294" s="355"/>
      <c r="CI294" s="355"/>
      <c r="CJ294" s="355"/>
      <c r="CK294" s="355"/>
      <c r="CL294" s="355"/>
      <c r="CM294" s="355"/>
      <c r="CN294" s="355"/>
      <c r="CO294" s="355"/>
      <c r="CP294" s="355"/>
      <c r="CQ294" s="355"/>
      <c r="CR294" s="355"/>
      <c r="CS294" s="355"/>
      <c r="CT294" s="355"/>
      <c r="CU294" s="355"/>
      <c r="CV294" s="355"/>
      <c r="CW294" s="355"/>
      <c r="CX294" s="355"/>
      <c r="CY294" s="355"/>
      <c r="CZ294" s="355"/>
      <c r="DA294" s="355"/>
      <c r="DB294" s="355"/>
      <c r="DC294" s="355"/>
      <c r="DD294" s="355"/>
      <c r="DE294" s="355"/>
      <c r="DF294" s="355"/>
      <c r="DG294" s="355"/>
      <c r="DH294" s="355"/>
      <c r="DI294" s="355"/>
      <c r="DJ294" s="355"/>
      <c r="DK294" s="355"/>
      <c r="DL294" s="46"/>
      <c r="DM294" s="16"/>
      <c r="DO294" s="355"/>
      <c r="DP294" s="42"/>
      <c r="DQ294" s="16"/>
      <c r="DS294" s="355"/>
      <c r="DT294" s="42"/>
      <c r="DU294" s="16"/>
      <c r="DW294" s="355"/>
      <c r="DX294" s="42"/>
      <c r="DY294" s="16"/>
      <c r="EA294" s="355"/>
    </row>
    <row r="295" spans="1:131">
      <c r="A295" s="20"/>
      <c r="B295" s="124" t="str">
        <f t="shared" ref="B295:B309" si="278">IF(D295=UAnem1percent,"1% Wind","")</f>
        <v/>
      </c>
      <c r="C295" s="235"/>
      <c r="D295" s="24">
        <f>'1% Wind'!$M$82</f>
        <v>27</v>
      </c>
      <c r="E295" s="90"/>
      <c r="F295" s="90"/>
      <c r="G295" s="79" t="e">
        <f ca="1">IF(I294=0.9743,$G294,MAX(G294/D294*D295,2))</f>
        <v>#N/A</v>
      </c>
      <c r="H295" s="121" t="e">
        <f t="shared" ref="H295:H309" ca="1" si="279">H294*(D294/D295)*(G295/G294)</f>
        <v>#N/A</v>
      </c>
      <c r="J295" s="33"/>
      <c r="K295" s="260">
        <f>K$17/100</f>
        <v>1</v>
      </c>
      <c r="L295" s="241" t="e">
        <f ca="1">K295*$H295</f>
        <v>#N/A</v>
      </c>
      <c r="M295" s="243" t="e">
        <f ca="1">IF(AND(INDEX(FlowCalConstA,MATCH(J294,FlowCalNumber,0),1,1)*L295^INDEX(FlowCalConstB,MATCH(J294,FlowCalNumber,0),1,1)&gt;INDEX(FlowCalLowSetting,MATCH(J294,FlowCalNumber,0),1,1), (INDEX(FlowCalConstA,MATCH(J294,FlowCalNumber,0),1,1)*L295^INDEX(FlowCalConstB,MATCH(J294,FlowCalNumber,0),1,1)&lt;INDEX(FlowCalHighSetting,MATCH(J294,FlowCalNumber,0),1,1))),INDEX(FlowCalConstA,MATCH(J294,FlowCalNumber,0),1,1)*L295^INDEX(FlowCalConstB,MATCH(J294,FlowCalNumber,0),1,1)," ")</f>
        <v>#N/A</v>
      </c>
      <c r="N295" s="33"/>
      <c r="O295" s="260">
        <f>O$17/100</f>
        <v>1</v>
      </c>
      <c r="P295" s="241" t="e">
        <f ca="1">O295*$H295</f>
        <v>#N/A</v>
      </c>
      <c r="Q295" s="243" t="e">
        <f ca="1">IF(AND(INDEX(FlowCalConstA,MATCH(N294,FlowCalNumber,0),1,1)*P295^INDEX(FlowCalConstB,MATCH(N294,FlowCalNumber,0),1,1)&gt;INDEX(FlowCalLowSetting,MATCH(N294,FlowCalNumber,0),1,1), (INDEX(FlowCalConstA,MATCH(N294,FlowCalNumber,0),1,1)*P295^INDEX(FlowCalConstB,MATCH(N294,FlowCalNumber,0),1,1)&lt;INDEX(FlowCalHighSetting,MATCH(N294,FlowCalNumber,0),1,1))),INDEX(FlowCalConstA,MATCH(N294,FlowCalNumber,0),1,1)*P295^INDEX(FlowCalConstB,MATCH(N294,FlowCalNumber,0),1,1)," ")</f>
        <v>#N/A</v>
      </c>
      <c r="R295" s="33"/>
      <c r="S295" s="260">
        <f>S$17/100</f>
        <v>1</v>
      </c>
      <c r="T295" s="241" t="e">
        <f ca="1">S295*$H295</f>
        <v>#N/A</v>
      </c>
      <c r="U295" s="244" t="e">
        <f ca="1">IF(AND(INDEX(FlowCalConstA,MATCH(R294,FlowCalNumber,0),1,1)*T295^INDEX(FlowCalConstB,MATCH(R294,FlowCalNumber,0),1,1)&gt;INDEX(FlowCalLowSetting,MATCH(R294,FlowCalNumber,0),1,1), (INDEX(FlowCalConstA,MATCH(R294,FlowCalNumber,0),1,1)*T295^INDEX(FlowCalConstB,MATCH(R294,FlowCalNumber,0),1,1)&lt;INDEX(FlowCalHighSetting,MATCH(R294,FlowCalNumber,0),1,1))),INDEX(FlowCalConstA,MATCH(R294,FlowCalNumber,0),1,1)*T295^INDEX(FlowCalConstB,MATCH(R294,FlowCalNumber,0),1,1)," ")</f>
        <v>#N/A</v>
      </c>
      <c r="V295" s="33"/>
      <c r="W295" s="260">
        <f>W$17/100</f>
        <v>0.1</v>
      </c>
      <c r="X295" s="241" t="e">
        <f ca="1">W295*$H295</f>
        <v>#N/A</v>
      </c>
      <c r="Y295" s="243" t="e">
        <f ca="1">IF(AND(INDEX(FlowCalConstA,MATCH(V294,FlowCalNumber,0),1,1)*X295^INDEX(FlowCalConstB,MATCH(V294,FlowCalNumber,0),1,1)&gt;INDEX(FlowCalLowSetting,MATCH(V294,FlowCalNumber,0),1,1), (INDEX(FlowCalConstA,MATCH(V294,FlowCalNumber,0),1,1)*X295^INDEX(FlowCalConstB,MATCH(V294,FlowCalNumber,0),1,1)&lt;INDEX(FlowCalHighSetting,MATCH(V294,FlowCalNumber,0),1,1))),INDEX(FlowCalConstA,MATCH(V294,FlowCalNumber,0),1,1)*X295^INDEX(FlowCalConstB,MATCH(V294,FlowCalNumber,0),1,1)," ")</f>
        <v>#N/A</v>
      </c>
      <c r="Z295" s="33"/>
      <c r="AA295" s="260">
        <f>AA$17/100</f>
        <v>0.9</v>
      </c>
      <c r="AB295" s="241" t="e">
        <f ca="1">AA295*$H295</f>
        <v>#N/A</v>
      </c>
      <c r="AC295" s="243" t="e">
        <f ca="1">IF(AND(INDEX(FlowCalConstA,MATCH(Z294,FlowCalNumber,0),1,1)*AB295^INDEX(FlowCalConstB,MATCH(Z294,FlowCalNumber,0),1,1)&gt;INDEX(FlowCalLowSetting,MATCH(Z294,FlowCalNumber,0),1,1), (INDEX(FlowCalConstA,MATCH(Z294,FlowCalNumber,0),1,1)*AB295^INDEX(FlowCalConstB,MATCH(Z294,FlowCalNumber,0),1,1)&lt;INDEX(FlowCalHighSetting,MATCH(Z294,FlowCalNumber,0),1,1))),INDEX(FlowCalConstA,MATCH(Z294,FlowCalNumber,0),1,1)*AB295^INDEX(FlowCalConstB,MATCH(Z294,FlowCalNumber,0),1,1)," ")</f>
        <v>#N/A</v>
      </c>
      <c r="AD295" s="33"/>
      <c r="AE295" s="260">
        <f>AE$17/100</f>
        <v>0.1</v>
      </c>
      <c r="AF295" s="241" t="e">
        <f ca="1">AE295*$H295</f>
        <v>#N/A</v>
      </c>
      <c r="AG295" s="243" t="e">
        <f ca="1">IF(AND(INDEX(FlowCalConstA,MATCH(AD294,FlowCalNumber,0),1,1)*AF295^INDEX(FlowCalConstB,MATCH(AD294,FlowCalNumber,0),1,1)&gt;INDEX(FlowCalLowSetting,MATCH(AD294,FlowCalNumber,0),1,1), (INDEX(FlowCalConstA,MATCH(AD294,FlowCalNumber,0),1,1)*AF295^INDEX(FlowCalConstB,MATCH(AD294,FlowCalNumber,0),1,1)&lt;INDEX(FlowCalHighSetting,MATCH(AD294,FlowCalNumber,0),1,1))),INDEX(FlowCalConstA,MATCH(AD294,FlowCalNumber,0),1,1)*AF295^INDEX(FlowCalConstB,MATCH(AD294,FlowCalNumber,0),1,1)," ")</f>
        <v>#N/A</v>
      </c>
      <c r="AH295" s="33"/>
      <c r="AI295" s="260">
        <f>AI$17/100</f>
        <v>0.9</v>
      </c>
      <c r="AJ295" s="241" t="e">
        <f ca="1">AI295*$H295</f>
        <v>#N/A</v>
      </c>
      <c r="AK295" s="243" t="e">
        <f ca="1">IF(AND(INDEX(FlowCalConstA,MATCH(AH294,FlowCalNumber,0),1,1)*AJ295^INDEX(FlowCalConstB,MATCH(AH294,FlowCalNumber,0),1,1)&gt;INDEX(FlowCalLowSetting,MATCH(AH294,FlowCalNumber,0),1,1), (INDEX(FlowCalConstA,MATCH(AH294,FlowCalNumber,0),1,1)*AJ295^INDEX(FlowCalConstB,MATCH(AH294,FlowCalNumber,0),1,1)&lt;INDEX(FlowCalHighSetting,MATCH(AH294,FlowCalNumber,0),1,1))),INDEX(FlowCalConstA,MATCH(AH294,FlowCalNumber,0),1,1)*AJ295^INDEX(FlowCalConstB,MATCH(AH294,FlowCalNumber,0),1,1)," ")</f>
        <v>#N/A</v>
      </c>
      <c r="AL295" s="33"/>
      <c r="AM295" s="260"/>
      <c r="AN295" s="241"/>
      <c r="AO295" s="244"/>
      <c r="AQ295" s="260"/>
      <c r="AR295" s="241"/>
      <c r="AS295" s="244"/>
      <c r="AT295" s="33"/>
      <c r="AU295" s="260"/>
      <c r="AV295" s="241"/>
      <c r="AW295" s="244"/>
      <c r="AX295" s="33"/>
      <c r="AY295" s="260"/>
      <c r="AZ295" s="241"/>
      <c r="BA295" s="244"/>
      <c r="BB295" s="33"/>
      <c r="BC295" s="260"/>
      <c r="BD295" s="241"/>
      <c r="BE295" s="244"/>
      <c r="BF295" s="33"/>
      <c r="BG295" s="260"/>
      <c r="BH295" s="241"/>
      <c r="BI295" s="244"/>
      <c r="BJ295" s="33"/>
      <c r="BK295" s="260"/>
      <c r="BL295" s="241"/>
      <c r="BM295" s="244"/>
      <c r="BN295" s="33"/>
      <c r="BO295" s="260"/>
      <c r="BP295" s="241"/>
      <c r="BQ295" s="244"/>
      <c r="BR295" s="33"/>
      <c r="BS295" s="260"/>
      <c r="BT295" s="241"/>
      <c r="BU295" s="244"/>
      <c r="BV295" s="33"/>
      <c r="BW295" s="260"/>
      <c r="BX295" s="241"/>
      <c r="BY295" s="244"/>
      <c r="BZ295" s="33"/>
      <c r="CA295" s="260"/>
      <c r="CB295" s="241"/>
      <c r="CC295" s="244"/>
      <c r="CD295" s="243"/>
      <c r="CE295" s="243"/>
      <c r="CF295" s="243"/>
      <c r="CG295" s="243"/>
      <c r="CH295" s="243"/>
      <c r="CI295" s="243"/>
      <c r="CJ295" s="243"/>
      <c r="CK295" s="243"/>
      <c r="CL295" s="243"/>
      <c r="CM295" s="243"/>
      <c r="CN295" s="243"/>
      <c r="CO295" s="243"/>
      <c r="CP295" s="243"/>
      <c r="CQ295" s="243"/>
      <c r="CR295" s="243"/>
      <c r="CS295" s="243"/>
      <c r="CT295" s="243"/>
      <c r="CU295" s="243"/>
      <c r="CV295" s="243"/>
      <c r="CW295" s="243"/>
      <c r="CX295" s="243"/>
      <c r="CY295" s="243"/>
      <c r="CZ295" s="243"/>
      <c r="DA295" s="243"/>
      <c r="DB295" s="243"/>
      <c r="DC295" s="243"/>
      <c r="DD295" s="243"/>
      <c r="DE295" s="243"/>
      <c r="DF295" s="243"/>
      <c r="DG295" s="243"/>
      <c r="DH295" s="243"/>
      <c r="DI295" s="243"/>
      <c r="DJ295" s="243"/>
      <c r="DK295" s="243"/>
      <c r="DM295" s="259"/>
      <c r="DO295" s="243"/>
      <c r="DQ295" s="259"/>
      <c r="DS295" s="243"/>
      <c r="DU295" s="259"/>
      <c r="DW295" s="243"/>
      <c r="DY295" s="260"/>
      <c r="EA295" s="243"/>
    </row>
    <row r="296" spans="1:131">
      <c r="A296" s="20"/>
      <c r="B296" s="124" t="str">
        <f t="shared" si="278"/>
        <v/>
      </c>
      <c r="C296" s="235"/>
      <c r="D296" s="24">
        <f>'1% Wind'!$M$83</f>
        <v>23.5</v>
      </c>
      <c r="E296" s="90"/>
      <c r="F296" s="90"/>
      <c r="G296" s="79" t="e">
        <f ca="1">IF(I294=0.9743,$G295,MAX(G295/D295*D296,2))</f>
        <v>#N/A</v>
      </c>
      <c r="H296" s="121" t="e">
        <f t="shared" ca="1" si="279"/>
        <v>#N/A</v>
      </c>
      <c r="J296" s="33"/>
      <c r="K296" s="242">
        <f t="shared" ref="K296:K309" si="280">K295</f>
        <v>1</v>
      </c>
      <c r="L296" s="241" t="e">
        <f t="shared" ref="L296:L309" ca="1" si="281">K296*$H296</f>
        <v>#N/A</v>
      </c>
      <c r="M296" s="243" t="e">
        <f ca="1">IF(AND(INDEX(FlowCalConstA,MATCH(J294,FlowCalNumber,0),1,1)*L296^INDEX(FlowCalConstB,MATCH(J294,FlowCalNumber,0),1,1)&gt;INDEX(FlowCalLowSetting,MATCH(J294,FlowCalNumber,0),1,1), (INDEX(FlowCalConstA,MATCH(J294,FlowCalNumber,0),1,1)*L296^INDEX(FlowCalConstB,MATCH(J294,FlowCalNumber,0),1,1)&lt;INDEX(FlowCalHighSetting,MATCH(J294,FlowCalNumber,0),1,1))),INDEX(FlowCalConstA,MATCH(J294,FlowCalNumber,0),1,1)*L296^INDEX(FlowCalConstB,MATCH(J294,FlowCalNumber,0),1,1)," ")</f>
        <v>#N/A</v>
      </c>
      <c r="N296" s="33"/>
      <c r="O296" s="242">
        <f t="shared" ref="O296:O309" si="282">O295</f>
        <v>1</v>
      </c>
      <c r="P296" s="241" t="e">
        <f t="shared" ref="P296:P309" ca="1" si="283">O296*$H296</f>
        <v>#N/A</v>
      </c>
      <c r="Q296" s="243" t="e">
        <f ca="1">IF(AND(INDEX(FlowCalConstA,MATCH(N294,FlowCalNumber,0),1,1)*P296^INDEX(FlowCalConstB,MATCH(N294,FlowCalNumber,0),1,1)&gt;INDEX(FlowCalLowSetting,MATCH(N294,FlowCalNumber,0),1,1), (INDEX(FlowCalConstA,MATCH(N294,FlowCalNumber,0),1,1)*P296^INDEX(FlowCalConstB,MATCH(N294,FlowCalNumber,0),1,1)&lt;INDEX(FlowCalHighSetting,MATCH(N294,FlowCalNumber,0),1,1))),INDEX(FlowCalConstA,MATCH(N294,FlowCalNumber,0),1,1)*P296^INDEX(FlowCalConstB,MATCH(N294,FlowCalNumber,0),1,1)," ")</f>
        <v>#N/A</v>
      </c>
      <c r="R296" s="33"/>
      <c r="S296" s="242">
        <f t="shared" ref="S296:S309" si="284">S295</f>
        <v>1</v>
      </c>
      <c r="T296" s="241" t="e">
        <f t="shared" ref="T296:T309" ca="1" si="285">S296*$H296</f>
        <v>#N/A</v>
      </c>
      <c r="U296" s="244" t="e">
        <f ca="1">IF(AND(INDEX(FlowCalConstA,MATCH(R294,FlowCalNumber,0),1,1)*T296^INDEX(FlowCalConstB,MATCH(R294,FlowCalNumber,0),1,1)&gt;INDEX(FlowCalLowSetting,MATCH(R294,FlowCalNumber,0),1,1), (INDEX(FlowCalConstA,MATCH(R294,FlowCalNumber,0),1,1)*T296^INDEX(FlowCalConstB,MATCH(R294,FlowCalNumber,0),1,1)&lt;INDEX(FlowCalHighSetting,MATCH(R294,FlowCalNumber,0),1,1))),INDEX(FlowCalConstA,MATCH(R294,FlowCalNumber,0),1,1)*T296^INDEX(FlowCalConstB,MATCH(R294,FlowCalNumber,0),1,1)," ")</f>
        <v>#N/A</v>
      </c>
      <c r="V296" s="33"/>
      <c r="W296" s="242">
        <f t="shared" ref="W296:W309" si="286">W295</f>
        <v>0.1</v>
      </c>
      <c r="X296" s="241" t="e">
        <f t="shared" ref="X296:X309" ca="1" si="287">W296*$H296</f>
        <v>#N/A</v>
      </c>
      <c r="Y296" s="243" t="e">
        <f ca="1">IF(AND(INDEX(FlowCalConstA,MATCH(V294,FlowCalNumber,0),1,1)*X296^INDEX(FlowCalConstB,MATCH(V294,FlowCalNumber,0),1,1)&gt;INDEX(FlowCalLowSetting,MATCH(V294,FlowCalNumber,0),1,1), (INDEX(FlowCalConstA,MATCH(V294,FlowCalNumber,0),1,1)*X296^INDEX(FlowCalConstB,MATCH(V294,FlowCalNumber,0),1,1)&lt;INDEX(FlowCalHighSetting,MATCH(V294,FlowCalNumber,0),1,1))),INDEX(FlowCalConstA,MATCH(V294,FlowCalNumber,0),1,1)*X296^INDEX(FlowCalConstB,MATCH(V294,FlowCalNumber,0),1,1)," ")</f>
        <v>#N/A</v>
      </c>
      <c r="Z296" s="33"/>
      <c r="AA296" s="242">
        <f t="shared" ref="AA296:AA309" si="288">AA295</f>
        <v>0.9</v>
      </c>
      <c r="AB296" s="241" t="e">
        <f t="shared" ref="AB296:AB309" ca="1" si="289">AA296*$H296</f>
        <v>#N/A</v>
      </c>
      <c r="AC296" s="243" t="e">
        <f ca="1">IF(AND(INDEX(FlowCalConstA,MATCH(Z294,FlowCalNumber,0),1,1)*AB296^INDEX(FlowCalConstB,MATCH(Z294,FlowCalNumber,0),1,1)&gt;INDEX(FlowCalLowSetting,MATCH(Z294,FlowCalNumber,0),1,1), (INDEX(FlowCalConstA,MATCH(Z294,FlowCalNumber,0),1,1)*AB296^INDEX(FlowCalConstB,MATCH(Z294,FlowCalNumber,0),1,1)&lt;INDEX(FlowCalHighSetting,MATCH(Z294,FlowCalNumber,0),1,1))),INDEX(FlowCalConstA,MATCH(Z294,FlowCalNumber,0),1,1)*AB296^INDEX(FlowCalConstB,MATCH(Z294,FlowCalNumber,0),1,1)," ")</f>
        <v>#N/A</v>
      </c>
      <c r="AD296" s="33"/>
      <c r="AE296" s="242">
        <f t="shared" ref="AE296:AE309" si="290">AE295</f>
        <v>0.1</v>
      </c>
      <c r="AF296" s="241" t="e">
        <f t="shared" ref="AF296:AF309" ca="1" si="291">AE296*$H296</f>
        <v>#N/A</v>
      </c>
      <c r="AG296" s="243" t="e">
        <f ca="1">IF(AND(INDEX(FlowCalConstA,MATCH(AD294,FlowCalNumber,0),1,1)*AF296^INDEX(FlowCalConstB,MATCH(AD294,FlowCalNumber,0),1,1)&gt;INDEX(FlowCalLowSetting,MATCH(AD294,FlowCalNumber,0),1,1), (INDEX(FlowCalConstA,MATCH(AD294,FlowCalNumber,0),1,1)*AF296^INDEX(FlowCalConstB,MATCH(AD294,FlowCalNumber,0),1,1)&lt;INDEX(FlowCalHighSetting,MATCH(AD294,FlowCalNumber,0),1,1))),INDEX(FlowCalConstA,MATCH(AD294,FlowCalNumber,0),1,1)*AF296^INDEX(FlowCalConstB,MATCH(AD294,FlowCalNumber,0),1,1)," ")</f>
        <v>#N/A</v>
      </c>
      <c r="AH296" s="33"/>
      <c r="AI296" s="242">
        <f t="shared" ref="AI296:AI309" si="292">AI295</f>
        <v>0.9</v>
      </c>
      <c r="AJ296" s="241" t="e">
        <f t="shared" ref="AJ296:AJ309" ca="1" si="293">AI296*$H296</f>
        <v>#N/A</v>
      </c>
      <c r="AK296" s="243" t="e">
        <f ca="1">IF(AND(INDEX(FlowCalConstA,MATCH(AH294,FlowCalNumber,0),1,1)*AJ296^INDEX(FlowCalConstB,MATCH(AH294,FlowCalNumber,0),1,1)&gt;INDEX(FlowCalLowSetting,MATCH(AH294,FlowCalNumber,0),1,1), (INDEX(FlowCalConstA,MATCH(AH294,FlowCalNumber,0),1,1)*AJ296^INDEX(FlowCalConstB,MATCH(AH294,FlowCalNumber,0),1,1)&lt;INDEX(FlowCalHighSetting,MATCH(AH294,FlowCalNumber,0),1,1))),INDEX(FlowCalConstA,MATCH(AH294,FlowCalNumber,0),1,1)*AJ296^INDEX(FlowCalConstB,MATCH(AH294,FlowCalNumber,0),1,1)," ")</f>
        <v>#N/A</v>
      </c>
      <c r="AL296" s="33"/>
      <c r="AM296" s="242"/>
      <c r="AN296" s="241"/>
      <c r="AO296" s="244"/>
      <c r="AQ296" s="242"/>
      <c r="AR296" s="241"/>
      <c r="AS296" s="244"/>
      <c r="AT296" s="33"/>
      <c r="AU296" s="242"/>
      <c r="AV296" s="241"/>
      <c r="AW296" s="244"/>
      <c r="AX296" s="33"/>
      <c r="AY296" s="242"/>
      <c r="AZ296" s="241"/>
      <c r="BA296" s="244"/>
      <c r="BB296" s="33"/>
      <c r="BC296" s="242"/>
      <c r="BD296" s="241"/>
      <c r="BE296" s="244"/>
      <c r="BF296" s="33"/>
      <c r="BG296" s="242"/>
      <c r="BH296" s="241"/>
      <c r="BI296" s="244"/>
      <c r="BJ296" s="33"/>
      <c r="BK296" s="242"/>
      <c r="BL296" s="241"/>
      <c r="BM296" s="244"/>
      <c r="BN296" s="33"/>
      <c r="BO296" s="242"/>
      <c r="BP296" s="241"/>
      <c r="BQ296" s="244"/>
      <c r="BR296" s="33"/>
      <c r="BS296" s="242"/>
      <c r="BT296" s="241"/>
      <c r="BU296" s="244"/>
      <c r="BV296" s="33"/>
      <c r="BW296" s="242"/>
      <c r="BX296" s="241"/>
      <c r="BY296" s="244"/>
      <c r="BZ296" s="33"/>
      <c r="CA296" s="242"/>
      <c r="CB296" s="241"/>
      <c r="CC296" s="244"/>
      <c r="CD296" s="243"/>
      <c r="CE296" s="243"/>
      <c r="CF296" s="243"/>
      <c r="CG296" s="243"/>
      <c r="CH296" s="243"/>
      <c r="CI296" s="243"/>
      <c r="CJ296" s="243"/>
      <c r="CK296" s="243"/>
      <c r="CL296" s="243"/>
      <c r="CM296" s="243"/>
      <c r="CN296" s="243"/>
      <c r="CO296" s="243"/>
      <c r="CP296" s="243"/>
      <c r="CQ296" s="243"/>
      <c r="CR296" s="243"/>
      <c r="CS296" s="243"/>
      <c r="CT296" s="243"/>
      <c r="CU296" s="243"/>
      <c r="CV296" s="243"/>
      <c r="CW296" s="243"/>
      <c r="CX296" s="243"/>
      <c r="CY296" s="243"/>
      <c r="CZ296" s="243"/>
      <c r="DA296" s="243"/>
      <c r="DB296" s="243"/>
      <c r="DC296" s="243"/>
      <c r="DD296" s="243"/>
      <c r="DE296" s="243"/>
      <c r="DF296" s="243"/>
      <c r="DG296" s="243"/>
      <c r="DH296" s="243"/>
      <c r="DI296" s="243"/>
      <c r="DJ296" s="243"/>
      <c r="DK296" s="243"/>
      <c r="DM296" s="242"/>
      <c r="DO296" s="243"/>
      <c r="DQ296" s="242"/>
      <c r="DS296" s="243"/>
      <c r="DU296" s="242"/>
      <c r="DW296" s="243"/>
      <c r="DY296" s="242"/>
      <c r="EA296" s="243"/>
    </row>
    <row r="297" spans="1:131">
      <c r="A297" s="20"/>
      <c r="B297" s="124" t="str">
        <f t="shared" si="278"/>
        <v/>
      </c>
      <c r="C297" s="235"/>
      <c r="D297" s="24">
        <f>'1% Wind'!$M$84</f>
        <v>20.5</v>
      </c>
      <c r="E297" s="90"/>
      <c r="F297" s="90"/>
      <c r="G297" s="79" t="e">
        <f ca="1">IF(I294=0.9743,$G296,MAX(G296/D296*D297,2))</f>
        <v>#N/A</v>
      </c>
      <c r="H297" s="121" t="e">
        <f t="shared" ca="1" si="279"/>
        <v>#N/A</v>
      </c>
      <c r="J297" s="33"/>
      <c r="K297" s="242">
        <f t="shared" si="280"/>
        <v>1</v>
      </c>
      <c r="L297" s="241" t="e">
        <f t="shared" ca="1" si="281"/>
        <v>#N/A</v>
      </c>
      <c r="M297" s="243" t="e">
        <f ca="1">IF(AND(INDEX(FlowCalConstA,MATCH(J294,FlowCalNumber,0),1,1)*L297^INDEX(FlowCalConstB,MATCH(J294,FlowCalNumber,0),1,1)&gt;INDEX(FlowCalLowSetting,MATCH(J294,FlowCalNumber,0),1,1), (INDEX(FlowCalConstA,MATCH(J294,FlowCalNumber,0),1,1)*L297^INDEX(FlowCalConstB,MATCH(J294,FlowCalNumber,0),1,1)&lt;INDEX(FlowCalHighSetting,MATCH(J294,FlowCalNumber,0),1,1))),INDEX(FlowCalConstA,MATCH(J294,FlowCalNumber,0),1,1)*L297^INDEX(FlowCalConstB,MATCH(J294,FlowCalNumber,0),1,1)," ")</f>
        <v>#N/A</v>
      </c>
      <c r="N297" s="33"/>
      <c r="O297" s="242">
        <f t="shared" si="282"/>
        <v>1</v>
      </c>
      <c r="P297" s="241" t="e">
        <f t="shared" ca="1" si="283"/>
        <v>#N/A</v>
      </c>
      <c r="Q297" s="243" t="e">
        <f ca="1">IF(AND(INDEX(FlowCalConstA,MATCH(N294,FlowCalNumber,0),1,1)*P297^INDEX(FlowCalConstB,MATCH(N294,FlowCalNumber,0),1,1)&gt;INDEX(FlowCalLowSetting,MATCH(N294,FlowCalNumber,0),1,1), (INDEX(FlowCalConstA,MATCH(N294,FlowCalNumber,0),1,1)*P297^INDEX(FlowCalConstB,MATCH(N294,FlowCalNumber,0),1,1)&lt;INDEX(FlowCalHighSetting,MATCH(N294,FlowCalNumber,0),1,1))),INDEX(FlowCalConstA,MATCH(N294,FlowCalNumber,0),1,1)*P297^INDEX(FlowCalConstB,MATCH(N294,FlowCalNumber,0),1,1)," ")</f>
        <v>#N/A</v>
      </c>
      <c r="R297" s="33"/>
      <c r="S297" s="242">
        <f t="shared" si="284"/>
        <v>1</v>
      </c>
      <c r="T297" s="241" t="e">
        <f t="shared" ca="1" si="285"/>
        <v>#N/A</v>
      </c>
      <c r="U297" s="244" t="e">
        <f ca="1">IF(AND(INDEX(FlowCalConstA,MATCH(R294,FlowCalNumber,0),1,1)*T297^INDEX(FlowCalConstB,MATCH(R294,FlowCalNumber,0),1,1)&gt;INDEX(FlowCalLowSetting,MATCH(R294,FlowCalNumber,0),1,1), (INDEX(FlowCalConstA,MATCH(R294,FlowCalNumber,0),1,1)*T297^INDEX(FlowCalConstB,MATCH(R294,FlowCalNumber,0),1,1)&lt;INDEX(FlowCalHighSetting,MATCH(R294,FlowCalNumber,0),1,1))),INDEX(FlowCalConstA,MATCH(R294,FlowCalNumber,0),1,1)*T297^INDEX(FlowCalConstB,MATCH(R294,FlowCalNumber,0),1,1)," ")</f>
        <v>#N/A</v>
      </c>
      <c r="V297" s="33"/>
      <c r="W297" s="242">
        <f t="shared" si="286"/>
        <v>0.1</v>
      </c>
      <c r="X297" s="241" t="e">
        <f t="shared" ca="1" si="287"/>
        <v>#N/A</v>
      </c>
      <c r="Y297" s="243" t="e">
        <f ca="1">IF(AND(INDEX(FlowCalConstA,MATCH(V294,FlowCalNumber,0),1,1)*X297^INDEX(FlowCalConstB,MATCH(V294,FlowCalNumber,0),1,1)&gt;INDEX(FlowCalLowSetting,MATCH(V294,FlowCalNumber,0),1,1), (INDEX(FlowCalConstA,MATCH(V294,FlowCalNumber,0),1,1)*X297^INDEX(FlowCalConstB,MATCH(V294,FlowCalNumber,0),1,1)&lt;INDEX(FlowCalHighSetting,MATCH(V294,FlowCalNumber,0),1,1))),INDEX(FlowCalConstA,MATCH(V294,FlowCalNumber,0),1,1)*X297^INDEX(FlowCalConstB,MATCH(V294,FlowCalNumber,0),1,1)," ")</f>
        <v>#N/A</v>
      </c>
      <c r="Z297" s="33"/>
      <c r="AA297" s="242">
        <f t="shared" si="288"/>
        <v>0.9</v>
      </c>
      <c r="AB297" s="241" t="e">
        <f t="shared" ca="1" si="289"/>
        <v>#N/A</v>
      </c>
      <c r="AC297" s="243" t="e">
        <f ca="1">IF(AND(INDEX(FlowCalConstA,MATCH(Z294,FlowCalNumber,0),1,1)*AB297^INDEX(FlowCalConstB,MATCH(Z294,FlowCalNumber,0),1,1)&gt;INDEX(FlowCalLowSetting,MATCH(Z294,FlowCalNumber,0),1,1), (INDEX(FlowCalConstA,MATCH(Z294,FlowCalNumber,0),1,1)*AB297^INDEX(FlowCalConstB,MATCH(Z294,FlowCalNumber,0),1,1)&lt;INDEX(FlowCalHighSetting,MATCH(Z294,FlowCalNumber,0),1,1))),INDEX(FlowCalConstA,MATCH(Z294,FlowCalNumber,0),1,1)*AB297^INDEX(FlowCalConstB,MATCH(Z294,FlowCalNumber,0),1,1)," ")</f>
        <v>#N/A</v>
      </c>
      <c r="AD297" s="33"/>
      <c r="AE297" s="242">
        <f t="shared" si="290"/>
        <v>0.1</v>
      </c>
      <c r="AF297" s="241" t="e">
        <f t="shared" ca="1" si="291"/>
        <v>#N/A</v>
      </c>
      <c r="AG297" s="243" t="e">
        <f ca="1">IF(AND(INDEX(FlowCalConstA,MATCH(AD294,FlowCalNumber,0),1,1)*AF297^INDEX(FlowCalConstB,MATCH(AD294,FlowCalNumber,0),1,1)&gt;INDEX(FlowCalLowSetting,MATCH(AD294,FlowCalNumber,0),1,1), (INDEX(FlowCalConstA,MATCH(AD294,FlowCalNumber,0),1,1)*AF297^INDEX(FlowCalConstB,MATCH(AD294,FlowCalNumber,0),1,1)&lt;INDEX(FlowCalHighSetting,MATCH(AD294,FlowCalNumber,0),1,1))),INDEX(FlowCalConstA,MATCH(AD294,FlowCalNumber,0),1,1)*AF297^INDEX(FlowCalConstB,MATCH(AD294,FlowCalNumber,0),1,1)," ")</f>
        <v>#N/A</v>
      </c>
      <c r="AH297" s="33"/>
      <c r="AI297" s="242">
        <f t="shared" si="292"/>
        <v>0.9</v>
      </c>
      <c r="AJ297" s="241" t="e">
        <f t="shared" ca="1" si="293"/>
        <v>#N/A</v>
      </c>
      <c r="AK297" s="243" t="e">
        <f ca="1">IF(AND(INDEX(FlowCalConstA,MATCH(AH294,FlowCalNumber,0),1,1)*AJ297^INDEX(FlowCalConstB,MATCH(AH294,FlowCalNumber,0),1,1)&gt;INDEX(FlowCalLowSetting,MATCH(AH294,FlowCalNumber,0),1,1), (INDEX(FlowCalConstA,MATCH(AH294,FlowCalNumber,0),1,1)*AJ297^INDEX(FlowCalConstB,MATCH(AH294,FlowCalNumber,0),1,1)&lt;INDEX(FlowCalHighSetting,MATCH(AH294,FlowCalNumber,0),1,1))),INDEX(FlowCalConstA,MATCH(AH294,FlowCalNumber,0),1,1)*AJ297^INDEX(FlowCalConstB,MATCH(AH294,FlowCalNumber,0),1,1)," ")</f>
        <v>#N/A</v>
      </c>
      <c r="AL297" s="33"/>
      <c r="AM297" s="242"/>
      <c r="AN297" s="241"/>
      <c r="AO297" s="244"/>
      <c r="AQ297" s="242"/>
      <c r="AR297" s="241"/>
      <c r="AS297" s="244"/>
      <c r="AT297" s="33"/>
      <c r="AU297" s="242"/>
      <c r="AV297" s="241"/>
      <c r="AW297" s="244"/>
      <c r="AX297" s="33"/>
      <c r="AY297" s="242"/>
      <c r="AZ297" s="241"/>
      <c r="BA297" s="244"/>
      <c r="BB297" s="33"/>
      <c r="BC297" s="242"/>
      <c r="BD297" s="241"/>
      <c r="BE297" s="244"/>
      <c r="BF297" s="33"/>
      <c r="BG297" s="242"/>
      <c r="BH297" s="241"/>
      <c r="BI297" s="244"/>
      <c r="BJ297" s="33"/>
      <c r="BK297" s="242"/>
      <c r="BL297" s="241"/>
      <c r="BM297" s="244"/>
      <c r="BN297" s="33"/>
      <c r="BO297" s="242"/>
      <c r="BP297" s="241"/>
      <c r="BQ297" s="244"/>
      <c r="BR297" s="33"/>
      <c r="BS297" s="242"/>
      <c r="BT297" s="241"/>
      <c r="BU297" s="244"/>
      <c r="BV297" s="33"/>
      <c r="BW297" s="242"/>
      <c r="BX297" s="241"/>
      <c r="BY297" s="244"/>
      <c r="BZ297" s="33"/>
      <c r="CA297" s="242"/>
      <c r="CB297" s="241"/>
      <c r="CC297" s="244"/>
      <c r="CD297" s="243"/>
      <c r="CE297" s="243"/>
      <c r="CF297" s="243"/>
      <c r="CG297" s="243"/>
      <c r="CH297" s="243"/>
      <c r="CI297" s="243"/>
      <c r="CJ297" s="243"/>
      <c r="CK297" s="243"/>
      <c r="CL297" s="243"/>
      <c r="CM297" s="243"/>
      <c r="CN297" s="243"/>
      <c r="CO297" s="243"/>
      <c r="CP297" s="243"/>
      <c r="CQ297" s="243"/>
      <c r="CR297" s="243"/>
      <c r="CS297" s="243"/>
      <c r="CT297" s="243"/>
      <c r="CU297" s="243"/>
      <c r="CV297" s="243"/>
      <c r="CW297" s="243"/>
      <c r="CX297" s="243"/>
      <c r="CY297" s="243"/>
      <c r="CZ297" s="243"/>
      <c r="DA297" s="243"/>
      <c r="DB297" s="243"/>
      <c r="DC297" s="243"/>
      <c r="DD297" s="243"/>
      <c r="DE297" s="243"/>
      <c r="DF297" s="243"/>
      <c r="DG297" s="243"/>
      <c r="DH297" s="243"/>
      <c r="DI297" s="243"/>
      <c r="DJ297" s="243"/>
      <c r="DK297" s="243"/>
      <c r="DM297" s="242"/>
      <c r="DO297" s="243"/>
      <c r="DQ297" s="242"/>
      <c r="DS297" s="243"/>
      <c r="DU297" s="242"/>
      <c r="DW297" s="243"/>
      <c r="DY297" s="242"/>
      <c r="EA297" s="243"/>
    </row>
    <row r="298" spans="1:131">
      <c r="A298" s="20"/>
      <c r="B298" s="124" t="str">
        <f t="shared" si="278"/>
        <v/>
      </c>
      <c r="C298" s="235"/>
      <c r="D298" s="24">
        <f>'1% Wind'!$M$85</f>
        <v>17.8</v>
      </c>
      <c r="E298" s="90"/>
      <c r="F298" s="90"/>
      <c r="G298" s="79" t="e">
        <f ca="1">IF(I294=0.9743,$G297,MAX(G297/D297*D298,2))</f>
        <v>#N/A</v>
      </c>
      <c r="H298" s="121" t="e">
        <f t="shared" ca="1" si="279"/>
        <v>#N/A</v>
      </c>
      <c r="J298" s="33"/>
      <c r="K298" s="242">
        <f t="shared" si="280"/>
        <v>1</v>
      </c>
      <c r="L298" s="241" t="e">
        <f t="shared" ca="1" si="281"/>
        <v>#N/A</v>
      </c>
      <c r="M298" s="243" t="e">
        <f ca="1">IF(AND(INDEX(FlowCalConstA,MATCH(J294,FlowCalNumber,0),1,1)*L298^INDEX(FlowCalConstB,MATCH(J294,FlowCalNumber,0),1,1)&gt;INDEX(FlowCalLowSetting,MATCH(J294,FlowCalNumber,0),1,1), (INDEX(FlowCalConstA,MATCH(J294,FlowCalNumber,0),1,1)*L298^INDEX(FlowCalConstB,MATCH(J294,FlowCalNumber,0),1,1)&lt;INDEX(FlowCalHighSetting,MATCH(J294,FlowCalNumber,0),1,1))),INDEX(FlowCalConstA,MATCH(J294,FlowCalNumber,0),1,1)*L298^INDEX(FlowCalConstB,MATCH(J294,FlowCalNumber,0),1,1)," ")</f>
        <v>#N/A</v>
      </c>
      <c r="N298" s="33"/>
      <c r="O298" s="242">
        <f t="shared" si="282"/>
        <v>1</v>
      </c>
      <c r="P298" s="241" t="e">
        <f t="shared" ca="1" si="283"/>
        <v>#N/A</v>
      </c>
      <c r="Q298" s="243" t="e">
        <f ca="1">IF(AND(INDEX(FlowCalConstA,MATCH(N294,FlowCalNumber,0),1,1)*P298^INDEX(FlowCalConstB,MATCH(N294,FlowCalNumber,0),1,1)&gt;INDEX(FlowCalLowSetting,MATCH(N294,FlowCalNumber,0),1,1), (INDEX(FlowCalConstA,MATCH(N294,FlowCalNumber,0),1,1)*P298^INDEX(FlowCalConstB,MATCH(N294,FlowCalNumber,0),1,1)&lt;INDEX(FlowCalHighSetting,MATCH(N294,FlowCalNumber,0),1,1))),INDEX(FlowCalConstA,MATCH(N294,FlowCalNumber,0),1,1)*P298^INDEX(FlowCalConstB,MATCH(N294,FlowCalNumber,0),1,1)," ")</f>
        <v>#N/A</v>
      </c>
      <c r="R298" s="33"/>
      <c r="S298" s="242">
        <f t="shared" si="284"/>
        <v>1</v>
      </c>
      <c r="T298" s="241" t="e">
        <f t="shared" ca="1" si="285"/>
        <v>#N/A</v>
      </c>
      <c r="U298" s="244" t="e">
        <f ca="1">IF(AND(INDEX(FlowCalConstA,MATCH(R294,FlowCalNumber,0),1,1)*T298^INDEX(FlowCalConstB,MATCH(R294,FlowCalNumber,0),1,1)&gt;INDEX(FlowCalLowSetting,MATCH(R294,FlowCalNumber,0),1,1), (INDEX(FlowCalConstA,MATCH(R294,FlowCalNumber,0),1,1)*T298^INDEX(FlowCalConstB,MATCH(R294,FlowCalNumber,0),1,1)&lt;INDEX(FlowCalHighSetting,MATCH(R294,FlowCalNumber,0),1,1))),INDEX(FlowCalConstA,MATCH(R294,FlowCalNumber,0),1,1)*T298^INDEX(FlowCalConstB,MATCH(R294,FlowCalNumber,0),1,1)," ")</f>
        <v>#N/A</v>
      </c>
      <c r="V298" s="33"/>
      <c r="W298" s="242">
        <f t="shared" si="286"/>
        <v>0.1</v>
      </c>
      <c r="X298" s="241" t="e">
        <f t="shared" ca="1" si="287"/>
        <v>#N/A</v>
      </c>
      <c r="Y298" s="243" t="e">
        <f ca="1">IF(AND(INDEX(FlowCalConstA,MATCH(V294,FlowCalNumber,0),1,1)*X298^INDEX(FlowCalConstB,MATCH(V294,FlowCalNumber,0),1,1)&gt;INDEX(FlowCalLowSetting,MATCH(V294,FlowCalNumber,0),1,1), (INDEX(FlowCalConstA,MATCH(V294,FlowCalNumber,0),1,1)*X298^INDEX(FlowCalConstB,MATCH(V294,FlowCalNumber,0),1,1)&lt;INDEX(FlowCalHighSetting,MATCH(V294,FlowCalNumber,0),1,1))),INDEX(FlowCalConstA,MATCH(V294,FlowCalNumber,0),1,1)*X298^INDEX(FlowCalConstB,MATCH(V294,FlowCalNumber,0),1,1)," ")</f>
        <v>#N/A</v>
      </c>
      <c r="Z298" s="33"/>
      <c r="AA298" s="242">
        <f t="shared" si="288"/>
        <v>0.9</v>
      </c>
      <c r="AB298" s="241" t="e">
        <f t="shared" ca="1" si="289"/>
        <v>#N/A</v>
      </c>
      <c r="AC298" s="243" t="e">
        <f ca="1">IF(AND(INDEX(FlowCalConstA,MATCH(Z294,FlowCalNumber,0),1,1)*AB298^INDEX(FlowCalConstB,MATCH(Z294,FlowCalNumber,0),1,1)&gt;INDEX(FlowCalLowSetting,MATCH(Z294,FlowCalNumber,0),1,1), (INDEX(FlowCalConstA,MATCH(Z294,FlowCalNumber,0),1,1)*AB298^INDEX(FlowCalConstB,MATCH(Z294,FlowCalNumber,0),1,1)&lt;INDEX(FlowCalHighSetting,MATCH(Z294,FlowCalNumber,0),1,1))),INDEX(FlowCalConstA,MATCH(Z294,FlowCalNumber,0),1,1)*AB298^INDEX(FlowCalConstB,MATCH(Z294,FlowCalNumber,0),1,1)," ")</f>
        <v>#N/A</v>
      </c>
      <c r="AD298" s="33"/>
      <c r="AE298" s="242">
        <f t="shared" si="290"/>
        <v>0.1</v>
      </c>
      <c r="AF298" s="241" t="e">
        <f t="shared" ca="1" si="291"/>
        <v>#N/A</v>
      </c>
      <c r="AG298" s="243" t="e">
        <f ca="1">IF(AND(INDEX(FlowCalConstA,MATCH(AD294,FlowCalNumber,0),1,1)*AF298^INDEX(FlowCalConstB,MATCH(AD294,FlowCalNumber,0),1,1)&gt;INDEX(FlowCalLowSetting,MATCH(AD294,FlowCalNumber,0),1,1), (INDEX(FlowCalConstA,MATCH(AD294,FlowCalNumber,0),1,1)*AF298^INDEX(FlowCalConstB,MATCH(AD294,FlowCalNumber,0),1,1)&lt;INDEX(FlowCalHighSetting,MATCH(AD294,FlowCalNumber,0),1,1))),INDEX(FlowCalConstA,MATCH(AD294,FlowCalNumber,0),1,1)*AF298^INDEX(FlowCalConstB,MATCH(AD294,FlowCalNumber,0),1,1)," ")</f>
        <v>#N/A</v>
      </c>
      <c r="AH298" s="33"/>
      <c r="AI298" s="242">
        <f t="shared" si="292"/>
        <v>0.9</v>
      </c>
      <c r="AJ298" s="241" t="e">
        <f t="shared" ca="1" si="293"/>
        <v>#N/A</v>
      </c>
      <c r="AK298" s="243" t="e">
        <f ca="1">IF(AND(INDEX(FlowCalConstA,MATCH(AH294,FlowCalNumber,0),1,1)*AJ298^INDEX(FlowCalConstB,MATCH(AH294,FlowCalNumber,0),1,1)&gt;INDEX(FlowCalLowSetting,MATCH(AH294,FlowCalNumber,0),1,1), (INDEX(FlowCalConstA,MATCH(AH294,FlowCalNumber,0),1,1)*AJ298^INDEX(FlowCalConstB,MATCH(AH294,FlowCalNumber,0),1,1)&lt;INDEX(FlowCalHighSetting,MATCH(AH294,FlowCalNumber,0),1,1))),INDEX(FlowCalConstA,MATCH(AH294,FlowCalNumber,0),1,1)*AJ298^INDEX(FlowCalConstB,MATCH(AH294,FlowCalNumber,0),1,1)," ")</f>
        <v>#N/A</v>
      </c>
      <c r="AL298" s="33"/>
      <c r="AM298" s="242"/>
      <c r="AN298" s="241"/>
      <c r="AO298" s="244"/>
      <c r="AQ298" s="242"/>
      <c r="AR298" s="241"/>
      <c r="AS298" s="244"/>
      <c r="AT298" s="33"/>
      <c r="AU298" s="242"/>
      <c r="AV298" s="241"/>
      <c r="AW298" s="244"/>
      <c r="AX298" s="33"/>
      <c r="AY298" s="242"/>
      <c r="AZ298" s="241"/>
      <c r="BA298" s="244"/>
      <c r="BB298" s="33"/>
      <c r="BC298" s="242"/>
      <c r="BD298" s="241"/>
      <c r="BE298" s="244"/>
      <c r="BF298" s="33"/>
      <c r="BG298" s="242"/>
      <c r="BH298" s="241"/>
      <c r="BI298" s="244"/>
      <c r="BJ298" s="33"/>
      <c r="BK298" s="242"/>
      <c r="BL298" s="241"/>
      <c r="BM298" s="244"/>
      <c r="BN298" s="33"/>
      <c r="BO298" s="242"/>
      <c r="BP298" s="241"/>
      <c r="BQ298" s="244"/>
      <c r="BR298" s="33"/>
      <c r="BS298" s="242"/>
      <c r="BT298" s="241"/>
      <c r="BU298" s="244"/>
      <c r="BV298" s="33"/>
      <c r="BW298" s="242"/>
      <c r="BX298" s="241"/>
      <c r="BY298" s="244"/>
      <c r="BZ298" s="33"/>
      <c r="CA298" s="242"/>
      <c r="CB298" s="241"/>
      <c r="CC298" s="244"/>
      <c r="CD298" s="243"/>
      <c r="CE298" s="243"/>
      <c r="CF298" s="243"/>
      <c r="CG298" s="243"/>
      <c r="CH298" s="243"/>
      <c r="CI298" s="243"/>
      <c r="CJ298" s="243"/>
      <c r="CK298" s="243"/>
      <c r="CL298" s="243"/>
      <c r="CM298" s="243"/>
      <c r="CN298" s="243"/>
      <c r="CO298" s="243"/>
      <c r="CP298" s="243"/>
      <c r="CQ298" s="243"/>
      <c r="CR298" s="243"/>
      <c r="CS298" s="243"/>
      <c r="CT298" s="243"/>
      <c r="CU298" s="243"/>
      <c r="CV298" s="243"/>
      <c r="CW298" s="243"/>
      <c r="CX298" s="243"/>
      <c r="CY298" s="243"/>
      <c r="CZ298" s="243"/>
      <c r="DA298" s="243"/>
      <c r="DB298" s="243"/>
      <c r="DC298" s="243"/>
      <c r="DD298" s="243"/>
      <c r="DE298" s="243"/>
      <c r="DF298" s="243"/>
      <c r="DG298" s="243"/>
      <c r="DH298" s="243"/>
      <c r="DI298" s="243"/>
      <c r="DJ298" s="243"/>
      <c r="DK298" s="243"/>
      <c r="DM298" s="242"/>
      <c r="DO298" s="243"/>
      <c r="DQ298" s="242"/>
      <c r="DS298" s="243"/>
      <c r="DU298" s="242"/>
      <c r="DW298" s="243"/>
      <c r="DY298" s="242"/>
      <c r="EA298" s="243"/>
    </row>
    <row r="299" spans="1:131">
      <c r="A299" s="20"/>
      <c r="B299" s="124" t="str">
        <f t="shared" si="278"/>
        <v/>
      </c>
      <c r="C299" s="235"/>
      <c r="D299" s="24">
        <f>'1% Wind'!$M$86</f>
        <v>15.5</v>
      </c>
      <c r="E299" s="90"/>
      <c r="F299" s="90"/>
      <c r="G299" s="79" t="e">
        <f ca="1">IF(I294=0.9743,$G298,MAX(G298/D298*D299,2))</f>
        <v>#N/A</v>
      </c>
      <c r="H299" s="121" t="e">
        <f t="shared" ca="1" si="279"/>
        <v>#N/A</v>
      </c>
      <c r="J299" s="33"/>
      <c r="K299" s="242">
        <f t="shared" si="280"/>
        <v>1</v>
      </c>
      <c r="L299" s="241" t="e">
        <f t="shared" ca="1" si="281"/>
        <v>#N/A</v>
      </c>
      <c r="M299" s="243" t="e">
        <f ca="1">IF(AND(INDEX(FlowCalConstA,MATCH(J294,FlowCalNumber,0),1,1)*L299^INDEX(FlowCalConstB,MATCH(J294,FlowCalNumber,0),1,1)&gt;INDEX(FlowCalLowSetting,MATCH(J294,FlowCalNumber,0),1,1), (INDEX(FlowCalConstA,MATCH(J294,FlowCalNumber,0),1,1)*L299^INDEX(FlowCalConstB,MATCH(J294,FlowCalNumber,0),1,1)&lt;INDEX(FlowCalHighSetting,MATCH(J294,FlowCalNumber,0),1,1))),INDEX(FlowCalConstA,MATCH(J294,FlowCalNumber,0),1,1)*L299^INDEX(FlowCalConstB,MATCH(J294,FlowCalNumber,0),1,1)," ")</f>
        <v>#N/A</v>
      </c>
      <c r="N299" s="33"/>
      <c r="O299" s="242">
        <f t="shared" si="282"/>
        <v>1</v>
      </c>
      <c r="P299" s="241" t="e">
        <f t="shared" ca="1" si="283"/>
        <v>#N/A</v>
      </c>
      <c r="Q299" s="243" t="e">
        <f ca="1">IF(AND(INDEX(FlowCalConstA,MATCH(N294,FlowCalNumber,0),1,1)*P299^INDEX(FlowCalConstB,MATCH(N294,FlowCalNumber,0),1,1)&gt;INDEX(FlowCalLowSetting,MATCH(N294,FlowCalNumber,0),1,1), (INDEX(FlowCalConstA,MATCH(N294,FlowCalNumber,0),1,1)*P299^INDEX(FlowCalConstB,MATCH(N294,FlowCalNumber,0),1,1)&lt;INDEX(FlowCalHighSetting,MATCH(N294,FlowCalNumber,0),1,1))),INDEX(FlowCalConstA,MATCH(N294,FlowCalNumber,0),1,1)*P299^INDEX(FlowCalConstB,MATCH(N294,FlowCalNumber,0),1,1)," ")</f>
        <v>#N/A</v>
      </c>
      <c r="R299" s="33"/>
      <c r="S299" s="242">
        <f t="shared" si="284"/>
        <v>1</v>
      </c>
      <c r="T299" s="241" t="e">
        <f t="shared" ca="1" si="285"/>
        <v>#N/A</v>
      </c>
      <c r="U299" s="244" t="e">
        <f ca="1">IF(AND(INDEX(FlowCalConstA,MATCH(R294,FlowCalNumber,0),1,1)*T299^INDEX(FlowCalConstB,MATCH(R294,FlowCalNumber,0),1,1)&gt;INDEX(FlowCalLowSetting,MATCH(R294,FlowCalNumber,0),1,1), (INDEX(FlowCalConstA,MATCH(R294,FlowCalNumber,0),1,1)*T299^INDEX(FlowCalConstB,MATCH(R294,FlowCalNumber,0),1,1)&lt;INDEX(FlowCalHighSetting,MATCH(R294,FlowCalNumber,0),1,1))),INDEX(FlowCalConstA,MATCH(R294,FlowCalNumber,0),1,1)*T299^INDEX(FlowCalConstB,MATCH(R294,FlowCalNumber,0),1,1)," ")</f>
        <v>#N/A</v>
      </c>
      <c r="V299" s="33"/>
      <c r="W299" s="242">
        <f t="shared" si="286"/>
        <v>0.1</v>
      </c>
      <c r="X299" s="241" t="e">
        <f t="shared" ca="1" si="287"/>
        <v>#N/A</v>
      </c>
      <c r="Y299" s="243" t="e">
        <f ca="1">IF(AND(INDEX(FlowCalConstA,MATCH(V294,FlowCalNumber,0),1,1)*X299^INDEX(FlowCalConstB,MATCH(V294,FlowCalNumber,0),1,1)&gt;INDEX(FlowCalLowSetting,MATCH(V294,FlowCalNumber,0),1,1), (INDEX(FlowCalConstA,MATCH(V294,FlowCalNumber,0),1,1)*X299^INDEX(FlowCalConstB,MATCH(V294,FlowCalNumber,0),1,1)&lt;INDEX(FlowCalHighSetting,MATCH(V294,FlowCalNumber,0),1,1))),INDEX(FlowCalConstA,MATCH(V294,FlowCalNumber,0),1,1)*X299^INDEX(FlowCalConstB,MATCH(V294,FlowCalNumber,0),1,1)," ")</f>
        <v>#N/A</v>
      </c>
      <c r="Z299" s="33"/>
      <c r="AA299" s="242">
        <f t="shared" si="288"/>
        <v>0.9</v>
      </c>
      <c r="AB299" s="241" t="e">
        <f t="shared" ca="1" si="289"/>
        <v>#N/A</v>
      </c>
      <c r="AC299" s="243" t="e">
        <f ca="1">IF(AND(INDEX(FlowCalConstA,MATCH(Z294,FlowCalNumber,0),1,1)*AB299^INDEX(FlowCalConstB,MATCH(Z294,FlowCalNumber,0),1,1)&gt;INDEX(FlowCalLowSetting,MATCH(Z294,FlowCalNumber,0),1,1), (INDEX(FlowCalConstA,MATCH(Z294,FlowCalNumber,0),1,1)*AB299^INDEX(FlowCalConstB,MATCH(Z294,FlowCalNumber,0),1,1)&lt;INDEX(FlowCalHighSetting,MATCH(Z294,FlowCalNumber,0),1,1))),INDEX(FlowCalConstA,MATCH(Z294,FlowCalNumber,0),1,1)*AB299^INDEX(FlowCalConstB,MATCH(Z294,FlowCalNumber,0),1,1)," ")</f>
        <v>#N/A</v>
      </c>
      <c r="AD299" s="33"/>
      <c r="AE299" s="242">
        <f t="shared" si="290"/>
        <v>0.1</v>
      </c>
      <c r="AF299" s="241" t="e">
        <f t="shared" ca="1" si="291"/>
        <v>#N/A</v>
      </c>
      <c r="AG299" s="243" t="e">
        <f ca="1">IF(AND(INDEX(FlowCalConstA,MATCH(AD294,FlowCalNumber,0),1,1)*AF299^INDEX(FlowCalConstB,MATCH(AD294,FlowCalNumber,0),1,1)&gt;INDEX(FlowCalLowSetting,MATCH(AD294,FlowCalNumber,0),1,1), (INDEX(FlowCalConstA,MATCH(AD294,FlowCalNumber,0),1,1)*AF299^INDEX(FlowCalConstB,MATCH(AD294,FlowCalNumber,0),1,1)&lt;INDEX(FlowCalHighSetting,MATCH(AD294,FlowCalNumber,0),1,1))),INDEX(FlowCalConstA,MATCH(AD294,FlowCalNumber,0),1,1)*AF299^INDEX(FlowCalConstB,MATCH(AD294,FlowCalNumber,0),1,1)," ")</f>
        <v>#N/A</v>
      </c>
      <c r="AH299" s="33"/>
      <c r="AI299" s="242">
        <f t="shared" si="292"/>
        <v>0.9</v>
      </c>
      <c r="AJ299" s="241" t="e">
        <f t="shared" ca="1" si="293"/>
        <v>#N/A</v>
      </c>
      <c r="AK299" s="243" t="e">
        <f ca="1">IF(AND(INDEX(FlowCalConstA,MATCH(AH294,FlowCalNumber,0),1,1)*AJ299^INDEX(FlowCalConstB,MATCH(AH294,FlowCalNumber,0),1,1)&gt;INDEX(FlowCalLowSetting,MATCH(AH294,FlowCalNumber,0),1,1), (INDEX(FlowCalConstA,MATCH(AH294,FlowCalNumber,0),1,1)*AJ299^INDEX(FlowCalConstB,MATCH(AH294,FlowCalNumber,0),1,1)&lt;INDEX(FlowCalHighSetting,MATCH(AH294,FlowCalNumber,0),1,1))),INDEX(FlowCalConstA,MATCH(AH294,FlowCalNumber,0),1,1)*AJ299^INDEX(FlowCalConstB,MATCH(AH294,FlowCalNumber,0),1,1)," ")</f>
        <v>#N/A</v>
      </c>
      <c r="AL299" s="33"/>
      <c r="AM299" s="242"/>
      <c r="AN299" s="241"/>
      <c r="AO299" s="244"/>
      <c r="AQ299" s="242"/>
      <c r="AR299" s="241"/>
      <c r="AS299" s="244"/>
      <c r="AT299" s="33"/>
      <c r="AU299" s="242"/>
      <c r="AV299" s="241"/>
      <c r="AW299" s="244"/>
      <c r="AX299" s="33"/>
      <c r="AY299" s="242"/>
      <c r="AZ299" s="241"/>
      <c r="BA299" s="244"/>
      <c r="BB299" s="33"/>
      <c r="BC299" s="242"/>
      <c r="BD299" s="241"/>
      <c r="BE299" s="244"/>
      <c r="BF299" s="33"/>
      <c r="BG299" s="242"/>
      <c r="BH299" s="241"/>
      <c r="BI299" s="244"/>
      <c r="BJ299" s="33"/>
      <c r="BK299" s="242"/>
      <c r="BL299" s="241"/>
      <c r="BM299" s="244"/>
      <c r="BN299" s="33"/>
      <c r="BO299" s="242"/>
      <c r="BP299" s="241"/>
      <c r="BQ299" s="244"/>
      <c r="BR299" s="33"/>
      <c r="BS299" s="242"/>
      <c r="BT299" s="241"/>
      <c r="BU299" s="244"/>
      <c r="BV299" s="33"/>
      <c r="BW299" s="242"/>
      <c r="BX299" s="241"/>
      <c r="BY299" s="244"/>
      <c r="BZ299" s="33"/>
      <c r="CA299" s="242"/>
      <c r="CB299" s="241"/>
      <c r="CC299" s="244"/>
      <c r="CD299" s="243"/>
      <c r="CE299" s="243"/>
      <c r="CF299" s="243"/>
      <c r="CG299" s="243"/>
      <c r="CH299" s="243"/>
      <c r="CI299" s="243"/>
      <c r="CJ299" s="243"/>
      <c r="CK299" s="243"/>
      <c r="CL299" s="243"/>
      <c r="CM299" s="243"/>
      <c r="CN299" s="243"/>
      <c r="CO299" s="243"/>
      <c r="CP299" s="243"/>
      <c r="CQ299" s="243"/>
      <c r="CR299" s="243"/>
      <c r="CS299" s="243"/>
      <c r="CT299" s="243"/>
      <c r="CU299" s="243"/>
      <c r="CV299" s="243"/>
      <c r="CW299" s="243"/>
      <c r="CX299" s="243"/>
      <c r="CY299" s="243"/>
      <c r="CZ299" s="243"/>
      <c r="DA299" s="243"/>
      <c r="DB299" s="243"/>
      <c r="DC299" s="243"/>
      <c r="DD299" s="243"/>
      <c r="DE299" s="243"/>
      <c r="DF299" s="243"/>
      <c r="DG299" s="243"/>
      <c r="DH299" s="243"/>
      <c r="DI299" s="243"/>
      <c r="DJ299" s="243"/>
      <c r="DK299" s="243"/>
      <c r="DM299" s="242"/>
      <c r="DO299" s="243"/>
      <c r="DQ299" s="242"/>
      <c r="DS299" s="243"/>
      <c r="DU299" s="242"/>
      <c r="DW299" s="243"/>
      <c r="DY299" s="242"/>
      <c r="EA299" s="243"/>
    </row>
    <row r="300" spans="1:131">
      <c r="A300" s="20"/>
      <c r="B300" s="124" t="str">
        <f t="shared" si="278"/>
        <v/>
      </c>
      <c r="C300" s="235"/>
      <c r="D300" s="24">
        <f>'1% Wind'!$M$87</f>
        <v>13.5</v>
      </c>
      <c r="E300" s="90"/>
      <c r="F300" s="90"/>
      <c r="G300" s="79" t="e">
        <f ca="1">IF(I294=0.9743,$G299,MAX(G299/D299*D300,2))</f>
        <v>#N/A</v>
      </c>
      <c r="H300" s="121" t="e">
        <f t="shared" ca="1" si="279"/>
        <v>#N/A</v>
      </c>
      <c r="J300" s="33"/>
      <c r="K300" s="242">
        <f t="shared" si="280"/>
        <v>1</v>
      </c>
      <c r="L300" s="241" t="e">
        <f t="shared" ca="1" si="281"/>
        <v>#N/A</v>
      </c>
      <c r="M300" s="243" t="e">
        <f ca="1">IF(AND(INDEX(FlowCalConstA,MATCH(J294,FlowCalNumber,0),1,1)*L300^INDEX(FlowCalConstB,MATCH(J294,FlowCalNumber,0),1,1)&gt;INDEX(FlowCalLowSetting,MATCH(J294,FlowCalNumber,0),1,1), (INDEX(FlowCalConstA,MATCH(J294,FlowCalNumber,0),1,1)*L300^INDEX(FlowCalConstB,MATCH(J294,FlowCalNumber,0),1,1)&lt;INDEX(FlowCalHighSetting,MATCH(J294,FlowCalNumber,0),1,1))),INDEX(FlowCalConstA,MATCH(J294,FlowCalNumber,0),1,1)*L300^INDEX(FlowCalConstB,MATCH(J294,FlowCalNumber,0),1,1)," ")</f>
        <v>#N/A</v>
      </c>
      <c r="N300" s="33"/>
      <c r="O300" s="242">
        <f t="shared" si="282"/>
        <v>1</v>
      </c>
      <c r="P300" s="241" t="e">
        <f t="shared" ca="1" si="283"/>
        <v>#N/A</v>
      </c>
      <c r="Q300" s="243" t="e">
        <f ca="1">IF(AND(INDEX(FlowCalConstA,MATCH(N294,FlowCalNumber,0),1,1)*P300^INDEX(FlowCalConstB,MATCH(N294,FlowCalNumber,0),1,1)&gt;INDEX(FlowCalLowSetting,MATCH(N294,FlowCalNumber,0),1,1), (INDEX(FlowCalConstA,MATCH(N294,FlowCalNumber,0),1,1)*P300^INDEX(FlowCalConstB,MATCH(N294,FlowCalNumber,0),1,1)&lt;INDEX(FlowCalHighSetting,MATCH(N294,FlowCalNumber,0),1,1))),INDEX(FlowCalConstA,MATCH(N294,FlowCalNumber,0),1,1)*P300^INDEX(FlowCalConstB,MATCH(N294,FlowCalNumber,0),1,1)," ")</f>
        <v>#N/A</v>
      </c>
      <c r="R300" s="33"/>
      <c r="S300" s="242">
        <f t="shared" si="284"/>
        <v>1</v>
      </c>
      <c r="T300" s="241" t="e">
        <f t="shared" ca="1" si="285"/>
        <v>#N/A</v>
      </c>
      <c r="U300" s="244" t="e">
        <f ca="1">IF(AND(INDEX(FlowCalConstA,MATCH(R294,FlowCalNumber,0),1,1)*T300^INDEX(FlowCalConstB,MATCH(R294,FlowCalNumber,0),1,1)&gt;INDEX(FlowCalLowSetting,MATCH(R294,FlowCalNumber,0),1,1), (INDEX(FlowCalConstA,MATCH(R294,FlowCalNumber,0),1,1)*T300^INDEX(FlowCalConstB,MATCH(R294,FlowCalNumber,0),1,1)&lt;INDEX(FlowCalHighSetting,MATCH(R294,FlowCalNumber,0),1,1))),INDEX(FlowCalConstA,MATCH(R294,FlowCalNumber,0),1,1)*T300^INDEX(FlowCalConstB,MATCH(R294,FlowCalNumber,0),1,1)," ")</f>
        <v>#N/A</v>
      </c>
      <c r="V300" s="33"/>
      <c r="W300" s="242">
        <f t="shared" si="286"/>
        <v>0.1</v>
      </c>
      <c r="X300" s="241" t="e">
        <f t="shared" ca="1" si="287"/>
        <v>#N/A</v>
      </c>
      <c r="Y300" s="243" t="e">
        <f ca="1">IF(AND(INDEX(FlowCalConstA,MATCH(V294,FlowCalNumber,0),1,1)*X300^INDEX(FlowCalConstB,MATCH(V294,FlowCalNumber,0),1,1)&gt;INDEX(FlowCalLowSetting,MATCH(V294,FlowCalNumber,0),1,1), (INDEX(FlowCalConstA,MATCH(V294,FlowCalNumber,0),1,1)*X300^INDEX(FlowCalConstB,MATCH(V294,FlowCalNumber,0),1,1)&lt;INDEX(FlowCalHighSetting,MATCH(V294,FlowCalNumber,0),1,1))),INDEX(FlowCalConstA,MATCH(V294,FlowCalNumber,0),1,1)*X300^INDEX(FlowCalConstB,MATCH(V294,FlowCalNumber,0),1,1)," ")</f>
        <v>#N/A</v>
      </c>
      <c r="Z300" s="33"/>
      <c r="AA300" s="242">
        <f t="shared" si="288"/>
        <v>0.9</v>
      </c>
      <c r="AB300" s="241" t="e">
        <f t="shared" ca="1" si="289"/>
        <v>#N/A</v>
      </c>
      <c r="AC300" s="243" t="e">
        <f ca="1">IF(AND(INDEX(FlowCalConstA,MATCH(Z294,FlowCalNumber,0),1,1)*AB300^INDEX(FlowCalConstB,MATCH(Z294,FlowCalNumber,0),1,1)&gt;INDEX(FlowCalLowSetting,MATCH(Z294,FlowCalNumber,0),1,1), (INDEX(FlowCalConstA,MATCH(Z294,FlowCalNumber,0),1,1)*AB300^INDEX(FlowCalConstB,MATCH(Z294,FlowCalNumber,0),1,1)&lt;INDEX(FlowCalHighSetting,MATCH(Z294,FlowCalNumber,0),1,1))),INDEX(FlowCalConstA,MATCH(Z294,FlowCalNumber,0),1,1)*AB300^INDEX(FlowCalConstB,MATCH(Z294,FlowCalNumber,0),1,1)," ")</f>
        <v>#N/A</v>
      </c>
      <c r="AD300" s="33"/>
      <c r="AE300" s="242">
        <f t="shared" si="290"/>
        <v>0.1</v>
      </c>
      <c r="AF300" s="241" t="e">
        <f t="shared" ca="1" si="291"/>
        <v>#N/A</v>
      </c>
      <c r="AG300" s="243" t="e">
        <f ca="1">IF(AND(INDEX(FlowCalConstA,MATCH(AD294,FlowCalNumber,0),1,1)*AF300^INDEX(FlowCalConstB,MATCH(AD294,FlowCalNumber,0),1,1)&gt;INDEX(FlowCalLowSetting,MATCH(AD294,FlowCalNumber,0),1,1), (INDEX(FlowCalConstA,MATCH(AD294,FlowCalNumber,0),1,1)*AF300^INDEX(FlowCalConstB,MATCH(AD294,FlowCalNumber,0),1,1)&lt;INDEX(FlowCalHighSetting,MATCH(AD294,FlowCalNumber,0),1,1))),INDEX(FlowCalConstA,MATCH(AD294,FlowCalNumber,0),1,1)*AF300^INDEX(FlowCalConstB,MATCH(AD294,FlowCalNumber,0),1,1)," ")</f>
        <v>#N/A</v>
      </c>
      <c r="AH300" s="33"/>
      <c r="AI300" s="242">
        <f t="shared" si="292"/>
        <v>0.9</v>
      </c>
      <c r="AJ300" s="241" t="e">
        <f t="shared" ca="1" si="293"/>
        <v>#N/A</v>
      </c>
      <c r="AK300" s="243" t="e">
        <f ca="1">IF(AND(INDEX(FlowCalConstA,MATCH(AH294,FlowCalNumber,0),1,1)*AJ300^INDEX(FlowCalConstB,MATCH(AH294,FlowCalNumber,0),1,1)&gt;INDEX(FlowCalLowSetting,MATCH(AH294,FlowCalNumber,0),1,1), (INDEX(FlowCalConstA,MATCH(AH294,FlowCalNumber,0),1,1)*AJ300^INDEX(FlowCalConstB,MATCH(AH294,FlowCalNumber,0),1,1)&lt;INDEX(FlowCalHighSetting,MATCH(AH294,FlowCalNumber,0),1,1))),INDEX(FlowCalConstA,MATCH(AH294,FlowCalNumber,0),1,1)*AJ300^INDEX(FlowCalConstB,MATCH(AH294,FlowCalNumber,0),1,1)," ")</f>
        <v>#N/A</v>
      </c>
      <c r="AL300" s="33"/>
      <c r="AM300" s="242"/>
      <c r="AN300" s="241"/>
      <c r="AO300" s="244"/>
      <c r="AQ300" s="242"/>
      <c r="AR300" s="241"/>
      <c r="AS300" s="244"/>
      <c r="AT300" s="33"/>
      <c r="AU300" s="242"/>
      <c r="AV300" s="241"/>
      <c r="AW300" s="244"/>
      <c r="AX300" s="33"/>
      <c r="AY300" s="242"/>
      <c r="AZ300" s="241"/>
      <c r="BA300" s="244"/>
      <c r="BB300" s="33"/>
      <c r="BC300" s="242"/>
      <c r="BD300" s="241"/>
      <c r="BE300" s="244"/>
      <c r="BF300" s="33"/>
      <c r="BG300" s="242"/>
      <c r="BH300" s="241"/>
      <c r="BI300" s="244"/>
      <c r="BJ300" s="33"/>
      <c r="BK300" s="242"/>
      <c r="BL300" s="241"/>
      <c r="BM300" s="244"/>
      <c r="BN300" s="33"/>
      <c r="BO300" s="242"/>
      <c r="BP300" s="241"/>
      <c r="BQ300" s="244"/>
      <c r="BR300" s="33"/>
      <c r="BS300" s="242"/>
      <c r="BT300" s="241"/>
      <c r="BU300" s="244"/>
      <c r="BV300" s="33"/>
      <c r="BW300" s="242"/>
      <c r="BX300" s="241"/>
      <c r="BY300" s="244"/>
      <c r="BZ300" s="33"/>
      <c r="CA300" s="242"/>
      <c r="CB300" s="241"/>
      <c r="CC300" s="244"/>
      <c r="CD300" s="243"/>
      <c r="CE300" s="243"/>
      <c r="CF300" s="243"/>
      <c r="CG300" s="243"/>
      <c r="CH300" s="243"/>
      <c r="CI300" s="243"/>
      <c r="CJ300" s="243"/>
      <c r="CK300" s="243"/>
      <c r="CL300" s="243"/>
      <c r="CM300" s="243"/>
      <c r="CN300" s="243"/>
      <c r="CO300" s="243"/>
      <c r="CP300" s="243"/>
      <c r="CQ300" s="243"/>
      <c r="CR300" s="243"/>
      <c r="CS300" s="243"/>
      <c r="CT300" s="243"/>
      <c r="CU300" s="243"/>
      <c r="CV300" s="243"/>
      <c r="CW300" s="243"/>
      <c r="CX300" s="243"/>
      <c r="CY300" s="243"/>
      <c r="CZ300" s="243"/>
      <c r="DA300" s="243"/>
      <c r="DB300" s="243"/>
      <c r="DC300" s="243"/>
      <c r="DD300" s="243"/>
      <c r="DE300" s="243"/>
      <c r="DF300" s="243"/>
      <c r="DG300" s="243"/>
      <c r="DH300" s="243"/>
      <c r="DI300" s="243"/>
      <c r="DJ300" s="243"/>
      <c r="DK300" s="243"/>
      <c r="DM300" s="242"/>
      <c r="DO300" s="243"/>
      <c r="DQ300" s="242"/>
      <c r="DS300" s="243"/>
      <c r="DU300" s="242"/>
      <c r="DW300" s="243"/>
      <c r="DY300" s="242"/>
      <c r="EA300" s="243"/>
    </row>
    <row r="301" spans="1:131">
      <c r="A301" s="20"/>
      <c r="B301" s="124" t="str">
        <f t="shared" si="278"/>
        <v/>
      </c>
      <c r="C301" s="235"/>
      <c r="D301" s="24">
        <f>'1% Wind'!$M$88</f>
        <v>10.1</v>
      </c>
      <c r="E301" s="90"/>
      <c r="F301" s="90"/>
      <c r="G301" s="79" t="e">
        <f ca="1">IF(I294=0.9743,$G300,MAX(G300/D300*D301,2))</f>
        <v>#N/A</v>
      </c>
      <c r="H301" s="121" t="e">
        <f t="shared" ca="1" si="279"/>
        <v>#N/A</v>
      </c>
      <c r="J301" s="33"/>
      <c r="K301" s="242">
        <f t="shared" si="280"/>
        <v>1</v>
      </c>
      <c r="L301" s="241" t="e">
        <f t="shared" ca="1" si="281"/>
        <v>#N/A</v>
      </c>
      <c r="M301" s="243" t="e">
        <f ca="1">IF(AND(INDEX(FlowCalConstA,MATCH(J294,FlowCalNumber,0),1,1)*L301^INDEX(FlowCalConstB,MATCH(J294,FlowCalNumber,0),1,1)&gt;INDEX(FlowCalLowSetting,MATCH(J294,FlowCalNumber,0),1,1), (INDEX(FlowCalConstA,MATCH(J294,FlowCalNumber,0),1,1)*L301^INDEX(FlowCalConstB,MATCH(J294,FlowCalNumber,0),1,1)&lt;INDEX(FlowCalHighSetting,MATCH(J294,FlowCalNumber,0),1,1))),INDEX(FlowCalConstA,MATCH(J294,FlowCalNumber,0),1,1)*L301^INDEX(FlowCalConstB,MATCH(J294,FlowCalNumber,0),1,1)," ")</f>
        <v>#N/A</v>
      </c>
      <c r="N301" s="33"/>
      <c r="O301" s="242">
        <f t="shared" si="282"/>
        <v>1</v>
      </c>
      <c r="P301" s="241" t="e">
        <f t="shared" ca="1" si="283"/>
        <v>#N/A</v>
      </c>
      <c r="Q301" s="243" t="e">
        <f ca="1">IF(AND(INDEX(FlowCalConstA,MATCH(N294,FlowCalNumber,0),1,1)*P301^INDEX(FlowCalConstB,MATCH(N294,FlowCalNumber,0),1,1)&gt;INDEX(FlowCalLowSetting,MATCH(N294,FlowCalNumber,0),1,1), (INDEX(FlowCalConstA,MATCH(N294,FlowCalNumber,0),1,1)*P301^INDEX(FlowCalConstB,MATCH(N294,FlowCalNumber,0),1,1)&lt;INDEX(FlowCalHighSetting,MATCH(N294,FlowCalNumber,0),1,1))),INDEX(FlowCalConstA,MATCH(N294,FlowCalNumber,0),1,1)*P301^INDEX(FlowCalConstB,MATCH(N294,FlowCalNumber,0),1,1)," ")</f>
        <v>#N/A</v>
      </c>
      <c r="R301" s="33"/>
      <c r="S301" s="242">
        <f t="shared" si="284"/>
        <v>1</v>
      </c>
      <c r="T301" s="241" t="e">
        <f t="shared" ca="1" si="285"/>
        <v>#N/A</v>
      </c>
      <c r="U301" s="244" t="e">
        <f ca="1">IF(AND(INDEX(FlowCalConstA,MATCH(R294,FlowCalNumber,0),1,1)*T301^INDEX(FlowCalConstB,MATCH(R294,FlowCalNumber,0),1,1)&gt;INDEX(FlowCalLowSetting,MATCH(R294,FlowCalNumber,0),1,1), (INDEX(FlowCalConstA,MATCH(R294,FlowCalNumber,0),1,1)*T301^INDEX(FlowCalConstB,MATCH(R294,FlowCalNumber,0),1,1)&lt;INDEX(FlowCalHighSetting,MATCH(R294,FlowCalNumber,0),1,1))),INDEX(FlowCalConstA,MATCH(R294,FlowCalNumber,0),1,1)*T301^INDEX(FlowCalConstB,MATCH(R294,FlowCalNumber,0),1,1)," ")</f>
        <v>#N/A</v>
      </c>
      <c r="V301" s="33"/>
      <c r="W301" s="242">
        <f t="shared" si="286"/>
        <v>0.1</v>
      </c>
      <c r="X301" s="241" t="e">
        <f t="shared" ca="1" si="287"/>
        <v>#N/A</v>
      </c>
      <c r="Y301" s="243" t="e">
        <f ca="1">IF(AND(INDEX(FlowCalConstA,MATCH(V294,FlowCalNumber,0),1,1)*X301^INDEX(FlowCalConstB,MATCH(V294,FlowCalNumber,0),1,1)&gt;INDEX(FlowCalLowSetting,MATCH(V294,FlowCalNumber,0),1,1), (INDEX(FlowCalConstA,MATCH(V294,FlowCalNumber,0),1,1)*X301^INDEX(FlowCalConstB,MATCH(V294,FlowCalNumber,0),1,1)&lt;INDEX(FlowCalHighSetting,MATCH(V294,FlowCalNumber,0),1,1))),INDEX(FlowCalConstA,MATCH(V294,FlowCalNumber,0),1,1)*X301^INDEX(FlowCalConstB,MATCH(V294,FlowCalNumber,0),1,1)," ")</f>
        <v>#N/A</v>
      </c>
      <c r="Z301" s="33"/>
      <c r="AA301" s="242">
        <f t="shared" si="288"/>
        <v>0.9</v>
      </c>
      <c r="AB301" s="241" t="e">
        <f t="shared" ca="1" si="289"/>
        <v>#N/A</v>
      </c>
      <c r="AC301" s="243" t="e">
        <f ca="1">IF(AND(INDEX(FlowCalConstA,MATCH(Z294,FlowCalNumber,0),1,1)*AB301^INDEX(FlowCalConstB,MATCH(Z294,FlowCalNumber,0),1,1)&gt;INDEX(FlowCalLowSetting,MATCH(Z294,FlowCalNumber,0),1,1), (INDEX(FlowCalConstA,MATCH(Z294,FlowCalNumber,0),1,1)*AB301^INDEX(FlowCalConstB,MATCH(Z294,FlowCalNumber,0),1,1)&lt;INDEX(FlowCalHighSetting,MATCH(Z294,FlowCalNumber,0),1,1))),INDEX(FlowCalConstA,MATCH(Z294,FlowCalNumber,0),1,1)*AB301^INDEX(FlowCalConstB,MATCH(Z294,FlowCalNumber,0),1,1)," ")</f>
        <v>#N/A</v>
      </c>
      <c r="AD301" s="33"/>
      <c r="AE301" s="242">
        <f t="shared" si="290"/>
        <v>0.1</v>
      </c>
      <c r="AF301" s="241" t="e">
        <f t="shared" ca="1" si="291"/>
        <v>#N/A</v>
      </c>
      <c r="AG301" s="243" t="e">
        <f ca="1">IF(AND(INDEX(FlowCalConstA,MATCH(AD294,FlowCalNumber,0),1,1)*AF301^INDEX(FlowCalConstB,MATCH(AD294,FlowCalNumber,0),1,1)&gt;INDEX(FlowCalLowSetting,MATCH(AD294,FlowCalNumber,0),1,1), (INDEX(FlowCalConstA,MATCH(AD294,FlowCalNumber,0),1,1)*AF301^INDEX(FlowCalConstB,MATCH(AD294,FlowCalNumber,0),1,1)&lt;INDEX(FlowCalHighSetting,MATCH(AD294,FlowCalNumber,0),1,1))),INDEX(FlowCalConstA,MATCH(AD294,FlowCalNumber,0),1,1)*AF301^INDEX(FlowCalConstB,MATCH(AD294,FlowCalNumber,0),1,1)," ")</f>
        <v>#N/A</v>
      </c>
      <c r="AH301" s="33"/>
      <c r="AI301" s="242">
        <f t="shared" si="292"/>
        <v>0.9</v>
      </c>
      <c r="AJ301" s="241" t="e">
        <f t="shared" ca="1" si="293"/>
        <v>#N/A</v>
      </c>
      <c r="AK301" s="243" t="e">
        <f ca="1">IF(AND(INDEX(FlowCalConstA,MATCH(AH294,FlowCalNumber,0),1,1)*AJ301^INDEX(FlowCalConstB,MATCH(AH294,FlowCalNumber,0),1,1)&gt;INDEX(FlowCalLowSetting,MATCH(AH294,FlowCalNumber,0),1,1), (INDEX(FlowCalConstA,MATCH(AH294,FlowCalNumber,0),1,1)*AJ301^INDEX(FlowCalConstB,MATCH(AH294,FlowCalNumber,0),1,1)&lt;INDEX(FlowCalHighSetting,MATCH(AH294,FlowCalNumber,0),1,1))),INDEX(FlowCalConstA,MATCH(AH294,FlowCalNumber,0),1,1)*AJ301^INDEX(FlowCalConstB,MATCH(AH294,FlowCalNumber,0),1,1)," ")</f>
        <v>#N/A</v>
      </c>
      <c r="AL301" s="33"/>
      <c r="AM301" s="242"/>
      <c r="AN301" s="241"/>
      <c r="AO301" s="244"/>
      <c r="AQ301" s="242"/>
      <c r="AR301" s="241"/>
      <c r="AS301" s="244"/>
      <c r="AT301" s="33"/>
      <c r="AU301" s="242"/>
      <c r="AV301" s="241"/>
      <c r="AW301" s="244"/>
      <c r="AX301" s="33"/>
      <c r="AY301" s="242"/>
      <c r="AZ301" s="241"/>
      <c r="BA301" s="244"/>
      <c r="BB301" s="33"/>
      <c r="BC301" s="242"/>
      <c r="BD301" s="241"/>
      <c r="BE301" s="244"/>
      <c r="BF301" s="33"/>
      <c r="BG301" s="242"/>
      <c r="BH301" s="241"/>
      <c r="BI301" s="244"/>
      <c r="BJ301" s="33"/>
      <c r="BK301" s="242"/>
      <c r="BL301" s="241"/>
      <c r="BM301" s="244"/>
      <c r="BN301" s="33"/>
      <c r="BO301" s="242"/>
      <c r="BP301" s="241"/>
      <c r="BQ301" s="244"/>
      <c r="BR301" s="33"/>
      <c r="BS301" s="242"/>
      <c r="BT301" s="241"/>
      <c r="BU301" s="244"/>
      <c r="BV301" s="33"/>
      <c r="BW301" s="242"/>
      <c r="BX301" s="241"/>
      <c r="BY301" s="244"/>
      <c r="BZ301" s="33"/>
      <c r="CA301" s="242"/>
      <c r="CB301" s="241"/>
      <c r="CC301" s="244"/>
      <c r="CD301" s="243"/>
      <c r="CE301" s="243"/>
      <c r="CF301" s="243"/>
      <c r="CG301" s="243"/>
      <c r="CH301" s="243"/>
      <c r="CI301" s="243"/>
      <c r="CJ301" s="243"/>
      <c r="CK301" s="243"/>
      <c r="CL301" s="243"/>
      <c r="CM301" s="243"/>
      <c r="CN301" s="243"/>
      <c r="CO301" s="243"/>
      <c r="CP301" s="243"/>
      <c r="CQ301" s="243"/>
      <c r="CR301" s="243"/>
      <c r="CS301" s="243"/>
      <c r="CT301" s="243"/>
      <c r="CU301" s="243"/>
      <c r="CV301" s="243"/>
      <c r="CW301" s="243"/>
      <c r="CX301" s="243"/>
      <c r="CY301" s="243"/>
      <c r="CZ301" s="243"/>
      <c r="DA301" s="243"/>
      <c r="DB301" s="243"/>
      <c r="DC301" s="243"/>
      <c r="DD301" s="243"/>
      <c r="DE301" s="243"/>
      <c r="DF301" s="243"/>
      <c r="DG301" s="243"/>
      <c r="DH301" s="243"/>
      <c r="DI301" s="243"/>
      <c r="DJ301" s="243"/>
      <c r="DK301" s="243"/>
      <c r="DM301" s="242"/>
      <c r="DO301" s="243"/>
      <c r="DQ301" s="242"/>
      <c r="DS301" s="243"/>
      <c r="DU301" s="242"/>
      <c r="DW301" s="243"/>
      <c r="DY301" s="242"/>
      <c r="EA301" s="243"/>
    </row>
    <row r="302" spans="1:131">
      <c r="A302" s="20"/>
      <c r="B302" s="124" t="str">
        <f t="shared" si="278"/>
        <v/>
      </c>
      <c r="C302" s="235"/>
      <c r="D302" s="24">
        <f>'1% Wind'!$M$89</f>
        <v>7.6</v>
      </c>
      <c r="E302" s="90"/>
      <c r="F302" s="90"/>
      <c r="G302" s="79" t="e">
        <f ca="1">IF(I294=0.9743,$G301,MAX(G301/D301*D302,2))</f>
        <v>#N/A</v>
      </c>
      <c r="H302" s="121" t="e">
        <f t="shared" ca="1" si="279"/>
        <v>#N/A</v>
      </c>
      <c r="J302" s="33"/>
      <c r="K302" s="242">
        <f t="shared" si="280"/>
        <v>1</v>
      </c>
      <c r="L302" s="241" t="e">
        <f t="shared" ca="1" si="281"/>
        <v>#N/A</v>
      </c>
      <c r="M302" s="243" t="e">
        <f ca="1">IF(AND(INDEX(FlowCalConstA,MATCH(J294,FlowCalNumber,0),1,1)*L302^INDEX(FlowCalConstB,MATCH(J294,FlowCalNumber,0),1,1)&gt;INDEX(FlowCalLowSetting,MATCH(J294,FlowCalNumber,0),1,1), (INDEX(FlowCalConstA,MATCH(J294,FlowCalNumber,0),1,1)*L302^INDEX(FlowCalConstB,MATCH(J294,FlowCalNumber,0),1,1)&lt;INDEX(FlowCalHighSetting,MATCH(J294,FlowCalNumber,0),1,1))),INDEX(FlowCalConstA,MATCH(J294,FlowCalNumber,0),1,1)*L302^INDEX(FlowCalConstB,MATCH(J294,FlowCalNumber,0),1,1)," ")</f>
        <v>#N/A</v>
      </c>
      <c r="N302" s="33"/>
      <c r="O302" s="242">
        <f t="shared" si="282"/>
        <v>1</v>
      </c>
      <c r="P302" s="241" t="e">
        <f t="shared" ca="1" si="283"/>
        <v>#N/A</v>
      </c>
      <c r="Q302" s="243" t="e">
        <f ca="1">IF(AND(INDEX(FlowCalConstA,MATCH(N294,FlowCalNumber,0),1,1)*P302^INDEX(FlowCalConstB,MATCH(N294,FlowCalNumber,0),1,1)&gt;INDEX(FlowCalLowSetting,MATCH(N294,FlowCalNumber,0),1,1), (INDEX(FlowCalConstA,MATCH(N294,FlowCalNumber,0),1,1)*P302^INDEX(FlowCalConstB,MATCH(N294,FlowCalNumber,0),1,1)&lt;INDEX(FlowCalHighSetting,MATCH(N294,FlowCalNumber,0),1,1))),INDEX(FlowCalConstA,MATCH(N294,FlowCalNumber,0),1,1)*P302^INDEX(FlowCalConstB,MATCH(N294,FlowCalNumber,0),1,1)," ")</f>
        <v>#N/A</v>
      </c>
      <c r="R302" s="33"/>
      <c r="S302" s="242">
        <f t="shared" si="284"/>
        <v>1</v>
      </c>
      <c r="T302" s="241" t="e">
        <f t="shared" ca="1" si="285"/>
        <v>#N/A</v>
      </c>
      <c r="U302" s="244" t="e">
        <f ca="1">IF(AND(INDEX(FlowCalConstA,MATCH(R294,FlowCalNumber,0),1,1)*T302^INDEX(FlowCalConstB,MATCH(R294,FlowCalNumber,0),1,1)&gt;INDEX(FlowCalLowSetting,MATCH(R294,FlowCalNumber,0),1,1), (INDEX(FlowCalConstA,MATCH(R294,FlowCalNumber,0),1,1)*T302^INDEX(FlowCalConstB,MATCH(R294,FlowCalNumber,0),1,1)&lt;INDEX(FlowCalHighSetting,MATCH(R294,FlowCalNumber,0),1,1))),INDEX(FlowCalConstA,MATCH(R294,FlowCalNumber,0),1,1)*T302^INDEX(FlowCalConstB,MATCH(R294,FlowCalNumber,0),1,1)," ")</f>
        <v>#N/A</v>
      </c>
      <c r="V302" s="33"/>
      <c r="W302" s="242">
        <f t="shared" si="286"/>
        <v>0.1</v>
      </c>
      <c r="X302" s="241" t="e">
        <f t="shared" ca="1" si="287"/>
        <v>#N/A</v>
      </c>
      <c r="Y302" s="243" t="e">
        <f ca="1">IF(AND(INDEX(FlowCalConstA,MATCH(V294,FlowCalNumber,0),1,1)*X302^INDEX(FlowCalConstB,MATCH(V294,FlowCalNumber,0),1,1)&gt;INDEX(FlowCalLowSetting,MATCH(V294,FlowCalNumber,0),1,1), (INDEX(FlowCalConstA,MATCH(V294,FlowCalNumber,0),1,1)*X302^INDEX(FlowCalConstB,MATCH(V294,FlowCalNumber,0),1,1)&lt;INDEX(FlowCalHighSetting,MATCH(V294,FlowCalNumber,0),1,1))),INDEX(FlowCalConstA,MATCH(V294,FlowCalNumber,0),1,1)*X302^INDEX(FlowCalConstB,MATCH(V294,FlowCalNumber,0),1,1)," ")</f>
        <v>#N/A</v>
      </c>
      <c r="Z302" s="33"/>
      <c r="AA302" s="242">
        <f t="shared" si="288"/>
        <v>0.9</v>
      </c>
      <c r="AB302" s="241" t="e">
        <f t="shared" ca="1" si="289"/>
        <v>#N/A</v>
      </c>
      <c r="AC302" s="243" t="e">
        <f ca="1">IF(AND(INDEX(FlowCalConstA,MATCH(Z294,FlowCalNumber,0),1,1)*AB302^INDEX(FlowCalConstB,MATCH(Z294,FlowCalNumber,0),1,1)&gt;INDEX(FlowCalLowSetting,MATCH(Z294,FlowCalNumber,0),1,1), (INDEX(FlowCalConstA,MATCH(Z294,FlowCalNumber,0),1,1)*AB302^INDEX(FlowCalConstB,MATCH(Z294,FlowCalNumber,0),1,1)&lt;INDEX(FlowCalHighSetting,MATCH(Z294,FlowCalNumber,0),1,1))),INDEX(FlowCalConstA,MATCH(Z294,FlowCalNumber,0),1,1)*AB302^INDEX(FlowCalConstB,MATCH(Z294,FlowCalNumber,0),1,1)," ")</f>
        <v>#N/A</v>
      </c>
      <c r="AD302" s="33"/>
      <c r="AE302" s="242">
        <f t="shared" si="290"/>
        <v>0.1</v>
      </c>
      <c r="AF302" s="241" t="e">
        <f t="shared" ca="1" si="291"/>
        <v>#N/A</v>
      </c>
      <c r="AG302" s="243" t="e">
        <f ca="1">IF(AND(INDEX(FlowCalConstA,MATCH(AD294,FlowCalNumber,0),1,1)*AF302^INDEX(FlowCalConstB,MATCH(AD294,FlowCalNumber,0),1,1)&gt;INDEX(FlowCalLowSetting,MATCH(AD294,FlowCalNumber,0),1,1), (INDEX(FlowCalConstA,MATCH(AD294,FlowCalNumber,0),1,1)*AF302^INDEX(FlowCalConstB,MATCH(AD294,FlowCalNumber,0),1,1)&lt;INDEX(FlowCalHighSetting,MATCH(AD294,FlowCalNumber,0),1,1))),INDEX(FlowCalConstA,MATCH(AD294,FlowCalNumber,0),1,1)*AF302^INDEX(FlowCalConstB,MATCH(AD294,FlowCalNumber,0),1,1)," ")</f>
        <v>#N/A</v>
      </c>
      <c r="AH302" s="33"/>
      <c r="AI302" s="242">
        <f t="shared" si="292"/>
        <v>0.9</v>
      </c>
      <c r="AJ302" s="241" t="e">
        <f t="shared" ca="1" si="293"/>
        <v>#N/A</v>
      </c>
      <c r="AK302" s="243" t="e">
        <f ca="1">IF(AND(INDEX(FlowCalConstA,MATCH(AH294,FlowCalNumber,0),1,1)*AJ302^INDEX(FlowCalConstB,MATCH(AH294,FlowCalNumber,0),1,1)&gt;INDEX(FlowCalLowSetting,MATCH(AH294,FlowCalNumber,0),1,1), (INDEX(FlowCalConstA,MATCH(AH294,FlowCalNumber,0),1,1)*AJ302^INDEX(FlowCalConstB,MATCH(AH294,FlowCalNumber,0),1,1)&lt;INDEX(FlowCalHighSetting,MATCH(AH294,FlowCalNumber,0),1,1))),INDEX(FlowCalConstA,MATCH(AH294,FlowCalNumber,0),1,1)*AJ302^INDEX(FlowCalConstB,MATCH(AH294,FlowCalNumber,0),1,1)," ")</f>
        <v>#N/A</v>
      </c>
      <c r="AL302" s="33"/>
      <c r="AM302" s="242"/>
      <c r="AN302" s="241"/>
      <c r="AO302" s="244"/>
      <c r="AQ302" s="242"/>
      <c r="AR302" s="241"/>
      <c r="AS302" s="244"/>
      <c r="AT302" s="33"/>
      <c r="AU302" s="242"/>
      <c r="AV302" s="241"/>
      <c r="AW302" s="244"/>
      <c r="AX302" s="33"/>
      <c r="AY302" s="242"/>
      <c r="AZ302" s="241"/>
      <c r="BA302" s="244"/>
      <c r="BB302" s="33"/>
      <c r="BC302" s="242"/>
      <c r="BD302" s="241"/>
      <c r="BE302" s="244"/>
      <c r="BF302" s="33"/>
      <c r="BG302" s="242"/>
      <c r="BH302" s="241"/>
      <c r="BI302" s="244"/>
      <c r="BJ302" s="33"/>
      <c r="BK302" s="242"/>
      <c r="BL302" s="241"/>
      <c r="BM302" s="244"/>
      <c r="BN302" s="33"/>
      <c r="BO302" s="242"/>
      <c r="BP302" s="241"/>
      <c r="BQ302" s="244"/>
      <c r="BR302" s="33"/>
      <c r="BS302" s="242"/>
      <c r="BT302" s="241"/>
      <c r="BU302" s="244"/>
      <c r="BV302" s="33"/>
      <c r="BW302" s="242"/>
      <c r="BX302" s="241"/>
      <c r="BY302" s="244"/>
      <c r="BZ302" s="33"/>
      <c r="CA302" s="242"/>
      <c r="CB302" s="241"/>
      <c r="CC302" s="244"/>
      <c r="CD302" s="243"/>
      <c r="CE302" s="243"/>
      <c r="CF302" s="243"/>
      <c r="CG302" s="243"/>
      <c r="CH302" s="243"/>
      <c r="CI302" s="243"/>
      <c r="CJ302" s="243"/>
      <c r="CK302" s="243"/>
      <c r="CL302" s="243"/>
      <c r="CM302" s="243"/>
      <c r="CN302" s="243"/>
      <c r="CO302" s="243"/>
      <c r="CP302" s="243"/>
      <c r="CQ302" s="243"/>
      <c r="CR302" s="243"/>
      <c r="CS302" s="243"/>
      <c r="CT302" s="243"/>
      <c r="CU302" s="243"/>
      <c r="CV302" s="243"/>
      <c r="CW302" s="243"/>
      <c r="CX302" s="243"/>
      <c r="CY302" s="243"/>
      <c r="CZ302" s="243"/>
      <c r="DA302" s="243"/>
      <c r="DB302" s="243"/>
      <c r="DC302" s="243"/>
      <c r="DD302" s="243"/>
      <c r="DE302" s="243"/>
      <c r="DF302" s="243"/>
      <c r="DG302" s="243"/>
      <c r="DH302" s="243"/>
      <c r="DI302" s="243"/>
      <c r="DJ302" s="243"/>
      <c r="DK302" s="243"/>
      <c r="DM302" s="242"/>
      <c r="DO302" s="243"/>
      <c r="DQ302" s="242"/>
      <c r="DS302" s="243"/>
      <c r="DU302" s="242"/>
      <c r="DW302" s="243"/>
      <c r="DY302" s="242"/>
      <c r="EA302" s="243"/>
    </row>
    <row r="303" spans="1:131">
      <c r="A303" s="20"/>
      <c r="B303" s="124" t="str">
        <f t="shared" si="278"/>
        <v/>
      </c>
      <c r="C303" s="235"/>
      <c r="D303" s="24">
        <f>'1% Wind'!$M$90</f>
        <v>5.7</v>
      </c>
      <c r="E303" s="90"/>
      <c r="F303" s="90"/>
      <c r="G303" s="79" t="e">
        <f ca="1">IF(I294=0.9743,$G302,MAX(G302/D302*D303,2))</f>
        <v>#N/A</v>
      </c>
      <c r="H303" s="121" t="e">
        <f t="shared" ca="1" si="279"/>
        <v>#N/A</v>
      </c>
      <c r="J303" s="33"/>
      <c r="K303" s="242">
        <f t="shared" si="280"/>
        <v>1</v>
      </c>
      <c r="L303" s="241" t="e">
        <f t="shared" ca="1" si="281"/>
        <v>#N/A</v>
      </c>
      <c r="M303" s="243" t="e">
        <f ca="1">IF(AND(INDEX(FlowCalConstA,MATCH(J294,FlowCalNumber,0),1,1)*L303^INDEX(FlowCalConstB,MATCH(J294,FlowCalNumber,0),1,1)&gt;INDEX(FlowCalLowSetting,MATCH(J294,FlowCalNumber,0),1,1), (INDEX(FlowCalConstA,MATCH(J294,FlowCalNumber,0),1,1)*L303^INDEX(FlowCalConstB,MATCH(J294,FlowCalNumber,0),1,1)&lt;INDEX(FlowCalHighSetting,MATCH(J294,FlowCalNumber,0),1,1))),INDEX(FlowCalConstA,MATCH(J294,FlowCalNumber,0),1,1)*L303^INDEX(FlowCalConstB,MATCH(J294,FlowCalNumber,0),1,1)," ")</f>
        <v>#N/A</v>
      </c>
      <c r="N303" s="33"/>
      <c r="O303" s="242">
        <f t="shared" si="282"/>
        <v>1</v>
      </c>
      <c r="P303" s="241" t="e">
        <f t="shared" ca="1" si="283"/>
        <v>#N/A</v>
      </c>
      <c r="Q303" s="243" t="e">
        <f ca="1">IF(AND(INDEX(FlowCalConstA,MATCH(N294,FlowCalNumber,0),1,1)*P303^INDEX(FlowCalConstB,MATCH(N294,FlowCalNumber,0),1,1)&gt;INDEX(FlowCalLowSetting,MATCH(N294,FlowCalNumber,0),1,1), (INDEX(FlowCalConstA,MATCH(N294,FlowCalNumber,0),1,1)*P303^INDEX(FlowCalConstB,MATCH(N294,FlowCalNumber,0),1,1)&lt;INDEX(FlowCalHighSetting,MATCH(N294,FlowCalNumber,0),1,1))),INDEX(FlowCalConstA,MATCH(N294,FlowCalNumber,0),1,1)*P303^INDEX(FlowCalConstB,MATCH(N294,FlowCalNumber,0),1,1)," ")</f>
        <v>#N/A</v>
      </c>
      <c r="R303" s="33"/>
      <c r="S303" s="242">
        <f t="shared" si="284"/>
        <v>1</v>
      </c>
      <c r="T303" s="241" t="e">
        <f t="shared" ca="1" si="285"/>
        <v>#N/A</v>
      </c>
      <c r="U303" s="244" t="e">
        <f ca="1">IF(AND(INDEX(FlowCalConstA,MATCH(R294,FlowCalNumber,0),1,1)*T303^INDEX(FlowCalConstB,MATCH(R294,FlowCalNumber,0),1,1)&gt;INDEX(FlowCalLowSetting,MATCH(R294,FlowCalNumber,0),1,1), (INDEX(FlowCalConstA,MATCH(R294,FlowCalNumber,0),1,1)*T303^INDEX(FlowCalConstB,MATCH(R294,FlowCalNumber,0),1,1)&lt;INDEX(FlowCalHighSetting,MATCH(R294,FlowCalNumber,0),1,1))),INDEX(FlowCalConstA,MATCH(R294,FlowCalNumber,0),1,1)*T303^INDEX(FlowCalConstB,MATCH(R294,FlowCalNumber,0),1,1)," ")</f>
        <v>#N/A</v>
      </c>
      <c r="V303" s="33"/>
      <c r="W303" s="242">
        <f t="shared" si="286"/>
        <v>0.1</v>
      </c>
      <c r="X303" s="241" t="e">
        <f t="shared" ca="1" si="287"/>
        <v>#N/A</v>
      </c>
      <c r="Y303" s="243" t="e">
        <f ca="1">IF(AND(INDEX(FlowCalConstA,MATCH(V294,FlowCalNumber,0),1,1)*X303^INDEX(FlowCalConstB,MATCH(V294,FlowCalNumber,0),1,1)&gt;INDEX(FlowCalLowSetting,MATCH(V294,FlowCalNumber,0),1,1), (INDEX(FlowCalConstA,MATCH(V294,FlowCalNumber,0),1,1)*X303^INDEX(FlowCalConstB,MATCH(V294,FlowCalNumber,0),1,1)&lt;INDEX(FlowCalHighSetting,MATCH(V294,FlowCalNumber,0),1,1))),INDEX(FlowCalConstA,MATCH(V294,FlowCalNumber,0),1,1)*X303^INDEX(FlowCalConstB,MATCH(V294,FlowCalNumber,0),1,1)," ")</f>
        <v>#N/A</v>
      </c>
      <c r="Z303" s="33"/>
      <c r="AA303" s="242">
        <f t="shared" si="288"/>
        <v>0.9</v>
      </c>
      <c r="AB303" s="241" t="e">
        <f t="shared" ca="1" si="289"/>
        <v>#N/A</v>
      </c>
      <c r="AC303" s="243" t="e">
        <f ca="1">IF(AND(INDEX(FlowCalConstA,MATCH(Z294,FlowCalNumber,0),1,1)*AB303^INDEX(FlowCalConstB,MATCH(Z294,FlowCalNumber,0),1,1)&gt;INDEX(FlowCalLowSetting,MATCH(Z294,FlowCalNumber,0),1,1), (INDEX(FlowCalConstA,MATCH(Z294,FlowCalNumber,0),1,1)*AB303^INDEX(FlowCalConstB,MATCH(Z294,FlowCalNumber,0),1,1)&lt;INDEX(FlowCalHighSetting,MATCH(Z294,FlowCalNumber,0),1,1))),INDEX(FlowCalConstA,MATCH(Z294,FlowCalNumber,0),1,1)*AB303^INDEX(FlowCalConstB,MATCH(Z294,FlowCalNumber,0),1,1)," ")</f>
        <v>#N/A</v>
      </c>
      <c r="AD303" s="33"/>
      <c r="AE303" s="242">
        <f t="shared" si="290"/>
        <v>0.1</v>
      </c>
      <c r="AF303" s="241" t="e">
        <f t="shared" ca="1" si="291"/>
        <v>#N/A</v>
      </c>
      <c r="AG303" s="243" t="e">
        <f ca="1">IF(AND(INDEX(FlowCalConstA,MATCH(AD294,FlowCalNumber,0),1,1)*AF303^INDEX(FlowCalConstB,MATCH(AD294,FlowCalNumber,0),1,1)&gt;INDEX(FlowCalLowSetting,MATCH(AD294,FlowCalNumber,0),1,1), (INDEX(FlowCalConstA,MATCH(AD294,FlowCalNumber,0),1,1)*AF303^INDEX(FlowCalConstB,MATCH(AD294,FlowCalNumber,0),1,1)&lt;INDEX(FlowCalHighSetting,MATCH(AD294,FlowCalNumber,0),1,1))),INDEX(FlowCalConstA,MATCH(AD294,FlowCalNumber,0),1,1)*AF303^INDEX(FlowCalConstB,MATCH(AD294,FlowCalNumber,0),1,1)," ")</f>
        <v>#N/A</v>
      </c>
      <c r="AH303" s="33"/>
      <c r="AI303" s="242">
        <f t="shared" si="292"/>
        <v>0.9</v>
      </c>
      <c r="AJ303" s="241" t="e">
        <f t="shared" ca="1" si="293"/>
        <v>#N/A</v>
      </c>
      <c r="AK303" s="243" t="e">
        <f ca="1">IF(AND(INDEX(FlowCalConstA,MATCH(AH294,FlowCalNumber,0),1,1)*AJ303^INDEX(FlowCalConstB,MATCH(AH294,FlowCalNumber,0),1,1)&gt;INDEX(FlowCalLowSetting,MATCH(AH294,FlowCalNumber,0),1,1), (INDEX(FlowCalConstA,MATCH(AH294,FlowCalNumber,0),1,1)*AJ303^INDEX(FlowCalConstB,MATCH(AH294,FlowCalNumber,0),1,1)&lt;INDEX(FlowCalHighSetting,MATCH(AH294,FlowCalNumber,0),1,1))),INDEX(FlowCalConstA,MATCH(AH294,FlowCalNumber,0),1,1)*AJ303^INDEX(FlowCalConstB,MATCH(AH294,FlowCalNumber,0),1,1)," ")</f>
        <v>#N/A</v>
      </c>
      <c r="AL303" s="33"/>
      <c r="AM303" s="242"/>
      <c r="AN303" s="241"/>
      <c r="AO303" s="244"/>
      <c r="AQ303" s="242"/>
      <c r="AR303" s="241"/>
      <c r="AS303" s="244"/>
      <c r="AT303" s="33"/>
      <c r="AU303" s="242"/>
      <c r="AV303" s="241"/>
      <c r="AW303" s="244"/>
      <c r="AX303" s="33"/>
      <c r="AY303" s="242"/>
      <c r="AZ303" s="241"/>
      <c r="BA303" s="244"/>
      <c r="BB303" s="33"/>
      <c r="BC303" s="242"/>
      <c r="BD303" s="241"/>
      <c r="BE303" s="244"/>
      <c r="BF303" s="33"/>
      <c r="BG303" s="242"/>
      <c r="BH303" s="241"/>
      <c r="BI303" s="244"/>
      <c r="BJ303" s="33"/>
      <c r="BK303" s="242"/>
      <c r="BL303" s="241"/>
      <c r="BM303" s="244"/>
      <c r="BN303" s="33"/>
      <c r="BO303" s="242"/>
      <c r="BP303" s="241"/>
      <c r="BQ303" s="244"/>
      <c r="BR303" s="33"/>
      <c r="BS303" s="242"/>
      <c r="BT303" s="241"/>
      <c r="BU303" s="244"/>
      <c r="BV303" s="33"/>
      <c r="BW303" s="242"/>
      <c r="BX303" s="241"/>
      <c r="BY303" s="244"/>
      <c r="BZ303" s="33"/>
      <c r="CA303" s="242"/>
      <c r="CB303" s="241"/>
      <c r="CC303" s="244"/>
      <c r="CD303" s="243"/>
      <c r="CE303" s="243"/>
      <c r="CF303" s="243"/>
      <c r="CG303" s="243"/>
      <c r="CH303" s="243"/>
      <c r="CI303" s="243"/>
      <c r="CJ303" s="243"/>
      <c r="CK303" s="243"/>
      <c r="CL303" s="243"/>
      <c r="CM303" s="243"/>
      <c r="CN303" s="243"/>
      <c r="CO303" s="243"/>
      <c r="CP303" s="243"/>
      <c r="CQ303" s="243"/>
      <c r="CR303" s="243"/>
      <c r="CS303" s="243"/>
      <c r="CT303" s="243"/>
      <c r="CU303" s="243"/>
      <c r="CV303" s="243"/>
      <c r="CW303" s="243"/>
      <c r="CX303" s="243"/>
      <c r="CY303" s="243"/>
      <c r="CZ303" s="243"/>
      <c r="DA303" s="243"/>
      <c r="DB303" s="243"/>
      <c r="DC303" s="243"/>
      <c r="DD303" s="243"/>
      <c r="DE303" s="243"/>
      <c r="DF303" s="243"/>
      <c r="DG303" s="243"/>
      <c r="DH303" s="243"/>
      <c r="DI303" s="243"/>
      <c r="DJ303" s="243"/>
      <c r="DK303" s="243"/>
      <c r="DM303" s="242"/>
      <c r="DO303" s="243"/>
      <c r="DQ303" s="242"/>
      <c r="DS303" s="243"/>
      <c r="DU303" s="242"/>
      <c r="DW303" s="243"/>
      <c r="DY303" s="242"/>
      <c r="EA303" s="243"/>
    </row>
    <row r="304" spans="1:131">
      <c r="A304" s="20"/>
      <c r="B304" s="124" t="str">
        <f t="shared" si="278"/>
        <v/>
      </c>
      <c r="C304" s="235"/>
      <c r="D304" s="24">
        <f>'1% Wind'!$M$91</f>
        <v>4.2</v>
      </c>
      <c r="E304" s="90"/>
      <c r="F304" s="90"/>
      <c r="G304" s="79" t="e">
        <f ca="1">IF(I294=0.9743,$G303,MAX(G303/D303*D304,2))</f>
        <v>#N/A</v>
      </c>
      <c r="H304" s="121" t="e">
        <f t="shared" ca="1" si="279"/>
        <v>#N/A</v>
      </c>
      <c r="J304" s="33"/>
      <c r="K304" s="242">
        <f t="shared" si="280"/>
        <v>1</v>
      </c>
      <c r="L304" s="241" t="e">
        <f t="shared" ca="1" si="281"/>
        <v>#N/A</v>
      </c>
      <c r="M304" s="243" t="e">
        <f ca="1">IF(AND(INDEX(FlowCalConstA,MATCH(J294,FlowCalNumber,0),1,1)*L304^INDEX(FlowCalConstB,MATCH(J294,FlowCalNumber,0),1,1)&gt;INDEX(FlowCalLowSetting,MATCH(J294,FlowCalNumber,0),1,1), (INDEX(FlowCalConstA,MATCH(J294,FlowCalNumber,0),1,1)*L304^INDEX(FlowCalConstB,MATCH(J294,FlowCalNumber,0),1,1)&lt;INDEX(FlowCalHighSetting,MATCH(J294,FlowCalNumber,0),1,1))),INDEX(FlowCalConstA,MATCH(J294,FlowCalNumber,0),1,1)*L304^INDEX(FlowCalConstB,MATCH(J294,FlowCalNumber,0),1,1)," ")</f>
        <v>#N/A</v>
      </c>
      <c r="N304" s="33"/>
      <c r="O304" s="242">
        <f t="shared" si="282"/>
        <v>1</v>
      </c>
      <c r="P304" s="241" t="e">
        <f t="shared" ca="1" si="283"/>
        <v>#N/A</v>
      </c>
      <c r="Q304" s="243" t="e">
        <f ca="1">IF(AND(INDEX(FlowCalConstA,MATCH(N294,FlowCalNumber,0),1,1)*P304^INDEX(FlowCalConstB,MATCH(N294,FlowCalNumber,0),1,1)&gt;INDEX(FlowCalLowSetting,MATCH(N294,FlowCalNumber,0),1,1), (INDEX(FlowCalConstA,MATCH(N294,FlowCalNumber,0),1,1)*P304^INDEX(FlowCalConstB,MATCH(N294,FlowCalNumber,0),1,1)&lt;INDEX(FlowCalHighSetting,MATCH(N294,FlowCalNumber,0),1,1))),INDEX(FlowCalConstA,MATCH(N294,FlowCalNumber,0),1,1)*P304^INDEX(FlowCalConstB,MATCH(N294,FlowCalNumber,0),1,1)," ")</f>
        <v>#N/A</v>
      </c>
      <c r="R304" s="33"/>
      <c r="S304" s="242">
        <f t="shared" si="284"/>
        <v>1</v>
      </c>
      <c r="T304" s="241" t="e">
        <f t="shared" ca="1" si="285"/>
        <v>#N/A</v>
      </c>
      <c r="U304" s="244" t="e">
        <f ca="1">IF(AND(INDEX(FlowCalConstA,MATCH(R294,FlowCalNumber,0),1,1)*T304^INDEX(FlowCalConstB,MATCH(R294,FlowCalNumber,0),1,1)&gt;INDEX(FlowCalLowSetting,MATCH(R294,FlowCalNumber,0),1,1), (INDEX(FlowCalConstA,MATCH(R294,FlowCalNumber,0),1,1)*T304^INDEX(FlowCalConstB,MATCH(R294,FlowCalNumber,0),1,1)&lt;INDEX(FlowCalHighSetting,MATCH(R294,FlowCalNumber,0),1,1))),INDEX(FlowCalConstA,MATCH(R294,FlowCalNumber,0),1,1)*T304^INDEX(FlowCalConstB,MATCH(R294,FlowCalNumber,0),1,1)," ")</f>
        <v>#N/A</v>
      </c>
      <c r="V304" s="33"/>
      <c r="W304" s="242">
        <f t="shared" si="286"/>
        <v>0.1</v>
      </c>
      <c r="X304" s="241" t="e">
        <f t="shared" ca="1" si="287"/>
        <v>#N/A</v>
      </c>
      <c r="Y304" s="243" t="e">
        <f ca="1">IF(AND(INDEX(FlowCalConstA,MATCH(V294,FlowCalNumber,0),1,1)*X304^INDEX(FlowCalConstB,MATCH(V294,FlowCalNumber,0),1,1)&gt;INDEX(FlowCalLowSetting,MATCH(V294,FlowCalNumber,0),1,1), (INDEX(FlowCalConstA,MATCH(V294,FlowCalNumber,0),1,1)*X304^INDEX(FlowCalConstB,MATCH(V294,FlowCalNumber,0),1,1)&lt;INDEX(FlowCalHighSetting,MATCH(V294,FlowCalNumber,0),1,1))),INDEX(FlowCalConstA,MATCH(V294,FlowCalNumber,0),1,1)*X304^INDEX(FlowCalConstB,MATCH(V294,FlowCalNumber,0),1,1)," ")</f>
        <v>#N/A</v>
      </c>
      <c r="Z304" s="33"/>
      <c r="AA304" s="242">
        <f t="shared" si="288"/>
        <v>0.9</v>
      </c>
      <c r="AB304" s="241" t="e">
        <f t="shared" ca="1" si="289"/>
        <v>#N/A</v>
      </c>
      <c r="AC304" s="243" t="e">
        <f ca="1">IF(AND(INDEX(FlowCalConstA,MATCH(Z294,FlowCalNumber,0),1,1)*AB304^INDEX(FlowCalConstB,MATCH(Z294,FlowCalNumber,0),1,1)&gt;INDEX(FlowCalLowSetting,MATCH(Z294,FlowCalNumber,0),1,1), (INDEX(FlowCalConstA,MATCH(Z294,FlowCalNumber,0),1,1)*AB304^INDEX(FlowCalConstB,MATCH(Z294,FlowCalNumber,0),1,1)&lt;INDEX(FlowCalHighSetting,MATCH(Z294,FlowCalNumber,0),1,1))),INDEX(FlowCalConstA,MATCH(Z294,FlowCalNumber,0),1,1)*AB304^INDEX(FlowCalConstB,MATCH(Z294,FlowCalNumber,0),1,1)," ")</f>
        <v>#N/A</v>
      </c>
      <c r="AD304" s="33"/>
      <c r="AE304" s="242">
        <f t="shared" si="290"/>
        <v>0.1</v>
      </c>
      <c r="AF304" s="241" t="e">
        <f t="shared" ca="1" si="291"/>
        <v>#N/A</v>
      </c>
      <c r="AG304" s="243" t="e">
        <f ca="1">IF(AND(INDEX(FlowCalConstA,MATCH(AD294,FlowCalNumber,0),1,1)*AF304^INDEX(FlowCalConstB,MATCH(AD294,FlowCalNumber,0),1,1)&gt;INDEX(FlowCalLowSetting,MATCH(AD294,FlowCalNumber,0),1,1), (INDEX(FlowCalConstA,MATCH(AD294,FlowCalNumber,0),1,1)*AF304^INDEX(FlowCalConstB,MATCH(AD294,FlowCalNumber,0),1,1)&lt;INDEX(FlowCalHighSetting,MATCH(AD294,FlowCalNumber,0),1,1))),INDEX(FlowCalConstA,MATCH(AD294,FlowCalNumber,0),1,1)*AF304^INDEX(FlowCalConstB,MATCH(AD294,FlowCalNumber,0),1,1)," ")</f>
        <v>#N/A</v>
      </c>
      <c r="AH304" s="33"/>
      <c r="AI304" s="242">
        <f t="shared" si="292"/>
        <v>0.9</v>
      </c>
      <c r="AJ304" s="241" t="e">
        <f t="shared" ca="1" si="293"/>
        <v>#N/A</v>
      </c>
      <c r="AK304" s="243" t="e">
        <f ca="1">IF(AND(INDEX(FlowCalConstA,MATCH(AH294,FlowCalNumber,0),1,1)*AJ304^INDEX(FlowCalConstB,MATCH(AH294,FlowCalNumber,0),1,1)&gt;INDEX(FlowCalLowSetting,MATCH(AH294,FlowCalNumber,0),1,1), (INDEX(FlowCalConstA,MATCH(AH294,FlowCalNumber,0),1,1)*AJ304^INDEX(FlowCalConstB,MATCH(AH294,FlowCalNumber,0),1,1)&lt;INDEX(FlowCalHighSetting,MATCH(AH294,FlowCalNumber,0),1,1))),INDEX(FlowCalConstA,MATCH(AH294,FlowCalNumber,0),1,1)*AJ304^INDEX(FlowCalConstB,MATCH(AH294,FlowCalNumber,0),1,1)," ")</f>
        <v>#N/A</v>
      </c>
      <c r="AL304" s="33"/>
      <c r="AM304" s="242"/>
      <c r="AN304" s="241"/>
      <c r="AO304" s="244"/>
      <c r="AQ304" s="242"/>
      <c r="AR304" s="241"/>
      <c r="AS304" s="244"/>
      <c r="AT304" s="33"/>
      <c r="AU304" s="242"/>
      <c r="AV304" s="241"/>
      <c r="AW304" s="244"/>
      <c r="AX304" s="33"/>
      <c r="AY304" s="242"/>
      <c r="AZ304" s="241"/>
      <c r="BA304" s="244"/>
      <c r="BB304" s="33"/>
      <c r="BC304" s="242"/>
      <c r="BD304" s="241"/>
      <c r="BE304" s="244"/>
      <c r="BF304" s="33"/>
      <c r="BG304" s="242"/>
      <c r="BH304" s="241"/>
      <c r="BI304" s="244"/>
      <c r="BJ304" s="33"/>
      <c r="BK304" s="242"/>
      <c r="BL304" s="241"/>
      <c r="BM304" s="244"/>
      <c r="BN304" s="33"/>
      <c r="BO304" s="242"/>
      <c r="BP304" s="241"/>
      <c r="BQ304" s="244"/>
      <c r="BR304" s="33"/>
      <c r="BS304" s="242"/>
      <c r="BT304" s="241"/>
      <c r="BU304" s="244"/>
      <c r="BV304" s="33"/>
      <c r="BW304" s="242"/>
      <c r="BX304" s="241"/>
      <c r="BY304" s="244"/>
      <c r="BZ304" s="33"/>
      <c r="CA304" s="242"/>
      <c r="CB304" s="241"/>
      <c r="CC304" s="244"/>
      <c r="CD304" s="243"/>
      <c r="CE304" s="243"/>
      <c r="CF304" s="243"/>
      <c r="CG304" s="243"/>
      <c r="CH304" s="243"/>
      <c r="CI304" s="243"/>
      <c r="CJ304" s="243"/>
      <c r="CK304" s="243"/>
      <c r="CL304" s="243"/>
      <c r="CM304" s="243"/>
      <c r="CN304" s="243"/>
      <c r="CO304" s="243"/>
      <c r="CP304" s="243"/>
      <c r="CQ304" s="243"/>
      <c r="CR304" s="243"/>
      <c r="CS304" s="243"/>
      <c r="CT304" s="243"/>
      <c r="CU304" s="243"/>
      <c r="CV304" s="243"/>
      <c r="CW304" s="243"/>
      <c r="CX304" s="243"/>
      <c r="CY304" s="243"/>
      <c r="CZ304" s="243"/>
      <c r="DA304" s="243"/>
      <c r="DB304" s="243"/>
      <c r="DC304" s="243"/>
      <c r="DD304" s="243"/>
      <c r="DE304" s="243"/>
      <c r="DF304" s="243"/>
      <c r="DG304" s="243"/>
      <c r="DH304" s="243"/>
      <c r="DI304" s="243"/>
      <c r="DJ304" s="243"/>
      <c r="DK304" s="243"/>
      <c r="DM304" s="242"/>
      <c r="DO304" s="243"/>
      <c r="DQ304" s="242"/>
      <c r="DS304" s="243"/>
      <c r="DU304" s="242"/>
      <c r="DW304" s="243"/>
      <c r="DY304" s="242"/>
      <c r="EA304" s="243"/>
    </row>
    <row r="305" spans="1:131">
      <c r="A305" s="20"/>
      <c r="B305" s="124" t="str">
        <f t="shared" si="278"/>
        <v/>
      </c>
      <c r="C305" s="235"/>
      <c r="D305" s="24">
        <f>'1% Wind'!$M$92</f>
        <v>3.2</v>
      </c>
      <c r="E305" s="90"/>
      <c r="F305" s="90"/>
      <c r="G305" s="79" t="e">
        <f ca="1">IF(I294=0.9743,$G304,MAX(G304/D304*D305,2))</f>
        <v>#N/A</v>
      </c>
      <c r="H305" s="121" t="e">
        <f t="shared" ca="1" si="279"/>
        <v>#N/A</v>
      </c>
      <c r="J305" s="33"/>
      <c r="K305" s="242">
        <f t="shared" si="280"/>
        <v>1</v>
      </c>
      <c r="L305" s="241" t="e">
        <f t="shared" ca="1" si="281"/>
        <v>#N/A</v>
      </c>
      <c r="M305" s="243" t="e">
        <f ca="1">IF(AND(INDEX(FlowCalConstA,MATCH(J294,FlowCalNumber,0),1,1)*L305^INDEX(FlowCalConstB,MATCH(J294,FlowCalNumber,0),1,1)&gt;INDEX(FlowCalLowSetting,MATCH(J294,FlowCalNumber,0),1,1), (INDEX(FlowCalConstA,MATCH(J294,FlowCalNumber,0),1,1)*L305^INDEX(FlowCalConstB,MATCH(J294,FlowCalNumber,0),1,1)&lt;INDEX(FlowCalHighSetting,MATCH(J294,FlowCalNumber,0),1,1))),INDEX(FlowCalConstA,MATCH(J294,FlowCalNumber,0),1,1)*L305^INDEX(FlowCalConstB,MATCH(J294,FlowCalNumber,0),1,1)," ")</f>
        <v>#N/A</v>
      </c>
      <c r="N305" s="33"/>
      <c r="O305" s="242">
        <f t="shared" si="282"/>
        <v>1</v>
      </c>
      <c r="P305" s="241" t="e">
        <f t="shared" ca="1" si="283"/>
        <v>#N/A</v>
      </c>
      <c r="Q305" s="243" t="e">
        <f ca="1">IF(AND(INDEX(FlowCalConstA,MATCH(N294,FlowCalNumber,0),1,1)*P305^INDEX(FlowCalConstB,MATCH(N294,FlowCalNumber,0),1,1)&gt;INDEX(FlowCalLowSetting,MATCH(N294,FlowCalNumber,0),1,1), (INDEX(FlowCalConstA,MATCH(N294,FlowCalNumber,0),1,1)*P305^INDEX(FlowCalConstB,MATCH(N294,FlowCalNumber,0),1,1)&lt;INDEX(FlowCalHighSetting,MATCH(N294,FlowCalNumber,0),1,1))),INDEX(FlowCalConstA,MATCH(N294,FlowCalNumber,0),1,1)*P305^INDEX(FlowCalConstB,MATCH(N294,FlowCalNumber,0),1,1)," ")</f>
        <v>#N/A</v>
      </c>
      <c r="R305" s="33"/>
      <c r="S305" s="242">
        <f t="shared" si="284"/>
        <v>1</v>
      </c>
      <c r="T305" s="241" t="e">
        <f t="shared" ca="1" si="285"/>
        <v>#N/A</v>
      </c>
      <c r="U305" s="244" t="e">
        <f ca="1">IF(AND(INDEX(FlowCalConstA,MATCH(R294,FlowCalNumber,0),1,1)*T305^INDEX(FlowCalConstB,MATCH(R294,FlowCalNumber,0),1,1)&gt;INDEX(FlowCalLowSetting,MATCH(R294,FlowCalNumber,0),1,1), (INDEX(FlowCalConstA,MATCH(R294,FlowCalNumber,0),1,1)*T305^INDEX(FlowCalConstB,MATCH(R294,FlowCalNumber,0),1,1)&lt;INDEX(FlowCalHighSetting,MATCH(R294,FlowCalNumber,0),1,1))),INDEX(FlowCalConstA,MATCH(R294,FlowCalNumber,0),1,1)*T305^INDEX(FlowCalConstB,MATCH(R294,FlowCalNumber,0),1,1)," ")</f>
        <v>#N/A</v>
      </c>
      <c r="V305" s="33"/>
      <c r="W305" s="242">
        <f t="shared" si="286"/>
        <v>0.1</v>
      </c>
      <c r="X305" s="241" t="e">
        <f t="shared" ca="1" si="287"/>
        <v>#N/A</v>
      </c>
      <c r="Y305" s="243" t="e">
        <f ca="1">IF(AND(INDEX(FlowCalConstA,MATCH(V294,FlowCalNumber,0),1,1)*X305^INDEX(FlowCalConstB,MATCH(V294,FlowCalNumber,0),1,1)&gt;INDEX(FlowCalLowSetting,MATCH(V294,FlowCalNumber,0),1,1), (INDEX(FlowCalConstA,MATCH(V294,FlowCalNumber,0),1,1)*X305^INDEX(FlowCalConstB,MATCH(V294,FlowCalNumber,0),1,1)&lt;INDEX(FlowCalHighSetting,MATCH(V294,FlowCalNumber,0),1,1))),INDEX(FlowCalConstA,MATCH(V294,FlowCalNumber,0),1,1)*X305^INDEX(FlowCalConstB,MATCH(V294,FlowCalNumber,0),1,1)," ")</f>
        <v>#N/A</v>
      </c>
      <c r="Z305" s="33"/>
      <c r="AA305" s="242">
        <f t="shared" si="288"/>
        <v>0.9</v>
      </c>
      <c r="AB305" s="241" t="e">
        <f t="shared" ca="1" si="289"/>
        <v>#N/A</v>
      </c>
      <c r="AC305" s="243" t="e">
        <f ca="1">IF(AND(INDEX(FlowCalConstA,MATCH(Z294,FlowCalNumber,0),1,1)*AB305^INDEX(FlowCalConstB,MATCH(Z294,FlowCalNumber,0),1,1)&gt;INDEX(FlowCalLowSetting,MATCH(Z294,FlowCalNumber,0),1,1), (INDEX(FlowCalConstA,MATCH(Z294,FlowCalNumber,0),1,1)*AB305^INDEX(FlowCalConstB,MATCH(Z294,FlowCalNumber,0),1,1)&lt;INDEX(FlowCalHighSetting,MATCH(Z294,FlowCalNumber,0),1,1))),INDEX(FlowCalConstA,MATCH(Z294,FlowCalNumber,0),1,1)*AB305^INDEX(FlowCalConstB,MATCH(Z294,FlowCalNumber,0),1,1)," ")</f>
        <v>#N/A</v>
      </c>
      <c r="AD305" s="33"/>
      <c r="AE305" s="242">
        <f t="shared" si="290"/>
        <v>0.1</v>
      </c>
      <c r="AF305" s="241" t="e">
        <f t="shared" ca="1" si="291"/>
        <v>#N/A</v>
      </c>
      <c r="AG305" s="243" t="e">
        <f ca="1">IF(AND(INDEX(FlowCalConstA,MATCH(AD294,FlowCalNumber,0),1,1)*AF305^INDEX(FlowCalConstB,MATCH(AD294,FlowCalNumber,0),1,1)&gt;INDEX(FlowCalLowSetting,MATCH(AD294,FlowCalNumber,0),1,1), (INDEX(FlowCalConstA,MATCH(AD294,FlowCalNumber,0),1,1)*AF305^INDEX(FlowCalConstB,MATCH(AD294,FlowCalNumber,0),1,1)&lt;INDEX(FlowCalHighSetting,MATCH(AD294,FlowCalNumber,0),1,1))),INDEX(FlowCalConstA,MATCH(AD294,FlowCalNumber,0),1,1)*AF305^INDEX(FlowCalConstB,MATCH(AD294,FlowCalNumber,0),1,1)," ")</f>
        <v>#N/A</v>
      </c>
      <c r="AH305" s="33"/>
      <c r="AI305" s="242">
        <f t="shared" si="292"/>
        <v>0.9</v>
      </c>
      <c r="AJ305" s="241" t="e">
        <f t="shared" ca="1" si="293"/>
        <v>#N/A</v>
      </c>
      <c r="AK305" s="243" t="e">
        <f ca="1">IF(AND(INDEX(FlowCalConstA,MATCH(AH294,FlowCalNumber,0),1,1)*AJ305^INDEX(FlowCalConstB,MATCH(AH294,FlowCalNumber,0),1,1)&gt;INDEX(FlowCalLowSetting,MATCH(AH294,FlowCalNumber,0),1,1), (INDEX(FlowCalConstA,MATCH(AH294,FlowCalNumber,0),1,1)*AJ305^INDEX(FlowCalConstB,MATCH(AH294,FlowCalNumber,0),1,1)&lt;INDEX(FlowCalHighSetting,MATCH(AH294,FlowCalNumber,0),1,1))),INDEX(FlowCalConstA,MATCH(AH294,FlowCalNumber,0),1,1)*AJ305^INDEX(FlowCalConstB,MATCH(AH294,FlowCalNumber,0),1,1)," ")</f>
        <v>#N/A</v>
      </c>
      <c r="AL305" s="33"/>
      <c r="AM305" s="242"/>
      <c r="AN305" s="241"/>
      <c r="AO305" s="244"/>
      <c r="AQ305" s="242"/>
      <c r="AR305" s="241"/>
      <c r="AS305" s="244"/>
      <c r="AT305" s="33"/>
      <c r="AU305" s="242"/>
      <c r="AV305" s="241"/>
      <c r="AW305" s="244"/>
      <c r="AX305" s="33"/>
      <c r="AY305" s="242"/>
      <c r="AZ305" s="241"/>
      <c r="BA305" s="244"/>
      <c r="BB305" s="33"/>
      <c r="BC305" s="242"/>
      <c r="BD305" s="241"/>
      <c r="BE305" s="244"/>
      <c r="BF305" s="33"/>
      <c r="BG305" s="242"/>
      <c r="BH305" s="241"/>
      <c r="BI305" s="244"/>
      <c r="BJ305" s="33"/>
      <c r="BK305" s="242"/>
      <c r="BL305" s="241"/>
      <c r="BM305" s="244"/>
      <c r="BN305" s="33"/>
      <c r="BO305" s="242"/>
      <c r="BP305" s="241"/>
      <c r="BQ305" s="244"/>
      <c r="BR305" s="33"/>
      <c r="BS305" s="242"/>
      <c r="BT305" s="241"/>
      <c r="BU305" s="244"/>
      <c r="BV305" s="33"/>
      <c r="BW305" s="242"/>
      <c r="BX305" s="241"/>
      <c r="BY305" s="244"/>
      <c r="BZ305" s="33"/>
      <c r="CA305" s="242"/>
      <c r="CB305" s="241"/>
      <c r="CC305" s="244"/>
      <c r="CD305" s="243"/>
      <c r="CE305" s="243"/>
      <c r="CF305" s="243"/>
      <c r="CG305" s="243"/>
      <c r="CH305" s="243"/>
      <c r="CI305" s="243"/>
      <c r="CJ305" s="243"/>
      <c r="CK305" s="243"/>
      <c r="CL305" s="243"/>
      <c r="CM305" s="243"/>
      <c r="CN305" s="243"/>
      <c r="CO305" s="243"/>
      <c r="CP305" s="243"/>
      <c r="CQ305" s="243"/>
      <c r="CR305" s="243"/>
      <c r="CS305" s="243"/>
      <c r="CT305" s="243"/>
      <c r="CU305" s="243"/>
      <c r="CV305" s="243"/>
      <c r="CW305" s="243"/>
      <c r="CX305" s="243"/>
      <c r="CY305" s="243"/>
      <c r="CZ305" s="243"/>
      <c r="DA305" s="243"/>
      <c r="DB305" s="243"/>
      <c r="DC305" s="243"/>
      <c r="DD305" s="243"/>
      <c r="DE305" s="243"/>
      <c r="DF305" s="243"/>
      <c r="DG305" s="243"/>
      <c r="DH305" s="243"/>
      <c r="DI305" s="243"/>
      <c r="DJ305" s="243"/>
      <c r="DK305" s="243"/>
      <c r="DM305" s="242"/>
      <c r="DO305" s="243"/>
      <c r="DQ305" s="242"/>
      <c r="DS305" s="243"/>
      <c r="DU305" s="242"/>
      <c r="DW305" s="243"/>
      <c r="DY305" s="242"/>
      <c r="EA305" s="243"/>
    </row>
    <row r="306" spans="1:131">
      <c r="A306" s="20"/>
      <c r="B306" s="124" t="str">
        <f t="shared" si="278"/>
        <v/>
      </c>
      <c r="C306" s="235"/>
      <c r="D306" s="24">
        <f>'1% Wind'!$M$93</f>
        <v>2.4</v>
      </c>
      <c r="E306" s="90"/>
      <c r="F306" s="90"/>
      <c r="G306" s="79" t="e">
        <f ca="1">IF(I294=0.9743,$G305,MAX(G305/D305*D306,2))</f>
        <v>#N/A</v>
      </c>
      <c r="H306" s="121" t="e">
        <f t="shared" ca="1" si="279"/>
        <v>#N/A</v>
      </c>
      <c r="J306" s="33"/>
      <c r="K306" s="242">
        <f t="shared" si="280"/>
        <v>1</v>
      </c>
      <c r="L306" s="241" t="e">
        <f t="shared" ca="1" si="281"/>
        <v>#N/A</v>
      </c>
      <c r="M306" s="243" t="e">
        <f ca="1">IF(AND(INDEX(FlowCalConstA,MATCH(J294,FlowCalNumber,0),1,1)*L306^INDEX(FlowCalConstB,MATCH(J294,FlowCalNumber,0),1,1)&gt;INDEX(FlowCalLowSetting,MATCH(J294,FlowCalNumber,0),1,1), (INDEX(FlowCalConstA,MATCH(J294,FlowCalNumber,0),1,1)*L306^INDEX(FlowCalConstB,MATCH(J294,FlowCalNumber,0),1,1)&lt;INDEX(FlowCalHighSetting,MATCH(J294,FlowCalNumber,0),1,1))),INDEX(FlowCalConstA,MATCH(J294,FlowCalNumber,0),1,1)*L306^INDEX(FlowCalConstB,MATCH(J294,FlowCalNumber,0),1,1)," ")</f>
        <v>#N/A</v>
      </c>
      <c r="N306" s="33"/>
      <c r="O306" s="242">
        <f t="shared" si="282"/>
        <v>1</v>
      </c>
      <c r="P306" s="241" t="e">
        <f t="shared" ca="1" si="283"/>
        <v>#N/A</v>
      </c>
      <c r="Q306" s="243" t="e">
        <f ca="1">IF(AND(INDEX(FlowCalConstA,MATCH(N294,FlowCalNumber,0),1,1)*P306^INDEX(FlowCalConstB,MATCH(N294,FlowCalNumber,0),1,1)&gt;INDEX(FlowCalLowSetting,MATCH(N294,FlowCalNumber,0),1,1), (INDEX(FlowCalConstA,MATCH(N294,FlowCalNumber,0),1,1)*P306^INDEX(FlowCalConstB,MATCH(N294,FlowCalNumber,0),1,1)&lt;INDEX(FlowCalHighSetting,MATCH(N294,FlowCalNumber,0),1,1))),INDEX(FlowCalConstA,MATCH(N294,FlowCalNumber,0),1,1)*P306^INDEX(FlowCalConstB,MATCH(N294,FlowCalNumber,0),1,1)," ")</f>
        <v>#N/A</v>
      </c>
      <c r="R306" s="33"/>
      <c r="S306" s="242">
        <f t="shared" si="284"/>
        <v>1</v>
      </c>
      <c r="T306" s="241" t="e">
        <f t="shared" ca="1" si="285"/>
        <v>#N/A</v>
      </c>
      <c r="U306" s="244" t="e">
        <f ca="1">IF(AND(INDEX(FlowCalConstA,MATCH(R294,FlowCalNumber,0),1,1)*T306^INDEX(FlowCalConstB,MATCH(R294,FlowCalNumber,0),1,1)&gt;INDEX(FlowCalLowSetting,MATCH(R294,FlowCalNumber,0),1,1), (INDEX(FlowCalConstA,MATCH(R294,FlowCalNumber,0),1,1)*T306^INDEX(FlowCalConstB,MATCH(R294,FlowCalNumber,0),1,1)&lt;INDEX(FlowCalHighSetting,MATCH(R294,FlowCalNumber,0),1,1))),INDEX(FlowCalConstA,MATCH(R294,FlowCalNumber,0),1,1)*T306^INDEX(FlowCalConstB,MATCH(R294,FlowCalNumber,0),1,1)," ")</f>
        <v>#N/A</v>
      </c>
      <c r="V306" s="33"/>
      <c r="W306" s="242">
        <f t="shared" si="286"/>
        <v>0.1</v>
      </c>
      <c r="X306" s="241" t="e">
        <f t="shared" ca="1" si="287"/>
        <v>#N/A</v>
      </c>
      <c r="Y306" s="243" t="e">
        <f ca="1">IF(AND(INDEX(FlowCalConstA,MATCH(V294,FlowCalNumber,0),1,1)*X306^INDEX(FlowCalConstB,MATCH(V294,FlowCalNumber,0),1,1)&gt;INDEX(FlowCalLowSetting,MATCH(V294,FlowCalNumber,0),1,1), (INDEX(FlowCalConstA,MATCH(V294,FlowCalNumber,0),1,1)*X306^INDEX(FlowCalConstB,MATCH(V294,FlowCalNumber,0),1,1)&lt;INDEX(FlowCalHighSetting,MATCH(V294,FlowCalNumber,0),1,1))),INDEX(FlowCalConstA,MATCH(V294,FlowCalNumber,0),1,1)*X306^INDEX(FlowCalConstB,MATCH(V294,FlowCalNumber,0),1,1)," ")</f>
        <v>#N/A</v>
      </c>
      <c r="Z306" s="33"/>
      <c r="AA306" s="242">
        <f t="shared" si="288"/>
        <v>0.9</v>
      </c>
      <c r="AB306" s="241" t="e">
        <f t="shared" ca="1" si="289"/>
        <v>#N/A</v>
      </c>
      <c r="AC306" s="243" t="e">
        <f ca="1">IF(AND(INDEX(FlowCalConstA,MATCH(Z294,FlowCalNumber,0),1,1)*AB306^INDEX(FlowCalConstB,MATCH(Z294,FlowCalNumber,0),1,1)&gt;INDEX(FlowCalLowSetting,MATCH(Z294,FlowCalNumber,0),1,1), (INDEX(FlowCalConstA,MATCH(Z294,FlowCalNumber,0),1,1)*AB306^INDEX(FlowCalConstB,MATCH(Z294,FlowCalNumber,0),1,1)&lt;INDEX(FlowCalHighSetting,MATCH(Z294,FlowCalNumber,0),1,1))),INDEX(FlowCalConstA,MATCH(Z294,FlowCalNumber,0),1,1)*AB306^INDEX(FlowCalConstB,MATCH(Z294,FlowCalNumber,0),1,1)," ")</f>
        <v>#N/A</v>
      </c>
      <c r="AD306" s="33"/>
      <c r="AE306" s="242">
        <f t="shared" si="290"/>
        <v>0.1</v>
      </c>
      <c r="AF306" s="241" t="e">
        <f t="shared" ca="1" si="291"/>
        <v>#N/A</v>
      </c>
      <c r="AG306" s="243" t="e">
        <f ca="1">IF(AND(INDEX(FlowCalConstA,MATCH(AD294,FlowCalNumber,0),1,1)*AF306^INDEX(FlowCalConstB,MATCH(AD294,FlowCalNumber,0),1,1)&gt;INDEX(FlowCalLowSetting,MATCH(AD294,FlowCalNumber,0),1,1), (INDEX(FlowCalConstA,MATCH(AD294,FlowCalNumber,0),1,1)*AF306^INDEX(FlowCalConstB,MATCH(AD294,FlowCalNumber,0),1,1)&lt;INDEX(FlowCalHighSetting,MATCH(AD294,FlowCalNumber,0),1,1))),INDEX(FlowCalConstA,MATCH(AD294,FlowCalNumber,0),1,1)*AF306^INDEX(FlowCalConstB,MATCH(AD294,FlowCalNumber,0),1,1)," ")</f>
        <v>#N/A</v>
      </c>
      <c r="AH306" s="33"/>
      <c r="AI306" s="242">
        <f t="shared" si="292"/>
        <v>0.9</v>
      </c>
      <c r="AJ306" s="241" t="e">
        <f t="shared" ca="1" si="293"/>
        <v>#N/A</v>
      </c>
      <c r="AK306" s="243" t="e">
        <f ca="1">IF(AND(INDEX(FlowCalConstA,MATCH(AH294,FlowCalNumber,0),1,1)*AJ306^INDEX(FlowCalConstB,MATCH(AH294,FlowCalNumber,0),1,1)&gt;INDEX(FlowCalLowSetting,MATCH(AH294,FlowCalNumber,0),1,1), (INDEX(FlowCalConstA,MATCH(AH294,FlowCalNumber,0),1,1)*AJ306^INDEX(FlowCalConstB,MATCH(AH294,FlowCalNumber,0),1,1)&lt;INDEX(FlowCalHighSetting,MATCH(AH294,FlowCalNumber,0),1,1))),INDEX(FlowCalConstA,MATCH(AH294,FlowCalNumber,0),1,1)*AJ306^INDEX(FlowCalConstB,MATCH(AH294,FlowCalNumber,0),1,1)," ")</f>
        <v>#N/A</v>
      </c>
      <c r="AL306" s="33"/>
      <c r="AM306" s="242"/>
      <c r="AN306" s="241"/>
      <c r="AO306" s="244"/>
      <c r="AQ306" s="242"/>
      <c r="AR306" s="241"/>
      <c r="AS306" s="244"/>
      <c r="AT306" s="33"/>
      <c r="AU306" s="242"/>
      <c r="AV306" s="241"/>
      <c r="AW306" s="244"/>
      <c r="AX306" s="33"/>
      <c r="AY306" s="242"/>
      <c r="AZ306" s="241"/>
      <c r="BA306" s="244"/>
      <c r="BB306" s="33"/>
      <c r="BC306" s="242"/>
      <c r="BD306" s="241"/>
      <c r="BE306" s="244"/>
      <c r="BF306" s="33"/>
      <c r="BG306" s="242"/>
      <c r="BH306" s="241"/>
      <c r="BI306" s="244"/>
      <c r="BJ306" s="33"/>
      <c r="BK306" s="242"/>
      <c r="BL306" s="241"/>
      <c r="BM306" s="244"/>
      <c r="BN306" s="33"/>
      <c r="BO306" s="242"/>
      <c r="BP306" s="241"/>
      <c r="BQ306" s="244"/>
      <c r="BR306" s="33"/>
      <c r="BS306" s="242"/>
      <c r="BT306" s="241"/>
      <c r="BU306" s="244"/>
      <c r="BV306" s="33"/>
      <c r="BW306" s="242"/>
      <c r="BX306" s="241"/>
      <c r="BY306" s="244"/>
      <c r="BZ306" s="33"/>
      <c r="CA306" s="242"/>
      <c r="CB306" s="241"/>
      <c r="CC306" s="244"/>
      <c r="CD306" s="243"/>
      <c r="CE306" s="243"/>
      <c r="CF306" s="243"/>
      <c r="CG306" s="243"/>
      <c r="CH306" s="243"/>
      <c r="CI306" s="243"/>
      <c r="CJ306" s="243"/>
      <c r="CK306" s="243"/>
      <c r="CL306" s="243"/>
      <c r="CM306" s="243"/>
      <c r="CN306" s="243"/>
      <c r="CO306" s="243"/>
      <c r="CP306" s="243"/>
      <c r="CQ306" s="243"/>
      <c r="CR306" s="243"/>
      <c r="CS306" s="243"/>
      <c r="CT306" s="243"/>
      <c r="CU306" s="243"/>
      <c r="CV306" s="243"/>
      <c r="CW306" s="243"/>
      <c r="CX306" s="243"/>
      <c r="CY306" s="243"/>
      <c r="CZ306" s="243"/>
      <c r="DA306" s="243"/>
      <c r="DB306" s="243"/>
      <c r="DC306" s="243"/>
      <c r="DD306" s="243"/>
      <c r="DE306" s="243"/>
      <c r="DF306" s="243"/>
      <c r="DG306" s="243"/>
      <c r="DH306" s="243"/>
      <c r="DI306" s="243"/>
      <c r="DJ306" s="243"/>
      <c r="DK306" s="243"/>
      <c r="DM306" s="242"/>
      <c r="DO306" s="243"/>
      <c r="DQ306" s="242"/>
      <c r="DS306" s="243"/>
      <c r="DU306" s="242"/>
      <c r="DW306" s="243"/>
      <c r="DY306" s="242"/>
      <c r="EA306" s="243"/>
    </row>
    <row r="307" spans="1:131">
      <c r="A307" s="20"/>
      <c r="B307" s="124" t="str">
        <f t="shared" si="278"/>
        <v/>
      </c>
      <c r="C307" s="235"/>
      <c r="D307" s="24">
        <f>'1% Wind'!$M$94</f>
        <v>1.8</v>
      </c>
      <c r="E307" s="90"/>
      <c r="F307" s="90"/>
      <c r="G307" s="79" t="e">
        <f ca="1">IF(I294=0.9743,$G306,MAX(G306/D306*D307,2))</f>
        <v>#N/A</v>
      </c>
      <c r="H307" s="121" t="e">
        <f t="shared" ca="1" si="279"/>
        <v>#N/A</v>
      </c>
      <c r="J307" s="33"/>
      <c r="K307" s="242">
        <f t="shared" si="280"/>
        <v>1</v>
      </c>
      <c r="L307" s="241" t="e">
        <f t="shared" ca="1" si="281"/>
        <v>#N/A</v>
      </c>
      <c r="M307" s="243" t="e">
        <f ca="1">IF(AND(INDEX(FlowCalConstA,MATCH(J294,FlowCalNumber,0),1,1)*L307^INDEX(FlowCalConstB,MATCH(J294,FlowCalNumber,0),1,1)&gt;INDEX(FlowCalLowSetting,MATCH(J294,FlowCalNumber,0),1,1), (INDEX(FlowCalConstA,MATCH(J294,FlowCalNumber,0),1,1)*L307^INDEX(FlowCalConstB,MATCH(J294,FlowCalNumber,0),1,1)&lt;INDEX(FlowCalHighSetting,MATCH(J294,FlowCalNumber,0),1,1))),INDEX(FlowCalConstA,MATCH(J294,FlowCalNumber,0),1,1)*L307^INDEX(FlowCalConstB,MATCH(J294,FlowCalNumber,0),1,1)," ")</f>
        <v>#N/A</v>
      </c>
      <c r="N307" s="33"/>
      <c r="O307" s="242">
        <f t="shared" si="282"/>
        <v>1</v>
      </c>
      <c r="P307" s="241" t="e">
        <f t="shared" ca="1" si="283"/>
        <v>#N/A</v>
      </c>
      <c r="Q307" s="243" t="e">
        <f ca="1">IF(AND(INDEX(FlowCalConstA,MATCH(N294,FlowCalNumber,0),1,1)*P307^INDEX(FlowCalConstB,MATCH(N294,FlowCalNumber,0),1,1)&gt;INDEX(FlowCalLowSetting,MATCH(N294,FlowCalNumber,0),1,1), (INDEX(FlowCalConstA,MATCH(N294,FlowCalNumber,0),1,1)*P307^INDEX(FlowCalConstB,MATCH(N294,FlowCalNumber,0),1,1)&lt;INDEX(FlowCalHighSetting,MATCH(N294,FlowCalNumber,0),1,1))),INDEX(FlowCalConstA,MATCH(N294,FlowCalNumber,0),1,1)*P307^INDEX(FlowCalConstB,MATCH(N294,FlowCalNumber,0),1,1)," ")</f>
        <v>#N/A</v>
      </c>
      <c r="R307" s="33"/>
      <c r="S307" s="242">
        <f t="shared" si="284"/>
        <v>1</v>
      </c>
      <c r="T307" s="241" t="e">
        <f t="shared" ca="1" si="285"/>
        <v>#N/A</v>
      </c>
      <c r="U307" s="244" t="e">
        <f ca="1">IF(AND(INDEX(FlowCalConstA,MATCH(R294,FlowCalNumber,0),1,1)*T307^INDEX(FlowCalConstB,MATCH(R294,FlowCalNumber,0),1,1)&gt;INDEX(FlowCalLowSetting,MATCH(R294,FlowCalNumber,0),1,1), (INDEX(FlowCalConstA,MATCH(R294,FlowCalNumber,0),1,1)*T307^INDEX(FlowCalConstB,MATCH(R294,FlowCalNumber,0),1,1)&lt;INDEX(FlowCalHighSetting,MATCH(R294,FlowCalNumber,0),1,1))),INDEX(FlowCalConstA,MATCH(R294,FlowCalNumber,0),1,1)*T307^INDEX(FlowCalConstB,MATCH(R294,FlowCalNumber,0),1,1)," ")</f>
        <v>#N/A</v>
      </c>
      <c r="V307" s="33"/>
      <c r="W307" s="242">
        <f t="shared" si="286"/>
        <v>0.1</v>
      </c>
      <c r="X307" s="241" t="e">
        <f t="shared" ca="1" si="287"/>
        <v>#N/A</v>
      </c>
      <c r="Y307" s="243" t="e">
        <f ca="1">IF(AND(INDEX(FlowCalConstA,MATCH(V294,FlowCalNumber,0),1,1)*X307^INDEX(FlowCalConstB,MATCH(V294,FlowCalNumber,0),1,1)&gt;INDEX(FlowCalLowSetting,MATCH(V294,FlowCalNumber,0),1,1), (INDEX(FlowCalConstA,MATCH(V294,FlowCalNumber,0),1,1)*X307^INDEX(FlowCalConstB,MATCH(V294,FlowCalNumber,0),1,1)&lt;INDEX(FlowCalHighSetting,MATCH(V294,FlowCalNumber,0),1,1))),INDEX(FlowCalConstA,MATCH(V294,FlowCalNumber,0),1,1)*X307^INDEX(FlowCalConstB,MATCH(V294,FlowCalNumber,0),1,1)," ")</f>
        <v>#N/A</v>
      </c>
      <c r="Z307" s="33"/>
      <c r="AA307" s="242">
        <f t="shared" si="288"/>
        <v>0.9</v>
      </c>
      <c r="AB307" s="241" t="e">
        <f t="shared" ca="1" si="289"/>
        <v>#N/A</v>
      </c>
      <c r="AC307" s="243" t="e">
        <f ca="1">IF(AND(INDEX(FlowCalConstA,MATCH(Z294,FlowCalNumber,0),1,1)*AB307^INDEX(FlowCalConstB,MATCH(Z294,FlowCalNumber,0),1,1)&gt;INDEX(FlowCalLowSetting,MATCH(Z294,FlowCalNumber,0),1,1), (INDEX(FlowCalConstA,MATCH(Z294,FlowCalNumber,0),1,1)*AB307^INDEX(FlowCalConstB,MATCH(Z294,FlowCalNumber,0),1,1)&lt;INDEX(FlowCalHighSetting,MATCH(Z294,FlowCalNumber,0),1,1))),INDEX(FlowCalConstA,MATCH(Z294,FlowCalNumber,0),1,1)*AB307^INDEX(FlowCalConstB,MATCH(Z294,FlowCalNumber,0),1,1)," ")</f>
        <v>#N/A</v>
      </c>
      <c r="AD307" s="33"/>
      <c r="AE307" s="242">
        <f t="shared" si="290"/>
        <v>0.1</v>
      </c>
      <c r="AF307" s="241" t="e">
        <f t="shared" ca="1" si="291"/>
        <v>#N/A</v>
      </c>
      <c r="AG307" s="243" t="e">
        <f ca="1">IF(AND(INDEX(FlowCalConstA,MATCH(AD294,FlowCalNumber,0),1,1)*AF307^INDEX(FlowCalConstB,MATCH(AD294,FlowCalNumber,0),1,1)&gt;INDEX(FlowCalLowSetting,MATCH(AD294,FlowCalNumber,0),1,1), (INDEX(FlowCalConstA,MATCH(AD294,FlowCalNumber,0),1,1)*AF307^INDEX(FlowCalConstB,MATCH(AD294,FlowCalNumber,0),1,1)&lt;INDEX(FlowCalHighSetting,MATCH(AD294,FlowCalNumber,0),1,1))),INDEX(FlowCalConstA,MATCH(AD294,FlowCalNumber,0),1,1)*AF307^INDEX(FlowCalConstB,MATCH(AD294,FlowCalNumber,0),1,1)," ")</f>
        <v>#N/A</v>
      </c>
      <c r="AH307" s="33"/>
      <c r="AI307" s="242">
        <f t="shared" si="292"/>
        <v>0.9</v>
      </c>
      <c r="AJ307" s="241" t="e">
        <f t="shared" ca="1" si="293"/>
        <v>#N/A</v>
      </c>
      <c r="AK307" s="243" t="e">
        <f ca="1">IF(AND(INDEX(FlowCalConstA,MATCH(AH294,FlowCalNumber,0),1,1)*AJ307^INDEX(FlowCalConstB,MATCH(AH294,FlowCalNumber,0),1,1)&gt;INDEX(FlowCalLowSetting,MATCH(AH294,FlowCalNumber,0),1,1), (INDEX(FlowCalConstA,MATCH(AH294,FlowCalNumber,0),1,1)*AJ307^INDEX(FlowCalConstB,MATCH(AH294,FlowCalNumber,0),1,1)&lt;INDEX(FlowCalHighSetting,MATCH(AH294,FlowCalNumber,0),1,1))),INDEX(FlowCalConstA,MATCH(AH294,FlowCalNumber,0),1,1)*AJ307^INDEX(FlowCalConstB,MATCH(AH294,FlowCalNumber,0),1,1)," ")</f>
        <v>#N/A</v>
      </c>
      <c r="AL307" s="33"/>
      <c r="AM307" s="242"/>
      <c r="AN307" s="241"/>
      <c r="AO307" s="244"/>
      <c r="AQ307" s="242"/>
      <c r="AR307" s="241"/>
      <c r="AS307" s="244"/>
      <c r="AT307" s="33"/>
      <c r="AU307" s="242"/>
      <c r="AV307" s="241"/>
      <c r="AW307" s="244"/>
      <c r="AX307" s="33"/>
      <c r="AY307" s="242"/>
      <c r="AZ307" s="241"/>
      <c r="BA307" s="244"/>
      <c r="BB307" s="33"/>
      <c r="BC307" s="242"/>
      <c r="BD307" s="241"/>
      <c r="BE307" s="244"/>
      <c r="BF307" s="33"/>
      <c r="BG307" s="242"/>
      <c r="BH307" s="241"/>
      <c r="BI307" s="244"/>
      <c r="BJ307" s="33"/>
      <c r="BK307" s="242"/>
      <c r="BL307" s="241"/>
      <c r="BM307" s="244"/>
      <c r="BN307" s="33"/>
      <c r="BO307" s="242"/>
      <c r="BP307" s="241"/>
      <c r="BQ307" s="244"/>
      <c r="BR307" s="33"/>
      <c r="BS307" s="242"/>
      <c r="BT307" s="241"/>
      <c r="BU307" s="244"/>
      <c r="BV307" s="33"/>
      <c r="BW307" s="242"/>
      <c r="BX307" s="241"/>
      <c r="BY307" s="244"/>
      <c r="BZ307" s="33"/>
      <c r="CA307" s="242"/>
      <c r="CB307" s="241"/>
      <c r="CC307" s="244"/>
      <c r="CD307" s="243"/>
      <c r="CE307" s="243"/>
      <c r="CF307" s="243"/>
      <c r="CG307" s="243"/>
      <c r="CH307" s="243"/>
      <c r="CI307" s="243"/>
      <c r="CJ307" s="243"/>
      <c r="CK307" s="243"/>
      <c r="CL307" s="243"/>
      <c r="CM307" s="243"/>
      <c r="CN307" s="243"/>
      <c r="CO307" s="243"/>
      <c r="CP307" s="243"/>
      <c r="CQ307" s="243"/>
      <c r="CR307" s="243"/>
      <c r="CS307" s="243"/>
      <c r="CT307" s="243"/>
      <c r="CU307" s="243"/>
      <c r="CV307" s="243"/>
      <c r="CW307" s="243"/>
      <c r="CX307" s="243"/>
      <c r="CY307" s="243"/>
      <c r="CZ307" s="243"/>
      <c r="DA307" s="243"/>
      <c r="DB307" s="243"/>
      <c r="DC307" s="243"/>
      <c r="DD307" s="243"/>
      <c r="DE307" s="243"/>
      <c r="DF307" s="243"/>
      <c r="DG307" s="243"/>
      <c r="DH307" s="243"/>
      <c r="DI307" s="243"/>
      <c r="DJ307" s="243"/>
      <c r="DK307" s="243"/>
      <c r="DM307" s="242"/>
      <c r="DO307" s="243"/>
      <c r="DQ307" s="242"/>
      <c r="DS307" s="243"/>
      <c r="DU307" s="242"/>
      <c r="DW307" s="243"/>
      <c r="DY307" s="242"/>
      <c r="EA307" s="243"/>
    </row>
    <row r="308" spans="1:131">
      <c r="A308" s="20"/>
      <c r="B308" s="124" t="str">
        <f t="shared" si="278"/>
        <v/>
      </c>
      <c r="C308" s="235"/>
      <c r="D308" s="24">
        <f>'1% Wind'!$M$95</f>
        <v>1.3</v>
      </c>
      <c r="E308" s="90"/>
      <c r="F308" s="90"/>
      <c r="G308" s="79" t="e">
        <f ca="1">IF(I294=0.9743,$G307,MAX(G307/D307*D308,2))</f>
        <v>#N/A</v>
      </c>
      <c r="H308" s="121" t="e">
        <f t="shared" ca="1" si="279"/>
        <v>#N/A</v>
      </c>
      <c r="J308" s="33"/>
      <c r="K308" s="242">
        <f t="shared" si="280"/>
        <v>1</v>
      </c>
      <c r="L308" s="241" t="e">
        <f t="shared" ca="1" si="281"/>
        <v>#N/A</v>
      </c>
      <c r="M308" s="243" t="e">
        <f ca="1">IF(AND(INDEX(FlowCalConstA,MATCH(J294,FlowCalNumber,0),1,1)*L308^INDEX(FlowCalConstB,MATCH(J294,FlowCalNumber,0),1,1)&gt;INDEX(FlowCalLowSetting,MATCH(J294,FlowCalNumber,0),1,1), (INDEX(FlowCalConstA,MATCH(J294,FlowCalNumber,0),1,1)*L308^INDEX(FlowCalConstB,MATCH(J294,FlowCalNumber,0),1,1)&lt;INDEX(FlowCalHighSetting,MATCH(J294,FlowCalNumber,0),1,1))),INDEX(FlowCalConstA,MATCH(J294,FlowCalNumber,0),1,1)*L308^INDEX(FlowCalConstB,MATCH(J294,FlowCalNumber,0),1,1)," ")</f>
        <v>#N/A</v>
      </c>
      <c r="N308" s="33"/>
      <c r="O308" s="242">
        <f t="shared" si="282"/>
        <v>1</v>
      </c>
      <c r="P308" s="241" t="e">
        <f t="shared" ca="1" si="283"/>
        <v>#N/A</v>
      </c>
      <c r="Q308" s="243" t="e">
        <f ca="1">IF(AND(INDEX(FlowCalConstA,MATCH(N294,FlowCalNumber,0),1,1)*P308^INDEX(FlowCalConstB,MATCH(N294,FlowCalNumber,0),1,1)&gt;INDEX(FlowCalLowSetting,MATCH(N294,FlowCalNumber,0),1,1), (INDEX(FlowCalConstA,MATCH(N294,FlowCalNumber,0),1,1)*P308^INDEX(FlowCalConstB,MATCH(N294,FlowCalNumber,0),1,1)&lt;INDEX(FlowCalHighSetting,MATCH(N294,FlowCalNumber,0),1,1))),INDEX(FlowCalConstA,MATCH(N294,FlowCalNumber,0),1,1)*P308^INDEX(FlowCalConstB,MATCH(N294,FlowCalNumber,0),1,1)," ")</f>
        <v>#N/A</v>
      </c>
      <c r="R308" s="33"/>
      <c r="S308" s="242">
        <f t="shared" si="284"/>
        <v>1</v>
      </c>
      <c r="T308" s="241" t="e">
        <f t="shared" ca="1" si="285"/>
        <v>#N/A</v>
      </c>
      <c r="U308" s="244" t="e">
        <f ca="1">IF(AND(INDEX(FlowCalConstA,MATCH(R294,FlowCalNumber,0),1,1)*T308^INDEX(FlowCalConstB,MATCH(R294,FlowCalNumber,0),1,1)&gt;INDEX(FlowCalLowSetting,MATCH(R294,FlowCalNumber,0),1,1), (INDEX(FlowCalConstA,MATCH(R294,FlowCalNumber,0),1,1)*T308^INDEX(FlowCalConstB,MATCH(R294,FlowCalNumber,0),1,1)&lt;INDEX(FlowCalHighSetting,MATCH(R294,FlowCalNumber,0),1,1))),INDEX(FlowCalConstA,MATCH(R294,FlowCalNumber,0),1,1)*T308^INDEX(FlowCalConstB,MATCH(R294,FlowCalNumber,0),1,1)," ")</f>
        <v>#N/A</v>
      </c>
      <c r="V308" s="33"/>
      <c r="W308" s="242">
        <f t="shared" si="286"/>
        <v>0.1</v>
      </c>
      <c r="X308" s="241" t="e">
        <f t="shared" ca="1" si="287"/>
        <v>#N/A</v>
      </c>
      <c r="Y308" s="243" t="e">
        <f ca="1">IF(AND(INDEX(FlowCalConstA,MATCH(V294,FlowCalNumber,0),1,1)*X308^INDEX(FlowCalConstB,MATCH(V294,FlowCalNumber,0),1,1)&gt;INDEX(FlowCalLowSetting,MATCH(V294,FlowCalNumber,0),1,1), (INDEX(FlowCalConstA,MATCH(V294,FlowCalNumber,0),1,1)*X308^INDEX(FlowCalConstB,MATCH(V294,FlowCalNumber,0),1,1)&lt;INDEX(FlowCalHighSetting,MATCH(V294,FlowCalNumber,0),1,1))),INDEX(FlowCalConstA,MATCH(V294,FlowCalNumber,0),1,1)*X308^INDEX(FlowCalConstB,MATCH(V294,FlowCalNumber,0),1,1)," ")</f>
        <v>#N/A</v>
      </c>
      <c r="Z308" s="33"/>
      <c r="AA308" s="242">
        <f t="shared" si="288"/>
        <v>0.9</v>
      </c>
      <c r="AB308" s="241" t="e">
        <f t="shared" ca="1" si="289"/>
        <v>#N/A</v>
      </c>
      <c r="AC308" s="243" t="e">
        <f ca="1">IF(AND(INDEX(FlowCalConstA,MATCH(Z294,FlowCalNumber,0),1,1)*AB308^INDEX(FlowCalConstB,MATCH(Z294,FlowCalNumber,0),1,1)&gt;INDEX(FlowCalLowSetting,MATCH(Z294,FlowCalNumber,0),1,1), (INDEX(FlowCalConstA,MATCH(Z294,FlowCalNumber,0),1,1)*AB308^INDEX(FlowCalConstB,MATCH(Z294,FlowCalNumber,0),1,1)&lt;INDEX(FlowCalHighSetting,MATCH(Z294,FlowCalNumber,0),1,1))),INDEX(FlowCalConstA,MATCH(Z294,FlowCalNumber,0),1,1)*AB308^INDEX(FlowCalConstB,MATCH(Z294,FlowCalNumber,0),1,1)," ")</f>
        <v>#N/A</v>
      </c>
      <c r="AD308" s="33"/>
      <c r="AE308" s="242">
        <f t="shared" si="290"/>
        <v>0.1</v>
      </c>
      <c r="AF308" s="241" t="e">
        <f t="shared" ca="1" si="291"/>
        <v>#N/A</v>
      </c>
      <c r="AG308" s="243" t="e">
        <f ca="1">IF(AND(INDEX(FlowCalConstA,MATCH(AD294,FlowCalNumber,0),1,1)*AF308^INDEX(FlowCalConstB,MATCH(AD294,FlowCalNumber,0),1,1)&gt;INDEX(FlowCalLowSetting,MATCH(AD294,FlowCalNumber,0),1,1), (INDEX(FlowCalConstA,MATCH(AD294,FlowCalNumber,0),1,1)*AF308^INDEX(FlowCalConstB,MATCH(AD294,FlowCalNumber,0),1,1)&lt;INDEX(FlowCalHighSetting,MATCH(AD294,FlowCalNumber,0),1,1))),INDEX(FlowCalConstA,MATCH(AD294,FlowCalNumber,0),1,1)*AF308^INDEX(FlowCalConstB,MATCH(AD294,FlowCalNumber,0),1,1)," ")</f>
        <v>#N/A</v>
      </c>
      <c r="AH308" s="33"/>
      <c r="AI308" s="242">
        <f t="shared" si="292"/>
        <v>0.9</v>
      </c>
      <c r="AJ308" s="241" t="e">
        <f t="shared" ca="1" si="293"/>
        <v>#N/A</v>
      </c>
      <c r="AK308" s="243" t="e">
        <f ca="1">IF(AND(INDEX(FlowCalConstA,MATCH(AH294,FlowCalNumber,0),1,1)*AJ308^INDEX(FlowCalConstB,MATCH(AH294,FlowCalNumber,0),1,1)&gt;INDEX(FlowCalLowSetting,MATCH(AH294,FlowCalNumber,0),1,1), (INDEX(FlowCalConstA,MATCH(AH294,FlowCalNumber,0),1,1)*AJ308^INDEX(FlowCalConstB,MATCH(AH294,FlowCalNumber,0),1,1)&lt;INDEX(FlowCalHighSetting,MATCH(AH294,FlowCalNumber,0),1,1))),INDEX(FlowCalConstA,MATCH(AH294,FlowCalNumber,0),1,1)*AJ308^INDEX(FlowCalConstB,MATCH(AH294,FlowCalNumber,0),1,1)," ")</f>
        <v>#N/A</v>
      </c>
      <c r="AL308" s="33"/>
      <c r="AM308" s="242"/>
      <c r="AN308" s="241"/>
      <c r="AO308" s="244"/>
      <c r="AQ308" s="242"/>
      <c r="AR308" s="241"/>
      <c r="AS308" s="244"/>
      <c r="AT308" s="33"/>
      <c r="AU308" s="242"/>
      <c r="AV308" s="241"/>
      <c r="AW308" s="244"/>
      <c r="AX308" s="33"/>
      <c r="AY308" s="242"/>
      <c r="AZ308" s="241"/>
      <c r="BA308" s="244"/>
      <c r="BB308" s="33"/>
      <c r="BC308" s="242"/>
      <c r="BD308" s="241"/>
      <c r="BE308" s="244"/>
      <c r="BF308" s="33"/>
      <c r="BG308" s="242"/>
      <c r="BH308" s="241"/>
      <c r="BI308" s="244"/>
      <c r="BJ308" s="33"/>
      <c r="BK308" s="242"/>
      <c r="BL308" s="241"/>
      <c r="BM308" s="244"/>
      <c r="BN308" s="33"/>
      <c r="BO308" s="242"/>
      <c r="BP308" s="241"/>
      <c r="BQ308" s="244"/>
      <c r="BR308" s="33"/>
      <c r="BS308" s="242"/>
      <c r="BT308" s="241"/>
      <c r="BU308" s="244"/>
      <c r="BV308" s="33"/>
      <c r="BW308" s="242"/>
      <c r="BX308" s="241"/>
      <c r="BY308" s="244"/>
      <c r="BZ308" s="33"/>
      <c r="CA308" s="242"/>
      <c r="CB308" s="241"/>
      <c r="CC308" s="244"/>
      <c r="CD308" s="243"/>
      <c r="CE308" s="243"/>
      <c r="CF308" s="243"/>
      <c r="CG308" s="243"/>
      <c r="CH308" s="243"/>
      <c r="CI308" s="243"/>
      <c r="CJ308" s="243"/>
      <c r="CK308" s="243"/>
      <c r="CL308" s="243"/>
      <c r="CM308" s="243"/>
      <c r="CN308" s="243"/>
      <c r="CO308" s="243"/>
      <c r="CP308" s="243"/>
      <c r="CQ308" s="243"/>
      <c r="CR308" s="243"/>
      <c r="CS308" s="243"/>
      <c r="CT308" s="243"/>
      <c r="CU308" s="243"/>
      <c r="CV308" s="243"/>
      <c r="CW308" s="243"/>
      <c r="CX308" s="243"/>
      <c r="CY308" s="243"/>
      <c r="CZ308" s="243"/>
      <c r="DA308" s="243"/>
      <c r="DB308" s="243"/>
      <c r="DC308" s="243"/>
      <c r="DD308" s="243"/>
      <c r="DE308" s="243"/>
      <c r="DF308" s="243"/>
      <c r="DG308" s="243"/>
      <c r="DH308" s="243"/>
      <c r="DI308" s="243"/>
      <c r="DJ308" s="243"/>
      <c r="DK308" s="243"/>
      <c r="DM308" s="242"/>
      <c r="DO308" s="243"/>
      <c r="DQ308" s="242"/>
      <c r="DS308" s="243"/>
      <c r="DU308" s="242"/>
      <c r="DW308" s="243"/>
      <c r="DY308" s="242"/>
      <c r="EA308" s="243"/>
    </row>
    <row r="309" spans="1:131">
      <c r="A309" s="20"/>
      <c r="B309" s="124" t="str">
        <f t="shared" si="278"/>
        <v/>
      </c>
      <c r="C309" s="235"/>
      <c r="D309" s="24">
        <f>'1% Wind'!$M$96</f>
        <v>1</v>
      </c>
      <c r="E309" s="90"/>
      <c r="F309" s="90"/>
      <c r="G309" s="79" t="e">
        <f ca="1">IF(I294=0.9743,$G308,MAX(G308/D308*D309,2))</f>
        <v>#N/A</v>
      </c>
      <c r="H309" s="121" t="e">
        <f t="shared" ca="1" si="279"/>
        <v>#N/A</v>
      </c>
      <c r="J309" s="33"/>
      <c r="K309" s="242">
        <f t="shared" si="280"/>
        <v>1</v>
      </c>
      <c r="L309" s="241" t="e">
        <f t="shared" ca="1" si="281"/>
        <v>#N/A</v>
      </c>
      <c r="M309" s="243" t="e">
        <f ca="1">IF(AND(INDEX(FlowCalConstA,MATCH(J294,FlowCalNumber,0),1,1)*L309^INDEX(FlowCalConstB,MATCH(J294,FlowCalNumber,0),1,1)&gt;INDEX(FlowCalLowSetting,MATCH(J294,FlowCalNumber,0),1,1), (INDEX(FlowCalConstA,MATCH(J294,FlowCalNumber,0),1,1)*L309^INDEX(FlowCalConstB,MATCH(J294,FlowCalNumber,0),1,1)&lt;INDEX(FlowCalHighSetting,MATCH(J294,FlowCalNumber,0),1,1))),INDEX(FlowCalConstA,MATCH(J294,FlowCalNumber,0),1,1)*L309^INDEX(FlowCalConstB,MATCH(J294,FlowCalNumber,0),1,1)," ")</f>
        <v>#N/A</v>
      </c>
      <c r="N309" s="33"/>
      <c r="O309" s="242">
        <f t="shared" si="282"/>
        <v>1</v>
      </c>
      <c r="P309" s="241" t="e">
        <f t="shared" ca="1" si="283"/>
        <v>#N/A</v>
      </c>
      <c r="Q309" s="243" t="e">
        <f ca="1">IF(AND(INDEX(FlowCalConstA,MATCH(N294,FlowCalNumber,0),1,1)*P309^INDEX(FlowCalConstB,MATCH(N294,FlowCalNumber,0),1,1)&gt;INDEX(FlowCalLowSetting,MATCH(N294,FlowCalNumber,0),1,1), (INDEX(FlowCalConstA,MATCH(N294,FlowCalNumber,0),1,1)*P309^INDEX(FlowCalConstB,MATCH(N294,FlowCalNumber,0),1,1)&lt;INDEX(FlowCalHighSetting,MATCH(N294,FlowCalNumber,0),1,1))),INDEX(FlowCalConstA,MATCH(N294,FlowCalNumber,0),1,1)*P309^INDEX(FlowCalConstB,MATCH(N294,FlowCalNumber,0),1,1)," ")</f>
        <v>#N/A</v>
      </c>
      <c r="R309" s="33"/>
      <c r="S309" s="242">
        <f t="shared" si="284"/>
        <v>1</v>
      </c>
      <c r="T309" s="241" t="e">
        <f t="shared" ca="1" si="285"/>
        <v>#N/A</v>
      </c>
      <c r="U309" s="244" t="e">
        <f ca="1">IF(AND(INDEX(FlowCalConstA,MATCH(R294,FlowCalNumber,0),1,1)*T309^INDEX(FlowCalConstB,MATCH(R294,FlowCalNumber,0),1,1)&gt;INDEX(FlowCalLowSetting,MATCH(R294,FlowCalNumber,0),1,1), (INDEX(FlowCalConstA,MATCH(R294,FlowCalNumber,0),1,1)*T309^INDEX(FlowCalConstB,MATCH(R294,FlowCalNumber,0),1,1)&lt;INDEX(FlowCalHighSetting,MATCH(R294,FlowCalNumber,0),1,1))),INDEX(FlowCalConstA,MATCH(R294,FlowCalNumber,0),1,1)*T309^INDEX(FlowCalConstB,MATCH(R294,FlowCalNumber,0),1,1)," ")</f>
        <v>#N/A</v>
      </c>
      <c r="V309" s="33"/>
      <c r="W309" s="242">
        <f t="shared" si="286"/>
        <v>0.1</v>
      </c>
      <c r="X309" s="241" t="e">
        <f t="shared" ca="1" si="287"/>
        <v>#N/A</v>
      </c>
      <c r="Y309" s="243" t="e">
        <f ca="1">IF(AND(INDEX(FlowCalConstA,MATCH(V294,FlowCalNumber,0),1,1)*X309^INDEX(FlowCalConstB,MATCH(V294,FlowCalNumber,0),1,1)&gt;INDEX(FlowCalLowSetting,MATCH(V294,FlowCalNumber,0),1,1), (INDEX(FlowCalConstA,MATCH(V294,FlowCalNumber,0),1,1)*X309^INDEX(FlowCalConstB,MATCH(V294,FlowCalNumber,0),1,1)&lt;INDEX(FlowCalHighSetting,MATCH(V294,FlowCalNumber,0),1,1))),INDEX(FlowCalConstA,MATCH(V294,FlowCalNumber,0),1,1)*X309^INDEX(FlowCalConstB,MATCH(V294,FlowCalNumber,0),1,1)," ")</f>
        <v>#N/A</v>
      </c>
      <c r="Z309" s="33"/>
      <c r="AA309" s="242">
        <f t="shared" si="288"/>
        <v>0.9</v>
      </c>
      <c r="AB309" s="241" t="e">
        <f t="shared" ca="1" si="289"/>
        <v>#N/A</v>
      </c>
      <c r="AC309" s="243" t="e">
        <f ca="1">IF(AND(INDEX(FlowCalConstA,MATCH(Z294,FlowCalNumber,0),1,1)*AB309^INDEX(FlowCalConstB,MATCH(Z294,FlowCalNumber,0),1,1)&gt;INDEX(FlowCalLowSetting,MATCH(Z294,FlowCalNumber,0),1,1), (INDEX(FlowCalConstA,MATCH(Z294,FlowCalNumber,0),1,1)*AB309^INDEX(FlowCalConstB,MATCH(Z294,FlowCalNumber,0),1,1)&lt;INDEX(FlowCalHighSetting,MATCH(Z294,FlowCalNumber,0),1,1))),INDEX(FlowCalConstA,MATCH(Z294,FlowCalNumber,0),1,1)*AB309^INDEX(FlowCalConstB,MATCH(Z294,FlowCalNumber,0),1,1)," ")</f>
        <v>#N/A</v>
      </c>
      <c r="AD309" s="33"/>
      <c r="AE309" s="242">
        <f t="shared" si="290"/>
        <v>0.1</v>
      </c>
      <c r="AF309" s="241" t="e">
        <f t="shared" ca="1" si="291"/>
        <v>#N/A</v>
      </c>
      <c r="AG309" s="243" t="e">
        <f ca="1">IF(AND(INDEX(FlowCalConstA,MATCH(AD294,FlowCalNumber,0),1,1)*AF309^INDEX(FlowCalConstB,MATCH(AD294,FlowCalNumber,0),1,1)&gt;INDEX(FlowCalLowSetting,MATCH(AD294,FlowCalNumber,0),1,1), (INDEX(FlowCalConstA,MATCH(AD294,FlowCalNumber,0),1,1)*AF309^INDEX(FlowCalConstB,MATCH(AD294,FlowCalNumber,0),1,1)&lt;INDEX(FlowCalHighSetting,MATCH(AD294,FlowCalNumber,0),1,1))),INDEX(FlowCalConstA,MATCH(AD294,FlowCalNumber,0),1,1)*AF309^INDEX(FlowCalConstB,MATCH(AD294,FlowCalNumber,0),1,1)," ")</f>
        <v>#N/A</v>
      </c>
      <c r="AH309" s="33"/>
      <c r="AI309" s="242">
        <f t="shared" si="292"/>
        <v>0.9</v>
      </c>
      <c r="AJ309" s="241" t="e">
        <f t="shared" ca="1" si="293"/>
        <v>#N/A</v>
      </c>
      <c r="AK309" s="243" t="e">
        <f ca="1">IF(AND(INDEX(FlowCalConstA,MATCH(AH294,FlowCalNumber,0),1,1)*AJ309^INDEX(FlowCalConstB,MATCH(AH294,FlowCalNumber,0),1,1)&gt;INDEX(FlowCalLowSetting,MATCH(AH294,FlowCalNumber,0),1,1), (INDEX(FlowCalConstA,MATCH(AH294,FlowCalNumber,0),1,1)*AJ309^INDEX(FlowCalConstB,MATCH(AH294,FlowCalNumber,0),1,1)&lt;INDEX(FlowCalHighSetting,MATCH(AH294,FlowCalNumber,0),1,1))),INDEX(FlowCalConstA,MATCH(AH294,FlowCalNumber,0),1,1)*AJ309^INDEX(FlowCalConstB,MATCH(AH294,FlowCalNumber,0),1,1)," ")</f>
        <v>#N/A</v>
      </c>
      <c r="AL309" s="33"/>
      <c r="AM309" s="242"/>
      <c r="AN309" s="241"/>
      <c r="AO309" s="244"/>
      <c r="AQ309" s="242"/>
      <c r="AR309" s="241"/>
      <c r="AS309" s="244"/>
      <c r="AT309" s="33"/>
      <c r="AU309" s="242"/>
      <c r="AV309" s="241"/>
      <c r="AW309" s="244"/>
      <c r="AX309" s="33"/>
      <c r="AY309" s="242"/>
      <c r="AZ309" s="241"/>
      <c r="BA309" s="244"/>
      <c r="BB309" s="33"/>
      <c r="BC309" s="242"/>
      <c r="BD309" s="241"/>
      <c r="BE309" s="244"/>
      <c r="BF309" s="33"/>
      <c r="BG309" s="242"/>
      <c r="BH309" s="241"/>
      <c r="BI309" s="244"/>
      <c r="BJ309" s="33"/>
      <c r="BK309" s="242"/>
      <c r="BL309" s="241"/>
      <c r="BM309" s="244"/>
      <c r="BN309" s="33"/>
      <c r="BO309" s="242"/>
      <c r="BP309" s="241"/>
      <c r="BQ309" s="244"/>
      <c r="BR309" s="33"/>
      <c r="BS309" s="242"/>
      <c r="BT309" s="241"/>
      <c r="BU309" s="244"/>
      <c r="BV309" s="33"/>
      <c r="BW309" s="242"/>
      <c r="BX309" s="241"/>
      <c r="BY309" s="244"/>
      <c r="BZ309" s="33"/>
      <c r="CA309" s="242"/>
      <c r="CB309" s="241"/>
      <c r="CC309" s="244"/>
      <c r="CD309" s="243"/>
      <c r="CE309" s="243"/>
      <c r="CF309" s="243"/>
      <c r="CG309" s="243"/>
      <c r="CH309" s="243"/>
      <c r="CI309" s="243"/>
      <c r="CJ309" s="243"/>
      <c r="CK309" s="243"/>
      <c r="CL309" s="243"/>
      <c r="CM309" s="243"/>
      <c r="CN309" s="243"/>
      <c r="CO309" s="243"/>
      <c r="CP309" s="243"/>
      <c r="CQ309" s="243"/>
      <c r="CR309" s="243"/>
      <c r="CS309" s="243"/>
      <c r="CT309" s="243"/>
      <c r="CU309" s="243"/>
      <c r="CV309" s="243"/>
      <c r="CW309" s="243"/>
      <c r="CX309" s="243"/>
      <c r="CY309" s="243"/>
      <c r="CZ309" s="243"/>
      <c r="DA309" s="243"/>
      <c r="DB309" s="243"/>
      <c r="DC309" s="243"/>
      <c r="DD309" s="243"/>
      <c r="DE309" s="243"/>
      <c r="DF309" s="243"/>
      <c r="DG309" s="243"/>
      <c r="DH309" s="243"/>
      <c r="DI309" s="243"/>
      <c r="DJ309" s="243"/>
      <c r="DK309" s="243"/>
      <c r="DM309" s="242"/>
      <c r="DO309" s="243"/>
      <c r="DQ309" s="242"/>
      <c r="DS309" s="243"/>
      <c r="DU309" s="242"/>
      <c r="DW309" s="243"/>
      <c r="DY309" s="242"/>
      <c r="EA309" s="243"/>
    </row>
    <row r="310" spans="1:131">
      <c r="A310" s="33"/>
      <c r="B310" s="33"/>
      <c r="C310" s="235"/>
      <c r="E310" s="90"/>
      <c r="F310" s="90"/>
      <c r="G310" s="33"/>
      <c r="J310" s="33"/>
      <c r="N310" s="33"/>
      <c r="Q310" s="243"/>
      <c r="R310" s="33"/>
      <c r="U310" s="244"/>
      <c r="V310" s="33"/>
      <c r="Y310" s="243"/>
      <c r="Z310" s="33"/>
      <c r="AC310" s="243"/>
      <c r="AD310" s="33"/>
      <c r="AG310" s="243"/>
      <c r="AH310" s="33"/>
      <c r="AK310" s="244"/>
      <c r="AL310" s="792"/>
      <c r="AM310" s="243"/>
      <c r="AN310" s="243"/>
      <c r="AO310" s="244"/>
      <c r="AP310" s="243"/>
      <c r="AQ310" s="243"/>
      <c r="AR310" s="243"/>
      <c r="AS310" s="244"/>
      <c r="AT310" s="243"/>
      <c r="AU310" s="243"/>
      <c r="AV310" s="243"/>
      <c r="AW310" s="244"/>
      <c r="AX310" s="243"/>
      <c r="AY310" s="243"/>
      <c r="AZ310" s="243"/>
      <c r="BA310" s="244"/>
      <c r="BB310" s="33"/>
      <c r="BE310" s="244"/>
      <c r="BF310" s="33"/>
      <c r="BI310" s="244"/>
      <c r="BJ310" s="33"/>
      <c r="BM310" s="244"/>
      <c r="BN310" s="243"/>
      <c r="BO310" s="243"/>
      <c r="BP310" s="243"/>
      <c r="BQ310" s="244"/>
      <c r="BR310" s="792"/>
      <c r="BS310" s="243"/>
      <c r="BT310" s="243"/>
      <c r="BU310" s="244"/>
      <c r="BV310" s="792"/>
      <c r="BW310" s="243"/>
      <c r="BX310" s="243"/>
      <c r="BY310" s="244"/>
      <c r="BZ310" s="792"/>
      <c r="CA310" s="243"/>
      <c r="CB310" s="243"/>
      <c r="CC310" s="244"/>
      <c r="CD310" s="243"/>
      <c r="CE310" s="243"/>
      <c r="CF310" s="243"/>
      <c r="CG310" s="243"/>
      <c r="CH310" s="243"/>
      <c r="CI310" s="243"/>
      <c r="CJ310" s="243"/>
      <c r="CK310" s="243"/>
      <c r="CL310" s="243"/>
      <c r="CM310" s="243"/>
      <c r="CN310" s="243"/>
      <c r="CO310" s="243"/>
      <c r="CP310" s="243"/>
      <c r="CQ310" s="243"/>
      <c r="CR310" s="243"/>
      <c r="CS310" s="243"/>
      <c r="CT310" s="243"/>
      <c r="CU310" s="243"/>
      <c r="CV310" s="243"/>
      <c r="CW310" s="243"/>
      <c r="CX310" s="243"/>
      <c r="CY310" s="243"/>
      <c r="CZ310" s="243"/>
      <c r="DA310" s="243"/>
      <c r="DB310" s="243"/>
      <c r="DC310" s="243"/>
      <c r="DD310" s="243"/>
      <c r="DE310" s="243"/>
      <c r="DF310" s="243"/>
      <c r="DG310" s="243"/>
      <c r="DH310" s="243"/>
      <c r="DI310" s="243"/>
      <c r="DJ310" s="243"/>
      <c r="DK310" s="243"/>
      <c r="DO310" s="243"/>
      <c r="DS310" s="243"/>
      <c r="DW310" s="243"/>
      <c r="EA310" s="243"/>
    </row>
    <row r="311" spans="1:131">
      <c r="A311" s="256" t="str">
        <f>IF((RIGHT(A294,1))&lt;&gt;"Z",CHAR(CODE(A294))&amp;CHAR(CODE(RIGHT(A294,1))+1),CHAR(CODE(A294)+1)&amp;"A")</f>
        <v>AR</v>
      </c>
      <c r="B311" s="270" t="e">
        <f>INDEX(SourceID,MATCH($A311,SourceNumber,0),1,1)</f>
        <v>#N/A</v>
      </c>
      <c r="C311" s="354" t="e">
        <f>INDEX(SourceExitDiameter,MATCH($A311,SourceNumber,0),1,1)*3.28*12</f>
        <v>#N/A</v>
      </c>
      <c r="D311" s="24" t="str">
        <f>UAnem1percent</f>
        <v>1% Wind</v>
      </c>
      <c r="E311" s="350" t="e">
        <f ca="1">INDIRECT(ADDRESS(53,6,1,,CONCATENATE("TA",$A311)))</f>
        <v>#REF!</v>
      </c>
      <c r="F311" s="625" t="e">
        <f ca="1">(ROUND((INDIRECT(ADDRESS(15,7,1,,CONCATENATE("TA",$A311)))*3.28*12*32),0)&amp;"/32")</f>
        <v>#REF!</v>
      </c>
      <c r="G311" s="125" t="e">
        <f ca="1">INDIRECT(ADDRESS(29,7,1,,$A311))</f>
        <v>#REF!</v>
      </c>
      <c r="H311" s="24" t="e">
        <f ca="1">INDIRECT(ADDRESS(19,7,1,,$A311))*100^3</f>
        <v>#REF!</v>
      </c>
      <c r="I311" s="941" t="e">
        <f ca="1">INDIRECT(ADDRESS(53,7,1,,$A311))</f>
        <v>#REF!</v>
      </c>
      <c r="J311" s="20" t="e">
        <f ca="1">IF($I311=$I$6,K$16&amp;$G$6&amp;J$6,IF($I311=$I$7,K$16&amp;$G$7&amp;J$7,"Bad"))</f>
        <v>#REF!</v>
      </c>
      <c r="K311" t="e">
        <f ca="1">INDEX(FlowCalGasMixture,MATCH(J311,FlowCalNumber,0),1,1)</f>
        <v>#REF!</v>
      </c>
      <c r="M311" s="944" t="e">
        <f ca="1">INDEX(FlowCalDevice,MATCH(J311,FlowCalNumber,0),1,1)</f>
        <v>#REF!</v>
      </c>
      <c r="N311" s="943" t="e">
        <f ca="1">IF($I311=$I$6,O$16&amp;$G$6&amp;"90"&amp;$H$6&amp;N$6,IF($I311=$I$7,O$16&amp;$G$7&amp;"90"&amp;$H$7&amp;N$7,"Bad"))</f>
        <v>#REF!</v>
      </c>
      <c r="O311" t="e">
        <f ca="1">INDEX(FlowCalGasMixture,MATCH(N311,FlowCalNumber,0),1,1)</f>
        <v>#REF!</v>
      </c>
      <c r="Q311" s="944" t="e">
        <f ca="1">INDEX(FlowCalDevice,MATCH(N311,FlowCalNumber,0),1,1)</f>
        <v>#REF!</v>
      </c>
      <c r="R311" s="943" t="e">
        <f ca="1">IF($I311=$I$6,S$16&amp;$G$6&amp;"90"&amp;$H$6&amp;R$6,IF($I311=$I$7,S$16&amp;$G$7&amp;"90"&amp;$H$7&amp;R$7,"Bad"))</f>
        <v>#REF!</v>
      </c>
      <c r="S311" t="e">
        <f ca="1">INDEX(FlowCalGasMixture,MATCH(R311,FlowCalNumber,0),1,1)</f>
        <v>#REF!</v>
      </c>
      <c r="U311" s="944" t="e">
        <f ca="1">INDEX(FlowCalDevice,MATCH(R311,FlowCalNumber,0),1,1)</f>
        <v>#REF!</v>
      </c>
      <c r="V311" s="20" t="e">
        <f ca="1">IF($I311=$I$6,W$16&amp;$G$6&amp;V$6,IF($I311=$I$7,W$16&amp;$G$7&amp;V$7,"Bad"))</f>
        <v>#REF!</v>
      </c>
      <c r="W311" t="e">
        <f ca="1">INDEX(FlowCalGasMixture,MATCH(V311,FlowCalNumber,0),1,1)</f>
        <v>#REF!</v>
      </c>
      <c r="Y311" s="944" t="e">
        <f ca="1">INDEX(FlowCalDevice,MATCH(V311,FlowCalNumber,0),1,1)</f>
        <v>#REF!</v>
      </c>
      <c r="Z311" s="946" t="e">
        <f ca="1">IF($I311=$I$6,AA$18&amp;$H$6&amp;Z$6,IF($I311=$I$7,AA$18&amp;$H$7&amp;Z$7,"Bad"))</f>
        <v>#REF!</v>
      </c>
      <c r="AA311" t="e">
        <f ca="1">INDEX(FlowCalGasMixture,MATCH(Z311,FlowCalNumber,0),1,1)</f>
        <v>#REF!</v>
      </c>
      <c r="AC311" s="944" t="e">
        <f ca="1">INDEX(FlowCalDevice,MATCH(Z311,FlowCalNumber,0),1,1)</f>
        <v>#REF!</v>
      </c>
      <c r="AD311" s="20" t="e">
        <f ca="1">IF($I311=$I$6,AE$16&amp;$G$6&amp;AD$6,IF($I311=$I$7,AE$16&amp;$G$7&amp;AD$7,"Bad"))</f>
        <v>#REF!</v>
      </c>
      <c r="AE311" t="e">
        <f ca="1">INDEX(FlowCalGasMixture,MATCH(AD311,FlowCalNumber,0),1,1)</f>
        <v>#REF!</v>
      </c>
      <c r="AG311" s="944" t="e">
        <f ca="1">INDEX(FlowCalDevice,MATCH(AD311,FlowCalNumber,0),1,1)</f>
        <v>#REF!</v>
      </c>
      <c r="AH311" s="946" t="e">
        <f ca="1">IF($I311=$I$6,AI$18&amp;$H$6&amp;AH$6,IF($I311=$I$7,AI$18&amp;$H$7&amp;AH$7,"Bad"))</f>
        <v>#REF!</v>
      </c>
      <c r="AI311" t="e">
        <f ca="1">INDEX(FlowCalGasMixture,MATCH(AH311,FlowCalNumber,0),1,1)</f>
        <v>#REF!</v>
      </c>
      <c r="AK311" s="944" t="e">
        <f ca="1">INDEX(FlowCalDevice,MATCH(AH311,FlowCalNumber,0),1,1)</f>
        <v>#REF!</v>
      </c>
      <c r="AL311" s="20"/>
      <c r="AO311" s="982"/>
      <c r="AP311" s="960"/>
      <c r="AS311" s="982"/>
      <c r="AT311" s="20"/>
      <c r="AW311" s="982"/>
      <c r="AX311" s="946"/>
      <c r="BA311" s="982"/>
      <c r="BB311" s="20"/>
      <c r="BC311" s="16"/>
      <c r="BE311" s="982"/>
      <c r="BF311" s="946"/>
      <c r="BG311" s="16"/>
      <c r="BI311" s="982"/>
      <c r="BJ311" s="946"/>
      <c r="BK311" s="16"/>
      <c r="BM311" s="982"/>
      <c r="BN311" s="20"/>
      <c r="BO311" s="16"/>
      <c r="BQ311" s="982"/>
      <c r="BR311" s="946"/>
      <c r="BS311" s="16"/>
      <c r="BU311" s="982"/>
      <c r="BV311" s="946"/>
      <c r="BW311" s="16"/>
      <c r="BY311" s="982"/>
      <c r="BZ311" s="946"/>
      <c r="CA311" s="16"/>
      <c r="CC311" s="982"/>
      <c r="CD311" s="355"/>
      <c r="CE311" s="355"/>
      <c r="CF311" s="355"/>
      <c r="CG311" s="355"/>
      <c r="CH311" s="355"/>
      <c r="CI311" s="355"/>
      <c r="CJ311" s="355"/>
      <c r="CK311" s="355"/>
      <c r="CL311" s="355"/>
      <c r="CM311" s="355"/>
      <c r="CN311" s="355"/>
      <c r="CO311" s="355"/>
      <c r="CP311" s="355"/>
      <c r="CQ311" s="355"/>
      <c r="CR311" s="355"/>
      <c r="CS311" s="355"/>
      <c r="CT311" s="355"/>
      <c r="CU311" s="355"/>
      <c r="CV311" s="355"/>
      <c r="CW311" s="355"/>
      <c r="CX311" s="355"/>
      <c r="CY311" s="355"/>
      <c r="CZ311" s="355"/>
      <c r="DA311" s="355"/>
      <c r="DB311" s="355"/>
      <c r="DC311" s="355"/>
      <c r="DD311" s="355"/>
      <c r="DE311" s="355"/>
      <c r="DF311" s="355"/>
      <c r="DG311" s="355"/>
      <c r="DH311" s="355"/>
      <c r="DI311" s="355"/>
      <c r="DJ311" s="355"/>
      <c r="DK311" s="355"/>
      <c r="DL311" s="46"/>
      <c r="DM311" s="16"/>
      <c r="DO311" s="355"/>
      <c r="DP311" s="42"/>
      <c r="DQ311" s="16"/>
      <c r="DS311" s="355"/>
      <c r="DT311" s="42"/>
      <c r="DU311" s="16"/>
      <c r="DW311" s="355"/>
      <c r="DX311" s="42"/>
      <c r="DY311" s="16"/>
      <c r="EA311" s="355"/>
    </row>
    <row r="312" spans="1:131">
      <c r="A312" s="20"/>
      <c r="B312" s="124" t="str">
        <f t="shared" ref="B312:B326" si="294">IF(D312=UAnem1percent,"1% Wind","")</f>
        <v/>
      </c>
      <c r="C312" s="235"/>
      <c r="D312" s="24">
        <f>'1% Wind'!$M$82</f>
        <v>27</v>
      </c>
      <c r="E312" s="90"/>
      <c r="F312" s="90"/>
      <c r="G312" s="79" t="e">
        <f ca="1">IF(I311=0.9743,$G311,MAX(G311/D311*D312,2))</f>
        <v>#REF!</v>
      </c>
      <c r="H312" s="121" t="e">
        <f t="shared" ref="H312:H326" ca="1" si="295">H311*(D311/D312)*(G312/G311)</f>
        <v>#REF!</v>
      </c>
      <c r="J312" s="33"/>
      <c r="K312" s="260">
        <f>K$17/100</f>
        <v>1</v>
      </c>
      <c r="L312" s="241" t="e">
        <f ca="1">K312*$H312</f>
        <v>#REF!</v>
      </c>
      <c r="M312" s="243" t="e">
        <f ca="1">IF(AND(INDEX(FlowCalConstA,MATCH(J311,FlowCalNumber,0),1,1)*L312^INDEX(FlowCalConstB,MATCH(J311,FlowCalNumber,0),1,1)&gt;INDEX(FlowCalLowSetting,MATCH(J311,FlowCalNumber,0),1,1), (INDEX(FlowCalConstA,MATCH(J311,FlowCalNumber,0),1,1)*L312^INDEX(FlowCalConstB,MATCH(J311,FlowCalNumber,0),1,1)&lt;INDEX(FlowCalHighSetting,MATCH(J311,FlowCalNumber,0),1,1))),INDEX(FlowCalConstA,MATCH(J311,FlowCalNumber,0),1,1)*L312^INDEX(FlowCalConstB,MATCH(J311,FlowCalNumber,0),1,1)," ")</f>
        <v>#REF!</v>
      </c>
      <c r="N312" s="33"/>
      <c r="O312" s="260">
        <f>O$17/100</f>
        <v>1</v>
      </c>
      <c r="P312" s="241" t="e">
        <f ca="1">O312*$H312</f>
        <v>#REF!</v>
      </c>
      <c r="Q312" s="243" t="e">
        <f ca="1">IF(AND(INDEX(FlowCalConstA,MATCH(N311,FlowCalNumber,0),1,1)*P312^INDEX(FlowCalConstB,MATCH(N311,FlowCalNumber,0),1,1)&gt;INDEX(FlowCalLowSetting,MATCH(N311,FlowCalNumber,0),1,1), (INDEX(FlowCalConstA,MATCH(N311,FlowCalNumber,0),1,1)*P312^INDEX(FlowCalConstB,MATCH(N311,FlowCalNumber,0),1,1)&lt;INDEX(FlowCalHighSetting,MATCH(N311,FlowCalNumber,0),1,1))),INDEX(FlowCalConstA,MATCH(N311,FlowCalNumber,0),1,1)*P312^INDEX(FlowCalConstB,MATCH(N311,FlowCalNumber,0),1,1)," ")</f>
        <v>#REF!</v>
      </c>
      <c r="R312" s="33"/>
      <c r="S312" s="260">
        <f>S$17/100</f>
        <v>1</v>
      </c>
      <c r="T312" s="241" t="e">
        <f ca="1">S312*$H312</f>
        <v>#REF!</v>
      </c>
      <c r="U312" s="244" t="e">
        <f ca="1">IF(AND(INDEX(FlowCalConstA,MATCH(R311,FlowCalNumber,0),1,1)*T312^INDEX(FlowCalConstB,MATCH(R311,FlowCalNumber,0),1,1)&gt;INDEX(FlowCalLowSetting,MATCH(R311,FlowCalNumber,0),1,1), (INDEX(FlowCalConstA,MATCH(R311,FlowCalNumber,0),1,1)*T312^INDEX(FlowCalConstB,MATCH(R311,FlowCalNumber,0),1,1)&lt;INDEX(FlowCalHighSetting,MATCH(R311,FlowCalNumber,0),1,1))),INDEX(FlowCalConstA,MATCH(R311,FlowCalNumber,0),1,1)*T312^INDEX(FlowCalConstB,MATCH(R311,FlowCalNumber,0),1,1)," ")</f>
        <v>#REF!</v>
      </c>
      <c r="V312" s="33"/>
      <c r="W312" s="260">
        <f>W$17/100</f>
        <v>0.1</v>
      </c>
      <c r="X312" s="241" t="e">
        <f ca="1">W312*$H312</f>
        <v>#REF!</v>
      </c>
      <c r="Y312" s="243" t="e">
        <f ca="1">IF(AND(INDEX(FlowCalConstA,MATCH(V311,FlowCalNumber,0),1,1)*X312^INDEX(FlowCalConstB,MATCH(V311,FlowCalNumber,0),1,1)&gt;INDEX(FlowCalLowSetting,MATCH(V311,FlowCalNumber,0),1,1), (INDEX(FlowCalConstA,MATCH(V311,FlowCalNumber,0),1,1)*X312^INDEX(FlowCalConstB,MATCH(V311,FlowCalNumber,0),1,1)&lt;INDEX(FlowCalHighSetting,MATCH(V311,FlowCalNumber,0),1,1))),INDEX(FlowCalConstA,MATCH(V311,FlowCalNumber,0),1,1)*X312^INDEX(FlowCalConstB,MATCH(V311,FlowCalNumber,0),1,1)," ")</f>
        <v>#REF!</v>
      </c>
      <c r="Z312" s="33"/>
      <c r="AA312" s="260">
        <f>AA$17/100</f>
        <v>0.9</v>
      </c>
      <c r="AB312" s="241" t="e">
        <f ca="1">AA312*$H312</f>
        <v>#REF!</v>
      </c>
      <c r="AC312" s="243" t="e">
        <f ca="1">IF(AND(INDEX(FlowCalConstA,MATCH(Z311,FlowCalNumber,0),1,1)*AB312^INDEX(FlowCalConstB,MATCH(Z311,FlowCalNumber,0),1,1)&gt;INDEX(FlowCalLowSetting,MATCH(Z311,FlowCalNumber,0),1,1), (INDEX(FlowCalConstA,MATCH(Z311,FlowCalNumber,0),1,1)*AB312^INDEX(FlowCalConstB,MATCH(Z311,FlowCalNumber,0),1,1)&lt;INDEX(FlowCalHighSetting,MATCH(Z311,FlowCalNumber,0),1,1))),INDEX(FlowCalConstA,MATCH(Z311,FlowCalNumber,0),1,1)*AB312^INDEX(FlowCalConstB,MATCH(Z311,FlowCalNumber,0),1,1)," ")</f>
        <v>#REF!</v>
      </c>
      <c r="AD312" s="33"/>
      <c r="AE312" s="260">
        <f>AE$17/100</f>
        <v>0.1</v>
      </c>
      <c r="AF312" s="241" t="e">
        <f ca="1">AE312*$H312</f>
        <v>#REF!</v>
      </c>
      <c r="AG312" s="243" t="e">
        <f ca="1">IF(AND(INDEX(FlowCalConstA,MATCH(AD311,FlowCalNumber,0),1,1)*AF312^INDEX(FlowCalConstB,MATCH(AD311,FlowCalNumber,0),1,1)&gt;INDEX(FlowCalLowSetting,MATCH(AD311,FlowCalNumber,0),1,1), (INDEX(FlowCalConstA,MATCH(AD311,FlowCalNumber,0),1,1)*AF312^INDEX(FlowCalConstB,MATCH(AD311,FlowCalNumber,0),1,1)&lt;INDEX(FlowCalHighSetting,MATCH(AD311,FlowCalNumber,0),1,1))),INDEX(FlowCalConstA,MATCH(AD311,FlowCalNumber,0),1,1)*AF312^INDEX(FlowCalConstB,MATCH(AD311,FlowCalNumber,0),1,1)," ")</f>
        <v>#REF!</v>
      </c>
      <c r="AH312" s="33"/>
      <c r="AI312" s="260">
        <f>AI$17/100</f>
        <v>0.9</v>
      </c>
      <c r="AJ312" s="241" t="e">
        <f ca="1">AI312*$H312</f>
        <v>#REF!</v>
      </c>
      <c r="AK312" s="243" t="e">
        <f ca="1">IF(AND(INDEX(FlowCalConstA,MATCH(AH311,FlowCalNumber,0),1,1)*AJ312^INDEX(FlowCalConstB,MATCH(AH311,FlowCalNumber,0),1,1)&gt;INDEX(FlowCalLowSetting,MATCH(AH311,FlowCalNumber,0),1,1), (INDEX(FlowCalConstA,MATCH(AH311,FlowCalNumber,0),1,1)*AJ312^INDEX(FlowCalConstB,MATCH(AH311,FlowCalNumber,0),1,1)&lt;INDEX(FlowCalHighSetting,MATCH(AH311,FlowCalNumber,0),1,1))),INDEX(FlowCalConstA,MATCH(AH311,FlowCalNumber,0),1,1)*AJ312^INDEX(FlowCalConstB,MATCH(AH311,FlowCalNumber,0),1,1)," ")</f>
        <v>#REF!</v>
      </c>
      <c r="AL312" s="33"/>
      <c r="AM312" s="260"/>
      <c r="AN312" s="241"/>
      <c r="AO312" s="244"/>
      <c r="AQ312" s="260"/>
      <c r="AR312" s="241"/>
      <c r="AS312" s="244"/>
      <c r="AT312" s="33"/>
      <c r="AU312" s="260"/>
      <c r="AV312" s="241"/>
      <c r="AW312" s="244"/>
      <c r="AX312" s="33"/>
      <c r="AY312" s="260"/>
      <c r="AZ312" s="241"/>
      <c r="BA312" s="244"/>
      <c r="BB312" s="33"/>
      <c r="BC312" s="260"/>
      <c r="BD312" s="241"/>
      <c r="BE312" s="244"/>
      <c r="BF312" s="33"/>
      <c r="BG312" s="260"/>
      <c r="BH312" s="241"/>
      <c r="BI312" s="244"/>
      <c r="BJ312" s="33"/>
      <c r="BK312" s="260"/>
      <c r="BL312" s="241"/>
      <c r="BM312" s="244"/>
      <c r="BN312" s="33"/>
      <c r="BO312" s="260"/>
      <c r="BP312" s="241"/>
      <c r="BQ312" s="244"/>
      <c r="BR312" s="33"/>
      <c r="BS312" s="260"/>
      <c r="BT312" s="241"/>
      <c r="BU312" s="244"/>
      <c r="BV312" s="33"/>
      <c r="BW312" s="260"/>
      <c r="BX312" s="241"/>
      <c r="BY312" s="244"/>
      <c r="BZ312" s="33"/>
      <c r="CA312" s="260"/>
      <c r="CB312" s="241"/>
      <c r="CC312" s="244"/>
      <c r="CD312" s="243"/>
      <c r="CE312" s="243"/>
      <c r="CF312" s="243"/>
      <c r="CG312" s="243"/>
      <c r="CH312" s="243"/>
      <c r="CI312" s="243"/>
      <c r="CJ312" s="243"/>
      <c r="CK312" s="243"/>
      <c r="CL312" s="243"/>
      <c r="CM312" s="243"/>
      <c r="CN312" s="243"/>
      <c r="CO312" s="243"/>
      <c r="CP312" s="243"/>
      <c r="CQ312" s="243"/>
      <c r="CR312" s="243"/>
      <c r="CS312" s="243"/>
      <c r="CT312" s="243"/>
      <c r="CU312" s="243"/>
      <c r="CV312" s="243"/>
      <c r="CW312" s="243"/>
      <c r="CX312" s="243"/>
      <c r="CY312" s="243"/>
      <c r="CZ312" s="243"/>
      <c r="DA312" s="243"/>
      <c r="DB312" s="243"/>
      <c r="DC312" s="243"/>
      <c r="DD312" s="243"/>
      <c r="DE312" s="243"/>
      <c r="DF312" s="243"/>
      <c r="DG312" s="243"/>
      <c r="DH312" s="243"/>
      <c r="DI312" s="243"/>
      <c r="DJ312" s="243"/>
      <c r="DK312" s="243"/>
      <c r="DM312" s="259"/>
      <c r="DO312" s="243"/>
      <c r="DQ312" s="259"/>
      <c r="DS312" s="243"/>
      <c r="DU312" s="259"/>
      <c r="DW312" s="243"/>
      <c r="DY312" s="260"/>
      <c r="EA312" s="243"/>
    </row>
    <row r="313" spans="1:131">
      <c r="A313" s="20"/>
      <c r="B313" s="124" t="str">
        <f t="shared" si="294"/>
        <v/>
      </c>
      <c r="C313" s="235"/>
      <c r="D313" s="24">
        <f>'1% Wind'!$M$83</f>
        <v>23.5</v>
      </c>
      <c r="E313" s="90"/>
      <c r="F313" s="90"/>
      <c r="G313" s="79" t="e">
        <f ca="1">IF(I311=0.9743,$G312,MAX(G312/D312*D313,2))</f>
        <v>#REF!</v>
      </c>
      <c r="H313" s="121" t="e">
        <f t="shared" ca="1" si="295"/>
        <v>#REF!</v>
      </c>
      <c r="J313" s="33"/>
      <c r="K313" s="242">
        <f t="shared" ref="K313:K326" si="296">K312</f>
        <v>1</v>
      </c>
      <c r="L313" s="241" t="e">
        <f t="shared" ref="L313:L326" ca="1" si="297">K313*$H313</f>
        <v>#REF!</v>
      </c>
      <c r="M313" s="243" t="e">
        <f ca="1">IF(AND(INDEX(FlowCalConstA,MATCH(J311,FlowCalNumber,0),1,1)*L313^INDEX(FlowCalConstB,MATCH(J311,FlowCalNumber,0),1,1)&gt;INDEX(FlowCalLowSetting,MATCH(J311,FlowCalNumber,0),1,1), (INDEX(FlowCalConstA,MATCH(J311,FlowCalNumber,0),1,1)*L313^INDEX(FlowCalConstB,MATCH(J311,FlowCalNumber,0),1,1)&lt;INDEX(FlowCalHighSetting,MATCH(J311,FlowCalNumber,0),1,1))),INDEX(FlowCalConstA,MATCH(J311,FlowCalNumber,0),1,1)*L313^INDEX(FlowCalConstB,MATCH(J311,FlowCalNumber,0),1,1)," ")</f>
        <v>#REF!</v>
      </c>
      <c r="N313" s="33"/>
      <c r="O313" s="242">
        <f t="shared" ref="O313:O326" si="298">O312</f>
        <v>1</v>
      </c>
      <c r="P313" s="241" t="e">
        <f t="shared" ref="P313:P326" ca="1" si="299">O313*$H313</f>
        <v>#REF!</v>
      </c>
      <c r="Q313" s="243" t="e">
        <f ca="1">IF(AND(INDEX(FlowCalConstA,MATCH(N311,FlowCalNumber,0),1,1)*P313^INDEX(FlowCalConstB,MATCH(N311,FlowCalNumber,0),1,1)&gt;INDEX(FlowCalLowSetting,MATCH(N311,FlowCalNumber,0),1,1), (INDEX(FlowCalConstA,MATCH(N311,FlowCalNumber,0),1,1)*P313^INDEX(FlowCalConstB,MATCH(N311,FlowCalNumber,0),1,1)&lt;INDEX(FlowCalHighSetting,MATCH(N311,FlowCalNumber,0),1,1))),INDEX(FlowCalConstA,MATCH(N311,FlowCalNumber,0),1,1)*P313^INDEX(FlowCalConstB,MATCH(N311,FlowCalNumber,0),1,1)," ")</f>
        <v>#REF!</v>
      </c>
      <c r="R313" s="33"/>
      <c r="S313" s="242">
        <f t="shared" ref="S313:S326" si="300">S312</f>
        <v>1</v>
      </c>
      <c r="T313" s="241" t="e">
        <f t="shared" ref="T313:T326" ca="1" si="301">S313*$H313</f>
        <v>#REF!</v>
      </c>
      <c r="U313" s="244" t="e">
        <f ca="1">IF(AND(INDEX(FlowCalConstA,MATCH(R311,FlowCalNumber,0),1,1)*T313^INDEX(FlowCalConstB,MATCH(R311,FlowCalNumber,0),1,1)&gt;INDEX(FlowCalLowSetting,MATCH(R311,FlowCalNumber,0),1,1), (INDEX(FlowCalConstA,MATCH(R311,FlowCalNumber,0),1,1)*T313^INDEX(FlowCalConstB,MATCH(R311,FlowCalNumber,0),1,1)&lt;INDEX(FlowCalHighSetting,MATCH(R311,FlowCalNumber,0),1,1))),INDEX(FlowCalConstA,MATCH(R311,FlowCalNumber,0),1,1)*T313^INDEX(FlowCalConstB,MATCH(R311,FlowCalNumber,0),1,1)," ")</f>
        <v>#REF!</v>
      </c>
      <c r="V313" s="33"/>
      <c r="W313" s="242">
        <f t="shared" ref="W313:W326" si="302">W312</f>
        <v>0.1</v>
      </c>
      <c r="X313" s="241" t="e">
        <f t="shared" ref="X313:X326" ca="1" si="303">W313*$H313</f>
        <v>#REF!</v>
      </c>
      <c r="Y313" s="243" t="e">
        <f ca="1">IF(AND(INDEX(FlowCalConstA,MATCH(V311,FlowCalNumber,0),1,1)*X313^INDEX(FlowCalConstB,MATCH(V311,FlowCalNumber,0),1,1)&gt;INDEX(FlowCalLowSetting,MATCH(V311,FlowCalNumber,0),1,1), (INDEX(FlowCalConstA,MATCH(V311,FlowCalNumber,0),1,1)*X313^INDEX(FlowCalConstB,MATCH(V311,FlowCalNumber,0),1,1)&lt;INDEX(FlowCalHighSetting,MATCH(V311,FlowCalNumber,0),1,1))),INDEX(FlowCalConstA,MATCH(V311,FlowCalNumber,0),1,1)*X313^INDEX(FlowCalConstB,MATCH(V311,FlowCalNumber,0),1,1)," ")</f>
        <v>#REF!</v>
      </c>
      <c r="Z313" s="33"/>
      <c r="AA313" s="242">
        <f t="shared" ref="AA313:AA326" si="304">AA312</f>
        <v>0.9</v>
      </c>
      <c r="AB313" s="241" t="e">
        <f t="shared" ref="AB313:AB326" ca="1" si="305">AA313*$H313</f>
        <v>#REF!</v>
      </c>
      <c r="AC313" s="243" t="e">
        <f ca="1">IF(AND(INDEX(FlowCalConstA,MATCH(Z311,FlowCalNumber,0),1,1)*AB313^INDEX(FlowCalConstB,MATCH(Z311,FlowCalNumber,0),1,1)&gt;INDEX(FlowCalLowSetting,MATCH(Z311,FlowCalNumber,0),1,1), (INDEX(FlowCalConstA,MATCH(Z311,FlowCalNumber,0),1,1)*AB313^INDEX(FlowCalConstB,MATCH(Z311,FlowCalNumber,0),1,1)&lt;INDEX(FlowCalHighSetting,MATCH(Z311,FlowCalNumber,0),1,1))),INDEX(FlowCalConstA,MATCH(Z311,FlowCalNumber,0),1,1)*AB313^INDEX(FlowCalConstB,MATCH(Z311,FlowCalNumber,0),1,1)," ")</f>
        <v>#REF!</v>
      </c>
      <c r="AD313" s="33"/>
      <c r="AE313" s="242">
        <f t="shared" ref="AE313:AE326" si="306">AE312</f>
        <v>0.1</v>
      </c>
      <c r="AF313" s="241" t="e">
        <f t="shared" ref="AF313:AF326" ca="1" si="307">AE313*$H313</f>
        <v>#REF!</v>
      </c>
      <c r="AG313" s="243" t="e">
        <f ca="1">IF(AND(INDEX(FlowCalConstA,MATCH(AD311,FlowCalNumber,0),1,1)*AF313^INDEX(FlowCalConstB,MATCH(AD311,FlowCalNumber,0),1,1)&gt;INDEX(FlowCalLowSetting,MATCH(AD311,FlowCalNumber,0),1,1), (INDEX(FlowCalConstA,MATCH(AD311,FlowCalNumber,0),1,1)*AF313^INDEX(FlowCalConstB,MATCH(AD311,FlowCalNumber,0),1,1)&lt;INDEX(FlowCalHighSetting,MATCH(AD311,FlowCalNumber,0),1,1))),INDEX(FlowCalConstA,MATCH(AD311,FlowCalNumber,0),1,1)*AF313^INDEX(FlowCalConstB,MATCH(AD311,FlowCalNumber,0),1,1)," ")</f>
        <v>#REF!</v>
      </c>
      <c r="AH313" s="33"/>
      <c r="AI313" s="242">
        <f t="shared" ref="AI313:AI326" si="308">AI312</f>
        <v>0.9</v>
      </c>
      <c r="AJ313" s="241" t="e">
        <f t="shared" ref="AJ313:AJ326" ca="1" si="309">AI313*$H313</f>
        <v>#REF!</v>
      </c>
      <c r="AK313" s="243" t="e">
        <f ca="1">IF(AND(INDEX(FlowCalConstA,MATCH(AH311,FlowCalNumber,0),1,1)*AJ313^INDEX(FlowCalConstB,MATCH(AH311,FlowCalNumber,0),1,1)&gt;INDEX(FlowCalLowSetting,MATCH(AH311,FlowCalNumber,0),1,1), (INDEX(FlowCalConstA,MATCH(AH311,FlowCalNumber,0),1,1)*AJ313^INDEX(FlowCalConstB,MATCH(AH311,FlowCalNumber,0),1,1)&lt;INDEX(FlowCalHighSetting,MATCH(AH311,FlowCalNumber,0),1,1))),INDEX(FlowCalConstA,MATCH(AH311,FlowCalNumber,0),1,1)*AJ313^INDEX(FlowCalConstB,MATCH(AH311,FlowCalNumber,0),1,1)," ")</f>
        <v>#REF!</v>
      </c>
      <c r="AL313" s="33"/>
      <c r="AM313" s="242"/>
      <c r="AN313" s="241"/>
      <c r="AO313" s="244"/>
      <c r="AQ313" s="242"/>
      <c r="AR313" s="241"/>
      <c r="AS313" s="244"/>
      <c r="AT313" s="33"/>
      <c r="AU313" s="242"/>
      <c r="AV313" s="241"/>
      <c r="AW313" s="244"/>
      <c r="AX313" s="33"/>
      <c r="AY313" s="242"/>
      <c r="AZ313" s="241"/>
      <c r="BA313" s="244"/>
      <c r="BB313" s="33"/>
      <c r="BC313" s="242"/>
      <c r="BD313" s="241"/>
      <c r="BE313" s="244"/>
      <c r="BF313" s="33"/>
      <c r="BG313" s="242"/>
      <c r="BH313" s="241"/>
      <c r="BI313" s="244"/>
      <c r="BJ313" s="33"/>
      <c r="BK313" s="242"/>
      <c r="BL313" s="241"/>
      <c r="BM313" s="244"/>
      <c r="BN313" s="33"/>
      <c r="BO313" s="242"/>
      <c r="BP313" s="241"/>
      <c r="BQ313" s="244"/>
      <c r="BR313" s="33"/>
      <c r="BS313" s="242"/>
      <c r="BT313" s="241"/>
      <c r="BU313" s="244"/>
      <c r="BV313" s="33"/>
      <c r="BW313" s="242"/>
      <c r="BX313" s="241"/>
      <c r="BY313" s="244"/>
      <c r="BZ313" s="33"/>
      <c r="CA313" s="242"/>
      <c r="CB313" s="241"/>
      <c r="CC313" s="244"/>
      <c r="CD313" s="243"/>
      <c r="CE313" s="243"/>
      <c r="CF313" s="243"/>
      <c r="CG313" s="243"/>
      <c r="CH313" s="243"/>
      <c r="CI313" s="243"/>
      <c r="CJ313" s="243"/>
      <c r="CK313" s="243"/>
      <c r="CL313" s="243"/>
      <c r="CM313" s="243"/>
      <c r="CN313" s="243"/>
      <c r="CO313" s="243"/>
      <c r="CP313" s="243"/>
      <c r="CQ313" s="243"/>
      <c r="CR313" s="243"/>
      <c r="CS313" s="243"/>
      <c r="CT313" s="243"/>
      <c r="CU313" s="243"/>
      <c r="CV313" s="243"/>
      <c r="CW313" s="243"/>
      <c r="CX313" s="243"/>
      <c r="CY313" s="243"/>
      <c r="CZ313" s="243"/>
      <c r="DA313" s="243"/>
      <c r="DB313" s="243"/>
      <c r="DC313" s="243"/>
      <c r="DD313" s="243"/>
      <c r="DE313" s="243"/>
      <c r="DF313" s="243"/>
      <c r="DG313" s="243"/>
      <c r="DH313" s="243"/>
      <c r="DI313" s="243"/>
      <c r="DJ313" s="243"/>
      <c r="DK313" s="243"/>
      <c r="DM313" s="242"/>
      <c r="DO313" s="243"/>
      <c r="DQ313" s="242"/>
      <c r="DS313" s="243"/>
      <c r="DU313" s="242"/>
      <c r="DW313" s="243"/>
      <c r="DY313" s="242"/>
      <c r="EA313" s="243"/>
    </row>
    <row r="314" spans="1:131">
      <c r="A314" s="20"/>
      <c r="B314" s="124" t="str">
        <f t="shared" si="294"/>
        <v/>
      </c>
      <c r="C314" s="235"/>
      <c r="D314" s="24">
        <f>'1% Wind'!$M$84</f>
        <v>20.5</v>
      </c>
      <c r="E314" s="90"/>
      <c r="F314" s="90"/>
      <c r="G314" s="79" t="e">
        <f ca="1">IF(I311=0.9743,$G313,MAX(G313/D313*D314,2))</f>
        <v>#REF!</v>
      </c>
      <c r="H314" s="121" t="e">
        <f t="shared" ca="1" si="295"/>
        <v>#REF!</v>
      </c>
      <c r="J314" s="33"/>
      <c r="K314" s="242">
        <f t="shared" si="296"/>
        <v>1</v>
      </c>
      <c r="L314" s="241" t="e">
        <f t="shared" ca="1" si="297"/>
        <v>#REF!</v>
      </c>
      <c r="M314" s="243" t="e">
        <f ca="1">IF(AND(INDEX(FlowCalConstA,MATCH(J311,FlowCalNumber,0),1,1)*L314^INDEX(FlowCalConstB,MATCH(J311,FlowCalNumber,0),1,1)&gt;INDEX(FlowCalLowSetting,MATCH(J311,FlowCalNumber,0),1,1), (INDEX(FlowCalConstA,MATCH(J311,FlowCalNumber,0),1,1)*L314^INDEX(FlowCalConstB,MATCH(J311,FlowCalNumber,0),1,1)&lt;INDEX(FlowCalHighSetting,MATCH(J311,FlowCalNumber,0),1,1))),INDEX(FlowCalConstA,MATCH(J311,FlowCalNumber,0),1,1)*L314^INDEX(FlowCalConstB,MATCH(J311,FlowCalNumber,0),1,1)," ")</f>
        <v>#REF!</v>
      </c>
      <c r="N314" s="33"/>
      <c r="O314" s="242">
        <f t="shared" si="298"/>
        <v>1</v>
      </c>
      <c r="P314" s="241" t="e">
        <f t="shared" ca="1" si="299"/>
        <v>#REF!</v>
      </c>
      <c r="Q314" s="243" t="e">
        <f ca="1">IF(AND(INDEX(FlowCalConstA,MATCH(N311,FlowCalNumber,0),1,1)*P314^INDEX(FlowCalConstB,MATCH(N311,FlowCalNumber,0),1,1)&gt;INDEX(FlowCalLowSetting,MATCH(N311,FlowCalNumber,0),1,1), (INDEX(FlowCalConstA,MATCH(N311,FlowCalNumber,0),1,1)*P314^INDEX(FlowCalConstB,MATCH(N311,FlowCalNumber,0),1,1)&lt;INDEX(FlowCalHighSetting,MATCH(N311,FlowCalNumber,0),1,1))),INDEX(FlowCalConstA,MATCH(N311,FlowCalNumber,0),1,1)*P314^INDEX(FlowCalConstB,MATCH(N311,FlowCalNumber,0),1,1)," ")</f>
        <v>#REF!</v>
      </c>
      <c r="R314" s="33"/>
      <c r="S314" s="242">
        <f t="shared" si="300"/>
        <v>1</v>
      </c>
      <c r="T314" s="241" t="e">
        <f t="shared" ca="1" si="301"/>
        <v>#REF!</v>
      </c>
      <c r="U314" s="244" t="e">
        <f ca="1">IF(AND(INDEX(FlowCalConstA,MATCH(R311,FlowCalNumber,0),1,1)*T314^INDEX(FlowCalConstB,MATCH(R311,FlowCalNumber,0),1,1)&gt;INDEX(FlowCalLowSetting,MATCH(R311,FlowCalNumber,0),1,1), (INDEX(FlowCalConstA,MATCH(R311,FlowCalNumber,0),1,1)*T314^INDEX(FlowCalConstB,MATCH(R311,FlowCalNumber,0),1,1)&lt;INDEX(FlowCalHighSetting,MATCH(R311,FlowCalNumber,0),1,1))),INDEX(FlowCalConstA,MATCH(R311,FlowCalNumber,0),1,1)*T314^INDEX(FlowCalConstB,MATCH(R311,FlowCalNumber,0),1,1)," ")</f>
        <v>#REF!</v>
      </c>
      <c r="V314" s="33"/>
      <c r="W314" s="242">
        <f t="shared" si="302"/>
        <v>0.1</v>
      </c>
      <c r="X314" s="241" t="e">
        <f t="shared" ca="1" si="303"/>
        <v>#REF!</v>
      </c>
      <c r="Y314" s="243" t="e">
        <f ca="1">IF(AND(INDEX(FlowCalConstA,MATCH(V311,FlowCalNumber,0),1,1)*X314^INDEX(FlowCalConstB,MATCH(V311,FlowCalNumber,0),1,1)&gt;INDEX(FlowCalLowSetting,MATCH(V311,FlowCalNumber,0),1,1), (INDEX(FlowCalConstA,MATCH(V311,FlowCalNumber,0),1,1)*X314^INDEX(FlowCalConstB,MATCH(V311,FlowCalNumber,0),1,1)&lt;INDEX(FlowCalHighSetting,MATCH(V311,FlowCalNumber,0),1,1))),INDEX(FlowCalConstA,MATCH(V311,FlowCalNumber,0),1,1)*X314^INDEX(FlowCalConstB,MATCH(V311,FlowCalNumber,0),1,1)," ")</f>
        <v>#REF!</v>
      </c>
      <c r="Z314" s="33"/>
      <c r="AA314" s="242">
        <f t="shared" si="304"/>
        <v>0.9</v>
      </c>
      <c r="AB314" s="241" t="e">
        <f t="shared" ca="1" si="305"/>
        <v>#REF!</v>
      </c>
      <c r="AC314" s="243" t="e">
        <f ca="1">IF(AND(INDEX(FlowCalConstA,MATCH(Z311,FlowCalNumber,0),1,1)*AB314^INDEX(FlowCalConstB,MATCH(Z311,FlowCalNumber,0),1,1)&gt;INDEX(FlowCalLowSetting,MATCH(Z311,FlowCalNumber,0),1,1), (INDEX(FlowCalConstA,MATCH(Z311,FlowCalNumber,0),1,1)*AB314^INDEX(FlowCalConstB,MATCH(Z311,FlowCalNumber,0),1,1)&lt;INDEX(FlowCalHighSetting,MATCH(Z311,FlowCalNumber,0),1,1))),INDEX(FlowCalConstA,MATCH(Z311,FlowCalNumber,0),1,1)*AB314^INDEX(FlowCalConstB,MATCH(Z311,FlowCalNumber,0),1,1)," ")</f>
        <v>#REF!</v>
      </c>
      <c r="AD314" s="33"/>
      <c r="AE314" s="242">
        <f t="shared" si="306"/>
        <v>0.1</v>
      </c>
      <c r="AF314" s="241" t="e">
        <f t="shared" ca="1" si="307"/>
        <v>#REF!</v>
      </c>
      <c r="AG314" s="243" t="e">
        <f ca="1">IF(AND(INDEX(FlowCalConstA,MATCH(AD311,FlowCalNumber,0),1,1)*AF314^INDEX(FlowCalConstB,MATCH(AD311,FlowCalNumber,0),1,1)&gt;INDEX(FlowCalLowSetting,MATCH(AD311,FlowCalNumber,0),1,1), (INDEX(FlowCalConstA,MATCH(AD311,FlowCalNumber,0),1,1)*AF314^INDEX(FlowCalConstB,MATCH(AD311,FlowCalNumber,0),1,1)&lt;INDEX(FlowCalHighSetting,MATCH(AD311,FlowCalNumber,0),1,1))),INDEX(FlowCalConstA,MATCH(AD311,FlowCalNumber,0),1,1)*AF314^INDEX(FlowCalConstB,MATCH(AD311,FlowCalNumber,0),1,1)," ")</f>
        <v>#REF!</v>
      </c>
      <c r="AH314" s="33"/>
      <c r="AI314" s="242">
        <f t="shared" si="308"/>
        <v>0.9</v>
      </c>
      <c r="AJ314" s="241" t="e">
        <f t="shared" ca="1" si="309"/>
        <v>#REF!</v>
      </c>
      <c r="AK314" s="243" t="e">
        <f ca="1">IF(AND(INDEX(FlowCalConstA,MATCH(AH311,FlowCalNumber,0),1,1)*AJ314^INDEX(FlowCalConstB,MATCH(AH311,FlowCalNumber,0),1,1)&gt;INDEX(FlowCalLowSetting,MATCH(AH311,FlowCalNumber,0),1,1), (INDEX(FlowCalConstA,MATCH(AH311,FlowCalNumber,0),1,1)*AJ314^INDEX(FlowCalConstB,MATCH(AH311,FlowCalNumber,0),1,1)&lt;INDEX(FlowCalHighSetting,MATCH(AH311,FlowCalNumber,0),1,1))),INDEX(FlowCalConstA,MATCH(AH311,FlowCalNumber,0),1,1)*AJ314^INDEX(FlowCalConstB,MATCH(AH311,FlowCalNumber,0),1,1)," ")</f>
        <v>#REF!</v>
      </c>
      <c r="AL314" s="33"/>
      <c r="AM314" s="242"/>
      <c r="AN314" s="241"/>
      <c r="AO314" s="244"/>
      <c r="AQ314" s="242"/>
      <c r="AR314" s="241"/>
      <c r="AS314" s="244"/>
      <c r="AT314" s="33"/>
      <c r="AU314" s="242"/>
      <c r="AV314" s="241"/>
      <c r="AW314" s="244"/>
      <c r="AX314" s="33"/>
      <c r="AY314" s="242"/>
      <c r="AZ314" s="241"/>
      <c r="BA314" s="244"/>
      <c r="BB314" s="33"/>
      <c r="BC314" s="242"/>
      <c r="BD314" s="241"/>
      <c r="BE314" s="244"/>
      <c r="BF314" s="33"/>
      <c r="BG314" s="242"/>
      <c r="BH314" s="241"/>
      <c r="BI314" s="244"/>
      <c r="BJ314" s="33"/>
      <c r="BK314" s="242"/>
      <c r="BL314" s="241"/>
      <c r="BM314" s="244"/>
      <c r="BN314" s="33"/>
      <c r="BO314" s="242"/>
      <c r="BP314" s="241"/>
      <c r="BQ314" s="244"/>
      <c r="BR314" s="33"/>
      <c r="BS314" s="242"/>
      <c r="BT314" s="241"/>
      <c r="BU314" s="244"/>
      <c r="BV314" s="33"/>
      <c r="BW314" s="242"/>
      <c r="BX314" s="241"/>
      <c r="BY314" s="244"/>
      <c r="BZ314" s="33"/>
      <c r="CA314" s="242"/>
      <c r="CB314" s="241"/>
      <c r="CC314" s="244"/>
      <c r="CD314" s="243"/>
      <c r="CE314" s="243"/>
      <c r="CF314" s="243"/>
      <c r="CG314" s="243"/>
      <c r="CH314" s="243"/>
      <c r="CI314" s="243"/>
      <c r="CJ314" s="243"/>
      <c r="CK314" s="243"/>
      <c r="CL314" s="243"/>
      <c r="CM314" s="243"/>
      <c r="CN314" s="243"/>
      <c r="CO314" s="243"/>
      <c r="CP314" s="243"/>
      <c r="CQ314" s="243"/>
      <c r="CR314" s="243"/>
      <c r="CS314" s="243"/>
      <c r="CT314" s="243"/>
      <c r="CU314" s="243"/>
      <c r="CV314" s="243"/>
      <c r="CW314" s="243"/>
      <c r="CX314" s="243"/>
      <c r="CY314" s="243"/>
      <c r="CZ314" s="243"/>
      <c r="DA314" s="243"/>
      <c r="DB314" s="243"/>
      <c r="DC314" s="243"/>
      <c r="DD314" s="243"/>
      <c r="DE314" s="243"/>
      <c r="DF314" s="243"/>
      <c r="DG314" s="243"/>
      <c r="DH314" s="243"/>
      <c r="DI314" s="243"/>
      <c r="DJ314" s="243"/>
      <c r="DK314" s="243"/>
      <c r="DM314" s="242"/>
      <c r="DO314" s="243"/>
      <c r="DQ314" s="242"/>
      <c r="DS314" s="243"/>
      <c r="DU314" s="242"/>
      <c r="DW314" s="243"/>
      <c r="DY314" s="242"/>
      <c r="EA314" s="243"/>
    </row>
    <row r="315" spans="1:131">
      <c r="A315" s="20"/>
      <c r="B315" s="124" t="str">
        <f t="shared" si="294"/>
        <v/>
      </c>
      <c r="C315" s="235"/>
      <c r="D315" s="24">
        <f>'1% Wind'!$M$85</f>
        <v>17.8</v>
      </c>
      <c r="E315" s="90"/>
      <c r="F315" s="90"/>
      <c r="G315" s="79" t="e">
        <f ca="1">IF(I311=0.9743,$G314,MAX(G314/D314*D315,2))</f>
        <v>#REF!</v>
      </c>
      <c r="H315" s="121" t="e">
        <f t="shared" ca="1" si="295"/>
        <v>#REF!</v>
      </c>
      <c r="J315" s="33"/>
      <c r="K315" s="242">
        <f t="shared" si="296"/>
        <v>1</v>
      </c>
      <c r="L315" s="241" t="e">
        <f t="shared" ca="1" si="297"/>
        <v>#REF!</v>
      </c>
      <c r="M315" s="243" t="e">
        <f ca="1">IF(AND(INDEX(FlowCalConstA,MATCH(J311,FlowCalNumber,0),1,1)*L315^INDEX(FlowCalConstB,MATCH(J311,FlowCalNumber,0),1,1)&gt;INDEX(FlowCalLowSetting,MATCH(J311,FlowCalNumber,0),1,1), (INDEX(FlowCalConstA,MATCH(J311,FlowCalNumber,0),1,1)*L315^INDEX(FlowCalConstB,MATCH(J311,FlowCalNumber,0),1,1)&lt;INDEX(FlowCalHighSetting,MATCH(J311,FlowCalNumber,0),1,1))),INDEX(FlowCalConstA,MATCH(J311,FlowCalNumber,0),1,1)*L315^INDEX(FlowCalConstB,MATCH(J311,FlowCalNumber,0),1,1)," ")</f>
        <v>#REF!</v>
      </c>
      <c r="N315" s="33"/>
      <c r="O315" s="242">
        <f t="shared" si="298"/>
        <v>1</v>
      </c>
      <c r="P315" s="241" t="e">
        <f t="shared" ca="1" si="299"/>
        <v>#REF!</v>
      </c>
      <c r="Q315" s="243" t="e">
        <f ca="1">IF(AND(INDEX(FlowCalConstA,MATCH(N311,FlowCalNumber,0),1,1)*P315^INDEX(FlowCalConstB,MATCH(N311,FlowCalNumber,0),1,1)&gt;INDEX(FlowCalLowSetting,MATCH(N311,FlowCalNumber,0),1,1), (INDEX(FlowCalConstA,MATCH(N311,FlowCalNumber,0),1,1)*P315^INDEX(FlowCalConstB,MATCH(N311,FlowCalNumber,0),1,1)&lt;INDEX(FlowCalHighSetting,MATCH(N311,FlowCalNumber,0),1,1))),INDEX(FlowCalConstA,MATCH(N311,FlowCalNumber,0),1,1)*P315^INDEX(FlowCalConstB,MATCH(N311,FlowCalNumber,0),1,1)," ")</f>
        <v>#REF!</v>
      </c>
      <c r="R315" s="33"/>
      <c r="S315" s="242">
        <f t="shared" si="300"/>
        <v>1</v>
      </c>
      <c r="T315" s="241" t="e">
        <f t="shared" ca="1" si="301"/>
        <v>#REF!</v>
      </c>
      <c r="U315" s="244" t="e">
        <f ca="1">IF(AND(INDEX(FlowCalConstA,MATCH(R311,FlowCalNumber,0),1,1)*T315^INDEX(FlowCalConstB,MATCH(R311,FlowCalNumber,0),1,1)&gt;INDEX(FlowCalLowSetting,MATCH(R311,FlowCalNumber,0),1,1), (INDEX(FlowCalConstA,MATCH(R311,FlowCalNumber,0),1,1)*T315^INDEX(FlowCalConstB,MATCH(R311,FlowCalNumber,0),1,1)&lt;INDEX(FlowCalHighSetting,MATCH(R311,FlowCalNumber,0),1,1))),INDEX(FlowCalConstA,MATCH(R311,FlowCalNumber,0),1,1)*T315^INDEX(FlowCalConstB,MATCH(R311,FlowCalNumber,0),1,1)," ")</f>
        <v>#REF!</v>
      </c>
      <c r="V315" s="33"/>
      <c r="W315" s="242">
        <f t="shared" si="302"/>
        <v>0.1</v>
      </c>
      <c r="X315" s="241" t="e">
        <f t="shared" ca="1" si="303"/>
        <v>#REF!</v>
      </c>
      <c r="Y315" s="243" t="e">
        <f ca="1">IF(AND(INDEX(FlowCalConstA,MATCH(V311,FlowCalNumber,0),1,1)*X315^INDEX(FlowCalConstB,MATCH(V311,FlowCalNumber,0),1,1)&gt;INDEX(FlowCalLowSetting,MATCH(V311,FlowCalNumber,0),1,1), (INDEX(FlowCalConstA,MATCH(V311,FlowCalNumber,0),1,1)*X315^INDEX(FlowCalConstB,MATCH(V311,FlowCalNumber,0),1,1)&lt;INDEX(FlowCalHighSetting,MATCH(V311,FlowCalNumber,0),1,1))),INDEX(FlowCalConstA,MATCH(V311,FlowCalNumber,0),1,1)*X315^INDEX(FlowCalConstB,MATCH(V311,FlowCalNumber,0),1,1)," ")</f>
        <v>#REF!</v>
      </c>
      <c r="Z315" s="33"/>
      <c r="AA315" s="242">
        <f t="shared" si="304"/>
        <v>0.9</v>
      </c>
      <c r="AB315" s="241" t="e">
        <f t="shared" ca="1" si="305"/>
        <v>#REF!</v>
      </c>
      <c r="AC315" s="243" t="e">
        <f ca="1">IF(AND(INDEX(FlowCalConstA,MATCH(Z311,FlowCalNumber,0),1,1)*AB315^INDEX(FlowCalConstB,MATCH(Z311,FlowCalNumber,0),1,1)&gt;INDEX(FlowCalLowSetting,MATCH(Z311,FlowCalNumber,0),1,1), (INDEX(FlowCalConstA,MATCH(Z311,FlowCalNumber,0),1,1)*AB315^INDEX(FlowCalConstB,MATCH(Z311,FlowCalNumber,0),1,1)&lt;INDEX(FlowCalHighSetting,MATCH(Z311,FlowCalNumber,0),1,1))),INDEX(FlowCalConstA,MATCH(Z311,FlowCalNumber,0),1,1)*AB315^INDEX(FlowCalConstB,MATCH(Z311,FlowCalNumber,0),1,1)," ")</f>
        <v>#REF!</v>
      </c>
      <c r="AD315" s="33"/>
      <c r="AE315" s="242">
        <f t="shared" si="306"/>
        <v>0.1</v>
      </c>
      <c r="AF315" s="241" t="e">
        <f t="shared" ca="1" si="307"/>
        <v>#REF!</v>
      </c>
      <c r="AG315" s="243" t="e">
        <f ca="1">IF(AND(INDEX(FlowCalConstA,MATCH(AD311,FlowCalNumber,0),1,1)*AF315^INDEX(FlowCalConstB,MATCH(AD311,FlowCalNumber,0),1,1)&gt;INDEX(FlowCalLowSetting,MATCH(AD311,FlowCalNumber,0),1,1), (INDEX(FlowCalConstA,MATCH(AD311,FlowCalNumber,0),1,1)*AF315^INDEX(FlowCalConstB,MATCH(AD311,FlowCalNumber,0),1,1)&lt;INDEX(FlowCalHighSetting,MATCH(AD311,FlowCalNumber,0),1,1))),INDEX(FlowCalConstA,MATCH(AD311,FlowCalNumber,0),1,1)*AF315^INDEX(FlowCalConstB,MATCH(AD311,FlowCalNumber,0),1,1)," ")</f>
        <v>#REF!</v>
      </c>
      <c r="AH315" s="33"/>
      <c r="AI315" s="242">
        <f t="shared" si="308"/>
        <v>0.9</v>
      </c>
      <c r="AJ315" s="241" t="e">
        <f t="shared" ca="1" si="309"/>
        <v>#REF!</v>
      </c>
      <c r="AK315" s="243" t="e">
        <f ca="1">IF(AND(INDEX(FlowCalConstA,MATCH(AH311,FlowCalNumber,0),1,1)*AJ315^INDEX(FlowCalConstB,MATCH(AH311,FlowCalNumber,0),1,1)&gt;INDEX(FlowCalLowSetting,MATCH(AH311,FlowCalNumber,0),1,1), (INDEX(FlowCalConstA,MATCH(AH311,FlowCalNumber,0),1,1)*AJ315^INDEX(FlowCalConstB,MATCH(AH311,FlowCalNumber,0),1,1)&lt;INDEX(FlowCalHighSetting,MATCH(AH311,FlowCalNumber,0),1,1))),INDEX(FlowCalConstA,MATCH(AH311,FlowCalNumber,0),1,1)*AJ315^INDEX(FlowCalConstB,MATCH(AH311,FlowCalNumber,0),1,1)," ")</f>
        <v>#REF!</v>
      </c>
      <c r="AL315" s="33"/>
      <c r="AM315" s="242"/>
      <c r="AN315" s="241"/>
      <c r="AO315" s="244"/>
      <c r="AQ315" s="242"/>
      <c r="AR315" s="241"/>
      <c r="AS315" s="244"/>
      <c r="AT315" s="33"/>
      <c r="AU315" s="242"/>
      <c r="AV315" s="241"/>
      <c r="AW315" s="244"/>
      <c r="AX315" s="33"/>
      <c r="AY315" s="242"/>
      <c r="AZ315" s="241"/>
      <c r="BA315" s="244"/>
      <c r="BB315" s="33"/>
      <c r="BC315" s="242"/>
      <c r="BD315" s="241"/>
      <c r="BE315" s="244"/>
      <c r="BF315" s="33"/>
      <c r="BG315" s="242"/>
      <c r="BH315" s="241"/>
      <c r="BI315" s="244"/>
      <c r="BJ315" s="33"/>
      <c r="BK315" s="242"/>
      <c r="BL315" s="241"/>
      <c r="BM315" s="244"/>
      <c r="BN315" s="33"/>
      <c r="BO315" s="242"/>
      <c r="BP315" s="241"/>
      <c r="BQ315" s="244"/>
      <c r="BR315" s="33"/>
      <c r="BS315" s="242"/>
      <c r="BT315" s="241"/>
      <c r="BU315" s="244"/>
      <c r="BV315" s="33"/>
      <c r="BW315" s="242"/>
      <c r="BX315" s="241"/>
      <c r="BY315" s="244"/>
      <c r="BZ315" s="33"/>
      <c r="CA315" s="242"/>
      <c r="CB315" s="241"/>
      <c r="CC315" s="244"/>
      <c r="CD315" s="243"/>
      <c r="CE315" s="243"/>
      <c r="CF315" s="243"/>
      <c r="CG315" s="243"/>
      <c r="CH315" s="243"/>
      <c r="CI315" s="243"/>
      <c r="CJ315" s="243"/>
      <c r="CK315" s="243"/>
      <c r="CL315" s="243"/>
      <c r="CM315" s="243"/>
      <c r="CN315" s="243"/>
      <c r="CO315" s="243"/>
      <c r="CP315" s="243"/>
      <c r="CQ315" s="243"/>
      <c r="CR315" s="243"/>
      <c r="CS315" s="243"/>
      <c r="CT315" s="243"/>
      <c r="CU315" s="243"/>
      <c r="CV315" s="243"/>
      <c r="CW315" s="243"/>
      <c r="CX315" s="243"/>
      <c r="CY315" s="243"/>
      <c r="CZ315" s="243"/>
      <c r="DA315" s="243"/>
      <c r="DB315" s="243"/>
      <c r="DC315" s="243"/>
      <c r="DD315" s="243"/>
      <c r="DE315" s="243"/>
      <c r="DF315" s="243"/>
      <c r="DG315" s="243"/>
      <c r="DH315" s="243"/>
      <c r="DI315" s="243"/>
      <c r="DJ315" s="243"/>
      <c r="DK315" s="243"/>
      <c r="DM315" s="242"/>
      <c r="DO315" s="243"/>
      <c r="DQ315" s="242"/>
      <c r="DS315" s="243"/>
      <c r="DU315" s="242"/>
      <c r="DW315" s="243"/>
      <c r="DY315" s="242"/>
      <c r="EA315" s="243"/>
    </row>
    <row r="316" spans="1:131">
      <c r="A316" s="20"/>
      <c r="B316" s="124" t="str">
        <f t="shared" si="294"/>
        <v/>
      </c>
      <c r="C316" s="235"/>
      <c r="D316" s="24">
        <f>'1% Wind'!$M$86</f>
        <v>15.5</v>
      </c>
      <c r="E316" s="90"/>
      <c r="F316" s="90"/>
      <c r="G316" s="79" t="e">
        <f ca="1">IF(I311=0.9743,$G315,MAX(G315/D315*D316,2))</f>
        <v>#REF!</v>
      </c>
      <c r="H316" s="121" t="e">
        <f t="shared" ca="1" si="295"/>
        <v>#REF!</v>
      </c>
      <c r="J316" s="33"/>
      <c r="K316" s="242">
        <f t="shared" si="296"/>
        <v>1</v>
      </c>
      <c r="L316" s="241" t="e">
        <f t="shared" ca="1" si="297"/>
        <v>#REF!</v>
      </c>
      <c r="M316" s="243" t="e">
        <f ca="1">IF(AND(INDEX(FlowCalConstA,MATCH(J311,FlowCalNumber,0),1,1)*L316^INDEX(FlowCalConstB,MATCH(J311,FlowCalNumber,0),1,1)&gt;INDEX(FlowCalLowSetting,MATCH(J311,FlowCalNumber,0),1,1), (INDEX(FlowCalConstA,MATCH(J311,FlowCalNumber,0),1,1)*L316^INDEX(FlowCalConstB,MATCH(J311,FlowCalNumber,0),1,1)&lt;INDEX(FlowCalHighSetting,MATCH(J311,FlowCalNumber,0),1,1))),INDEX(FlowCalConstA,MATCH(J311,FlowCalNumber,0),1,1)*L316^INDEX(FlowCalConstB,MATCH(J311,FlowCalNumber,0),1,1)," ")</f>
        <v>#REF!</v>
      </c>
      <c r="N316" s="33"/>
      <c r="O316" s="242">
        <f t="shared" si="298"/>
        <v>1</v>
      </c>
      <c r="P316" s="241" t="e">
        <f t="shared" ca="1" si="299"/>
        <v>#REF!</v>
      </c>
      <c r="Q316" s="243" t="e">
        <f ca="1">IF(AND(INDEX(FlowCalConstA,MATCH(N311,FlowCalNumber,0),1,1)*P316^INDEX(FlowCalConstB,MATCH(N311,FlowCalNumber,0),1,1)&gt;INDEX(FlowCalLowSetting,MATCH(N311,FlowCalNumber,0),1,1), (INDEX(FlowCalConstA,MATCH(N311,FlowCalNumber,0),1,1)*P316^INDEX(FlowCalConstB,MATCH(N311,FlowCalNumber,0),1,1)&lt;INDEX(FlowCalHighSetting,MATCH(N311,FlowCalNumber,0),1,1))),INDEX(FlowCalConstA,MATCH(N311,FlowCalNumber,0),1,1)*P316^INDEX(FlowCalConstB,MATCH(N311,FlowCalNumber,0),1,1)," ")</f>
        <v>#REF!</v>
      </c>
      <c r="R316" s="33"/>
      <c r="S316" s="242">
        <f t="shared" si="300"/>
        <v>1</v>
      </c>
      <c r="T316" s="241" t="e">
        <f t="shared" ca="1" si="301"/>
        <v>#REF!</v>
      </c>
      <c r="U316" s="244" t="e">
        <f ca="1">IF(AND(INDEX(FlowCalConstA,MATCH(R311,FlowCalNumber,0),1,1)*T316^INDEX(FlowCalConstB,MATCH(R311,FlowCalNumber,0),1,1)&gt;INDEX(FlowCalLowSetting,MATCH(R311,FlowCalNumber,0),1,1), (INDEX(FlowCalConstA,MATCH(R311,FlowCalNumber,0),1,1)*T316^INDEX(FlowCalConstB,MATCH(R311,FlowCalNumber,0),1,1)&lt;INDEX(FlowCalHighSetting,MATCH(R311,FlowCalNumber,0),1,1))),INDEX(FlowCalConstA,MATCH(R311,FlowCalNumber,0),1,1)*T316^INDEX(FlowCalConstB,MATCH(R311,FlowCalNumber,0),1,1)," ")</f>
        <v>#REF!</v>
      </c>
      <c r="V316" s="33"/>
      <c r="W316" s="242">
        <f t="shared" si="302"/>
        <v>0.1</v>
      </c>
      <c r="X316" s="241" t="e">
        <f t="shared" ca="1" si="303"/>
        <v>#REF!</v>
      </c>
      <c r="Y316" s="243" t="e">
        <f ca="1">IF(AND(INDEX(FlowCalConstA,MATCH(V311,FlowCalNumber,0),1,1)*X316^INDEX(FlowCalConstB,MATCH(V311,FlowCalNumber,0),1,1)&gt;INDEX(FlowCalLowSetting,MATCH(V311,FlowCalNumber,0),1,1), (INDEX(FlowCalConstA,MATCH(V311,FlowCalNumber,0),1,1)*X316^INDEX(FlowCalConstB,MATCH(V311,FlowCalNumber,0),1,1)&lt;INDEX(FlowCalHighSetting,MATCH(V311,FlowCalNumber,0),1,1))),INDEX(FlowCalConstA,MATCH(V311,FlowCalNumber,0),1,1)*X316^INDEX(FlowCalConstB,MATCH(V311,FlowCalNumber,0),1,1)," ")</f>
        <v>#REF!</v>
      </c>
      <c r="Z316" s="33"/>
      <c r="AA316" s="242">
        <f t="shared" si="304"/>
        <v>0.9</v>
      </c>
      <c r="AB316" s="241" t="e">
        <f t="shared" ca="1" si="305"/>
        <v>#REF!</v>
      </c>
      <c r="AC316" s="243" t="e">
        <f ca="1">IF(AND(INDEX(FlowCalConstA,MATCH(Z311,FlowCalNumber,0),1,1)*AB316^INDEX(FlowCalConstB,MATCH(Z311,FlowCalNumber,0),1,1)&gt;INDEX(FlowCalLowSetting,MATCH(Z311,FlowCalNumber,0),1,1), (INDEX(FlowCalConstA,MATCH(Z311,FlowCalNumber,0),1,1)*AB316^INDEX(FlowCalConstB,MATCH(Z311,FlowCalNumber,0),1,1)&lt;INDEX(FlowCalHighSetting,MATCH(Z311,FlowCalNumber,0),1,1))),INDEX(FlowCalConstA,MATCH(Z311,FlowCalNumber,0),1,1)*AB316^INDEX(FlowCalConstB,MATCH(Z311,FlowCalNumber,0),1,1)," ")</f>
        <v>#REF!</v>
      </c>
      <c r="AD316" s="33"/>
      <c r="AE316" s="242">
        <f t="shared" si="306"/>
        <v>0.1</v>
      </c>
      <c r="AF316" s="241" t="e">
        <f t="shared" ca="1" si="307"/>
        <v>#REF!</v>
      </c>
      <c r="AG316" s="243" t="e">
        <f ca="1">IF(AND(INDEX(FlowCalConstA,MATCH(AD311,FlowCalNumber,0),1,1)*AF316^INDEX(FlowCalConstB,MATCH(AD311,FlowCalNumber,0),1,1)&gt;INDEX(FlowCalLowSetting,MATCH(AD311,FlowCalNumber,0),1,1), (INDEX(FlowCalConstA,MATCH(AD311,FlowCalNumber,0),1,1)*AF316^INDEX(FlowCalConstB,MATCH(AD311,FlowCalNumber,0),1,1)&lt;INDEX(FlowCalHighSetting,MATCH(AD311,FlowCalNumber,0),1,1))),INDEX(FlowCalConstA,MATCH(AD311,FlowCalNumber,0),1,1)*AF316^INDEX(FlowCalConstB,MATCH(AD311,FlowCalNumber,0),1,1)," ")</f>
        <v>#REF!</v>
      </c>
      <c r="AH316" s="33"/>
      <c r="AI316" s="242">
        <f t="shared" si="308"/>
        <v>0.9</v>
      </c>
      <c r="AJ316" s="241" t="e">
        <f t="shared" ca="1" si="309"/>
        <v>#REF!</v>
      </c>
      <c r="AK316" s="243" t="e">
        <f ca="1">IF(AND(INDEX(FlowCalConstA,MATCH(AH311,FlowCalNumber,0),1,1)*AJ316^INDEX(FlowCalConstB,MATCH(AH311,FlowCalNumber,0),1,1)&gt;INDEX(FlowCalLowSetting,MATCH(AH311,FlowCalNumber,0),1,1), (INDEX(FlowCalConstA,MATCH(AH311,FlowCalNumber,0),1,1)*AJ316^INDEX(FlowCalConstB,MATCH(AH311,FlowCalNumber,0),1,1)&lt;INDEX(FlowCalHighSetting,MATCH(AH311,FlowCalNumber,0),1,1))),INDEX(FlowCalConstA,MATCH(AH311,FlowCalNumber,0),1,1)*AJ316^INDEX(FlowCalConstB,MATCH(AH311,FlowCalNumber,0),1,1)," ")</f>
        <v>#REF!</v>
      </c>
      <c r="AL316" s="33"/>
      <c r="AM316" s="242"/>
      <c r="AN316" s="241"/>
      <c r="AO316" s="244"/>
      <c r="AQ316" s="242"/>
      <c r="AR316" s="241"/>
      <c r="AS316" s="244"/>
      <c r="AT316" s="33"/>
      <c r="AU316" s="242"/>
      <c r="AV316" s="241"/>
      <c r="AW316" s="244"/>
      <c r="AX316" s="33"/>
      <c r="AY316" s="242"/>
      <c r="AZ316" s="241"/>
      <c r="BA316" s="244"/>
      <c r="BB316" s="33"/>
      <c r="BC316" s="242"/>
      <c r="BD316" s="241"/>
      <c r="BE316" s="244"/>
      <c r="BF316" s="33"/>
      <c r="BG316" s="242"/>
      <c r="BH316" s="241"/>
      <c r="BI316" s="244"/>
      <c r="BJ316" s="33"/>
      <c r="BK316" s="242"/>
      <c r="BL316" s="241"/>
      <c r="BM316" s="244"/>
      <c r="BN316" s="33"/>
      <c r="BO316" s="242"/>
      <c r="BP316" s="241"/>
      <c r="BQ316" s="244"/>
      <c r="BR316" s="33"/>
      <c r="BS316" s="242"/>
      <c r="BT316" s="241"/>
      <c r="BU316" s="244"/>
      <c r="BV316" s="33"/>
      <c r="BW316" s="242"/>
      <c r="BX316" s="241"/>
      <c r="BY316" s="244"/>
      <c r="BZ316" s="33"/>
      <c r="CA316" s="242"/>
      <c r="CB316" s="241"/>
      <c r="CC316" s="244"/>
      <c r="CD316" s="243"/>
      <c r="CE316" s="243"/>
      <c r="CF316" s="243"/>
      <c r="CG316" s="243"/>
      <c r="CH316" s="243"/>
      <c r="CI316" s="243"/>
      <c r="CJ316" s="243"/>
      <c r="CK316" s="243"/>
      <c r="CL316" s="243"/>
      <c r="CM316" s="243"/>
      <c r="CN316" s="243"/>
      <c r="CO316" s="243"/>
      <c r="CP316" s="243"/>
      <c r="CQ316" s="243"/>
      <c r="CR316" s="243"/>
      <c r="CS316" s="243"/>
      <c r="CT316" s="243"/>
      <c r="CU316" s="243"/>
      <c r="CV316" s="243"/>
      <c r="CW316" s="243"/>
      <c r="CX316" s="243"/>
      <c r="CY316" s="243"/>
      <c r="CZ316" s="243"/>
      <c r="DA316" s="243"/>
      <c r="DB316" s="243"/>
      <c r="DC316" s="243"/>
      <c r="DD316" s="243"/>
      <c r="DE316" s="243"/>
      <c r="DF316" s="243"/>
      <c r="DG316" s="243"/>
      <c r="DH316" s="243"/>
      <c r="DI316" s="243"/>
      <c r="DJ316" s="243"/>
      <c r="DK316" s="243"/>
      <c r="DM316" s="242"/>
      <c r="DO316" s="243"/>
      <c r="DQ316" s="242"/>
      <c r="DS316" s="243"/>
      <c r="DU316" s="242"/>
      <c r="DW316" s="243"/>
      <c r="DY316" s="242"/>
      <c r="EA316" s="243"/>
    </row>
    <row r="317" spans="1:131">
      <c r="A317" s="20"/>
      <c r="B317" s="124" t="str">
        <f t="shared" si="294"/>
        <v/>
      </c>
      <c r="C317" s="235"/>
      <c r="D317" s="24">
        <f>'1% Wind'!$M$87</f>
        <v>13.5</v>
      </c>
      <c r="E317" s="90"/>
      <c r="F317" s="90"/>
      <c r="G317" s="79" t="e">
        <f ca="1">IF(I311=0.9743,$G316,MAX(G316/D316*D317,2))</f>
        <v>#REF!</v>
      </c>
      <c r="H317" s="121" t="e">
        <f t="shared" ca="1" si="295"/>
        <v>#REF!</v>
      </c>
      <c r="J317" s="33"/>
      <c r="K317" s="242">
        <f t="shared" si="296"/>
        <v>1</v>
      </c>
      <c r="L317" s="241" t="e">
        <f t="shared" ca="1" si="297"/>
        <v>#REF!</v>
      </c>
      <c r="M317" s="243" t="e">
        <f ca="1">IF(AND(INDEX(FlowCalConstA,MATCH(J311,FlowCalNumber,0),1,1)*L317^INDEX(FlowCalConstB,MATCH(J311,FlowCalNumber,0),1,1)&gt;INDEX(FlowCalLowSetting,MATCH(J311,FlowCalNumber,0),1,1), (INDEX(FlowCalConstA,MATCH(J311,FlowCalNumber,0),1,1)*L317^INDEX(FlowCalConstB,MATCH(J311,FlowCalNumber,0),1,1)&lt;INDEX(FlowCalHighSetting,MATCH(J311,FlowCalNumber,0),1,1))),INDEX(FlowCalConstA,MATCH(J311,FlowCalNumber,0),1,1)*L317^INDEX(FlowCalConstB,MATCH(J311,FlowCalNumber,0),1,1)," ")</f>
        <v>#REF!</v>
      </c>
      <c r="N317" s="33"/>
      <c r="O317" s="242">
        <f t="shared" si="298"/>
        <v>1</v>
      </c>
      <c r="P317" s="241" t="e">
        <f t="shared" ca="1" si="299"/>
        <v>#REF!</v>
      </c>
      <c r="Q317" s="243" t="e">
        <f ca="1">IF(AND(INDEX(FlowCalConstA,MATCH(N311,FlowCalNumber,0),1,1)*P317^INDEX(FlowCalConstB,MATCH(N311,FlowCalNumber,0),1,1)&gt;INDEX(FlowCalLowSetting,MATCH(N311,FlowCalNumber,0),1,1), (INDEX(FlowCalConstA,MATCH(N311,FlowCalNumber,0),1,1)*P317^INDEX(FlowCalConstB,MATCH(N311,FlowCalNumber,0),1,1)&lt;INDEX(FlowCalHighSetting,MATCH(N311,FlowCalNumber,0),1,1))),INDEX(FlowCalConstA,MATCH(N311,FlowCalNumber,0),1,1)*P317^INDEX(FlowCalConstB,MATCH(N311,FlowCalNumber,0),1,1)," ")</f>
        <v>#REF!</v>
      </c>
      <c r="R317" s="33"/>
      <c r="S317" s="242">
        <f t="shared" si="300"/>
        <v>1</v>
      </c>
      <c r="T317" s="241" t="e">
        <f t="shared" ca="1" si="301"/>
        <v>#REF!</v>
      </c>
      <c r="U317" s="244" t="e">
        <f ca="1">IF(AND(INDEX(FlowCalConstA,MATCH(R311,FlowCalNumber,0),1,1)*T317^INDEX(FlowCalConstB,MATCH(R311,FlowCalNumber,0),1,1)&gt;INDEX(FlowCalLowSetting,MATCH(R311,FlowCalNumber,0),1,1), (INDEX(FlowCalConstA,MATCH(R311,FlowCalNumber,0),1,1)*T317^INDEX(FlowCalConstB,MATCH(R311,FlowCalNumber,0),1,1)&lt;INDEX(FlowCalHighSetting,MATCH(R311,FlowCalNumber,0),1,1))),INDEX(FlowCalConstA,MATCH(R311,FlowCalNumber,0),1,1)*T317^INDEX(FlowCalConstB,MATCH(R311,FlowCalNumber,0),1,1)," ")</f>
        <v>#REF!</v>
      </c>
      <c r="V317" s="33"/>
      <c r="W317" s="242">
        <f t="shared" si="302"/>
        <v>0.1</v>
      </c>
      <c r="X317" s="241" t="e">
        <f t="shared" ca="1" si="303"/>
        <v>#REF!</v>
      </c>
      <c r="Y317" s="243" t="e">
        <f ca="1">IF(AND(INDEX(FlowCalConstA,MATCH(V311,FlowCalNumber,0),1,1)*X317^INDEX(FlowCalConstB,MATCH(V311,FlowCalNumber,0),1,1)&gt;INDEX(FlowCalLowSetting,MATCH(V311,FlowCalNumber,0),1,1), (INDEX(FlowCalConstA,MATCH(V311,FlowCalNumber,0),1,1)*X317^INDEX(FlowCalConstB,MATCH(V311,FlowCalNumber,0),1,1)&lt;INDEX(FlowCalHighSetting,MATCH(V311,FlowCalNumber,0),1,1))),INDEX(FlowCalConstA,MATCH(V311,FlowCalNumber,0),1,1)*X317^INDEX(FlowCalConstB,MATCH(V311,FlowCalNumber,0),1,1)," ")</f>
        <v>#REF!</v>
      </c>
      <c r="Z317" s="33"/>
      <c r="AA317" s="242">
        <f t="shared" si="304"/>
        <v>0.9</v>
      </c>
      <c r="AB317" s="241" t="e">
        <f t="shared" ca="1" si="305"/>
        <v>#REF!</v>
      </c>
      <c r="AC317" s="243" t="e">
        <f ca="1">IF(AND(INDEX(FlowCalConstA,MATCH(Z311,FlowCalNumber,0),1,1)*AB317^INDEX(FlowCalConstB,MATCH(Z311,FlowCalNumber,0),1,1)&gt;INDEX(FlowCalLowSetting,MATCH(Z311,FlowCalNumber,0),1,1), (INDEX(FlowCalConstA,MATCH(Z311,FlowCalNumber,0),1,1)*AB317^INDEX(FlowCalConstB,MATCH(Z311,FlowCalNumber,0),1,1)&lt;INDEX(FlowCalHighSetting,MATCH(Z311,FlowCalNumber,0),1,1))),INDEX(FlowCalConstA,MATCH(Z311,FlowCalNumber,0),1,1)*AB317^INDEX(FlowCalConstB,MATCH(Z311,FlowCalNumber,0),1,1)," ")</f>
        <v>#REF!</v>
      </c>
      <c r="AD317" s="33"/>
      <c r="AE317" s="242">
        <f t="shared" si="306"/>
        <v>0.1</v>
      </c>
      <c r="AF317" s="241" t="e">
        <f t="shared" ca="1" si="307"/>
        <v>#REF!</v>
      </c>
      <c r="AG317" s="243" t="e">
        <f ca="1">IF(AND(INDEX(FlowCalConstA,MATCH(AD311,FlowCalNumber,0),1,1)*AF317^INDEX(FlowCalConstB,MATCH(AD311,FlowCalNumber,0),1,1)&gt;INDEX(FlowCalLowSetting,MATCH(AD311,FlowCalNumber,0),1,1), (INDEX(FlowCalConstA,MATCH(AD311,FlowCalNumber,0),1,1)*AF317^INDEX(FlowCalConstB,MATCH(AD311,FlowCalNumber,0),1,1)&lt;INDEX(FlowCalHighSetting,MATCH(AD311,FlowCalNumber,0),1,1))),INDEX(FlowCalConstA,MATCH(AD311,FlowCalNumber,0),1,1)*AF317^INDEX(FlowCalConstB,MATCH(AD311,FlowCalNumber,0),1,1)," ")</f>
        <v>#REF!</v>
      </c>
      <c r="AH317" s="33"/>
      <c r="AI317" s="242">
        <f t="shared" si="308"/>
        <v>0.9</v>
      </c>
      <c r="AJ317" s="241" t="e">
        <f t="shared" ca="1" si="309"/>
        <v>#REF!</v>
      </c>
      <c r="AK317" s="243" t="e">
        <f ca="1">IF(AND(INDEX(FlowCalConstA,MATCH(AH311,FlowCalNumber,0),1,1)*AJ317^INDEX(FlowCalConstB,MATCH(AH311,FlowCalNumber,0),1,1)&gt;INDEX(FlowCalLowSetting,MATCH(AH311,FlowCalNumber,0),1,1), (INDEX(FlowCalConstA,MATCH(AH311,FlowCalNumber,0),1,1)*AJ317^INDEX(FlowCalConstB,MATCH(AH311,FlowCalNumber,0),1,1)&lt;INDEX(FlowCalHighSetting,MATCH(AH311,FlowCalNumber,0),1,1))),INDEX(FlowCalConstA,MATCH(AH311,FlowCalNumber,0),1,1)*AJ317^INDEX(FlowCalConstB,MATCH(AH311,FlowCalNumber,0),1,1)," ")</f>
        <v>#REF!</v>
      </c>
      <c r="AL317" s="33"/>
      <c r="AM317" s="242"/>
      <c r="AN317" s="241"/>
      <c r="AO317" s="244"/>
      <c r="AQ317" s="242"/>
      <c r="AR317" s="241"/>
      <c r="AS317" s="244"/>
      <c r="AT317" s="33"/>
      <c r="AU317" s="242"/>
      <c r="AV317" s="241"/>
      <c r="AW317" s="244"/>
      <c r="AX317" s="33"/>
      <c r="AY317" s="242"/>
      <c r="AZ317" s="241"/>
      <c r="BA317" s="244"/>
      <c r="BB317" s="33"/>
      <c r="BC317" s="242"/>
      <c r="BD317" s="241"/>
      <c r="BE317" s="244"/>
      <c r="BF317" s="33"/>
      <c r="BG317" s="242"/>
      <c r="BH317" s="241"/>
      <c r="BI317" s="244"/>
      <c r="BJ317" s="33"/>
      <c r="BK317" s="242"/>
      <c r="BL317" s="241"/>
      <c r="BM317" s="244"/>
      <c r="BN317" s="33"/>
      <c r="BO317" s="242"/>
      <c r="BP317" s="241"/>
      <c r="BQ317" s="244"/>
      <c r="BR317" s="33"/>
      <c r="BS317" s="242"/>
      <c r="BT317" s="241"/>
      <c r="BU317" s="244"/>
      <c r="BV317" s="33"/>
      <c r="BW317" s="242"/>
      <c r="BX317" s="241"/>
      <c r="BY317" s="244"/>
      <c r="BZ317" s="33"/>
      <c r="CA317" s="242"/>
      <c r="CB317" s="241"/>
      <c r="CC317" s="244"/>
      <c r="CD317" s="243"/>
      <c r="CE317" s="243"/>
      <c r="CF317" s="243"/>
      <c r="CG317" s="243"/>
      <c r="CH317" s="243"/>
      <c r="CI317" s="243"/>
      <c r="CJ317" s="243"/>
      <c r="CK317" s="243"/>
      <c r="CL317" s="243"/>
      <c r="CM317" s="243"/>
      <c r="CN317" s="243"/>
      <c r="CO317" s="243"/>
      <c r="CP317" s="243"/>
      <c r="CQ317" s="243"/>
      <c r="CR317" s="243"/>
      <c r="CS317" s="243"/>
      <c r="CT317" s="243"/>
      <c r="CU317" s="243"/>
      <c r="CV317" s="243"/>
      <c r="CW317" s="243"/>
      <c r="CX317" s="243"/>
      <c r="CY317" s="243"/>
      <c r="CZ317" s="243"/>
      <c r="DA317" s="243"/>
      <c r="DB317" s="243"/>
      <c r="DC317" s="243"/>
      <c r="DD317" s="243"/>
      <c r="DE317" s="243"/>
      <c r="DF317" s="243"/>
      <c r="DG317" s="243"/>
      <c r="DH317" s="243"/>
      <c r="DI317" s="243"/>
      <c r="DJ317" s="243"/>
      <c r="DK317" s="243"/>
      <c r="DM317" s="242"/>
      <c r="DO317" s="243"/>
      <c r="DQ317" s="242"/>
      <c r="DS317" s="243"/>
      <c r="DU317" s="242"/>
      <c r="DW317" s="243"/>
      <c r="DY317" s="242"/>
      <c r="EA317" s="243"/>
    </row>
    <row r="318" spans="1:131">
      <c r="A318" s="20"/>
      <c r="B318" s="124" t="str">
        <f t="shared" si="294"/>
        <v/>
      </c>
      <c r="C318" s="235"/>
      <c r="D318" s="24">
        <f>'1% Wind'!$M$88</f>
        <v>10.1</v>
      </c>
      <c r="E318" s="90"/>
      <c r="F318" s="90"/>
      <c r="G318" s="79" t="e">
        <f ca="1">IF(I311=0.9743,$G317,MAX(G317/D317*D318,2))</f>
        <v>#REF!</v>
      </c>
      <c r="H318" s="121" t="e">
        <f t="shared" ca="1" si="295"/>
        <v>#REF!</v>
      </c>
      <c r="J318" s="33"/>
      <c r="K318" s="242">
        <f t="shared" si="296"/>
        <v>1</v>
      </c>
      <c r="L318" s="241" t="e">
        <f t="shared" ca="1" si="297"/>
        <v>#REF!</v>
      </c>
      <c r="M318" s="243" t="e">
        <f ca="1">IF(AND(INDEX(FlowCalConstA,MATCH(J311,FlowCalNumber,0),1,1)*L318^INDEX(FlowCalConstB,MATCH(J311,FlowCalNumber,0),1,1)&gt;INDEX(FlowCalLowSetting,MATCH(J311,FlowCalNumber,0),1,1), (INDEX(FlowCalConstA,MATCH(J311,FlowCalNumber,0),1,1)*L318^INDEX(FlowCalConstB,MATCH(J311,FlowCalNumber,0),1,1)&lt;INDEX(FlowCalHighSetting,MATCH(J311,FlowCalNumber,0),1,1))),INDEX(FlowCalConstA,MATCH(J311,FlowCalNumber,0),1,1)*L318^INDEX(FlowCalConstB,MATCH(J311,FlowCalNumber,0),1,1)," ")</f>
        <v>#REF!</v>
      </c>
      <c r="N318" s="33"/>
      <c r="O318" s="242">
        <f t="shared" si="298"/>
        <v>1</v>
      </c>
      <c r="P318" s="241" t="e">
        <f t="shared" ca="1" si="299"/>
        <v>#REF!</v>
      </c>
      <c r="Q318" s="243" t="e">
        <f ca="1">IF(AND(INDEX(FlowCalConstA,MATCH(N311,FlowCalNumber,0),1,1)*P318^INDEX(FlowCalConstB,MATCH(N311,FlowCalNumber,0),1,1)&gt;INDEX(FlowCalLowSetting,MATCH(N311,FlowCalNumber,0),1,1), (INDEX(FlowCalConstA,MATCH(N311,FlowCalNumber,0),1,1)*P318^INDEX(FlowCalConstB,MATCH(N311,FlowCalNumber,0),1,1)&lt;INDEX(FlowCalHighSetting,MATCH(N311,FlowCalNumber,0),1,1))),INDEX(FlowCalConstA,MATCH(N311,FlowCalNumber,0),1,1)*P318^INDEX(FlowCalConstB,MATCH(N311,FlowCalNumber,0),1,1)," ")</f>
        <v>#REF!</v>
      </c>
      <c r="R318" s="33"/>
      <c r="S318" s="242">
        <f t="shared" si="300"/>
        <v>1</v>
      </c>
      <c r="T318" s="241" t="e">
        <f t="shared" ca="1" si="301"/>
        <v>#REF!</v>
      </c>
      <c r="U318" s="244" t="e">
        <f ca="1">IF(AND(INDEX(FlowCalConstA,MATCH(R311,FlowCalNumber,0),1,1)*T318^INDEX(FlowCalConstB,MATCH(R311,FlowCalNumber,0),1,1)&gt;INDEX(FlowCalLowSetting,MATCH(R311,FlowCalNumber,0),1,1), (INDEX(FlowCalConstA,MATCH(R311,FlowCalNumber,0),1,1)*T318^INDEX(FlowCalConstB,MATCH(R311,FlowCalNumber,0),1,1)&lt;INDEX(FlowCalHighSetting,MATCH(R311,FlowCalNumber,0),1,1))),INDEX(FlowCalConstA,MATCH(R311,FlowCalNumber,0),1,1)*T318^INDEX(FlowCalConstB,MATCH(R311,FlowCalNumber,0),1,1)," ")</f>
        <v>#REF!</v>
      </c>
      <c r="V318" s="33"/>
      <c r="W318" s="242">
        <f t="shared" si="302"/>
        <v>0.1</v>
      </c>
      <c r="X318" s="241" t="e">
        <f t="shared" ca="1" si="303"/>
        <v>#REF!</v>
      </c>
      <c r="Y318" s="243" t="e">
        <f ca="1">IF(AND(INDEX(FlowCalConstA,MATCH(V311,FlowCalNumber,0),1,1)*X318^INDEX(FlowCalConstB,MATCH(V311,FlowCalNumber,0),1,1)&gt;INDEX(FlowCalLowSetting,MATCH(V311,FlowCalNumber,0),1,1), (INDEX(FlowCalConstA,MATCH(V311,FlowCalNumber,0),1,1)*X318^INDEX(FlowCalConstB,MATCH(V311,FlowCalNumber,0),1,1)&lt;INDEX(FlowCalHighSetting,MATCH(V311,FlowCalNumber,0),1,1))),INDEX(FlowCalConstA,MATCH(V311,FlowCalNumber,0),1,1)*X318^INDEX(FlowCalConstB,MATCH(V311,FlowCalNumber,0),1,1)," ")</f>
        <v>#REF!</v>
      </c>
      <c r="Z318" s="33"/>
      <c r="AA318" s="242">
        <f t="shared" si="304"/>
        <v>0.9</v>
      </c>
      <c r="AB318" s="241" t="e">
        <f t="shared" ca="1" si="305"/>
        <v>#REF!</v>
      </c>
      <c r="AC318" s="243" t="e">
        <f ca="1">IF(AND(INDEX(FlowCalConstA,MATCH(Z311,FlowCalNumber,0),1,1)*AB318^INDEX(FlowCalConstB,MATCH(Z311,FlowCalNumber,0),1,1)&gt;INDEX(FlowCalLowSetting,MATCH(Z311,FlowCalNumber,0),1,1), (INDEX(FlowCalConstA,MATCH(Z311,FlowCalNumber,0),1,1)*AB318^INDEX(FlowCalConstB,MATCH(Z311,FlowCalNumber,0),1,1)&lt;INDEX(FlowCalHighSetting,MATCH(Z311,FlowCalNumber,0),1,1))),INDEX(FlowCalConstA,MATCH(Z311,FlowCalNumber,0),1,1)*AB318^INDEX(FlowCalConstB,MATCH(Z311,FlowCalNumber,0),1,1)," ")</f>
        <v>#REF!</v>
      </c>
      <c r="AD318" s="33"/>
      <c r="AE318" s="242">
        <f t="shared" si="306"/>
        <v>0.1</v>
      </c>
      <c r="AF318" s="241" t="e">
        <f t="shared" ca="1" si="307"/>
        <v>#REF!</v>
      </c>
      <c r="AG318" s="243" t="e">
        <f ca="1">IF(AND(INDEX(FlowCalConstA,MATCH(AD311,FlowCalNumber,0),1,1)*AF318^INDEX(FlowCalConstB,MATCH(AD311,FlowCalNumber,0),1,1)&gt;INDEX(FlowCalLowSetting,MATCH(AD311,FlowCalNumber,0),1,1), (INDEX(FlowCalConstA,MATCH(AD311,FlowCalNumber,0),1,1)*AF318^INDEX(FlowCalConstB,MATCH(AD311,FlowCalNumber,0),1,1)&lt;INDEX(FlowCalHighSetting,MATCH(AD311,FlowCalNumber,0),1,1))),INDEX(FlowCalConstA,MATCH(AD311,FlowCalNumber,0),1,1)*AF318^INDEX(FlowCalConstB,MATCH(AD311,FlowCalNumber,0),1,1)," ")</f>
        <v>#REF!</v>
      </c>
      <c r="AH318" s="33"/>
      <c r="AI318" s="242">
        <f t="shared" si="308"/>
        <v>0.9</v>
      </c>
      <c r="AJ318" s="241" t="e">
        <f t="shared" ca="1" si="309"/>
        <v>#REF!</v>
      </c>
      <c r="AK318" s="243" t="e">
        <f ca="1">IF(AND(INDEX(FlowCalConstA,MATCH(AH311,FlowCalNumber,0),1,1)*AJ318^INDEX(FlowCalConstB,MATCH(AH311,FlowCalNumber,0),1,1)&gt;INDEX(FlowCalLowSetting,MATCH(AH311,FlowCalNumber,0),1,1), (INDEX(FlowCalConstA,MATCH(AH311,FlowCalNumber,0),1,1)*AJ318^INDEX(FlowCalConstB,MATCH(AH311,FlowCalNumber,0),1,1)&lt;INDEX(FlowCalHighSetting,MATCH(AH311,FlowCalNumber,0),1,1))),INDEX(FlowCalConstA,MATCH(AH311,FlowCalNumber,0),1,1)*AJ318^INDEX(FlowCalConstB,MATCH(AH311,FlowCalNumber,0),1,1)," ")</f>
        <v>#REF!</v>
      </c>
      <c r="AL318" s="33"/>
      <c r="AM318" s="242"/>
      <c r="AN318" s="241"/>
      <c r="AO318" s="244"/>
      <c r="AQ318" s="242"/>
      <c r="AR318" s="241"/>
      <c r="AS318" s="244"/>
      <c r="AT318" s="33"/>
      <c r="AU318" s="242"/>
      <c r="AV318" s="241"/>
      <c r="AW318" s="244"/>
      <c r="AX318" s="33"/>
      <c r="AY318" s="242"/>
      <c r="AZ318" s="241"/>
      <c r="BA318" s="244"/>
      <c r="BB318" s="33"/>
      <c r="BC318" s="242"/>
      <c r="BD318" s="241"/>
      <c r="BE318" s="244"/>
      <c r="BF318" s="33"/>
      <c r="BG318" s="242"/>
      <c r="BH318" s="241"/>
      <c r="BI318" s="244"/>
      <c r="BJ318" s="33"/>
      <c r="BK318" s="242"/>
      <c r="BL318" s="241"/>
      <c r="BM318" s="244"/>
      <c r="BN318" s="33"/>
      <c r="BO318" s="242"/>
      <c r="BP318" s="241"/>
      <c r="BQ318" s="244"/>
      <c r="BR318" s="33"/>
      <c r="BS318" s="242"/>
      <c r="BT318" s="241"/>
      <c r="BU318" s="244"/>
      <c r="BV318" s="33"/>
      <c r="BW318" s="242"/>
      <c r="BX318" s="241"/>
      <c r="BY318" s="244"/>
      <c r="BZ318" s="33"/>
      <c r="CA318" s="242"/>
      <c r="CB318" s="241"/>
      <c r="CC318" s="244"/>
      <c r="CD318" s="243"/>
      <c r="CE318" s="243"/>
      <c r="CF318" s="243"/>
      <c r="CG318" s="243"/>
      <c r="CH318" s="243"/>
      <c r="CI318" s="243"/>
      <c r="CJ318" s="243"/>
      <c r="CK318" s="243"/>
      <c r="CL318" s="243"/>
      <c r="CM318" s="243"/>
      <c r="CN318" s="243"/>
      <c r="CO318" s="243"/>
      <c r="CP318" s="243"/>
      <c r="CQ318" s="243"/>
      <c r="CR318" s="243"/>
      <c r="CS318" s="243"/>
      <c r="CT318" s="243"/>
      <c r="CU318" s="243"/>
      <c r="CV318" s="243"/>
      <c r="CW318" s="243"/>
      <c r="CX318" s="243"/>
      <c r="CY318" s="243"/>
      <c r="CZ318" s="243"/>
      <c r="DA318" s="243"/>
      <c r="DB318" s="243"/>
      <c r="DC318" s="243"/>
      <c r="DD318" s="243"/>
      <c r="DE318" s="243"/>
      <c r="DF318" s="243"/>
      <c r="DG318" s="243"/>
      <c r="DH318" s="243"/>
      <c r="DI318" s="243"/>
      <c r="DJ318" s="243"/>
      <c r="DK318" s="243"/>
      <c r="DM318" s="242"/>
      <c r="DO318" s="243"/>
      <c r="DQ318" s="242"/>
      <c r="DS318" s="243"/>
      <c r="DU318" s="242"/>
      <c r="DW318" s="243"/>
      <c r="DY318" s="242"/>
      <c r="EA318" s="243"/>
    </row>
    <row r="319" spans="1:131">
      <c r="A319" s="20"/>
      <c r="B319" s="124" t="str">
        <f t="shared" si="294"/>
        <v/>
      </c>
      <c r="C319" s="235"/>
      <c r="D319" s="24">
        <f>'1% Wind'!$M$89</f>
        <v>7.6</v>
      </c>
      <c r="E319" s="90"/>
      <c r="F319" s="90"/>
      <c r="G319" s="79" t="e">
        <f ca="1">IF(I311=0.9743,$G318,MAX(G318/D318*D319,2))</f>
        <v>#REF!</v>
      </c>
      <c r="H319" s="121" t="e">
        <f t="shared" ca="1" si="295"/>
        <v>#REF!</v>
      </c>
      <c r="J319" s="33"/>
      <c r="K319" s="242">
        <f t="shared" si="296"/>
        <v>1</v>
      </c>
      <c r="L319" s="241" t="e">
        <f t="shared" ca="1" si="297"/>
        <v>#REF!</v>
      </c>
      <c r="M319" s="243" t="e">
        <f ca="1">IF(AND(INDEX(FlowCalConstA,MATCH(J311,FlowCalNumber,0),1,1)*L319^INDEX(FlowCalConstB,MATCH(J311,FlowCalNumber,0),1,1)&gt;INDEX(FlowCalLowSetting,MATCH(J311,FlowCalNumber,0),1,1), (INDEX(FlowCalConstA,MATCH(J311,FlowCalNumber,0),1,1)*L319^INDEX(FlowCalConstB,MATCH(J311,FlowCalNumber,0),1,1)&lt;INDEX(FlowCalHighSetting,MATCH(J311,FlowCalNumber,0),1,1))),INDEX(FlowCalConstA,MATCH(J311,FlowCalNumber,0),1,1)*L319^INDEX(FlowCalConstB,MATCH(J311,FlowCalNumber,0),1,1)," ")</f>
        <v>#REF!</v>
      </c>
      <c r="N319" s="33"/>
      <c r="O319" s="242">
        <f t="shared" si="298"/>
        <v>1</v>
      </c>
      <c r="P319" s="241" t="e">
        <f t="shared" ca="1" si="299"/>
        <v>#REF!</v>
      </c>
      <c r="Q319" s="243" t="e">
        <f ca="1">IF(AND(INDEX(FlowCalConstA,MATCH(N311,FlowCalNumber,0),1,1)*P319^INDEX(FlowCalConstB,MATCH(N311,FlowCalNumber,0),1,1)&gt;INDEX(FlowCalLowSetting,MATCH(N311,FlowCalNumber,0),1,1), (INDEX(FlowCalConstA,MATCH(N311,FlowCalNumber,0),1,1)*P319^INDEX(FlowCalConstB,MATCH(N311,FlowCalNumber,0),1,1)&lt;INDEX(FlowCalHighSetting,MATCH(N311,FlowCalNumber,0),1,1))),INDEX(FlowCalConstA,MATCH(N311,FlowCalNumber,0),1,1)*P319^INDEX(FlowCalConstB,MATCH(N311,FlowCalNumber,0),1,1)," ")</f>
        <v>#REF!</v>
      </c>
      <c r="R319" s="33"/>
      <c r="S319" s="242">
        <f t="shared" si="300"/>
        <v>1</v>
      </c>
      <c r="T319" s="241" t="e">
        <f t="shared" ca="1" si="301"/>
        <v>#REF!</v>
      </c>
      <c r="U319" s="244" t="e">
        <f ca="1">IF(AND(INDEX(FlowCalConstA,MATCH(R311,FlowCalNumber,0),1,1)*T319^INDEX(FlowCalConstB,MATCH(R311,FlowCalNumber,0),1,1)&gt;INDEX(FlowCalLowSetting,MATCH(R311,FlowCalNumber,0),1,1), (INDEX(FlowCalConstA,MATCH(R311,FlowCalNumber,0),1,1)*T319^INDEX(FlowCalConstB,MATCH(R311,FlowCalNumber,0),1,1)&lt;INDEX(FlowCalHighSetting,MATCH(R311,FlowCalNumber,0),1,1))),INDEX(FlowCalConstA,MATCH(R311,FlowCalNumber,0),1,1)*T319^INDEX(FlowCalConstB,MATCH(R311,FlowCalNumber,0),1,1)," ")</f>
        <v>#REF!</v>
      </c>
      <c r="V319" s="33"/>
      <c r="W319" s="242">
        <f t="shared" si="302"/>
        <v>0.1</v>
      </c>
      <c r="X319" s="241" t="e">
        <f t="shared" ca="1" si="303"/>
        <v>#REF!</v>
      </c>
      <c r="Y319" s="243" t="e">
        <f ca="1">IF(AND(INDEX(FlowCalConstA,MATCH(V311,FlowCalNumber,0),1,1)*X319^INDEX(FlowCalConstB,MATCH(V311,FlowCalNumber,0),1,1)&gt;INDEX(FlowCalLowSetting,MATCH(V311,FlowCalNumber,0),1,1), (INDEX(FlowCalConstA,MATCH(V311,FlowCalNumber,0),1,1)*X319^INDEX(FlowCalConstB,MATCH(V311,FlowCalNumber,0),1,1)&lt;INDEX(FlowCalHighSetting,MATCH(V311,FlowCalNumber,0),1,1))),INDEX(FlowCalConstA,MATCH(V311,FlowCalNumber,0),1,1)*X319^INDEX(FlowCalConstB,MATCH(V311,FlowCalNumber,0),1,1)," ")</f>
        <v>#REF!</v>
      </c>
      <c r="Z319" s="33"/>
      <c r="AA319" s="242">
        <f t="shared" si="304"/>
        <v>0.9</v>
      </c>
      <c r="AB319" s="241" t="e">
        <f t="shared" ca="1" si="305"/>
        <v>#REF!</v>
      </c>
      <c r="AC319" s="243" t="e">
        <f ca="1">IF(AND(INDEX(FlowCalConstA,MATCH(Z311,FlowCalNumber,0),1,1)*AB319^INDEX(FlowCalConstB,MATCH(Z311,FlowCalNumber,0),1,1)&gt;INDEX(FlowCalLowSetting,MATCH(Z311,FlowCalNumber,0),1,1), (INDEX(FlowCalConstA,MATCH(Z311,FlowCalNumber,0),1,1)*AB319^INDEX(FlowCalConstB,MATCH(Z311,FlowCalNumber,0),1,1)&lt;INDEX(FlowCalHighSetting,MATCH(Z311,FlowCalNumber,0),1,1))),INDEX(FlowCalConstA,MATCH(Z311,FlowCalNumber,0),1,1)*AB319^INDEX(FlowCalConstB,MATCH(Z311,FlowCalNumber,0),1,1)," ")</f>
        <v>#REF!</v>
      </c>
      <c r="AD319" s="33"/>
      <c r="AE319" s="242">
        <f t="shared" si="306"/>
        <v>0.1</v>
      </c>
      <c r="AF319" s="241" t="e">
        <f t="shared" ca="1" si="307"/>
        <v>#REF!</v>
      </c>
      <c r="AG319" s="243" t="e">
        <f ca="1">IF(AND(INDEX(FlowCalConstA,MATCH(AD311,FlowCalNumber,0),1,1)*AF319^INDEX(FlowCalConstB,MATCH(AD311,FlowCalNumber,0),1,1)&gt;INDEX(FlowCalLowSetting,MATCH(AD311,FlowCalNumber,0),1,1), (INDEX(FlowCalConstA,MATCH(AD311,FlowCalNumber,0),1,1)*AF319^INDEX(FlowCalConstB,MATCH(AD311,FlowCalNumber,0),1,1)&lt;INDEX(FlowCalHighSetting,MATCH(AD311,FlowCalNumber,0),1,1))),INDEX(FlowCalConstA,MATCH(AD311,FlowCalNumber,0),1,1)*AF319^INDEX(FlowCalConstB,MATCH(AD311,FlowCalNumber,0),1,1)," ")</f>
        <v>#REF!</v>
      </c>
      <c r="AH319" s="33"/>
      <c r="AI319" s="242">
        <f t="shared" si="308"/>
        <v>0.9</v>
      </c>
      <c r="AJ319" s="241" t="e">
        <f t="shared" ca="1" si="309"/>
        <v>#REF!</v>
      </c>
      <c r="AK319" s="243" t="e">
        <f ca="1">IF(AND(INDEX(FlowCalConstA,MATCH(AH311,FlowCalNumber,0),1,1)*AJ319^INDEX(FlowCalConstB,MATCH(AH311,FlowCalNumber,0),1,1)&gt;INDEX(FlowCalLowSetting,MATCH(AH311,FlowCalNumber,0),1,1), (INDEX(FlowCalConstA,MATCH(AH311,FlowCalNumber,0),1,1)*AJ319^INDEX(FlowCalConstB,MATCH(AH311,FlowCalNumber,0),1,1)&lt;INDEX(FlowCalHighSetting,MATCH(AH311,FlowCalNumber,0),1,1))),INDEX(FlowCalConstA,MATCH(AH311,FlowCalNumber,0),1,1)*AJ319^INDEX(FlowCalConstB,MATCH(AH311,FlowCalNumber,0),1,1)," ")</f>
        <v>#REF!</v>
      </c>
      <c r="AL319" s="33"/>
      <c r="AM319" s="242"/>
      <c r="AN319" s="241"/>
      <c r="AO319" s="244"/>
      <c r="AQ319" s="242"/>
      <c r="AR319" s="241"/>
      <c r="AS319" s="244"/>
      <c r="AT319" s="33"/>
      <c r="AU319" s="242"/>
      <c r="AV319" s="241"/>
      <c r="AW319" s="244"/>
      <c r="AX319" s="33"/>
      <c r="AY319" s="242"/>
      <c r="AZ319" s="241"/>
      <c r="BA319" s="244"/>
      <c r="BB319" s="33"/>
      <c r="BC319" s="242"/>
      <c r="BD319" s="241"/>
      <c r="BE319" s="244"/>
      <c r="BF319" s="33"/>
      <c r="BG319" s="242"/>
      <c r="BH319" s="241"/>
      <c r="BI319" s="244"/>
      <c r="BJ319" s="33"/>
      <c r="BK319" s="242"/>
      <c r="BL319" s="241"/>
      <c r="BM319" s="244"/>
      <c r="BN319" s="33"/>
      <c r="BO319" s="242"/>
      <c r="BP319" s="241"/>
      <c r="BQ319" s="244"/>
      <c r="BR319" s="33"/>
      <c r="BS319" s="242"/>
      <c r="BT319" s="241"/>
      <c r="BU319" s="244"/>
      <c r="BV319" s="33"/>
      <c r="BW319" s="242"/>
      <c r="BX319" s="241"/>
      <c r="BY319" s="244"/>
      <c r="BZ319" s="33"/>
      <c r="CA319" s="242"/>
      <c r="CB319" s="241"/>
      <c r="CC319" s="244"/>
      <c r="CD319" s="243"/>
      <c r="CE319" s="243"/>
      <c r="CF319" s="243"/>
      <c r="CG319" s="243"/>
      <c r="CH319" s="243"/>
      <c r="CI319" s="243"/>
      <c r="CJ319" s="243"/>
      <c r="CK319" s="243"/>
      <c r="CL319" s="243"/>
      <c r="CM319" s="243"/>
      <c r="CN319" s="243"/>
      <c r="CO319" s="243"/>
      <c r="CP319" s="243"/>
      <c r="CQ319" s="243"/>
      <c r="CR319" s="243"/>
      <c r="CS319" s="243"/>
      <c r="CT319" s="243"/>
      <c r="CU319" s="243"/>
      <c r="CV319" s="243"/>
      <c r="CW319" s="243"/>
      <c r="CX319" s="243"/>
      <c r="CY319" s="243"/>
      <c r="CZ319" s="243"/>
      <c r="DA319" s="243"/>
      <c r="DB319" s="243"/>
      <c r="DC319" s="243"/>
      <c r="DD319" s="243"/>
      <c r="DE319" s="243"/>
      <c r="DF319" s="243"/>
      <c r="DG319" s="243"/>
      <c r="DH319" s="243"/>
      <c r="DI319" s="243"/>
      <c r="DJ319" s="243"/>
      <c r="DK319" s="243"/>
      <c r="DM319" s="242"/>
      <c r="DO319" s="243"/>
      <c r="DQ319" s="242"/>
      <c r="DS319" s="243"/>
      <c r="DU319" s="242"/>
      <c r="DW319" s="243"/>
      <c r="DY319" s="242"/>
      <c r="EA319" s="243"/>
    </row>
    <row r="320" spans="1:131">
      <c r="A320" s="20"/>
      <c r="B320" s="124" t="str">
        <f t="shared" si="294"/>
        <v/>
      </c>
      <c r="C320" s="235"/>
      <c r="D320" s="24">
        <f>'1% Wind'!$M$90</f>
        <v>5.7</v>
      </c>
      <c r="E320" s="90"/>
      <c r="F320" s="90"/>
      <c r="G320" s="79" t="e">
        <f ca="1">IF(I311=0.9743,$G319,MAX(G319/D319*D320,2))</f>
        <v>#REF!</v>
      </c>
      <c r="H320" s="121" t="e">
        <f t="shared" ca="1" si="295"/>
        <v>#REF!</v>
      </c>
      <c r="J320" s="33"/>
      <c r="K320" s="242">
        <f t="shared" si="296"/>
        <v>1</v>
      </c>
      <c r="L320" s="241" t="e">
        <f t="shared" ca="1" si="297"/>
        <v>#REF!</v>
      </c>
      <c r="M320" s="243" t="e">
        <f ca="1">IF(AND(INDEX(FlowCalConstA,MATCH(J311,FlowCalNumber,0),1,1)*L320^INDEX(FlowCalConstB,MATCH(J311,FlowCalNumber,0),1,1)&gt;INDEX(FlowCalLowSetting,MATCH(J311,FlowCalNumber,0),1,1), (INDEX(FlowCalConstA,MATCH(J311,FlowCalNumber,0),1,1)*L320^INDEX(FlowCalConstB,MATCH(J311,FlowCalNumber,0),1,1)&lt;INDEX(FlowCalHighSetting,MATCH(J311,FlowCalNumber,0),1,1))),INDEX(FlowCalConstA,MATCH(J311,FlowCalNumber,0),1,1)*L320^INDEX(FlowCalConstB,MATCH(J311,FlowCalNumber,0),1,1)," ")</f>
        <v>#REF!</v>
      </c>
      <c r="N320" s="33"/>
      <c r="O320" s="242">
        <f t="shared" si="298"/>
        <v>1</v>
      </c>
      <c r="P320" s="241" t="e">
        <f t="shared" ca="1" si="299"/>
        <v>#REF!</v>
      </c>
      <c r="Q320" s="243" t="e">
        <f ca="1">IF(AND(INDEX(FlowCalConstA,MATCH(N311,FlowCalNumber,0),1,1)*P320^INDEX(FlowCalConstB,MATCH(N311,FlowCalNumber,0),1,1)&gt;INDEX(FlowCalLowSetting,MATCH(N311,FlowCalNumber,0),1,1), (INDEX(FlowCalConstA,MATCH(N311,FlowCalNumber,0),1,1)*P320^INDEX(FlowCalConstB,MATCH(N311,FlowCalNumber,0),1,1)&lt;INDEX(FlowCalHighSetting,MATCH(N311,FlowCalNumber,0),1,1))),INDEX(FlowCalConstA,MATCH(N311,FlowCalNumber,0),1,1)*P320^INDEX(FlowCalConstB,MATCH(N311,FlowCalNumber,0),1,1)," ")</f>
        <v>#REF!</v>
      </c>
      <c r="R320" s="33"/>
      <c r="S320" s="242">
        <f t="shared" si="300"/>
        <v>1</v>
      </c>
      <c r="T320" s="241" t="e">
        <f t="shared" ca="1" si="301"/>
        <v>#REF!</v>
      </c>
      <c r="U320" s="244" t="e">
        <f ca="1">IF(AND(INDEX(FlowCalConstA,MATCH(R311,FlowCalNumber,0),1,1)*T320^INDEX(FlowCalConstB,MATCH(R311,FlowCalNumber,0),1,1)&gt;INDEX(FlowCalLowSetting,MATCH(R311,FlowCalNumber,0),1,1), (INDEX(FlowCalConstA,MATCH(R311,FlowCalNumber,0),1,1)*T320^INDEX(FlowCalConstB,MATCH(R311,FlowCalNumber,0),1,1)&lt;INDEX(FlowCalHighSetting,MATCH(R311,FlowCalNumber,0),1,1))),INDEX(FlowCalConstA,MATCH(R311,FlowCalNumber,0),1,1)*T320^INDEX(FlowCalConstB,MATCH(R311,FlowCalNumber,0),1,1)," ")</f>
        <v>#REF!</v>
      </c>
      <c r="V320" s="33"/>
      <c r="W320" s="242">
        <f t="shared" si="302"/>
        <v>0.1</v>
      </c>
      <c r="X320" s="241" t="e">
        <f t="shared" ca="1" si="303"/>
        <v>#REF!</v>
      </c>
      <c r="Y320" s="243" t="e">
        <f ca="1">IF(AND(INDEX(FlowCalConstA,MATCH(V311,FlowCalNumber,0),1,1)*X320^INDEX(FlowCalConstB,MATCH(V311,FlowCalNumber,0),1,1)&gt;INDEX(FlowCalLowSetting,MATCH(V311,FlowCalNumber,0),1,1), (INDEX(FlowCalConstA,MATCH(V311,FlowCalNumber,0),1,1)*X320^INDEX(FlowCalConstB,MATCH(V311,FlowCalNumber,0),1,1)&lt;INDEX(FlowCalHighSetting,MATCH(V311,FlowCalNumber,0),1,1))),INDEX(FlowCalConstA,MATCH(V311,FlowCalNumber,0),1,1)*X320^INDEX(FlowCalConstB,MATCH(V311,FlowCalNumber,0),1,1)," ")</f>
        <v>#REF!</v>
      </c>
      <c r="Z320" s="33"/>
      <c r="AA320" s="242">
        <f t="shared" si="304"/>
        <v>0.9</v>
      </c>
      <c r="AB320" s="241" t="e">
        <f t="shared" ca="1" si="305"/>
        <v>#REF!</v>
      </c>
      <c r="AC320" s="243" t="e">
        <f ca="1">IF(AND(INDEX(FlowCalConstA,MATCH(Z311,FlowCalNumber,0),1,1)*AB320^INDEX(FlowCalConstB,MATCH(Z311,FlowCalNumber,0),1,1)&gt;INDEX(FlowCalLowSetting,MATCH(Z311,FlowCalNumber,0),1,1), (INDEX(FlowCalConstA,MATCH(Z311,FlowCalNumber,0),1,1)*AB320^INDEX(FlowCalConstB,MATCH(Z311,FlowCalNumber,0),1,1)&lt;INDEX(FlowCalHighSetting,MATCH(Z311,FlowCalNumber,0),1,1))),INDEX(FlowCalConstA,MATCH(Z311,FlowCalNumber,0),1,1)*AB320^INDEX(FlowCalConstB,MATCH(Z311,FlowCalNumber,0),1,1)," ")</f>
        <v>#REF!</v>
      </c>
      <c r="AD320" s="33"/>
      <c r="AE320" s="242">
        <f t="shared" si="306"/>
        <v>0.1</v>
      </c>
      <c r="AF320" s="241" t="e">
        <f t="shared" ca="1" si="307"/>
        <v>#REF!</v>
      </c>
      <c r="AG320" s="243" t="e">
        <f ca="1">IF(AND(INDEX(FlowCalConstA,MATCH(AD311,FlowCalNumber,0),1,1)*AF320^INDEX(FlowCalConstB,MATCH(AD311,FlowCalNumber,0),1,1)&gt;INDEX(FlowCalLowSetting,MATCH(AD311,FlowCalNumber,0),1,1), (INDEX(FlowCalConstA,MATCH(AD311,FlowCalNumber,0),1,1)*AF320^INDEX(FlowCalConstB,MATCH(AD311,FlowCalNumber,0),1,1)&lt;INDEX(FlowCalHighSetting,MATCH(AD311,FlowCalNumber,0),1,1))),INDEX(FlowCalConstA,MATCH(AD311,FlowCalNumber,0),1,1)*AF320^INDEX(FlowCalConstB,MATCH(AD311,FlowCalNumber,0),1,1)," ")</f>
        <v>#REF!</v>
      </c>
      <c r="AH320" s="33"/>
      <c r="AI320" s="242">
        <f t="shared" si="308"/>
        <v>0.9</v>
      </c>
      <c r="AJ320" s="241" t="e">
        <f t="shared" ca="1" si="309"/>
        <v>#REF!</v>
      </c>
      <c r="AK320" s="243" t="e">
        <f ca="1">IF(AND(INDEX(FlowCalConstA,MATCH(AH311,FlowCalNumber,0),1,1)*AJ320^INDEX(FlowCalConstB,MATCH(AH311,FlowCalNumber,0),1,1)&gt;INDEX(FlowCalLowSetting,MATCH(AH311,FlowCalNumber,0),1,1), (INDEX(FlowCalConstA,MATCH(AH311,FlowCalNumber,0),1,1)*AJ320^INDEX(FlowCalConstB,MATCH(AH311,FlowCalNumber,0),1,1)&lt;INDEX(FlowCalHighSetting,MATCH(AH311,FlowCalNumber,0),1,1))),INDEX(FlowCalConstA,MATCH(AH311,FlowCalNumber,0),1,1)*AJ320^INDEX(FlowCalConstB,MATCH(AH311,FlowCalNumber,0),1,1)," ")</f>
        <v>#REF!</v>
      </c>
      <c r="AL320" s="33"/>
      <c r="AM320" s="242"/>
      <c r="AN320" s="241"/>
      <c r="AO320" s="244"/>
      <c r="AQ320" s="242"/>
      <c r="AR320" s="241"/>
      <c r="AS320" s="244"/>
      <c r="AT320" s="33"/>
      <c r="AU320" s="242"/>
      <c r="AV320" s="241"/>
      <c r="AW320" s="244"/>
      <c r="AX320" s="33"/>
      <c r="AY320" s="242"/>
      <c r="AZ320" s="241"/>
      <c r="BA320" s="244"/>
      <c r="BB320" s="33"/>
      <c r="BC320" s="242"/>
      <c r="BD320" s="241"/>
      <c r="BE320" s="244"/>
      <c r="BF320" s="33"/>
      <c r="BG320" s="242"/>
      <c r="BH320" s="241"/>
      <c r="BI320" s="244"/>
      <c r="BJ320" s="33"/>
      <c r="BK320" s="242"/>
      <c r="BL320" s="241"/>
      <c r="BM320" s="244"/>
      <c r="BN320" s="33"/>
      <c r="BO320" s="242"/>
      <c r="BP320" s="241"/>
      <c r="BQ320" s="244"/>
      <c r="BR320" s="33"/>
      <c r="BS320" s="242"/>
      <c r="BT320" s="241"/>
      <c r="BU320" s="244"/>
      <c r="BV320" s="33"/>
      <c r="BW320" s="242"/>
      <c r="BX320" s="241"/>
      <c r="BY320" s="244"/>
      <c r="BZ320" s="33"/>
      <c r="CA320" s="242"/>
      <c r="CB320" s="241"/>
      <c r="CC320" s="244"/>
      <c r="CD320" s="243"/>
      <c r="CE320" s="243"/>
      <c r="CF320" s="243"/>
      <c r="CG320" s="243"/>
      <c r="CH320" s="243"/>
      <c r="CI320" s="243"/>
      <c r="CJ320" s="243"/>
      <c r="CK320" s="243"/>
      <c r="CL320" s="243"/>
      <c r="CM320" s="243"/>
      <c r="CN320" s="243"/>
      <c r="CO320" s="243"/>
      <c r="CP320" s="243"/>
      <c r="CQ320" s="243"/>
      <c r="CR320" s="243"/>
      <c r="CS320" s="243"/>
      <c r="CT320" s="243"/>
      <c r="CU320" s="243"/>
      <c r="CV320" s="243"/>
      <c r="CW320" s="243"/>
      <c r="CX320" s="243"/>
      <c r="CY320" s="243"/>
      <c r="CZ320" s="243"/>
      <c r="DA320" s="243"/>
      <c r="DB320" s="243"/>
      <c r="DC320" s="243"/>
      <c r="DD320" s="243"/>
      <c r="DE320" s="243"/>
      <c r="DF320" s="243"/>
      <c r="DG320" s="243"/>
      <c r="DH320" s="243"/>
      <c r="DI320" s="243"/>
      <c r="DJ320" s="243"/>
      <c r="DK320" s="243"/>
      <c r="DM320" s="242"/>
      <c r="DO320" s="243"/>
      <c r="DQ320" s="242"/>
      <c r="DS320" s="243"/>
      <c r="DU320" s="242"/>
      <c r="DW320" s="243"/>
      <c r="DY320" s="242"/>
      <c r="EA320" s="243"/>
    </row>
    <row r="321" spans="1:131">
      <c r="A321" s="20"/>
      <c r="B321" s="124" t="str">
        <f t="shared" si="294"/>
        <v/>
      </c>
      <c r="C321" s="235"/>
      <c r="D321" s="24">
        <f>'1% Wind'!$M$91</f>
        <v>4.2</v>
      </c>
      <c r="E321" s="90"/>
      <c r="F321" s="90"/>
      <c r="G321" s="79" t="e">
        <f ca="1">IF(I311=0.9743,$G320,MAX(G320/D320*D321,2))</f>
        <v>#REF!</v>
      </c>
      <c r="H321" s="121" t="e">
        <f t="shared" ca="1" si="295"/>
        <v>#REF!</v>
      </c>
      <c r="J321" s="33"/>
      <c r="K321" s="242">
        <f t="shared" si="296"/>
        <v>1</v>
      </c>
      <c r="L321" s="241" t="e">
        <f t="shared" ca="1" si="297"/>
        <v>#REF!</v>
      </c>
      <c r="M321" s="243" t="e">
        <f ca="1">IF(AND(INDEX(FlowCalConstA,MATCH(J311,FlowCalNumber,0),1,1)*L321^INDEX(FlowCalConstB,MATCH(J311,FlowCalNumber,0),1,1)&gt;INDEX(FlowCalLowSetting,MATCH(J311,FlowCalNumber,0),1,1), (INDEX(FlowCalConstA,MATCH(J311,FlowCalNumber,0),1,1)*L321^INDEX(FlowCalConstB,MATCH(J311,FlowCalNumber,0),1,1)&lt;INDEX(FlowCalHighSetting,MATCH(J311,FlowCalNumber,0),1,1))),INDEX(FlowCalConstA,MATCH(J311,FlowCalNumber,0),1,1)*L321^INDEX(FlowCalConstB,MATCH(J311,FlowCalNumber,0),1,1)," ")</f>
        <v>#REF!</v>
      </c>
      <c r="N321" s="33"/>
      <c r="O321" s="242">
        <f t="shared" si="298"/>
        <v>1</v>
      </c>
      <c r="P321" s="241" t="e">
        <f t="shared" ca="1" si="299"/>
        <v>#REF!</v>
      </c>
      <c r="Q321" s="243" t="e">
        <f ca="1">IF(AND(INDEX(FlowCalConstA,MATCH(N311,FlowCalNumber,0),1,1)*P321^INDEX(FlowCalConstB,MATCH(N311,FlowCalNumber,0),1,1)&gt;INDEX(FlowCalLowSetting,MATCH(N311,FlowCalNumber,0),1,1), (INDEX(FlowCalConstA,MATCH(N311,FlowCalNumber,0),1,1)*P321^INDEX(FlowCalConstB,MATCH(N311,FlowCalNumber,0),1,1)&lt;INDEX(FlowCalHighSetting,MATCH(N311,FlowCalNumber,0),1,1))),INDEX(FlowCalConstA,MATCH(N311,FlowCalNumber,0),1,1)*P321^INDEX(FlowCalConstB,MATCH(N311,FlowCalNumber,0),1,1)," ")</f>
        <v>#REF!</v>
      </c>
      <c r="R321" s="33"/>
      <c r="S321" s="242">
        <f t="shared" si="300"/>
        <v>1</v>
      </c>
      <c r="T321" s="241" t="e">
        <f t="shared" ca="1" si="301"/>
        <v>#REF!</v>
      </c>
      <c r="U321" s="244" t="e">
        <f ca="1">IF(AND(INDEX(FlowCalConstA,MATCH(R311,FlowCalNumber,0),1,1)*T321^INDEX(FlowCalConstB,MATCH(R311,FlowCalNumber,0),1,1)&gt;INDEX(FlowCalLowSetting,MATCH(R311,FlowCalNumber,0),1,1), (INDEX(FlowCalConstA,MATCH(R311,FlowCalNumber,0),1,1)*T321^INDEX(FlowCalConstB,MATCH(R311,FlowCalNumber,0),1,1)&lt;INDEX(FlowCalHighSetting,MATCH(R311,FlowCalNumber,0),1,1))),INDEX(FlowCalConstA,MATCH(R311,FlowCalNumber,0),1,1)*T321^INDEX(FlowCalConstB,MATCH(R311,FlowCalNumber,0),1,1)," ")</f>
        <v>#REF!</v>
      </c>
      <c r="V321" s="33"/>
      <c r="W321" s="242">
        <f t="shared" si="302"/>
        <v>0.1</v>
      </c>
      <c r="X321" s="241" t="e">
        <f t="shared" ca="1" si="303"/>
        <v>#REF!</v>
      </c>
      <c r="Y321" s="243" t="e">
        <f ca="1">IF(AND(INDEX(FlowCalConstA,MATCH(V311,FlowCalNumber,0),1,1)*X321^INDEX(FlowCalConstB,MATCH(V311,FlowCalNumber,0),1,1)&gt;INDEX(FlowCalLowSetting,MATCH(V311,FlowCalNumber,0),1,1), (INDEX(FlowCalConstA,MATCH(V311,FlowCalNumber,0),1,1)*X321^INDEX(FlowCalConstB,MATCH(V311,FlowCalNumber,0),1,1)&lt;INDEX(FlowCalHighSetting,MATCH(V311,FlowCalNumber,0),1,1))),INDEX(FlowCalConstA,MATCH(V311,FlowCalNumber,0),1,1)*X321^INDEX(FlowCalConstB,MATCH(V311,FlowCalNumber,0),1,1)," ")</f>
        <v>#REF!</v>
      </c>
      <c r="Z321" s="33"/>
      <c r="AA321" s="242">
        <f t="shared" si="304"/>
        <v>0.9</v>
      </c>
      <c r="AB321" s="241" t="e">
        <f t="shared" ca="1" si="305"/>
        <v>#REF!</v>
      </c>
      <c r="AC321" s="243" t="e">
        <f ca="1">IF(AND(INDEX(FlowCalConstA,MATCH(Z311,FlowCalNumber,0),1,1)*AB321^INDEX(FlowCalConstB,MATCH(Z311,FlowCalNumber,0),1,1)&gt;INDEX(FlowCalLowSetting,MATCH(Z311,FlowCalNumber,0),1,1), (INDEX(FlowCalConstA,MATCH(Z311,FlowCalNumber,0),1,1)*AB321^INDEX(FlowCalConstB,MATCH(Z311,FlowCalNumber,0),1,1)&lt;INDEX(FlowCalHighSetting,MATCH(Z311,FlowCalNumber,0),1,1))),INDEX(FlowCalConstA,MATCH(Z311,FlowCalNumber,0),1,1)*AB321^INDEX(FlowCalConstB,MATCH(Z311,FlowCalNumber,0),1,1)," ")</f>
        <v>#REF!</v>
      </c>
      <c r="AD321" s="33"/>
      <c r="AE321" s="242">
        <f t="shared" si="306"/>
        <v>0.1</v>
      </c>
      <c r="AF321" s="241" t="e">
        <f t="shared" ca="1" si="307"/>
        <v>#REF!</v>
      </c>
      <c r="AG321" s="243" t="e">
        <f ca="1">IF(AND(INDEX(FlowCalConstA,MATCH(AD311,FlowCalNumber,0),1,1)*AF321^INDEX(FlowCalConstB,MATCH(AD311,FlowCalNumber,0),1,1)&gt;INDEX(FlowCalLowSetting,MATCH(AD311,FlowCalNumber,0),1,1), (INDEX(FlowCalConstA,MATCH(AD311,FlowCalNumber,0),1,1)*AF321^INDEX(FlowCalConstB,MATCH(AD311,FlowCalNumber,0),1,1)&lt;INDEX(FlowCalHighSetting,MATCH(AD311,FlowCalNumber,0),1,1))),INDEX(FlowCalConstA,MATCH(AD311,FlowCalNumber,0),1,1)*AF321^INDEX(FlowCalConstB,MATCH(AD311,FlowCalNumber,0),1,1)," ")</f>
        <v>#REF!</v>
      </c>
      <c r="AH321" s="33"/>
      <c r="AI321" s="242">
        <f t="shared" si="308"/>
        <v>0.9</v>
      </c>
      <c r="AJ321" s="241" t="e">
        <f t="shared" ca="1" si="309"/>
        <v>#REF!</v>
      </c>
      <c r="AK321" s="243" t="e">
        <f ca="1">IF(AND(INDEX(FlowCalConstA,MATCH(AH311,FlowCalNumber,0),1,1)*AJ321^INDEX(FlowCalConstB,MATCH(AH311,FlowCalNumber,0),1,1)&gt;INDEX(FlowCalLowSetting,MATCH(AH311,FlowCalNumber,0),1,1), (INDEX(FlowCalConstA,MATCH(AH311,FlowCalNumber,0),1,1)*AJ321^INDEX(FlowCalConstB,MATCH(AH311,FlowCalNumber,0),1,1)&lt;INDEX(FlowCalHighSetting,MATCH(AH311,FlowCalNumber,0),1,1))),INDEX(FlowCalConstA,MATCH(AH311,FlowCalNumber,0),1,1)*AJ321^INDEX(FlowCalConstB,MATCH(AH311,FlowCalNumber,0),1,1)," ")</f>
        <v>#REF!</v>
      </c>
      <c r="AL321" s="33"/>
      <c r="AM321" s="242"/>
      <c r="AN321" s="241"/>
      <c r="AO321" s="244"/>
      <c r="AQ321" s="242"/>
      <c r="AR321" s="241"/>
      <c r="AS321" s="244"/>
      <c r="AT321" s="33"/>
      <c r="AU321" s="242"/>
      <c r="AV321" s="241"/>
      <c r="AW321" s="244"/>
      <c r="AX321" s="33"/>
      <c r="AY321" s="242"/>
      <c r="AZ321" s="241"/>
      <c r="BA321" s="244"/>
      <c r="BB321" s="33"/>
      <c r="BC321" s="242"/>
      <c r="BD321" s="241"/>
      <c r="BE321" s="244"/>
      <c r="BF321" s="33"/>
      <c r="BG321" s="242"/>
      <c r="BH321" s="241"/>
      <c r="BI321" s="244"/>
      <c r="BJ321" s="33"/>
      <c r="BK321" s="242"/>
      <c r="BL321" s="241"/>
      <c r="BM321" s="244"/>
      <c r="BN321" s="33"/>
      <c r="BO321" s="242"/>
      <c r="BP321" s="241"/>
      <c r="BQ321" s="244"/>
      <c r="BR321" s="33"/>
      <c r="BS321" s="242"/>
      <c r="BT321" s="241"/>
      <c r="BU321" s="244"/>
      <c r="BV321" s="33"/>
      <c r="BW321" s="242"/>
      <c r="BX321" s="241"/>
      <c r="BY321" s="244"/>
      <c r="BZ321" s="33"/>
      <c r="CA321" s="242"/>
      <c r="CB321" s="241"/>
      <c r="CC321" s="244"/>
      <c r="CD321" s="243"/>
      <c r="CE321" s="243"/>
      <c r="CF321" s="243"/>
      <c r="CG321" s="243"/>
      <c r="CH321" s="243"/>
      <c r="CI321" s="243"/>
      <c r="CJ321" s="243"/>
      <c r="CK321" s="243"/>
      <c r="CL321" s="243"/>
      <c r="CM321" s="243"/>
      <c r="CN321" s="243"/>
      <c r="CO321" s="243"/>
      <c r="CP321" s="243"/>
      <c r="CQ321" s="243"/>
      <c r="CR321" s="243"/>
      <c r="CS321" s="243"/>
      <c r="CT321" s="243"/>
      <c r="CU321" s="243"/>
      <c r="CV321" s="243"/>
      <c r="CW321" s="243"/>
      <c r="CX321" s="243"/>
      <c r="CY321" s="243"/>
      <c r="CZ321" s="243"/>
      <c r="DA321" s="243"/>
      <c r="DB321" s="243"/>
      <c r="DC321" s="243"/>
      <c r="DD321" s="243"/>
      <c r="DE321" s="243"/>
      <c r="DF321" s="243"/>
      <c r="DG321" s="243"/>
      <c r="DH321" s="243"/>
      <c r="DI321" s="243"/>
      <c r="DJ321" s="243"/>
      <c r="DK321" s="243"/>
      <c r="DM321" s="242"/>
      <c r="DO321" s="243"/>
      <c r="DQ321" s="242"/>
      <c r="DS321" s="243"/>
      <c r="DU321" s="242"/>
      <c r="DW321" s="243"/>
      <c r="DY321" s="242"/>
      <c r="EA321" s="243"/>
    </row>
    <row r="322" spans="1:131">
      <c r="A322" s="20"/>
      <c r="B322" s="124" t="str">
        <f t="shared" si="294"/>
        <v/>
      </c>
      <c r="C322" s="235"/>
      <c r="D322" s="24">
        <f>'1% Wind'!$M$92</f>
        <v>3.2</v>
      </c>
      <c r="E322" s="90"/>
      <c r="F322" s="90"/>
      <c r="G322" s="79" t="e">
        <f ca="1">IF(I311=0.9743,$G321,MAX(G321/D321*D322,2))</f>
        <v>#REF!</v>
      </c>
      <c r="H322" s="121" t="e">
        <f t="shared" ca="1" si="295"/>
        <v>#REF!</v>
      </c>
      <c r="J322" s="33"/>
      <c r="K322" s="242">
        <f t="shared" si="296"/>
        <v>1</v>
      </c>
      <c r="L322" s="241" t="e">
        <f t="shared" ca="1" si="297"/>
        <v>#REF!</v>
      </c>
      <c r="M322" s="243" t="e">
        <f ca="1">IF(AND(INDEX(FlowCalConstA,MATCH(J311,FlowCalNumber,0),1,1)*L322^INDEX(FlowCalConstB,MATCH(J311,FlowCalNumber,0),1,1)&gt;INDEX(FlowCalLowSetting,MATCH(J311,FlowCalNumber,0),1,1), (INDEX(FlowCalConstA,MATCH(J311,FlowCalNumber,0),1,1)*L322^INDEX(FlowCalConstB,MATCH(J311,FlowCalNumber,0),1,1)&lt;INDEX(FlowCalHighSetting,MATCH(J311,FlowCalNumber,0),1,1))),INDEX(FlowCalConstA,MATCH(J311,FlowCalNumber,0),1,1)*L322^INDEX(FlowCalConstB,MATCH(J311,FlowCalNumber,0),1,1)," ")</f>
        <v>#REF!</v>
      </c>
      <c r="N322" s="33"/>
      <c r="O322" s="242">
        <f t="shared" si="298"/>
        <v>1</v>
      </c>
      <c r="P322" s="241" t="e">
        <f t="shared" ca="1" si="299"/>
        <v>#REF!</v>
      </c>
      <c r="Q322" s="243" t="e">
        <f ca="1">IF(AND(INDEX(FlowCalConstA,MATCH(N311,FlowCalNumber,0),1,1)*P322^INDEX(FlowCalConstB,MATCH(N311,FlowCalNumber,0),1,1)&gt;INDEX(FlowCalLowSetting,MATCH(N311,FlowCalNumber,0),1,1), (INDEX(FlowCalConstA,MATCH(N311,FlowCalNumber,0),1,1)*P322^INDEX(FlowCalConstB,MATCH(N311,FlowCalNumber,0),1,1)&lt;INDEX(FlowCalHighSetting,MATCH(N311,FlowCalNumber,0),1,1))),INDEX(FlowCalConstA,MATCH(N311,FlowCalNumber,0),1,1)*P322^INDEX(FlowCalConstB,MATCH(N311,FlowCalNumber,0),1,1)," ")</f>
        <v>#REF!</v>
      </c>
      <c r="R322" s="33"/>
      <c r="S322" s="242">
        <f t="shared" si="300"/>
        <v>1</v>
      </c>
      <c r="T322" s="241" t="e">
        <f t="shared" ca="1" si="301"/>
        <v>#REF!</v>
      </c>
      <c r="U322" s="244" t="e">
        <f ca="1">IF(AND(INDEX(FlowCalConstA,MATCH(R311,FlowCalNumber,0),1,1)*T322^INDEX(FlowCalConstB,MATCH(R311,FlowCalNumber,0),1,1)&gt;INDEX(FlowCalLowSetting,MATCH(R311,FlowCalNumber,0),1,1), (INDEX(FlowCalConstA,MATCH(R311,FlowCalNumber,0),1,1)*T322^INDEX(FlowCalConstB,MATCH(R311,FlowCalNumber,0),1,1)&lt;INDEX(FlowCalHighSetting,MATCH(R311,FlowCalNumber,0),1,1))),INDEX(FlowCalConstA,MATCH(R311,FlowCalNumber,0),1,1)*T322^INDEX(FlowCalConstB,MATCH(R311,FlowCalNumber,0),1,1)," ")</f>
        <v>#REF!</v>
      </c>
      <c r="V322" s="33"/>
      <c r="W322" s="242">
        <f t="shared" si="302"/>
        <v>0.1</v>
      </c>
      <c r="X322" s="241" t="e">
        <f t="shared" ca="1" si="303"/>
        <v>#REF!</v>
      </c>
      <c r="Y322" s="243" t="e">
        <f ca="1">IF(AND(INDEX(FlowCalConstA,MATCH(V311,FlowCalNumber,0),1,1)*X322^INDEX(FlowCalConstB,MATCH(V311,FlowCalNumber,0),1,1)&gt;INDEX(FlowCalLowSetting,MATCH(V311,FlowCalNumber,0),1,1), (INDEX(FlowCalConstA,MATCH(V311,FlowCalNumber,0),1,1)*X322^INDEX(FlowCalConstB,MATCH(V311,FlowCalNumber,0),1,1)&lt;INDEX(FlowCalHighSetting,MATCH(V311,FlowCalNumber,0),1,1))),INDEX(FlowCalConstA,MATCH(V311,FlowCalNumber,0),1,1)*X322^INDEX(FlowCalConstB,MATCH(V311,FlowCalNumber,0),1,1)," ")</f>
        <v>#REF!</v>
      </c>
      <c r="Z322" s="33"/>
      <c r="AA322" s="242">
        <f t="shared" si="304"/>
        <v>0.9</v>
      </c>
      <c r="AB322" s="241" t="e">
        <f t="shared" ca="1" si="305"/>
        <v>#REF!</v>
      </c>
      <c r="AC322" s="243" t="e">
        <f ca="1">IF(AND(INDEX(FlowCalConstA,MATCH(Z311,FlowCalNumber,0),1,1)*AB322^INDEX(FlowCalConstB,MATCH(Z311,FlowCalNumber,0),1,1)&gt;INDEX(FlowCalLowSetting,MATCH(Z311,FlowCalNumber,0),1,1), (INDEX(FlowCalConstA,MATCH(Z311,FlowCalNumber,0),1,1)*AB322^INDEX(FlowCalConstB,MATCH(Z311,FlowCalNumber,0),1,1)&lt;INDEX(FlowCalHighSetting,MATCH(Z311,FlowCalNumber,0),1,1))),INDEX(FlowCalConstA,MATCH(Z311,FlowCalNumber,0),1,1)*AB322^INDEX(FlowCalConstB,MATCH(Z311,FlowCalNumber,0),1,1)," ")</f>
        <v>#REF!</v>
      </c>
      <c r="AD322" s="33"/>
      <c r="AE322" s="242">
        <f t="shared" si="306"/>
        <v>0.1</v>
      </c>
      <c r="AF322" s="241" t="e">
        <f t="shared" ca="1" si="307"/>
        <v>#REF!</v>
      </c>
      <c r="AG322" s="243" t="e">
        <f ca="1">IF(AND(INDEX(FlowCalConstA,MATCH(AD311,FlowCalNumber,0),1,1)*AF322^INDEX(FlowCalConstB,MATCH(AD311,FlowCalNumber,0),1,1)&gt;INDEX(FlowCalLowSetting,MATCH(AD311,FlowCalNumber,0),1,1), (INDEX(FlowCalConstA,MATCH(AD311,FlowCalNumber,0),1,1)*AF322^INDEX(FlowCalConstB,MATCH(AD311,FlowCalNumber,0),1,1)&lt;INDEX(FlowCalHighSetting,MATCH(AD311,FlowCalNumber,0),1,1))),INDEX(FlowCalConstA,MATCH(AD311,FlowCalNumber,0),1,1)*AF322^INDEX(FlowCalConstB,MATCH(AD311,FlowCalNumber,0),1,1)," ")</f>
        <v>#REF!</v>
      </c>
      <c r="AH322" s="33"/>
      <c r="AI322" s="242">
        <f t="shared" si="308"/>
        <v>0.9</v>
      </c>
      <c r="AJ322" s="241" t="e">
        <f t="shared" ca="1" si="309"/>
        <v>#REF!</v>
      </c>
      <c r="AK322" s="243" t="e">
        <f ca="1">IF(AND(INDEX(FlowCalConstA,MATCH(AH311,FlowCalNumber,0),1,1)*AJ322^INDEX(FlowCalConstB,MATCH(AH311,FlowCalNumber,0),1,1)&gt;INDEX(FlowCalLowSetting,MATCH(AH311,FlowCalNumber,0),1,1), (INDEX(FlowCalConstA,MATCH(AH311,FlowCalNumber,0),1,1)*AJ322^INDEX(FlowCalConstB,MATCH(AH311,FlowCalNumber,0),1,1)&lt;INDEX(FlowCalHighSetting,MATCH(AH311,FlowCalNumber,0),1,1))),INDEX(FlowCalConstA,MATCH(AH311,FlowCalNumber,0),1,1)*AJ322^INDEX(FlowCalConstB,MATCH(AH311,FlowCalNumber,0),1,1)," ")</f>
        <v>#REF!</v>
      </c>
      <c r="AL322" s="33"/>
      <c r="AM322" s="242"/>
      <c r="AN322" s="241"/>
      <c r="AO322" s="244"/>
      <c r="AQ322" s="242"/>
      <c r="AR322" s="241"/>
      <c r="AS322" s="244"/>
      <c r="AT322" s="33"/>
      <c r="AU322" s="242"/>
      <c r="AV322" s="241"/>
      <c r="AW322" s="244"/>
      <c r="AX322" s="33"/>
      <c r="AY322" s="242"/>
      <c r="AZ322" s="241"/>
      <c r="BA322" s="244"/>
      <c r="BB322" s="33"/>
      <c r="BC322" s="242"/>
      <c r="BD322" s="241"/>
      <c r="BE322" s="244"/>
      <c r="BF322" s="33"/>
      <c r="BG322" s="242"/>
      <c r="BH322" s="241"/>
      <c r="BI322" s="244"/>
      <c r="BJ322" s="33"/>
      <c r="BK322" s="242"/>
      <c r="BL322" s="241"/>
      <c r="BM322" s="244"/>
      <c r="BN322" s="33"/>
      <c r="BO322" s="242"/>
      <c r="BP322" s="241"/>
      <c r="BQ322" s="244"/>
      <c r="BR322" s="33"/>
      <c r="BS322" s="242"/>
      <c r="BT322" s="241"/>
      <c r="BU322" s="244"/>
      <c r="BV322" s="33"/>
      <c r="BW322" s="242"/>
      <c r="BX322" s="241"/>
      <c r="BY322" s="244"/>
      <c r="BZ322" s="33"/>
      <c r="CA322" s="242"/>
      <c r="CB322" s="241"/>
      <c r="CC322" s="244"/>
      <c r="CD322" s="243"/>
      <c r="CE322" s="243"/>
      <c r="CF322" s="243"/>
      <c r="CG322" s="243"/>
      <c r="CH322" s="243"/>
      <c r="CI322" s="243"/>
      <c r="CJ322" s="243"/>
      <c r="CK322" s="243"/>
      <c r="CL322" s="243"/>
      <c r="CM322" s="243"/>
      <c r="CN322" s="243"/>
      <c r="CO322" s="243"/>
      <c r="CP322" s="243"/>
      <c r="CQ322" s="243"/>
      <c r="CR322" s="243"/>
      <c r="CS322" s="243"/>
      <c r="CT322" s="243"/>
      <c r="CU322" s="243"/>
      <c r="CV322" s="243"/>
      <c r="CW322" s="243"/>
      <c r="CX322" s="243"/>
      <c r="CY322" s="243"/>
      <c r="CZ322" s="243"/>
      <c r="DA322" s="243"/>
      <c r="DB322" s="243"/>
      <c r="DC322" s="243"/>
      <c r="DD322" s="243"/>
      <c r="DE322" s="243"/>
      <c r="DF322" s="243"/>
      <c r="DG322" s="243"/>
      <c r="DH322" s="243"/>
      <c r="DI322" s="243"/>
      <c r="DJ322" s="243"/>
      <c r="DK322" s="243"/>
      <c r="DM322" s="242"/>
      <c r="DO322" s="243"/>
      <c r="DQ322" s="242"/>
      <c r="DS322" s="243"/>
      <c r="DU322" s="242"/>
      <c r="DW322" s="243"/>
      <c r="DY322" s="242"/>
      <c r="EA322" s="243"/>
    </row>
    <row r="323" spans="1:131">
      <c r="A323" s="20"/>
      <c r="B323" s="124" t="str">
        <f t="shared" si="294"/>
        <v/>
      </c>
      <c r="C323" s="235"/>
      <c r="D323" s="24">
        <f>'1% Wind'!$M$93</f>
        <v>2.4</v>
      </c>
      <c r="E323" s="90"/>
      <c r="F323" s="90"/>
      <c r="G323" s="79" t="e">
        <f ca="1">IF(I311=0.9743,$G322,MAX(G322/D322*D323,2))</f>
        <v>#REF!</v>
      </c>
      <c r="H323" s="121" t="e">
        <f t="shared" ca="1" si="295"/>
        <v>#REF!</v>
      </c>
      <c r="J323" s="33"/>
      <c r="K323" s="242">
        <f t="shared" si="296"/>
        <v>1</v>
      </c>
      <c r="L323" s="241" t="e">
        <f t="shared" ca="1" si="297"/>
        <v>#REF!</v>
      </c>
      <c r="M323" s="243" t="e">
        <f ca="1">IF(AND(INDEX(FlowCalConstA,MATCH(J311,FlowCalNumber,0),1,1)*L323^INDEX(FlowCalConstB,MATCH(J311,FlowCalNumber,0),1,1)&gt;INDEX(FlowCalLowSetting,MATCH(J311,FlowCalNumber,0),1,1), (INDEX(FlowCalConstA,MATCH(J311,FlowCalNumber,0),1,1)*L323^INDEX(FlowCalConstB,MATCH(J311,FlowCalNumber,0),1,1)&lt;INDEX(FlowCalHighSetting,MATCH(J311,FlowCalNumber,0),1,1))),INDEX(FlowCalConstA,MATCH(J311,FlowCalNumber,0),1,1)*L323^INDEX(FlowCalConstB,MATCH(J311,FlowCalNumber,0),1,1)," ")</f>
        <v>#REF!</v>
      </c>
      <c r="N323" s="33"/>
      <c r="O323" s="242">
        <f t="shared" si="298"/>
        <v>1</v>
      </c>
      <c r="P323" s="241" t="e">
        <f t="shared" ca="1" si="299"/>
        <v>#REF!</v>
      </c>
      <c r="Q323" s="243" t="e">
        <f ca="1">IF(AND(INDEX(FlowCalConstA,MATCH(N311,FlowCalNumber,0),1,1)*P323^INDEX(FlowCalConstB,MATCH(N311,FlowCalNumber,0),1,1)&gt;INDEX(FlowCalLowSetting,MATCH(N311,FlowCalNumber,0),1,1), (INDEX(FlowCalConstA,MATCH(N311,FlowCalNumber,0),1,1)*P323^INDEX(FlowCalConstB,MATCH(N311,FlowCalNumber,0),1,1)&lt;INDEX(FlowCalHighSetting,MATCH(N311,FlowCalNumber,0),1,1))),INDEX(FlowCalConstA,MATCH(N311,FlowCalNumber,0),1,1)*P323^INDEX(FlowCalConstB,MATCH(N311,FlowCalNumber,0),1,1)," ")</f>
        <v>#REF!</v>
      </c>
      <c r="R323" s="33"/>
      <c r="S323" s="242">
        <f t="shared" si="300"/>
        <v>1</v>
      </c>
      <c r="T323" s="241" t="e">
        <f t="shared" ca="1" si="301"/>
        <v>#REF!</v>
      </c>
      <c r="U323" s="244" t="e">
        <f ca="1">IF(AND(INDEX(FlowCalConstA,MATCH(R311,FlowCalNumber,0),1,1)*T323^INDEX(FlowCalConstB,MATCH(R311,FlowCalNumber,0),1,1)&gt;INDEX(FlowCalLowSetting,MATCH(R311,FlowCalNumber,0),1,1), (INDEX(FlowCalConstA,MATCH(R311,FlowCalNumber,0),1,1)*T323^INDEX(FlowCalConstB,MATCH(R311,FlowCalNumber,0),1,1)&lt;INDEX(FlowCalHighSetting,MATCH(R311,FlowCalNumber,0),1,1))),INDEX(FlowCalConstA,MATCH(R311,FlowCalNumber,0),1,1)*T323^INDEX(FlowCalConstB,MATCH(R311,FlowCalNumber,0),1,1)," ")</f>
        <v>#REF!</v>
      </c>
      <c r="V323" s="33"/>
      <c r="W323" s="242">
        <f t="shared" si="302"/>
        <v>0.1</v>
      </c>
      <c r="X323" s="241" t="e">
        <f t="shared" ca="1" si="303"/>
        <v>#REF!</v>
      </c>
      <c r="Y323" s="243" t="e">
        <f ca="1">IF(AND(INDEX(FlowCalConstA,MATCH(V311,FlowCalNumber,0),1,1)*X323^INDEX(FlowCalConstB,MATCH(V311,FlowCalNumber,0),1,1)&gt;INDEX(FlowCalLowSetting,MATCH(V311,FlowCalNumber,0),1,1), (INDEX(FlowCalConstA,MATCH(V311,FlowCalNumber,0),1,1)*X323^INDEX(FlowCalConstB,MATCH(V311,FlowCalNumber,0),1,1)&lt;INDEX(FlowCalHighSetting,MATCH(V311,FlowCalNumber,0),1,1))),INDEX(FlowCalConstA,MATCH(V311,FlowCalNumber,0),1,1)*X323^INDEX(FlowCalConstB,MATCH(V311,FlowCalNumber,0),1,1)," ")</f>
        <v>#REF!</v>
      </c>
      <c r="Z323" s="33"/>
      <c r="AA323" s="242">
        <f t="shared" si="304"/>
        <v>0.9</v>
      </c>
      <c r="AB323" s="241" t="e">
        <f t="shared" ca="1" si="305"/>
        <v>#REF!</v>
      </c>
      <c r="AC323" s="243" t="e">
        <f ca="1">IF(AND(INDEX(FlowCalConstA,MATCH(Z311,FlowCalNumber,0),1,1)*AB323^INDEX(FlowCalConstB,MATCH(Z311,FlowCalNumber,0),1,1)&gt;INDEX(FlowCalLowSetting,MATCH(Z311,FlowCalNumber,0),1,1), (INDEX(FlowCalConstA,MATCH(Z311,FlowCalNumber,0),1,1)*AB323^INDEX(FlowCalConstB,MATCH(Z311,FlowCalNumber,0),1,1)&lt;INDEX(FlowCalHighSetting,MATCH(Z311,FlowCalNumber,0),1,1))),INDEX(FlowCalConstA,MATCH(Z311,FlowCalNumber,0),1,1)*AB323^INDEX(FlowCalConstB,MATCH(Z311,FlowCalNumber,0),1,1)," ")</f>
        <v>#REF!</v>
      </c>
      <c r="AD323" s="33"/>
      <c r="AE323" s="242">
        <f t="shared" si="306"/>
        <v>0.1</v>
      </c>
      <c r="AF323" s="241" t="e">
        <f t="shared" ca="1" si="307"/>
        <v>#REF!</v>
      </c>
      <c r="AG323" s="243" t="e">
        <f ca="1">IF(AND(INDEX(FlowCalConstA,MATCH(AD311,FlowCalNumber,0),1,1)*AF323^INDEX(FlowCalConstB,MATCH(AD311,FlowCalNumber,0),1,1)&gt;INDEX(FlowCalLowSetting,MATCH(AD311,FlowCalNumber,0),1,1), (INDEX(FlowCalConstA,MATCH(AD311,FlowCalNumber,0),1,1)*AF323^INDEX(FlowCalConstB,MATCH(AD311,FlowCalNumber,0),1,1)&lt;INDEX(FlowCalHighSetting,MATCH(AD311,FlowCalNumber,0),1,1))),INDEX(FlowCalConstA,MATCH(AD311,FlowCalNumber,0),1,1)*AF323^INDEX(FlowCalConstB,MATCH(AD311,FlowCalNumber,0),1,1)," ")</f>
        <v>#REF!</v>
      </c>
      <c r="AH323" s="33"/>
      <c r="AI323" s="242">
        <f t="shared" si="308"/>
        <v>0.9</v>
      </c>
      <c r="AJ323" s="241" t="e">
        <f t="shared" ca="1" si="309"/>
        <v>#REF!</v>
      </c>
      <c r="AK323" s="243" t="e">
        <f ca="1">IF(AND(INDEX(FlowCalConstA,MATCH(AH311,FlowCalNumber,0),1,1)*AJ323^INDEX(FlowCalConstB,MATCH(AH311,FlowCalNumber,0),1,1)&gt;INDEX(FlowCalLowSetting,MATCH(AH311,FlowCalNumber,0),1,1), (INDEX(FlowCalConstA,MATCH(AH311,FlowCalNumber,0),1,1)*AJ323^INDEX(FlowCalConstB,MATCH(AH311,FlowCalNumber,0),1,1)&lt;INDEX(FlowCalHighSetting,MATCH(AH311,FlowCalNumber,0),1,1))),INDEX(FlowCalConstA,MATCH(AH311,FlowCalNumber,0),1,1)*AJ323^INDEX(FlowCalConstB,MATCH(AH311,FlowCalNumber,0),1,1)," ")</f>
        <v>#REF!</v>
      </c>
      <c r="AL323" s="33"/>
      <c r="AM323" s="242"/>
      <c r="AN323" s="241"/>
      <c r="AO323" s="244"/>
      <c r="AQ323" s="242"/>
      <c r="AR323" s="241"/>
      <c r="AS323" s="244"/>
      <c r="AT323" s="33"/>
      <c r="AU323" s="242"/>
      <c r="AV323" s="241"/>
      <c r="AW323" s="244"/>
      <c r="AX323" s="33"/>
      <c r="AY323" s="242"/>
      <c r="AZ323" s="241"/>
      <c r="BA323" s="244"/>
      <c r="BB323" s="33"/>
      <c r="BC323" s="242"/>
      <c r="BD323" s="241"/>
      <c r="BE323" s="244"/>
      <c r="BF323" s="33"/>
      <c r="BG323" s="242"/>
      <c r="BH323" s="241"/>
      <c r="BI323" s="244"/>
      <c r="BJ323" s="33"/>
      <c r="BK323" s="242"/>
      <c r="BL323" s="241"/>
      <c r="BM323" s="244"/>
      <c r="BN323" s="33"/>
      <c r="BO323" s="242"/>
      <c r="BP323" s="241"/>
      <c r="BQ323" s="244"/>
      <c r="BR323" s="33"/>
      <c r="BS323" s="242"/>
      <c r="BT323" s="241"/>
      <c r="BU323" s="244"/>
      <c r="BV323" s="33"/>
      <c r="BW323" s="242"/>
      <c r="BX323" s="241"/>
      <c r="BY323" s="244"/>
      <c r="BZ323" s="33"/>
      <c r="CA323" s="242"/>
      <c r="CB323" s="241"/>
      <c r="CC323" s="244"/>
      <c r="CD323" s="243"/>
      <c r="CE323" s="243"/>
      <c r="CF323" s="243"/>
      <c r="CG323" s="243"/>
      <c r="CH323" s="243"/>
      <c r="CI323" s="243"/>
      <c r="CJ323" s="243"/>
      <c r="CK323" s="243"/>
      <c r="CL323" s="243"/>
      <c r="CM323" s="243"/>
      <c r="CN323" s="243"/>
      <c r="CO323" s="243"/>
      <c r="CP323" s="243"/>
      <c r="CQ323" s="243"/>
      <c r="CR323" s="243"/>
      <c r="CS323" s="243"/>
      <c r="CT323" s="243"/>
      <c r="CU323" s="243"/>
      <c r="CV323" s="243"/>
      <c r="CW323" s="243"/>
      <c r="CX323" s="243"/>
      <c r="CY323" s="243"/>
      <c r="CZ323" s="243"/>
      <c r="DA323" s="243"/>
      <c r="DB323" s="243"/>
      <c r="DC323" s="243"/>
      <c r="DD323" s="243"/>
      <c r="DE323" s="243"/>
      <c r="DF323" s="243"/>
      <c r="DG323" s="243"/>
      <c r="DH323" s="243"/>
      <c r="DI323" s="243"/>
      <c r="DJ323" s="243"/>
      <c r="DK323" s="243"/>
      <c r="DM323" s="242"/>
      <c r="DO323" s="243"/>
      <c r="DQ323" s="242"/>
      <c r="DS323" s="243"/>
      <c r="DU323" s="242"/>
      <c r="DW323" s="243"/>
      <c r="DY323" s="242"/>
      <c r="EA323" s="243"/>
    </row>
    <row r="324" spans="1:131">
      <c r="A324" s="20"/>
      <c r="B324" s="124" t="str">
        <f t="shared" si="294"/>
        <v/>
      </c>
      <c r="C324" s="235"/>
      <c r="D324" s="24">
        <f>'1% Wind'!$M$94</f>
        <v>1.8</v>
      </c>
      <c r="E324" s="90"/>
      <c r="F324" s="90"/>
      <c r="G324" s="79" t="e">
        <f ca="1">IF(I311=0.9743,$G323,MAX(G323/D323*D324,2))</f>
        <v>#REF!</v>
      </c>
      <c r="H324" s="121" t="e">
        <f t="shared" ca="1" si="295"/>
        <v>#REF!</v>
      </c>
      <c r="J324" s="33"/>
      <c r="K324" s="242">
        <f t="shared" si="296"/>
        <v>1</v>
      </c>
      <c r="L324" s="241" t="e">
        <f t="shared" ca="1" si="297"/>
        <v>#REF!</v>
      </c>
      <c r="M324" s="243" t="e">
        <f ca="1">IF(AND(INDEX(FlowCalConstA,MATCH(J311,FlowCalNumber,0),1,1)*L324^INDEX(FlowCalConstB,MATCH(J311,FlowCalNumber,0),1,1)&gt;INDEX(FlowCalLowSetting,MATCH(J311,FlowCalNumber,0),1,1), (INDEX(FlowCalConstA,MATCH(J311,FlowCalNumber,0),1,1)*L324^INDEX(FlowCalConstB,MATCH(J311,FlowCalNumber,0),1,1)&lt;INDEX(FlowCalHighSetting,MATCH(J311,FlowCalNumber,0),1,1))),INDEX(FlowCalConstA,MATCH(J311,FlowCalNumber,0),1,1)*L324^INDEX(FlowCalConstB,MATCH(J311,FlowCalNumber,0),1,1)," ")</f>
        <v>#REF!</v>
      </c>
      <c r="N324" s="33"/>
      <c r="O324" s="242">
        <f t="shared" si="298"/>
        <v>1</v>
      </c>
      <c r="P324" s="241" t="e">
        <f t="shared" ca="1" si="299"/>
        <v>#REF!</v>
      </c>
      <c r="Q324" s="243" t="e">
        <f ca="1">IF(AND(INDEX(FlowCalConstA,MATCH(N311,FlowCalNumber,0),1,1)*P324^INDEX(FlowCalConstB,MATCH(N311,FlowCalNumber,0),1,1)&gt;INDEX(FlowCalLowSetting,MATCH(N311,FlowCalNumber,0),1,1), (INDEX(FlowCalConstA,MATCH(N311,FlowCalNumber,0),1,1)*P324^INDEX(FlowCalConstB,MATCH(N311,FlowCalNumber,0),1,1)&lt;INDEX(FlowCalHighSetting,MATCH(N311,FlowCalNumber,0),1,1))),INDEX(FlowCalConstA,MATCH(N311,FlowCalNumber,0),1,1)*P324^INDEX(FlowCalConstB,MATCH(N311,FlowCalNumber,0),1,1)," ")</f>
        <v>#REF!</v>
      </c>
      <c r="R324" s="33"/>
      <c r="S324" s="242">
        <f t="shared" si="300"/>
        <v>1</v>
      </c>
      <c r="T324" s="241" t="e">
        <f t="shared" ca="1" si="301"/>
        <v>#REF!</v>
      </c>
      <c r="U324" s="244" t="e">
        <f ca="1">IF(AND(INDEX(FlowCalConstA,MATCH(R311,FlowCalNumber,0),1,1)*T324^INDEX(FlowCalConstB,MATCH(R311,FlowCalNumber,0),1,1)&gt;INDEX(FlowCalLowSetting,MATCH(R311,FlowCalNumber,0),1,1), (INDEX(FlowCalConstA,MATCH(R311,FlowCalNumber,0),1,1)*T324^INDEX(FlowCalConstB,MATCH(R311,FlowCalNumber,0),1,1)&lt;INDEX(FlowCalHighSetting,MATCH(R311,FlowCalNumber,0),1,1))),INDEX(FlowCalConstA,MATCH(R311,FlowCalNumber,0),1,1)*T324^INDEX(FlowCalConstB,MATCH(R311,FlowCalNumber,0),1,1)," ")</f>
        <v>#REF!</v>
      </c>
      <c r="V324" s="33"/>
      <c r="W324" s="242">
        <f t="shared" si="302"/>
        <v>0.1</v>
      </c>
      <c r="X324" s="241" t="e">
        <f t="shared" ca="1" si="303"/>
        <v>#REF!</v>
      </c>
      <c r="Y324" s="243" t="e">
        <f ca="1">IF(AND(INDEX(FlowCalConstA,MATCH(V311,FlowCalNumber,0),1,1)*X324^INDEX(FlowCalConstB,MATCH(V311,FlowCalNumber,0),1,1)&gt;INDEX(FlowCalLowSetting,MATCH(V311,FlowCalNumber,0),1,1), (INDEX(FlowCalConstA,MATCH(V311,FlowCalNumber,0),1,1)*X324^INDEX(FlowCalConstB,MATCH(V311,FlowCalNumber,0),1,1)&lt;INDEX(FlowCalHighSetting,MATCH(V311,FlowCalNumber,0),1,1))),INDEX(FlowCalConstA,MATCH(V311,FlowCalNumber,0),1,1)*X324^INDEX(FlowCalConstB,MATCH(V311,FlowCalNumber,0),1,1)," ")</f>
        <v>#REF!</v>
      </c>
      <c r="Z324" s="33"/>
      <c r="AA324" s="242">
        <f t="shared" si="304"/>
        <v>0.9</v>
      </c>
      <c r="AB324" s="241" t="e">
        <f t="shared" ca="1" si="305"/>
        <v>#REF!</v>
      </c>
      <c r="AC324" s="243" t="e">
        <f ca="1">IF(AND(INDEX(FlowCalConstA,MATCH(Z311,FlowCalNumber,0),1,1)*AB324^INDEX(FlowCalConstB,MATCH(Z311,FlowCalNumber,0),1,1)&gt;INDEX(FlowCalLowSetting,MATCH(Z311,FlowCalNumber,0),1,1), (INDEX(FlowCalConstA,MATCH(Z311,FlowCalNumber,0),1,1)*AB324^INDEX(FlowCalConstB,MATCH(Z311,FlowCalNumber,0),1,1)&lt;INDEX(FlowCalHighSetting,MATCH(Z311,FlowCalNumber,0),1,1))),INDEX(FlowCalConstA,MATCH(Z311,FlowCalNumber,0),1,1)*AB324^INDEX(FlowCalConstB,MATCH(Z311,FlowCalNumber,0),1,1)," ")</f>
        <v>#REF!</v>
      </c>
      <c r="AD324" s="33"/>
      <c r="AE324" s="242">
        <f t="shared" si="306"/>
        <v>0.1</v>
      </c>
      <c r="AF324" s="241" t="e">
        <f t="shared" ca="1" si="307"/>
        <v>#REF!</v>
      </c>
      <c r="AG324" s="243" t="e">
        <f ca="1">IF(AND(INDEX(FlowCalConstA,MATCH(AD311,FlowCalNumber,0),1,1)*AF324^INDEX(FlowCalConstB,MATCH(AD311,FlowCalNumber,0),1,1)&gt;INDEX(FlowCalLowSetting,MATCH(AD311,FlowCalNumber,0),1,1), (INDEX(FlowCalConstA,MATCH(AD311,FlowCalNumber,0),1,1)*AF324^INDEX(FlowCalConstB,MATCH(AD311,FlowCalNumber,0),1,1)&lt;INDEX(FlowCalHighSetting,MATCH(AD311,FlowCalNumber,0),1,1))),INDEX(FlowCalConstA,MATCH(AD311,FlowCalNumber,0),1,1)*AF324^INDEX(FlowCalConstB,MATCH(AD311,FlowCalNumber,0),1,1)," ")</f>
        <v>#REF!</v>
      </c>
      <c r="AH324" s="33"/>
      <c r="AI324" s="242">
        <f t="shared" si="308"/>
        <v>0.9</v>
      </c>
      <c r="AJ324" s="241" t="e">
        <f t="shared" ca="1" si="309"/>
        <v>#REF!</v>
      </c>
      <c r="AK324" s="243" t="e">
        <f ca="1">IF(AND(INDEX(FlowCalConstA,MATCH(AH311,FlowCalNumber,0),1,1)*AJ324^INDEX(FlowCalConstB,MATCH(AH311,FlowCalNumber,0),1,1)&gt;INDEX(FlowCalLowSetting,MATCH(AH311,FlowCalNumber,0),1,1), (INDEX(FlowCalConstA,MATCH(AH311,FlowCalNumber,0),1,1)*AJ324^INDEX(FlowCalConstB,MATCH(AH311,FlowCalNumber,0),1,1)&lt;INDEX(FlowCalHighSetting,MATCH(AH311,FlowCalNumber,0),1,1))),INDEX(FlowCalConstA,MATCH(AH311,FlowCalNumber,0),1,1)*AJ324^INDEX(FlowCalConstB,MATCH(AH311,FlowCalNumber,0),1,1)," ")</f>
        <v>#REF!</v>
      </c>
      <c r="AL324" s="33"/>
      <c r="AM324" s="242"/>
      <c r="AN324" s="241"/>
      <c r="AO324" s="244"/>
      <c r="AQ324" s="242"/>
      <c r="AR324" s="241"/>
      <c r="AS324" s="244"/>
      <c r="AT324" s="33"/>
      <c r="AU324" s="242"/>
      <c r="AV324" s="241"/>
      <c r="AW324" s="244"/>
      <c r="AX324" s="33"/>
      <c r="AY324" s="242"/>
      <c r="AZ324" s="241"/>
      <c r="BA324" s="244"/>
      <c r="BB324" s="33"/>
      <c r="BC324" s="242"/>
      <c r="BD324" s="241"/>
      <c r="BE324" s="244"/>
      <c r="BF324" s="33"/>
      <c r="BG324" s="242"/>
      <c r="BH324" s="241"/>
      <c r="BI324" s="244"/>
      <c r="BJ324" s="33"/>
      <c r="BK324" s="242"/>
      <c r="BL324" s="241"/>
      <c r="BM324" s="244"/>
      <c r="BN324" s="33"/>
      <c r="BO324" s="242"/>
      <c r="BP324" s="241"/>
      <c r="BQ324" s="244"/>
      <c r="BR324" s="33"/>
      <c r="BS324" s="242"/>
      <c r="BT324" s="241"/>
      <c r="BU324" s="244"/>
      <c r="BV324" s="33"/>
      <c r="BW324" s="242"/>
      <c r="BX324" s="241"/>
      <c r="BY324" s="244"/>
      <c r="BZ324" s="33"/>
      <c r="CA324" s="242"/>
      <c r="CB324" s="241"/>
      <c r="CC324" s="244"/>
      <c r="CD324" s="243"/>
      <c r="CE324" s="243"/>
      <c r="CF324" s="243"/>
      <c r="CG324" s="243"/>
      <c r="CH324" s="243"/>
      <c r="CI324" s="243"/>
      <c r="CJ324" s="243"/>
      <c r="CK324" s="243"/>
      <c r="CL324" s="243"/>
      <c r="CM324" s="243"/>
      <c r="CN324" s="243"/>
      <c r="CO324" s="243"/>
      <c r="CP324" s="243"/>
      <c r="CQ324" s="243"/>
      <c r="CR324" s="243"/>
      <c r="CS324" s="243"/>
      <c r="CT324" s="243"/>
      <c r="CU324" s="243"/>
      <c r="CV324" s="243"/>
      <c r="CW324" s="243"/>
      <c r="CX324" s="243"/>
      <c r="CY324" s="243"/>
      <c r="CZ324" s="243"/>
      <c r="DA324" s="243"/>
      <c r="DB324" s="243"/>
      <c r="DC324" s="243"/>
      <c r="DD324" s="243"/>
      <c r="DE324" s="243"/>
      <c r="DF324" s="243"/>
      <c r="DG324" s="243"/>
      <c r="DH324" s="243"/>
      <c r="DI324" s="243"/>
      <c r="DJ324" s="243"/>
      <c r="DK324" s="243"/>
      <c r="DM324" s="242"/>
      <c r="DO324" s="243"/>
      <c r="DQ324" s="242"/>
      <c r="DS324" s="243"/>
      <c r="DU324" s="242"/>
      <c r="DW324" s="243"/>
      <c r="DY324" s="242"/>
      <c r="EA324" s="243"/>
    </row>
    <row r="325" spans="1:131">
      <c r="A325" s="20"/>
      <c r="B325" s="124" t="str">
        <f t="shared" si="294"/>
        <v/>
      </c>
      <c r="C325" s="235"/>
      <c r="D325" s="24">
        <f>'1% Wind'!$M$95</f>
        <v>1.3</v>
      </c>
      <c r="E325" s="90"/>
      <c r="F325" s="90"/>
      <c r="G325" s="79" t="e">
        <f ca="1">IF(I311=0.9743,$G324,MAX(G324/D324*D325,2))</f>
        <v>#REF!</v>
      </c>
      <c r="H325" s="121" t="e">
        <f t="shared" ca="1" si="295"/>
        <v>#REF!</v>
      </c>
      <c r="J325" s="33"/>
      <c r="K325" s="242">
        <f t="shared" si="296"/>
        <v>1</v>
      </c>
      <c r="L325" s="241" t="e">
        <f t="shared" ca="1" si="297"/>
        <v>#REF!</v>
      </c>
      <c r="M325" s="243" t="e">
        <f ca="1">IF(AND(INDEX(FlowCalConstA,MATCH(J311,FlowCalNumber,0),1,1)*L325^INDEX(FlowCalConstB,MATCH(J311,FlowCalNumber,0),1,1)&gt;INDEX(FlowCalLowSetting,MATCH(J311,FlowCalNumber,0),1,1), (INDEX(FlowCalConstA,MATCH(J311,FlowCalNumber,0),1,1)*L325^INDEX(FlowCalConstB,MATCH(J311,FlowCalNumber,0),1,1)&lt;INDEX(FlowCalHighSetting,MATCH(J311,FlowCalNumber,0),1,1))),INDEX(FlowCalConstA,MATCH(J311,FlowCalNumber,0),1,1)*L325^INDEX(FlowCalConstB,MATCH(J311,FlowCalNumber,0),1,1)," ")</f>
        <v>#REF!</v>
      </c>
      <c r="N325" s="33"/>
      <c r="O325" s="242">
        <f t="shared" si="298"/>
        <v>1</v>
      </c>
      <c r="P325" s="241" t="e">
        <f t="shared" ca="1" si="299"/>
        <v>#REF!</v>
      </c>
      <c r="Q325" s="243" t="e">
        <f ca="1">IF(AND(INDEX(FlowCalConstA,MATCH(N311,FlowCalNumber,0),1,1)*P325^INDEX(FlowCalConstB,MATCH(N311,FlowCalNumber,0),1,1)&gt;INDEX(FlowCalLowSetting,MATCH(N311,FlowCalNumber,0),1,1), (INDEX(FlowCalConstA,MATCH(N311,FlowCalNumber,0),1,1)*P325^INDEX(FlowCalConstB,MATCH(N311,FlowCalNumber,0),1,1)&lt;INDEX(FlowCalHighSetting,MATCH(N311,FlowCalNumber,0),1,1))),INDEX(FlowCalConstA,MATCH(N311,FlowCalNumber,0),1,1)*P325^INDEX(FlowCalConstB,MATCH(N311,FlowCalNumber,0),1,1)," ")</f>
        <v>#REF!</v>
      </c>
      <c r="R325" s="33"/>
      <c r="S325" s="242">
        <f t="shared" si="300"/>
        <v>1</v>
      </c>
      <c r="T325" s="241" t="e">
        <f t="shared" ca="1" si="301"/>
        <v>#REF!</v>
      </c>
      <c r="U325" s="244" t="e">
        <f ca="1">IF(AND(INDEX(FlowCalConstA,MATCH(R311,FlowCalNumber,0),1,1)*T325^INDEX(FlowCalConstB,MATCH(R311,FlowCalNumber,0),1,1)&gt;INDEX(FlowCalLowSetting,MATCH(R311,FlowCalNumber,0),1,1), (INDEX(FlowCalConstA,MATCH(R311,FlowCalNumber,0),1,1)*T325^INDEX(FlowCalConstB,MATCH(R311,FlowCalNumber,0),1,1)&lt;INDEX(FlowCalHighSetting,MATCH(R311,FlowCalNumber,0),1,1))),INDEX(FlowCalConstA,MATCH(R311,FlowCalNumber,0),1,1)*T325^INDEX(FlowCalConstB,MATCH(R311,FlowCalNumber,0),1,1)," ")</f>
        <v>#REF!</v>
      </c>
      <c r="V325" s="33"/>
      <c r="W325" s="242">
        <f t="shared" si="302"/>
        <v>0.1</v>
      </c>
      <c r="X325" s="241" t="e">
        <f t="shared" ca="1" si="303"/>
        <v>#REF!</v>
      </c>
      <c r="Y325" s="243" t="e">
        <f ca="1">IF(AND(INDEX(FlowCalConstA,MATCH(V311,FlowCalNumber,0),1,1)*X325^INDEX(FlowCalConstB,MATCH(V311,FlowCalNumber,0),1,1)&gt;INDEX(FlowCalLowSetting,MATCH(V311,FlowCalNumber,0),1,1), (INDEX(FlowCalConstA,MATCH(V311,FlowCalNumber,0),1,1)*X325^INDEX(FlowCalConstB,MATCH(V311,FlowCalNumber,0),1,1)&lt;INDEX(FlowCalHighSetting,MATCH(V311,FlowCalNumber,0),1,1))),INDEX(FlowCalConstA,MATCH(V311,FlowCalNumber,0),1,1)*X325^INDEX(FlowCalConstB,MATCH(V311,FlowCalNumber,0),1,1)," ")</f>
        <v>#REF!</v>
      </c>
      <c r="Z325" s="33"/>
      <c r="AA325" s="242">
        <f t="shared" si="304"/>
        <v>0.9</v>
      </c>
      <c r="AB325" s="241" t="e">
        <f t="shared" ca="1" si="305"/>
        <v>#REF!</v>
      </c>
      <c r="AC325" s="243" t="e">
        <f ca="1">IF(AND(INDEX(FlowCalConstA,MATCH(Z311,FlowCalNumber,0),1,1)*AB325^INDEX(FlowCalConstB,MATCH(Z311,FlowCalNumber,0),1,1)&gt;INDEX(FlowCalLowSetting,MATCH(Z311,FlowCalNumber,0),1,1), (INDEX(FlowCalConstA,MATCH(Z311,FlowCalNumber,0),1,1)*AB325^INDEX(FlowCalConstB,MATCH(Z311,FlowCalNumber,0),1,1)&lt;INDEX(FlowCalHighSetting,MATCH(Z311,FlowCalNumber,0),1,1))),INDEX(FlowCalConstA,MATCH(Z311,FlowCalNumber,0),1,1)*AB325^INDEX(FlowCalConstB,MATCH(Z311,FlowCalNumber,0),1,1)," ")</f>
        <v>#REF!</v>
      </c>
      <c r="AD325" s="33"/>
      <c r="AE325" s="242">
        <f t="shared" si="306"/>
        <v>0.1</v>
      </c>
      <c r="AF325" s="241" t="e">
        <f t="shared" ca="1" si="307"/>
        <v>#REF!</v>
      </c>
      <c r="AG325" s="243" t="e">
        <f ca="1">IF(AND(INDEX(FlowCalConstA,MATCH(AD311,FlowCalNumber,0),1,1)*AF325^INDEX(FlowCalConstB,MATCH(AD311,FlowCalNumber,0),1,1)&gt;INDEX(FlowCalLowSetting,MATCH(AD311,FlowCalNumber,0),1,1), (INDEX(FlowCalConstA,MATCH(AD311,FlowCalNumber,0),1,1)*AF325^INDEX(FlowCalConstB,MATCH(AD311,FlowCalNumber,0),1,1)&lt;INDEX(FlowCalHighSetting,MATCH(AD311,FlowCalNumber,0),1,1))),INDEX(FlowCalConstA,MATCH(AD311,FlowCalNumber,0),1,1)*AF325^INDEX(FlowCalConstB,MATCH(AD311,FlowCalNumber,0),1,1)," ")</f>
        <v>#REF!</v>
      </c>
      <c r="AH325" s="33"/>
      <c r="AI325" s="242">
        <f t="shared" si="308"/>
        <v>0.9</v>
      </c>
      <c r="AJ325" s="241" t="e">
        <f t="shared" ca="1" si="309"/>
        <v>#REF!</v>
      </c>
      <c r="AK325" s="243" t="e">
        <f ca="1">IF(AND(INDEX(FlowCalConstA,MATCH(AH311,FlowCalNumber,0),1,1)*AJ325^INDEX(FlowCalConstB,MATCH(AH311,FlowCalNumber,0),1,1)&gt;INDEX(FlowCalLowSetting,MATCH(AH311,FlowCalNumber,0),1,1), (INDEX(FlowCalConstA,MATCH(AH311,FlowCalNumber,0),1,1)*AJ325^INDEX(FlowCalConstB,MATCH(AH311,FlowCalNumber,0),1,1)&lt;INDEX(FlowCalHighSetting,MATCH(AH311,FlowCalNumber,0),1,1))),INDEX(FlowCalConstA,MATCH(AH311,FlowCalNumber,0),1,1)*AJ325^INDEX(FlowCalConstB,MATCH(AH311,FlowCalNumber,0),1,1)," ")</f>
        <v>#REF!</v>
      </c>
      <c r="AL325" s="33"/>
      <c r="AM325" s="242"/>
      <c r="AN325" s="241"/>
      <c r="AO325" s="244"/>
      <c r="AQ325" s="242"/>
      <c r="AR325" s="241"/>
      <c r="AS325" s="244"/>
      <c r="AT325" s="33"/>
      <c r="AU325" s="242"/>
      <c r="AV325" s="241"/>
      <c r="AW325" s="244"/>
      <c r="AX325" s="33"/>
      <c r="AY325" s="242"/>
      <c r="AZ325" s="241"/>
      <c r="BA325" s="244"/>
      <c r="BB325" s="33"/>
      <c r="BC325" s="242"/>
      <c r="BD325" s="241"/>
      <c r="BE325" s="244"/>
      <c r="BF325" s="33"/>
      <c r="BG325" s="242"/>
      <c r="BH325" s="241"/>
      <c r="BI325" s="244"/>
      <c r="BJ325" s="33"/>
      <c r="BK325" s="242"/>
      <c r="BL325" s="241"/>
      <c r="BM325" s="244"/>
      <c r="BN325" s="33"/>
      <c r="BO325" s="242"/>
      <c r="BP325" s="241"/>
      <c r="BQ325" s="244"/>
      <c r="BR325" s="33"/>
      <c r="BS325" s="242"/>
      <c r="BT325" s="241"/>
      <c r="BU325" s="244"/>
      <c r="BV325" s="33"/>
      <c r="BW325" s="242"/>
      <c r="BX325" s="241"/>
      <c r="BY325" s="244"/>
      <c r="BZ325" s="33"/>
      <c r="CA325" s="242"/>
      <c r="CB325" s="241"/>
      <c r="CC325" s="244"/>
      <c r="CD325" s="243"/>
      <c r="CE325" s="243"/>
      <c r="CF325" s="243"/>
      <c r="CG325" s="243"/>
      <c r="CH325" s="243"/>
      <c r="CI325" s="243"/>
      <c r="CJ325" s="243"/>
      <c r="CK325" s="243"/>
      <c r="CL325" s="243"/>
      <c r="CM325" s="243"/>
      <c r="CN325" s="243"/>
      <c r="CO325" s="243"/>
      <c r="CP325" s="243"/>
      <c r="CQ325" s="243"/>
      <c r="CR325" s="243"/>
      <c r="CS325" s="243"/>
      <c r="CT325" s="243"/>
      <c r="CU325" s="243"/>
      <c r="CV325" s="243"/>
      <c r="CW325" s="243"/>
      <c r="CX325" s="243"/>
      <c r="CY325" s="243"/>
      <c r="CZ325" s="243"/>
      <c r="DA325" s="243"/>
      <c r="DB325" s="243"/>
      <c r="DC325" s="243"/>
      <c r="DD325" s="243"/>
      <c r="DE325" s="243"/>
      <c r="DF325" s="243"/>
      <c r="DG325" s="243"/>
      <c r="DH325" s="243"/>
      <c r="DI325" s="243"/>
      <c r="DJ325" s="243"/>
      <c r="DK325" s="243"/>
      <c r="DM325" s="242"/>
      <c r="DO325" s="243"/>
      <c r="DQ325" s="242"/>
      <c r="DS325" s="243"/>
      <c r="DU325" s="242"/>
      <c r="DW325" s="243"/>
      <c r="DY325" s="242"/>
      <c r="EA325" s="243"/>
    </row>
    <row r="326" spans="1:131">
      <c r="A326" s="20"/>
      <c r="B326" s="124" t="str">
        <f t="shared" si="294"/>
        <v/>
      </c>
      <c r="C326" s="235"/>
      <c r="D326" s="24">
        <f>'1% Wind'!$M$96</f>
        <v>1</v>
      </c>
      <c r="E326" s="90"/>
      <c r="F326" s="90"/>
      <c r="G326" s="79" t="e">
        <f ca="1">IF(I311=0.9743,$G325,MAX(G325/D325*D326,2))</f>
        <v>#REF!</v>
      </c>
      <c r="H326" s="121" t="e">
        <f t="shared" ca="1" si="295"/>
        <v>#REF!</v>
      </c>
      <c r="J326" s="33"/>
      <c r="K326" s="242">
        <f t="shared" si="296"/>
        <v>1</v>
      </c>
      <c r="L326" s="241" t="e">
        <f t="shared" ca="1" si="297"/>
        <v>#REF!</v>
      </c>
      <c r="M326" s="243" t="e">
        <f ca="1">IF(AND(INDEX(FlowCalConstA,MATCH(J311,FlowCalNumber,0),1,1)*L326^INDEX(FlowCalConstB,MATCH(J311,FlowCalNumber,0),1,1)&gt;INDEX(FlowCalLowSetting,MATCH(J311,FlowCalNumber,0),1,1), (INDEX(FlowCalConstA,MATCH(J311,FlowCalNumber,0),1,1)*L326^INDEX(FlowCalConstB,MATCH(J311,FlowCalNumber,0),1,1)&lt;INDEX(FlowCalHighSetting,MATCH(J311,FlowCalNumber,0),1,1))),INDEX(FlowCalConstA,MATCH(J311,FlowCalNumber,0),1,1)*L326^INDEX(FlowCalConstB,MATCH(J311,FlowCalNumber,0),1,1)," ")</f>
        <v>#REF!</v>
      </c>
      <c r="N326" s="33"/>
      <c r="O326" s="242">
        <f t="shared" si="298"/>
        <v>1</v>
      </c>
      <c r="P326" s="241" t="e">
        <f t="shared" ca="1" si="299"/>
        <v>#REF!</v>
      </c>
      <c r="Q326" s="243" t="e">
        <f ca="1">IF(AND(INDEX(FlowCalConstA,MATCH(N311,FlowCalNumber,0),1,1)*P326^INDEX(FlowCalConstB,MATCH(N311,FlowCalNumber,0),1,1)&gt;INDEX(FlowCalLowSetting,MATCH(N311,FlowCalNumber,0),1,1), (INDEX(FlowCalConstA,MATCH(N311,FlowCalNumber,0),1,1)*P326^INDEX(FlowCalConstB,MATCH(N311,FlowCalNumber,0),1,1)&lt;INDEX(FlowCalHighSetting,MATCH(N311,FlowCalNumber,0),1,1))),INDEX(FlowCalConstA,MATCH(N311,FlowCalNumber,0),1,1)*P326^INDEX(FlowCalConstB,MATCH(N311,FlowCalNumber,0),1,1)," ")</f>
        <v>#REF!</v>
      </c>
      <c r="R326" s="33"/>
      <c r="S326" s="242">
        <f t="shared" si="300"/>
        <v>1</v>
      </c>
      <c r="T326" s="241" t="e">
        <f t="shared" ca="1" si="301"/>
        <v>#REF!</v>
      </c>
      <c r="U326" s="244" t="e">
        <f ca="1">IF(AND(INDEX(FlowCalConstA,MATCH(R311,FlowCalNumber,0),1,1)*T326^INDEX(FlowCalConstB,MATCH(R311,FlowCalNumber,0),1,1)&gt;INDEX(FlowCalLowSetting,MATCH(R311,FlowCalNumber,0),1,1), (INDEX(FlowCalConstA,MATCH(R311,FlowCalNumber,0),1,1)*T326^INDEX(FlowCalConstB,MATCH(R311,FlowCalNumber,0),1,1)&lt;INDEX(FlowCalHighSetting,MATCH(R311,FlowCalNumber,0),1,1))),INDEX(FlowCalConstA,MATCH(R311,FlowCalNumber,0),1,1)*T326^INDEX(FlowCalConstB,MATCH(R311,FlowCalNumber,0),1,1)," ")</f>
        <v>#REF!</v>
      </c>
      <c r="V326" s="33"/>
      <c r="W326" s="242">
        <f t="shared" si="302"/>
        <v>0.1</v>
      </c>
      <c r="X326" s="241" t="e">
        <f t="shared" ca="1" si="303"/>
        <v>#REF!</v>
      </c>
      <c r="Y326" s="243" t="e">
        <f ca="1">IF(AND(INDEX(FlowCalConstA,MATCH(V311,FlowCalNumber,0),1,1)*X326^INDEX(FlowCalConstB,MATCH(V311,FlowCalNumber,0),1,1)&gt;INDEX(FlowCalLowSetting,MATCH(V311,FlowCalNumber,0),1,1), (INDEX(FlowCalConstA,MATCH(V311,FlowCalNumber,0),1,1)*X326^INDEX(FlowCalConstB,MATCH(V311,FlowCalNumber,0),1,1)&lt;INDEX(FlowCalHighSetting,MATCH(V311,FlowCalNumber,0),1,1))),INDEX(FlowCalConstA,MATCH(V311,FlowCalNumber,0),1,1)*X326^INDEX(FlowCalConstB,MATCH(V311,FlowCalNumber,0),1,1)," ")</f>
        <v>#REF!</v>
      </c>
      <c r="Z326" s="33"/>
      <c r="AA326" s="242">
        <f t="shared" si="304"/>
        <v>0.9</v>
      </c>
      <c r="AB326" s="241" t="e">
        <f t="shared" ca="1" si="305"/>
        <v>#REF!</v>
      </c>
      <c r="AC326" s="243" t="e">
        <f ca="1">IF(AND(INDEX(FlowCalConstA,MATCH(Z311,FlowCalNumber,0),1,1)*AB326^INDEX(FlowCalConstB,MATCH(Z311,FlowCalNumber,0),1,1)&gt;INDEX(FlowCalLowSetting,MATCH(Z311,FlowCalNumber,0),1,1), (INDEX(FlowCalConstA,MATCH(Z311,FlowCalNumber,0),1,1)*AB326^INDEX(FlowCalConstB,MATCH(Z311,FlowCalNumber,0),1,1)&lt;INDEX(FlowCalHighSetting,MATCH(Z311,FlowCalNumber,0),1,1))),INDEX(FlowCalConstA,MATCH(Z311,FlowCalNumber,0),1,1)*AB326^INDEX(FlowCalConstB,MATCH(Z311,FlowCalNumber,0),1,1)," ")</f>
        <v>#REF!</v>
      </c>
      <c r="AD326" s="33"/>
      <c r="AE326" s="242">
        <f t="shared" si="306"/>
        <v>0.1</v>
      </c>
      <c r="AF326" s="241" t="e">
        <f t="shared" ca="1" si="307"/>
        <v>#REF!</v>
      </c>
      <c r="AG326" s="243" t="e">
        <f ca="1">IF(AND(INDEX(FlowCalConstA,MATCH(AD311,FlowCalNumber,0),1,1)*AF326^INDEX(FlowCalConstB,MATCH(AD311,FlowCalNumber,0),1,1)&gt;INDEX(FlowCalLowSetting,MATCH(AD311,FlowCalNumber,0),1,1), (INDEX(FlowCalConstA,MATCH(AD311,FlowCalNumber,0),1,1)*AF326^INDEX(FlowCalConstB,MATCH(AD311,FlowCalNumber,0),1,1)&lt;INDEX(FlowCalHighSetting,MATCH(AD311,FlowCalNumber,0),1,1))),INDEX(FlowCalConstA,MATCH(AD311,FlowCalNumber,0),1,1)*AF326^INDEX(FlowCalConstB,MATCH(AD311,FlowCalNumber,0),1,1)," ")</f>
        <v>#REF!</v>
      </c>
      <c r="AH326" s="33"/>
      <c r="AI326" s="242">
        <f t="shared" si="308"/>
        <v>0.9</v>
      </c>
      <c r="AJ326" s="241" t="e">
        <f t="shared" ca="1" si="309"/>
        <v>#REF!</v>
      </c>
      <c r="AK326" s="243" t="e">
        <f ca="1">IF(AND(INDEX(FlowCalConstA,MATCH(AH311,FlowCalNumber,0),1,1)*AJ326^INDEX(FlowCalConstB,MATCH(AH311,FlowCalNumber,0),1,1)&gt;INDEX(FlowCalLowSetting,MATCH(AH311,FlowCalNumber,0),1,1), (INDEX(FlowCalConstA,MATCH(AH311,FlowCalNumber,0),1,1)*AJ326^INDEX(FlowCalConstB,MATCH(AH311,FlowCalNumber,0),1,1)&lt;INDEX(FlowCalHighSetting,MATCH(AH311,FlowCalNumber,0),1,1))),INDEX(FlowCalConstA,MATCH(AH311,FlowCalNumber,0),1,1)*AJ326^INDEX(FlowCalConstB,MATCH(AH311,FlowCalNumber,0),1,1)," ")</f>
        <v>#REF!</v>
      </c>
      <c r="AL326" s="33"/>
      <c r="AM326" s="242"/>
      <c r="AN326" s="241"/>
      <c r="AO326" s="244"/>
      <c r="AQ326" s="242"/>
      <c r="AR326" s="241"/>
      <c r="AS326" s="244"/>
      <c r="AT326" s="33"/>
      <c r="AU326" s="242"/>
      <c r="AV326" s="241"/>
      <c r="AW326" s="244"/>
      <c r="AX326" s="33"/>
      <c r="AY326" s="242"/>
      <c r="AZ326" s="241"/>
      <c r="BA326" s="244"/>
      <c r="BB326" s="33"/>
      <c r="BC326" s="242"/>
      <c r="BD326" s="241"/>
      <c r="BE326" s="244"/>
      <c r="BF326" s="33"/>
      <c r="BG326" s="242"/>
      <c r="BH326" s="241"/>
      <c r="BI326" s="244"/>
      <c r="BJ326" s="33"/>
      <c r="BK326" s="242"/>
      <c r="BL326" s="241"/>
      <c r="BM326" s="244"/>
      <c r="BN326" s="33"/>
      <c r="BO326" s="242"/>
      <c r="BP326" s="241"/>
      <c r="BQ326" s="244"/>
      <c r="BR326" s="33"/>
      <c r="BS326" s="242"/>
      <c r="BT326" s="241"/>
      <c r="BU326" s="244"/>
      <c r="BV326" s="33"/>
      <c r="BW326" s="242"/>
      <c r="BX326" s="241"/>
      <c r="BY326" s="244"/>
      <c r="BZ326" s="33"/>
      <c r="CA326" s="242"/>
      <c r="CB326" s="241"/>
      <c r="CC326" s="244"/>
      <c r="CD326" s="243"/>
      <c r="CE326" s="243"/>
      <c r="CF326" s="243"/>
      <c r="CG326" s="243"/>
      <c r="CH326" s="243"/>
      <c r="CI326" s="243"/>
      <c r="CJ326" s="243"/>
      <c r="CK326" s="243"/>
      <c r="CL326" s="243"/>
      <c r="CM326" s="243"/>
      <c r="CN326" s="243"/>
      <c r="CO326" s="243"/>
      <c r="CP326" s="243"/>
      <c r="CQ326" s="243"/>
      <c r="CR326" s="243"/>
      <c r="CS326" s="243"/>
      <c r="CT326" s="243"/>
      <c r="CU326" s="243"/>
      <c r="CV326" s="243"/>
      <c r="CW326" s="243"/>
      <c r="CX326" s="243"/>
      <c r="CY326" s="243"/>
      <c r="CZ326" s="243"/>
      <c r="DA326" s="243"/>
      <c r="DB326" s="243"/>
      <c r="DC326" s="243"/>
      <c r="DD326" s="243"/>
      <c r="DE326" s="243"/>
      <c r="DF326" s="243"/>
      <c r="DG326" s="243"/>
      <c r="DH326" s="243"/>
      <c r="DI326" s="243"/>
      <c r="DJ326" s="243"/>
      <c r="DK326" s="243"/>
      <c r="DM326" s="242"/>
      <c r="DO326" s="243"/>
      <c r="DQ326" s="242"/>
      <c r="DS326" s="243"/>
      <c r="DU326" s="242"/>
      <c r="DW326" s="243"/>
      <c r="DY326" s="242"/>
      <c r="EA326" s="243"/>
    </row>
    <row r="327" spans="1:131">
      <c r="A327" s="33"/>
      <c r="B327" s="33"/>
      <c r="C327" s="235"/>
      <c r="E327" s="90"/>
      <c r="F327" s="90"/>
      <c r="G327" s="33"/>
      <c r="J327" s="33"/>
      <c r="N327" s="33"/>
      <c r="Q327" s="243"/>
      <c r="R327" s="33"/>
      <c r="U327" s="244"/>
      <c r="V327" s="33"/>
      <c r="Y327" s="243"/>
      <c r="Z327" s="33"/>
      <c r="AC327" s="243"/>
      <c r="AD327" s="33"/>
      <c r="AG327" s="243"/>
      <c r="AH327" s="33"/>
      <c r="AK327" s="244"/>
      <c r="AL327" s="792"/>
      <c r="AM327" s="243"/>
      <c r="AN327" s="243"/>
      <c r="AO327" s="244"/>
      <c r="AP327" s="243"/>
      <c r="AQ327" s="243"/>
      <c r="AR327" s="243"/>
      <c r="AS327" s="244"/>
      <c r="AT327" s="243"/>
      <c r="AU327" s="243"/>
      <c r="AV327" s="243"/>
      <c r="AW327" s="244"/>
      <c r="AX327" s="243"/>
      <c r="AY327" s="243"/>
      <c r="AZ327" s="243"/>
      <c r="BA327" s="244"/>
      <c r="BB327" s="33"/>
      <c r="BE327" s="244"/>
      <c r="BF327" s="33"/>
      <c r="BI327" s="244"/>
      <c r="BJ327" s="33"/>
      <c r="BM327" s="244"/>
      <c r="BN327" s="243"/>
      <c r="BO327" s="243"/>
      <c r="BP327" s="243"/>
      <c r="BQ327" s="244"/>
      <c r="BR327" s="792"/>
      <c r="BS327" s="243"/>
      <c r="BT327" s="243"/>
      <c r="BU327" s="244"/>
      <c r="BV327" s="792"/>
      <c r="BW327" s="243"/>
      <c r="BX327" s="243"/>
      <c r="BY327" s="244"/>
      <c r="BZ327" s="792"/>
      <c r="CA327" s="243"/>
      <c r="CB327" s="243"/>
      <c r="CC327" s="244"/>
      <c r="CD327" s="243"/>
      <c r="CE327" s="243"/>
      <c r="CF327" s="243"/>
      <c r="CG327" s="243"/>
      <c r="CH327" s="243"/>
      <c r="CI327" s="243"/>
      <c r="CJ327" s="243"/>
      <c r="CK327" s="243"/>
      <c r="CL327" s="243"/>
      <c r="CM327" s="243"/>
      <c r="CN327" s="243"/>
      <c r="CO327" s="243"/>
      <c r="CP327" s="243"/>
      <c r="CQ327" s="243"/>
      <c r="CR327" s="243"/>
      <c r="CS327" s="243"/>
      <c r="CT327" s="243"/>
      <c r="CU327" s="243"/>
      <c r="CV327" s="243"/>
      <c r="CW327" s="243"/>
      <c r="CX327" s="243"/>
      <c r="CY327" s="243"/>
      <c r="CZ327" s="243"/>
      <c r="DA327" s="243"/>
      <c r="DB327" s="243"/>
      <c r="DC327" s="243"/>
      <c r="DD327" s="243"/>
      <c r="DE327" s="243"/>
      <c r="DF327" s="243"/>
      <c r="DG327" s="243"/>
      <c r="DH327" s="243"/>
      <c r="DI327" s="243"/>
      <c r="DJ327" s="243"/>
      <c r="DK327" s="243"/>
      <c r="DO327" s="243"/>
      <c r="DS327" s="243"/>
      <c r="DW327" s="243"/>
      <c r="EA327" s="243"/>
    </row>
    <row r="328" spans="1:131">
      <c r="A328" s="256" t="str">
        <f>IF((RIGHT(A311,1))&lt;&gt;"Z",CHAR(CODE(A311))&amp;CHAR(CODE(RIGHT(A311,1))+1),CHAR(CODE(A311)+1)&amp;"A")</f>
        <v>AS</v>
      </c>
      <c r="B328" s="270" t="e">
        <f>INDEX(SourceID,MATCH($A328,SourceNumber,0),1,1)</f>
        <v>#N/A</v>
      </c>
      <c r="C328" s="354" t="e">
        <f>INDEX(SourceExitDiameter,MATCH($A328,SourceNumber,0),1,1)*3.28*12</f>
        <v>#N/A</v>
      </c>
      <c r="D328" s="24" t="str">
        <f>UAnem1percent</f>
        <v>1% Wind</v>
      </c>
      <c r="E328" s="350" t="e">
        <f ca="1">INDIRECT(ADDRESS(53,6,1,,CONCATENATE("TA",$A328)))</f>
        <v>#REF!</v>
      </c>
      <c r="F328" s="625" t="e">
        <f ca="1">(ROUND((INDIRECT(ADDRESS(15,7,1,,CONCATENATE("TA",$A328)))*3.28*12*32),0)&amp;"/32")</f>
        <v>#REF!</v>
      </c>
      <c r="G328" s="125" t="e">
        <f ca="1">INDIRECT(ADDRESS(29,7,1,,$A328))</f>
        <v>#REF!</v>
      </c>
      <c r="H328" s="24" t="e">
        <f ca="1">INDIRECT(ADDRESS(19,7,1,,$A328))*100^3</f>
        <v>#REF!</v>
      </c>
      <c r="I328" s="941" t="e">
        <f ca="1">INDIRECT(ADDRESS(53,7,1,,$A328))</f>
        <v>#REF!</v>
      </c>
      <c r="J328" s="20" t="e">
        <f ca="1">IF($I328=$I$6,K$16&amp;$G$6&amp;J$6,IF($I328=$I$7,K$16&amp;$G$7&amp;J$7,"Bad"))</f>
        <v>#REF!</v>
      </c>
      <c r="K328" t="e">
        <f ca="1">INDEX(FlowCalGasMixture,MATCH(J328,FlowCalNumber,0),1,1)</f>
        <v>#REF!</v>
      </c>
      <c r="M328" s="944" t="e">
        <f ca="1">INDEX(FlowCalDevice,MATCH(J328,FlowCalNumber,0),1,1)</f>
        <v>#REF!</v>
      </c>
      <c r="N328" s="943" t="e">
        <f ca="1">IF($I328=$I$6,O$16&amp;$G$6&amp;"90"&amp;$H$6&amp;N$6,IF($I328=$I$7,O$16&amp;$G$7&amp;"90"&amp;$H$7&amp;N$7,"Bad"))</f>
        <v>#REF!</v>
      </c>
      <c r="O328" t="e">
        <f ca="1">INDEX(FlowCalGasMixture,MATCH(N328,FlowCalNumber,0),1,1)</f>
        <v>#REF!</v>
      </c>
      <c r="Q328" s="944" t="e">
        <f ca="1">INDEX(FlowCalDevice,MATCH(N328,FlowCalNumber,0),1,1)</f>
        <v>#REF!</v>
      </c>
      <c r="R328" s="943" t="e">
        <f ca="1">IF($I328=$I$6,S$16&amp;$G$6&amp;"90"&amp;$H$6&amp;R$6,IF($I328=$I$7,S$16&amp;$G$7&amp;"90"&amp;$H$7&amp;R$7,"Bad"))</f>
        <v>#REF!</v>
      </c>
      <c r="S328" t="e">
        <f ca="1">INDEX(FlowCalGasMixture,MATCH(R328,FlowCalNumber,0),1,1)</f>
        <v>#REF!</v>
      </c>
      <c r="U328" s="944" t="e">
        <f ca="1">INDEX(FlowCalDevice,MATCH(R328,FlowCalNumber,0),1,1)</f>
        <v>#REF!</v>
      </c>
      <c r="V328" s="20" t="e">
        <f ca="1">IF($I328=$I$6,W$16&amp;$G$6&amp;V$6,IF($I328=$I$7,W$16&amp;$G$7&amp;V$7,"Bad"))</f>
        <v>#REF!</v>
      </c>
      <c r="W328" t="e">
        <f ca="1">INDEX(FlowCalGasMixture,MATCH(V328,FlowCalNumber,0),1,1)</f>
        <v>#REF!</v>
      </c>
      <c r="Y328" s="944" t="e">
        <f ca="1">INDEX(FlowCalDevice,MATCH(V328,FlowCalNumber,0),1,1)</f>
        <v>#REF!</v>
      </c>
      <c r="Z328" s="946" t="e">
        <f ca="1">IF($I328=$I$6,AA$18&amp;$H$6&amp;Z$6,IF($I328=$I$7,AA$18&amp;$H$7&amp;Z$7,"Bad"))</f>
        <v>#REF!</v>
      </c>
      <c r="AA328" t="e">
        <f ca="1">INDEX(FlowCalGasMixture,MATCH(Z328,FlowCalNumber,0),1,1)</f>
        <v>#REF!</v>
      </c>
      <c r="AC328" s="944" t="e">
        <f ca="1">INDEX(FlowCalDevice,MATCH(Z328,FlowCalNumber,0),1,1)</f>
        <v>#REF!</v>
      </c>
      <c r="AD328" s="20" t="e">
        <f ca="1">IF($I328=$I$6,AE$16&amp;$G$6&amp;AD$6,IF($I328=$I$7,AE$16&amp;$G$7&amp;AD$7,"Bad"))</f>
        <v>#REF!</v>
      </c>
      <c r="AE328" t="e">
        <f ca="1">INDEX(FlowCalGasMixture,MATCH(AD328,FlowCalNumber,0),1,1)</f>
        <v>#REF!</v>
      </c>
      <c r="AG328" s="944" t="e">
        <f ca="1">INDEX(FlowCalDevice,MATCH(AD328,FlowCalNumber,0),1,1)</f>
        <v>#REF!</v>
      </c>
      <c r="AH328" s="946" t="e">
        <f ca="1">IF($I328=$I$6,AI$18&amp;$H$6&amp;AH$6,IF($I328=$I$7,AI$18&amp;$H$7&amp;AH$7,"Bad"))</f>
        <v>#REF!</v>
      </c>
      <c r="AI328" t="e">
        <f ca="1">INDEX(FlowCalGasMixture,MATCH(AH328,FlowCalNumber,0),1,1)</f>
        <v>#REF!</v>
      </c>
      <c r="AK328" s="944" t="e">
        <f ca="1">INDEX(FlowCalDevice,MATCH(AH328,FlowCalNumber,0),1,1)</f>
        <v>#REF!</v>
      </c>
      <c r="AL328" s="20"/>
      <c r="AO328" s="982"/>
      <c r="AP328" s="960"/>
      <c r="AS328" s="982"/>
      <c r="AT328" s="20"/>
      <c r="AW328" s="982"/>
      <c r="AX328" s="946"/>
      <c r="BA328" s="982"/>
      <c r="BB328" s="20"/>
      <c r="BC328" s="16"/>
      <c r="BE328" s="982"/>
      <c r="BF328" s="946"/>
      <c r="BG328" s="16"/>
      <c r="BI328" s="982"/>
      <c r="BJ328" s="946"/>
      <c r="BK328" s="16"/>
      <c r="BM328" s="982"/>
      <c r="BN328" s="20"/>
      <c r="BO328" s="16"/>
      <c r="BQ328" s="982"/>
      <c r="BR328" s="946"/>
      <c r="BS328" s="16"/>
      <c r="BU328" s="982"/>
      <c r="BV328" s="946"/>
      <c r="BW328" s="16"/>
      <c r="BY328" s="982"/>
      <c r="BZ328" s="946"/>
      <c r="CA328" s="16"/>
      <c r="CC328" s="982"/>
      <c r="CD328" s="355"/>
      <c r="CE328" s="355"/>
      <c r="CF328" s="355"/>
      <c r="CG328" s="355"/>
      <c r="CH328" s="355"/>
      <c r="CI328" s="355"/>
      <c r="CJ328" s="355"/>
      <c r="CK328" s="355"/>
      <c r="CL328" s="355"/>
      <c r="CM328" s="355"/>
      <c r="CN328" s="355"/>
      <c r="CO328" s="355"/>
      <c r="CP328" s="355"/>
      <c r="CQ328" s="355"/>
      <c r="CR328" s="355"/>
      <c r="CS328" s="355"/>
      <c r="CT328" s="355"/>
      <c r="CU328" s="355"/>
      <c r="CV328" s="355"/>
      <c r="CW328" s="355"/>
      <c r="CX328" s="355"/>
      <c r="CY328" s="355"/>
      <c r="CZ328" s="355"/>
      <c r="DA328" s="355"/>
      <c r="DB328" s="355"/>
      <c r="DC328" s="355"/>
      <c r="DD328" s="355"/>
      <c r="DE328" s="355"/>
      <c r="DF328" s="355"/>
      <c r="DG328" s="355"/>
      <c r="DH328" s="355"/>
      <c r="DI328" s="355"/>
      <c r="DJ328" s="355"/>
      <c r="DK328" s="355"/>
      <c r="DL328" s="46"/>
      <c r="DM328" s="16"/>
      <c r="DO328" s="355"/>
      <c r="DP328" s="42"/>
      <c r="DQ328" s="16"/>
      <c r="DS328" s="355"/>
      <c r="DT328" s="42"/>
      <c r="DU328" s="16"/>
      <c r="DW328" s="355"/>
      <c r="DX328" s="42"/>
      <c r="DY328" s="16"/>
      <c r="EA328" s="355"/>
    </row>
    <row r="329" spans="1:131">
      <c r="A329" s="20"/>
      <c r="B329" s="124" t="str">
        <f t="shared" ref="B329:B343" si="310">IF(D329=UAnem1percent,"1% Wind","")</f>
        <v/>
      </c>
      <c r="C329" s="235"/>
      <c r="D329" s="24">
        <f>'1% Wind'!$M$82</f>
        <v>27</v>
      </c>
      <c r="E329" s="90"/>
      <c r="F329" s="90"/>
      <c r="G329" s="79" t="e">
        <f ca="1">IF(I328=0.9743,$G328,MAX(G328/D328*D329,2))</f>
        <v>#REF!</v>
      </c>
      <c r="H329" s="121" t="e">
        <f t="shared" ref="H329:H343" ca="1" si="311">H328*(D328/D329)*(G329/G328)</f>
        <v>#REF!</v>
      </c>
      <c r="J329" s="33"/>
      <c r="K329" s="260">
        <f>K$17/100</f>
        <v>1</v>
      </c>
      <c r="L329" s="241" t="e">
        <f ca="1">K329*$H329</f>
        <v>#REF!</v>
      </c>
      <c r="M329" s="243" t="e">
        <f ca="1">IF(AND(INDEX(FlowCalConstA,MATCH(J328,FlowCalNumber,0),1,1)*L329^INDEX(FlowCalConstB,MATCH(J328,FlowCalNumber,0),1,1)&gt;INDEX(FlowCalLowSetting,MATCH(J328,FlowCalNumber,0),1,1), (INDEX(FlowCalConstA,MATCH(J328,FlowCalNumber,0),1,1)*L329^INDEX(FlowCalConstB,MATCH(J328,FlowCalNumber,0),1,1)&lt;INDEX(FlowCalHighSetting,MATCH(J328,FlowCalNumber,0),1,1))),INDEX(FlowCalConstA,MATCH(J328,FlowCalNumber,0),1,1)*L329^INDEX(FlowCalConstB,MATCH(J328,FlowCalNumber,0),1,1)," ")</f>
        <v>#REF!</v>
      </c>
      <c r="N329" s="33"/>
      <c r="O329" s="260">
        <f>O$17/100</f>
        <v>1</v>
      </c>
      <c r="P329" s="241" t="e">
        <f ca="1">O329*$H329</f>
        <v>#REF!</v>
      </c>
      <c r="Q329" s="243" t="e">
        <f ca="1">IF(AND(INDEX(FlowCalConstA,MATCH(N328,FlowCalNumber,0),1,1)*P329^INDEX(FlowCalConstB,MATCH(N328,FlowCalNumber,0),1,1)&gt;INDEX(FlowCalLowSetting,MATCH(N328,FlowCalNumber,0),1,1), (INDEX(FlowCalConstA,MATCH(N328,FlowCalNumber,0),1,1)*P329^INDEX(FlowCalConstB,MATCH(N328,FlowCalNumber,0),1,1)&lt;INDEX(FlowCalHighSetting,MATCH(N328,FlowCalNumber,0),1,1))),INDEX(FlowCalConstA,MATCH(N328,FlowCalNumber,0),1,1)*P329^INDEX(FlowCalConstB,MATCH(N328,FlowCalNumber,0),1,1)," ")</f>
        <v>#REF!</v>
      </c>
      <c r="R329" s="33"/>
      <c r="S329" s="260">
        <f>S$17/100</f>
        <v>1</v>
      </c>
      <c r="T329" s="241" t="e">
        <f ca="1">S329*$H329</f>
        <v>#REF!</v>
      </c>
      <c r="U329" s="244" t="e">
        <f ca="1">IF(AND(INDEX(FlowCalConstA,MATCH(R328,FlowCalNumber,0),1,1)*T329^INDEX(FlowCalConstB,MATCH(R328,FlowCalNumber,0),1,1)&gt;INDEX(FlowCalLowSetting,MATCH(R328,FlowCalNumber,0),1,1), (INDEX(FlowCalConstA,MATCH(R328,FlowCalNumber,0),1,1)*T329^INDEX(FlowCalConstB,MATCH(R328,FlowCalNumber,0),1,1)&lt;INDEX(FlowCalHighSetting,MATCH(R328,FlowCalNumber,0),1,1))),INDEX(FlowCalConstA,MATCH(R328,FlowCalNumber,0),1,1)*T329^INDEX(FlowCalConstB,MATCH(R328,FlowCalNumber,0),1,1)," ")</f>
        <v>#REF!</v>
      </c>
      <c r="V329" s="33"/>
      <c r="W329" s="260">
        <f>W$17/100</f>
        <v>0.1</v>
      </c>
      <c r="X329" s="241" t="e">
        <f ca="1">W329*$H329</f>
        <v>#REF!</v>
      </c>
      <c r="Y329" s="243" t="e">
        <f ca="1">IF(AND(INDEX(FlowCalConstA,MATCH(V328,FlowCalNumber,0),1,1)*X329^INDEX(FlowCalConstB,MATCH(V328,FlowCalNumber,0),1,1)&gt;INDEX(FlowCalLowSetting,MATCH(V328,FlowCalNumber,0),1,1), (INDEX(FlowCalConstA,MATCH(V328,FlowCalNumber,0),1,1)*X329^INDEX(FlowCalConstB,MATCH(V328,FlowCalNumber,0),1,1)&lt;INDEX(FlowCalHighSetting,MATCH(V328,FlowCalNumber,0),1,1))),INDEX(FlowCalConstA,MATCH(V328,FlowCalNumber,0),1,1)*X329^INDEX(FlowCalConstB,MATCH(V328,FlowCalNumber,0),1,1)," ")</f>
        <v>#REF!</v>
      </c>
      <c r="Z329" s="33"/>
      <c r="AA329" s="260">
        <f>AA$17/100</f>
        <v>0.9</v>
      </c>
      <c r="AB329" s="241" t="e">
        <f ca="1">AA329*$H329</f>
        <v>#REF!</v>
      </c>
      <c r="AC329" s="243" t="e">
        <f ca="1">IF(AND(INDEX(FlowCalConstA,MATCH(Z328,FlowCalNumber,0),1,1)*AB329^INDEX(FlowCalConstB,MATCH(Z328,FlowCalNumber,0),1,1)&gt;INDEX(FlowCalLowSetting,MATCH(Z328,FlowCalNumber,0),1,1), (INDEX(FlowCalConstA,MATCH(Z328,FlowCalNumber,0),1,1)*AB329^INDEX(FlowCalConstB,MATCH(Z328,FlowCalNumber,0),1,1)&lt;INDEX(FlowCalHighSetting,MATCH(Z328,FlowCalNumber,0),1,1))),INDEX(FlowCalConstA,MATCH(Z328,FlowCalNumber,0),1,1)*AB329^INDEX(FlowCalConstB,MATCH(Z328,FlowCalNumber,0),1,1)," ")</f>
        <v>#REF!</v>
      </c>
      <c r="AD329" s="33"/>
      <c r="AE329" s="260">
        <f>AE$17/100</f>
        <v>0.1</v>
      </c>
      <c r="AF329" s="241" t="e">
        <f ca="1">AE329*$H329</f>
        <v>#REF!</v>
      </c>
      <c r="AG329" s="243" t="e">
        <f ca="1">IF(AND(INDEX(FlowCalConstA,MATCH(AD328,FlowCalNumber,0),1,1)*AF329^INDEX(FlowCalConstB,MATCH(AD328,FlowCalNumber,0),1,1)&gt;INDEX(FlowCalLowSetting,MATCH(AD328,FlowCalNumber,0),1,1), (INDEX(FlowCalConstA,MATCH(AD328,FlowCalNumber,0),1,1)*AF329^INDEX(FlowCalConstB,MATCH(AD328,FlowCalNumber,0),1,1)&lt;INDEX(FlowCalHighSetting,MATCH(AD328,FlowCalNumber,0),1,1))),INDEX(FlowCalConstA,MATCH(AD328,FlowCalNumber,0),1,1)*AF329^INDEX(FlowCalConstB,MATCH(AD328,FlowCalNumber,0),1,1)," ")</f>
        <v>#REF!</v>
      </c>
      <c r="AH329" s="33"/>
      <c r="AI329" s="260">
        <f>AI$17/100</f>
        <v>0.9</v>
      </c>
      <c r="AJ329" s="241" t="e">
        <f ca="1">AI329*$H329</f>
        <v>#REF!</v>
      </c>
      <c r="AK329" s="243" t="e">
        <f ca="1">IF(AND(INDEX(FlowCalConstA,MATCH(AH328,FlowCalNumber,0),1,1)*AJ329^INDEX(FlowCalConstB,MATCH(AH328,FlowCalNumber,0),1,1)&gt;INDEX(FlowCalLowSetting,MATCH(AH328,FlowCalNumber,0),1,1), (INDEX(FlowCalConstA,MATCH(AH328,FlowCalNumber,0),1,1)*AJ329^INDEX(FlowCalConstB,MATCH(AH328,FlowCalNumber,0),1,1)&lt;INDEX(FlowCalHighSetting,MATCH(AH328,FlowCalNumber,0),1,1))),INDEX(FlowCalConstA,MATCH(AH328,FlowCalNumber,0),1,1)*AJ329^INDEX(FlowCalConstB,MATCH(AH328,FlowCalNumber,0),1,1)," ")</f>
        <v>#REF!</v>
      </c>
      <c r="AL329" s="33"/>
      <c r="AM329" s="260"/>
      <c r="AN329" s="241"/>
      <c r="AO329" s="244"/>
      <c r="AQ329" s="260"/>
      <c r="AR329" s="241"/>
      <c r="AS329" s="244"/>
      <c r="AT329" s="33"/>
      <c r="AU329" s="260"/>
      <c r="AV329" s="241"/>
      <c r="AW329" s="244"/>
      <c r="AX329" s="33"/>
      <c r="AY329" s="260"/>
      <c r="AZ329" s="241"/>
      <c r="BA329" s="244"/>
      <c r="BB329" s="33"/>
      <c r="BC329" s="260"/>
      <c r="BD329" s="241"/>
      <c r="BE329" s="244"/>
      <c r="BF329" s="33"/>
      <c r="BG329" s="260"/>
      <c r="BH329" s="241"/>
      <c r="BI329" s="244"/>
      <c r="BJ329" s="33"/>
      <c r="BK329" s="260"/>
      <c r="BL329" s="241"/>
      <c r="BM329" s="244"/>
      <c r="BN329" s="33"/>
      <c r="BO329" s="260"/>
      <c r="BP329" s="241"/>
      <c r="BQ329" s="244"/>
      <c r="BR329" s="33"/>
      <c r="BS329" s="260"/>
      <c r="BT329" s="241"/>
      <c r="BU329" s="244"/>
      <c r="BV329" s="33"/>
      <c r="BW329" s="260"/>
      <c r="BX329" s="241"/>
      <c r="BY329" s="244"/>
      <c r="BZ329" s="33"/>
      <c r="CA329" s="260"/>
      <c r="CB329" s="241"/>
      <c r="CC329" s="244"/>
      <c r="CD329" s="243"/>
      <c r="CE329" s="243"/>
      <c r="CF329" s="243"/>
      <c r="CG329" s="243"/>
      <c r="CH329" s="243"/>
      <c r="CI329" s="243"/>
      <c r="CJ329" s="243"/>
      <c r="CK329" s="243"/>
      <c r="CL329" s="243"/>
      <c r="CM329" s="243"/>
      <c r="CN329" s="243"/>
      <c r="CO329" s="243"/>
      <c r="CP329" s="243"/>
      <c r="CQ329" s="243"/>
      <c r="CR329" s="243"/>
      <c r="CS329" s="243"/>
      <c r="CT329" s="243"/>
      <c r="CU329" s="243"/>
      <c r="CV329" s="243"/>
      <c r="CW329" s="243"/>
      <c r="CX329" s="243"/>
      <c r="CY329" s="243"/>
      <c r="CZ329" s="243"/>
      <c r="DA329" s="243"/>
      <c r="DB329" s="243"/>
      <c r="DC329" s="243"/>
      <c r="DD329" s="243"/>
      <c r="DE329" s="243"/>
      <c r="DF329" s="243"/>
      <c r="DG329" s="243"/>
      <c r="DH329" s="243"/>
      <c r="DI329" s="243"/>
      <c r="DJ329" s="243"/>
      <c r="DK329" s="243"/>
      <c r="DM329" s="259"/>
      <c r="DO329" s="243"/>
      <c r="DQ329" s="259"/>
      <c r="DS329" s="243"/>
      <c r="DU329" s="259"/>
      <c r="DW329" s="243"/>
      <c r="DY329" s="260"/>
      <c r="EA329" s="243"/>
    </row>
    <row r="330" spans="1:131">
      <c r="A330" s="20"/>
      <c r="B330" s="124" t="str">
        <f t="shared" si="310"/>
        <v/>
      </c>
      <c r="C330" s="235"/>
      <c r="D330" s="24">
        <f>'1% Wind'!$M$83</f>
        <v>23.5</v>
      </c>
      <c r="E330" s="90"/>
      <c r="F330" s="90"/>
      <c r="G330" s="79" t="e">
        <f ca="1">IF(I328=0.9743,$G329,MAX(G329/D329*D330,2))</f>
        <v>#REF!</v>
      </c>
      <c r="H330" s="121" t="e">
        <f t="shared" ca="1" si="311"/>
        <v>#REF!</v>
      </c>
      <c r="J330" s="33"/>
      <c r="K330" s="242">
        <f t="shared" ref="K330:K343" si="312">K329</f>
        <v>1</v>
      </c>
      <c r="L330" s="241" t="e">
        <f t="shared" ref="L330:L343" ca="1" si="313">K330*$H330</f>
        <v>#REF!</v>
      </c>
      <c r="M330" s="243" t="e">
        <f ca="1">IF(AND(INDEX(FlowCalConstA,MATCH(J328,FlowCalNumber,0),1,1)*L330^INDEX(FlowCalConstB,MATCH(J328,FlowCalNumber,0),1,1)&gt;INDEX(FlowCalLowSetting,MATCH(J328,FlowCalNumber,0),1,1), (INDEX(FlowCalConstA,MATCH(J328,FlowCalNumber,0),1,1)*L330^INDEX(FlowCalConstB,MATCH(J328,FlowCalNumber,0),1,1)&lt;INDEX(FlowCalHighSetting,MATCH(J328,FlowCalNumber,0),1,1))),INDEX(FlowCalConstA,MATCH(J328,FlowCalNumber,0),1,1)*L330^INDEX(FlowCalConstB,MATCH(J328,FlowCalNumber,0),1,1)," ")</f>
        <v>#REF!</v>
      </c>
      <c r="N330" s="33"/>
      <c r="O330" s="242">
        <f t="shared" ref="O330:O343" si="314">O329</f>
        <v>1</v>
      </c>
      <c r="P330" s="241" t="e">
        <f t="shared" ref="P330:P343" ca="1" si="315">O330*$H330</f>
        <v>#REF!</v>
      </c>
      <c r="Q330" s="243" t="e">
        <f ca="1">IF(AND(INDEX(FlowCalConstA,MATCH(N328,FlowCalNumber,0),1,1)*P330^INDEX(FlowCalConstB,MATCH(N328,FlowCalNumber,0),1,1)&gt;INDEX(FlowCalLowSetting,MATCH(N328,FlowCalNumber,0),1,1), (INDEX(FlowCalConstA,MATCH(N328,FlowCalNumber,0),1,1)*P330^INDEX(FlowCalConstB,MATCH(N328,FlowCalNumber,0),1,1)&lt;INDEX(FlowCalHighSetting,MATCH(N328,FlowCalNumber,0),1,1))),INDEX(FlowCalConstA,MATCH(N328,FlowCalNumber,0),1,1)*P330^INDEX(FlowCalConstB,MATCH(N328,FlowCalNumber,0),1,1)," ")</f>
        <v>#REF!</v>
      </c>
      <c r="R330" s="33"/>
      <c r="S330" s="242">
        <f t="shared" ref="S330:S343" si="316">S329</f>
        <v>1</v>
      </c>
      <c r="T330" s="241" t="e">
        <f t="shared" ref="T330:T343" ca="1" si="317">S330*$H330</f>
        <v>#REF!</v>
      </c>
      <c r="U330" s="244" t="e">
        <f ca="1">IF(AND(INDEX(FlowCalConstA,MATCH(R328,FlowCalNumber,0),1,1)*T330^INDEX(FlowCalConstB,MATCH(R328,FlowCalNumber,0),1,1)&gt;INDEX(FlowCalLowSetting,MATCH(R328,FlowCalNumber,0),1,1), (INDEX(FlowCalConstA,MATCH(R328,FlowCalNumber,0),1,1)*T330^INDEX(FlowCalConstB,MATCH(R328,FlowCalNumber,0),1,1)&lt;INDEX(FlowCalHighSetting,MATCH(R328,FlowCalNumber,0),1,1))),INDEX(FlowCalConstA,MATCH(R328,FlowCalNumber,0),1,1)*T330^INDEX(FlowCalConstB,MATCH(R328,FlowCalNumber,0),1,1)," ")</f>
        <v>#REF!</v>
      </c>
      <c r="V330" s="33"/>
      <c r="W330" s="242">
        <f t="shared" ref="W330:W343" si="318">W329</f>
        <v>0.1</v>
      </c>
      <c r="X330" s="241" t="e">
        <f t="shared" ref="X330:X343" ca="1" si="319">W330*$H330</f>
        <v>#REF!</v>
      </c>
      <c r="Y330" s="243" t="e">
        <f ca="1">IF(AND(INDEX(FlowCalConstA,MATCH(V328,FlowCalNumber,0),1,1)*X330^INDEX(FlowCalConstB,MATCH(V328,FlowCalNumber,0),1,1)&gt;INDEX(FlowCalLowSetting,MATCH(V328,FlowCalNumber,0),1,1), (INDEX(FlowCalConstA,MATCH(V328,FlowCalNumber,0),1,1)*X330^INDEX(FlowCalConstB,MATCH(V328,FlowCalNumber,0),1,1)&lt;INDEX(FlowCalHighSetting,MATCH(V328,FlowCalNumber,0),1,1))),INDEX(FlowCalConstA,MATCH(V328,FlowCalNumber,0),1,1)*X330^INDEX(FlowCalConstB,MATCH(V328,FlowCalNumber,0),1,1)," ")</f>
        <v>#REF!</v>
      </c>
      <c r="Z330" s="33"/>
      <c r="AA330" s="242">
        <f t="shared" ref="AA330:AA343" si="320">AA329</f>
        <v>0.9</v>
      </c>
      <c r="AB330" s="241" t="e">
        <f t="shared" ref="AB330:AB343" ca="1" si="321">AA330*$H330</f>
        <v>#REF!</v>
      </c>
      <c r="AC330" s="243" t="e">
        <f ca="1">IF(AND(INDEX(FlowCalConstA,MATCH(Z328,FlowCalNumber,0),1,1)*AB330^INDEX(FlowCalConstB,MATCH(Z328,FlowCalNumber,0),1,1)&gt;INDEX(FlowCalLowSetting,MATCH(Z328,FlowCalNumber,0),1,1), (INDEX(FlowCalConstA,MATCH(Z328,FlowCalNumber,0),1,1)*AB330^INDEX(FlowCalConstB,MATCH(Z328,FlowCalNumber,0),1,1)&lt;INDEX(FlowCalHighSetting,MATCH(Z328,FlowCalNumber,0),1,1))),INDEX(FlowCalConstA,MATCH(Z328,FlowCalNumber,0),1,1)*AB330^INDEX(FlowCalConstB,MATCH(Z328,FlowCalNumber,0),1,1)," ")</f>
        <v>#REF!</v>
      </c>
      <c r="AD330" s="33"/>
      <c r="AE330" s="242">
        <f t="shared" ref="AE330:AE343" si="322">AE329</f>
        <v>0.1</v>
      </c>
      <c r="AF330" s="241" t="e">
        <f t="shared" ref="AF330:AF343" ca="1" si="323">AE330*$H330</f>
        <v>#REF!</v>
      </c>
      <c r="AG330" s="243" t="e">
        <f ca="1">IF(AND(INDEX(FlowCalConstA,MATCH(AD328,FlowCalNumber,0),1,1)*AF330^INDEX(FlowCalConstB,MATCH(AD328,FlowCalNumber,0),1,1)&gt;INDEX(FlowCalLowSetting,MATCH(AD328,FlowCalNumber,0),1,1), (INDEX(FlowCalConstA,MATCH(AD328,FlowCalNumber,0),1,1)*AF330^INDEX(FlowCalConstB,MATCH(AD328,FlowCalNumber,0),1,1)&lt;INDEX(FlowCalHighSetting,MATCH(AD328,FlowCalNumber,0),1,1))),INDEX(FlowCalConstA,MATCH(AD328,FlowCalNumber,0),1,1)*AF330^INDEX(FlowCalConstB,MATCH(AD328,FlowCalNumber,0),1,1)," ")</f>
        <v>#REF!</v>
      </c>
      <c r="AH330" s="33"/>
      <c r="AI330" s="242">
        <f t="shared" ref="AI330:AI343" si="324">AI329</f>
        <v>0.9</v>
      </c>
      <c r="AJ330" s="241" t="e">
        <f t="shared" ref="AJ330:AJ343" ca="1" si="325">AI330*$H330</f>
        <v>#REF!</v>
      </c>
      <c r="AK330" s="243" t="e">
        <f ca="1">IF(AND(INDEX(FlowCalConstA,MATCH(AH328,FlowCalNumber,0),1,1)*AJ330^INDEX(FlowCalConstB,MATCH(AH328,FlowCalNumber,0),1,1)&gt;INDEX(FlowCalLowSetting,MATCH(AH328,FlowCalNumber,0),1,1), (INDEX(FlowCalConstA,MATCH(AH328,FlowCalNumber,0),1,1)*AJ330^INDEX(FlowCalConstB,MATCH(AH328,FlowCalNumber,0),1,1)&lt;INDEX(FlowCalHighSetting,MATCH(AH328,FlowCalNumber,0),1,1))),INDEX(FlowCalConstA,MATCH(AH328,FlowCalNumber,0),1,1)*AJ330^INDEX(FlowCalConstB,MATCH(AH328,FlowCalNumber,0),1,1)," ")</f>
        <v>#REF!</v>
      </c>
      <c r="AL330" s="33"/>
      <c r="AM330" s="242"/>
      <c r="AN330" s="241"/>
      <c r="AO330" s="244"/>
      <c r="AQ330" s="242"/>
      <c r="AR330" s="241"/>
      <c r="AS330" s="244"/>
      <c r="AT330" s="33"/>
      <c r="AU330" s="242"/>
      <c r="AV330" s="241"/>
      <c r="AW330" s="244"/>
      <c r="AX330" s="33"/>
      <c r="AY330" s="242"/>
      <c r="AZ330" s="241"/>
      <c r="BA330" s="244"/>
      <c r="BB330" s="33"/>
      <c r="BC330" s="242"/>
      <c r="BD330" s="241"/>
      <c r="BE330" s="244"/>
      <c r="BF330" s="33"/>
      <c r="BG330" s="242"/>
      <c r="BH330" s="241"/>
      <c r="BI330" s="244"/>
      <c r="BJ330" s="33"/>
      <c r="BK330" s="242"/>
      <c r="BL330" s="241"/>
      <c r="BM330" s="244"/>
      <c r="BN330" s="33"/>
      <c r="BO330" s="242"/>
      <c r="BP330" s="241"/>
      <c r="BQ330" s="244"/>
      <c r="BR330" s="33"/>
      <c r="BS330" s="242"/>
      <c r="BT330" s="241"/>
      <c r="BU330" s="244"/>
      <c r="BV330" s="33"/>
      <c r="BW330" s="242"/>
      <c r="BX330" s="241"/>
      <c r="BY330" s="244"/>
      <c r="BZ330" s="33"/>
      <c r="CA330" s="242"/>
      <c r="CB330" s="241"/>
      <c r="CC330" s="244"/>
      <c r="CD330" s="243"/>
      <c r="CE330" s="243"/>
      <c r="CF330" s="243"/>
      <c r="CG330" s="243"/>
      <c r="CH330" s="243"/>
      <c r="CI330" s="243"/>
      <c r="CJ330" s="243"/>
      <c r="CK330" s="243"/>
      <c r="CL330" s="243"/>
      <c r="CM330" s="243"/>
      <c r="CN330" s="243"/>
      <c r="CO330" s="243"/>
      <c r="CP330" s="243"/>
      <c r="CQ330" s="243"/>
      <c r="CR330" s="243"/>
      <c r="CS330" s="243"/>
      <c r="CT330" s="243"/>
      <c r="CU330" s="243"/>
      <c r="CV330" s="243"/>
      <c r="CW330" s="243"/>
      <c r="CX330" s="243"/>
      <c r="CY330" s="243"/>
      <c r="CZ330" s="243"/>
      <c r="DA330" s="243"/>
      <c r="DB330" s="243"/>
      <c r="DC330" s="243"/>
      <c r="DD330" s="243"/>
      <c r="DE330" s="243"/>
      <c r="DF330" s="243"/>
      <c r="DG330" s="243"/>
      <c r="DH330" s="243"/>
      <c r="DI330" s="243"/>
      <c r="DJ330" s="243"/>
      <c r="DK330" s="243"/>
      <c r="DM330" s="242"/>
      <c r="DO330" s="243"/>
      <c r="DQ330" s="242"/>
      <c r="DS330" s="243"/>
      <c r="DU330" s="242"/>
      <c r="DW330" s="243"/>
      <c r="DY330" s="242"/>
      <c r="EA330" s="243"/>
    </row>
    <row r="331" spans="1:131">
      <c r="A331" s="20"/>
      <c r="B331" s="124" t="str">
        <f t="shared" si="310"/>
        <v/>
      </c>
      <c r="C331" s="235"/>
      <c r="D331" s="24">
        <f>'1% Wind'!$M$84</f>
        <v>20.5</v>
      </c>
      <c r="E331" s="90"/>
      <c r="F331" s="90"/>
      <c r="G331" s="79" t="e">
        <f ca="1">IF(I328=0.9743,$G330,MAX(G330/D330*D331,2))</f>
        <v>#REF!</v>
      </c>
      <c r="H331" s="121" t="e">
        <f t="shared" ca="1" si="311"/>
        <v>#REF!</v>
      </c>
      <c r="J331" s="33"/>
      <c r="K331" s="242">
        <f t="shared" si="312"/>
        <v>1</v>
      </c>
      <c r="L331" s="241" t="e">
        <f t="shared" ca="1" si="313"/>
        <v>#REF!</v>
      </c>
      <c r="M331" s="243" t="e">
        <f ca="1">IF(AND(INDEX(FlowCalConstA,MATCH(J328,FlowCalNumber,0),1,1)*L331^INDEX(FlowCalConstB,MATCH(J328,FlowCalNumber,0),1,1)&gt;INDEX(FlowCalLowSetting,MATCH(J328,FlowCalNumber,0),1,1), (INDEX(FlowCalConstA,MATCH(J328,FlowCalNumber,0),1,1)*L331^INDEX(FlowCalConstB,MATCH(J328,FlowCalNumber,0),1,1)&lt;INDEX(FlowCalHighSetting,MATCH(J328,FlowCalNumber,0),1,1))),INDEX(FlowCalConstA,MATCH(J328,FlowCalNumber,0),1,1)*L331^INDEX(FlowCalConstB,MATCH(J328,FlowCalNumber,0),1,1)," ")</f>
        <v>#REF!</v>
      </c>
      <c r="N331" s="33"/>
      <c r="O331" s="242">
        <f t="shared" si="314"/>
        <v>1</v>
      </c>
      <c r="P331" s="241" t="e">
        <f t="shared" ca="1" si="315"/>
        <v>#REF!</v>
      </c>
      <c r="Q331" s="243" t="e">
        <f ca="1">IF(AND(INDEX(FlowCalConstA,MATCH(N328,FlowCalNumber,0),1,1)*P331^INDEX(FlowCalConstB,MATCH(N328,FlowCalNumber,0),1,1)&gt;INDEX(FlowCalLowSetting,MATCH(N328,FlowCalNumber,0),1,1), (INDEX(FlowCalConstA,MATCH(N328,FlowCalNumber,0),1,1)*P331^INDEX(FlowCalConstB,MATCH(N328,FlowCalNumber,0),1,1)&lt;INDEX(FlowCalHighSetting,MATCH(N328,FlowCalNumber,0),1,1))),INDEX(FlowCalConstA,MATCH(N328,FlowCalNumber,0),1,1)*P331^INDEX(FlowCalConstB,MATCH(N328,FlowCalNumber,0),1,1)," ")</f>
        <v>#REF!</v>
      </c>
      <c r="R331" s="33"/>
      <c r="S331" s="242">
        <f t="shared" si="316"/>
        <v>1</v>
      </c>
      <c r="T331" s="241" t="e">
        <f t="shared" ca="1" si="317"/>
        <v>#REF!</v>
      </c>
      <c r="U331" s="244" t="e">
        <f ca="1">IF(AND(INDEX(FlowCalConstA,MATCH(R328,FlowCalNumber,0),1,1)*T331^INDEX(FlowCalConstB,MATCH(R328,FlowCalNumber,0),1,1)&gt;INDEX(FlowCalLowSetting,MATCH(R328,FlowCalNumber,0),1,1), (INDEX(FlowCalConstA,MATCH(R328,FlowCalNumber,0),1,1)*T331^INDEX(FlowCalConstB,MATCH(R328,FlowCalNumber,0),1,1)&lt;INDEX(FlowCalHighSetting,MATCH(R328,FlowCalNumber,0),1,1))),INDEX(FlowCalConstA,MATCH(R328,FlowCalNumber,0),1,1)*T331^INDEX(FlowCalConstB,MATCH(R328,FlowCalNumber,0),1,1)," ")</f>
        <v>#REF!</v>
      </c>
      <c r="V331" s="33"/>
      <c r="W331" s="242">
        <f t="shared" si="318"/>
        <v>0.1</v>
      </c>
      <c r="X331" s="241" t="e">
        <f t="shared" ca="1" si="319"/>
        <v>#REF!</v>
      </c>
      <c r="Y331" s="243" t="e">
        <f ca="1">IF(AND(INDEX(FlowCalConstA,MATCH(V328,FlowCalNumber,0),1,1)*X331^INDEX(FlowCalConstB,MATCH(V328,FlowCalNumber,0),1,1)&gt;INDEX(FlowCalLowSetting,MATCH(V328,FlowCalNumber,0),1,1), (INDEX(FlowCalConstA,MATCH(V328,FlowCalNumber,0),1,1)*X331^INDEX(FlowCalConstB,MATCH(V328,FlowCalNumber,0),1,1)&lt;INDEX(FlowCalHighSetting,MATCH(V328,FlowCalNumber,0),1,1))),INDEX(FlowCalConstA,MATCH(V328,FlowCalNumber,0),1,1)*X331^INDEX(FlowCalConstB,MATCH(V328,FlowCalNumber,0),1,1)," ")</f>
        <v>#REF!</v>
      </c>
      <c r="Z331" s="33"/>
      <c r="AA331" s="242">
        <f t="shared" si="320"/>
        <v>0.9</v>
      </c>
      <c r="AB331" s="241" t="e">
        <f t="shared" ca="1" si="321"/>
        <v>#REF!</v>
      </c>
      <c r="AC331" s="243" t="e">
        <f ca="1">IF(AND(INDEX(FlowCalConstA,MATCH(Z328,FlowCalNumber,0),1,1)*AB331^INDEX(FlowCalConstB,MATCH(Z328,FlowCalNumber,0),1,1)&gt;INDEX(FlowCalLowSetting,MATCH(Z328,FlowCalNumber,0),1,1), (INDEX(FlowCalConstA,MATCH(Z328,FlowCalNumber,0),1,1)*AB331^INDEX(FlowCalConstB,MATCH(Z328,FlowCalNumber,0),1,1)&lt;INDEX(FlowCalHighSetting,MATCH(Z328,FlowCalNumber,0),1,1))),INDEX(FlowCalConstA,MATCH(Z328,FlowCalNumber,0),1,1)*AB331^INDEX(FlowCalConstB,MATCH(Z328,FlowCalNumber,0),1,1)," ")</f>
        <v>#REF!</v>
      </c>
      <c r="AD331" s="33"/>
      <c r="AE331" s="242">
        <f t="shared" si="322"/>
        <v>0.1</v>
      </c>
      <c r="AF331" s="241" t="e">
        <f t="shared" ca="1" si="323"/>
        <v>#REF!</v>
      </c>
      <c r="AG331" s="243" t="e">
        <f ca="1">IF(AND(INDEX(FlowCalConstA,MATCH(AD328,FlowCalNumber,0),1,1)*AF331^INDEX(FlowCalConstB,MATCH(AD328,FlowCalNumber,0),1,1)&gt;INDEX(FlowCalLowSetting,MATCH(AD328,FlowCalNumber,0),1,1), (INDEX(FlowCalConstA,MATCH(AD328,FlowCalNumber,0),1,1)*AF331^INDEX(FlowCalConstB,MATCH(AD328,FlowCalNumber,0),1,1)&lt;INDEX(FlowCalHighSetting,MATCH(AD328,FlowCalNumber,0),1,1))),INDEX(FlowCalConstA,MATCH(AD328,FlowCalNumber,0),1,1)*AF331^INDEX(FlowCalConstB,MATCH(AD328,FlowCalNumber,0),1,1)," ")</f>
        <v>#REF!</v>
      </c>
      <c r="AH331" s="33"/>
      <c r="AI331" s="242">
        <f t="shared" si="324"/>
        <v>0.9</v>
      </c>
      <c r="AJ331" s="241" t="e">
        <f t="shared" ca="1" si="325"/>
        <v>#REF!</v>
      </c>
      <c r="AK331" s="243" t="e">
        <f ca="1">IF(AND(INDEX(FlowCalConstA,MATCH(AH328,FlowCalNumber,0),1,1)*AJ331^INDEX(FlowCalConstB,MATCH(AH328,FlowCalNumber,0),1,1)&gt;INDEX(FlowCalLowSetting,MATCH(AH328,FlowCalNumber,0),1,1), (INDEX(FlowCalConstA,MATCH(AH328,FlowCalNumber,0),1,1)*AJ331^INDEX(FlowCalConstB,MATCH(AH328,FlowCalNumber,0),1,1)&lt;INDEX(FlowCalHighSetting,MATCH(AH328,FlowCalNumber,0),1,1))),INDEX(FlowCalConstA,MATCH(AH328,FlowCalNumber,0),1,1)*AJ331^INDEX(FlowCalConstB,MATCH(AH328,FlowCalNumber,0),1,1)," ")</f>
        <v>#REF!</v>
      </c>
      <c r="AL331" s="33"/>
      <c r="AM331" s="242"/>
      <c r="AN331" s="241"/>
      <c r="AO331" s="244"/>
      <c r="AQ331" s="242"/>
      <c r="AR331" s="241"/>
      <c r="AS331" s="244"/>
      <c r="AT331" s="33"/>
      <c r="AU331" s="242"/>
      <c r="AV331" s="241"/>
      <c r="AW331" s="244"/>
      <c r="AX331" s="33"/>
      <c r="AY331" s="242"/>
      <c r="AZ331" s="241"/>
      <c r="BA331" s="244"/>
      <c r="BB331" s="33"/>
      <c r="BC331" s="242"/>
      <c r="BD331" s="241"/>
      <c r="BE331" s="244"/>
      <c r="BF331" s="33"/>
      <c r="BG331" s="242"/>
      <c r="BH331" s="241"/>
      <c r="BI331" s="244"/>
      <c r="BJ331" s="33"/>
      <c r="BK331" s="242"/>
      <c r="BL331" s="241"/>
      <c r="BM331" s="244"/>
      <c r="BN331" s="33"/>
      <c r="BO331" s="242"/>
      <c r="BP331" s="241"/>
      <c r="BQ331" s="244"/>
      <c r="BR331" s="33"/>
      <c r="BS331" s="242"/>
      <c r="BT331" s="241"/>
      <c r="BU331" s="244"/>
      <c r="BV331" s="33"/>
      <c r="BW331" s="242"/>
      <c r="BX331" s="241"/>
      <c r="BY331" s="244"/>
      <c r="BZ331" s="33"/>
      <c r="CA331" s="242"/>
      <c r="CB331" s="241"/>
      <c r="CC331" s="244"/>
      <c r="CD331" s="243"/>
      <c r="CE331" s="243"/>
      <c r="CF331" s="243"/>
      <c r="CG331" s="243"/>
      <c r="CH331" s="243"/>
      <c r="CI331" s="243"/>
      <c r="CJ331" s="243"/>
      <c r="CK331" s="243"/>
      <c r="CL331" s="243"/>
      <c r="CM331" s="243"/>
      <c r="CN331" s="243"/>
      <c r="CO331" s="243"/>
      <c r="CP331" s="243"/>
      <c r="CQ331" s="243"/>
      <c r="CR331" s="243"/>
      <c r="CS331" s="243"/>
      <c r="CT331" s="243"/>
      <c r="CU331" s="243"/>
      <c r="CV331" s="243"/>
      <c r="CW331" s="243"/>
      <c r="CX331" s="243"/>
      <c r="CY331" s="243"/>
      <c r="CZ331" s="243"/>
      <c r="DA331" s="243"/>
      <c r="DB331" s="243"/>
      <c r="DC331" s="243"/>
      <c r="DD331" s="243"/>
      <c r="DE331" s="243"/>
      <c r="DF331" s="243"/>
      <c r="DG331" s="243"/>
      <c r="DH331" s="243"/>
      <c r="DI331" s="243"/>
      <c r="DJ331" s="243"/>
      <c r="DK331" s="243"/>
      <c r="DM331" s="242"/>
      <c r="DO331" s="243"/>
      <c r="DQ331" s="242"/>
      <c r="DS331" s="243"/>
      <c r="DU331" s="242"/>
      <c r="DW331" s="243"/>
      <c r="DY331" s="242"/>
      <c r="EA331" s="243"/>
    </row>
    <row r="332" spans="1:131">
      <c r="A332" s="20"/>
      <c r="B332" s="124" t="str">
        <f t="shared" si="310"/>
        <v/>
      </c>
      <c r="C332" s="235"/>
      <c r="D332" s="24">
        <f>'1% Wind'!$M$85</f>
        <v>17.8</v>
      </c>
      <c r="E332" s="90"/>
      <c r="F332" s="90"/>
      <c r="G332" s="79" t="e">
        <f ca="1">IF(I328=0.9743,$G331,MAX(G331/D331*D332,2))</f>
        <v>#REF!</v>
      </c>
      <c r="H332" s="121" t="e">
        <f t="shared" ca="1" si="311"/>
        <v>#REF!</v>
      </c>
      <c r="J332" s="33"/>
      <c r="K332" s="242">
        <f t="shared" si="312"/>
        <v>1</v>
      </c>
      <c r="L332" s="241" t="e">
        <f t="shared" ca="1" si="313"/>
        <v>#REF!</v>
      </c>
      <c r="M332" s="243" t="e">
        <f ca="1">IF(AND(INDEX(FlowCalConstA,MATCH(J328,FlowCalNumber,0),1,1)*L332^INDEX(FlowCalConstB,MATCH(J328,FlowCalNumber,0),1,1)&gt;INDEX(FlowCalLowSetting,MATCH(J328,FlowCalNumber,0),1,1), (INDEX(FlowCalConstA,MATCH(J328,FlowCalNumber,0),1,1)*L332^INDEX(FlowCalConstB,MATCH(J328,FlowCalNumber,0),1,1)&lt;INDEX(FlowCalHighSetting,MATCH(J328,FlowCalNumber,0),1,1))),INDEX(FlowCalConstA,MATCH(J328,FlowCalNumber,0),1,1)*L332^INDEX(FlowCalConstB,MATCH(J328,FlowCalNumber,0),1,1)," ")</f>
        <v>#REF!</v>
      </c>
      <c r="N332" s="33"/>
      <c r="O332" s="242">
        <f t="shared" si="314"/>
        <v>1</v>
      </c>
      <c r="P332" s="241" t="e">
        <f t="shared" ca="1" si="315"/>
        <v>#REF!</v>
      </c>
      <c r="Q332" s="243" t="e">
        <f ca="1">IF(AND(INDEX(FlowCalConstA,MATCH(N328,FlowCalNumber,0),1,1)*P332^INDEX(FlowCalConstB,MATCH(N328,FlowCalNumber,0),1,1)&gt;INDEX(FlowCalLowSetting,MATCH(N328,FlowCalNumber,0),1,1), (INDEX(FlowCalConstA,MATCH(N328,FlowCalNumber,0),1,1)*P332^INDEX(FlowCalConstB,MATCH(N328,FlowCalNumber,0),1,1)&lt;INDEX(FlowCalHighSetting,MATCH(N328,FlowCalNumber,0),1,1))),INDEX(FlowCalConstA,MATCH(N328,FlowCalNumber,0),1,1)*P332^INDEX(FlowCalConstB,MATCH(N328,FlowCalNumber,0),1,1)," ")</f>
        <v>#REF!</v>
      </c>
      <c r="R332" s="33"/>
      <c r="S332" s="242">
        <f t="shared" si="316"/>
        <v>1</v>
      </c>
      <c r="T332" s="241" t="e">
        <f t="shared" ca="1" si="317"/>
        <v>#REF!</v>
      </c>
      <c r="U332" s="244" t="e">
        <f ca="1">IF(AND(INDEX(FlowCalConstA,MATCH(R328,FlowCalNumber,0),1,1)*T332^INDEX(FlowCalConstB,MATCH(R328,FlowCalNumber,0),1,1)&gt;INDEX(FlowCalLowSetting,MATCH(R328,FlowCalNumber,0),1,1), (INDEX(FlowCalConstA,MATCH(R328,FlowCalNumber,0),1,1)*T332^INDEX(FlowCalConstB,MATCH(R328,FlowCalNumber,0),1,1)&lt;INDEX(FlowCalHighSetting,MATCH(R328,FlowCalNumber,0),1,1))),INDEX(FlowCalConstA,MATCH(R328,FlowCalNumber,0),1,1)*T332^INDEX(FlowCalConstB,MATCH(R328,FlowCalNumber,0),1,1)," ")</f>
        <v>#REF!</v>
      </c>
      <c r="V332" s="33"/>
      <c r="W332" s="242">
        <f t="shared" si="318"/>
        <v>0.1</v>
      </c>
      <c r="X332" s="241" t="e">
        <f t="shared" ca="1" si="319"/>
        <v>#REF!</v>
      </c>
      <c r="Y332" s="243" t="e">
        <f ca="1">IF(AND(INDEX(FlowCalConstA,MATCH(V328,FlowCalNumber,0),1,1)*X332^INDEX(FlowCalConstB,MATCH(V328,FlowCalNumber,0),1,1)&gt;INDEX(FlowCalLowSetting,MATCH(V328,FlowCalNumber,0),1,1), (INDEX(FlowCalConstA,MATCH(V328,FlowCalNumber,0),1,1)*X332^INDEX(FlowCalConstB,MATCH(V328,FlowCalNumber,0),1,1)&lt;INDEX(FlowCalHighSetting,MATCH(V328,FlowCalNumber,0),1,1))),INDEX(FlowCalConstA,MATCH(V328,FlowCalNumber,0),1,1)*X332^INDEX(FlowCalConstB,MATCH(V328,FlowCalNumber,0),1,1)," ")</f>
        <v>#REF!</v>
      </c>
      <c r="Z332" s="33"/>
      <c r="AA332" s="242">
        <f t="shared" si="320"/>
        <v>0.9</v>
      </c>
      <c r="AB332" s="241" t="e">
        <f t="shared" ca="1" si="321"/>
        <v>#REF!</v>
      </c>
      <c r="AC332" s="243" t="e">
        <f ca="1">IF(AND(INDEX(FlowCalConstA,MATCH(Z328,FlowCalNumber,0),1,1)*AB332^INDEX(FlowCalConstB,MATCH(Z328,FlowCalNumber,0),1,1)&gt;INDEX(FlowCalLowSetting,MATCH(Z328,FlowCalNumber,0),1,1), (INDEX(FlowCalConstA,MATCH(Z328,FlowCalNumber,0),1,1)*AB332^INDEX(FlowCalConstB,MATCH(Z328,FlowCalNumber,0),1,1)&lt;INDEX(FlowCalHighSetting,MATCH(Z328,FlowCalNumber,0),1,1))),INDEX(FlowCalConstA,MATCH(Z328,FlowCalNumber,0),1,1)*AB332^INDEX(FlowCalConstB,MATCH(Z328,FlowCalNumber,0),1,1)," ")</f>
        <v>#REF!</v>
      </c>
      <c r="AD332" s="33"/>
      <c r="AE332" s="242">
        <f t="shared" si="322"/>
        <v>0.1</v>
      </c>
      <c r="AF332" s="241" t="e">
        <f t="shared" ca="1" si="323"/>
        <v>#REF!</v>
      </c>
      <c r="AG332" s="243" t="e">
        <f ca="1">IF(AND(INDEX(FlowCalConstA,MATCH(AD328,FlowCalNumber,0),1,1)*AF332^INDEX(FlowCalConstB,MATCH(AD328,FlowCalNumber,0),1,1)&gt;INDEX(FlowCalLowSetting,MATCH(AD328,FlowCalNumber,0),1,1), (INDEX(FlowCalConstA,MATCH(AD328,FlowCalNumber,0),1,1)*AF332^INDEX(FlowCalConstB,MATCH(AD328,FlowCalNumber,0),1,1)&lt;INDEX(FlowCalHighSetting,MATCH(AD328,FlowCalNumber,0),1,1))),INDEX(FlowCalConstA,MATCH(AD328,FlowCalNumber,0),1,1)*AF332^INDEX(FlowCalConstB,MATCH(AD328,FlowCalNumber,0),1,1)," ")</f>
        <v>#REF!</v>
      </c>
      <c r="AH332" s="33"/>
      <c r="AI332" s="242">
        <f t="shared" si="324"/>
        <v>0.9</v>
      </c>
      <c r="AJ332" s="241" t="e">
        <f t="shared" ca="1" si="325"/>
        <v>#REF!</v>
      </c>
      <c r="AK332" s="243" t="e">
        <f ca="1">IF(AND(INDEX(FlowCalConstA,MATCH(AH328,FlowCalNumber,0),1,1)*AJ332^INDEX(FlowCalConstB,MATCH(AH328,FlowCalNumber,0),1,1)&gt;INDEX(FlowCalLowSetting,MATCH(AH328,FlowCalNumber,0),1,1), (INDEX(FlowCalConstA,MATCH(AH328,FlowCalNumber,0),1,1)*AJ332^INDEX(FlowCalConstB,MATCH(AH328,FlowCalNumber,0),1,1)&lt;INDEX(FlowCalHighSetting,MATCH(AH328,FlowCalNumber,0),1,1))),INDEX(FlowCalConstA,MATCH(AH328,FlowCalNumber,0),1,1)*AJ332^INDEX(FlowCalConstB,MATCH(AH328,FlowCalNumber,0),1,1)," ")</f>
        <v>#REF!</v>
      </c>
      <c r="AL332" s="33"/>
      <c r="AM332" s="242"/>
      <c r="AN332" s="241"/>
      <c r="AO332" s="244"/>
      <c r="AQ332" s="242"/>
      <c r="AR332" s="241"/>
      <c r="AS332" s="244"/>
      <c r="AT332" s="33"/>
      <c r="AU332" s="242"/>
      <c r="AV332" s="241"/>
      <c r="AW332" s="244"/>
      <c r="AX332" s="33"/>
      <c r="AY332" s="242"/>
      <c r="AZ332" s="241"/>
      <c r="BA332" s="244"/>
      <c r="BB332" s="33"/>
      <c r="BC332" s="242"/>
      <c r="BD332" s="241"/>
      <c r="BE332" s="244"/>
      <c r="BF332" s="33"/>
      <c r="BG332" s="242"/>
      <c r="BH332" s="241"/>
      <c r="BI332" s="244"/>
      <c r="BJ332" s="33"/>
      <c r="BK332" s="242"/>
      <c r="BL332" s="241"/>
      <c r="BM332" s="244"/>
      <c r="BN332" s="33"/>
      <c r="BO332" s="242"/>
      <c r="BP332" s="241"/>
      <c r="BQ332" s="244"/>
      <c r="BR332" s="33"/>
      <c r="BS332" s="242"/>
      <c r="BT332" s="241"/>
      <c r="BU332" s="244"/>
      <c r="BV332" s="33"/>
      <c r="BW332" s="242"/>
      <c r="BX332" s="241"/>
      <c r="BY332" s="244"/>
      <c r="BZ332" s="33"/>
      <c r="CA332" s="242"/>
      <c r="CB332" s="241"/>
      <c r="CC332" s="244"/>
      <c r="CD332" s="243"/>
      <c r="CE332" s="243"/>
      <c r="CF332" s="243"/>
      <c r="CG332" s="243"/>
      <c r="CH332" s="243"/>
      <c r="CI332" s="243"/>
      <c r="CJ332" s="243"/>
      <c r="CK332" s="243"/>
      <c r="CL332" s="243"/>
      <c r="CM332" s="243"/>
      <c r="CN332" s="243"/>
      <c r="CO332" s="243"/>
      <c r="CP332" s="243"/>
      <c r="CQ332" s="243"/>
      <c r="CR332" s="243"/>
      <c r="CS332" s="243"/>
      <c r="CT332" s="243"/>
      <c r="CU332" s="243"/>
      <c r="CV332" s="243"/>
      <c r="CW332" s="243"/>
      <c r="CX332" s="243"/>
      <c r="CY332" s="243"/>
      <c r="CZ332" s="243"/>
      <c r="DA332" s="243"/>
      <c r="DB332" s="243"/>
      <c r="DC332" s="243"/>
      <c r="DD332" s="243"/>
      <c r="DE332" s="243"/>
      <c r="DF332" s="243"/>
      <c r="DG332" s="243"/>
      <c r="DH332" s="243"/>
      <c r="DI332" s="243"/>
      <c r="DJ332" s="243"/>
      <c r="DK332" s="243"/>
      <c r="DM332" s="242"/>
      <c r="DO332" s="243"/>
      <c r="DQ332" s="242"/>
      <c r="DS332" s="243"/>
      <c r="DU332" s="242"/>
      <c r="DW332" s="243"/>
      <c r="DY332" s="242"/>
      <c r="EA332" s="243"/>
    </row>
    <row r="333" spans="1:131">
      <c r="A333" s="20"/>
      <c r="B333" s="124" t="str">
        <f t="shared" si="310"/>
        <v/>
      </c>
      <c r="C333" s="235"/>
      <c r="D333" s="24">
        <f>'1% Wind'!$M$86</f>
        <v>15.5</v>
      </c>
      <c r="E333" s="90"/>
      <c r="F333" s="90"/>
      <c r="G333" s="79" t="e">
        <f ca="1">IF(I328=0.9743,$G332,MAX(G332/D332*D333,2))</f>
        <v>#REF!</v>
      </c>
      <c r="H333" s="121" t="e">
        <f t="shared" ca="1" si="311"/>
        <v>#REF!</v>
      </c>
      <c r="J333" s="33"/>
      <c r="K333" s="242">
        <f t="shared" si="312"/>
        <v>1</v>
      </c>
      <c r="L333" s="241" t="e">
        <f t="shared" ca="1" si="313"/>
        <v>#REF!</v>
      </c>
      <c r="M333" s="243" t="e">
        <f ca="1">IF(AND(INDEX(FlowCalConstA,MATCH(J328,FlowCalNumber,0),1,1)*L333^INDEX(FlowCalConstB,MATCH(J328,FlowCalNumber,0),1,1)&gt;INDEX(FlowCalLowSetting,MATCH(J328,FlowCalNumber,0),1,1), (INDEX(FlowCalConstA,MATCH(J328,FlowCalNumber,0),1,1)*L333^INDEX(FlowCalConstB,MATCH(J328,FlowCalNumber,0),1,1)&lt;INDEX(FlowCalHighSetting,MATCH(J328,FlowCalNumber,0),1,1))),INDEX(FlowCalConstA,MATCH(J328,FlowCalNumber,0),1,1)*L333^INDEX(FlowCalConstB,MATCH(J328,FlowCalNumber,0),1,1)," ")</f>
        <v>#REF!</v>
      </c>
      <c r="N333" s="33"/>
      <c r="O333" s="242">
        <f t="shared" si="314"/>
        <v>1</v>
      </c>
      <c r="P333" s="241" t="e">
        <f t="shared" ca="1" si="315"/>
        <v>#REF!</v>
      </c>
      <c r="Q333" s="243" t="e">
        <f ca="1">IF(AND(INDEX(FlowCalConstA,MATCH(N328,FlowCalNumber,0),1,1)*P333^INDEX(FlowCalConstB,MATCH(N328,FlowCalNumber,0),1,1)&gt;INDEX(FlowCalLowSetting,MATCH(N328,FlowCalNumber,0),1,1), (INDEX(FlowCalConstA,MATCH(N328,FlowCalNumber,0),1,1)*P333^INDEX(FlowCalConstB,MATCH(N328,FlowCalNumber,0),1,1)&lt;INDEX(FlowCalHighSetting,MATCH(N328,FlowCalNumber,0),1,1))),INDEX(FlowCalConstA,MATCH(N328,FlowCalNumber,0),1,1)*P333^INDEX(FlowCalConstB,MATCH(N328,FlowCalNumber,0),1,1)," ")</f>
        <v>#REF!</v>
      </c>
      <c r="R333" s="33"/>
      <c r="S333" s="242">
        <f t="shared" si="316"/>
        <v>1</v>
      </c>
      <c r="T333" s="241" t="e">
        <f t="shared" ca="1" si="317"/>
        <v>#REF!</v>
      </c>
      <c r="U333" s="244" t="e">
        <f ca="1">IF(AND(INDEX(FlowCalConstA,MATCH(R328,FlowCalNumber,0),1,1)*T333^INDEX(FlowCalConstB,MATCH(R328,FlowCalNumber,0),1,1)&gt;INDEX(FlowCalLowSetting,MATCH(R328,FlowCalNumber,0),1,1), (INDEX(FlowCalConstA,MATCH(R328,FlowCalNumber,0),1,1)*T333^INDEX(FlowCalConstB,MATCH(R328,FlowCalNumber,0),1,1)&lt;INDEX(FlowCalHighSetting,MATCH(R328,FlowCalNumber,0),1,1))),INDEX(FlowCalConstA,MATCH(R328,FlowCalNumber,0),1,1)*T333^INDEX(FlowCalConstB,MATCH(R328,FlowCalNumber,0),1,1)," ")</f>
        <v>#REF!</v>
      </c>
      <c r="V333" s="33"/>
      <c r="W333" s="242">
        <f t="shared" si="318"/>
        <v>0.1</v>
      </c>
      <c r="X333" s="241" t="e">
        <f t="shared" ca="1" si="319"/>
        <v>#REF!</v>
      </c>
      <c r="Y333" s="243" t="e">
        <f ca="1">IF(AND(INDEX(FlowCalConstA,MATCH(V328,FlowCalNumber,0),1,1)*X333^INDEX(FlowCalConstB,MATCH(V328,FlowCalNumber,0),1,1)&gt;INDEX(FlowCalLowSetting,MATCH(V328,FlowCalNumber,0),1,1), (INDEX(FlowCalConstA,MATCH(V328,FlowCalNumber,0),1,1)*X333^INDEX(FlowCalConstB,MATCH(V328,FlowCalNumber,0),1,1)&lt;INDEX(FlowCalHighSetting,MATCH(V328,FlowCalNumber,0),1,1))),INDEX(FlowCalConstA,MATCH(V328,FlowCalNumber,0),1,1)*X333^INDEX(FlowCalConstB,MATCH(V328,FlowCalNumber,0),1,1)," ")</f>
        <v>#REF!</v>
      </c>
      <c r="Z333" s="33"/>
      <c r="AA333" s="242">
        <f t="shared" si="320"/>
        <v>0.9</v>
      </c>
      <c r="AB333" s="241" t="e">
        <f t="shared" ca="1" si="321"/>
        <v>#REF!</v>
      </c>
      <c r="AC333" s="243" t="e">
        <f ca="1">IF(AND(INDEX(FlowCalConstA,MATCH(Z328,FlowCalNumber,0),1,1)*AB333^INDEX(FlowCalConstB,MATCH(Z328,FlowCalNumber,0),1,1)&gt;INDEX(FlowCalLowSetting,MATCH(Z328,FlowCalNumber,0),1,1), (INDEX(FlowCalConstA,MATCH(Z328,FlowCalNumber,0),1,1)*AB333^INDEX(FlowCalConstB,MATCH(Z328,FlowCalNumber,0),1,1)&lt;INDEX(FlowCalHighSetting,MATCH(Z328,FlowCalNumber,0),1,1))),INDEX(FlowCalConstA,MATCH(Z328,FlowCalNumber,0),1,1)*AB333^INDEX(FlowCalConstB,MATCH(Z328,FlowCalNumber,0),1,1)," ")</f>
        <v>#REF!</v>
      </c>
      <c r="AD333" s="33"/>
      <c r="AE333" s="242">
        <f t="shared" si="322"/>
        <v>0.1</v>
      </c>
      <c r="AF333" s="241" t="e">
        <f t="shared" ca="1" si="323"/>
        <v>#REF!</v>
      </c>
      <c r="AG333" s="243" t="e">
        <f ca="1">IF(AND(INDEX(FlowCalConstA,MATCH(AD328,FlowCalNumber,0),1,1)*AF333^INDEX(FlowCalConstB,MATCH(AD328,FlowCalNumber,0),1,1)&gt;INDEX(FlowCalLowSetting,MATCH(AD328,FlowCalNumber,0),1,1), (INDEX(FlowCalConstA,MATCH(AD328,FlowCalNumber,0),1,1)*AF333^INDEX(FlowCalConstB,MATCH(AD328,FlowCalNumber,0),1,1)&lt;INDEX(FlowCalHighSetting,MATCH(AD328,FlowCalNumber,0),1,1))),INDEX(FlowCalConstA,MATCH(AD328,FlowCalNumber,0),1,1)*AF333^INDEX(FlowCalConstB,MATCH(AD328,FlowCalNumber,0),1,1)," ")</f>
        <v>#REF!</v>
      </c>
      <c r="AH333" s="33"/>
      <c r="AI333" s="242">
        <f t="shared" si="324"/>
        <v>0.9</v>
      </c>
      <c r="AJ333" s="241" t="e">
        <f t="shared" ca="1" si="325"/>
        <v>#REF!</v>
      </c>
      <c r="AK333" s="243" t="e">
        <f ca="1">IF(AND(INDEX(FlowCalConstA,MATCH(AH328,FlowCalNumber,0),1,1)*AJ333^INDEX(FlowCalConstB,MATCH(AH328,FlowCalNumber,0),1,1)&gt;INDEX(FlowCalLowSetting,MATCH(AH328,FlowCalNumber,0),1,1), (INDEX(FlowCalConstA,MATCH(AH328,FlowCalNumber,0),1,1)*AJ333^INDEX(FlowCalConstB,MATCH(AH328,FlowCalNumber,0),1,1)&lt;INDEX(FlowCalHighSetting,MATCH(AH328,FlowCalNumber,0),1,1))),INDEX(FlowCalConstA,MATCH(AH328,FlowCalNumber,0),1,1)*AJ333^INDEX(FlowCalConstB,MATCH(AH328,FlowCalNumber,0),1,1)," ")</f>
        <v>#REF!</v>
      </c>
      <c r="AL333" s="33"/>
      <c r="AM333" s="242"/>
      <c r="AN333" s="241"/>
      <c r="AO333" s="244"/>
      <c r="AQ333" s="242"/>
      <c r="AR333" s="241"/>
      <c r="AS333" s="244"/>
      <c r="AT333" s="33"/>
      <c r="AU333" s="242"/>
      <c r="AV333" s="241"/>
      <c r="AW333" s="244"/>
      <c r="AX333" s="33"/>
      <c r="AY333" s="242"/>
      <c r="AZ333" s="241"/>
      <c r="BA333" s="244"/>
      <c r="BB333" s="33"/>
      <c r="BC333" s="242"/>
      <c r="BD333" s="241"/>
      <c r="BE333" s="244"/>
      <c r="BF333" s="33"/>
      <c r="BG333" s="242"/>
      <c r="BH333" s="241"/>
      <c r="BI333" s="244"/>
      <c r="BJ333" s="33"/>
      <c r="BK333" s="242"/>
      <c r="BL333" s="241"/>
      <c r="BM333" s="244"/>
      <c r="BN333" s="33"/>
      <c r="BO333" s="242"/>
      <c r="BP333" s="241"/>
      <c r="BQ333" s="244"/>
      <c r="BR333" s="33"/>
      <c r="BS333" s="242"/>
      <c r="BT333" s="241"/>
      <c r="BU333" s="244"/>
      <c r="BV333" s="33"/>
      <c r="BW333" s="242"/>
      <c r="BX333" s="241"/>
      <c r="BY333" s="244"/>
      <c r="BZ333" s="33"/>
      <c r="CA333" s="242"/>
      <c r="CB333" s="241"/>
      <c r="CC333" s="244"/>
      <c r="CD333" s="243"/>
      <c r="CE333" s="243"/>
      <c r="CF333" s="243"/>
      <c r="CG333" s="243"/>
      <c r="CH333" s="243"/>
      <c r="CI333" s="243"/>
      <c r="CJ333" s="243"/>
      <c r="CK333" s="243"/>
      <c r="CL333" s="243"/>
      <c r="CM333" s="243"/>
      <c r="CN333" s="243"/>
      <c r="CO333" s="243"/>
      <c r="CP333" s="243"/>
      <c r="CQ333" s="243"/>
      <c r="CR333" s="243"/>
      <c r="CS333" s="243"/>
      <c r="CT333" s="243"/>
      <c r="CU333" s="243"/>
      <c r="CV333" s="243"/>
      <c r="CW333" s="243"/>
      <c r="CX333" s="243"/>
      <c r="CY333" s="243"/>
      <c r="CZ333" s="243"/>
      <c r="DA333" s="243"/>
      <c r="DB333" s="243"/>
      <c r="DC333" s="243"/>
      <c r="DD333" s="243"/>
      <c r="DE333" s="243"/>
      <c r="DF333" s="243"/>
      <c r="DG333" s="243"/>
      <c r="DH333" s="243"/>
      <c r="DI333" s="243"/>
      <c r="DJ333" s="243"/>
      <c r="DK333" s="243"/>
      <c r="DM333" s="242"/>
      <c r="DO333" s="243"/>
      <c r="DQ333" s="242"/>
      <c r="DS333" s="243"/>
      <c r="DU333" s="242"/>
      <c r="DW333" s="243"/>
      <c r="DY333" s="242"/>
      <c r="EA333" s="243"/>
    </row>
    <row r="334" spans="1:131">
      <c r="A334" s="20"/>
      <c r="B334" s="124" t="str">
        <f t="shared" si="310"/>
        <v/>
      </c>
      <c r="C334" s="235"/>
      <c r="D334" s="24">
        <f>'1% Wind'!$M$87</f>
        <v>13.5</v>
      </c>
      <c r="E334" s="90"/>
      <c r="F334" s="90"/>
      <c r="G334" s="79" t="e">
        <f ca="1">IF(I328=0.9743,$G333,MAX(G333/D333*D334,2))</f>
        <v>#REF!</v>
      </c>
      <c r="H334" s="121" t="e">
        <f t="shared" ca="1" si="311"/>
        <v>#REF!</v>
      </c>
      <c r="J334" s="33"/>
      <c r="K334" s="242">
        <f t="shared" si="312"/>
        <v>1</v>
      </c>
      <c r="L334" s="241" t="e">
        <f t="shared" ca="1" si="313"/>
        <v>#REF!</v>
      </c>
      <c r="M334" s="243" t="e">
        <f ca="1">IF(AND(INDEX(FlowCalConstA,MATCH(J328,FlowCalNumber,0),1,1)*L334^INDEX(FlowCalConstB,MATCH(J328,FlowCalNumber,0),1,1)&gt;INDEX(FlowCalLowSetting,MATCH(J328,FlowCalNumber,0),1,1), (INDEX(FlowCalConstA,MATCH(J328,FlowCalNumber,0),1,1)*L334^INDEX(FlowCalConstB,MATCH(J328,FlowCalNumber,0),1,1)&lt;INDEX(FlowCalHighSetting,MATCH(J328,FlowCalNumber,0),1,1))),INDEX(FlowCalConstA,MATCH(J328,FlowCalNumber,0),1,1)*L334^INDEX(FlowCalConstB,MATCH(J328,FlowCalNumber,0),1,1)," ")</f>
        <v>#REF!</v>
      </c>
      <c r="N334" s="33"/>
      <c r="O334" s="242">
        <f t="shared" si="314"/>
        <v>1</v>
      </c>
      <c r="P334" s="241" t="e">
        <f t="shared" ca="1" si="315"/>
        <v>#REF!</v>
      </c>
      <c r="Q334" s="243" t="e">
        <f ca="1">IF(AND(INDEX(FlowCalConstA,MATCH(N328,FlowCalNumber,0),1,1)*P334^INDEX(FlowCalConstB,MATCH(N328,FlowCalNumber,0),1,1)&gt;INDEX(FlowCalLowSetting,MATCH(N328,FlowCalNumber,0),1,1), (INDEX(FlowCalConstA,MATCH(N328,FlowCalNumber,0),1,1)*P334^INDEX(FlowCalConstB,MATCH(N328,FlowCalNumber,0),1,1)&lt;INDEX(FlowCalHighSetting,MATCH(N328,FlowCalNumber,0),1,1))),INDEX(FlowCalConstA,MATCH(N328,FlowCalNumber,0),1,1)*P334^INDEX(FlowCalConstB,MATCH(N328,FlowCalNumber,0),1,1)," ")</f>
        <v>#REF!</v>
      </c>
      <c r="R334" s="33"/>
      <c r="S334" s="242">
        <f t="shared" si="316"/>
        <v>1</v>
      </c>
      <c r="T334" s="241" t="e">
        <f t="shared" ca="1" si="317"/>
        <v>#REF!</v>
      </c>
      <c r="U334" s="244" t="e">
        <f ca="1">IF(AND(INDEX(FlowCalConstA,MATCH(R328,FlowCalNumber,0),1,1)*T334^INDEX(FlowCalConstB,MATCH(R328,FlowCalNumber,0),1,1)&gt;INDEX(FlowCalLowSetting,MATCH(R328,FlowCalNumber,0),1,1), (INDEX(FlowCalConstA,MATCH(R328,FlowCalNumber,0),1,1)*T334^INDEX(FlowCalConstB,MATCH(R328,FlowCalNumber,0),1,1)&lt;INDEX(FlowCalHighSetting,MATCH(R328,FlowCalNumber,0),1,1))),INDEX(FlowCalConstA,MATCH(R328,FlowCalNumber,0),1,1)*T334^INDEX(FlowCalConstB,MATCH(R328,FlowCalNumber,0),1,1)," ")</f>
        <v>#REF!</v>
      </c>
      <c r="V334" s="33"/>
      <c r="W334" s="242">
        <f t="shared" si="318"/>
        <v>0.1</v>
      </c>
      <c r="X334" s="241" t="e">
        <f t="shared" ca="1" si="319"/>
        <v>#REF!</v>
      </c>
      <c r="Y334" s="243" t="e">
        <f ca="1">IF(AND(INDEX(FlowCalConstA,MATCH(V328,FlowCalNumber,0),1,1)*X334^INDEX(FlowCalConstB,MATCH(V328,FlowCalNumber,0),1,1)&gt;INDEX(FlowCalLowSetting,MATCH(V328,FlowCalNumber,0),1,1), (INDEX(FlowCalConstA,MATCH(V328,FlowCalNumber,0),1,1)*X334^INDEX(FlowCalConstB,MATCH(V328,FlowCalNumber,0),1,1)&lt;INDEX(FlowCalHighSetting,MATCH(V328,FlowCalNumber,0),1,1))),INDEX(FlowCalConstA,MATCH(V328,FlowCalNumber,0),1,1)*X334^INDEX(FlowCalConstB,MATCH(V328,FlowCalNumber,0),1,1)," ")</f>
        <v>#REF!</v>
      </c>
      <c r="Z334" s="33"/>
      <c r="AA334" s="242">
        <f t="shared" si="320"/>
        <v>0.9</v>
      </c>
      <c r="AB334" s="241" t="e">
        <f t="shared" ca="1" si="321"/>
        <v>#REF!</v>
      </c>
      <c r="AC334" s="243" t="e">
        <f ca="1">IF(AND(INDEX(FlowCalConstA,MATCH(Z328,FlowCalNumber,0),1,1)*AB334^INDEX(FlowCalConstB,MATCH(Z328,FlowCalNumber,0),1,1)&gt;INDEX(FlowCalLowSetting,MATCH(Z328,FlowCalNumber,0),1,1), (INDEX(FlowCalConstA,MATCH(Z328,FlowCalNumber,0),1,1)*AB334^INDEX(FlowCalConstB,MATCH(Z328,FlowCalNumber,0),1,1)&lt;INDEX(FlowCalHighSetting,MATCH(Z328,FlowCalNumber,0),1,1))),INDEX(FlowCalConstA,MATCH(Z328,FlowCalNumber,0),1,1)*AB334^INDEX(FlowCalConstB,MATCH(Z328,FlowCalNumber,0),1,1)," ")</f>
        <v>#REF!</v>
      </c>
      <c r="AD334" s="33"/>
      <c r="AE334" s="242">
        <f t="shared" si="322"/>
        <v>0.1</v>
      </c>
      <c r="AF334" s="241" t="e">
        <f t="shared" ca="1" si="323"/>
        <v>#REF!</v>
      </c>
      <c r="AG334" s="243" t="e">
        <f ca="1">IF(AND(INDEX(FlowCalConstA,MATCH(AD328,FlowCalNumber,0),1,1)*AF334^INDEX(FlowCalConstB,MATCH(AD328,FlowCalNumber,0),1,1)&gt;INDEX(FlowCalLowSetting,MATCH(AD328,FlowCalNumber,0),1,1), (INDEX(FlowCalConstA,MATCH(AD328,FlowCalNumber,0),1,1)*AF334^INDEX(FlowCalConstB,MATCH(AD328,FlowCalNumber,0),1,1)&lt;INDEX(FlowCalHighSetting,MATCH(AD328,FlowCalNumber,0),1,1))),INDEX(FlowCalConstA,MATCH(AD328,FlowCalNumber,0),1,1)*AF334^INDEX(FlowCalConstB,MATCH(AD328,FlowCalNumber,0),1,1)," ")</f>
        <v>#REF!</v>
      </c>
      <c r="AH334" s="33"/>
      <c r="AI334" s="242">
        <f t="shared" si="324"/>
        <v>0.9</v>
      </c>
      <c r="AJ334" s="241" t="e">
        <f t="shared" ca="1" si="325"/>
        <v>#REF!</v>
      </c>
      <c r="AK334" s="243" t="e">
        <f ca="1">IF(AND(INDEX(FlowCalConstA,MATCH(AH328,FlowCalNumber,0),1,1)*AJ334^INDEX(FlowCalConstB,MATCH(AH328,FlowCalNumber,0),1,1)&gt;INDEX(FlowCalLowSetting,MATCH(AH328,FlowCalNumber,0),1,1), (INDEX(FlowCalConstA,MATCH(AH328,FlowCalNumber,0),1,1)*AJ334^INDEX(FlowCalConstB,MATCH(AH328,FlowCalNumber,0),1,1)&lt;INDEX(FlowCalHighSetting,MATCH(AH328,FlowCalNumber,0),1,1))),INDEX(FlowCalConstA,MATCH(AH328,FlowCalNumber,0),1,1)*AJ334^INDEX(FlowCalConstB,MATCH(AH328,FlowCalNumber,0),1,1)," ")</f>
        <v>#REF!</v>
      </c>
      <c r="AL334" s="33"/>
      <c r="AM334" s="242"/>
      <c r="AN334" s="241"/>
      <c r="AO334" s="244"/>
      <c r="AQ334" s="242"/>
      <c r="AR334" s="241"/>
      <c r="AS334" s="244"/>
      <c r="AT334" s="33"/>
      <c r="AU334" s="242"/>
      <c r="AV334" s="241"/>
      <c r="AW334" s="244"/>
      <c r="AX334" s="33"/>
      <c r="AY334" s="242"/>
      <c r="AZ334" s="241"/>
      <c r="BA334" s="244"/>
      <c r="BB334" s="33"/>
      <c r="BC334" s="242"/>
      <c r="BD334" s="241"/>
      <c r="BE334" s="244"/>
      <c r="BF334" s="33"/>
      <c r="BG334" s="242"/>
      <c r="BH334" s="241"/>
      <c r="BI334" s="244"/>
      <c r="BJ334" s="33"/>
      <c r="BK334" s="242"/>
      <c r="BL334" s="241"/>
      <c r="BM334" s="244"/>
      <c r="BN334" s="33"/>
      <c r="BO334" s="242"/>
      <c r="BP334" s="241"/>
      <c r="BQ334" s="244"/>
      <c r="BR334" s="33"/>
      <c r="BS334" s="242"/>
      <c r="BT334" s="241"/>
      <c r="BU334" s="244"/>
      <c r="BV334" s="33"/>
      <c r="BW334" s="242"/>
      <c r="BX334" s="241"/>
      <c r="BY334" s="244"/>
      <c r="BZ334" s="33"/>
      <c r="CA334" s="242"/>
      <c r="CB334" s="241"/>
      <c r="CC334" s="244"/>
      <c r="CD334" s="243"/>
      <c r="CE334" s="243"/>
      <c r="CF334" s="243"/>
      <c r="CG334" s="243"/>
      <c r="CH334" s="243"/>
      <c r="CI334" s="243"/>
      <c r="CJ334" s="243"/>
      <c r="CK334" s="243"/>
      <c r="CL334" s="243"/>
      <c r="CM334" s="243"/>
      <c r="CN334" s="243"/>
      <c r="CO334" s="243"/>
      <c r="CP334" s="243"/>
      <c r="CQ334" s="243"/>
      <c r="CR334" s="243"/>
      <c r="CS334" s="243"/>
      <c r="CT334" s="243"/>
      <c r="CU334" s="243"/>
      <c r="CV334" s="243"/>
      <c r="CW334" s="243"/>
      <c r="CX334" s="243"/>
      <c r="CY334" s="243"/>
      <c r="CZ334" s="243"/>
      <c r="DA334" s="243"/>
      <c r="DB334" s="243"/>
      <c r="DC334" s="243"/>
      <c r="DD334" s="243"/>
      <c r="DE334" s="243"/>
      <c r="DF334" s="243"/>
      <c r="DG334" s="243"/>
      <c r="DH334" s="243"/>
      <c r="DI334" s="243"/>
      <c r="DJ334" s="243"/>
      <c r="DK334" s="243"/>
      <c r="DM334" s="242"/>
      <c r="DO334" s="243"/>
      <c r="DQ334" s="242"/>
      <c r="DS334" s="243"/>
      <c r="DU334" s="242"/>
      <c r="DW334" s="243"/>
      <c r="DY334" s="242"/>
      <c r="EA334" s="243"/>
    </row>
    <row r="335" spans="1:131">
      <c r="A335" s="20"/>
      <c r="B335" s="124" t="str">
        <f t="shared" si="310"/>
        <v/>
      </c>
      <c r="C335" s="235"/>
      <c r="D335" s="24">
        <f>'1% Wind'!$M$88</f>
        <v>10.1</v>
      </c>
      <c r="E335" s="90"/>
      <c r="F335" s="90"/>
      <c r="G335" s="79" t="e">
        <f ca="1">IF(I328=0.9743,$G334,MAX(G334/D334*D335,2))</f>
        <v>#REF!</v>
      </c>
      <c r="H335" s="121" t="e">
        <f t="shared" ca="1" si="311"/>
        <v>#REF!</v>
      </c>
      <c r="J335" s="33"/>
      <c r="K335" s="242">
        <f t="shared" si="312"/>
        <v>1</v>
      </c>
      <c r="L335" s="241" t="e">
        <f t="shared" ca="1" si="313"/>
        <v>#REF!</v>
      </c>
      <c r="M335" s="243" t="e">
        <f ca="1">IF(AND(INDEX(FlowCalConstA,MATCH(J328,FlowCalNumber,0),1,1)*L335^INDEX(FlowCalConstB,MATCH(J328,FlowCalNumber,0),1,1)&gt;INDEX(FlowCalLowSetting,MATCH(J328,FlowCalNumber,0),1,1), (INDEX(FlowCalConstA,MATCH(J328,FlowCalNumber,0),1,1)*L335^INDEX(FlowCalConstB,MATCH(J328,FlowCalNumber,0),1,1)&lt;INDEX(FlowCalHighSetting,MATCH(J328,FlowCalNumber,0),1,1))),INDEX(FlowCalConstA,MATCH(J328,FlowCalNumber,0),1,1)*L335^INDEX(FlowCalConstB,MATCH(J328,FlowCalNumber,0),1,1)," ")</f>
        <v>#REF!</v>
      </c>
      <c r="N335" s="33"/>
      <c r="O335" s="242">
        <f t="shared" si="314"/>
        <v>1</v>
      </c>
      <c r="P335" s="241" t="e">
        <f t="shared" ca="1" si="315"/>
        <v>#REF!</v>
      </c>
      <c r="Q335" s="243" t="e">
        <f ca="1">IF(AND(INDEX(FlowCalConstA,MATCH(N328,FlowCalNumber,0),1,1)*P335^INDEX(FlowCalConstB,MATCH(N328,FlowCalNumber,0),1,1)&gt;INDEX(FlowCalLowSetting,MATCH(N328,FlowCalNumber,0),1,1), (INDEX(FlowCalConstA,MATCH(N328,FlowCalNumber,0),1,1)*P335^INDEX(FlowCalConstB,MATCH(N328,FlowCalNumber,0),1,1)&lt;INDEX(FlowCalHighSetting,MATCH(N328,FlowCalNumber,0),1,1))),INDEX(FlowCalConstA,MATCH(N328,FlowCalNumber,0),1,1)*P335^INDEX(FlowCalConstB,MATCH(N328,FlowCalNumber,0),1,1)," ")</f>
        <v>#REF!</v>
      </c>
      <c r="R335" s="33"/>
      <c r="S335" s="242">
        <f t="shared" si="316"/>
        <v>1</v>
      </c>
      <c r="T335" s="241" t="e">
        <f t="shared" ca="1" si="317"/>
        <v>#REF!</v>
      </c>
      <c r="U335" s="244" t="e">
        <f ca="1">IF(AND(INDEX(FlowCalConstA,MATCH(R328,FlowCalNumber,0),1,1)*T335^INDEX(FlowCalConstB,MATCH(R328,FlowCalNumber,0),1,1)&gt;INDEX(FlowCalLowSetting,MATCH(R328,FlowCalNumber,0),1,1), (INDEX(FlowCalConstA,MATCH(R328,FlowCalNumber,0),1,1)*T335^INDEX(FlowCalConstB,MATCH(R328,FlowCalNumber,0),1,1)&lt;INDEX(FlowCalHighSetting,MATCH(R328,FlowCalNumber,0),1,1))),INDEX(FlowCalConstA,MATCH(R328,FlowCalNumber,0),1,1)*T335^INDEX(FlowCalConstB,MATCH(R328,FlowCalNumber,0),1,1)," ")</f>
        <v>#REF!</v>
      </c>
      <c r="V335" s="33"/>
      <c r="W335" s="242">
        <f t="shared" si="318"/>
        <v>0.1</v>
      </c>
      <c r="X335" s="241" t="e">
        <f t="shared" ca="1" si="319"/>
        <v>#REF!</v>
      </c>
      <c r="Y335" s="243" t="e">
        <f ca="1">IF(AND(INDEX(FlowCalConstA,MATCH(V328,FlowCalNumber,0),1,1)*X335^INDEX(FlowCalConstB,MATCH(V328,FlowCalNumber,0),1,1)&gt;INDEX(FlowCalLowSetting,MATCH(V328,FlowCalNumber,0),1,1), (INDEX(FlowCalConstA,MATCH(V328,FlowCalNumber,0),1,1)*X335^INDEX(FlowCalConstB,MATCH(V328,FlowCalNumber,0),1,1)&lt;INDEX(FlowCalHighSetting,MATCH(V328,FlowCalNumber,0),1,1))),INDEX(FlowCalConstA,MATCH(V328,FlowCalNumber,0),1,1)*X335^INDEX(FlowCalConstB,MATCH(V328,FlowCalNumber,0),1,1)," ")</f>
        <v>#REF!</v>
      </c>
      <c r="Z335" s="33"/>
      <c r="AA335" s="242">
        <f t="shared" si="320"/>
        <v>0.9</v>
      </c>
      <c r="AB335" s="241" t="e">
        <f t="shared" ca="1" si="321"/>
        <v>#REF!</v>
      </c>
      <c r="AC335" s="243" t="e">
        <f ca="1">IF(AND(INDEX(FlowCalConstA,MATCH(Z328,FlowCalNumber,0),1,1)*AB335^INDEX(FlowCalConstB,MATCH(Z328,FlowCalNumber,0),1,1)&gt;INDEX(FlowCalLowSetting,MATCH(Z328,FlowCalNumber,0),1,1), (INDEX(FlowCalConstA,MATCH(Z328,FlowCalNumber,0),1,1)*AB335^INDEX(FlowCalConstB,MATCH(Z328,FlowCalNumber,0),1,1)&lt;INDEX(FlowCalHighSetting,MATCH(Z328,FlowCalNumber,0),1,1))),INDEX(FlowCalConstA,MATCH(Z328,FlowCalNumber,0),1,1)*AB335^INDEX(FlowCalConstB,MATCH(Z328,FlowCalNumber,0),1,1)," ")</f>
        <v>#REF!</v>
      </c>
      <c r="AD335" s="33"/>
      <c r="AE335" s="242">
        <f t="shared" si="322"/>
        <v>0.1</v>
      </c>
      <c r="AF335" s="241" t="e">
        <f t="shared" ca="1" si="323"/>
        <v>#REF!</v>
      </c>
      <c r="AG335" s="243" t="e">
        <f ca="1">IF(AND(INDEX(FlowCalConstA,MATCH(AD328,FlowCalNumber,0),1,1)*AF335^INDEX(FlowCalConstB,MATCH(AD328,FlowCalNumber,0),1,1)&gt;INDEX(FlowCalLowSetting,MATCH(AD328,FlowCalNumber,0),1,1), (INDEX(FlowCalConstA,MATCH(AD328,FlowCalNumber,0),1,1)*AF335^INDEX(FlowCalConstB,MATCH(AD328,FlowCalNumber,0),1,1)&lt;INDEX(FlowCalHighSetting,MATCH(AD328,FlowCalNumber,0),1,1))),INDEX(FlowCalConstA,MATCH(AD328,FlowCalNumber,0),1,1)*AF335^INDEX(FlowCalConstB,MATCH(AD328,FlowCalNumber,0),1,1)," ")</f>
        <v>#REF!</v>
      </c>
      <c r="AH335" s="33"/>
      <c r="AI335" s="242">
        <f t="shared" si="324"/>
        <v>0.9</v>
      </c>
      <c r="AJ335" s="241" t="e">
        <f t="shared" ca="1" si="325"/>
        <v>#REF!</v>
      </c>
      <c r="AK335" s="243" t="e">
        <f ca="1">IF(AND(INDEX(FlowCalConstA,MATCH(AH328,FlowCalNumber,0),1,1)*AJ335^INDEX(FlowCalConstB,MATCH(AH328,FlowCalNumber,0),1,1)&gt;INDEX(FlowCalLowSetting,MATCH(AH328,FlowCalNumber,0),1,1), (INDEX(FlowCalConstA,MATCH(AH328,FlowCalNumber,0),1,1)*AJ335^INDEX(FlowCalConstB,MATCH(AH328,FlowCalNumber,0),1,1)&lt;INDEX(FlowCalHighSetting,MATCH(AH328,FlowCalNumber,0),1,1))),INDEX(FlowCalConstA,MATCH(AH328,FlowCalNumber,0),1,1)*AJ335^INDEX(FlowCalConstB,MATCH(AH328,FlowCalNumber,0),1,1)," ")</f>
        <v>#REF!</v>
      </c>
      <c r="AL335" s="33"/>
      <c r="AM335" s="242"/>
      <c r="AN335" s="241"/>
      <c r="AO335" s="244"/>
      <c r="AQ335" s="242"/>
      <c r="AR335" s="241"/>
      <c r="AS335" s="244"/>
      <c r="AT335" s="33"/>
      <c r="AU335" s="242"/>
      <c r="AV335" s="241"/>
      <c r="AW335" s="244"/>
      <c r="AX335" s="33"/>
      <c r="AY335" s="242"/>
      <c r="AZ335" s="241"/>
      <c r="BA335" s="244"/>
      <c r="BB335" s="33"/>
      <c r="BC335" s="242"/>
      <c r="BD335" s="241"/>
      <c r="BE335" s="244"/>
      <c r="BF335" s="33"/>
      <c r="BG335" s="242"/>
      <c r="BH335" s="241"/>
      <c r="BI335" s="244"/>
      <c r="BJ335" s="33"/>
      <c r="BK335" s="242"/>
      <c r="BL335" s="241"/>
      <c r="BM335" s="244"/>
      <c r="BN335" s="33"/>
      <c r="BO335" s="242"/>
      <c r="BP335" s="241"/>
      <c r="BQ335" s="244"/>
      <c r="BR335" s="33"/>
      <c r="BS335" s="242"/>
      <c r="BT335" s="241"/>
      <c r="BU335" s="244"/>
      <c r="BV335" s="33"/>
      <c r="BW335" s="242"/>
      <c r="BX335" s="241"/>
      <c r="BY335" s="244"/>
      <c r="BZ335" s="33"/>
      <c r="CA335" s="242"/>
      <c r="CB335" s="241"/>
      <c r="CC335" s="244"/>
      <c r="CD335" s="243"/>
      <c r="CE335" s="243"/>
      <c r="CF335" s="243"/>
      <c r="CG335" s="243"/>
      <c r="CH335" s="243"/>
      <c r="CI335" s="243"/>
      <c r="CJ335" s="243"/>
      <c r="CK335" s="243"/>
      <c r="CL335" s="243"/>
      <c r="CM335" s="243"/>
      <c r="CN335" s="243"/>
      <c r="CO335" s="243"/>
      <c r="CP335" s="243"/>
      <c r="CQ335" s="243"/>
      <c r="CR335" s="243"/>
      <c r="CS335" s="243"/>
      <c r="CT335" s="243"/>
      <c r="CU335" s="243"/>
      <c r="CV335" s="243"/>
      <c r="CW335" s="243"/>
      <c r="CX335" s="243"/>
      <c r="CY335" s="243"/>
      <c r="CZ335" s="243"/>
      <c r="DA335" s="243"/>
      <c r="DB335" s="243"/>
      <c r="DC335" s="243"/>
      <c r="DD335" s="243"/>
      <c r="DE335" s="243"/>
      <c r="DF335" s="243"/>
      <c r="DG335" s="243"/>
      <c r="DH335" s="243"/>
      <c r="DI335" s="243"/>
      <c r="DJ335" s="243"/>
      <c r="DK335" s="243"/>
      <c r="DM335" s="242"/>
      <c r="DO335" s="243"/>
      <c r="DQ335" s="242"/>
      <c r="DS335" s="243"/>
      <c r="DU335" s="242"/>
      <c r="DW335" s="243"/>
      <c r="DY335" s="242"/>
      <c r="EA335" s="243"/>
    </row>
    <row r="336" spans="1:131">
      <c r="A336" s="20"/>
      <c r="B336" s="124" t="str">
        <f t="shared" si="310"/>
        <v/>
      </c>
      <c r="C336" s="235"/>
      <c r="D336" s="24">
        <f>'1% Wind'!$M$89</f>
        <v>7.6</v>
      </c>
      <c r="E336" s="90"/>
      <c r="F336" s="90"/>
      <c r="G336" s="79" t="e">
        <f ca="1">IF(I328=0.9743,$G335,MAX(G335/D335*D336,2))</f>
        <v>#REF!</v>
      </c>
      <c r="H336" s="121" t="e">
        <f t="shared" ca="1" si="311"/>
        <v>#REF!</v>
      </c>
      <c r="J336" s="33"/>
      <c r="K336" s="242">
        <f t="shared" si="312"/>
        <v>1</v>
      </c>
      <c r="L336" s="241" t="e">
        <f t="shared" ca="1" si="313"/>
        <v>#REF!</v>
      </c>
      <c r="M336" s="243" t="e">
        <f ca="1">IF(AND(INDEX(FlowCalConstA,MATCH(J328,FlowCalNumber,0),1,1)*L336^INDEX(FlowCalConstB,MATCH(J328,FlowCalNumber,0),1,1)&gt;INDEX(FlowCalLowSetting,MATCH(J328,FlowCalNumber,0),1,1), (INDEX(FlowCalConstA,MATCH(J328,FlowCalNumber,0),1,1)*L336^INDEX(FlowCalConstB,MATCH(J328,FlowCalNumber,0),1,1)&lt;INDEX(FlowCalHighSetting,MATCH(J328,FlowCalNumber,0),1,1))),INDEX(FlowCalConstA,MATCH(J328,FlowCalNumber,0),1,1)*L336^INDEX(FlowCalConstB,MATCH(J328,FlowCalNumber,0),1,1)," ")</f>
        <v>#REF!</v>
      </c>
      <c r="N336" s="33"/>
      <c r="O336" s="242">
        <f t="shared" si="314"/>
        <v>1</v>
      </c>
      <c r="P336" s="241" t="e">
        <f t="shared" ca="1" si="315"/>
        <v>#REF!</v>
      </c>
      <c r="Q336" s="243" t="e">
        <f ca="1">IF(AND(INDEX(FlowCalConstA,MATCH(N328,FlowCalNumber,0),1,1)*P336^INDEX(FlowCalConstB,MATCH(N328,FlowCalNumber,0),1,1)&gt;INDEX(FlowCalLowSetting,MATCH(N328,FlowCalNumber,0),1,1), (INDEX(FlowCalConstA,MATCH(N328,FlowCalNumber,0),1,1)*P336^INDEX(FlowCalConstB,MATCH(N328,FlowCalNumber,0),1,1)&lt;INDEX(FlowCalHighSetting,MATCH(N328,FlowCalNumber,0),1,1))),INDEX(FlowCalConstA,MATCH(N328,FlowCalNumber,0),1,1)*P336^INDEX(FlowCalConstB,MATCH(N328,FlowCalNumber,0),1,1)," ")</f>
        <v>#REF!</v>
      </c>
      <c r="R336" s="33"/>
      <c r="S336" s="242">
        <f t="shared" si="316"/>
        <v>1</v>
      </c>
      <c r="T336" s="241" t="e">
        <f t="shared" ca="1" si="317"/>
        <v>#REF!</v>
      </c>
      <c r="U336" s="244" t="e">
        <f ca="1">IF(AND(INDEX(FlowCalConstA,MATCH(R328,FlowCalNumber,0),1,1)*T336^INDEX(FlowCalConstB,MATCH(R328,FlowCalNumber,0),1,1)&gt;INDEX(FlowCalLowSetting,MATCH(R328,FlowCalNumber,0),1,1), (INDEX(FlowCalConstA,MATCH(R328,FlowCalNumber,0),1,1)*T336^INDEX(FlowCalConstB,MATCH(R328,FlowCalNumber,0),1,1)&lt;INDEX(FlowCalHighSetting,MATCH(R328,FlowCalNumber,0),1,1))),INDEX(FlowCalConstA,MATCH(R328,FlowCalNumber,0),1,1)*T336^INDEX(FlowCalConstB,MATCH(R328,FlowCalNumber,0),1,1)," ")</f>
        <v>#REF!</v>
      </c>
      <c r="V336" s="33"/>
      <c r="W336" s="242">
        <f t="shared" si="318"/>
        <v>0.1</v>
      </c>
      <c r="X336" s="241" t="e">
        <f t="shared" ca="1" si="319"/>
        <v>#REF!</v>
      </c>
      <c r="Y336" s="243" t="e">
        <f ca="1">IF(AND(INDEX(FlowCalConstA,MATCH(V328,FlowCalNumber,0),1,1)*X336^INDEX(FlowCalConstB,MATCH(V328,FlowCalNumber,0),1,1)&gt;INDEX(FlowCalLowSetting,MATCH(V328,FlowCalNumber,0),1,1), (INDEX(FlowCalConstA,MATCH(V328,FlowCalNumber,0),1,1)*X336^INDEX(FlowCalConstB,MATCH(V328,FlowCalNumber,0),1,1)&lt;INDEX(FlowCalHighSetting,MATCH(V328,FlowCalNumber,0),1,1))),INDEX(FlowCalConstA,MATCH(V328,FlowCalNumber,0),1,1)*X336^INDEX(FlowCalConstB,MATCH(V328,FlowCalNumber,0),1,1)," ")</f>
        <v>#REF!</v>
      </c>
      <c r="Z336" s="33"/>
      <c r="AA336" s="242">
        <f t="shared" si="320"/>
        <v>0.9</v>
      </c>
      <c r="AB336" s="241" t="e">
        <f t="shared" ca="1" si="321"/>
        <v>#REF!</v>
      </c>
      <c r="AC336" s="243" t="e">
        <f ca="1">IF(AND(INDEX(FlowCalConstA,MATCH(Z328,FlowCalNumber,0),1,1)*AB336^INDEX(FlowCalConstB,MATCH(Z328,FlowCalNumber,0),1,1)&gt;INDEX(FlowCalLowSetting,MATCH(Z328,FlowCalNumber,0),1,1), (INDEX(FlowCalConstA,MATCH(Z328,FlowCalNumber,0),1,1)*AB336^INDEX(FlowCalConstB,MATCH(Z328,FlowCalNumber,0),1,1)&lt;INDEX(FlowCalHighSetting,MATCH(Z328,FlowCalNumber,0),1,1))),INDEX(FlowCalConstA,MATCH(Z328,FlowCalNumber,0),1,1)*AB336^INDEX(FlowCalConstB,MATCH(Z328,FlowCalNumber,0),1,1)," ")</f>
        <v>#REF!</v>
      </c>
      <c r="AD336" s="33"/>
      <c r="AE336" s="242">
        <f t="shared" si="322"/>
        <v>0.1</v>
      </c>
      <c r="AF336" s="241" t="e">
        <f t="shared" ca="1" si="323"/>
        <v>#REF!</v>
      </c>
      <c r="AG336" s="243" t="e">
        <f ca="1">IF(AND(INDEX(FlowCalConstA,MATCH(AD328,FlowCalNumber,0),1,1)*AF336^INDEX(FlowCalConstB,MATCH(AD328,FlowCalNumber,0),1,1)&gt;INDEX(FlowCalLowSetting,MATCH(AD328,FlowCalNumber,0),1,1), (INDEX(FlowCalConstA,MATCH(AD328,FlowCalNumber,0),1,1)*AF336^INDEX(FlowCalConstB,MATCH(AD328,FlowCalNumber,0),1,1)&lt;INDEX(FlowCalHighSetting,MATCH(AD328,FlowCalNumber,0),1,1))),INDEX(FlowCalConstA,MATCH(AD328,FlowCalNumber,0),1,1)*AF336^INDEX(FlowCalConstB,MATCH(AD328,FlowCalNumber,0),1,1)," ")</f>
        <v>#REF!</v>
      </c>
      <c r="AH336" s="33"/>
      <c r="AI336" s="242">
        <f t="shared" si="324"/>
        <v>0.9</v>
      </c>
      <c r="AJ336" s="241" t="e">
        <f t="shared" ca="1" si="325"/>
        <v>#REF!</v>
      </c>
      <c r="AK336" s="243" t="e">
        <f ca="1">IF(AND(INDEX(FlowCalConstA,MATCH(AH328,FlowCalNumber,0),1,1)*AJ336^INDEX(FlowCalConstB,MATCH(AH328,FlowCalNumber,0),1,1)&gt;INDEX(FlowCalLowSetting,MATCH(AH328,FlowCalNumber,0),1,1), (INDEX(FlowCalConstA,MATCH(AH328,FlowCalNumber,0),1,1)*AJ336^INDEX(FlowCalConstB,MATCH(AH328,FlowCalNumber,0),1,1)&lt;INDEX(FlowCalHighSetting,MATCH(AH328,FlowCalNumber,0),1,1))),INDEX(FlowCalConstA,MATCH(AH328,FlowCalNumber,0),1,1)*AJ336^INDEX(FlowCalConstB,MATCH(AH328,FlowCalNumber,0),1,1)," ")</f>
        <v>#REF!</v>
      </c>
      <c r="AL336" s="33"/>
      <c r="AM336" s="242"/>
      <c r="AN336" s="241"/>
      <c r="AO336" s="244"/>
      <c r="AQ336" s="242"/>
      <c r="AR336" s="241"/>
      <c r="AS336" s="244"/>
      <c r="AT336" s="33"/>
      <c r="AU336" s="242"/>
      <c r="AV336" s="241"/>
      <c r="AW336" s="244"/>
      <c r="AX336" s="33"/>
      <c r="AY336" s="242"/>
      <c r="AZ336" s="241"/>
      <c r="BA336" s="244"/>
      <c r="BB336" s="33"/>
      <c r="BC336" s="242"/>
      <c r="BD336" s="241"/>
      <c r="BE336" s="244"/>
      <c r="BF336" s="33"/>
      <c r="BG336" s="242"/>
      <c r="BH336" s="241"/>
      <c r="BI336" s="244"/>
      <c r="BJ336" s="33"/>
      <c r="BK336" s="242"/>
      <c r="BL336" s="241"/>
      <c r="BM336" s="244"/>
      <c r="BN336" s="33"/>
      <c r="BO336" s="242"/>
      <c r="BP336" s="241"/>
      <c r="BQ336" s="244"/>
      <c r="BR336" s="33"/>
      <c r="BS336" s="242"/>
      <c r="BT336" s="241"/>
      <c r="BU336" s="244"/>
      <c r="BV336" s="33"/>
      <c r="BW336" s="242"/>
      <c r="BX336" s="241"/>
      <c r="BY336" s="244"/>
      <c r="BZ336" s="33"/>
      <c r="CA336" s="242"/>
      <c r="CB336" s="241"/>
      <c r="CC336" s="244"/>
      <c r="CD336" s="243"/>
      <c r="CE336" s="243"/>
      <c r="CF336" s="243"/>
      <c r="CG336" s="243"/>
      <c r="CH336" s="243"/>
      <c r="CI336" s="243"/>
      <c r="CJ336" s="243"/>
      <c r="CK336" s="243"/>
      <c r="CL336" s="243"/>
      <c r="CM336" s="243"/>
      <c r="CN336" s="243"/>
      <c r="CO336" s="243"/>
      <c r="CP336" s="243"/>
      <c r="CQ336" s="243"/>
      <c r="CR336" s="243"/>
      <c r="CS336" s="243"/>
      <c r="CT336" s="243"/>
      <c r="CU336" s="243"/>
      <c r="CV336" s="243"/>
      <c r="CW336" s="243"/>
      <c r="CX336" s="243"/>
      <c r="CY336" s="243"/>
      <c r="CZ336" s="243"/>
      <c r="DA336" s="243"/>
      <c r="DB336" s="243"/>
      <c r="DC336" s="243"/>
      <c r="DD336" s="243"/>
      <c r="DE336" s="243"/>
      <c r="DF336" s="243"/>
      <c r="DG336" s="243"/>
      <c r="DH336" s="243"/>
      <c r="DI336" s="243"/>
      <c r="DJ336" s="243"/>
      <c r="DK336" s="243"/>
      <c r="DM336" s="242"/>
      <c r="DO336" s="243"/>
      <c r="DQ336" s="242"/>
      <c r="DS336" s="243"/>
      <c r="DU336" s="242"/>
      <c r="DW336" s="243"/>
      <c r="DY336" s="242"/>
      <c r="EA336" s="243"/>
    </row>
    <row r="337" spans="1:131">
      <c r="A337" s="20"/>
      <c r="B337" s="124" t="str">
        <f t="shared" si="310"/>
        <v/>
      </c>
      <c r="C337" s="235"/>
      <c r="D337" s="24">
        <f>'1% Wind'!$M$90</f>
        <v>5.7</v>
      </c>
      <c r="E337" s="90"/>
      <c r="F337" s="90"/>
      <c r="G337" s="79" t="e">
        <f ca="1">IF(I328=0.9743,$G336,MAX(G336/D336*D337,2))</f>
        <v>#REF!</v>
      </c>
      <c r="H337" s="121" t="e">
        <f t="shared" ca="1" si="311"/>
        <v>#REF!</v>
      </c>
      <c r="J337" s="33"/>
      <c r="K337" s="242">
        <f t="shared" si="312"/>
        <v>1</v>
      </c>
      <c r="L337" s="241" t="e">
        <f t="shared" ca="1" si="313"/>
        <v>#REF!</v>
      </c>
      <c r="M337" s="243" t="e">
        <f ca="1">IF(AND(INDEX(FlowCalConstA,MATCH(J328,FlowCalNumber,0),1,1)*L337^INDEX(FlowCalConstB,MATCH(J328,FlowCalNumber,0),1,1)&gt;INDEX(FlowCalLowSetting,MATCH(J328,FlowCalNumber,0),1,1), (INDEX(FlowCalConstA,MATCH(J328,FlowCalNumber,0),1,1)*L337^INDEX(FlowCalConstB,MATCH(J328,FlowCalNumber,0),1,1)&lt;INDEX(FlowCalHighSetting,MATCH(J328,FlowCalNumber,0),1,1))),INDEX(FlowCalConstA,MATCH(J328,FlowCalNumber,0),1,1)*L337^INDEX(FlowCalConstB,MATCH(J328,FlowCalNumber,0),1,1)," ")</f>
        <v>#REF!</v>
      </c>
      <c r="N337" s="33"/>
      <c r="O337" s="242">
        <f t="shared" si="314"/>
        <v>1</v>
      </c>
      <c r="P337" s="241" t="e">
        <f t="shared" ca="1" si="315"/>
        <v>#REF!</v>
      </c>
      <c r="Q337" s="243" t="e">
        <f ca="1">IF(AND(INDEX(FlowCalConstA,MATCH(N328,FlowCalNumber,0),1,1)*P337^INDEX(FlowCalConstB,MATCH(N328,FlowCalNumber,0),1,1)&gt;INDEX(FlowCalLowSetting,MATCH(N328,FlowCalNumber,0),1,1), (INDEX(FlowCalConstA,MATCH(N328,FlowCalNumber,0),1,1)*P337^INDEX(FlowCalConstB,MATCH(N328,FlowCalNumber,0),1,1)&lt;INDEX(FlowCalHighSetting,MATCH(N328,FlowCalNumber,0),1,1))),INDEX(FlowCalConstA,MATCH(N328,FlowCalNumber,0),1,1)*P337^INDEX(FlowCalConstB,MATCH(N328,FlowCalNumber,0),1,1)," ")</f>
        <v>#REF!</v>
      </c>
      <c r="R337" s="33"/>
      <c r="S337" s="242">
        <f t="shared" si="316"/>
        <v>1</v>
      </c>
      <c r="T337" s="241" t="e">
        <f t="shared" ca="1" si="317"/>
        <v>#REF!</v>
      </c>
      <c r="U337" s="244" t="e">
        <f ca="1">IF(AND(INDEX(FlowCalConstA,MATCH(R328,FlowCalNumber,0),1,1)*T337^INDEX(FlowCalConstB,MATCH(R328,FlowCalNumber,0),1,1)&gt;INDEX(FlowCalLowSetting,MATCH(R328,FlowCalNumber,0),1,1), (INDEX(FlowCalConstA,MATCH(R328,FlowCalNumber,0),1,1)*T337^INDEX(FlowCalConstB,MATCH(R328,FlowCalNumber,0),1,1)&lt;INDEX(FlowCalHighSetting,MATCH(R328,FlowCalNumber,0),1,1))),INDEX(FlowCalConstA,MATCH(R328,FlowCalNumber,0),1,1)*T337^INDEX(FlowCalConstB,MATCH(R328,FlowCalNumber,0),1,1)," ")</f>
        <v>#REF!</v>
      </c>
      <c r="V337" s="33"/>
      <c r="W337" s="242">
        <f t="shared" si="318"/>
        <v>0.1</v>
      </c>
      <c r="X337" s="241" t="e">
        <f t="shared" ca="1" si="319"/>
        <v>#REF!</v>
      </c>
      <c r="Y337" s="243" t="e">
        <f ca="1">IF(AND(INDEX(FlowCalConstA,MATCH(V328,FlowCalNumber,0),1,1)*X337^INDEX(FlowCalConstB,MATCH(V328,FlowCalNumber,0),1,1)&gt;INDEX(FlowCalLowSetting,MATCH(V328,FlowCalNumber,0),1,1), (INDEX(FlowCalConstA,MATCH(V328,FlowCalNumber,0),1,1)*X337^INDEX(FlowCalConstB,MATCH(V328,FlowCalNumber,0),1,1)&lt;INDEX(FlowCalHighSetting,MATCH(V328,FlowCalNumber,0),1,1))),INDEX(FlowCalConstA,MATCH(V328,FlowCalNumber,0),1,1)*X337^INDEX(FlowCalConstB,MATCH(V328,FlowCalNumber,0),1,1)," ")</f>
        <v>#REF!</v>
      </c>
      <c r="Z337" s="33"/>
      <c r="AA337" s="242">
        <f t="shared" si="320"/>
        <v>0.9</v>
      </c>
      <c r="AB337" s="241" t="e">
        <f t="shared" ca="1" si="321"/>
        <v>#REF!</v>
      </c>
      <c r="AC337" s="243" t="e">
        <f ca="1">IF(AND(INDEX(FlowCalConstA,MATCH(Z328,FlowCalNumber,0),1,1)*AB337^INDEX(FlowCalConstB,MATCH(Z328,FlowCalNumber,0),1,1)&gt;INDEX(FlowCalLowSetting,MATCH(Z328,FlowCalNumber,0),1,1), (INDEX(FlowCalConstA,MATCH(Z328,FlowCalNumber,0),1,1)*AB337^INDEX(FlowCalConstB,MATCH(Z328,FlowCalNumber,0),1,1)&lt;INDEX(FlowCalHighSetting,MATCH(Z328,FlowCalNumber,0),1,1))),INDEX(FlowCalConstA,MATCH(Z328,FlowCalNumber,0),1,1)*AB337^INDEX(FlowCalConstB,MATCH(Z328,FlowCalNumber,0),1,1)," ")</f>
        <v>#REF!</v>
      </c>
      <c r="AD337" s="33"/>
      <c r="AE337" s="242">
        <f t="shared" si="322"/>
        <v>0.1</v>
      </c>
      <c r="AF337" s="241" t="e">
        <f t="shared" ca="1" si="323"/>
        <v>#REF!</v>
      </c>
      <c r="AG337" s="243" t="e">
        <f ca="1">IF(AND(INDEX(FlowCalConstA,MATCH(AD328,FlowCalNumber,0),1,1)*AF337^INDEX(FlowCalConstB,MATCH(AD328,FlowCalNumber,0),1,1)&gt;INDEX(FlowCalLowSetting,MATCH(AD328,FlowCalNumber,0),1,1), (INDEX(FlowCalConstA,MATCH(AD328,FlowCalNumber,0),1,1)*AF337^INDEX(FlowCalConstB,MATCH(AD328,FlowCalNumber,0),1,1)&lt;INDEX(FlowCalHighSetting,MATCH(AD328,FlowCalNumber,0),1,1))),INDEX(FlowCalConstA,MATCH(AD328,FlowCalNumber,0),1,1)*AF337^INDEX(FlowCalConstB,MATCH(AD328,FlowCalNumber,0),1,1)," ")</f>
        <v>#REF!</v>
      </c>
      <c r="AH337" s="33"/>
      <c r="AI337" s="242">
        <f t="shared" si="324"/>
        <v>0.9</v>
      </c>
      <c r="AJ337" s="241" t="e">
        <f t="shared" ca="1" si="325"/>
        <v>#REF!</v>
      </c>
      <c r="AK337" s="243" t="e">
        <f ca="1">IF(AND(INDEX(FlowCalConstA,MATCH(AH328,FlowCalNumber,0),1,1)*AJ337^INDEX(FlowCalConstB,MATCH(AH328,FlowCalNumber,0),1,1)&gt;INDEX(FlowCalLowSetting,MATCH(AH328,FlowCalNumber,0),1,1), (INDEX(FlowCalConstA,MATCH(AH328,FlowCalNumber,0),1,1)*AJ337^INDEX(FlowCalConstB,MATCH(AH328,FlowCalNumber,0),1,1)&lt;INDEX(FlowCalHighSetting,MATCH(AH328,FlowCalNumber,0),1,1))),INDEX(FlowCalConstA,MATCH(AH328,FlowCalNumber,0),1,1)*AJ337^INDEX(FlowCalConstB,MATCH(AH328,FlowCalNumber,0),1,1)," ")</f>
        <v>#REF!</v>
      </c>
      <c r="AL337" s="33"/>
      <c r="AM337" s="242"/>
      <c r="AN337" s="241"/>
      <c r="AO337" s="244"/>
      <c r="AQ337" s="242"/>
      <c r="AR337" s="241"/>
      <c r="AS337" s="244"/>
      <c r="AT337" s="33"/>
      <c r="AU337" s="242"/>
      <c r="AV337" s="241"/>
      <c r="AW337" s="244"/>
      <c r="AX337" s="33"/>
      <c r="AY337" s="242"/>
      <c r="AZ337" s="241"/>
      <c r="BA337" s="244"/>
      <c r="BB337" s="33"/>
      <c r="BC337" s="242"/>
      <c r="BD337" s="241"/>
      <c r="BE337" s="244"/>
      <c r="BF337" s="33"/>
      <c r="BG337" s="242"/>
      <c r="BH337" s="241"/>
      <c r="BI337" s="244"/>
      <c r="BJ337" s="33"/>
      <c r="BK337" s="242"/>
      <c r="BL337" s="241"/>
      <c r="BM337" s="244"/>
      <c r="BN337" s="33"/>
      <c r="BO337" s="242"/>
      <c r="BP337" s="241"/>
      <c r="BQ337" s="244"/>
      <c r="BR337" s="33"/>
      <c r="BS337" s="242"/>
      <c r="BT337" s="241"/>
      <c r="BU337" s="244"/>
      <c r="BV337" s="33"/>
      <c r="BW337" s="242"/>
      <c r="BX337" s="241"/>
      <c r="BY337" s="244"/>
      <c r="BZ337" s="33"/>
      <c r="CA337" s="242"/>
      <c r="CB337" s="241"/>
      <c r="CC337" s="244"/>
      <c r="CD337" s="243"/>
      <c r="CE337" s="243"/>
      <c r="CF337" s="243"/>
      <c r="CG337" s="243"/>
      <c r="CH337" s="243"/>
      <c r="CI337" s="243"/>
      <c r="CJ337" s="243"/>
      <c r="CK337" s="243"/>
      <c r="CL337" s="243"/>
      <c r="CM337" s="243"/>
      <c r="CN337" s="243"/>
      <c r="CO337" s="243"/>
      <c r="CP337" s="243"/>
      <c r="CQ337" s="243"/>
      <c r="CR337" s="243"/>
      <c r="CS337" s="243"/>
      <c r="CT337" s="243"/>
      <c r="CU337" s="243"/>
      <c r="CV337" s="243"/>
      <c r="CW337" s="243"/>
      <c r="CX337" s="243"/>
      <c r="CY337" s="243"/>
      <c r="CZ337" s="243"/>
      <c r="DA337" s="243"/>
      <c r="DB337" s="243"/>
      <c r="DC337" s="243"/>
      <c r="DD337" s="243"/>
      <c r="DE337" s="243"/>
      <c r="DF337" s="243"/>
      <c r="DG337" s="243"/>
      <c r="DH337" s="243"/>
      <c r="DI337" s="243"/>
      <c r="DJ337" s="243"/>
      <c r="DK337" s="243"/>
      <c r="DM337" s="242"/>
      <c r="DO337" s="243"/>
      <c r="DQ337" s="242"/>
      <c r="DS337" s="243"/>
      <c r="DU337" s="242"/>
      <c r="DW337" s="243"/>
      <c r="DY337" s="242"/>
      <c r="EA337" s="243"/>
    </row>
    <row r="338" spans="1:131">
      <c r="A338" s="20"/>
      <c r="B338" s="124" t="str">
        <f t="shared" si="310"/>
        <v/>
      </c>
      <c r="C338" s="235"/>
      <c r="D338" s="24">
        <f>'1% Wind'!$M$91</f>
        <v>4.2</v>
      </c>
      <c r="E338" s="90"/>
      <c r="F338" s="90"/>
      <c r="G338" s="79" t="e">
        <f ca="1">IF(I328=0.9743,$G337,MAX(G337/D337*D338,2))</f>
        <v>#REF!</v>
      </c>
      <c r="H338" s="121" t="e">
        <f t="shared" ca="1" si="311"/>
        <v>#REF!</v>
      </c>
      <c r="J338" s="33"/>
      <c r="K338" s="242">
        <f t="shared" si="312"/>
        <v>1</v>
      </c>
      <c r="L338" s="241" t="e">
        <f t="shared" ca="1" si="313"/>
        <v>#REF!</v>
      </c>
      <c r="M338" s="243" t="e">
        <f ca="1">IF(AND(INDEX(FlowCalConstA,MATCH(J328,FlowCalNumber,0),1,1)*L338^INDEX(FlowCalConstB,MATCH(J328,FlowCalNumber,0),1,1)&gt;INDEX(FlowCalLowSetting,MATCH(J328,FlowCalNumber,0),1,1), (INDEX(FlowCalConstA,MATCH(J328,FlowCalNumber,0),1,1)*L338^INDEX(FlowCalConstB,MATCH(J328,FlowCalNumber,0),1,1)&lt;INDEX(FlowCalHighSetting,MATCH(J328,FlowCalNumber,0),1,1))),INDEX(FlowCalConstA,MATCH(J328,FlowCalNumber,0),1,1)*L338^INDEX(FlowCalConstB,MATCH(J328,FlowCalNumber,0),1,1)," ")</f>
        <v>#REF!</v>
      </c>
      <c r="N338" s="33"/>
      <c r="O338" s="242">
        <f t="shared" si="314"/>
        <v>1</v>
      </c>
      <c r="P338" s="241" t="e">
        <f t="shared" ca="1" si="315"/>
        <v>#REF!</v>
      </c>
      <c r="Q338" s="243" t="e">
        <f ca="1">IF(AND(INDEX(FlowCalConstA,MATCH(N328,FlowCalNumber,0),1,1)*P338^INDEX(FlowCalConstB,MATCH(N328,FlowCalNumber,0),1,1)&gt;INDEX(FlowCalLowSetting,MATCH(N328,FlowCalNumber,0),1,1), (INDEX(FlowCalConstA,MATCH(N328,FlowCalNumber,0),1,1)*P338^INDEX(FlowCalConstB,MATCH(N328,FlowCalNumber,0),1,1)&lt;INDEX(FlowCalHighSetting,MATCH(N328,FlowCalNumber,0),1,1))),INDEX(FlowCalConstA,MATCH(N328,FlowCalNumber,0),1,1)*P338^INDEX(FlowCalConstB,MATCH(N328,FlowCalNumber,0),1,1)," ")</f>
        <v>#REF!</v>
      </c>
      <c r="R338" s="33"/>
      <c r="S338" s="242">
        <f t="shared" si="316"/>
        <v>1</v>
      </c>
      <c r="T338" s="241" t="e">
        <f t="shared" ca="1" si="317"/>
        <v>#REF!</v>
      </c>
      <c r="U338" s="244" t="e">
        <f ca="1">IF(AND(INDEX(FlowCalConstA,MATCH(R328,FlowCalNumber,0),1,1)*T338^INDEX(FlowCalConstB,MATCH(R328,FlowCalNumber,0),1,1)&gt;INDEX(FlowCalLowSetting,MATCH(R328,FlowCalNumber,0),1,1), (INDEX(FlowCalConstA,MATCH(R328,FlowCalNumber,0),1,1)*T338^INDEX(FlowCalConstB,MATCH(R328,FlowCalNumber,0),1,1)&lt;INDEX(FlowCalHighSetting,MATCH(R328,FlowCalNumber,0),1,1))),INDEX(FlowCalConstA,MATCH(R328,FlowCalNumber,0),1,1)*T338^INDEX(FlowCalConstB,MATCH(R328,FlowCalNumber,0),1,1)," ")</f>
        <v>#REF!</v>
      </c>
      <c r="V338" s="33"/>
      <c r="W338" s="242">
        <f t="shared" si="318"/>
        <v>0.1</v>
      </c>
      <c r="X338" s="241" t="e">
        <f t="shared" ca="1" si="319"/>
        <v>#REF!</v>
      </c>
      <c r="Y338" s="243" t="e">
        <f ca="1">IF(AND(INDEX(FlowCalConstA,MATCH(V328,FlowCalNumber,0),1,1)*X338^INDEX(FlowCalConstB,MATCH(V328,FlowCalNumber,0),1,1)&gt;INDEX(FlowCalLowSetting,MATCH(V328,FlowCalNumber,0),1,1), (INDEX(FlowCalConstA,MATCH(V328,FlowCalNumber,0),1,1)*X338^INDEX(FlowCalConstB,MATCH(V328,FlowCalNumber,0),1,1)&lt;INDEX(FlowCalHighSetting,MATCH(V328,FlowCalNumber,0),1,1))),INDEX(FlowCalConstA,MATCH(V328,FlowCalNumber,0),1,1)*X338^INDEX(FlowCalConstB,MATCH(V328,FlowCalNumber,0),1,1)," ")</f>
        <v>#REF!</v>
      </c>
      <c r="Z338" s="33"/>
      <c r="AA338" s="242">
        <f t="shared" si="320"/>
        <v>0.9</v>
      </c>
      <c r="AB338" s="241" t="e">
        <f t="shared" ca="1" si="321"/>
        <v>#REF!</v>
      </c>
      <c r="AC338" s="243" t="e">
        <f ca="1">IF(AND(INDEX(FlowCalConstA,MATCH(Z328,FlowCalNumber,0),1,1)*AB338^INDEX(FlowCalConstB,MATCH(Z328,FlowCalNumber,0),1,1)&gt;INDEX(FlowCalLowSetting,MATCH(Z328,FlowCalNumber,0),1,1), (INDEX(FlowCalConstA,MATCH(Z328,FlowCalNumber,0),1,1)*AB338^INDEX(FlowCalConstB,MATCH(Z328,FlowCalNumber,0),1,1)&lt;INDEX(FlowCalHighSetting,MATCH(Z328,FlowCalNumber,0),1,1))),INDEX(FlowCalConstA,MATCH(Z328,FlowCalNumber,0),1,1)*AB338^INDEX(FlowCalConstB,MATCH(Z328,FlowCalNumber,0),1,1)," ")</f>
        <v>#REF!</v>
      </c>
      <c r="AD338" s="33"/>
      <c r="AE338" s="242">
        <f t="shared" si="322"/>
        <v>0.1</v>
      </c>
      <c r="AF338" s="241" t="e">
        <f t="shared" ca="1" si="323"/>
        <v>#REF!</v>
      </c>
      <c r="AG338" s="243" t="e">
        <f ca="1">IF(AND(INDEX(FlowCalConstA,MATCH(AD328,FlowCalNumber,0),1,1)*AF338^INDEX(FlowCalConstB,MATCH(AD328,FlowCalNumber,0),1,1)&gt;INDEX(FlowCalLowSetting,MATCH(AD328,FlowCalNumber,0),1,1), (INDEX(FlowCalConstA,MATCH(AD328,FlowCalNumber,0),1,1)*AF338^INDEX(FlowCalConstB,MATCH(AD328,FlowCalNumber,0),1,1)&lt;INDEX(FlowCalHighSetting,MATCH(AD328,FlowCalNumber,0),1,1))),INDEX(FlowCalConstA,MATCH(AD328,FlowCalNumber,0),1,1)*AF338^INDEX(FlowCalConstB,MATCH(AD328,FlowCalNumber,0),1,1)," ")</f>
        <v>#REF!</v>
      </c>
      <c r="AH338" s="33"/>
      <c r="AI338" s="242">
        <f t="shared" si="324"/>
        <v>0.9</v>
      </c>
      <c r="AJ338" s="241" t="e">
        <f t="shared" ca="1" si="325"/>
        <v>#REF!</v>
      </c>
      <c r="AK338" s="243" t="e">
        <f ca="1">IF(AND(INDEX(FlowCalConstA,MATCH(AH328,FlowCalNumber,0),1,1)*AJ338^INDEX(FlowCalConstB,MATCH(AH328,FlowCalNumber,0),1,1)&gt;INDEX(FlowCalLowSetting,MATCH(AH328,FlowCalNumber,0),1,1), (INDEX(FlowCalConstA,MATCH(AH328,FlowCalNumber,0),1,1)*AJ338^INDEX(FlowCalConstB,MATCH(AH328,FlowCalNumber,0),1,1)&lt;INDEX(FlowCalHighSetting,MATCH(AH328,FlowCalNumber,0),1,1))),INDEX(FlowCalConstA,MATCH(AH328,FlowCalNumber,0),1,1)*AJ338^INDEX(FlowCalConstB,MATCH(AH328,FlowCalNumber,0),1,1)," ")</f>
        <v>#REF!</v>
      </c>
      <c r="AL338" s="33"/>
      <c r="AM338" s="242"/>
      <c r="AN338" s="241"/>
      <c r="AO338" s="244"/>
      <c r="AQ338" s="242"/>
      <c r="AR338" s="241"/>
      <c r="AS338" s="244"/>
      <c r="AT338" s="33"/>
      <c r="AU338" s="242"/>
      <c r="AV338" s="241"/>
      <c r="AW338" s="244"/>
      <c r="AX338" s="33"/>
      <c r="AY338" s="242"/>
      <c r="AZ338" s="241"/>
      <c r="BA338" s="244"/>
      <c r="BB338" s="33"/>
      <c r="BC338" s="242"/>
      <c r="BD338" s="241"/>
      <c r="BE338" s="244"/>
      <c r="BF338" s="33"/>
      <c r="BG338" s="242"/>
      <c r="BH338" s="241"/>
      <c r="BI338" s="244"/>
      <c r="BJ338" s="33"/>
      <c r="BK338" s="242"/>
      <c r="BL338" s="241"/>
      <c r="BM338" s="244"/>
      <c r="BN338" s="33"/>
      <c r="BO338" s="242"/>
      <c r="BP338" s="241"/>
      <c r="BQ338" s="244"/>
      <c r="BR338" s="33"/>
      <c r="BS338" s="242"/>
      <c r="BT338" s="241"/>
      <c r="BU338" s="244"/>
      <c r="BV338" s="33"/>
      <c r="BW338" s="242"/>
      <c r="BX338" s="241"/>
      <c r="BY338" s="244"/>
      <c r="BZ338" s="33"/>
      <c r="CA338" s="242"/>
      <c r="CB338" s="241"/>
      <c r="CC338" s="244"/>
      <c r="CD338" s="243"/>
      <c r="CE338" s="243"/>
      <c r="CF338" s="243"/>
      <c r="CG338" s="243"/>
      <c r="CH338" s="243"/>
      <c r="CI338" s="243"/>
      <c r="CJ338" s="243"/>
      <c r="CK338" s="243"/>
      <c r="CL338" s="243"/>
      <c r="CM338" s="243"/>
      <c r="CN338" s="243"/>
      <c r="CO338" s="243"/>
      <c r="CP338" s="243"/>
      <c r="CQ338" s="243"/>
      <c r="CR338" s="243"/>
      <c r="CS338" s="243"/>
      <c r="CT338" s="243"/>
      <c r="CU338" s="243"/>
      <c r="CV338" s="243"/>
      <c r="CW338" s="243"/>
      <c r="CX338" s="243"/>
      <c r="CY338" s="243"/>
      <c r="CZ338" s="243"/>
      <c r="DA338" s="243"/>
      <c r="DB338" s="243"/>
      <c r="DC338" s="243"/>
      <c r="DD338" s="243"/>
      <c r="DE338" s="243"/>
      <c r="DF338" s="243"/>
      <c r="DG338" s="243"/>
      <c r="DH338" s="243"/>
      <c r="DI338" s="243"/>
      <c r="DJ338" s="243"/>
      <c r="DK338" s="243"/>
      <c r="DM338" s="242"/>
      <c r="DO338" s="243"/>
      <c r="DQ338" s="242"/>
      <c r="DS338" s="243"/>
      <c r="DU338" s="242"/>
      <c r="DW338" s="243"/>
      <c r="DY338" s="242"/>
      <c r="EA338" s="243"/>
    </row>
    <row r="339" spans="1:131">
      <c r="A339" s="20"/>
      <c r="B339" s="124" t="str">
        <f t="shared" si="310"/>
        <v/>
      </c>
      <c r="C339" s="235"/>
      <c r="D339" s="24">
        <f>'1% Wind'!$M$92</f>
        <v>3.2</v>
      </c>
      <c r="E339" s="90"/>
      <c r="F339" s="90"/>
      <c r="G339" s="79" t="e">
        <f ca="1">IF(I328=0.9743,$G338,MAX(G338/D338*D339,2))</f>
        <v>#REF!</v>
      </c>
      <c r="H339" s="121" t="e">
        <f t="shared" ca="1" si="311"/>
        <v>#REF!</v>
      </c>
      <c r="J339" s="33"/>
      <c r="K339" s="242">
        <f t="shared" si="312"/>
        <v>1</v>
      </c>
      <c r="L339" s="241" t="e">
        <f t="shared" ca="1" si="313"/>
        <v>#REF!</v>
      </c>
      <c r="M339" s="243" t="e">
        <f ca="1">IF(AND(INDEX(FlowCalConstA,MATCH(J328,FlowCalNumber,0),1,1)*L339^INDEX(FlowCalConstB,MATCH(J328,FlowCalNumber,0),1,1)&gt;INDEX(FlowCalLowSetting,MATCH(J328,FlowCalNumber,0),1,1), (INDEX(FlowCalConstA,MATCH(J328,FlowCalNumber,0),1,1)*L339^INDEX(FlowCalConstB,MATCH(J328,FlowCalNumber,0),1,1)&lt;INDEX(FlowCalHighSetting,MATCH(J328,FlowCalNumber,0),1,1))),INDEX(FlowCalConstA,MATCH(J328,FlowCalNumber,0),1,1)*L339^INDEX(FlowCalConstB,MATCH(J328,FlowCalNumber,0),1,1)," ")</f>
        <v>#REF!</v>
      </c>
      <c r="N339" s="33"/>
      <c r="O339" s="242">
        <f t="shared" si="314"/>
        <v>1</v>
      </c>
      <c r="P339" s="241" t="e">
        <f t="shared" ca="1" si="315"/>
        <v>#REF!</v>
      </c>
      <c r="Q339" s="243" t="e">
        <f ca="1">IF(AND(INDEX(FlowCalConstA,MATCH(N328,FlowCalNumber,0),1,1)*P339^INDEX(FlowCalConstB,MATCH(N328,FlowCalNumber,0),1,1)&gt;INDEX(FlowCalLowSetting,MATCH(N328,FlowCalNumber,0),1,1), (INDEX(FlowCalConstA,MATCH(N328,FlowCalNumber,0),1,1)*P339^INDEX(FlowCalConstB,MATCH(N328,FlowCalNumber,0),1,1)&lt;INDEX(FlowCalHighSetting,MATCH(N328,FlowCalNumber,0),1,1))),INDEX(FlowCalConstA,MATCH(N328,FlowCalNumber,0),1,1)*P339^INDEX(FlowCalConstB,MATCH(N328,FlowCalNumber,0),1,1)," ")</f>
        <v>#REF!</v>
      </c>
      <c r="R339" s="33"/>
      <c r="S339" s="242">
        <f t="shared" si="316"/>
        <v>1</v>
      </c>
      <c r="T339" s="241" t="e">
        <f t="shared" ca="1" si="317"/>
        <v>#REF!</v>
      </c>
      <c r="U339" s="244" t="e">
        <f ca="1">IF(AND(INDEX(FlowCalConstA,MATCH(R328,FlowCalNumber,0),1,1)*T339^INDEX(FlowCalConstB,MATCH(R328,FlowCalNumber,0),1,1)&gt;INDEX(FlowCalLowSetting,MATCH(R328,FlowCalNumber,0),1,1), (INDEX(FlowCalConstA,MATCH(R328,FlowCalNumber,0),1,1)*T339^INDEX(FlowCalConstB,MATCH(R328,FlowCalNumber,0),1,1)&lt;INDEX(FlowCalHighSetting,MATCH(R328,FlowCalNumber,0),1,1))),INDEX(FlowCalConstA,MATCH(R328,FlowCalNumber,0),1,1)*T339^INDEX(FlowCalConstB,MATCH(R328,FlowCalNumber,0),1,1)," ")</f>
        <v>#REF!</v>
      </c>
      <c r="V339" s="33"/>
      <c r="W339" s="242">
        <f t="shared" si="318"/>
        <v>0.1</v>
      </c>
      <c r="X339" s="241" t="e">
        <f t="shared" ca="1" si="319"/>
        <v>#REF!</v>
      </c>
      <c r="Y339" s="243" t="e">
        <f ca="1">IF(AND(INDEX(FlowCalConstA,MATCH(V328,FlowCalNumber,0),1,1)*X339^INDEX(FlowCalConstB,MATCH(V328,FlowCalNumber,0),1,1)&gt;INDEX(FlowCalLowSetting,MATCH(V328,FlowCalNumber,0),1,1), (INDEX(FlowCalConstA,MATCH(V328,FlowCalNumber,0),1,1)*X339^INDEX(FlowCalConstB,MATCH(V328,FlowCalNumber,0),1,1)&lt;INDEX(FlowCalHighSetting,MATCH(V328,FlowCalNumber,0),1,1))),INDEX(FlowCalConstA,MATCH(V328,FlowCalNumber,0),1,1)*X339^INDEX(FlowCalConstB,MATCH(V328,FlowCalNumber,0),1,1)," ")</f>
        <v>#REF!</v>
      </c>
      <c r="Z339" s="33"/>
      <c r="AA339" s="242">
        <f t="shared" si="320"/>
        <v>0.9</v>
      </c>
      <c r="AB339" s="241" t="e">
        <f t="shared" ca="1" si="321"/>
        <v>#REF!</v>
      </c>
      <c r="AC339" s="243" t="e">
        <f ca="1">IF(AND(INDEX(FlowCalConstA,MATCH(Z328,FlowCalNumber,0),1,1)*AB339^INDEX(FlowCalConstB,MATCH(Z328,FlowCalNumber,0),1,1)&gt;INDEX(FlowCalLowSetting,MATCH(Z328,FlowCalNumber,0),1,1), (INDEX(FlowCalConstA,MATCH(Z328,FlowCalNumber,0),1,1)*AB339^INDEX(FlowCalConstB,MATCH(Z328,FlowCalNumber,0),1,1)&lt;INDEX(FlowCalHighSetting,MATCH(Z328,FlowCalNumber,0),1,1))),INDEX(FlowCalConstA,MATCH(Z328,FlowCalNumber,0),1,1)*AB339^INDEX(FlowCalConstB,MATCH(Z328,FlowCalNumber,0),1,1)," ")</f>
        <v>#REF!</v>
      </c>
      <c r="AD339" s="33"/>
      <c r="AE339" s="242">
        <f t="shared" si="322"/>
        <v>0.1</v>
      </c>
      <c r="AF339" s="241" t="e">
        <f t="shared" ca="1" si="323"/>
        <v>#REF!</v>
      </c>
      <c r="AG339" s="243" t="e">
        <f ca="1">IF(AND(INDEX(FlowCalConstA,MATCH(AD328,FlowCalNumber,0),1,1)*AF339^INDEX(FlowCalConstB,MATCH(AD328,FlowCalNumber,0),1,1)&gt;INDEX(FlowCalLowSetting,MATCH(AD328,FlowCalNumber,0),1,1), (INDEX(FlowCalConstA,MATCH(AD328,FlowCalNumber,0),1,1)*AF339^INDEX(FlowCalConstB,MATCH(AD328,FlowCalNumber,0),1,1)&lt;INDEX(FlowCalHighSetting,MATCH(AD328,FlowCalNumber,0),1,1))),INDEX(FlowCalConstA,MATCH(AD328,FlowCalNumber,0),1,1)*AF339^INDEX(FlowCalConstB,MATCH(AD328,FlowCalNumber,0),1,1)," ")</f>
        <v>#REF!</v>
      </c>
      <c r="AH339" s="33"/>
      <c r="AI339" s="242">
        <f t="shared" si="324"/>
        <v>0.9</v>
      </c>
      <c r="AJ339" s="241" t="e">
        <f t="shared" ca="1" si="325"/>
        <v>#REF!</v>
      </c>
      <c r="AK339" s="243" t="e">
        <f ca="1">IF(AND(INDEX(FlowCalConstA,MATCH(AH328,FlowCalNumber,0),1,1)*AJ339^INDEX(FlowCalConstB,MATCH(AH328,FlowCalNumber,0),1,1)&gt;INDEX(FlowCalLowSetting,MATCH(AH328,FlowCalNumber,0),1,1), (INDEX(FlowCalConstA,MATCH(AH328,FlowCalNumber,0),1,1)*AJ339^INDEX(FlowCalConstB,MATCH(AH328,FlowCalNumber,0),1,1)&lt;INDEX(FlowCalHighSetting,MATCH(AH328,FlowCalNumber,0),1,1))),INDEX(FlowCalConstA,MATCH(AH328,FlowCalNumber,0),1,1)*AJ339^INDEX(FlowCalConstB,MATCH(AH328,FlowCalNumber,0),1,1)," ")</f>
        <v>#REF!</v>
      </c>
      <c r="AL339" s="33"/>
      <c r="AM339" s="242"/>
      <c r="AN339" s="241"/>
      <c r="AO339" s="244"/>
      <c r="AQ339" s="242"/>
      <c r="AR339" s="241"/>
      <c r="AS339" s="244"/>
      <c r="AT339" s="33"/>
      <c r="AU339" s="242"/>
      <c r="AV339" s="241"/>
      <c r="AW339" s="244"/>
      <c r="AX339" s="33"/>
      <c r="AY339" s="242"/>
      <c r="AZ339" s="241"/>
      <c r="BA339" s="244"/>
      <c r="BB339" s="33"/>
      <c r="BC339" s="242"/>
      <c r="BD339" s="241"/>
      <c r="BE339" s="244"/>
      <c r="BF339" s="33"/>
      <c r="BG339" s="242"/>
      <c r="BH339" s="241"/>
      <c r="BI339" s="244"/>
      <c r="BJ339" s="33"/>
      <c r="BK339" s="242"/>
      <c r="BL339" s="241"/>
      <c r="BM339" s="244"/>
      <c r="BN339" s="33"/>
      <c r="BO339" s="242"/>
      <c r="BP339" s="241"/>
      <c r="BQ339" s="244"/>
      <c r="BR339" s="33"/>
      <c r="BS339" s="242"/>
      <c r="BT339" s="241"/>
      <c r="BU339" s="244"/>
      <c r="BV339" s="33"/>
      <c r="BW339" s="242"/>
      <c r="BX339" s="241"/>
      <c r="BY339" s="244"/>
      <c r="BZ339" s="33"/>
      <c r="CA339" s="242"/>
      <c r="CB339" s="241"/>
      <c r="CC339" s="244"/>
      <c r="CD339" s="243"/>
      <c r="CE339" s="243"/>
      <c r="CF339" s="243"/>
      <c r="CG339" s="243"/>
      <c r="CH339" s="243"/>
      <c r="CI339" s="243"/>
      <c r="CJ339" s="243"/>
      <c r="CK339" s="243"/>
      <c r="CL339" s="243"/>
      <c r="CM339" s="243"/>
      <c r="CN339" s="243"/>
      <c r="CO339" s="243"/>
      <c r="CP339" s="243"/>
      <c r="CQ339" s="243"/>
      <c r="CR339" s="243"/>
      <c r="CS339" s="243"/>
      <c r="CT339" s="243"/>
      <c r="CU339" s="243"/>
      <c r="CV339" s="243"/>
      <c r="CW339" s="243"/>
      <c r="CX339" s="243"/>
      <c r="CY339" s="243"/>
      <c r="CZ339" s="243"/>
      <c r="DA339" s="243"/>
      <c r="DB339" s="243"/>
      <c r="DC339" s="243"/>
      <c r="DD339" s="243"/>
      <c r="DE339" s="243"/>
      <c r="DF339" s="243"/>
      <c r="DG339" s="243"/>
      <c r="DH339" s="243"/>
      <c r="DI339" s="243"/>
      <c r="DJ339" s="243"/>
      <c r="DK339" s="243"/>
      <c r="DM339" s="242"/>
      <c r="DO339" s="243"/>
      <c r="DQ339" s="242"/>
      <c r="DS339" s="243"/>
      <c r="DU339" s="242"/>
      <c r="DW339" s="243"/>
      <c r="DY339" s="242"/>
      <c r="EA339" s="243"/>
    </row>
    <row r="340" spans="1:131">
      <c r="A340" s="20"/>
      <c r="B340" s="124" t="str">
        <f t="shared" si="310"/>
        <v/>
      </c>
      <c r="C340" s="235"/>
      <c r="D340" s="24">
        <f>'1% Wind'!$M$93</f>
        <v>2.4</v>
      </c>
      <c r="E340" s="90"/>
      <c r="F340" s="90"/>
      <c r="G340" s="79" t="e">
        <f ca="1">IF(I328=0.9743,$G339,MAX(G339/D339*D340,2))</f>
        <v>#REF!</v>
      </c>
      <c r="H340" s="121" t="e">
        <f t="shared" ca="1" si="311"/>
        <v>#REF!</v>
      </c>
      <c r="J340" s="33"/>
      <c r="K340" s="242">
        <f t="shared" si="312"/>
        <v>1</v>
      </c>
      <c r="L340" s="241" t="e">
        <f t="shared" ca="1" si="313"/>
        <v>#REF!</v>
      </c>
      <c r="M340" s="243" t="e">
        <f ca="1">IF(AND(INDEX(FlowCalConstA,MATCH(J328,FlowCalNumber,0),1,1)*L340^INDEX(FlowCalConstB,MATCH(J328,FlowCalNumber,0),1,1)&gt;INDEX(FlowCalLowSetting,MATCH(J328,FlowCalNumber,0),1,1), (INDEX(FlowCalConstA,MATCH(J328,FlowCalNumber,0),1,1)*L340^INDEX(FlowCalConstB,MATCH(J328,FlowCalNumber,0),1,1)&lt;INDEX(FlowCalHighSetting,MATCH(J328,FlowCalNumber,0),1,1))),INDEX(FlowCalConstA,MATCH(J328,FlowCalNumber,0),1,1)*L340^INDEX(FlowCalConstB,MATCH(J328,FlowCalNumber,0),1,1)," ")</f>
        <v>#REF!</v>
      </c>
      <c r="N340" s="33"/>
      <c r="O340" s="242">
        <f t="shared" si="314"/>
        <v>1</v>
      </c>
      <c r="P340" s="241" t="e">
        <f t="shared" ca="1" si="315"/>
        <v>#REF!</v>
      </c>
      <c r="Q340" s="243" t="e">
        <f ca="1">IF(AND(INDEX(FlowCalConstA,MATCH(N328,FlowCalNumber,0),1,1)*P340^INDEX(FlowCalConstB,MATCH(N328,FlowCalNumber,0),1,1)&gt;INDEX(FlowCalLowSetting,MATCH(N328,FlowCalNumber,0),1,1), (INDEX(FlowCalConstA,MATCH(N328,FlowCalNumber,0),1,1)*P340^INDEX(FlowCalConstB,MATCH(N328,FlowCalNumber,0),1,1)&lt;INDEX(FlowCalHighSetting,MATCH(N328,FlowCalNumber,0),1,1))),INDEX(FlowCalConstA,MATCH(N328,FlowCalNumber,0),1,1)*P340^INDEX(FlowCalConstB,MATCH(N328,FlowCalNumber,0),1,1)," ")</f>
        <v>#REF!</v>
      </c>
      <c r="R340" s="33"/>
      <c r="S340" s="242">
        <f t="shared" si="316"/>
        <v>1</v>
      </c>
      <c r="T340" s="241" t="e">
        <f t="shared" ca="1" si="317"/>
        <v>#REF!</v>
      </c>
      <c r="U340" s="244" t="e">
        <f ca="1">IF(AND(INDEX(FlowCalConstA,MATCH(R328,FlowCalNumber,0),1,1)*T340^INDEX(FlowCalConstB,MATCH(R328,FlowCalNumber,0),1,1)&gt;INDEX(FlowCalLowSetting,MATCH(R328,FlowCalNumber,0),1,1), (INDEX(FlowCalConstA,MATCH(R328,FlowCalNumber,0),1,1)*T340^INDEX(FlowCalConstB,MATCH(R328,FlowCalNumber,0),1,1)&lt;INDEX(FlowCalHighSetting,MATCH(R328,FlowCalNumber,0),1,1))),INDEX(FlowCalConstA,MATCH(R328,FlowCalNumber,0),1,1)*T340^INDEX(FlowCalConstB,MATCH(R328,FlowCalNumber,0),1,1)," ")</f>
        <v>#REF!</v>
      </c>
      <c r="V340" s="33"/>
      <c r="W340" s="242">
        <f t="shared" si="318"/>
        <v>0.1</v>
      </c>
      <c r="X340" s="241" t="e">
        <f t="shared" ca="1" si="319"/>
        <v>#REF!</v>
      </c>
      <c r="Y340" s="243" t="e">
        <f ca="1">IF(AND(INDEX(FlowCalConstA,MATCH(V328,FlowCalNumber,0),1,1)*X340^INDEX(FlowCalConstB,MATCH(V328,FlowCalNumber,0),1,1)&gt;INDEX(FlowCalLowSetting,MATCH(V328,FlowCalNumber,0),1,1), (INDEX(FlowCalConstA,MATCH(V328,FlowCalNumber,0),1,1)*X340^INDEX(FlowCalConstB,MATCH(V328,FlowCalNumber,0),1,1)&lt;INDEX(FlowCalHighSetting,MATCH(V328,FlowCalNumber,0),1,1))),INDEX(FlowCalConstA,MATCH(V328,FlowCalNumber,0),1,1)*X340^INDEX(FlowCalConstB,MATCH(V328,FlowCalNumber,0),1,1)," ")</f>
        <v>#REF!</v>
      </c>
      <c r="Z340" s="33"/>
      <c r="AA340" s="242">
        <f t="shared" si="320"/>
        <v>0.9</v>
      </c>
      <c r="AB340" s="241" t="e">
        <f t="shared" ca="1" si="321"/>
        <v>#REF!</v>
      </c>
      <c r="AC340" s="243" t="e">
        <f ca="1">IF(AND(INDEX(FlowCalConstA,MATCH(Z328,FlowCalNumber,0),1,1)*AB340^INDEX(FlowCalConstB,MATCH(Z328,FlowCalNumber,0),1,1)&gt;INDEX(FlowCalLowSetting,MATCH(Z328,FlowCalNumber,0),1,1), (INDEX(FlowCalConstA,MATCH(Z328,FlowCalNumber,0),1,1)*AB340^INDEX(FlowCalConstB,MATCH(Z328,FlowCalNumber,0),1,1)&lt;INDEX(FlowCalHighSetting,MATCH(Z328,FlowCalNumber,0),1,1))),INDEX(FlowCalConstA,MATCH(Z328,FlowCalNumber,0),1,1)*AB340^INDEX(FlowCalConstB,MATCH(Z328,FlowCalNumber,0),1,1)," ")</f>
        <v>#REF!</v>
      </c>
      <c r="AD340" s="33"/>
      <c r="AE340" s="242">
        <f t="shared" si="322"/>
        <v>0.1</v>
      </c>
      <c r="AF340" s="241" t="e">
        <f t="shared" ca="1" si="323"/>
        <v>#REF!</v>
      </c>
      <c r="AG340" s="243" t="e">
        <f ca="1">IF(AND(INDEX(FlowCalConstA,MATCH(AD328,FlowCalNumber,0),1,1)*AF340^INDEX(FlowCalConstB,MATCH(AD328,FlowCalNumber,0),1,1)&gt;INDEX(FlowCalLowSetting,MATCH(AD328,FlowCalNumber,0),1,1), (INDEX(FlowCalConstA,MATCH(AD328,FlowCalNumber,0),1,1)*AF340^INDEX(FlowCalConstB,MATCH(AD328,FlowCalNumber,0),1,1)&lt;INDEX(FlowCalHighSetting,MATCH(AD328,FlowCalNumber,0),1,1))),INDEX(FlowCalConstA,MATCH(AD328,FlowCalNumber,0),1,1)*AF340^INDEX(FlowCalConstB,MATCH(AD328,FlowCalNumber,0),1,1)," ")</f>
        <v>#REF!</v>
      </c>
      <c r="AH340" s="33"/>
      <c r="AI340" s="242">
        <f t="shared" si="324"/>
        <v>0.9</v>
      </c>
      <c r="AJ340" s="241" t="e">
        <f t="shared" ca="1" si="325"/>
        <v>#REF!</v>
      </c>
      <c r="AK340" s="243" t="e">
        <f ca="1">IF(AND(INDEX(FlowCalConstA,MATCH(AH328,FlowCalNumber,0),1,1)*AJ340^INDEX(FlowCalConstB,MATCH(AH328,FlowCalNumber,0),1,1)&gt;INDEX(FlowCalLowSetting,MATCH(AH328,FlowCalNumber,0),1,1), (INDEX(FlowCalConstA,MATCH(AH328,FlowCalNumber,0),1,1)*AJ340^INDEX(FlowCalConstB,MATCH(AH328,FlowCalNumber,0),1,1)&lt;INDEX(FlowCalHighSetting,MATCH(AH328,FlowCalNumber,0),1,1))),INDEX(FlowCalConstA,MATCH(AH328,FlowCalNumber,0),1,1)*AJ340^INDEX(FlowCalConstB,MATCH(AH328,FlowCalNumber,0),1,1)," ")</f>
        <v>#REF!</v>
      </c>
      <c r="AL340" s="33"/>
      <c r="AM340" s="242"/>
      <c r="AN340" s="241"/>
      <c r="AO340" s="244"/>
      <c r="AQ340" s="242"/>
      <c r="AR340" s="241"/>
      <c r="AS340" s="244"/>
      <c r="AT340" s="33"/>
      <c r="AU340" s="242"/>
      <c r="AV340" s="241"/>
      <c r="AW340" s="244"/>
      <c r="AX340" s="33"/>
      <c r="AY340" s="242"/>
      <c r="AZ340" s="241"/>
      <c r="BA340" s="244"/>
      <c r="BB340" s="33"/>
      <c r="BC340" s="242"/>
      <c r="BD340" s="241"/>
      <c r="BE340" s="244"/>
      <c r="BF340" s="33"/>
      <c r="BG340" s="242"/>
      <c r="BH340" s="241"/>
      <c r="BI340" s="244"/>
      <c r="BJ340" s="33"/>
      <c r="BK340" s="242"/>
      <c r="BL340" s="241"/>
      <c r="BM340" s="244"/>
      <c r="BN340" s="33"/>
      <c r="BO340" s="242"/>
      <c r="BP340" s="241"/>
      <c r="BQ340" s="244"/>
      <c r="BR340" s="33"/>
      <c r="BS340" s="242"/>
      <c r="BT340" s="241"/>
      <c r="BU340" s="244"/>
      <c r="BV340" s="33"/>
      <c r="BW340" s="242"/>
      <c r="BX340" s="241"/>
      <c r="BY340" s="244"/>
      <c r="BZ340" s="33"/>
      <c r="CA340" s="242"/>
      <c r="CB340" s="241"/>
      <c r="CC340" s="244"/>
      <c r="CD340" s="243"/>
      <c r="CE340" s="243"/>
      <c r="CF340" s="243"/>
      <c r="CG340" s="243"/>
      <c r="CH340" s="243"/>
      <c r="CI340" s="243"/>
      <c r="CJ340" s="243"/>
      <c r="CK340" s="243"/>
      <c r="CL340" s="243"/>
      <c r="CM340" s="243"/>
      <c r="CN340" s="243"/>
      <c r="CO340" s="243"/>
      <c r="CP340" s="243"/>
      <c r="CQ340" s="243"/>
      <c r="CR340" s="243"/>
      <c r="CS340" s="243"/>
      <c r="CT340" s="243"/>
      <c r="CU340" s="243"/>
      <c r="CV340" s="243"/>
      <c r="CW340" s="243"/>
      <c r="CX340" s="243"/>
      <c r="CY340" s="243"/>
      <c r="CZ340" s="243"/>
      <c r="DA340" s="243"/>
      <c r="DB340" s="243"/>
      <c r="DC340" s="243"/>
      <c r="DD340" s="243"/>
      <c r="DE340" s="243"/>
      <c r="DF340" s="243"/>
      <c r="DG340" s="243"/>
      <c r="DH340" s="243"/>
      <c r="DI340" s="243"/>
      <c r="DJ340" s="243"/>
      <c r="DK340" s="243"/>
      <c r="DM340" s="242"/>
      <c r="DO340" s="243"/>
      <c r="DQ340" s="242"/>
      <c r="DS340" s="243"/>
      <c r="DU340" s="242"/>
      <c r="DW340" s="243"/>
      <c r="DY340" s="242"/>
      <c r="EA340" s="243"/>
    </row>
    <row r="341" spans="1:131">
      <c r="A341" s="20"/>
      <c r="B341" s="124" t="str">
        <f t="shared" si="310"/>
        <v/>
      </c>
      <c r="C341" s="235"/>
      <c r="D341" s="24">
        <f>'1% Wind'!$M$94</f>
        <v>1.8</v>
      </c>
      <c r="E341" s="90"/>
      <c r="F341" s="90"/>
      <c r="G341" s="79" t="e">
        <f ca="1">IF(I328=0.9743,$G340,MAX(G340/D340*D341,2))</f>
        <v>#REF!</v>
      </c>
      <c r="H341" s="121" t="e">
        <f t="shared" ca="1" si="311"/>
        <v>#REF!</v>
      </c>
      <c r="J341" s="33"/>
      <c r="K341" s="242">
        <f t="shared" si="312"/>
        <v>1</v>
      </c>
      <c r="L341" s="241" t="e">
        <f t="shared" ca="1" si="313"/>
        <v>#REF!</v>
      </c>
      <c r="M341" s="243" t="e">
        <f ca="1">IF(AND(INDEX(FlowCalConstA,MATCH(J328,FlowCalNumber,0),1,1)*L341^INDEX(FlowCalConstB,MATCH(J328,FlowCalNumber,0),1,1)&gt;INDEX(FlowCalLowSetting,MATCH(J328,FlowCalNumber,0),1,1), (INDEX(FlowCalConstA,MATCH(J328,FlowCalNumber,0),1,1)*L341^INDEX(FlowCalConstB,MATCH(J328,FlowCalNumber,0),1,1)&lt;INDEX(FlowCalHighSetting,MATCH(J328,FlowCalNumber,0),1,1))),INDEX(FlowCalConstA,MATCH(J328,FlowCalNumber,0),1,1)*L341^INDEX(FlowCalConstB,MATCH(J328,FlowCalNumber,0),1,1)," ")</f>
        <v>#REF!</v>
      </c>
      <c r="N341" s="33"/>
      <c r="O341" s="242">
        <f t="shared" si="314"/>
        <v>1</v>
      </c>
      <c r="P341" s="241" t="e">
        <f t="shared" ca="1" si="315"/>
        <v>#REF!</v>
      </c>
      <c r="Q341" s="243" t="e">
        <f ca="1">IF(AND(INDEX(FlowCalConstA,MATCH(N328,FlowCalNumber,0),1,1)*P341^INDEX(FlowCalConstB,MATCH(N328,FlowCalNumber,0),1,1)&gt;INDEX(FlowCalLowSetting,MATCH(N328,FlowCalNumber,0),1,1), (INDEX(FlowCalConstA,MATCH(N328,FlowCalNumber,0),1,1)*P341^INDEX(FlowCalConstB,MATCH(N328,FlowCalNumber,0),1,1)&lt;INDEX(FlowCalHighSetting,MATCH(N328,FlowCalNumber,0),1,1))),INDEX(FlowCalConstA,MATCH(N328,FlowCalNumber,0),1,1)*P341^INDEX(FlowCalConstB,MATCH(N328,FlowCalNumber,0),1,1)," ")</f>
        <v>#REF!</v>
      </c>
      <c r="R341" s="33"/>
      <c r="S341" s="242">
        <f t="shared" si="316"/>
        <v>1</v>
      </c>
      <c r="T341" s="241" t="e">
        <f t="shared" ca="1" si="317"/>
        <v>#REF!</v>
      </c>
      <c r="U341" s="244" t="e">
        <f ca="1">IF(AND(INDEX(FlowCalConstA,MATCH(R328,FlowCalNumber,0),1,1)*T341^INDEX(FlowCalConstB,MATCH(R328,FlowCalNumber,0),1,1)&gt;INDEX(FlowCalLowSetting,MATCH(R328,FlowCalNumber,0),1,1), (INDEX(FlowCalConstA,MATCH(R328,FlowCalNumber,0),1,1)*T341^INDEX(FlowCalConstB,MATCH(R328,FlowCalNumber,0),1,1)&lt;INDEX(FlowCalHighSetting,MATCH(R328,FlowCalNumber,0),1,1))),INDEX(FlowCalConstA,MATCH(R328,FlowCalNumber,0),1,1)*T341^INDEX(FlowCalConstB,MATCH(R328,FlowCalNumber,0),1,1)," ")</f>
        <v>#REF!</v>
      </c>
      <c r="V341" s="33"/>
      <c r="W341" s="242">
        <f t="shared" si="318"/>
        <v>0.1</v>
      </c>
      <c r="X341" s="241" t="e">
        <f t="shared" ca="1" si="319"/>
        <v>#REF!</v>
      </c>
      <c r="Y341" s="243" t="e">
        <f ca="1">IF(AND(INDEX(FlowCalConstA,MATCH(V328,FlowCalNumber,0),1,1)*X341^INDEX(FlowCalConstB,MATCH(V328,FlowCalNumber,0),1,1)&gt;INDEX(FlowCalLowSetting,MATCH(V328,FlowCalNumber,0),1,1), (INDEX(FlowCalConstA,MATCH(V328,FlowCalNumber,0),1,1)*X341^INDEX(FlowCalConstB,MATCH(V328,FlowCalNumber,0),1,1)&lt;INDEX(FlowCalHighSetting,MATCH(V328,FlowCalNumber,0),1,1))),INDEX(FlowCalConstA,MATCH(V328,FlowCalNumber,0),1,1)*X341^INDEX(FlowCalConstB,MATCH(V328,FlowCalNumber,0),1,1)," ")</f>
        <v>#REF!</v>
      </c>
      <c r="Z341" s="33"/>
      <c r="AA341" s="242">
        <f t="shared" si="320"/>
        <v>0.9</v>
      </c>
      <c r="AB341" s="241" t="e">
        <f t="shared" ca="1" si="321"/>
        <v>#REF!</v>
      </c>
      <c r="AC341" s="243" t="e">
        <f ca="1">IF(AND(INDEX(FlowCalConstA,MATCH(Z328,FlowCalNumber,0),1,1)*AB341^INDEX(FlowCalConstB,MATCH(Z328,FlowCalNumber,0),1,1)&gt;INDEX(FlowCalLowSetting,MATCH(Z328,FlowCalNumber,0),1,1), (INDEX(FlowCalConstA,MATCH(Z328,FlowCalNumber,0),1,1)*AB341^INDEX(FlowCalConstB,MATCH(Z328,FlowCalNumber,0),1,1)&lt;INDEX(FlowCalHighSetting,MATCH(Z328,FlowCalNumber,0),1,1))),INDEX(FlowCalConstA,MATCH(Z328,FlowCalNumber,0),1,1)*AB341^INDEX(FlowCalConstB,MATCH(Z328,FlowCalNumber,0),1,1)," ")</f>
        <v>#REF!</v>
      </c>
      <c r="AD341" s="33"/>
      <c r="AE341" s="242">
        <f t="shared" si="322"/>
        <v>0.1</v>
      </c>
      <c r="AF341" s="241" t="e">
        <f t="shared" ca="1" si="323"/>
        <v>#REF!</v>
      </c>
      <c r="AG341" s="243" t="e">
        <f ca="1">IF(AND(INDEX(FlowCalConstA,MATCH(AD328,FlowCalNumber,0),1,1)*AF341^INDEX(FlowCalConstB,MATCH(AD328,FlowCalNumber,0),1,1)&gt;INDEX(FlowCalLowSetting,MATCH(AD328,FlowCalNumber,0),1,1), (INDEX(FlowCalConstA,MATCH(AD328,FlowCalNumber,0),1,1)*AF341^INDEX(FlowCalConstB,MATCH(AD328,FlowCalNumber,0),1,1)&lt;INDEX(FlowCalHighSetting,MATCH(AD328,FlowCalNumber,0),1,1))),INDEX(FlowCalConstA,MATCH(AD328,FlowCalNumber,0),1,1)*AF341^INDEX(FlowCalConstB,MATCH(AD328,FlowCalNumber,0),1,1)," ")</f>
        <v>#REF!</v>
      </c>
      <c r="AH341" s="33"/>
      <c r="AI341" s="242">
        <f t="shared" si="324"/>
        <v>0.9</v>
      </c>
      <c r="AJ341" s="241" t="e">
        <f t="shared" ca="1" si="325"/>
        <v>#REF!</v>
      </c>
      <c r="AK341" s="243" t="e">
        <f ca="1">IF(AND(INDEX(FlowCalConstA,MATCH(AH328,FlowCalNumber,0),1,1)*AJ341^INDEX(FlowCalConstB,MATCH(AH328,FlowCalNumber,0),1,1)&gt;INDEX(FlowCalLowSetting,MATCH(AH328,FlowCalNumber,0),1,1), (INDEX(FlowCalConstA,MATCH(AH328,FlowCalNumber,0),1,1)*AJ341^INDEX(FlowCalConstB,MATCH(AH328,FlowCalNumber,0),1,1)&lt;INDEX(FlowCalHighSetting,MATCH(AH328,FlowCalNumber,0),1,1))),INDEX(FlowCalConstA,MATCH(AH328,FlowCalNumber,0),1,1)*AJ341^INDEX(FlowCalConstB,MATCH(AH328,FlowCalNumber,0),1,1)," ")</f>
        <v>#REF!</v>
      </c>
      <c r="AL341" s="33"/>
      <c r="AM341" s="242"/>
      <c r="AN341" s="241"/>
      <c r="AO341" s="244"/>
      <c r="AQ341" s="242"/>
      <c r="AR341" s="241"/>
      <c r="AS341" s="244"/>
      <c r="AT341" s="33"/>
      <c r="AU341" s="242"/>
      <c r="AV341" s="241"/>
      <c r="AW341" s="244"/>
      <c r="AX341" s="33"/>
      <c r="AY341" s="242"/>
      <c r="AZ341" s="241"/>
      <c r="BA341" s="244"/>
      <c r="BB341" s="33"/>
      <c r="BC341" s="242"/>
      <c r="BD341" s="241"/>
      <c r="BE341" s="244"/>
      <c r="BF341" s="33"/>
      <c r="BG341" s="242"/>
      <c r="BH341" s="241"/>
      <c r="BI341" s="244"/>
      <c r="BJ341" s="33"/>
      <c r="BK341" s="242"/>
      <c r="BL341" s="241"/>
      <c r="BM341" s="244"/>
      <c r="BN341" s="33"/>
      <c r="BO341" s="242"/>
      <c r="BP341" s="241"/>
      <c r="BQ341" s="244"/>
      <c r="BR341" s="33"/>
      <c r="BS341" s="242"/>
      <c r="BT341" s="241"/>
      <c r="BU341" s="244"/>
      <c r="BV341" s="33"/>
      <c r="BW341" s="242"/>
      <c r="BX341" s="241"/>
      <c r="BY341" s="244"/>
      <c r="BZ341" s="33"/>
      <c r="CA341" s="242"/>
      <c r="CB341" s="241"/>
      <c r="CC341" s="244"/>
      <c r="CD341" s="243"/>
      <c r="CE341" s="243"/>
      <c r="CF341" s="243"/>
      <c r="CG341" s="243"/>
      <c r="CH341" s="243"/>
      <c r="CI341" s="243"/>
      <c r="CJ341" s="243"/>
      <c r="CK341" s="243"/>
      <c r="CL341" s="243"/>
      <c r="CM341" s="243"/>
      <c r="CN341" s="243"/>
      <c r="CO341" s="243"/>
      <c r="CP341" s="243"/>
      <c r="CQ341" s="243"/>
      <c r="CR341" s="243"/>
      <c r="CS341" s="243"/>
      <c r="CT341" s="243"/>
      <c r="CU341" s="243"/>
      <c r="CV341" s="243"/>
      <c r="CW341" s="243"/>
      <c r="CX341" s="243"/>
      <c r="CY341" s="243"/>
      <c r="CZ341" s="243"/>
      <c r="DA341" s="243"/>
      <c r="DB341" s="243"/>
      <c r="DC341" s="243"/>
      <c r="DD341" s="243"/>
      <c r="DE341" s="243"/>
      <c r="DF341" s="243"/>
      <c r="DG341" s="243"/>
      <c r="DH341" s="243"/>
      <c r="DI341" s="243"/>
      <c r="DJ341" s="243"/>
      <c r="DK341" s="243"/>
      <c r="DM341" s="242"/>
      <c r="DO341" s="243"/>
      <c r="DQ341" s="242"/>
      <c r="DS341" s="243"/>
      <c r="DU341" s="242"/>
      <c r="DW341" s="243"/>
      <c r="DY341" s="242"/>
      <c r="EA341" s="243"/>
    </row>
    <row r="342" spans="1:131">
      <c r="A342" s="20"/>
      <c r="B342" s="124" t="str">
        <f t="shared" si="310"/>
        <v/>
      </c>
      <c r="C342" s="235"/>
      <c r="D342" s="24">
        <f>'1% Wind'!$M$95</f>
        <v>1.3</v>
      </c>
      <c r="E342" s="90"/>
      <c r="F342" s="90"/>
      <c r="G342" s="79" t="e">
        <f ca="1">IF(I328=0.9743,$G341,MAX(G341/D341*D342,2))</f>
        <v>#REF!</v>
      </c>
      <c r="H342" s="121" t="e">
        <f t="shared" ca="1" si="311"/>
        <v>#REF!</v>
      </c>
      <c r="J342" s="33"/>
      <c r="K342" s="242">
        <f t="shared" si="312"/>
        <v>1</v>
      </c>
      <c r="L342" s="241" t="e">
        <f t="shared" ca="1" si="313"/>
        <v>#REF!</v>
      </c>
      <c r="M342" s="243" t="e">
        <f ca="1">IF(AND(INDEX(FlowCalConstA,MATCH(J328,FlowCalNumber,0),1,1)*L342^INDEX(FlowCalConstB,MATCH(J328,FlowCalNumber,0),1,1)&gt;INDEX(FlowCalLowSetting,MATCH(J328,FlowCalNumber,0),1,1), (INDEX(FlowCalConstA,MATCH(J328,FlowCalNumber,0),1,1)*L342^INDEX(FlowCalConstB,MATCH(J328,FlowCalNumber,0),1,1)&lt;INDEX(FlowCalHighSetting,MATCH(J328,FlowCalNumber,0),1,1))),INDEX(FlowCalConstA,MATCH(J328,FlowCalNumber,0),1,1)*L342^INDEX(FlowCalConstB,MATCH(J328,FlowCalNumber,0),1,1)," ")</f>
        <v>#REF!</v>
      </c>
      <c r="N342" s="33"/>
      <c r="O342" s="242">
        <f t="shared" si="314"/>
        <v>1</v>
      </c>
      <c r="P342" s="241" t="e">
        <f t="shared" ca="1" si="315"/>
        <v>#REF!</v>
      </c>
      <c r="Q342" s="243" t="e">
        <f ca="1">IF(AND(INDEX(FlowCalConstA,MATCH(N328,FlowCalNumber,0),1,1)*P342^INDEX(FlowCalConstB,MATCH(N328,FlowCalNumber,0),1,1)&gt;INDEX(FlowCalLowSetting,MATCH(N328,FlowCalNumber,0),1,1), (INDEX(FlowCalConstA,MATCH(N328,FlowCalNumber,0),1,1)*P342^INDEX(FlowCalConstB,MATCH(N328,FlowCalNumber,0),1,1)&lt;INDEX(FlowCalHighSetting,MATCH(N328,FlowCalNumber,0),1,1))),INDEX(FlowCalConstA,MATCH(N328,FlowCalNumber,0),1,1)*P342^INDEX(FlowCalConstB,MATCH(N328,FlowCalNumber,0),1,1)," ")</f>
        <v>#REF!</v>
      </c>
      <c r="R342" s="33"/>
      <c r="S342" s="242">
        <f t="shared" si="316"/>
        <v>1</v>
      </c>
      <c r="T342" s="241" t="e">
        <f t="shared" ca="1" si="317"/>
        <v>#REF!</v>
      </c>
      <c r="U342" s="244" t="e">
        <f ca="1">IF(AND(INDEX(FlowCalConstA,MATCH(R328,FlowCalNumber,0),1,1)*T342^INDEX(FlowCalConstB,MATCH(R328,FlowCalNumber,0),1,1)&gt;INDEX(FlowCalLowSetting,MATCH(R328,FlowCalNumber,0),1,1), (INDEX(FlowCalConstA,MATCH(R328,FlowCalNumber,0),1,1)*T342^INDEX(FlowCalConstB,MATCH(R328,FlowCalNumber,0),1,1)&lt;INDEX(FlowCalHighSetting,MATCH(R328,FlowCalNumber,0),1,1))),INDEX(FlowCalConstA,MATCH(R328,FlowCalNumber,0),1,1)*T342^INDEX(FlowCalConstB,MATCH(R328,FlowCalNumber,0),1,1)," ")</f>
        <v>#REF!</v>
      </c>
      <c r="V342" s="33"/>
      <c r="W342" s="242">
        <f t="shared" si="318"/>
        <v>0.1</v>
      </c>
      <c r="X342" s="241" t="e">
        <f t="shared" ca="1" si="319"/>
        <v>#REF!</v>
      </c>
      <c r="Y342" s="243" t="e">
        <f ca="1">IF(AND(INDEX(FlowCalConstA,MATCH(V328,FlowCalNumber,0),1,1)*X342^INDEX(FlowCalConstB,MATCH(V328,FlowCalNumber,0),1,1)&gt;INDEX(FlowCalLowSetting,MATCH(V328,FlowCalNumber,0),1,1), (INDEX(FlowCalConstA,MATCH(V328,FlowCalNumber,0),1,1)*X342^INDEX(FlowCalConstB,MATCH(V328,FlowCalNumber,0),1,1)&lt;INDEX(FlowCalHighSetting,MATCH(V328,FlowCalNumber,0),1,1))),INDEX(FlowCalConstA,MATCH(V328,FlowCalNumber,0),1,1)*X342^INDEX(FlowCalConstB,MATCH(V328,FlowCalNumber,0),1,1)," ")</f>
        <v>#REF!</v>
      </c>
      <c r="Z342" s="33"/>
      <c r="AA342" s="242">
        <f t="shared" si="320"/>
        <v>0.9</v>
      </c>
      <c r="AB342" s="241" t="e">
        <f t="shared" ca="1" si="321"/>
        <v>#REF!</v>
      </c>
      <c r="AC342" s="243" t="e">
        <f ca="1">IF(AND(INDEX(FlowCalConstA,MATCH(Z328,FlowCalNumber,0),1,1)*AB342^INDEX(FlowCalConstB,MATCH(Z328,FlowCalNumber,0),1,1)&gt;INDEX(FlowCalLowSetting,MATCH(Z328,FlowCalNumber,0),1,1), (INDEX(FlowCalConstA,MATCH(Z328,FlowCalNumber,0),1,1)*AB342^INDEX(FlowCalConstB,MATCH(Z328,FlowCalNumber,0),1,1)&lt;INDEX(FlowCalHighSetting,MATCH(Z328,FlowCalNumber,0),1,1))),INDEX(FlowCalConstA,MATCH(Z328,FlowCalNumber,0),1,1)*AB342^INDEX(FlowCalConstB,MATCH(Z328,FlowCalNumber,0),1,1)," ")</f>
        <v>#REF!</v>
      </c>
      <c r="AD342" s="33"/>
      <c r="AE342" s="242">
        <f t="shared" si="322"/>
        <v>0.1</v>
      </c>
      <c r="AF342" s="241" t="e">
        <f t="shared" ca="1" si="323"/>
        <v>#REF!</v>
      </c>
      <c r="AG342" s="243" t="e">
        <f ca="1">IF(AND(INDEX(FlowCalConstA,MATCH(AD328,FlowCalNumber,0),1,1)*AF342^INDEX(FlowCalConstB,MATCH(AD328,FlowCalNumber,0),1,1)&gt;INDEX(FlowCalLowSetting,MATCH(AD328,FlowCalNumber,0),1,1), (INDEX(FlowCalConstA,MATCH(AD328,FlowCalNumber,0),1,1)*AF342^INDEX(FlowCalConstB,MATCH(AD328,FlowCalNumber,0),1,1)&lt;INDEX(FlowCalHighSetting,MATCH(AD328,FlowCalNumber,0),1,1))),INDEX(FlowCalConstA,MATCH(AD328,FlowCalNumber,0),1,1)*AF342^INDEX(FlowCalConstB,MATCH(AD328,FlowCalNumber,0),1,1)," ")</f>
        <v>#REF!</v>
      </c>
      <c r="AH342" s="33"/>
      <c r="AI342" s="242">
        <f t="shared" si="324"/>
        <v>0.9</v>
      </c>
      <c r="AJ342" s="241" t="e">
        <f t="shared" ca="1" si="325"/>
        <v>#REF!</v>
      </c>
      <c r="AK342" s="243" t="e">
        <f ca="1">IF(AND(INDEX(FlowCalConstA,MATCH(AH328,FlowCalNumber,0),1,1)*AJ342^INDEX(FlowCalConstB,MATCH(AH328,FlowCalNumber,0),1,1)&gt;INDEX(FlowCalLowSetting,MATCH(AH328,FlowCalNumber,0),1,1), (INDEX(FlowCalConstA,MATCH(AH328,FlowCalNumber,0),1,1)*AJ342^INDEX(FlowCalConstB,MATCH(AH328,FlowCalNumber,0),1,1)&lt;INDEX(FlowCalHighSetting,MATCH(AH328,FlowCalNumber,0),1,1))),INDEX(FlowCalConstA,MATCH(AH328,FlowCalNumber,0),1,1)*AJ342^INDEX(FlowCalConstB,MATCH(AH328,FlowCalNumber,0),1,1)," ")</f>
        <v>#REF!</v>
      </c>
      <c r="AL342" s="33"/>
      <c r="AM342" s="242"/>
      <c r="AN342" s="241"/>
      <c r="AO342" s="244"/>
      <c r="AQ342" s="242"/>
      <c r="AR342" s="241"/>
      <c r="AS342" s="244"/>
      <c r="AT342" s="33"/>
      <c r="AU342" s="242"/>
      <c r="AV342" s="241"/>
      <c r="AW342" s="244"/>
      <c r="AX342" s="33"/>
      <c r="AY342" s="242"/>
      <c r="AZ342" s="241"/>
      <c r="BA342" s="244"/>
      <c r="BB342" s="33"/>
      <c r="BC342" s="242"/>
      <c r="BD342" s="241"/>
      <c r="BE342" s="244"/>
      <c r="BF342" s="33"/>
      <c r="BG342" s="242"/>
      <c r="BH342" s="241"/>
      <c r="BI342" s="244"/>
      <c r="BJ342" s="33"/>
      <c r="BK342" s="242"/>
      <c r="BL342" s="241"/>
      <c r="BM342" s="244"/>
      <c r="BN342" s="33"/>
      <c r="BO342" s="242"/>
      <c r="BP342" s="241"/>
      <c r="BQ342" s="244"/>
      <c r="BR342" s="33"/>
      <c r="BS342" s="242"/>
      <c r="BT342" s="241"/>
      <c r="BU342" s="244"/>
      <c r="BV342" s="33"/>
      <c r="BW342" s="242"/>
      <c r="BX342" s="241"/>
      <c r="BY342" s="244"/>
      <c r="BZ342" s="33"/>
      <c r="CA342" s="242"/>
      <c r="CB342" s="241"/>
      <c r="CC342" s="244"/>
      <c r="CD342" s="243"/>
      <c r="CE342" s="243"/>
      <c r="CF342" s="243"/>
      <c r="CG342" s="243"/>
      <c r="CH342" s="243"/>
      <c r="CI342" s="243"/>
      <c r="CJ342" s="243"/>
      <c r="CK342" s="243"/>
      <c r="CL342" s="243"/>
      <c r="CM342" s="243"/>
      <c r="CN342" s="243"/>
      <c r="CO342" s="243"/>
      <c r="CP342" s="243"/>
      <c r="CQ342" s="243"/>
      <c r="CR342" s="243"/>
      <c r="CS342" s="243"/>
      <c r="CT342" s="243"/>
      <c r="CU342" s="243"/>
      <c r="CV342" s="243"/>
      <c r="CW342" s="243"/>
      <c r="CX342" s="243"/>
      <c r="CY342" s="243"/>
      <c r="CZ342" s="243"/>
      <c r="DA342" s="243"/>
      <c r="DB342" s="243"/>
      <c r="DC342" s="243"/>
      <c r="DD342" s="243"/>
      <c r="DE342" s="243"/>
      <c r="DF342" s="243"/>
      <c r="DG342" s="243"/>
      <c r="DH342" s="243"/>
      <c r="DI342" s="243"/>
      <c r="DJ342" s="243"/>
      <c r="DK342" s="243"/>
      <c r="DM342" s="242"/>
      <c r="DO342" s="243"/>
      <c r="DQ342" s="242"/>
      <c r="DS342" s="243"/>
      <c r="DU342" s="242"/>
      <c r="DW342" s="243"/>
      <c r="DY342" s="242"/>
      <c r="EA342" s="243"/>
    </row>
    <row r="343" spans="1:131">
      <c r="A343" s="20"/>
      <c r="B343" s="124" t="str">
        <f t="shared" si="310"/>
        <v/>
      </c>
      <c r="C343" s="235"/>
      <c r="D343" s="24">
        <f>'1% Wind'!$M$96</f>
        <v>1</v>
      </c>
      <c r="E343" s="90"/>
      <c r="F343" s="90"/>
      <c r="G343" s="79" t="e">
        <f ca="1">IF(I328=0.9743,$G342,MAX(G342/D342*D343,2))</f>
        <v>#REF!</v>
      </c>
      <c r="H343" s="121" t="e">
        <f t="shared" ca="1" si="311"/>
        <v>#REF!</v>
      </c>
      <c r="J343" s="33"/>
      <c r="K343" s="242">
        <f t="shared" si="312"/>
        <v>1</v>
      </c>
      <c r="L343" s="241" t="e">
        <f t="shared" ca="1" si="313"/>
        <v>#REF!</v>
      </c>
      <c r="M343" s="243" t="e">
        <f ca="1">IF(AND(INDEX(FlowCalConstA,MATCH(J328,FlowCalNumber,0),1,1)*L343^INDEX(FlowCalConstB,MATCH(J328,FlowCalNumber,0),1,1)&gt;INDEX(FlowCalLowSetting,MATCH(J328,FlowCalNumber,0),1,1), (INDEX(FlowCalConstA,MATCH(J328,FlowCalNumber,0),1,1)*L343^INDEX(FlowCalConstB,MATCH(J328,FlowCalNumber,0),1,1)&lt;INDEX(FlowCalHighSetting,MATCH(J328,FlowCalNumber,0),1,1))),INDEX(FlowCalConstA,MATCH(J328,FlowCalNumber,0),1,1)*L343^INDEX(FlowCalConstB,MATCH(J328,FlowCalNumber,0),1,1)," ")</f>
        <v>#REF!</v>
      </c>
      <c r="N343" s="33"/>
      <c r="O343" s="242">
        <f t="shared" si="314"/>
        <v>1</v>
      </c>
      <c r="P343" s="241" t="e">
        <f t="shared" ca="1" si="315"/>
        <v>#REF!</v>
      </c>
      <c r="Q343" s="243" t="e">
        <f ca="1">IF(AND(INDEX(FlowCalConstA,MATCH(N328,FlowCalNumber,0),1,1)*P343^INDEX(FlowCalConstB,MATCH(N328,FlowCalNumber,0),1,1)&gt;INDEX(FlowCalLowSetting,MATCH(N328,FlowCalNumber,0),1,1), (INDEX(FlowCalConstA,MATCH(N328,FlowCalNumber,0),1,1)*P343^INDEX(FlowCalConstB,MATCH(N328,FlowCalNumber,0),1,1)&lt;INDEX(FlowCalHighSetting,MATCH(N328,FlowCalNumber,0),1,1))),INDEX(FlowCalConstA,MATCH(N328,FlowCalNumber,0),1,1)*P343^INDEX(FlowCalConstB,MATCH(N328,FlowCalNumber,0),1,1)," ")</f>
        <v>#REF!</v>
      </c>
      <c r="R343" s="33"/>
      <c r="S343" s="242">
        <f t="shared" si="316"/>
        <v>1</v>
      </c>
      <c r="T343" s="241" t="e">
        <f t="shared" ca="1" si="317"/>
        <v>#REF!</v>
      </c>
      <c r="U343" s="244" t="e">
        <f ca="1">IF(AND(INDEX(FlowCalConstA,MATCH(R328,FlowCalNumber,0),1,1)*T343^INDEX(FlowCalConstB,MATCH(R328,FlowCalNumber,0),1,1)&gt;INDEX(FlowCalLowSetting,MATCH(R328,FlowCalNumber,0),1,1), (INDEX(FlowCalConstA,MATCH(R328,FlowCalNumber,0),1,1)*T343^INDEX(FlowCalConstB,MATCH(R328,FlowCalNumber,0),1,1)&lt;INDEX(FlowCalHighSetting,MATCH(R328,FlowCalNumber,0),1,1))),INDEX(FlowCalConstA,MATCH(R328,FlowCalNumber,0),1,1)*T343^INDEX(FlowCalConstB,MATCH(R328,FlowCalNumber,0),1,1)," ")</f>
        <v>#REF!</v>
      </c>
      <c r="V343" s="33"/>
      <c r="W343" s="242">
        <f t="shared" si="318"/>
        <v>0.1</v>
      </c>
      <c r="X343" s="241" t="e">
        <f t="shared" ca="1" si="319"/>
        <v>#REF!</v>
      </c>
      <c r="Y343" s="243" t="e">
        <f ca="1">IF(AND(INDEX(FlowCalConstA,MATCH(V328,FlowCalNumber,0),1,1)*X343^INDEX(FlowCalConstB,MATCH(V328,FlowCalNumber,0),1,1)&gt;INDEX(FlowCalLowSetting,MATCH(V328,FlowCalNumber,0),1,1), (INDEX(FlowCalConstA,MATCH(V328,FlowCalNumber,0),1,1)*X343^INDEX(FlowCalConstB,MATCH(V328,FlowCalNumber,0),1,1)&lt;INDEX(FlowCalHighSetting,MATCH(V328,FlowCalNumber,0),1,1))),INDEX(FlowCalConstA,MATCH(V328,FlowCalNumber,0),1,1)*X343^INDEX(FlowCalConstB,MATCH(V328,FlowCalNumber,0),1,1)," ")</f>
        <v>#REF!</v>
      </c>
      <c r="Z343" s="33"/>
      <c r="AA343" s="242">
        <f t="shared" si="320"/>
        <v>0.9</v>
      </c>
      <c r="AB343" s="241" t="e">
        <f t="shared" ca="1" si="321"/>
        <v>#REF!</v>
      </c>
      <c r="AC343" s="243" t="e">
        <f ca="1">IF(AND(INDEX(FlowCalConstA,MATCH(Z328,FlowCalNumber,0),1,1)*AB343^INDEX(FlowCalConstB,MATCH(Z328,FlowCalNumber,0),1,1)&gt;INDEX(FlowCalLowSetting,MATCH(Z328,FlowCalNumber,0),1,1), (INDEX(FlowCalConstA,MATCH(Z328,FlowCalNumber,0),1,1)*AB343^INDEX(FlowCalConstB,MATCH(Z328,FlowCalNumber,0),1,1)&lt;INDEX(FlowCalHighSetting,MATCH(Z328,FlowCalNumber,0),1,1))),INDEX(FlowCalConstA,MATCH(Z328,FlowCalNumber,0),1,1)*AB343^INDEX(FlowCalConstB,MATCH(Z328,FlowCalNumber,0),1,1)," ")</f>
        <v>#REF!</v>
      </c>
      <c r="AD343" s="33"/>
      <c r="AE343" s="242">
        <f t="shared" si="322"/>
        <v>0.1</v>
      </c>
      <c r="AF343" s="241" t="e">
        <f t="shared" ca="1" si="323"/>
        <v>#REF!</v>
      </c>
      <c r="AG343" s="243" t="e">
        <f ca="1">IF(AND(INDEX(FlowCalConstA,MATCH(AD328,FlowCalNumber,0),1,1)*AF343^INDEX(FlowCalConstB,MATCH(AD328,FlowCalNumber,0),1,1)&gt;INDEX(FlowCalLowSetting,MATCH(AD328,FlowCalNumber,0),1,1), (INDEX(FlowCalConstA,MATCH(AD328,FlowCalNumber,0),1,1)*AF343^INDEX(FlowCalConstB,MATCH(AD328,FlowCalNumber,0),1,1)&lt;INDEX(FlowCalHighSetting,MATCH(AD328,FlowCalNumber,0),1,1))),INDEX(FlowCalConstA,MATCH(AD328,FlowCalNumber,0),1,1)*AF343^INDEX(FlowCalConstB,MATCH(AD328,FlowCalNumber,0),1,1)," ")</f>
        <v>#REF!</v>
      </c>
      <c r="AH343" s="33"/>
      <c r="AI343" s="242">
        <f t="shared" si="324"/>
        <v>0.9</v>
      </c>
      <c r="AJ343" s="241" t="e">
        <f t="shared" ca="1" si="325"/>
        <v>#REF!</v>
      </c>
      <c r="AK343" s="243" t="e">
        <f ca="1">IF(AND(INDEX(FlowCalConstA,MATCH(AH328,FlowCalNumber,0),1,1)*AJ343^INDEX(FlowCalConstB,MATCH(AH328,FlowCalNumber,0),1,1)&gt;INDEX(FlowCalLowSetting,MATCH(AH328,FlowCalNumber,0),1,1), (INDEX(FlowCalConstA,MATCH(AH328,FlowCalNumber,0),1,1)*AJ343^INDEX(FlowCalConstB,MATCH(AH328,FlowCalNumber,0),1,1)&lt;INDEX(FlowCalHighSetting,MATCH(AH328,FlowCalNumber,0),1,1))),INDEX(FlowCalConstA,MATCH(AH328,FlowCalNumber,0),1,1)*AJ343^INDEX(FlowCalConstB,MATCH(AH328,FlowCalNumber,0),1,1)," ")</f>
        <v>#REF!</v>
      </c>
      <c r="AL343" s="33"/>
      <c r="AM343" s="242"/>
      <c r="AN343" s="241"/>
      <c r="AO343" s="244"/>
      <c r="AQ343" s="242"/>
      <c r="AR343" s="241"/>
      <c r="AS343" s="244"/>
      <c r="AT343" s="33"/>
      <c r="AU343" s="242"/>
      <c r="AV343" s="241"/>
      <c r="AW343" s="244"/>
      <c r="AX343" s="33"/>
      <c r="AY343" s="242"/>
      <c r="AZ343" s="241"/>
      <c r="BA343" s="244"/>
      <c r="BB343" s="33"/>
      <c r="BC343" s="242"/>
      <c r="BD343" s="241"/>
      <c r="BE343" s="244"/>
      <c r="BF343" s="33"/>
      <c r="BG343" s="242"/>
      <c r="BH343" s="241"/>
      <c r="BI343" s="244"/>
      <c r="BJ343" s="33"/>
      <c r="BK343" s="242"/>
      <c r="BL343" s="241"/>
      <c r="BM343" s="244"/>
      <c r="BN343" s="33"/>
      <c r="BO343" s="242"/>
      <c r="BP343" s="241"/>
      <c r="BQ343" s="244"/>
      <c r="BR343" s="33"/>
      <c r="BS343" s="242"/>
      <c r="BT343" s="241"/>
      <c r="BU343" s="244"/>
      <c r="BV343" s="33"/>
      <c r="BW343" s="242"/>
      <c r="BX343" s="241"/>
      <c r="BY343" s="244"/>
      <c r="BZ343" s="33"/>
      <c r="CA343" s="242"/>
      <c r="CB343" s="241"/>
      <c r="CC343" s="244"/>
      <c r="CD343" s="243"/>
      <c r="CE343" s="243"/>
      <c r="CF343" s="243"/>
      <c r="CG343" s="243"/>
      <c r="CH343" s="243"/>
      <c r="CI343" s="243"/>
      <c r="CJ343" s="243"/>
      <c r="CK343" s="243"/>
      <c r="CL343" s="243"/>
      <c r="CM343" s="243"/>
      <c r="CN343" s="243"/>
      <c r="CO343" s="243"/>
      <c r="CP343" s="243"/>
      <c r="CQ343" s="243"/>
      <c r="CR343" s="243"/>
      <c r="CS343" s="243"/>
      <c r="CT343" s="243"/>
      <c r="CU343" s="243"/>
      <c r="CV343" s="243"/>
      <c r="CW343" s="243"/>
      <c r="CX343" s="243"/>
      <c r="CY343" s="243"/>
      <c r="CZ343" s="243"/>
      <c r="DA343" s="243"/>
      <c r="DB343" s="243"/>
      <c r="DC343" s="243"/>
      <c r="DD343" s="243"/>
      <c r="DE343" s="243"/>
      <c r="DF343" s="243"/>
      <c r="DG343" s="243"/>
      <c r="DH343" s="243"/>
      <c r="DI343" s="243"/>
      <c r="DJ343" s="243"/>
      <c r="DK343" s="243"/>
      <c r="DM343" s="242"/>
      <c r="DO343" s="243"/>
      <c r="DQ343" s="242"/>
      <c r="DS343" s="243"/>
      <c r="DU343" s="242"/>
      <c r="DW343" s="243"/>
      <c r="DY343" s="242"/>
      <c r="EA343" s="243"/>
    </row>
    <row r="344" spans="1:131">
      <c r="A344" s="33"/>
      <c r="B344" s="33"/>
      <c r="C344" s="235"/>
      <c r="E344" s="90"/>
      <c r="F344" s="90"/>
      <c r="G344" s="33"/>
      <c r="J344" s="33"/>
      <c r="M344" s="243"/>
      <c r="N344" s="33"/>
      <c r="Q344" s="243"/>
      <c r="R344" s="33"/>
      <c r="U344" s="244"/>
      <c r="V344" s="33"/>
      <c r="Y344" s="243"/>
      <c r="Z344" s="33"/>
      <c r="AC344" s="243"/>
      <c r="AD344" s="33"/>
      <c r="AG344" s="243"/>
      <c r="AH344" s="33"/>
      <c r="AK344" s="243"/>
      <c r="AL344" s="33"/>
      <c r="AO344" s="244"/>
      <c r="AS344" s="244"/>
      <c r="AT344" s="33"/>
      <c r="AW344" s="244"/>
      <c r="AX344" s="33"/>
      <c r="BA344" s="244"/>
      <c r="BB344" s="33"/>
      <c r="BE344" s="244"/>
      <c r="BF344" s="33"/>
      <c r="BI344" s="244"/>
      <c r="BJ344" s="33"/>
      <c r="BM344" s="244"/>
      <c r="BN344" s="33"/>
      <c r="BQ344" s="244"/>
      <c r="BR344" s="792"/>
      <c r="BS344" s="243"/>
      <c r="BT344" s="243"/>
      <c r="BU344" s="244"/>
      <c r="BV344" s="33"/>
      <c r="BY344" s="244"/>
      <c r="BZ344" s="33"/>
      <c r="CC344" s="244"/>
      <c r="CD344" s="243"/>
      <c r="CE344" s="243"/>
      <c r="CF344" s="243"/>
      <c r="CG344" s="243"/>
      <c r="CH344" s="243"/>
      <c r="CI344" s="243"/>
      <c r="CJ344" s="243"/>
      <c r="CK344" s="243"/>
      <c r="CL344" s="243"/>
      <c r="CM344" s="243"/>
      <c r="CN344" s="243"/>
      <c r="CO344" s="243"/>
      <c r="CP344" s="243"/>
      <c r="CQ344" s="243"/>
      <c r="CR344" s="243"/>
      <c r="CS344" s="243"/>
      <c r="CT344" s="243"/>
      <c r="CU344" s="243"/>
      <c r="CV344" s="243"/>
      <c r="CW344" s="243"/>
      <c r="CX344" s="243"/>
      <c r="CY344" s="243"/>
      <c r="CZ344" s="243"/>
      <c r="DA344" s="243"/>
      <c r="DB344" s="243"/>
      <c r="DC344" s="243"/>
      <c r="DD344" s="243"/>
      <c r="DE344" s="243"/>
      <c r="DF344" s="243"/>
      <c r="DG344" s="243"/>
      <c r="DH344" s="243"/>
      <c r="DI344" s="243"/>
      <c r="DJ344" s="243"/>
      <c r="DK344" s="243"/>
      <c r="DO344" s="243"/>
      <c r="DS344" s="243"/>
      <c r="DW344" s="243"/>
      <c r="EA344" s="243"/>
    </row>
    <row r="345" spans="1:131">
      <c r="A345" s="256" t="str">
        <f>IF((RIGHT(A328,1))&lt;&gt;"Z",CHAR(CODE(A328))&amp;CHAR(CODE(RIGHT(A328,1))+1),CHAR(CODE(A328)+1)&amp;"A")</f>
        <v>AT</v>
      </c>
      <c r="B345" s="270" t="e">
        <f>INDEX(SourceID,MATCH($A345,SourceNumber,0),1,1)</f>
        <v>#N/A</v>
      </c>
      <c r="C345" s="354" t="e">
        <f>INDEX(SourceExitDiameter,MATCH($A345,SourceNumber,0),1,1)*3.28*12</f>
        <v>#N/A</v>
      </c>
      <c r="D345" s="24" t="str">
        <f>UAnem1percent</f>
        <v>1% Wind</v>
      </c>
      <c r="E345" s="350" t="e">
        <f ca="1">INDIRECT(ADDRESS(53,6,1,,CONCATENATE("TA",$A345)))</f>
        <v>#REF!</v>
      </c>
      <c r="F345" s="625" t="e">
        <f ca="1">(ROUND((INDIRECT(ADDRESS(15,7,1,,CONCATENATE("TA",$A345)))*3.28*12*32),0)&amp;"/32")</f>
        <v>#REF!</v>
      </c>
      <c r="G345" s="125" t="e">
        <f ca="1">INDIRECT(ADDRESS(29,7,1,,$A345))</f>
        <v>#REF!</v>
      </c>
      <c r="H345" s="24" t="e">
        <f ca="1">INDIRECT(ADDRESS(19,7,1,,$A345))*100^3</f>
        <v>#REF!</v>
      </c>
      <c r="I345" s="941" t="e">
        <f ca="1">INDIRECT(ADDRESS(53,7,1,,$A345))</f>
        <v>#REF!</v>
      </c>
      <c r="J345" s="20" t="e">
        <f ca="1">IF($I345=$I$6,K$16&amp;$G$6&amp;J$6,IF($I345=$I$7,K$16&amp;$G$7&amp;J$7,"Bad"))</f>
        <v>#REF!</v>
      </c>
      <c r="K345" t="e">
        <f ca="1">INDEX(FlowCalGasMixture,MATCH(J345,FlowCalNumber,0),1,1)</f>
        <v>#REF!</v>
      </c>
      <c r="M345" s="944" t="e">
        <f ca="1">INDEX(FlowCalDevice,MATCH(J345,FlowCalNumber,0),1,1)</f>
        <v>#REF!</v>
      </c>
      <c r="N345" s="943" t="e">
        <f ca="1">IF($I345=$I$6,O$16&amp;$G$6&amp;"90"&amp;$H$6&amp;N$6,IF($I345=$I$7,O$16&amp;$G$7&amp;"90"&amp;$H$7&amp;N$7,"Bad"))</f>
        <v>#REF!</v>
      </c>
      <c r="O345" t="e">
        <f ca="1">INDEX(FlowCalGasMixture,MATCH(N345,FlowCalNumber,0),1,1)</f>
        <v>#REF!</v>
      </c>
      <c r="Q345" s="944" t="e">
        <f ca="1">INDEX(FlowCalDevice,MATCH(N345,FlowCalNumber,0),1,1)</f>
        <v>#REF!</v>
      </c>
      <c r="R345" s="943" t="e">
        <f ca="1">IF($I345=$I$6,S$16&amp;$G$6&amp;"90"&amp;$H$6&amp;R$6,IF($I345=$I$7,S$16&amp;$G$7&amp;"90"&amp;$H$7&amp;R$7,"Bad"))</f>
        <v>#REF!</v>
      </c>
      <c r="S345" t="e">
        <f ca="1">INDEX(FlowCalGasMixture,MATCH(R345,FlowCalNumber,0),1,1)</f>
        <v>#REF!</v>
      </c>
      <c r="U345" s="944" t="e">
        <f ca="1">INDEX(FlowCalDevice,MATCH(R345,FlowCalNumber,0),1,1)</f>
        <v>#REF!</v>
      </c>
      <c r="V345" s="20" t="e">
        <f ca="1">IF($I345=$I$6,W$16&amp;$G$6&amp;V$6,IF($I345=$I$7,W$16&amp;$G$7&amp;V$7,"Bad"))</f>
        <v>#REF!</v>
      </c>
      <c r="W345" t="e">
        <f ca="1">INDEX(FlowCalGasMixture,MATCH(V345,FlowCalNumber,0),1,1)</f>
        <v>#REF!</v>
      </c>
      <c r="Y345" s="944" t="e">
        <f ca="1">INDEX(FlowCalDevice,MATCH(V345,FlowCalNumber,0),1,1)</f>
        <v>#REF!</v>
      </c>
      <c r="Z345" s="946" t="e">
        <f ca="1">IF($I345=$I$6,AA$18&amp;$H$6&amp;Z$6,IF($I345=$I$7,AA$18&amp;$H$7&amp;Z$7,"Bad"))</f>
        <v>#REF!</v>
      </c>
      <c r="AA345" t="e">
        <f ca="1">INDEX(FlowCalGasMixture,MATCH(Z345,FlowCalNumber,0),1,1)</f>
        <v>#REF!</v>
      </c>
      <c r="AC345" s="944" t="e">
        <f ca="1">INDEX(FlowCalDevice,MATCH(Z345,FlowCalNumber,0),1,1)</f>
        <v>#REF!</v>
      </c>
      <c r="AD345" s="20" t="e">
        <f ca="1">IF($I345=$I$6,AE$16&amp;$G$6&amp;AD$6,IF($I345=$I$7,AE$16&amp;$G$7&amp;AD$7,"Bad"))</f>
        <v>#REF!</v>
      </c>
      <c r="AE345" t="e">
        <f ca="1">INDEX(FlowCalGasMixture,MATCH(AD345,FlowCalNumber,0),1,1)</f>
        <v>#REF!</v>
      </c>
      <c r="AG345" s="944" t="e">
        <f ca="1">INDEX(FlowCalDevice,MATCH(AD345,FlowCalNumber,0),1,1)</f>
        <v>#REF!</v>
      </c>
      <c r="AH345" s="946" t="e">
        <f ca="1">IF($I345=$I$6,AI$18&amp;$H$6&amp;AH$6,IF($I345=$I$7,AI$18&amp;$H$7&amp;AH$7,"Bad"))</f>
        <v>#REF!</v>
      </c>
      <c r="AI345" t="e">
        <f ca="1">INDEX(FlowCalGasMixture,MATCH(AH345,FlowCalNumber,0),1,1)</f>
        <v>#REF!</v>
      </c>
      <c r="AK345" s="944" t="e">
        <f ca="1">INDEX(FlowCalDevice,MATCH(AH345,FlowCalNumber,0),1,1)</f>
        <v>#REF!</v>
      </c>
      <c r="AL345" s="20"/>
      <c r="AO345" s="982"/>
      <c r="AP345" s="960"/>
      <c r="AS345" s="982"/>
      <c r="AT345" s="20"/>
      <c r="AW345" s="982"/>
      <c r="AX345" s="946"/>
      <c r="BA345" s="982"/>
      <c r="BB345" s="20"/>
      <c r="BC345" s="16"/>
      <c r="BE345" s="982"/>
      <c r="BF345" s="946"/>
      <c r="BG345" s="16"/>
      <c r="BI345" s="982"/>
      <c r="BJ345" s="946"/>
      <c r="BK345" s="16"/>
      <c r="BM345" s="982"/>
      <c r="BN345" s="20"/>
      <c r="BO345" s="16"/>
      <c r="BQ345" s="982"/>
      <c r="BR345" s="946"/>
      <c r="BS345" s="16"/>
      <c r="BU345" s="982"/>
      <c r="BV345" s="946"/>
      <c r="BW345" s="16"/>
      <c r="BY345" s="982"/>
      <c r="BZ345" s="946"/>
      <c r="CA345" s="16"/>
      <c r="CC345" s="982"/>
      <c r="CD345" s="355"/>
      <c r="CE345" s="355"/>
      <c r="CF345" s="355"/>
      <c r="CG345" s="355"/>
      <c r="CH345" s="355"/>
      <c r="CI345" s="355"/>
      <c r="CJ345" s="355"/>
      <c r="CK345" s="355"/>
      <c r="CL345" s="355"/>
      <c r="CM345" s="355"/>
      <c r="CN345" s="355"/>
      <c r="CO345" s="355"/>
      <c r="CP345" s="355"/>
      <c r="CQ345" s="355"/>
      <c r="CR345" s="355"/>
      <c r="CS345" s="355"/>
      <c r="CT345" s="355"/>
      <c r="CU345" s="355"/>
      <c r="CV345" s="355"/>
      <c r="CW345" s="355"/>
      <c r="CX345" s="355"/>
      <c r="CY345" s="355"/>
      <c r="CZ345" s="355"/>
      <c r="DA345" s="355"/>
      <c r="DB345" s="355"/>
      <c r="DC345" s="355"/>
      <c r="DD345" s="355"/>
      <c r="DE345" s="355"/>
      <c r="DF345" s="355"/>
      <c r="DG345" s="355"/>
      <c r="DH345" s="355"/>
      <c r="DI345" s="355"/>
      <c r="DJ345" s="355"/>
      <c r="DK345" s="355"/>
      <c r="DL345" s="46"/>
      <c r="DM345" s="16"/>
      <c r="DO345" s="355"/>
      <c r="DP345" s="42"/>
      <c r="DQ345" s="16"/>
      <c r="DS345" s="355"/>
      <c r="DT345" s="42"/>
      <c r="DU345" s="16"/>
      <c r="DW345" s="355"/>
      <c r="DX345" s="42"/>
      <c r="DY345" s="16"/>
      <c r="EA345" s="355"/>
    </row>
    <row r="346" spans="1:131">
      <c r="A346" s="20"/>
      <c r="B346" s="124" t="str">
        <f t="shared" ref="B346:B360" si="326">IF(D346=UAnem1percent,"1% Wind","")</f>
        <v/>
      </c>
      <c r="C346" s="235"/>
      <c r="D346" s="24">
        <f>'1% Wind'!$M$82</f>
        <v>27</v>
      </c>
      <c r="E346" s="90"/>
      <c r="F346" s="90"/>
      <c r="G346" s="79" t="e">
        <f ca="1">IF(I345=0.9743,$G345,MAX(G345/D345*D346,2))</f>
        <v>#REF!</v>
      </c>
      <c r="H346" s="121" t="e">
        <f t="shared" ref="H346:H360" ca="1" si="327">H345*(D345/D346)*(G346/G345)</f>
        <v>#REF!</v>
      </c>
      <c r="J346" s="33"/>
      <c r="K346" s="260">
        <f>K$17/100</f>
        <v>1</v>
      </c>
      <c r="L346" s="241" t="e">
        <f ca="1">K346*$H346</f>
        <v>#REF!</v>
      </c>
      <c r="M346" s="243" t="e">
        <f ca="1">IF(AND(INDEX(FlowCalConstA,MATCH(J345,FlowCalNumber,0),1,1)*L346^INDEX(FlowCalConstB,MATCH(J345,FlowCalNumber,0),1,1)&gt;INDEX(FlowCalLowSetting,MATCH(J345,FlowCalNumber,0),1,1), (INDEX(FlowCalConstA,MATCH(J345,FlowCalNumber,0),1,1)*L346^INDEX(FlowCalConstB,MATCH(J345,FlowCalNumber,0),1,1)&lt;INDEX(FlowCalHighSetting,MATCH(J345,FlowCalNumber,0),1,1))),INDEX(FlowCalConstA,MATCH(J345,FlowCalNumber,0),1,1)*L346^INDEX(FlowCalConstB,MATCH(J345,FlowCalNumber,0),1,1)," ")</f>
        <v>#REF!</v>
      </c>
      <c r="N346" s="33"/>
      <c r="O346" s="260">
        <f>O$17/100</f>
        <v>1</v>
      </c>
      <c r="P346" s="241" t="e">
        <f ca="1">O346*$H346</f>
        <v>#REF!</v>
      </c>
      <c r="Q346" s="243" t="e">
        <f ca="1">IF(AND(INDEX(FlowCalConstA,MATCH(N345,FlowCalNumber,0),1,1)*P346^INDEX(FlowCalConstB,MATCH(N345,FlowCalNumber,0),1,1)&gt;INDEX(FlowCalLowSetting,MATCH(N345,FlowCalNumber,0),1,1), (INDEX(FlowCalConstA,MATCH(N345,FlowCalNumber,0),1,1)*P346^INDEX(FlowCalConstB,MATCH(N345,FlowCalNumber,0),1,1)&lt;INDEX(FlowCalHighSetting,MATCH(N345,FlowCalNumber,0),1,1))),INDEX(FlowCalConstA,MATCH(N345,FlowCalNumber,0),1,1)*P346^INDEX(FlowCalConstB,MATCH(N345,FlowCalNumber,0),1,1)," ")</f>
        <v>#REF!</v>
      </c>
      <c r="R346" s="33"/>
      <c r="S346" s="260">
        <f>S$17/100</f>
        <v>1</v>
      </c>
      <c r="T346" s="241" t="e">
        <f ca="1">S346*$H346</f>
        <v>#REF!</v>
      </c>
      <c r="U346" s="244" t="e">
        <f ca="1">IF(AND(INDEX(FlowCalConstA,MATCH(R345,FlowCalNumber,0),1,1)*T346^INDEX(FlowCalConstB,MATCH(R345,FlowCalNumber,0),1,1)&gt;INDEX(FlowCalLowSetting,MATCH(R345,FlowCalNumber,0),1,1), (INDEX(FlowCalConstA,MATCH(R345,FlowCalNumber,0),1,1)*T346^INDEX(FlowCalConstB,MATCH(R345,FlowCalNumber,0),1,1)&lt;INDEX(FlowCalHighSetting,MATCH(R345,FlowCalNumber,0),1,1))),INDEX(FlowCalConstA,MATCH(R345,FlowCalNumber,0),1,1)*T346^INDEX(FlowCalConstB,MATCH(R345,FlowCalNumber,0),1,1)," ")</f>
        <v>#REF!</v>
      </c>
      <c r="V346" s="33"/>
      <c r="W346" s="260">
        <f>W$17/100</f>
        <v>0.1</v>
      </c>
      <c r="X346" s="241" t="e">
        <f ca="1">W346*$H346</f>
        <v>#REF!</v>
      </c>
      <c r="Y346" s="243" t="e">
        <f ca="1">IF(AND(INDEX(FlowCalConstA,MATCH(V345,FlowCalNumber,0),1,1)*X346^INDEX(FlowCalConstB,MATCH(V345,FlowCalNumber,0),1,1)&gt;INDEX(FlowCalLowSetting,MATCH(V345,FlowCalNumber,0),1,1), (INDEX(FlowCalConstA,MATCH(V345,FlowCalNumber,0),1,1)*X346^INDEX(FlowCalConstB,MATCH(V345,FlowCalNumber,0),1,1)&lt;INDEX(FlowCalHighSetting,MATCH(V345,FlowCalNumber,0),1,1))),INDEX(FlowCalConstA,MATCH(V345,FlowCalNumber,0),1,1)*X346^INDEX(FlowCalConstB,MATCH(V345,FlowCalNumber,0),1,1)," ")</f>
        <v>#REF!</v>
      </c>
      <c r="Z346" s="33"/>
      <c r="AA346" s="260">
        <f>AA$17/100</f>
        <v>0.9</v>
      </c>
      <c r="AB346" s="241" t="e">
        <f ca="1">AA346*$H346</f>
        <v>#REF!</v>
      </c>
      <c r="AC346" s="243" t="e">
        <f ca="1">IF(AND(INDEX(FlowCalConstA,MATCH(Z345,FlowCalNumber,0),1,1)*AB346^INDEX(FlowCalConstB,MATCH(Z345,FlowCalNumber,0),1,1)&gt;INDEX(FlowCalLowSetting,MATCH(Z345,FlowCalNumber,0),1,1), (INDEX(FlowCalConstA,MATCH(Z345,FlowCalNumber,0),1,1)*AB346^INDEX(FlowCalConstB,MATCH(Z345,FlowCalNumber,0),1,1)&lt;INDEX(FlowCalHighSetting,MATCH(Z345,FlowCalNumber,0),1,1))),INDEX(FlowCalConstA,MATCH(Z345,FlowCalNumber,0),1,1)*AB346^INDEX(FlowCalConstB,MATCH(Z345,FlowCalNumber,0),1,1)," ")</f>
        <v>#REF!</v>
      </c>
      <c r="AD346" s="33"/>
      <c r="AE346" s="260">
        <f>AE$17/100</f>
        <v>0.1</v>
      </c>
      <c r="AF346" s="241" t="e">
        <f ca="1">AE346*$H346</f>
        <v>#REF!</v>
      </c>
      <c r="AG346" s="243" t="e">
        <f ca="1">IF(AND(INDEX(FlowCalConstA,MATCH(AD345,FlowCalNumber,0),1,1)*AF346^INDEX(FlowCalConstB,MATCH(AD345,FlowCalNumber,0),1,1)&gt;INDEX(FlowCalLowSetting,MATCH(AD345,FlowCalNumber,0),1,1), (INDEX(FlowCalConstA,MATCH(AD345,FlowCalNumber,0),1,1)*AF346^INDEX(FlowCalConstB,MATCH(AD345,FlowCalNumber,0),1,1)&lt;INDEX(FlowCalHighSetting,MATCH(AD345,FlowCalNumber,0),1,1))),INDEX(FlowCalConstA,MATCH(AD345,FlowCalNumber,0),1,1)*AF346^INDEX(FlowCalConstB,MATCH(AD345,FlowCalNumber,0),1,1)," ")</f>
        <v>#REF!</v>
      </c>
      <c r="AH346" s="33"/>
      <c r="AI346" s="260">
        <f>AI$17/100</f>
        <v>0.9</v>
      </c>
      <c r="AJ346" s="241" t="e">
        <f ca="1">AI346*$H346</f>
        <v>#REF!</v>
      </c>
      <c r="AK346" s="243" t="e">
        <f ca="1">IF(AND(INDEX(FlowCalConstA,MATCH(AH345,FlowCalNumber,0),1,1)*AJ346^INDEX(FlowCalConstB,MATCH(AH345,FlowCalNumber,0),1,1)&gt;INDEX(FlowCalLowSetting,MATCH(AH345,FlowCalNumber,0),1,1), (INDEX(FlowCalConstA,MATCH(AH345,FlowCalNumber,0),1,1)*AJ346^INDEX(FlowCalConstB,MATCH(AH345,FlowCalNumber,0),1,1)&lt;INDEX(FlowCalHighSetting,MATCH(AH345,FlowCalNumber,0),1,1))),INDEX(FlowCalConstA,MATCH(AH345,FlowCalNumber,0),1,1)*AJ346^INDEX(FlowCalConstB,MATCH(AH345,FlowCalNumber,0),1,1)," ")</f>
        <v>#REF!</v>
      </c>
      <c r="AL346" s="33"/>
      <c r="AM346" s="260"/>
      <c r="AN346" s="241"/>
      <c r="AO346" s="244"/>
      <c r="AQ346" s="260"/>
      <c r="AR346" s="241"/>
      <c r="AS346" s="244"/>
      <c r="AT346" s="33"/>
      <c r="AU346" s="260"/>
      <c r="AV346" s="241"/>
      <c r="AW346" s="244"/>
      <c r="AX346" s="33"/>
      <c r="AY346" s="260"/>
      <c r="AZ346" s="241"/>
      <c r="BA346" s="244"/>
      <c r="BB346" s="33"/>
      <c r="BC346" s="260"/>
      <c r="BD346" s="241"/>
      <c r="BE346" s="244"/>
      <c r="BF346" s="33"/>
      <c r="BG346" s="260"/>
      <c r="BH346" s="241"/>
      <c r="BI346" s="244"/>
      <c r="BJ346" s="33"/>
      <c r="BK346" s="260"/>
      <c r="BL346" s="241"/>
      <c r="BM346" s="244"/>
      <c r="BN346" s="33"/>
      <c r="BO346" s="260"/>
      <c r="BP346" s="241"/>
      <c r="BQ346" s="244"/>
      <c r="BR346" s="33"/>
      <c r="BS346" s="260"/>
      <c r="BT346" s="241"/>
      <c r="BU346" s="244"/>
      <c r="BV346" s="33"/>
      <c r="BW346" s="260"/>
      <c r="BX346" s="241"/>
      <c r="BY346" s="244"/>
      <c r="BZ346" s="33"/>
      <c r="CA346" s="260"/>
      <c r="CB346" s="241"/>
      <c r="CC346" s="244"/>
      <c r="CD346" s="243"/>
      <c r="CE346" s="243"/>
      <c r="CF346" s="243"/>
      <c r="CG346" s="243"/>
      <c r="CH346" s="243"/>
      <c r="CI346" s="243"/>
      <c r="CJ346" s="243"/>
      <c r="CK346" s="243"/>
      <c r="CL346" s="243"/>
      <c r="CM346" s="243"/>
      <c r="CN346" s="243"/>
      <c r="CO346" s="243"/>
      <c r="CP346" s="243"/>
      <c r="CQ346" s="243"/>
      <c r="CR346" s="243"/>
      <c r="CS346" s="243"/>
      <c r="CT346" s="243"/>
      <c r="CU346" s="243"/>
      <c r="CV346" s="243"/>
      <c r="CW346" s="243"/>
      <c r="CX346" s="243"/>
      <c r="CY346" s="243"/>
      <c r="CZ346" s="243"/>
      <c r="DA346" s="243"/>
      <c r="DB346" s="243"/>
      <c r="DC346" s="243"/>
      <c r="DD346" s="243"/>
      <c r="DE346" s="243"/>
      <c r="DF346" s="243"/>
      <c r="DG346" s="243"/>
      <c r="DH346" s="243"/>
      <c r="DI346" s="243"/>
      <c r="DJ346" s="243"/>
      <c r="DK346" s="243"/>
      <c r="DM346" s="259"/>
      <c r="DO346" s="243"/>
      <c r="DQ346" s="259"/>
      <c r="DS346" s="243"/>
      <c r="DU346" s="259"/>
      <c r="DW346" s="243"/>
      <c r="DY346" s="260"/>
      <c r="EA346" s="243"/>
    </row>
    <row r="347" spans="1:131">
      <c r="A347" s="20"/>
      <c r="B347" s="124" t="str">
        <f t="shared" si="326"/>
        <v/>
      </c>
      <c r="C347" s="235"/>
      <c r="D347" s="24">
        <f>'1% Wind'!$M$83</f>
        <v>23.5</v>
      </c>
      <c r="E347" s="90"/>
      <c r="F347" s="90"/>
      <c r="G347" s="79" t="e">
        <f ca="1">IF(I345=0.9743,$G346,MAX(G346/D346*D347,2))</f>
        <v>#REF!</v>
      </c>
      <c r="H347" s="121" t="e">
        <f t="shared" ca="1" si="327"/>
        <v>#REF!</v>
      </c>
      <c r="J347" s="33"/>
      <c r="K347" s="242">
        <f t="shared" ref="K347:K360" si="328">K346</f>
        <v>1</v>
      </c>
      <c r="L347" s="241" t="e">
        <f t="shared" ref="L347:L360" ca="1" si="329">K347*$H347</f>
        <v>#REF!</v>
      </c>
      <c r="M347" s="243" t="e">
        <f ca="1">IF(AND(INDEX(FlowCalConstA,MATCH(J345,FlowCalNumber,0),1,1)*L347^INDEX(FlowCalConstB,MATCH(J345,FlowCalNumber,0),1,1)&gt;INDEX(FlowCalLowSetting,MATCH(J345,FlowCalNumber,0),1,1), (INDEX(FlowCalConstA,MATCH(J345,FlowCalNumber,0),1,1)*L347^INDEX(FlowCalConstB,MATCH(J345,FlowCalNumber,0),1,1)&lt;INDEX(FlowCalHighSetting,MATCH(J345,FlowCalNumber,0),1,1))),INDEX(FlowCalConstA,MATCH(J345,FlowCalNumber,0),1,1)*L347^INDEX(FlowCalConstB,MATCH(J345,FlowCalNumber,0),1,1)," ")</f>
        <v>#REF!</v>
      </c>
      <c r="N347" s="33"/>
      <c r="O347" s="242">
        <f t="shared" ref="O347:O360" si="330">O346</f>
        <v>1</v>
      </c>
      <c r="P347" s="241" t="e">
        <f t="shared" ref="P347:P360" ca="1" si="331">O347*$H347</f>
        <v>#REF!</v>
      </c>
      <c r="Q347" s="243" t="e">
        <f ca="1">IF(AND(INDEX(FlowCalConstA,MATCH(N345,FlowCalNumber,0),1,1)*P347^INDEX(FlowCalConstB,MATCH(N345,FlowCalNumber,0),1,1)&gt;INDEX(FlowCalLowSetting,MATCH(N345,FlowCalNumber,0),1,1), (INDEX(FlowCalConstA,MATCH(N345,FlowCalNumber,0),1,1)*P347^INDEX(FlowCalConstB,MATCH(N345,FlowCalNumber,0),1,1)&lt;INDEX(FlowCalHighSetting,MATCH(N345,FlowCalNumber,0),1,1))),INDEX(FlowCalConstA,MATCH(N345,FlowCalNumber,0),1,1)*P347^INDEX(FlowCalConstB,MATCH(N345,FlowCalNumber,0),1,1)," ")</f>
        <v>#REF!</v>
      </c>
      <c r="R347" s="33"/>
      <c r="S347" s="242">
        <f t="shared" ref="S347:S360" si="332">S346</f>
        <v>1</v>
      </c>
      <c r="T347" s="241" t="e">
        <f t="shared" ref="T347:T360" ca="1" si="333">S347*$H347</f>
        <v>#REF!</v>
      </c>
      <c r="U347" s="244" t="e">
        <f ca="1">IF(AND(INDEX(FlowCalConstA,MATCH(R345,FlowCalNumber,0),1,1)*T347^INDEX(FlowCalConstB,MATCH(R345,FlowCalNumber,0),1,1)&gt;INDEX(FlowCalLowSetting,MATCH(R345,FlowCalNumber,0),1,1), (INDEX(FlowCalConstA,MATCH(R345,FlowCalNumber,0),1,1)*T347^INDEX(FlowCalConstB,MATCH(R345,FlowCalNumber,0),1,1)&lt;INDEX(FlowCalHighSetting,MATCH(R345,FlowCalNumber,0),1,1))),INDEX(FlowCalConstA,MATCH(R345,FlowCalNumber,0),1,1)*T347^INDEX(FlowCalConstB,MATCH(R345,FlowCalNumber,0),1,1)," ")</f>
        <v>#REF!</v>
      </c>
      <c r="V347" s="33"/>
      <c r="W347" s="242">
        <f t="shared" ref="W347:W360" si="334">W346</f>
        <v>0.1</v>
      </c>
      <c r="X347" s="241" t="e">
        <f t="shared" ref="X347:X360" ca="1" si="335">W347*$H347</f>
        <v>#REF!</v>
      </c>
      <c r="Y347" s="243" t="e">
        <f ca="1">IF(AND(INDEX(FlowCalConstA,MATCH(V345,FlowCalNumber,0),1,1)*X347^INDEX(FlowCalConstB,MATCH(V345,FlowCalNumber,0),1,1)&gt;INDEX(FlowCalLowSetting,MATCH(V345,FlowCalNumber,0),1,1), (INDEX(FlowCalConstA,MATCH(V345,FlowCalNumber,0),1,1)*X347^INDEX(FlowCalConstB,MATCH(V345,FlowCalNumber,0),1,1)&lt;INDEX(FlowCalHighSetting,MATCH(V345,FlowCalNumber,0),1,1))),INDEX(FlowCalConstA,MATCH(V345,FlowCalNumber,0),1,1)*X347^INDEX(FlowCalConstB,MATCH(V345,FlowCalNumber,0),1,1)," ")</f>
        <v>#REF!</v>
      </c>
      <c r="Z347" s="33"/>
      <c r="AA347" s="242">
        <f t="shared" ref="AA347:AA360" si="336">AA346</f>
        <v>0.9</v>
      </c>
      <c r="AB347" s="241" t="e">
        <f t="shared" ref="AB347:AB360" ca="1" si="337">AA347*$H347</f>
        <v>#REF!</v>
      </c>
      <c r="AC347" s="243" t="e">
        <f ca="1">IF(AND(INDEX(FlowCalConstA,MATCH(Z345,FlowCalNumber,0),1,1)*AB347^INDEX(FlowCalConstB,MATCH(Z345,FlowCalNumber,0),1,1)&gt;INDEX(FlowCalLowSetting,MATCH(Z345,FlowCalNumber,0),1,1), (INDEX(FlowCalConstA,MATCH(Z345,FlowCalNumber,0),1,1)*AB347^INDEX(FlowCalConstB,MATCH(Z345,FlowCalNumber,0),1,1)&lt;INDEX(FlowCalHighSetting,MATCH(Z345,FlowCalNumber,0),1,1))),INDEX(FlowCalConstA,MATCH(Z345,FlowCalNumber,0),1,1)*AB347^INDEX(FlowCalConstB,MATCH(Z345,FlowCalNumber,0),1,1)," ")</f>
        <v>#REF!</v>
      </c>
      <c r="AD347" s="33"/>
      <c r="AE347" s="242">
        <f t="shared" ref="AE347:AE360" si="338">AE346</f>
        <v>0.1</v>
      </c>
      <c r="AF347" s="241" t="e">
        <f t="shared" ref="AF347:AF360" ca="1" si="339">AE347*$H347</f>
        <v>#REF!</v>
      </c>
      <c r="AG347" s="243" t="e">
        <f ca="1">IF(AND(INDEX(FlowCalConstA,MATCH(AD345,FlowCalNumber,0),1,1)*AF347^INDEX(FlowCalConstB,MATCH(AD345,FlowCalNumber,0),1,1)&gt;INDEX(FlowCalLowSetting,MATCH(AD345,FlowCalNumber,0),1,1), (INDEX(FlowCalConstA,MATCH(AD345,FlowCalNumber,0),1,1)*AF347^INDEX(FlowCalConstB,MATCH(AD345,FlowCalNumber,0),1,1)&lt;INDEX(FlowCalHighSetting,MATCH(AD345,FlowCalNumber,0),1,1))),INDEX(FlowCalConstA,MATCH(AD345,FlowCalNumber,0),1,1)*AF347^INDEX(FlowCalConstB,MATCH(AD345,FlowCalNumber,0),1,1)," ")</f>
        <v>#REF!</v>
      </c>
      <c r="AH347" s="33"/>
      <c r="AI347" s="242">
        <f t="shared" ref="AI347:AI360" si="340">AI346</f>
        <v>0.9</v>
      </c>
      <c r="AJ347" s="241" t="e">
        <f t="shared" ref="AJ347:AJ360" ca="1" si="341">AI347*$H347</f>
        <v>#REF!</v>
      </c>
      <c r="AK347" s="243" t="e">
        <f ca="1">IF(AND(INDEX(FlowCalConstA,MATCH(AH345,FlowCalNumber,0),1,1)*AJ347^INDEX(FlowCalConstB,MATCH(AH345,FlowCalNumber,0),1,1)&gt;INDEX(FlowCalLowSetting,MATCH(AH345,FlowCalNumber,0),1,1), (INDEX(FlowCalConstA,MATCH(AH345,FlowCalNumber,0),1,1)*AJ347^INDEX(FlowCalConstB,MATCH(AH345,FlowCalNumber,0),1,1)&lt;INDEX(FlowCalHighSetting,MATCH(AH345,FlowCalNumber,0),1,1))),INDEX(FlowCalConstA,MATCH(AH345,FlowCalNumber,0),1,1)*AJ347^INDEX(FlowCalConstB,MATCH(AH345,FlowCalNumber,0),1,1)," ")</f>
        <v>#REF!</v>
      </c>
      <c r="AL347" s="33"/>
      <c r="AM347" s="242"/>
      <c r="AN347" s="241"/>
      <c r="AO347" s="244"/>
      <c r="AQ347" s="242"/>
      <c r="AR347" s="241"/>
      <c r="AS347" s="244"/>
      <c r="AT347" s="33"/>
      <c r="AU347" s="242"/>
      <c r="AV347" s="241"/>
      <c r="AW347" s="244"/>
      <c r="AX347" s="33"/>
      <c r="AY347" s="242"/>
      <c r="AZ347" s="241"/>
      <c r="BA347" s="244"/>
      <c r="BB347" s="33"/>
      <c r="BC347" s="242"/>
      <c r="BD347" s="241"/>
      <c r="BE347" s="244"/>
      <c r="BF347" s="33"/>
      <c r="BG347" s="242"/>
      <c r="BH347" s="241"/>
      <c r="BI347" s="244"/>
      <c r="BJ347" s="33"/>
      <c r="BK347" s="242"/>
      <c r="BL347" s="241"/>
      <c r="BM347" s="244"/>
      <c r="BN347" s="33"/>
      <c r="BO347" s="242"/>
      <c r="BP347" s="241"/>
      <c r="BQ347" s="244"/>
      <c r="BR347" s="33"/>
      <c r="BS347" s="242"/>
      <c r="BT347" s="241"/>
      <c r="BU347" s="244"/>
      <c r="BV347" s="33"/>
      <c r="BW347" s="242"/>
      <c r="BX347" s="241"/>
      <c r="BY347" s="244"/>
      <c r="BZ347" s="33"/>
      <c r="CA347" s="242"/>
      <c r="CB347" s="241"/>
      <c r="CC347" s="244"/>
      <c r="CD347" s="243"/>
      <c r="CE347" s="243"/>
      <c r="CF347" s="243"/>
      <c r="CG347" s="243"/>
      <c r="CH347" s="243"/>
      <c r="CI347" s="243"/>
      <c r="CJ347" s="243"/>
      <c r="CK347" s="243"/>
      <c r="CL347" s="243"/>
      <c r="CM347" s="243"/>
      <c r="CN347" s="243"/>
      <c r="CO347" s="243"/>
      <c r="CP347" s="243"/>
      <c r="CQ347" s="243"/>
      <c r="CR347" s="243"/>
      <c r="CS347" s="243"/>
      <c r="CT347" s="243"/>
      <c r="CU347" s="243"/>
      <c r="CV347" s="243"/>
      <c r="CW347" s="243"/>
      <c r="CX347" s="243"/>
      <c r="CY347" s="243"/>
      <c r="CZ347" s="243"/>
      <c r="DA347" s="243"/>
      <c r="DB347" s="243"/>
      <c r="DC347" s="243"/>
      <c r="DD347" s="243"/>
      <c r="DE347" s="243"/>
      <c r="DF347" s="243"/>
      <c r="DG347" s="243"/>
      <c r="DH347" s="243"/>
      <c r="DI347" s="243"/>
      <c r="DJ347" s="243"/>
      <c r="DK347" s="243"/>
      <c r="DM347" s="242"/>
      <c r="DO347" s="243"/>
      <c r="DQ347" s="242"/>
      <c r="DS347" s="243"/>
      <c r="DU347" s="242"/>
      <c r="DW347" s="243"/>
      <c r="DY347" s="242"/>
      <c r="EA347" s="243"/>
    </row>
    <row r="348" spans="1:131">
      <c r="A348" s="20"/>
      <c r="B348" s="124" t="str">
        <f t="shared" si="326"/>
        <v/>
      </c>
      <c r="C348" s="235"/>
      <c r="D348" s="24">
        <f>'1% Wind'!$M$84</f>
        <v>20.5</v>
      </c>
      <c r="E348" s="90"/>
      <c r="F348" s="90"/>
      <c r="G348" s="79" t="e">
        <f ca="1">IF(I345=0.9743,$G347,MAX(G347/D347*D348,2))</f>
        <v>#REF!</v>
      </c>
      <c r="H348" s="121" t="e">
        <f t="shared" ca="1" si="327"/>
        <v>#REF!</v>
      </c>
      <c r="J348" s="33"/>
      <c r="K348" s="242">
        <f t="shared" si="328"/>
        <v>1</v>
      </c>
      <c r="L348" s="241" t="e">
        <f t="shared" ca="1" si="329"/>
        <v>#REF!</v>
      </c>
      <c r="M348" s="243" t="e">
        <f ca="1">IF(AND(INDEX(FlowCalConstA,MATCH(J345,FlowCalNumber,0),1,1)*L348^INDEX(FlowCalConstB,MATCH(J345,FlowCalNumber,0),1,1)&gt;INDEX(FlowCalLowSetting,MATCH(J345,FlowCalNumber,0),1,1), (INDEX(FlowCalConstA,MATCH(J345,FlowCalNumber,0),1,1)*L348^INDEX(FlowCalConstB,MATCH(J345,FlowCalNumber,0),1,1)&lt;INDEX(FlowCalHighSetting,MATCH(J345,FlowCalNumber,0),1,1))),INDEX(FlowCalConstA,MATCH(J345,FlowCalNumber,0),1,1)*L348^INDEX(FlowCalConstB,MATCH(J345,FlowCalNumber,0),1,1)," ")</f>
        <v>#REF!</v>
      </c>
      <c r="N348" s="33"/>
      <c r="O348" s="242">
        <f t="shared" si="330"/>
        <v>1</v>
      </c>
      <c r="P348" s="241" t="e">
        <f t="shared" ca="1" si="331"/>
        <v>#REF!</v>
      </c>
      <c r="Q348" s="243" t="e">
        <f ca="1">IF(AND(INDEX(FlowCalConstA,MATCH(N345,FlowCalNumber,0),1,1)*P348^INDEX(FlowCalConstB,MATCH(N345,FlowCalNumber,0),1,1)&gt;INDEX(FlowCalLowSetting,MATCH(N345,FlowCalNumber,0),1,1), (INDEX(FlowCalConstA,MATCH(N345,FlowCalNumber,0),1,1)*P348^INDEX(FlowCalConstB,MATCH(N345,FlowCalNumber,0),1,1)&lt;INDEX(FlowCalHighSetting,MATCH(N345,FlowCalNumber,0),1,1))),INDEX(FlowCalConstA,MATCH(N345,FlowCalNumber,0),1,1)*P348^INDEX(FlowCalConstB,MATCH(N345,FlowCalNumber,0),1,1)," ")</f>
        <v>#REF!</v>
      </c>
      <c r="R348" s="33"/>
      <c r="S348" s="242">
        <f t="shared" si="332"/>
        <v>1</v>
      </c>
      <c r="T348" s="241" t="e">
        <f t="shared" ca="1" si="333"/>
        <v>#REF!</v>
      </c>
      <c r="U348" s="244" t="e">
        <f ca="1">IF(AND(INDEX(FlowCalConstA,MATCH(R345,FlowCalNumber,0),1,1)*T348^INDEX(FlowCalConstB,MATCH(R345,FlowCalNumber,0),1,1)&gt;INDEX(FlowCalLowSetting,MATCH(R345,FlowCalNumber,0),1,1), (INDEX(FlowCalConstA,MATCH(R345,FlowCalNumber,0),1,1)*T348^INDEX(FlowCalConstB,MATCH(R345,FlowCalNumber,0),1,1)&lt;INDEX(FlowCalHighSetting,MATCH(R345,FlowCalNumber,0),1,1))),INDEX(FlowCalConstA,MATCH(R345,FlowCalNumber,0),1,1)*T348^INDEX(FlowCalConstB,MATCH(R345,FlowCalNumber,0),1,1)," ")</f>
        <v>#REF!</v>
      </c>
      <c r="V348" s="33"/>
      <c r="W348" s="242">
        <f t="shared" si="334"/>
        <v>0.1</v>
      </c>
      <c r="X348" s="241" t="e">
        <f t="shared" ca="1" si="335"/>
        <v>#REF!</v>
      </c>
      <c r="Y348" s="243" t="e">
        <f ca="1">IF(AND(INDEX(FlowCalConstA,MATCH(V345,FlowCalNumber,0),1,1)*X348^INDEX(FlowCalConstB,MATCH(V345,FlowCalNumber,0),1,1)&gt;INDEX(FlowCalLowSetting,MATCH(V345,FlowCalNumber,0),1,1), (INDEX(FlowCalConstA,MATCH(V345,FlowCalNumber,0),1,1)*X348^INDEX(FlowCalConstB,MATCH(V345,FlowCalNumber,0),1,1)&lt;INDEX(FlowCalHighSetting,MATCH(V345,FlowCalNumber,0),1,1))),INDEX(FlowCalConstA,MATCH(V345,FlowCalNumber,0),1,1)*X348^INDEX(FlowCalConstB,MATCH(V345,FlowCalNumber,0),1,1)," ")</f>
        <v>#REF!</v>
      </c>
      <c r="Z348" s="33"/>
      <c r="AA348" s="242">
        <f t="shared" si="336"/>
        <v>0.9</v>
      </c>
      <c r="AB348" s="241" t="e">
        <f t="shared" ca="1" si="337"/>
        <v>#REF!</v>
      </c>
      <c r="AC348" s="243" t="e">
        <f ca="1">IF(AND(INDEX(FlowCalConstA,MATCH(Z345,FlowCalNumber,0),1,1)*AB348^INDEX(FlowCalConstB,MATCH(Z345,FlowCalNumber,0),1,1)&gt;INDEX(FlowCalLowSetting,MATCH(Z345,FlowCalNumber,0),1,1), (INDEX(FlowCalConstA,MATCH(Z345,FlowCalNumber,0),1,1)*AB348^INDEX(FlowCalConstB,MATCH(Z345,FlowCalNumber,0),1,1)&lt;INDEX(FlowCalHighSetting,MATCH(Z345,FlowCalNumber,0),1,1))),INDEX(FlowCalConstA,MATCH(Z345,FlowCalNumber,0),1,1)*AB348^INDEX(FlowCalConstB,MATCH(Z345,FlowCalNumber,0),1,1)," ")</f>
        <v>#REF!</v>
      </c>
      <c r="AD348" s="33"/>
      <c r="AE348" s="242">
        <f t="shared" si="338"/>
        <v>0.1</v>
      </c>
      <c r="AF348" s="241" t="e">
        <f t="shared" ca="1" si="339"/>
        <v>#REF!</v>
      </c>
      <c r="AG348" s="243" t="e">
        <f ca="1">IF(AND(INDEX(FlowCalConstA,MATCH(AD345,FlowCalNumber,0),1,1)*AF348^INDEX(FlowCalConstB,MATCH(AD345,FlowCalNumber,0),1,1)&gt;INDEX(FlowCalLowSetting,MATCH(AD345,FlowCalNumber,0),1,1), (INDEX(FlowCalConstA,MATCH(AD345,FlowCalNumber,0),1,1)*AF348^INDEX(FlowCalConstB,MATCH(AD345,FlowCalNumber,0),1,1)&lt;INDEX(FlowCalHighSetting,MATCH(AD345,FlowCalNumber,0),1,1))),INDEX(FlowCalConstA,MATCH(AD345,FlowCalNumber,0),1,1)*AF348^INDEX(FlowCalConstB,MATCH(AD345,FlowCalNumber,0),1,1)," ")</f>
        <v>#REF!</v>
      </c>
      <c r="AH348" s="33"/>
      <c r="AI348" s="242">
        <f t="shared" si="340"/>
        <v>0.9</v>
      </c>
      <c r="AJ348" s="241" t="e">
        <f t="shared" ca="1" si="341"/>
        <v>#REF!</v>
      </c>
      <c r="AK348" s="243" t="e">
        <f ca="1">IF(AND(INDEX(FlowCalConstA,MATCH(AH345,FlowCalNumber,0),1,1)*AJ348^INDEX(FlowCalConstB,MATCH(AH345,FlowCalNumber,0),1,1)&gt;INDEX(FlowCalLowSetting,MATCH(AH345,FlowCalNumber,0),1,1), (INDEX(FlowCalConstA,MATCH(AH345,FlowCalNumber,0),1,1)*AJ348^INDEX(FlowCalConstB,MATCH(AH345,FlowCalNumber,0),1,1)&lt;INDEX(FlowCalHighSetting,MATCH(AH345,FlowCalNumber,0),1,1))),INDEX(FlowCalConstA,MATCH(AH345,FlowCalNumber,0),1,1)*AJ348^INDEX(FlowCalConstB,MATCH(AH345,FlowCalNumber,0),1,1)," ")</f>
        <v>#REF!</v>
      </c>
      <c r="AL348" s="33"/>
      <c r="AM348" s="242"/>
      <c r="AN348" s="241"/>
      <c r="AO348" s="244"/>
      <c r="AQ348" s="242"/>
      <c r="AR348" s="241"/>
      <c r="AS348" s="244"/>
      <c r="AT348" s="33"/>
      <c r="AU348" s="242"/>
      <c r="AV348" s="241"/>
      <c r="AW348" s="244"/>
      <c r="AX348" s="33"/>
      <c r="AY348" s="242"/>
      <c r="AZ348" s="241"/>
      <c r="BA348" s="244"/>
      <c r="BB348" s="33"/>
      <c r="BC348" s="242"/>
      <c r="BD348" s="241"/>
      <c r="BE348" s="244"/>
      <c r="BF348" s="33"/>
      <c r="BG348" s="242"/>
      <c r="BH348" s="241"/>
      <c r="BI348" s="244"/>
      <c r="BJ348" s="33"/>
      <c r="BK348" s="242"/>
      <c r="BL348" s="241"/>
      <c r="BM348" s="244"/>
      <c r="BN348" s="33"/>
      <c r="BO348" s="242"/>
      <c r="BP348" s="241"/>
      <c r="BQ348" s="244"/>
      <c r="BR348" s="33"/>
      <c r="BS348" s="242"/>
      <c r="BT348" s="241"/>
      <c r="BU348" s="244"/>
      <c r="BV348" s="33"/>
      <c r="BW348" s="242"/>
      <c r="BX348" s="241"/>
      <c r="BY348" s="244"/>
      <c r="BZ348" s="33"/>
      <c r="CA348" s="242"/>
      <c r="CB348" s="241"/>
      <c r="CC348" s="244"/>
      <c r="CD348" s="243"/>
      <c r="CE348" s="243"/>
      <c r="CF348" s="243"/>
      <c r="CG348" s="243"/>
      <c r="CH348" s="243"/>
      <c r="CI348" s="243"/>
      <c r="CJ348" s="243"/>
      <c r="CK348" s="243"/>
      <c r="CL348" s="243"/>
      <c r="CM348" s="243"/>
      <c r="CN348" s="243"/>
      <c r="CO348" s="243"/>
      <c r="CP348" s="243"/>
      <c r="CQ348" s="243"/>
      <c r="CR348" s="243"/>
      <c r="CS348" s="243"/>
      <c r="CT348" s="243"/>
      <c r="CU348" s="243"/>
      <c r="CV348" s="243"/>
      <c r="CW348" s="243"/>
      <c r="CX348" s="243"/>
      <c r="CY348" s="243"/>
      <c r="CZ348" s="243"/>
      <c r="DA348" s="243"/>
      <c r="DB348" s="243"/>
      <c r="DC348" s="243"/>
      <c r="DD348" s="243"/>
      <c r="DE348" s="243"/>
      <c r="DF348" s="243"/>
      <c r="DG348" s="243"/>
      <c r="DH348" s="243"/>
      <c r="DI348" s="243"/>
      <c r="DJ348" s="243"/>
      <c r="DK348" s="243"/>
      <c r="DM348" s="242"/>
      <c r="DO348" s="243"/>
      <c r="DQ348" s="242"/>
      <c r="DS348" s="243"/>
      <c r="DU348" s="242"/>
      <c r="DW348" s="243"/>
      <c r="DY348" s="242"/>
      <c r="EA348" s="243"/>
    </row>
    <row r="349" spans="1:131">
      <c r="A349" s="20"/>
      <c r="B349" s="124" t="str">
        <f t="shared" si="326"/>
        <v/>
      </c>
      <c r="C349" s="235"/>
      <c r="D349" s="24">
        <f>'1% Wind'!$M$85</f>
        <v>17.8</v>
      </c>
      <c r="E349" s="90"/>
      <c r="F349" s="90"/>
      <c r="G349" s="79" t="e">
        <f ca="1">IF(I345=0.9743,$G348,MAX(G348/D348*D349,2))</f>
        <v>#REF!</v>
      </c>
      <c r="H349" s="121" t="e">
        <f t="shared" ca="1" si="327"/>
        <v>#REF!</v>
      </c>
      <c r="J349" s="33"/>
      <c r="K349" s="242">
        <f t="shared" si="328"/>
        <v>1</v>
      </c>
      <c r="L349" s="241" t="e">
        <f t="shared" ca="1" si="329"/>
        <v>#REF!</v>
      </c>
      <c r="M349" s="243" t="e">
        <f ca="1">IF(AND(INDEX(FlowCalConstA,MATCH(J345,FlowCalNumber,0),1,1)*L349^INDEX(FlowCalConstB,MATCH(J345,FlowCalNumber,0),1,1)&gt;INDEX(FlowCalLowSetting,MATCH(J345,FlowCalNumber,0),1,1), (INDEX(FlowCalConstA,MATCH(J345,FlowCalNumber,0),1,1)*L349^INDEX(FlowCalConstB,MATCH(J345,FlowCalNumber,0),1,1)&lt;INDEX(FlowCalHighSetting,MATCH(J345,FlowCalNumber,0),1,1))),INDEX(FlowCalConstA,MATCH(J345,FlowCalNumber,0),1,1)*L349^INDEX(FlowCalConstB,MATCH(J345,FlowCalNumber,0),1,1)," ")</f>
        <v>#REF!</v>
      </c>
      <c r="N349" s="33"/>
      <c r="O349" s="242">
        <f t="shared" si="330"/>
        <v>1</v>
      </c>
      <c r="P349" s="241" t="e">
        <f t="shared" ca="1" si="331"/>
        <v>#REF!</v>
      </c>
      <c r="Q349" s="243" t="e">
        <f ca="1">IF(AND(INDEX(FlowCalConstA,MATCH(N345,FlowCalNumber,0),1,1)*P349^INDEX(FlowCalConstB,MATCH(N345,FlowCalNumber,0),1,1)&gt;INDEX(FlowCalLowSetting,MATCH(N345,FlowCalNumber,0),1,1), (INDEX(FlowCalConstA,MATCH(N345,FlowCalNumber,0),1,1)*P349^INDEX(FlowCalConstB,MATCH(N345,FlowCalNumber,0),1,1)&lt;INDEX(FlowCalHighSetting,MATCH(N345,FlowCalNumber,0),1,1))),INDEX(FlowCalConstA,MATCH(N345,FlowCalNumber,0),1,1)*P349^INDEX(FlowCalConstB,MATCH(N345,FlowCalNumber,0),1,1)," ")</f>
        <v>#REF!</v>
      </c>
      <c r="R349" s="33"/>
      <c r="S349" s="242">
        <f t="shared" si="332"/>
        <v>1</v>
      </c>
      <c r="T349" s="241" t="e">
        <f t="shared" ca="1" si="333"/>
        <v>#REF!</v>
      </c>
      <c r="U349" s="244" t="e">
        <f ca="1">IF(AND(INDEX(FlowCalConstA,MATCH(R345,FlowCalNumber,0),1,1)*T349^INDEX(FlowCalConstB,MATCH(R345,FlowCalNumber,0),1,1)&gt;INDEX(FlowCalLowSetting,MATCH(R345,FlowCalNumber,0),1,1), (INDEX(FlowCalConstA,MATCH(R345,FlowCalNumber,0),1,1)*T349^INDEX(FlowCalConstB,MATCH(R345,FlowCalNumber,0),1,1)&lt;INDEX(FlowCalHighSetting,MATCH(R345,FlowCalNumber,0),1,1))),INDEX(FlowCalConstA,MATCH(R345,FlowCalNumber,0),1,1)*T349^INDEX(FlowCalConstB,MATCH(R345,FlowCalNumber,0),1,1)," ")</f>
        <v>#REF!</v>
      </c>
      <c r="V349" s="33"/>
      <c r="W349" s="242">
        <f t="shared" si="334"/>
        <v>0.1</v>
      </c>
      <c r="X349" s="241" t="e">
        <f t="shared" ca="1" si="335"/>
        <v>#REF!</v>
      </c>
      <c r="Y349" s="243" t="e">
        <f ca="1">IF(AND(INDEX(FlowCalConstA,MATCH(V345,FlowCalNumber,0),1,1)*X349^INDEX(FlowCalConstB,MATCH(V345,FlowCalNumber,0),1,1)&gt;INDEX(FlowCalLowSetting,MATCH(V345,FlowCalNumber,0),1,1), (INDEX(FlowCalConstA,MATCH(V345,FlowCalNumber,0),1,1)*X349^INDEX(FlowCalConstB,MATCH(V345,FlowCalNumber,0),1,1)&lt;INDEX(FlowCalHighSetting,MATCH(V345,FlowCalNumber,0),1,1))),INDEX(FlowCalConstA,MATCH(V345,FlowCalNumber,0),1,1)*X349^INDEX(FlowCalConstB,MATCH(V345,FlowCalNumber,0),1,1)," ")</f>
        <v>#REF!</v>
      </c>
      <c r="Z349" s="33"/>
      <c r="AA349" s="242">
        <f t="shared" si="336"/>
        <v>0.9</v>
      </c>
      <c r="AB349" s="241" t="e">
        <f t="shared" ca="1" si="337"/>
        <v>#REF!</v>
      </c>
      <c r="AC349" s="243" t="e">
        <f ca="1">IF(AND(INDEX(FlowCalConstA,MATCH(Z345,FlowCalNumber,0),1,1)*AB349^INDEX(FlowCalConstB,MATCH(Z345,FlowCalNumber,0),1,1)&gt;INDEX(FlowCalLowSetting,MATCH(Z345,FlowCalNumber,0),1,1), (INDEX(FlowCalConstA,MATCH(Z345,FlowCalNumber,0),1,1)*AB349^INDEX(FlowCalConstB,MATCH(Z345,FlowCalNumber,0),1,1)&lt;INDEX(FlowCalHighSetting,MATCH(Z345,FlowCalNumber,0),1,1))),INDEX(FlowCalConstA,MATCH(Z345,FlowCalNumber,0),1,1)*AB349^INDEX(FlowCalConstB,MATCH(Z345,FlowCalNumber,0),1,1)," ")</f>
        <v>#REF!</v>
      </c>
      <c r="AD349" s="33"/>
      <c r="AE349" s="242">
        <f t="shared" si="338"/>
        <v>0.1</v>
      </c>
      <c r="AF349" s="241" t="e">
        <f t="shared" ca="1" si="339"/>
        <v>#REF!</v>
      </c>
      <c r="AG349" s="243" t="e">
        <f ca="1">IF(AND(INDEX(FlowCalConstA,MATCH(AD345,FlowCalNumber,0),1,1)*AF349^INDEX(FlowCalConstB,MATCH(AD345,FlowCalNumber,0),1,1)&gt;INDEX(FlowCalLowSetting,MATCH(AD345,FlowCalNumber,0),1,1), (INDEX(FlowCalConstA,MATCH(AD345,FlowCalNumber,0),1,1)*AF349^INDEX(FlowCalConstB,MATCH(AD345,FlowCalNumber,0),1,1)&lt;INDEX(FlowCalHighSetting,MATCH(AD345,FlowCalNumber,0),1,1))),INDEX(FlowCalConstA,MATCH(AD345,FlowCalNumber,0),1,1)*AF349^INDEX(FlowCalConstB,MATCH(AD345,FlowCalNumber,0),1,1)," ")</f>
        <v>#REF!</v>
      </c>
      <c r="AH349" s="33"/>
      <c r="AI349" s="242">
        <f t="shared" si="340"/>
        <v>0.9</v>
      </c>
      <c r="AJ349" s="241" t="e">
        <f t="shared" ca="1" si="341"/>
        <v>#REF!</v>
      </c>
      <c r="AK349" s="243" t="e">
        <f ca="1">IF(AND(INDEX(FlowCalConstA,MATCH(AH345,FlowCalNumber,0),1,1)*AJ349^INDEX(FlowCalConstB,MATCH(AH345,FlowCalNumber,0),1,1)&gt;INDEX(FlowCalLowSetting,MATCH(AH345,FlowCalNumber,0),1,1), (INDEX(FlowCalConstA,MATCH(AH345,FlowCalNumber,0),1,1)*AJ349^INDEX(FlowCalConstB,MATCH(AH345,FlowCalNumber,0),1,1)&lt;INDEX(FlowCalHighSetting,MATCH(AH345,FlowCalNumber,0),1,1))),INDEX(FlowCalConstA,MATCH(AH345,FlowCalNumber,0),1,1)*AJ349^INDEX(FlowCalConstB,MATCH(AH345,FlowCalNumber,0),1,1)," ")</f>
        <v>#REF!</v>
      </c>
      <c r="AL349" s="33"/>
      <c r="AM349" s="242"/>
      <c r="AN349" s="241"/>
      <c r="AO349" s="244"/>
      <c r="AQ349" s="242"/>
      <c r="AR349" s="241"/>
      <c r="AS349" s="244"/>
      <c r="AT349" s="33"/>
      <c r="AU349" s="242"/>
      <c r="AV349" s="241"/>
      <c r="AW349" s="244"/>
      <c r="AX349" s="33"/>
      <c r="AY349" s="242"/>
      <c r="AZ349" s="241"/>
      <c r="BA349" s="244"/>
      <c r="BB349" s="33"/>
      <c r="BC349" s="242"/>
      <c r="BD349" s="241"/>
      <c r="BE349" s="244"/>
      <c r="BF349" s="33"/>
      <c r="BG349" s="242"/>
      <c r="BH349" s="241"/>
      <c r="BI349" s="244"/>
      <c r="BJ349" s="33"/>
      <c r="BK349" s="242"/>
      <c r="BL349" s="241"/>
      <c r="BM349" s="244"/>
      <c r="BN349" s="33"/>
      <c r="BO349" s="242"/>
      <c r="BP349" s="241"/>
      <c r="BQ349" s="244"/>
      <c r="BR349" s="33"/>
      <c r="BS349" s="242"/>
      <c r="BT349" s="241"/>
      <c r="BU349" s="244"/>
      <c r="BV349" s="33"/>
      <c r="BW349" s="242"/>
      <c r="BX349" s="241"/>
      <c r="BY349" s="244"/>
      <c r="BZ349" s="33"/>
      <c r="CA349" s="242"/>
      <c r="CB349" s="241"/>
      <c r="CC349" s="244"/>
      <c r="CD349" s="243"/>
      <c r="CE349" s="243"/>
      <c r="CF349" s="243"/>
      <c r="CG349" s="243"/>
      <c r="CH349" s="243"/>
      <c r="CI349" s="243"/>
      <c r="CJ349" s="243"/>
      <c r="CK349" s="243"/>
      <c r="CL349" s="243"/>
      <c r="CM349" s="243"/>
      <c r="CN349" s="243"/>
      <c r="CO349" s="243"/>
      <c r="CP349" s="243"/>
      <c r="CQ349" s="243"/>
      <c r="CR349" s="243"/>
      <c r="CS349" s="243"/>
      <c r="CT349" s="243"/>
      <c r="CU349" s="243"/>
      <c r="CV349" s="243"/>
      <c r="CW349" s="243"/>
      <c r="CX349" s="243"/>
      <c r="CY349" s="243"/>
      <c r="CZ349" s="243"/>
      <c r="DA349" s="243"/>
      <c r="DB349" s="243"/>
      <c r="DC349" s="243"/>
      <c r="DD349" s="243"/>
      <c r="DE349" s="243"/>
      <c r="DF349" s="243"/>
      <c r="DG349" s="243"/>
      <c r="DH349" s="243"/>
      <c r="DI349" s="243"/>
      <c r="DJ349" s="243"/>
      <c r="DK349" s="243"/>
      <c r="DM349" s="242"/>
      <c r="DO349" s="243"/>
      <c r="DQ349" s="242"/>
      <c r="DS349" s="243"/>
      <c r="DU349" s="242"/>
      <c r="DW349" s="243"/>
      <c r="DY349" s="242"/>
      <c r="EA349" s="243"/>
    </row>
    <row r="350" spans="1:131">
      <c r="A350" s="20"/>
      <c r="B350" s="124" t="str">
        <f t="shared" si="326"/>
        <v/>
      </c>
      <c r="C350" s="235"/>
      <c r="D350" s="24">
        <f>'1% Wind'!$M$86</f>
        <v>15.5</v>
      </c>
      <c r="E350" s="90"/>
      <c r="F350" s="90"/>
      <c r="G350" s="79" t="e">
        <f ca="1">IF(I345=0.9743,$G349,MAX(G349/D349*D350,2))</f>
        <v>#REF!</v>
      </c>
      <c r="H350" s="121" t="e">
        <f t="shared" ca="1" si="327"/>
        <v>#REF!</v>
      </c>
      <c r="J350" s="33"/>
      <c r="K350" s="242">
        <f t="shared" si="328"/>
        <v>1</v>
      </c>
      <c r="L350" s="241" t="e">
        <f t="shared" ca="1" si="329"/>
        <v>#REF!</v>
      </c>
      <c r="M350" s="243" t="e">
        <f ca="1">IF(AND(INDEX(FlowCalConstA,MATCH(J345,FlowCalNumber,0),1,1)*L350^INDEX(FlowCalConstB,MATCH(J345,FlowCalNumber,0),1,1)&gt;INDEX(FlowCalLowSetting,MATCH(J345,FlowCalNumber,0),1,1), (INDEX(FlowCalConstA,MATCH(J345,FlowCalNumber,0),1,1)*L350^INDEX(FlowCalConstB,MATCH(J345,FlowCalNumber,0),1,1)&lt;INDEX(FlowCalHighSetting,MATCH(J345,FlowCalNumber,0),1,1))),INDEX(FlowCalConstA,MATCH(J345,FlowCalNumber,0),1,1)*L350^INDEX(FlowCalConstB,MATCH(J345,FlowCalNumber,0),1,1)," ")</f>
        <v>#REF!</v>
      </c>
      <c r="N350" s="33"/>
      <c r="O350" s="242">
        <f t="shared" si="330"/>
        <v>1</v>
      </c>
      <c r="P350" s="241" t="e">
        <f t="shared" ca="1" si="331"/>
        <v>#REF!</v>
      </c>
      <c r="Q350" s="243" t="e">
        <f ca="1">IF(AND(INDEX(FlowCalConstA,MATCH(N345,FlowCalNumber,0),1,1)*P350^INDEX(FlowCalConstB,MATCH(N345,FlowCalNumber,0),1,1)&gt;INDEX(FlowCalLowSetting,MATCH(N345,FlowCalNumber,0),1,1), (INDEX(FlowCalConstA,MATCH(N345,FlowCalNumber,0),1,1)*P350^INDEX(FlowCalConstB,MATCH(N345,FlowCalNumber,0),1,1)&lt;INDEX(FlowCalHighSetting,MATCH(N345,FlowCalNumber,0),1,1))),INDEX(FlowCalConstA,MATCH(N345,FlowCalNumber,0),1,1)*P350^INDEX(FlowCalConstB,MATCH(N345,FlowCalNumber,0),1,1)," ")</f>
        <v>#REF!</v>
      </c>
      <c r="R350" s="33"/>
      <c r="S350" s="242">
        <f t="shared" si="332"/>
        <v>1</v>
      </c>
      <c r="T350" s="241" t="e">
        <f t="shared" ca="1" si="333"/>
        <v>#REF!</v>
      </c>
      <c r="U350" s="244" t="e">
        <f ca="1">IF(AND(INDEX(FlowCalConstA,MATCH(R345,FlowCalNumber,0),1,1)*T350^INDEX(FlowCalConstB,MATCH(R345,FlowCalNumber,0),1,1)&gt;INDEX(FlowCalLowSetting,MATCH(R345,FlowCalNumber,0),1,1), (INDEX(FlowCalConstA,MATCH(R345,FlowCalNumber,0),1,1)*T350^INDEX(FlowCalConstB,MATCH(R345,FlowCalNumber,0),1,1)&lt;INDEX(FlowCalHighSetting,MATCH(R345,FlowCalNumber,0),1,1))),INDEX(FlowCalConstA,MATCH(R345,FlowCalNumber,0),1,1)*T350^INDEX(FlowCalConstB,MATCH(R345,FlowCalNumber,0),1,1)," ")</f>
        <v>#REF!</v>
      </c>
      <c r="V350" s="33"/>
      <c r="W350" s="242">
        <f t="shared" si="334"/>
        <v>0.1</v>
      </c>
      <c r="X350" s="241" t="e">
        <f t="shared" ca="1" si="335"/>
        <v>#REF!</v>
      </c>
      <c r="Y350" s="243" t="e">
        <f ca="1">IF(AND(INDEX(FlowCalConstA,MATCH(V345,FlowCalNumber,0),1,1)*X350^INDEX(FlowCalConstB,MATCH(V345,FlowCalNumber,0),1,1)&gt;INDEX(FlowCalLowSetting,MATCH(V345,FlowCalNumber,0),1,1), (INDEX(FlowCalConstA,MATCH(V345,FlowCalNumber,0),1,1)*X350^INDEX(FlowCalConstB,MATCH(V345,FlowCalNumber,0),1,1)&lt;INDEX(FlowCalHighSetting,MATCH(V345,FlowCalNumber,0),1,1))),INDEX(FlowCalConstA,MATCH(V345,FlowCalNumber,0),1,1)*X350^INDEX(FlowCalConstB,MATCH(V345,FlowCalNumber,0),1,1)," ")</f>
        <v>#REF!</v>
      </c>
      <c r="Z350" s="33"/>
      <c r="AA350" s="242">
        <f t="shared" si="336"/>
        <v>0.9</v>
      </c>
      <c r="AB350" s="241" t="e">
        <f t="shared" ca="1" si="337"/>
        <v>#REF!</v>
      </c>
      <c r="AC350" s="243" t="e">
        <f ca="1">IF(AND(INDEX(FlowCalConstA,MATCH(Z345,FlowCalNumber,0),1,1)*AB350^INDEX(FlowCalConstB,MATCH(Z345,FlowCalNumber,0),1,1)&gt;INDEX(FlowCalLowSetting,MATCH(Z345,FlowCalNumber,0),1,1), (INDEX(FlowCalConstA,MATCH(Z345,FlowCalNumber,0),1,1)*AB350^INDEX(FlowCalConstB,MATCH(Z345,FlowCalNumber,0),1,1)&lt;INDEX(FlowCalHighSetting,MATCH(Z345,FlowCalNumber,0),1,1))),INDEX(FlowCalConstA,MATCH(Z345,FlowCalNumber,0),1,1)*AB350^INDEX(FlowCalConstB,MATCH(Z345,FlowCalNumber,0),1,1)," ")</f>
        <v>#REF!</v>
      </c>
      <c r="AD350" s="33"/>
      <c r="AE350" s="242">
        <f t="shared" si="338"/>
        <v>0.1</v>
      </c>
      <c r="AF350" s="241" t="e">
        <f t="shared" ca="1" si="339"/>
        <v>#REF!</v>
      </c>
      <c r="AG350" s="243" t="e">
        <f ca="1">IF(AND(INDEX(FlowCalConstA,MATCH(AD345,FlowCalNumber,0),1,1)*AF350^INDEX(FlowCalConstB,MATCH(AD345,FlowCalNumber,0),1,1)&gt;INDEX(FlowCalLowSetting,MATCH(AD345,FlowCalNumber,0),1,1), (INDEX(FlowCalConstA,MATCH(AD345,FlowCalNumber,0),1,1)*AF350^INDEX(FlowCalConstB,MATCH(AD345,FlowCalNumber,0),1,1)&lt;INDEX(FlowCalHighSetting,MATCH(AD345,FlowCalNumber,0),1,1))),INDEX(FlowCalConstA,MATCH(AD345,FlowCalNumber,0),1,1)*AF350^INDEX(FlowCalConstB,MATCH(AD345,FlowCalNumber,0),1,1)," ")</f>
        <v>#REF!</v>
      </c>
      <c r="AH350" s="33"/>
      <c r="AI350" s="242">
        <f t="shared" si="340"/>
        <v>0.9</v>
      </c>
      <c r="AJ350" s="241" t="e">
        <f t="shared" ca="1" si="341"/>
        <v>#REF!</v>
      </c>
      <c r="AK350" s="243" t="e">
        <f ca="1">IF(AND(INDEX(FlowCalConstA,MATCH(AH345,FlowCalNumber,0),1,1)*AJ350^INDEX(FlowCalConstB,MATCH(AH345,FlowCalNumber,0),1,1)&gt;INDEX(FlowCalLowSetting,MATCH(AH345,FlowCalNumber,0),1,1), (INDEX(FlowCalConstA,MATCH(AH345,FlowCalNumber,0),1,1)*AJ350^INDEX(FlowCalConstB,MATCH(AH345,FlowCalNumber,0),1,1)&lt;INDEX(FlowCalHighSetting,MATCH(AH345,FlowCalNumber,0),1,1))),INDEX(FlowCalConstA,MATCH(AH345,FlowCalNumber,0),1,1)*AJ350^INDEX(FlowCalConstB,MATCH(AH345,FlowCalNumber,0),1,1)," ")</f>
        <v>#REF!</v>
      </c>
      <c r="AL350" s="33"/>
      <c r="AM350" s="242"/>
      <c r="AN350" s="241"/>
      <c r="AO350" s="244"/>
      <c r="AQ350" s="242"/>
      <c r="AR350" s="241"/>
      <c r="AS350" s="244"/>
      <c r="AT350" s="33"/>
      <c r="AU350" s="242"/>
      <c r="AV350" s="241"/>
      <c r="AW350" s="244"/>
      <c r="AX350" s="33"/>
      <c r="AY350" s="242"/>
      <c r="AZ350" s="241"/>
      <c r="BA350" s="244"/>
      <c r="BB350" s="33"/>
      <c r="BC350" s="242"/>
      <c r="BD350" s="241"/>
      <c r="BE350" s="244"/>
      <c r="BF350" s="33"/>
      <c r="BG350" s="242"/>
      <c r="BH350" s="241"/>
      <c r="BI350" s="244"/>
      <c r="BJ350" s="33"/>
      <c r="BK350" s="242"/>
      <c r="BL350" s="241"/>
      <c r="BM350" s="244"/>
      <c r="BN350" s="33"/>
      <c r="BO350" s="242"/>
      <c r="BP350" s="241"/>
      <c r="BQ350" s="244"/>
      <c r="BR350" s="33"/>
      <c r="BS350" s="242"/>
      <c r="BT350" s="241"/>
      <c r="BU350" s="244"/>
      <c r="BV350" s="33"/>
      <c r="BW350" s="242"/>
      <c r="BX350" s="241"/>
      <c r="BY350" s="244"/>
      <c r="BZ350" s="33"/>
      <c r="CA350" s="242"/>
      <c r="CB350" s="241"/>
      <c r="CC350" s="244"/>
      <c r="CD350" s="243"/>
      <c r="CE350" s="243"/>
      <c r="CF350" s="243"/>
      <c r="CG350" s="243"/>
      <c r="CH350" s="243"/>
      <c r="CI350" s="243"/>
      <c r="CJ350" s="243"/>
      <c r="CK350" s="243"/>
      <c r="CL350" s="243"/>
      <c r="CM350" s="243"/>
      <c r="CN350" s="243"/>
      <c r="CO350" s="243"/>
      <c r="CP350" s="243"/>
      <c r="CQ350" s="243"/>
      <c r="CR350" s="243"/>
      <c r="CS350" s="243"/>
      <c r="CT350" s="243"/>
      <c r="CU350" s="243"/>
      <c r="CV350" s="243"/>
      <c r="CW350" s="243"/>
      <c r="CX350" s="243"/>
      <c r="CY350" s="243"/>
      <c r="CZ350" s="243"/>
      <c r="DA350" s="243"/>
      <c r="DB350" s="243"/>
      <c r="DC350" s="243"/>
      <c r="DD350" s="243"/>
      <c r="DE350" s="243"/>
      <c r="DF350" s="243"/>
      <c r="DG350" s="243"/>
      <c r="DH350" s="243"/>
      <c r="DI350" s="243"/>
      <c r="DJ350" s="243"/>
      <c r="DK350" s="243"/>
      <c r="DM350" s="242"/>
      <c r="DO350" s="243"/>
      <c r="DQ350" s="242"/>
      <c r="DS350" s="243"/>
      <c r="DU350" s="242"/>
      <c r="DW350" s="243"/>
      <c r="DY350" s="242"/>
      <c r="EA350" s="243"/>
    </row>
    <row r="351" spans="1:131">
      <c r="A351" s="20"/>
      <c r="B351" s="124" t="str">
        <f t="shared" si="326"/>
        <v/>
      </c>
      <c r="C351" s="235"/>
      <c r="D351" s="24">
        <f>'1% Wind'!$M$87</f>
        <v>13.5</v>
      </c>
      <c r="E351" s="90"/>
      <c r="F351" s="90"/>
      <c r="G351" s="79" t="e">
        <f ca="1">IF(I345=0.9743,$G350,MAX(G350/D350*D351,2))</f>
        <v>#REF!</v>
      </c>
      <c r="H351" s="121" t="e">
        <f t="shared" ca="1" si="327"/>
        <v>#REF!</v>
      </c>
      <c r="J351" s="33"/>
      <c r="K351" s="242">
        <f t="shared" si="328"/>
        <v>1</v>
      </c>
      <c r="L351" s="241" t="e">
        <f t="shared" ca="1" si="329"/>
        <v>#REF!</v>
      </c>
      <c r="M351" s="243" t="e">
        <f ca="1">IF(AND(INDEX(FlowCalConstA,MATCH(J345,FlowCalNumber,0),1,1)*L351^INDEX(FlowCalConstB,MATCH(J345,FlowCalNumber,0),1,1)&gt;INDEX(FlowCalLowSetting,MATCH(J345,FlowCalNumber,0),1,1), (INDEX(FlowCalConstA,MATCH(J345,FlowCalNumber,0),1,1)*L351^INDEX(FlowCalConstB,MATCH(J345,FlowCalNumber,0),1,1)&lt;INDEX(FlowCalHighSetting,MATCH(J345,FlowCalNumber,0),1,1))),INDEX(FlowCalConstA,MATCH(J345,FlowCalNumber,0),1,1)*L351^INDEX(FlowCalConstB,MATCH(J345,FlowCalNumber,0),1,1)," ")</f>
        <v>#REF!</v>
      </c>
      <c r="N351" s="33"/>
      <c r="O351" s="242">
        <f t="shared" si="330"/>
        <v>1</v>
      </c>
      <c r="P351" s="241" t="e">
        <f t="shared" ca="1" si="331"/>
        <v>#REF!</v>
      </c>
      <c r="Q351" s="243" t="e">
        <f ca="1">IF(AND(INDEX(FlowCalConstA,MATCH(N345,FlowCalNumber,0),1,1)*P351^INDEX(FlowCalConstB,MATCH(N345,FlowCalNumber,0),1,1)&gt;INDEX(FlowCalLowSetting,MATCH(N345,FlowCalNumber,0),1,1), (INDEX(FlowCalConstA,MATCH(N345,FlowCalNumber,0),1,1)*P351^INDEX(FlowCalConstB,MATCH(N345,FlowCalNumber,0),1,1)&lt;INDEX(FlowCalHighSetting,MATCH(N345,FlowCalNumber,0),1,1))),INDEX(FlowCalConstA,MATCH(N345,FlowCalNumber,0),1,1)*P351^INDEX(FlowCalConstB,MATCH(N345,FlowCalNumber,0),1,1)," ")</f>
        <v>#REF!</v>
      </c>
      <c r="R351" s="33"/>
      <c r="S351" s="242">
        <f t="shared" si="332"/>
        <v>1</v>
      </c>
      <c r="T351" s="241" t="e">
        <f t="shared" ca="1" si="333"/>
        <v>#REF!</v>
      </c>
      <c r="U351" s="244" t="e">
        <f ca="1">IF(AND(INDEX(FlowCalConstA,MATCH(R345,FlowCalNumber,0),1,1)*T351^INDEX(FlowCalConstB,MATCH(R345,FlowCalNumber,0),1,1)&gt;INDEX(FlowCalLowSetting,MATCH(R345,FlowCalNumber,0),1,1), (INDEX(FlowCalConstA,MATCH(R345,FlowCalNumber,0),1,1)*T351^INDEX(FlowCalConstB,MATCH(R345,FlowCalNumber,0),1,1)&lt;INDEX(FlowCalHighSetting,MATCH(R345,FlowCalNumber,0),1,1))),INDEX(FlowCalConstA,MATCH(R345,FlowCalNumber,0),1,1)*T351^INDEX(FlowCalConstB,MATCH(R345,FlowCalNumber,0),1,1)," ")</f>
        <v>#REF!</v>
      </c>
      <c r="V351" s="33"/>
      <c r="W351" s="242">
        <f t="shared" si="334"/>
        <v>0.1</v>
      </c>
      <c r="X351" s="241" t="e">
        <f t="shared" ca="1" si="335"/>
        <v>#REF!</v>
      </c>
      <c r="Y351" s="243" t="e">
        <f ca="1">IF(AND(INDEX(FlowCalConstA,MATCH(V345,FlowCalNumber,0),1,1)*X351^INDEX(FlowCalConstB,MATCH(V345,FlowCalNumber,0),1,1)&gt;INDEX(FlowCalLowSetting,MATCH(V345,FlowCalNumber,0),1,1), (INDEX(FlowCalConstA,MATCH(V345,FlowCalNumber,0),1,1)*X351^INDEX(FlowCalConstB,MATCH(V345,FlowCalNumber,0),1,1)&lt;INDEX(FlowCalHighSetting,MATCH(V345,FlowCalNumber,0),1,1))),INDEX(FlowCalConstA,MATCH(V345,FlowCalNumber,0),1,1)*X351^INDEX(FlowCalConstB,MATCH(V345,FlowCalNumber,0),1,1)," ")</f>
        <v>#REF!</v>
      </c>
      <c r="Z351" s="33"/>
      <c r="AA351" s="242">
        <f t="shared" si="336"/>
        <v>0.9</v>
      </c>
      <c r="AB351" s="241" t="e">
        <f t="shared" ca="1" si="337"/>
        <v>#REF!</v>
      </c>
      <c r="AC351" s="243" t="e">
        <f ca="1">IF(AND(INDEX(FlowCalConstA,MATCH(Z345,FlowCalNumber,0),1,1)*AB351^INDEX(FlowCalConstB,MATCH(Z345,FlowCalNumber,0),1,1)&gt;INDEX(FlowCalLowSetting,MATCH(Z345,FlowCalNumber,0),1,1), (INDEX(FlowCalConstA,MATCH(Z345,FlowCalNumber,0),1,1)*AB351^INDEX(FlowCalConstB,MATCH(Z345,FlowCalNumber,0),1,1)&lt;INDEX(FlowCalHighSetting,MATCH(Z345,FlowCalNumber,0),1,1))),INDEX(FlowCalConstA,MATCH(Z345,FlowCalNumber,0),1,1)*AB351^INDEX(FlowCalConstB,MATCH(Z345,FlowCalNumber,0),1,1)," ")</f>
        <v>#REF!</v>
      </c>
      <c r="AD351" s="33"/>
      <c r="AE351" s="242">
        <f t="shared" si="338"/>
        <v>0.1</v>
      </c>
      <c r="AF351" s="241" t="e">
        <f t="shared" ca="1" si="339"/>
        <v>#REF!</v>
      </c>
      <c r="AG351" s="243" t="e">
        <f ca="1">IF(AND(INDEX(FlowCalConstA,MATCH(AD345,FlowCalNumber,0),1,1)*AF351^INDEX(FlowCalConstB,MATCH(AD345,FlowCalNumber,0),1,1)&gt;INDEX(FlowCalLowSetting,MATCH(AD345,FlowCalNumber,0),1,1), (INDEX(FlowCalConstA,MATCH(AD345,FlowCalNumber,0),1,1)*AF351^INDEX(FlowCalConstB,MATCH(AD345,FlowCalNumber,0),1,1)&lt;INDEX(FlowCalHighSetting,MATCH(AD345,FlowCalNumber,0),1,1))),INDEX(FlowCalConstA,MATCH(AD345,FlowCalNumber,0),1,1)*AF351^INDEX(FlowCalConstB,MATCH(AD345,FlowCalNumber,0),1,1)," ")</f>
        <v>#REF!</v>
      </c>
      <c r="AH351" s="33"/>
      <c r="AI351" s="242">
        <f t="shared" si="340"/>
        <v>0.9</v>
      </c>
      <c r="AJ351" s="241" t="e">
        <f t="shared" ca="1" si="341"/>
        <v>#REF!</v>
      </c>
      <c r="AK351" s="243" t="e">
        <f ca="1">IF(AND(INDEX(FlowCalConstA,MATCH(AH345,FlowCalNumber,0),1,1)*AJ351^INDEX(FlowCalConstB,MATCH(AH345,FlowCalNumber,0),1,1)&gt;INDEX(FlowCalLowSetting,MATCH(AH345,FlowCalNumber,0),1,1), (INDEX(FlowCalConstA,MATCH(AH345,FlowCalNumber,0),1,1)*AJ351^INDEX(FlowCalConstB,MATCH(AH345,FlowCalNumber,0),1,1)&lt;INDEX(FlowCalHighSetting,MATCH(AH345,FlowCalNumber,0),1,1))),INDEX(FlowCalConstA,MATCH(AH345,FlowCalNumber,0),1,1)*AJ351^INDEX(FlowCalConstB,MATCH(AH345,FlowCalNumber,0),1,1)," ")</f>
        <v>#REF!</v>
      </c>
      <c r="AL351" s="33"/>
      <c r="AM351" s="242"/>
      <c r="AN351" s="241"/>
      <c r="AO351" s="244"/>
      <c r="AQ351" s="242"/>
      <c r="AR351" s="241"/>
      <c r="AS351" s="244"/>
      <c r="AT351" s="33"/>
      <c r="AU351" s="242"/>
      <c r="AV351" s="241"/>
      <c r="AW351" s="244"/>
      <c r="AX351" s="33"/>
      <c r="AY351" s="242"/>
      <c r="AZ351" s="241"/>
      <c r="BA351" s="244"/>
      <c r="BB351" s="33"/>
      <c r="BC351" s="242"/>
      <c r="BD351" s="241"/>
      <c r="BE351" s="244"/>
      <c r="BF351" s="33"/>
      <c r="BG351" s="242"/>
      <c r="BH351" s="241"/>
      <c r="BI351" s="244"/>
      <c r="BJ351" s="33"/>
      <c r="BK351" s="242"/>
      <c r="BL351" s="241"/>
      <c r="BM351" s="244"/>
      <c r="BN351" s="33"/>
      <c r="BO351" s="242"/>
      <c r="BP351" s="241"/>
      <c r="BQ351" s="244"/>
      <c r="BR351" s="33"/>
      <c r="BS351" s="242"/>
      <c r="BT351" s="241"/>
      <c r="BU351" s="244"/>
      <c r="BV351" s="33"/>
      <c r="BW351" s="242"/>
      <c r="BX351" s="241"/>
      <c r="BY351" s="244"/>
      <c r="BZ351" s="33"/>
      <c r="CA351" s="242"/>
      <c r="CB351" s="241"/>
      <c r="CC351" s="244"/>
      <c r="CD351" s="243"/>
      <c r="CE351" s="243"/>
      <c r="CF351" s="243"/>
      <c r="CG351" s="243"/>
      <c r="CH351" s="243"/>
      <c r="CI351" s="243"/>
      <c r="CJ351" s="243"/>
      <c r="CK351" s="243"/>
      <c r="CL351" s="243"/>
      <c r="CM351" s="243"/>
      <c r="CN351" s="243"/>
      <c r="CO351" s="243"/>
      <c r="CP351" s="243"/>
      <c r="CQ351" s="243"/>
      <c r="CR351" s="243"/>
      <c r="CS351" s="243"/>
      <c r="CT351" s="243"/>
      <c r="CU351" s="243"/>
      <c r="CV351" s="243"/>
      <c r="CW351" s="243"/>
      <c r="CX351" s="243"/>
      <c r="CY351" s="243"/>
      <c r="CZ351" s="243"/>
      <c r="DA351" s="243"/>
      <c r="DB351" s="243"/>
      <c r="DC351" s="243"/>
      <c r="DD351" s="243"/>
      <c r="DE351" s="243"/>
      <c r="DF351" s="243"/>
      <c r="DG351" s="243"/>
      <c r="DH351" s="243"/>
      <c r="DI351" s="243"/>
      <c r="DJ351" s="243"/>
      <c r="DK351" s="243"/>
      <c r="DM351" s="242"/>
      <c r="DO351" s="243"/>
      <c r="DQ351" s="242"/>
      <c r="DS351" s="243"/>
      <c r="DU351" s="242"/>
      <c r="DW351" s="243"/>
      <c r="DY351" s="242"/>
      <c r="EA351" s="243"/>
    </row>
    <row r="352" spans="1:131">
      <c r="A352" s="20"/>
      <c r="B352" s="124" t="str">
        <f t="shared" si="326"/>
        <v/>
      </c>
      <c r="C352" s="235"/>
      <c r="D352" s="24">
        <f>'1% Wind'!$M$88</f>
        <v>10.1</v>
      </c>
      <c r="E352" s="90"/>
      <c r="F352" s="90"/>
      <c r="G352" s="79" t="e">
        <f ca="1">IF(I345=0.9743,$G351,MAX(G351/D351*D352,2))</f>
        <v>#REF!</v>
      </c>
      <c r="H352" s="121" t="e">
        <f t="shared" ca="1" si="327"/>
        <v>#REF!</v>
      </c>
      <c r="J352" s="33"/>
      <c r="K352" s="242">
        <f t="shared" si="328"/>
        <v>1</v>
      </c>
      <c r="L352" s="241" t="e">
        <f t="shared" ca="1" si="329"/>
        <v>#REF!</v>
      </c>
      <c r="M352" s="243" t="e">
        <f ca="1">IF(AND(INDEX(FlowCalConstA,MATCH(J345,FlowCalNumber,0),1,1)*L352^INDEX(FlowCalConstB,MATCH(J345,FlowCalNumber,0),1,1)&gt;INDEX(FlowCalLowSetting,MATCH(J345,FlowCalNumber,0),1,1), (INDEX(FlowCalConstA,MATCH(J345,FlowCalNumber,0),1,1)*L352^INDEX(FlowCalConstB,MATCH(J345,FlowCalNumber,0),1,1)&lt;INDEX(FlowCalHighSetting,MATCH(J345,FlowCalNumber,0),1,1))),INDEX(FlowCalConstA,MATCH(J345,FlowCalNumber,0),1,1)*L352^INDEX(FlowCalConstB,MATCH(J345,FlowCalNumber,0),1,1)," ")</f>
        <v>#REF!</v>
      </c>
      <c r="N352" s="33"/>
      <c r="O352" s="242">
        <f t="shared" si="330"/>
        <v>1</v>
      </c>
      <c r="P352" s="241" t="e">
        <f t="shared" ca="1" si="331"/>
        <v>#REF!</v>
      </c>
      <c r="Q352" s="243" t="e">
        <f ca="1">IF(AND(INDEX(FlowCalConstA,MATCH(N345,FlowCalNumber,0),1,1)*P352^INDEX(FlowCalConstB,MATCH(N345,FlowCalNumber,0),1,1)&gt;INDEX(FlowCalLowSetting,MATCH(N345,FlowCalNumber,0),1,1), (INDEX(FlowCalConstA,MATCH(N345,FlowCalNumber,0),1,1)*P352^INDEX(FlowCalConstB,MATCH(N345,FlowCalNumber,0),1,1)&lt;INDEX(FlowCalHighSetting,MATCH(N345,FlowCalNumber,0),1,1))),INDEX(FlowCalConstA,MATCH(N345,FlowCalNumber,0),1,1)*P352^INDEX(FlowCalConstB,MATCH(N345,FlowCalNumber,0),1,1)," ")</f>
        <v>#REF!</v>
      </c>
      <c r="R352" s="33"/>
      <c r="S352" s="242">
        <f t="shared" si="332"/>
        <v>1</v>
      </c>
      <c r="T352" s="241" t="e">
        <f t="shared" ca="1" si="333"/>
        <v>#REF!</v>
      </c>
      <c r="U352" s="244" t="e">
        <f ca="1">IF(AND(INDEX(FlowCalConstA,MATCH(R345,FlowCalNumber,0),1,1)*T352^INDEX(FlowCalConstB,MATCH(R345,FlowCalNumber,0),1,1)&gt;INDEX(FlowCalLowSetting,MATCH(R345,FlowCalNumber,0),1,1), (INDEX(FlowCalConstA,MATCH(R345,FlowCalNumber,0),1,1)*T352^INDEX(FlowCalConstB,MATCH(R345,FlowCalNumber,0),1,1)&lt;INDEX(FlowCalHighSetting,MATCH(R345,FlowCalNumber,0),1,1))),INDEX(FlowCalConstA,MATCH(R345,FlowCalNumber,0),1,1)*T352^INDEX(FlowCalConstB,MATCH(R345,FlowCalNumber,0),1,1)," ")</f>
        <v>#REF!</v>
      </c>
      <c r="V352" s="33"/>
      <c r="W352" s="242">
        <f t="shared" si="334"/>
        <v>0.1</v>
      </c>
      <c r="X352" s="241" t="e">
        <f t="shared" ca="1" si="335"/>
        <v>#REF!</v>
      </c>
      <c r="Y352" s="243" t="e">
        <f ca="1">IF(AND(INDEX(FlowCalConstA,MATCH(V345,FlowCalNumber,0),1,1)*X352^INDEX(FlowCalConstB,MATCH(V345,FlowCalNumber,0),1,1)&gt;INDEX(FlowCalLowSetting,MATCH(V345,FlowCalNumber,0),1,1), (INDEX(FlowCalConstA,MATCH(V345,FlowCalNumber,0),1,1)*X352^INDEX(FlowCalConstB,MATCH(V345,FlowCalNumber,0),1,1)&lt;INDEX(FlowCalHighSetting,MATCH(V345,FlowCalNumber,0),1,1))),INDEX(FlowCalConstA,MATCH(V345,FlowCalNumber,0),1,1)*X352^INDEX(FlowCalConstB,MATCH(V345,FlowCalNumber,0),1,1)," ")</f>
        <v>#REF!</v>
      </c>
      <c r="Z352" s="33"/>
      <c r="AA352" s="242">
        <f t="shared" si="336"/>
        <v>0.9</v>
      </c>
      <c r="AB352" s="241" t="e">
        <f t="shared" ca="1" si="337"/>
        <v>#REF!</v>
      </c>
      <c r="AC352" s="243" t="e">
        <f ca="1">IF(AND(INDEX(FlowCalConstA,MATCH(Z345,FlowCalNumber,0),1,1)*AB352^INDEX(FlowCalConstB,MATCH(Z345,FlowCalNumber,0),1,1)&gt;INDEX(FlowCalLowSetting,MATCH(Z345,FlowCalNumber,0),1,1), (INDEX(FlowCalConstA,MATCH(Z345,FlowCalNumber,0),1,1)*AB352^INDEX(FlowCalConstB,MATCH(Z345,FlowCalNumber,0),1,1)&lt;INDEX(FlowCalHighSetting,MATCH(Z345,FlowCalNumber,0),1,1))),INDEX(FlowCalConstA,MATCH(Z345,FlowCalNumber,0),1,1)*AB352^INDEX(FlowCalConstB,MATCH(Z345,FlowCalNumber,0),1,1)," ")</f>
        <v>#REF!</v>
      </c>
      <c r="AD352" s="33"/>
      <c r="AE352" s="242">
        <f t="shared" si="338"/>
        <v>0.1</v>
      </c>
      <c r="AF352" s="241" t="e">
        <f t="shared" ca="1" si="339"/>
        <v>#REF!</v>
      </c>
      <c r="AG352" s="243" t="e">
        <f ca="1">IF(AND(INDEX(FlowCalConstA,MATCH(AD345,FlowCalNumber,0),1,1)*AF352^INDEX(FlowCalConstB,MATCH(AD345,FlowCalNumber,0),1,1)&gt;INDEX(FlowCalLowSetting,MATCH(AD345,FlowCalNumber,0),1,1), (INDEX(FlowCalConstA,MATCH(AD345,FlowCalNumber,0),1,1)*AF352^INDEX(FlowCalConstB,MATCH(AD345,FlowCalNumber,0),1,1)&lt;INDEX(FlowCalHighSetting,MATCH(AD345,FlowCalNumber,0),1,1))),INDEX(FlowCalConstA,MATCH(AD345,FlowCalNumber,0),1,1)*AF352^INDEX(FlowCalConstB,MATCH(AD345,FlowCalNumber,0),1,1)," ")</f>
        <v>#REF!</v>
      </c>
      <c r="AH352" s="33"/>
      <c r="AI352" s="242">
        <f t="shared" si="340"/>
        <v>0.9</v>
      </c>
      <c r="AJ352" s="241" t="e">
        <f t="shared" ca="1" si="341"/>
        <v>#REF!</v>
      </c>
      <c r="AK352" s="243" t="e">
        <f ca="1">IF(AND(INDEX(FlowCalConstA,MATCH(AH345,FlowCalNumber,0),1,1)*AJ352^INDEX(FlowCalConstB,MATCH(AH345,FlowCalNumber,0),1,1)&gt;INDEX(FlowCalLowSetting,MATCH(AH345,FlowCalNumber,0),1,1), (INDEX(FlowCalConstA,MATCH(AH345,FlowCalNumber,0),1,1)*AJ352^INDEX(FlowCalConstB,MATCH(AH345,FlowCalNumber,0),1,1)&lt;INDEX(FlowCalHighSetting,MATCH(AH345,FlowCalNumber,0),1,1))),INDEX(FlowCalConstA,MATCH(AH345,FlowCalNumber,0),1,1)*AJ352^INDEX(FlowCalConstB,MATCH(AH345,FlowCalNumber,0),1,1)," ")</f>
        <v>#REF!</v>
      </c>
      <c r="AL352" s="33"/>
      <c r="AM352" s="242"/>
      <c r="AN352" s="241"/>
      <c r="AO352" s="244"/>
      <c r="AQ352" s="242"/>
      <c r="AR352" s="241"/>
      <c r="AS352" s="244"/>
      <c r="AT352" s="33"/>
      <c r="AU352" s="242"/>
      <c r="AV352" s="241"/>
      <c r="AW352" s="244"/>
      <c r="AX352" s="33"/>
      <c r="AY352" s="242"/>
      <c r="AZ352" s="241"/>
      <c r="BA352" s="244"/>
      <c r="BB352" s="33"/>
      <c r="BC352" s="242"/>
      <c r="BD352" s="241"/>
      <c r="BE352" s="244"/>
      <c r="BF352" s="33"/>
      <c r="BG352" s="242"/>
      <c r="BH352" s="241"/>
      <c r="BI352" s="244"/>
      <c r="BJ352" s="33"/>
      <c r="BK352" s="242"/>
      <c r="BL352" s="241"/>
      <c r="BM352" s="244"/>
      <c r="BN352" s="33"/>
      <c r="BO352" s="242"/>
      <c r="BP352" s="241"/>
      <c r="BQ352" s="244"/>
      <c r="BR352" s="33"/>
      <c r="BS352" s="242"/>
      <c r="BT352" s="241"/>
      <c r="BU352" s="244"/>
      <c r="BV352" s="33"/>
      <c r="BW352" s="242"/>
      <c r="BX352" s="241"/>
      <c r="BY352" s="244"/>
      <c r="BZ352" s="33"/>
      <c r="CA352" s="242"/>
      <c r="CB352" s="241"/>
      <c r="CC352" s="244"/>
      <c r="CD352" s="243"/>
      <c r="CE352" s="243"/>
      <c r="CF352" s="243"/>
      <c r="CG352" s="243"/>
      <c r="CH352" s="243"/>
      <c r="CI352" s="243"/>
      <c r="CJ352" s="243"/>
      <c r="CK352" s="243"/>
      <c r="CL352" s="243"/>
      <c r="CM352" s="243"/>
      <c r="CN352" s="243"/>
      <c r="CO352" s="243"/>
      <c r="CP352" s="243"/>
      <c r="CQ352" s="243"/>
      <c r="CR352" s="243"/>
      <c r="CS352" s="243"/>
      <c r="CT352" s="243"/>
      <c r="CU352" s="243"/>
      <c r="CV352" s="243"/>
      <c r="CW352" s="243"/>
      <c r="CX352" s="243"/>
      <c r="CY352" s="243"/>
      <c r="CZ352" s="243"/>
      <c r="DA352" s="243"/>
      <c r="DB352" s="243"/>
      <c r="DC352" s="243"/>
      <c r="DD352" s="243"/>
      <c r="DE352" s="243"/>
      <c r="DF352" s="243"/>
      <c r="DG352" s="243"/>
      <c r="DH352" s="243"/>
      <c r="DI352" s="243"/>
      <c r="DJ352" s="243"/>
      <c r="DK352" s="243"/>
      <c r="DM352" s="242"/>
      <c r="DO352" s="243"/>
      <c r="DQ352" s="242"/>
      <c r="DS352" s="243"/>
      <c r="DU352" s="242"/>
      <c r="DW352" s="243"/>
      <c r="DY352" s="242"/>
      <c r="EA352" s="243"/>
    </row>
    <row r="353" spans="1:131">
      <c r="A353" s="20"/>
      <c r="B353" s="124" t="str">
        <f t="shared" si="326"/>
        <v/>
      </c>
      <c r="C353" s="235"/>
      <c r="D353" s="24">
        <f>'1% Wind'!$M$89</f>
        <v>7.6</v>
      </c>
      <c r="E353" s="90"/>
      <c r="F353" s="90"/>
      <c r="G353" s="79" t="e">
        <f ca="1">IF(I345=0.9743,$G352,MAX(G352/D352*D353,2))</f>
        <v>#REF!</v>
      </c>
      <c r="H353" s="121" t="e">
        <f t="shared" ca="1" si="327"/>
        <v>#REF!</v>
      </c>
      <c r="J353" s="33"/>
      <c r="K353" s="242">
        <f t="shared" si="328"/>
        <v>1</v>
      </c>
      <c r="L353" s="241" t="e">
        <f t="shared" ca="1" si="329"/>
        <v>#REF!</v>
      </c>
      <c r="M353" s="243" t="e">
        <f ca="1">IF(AND(INDEX(FlowCalConstA,MATCH(J345,FlowCalNumber,0),1,1)*L353^INDEX(FlowCalConstB,MATCH(J345,FlowCalNumber,0),1,1)&gt;INDEX(FlowCalLowSetting,MATCH(J345,FlowCalNumber,0),1,1), (INDEX(FlowCalConstA,MATCH(J345,FlowCalNumber,0),1,1)*L353^INDEX(FlowCalConstB,MATCH(J345,FlowCalNumber,0),1,1)&lt;INDEX(FlowCalHighSetting,MATCH(J345,FlowCalNumber,0),1,1))),INDEX(FlowCalConstA,MATCH(J345,FlowCalNumber,0),1,1)*L353^INDEX(FlowCalConstB,MATCH(J345,FlowCalNumber,0),1,1)," ")</f>
        <v>#REF!</v>
      </c>
      <c r="N353" s="33"/>
      <c r="O353" s="242">
        <f t="shared" si="330"/>
        <v>1</v>
      </c>
      <c r="P353" s="241" t="e">
        <f t="shared" ca="1" si="331"/>
        <v>#REF!</v>
      </c>
      <c r="Q353" s="243" t="e">
        <f ca="1">IF(AND(INDEX(FlowCalConstA,MATCH(N345,FlowCalNumber,0),1,1)*P353^INDEX(FlowCalConstB,MATCH(N345,FlowCalNumber,0),1,1)&gt;INDEX(FlowCalLowSetting,MATCH(N345,FlowCalNumber,0),1,1), (INDEX(FlowCalConstA,MATCH(N345,FlowCalNumber,0),1,1)*P353^INDEX(FlowCalConstB,MATCH(N345,FlowCalNumber,0),1,1)&lt;INDEX(FlowCalHighSetting,MATCH(N345,FlowCalNumber,0),1,1))),INDEX(FlowCalConstA,MATCH(N345,FlowCalNumber,0),1,1)*P353^INDEX(FlowCalConstB,MATCH(N345,FlowCalNumber,0),1,1)," ")</f>
        <v>#REF!</v>
      </c>
      <c r="R353" s="33"/>
      <c r="S353" s="242">
        <f t="shared" si="332"/>
        <v>1</v>
      </c>
      <c r="T353" s="241" t="e">
        <f t="shared" ca="1" si="333"/>
        <v>#REF!</v>
      </c>
      <c r="U353" s="244" t="e">
        <f ca="1">IF(AND(INDEX(FlowCalConstA,MATCH(R345,FlowCalNumber,0),1,1)*T353^INDEX(FlowCalConstB,MATCH(R345,FlowCalNumber,0),1,1)&gt;INDEX(FlowCalLowSetting,MATCH(R345,FlowCalNumber,0),1,1), (INDEX(FlowCalConstA,MATCH(R345,FlowCalNumber,0),1,1)*T353^INDEX(FlowCalConstB,MATCH(R345,FlowCalNumber,0),1,1)&lt;INDEX(FlowCalHighSetting,MATCH(R345,FlowCalNumber,0),1,1))),INDEX(FlowCalConstA,MATCH(R345,FlowCalNumber,0),1,1)*T353^INDEX(FlowCalConstB,MATCH(R345,FlowCalNumber,0),1,1)," ")</f>
        <v>#REF!</v>
      </c>
      <c r="V353" s="33"/>
      <c r="W353" s="242">
        <f t="shared" si="334"/>
        <v>0.1</v>
      </c>
      <c r="X353" s="241" t="e">
        <f t="shared" ca="1" si="335"/>
        <v>#REF!</v>
      </c>
      <c r="Y353" s="243" t="e">
        <f ca="1">IF(AND(INDEX(FlowCalConstA,MATCH(V345,FlowCalNumber,0),1,1)*X353^INDEX(FlowCalConstB,MATCH(V345,FlowCalNumber,0),1,1)&gt;INDEX(FlowCalLowSetting,MATCH(V345,FlowCalNumber,0),1,1), (INDEX(FlowCalConstA,MATCH(V345,FlowCalNumber,0),1,1)*X353^INDEX(FlowCalConstB,MATCH(V345,FlowCalNumber,0),1,1)&lt;INDEX(FlowCalHighSetting,MATCH(V345,FlowCalNumber,0),1,1))),INDEX(FlowCalConstA,MATCH(V345,FlowCalNumber,0),1,1)*X353^INDEX(FlowCalConstB,MATCH(V345,FlowCalNumber,0),1,1)," ")</f>
        <v>#REF!</v>
      </c>
      <c r="Z353" s="33"/>
      <c r="AA353" s="242">
        <f t="shared" si="336"/>
        <v>0.9</v>
      </c>
      <c r="AB353" s="241" t="e">
        <f t="shared" ca="1" si="337"/>
        <v>#REF!</v>
      </c>
      <c r="AC353" s="243" t="e">
        <f ca="1">IF(AND(INDEX(FlowCalConstA,MATCH(Z345,FlowCalNumber,0),1,1)*AB353^INDEX(FlowCalConstB,MATCH(Z345,FlowCalNumber,0),1,1)&gt;INDEX(FlowCalLowSetting,MATCH(Z345,FlowCalNumber,0),1,1), (INDEX(FlowCalConstA,MATCH(Z345,FlowCalNumber,0),1,1)*AB353^INDEX(FlowCalConstB,MATCH(Z345,FlowCalNumber,0),1,1)&lt;INDEX(FlowCalHighSetting,MATCH(Z345,FlowCalNumber,0),1,1))),INDEX(FlowCalConstA,MATCH(Z345,FlowCalNumber,0),1,1)*AB353^INDEX(FlowCalConstB,MATCH(Z345,FlowCalNumber,0),1,1)," ")</f>
        <v>#REF!</v>
      </c>
      <c r="AD353" s="33"/>
      <c r="AE353" s="242">
        <f t="shared" si="338"/>
        <v>0.1</v>
      </c>
      <c r="AF353" s="241" t="e">
        <f t="shared" ca="1" si="339"/>
        <v>#REF!</v>
      </c>
      <c r="AG353" s="243" t="e">
        <f ca="1">IF(AND(INDEX(FlowCalConstA,MATCH(AD345,FlowCalNumber,0),1,1)*AF353^INDEX(FlowCalConstB,MATCH(AD345,FlowCalNumber,0),1,1)&gt;INDEX(FlowCalLowSetting,MATCH(AD345,FlowCalNumber,0),1,1), (INDEX(FlowCalConstA,MATCH(AD345,FlowCalNumber,0),1,1)*AF353^INDEX(FlowCalConstB,MATCH(AD345,FlowCalNumber,0),1,1)&lt;INDEX(FlowCalHighSetting,MATCH(AD345,FlowCalNumber,0),1,1))),INDEX(FlowCalConstA,MATCH(AD345,FlowCalNumber,0),1,1)*AF353^INDEX(FlowCalConstB,MATCH(AD345,FlowCalNumber,0),1,1)," ")</f>
        <v>#REF!</v>
      </c>
      <c r="AH353" s="33"/>
      <c r="AI353" s="242">
        <f t="shared" si="340"/>
        <v>0.9</v>
      </c>
      <c r="AJ353" s="241" t="e">
        <f t="shared" ca="1" si="341"/>
        <v>#REF!</v>
      </c>
      <c r="AK353" s="243" t="e">
        <f ca="1">IF(AND(INDEX(FlowCalConstA,MATCH(AH345,FlowCalNumber,0),1,1)*AJ353^INDEX(FlowCalConstB,MATCH(AH345,FlowCalNumber,0),1,1)&gt;INDEX(FlowCalLowSetting,MATCH(AH345,FlowCalNumber,0),1,1), (INDEX(FlowCalConstA,MATCH(AH345,FlowCalNumber,0),1,1)*AJ353^INDEX(FlowCalConstB,MATCH(AH345,FlowCalNumber,0),1,1)&lt;INDEX(FlowCalHighSetting,MATCH(AH345,FlowCalNumber,0),1,1))),INDEX(FlowCalConstA,MATCH(AH345,FlowCalNumber,0),1,1)*AJ353^INDEX(FlowCalConstB,MATCH(AH345,FlowCalNumber,0),1,1)," ")</f>
        <v>#REF!</v>
      </c>
      <c r="AL353" s="33"/>
      <c r="AM353" s="242"/>
      <c r="AN353" s="241"/>
      <c r="AO353" s="244"/>
      <c r="AQ353" s="242"/>
      <c r="AR353" s="241"/>
      <c r="AS353" s="244"/>
      <c r="AT353" s="33"/>
      <c r="AU353" s="242"/>
      <c r="AV353" s="241"/>
      <c r="AW353" s="244"/>
      <c r="AX353" s="33"/>
      <c r="AY353" s="242"/>
      <c r="AZ353" s="241"/>
      <c r="BA353" s="244"/>
      <c r="BB353" s="33"/>
      <c r="BC353" s="242"/>
      <c r="BD353" s="241"/>
      <c r="BE353" s="244"/>
      <c r="BF353" s="33"/>
      <c r="BG353" s="242"/>
      <c r="BH353" s="241"/>
      <c r="BI353" s="244"/>
      <c r="BJ353" s="33"/>
      <c r="BK353" s="242"/>
      <c r="BL353" s="241"/>
      <c r="BM353" s="244"/>
      <c r="BN353" s="33"/>
      <c r="BO353" s="242"/>
      <c r="BP353" s="241"/>
      <c r="BQ353" s="244"/>
      <c r="BR353" s="33"/>
      <c r="BS353" s="242"/>
      <c r="BT353" s="241"/>
      <c r="BU353" s="244"/>
      <c r="BV353" s="33"/>
      <c r="BW353" s="242"/>
      <c r="BX353" s="241"/>
      <c r="BY353" s="244"/>
      <c r="BZ353" s="33"/>
      <c r="CA353" s="242"/>
      <c r="CB353" s="241"/>
      <c r="CC353" s="244"/>
      <c r="CD353" s="243"/>
      <c r="CE353" s="243"/>
      <c r="CF353" s="243"/>
      <c r="CG353" s="243"/>
      <c r="CH353" s="243"/>
      <c r="CI353" s="243"/>
      <c r="CJ353" s="243"/>
      <c r="CK353" s="243"/>
      <c r="CL353" s="243"/>
      <c r="CM353" s="243"/>
      <c r="CN353" s="243"/>
      <c r="CO353" s="243"/>
      <c r="CP353" s="243"/>
      <c r="CQ353" s="243"/>
      <c r="CR353" s="243"/>
      <c r="CS353" s="243"/>
      <c r="CT353" s="243"/>
      <c r="CU353" s="243"/>
      <c r="CV353" s="243"/>
      <c r="CW353" s="243"/>
      <c r="CX353" s="243"/>
      <c r="CY353" s="243"/>
      <c r="CZ353" s="243"/>
      <c r="DA353" s="243"/>
      <c r="DB353" s="243"/>
      <c r="DC353" s="243"/>
      <c r="DD353" s="243"/>
      <c r="DE353" s="243"/>
      <c r="DF353" s="243"/>
      <c r="DG353" s="243"/>
      <c r="DH353" s="243"/>
      <c r="DI353" s="243"/>
      <c r="DJ353" s="243"/>
      <c r="DK353" s="243"/>
      <c r="DM353" s="242"/>
      <c r="DO353" s="243"/>
      <c r="DQ353" s="242"/>
      <c r="DS353" s="243"/>
      <c r="DU353" s="242"/>
      <c r="DW353" s="243"/>
      <c r="DY353" s="242"/>
      <c r="EA353" s="243"/>
    </row>
    <row r="354" spans="1:131">
      <c r="A354" s="20"/>
      <c r="B354" s="124" t="str">
        <f t="shared" si="326"/>
        <v/>
      </c>
      <c r="C354" s="235"/>
      <c r="D354" s="24">
        <f>'1% Wind'!$M$90</f>
        <v>5.7</v>
      </c>
      <c r="E354" s="90"/>
      <c r="F354" s="90"/>
      <c r="G354" s="79" t="e">
        <f ca="1">IF(I345=0.9743,$G353,MAX(G353/D353*D354,2))</f>
        <v>#REF!</v>
      </c>
      <c r="H354" s="121" t="e">
        <f t="shared" ca="1" si="327"/>
        <v>#REF!</v>
      </c>
      <c r="J354" s="33"/>
      <c r="K354" s="242">
        <f t="shared" si="328"/>
        <v>1</v>
      </c>
      <c r="L354" s="241" t="e">
        <f t="shared" ca="1" si="329"/>
        <v>#REF!</v>
      </c>
      <c r="M354" s="243" t="e">
        <f ca="1">IF(AND(INDEX(FlowCalConstA,MATCH(J345,FlowCalNumber,0),1,1)*L354^INDEX(FlowCalConstB,MATCH(J345,FlowCalNumber,0),1,1)&gt;INDEX(FlowCalLowSetting,MATCH(J345,FlowCalNumber,0),1,1), (INDEX(FlowCalConstA,MATCH(J345,FlowCalNumber,0),1,1)*L354^INDEX(FlowCalConstB,MATCH(J345,FlowCalNumber,0),1,1)&lt;INDEX(FlowCalHighSetting,MATCH(J345,FlowCalNumber,0),1,1))),INDEX(FlowCalConstA,MATCH(J345,FlowCalNumber,0),1,1)*L354^INDEX(FlowCalConstB,MATCH(J345,FlowCalNumber,0),1,1)," ")</f>
        <v>#REF!</v>
      </c>
      <c r="N354" s="33"/>
      <c r="O354" s="242">
        <f t="shared" si="330"/>
        <v>1</v>
      </c>
      <c r="P354" s="241" t="e">
        <f t="shared" ca="1" si="331"/>
        <v>#REF!</v>
      </c>
      <c r="Q354" s="243" t="e">
        <f ca="1">IF(AND(INDEX(FlowCalConstA,MATCH(N345,FlowCalNumber,0),1,1)*P354^INDEX(FlowCalConstB,MATCH(N345,FlowCalNumber,0),1,1)&gt;INDEX(FlowCalLowSetting,MATCH(N345,FlowCalNumber,0),1,1), (INDEX(FlowCalConstA,MATCH(N345,FlowCalNumber,0),1,1)*P354^INDEX(FlowCalConstB,MATCH(N345,FlowCalNumber,0),1,1)&lt;INDEX(FlowCalHighSetting,MATCH(N345,FlowCalNumber,0),1,1))),INDEX(FlowCalConstA,MATCH(N345,FlowCalNumber,0),1,1)*P354^INDEX(FlowCalConstB,MATCH(N345,FlowCalNumber,0),1,1)," ")</f>
        <v>#REF!</v>
      </c>
      <c r="R354" s="33"/>
      <c r="S354" s="242">
        <f t="shared" si="332"/>
        <v>1</v>
      </c>
      <c r="T354" s="241" t="e">
        <f t="shared" ca="1" si="333"/>
        <v>#REF!</v>
      </c>
      <c r="U354" s="244" t="e">
        <f ca="1">IF(AND(INDEX(FlowCalConstA,MATCH(R345,FlowCalNumber,0),1,1)*T354^INDEX(FlowCalConstB,MATCH(R345,FlowCalNumber,0),1,1)&gt;INDEX(FlowCalLowSetting,MATCH(R345,FlowCalNumber,0),1,1), (INDEX(FlowCalConstA,MATCH(R345,FlowCalNumber,0),1,1)*T354^INDEX(FlowCalConstB,MATCH(R345,FlowCalNumber,0),1,1)&lt;INDEX(FlowCalHighSetting,MATCH(R345,FlowCalNumber,0),1,1))),INDEX(FlowCalConstA,MATCH(R345,FlowCalNumber,0),1,1)*T354^INDEX(FlowCalConstB,MATCH(R345,FlowCalNumber,0),1,1)," ")</f>
        <v>#REF!</v>
      </c>
      <c r="V354" s="33"/>
      <c r="W354" s="242">
        <f t="shared" si="334"/>
        <v>0.1</v>
      </c>
      <c r="X354" s="241" t="e">
        <f t="shared" ca="1" si="335"/>
        <v>#REF!</v>
      </c>
      <c r="Y354" s="243" t="e">
        <f ca="1">IF(AND(INDEX(FlowCalConstA,MATCH(V345,FlowCalNumber,0),1,1)*X354^INDEX(FlowCalConstB,MATCH(V345,FlowCalNumber,0),1,1)&gt;INDEX(FlowCalLowSetting,MATCH(V345,FlowCalNumber,0),1,1), (INDEX(FlowCalConstA,MATCH(V345,FlowCalNumber,0),1,1)*X354^INDEX(FlowCalConstB,MATCH(V345,FlowCalNumber,0),1,1)&lt;INDEX(FlowCalHighSetting,MATCH(V345,FlowCalNumber,0),1,1))),INDEX(FlowCalConstA,MATCH(V345,FlowCalNumber,0),1,1)*X354^INDEX(FlowCalConstB,MATCH(V345,FlowCalNumber,0),1,1)," ")</f>
        <v>#REF!</v>
      </c>
      <c r="Z354" s="33"/>
      <c r="AA354" s="242">
        <f t="shared" si="336"/>
        <v>0.9</v>
      </c>
      <c r="AB354" s="241" t="e">
        <f t="shared" ca="1" si="337"/>
        <v>#REF!</v>
      </c>
      <c r="AC354" s="243" t="e">
        <f ca="1">IF(AND(INDEX(FlowCalConstA,MATCH(Z345,FlowCalNumber,0),1,1)*AB354^INDEX(FlowCalConstB,MATCH(Z345,FlowCalNumber,0),1,1)&gt;INDEX(FlowCalLowSetting,MATCH(Z345,FlowCalNumber,0),1,1), (INDEX(FlowCalConstA,MATCH(Z345,FlowCalNumber,0),1,1)*AB354^INDEX(FlowCalConstB,MATCH(Z345,FlowCalNumber,0),1,1)&lt;INDEX(FlowCalHighSetting,MATCH(Z345,FlowCalNumber,0),1,1))),INDEX(FlowCalConstA,MATCH(Z345,FlowCalNumber,0),1,1)*AB354^INDEX(FlowCalConstB,MATCH(Z345,FlowCalNumber,0),1,1)," ")</f>
        <v>#REF!</v>
      </c>
      <c r="AD354" s="33"/>
      <c r="AE354" s="242">
        <f t="shared" si="338"/>
        <v>0.1</v>
      </c>
      <c r="AF354" s="241" t="e">
        <f t="shared" ca="1" si="339"/>
        <v>#REF!</v>
      </c>
      <c r="AG354" s="243" t="e">
        <f ca="1">IF(AND(INDEX(FlowCalConstA,MATCH(AD345,FlowCalNumber,0),1,1)*AF354^INDEX(FlowCalConstB,MATCH(AD345,FlowCalNumber,0),1,1)&gt;INDEX(FlowCalLowSetting,MATCH(AD345,FlowCalNumber,0),1,1), (INDEX(FlowCalConstA,MATCH(AD345,FlowCalNumber,0),1,1)*AF354^INDEX(FlowCalConstB,MATCH(AD345,FlowCalNumber,0),1,1)&lt;INDEX(FlowCalHighSetting,MATCH(AD345,FlowCalNumber,0),1,1))),INDEX(FlowCalConstA,MATCH(AD345,FlowCalNumber,0),1,1)*AF354^INDEX(FlowCalConstB,MATCH(AD345,FlowCalNumber,0),1,1)," ")</f>
        <v>#REF!</v>
      </c>
      <c r="AH354" s="33"/>
      <c r="AI354" s="242">
        <f t="shared" si="340"/>
        <v>0.9</v>
      </c>
      <c r="AJ354" s="241" t="e">
        <f t="shared" ca="1" si="341"/>
        <v>#REF!</v>
      </c>
      <c r="AK354" s="243" t="e">
        <f ca="1">IF(AND(INDEX(FlowCalConstA,MATCH(AH345,FlowCalNumber,0),1,1)*AJ354^INDEX(FlowCalConstB,MATCH(AH345,FlowCalNumber,0),1,1)&gt;INDEX(FlowCalLowSetting,MATCH(AH345,FlowCalNumber,0),1,1), (INDEX(FlowCalConstA,MATCH(AH345,FlowCalNumber,0),1,1)*AJ354^INDEX(FlowCalConstB,MATCH(AH345,FlowCalNumber,0),1,1)&lt;INDEX(FlowCalHighSetting,MATCH(AH345,FlowCalNumber,0),1,1))),INDEX(FlowCalConstA,MATCH(AH345,FlowCalNumber,0),1,1)*AJ354^INDEX(FlowCalConstB,MATCH(AH345,FlowCalNumber,0),1,1)," ")</f>
        <v>#REF!</v>
      </c>
      <c r="AL354" s="33"/>
      <c r="AM354" s="242"/>
      <c r="AN354" s="241"/>
      <c r="AO354" s="244"/>
      <c r="AQ354" s="242"/>
      <c r="AR354" s="241"/>
      <c r="AS354" s="244"/>
      <c r="AT354" s="33"/>
      <c r="AU354" s="242"/>
      <c r="AV354" s="241"/>
      <c r="AW354" s="244"/>
      <c r="AX354" s="33"/>
      <c r="AY354" s="242"/>
      <c r="AZ354" s="241"/>
      <c r="BA354" s="244"/>
      <c r="BB354" s="33"/>
      <c r="BC354" s="242"/>
      <c r="BD354" s="241"/>
      <c r="BE354" s="244"/>
      <c r="BF354" s="33"/>
      <c r="BG354" s="242"/>
      <c r="BH354" s="241"/>
      <c r="BI354" s="244"/>
      <c r="BJ354" s="33"/>
      <c r="BK354" s="242"/>
      <c r="BL354" s="241"/>
      <c r="BM354" s="244"/>
      <c r="BN354" s="33"/>
      <c r="BO354" s="242"/>
      <c r="BP354" s="241"/>
      <c r="BQ354" s="244"/>
      <c r="BR354" s="33"/>
      <c r="BS354" s="242"/>
      <c r="BT354" s="241"/>
      <c r="BU354" s="244"/>
      <c r="BV354" s="33"/>
      <c r="BW354" s="242"/>
      <c r="BX354" s="241"/>
      <c r="BY354" s="244"/>
      <c r="BZ354" s="33"/>
      <c r="CA354" s="242"/>
      <c r="CB354" s="241"/>
      <c r="CC354" s="244"/>
      <c r="CD354" s="243"/>
      <c r="CE354" s="243"/>
      <c r="CF354" s="243"/>
      <c r="CG354" s="243"/>
      <c r="CH354" s="243"/>
      <c r="CI354" s="243"/>
      <c r="CJ354" s="243"/>
      <c r="CK354" s="243"/>
      <c r="CL354" s="243"/>
      <c r="CM354" s="243"/>
      <c r="CN354" s="243"/>
      <c r="CO354" s="243"/>
      <c r="CP354" s="243"/>
      <c r="CQ354" s="243"/>
      <c r="CR354" s="243"/>
      <c r="CS354" s="243"/>
      <c r="CT354" s="243"/>
      <c r="CU354" s="243"/>
      <c r="CV354" s="243"/>
      <c r="CW354" s="243"/>
      <c r="CX354" s="243"/>
      <c r="CY354" s="243"/>
      <c r="CZ354" s="243"/>
      <c r="DA354" s="243"/>
      <c r="DB354" s="243"/>
      <c r="DC354" s="243"/>
      <c r="DD354" s="243"/>
      <c r="DE354" s="243"/>
      <c r="DF354" s="243"/>
      <c r="DG354" s="243"/>
      <c r="DH354" s="243"/>
      <c r="DI354" s="243"/>
      <c r="DJ354" s="243"/>
      <c r="DK354" s="243"/>
      <c r="DM354" s="242"/>
      <c r="DO354" s="243"/>
      <c r="DQ354" s="242"/>
      <c r="DS354" s="243"/>
      <c r="DU354" s="242"/>
      <c r="DW354" s="243"/>
      <c r="DY354" s="242"/>
      <c r="EA354" s="243"/>
    </row>
    <row r="355" spans="1:131">
      <c r="A355" s="20"/>
      <c r="B355" s="124" t="str">
        <f t="shared" si="326"/>
        <v/>
      </c>
      <c r="C355" s="235"/>
      <c r="D355" s="24">
        <f>'1% Wind'!$M$91</f>
        <v>4.2</v>
      </c>
      <c r="E355" s="90"/>
      <c r="F355" s="90"/>
      <c r="G355" s="79" t="e">
        <f ca="1">IF(I345=0.9743,$G354,MAX(G354/D354*D355,2))</f>
        <v>#REF!</v>
      </c>
      <c r="H355" s="121" t="e">
        <f t="shared" ca="1" si="327"/>
        <v>#REF!</v>
      </c>
      <c r="J355" s="33"/>
      <c r="K355" s="242">
        <f t="shared" si="328"/>
        <v>1</v>
      </c>
      <c r="L355" s="241" t="e">
        <f t="shared" ca="1" si="329"/>
        <v>#REF!</v>
      </c>
      <c r="M355" s="243" t="e">
        <f ca="1">IF(AND(INDEX(FlowCalConstA,MATCH(J345,FlowCalNumber,0),1,1)*L355^INDEX(FlowCalConstB,MATCH(J345,FlowCalNumber,0),1,1)&gt;INDEX(FlowCalLowSetting,MATCH(J345,FlowCalNumber,0),1,1), (INDEX(FlowCalConstA,MATCH(J345,FlowCalNumber,0),1,1)*L355^INDEX(FlowCalConstB,MATCH(J345,FlowCalNumber,0),1,1)&lt;INDEX(FlowCalHighSetting,MATCH(J345,FlowCalNumber,0),1,1))),INDEX(FlowCalConstA,MATCH(J345,FlowCalNumber,0),1,1)*L355^INDEX(FlowCalConstB,MATCH(J345,FlowCalNumber,0),1,1)," ")</f>
        <v>#REF!</v>
      </c>
      <c r="N355" s="33"/>
      <c r="O355" s="242">
        <f t="shared" si="330"/>
        <v>1</v>
      </c>
      <c r="P355" s="241" t="e">
        <f t="shared" ca="1" si="331"/>
        <v>#REF!</v>
      </c>
      <c r="Q355" s="243" t="e">
        <f ca="1">IF(AND(INDEX(FlowCalConstA,MATCH(N345,FlowCalNumber,0),1,1)*P355^INDEX(FlowCalConstB,MATCH(N345,FlowCalNumber,0),1,1)&gt;INDEX(FlowCalLowSetting,MATCH(N345,FlowCalNumber,0),1,1), (INDEX(FlowCalConstA,MATCH(N345,FlowCalNumber,0),1,1)*P355^INDEX(FlowCalConstB,MATCH(N345,FlowCalNumber,0),1,1)&lt;INDEX(FlowCalHighSetting,MATCH(N345,FlowCalNumber,0),1,1))),INDEX(FlowCalConstA,MATCH(N345,FlowCalNumber,0),1,1)*P355^INDEX(FlowCalConstB,MATCH(N345,FlowCalNumber,0),1,1)," ")</f>
        <v>#REF!</v>
      </c>
      <c r="R355" s="33"/>
      <c r="S355" s="242">
        <f t="shared" si="332"/>
        <v>1</v>
      </c>
      <c r="T355" s="241" t="e">
        <f t="shared" ca="1" si="333"/>
        <v>#REF!</v>
      </c>
      <c r="U355" s="244" t="e">
        <f ca="1">IF(AND(INDEX(FlowCalConstA,MATCH(R345,FlowCalNumber,0),1,1)*T355^INDEX(FlowCalConstB,MATCH(R345,FlowCalNumber,0),1,1)&gt;INDEX(FlowCalLowSetting,MATCH(R345,FlowCalNumber,0),1,1), (INDEX(FlowCalConstA,MATCH(R345,FlowCalNumber,0),1,1)*T355^INDEX(FlowCalConstB,MATCH(R345,FlowCalNumber,0),1,1)&lt;INDEX(FlowCalHighSetting,MATCH(R345,FlowCalNumber,0),1,1))),INDEX(FlowCalConstA,MATCH(R345,FlowCalNumber,0),1,1)*T355^INDEX(FlowCalConstB,MATCH(R345,FlowCalNumber,0),1,1)," ")</f>
        <v>#REF!</v>
      </c>
      <c r="V355" s="33"/>
      <c r="W355" s="242">
        <f t="shared" si="334"/>
        <v>0.1</v>
      </c>
      <c r="X355" s="241" t="e">
        <f t="shared" ca="1" si="335"/>
        <v>#REF!</v>
      </c>
      <c r="Y355" s="243" t="e">
        <f ca="1">IF(AND(INDEX(FlowCalConstA,MATCH(V345,FlowCalNumber,0),1,1)*X355^INDEX(FlowCalConstB,MATCH(V345,FlowCalNumber,0),1,1)&gt;INDEX(FlowCalLowSetting,MATCH(V345,FlowCalNumber,0),1,1), (INDEX(FlowCalConstA,MATCH(V345,FlowCalNumber,0),1,1)*X355^INDEX(FlowCalConstB,MATCH(V345,FlowCalNumber,0),1,1)&lt;INDEX(FlowCalHighSetting,MATCH(V345,FlowCalNumber,0),1,1))),INDEX(FlowCalConstA,MATCH(V345,FlowCalNumber,0),1,1)*X355^INDEX(FlowCalConstB,MATCH(V345,FlowCalNumber,0),1,1)," ")</f>
        <v>#REF!</v>
      </c>
      <c r="Z355" s="33"/>
      <c r="AA355" s="242">
        <f t="shared" si="336"/>
        <v>0.9</v>
      </c>
      <c r="AB355" s="241" t="e">
        <f t="shared" ca="1" si="337"/>
        <v>#REF!</v>
      </c>
      <c r="AC355" s="243" t="e">
        <f ca="1">IF(AND(INDEX(FlowCalConstA,MATCH(Z345,FlowCalNumber,0),1,1)*AB355^INDEX(FlowCalConstB,MATCH(Z345,FlowCalNumber,0),1,1)&gt;INDEX(FlowCalLowSetting,MATCH(Z345,FlowCalNumber,0),1,1), (INDEX(FlowCalConstA,MATCH(Z345,FlowCalNumber,0),1,1)*AB355^INDEX(FlowCalConstB,MATCH(Z345,FlowCalNumber,0),1,1)&lt;INDEX(FlowCalHighSetting,MATCH(Z345,FlowCalNumber,0),1,1))),INDEX(FlowCalConstA,MATCH(Z345,FlowCalNumber,0),1,1)*AB355^INDEX(FlowCalConstB,MATCH(Z345,FlowCalNumber,0),1,1)," ")</f>
        <v>#REF!</v>
      </c>
      <c r="AD355" s="33"/>
      <c r="AE355" s="242">
        <f t="shared" si="338"/>
        <v>0.1</v>
      </c>
      <c r="AF355" s="241" t="e">
        <f t="shared" ca="1" si="339"/>
        <v>#REF!</v>
      </c>
      <c r="AG355" s="243" t="e">
        <f ca="1">IF(AND(INDEX(FlowCalConstA,MATCH(AD345,FlowCalNumber,0),1,1)*AF355^INDEX(FlowCalConstB,MATCH(AD345,FlowCalNumber,0),1,1)&gt;INDEX(FlowCalLowSetting,MATCH(AD345,FlowCalNumber,0),1,1), (INDEX(FlowCalConstA,MATCH(AD345,FlowCalNumber,0),1,1)*AF355^INDEX(FlowCalConstB,MATCH(AD345,FlowCalNumber,0),1,1)&lt;INDEX(FlowCalHighSetting,MATCH(AD345,FlowCalNumber,0),1,1))),INDEX(FlowCalConstA,MATCH(AD345,FlowCalNumber,0),1,1)*AF355^INDEX(FlowCalConstB,MATCH(AD345,FlowCalNumber,0),1,1)," ")</f>
        <v>#REF!</v>
      </c>
      <c r="AH355" s="33"/>
      <c r="AI355" s="242">
        <f t="shared" si="340"/>
        <v>0.9</v>
      </c>
      <c r="AJ355" s="241" t="e">
        <f t="shared" ca="1" si="341"/>
        <v>#REF!</v>
      </c>
      <c r="AK355" s="243" t="e">
        <f ca="1">IF(AND(INDEX(FlowCalConstA,MATCH(AH345,FlowCalNumber,0),1,1)*AJ355^INDEX(FlowCalConstB,MATCH(AH345,FlowCalNumber,0),1,1)&gt;INDEX(FlowCalLowSetting,MATCH(AH345,FlowCalNumber,0),1,1), (INDEX(FlowCalConstA,MATCH(AH345,FlowCalNumber,0),1,1)*AJ355^INDEX(FlowCalConstB,MATCH(AH345,FlowCalNumber,0),1,1)&lt;INDEX(FlowCalHighSetting,MATCH(AH345,FlowCalNumber,0),1,1))),INDEX(FlowCalConstA,MATCH(AH345,FlowCalNumber,0),1,1)*AJ355^INDEX(FlowCalConstB,MATCH(AH345,FlowCalNumber,0),1,1)," ")</f>
        <v>#REF!</v>
      </c>
      <c r="AL355" s="33"/>
      <c r="AM355" s="242"/>
      <c r="AN355" s="241"/>
      <c r="AO355" s="244"/>
      <c r="AQ355" s="242"/>
      <c r="AR355" s="241"/>
      <c r="AS355" s="244"/>
      <c r="AT355" s="33"/>
      <c r="AU355" s="242"/>
      <c r="AV355" s="241"/>
      <c r="AW355" s="244"/>
      <c r="AX355" s="33"/>
      <c r="AY355" s="242"/>
      <c r="AZ355" s="241"/>
      <c r="BA355" s="244"/>
      <c r="BB355" s="33"/>
      <c r="BC355" s="242"/>
      <c r="BD355" s="241"/>
      <c r="BE355" s="244"/>
      <c r="BF355" s="33"/>
      <c r="BG355" s="242"/>
      <c r="BH355" s="241"/>
      <c r="BI355" s="244"/>
      <c r="BJ355" s="33"/>
      <c r="BK355" s="242"/>
      <c r="BL355" s="241"/>
      <c r="BM355" s="244"/>
      <c r="BN355" s="33"/>
      <c r="BO355" s="242"/>
      <c r="BP355" s="241"/>
      <c r="BQ355" s="244"/>
      <c r="BR355" s="33"/>
      <c r="BS355" s="242"/>
      <c r="BT355" s="241"/>
      <c r="BU355" s="244"/>
      <c r="BV355" s="33"/>
      <c r="BW355" s="242"/>
      <c r="BX355" s="241"/>
      <c r="BY355" s="244"/>
      <c r="BZ355" s="33"/>
      <c r="CA355" s="242"/>
      <c r="CB355" s="241"/>
      <c r="CC355" s="244"/>
      <c r="CD355" s="243"/>
      <c r="CE355" s="243"/>
      <c r="CF355" s="243"/>
      <c r="CG355" s="243"/>
      <c r="CH355" s="243"/>
      <c r="CI355" s="243"/>
      <c r="CJ355" s="243"/>
      <c r="CK355" s="243"/>
      <c r="CL355" s="243"/>
      <c r="CM355" s="243"/>
      <c r="CN355" s="243"/>
      <c r="CO355" s="243"/>
      <c r="CP355" s="243"/>
      <c r="CQ355" s="243"/>
      <c r="CR355" s="243"/>
      <c r="CS355" s="243"/>
      <c r="CT355" s="243"/>
      <c r="CU355" s="243"/>
      <c r="CV355" s="243"/>
      <c r="CW355" s="243"/>
      <c r="CX355" s="243"/>
      <c r="CY355" s="243"/>
      <c r="CZ355" s="243"/>
      <c r="DA355" s="243"/>
      <c r="DB355" s="243"/>
      <c r="DC355" s="243"/>
      <c r="DD355" s="243"/>
      <c r="DE355" s="243"/>
      <c r="DF355" s="243"/>
      <c r="DG355" s="243"/>
      <c r="DH355" s="243"/>
      <c r="DI355" s="243"/>
      <c r="DJ355" s="243"/>
      <c r="DK355" s="243"/>
      <c r="DM355" s="242"/>
      <c r="DO355" s="243"/>
      <c r="DQ355" s="242"/>
      <c r="DS355" s="243"/>
      <c r="DU355" s="242"/>
      <c r="DW355" s="243"/>
      <c r="DY355" s="242"/>
      <c r="EA355" s="243"/>
    </row>
    <row r="356" spans="1:131">
      <c r="A356" s="20"/>
      <c r="B356" s="124" t="str">
        <f t="shared" si="326"/>
        <v/>
      </c>
      <c r="C356" s="235"/>
      <c r="D356" s="24">
        <f>'1% Wind'!$M$92</f>
        <v>3.2</v>
      </c>
      <c r="E356" s="90"/>
      <c r="F356" s="90"/>
      <c r="G356" s="79" t="e">
        <f ca="1">IF(I345=0.9743,$G355,MAX(G355/D355*D356,2))</f>
        <v>#REF!</v>
      </c>
      <c r="H356" s="121" t="e">
        <f t="shared" ca="1" si="327"/>
        <v>#REF!</v>
      </c>
      <c r="J356" s="33"/>
      <c r="K356" s="242">
        <f t="shared" si="328"/>
        <v>1</v>
      </c>
      <c r="L356" s="241" t="e">
        <f t="shared" ca="1" si="329"/>
        <v>#REF!</v>
      </c>
      <c r="M356" s="243" t="e">
        <f ca="1">IF(AND(INDEX(FlowCalConstA,MATCH(J345,FlowCalNumber,0),1,1)*L356^INDEX(FlowCalConstB,MATCH(J345,FlowCalNumber,0),1,1)&gt;INDEX(FlowCalLowSetting,MATCH(J345,FlowCalNumber,0),1,1), (INDEX(FlowCalConstA,MATCH(J345,FlowCalNumber,0),1,1)*L356^INDEX(FlowCalConstB,MATCH(J345,FlowCalNumber,0),1,1)&lt;INDEX(FlowCalHighSetting,MATCH(J345,FlowCalNumber,0),1,1))),INDEX(FlowCalConstA,MATCH(J345,FlowCalNumber,0),1,1)*L356^INDEX(FlowCalConstB,MATCH(J345,FlowCalNumber,0),1,1)," ")</f>
        <v>#REF!</v>
      </c>
      <c r="N356" s="33"/>
      <c r="O356" s="242">
        <f t="shared" si="330"/>
        <v>1</v>
      </c>
      <c r="P356" s="241" t="e">
        <f t="shared" ca="1" si="331"/>
        <v>#REF!</v>
      </c>
      <c r="Q356" s="243" t="e">
        <f ca="1">IF(AND(INDEX(FlowCalConstA,MATCH(N345,FlowCalNumber,0),1,1)*P356^INDEX(FlowCalConstB,MATCH(N345,FlowCalNumber,0),1,1)&gt;INDEX(FlowCalLowSetting,MATCH(N345,FlowCalNumber,0),1,1), (INDEX(FlowCalConstA,MATCH(N345,FlowCalNumber,0),1,1)*P356^INDEX(FlowCalConstB,MATCH(N345,FlowCalNumber,0),1,1)&lt;INDEX(FlowCalHighSetting,MATCH(N345,FlowCalNumber,0),1,1))),INDEX(FlowCalConstA,MATCH(N345,FlowCalNumber,0),1,1)*P356^INDEX(FlowCalConstB,MATCH(N345,FlowCalNumber,0),1,1)," ")</f>
        <v>#REF!</v>
      </c>
      <c r="R356" s="33"/>
      <c r="S356" s="242">
        <f t="shared" si="332"/>
        <v>1</v>
      </c>
      <c r="T356" s="241" t="e">
        <f t="shared" ca="1" si="333"/>
        <v>#REF!</v>
      </c>
      <c r="U356" s="244" t="e">
        <f ca="1">IF(AND(INDEX(FlowCalConstA,MATCH(R345,FlowCalNumber,0),1,1)*T356^INDEX(FlowCalConstB,MATCH(R345,FlowCalNumber,0),1,1)&gt;INDEX(FlowCalLowSetting,MATCH(R345,FlowCalNumber,0),1,1), (INDEX(FlowCalConstA,MATCH(R345,FlowCalNumber,0),1,1)*T356^INDEX(FlowCalConstB,MATCH(R345,FlowCalNumber,0),1,1)&lt;INDEX(FlowCalHighSetting,MATCH(R345,FlowCalNumber,0),1,1))),INDEX(FlowCalConstA,MATCH(R345,FlowCalNumber,0),1,1)*T356^INDEX(FlowCalConstB,MATCH(R345,FlowCalNumber,0),1,1)," ")</f>
        <v>#REF!</v>
      </c>
      <c r="V356" s="33"/>
      <c r="W356" s="242">
        <f t="shared" si="334"/>
        <v>0.1</v>
      </c>
      <c r="X356" s="241" t="e">
        <f t="shared" ca="1" si="335"/>
        <v>#REF!</v>
      </c>
      <c r="Y356" s="243" t="e">
        <f ca="1">IF(AND(INDEX(FlowCalConstA,MATCH(V345,FlowCalNumber,0),1,1)*X356^INDEX(FlowCalConstB,MATCH(V345,FlowCalNumber,0),1,1)&gt;INDEX(FlowCalLowSetting,MATCH(V345,FlowCalNumber,0),1,1), (INDEX(FlowCalConstA,MATCH(V345,FlowCalNumber,0),1,1)*X356^INDEX(FlowCalConstB,MATCH(V345,FlowCalNumber,0),1,1)&lt;INDEX(FlowCalHighSetting,MATCH(V345,FlowCalNumber,0),1,1))),INDEX(FlowCalConstA,MATCH(V345,FlowCalNumber,0),1,1)*X356^INDEX(FlowCalConstB,MATCH(V345,FlowCalNumber,0),1,1)," ")</f>
        <v>#REF!</v>
      </c>
      <c r="Z356" s="33"/>
      <c r="AA356" s="242">
        <f t="shared" si="336"/>
        <v>0.9</v>
      </c>
      <c r="AB356" s="241" t="e">
        <f t="shared" ca="1" si="337"/>
        <v>#REF!</v>
      </c>
      <c r="AC356" s="243" t="e">
        <f ca="1">IF(AND(INDEX(FlowCalConstA,MATCH(Z345,FlowCalNumber,0),1,1)*AB356^INDEX(FlowCalConstB,MATCH(Z345,FlowCalNumber,0),1,1)&gt;INDEX(FlowCalLowSetting,MATCH(Z345,FlowCalNumber,0),1,1), (INDEX(FlowCalConstA,MATCH(Z345,FlowCalNumber,0),1,1)*AB356^INDEX(FlowCalConstB,MATCH(Z345,FlowCalNumber,0),1,1)&lt;INDEX(FlowCalHighSetting,MATCH(Z345,FlowCalNumber,0),1,1))),INDEX(FlowCalConstA,MATCH(Z345,FlowCalNumber,0),1,1)*AB356^INDEX(FlowCalConstB,MATCH(Z345,FlowCalNumber,0),1,1)," ")</f>
        <v>#REF!</v>
      </c>
      <c r="AD356" s="33"/>
      <c r="AE356" s="242">
        <f t="shared" si="338"/>
        <v>0.1</v>
      </c>
      <c r="AF356" s="241" t="e">
        <f t="shared" ca="1" si="339"/>
        <v>#REF!</v>
      </c>
      <c r="AG356" s="243" t="e">
        <f ca="1">IF(AND(INDEX(FlowCalConstA,MATCH(AD345,FlowCalNumber,0),1,1)*AF356^INDEX(FlowCalConstB,MATCH(AD345,FlowCalNumber,0),1,1)&gt;INDEX(FlowCalLowSetting,MATCH(AD345,FlowCalNumber,0),1,1), (INDEX(FlowCalConstA,MATCH(AD345,FlowCalNumber,0),1,1)*AF356^INDEX(FlowCalConstB,MATCH(AD345,FlowCalNumber,0),1,1)&lt;INDEX(FlowCalHighSetting,MATCH(AD345,FlowCalNumber,0),1,1))),INDEX(FlowCalConstA,MATCH(AD345,FlowCalNumber,0),1,1)*AF356^INDEX(FlowCalConstB,MATCH(AD345,FlowCalNumber,0),1,1)," ")</f>
        <v>#REF!</v>
      </c>
      <c r="AH356" s="33"/>
      <c r="AI356" s="242">
        <f t="shared" si="340"/>
        <v>0.9</v>
      </c>
      <c r="AJ356" s="241" t="e">
        <f t="shared" ca="1" si="341"/>
        <v>#REF!</v>
      </c>
      <c r="AK356" s="243" t="e">
        <f ca="1">IF(AND(INDEX(FlowCalConstA,MATCH(AH345,FlowCalNumber,0),1,1)*AJ356^INDEX(FlowCalConstB,MATCH(AH345,FlowCalNumber,0),1,1)&gt;INDEX(FlowCalLowSetting,MATCH(AH345,FlowCalNumber,0),1,1), (INDEX(FlowCalConstA,MATCH(AH345,FlowCalNumber,0),1,1)*AJ356^INDEX(FlowCalConstB,MATCH(AH345,FlowCalNumber,0),1,1)&lt;INDEX(FlowCalHighSetting,MATCH(AH345,FlowCalNumber,0),1,1))),INDEX(FlowCalConstA,MATCH(AH345,FlowCalNumber,0),1,1)*AJ356^INDEX(FlowCalConstB,MATCH(AH345,FlowCalNumber,0),1,1)," ")</f>
        <v>#REF!</v>
      </c>
      <c r="AL356" s="33"/>
      <c r="AM356" s="242"/>
      <c r="AN356" s="241"/>
      <c r="AO356" s="244"/>
      <c r="AQ356" s="242"/>
      <c r="AR356" s="241"/>
      <c r="AS356" s="244"/>
      <c r="AT356" s="33"/>
      <c r="AU356" s="242"/>
      <c r="AV356" s="241"/>
      <c r="AW356" s="244"/>
      <c r="AX356" s="33"/>
      <c r="AY356" s="242"/>
      <c r="AZ356" s="241"/>
      <c r="BA356" s="244"/>
      <c r="BB356" s="33"/>
      <c r="BC356" s="242"/>
      <c r="BD356" s="241"/>
      <c r="BE356" s="244"/>
      <c r="BF356" s="33"/>
      <c r="BG356" s="242"/>
      <c r="BH356" s="241"/>
      <c r="BI356" s="244"/>
      <c r="BJ356" s="33"/>
      <c r="BK356" s="242"/>
      <c r="BL356" s="241"/>
      <c r="BM356" s="244"/>
      <c r="BN356" s="33"/>
      <c r="BO356" s="242"/>
      <c r="BP356" s="241"/>
      <c r="BQ356" s="244"/>
      <c r="BR356" s="33"/>
      <c r="BS356" s="242"/>
      <c r="BT356" s="241"/>
      <c r="BU356" s="244"/>
      <c r="BV356" s="33"/>
      <c r="BW356" s="242"/>
      <c r="BX356" s="241"/>
      <c r="BY356" s="244"/>
      <c r="BZ356" s="33"/>
      <c r="CA356" s="242"/>
      <c r="CB356" s="241"/>
      <c r="CC356" s="244"/>
      <c r="CD356" s="243"/>
      <c r="CE356" s="243"/>
      <c r="CF356" s="243"/>
      <c r="CG356" s="243"/>
      <c r="CH356" s="243"/>
      <c r="CI356" s="243"/>
      <c r="CJ356" s="243"/>
      <c r="CK356" s="243"/>
      <c r="CL356" s="243"/>
      <c r="CM356" s="243"/>
      <c r="CN356" s="243"/>
      <c r="CO356" s="243"/>
      <c r="CP356" s="243"/>
      <c r="CQ356" s="243"/>
      <c r="CR356" s="243"/>
      <c r="CS356" s="243"/>
      <c r="CT356" s="243"/>
      <c r="CU356" s="243"/>
      <c r="CV356" s="243"/>
      <c r="CW356" s="243"/>
      <c r="CX356" s="243"/>
      <c r="CY356" s="243"/>
      <c r="CZ356" s="243"/>
      <c r="DA356" s="243"/>
      <c r="DB356" s="243"/>
      <c r="DC356" s="243"/>
      <c r="DD356" s="243"/>
      <c r="DE356" s="243"/>
      <c r="DF356" s="243"/>
      <c r="DG356" s="243"/>
      <c r="DH356" s="243"/>
      <c r="DI356" s="243"/>
      <c r="DJ356" s="243"/>
      <c r="DK356" s="243"/>
      <c r="DM356" s="242"/>
      <c r="DO356" s="243"/>
      <c r="DQ356" s="242"/>
      <c r="DS356" s="243"/>
      <c r="DU356" s="242"/>
      <c r="DW356" s="243"/>
      <c r="DY356" s="242"/>
      <c r="EA356" s="243"/>
    </row>
    <row r="357" spans="1:131">
      <c r="A357" s="20"/>
      <c r="B357" s="124" t="str">
        <f t="shared" si="326"/>
        <v/>
      </c>
      <c r="C357" s="235"/>
      <c r="D357" s="24">
        <f>'1% Wind'!$M$93</f>
        <v>2.4</v>
      </c>
      <c r="E357" s="90"/>
      <c r="F357" s="90"/>
      <c r="G357" s="79" t="e">
        <f ca="1">IF(I345=0.9743,$G356,MAX(G356/D356*D357,2))</f>
        <v>#REF!</v>
      </c>
      <c r="H357" s="121" t="e">
        <f t="shared" ca="1" si="327"/>
        <v>#REF!</v>
      </c>
      <c r="J357" s="33"/>
      <c r="K357" s="242">
        <f t="shared" si="328"/>
        <v>1</v>
      </c>
      <c r="L357" s="241" t="e">
        <f t="shared" ca="1" si="329"/>
        <v>#REF!</v>
      </c>
      <c r="M357" s="243" t="e">
        <f ca="1">IF(AND(INDEX(FlowCalConstA,MATCH(J345,FlowCalNumber,0),1,1)*L357^INDEX(FlowCalConstB,MATCH(J345,FlowCalNumber,0),1,1)&gt;INDEX(FlowCalLowSetting,MATCH(J345,FlowCalNumber,0),1,1), (INDEX(FlowCalConstA,MATCH(J345,FlowCalNumber,0),1,1)*L357^INDEX(FlowCalConstB,MATCH(J345,FlowCalNumber,0),1,1)&lt;INDEX(FlowCalHighSetting,MATCH(J345,FlowCalNumber,0),1,1))),INDEX(FlowCalConstA,MATCH(J345,FlowCalNumber,0),1,1)*L357^INDEX(FlowCalConstB,MATCH(J345,FlowCalNumber,0),1,1)," ")</f>
        <v>#REF!</v>
      </c>
      <c r="N357" s="33"/>
      <c r="O357" s="242">
        <f t="shared" si="330"/>
        <v>1</v>
      </c>
      <c r="P357" s="241" t="e">
        <f t="shared" ca="1" si="331"/>
        <v>#REF!</v>
      </c>
      <c r="Q357" s="243" t="e">
        <f ca="1">IF(AND(INDEX(FlowCalConstA,MATCH(N345,FlowCalNumber,0),1,1)*P357^INDEX(FlowCalConstB,MATCH(N345,FlowCalNumber,0),1,1)&gt;INDEX(FlowCalLowSetting,MATCH(N345,FlowCalNumber,0),1,1), (INDEX(FlowCalConstA,MATCH(N345,FlowCalNumber,0),1,1)*P357^INDEX(FlowCalConstB,MATCH(N345,FlowCalNumber,0),1,1)&lt;INDEX(FlowCalHighSetting,MATCH(N345,FlowCalNumber,0),1,1))),INDEX(FlowCalConstA,MATCH(N345,FlowCalNumber,0),1,1)*P357^INDEX(FlowCalConstB,MATCH(N345,FlowCalNumber,0),1,1)," ")</f>
        <v>#REF!</v>
      </c>
      <c r="R357" s="33"/>
      <c r="S357" s="242">
        <f t="shared" si="332"/>
        <v>1</v>
      </c>
      <c r="T357" s="241" t="e">
        <f t="shared" ca="1" si="333"/>
        <v>#REF!</v>
      </c>
      <c r="U357" s="244" t="e">
        <f ca="1">IF(AND(INDEX(FlowCalConstA,MATCH(R345,FlowCalNumber,0),1,1)*T357^INDEX(FlowCalConstB,MATCH(R345,FlowCalNumber,0),1,1)&gt;INDEX(FlowCalLowSetting,MATCH(R345,FlowCalNumber,0),1,1), (INDEX(FlowCalConstA,MATCH(R345,FlowCalNumber,0),1,1)*T357^INDEX(FlowCalConstB,MATCH(R345,FlowCalNumber,0),1,1)&lt;INDEX(FlowCalHighSetting,MATCH(R345,FlowCalNumber,0),1,1))),INDEX(FlowCalConstA,MATCH(R345,FlowCalNumber,0),1,1)*T357^INDEX(FlowCalConstB,MATCH(R345,FlowCalNumber,0),1,1)," ")</f>
        <v>#REF!</v>
      </c>
      <c r="V357" s="33"/>
      <c r="W357" s="242">
        <f t="shared" si="334"/>
        <v>0.1</v>
      </c>
      <c r="X357" s="241" t="e">
        <f t="shared" ca="1" si="335"/>
        <v>#REF!</v>
      </c>
      <c r="Y357" s="243" t="e">
        <f ca="1">IF(AND(INDEX(FlowCalConstA,MATCH(V345,FlowCalNumber,0),1,1)*X357^INDEX(FlowCalConstB,MATCH(V345,FlowCalNumber,0),1,1)&gt;INDEX(FlowCalLowSetting,MATCH(V345,FlowCalNumber,0),1,1), (INDEX(FlowCalConstA,MATCH(V345,FlowCalNumber,0),1,1)*X357^INDEX(FlowCalConstB,MATCH(V345,FlowCalNumber,0),1,1)&lt;INDEX(FlowCalHighSetting,MATCH(V345,FlowCalNumber,0),1,1))),INDEX(FlowCalConstA,MATCH(V345,FlowCalNumber,0),1,1)*X357^INDEX(FlowCalConstB,MATCH(V345,FlowCalNumber,0),1,1)," ")</f>
        <v>#REF!</v>
      </c>
      <c r="Z357" s="33"/>
      <c r="AA357" s="242">
        <f t="shared" si="336"/>
        <v>0.9</v>
      </c>
      <c r="AB357" s="241" t="e">
        <f t="shared" ca="1" si="337"/>
        <v>#REF!</v>
      </c>
      <c r="AC357" s="243" t="e">
        <f ca="1">IF(AND(INDEX(FlowCalConstA,MATCH(Z345,FlowCalNumber,0),1,1)*AB357^INDEX(FlowCalConstB,MATCH(Z345,FlowCalNumber,0),1,1)&gt;INDEX(FlowCalLowSetting,MATCH(Z345,FlowCalNumber,0),1,1), (INDEX(FlowCalConstA,MATCH(Z345,FlowCalNumber,0),1,1)*AB357^INDEX(FlowCalConstB,MATCH(Z345,FlowCalNumber,0),1,1)&lt;INDEX(FlowCalHighSetting,MATCH(Z345,FlowCalNumber,0),1,1))),INDEX(FlowCalConstA,MATCH(Z345,FlowCalNumber,0),1,1)*AB357^INDEX(FlowCalConstB,MATCH(Z345,FlowCalNumber,0),1,1)," ")</f>
        <v>#REF!</v>
      </c>
      <c r="AD357" s="33"/>
      <c r="AE357" s="242">
        <f t="shared" si="338"/>
        <v>0.1</v>
      </c>
      <c r="AF357" s="241" t="e">
        <f t="shared" ca="1" si="339"/>
        <v>#REF!</v>
      </c>
      <c r="AG357" s="243" t="e">
        <f ca="1">IF(AND(INDEX(FlowCalConstA,MATCH(AD345,FlowCalNumber,0),1,1)*AF357^INDEX(FlowCalConstB,MATCH(AD345,FlowCalNumber,0),1,1)&gt;INDEX(FlowCalLowSetting,MATCH(AD345,FlowCalNumber,0),1,1), (INDEX(FlowCalConstA,MATCH(AD345,FlowCalNumber,0),1,1)*AF357^INDEX(FlowCalConstB,MATCH(AD345,FlowCalNumber,0),1,1)&lt;INDEX(FlowCalHighSetting,MATCH(AD345,FlowCalNumber,0),1,1))),INDEX(FlowCalConstA,MATCH(AD345,FlowCalNumber,0),1,1)*AF357^INDEX(FlowCalConstB,MATCH(AD345,FlowCalNumber,0),1,1)," ")</f>
        <v>#REF!</v>
      </c>
      <c r="AH357" s="33"/>
      <c r="AI357" s="242">
        <f t="shared" si="340"/>
        <v>0.9</v>
      </c>
      <c r="AJ357" s="241" t="e">
        <f t="shared" ca="1" si="341"/>
        <v>#REF!</v>
      </c>
      <c r="AK357" s="243" t="e">
        <f ca="1">IF(AND(INDEX(FlowCalConstA,MATCH(AH345,FlowCalNumber,0),1,1)*AJ357^INDEX(FlowCalConstB,MATCH(AH345,FlowCalNumber,0),1,1)&gt;INDEX(FlowCalLowSetting,MATCH(AH345,FlowCalNumber,0),1,1), (INDEX(FlowCalConstA,MATCH(AH345,FlowCalNumber,0),1,1)*AJ357^INDEX(FlowCalConstB,MATCH(AH345,FlowCalNumber,0),1,1)&lt;INDEX(FlowCalHighSetting,MATCH(AH345,FlowCalNumber,0),1,1))),INDEX(FlowCalConstA,MATCH(AH345,FlowCalNumber,0),1,1)*AJ357^INDEX(FlowCalConstB,MATCH(AH345,FlowCalNumber,0),1,1)," ")</f>
        <v>#REF!</v>
      </c>
      <c r="AL357" s="33"/>
      <c r="AM357" s="242"/>
      <c r="AN357" s="241"/>
      <c r="AO357" s="244"/>
      <c r="AQ357" s="242"/>
      <c r="AR357" s="241"/>
      <c r="AS357" s="244"/>
      <c r="AT357" s="33"/>
      <c r="AU357" s="242"/>
      <c r="AV357" s="241"/>
      <c r="AW357" s="244"/>
      <c r="AX357" s="33"/>
      <c r="AY357" s="242"/>
      <c r="AZ357" s="241"/>
      <c r="BA357" s="244"/>
      <c r="BB357" s="33"/>
      <c r="BC357" s="242"/>
      <c r="BD357" s="241"/>
      <c r="BE357" s="244"/>
      <c r="BF357" s="33"/>
      <c r="BG357" s="242"/>
      <c r="BH357" s="241"/>
      <c r="BI357" s="244"/>
      <c r="BJ357" s="33"/>
      <c r="BK357" s="242"/>
      <c r="BL357" s="241"/>
      <c r="BM357" s="244"/>
      <c r="BN357" s="33"/>
      <c r="BO357" s="242"/>
      <c r="BP357" s="241"/>
      <c r="BQ357" s="244"/>
      <c r="BR357" s="33"/>
      <c r="BS357" s="242"/>
      <c r="BT357" s="241"/>
      <c r="BU357" s="244"/>
      <c r="BV357" s="33"/>
      <c r="BW357" s="242"/>
      <c r="BX357" s="241"/>
      <c r="BY357" s="244"/>
      <c r="BZ357" s="33"/>
      <c r="CA357" s="242"/>
      <c r="CB357" s="241"/>
      <c r="CC357" s="244"/>
      <c r="CD357" s="243"/>
      <c r="CE357" s="243"/>
      <c r="CF357" s="243"/>
      <c r="CG357" s="243"/>
      <c r="CH357" s="243"/>
      <c r="CI357" s="243"/>
      <c r="CJ357" s="243"/>
      <c r="CK357" s="243"/>
      <c r="CL357" s="243"/>
      <c r="CM357" s="243"/>
      <c r="CN357" s="243"/>
      <c r="CO357" s="243"/>
      <c r="CP357" s="243"/>
      <c r="CQ357" s="243"/>
      <c r="CR357" s="243"/>
      <c r="CS357" s="243"/>
      <c r="CT357" s="243"/>
      <c r="CU357" s="243"/>
      <c r="CV357" s="243"/>
      <c r="CW357" s="243"/>
      <c r="CX357" s="243"/>
      <c r="CY357" s="243"/>
      <c r="CZ357" s="243"/>
      <c r="DA357" s="243"/>
      <c r="DB357" s="243"/>
      <c r="DC357" s="243"/>
      <c r="DD357" s="243"/>
      <c r="DE357" s="243"/>
      <c r="DF357" s="243"/>
      <c r="DG357" s="243"/>
      <c r="DH357" s="243"/>
      <c r="DI357" s="243"/>
      <c r="DJ357" s="243"/>
      <c r="DK357" s="243"/>
      <c r="DM357" s="242"/>
      <c r="DO357" s="243"/>
      <c r="DQ357" s="242"/>
      <c r="DS357" s="243"/>
      <c r="DU357" s="242"/>
      <c r="DW357" s="243"/>
      <c r="DY357" s="242"/>
      <c r="EA357" s="243"/>
    </row>
    <row r="358" spans="1:131">
      <c r="A358" s="20"/>
      <c r="B358" s="124" t="str">
        <f t="shared" si="326"/>
        <v/>
      </c>
      <c r="C358" s="235"/>
      <c r="D358" s="24">
        <f>'1% Wind'!$M$94</f>
        <v>1.8</v>
      </c>
      <c r="E358" s="90"/>
      <c r="F358" s="90"/>
      <c r="G358" s="79" t="e">
        <f ca="1">IF(I345=0.9743,$G357,MAX(G357/D357*D358,2))</f>
        <v>#REF!</v>
      </c>
      <c r="H358" s="121" t="e">
        <f t="shared" ca="1" si="327"/>
        <v>#REF!</v>
      </c>
      <c r="J358" s="33"/>
      <c r="K358" s="242">
        <f t="shared" si="328"/>
        <v>1</v>
      </c>
      <c r="L358" s="241" t="e">
        <f t="shared" ca="1" si="329"/>
        <v>#REF!</v>
      </c>
      <c r="M358" s="243" t="e">
        <f ca="1">IF(AND(INDEX(FlowCalConstA,MATCH(J345,FlowCalNumber,0),1,1)*L358^INDEX(FlowCalConstB,MATCH(J345,FlowCalNumber,0),1,1)&gt;INDEX(FlowCalLowSetting,MATCH(J345,FlowCalNumber,0),1,1), (INDEX(FlowCalConstA,MATCH(J345,FlowCalNumber,0),1,1)*L358^INDEX(FlowCalConstB,MATCH(J345,FlowCalNumber,0),1,1)&lt;INDEX(FlowCalHighSetting,MATCH(J345,FlowCalNumber,0),1,1))),INDEX(FlowCalConstA,MATCH(J345,FlowCalNumber,0),1,1)*L358^INDEX(FlowCalConstB,MATCH(J345,FlowCalNumber,0),1,1)," ")</f>
        <v>#REF!</v>
      </c>
      <c r="N358" s="33"/>
      <c r="O358" s="242">
        <f t="shared" si="330"/>
        <v>1</v>
      </c>
      <c r="P358" s="241" t="e">
        <f t="shared" ca="1" si="331"/>
        <v>#REF!</v>
      </c>
      <c r="Q358" s="243" t="e">
        <f ca="1">IF(AND(INDEX(FlowCalConstA,MATCH(N345,FlowCalNumber,0),1,1)*P358^INDEX(FlowCalConstB,MATCH(N345,FlowCalNumber,0),1,1)&gt;INDEX(FlowCalLowSetting,MATCH(N345,FlowCalNumber,0),1,1), (INDEX(FlowCalConstA,MATCH(N345,FlowCalNumber,0),1,1)*P358^INDEX(FlowCalConstB,MATCH(N345,FlowCalNumber,0),1,1)&lt;INDEX(FlowCalHighSetting,MATCH(N345,FlowCalNumber,0),1,1))),INDEX(FlowCalConstA,MATCH(N345,FlowCalNumber,0),1,1)*P358^INDEX(FlowCalConstB,MATCH(N345,FlowCalNumber,0),1,1)," ")</f>
        <v>#REF!</v>
      </c>
      <c r="R358" s="33"/>
      <c r="S358" s="242">
        <f t="shared" si="332"/>
        <v>1</v>
      </c>
      <c r="T358" s="241" t="e">
        <f t="shared" ca="1" si="333"/>
        <v>#REF!</v>
      </c>
      <c r="U358" s="244" t="e">
        <f ca="1">IF(AND(INDEX(FlowCalConstA,MATCH(R345,FlowCalNumber,0),1,1)*T358^INDEX(FlowCalConstB,MATCH(R345,FlowCalNumber,0),1,1)&gt;INDEX(FlowCalLowSetting,MATCH(R345,FlowCalNumber,0),1,1), (INDEX(FlowCalConstA,MATCH(R345,FlowCalNumber,0),1,1)*T358^INDEX(FlowCalConstB,MATCH(R345,FlowCalNumber,0),1,1)&lt;INDEX(FlowCalHighSetting,MATCH(R345,FlowCalNumber,0),1,1))),INDEX(FlowCalConstA,MATCH(R345,FlowCalNumber,0),1,1)*T358^INDEX(FlowCalConstB,MATCH(R345,FlowCalNumber,0),1,1)," ")</f>
        <v>#REF!</v>
      </c>
      <c r="V358" s="33"/>
      <c r="W358" s="242">
        <f t="shared" si="334"/>
        <v>0.1</v>
      </c>
      <c r="X358" s="241" t="e">
        <f t="shared" ca="1" si="335"/>
        <v>#REF!</v>
      </c>
      <c r="Y358" s="243" t="e">
        <f ca="1">IF(AND(INDEX(FlowCalConstA,MATCH(V345,FlowCalNumber,0),1,1)*X358^INDEX(FlowCalConstB,MATCH(V345,FlowCalNumber,0),1,1)&gt;INDEX(FlowCalLowSetting,MATCH(V345,FlowCalNumber,0),1,1), (INDEX(FlowCalConstA,MATCH(V345,FlowCalNumber,0),1,1)*X358^INDEX(FlowCalConstB,MATCH(V345,FlowCalNumber,0),1,1)&lt;INDEX(FlowCalHighSetting,MATCH(V345,FlowCalNumber,0),1,1))),INDEX(FlowCalConstA,MATCH(V345,FlowCalNumber,0),1,1)*X358^INDEX(FlowCalConstB,MATCH(V345,FlowCalNumber,0),1,1)," ")</f>
        <v>#REF!</v>
      </c>
      <c r="Z358" s="33"/>
      <c r="AA358" s="242">
        <f t="shared" si="336"/>
        <v>0.9</v>
      </c>
      <c r="AB358" s="241" t="e">
        <f t="shared" ca="1" si="337"/>
        <v>#REF!</v>
      </c>
      <c r="AC358" s="243" t="e">
        <f ca="1">IF(AND(INDEX(FlowCalConstA,MATCH(Z345,FlowCalNumber,0),1,1)*AB358^INDEX(FlowCalConstB,MATCH(Z345,FlowCalNumber,0),1,1)&gt;INDEX(FlowCalLowSetting,MATCH(Z345,FlowCalNumber,0),1,1), (INDEX(FlowCalConstA,MATCH(Z345,FlowCalNumber,0),1,1)*AB358^INDEX(FlowCalConstB,MATCH(Z345,FlowCalNumber,0),1,1)&lt;INDEX(FlowCalHighSetting,MATCH(Z345,FlowCalNumber,0),1,1))),INDEX(FlowCalConstA,MATCH(Z345,FlowCalNumber,0),1,1)*AB358^INDEX(FlowCalConstB,MATCH(Z345,FlowCalNumber,0),1,1)," ")</f>
        <v>#REF!</v>
      </c>
      <c r="AD358" s="33"/>
      <c r="AE358" s="242">
        <f t="shared" si="338"/>
        <v>0.1</v>
      </c>
      <c r="AF358" s="241" t="e">
        <f t="shared" ca="1" si="339"/>
        <v>#REF!</v>
      </c>
      <c r="AG358" s="243" t="e">
        <f ca="1">IF(AND(INDEX(FlowCalConstA,MATCH(AD345,FlowCalNumber,0),1,1)*AF358^INDEX(FlowCalConstB,MATCH(AD345,FlowCalNumber,0),1,1)&gt;INDEX(FlowCalLowSetting,MATCH(AD345,FlowCalNumber,0),1,1), (INDEX(FlowCalConstA,MATCH(AD345,FlowCalNumber,0),1,1)*AF358^INDEX(FlowCalConstB,MATCH(AD345,FlowCalNumber,0),1,1)&lt;INDEX(FlowCalHighSetting,MATCH(AD345,FlowCalNumber,0),1,1))),INDEX(FlowCalConstA,MATCH(AD345,FlowCalNumber,0),1,1)*AF358^INDEX(FlowCalConstB,MATCH(AD345,FlowCalNumber,0),1,1)," ")</f>
        <v>#REF!</v>
      </c>
      <c r="AH358" s="33"/>
      <c r="AI358" s="242">
        <f t="shared" si="340"/>
        <v>0.9</v>
      </c>
      <c r="AJ358" s="241" t="e">
        <f t="shared" ca="1" si="341"/>
        <v>#REF!</v>
      </c>
      <c r="AK358" s="243" t="e">
        <f ca="1">IF(AND(INDEX(FlowCalConstA,MATCH(AH345,FlowCalNumber,0),1,1)*AJ358^INDEX(FlowCalConstB,MATCH(AH345,FlowCalNumber,0),1,1)&gt;INDEX(FlowCalLowSetting,MATCH(AH345,FlowCalNumber,0),1,1), (INDEX(FlowCalConstA,MATCH(AH345,FlowCalNumber,0),1,1)*AJ358^INDEX(FlowCalConstB,MATCH(AH345,FlowCalNumber,0),1,1)&lt;INDEX(FlowCalHighSetting,MATCH(AH345,FlowCalNumber,0),1,1))),INDEX(FlowCalConstA,MATCH(AH345,FlowCalNumber,0),1,1)*AJ358^INDEX(FlowCalConstB,MATCH(AH345,FlowCalNumber,0),1,1)," ")</f>
        <v>#REF!</v>
      </c>
      <c r="AL358" s="33"/>
      <c r="AM358" s="242"/>
      <c r="AN358" s="241"/>
      <c r="AO358" s="244"/>
      <c r="AQ358" s="242"/>
      <c r="AR358" s="241"/>
      <c r="AS358" s="244"/>
      <c r="AT358" s="33"/>
      <c r="AU358" s="242"/>
      <c r="AV358" s="241"/>
      <c r="AW358" s="244"/>
      <c r="AX358" s="33"/>
      <c r="AY358" s="242"/>
      <c r="AZ358" s="241"/>
      <c r="BA358" s="244"/>
      <c r="BB358" s="33"/>
      <c r="BC358" s="242"/>
      <c r="BD358" s="241"/>
      <c r="BE358" s="244"/>
      <c r="BF358" s="33"/>
      <c r="BG358" s="242"/>
      <c r="BH358" s="241"/>
      <c r="BI358" s="244"/>
      <c r="BJ358" s="33"/>
      <c r="BK358" s="242"/>
      <c r="BL358" s="241"/>
      <c r="BM358" s="244"/>
      <c r="BN358" s="33"/>
      <c r="BO358" s="242"/>
      <c r="BP358" s="241"/>
      <c r="BQ358" s="244"/>
      <c r="BR358" s="33"/>
      <c r="BS358" s="242"/>
      <c r="BT358" s="241"/>
      <c r="BU358" s="244"/>
      <c r="BV358" s="33"/>
      <c r="BW358" s="242"/>
      <c r="BX358" s="241"/>
      <c r="BY358" s="244"/>
      <c r="BZ358" s="33"/>
      <c r="CA358" s="242"/>
      <c r="CB358" s="241"/>
      <c r="CC358" s="244"/>
      <c r="CD358" s="243"/>
      <c r="CE358" s="243"/>
      <c r="CF358" s="243"/>
      <c r="CG358" s="243"/>
      <c r="CH358" s="243"/>
      <c r="CI358" s="243"/>
      <c r="CJ358" s="243"/>
      <c r="CK358" s="243"/>
      <c r="CL358" s="243"/>
      <c r="CM358" s="243"/>
      <c r="CN358" s="243"/>
      <c r="CO358" s="243"/>
      <c r="CP358" s="243"/>
      <c r="CQ358" s="243"/>
      <c r="CR358" s="243"/>
      <c r="CS358" s="243"/>
      <c r="CT358" s="243"/>
      <c r="CU358" s="243"/>
      <c r="CV358" s="243"/>
      <c r="CW358" s="243"/>
      <c r="CX358" s="243"/>
      <c r="CY358" s="243"/>
      <c r="CZ358" s="243"/>
      <c r="DA358" s="243"/>
      <c r="DB358" s="243"/>
      <c r="DC358" s="243"/>
      <c r="DD358" s="243"/>
      <c r="DE358" s="243"/>
      <c r="DF358" s="243"/>
      <c r="DG358" s="243"/>
      <c r="DH358" s="243"/>
      <c r="DI358" s="243"/>
      <c r="DJ358" s="243"/>
      <c r="DK358" s="243"/>
      <c r="DM358" s="242"/>
      <c r="DO358" s="243"/>
      <c r="DQ358" s="242"/>
      <c r="DS358" s="243"/>
      <c r="DU358" s="242"/>
      <c r="DW358" s="243"/>
      <c r="DY358" s="242"/>
      <c r="EA358" s="243"/>
    </row>
    <row r="359" spans="1:131">
      <c r="A359" s="20"/>
      <c r="B359" s="124" t="str">
        <f t="shared" si="326"/>
        <v/>
      </c>
      <c r="C359" s="235"/>
      <c r="D359" s="24">
        <f>'1% Wind'!$M$95</f>
        <v>1.3</v>
      </c>
      <c r="E359" s="90"/>
      <c r="F359" s="90"/>
      <c r="G359" s="79" t="e">
        <f ca="1">IF(I345=0.9743,$G358,MAX(G358/D358*D359,2))</f>
        <v>#REF!</v>
      </c>
      <c r="H359" s="121" t="e">
        <f t="shared" ca="1" si="327"/>
        <v>#REF!</v>
      </c>
      <c r="J359" s="33"/>
      <c r="K359" s="242">
        <f t="shared" si="328"/>
        <v>1</v>
      </c>
      <c r="L359" s="241" t="e">
        <f t="shared" ca="1" si="329"/>
        <v>#REF!</v>
      </c>
      <c r="M359" s="243" t="e">
        <f ca="1">IF(AND(INDEX(FlowCalConstA,MATCH(J345,FlowCalNumber,0),1,1)*L359^INDEX(FlowCalConstB,MATCH(J345,FlowCalNumber,0),1,1)&gt;INDEX(FlowCalLowSetting,MATCH(J345,FlowCalNumber,0),1,1), (INDEX(FlowCalConstA,MATCH(J345,FlowCalNumber,0),1,1)*L359^INDEX(FlowCalConstB,MATCH(J345,FlowCalNumber,0),1,1)&lt;INDEX(FlowCalHighSetting,MATCH(J345,FlowCalNumber,0),1,1))),INDEX(FlowCalConstA,MATCH(J345,FlowCalNumber,0),1,1)*L359^INDEX(FlowCalConstB,MATCH(J345,FlowCalNumber,0),1,1)," ")</f>
        <v>#REF!</v>
      </c>
      <c r="N359" s="33"/>
      <c r="O359" s="242">
        <f t="shared" si="330"/>
        <v>1</v>
      </c>
      <c r="P359" s="241" t="e">
        <f t="shared" ca="1" si="331"/>
        <v>#REF!</v>
      </c>
      <c r="Q359" s="243" t="e">
        <f ca="1">IF(AND(INDEX(FlowCalConstA,MATCH(N345,FlowCalNumber,0),1,1)*P359^INDEX(FlowCalConstB,MATCH(N345,FlowCalNumber,0),1,1)&gt;INDEX(FlowCalLowSetting,MATCH(N345,FlowCalNumber,0),1,1), (INDEX(FlowCalConstA,MATCH(N345,FlowCalNumber,0),1,1)*P359^INDEX(FlowCalConstB,MATCH(N345,FlowCalNumber,0),1,1)&lt;INDEX(FlowCalHighSetting,MATCH(N345,FlowCalNumber,0),1,1))),INDEX(FlowCalConstA,MATCH(N345,FlowCalNumber,0),1,1)*P359^INDEX(FlowCalConstB,MATCH(N345,FlowCalNumber,0),1,1)," ")</f>
        <v>#REF!</v>
      </c>
      <c r="R359" s="33"/>
      <c r="S359" s="242">
        <f t="shared" si="332"/>
        <v>1</v>
      </c>
      <c r="T359" s="241" t="e">
        <f t="shared" ca="1" si="333"/>
        <v>#REF!</v>
      </c>
      <c r="U359" s="244" t="e">
        <f ca="1">IF(AND(INDEX(FlowCalConstA,MATCH(R345,FlowCalNumber,0),1,1)*T359^INDEX(FlowCalConstB,MATCH(R345,FlowCalNumber,0),1,1)&gt;INDEX(FlowCalLowSetting,MATCH(R345,FlowCalNumber,0),1,1), (INDEX(FlowCalConstA,MATCH(R345,FlowCalNumber,0),1,1)*T359^INDEX(FlowCalConstB,MATCH(R345,FlowCalNumber,0),1,1)&lt;INDEX(FlowCalHighSetting,MATCH(R345,FlowCalNumber,0),1,1))),INDEX(FlowCalConstA,MATCH(R345,FlowCalNumber,0),1,1)*T359^INDEX(FlowCalConstB,MATCH(R345,FlowCalNumber,0),1,1)," ")</f>
        <v>#REF!</v>
      </c>
      <c r="V359" s="33"/>
      <c r="W359" s="242">
        <f t="shared" si="334"/>
        <v>0.1</v>
      </c>
      <c r="X359" s="241" t="e">
        <f t="shared" ca="1" si="335"/>
        <v>#REF!</v>
      </c>
      <c r="Y359" s="243" t="e">
        <f ca="1">IF(AND(INDEX(FlowCalConstA,MATCH(V345,FlowCalNumber,0),1,1)*X359^INDEX(FlowCalConstB,MATCH(V345,FlowCalNumber,0),1,1)&gt;INDEX(FlowCalLowSetting,MATCH(V345,FlowCalNumber,0),1,1), (INDEX(FlowCalConstA,MATCH(V345,FlowCalNumber,0),1,1)*X359^INDEX(FlowCalConstB,MATCH(V345,FlowCalNumber,0),1,1)&lt;INDEX(FlowCalHighSetting,MATCH(V345,FlowCalNumber,0),1,1))),INDEX(FlowCalConstA,MATCH(V345,FlowCalNumber,0),1,1)*X359^INDEX(FlowCalConstB,MATCH(V345,FlowCalNumber,0),1,1)," ")</f>
        <v>#REF!</v>
      </c>
      <c r="Z359" s="33"/>
      <c r="AA359" s="242">
        <f t="shared" si="336"/>
        <v>0.9</v>
      </c>
      <c r="AB359" s="241" t="e">
        <f t="shared" ca="1" si="337"/>
        <v>#REF!</v>
      </c>
      <c r="AC359" s="243" t="e">
        <f ca="1">IF(AND(INDEX(FlowCalConstA,MATCH(Z345,FlowCalNumber,0),1,1)*AB359^INDEX(FlowCalConstB,MATCH(Z345,FlowCalNumber,0),1,1)&gt;INDEX(FlowCalLowSetting,MATCH(Z345,FlowCalNumber,0),1,1), (INDEX(FlowCalConstA,MATCH(Z345,FlowCalNumber,0),1,1)*AB359^INDEX(FlowCalConstB,MATCH(Z345,FlowCalNumber,0),1,1)&lt;INDEX(FlowCalHighSetting,MATCH(Z345,FlowCalNumber,0),1,1))),INDEX(FlowCalConstA,MATCH(Z345,FlowCalNumber,0),1,1)*AB359^INDEX(FlowCalConstB,MATCH(Z345,FlowCalNumber,0),1,1)," ")</f>
        <v>#REF!</v>
      </c>
      <c r="AD359" s="33"/>
      <c r="AE359" s="242">
        <f t="shared" si="338"/>
        <v>0.1</v>
      </c>
      <c r="AF359" s="241" t="e">
        <f t="shared" ca="1" si="339"/>
        <v>#REF!</v>
      </c>
      <c r="AG359" s="243" t="e">
        <f ca="1">IF(AND(INDEX(FlowCalConstA,MATCH(AD345,FlowCalNumber,0),1,1)*AF359^INDEX(FlowCalConstB,MATCH(AD345,FlowCalNumber,0),1,1)&gt;INDEX(FlowCalLowSetting,MATCH(AD345,FlowCalNumber,0),1,1), (INDEX(FlowCalConstA,MATCH(AD345,FlowCalNumber,0),1,1)*AF359^INDEX(FlowCalConstB,MATCH(AD345,FlowCalNumber,0),1,1)&lt;INDEX(FlowCalHighSetting,MATCH(AD345,FlowCalNumber,0),1,1))),INDEX(FlowCalConstA,MATCH(AD345,FlowCalNumber,0),1,1)*AF359^INDEX(FlowCalConstB,MATCH(AD345,FlowCalNumber,0),1,1)," ")</f>
        <v>#REF!</v>
      </c>
      <c r="AH359" s="33"/>
      <c r="AI359" s="242">
        <f t="shared" si="340"/>
        <v>0.9</v>
      </c>
      <c r="AJ359" s="241" t="e">
        <f t="shared" ca="1" si="341"/>
        <v>#REF!</v>
      </c>
      <c r="AK359" s="243" t="e">
        <f ca="1">IF(AND(INDEX(FlowCalConstA,MATCH(AH345,FlowCalNumber,0),1,1)*AJ359^INDEX(FlowCalConstB,MATCH(AH345,FlowCalNumber,0),1,1)&gt;INDEX(FlowCalLowSetting,MATCH(AH345,FlowCalNumber,0),1,1), (INDEX(FlowCalConstA,MATCH(AH345,FlowCalNumber,0),1,1)*AJ359^INDEX(FlowCalConstB,MATCH(AH345,FlowCalNumber,0),1,1)&lt;INDEX(FlowCalHighSetting,MATCH(AH345,FlowCalNumber,0),1,1))),INDEX(FlowCalConstA,MATCH(AH345,FlowCalNumber,0),1,1)*AJ359^INDEX(FlowCalConstB,MATCH(AH345,FlowCalNumber,0),1,1)," ")</f>
        <v>#REF!</v>
      </c>
      <c r="AL359" s="33"/>
      <c r="AM359" s="242"/>
      <c r="AN359" s="241"/>
      <c r="AO359" s="244"/>
      <c r="AQ359" s="242"/>
      <c r="AR359" s="241"/>
      <c r="AS359" s="244"/>
      <c r="AT359" s="33"/>
      <c r="AU359" s="242"/>
      <c r="AV359" s="241"/>
      <c r="AW359" s="244"/>
      <c r="AX359" s="33"/>
      <c r="AY359" s="242"/>
      <c r="AZ359" s="241"/>
      <c r="BA359" s="244"/>
      <c r="BB359" s="33"/>
      <c r="BC359" s="242"/>
      <c r="BD359" s="241"/>
      <c r="BE359" s="244"/>
      <c r="BF359" s="33"/>
      <c r="BG359" s="242"/>
      <c r="BH359" s="241"/>
      <c r="BI359" s="244"/>
      <c r="BJ359" s="33"/>
      <c r="BK359" s="242"/>
      <c r="BL359" s="241"/>
      <c r="BM359" s="244"/>
      <c r="BN359" s="33"/>
      <c r="BO359" s="242"/>
      <c r="BP359" s="241"/>
      <c r="BQ359" s="244"/>
      <c r="BR359" s="33"/>
      <c r="BS359" s="242"/>
      <c r="BT359" s="241"/>
      <c r="BU359" s="244"/>
      <c r="BV359" s="33"/>
      <c r="BW359" s="242"/>
      <c r="BX359" s="241"/>
      <c r="BY359" s="244"/>
      <c r="BZ359" s="33"/>
      <c r="CA359" s="242"/>
      <c r="CB359" s="241"/>
      <c r="CC359" s="244"/>
      <c r="CD359" s="243"/>
      <c r="CE359" s="243"/>
      <c r="CF359" s="243"/>
      <c r="CG359" s="243"/>
      <c r="CH359" s="243"/>
      <c r="CI359" s="243"/>
      <c r="CJ359" s="243"/>
      <c r="CK359" s="243"/>
      <c r="CL359" s="243"/>
      <c r="CM359" s="243"/>
      <c r="CN359" s="243"/>
      <c r="CO359" s="243"/>
      <c r="CP359" s="243"/>
      <c r="CQ359" s="243"/>
      <c r="CR359" s="243"/>
      <c r="CS359" s="243"/>
      <c r="CT359" s="243"/>
      <c r="CU359" s="243"/>
      <c r="CV359" s="243"/>
      <c r="CW359" s="243"/>
      <c r="CX359" s="243"/>
      <c r="CY359" s="243"/>
      <c r="CZ359" s="243"/>
      <c r="DA359" s="243"/>
      <c r="DB359" s="243"/>
      <c r="DC359" s="243"/>
      <c r="DD359" s="243"/>
      <c r="DE359" s="243"/>
      <c r="DF359" s="243"/>
      <c r="DG359" s="243"/>
      <c r="DH359" s="243"/>
      <c r="DI359" s="243"/>
      <c r="DJ359" s="243"/>
      <c r="DK359" s="243"/>
      <c r="DM359" s="242"/>
      <c r="DO359" s="243"/>
      <c r="DQ359" s="242"/>
      <c r="DS359" s="243"/>
      <c r="DU359" s="242"/>
      <c r="DW359" s="243"/>
      <c r="DY359" s="242"/>
      <c r="EA359" s="243"/>
    </row>
    <row r="360" spans="1:131">
      <c r="A360" s="20"/>
      <c r="B360" s="124" t="str">
        <f t="shared" si="326"/>
        <v/>
      </c>
      <c r="C360" s="235"/>
      <c r="D360" s="24">
        <f>'1% Wind'!$M$96</f>
        <v>1</v>
      </c>
      <c r="E360" s="90"/>
      <c r="F360" s="90"/>
      <c r="G360" s="79" t="e">
        <f ca="1">IF(I345=0.9743,$G359,MAX(G359/D359*D360,2))</f>
        <v>#REF!</v>
      </c>
      <c r="H360" s="121" t="e">
        <f t="shared" ca="1" si="327"/>
        <v>#REF!</v>
      </c>
      <c r="J360" s="33"/>
      <c r="K360" s="242">
        <f t="shared" si="328"/>
        <v>1</v>
      </c>
      <c r="L360" s="241" t="e">
        <f t="shared" ca="1" si="329"/>
        <v>#REF!</v>
      </c>
      <c r="M360" s="243" t="e">
        <f ca="1">IF(AND(INDEX(FlowCalConstA,MATCH(J345,FlowCalNumber,0),1,1)*L360^INDEX(FlowCalConstB,MATCH(J345,FlowCalNumber,0),1,1)&gt;INDEX(FlowCalLowSetting,MATCH(J345,FlowCalNumber,0),1,1), (INDEX(FlowCalConstA,MATCH(J345,FlowCalNumber,0),1,1)*L360^INDEX(FlowCalConstB,MATCH(J345,FlowCalNumber,0),1,1)&lt;INDEX(FlowCalHighSetting,MATCH(J345,FlowCalNumber,0),1,1))),INDEX(FlowCalConstA,MATCH(J345,FlowCalNumber,0),1,1)*L360^INDEX(FlowCalConstB,MATCH(J345,FlowCalNumber,0),1,1)," ")</f>
        <v>#REF!</v>
      </c>
      <c r="N360" s="33"/>
      <c r="O360" s="242">
        <f t="shared" si="330"/>
        <v>1</v>
      </c>
      <c r="P360" s="241" t="e">
        <f t="shared" ca="1" si="331"/>
        <v>#REF!</v>
      </c>
      <c r="Q360" s="243" t="e">
        <f ca="1">IF(AND(INDEX(FlowCalConstA,MATCH(N345,FlowCalNumber,0),1,1)*P360^INDEX(FlowCalConstB,MATCH(N345,FlowCalNumber,0),1,1)&gt;INDEX(FlowCalLowSetting,MATCH(N345,FlowCalNumber,0),1,1), (INDEX(FlowCalConstA,MATCH(N345,FlowCalNumber,0),1,1)*P360^INDEX(FlowCalConstB,MATCH(N345,FlowCalNumber,0),1,1)&lt;INDEX(FlowCalHighSetting,MATCH(N345,FlowCalNumber,0),1,1))),INDEX(FlowCalConstA,MATCH(N345,FlowCalNumber,0),1,1)*P360^INDEX(FlowCalConstB,MATCH(N345,FlowCalNumber,0),1,1)," ")</f>
        <v>#REF!</v>
      </c>
      <c r="R360" s="33"/>
      <c r="S360" s="242">
        <f t="shared" si="332"/>
        <v>1</v>
      </c>
      <c r="T360" s="241" t="e">
        <f t="shared" ca="1" si="333"/>
        <v>#REF!</v>
      </c>
      <c r="U360" s="244" t="e">
        <f ca="1">IF(AND(INDEX(FlowCalConstA,MATCH(R345,FlowCalNumber,0),1,1)*T360^INDEX(FlowCalConstB,MATCH(R345,FlowCalNumber,0),1,1)&gt;INDEX(FlowCalLowSetting,MATCH(R345,FlowCalNumber,0),1,1), (INDEX(FlowCalConstA,MATCH(R345,FlowCalNumber,0),1,1)*T360^INDEX(FlowCalConstB,MATCH(R345,FlowCalNumber,0),1,1)&lt;INDEX(FlowCalHighSetting,MATCH(R345,FlowCalNumber,0),1,1))),INDEX(FlowCalConstA,MATCH(R345,FlowCalNumber,0),1,1)*T360^INDEX(FlowCalConstB,MATCH(R345,FlowCalNumber,0),1,1)," ")</f>
        <v>#REF!</v>
      </c>
      <c r="V360" s="33"/>
      <c r="W360" s="242">
        <f t="shared" si="334"/>
        <v>0.1</v>
      </c>
      <c r="X360" s="241" t="e">
        <f t="shared" ca="1" si="335"/>
        <v>#REF!</v>
      </c>
      <c r="Y360" s="243" t="e">
        <f ca="1">IF(AND(INDEX(FlowCalConstA,MATCH(V345,FlowCalNumber,0),1,1)*X360^INDEX(FlowCalConstB,MATCH(V345,FlowCalNumber,0),1,1)&gt;INDEX(FlowCalLowSetting,MATCH(V345,FlowCalNumber,0),1,1), (INDEX(FlowCalConstA,MATCH(V345,FlowCalNumber,0),1,1)*X360^INDEX(FlowCalConstB,MATCH(V345,FlowCalNumber,0),1,1)&lt;INDEX(FlowCalHighSetting,MATCH(V345,FlowCalNumber,0),1,1))),INDEX(FlowCalConstA,MATCH(V345,FlowCalNumber,0),1,1)*X360^INDEX(FlowCalConstB,MATCH(V345,FlowCalNumber,0),1,1)," ")</f>
        <v>#REF!</v>
      </c>
      <c r="Z360" s="33"/>
      <c r="AA360" s="242">
        <f t="shared" si="336"/>
        <v>0.9</v>
      </c>
      <c r="AB360" s="241" t="e">
        <f t="shared" ca="1" si="337"/>
        <v>#REF!</v>
      </c>
      <c r="AC360" s="243" t="e">
        <f ca="1">IF(AND(INDEX(FlowCalConstA,MATCH(Z345,FlowCalNumber,0),1,1)*AB360^INDEX(FlowCalConstB,MATCH(Z345,FlowCalNumber,0),1,1)&gt;INDEX(FlowCalLowSetting,MATCH(Z345,FlowCalNumber,0),1,1), (INDEX(FlowCalConstA,MATCH(Z345,FlowCalNumber,0),1,1)*AB360^INDEX(FlowCalConstB,MATCH(Z345,FlowCalNumber,0),1,1)&lt;INDEX(FlowCalHighSetting,MATCH(Z345,FlowCalNumber,0),1,1))),INDEX(FlowCalConstA,MATCH(Z345,FlowCalNumber,0),1,1)*AB360^INDEX(FlowCalConstB,MATCH(Z345,FlowCalNumber,0),1,1)," ")</f>
        <v>#REF!</v>
      </c>
      <c r="AD360" s="33"/>
      <c r="AE360" s="242">
        <f t="shared" si="338"/>
        <v>0.1</v>
      </c>
      <c r="AF360" s="241" t="e">
        <f t="shared" ca="1" si="339"/>
        <v>#REF!</v>
      </c>
      <c r="AG360" s="243" t="e">
        <f ca="1">IF(AND(INDEX(FlowCalConstA,MATCH(AD345,FlowCalNumber,0),1,1)*AF360^INDEX(FlowCalConstB,MATCH(AD345,FlowCalNumber,0),1,1)&gt;INDEX(FlowCalLowSetting,MATCH(AD345,FlowCalNumber,0),1,1), (INDEX(FlowCalConstA,MATCH(AD345,FlowCalNumber,0),1,1)*AF360^INDEX(FlowCalConstB,MATCH(AD345,FlowCalNumber,0),1,1)&lt;INDEX(FlowCalHighSetting,MATCH(AD345,FlowCalNumber,0),1,1))),INDEX(FlowCalConstA,MATCH(AD345,FlowCalNumber,0),1,1)*AF360^INDEX(FlowCalConstB,MATCH(AD345,FlowCalNumber,0),1,1)," ")</f>
        <v>#REF!</v>
      </c>
      <c r="AH360" s="33"/>
      <c r="AI360" s="242">
        <f t="shared" si="340"/>
        <v>0.9</v>
      </c>
      <c r="AJ360" s="241" t="e">
        <f t="shared" ca="1" si="341"/>
        <v>#REF!</v>
      </c>
      <c r="AK360" s="243" t="e">
        <f ca="1">IF(AND(INDEX(FlowCalConstA,MATCH(AH345,FlowCalNumber,0),1,1)*AJ360^INDEX(FlowCalConstB,MATCH(AH345,FlowCalNumber,0),1,1)&gt;INDEX(FlowCalLowSetting,MATCH(AH345,FlowCalNumber,0),1,1), (INDEX(FlowCalConstA,MATCH(AH345,FlowCalNumber,0),1,1)*AJ360^INDEX(FlowCalConstB,MATCH(AH345,FlowCalNumber,0),1,1)&lt;INDEX(FlowCalHighSetting,MATCH(AH345,FlowCalNumber,0),1,1))),INDEX(FlowCalConstA,MATCH(AH345,FlowCalNumber,0),1,1)*AJ360^INDEX(FlowCalConstB,MATCH(AH345,FlowCalNumber,0),1,1)," ")</f>
        <v>#REF!</v>
      </c>
      <c r="AL360" s="33"/>
      <c r="AM360" s="242"/>
      <c r="AN360" s="241"/>
      <c r="AO360" s="244"/>
      <c r="AQ360" s="242"/>
      <c r="AR360" s="241"/>
      <c r="AS360" s="244"/>
      <c r="AT360" s="33"/>
      <c r="AU360" s="242"/>
      <c r="AV360" s="241"/>
      <c r="AW360" s="244"/>
      <c r="AX360" s="33"/>
      <c r="AY360" s="242"/>
      <c r="AZ360" s="241"/>
      <c r="BA360" s="244"/>
      <c r="BB360" s="33"/>
      <c r="BC360" s="242"/>
      <c r="BD360" s="241"/>
      <c r="BE360" s="244"/>
      <c r="BF360" s="33"/>
      <c r="BG360" s="242"/>
      <c r="BH360" s="241"/>
      <c r="BI360" s="244"/>
      <c r="BJ360" s="33"/>
      <c r="BK360" s="242"/>
      <c r="BL360" s="241"/>
      <c r="BM360" s="244"/>
      <c r="BN360" s="33"/>
      <c r="BO360" s="242"/>
      <c r="BP360" s="241"/>
      <c r="BQ360" s="244"/>
      <c r="BR360" s="33"/>
      <c r="BS360" s="242"/>
      <c r="BT360" s="241"/>
      <c r="BU360" s="244"/>
      <c r="BV360" s="33"/>
      <c r="BW360" s="242"/>
      <c r="BX360" s="241"/>
      <c r="BY360" s="244"/>
      <c r="BZ360" s="33"/>
      <c r="CA360" s="242"/>
      <c r="CB360" s="241"/>
      <c r="CC360" s="244"/>
      <c r="CD360" s="243"/>
      <c r="CE360" s="243"/>
      <c r="CF360" s="243"/>
      <c r="CG360" s="243"/>
      <c r="CH360" s="243"/>
      <c r="CI360" s="243"/>
      <c r="CJ360" s="243"/>
      <c r="CK360" s="243"/>
      <c r="CL360" s="243"/>
      <c r="CM360" s="243"/>
      <c r="CN360" s="243"/>
      <c r="CO360" s="243"/>
      <c r="CP360" s="243"/>
      <c r="CQ360" s="243"/>
      <c r="CR360" s="243"/>
      <c r="CS360" s="243"/>
      <c r="CT360" s="243"/>
      <c r="CU360" s="243"/>
      <c r="CV360" s="243"/>
      <c r="CW360" s="243"/>
      <c r="CX360" s="243"/>
      <c r="CY360" s="243"/>
      <c r="CZ360" s="243"/>
      <c r="DA360" s="243"/>
      <c r="DB360" s="243"/>
      <c r="DC360" s="243"/>
      <c r="DD360" s="243"/>
      <c r="DE360" s="243"/>
      <c r="DF360" s="243"/>
      <c r="DG360" s="243"/>
      <c r="DH360" s="243"/>
      <c r="DI360" s="243"/>
      <c r="DJ360" s="243"/>
      <c r="DK360" s="243"/>
      <c r="DM360" s="242"/>
      <c r="DO360" s="243"/>
      <c r="DQ360" s="242"/>
      <c r="DS360" s="243"/>
      <c r="DU360" s="242"/>
      <c r="DW360" s="243"/>
      <c r="DY360" s="242"/>
      <c r="EA360" s="243"/>
    </row>
    <row r="361" spans="1:131">
      <c r="A361" s="33"/>
      <c r="B361" s="33"/>
      <c r="C361" s="235"/>
      <c r="E361" s="90"/>
      <c r="F361" s="90"/>
      <c r="G361" s="33"/>
      <c r="J361" s="33"/>
      <c r="M361" s="243"/>
      <c r="N361" s="33"/>
      <c r="Q361" s="243"/>
      <c r="R361" s="33"/>
      <c r="U361" s="244"/>
      <c r="V361" s="33"/>
      <c r="Y361" s="243"/>
      <c r="Z361" s="33"/>
      <c r="AC361" s="243"/>
      <c r="AD361" s="33"/>
      <c r="AG361" s="243"/>
      <c r="AH361" s="33"/>
      <c r="AK361" s="243"/>
      <c r="AL361" s="33"/>
      <c r="AO361" s="244"/>
      <c r="AS361" s="244"/>
      <c r="AT361" s="33"/>
      <c r="AW361" s="244"/>
      <c r="AX361" s="33"/>
      <c r="BA361" s="244"/>
      <c r="BB361" s="33"/>
      <c r="BE361" s="244"/>
      <c r="BF361" s="33"/>
      <c r="BI361" s="244"/>
      <c r="BJ361" s="33"/>
      <c r="BM361" s="244"/>
      <c r="BN361" s="33"/>
      <c r="BQ361" s="244"/>
      <c r="BR361" s="792"/>
      <c r="BS361" s="243"/>
      <c r="BT361" s="243"/>
      <c r="BU361" s="244"/>
      <c r="BV361" s="33"/>
      <c r="BY361" s="244"/>
      <c r="BZ361" s="33"/>
      <c r="CC361" s="244"/>
      <c r="CD361" s="243"/>
      <c r="CE361" s="243"/>
      <c r="CF361" s="243"/>
      <c r="CG361" s="243"/>
      <c r="CH361" s="243"/>
      <c r="CI361" s="243"/>
      <c r="CJ361" s="243"/>
      <c r="CK361" s="243"/>
      <c r="CL361" s="243"/>
      <c r="CM361" s="243"/>
      <c r="CN361" s="243"/>
      <c r="CO361" s="243"/>
      <c r="CP361" s="243"/>
      <c r="CQ361" s="243"/>
      <c r="CR361" s="243"/>
      <c r="CS361" s="243"/>
      <c r="CT361" s="243"/>
      <c r="CU361" s="243"/>
      <c r="CV361" s="243"/>
      <c r="CW361" s="243"/>
      <c r="CX361" s="243"/>
      <c r="CY361" s="243"/>
      <c r="CZ361" s="243"/>
      <c r="DA361" s="243"/>
      <c r="DB361" s="243"/>
      <c r="DC361" s="243"/>
      <c r="DD361" s="243"/>
      <c r="DE361" s="243"/>
      <c r="DF361" s="243"/>
      <c r="DG361" s="243"/>
      <c r="DH361" s="243"/>
      <c r="DI361" s="243"/>
      <c r="DJ361" s="243"/>
      <c r="DK361" s="243"/>
      <c r="DO361" s="243"/>
      <c r="DS361" s="243"/>
      <c r="DW361" s="243"/>
      <c r="EA361" s="243"/>
    </row>
    <row r="362" spans="1:131">
      <c r="A362" s="256" t="str">
        <f>IF((RIGHT(A345,1))&lt;&gt;"Z",CHAR(CODE(A345))&amp;CHAR(CODE(RIGHT(A345,1))+1),CHAR(CODE(A345)+1)&amp;"A")</f>
        <v>AU</v>
      </c>
      <c r="B362" s="270" t="e">
        <f>INDEX(SourceID,MATCH($A362,SourceNumber,0),1,1)</f>
        <v>#N/A</v>
      </c>
      <c r="C362" s="354" t="e">
        <f>INDEX(SourceExitDiameter,MATCH($A362,SourceNumber,0),1,1)*3.28*12</f>
        <v>#N/A</v>
      </c>
      <c r="D362" s="24" t="str">
        <f>UAnem1percent</f>
        <v>1% Wind</v>
      </c>
      <c r="E362" s="350" t="e">
        <f ca="1">INDIRECT(ADDRESS(53,6,1,,CONCATENATE("TA",$A362)))</f>
        <v>#REF!</v>
      </c>
      <c r="F362" s="625" t="e">
        <f ca="1">(ROUND((INDIRECT(ADDRESS(15,7,1,,CONCATENATE("TA",$A362)))*3.28*12*32),0)&amp;"/32")</f>
        <v>#REF!</v>
      </c>
      <c r="G362" s="125" t="e">
        <f ca="1">INDIRECT(ADDRESS(29,7,1,,$A362))</f>
        <v>#REF!</v>
      </c>
      <c r="H362" s="24" t="e">
        <f ca="1">INDIRECT(ADDRESS(19,7,1,,$A362))*100^3</f>
        <v>#REF!</v>
      </c>
      <c r="I362" s="941" t="e">
        <f ca="1">INDIRECT(ADDRESS(53,7,1,,$A362))</f>
        <v>#REF!</v>
      </c>
      <c r="J362" s="20" t="e">
        <f ca="1">IF($I362=$I$6,K$16&amp;$G$6&amp;J$6,IF($I362=$I$7,K$16&amp;$G$7&amp;J$7,"Bad"))</f>
        <v>#REF!</v>
      </c>
      <c r="K362" t="e">
        <f ca="1">INDEX(FlowCalGasMixture,MATCH(J362,FlowCalNumber,0),1,1)</f>
        <v>#REF!</v>
      </c>
      <c r="M362" s="944" t="e">
        <f ca="1">INDEX(FlowCalDevice,MATCH(J362,FlowCalNumber,0),1,1)</f>
        <v>#REF!</v>
      </c>
      <c r="N362" s="943" t="e">
        <f ca="1">IF($I362=$I$6,O$16&amp;$G$6&amp;"90"&amp;$H$6&amp;N$6,IF($I362=$I$7,O$16&amp;$G$7&amp;"90"&amp;$H$7&amp;N$7,"Bad"))</f>
        <v>#REF!</v>
      </c>
      <c r="O362" t="e">
        <f ca="1">INDEX(FlowCalGasMixture,MATCH(N362,FlowCalNumber,0),1,1)</f>
        <v>#REF!</v>
      </c>
      <c r="Q362" s="944" t="e">
        <f ca="1">INDEX(FlowCalDevice,MATCH(N362,FlowCalNumber,0),1,1)</f>
        <v>#REF!</v>
      </c>
      <c r="R362" s="943" t="e">
        <f ca="1">IF($I362=$I$6,S$16&amp;$G$6&amp;"90"&amp;$H$6&amp;R$6,IF($I362=$I$7,S$16&amp;$G$7&amp;"90"&amp;$H$7&amp;R$7,"Bad"))</f>
        <v>#REF!</v>
      </c>
      <c r="S362" t="e">
        <f ca="1">INDEX(FlowCalGasMixture,MATCH(R362,FlowCalNumber,0),1,1)</f>
        <v>#REF!</v>
      </c>
      <c r="U362" s="944" t="e">
        <f ca="1">INDEX(FlowCalDevice,MATCH(R362,FlowCalNumber,0),1,1)</f>
        <v>#REF!</v>
      </c>
      <c r="V362" s="20" t="e">
        <f ca="1">IF($I362=$I$6,W$16&amp;$G$6&amp;V$6,IF($I362=$I$7,W$16&amp;$G$7&amp;V$7,"Bad"))</f>
        <v>#REF!</v>
      </c>
      <c r="W362" t="e">
        <f ca="1">INDEX(FlowCalGasMixture,MATCH(V362,FlowCalNumber,0),1,1)</f>
        <v>#REF!</v>
      </c>
      <c r="Y362" s="944" t="e">
        <f ca="1">INDEX(FlowCalDevice,MATCH(V362,FlowCalNumber,0),1,1)</f>
        <v>#REF!</v>
      </c>
      <c r="Z362" s="946" t="e">
        <f ca="1">IF($I362=$I$6,AA$18&amp;$H$6&amp;Z$6,IF($I362=$I$7,AA$18&amp;$H$7&amp;Z$7,"Bad"))</f>
        <v>#REF!</v>
      </c>
      <c r="AA362" t="e">
        <f ca="1">INDEX(FlowCalGasMixture,MATCH(Z362,FlowCalNumber,0),1,1)</f>
        <v>#REF!</v>
      </c>
      <c r="AC362" s="944" t="e">
        <f ca="1">INDEX(FlowCalDevice,MATCH(Z362,FlowCalNumber,0),1,1)</f>
        <v>#REF!</v>
      </c>
      <c r="AD362" s="20" t="e">
        <f ca="1">IF($I362=$I$6,AE$16&amp;$G$6&amp;AD$6,IF($I362=$I$7,AE$16&amp;$G$7&amp;AD$7,"Bad"))</f>
        <v>#REF!</v>
      </c>
      <c r="AE362" t="e">
        <f ca="1">INDEX(FlowCalGasMixture,MATCH(AD362,FlowCalNumber,0),1,1)</f>
        <v>#REF!</v>
      </c>
      <c r="AG362" s="944" t="e">
        <f ca="1">INDEX(FlowCalDevice,MATCH(AD362,FlowCalNumber,0),1,1)</f>
        <v>#REF!</v>
      </c>
      <c r="AH362" s="946" t="e">
        <f ca="1">IF($I362=$I$6,AI$18&amp;$H$6&amp;AH$6,IF($I362=$I$7,AI$18&amp;$H$7&amp;AH$7,"Bad"))</f>
        <v>#REF!</v>
      </c>
      <c r="AI362" t="e">
        <f ca="1">INDEX(FlowCalGasMixture,MATCH(AH362,FlowCalNumber,0),1,1)</f>
        <v>#REF!</v>
      </c>
      <c r="AK362" s="944" t="e">
        <f ca="1">INDEX(FlowCalDevice,MATCH(AH362,FlowCalNumber,0),1,1)</f>
        <v>#REF!</v>
      </c>
      <c r="AL362" s="20"/>
      <c r="AO362" s="982"/>
      <c r="AP362" s="960"/>
      <c r="AS362" s="982"/>
      <c r="AT362" s="20"/>
      <c r="AW362" s="982"/>
      <c r="AX362" s="946"/>
      <c r="BA362" s="982"/>
      <c r="BB362" s="20"/>
      <c r="BC362" s="16"/>
      <c r="BE362" s="982"/>
      <c r="BF362" s="946"/>
      <c r="BG362" s="16"/>
      <c r="BI362" s="982"/>
      <c r="BJ362" s="946"/>
      <c r="BK362" s="16"/>
      <c r="BM362" s="982"/>
      <c r="BN362" s="20"/>
      <c r="BO362" s="16"/>
      <c r="BQ362" s="982"/>
      <c r="BR362" s="946"/>
      <c r="BS362" s="16"/>
      <c r="BU362" s="982"/>
      <c r="BV362" s="946"/>
      <c r="BW362" s="16"/>
      <c r="BY362" s="982"/>
      <c r="BZ362" s="946"/>
      <c r="CA362" s="16"/>
      <c r="CC362" s="982"/>
      <c r="CD362" s="355"/>
      <c r="CE362" s="355"/>
      <c r="CF362" s="355"/>
      <c r="CG362" s="355"/>
      <c r="CH362" s="355"/>
      <c r="CI362" s="355"/>
      <c r="CJ362" s="355"/>
      <c r="CK362" s="355"/>
      <c r="CL362" s="355"/>
      <c r="CM362" s="355"/>
      <c r="CN362" s="355"/>
      <c r="CO362" s="355"/>
      <c r="CP362" s="355"/>
      <c r="CQ362" s="355"/>
      <c r="CR362" s="355"/>
      <c r="CS362" s="355"/>
      <c r="CT362" s="355"/>
      <c r="CU362" s="355"/>
      <c r="CV362" s="355"/>
      <c r="CW362" s="355"/>
      <c r="CX362" s="355"/>
      <c r="CY362" s="355"/>
      <c r="CZ362" s="355"/>
      <c r="DA362" s="355"/>
      <c r="DB362" s="355"/>
      <c r="DC362" s="355"/>
      <c r="DD362" s="355"/>
      <c r="DE362" s="355"/>
      <c r="DF362" s="355"/>
      <c r="DG362" s="355"/>
      <c r="DH362" s="355"/>
      <c r="DI362" s="355"/>
      <c r="DJ362" s="355"/>
      <c r="DK362" s="355"/>
      <c r="DL362" s="46"/>
      <c r="DM362" s="16"/>
      <c r="DO362" s="355"/>
      <c r="DP362" s="42"/>
      <c r="DQ362" s="16"/>
      <c r="DS362" s="355"/>
      <c r="DT362" s="42"/>
      <c r="DU362" s="16"/>
      <c r="DW362" s="355"/>
      <c r="DX362" s="42"/>
      <c r="DY362" s="16"/>
      <c r="EA362" s="355"/>
    </row>
    <row r="363" spans="1:131">
      <c r="A363" s="20"/>
      <c r="B363" s="124" t="str">
        <f t="shared" ref="B363:B377" si="342">IF(D363=UAnem1percent,"1% Wind","")</f>
        <v/>
      </c>
      <c r="C363" s="235"/>
      <c r="D363" s="24">
        <f>'1% Wind'!$M$82</f>
        <v>27</v>
      </c>
      <c r="E363" s="90"/>
      <c r="F363" s="90"/>
      <c r="G363" s="79" t="e">
        <f ca="1">IF(I362=0.9743,$G362,MAX(G362/D362*D363,2))</f>
        <v>#REF!</v>
      </c>
      <c r="H363" s="121" t="e">
        <f t="shared" ref="H363:H377" ca="1" si="343">H362*(D362/D363)*(G363/G362)</f>
        <v>#REF!</v>
      </c>
      <c r="J363" s="33"/>
      <c r="K363" s="260">
        <f>K$17/100</f>
        <v>1</v>
      </c>
      <c r="L363" s="241" t="e">
        <f ca="1">K363*$H363</f>
        <v>#REF!</v>
      </c>
      <c r="M363" s="243" t="e">
        <f ca="1">IF(AND(INDEX(FlowCalConstA,MATCH(J362,FlowCalNumber,0),1,1)*L363^INDEX(FlowCalConstB,MATCH(J362,FlowCalNumber,0),1,1)&gt;INDEX(FlowCalLowSetting,MATCH(J362,FlowCalNumber,0),1,1), (INDEX(FlowCalConstA,MATCH(J362,FlowCalNumber,0),1,1)*L363^INDEX(FlowCalConstB,MATCH(J362,FlowCalNumber,0),1,1)&lt;INDEX(FlowCalHighSetting,MATCH(J362,FlowCalNumber,0),1,1))),INDEX(FlowCalConstA,MATCH(J362,FlowCalNumber,0),1,1)*L363^INDEX(FlowCalConstB,MATCH(J362,FlowCalNumber,0),1,1)," ")</f>
        <v>#REF!</v>
      </c>
      <c r="N363" s="33"/>
      <c r="O363" s="260">
        <f>O$17/100</f>
        <v>1</v>
      </c>
      <c r="P363" s="241" t="e">
        <f ca="1">O363*$H363</f>
        <v>#REF!</v>
      </c>
      <c r="Q363" s="243" t="e">
        <f ca="1">IF(AND(INDEX(FlowCalConstA,MATCH(N362,FlowCalNumber,0),1,1)*P363^INDEX(FlowCalConstB,MATCH(N362,FlowCalNumber,0),1,1)&gt;INDEX(FlowCalLowSetting,MATCH(N362,FlowCalNumber,0),1,1), (INDEX(FlowCalConstA,MATCH(N362,FlowCalNumber,0),1,1)*P363^INDEX(FlowCalConstB,MATCH(N362,FlowCalNumber,0),1,1)&lt;INDEX(FlowCalHighSetting,MATCH(N362,FlowCalNumber,0),1,1))),INDEX(FlowCalConstA,MATCH(N362,FlowCalNumber,0),1,1)*P363^INDEX(FlowCalConstB,MATCH(N362,FlowCalNumber,0),1,1)," ")</f>
        <v>#REF!</v>
      </c>
      <c r="R363" s="33"/>
      <c r="S363" s="260">
        <f>S$17/100</f>
        <v>1</v>
      </c>
      <c r="T363" s="241" t="e">
        <f ca="1">S363*$H363</f>
        <v>#REF!</v>
      </c>
      <c r="U363" s="244" t="e">
        <f ca="1">IF(AND(INDEX(FlowCalConstA,MATCH(R362,FlowCalNumber,0),1,1)*T363^INDEX(FlowCalConstB,MATCH(R362,FlowCalNumber,0),1,1)&gt;INDEX(FlowCalLowSetting,MATCH(R362,FlowCalNumber,0),1,1), (INDEX(FlowCalConstA,MATCH(R362,FlowCalNumber,0),1,1)*T363^INDEX(FlowCalConstB,MATCH(R362,FlowCalNumber,0),1,1)&lt;INDEX(FlowCalHighSetting,MATCH(R362,FlowCalNumber,0),1,1))),INDEX(FlowCalConstA,MATCH(R362,FlowCalNumber,0),1,1)*T363^INDEX(FlowCalConstB,MATCH(R362,FlowCalNumber,0),1,1)," ")</f>
        <v>#REF!</v>
      </c>
      <c r="V363" s="33"/>
      <c r="W363" s="260">
        <f>W$17/100</f>
        <v>0.1</v>
      </c>
      <c r="X363" s="241" t="e">
        <f ca="1">W363*$H363</f>
        <v>#REF!</v>
      </c>
      <c r="Y363" s="243" t="e">
        <f ca="1">IF(AND(INDEX(FlowCalConstA,MATCH(V362,FlowCalNumber,0),1,1)*X363^INDEX(FlowCalConstB,MATCH(V362,FlowCalNumber,0),1,1)&gt;INDEX(FlowCalLowSetting,MATCH(V362,FlowCalNumber,0),1,1), (INDEX(FlowCalConstA,MATCH(V362,FlowCalNumber,0),1,1)*X363^INDEX(FlowCalConstB,MATCH(V362,FlowCalNumber,0),1,1)&lt;INDEX(FlowCalHighSetting,MATCH(V362,FlowCalNumber,0),1,1))),INDEX(FlowCalConstA,MATCH(V362,FlowCalNumber,0),1,1)*X363^INDEX(FlowCalConstB,MATCH(V362,FlowCalNumber,0),1,1)," ")</f>
        <v>#REF!</v>
      </c>
      <c r="Z363" s="33"/>
      <c r="AA363" s="260">
        <f>AA$17/100</f>
        <v>0.9</v>
      </c>
      <c r="AB363" s="241" t="e">
        <f ca="1">AA363*$H363</f>
        <v>#REF!</v>
      </c>
      <c r="AC363" s="243" t="e">
        <f ca="1">IF(AND(INDEX(FlowCalConstA,MATCH(Z362,FlowCalNumber,0),1,1)*AB363^INDEX(FlowCalConstB,MATCH(Z362,FlowCalNumber,0),1,1)&gt;INDEX(FlowCalLowSetting,MATCH(Z362,FlowCalNumber,0),1,1), (INDEX(FlowCalConstA,MATCH(Z362,FlowCalNumber,0),1,1)*AB363^INDEX(FlowCalConstB,MATCH(Z362,FlowCalNumber,0),1,1)&lt;INDEX(FlowCalHighSetting,MATCH(Z362,FlowCalNumber,0),1,1))),INDEX(FlowCalConstA,MATCH(Z362,FlowCalNumber,0),1,1)*AB363^INDEX(FlowCalConstB,MATCH(Z362,FlowCalNumber,0),1,1)," ")</f>
        <v>#REF!</v>
      </c>
      <c r="AD363" s="33"/>
      <c r="AE363" s="260">
        <f>AE$17/100</f>
        <v>0.1</v>
      </c>
      <c r="AF363" s="241" t="e">
        <f ca="1">AE363*$H363</f>
        <v>#REF!</v>
      </c>
      <c r="AG363" s="243" t="e">
        <f ca="1">IF(AND(INDEX(FlowCalConstA,MATCH(AD362,FlowCalNumber,0),1,1)*AF363^INDEX(FlowCalConstB,MATCH(AD362,FlowCalNumber,0),1,1)&gt;INDEX(FlowCalLowSetting,MATCH(AD362,FlowCalNumber,0),1,1), (INDEX(FlowCalConstA,MATCH(AD362,FlowCalNumber,0),1,1)*AF363^INDEX(FlowCalConstB,MATCH(AD362,FlowCalNumber,0),1,1)&lt;INDEX(FlowCalHighSetting,MATCH(AD362,FlowCalNumber,0),1,1))),INDEX(FlowCalConstA,MATCH(AD362,FlowCalNumber,0),1,1)*AF363^INDEX(FlowCalConstB,MATCH(AD362,FlowCalNumber,0),1,1)," ")</f>
        <v>#REF!</v>
      </c>
      <c r="AH363" s="33"/>
      <c r="AI363" s="260">
        <f>AI$17/100</f>
        <v>0.9</v>
      </c>
      <c r="AJ363" s="241" t="e">
        <f ca="1">AI363*$H363</f>
        <v>#REF!</v>
      </c>
      <c r="AK363" s="243" t="e">
        <f ca="1">IF(AND(INDEX(FlowCalConstA,MATCH(AH362,FlowCalNumber,0),1,1)*AJ363^INDEX(FlowCalConstB,MATCH(AH362,FlowCalNumber,0),1,1)&gt;INDEX(FlowCalLowSetting,MATCH(AH362,FlowCalNumber,0),1,1), (INDEX(FlowCalConstA,MATCH(AH362,FlowCalNumber,0),1,1)*AJ363^INDEX(FlowCalConstB,MATCH(AH362,FlowCalNumber,0),1,1)&lt;INDEX(FlowCalHighSetting,MATCH(AH362,FlowCalNumber,0),1,1))),INDEX(FlowCalConstA,MATCH(AH362,FlowCalNumber,0),1,1)*AJ363^INDEX(FlowCalConstB,MATCH(AH362,FlowCalNumber,0),1,1)," ")</f>
        <v>#REF!</v>
      </c>
      <c r="AL363" s="33"/>
      <c r="AM363" s="260"/>
      <c r="AN363" s="241"/>
      <c r="AO363" s="244"/>
      <c r="AQ363" s="260"/>
      <c r="AR363" s="241"/>
      <c r="AS363" s="244"/>
      <c r="AT363" s="33"/>
      <c r="AU363" s="260"/>
      <c r="AV363" s="241"/>
      <c r="AW363" s="244"/>
      <c r="AX363" s="33"/>
      <c r="AY363" s="260"/>
      <c r="AZ363" s="241"/>
      <c r="BA363" s="244"/>
      <c r="BB363" s="33"/>
      <c r="BC363" s="260"/>
      <c r="BD363" s="241"/>
      <c r="BE363" s="244"/>
      <c r="BF363" s="33"/>
      <c r="BG363" s="260"/>
      <c r="BH363" s="241"/>
      <c r="BI363" s="244"/>
      <c r="BJ363" s="33"/>
      <c r="BK363" s="260"/>
      <c r="BL363" s="241"/>
      <c r="BM363" s="244"/>
      <c r="BN363" s="33"/>
      <c r="BO363" s="260"/>
      <c r="BP363" s="241"/>
      <c r="BQ363" s="244"/>
      <c r="BR363" s="33"/>
      <c r="BS363" s="260"/>
      <c r="BT363" s="241"/>
      <c r="BU363" s="244"/>
      <c r="BV363" s="33"/>
      <c r="BW363" s="260"/>
      <c r="BX363" s="241"/>
      <c r="BY363" s="244"/>
      <c r="BZ363" s="33"/>
      <c r="CA363" s="260"/>
      <c r="CB363" s="241"/>
      <c r="CC363" s="244"/>
      <c r="CD363" s="243"/>
      <c r="CE363" s="243"/>
      <c r="CF363" s="243"/>
      <c r="CG363" s="243"/>
      <c r="CH363" s="243"/>
      <c r="CI363" s="243"/>
      <c r="CJ363" s="243"/>
      <c r="CK363" s="243"/>
      <c r="CL363" s="243"/>
      <c r="CM363" s="243"/>
      <c r="CN363" s="243"/>
      <c r="CO363" s="243"/>
      <c r="CP363" s="243"/>
      <c r="CQ363" s="243"/>
      <c r="CR363" s="243"/>
      <c r="CS363" s="243"/>
      <c r="CT363" s="243"/>
      <c r="CU363" s="243"/>
      <c r="CV363" s="243"/>
      <c r="CW363" s="243"/>
      <c r="CX363" s="243"/>
      <c r="CY363" s="243"/>
      <c r="CZ363" s="243"/>
      <c r="DA363" s="243"/>
      <c r="DB363" s="243"/>
      <c r="DC363" s="243"/>
      <c r="DD363" s="243"/>
      <c r="DE363" s="243"/>
      <c r="DF363" s="243"/>
      <c r="DG363" s="243"/>
      <c r="DH363" s="243"/>
      <c r="DI363" s="243"/>
      <c r="DJ363" s="243"/>
      <c r="DK363" s="243"/>
      <c r="DM363" s="259"/>
      <c r="DO363" s="243"/>
      <c r="DQ363" s="259"/>
      <c r="DS363" s="243"/>
      <c r="DU363" s="259"/>
      <c r="DW363" s="243"/>
      <c r="DY363" s="260"/>
      <c r="EA363" s="243"/>
    </row>
    <row r="364" spans="1:131">
      <c r="A364" s="20"/>
      <c r="B364" s="124" t="str">
        <f t="shared" si="342"/>
        <v/>
      </c>
      <c r="C364" s="235"/>
      <c r="D364" s="24">
        <f>'1% Wind'!$M$83</f>
        <v>23.5</v>
      </c>
      <c r="E364" s="90"/>
      <c r="F364" s="90"/>
      <c r="G364" s="79" t="e">
        <f ca="1">IF(I362=0.9743,$G363,MAX(G363/D363*D364,2))</f>
        <v>#REF!</v>
      </c>
      <c r="H364" s="121" t="e">
        <f t="shared" ca="1" si="343"/>
        <v>#REF!</v>
      </c>
      <c r="J364" s="33"/>
      <c r="K364" s="242">
        <f t="shared" ref="K364:K377" si="344">K363</f>
        <v>1</v>
      </c>
      <c r="L364" s="241" t="e">
        <f t="shared" ref="L364:L377" ca="1" si="345">K364*$H364</f>
        <v>#REF!</v>
      </c>
      <c r="M364" s="243" t="e">
        <f ca="1">IF(AND(INDEX(FlowCalConstA,MATCH(J362,FlowCalNumber,0),1,1)*L364^INDEX(FlowCalConstB,MATCH(J362,FlowCalNumber,0),1,1)&gt;INDEX(FlowCalLowSetting,MATCH(J362,FlowCalNumber,0),1,1), (INDEX(FlowCalConstA,MATCH(J362,FlowCalNumber,0),1,1)*L364^INDEX(FlowCalConstB,MATCH(J362,FlowCalNumber,0),1,1)&lt;INDEX(FlowCalHighSetting,MATCH(J362,FlowCalNumber,0),1,1))),INDEX(FlowCalConstA,MATCH(J362,FlowCalNumber,0),1,1)*L364^INDEX(FlowCalConstB,MATCH(J362,FlowCalNumber,0),1,1)," ")</f>
        <v>#REF!</v>
      </c>
      <c r="N364" s="33"/>
      <c r="O364" s="242">
        <f t="shared" ref="O364:O377" si="346">O363</f>
        <v>1</v>
      </c>
      <c r="P364" s="241" t="e">
        <f t="shared" ref="P364:P377" ca="1" si="347">O364*$H364</f>
        <v>#REF!</v>
      </c>
      <c r="Q364" s="243" t="e">
        <f ca="1">IF(AND(INDEX(FlowCalConstA,MATCH(N362,FlowCalNumber,0),1,1)*P364^INDEX(FlowCalConstB,MATCH(N362,FlowCalNumber,0),1,1)&gt;INDEX(FlowCalLowSetting,MATCH(N362,FlowCalNumber,0),1,1), (INDEX(FlowCalConstA,MATCH(N362,FlowCalNumber,0),1,1)*P364^INDEX(FlowCalConstB,MATCH(N362,FlowCalNumber,0),1,1)&lt;INDEX(FlowCalHighSetting,MATCH(N362,FlowCalNumber,0),1,1))),INDEX(FlowCalConstA,MATCH(N362,FlowCalNumber,0),1,1)*P364^INDEX(FlowCalConstB,MATCH(N362,FlowCalNumber,0),1,1)," ")</f>
        <v>#REF!</v>
      </c>
      <c r="R364" s="33"/>
      <c r="S364" s="242">
        <f t="shared" ref="S364:S377" si="348">S363</f>
        <v>1</v>
      </c>
      <c r="T364" s="241" t="e">
        <f t="shared" ref="T364:T377" ca="1" si="349">S364*$H364</f>
        <v>#REF!</v>
      </c>
      <c r="U364" s="244" t="e">
        <f ca="1">IF(AND(INDEX(FlowCalConstA,MATCH(R362,FlowCalNumber,0),1,1)*T364^INDEX(FlowCalConstB,MATCH(R362,FlowCalNumber,0),1,1)&gt;INDEX(FlowCalLowSetting,MATCH(R362,FlowCalNumber,0),1,1), (INDEX(FlowCalConstA,MATCH(R362,FlowCalNumber,0),1,1)*T364^INDEX(FlowCalConstB,MATCH(R362,FlowCalNumber,0),1,1)&lt;INDEX(FlowCalHighSetting,MATCH(R362,FlowCalNumber,0),1,1))),INDEX(FlowCalConstA,MATCH(R362,FlowCalNumber,0),1,1)*T364^INDEX(FlowCalConstB,MATCH(R362,FlowCalNumber,0),1,1)," ")</f>
        <v>#REF!</v>
      </c>
      <c r="V364" s="33"/>
      <c r="W364" s="242">
        <f t="shared" ref="W364:W377" si="350">W363</f>
        <v>0.1</v>
      </c>
      <c r="X364" s="241" t="e">
        <f t="shared" ref="X364:X377" ca="1" si="351">W364*$H364</f>
        <v>#REF!</v>
      </c>
      <c r="Y364" s="243" t="e">
        <f ca="1">IF(AND(INDEX(FlowCalConstA,MATCH(V362,FlowCalNumber,0),1,1)*X364^INDEX(FlowCalConstB,MATCH(V362,FlowCalNumber,0),1,1)&gt;INDEX(FlowCalLowSetting,MATCH(V362,FlowCalNumber,0),1,1), (INDEX(FlowCalConstA,MATCH(V362,FlowCalNumber,0),1,1)*X364^INDEX(FlowCalConstB,MATCH(V362,FlowCalNumber,0),1,1)&lt;INDEX(FlowCalHighSetting,MATCH(V362,FlowCalNumber,0),1,1))),INDEX(FlowCalConstA,MATCH(V362,FlowCalNumber,0),1,1)*X364^INDEX(FlowCalConstB,MATCH(V362,FlowCalNumber,0),1,1)," ")</f>
        <v>#REF!</v>
      </c>
      <c r="Z364" s="33"/>
      <c r="AA364" s="242">
        <f t="shared" ref="AA364:AA377" si="352">AA363</f>
        <v>0.9</v>
      </c>
      <c r="AB364" s="241" t="e">
        <f t="shared" ref="AB364:AB377" ca="1" si="353">AA364*$H364</f>
        <v>#REF!</v>
      </c>
      <c r="AC364" s="243" t="e">
        <f ca="1">IF(AND(INDEX(FlowCalConstA,MATCH(Z362,FlowCalNumber,0),1,1)*AB364^INDEX(FlowCalConstB,MATCH(Z362,FlowCalNumber,0),1,1)&gt;INDEX(FlowCalLowSetting,MATCH(Z362,FlowCalNumber,0),1,1), (INDEX(FlowCalConstA,MATCH(Z362,FlowCalNumber,0),1,1)*AB364^INDEX(FlowCalConstB,MATCH(Z362,FlowCalNumber,0),1,1)&lt;INDEX(FlowCalHighSetting,MATCH(Z362,FlowCalNumber,0),1,1))),INDEX(FlowCalConstA,MATCH(Z362,FlowCalNumber,0),1,1)*AB364^INDEX(FlowCalConstB,MATCH(Z362,FlowCalNumber,0),1,1)," ")</f>
        <v>#REF!</v>
      </c>
      <c r="AD364" s="33"/>
      <c r="AE364" s="242">
        <f t="shared" ref="AE364:AE377" si="354">AE363</f>
        <v>0.1</v>
      </c>
      <c r="AF364" s="241" t="e">
        <f t="shared" ref="AF364:AF377" ca="1" si="355">AE364*$H364</f>
        <v>#REF!</v>
      </c>
      <c r="AG364" s="243" t="e">
        <f ca="1">IF(AND(INDEX(FlowCalConstA,MATCH(AD362,FlowCalNumber,0),1,1)*AF364^INDEX(FlowCalConstB,MATCH(AD362,FlowCalNumber,0),1,1)&gt;INDEX(FlowCalLowSetting,MATCH(AD362,FlowCalNumber,0),1,1), (INDEX(FlowCalConstA,MATCH(AD362,FlowCalNumber,0),1,1)*AF364^INDEX(FlowCalConstB,MATCH(AD362,FlowCalNumber,0),1,1)&lt;INDEX(FlowCalHighSetting,MATCH(AD362,FlowCalNumber,0),1,1))),INDEX(FlowCalConstA,MATCH(AD362,FlowCalNumber,0),1,1)*AF364^INDEX(FlowCalConstB,MATCH(AD362,FlowCalNumber,0),1,1)," ")</f>
        <v>#REF!</v>
      </c>
      <c r="AH364" s="33"/>
      <c r="AI364" s="242">
        <f t="shared" ref="AI364:AI377" si="356">AI363</f>
        <v>0.9</v>
      </c>
      <c r="AJ364" s="241" t="e">
        <f t="shared" ref="AJ364:AJ377" ca="1" si="357">AI364*$H364</f>
        <v>#REF!</v>
      </c>
      <c r="AK364" s="243" t="e">
        <f ca="1">IF(AND(INDEX(FlowCalConstA,MATCH(AH362,FlowCalNumber,0),1,1)*AJ364^INDEX(FlowCalConstB,MATCH(AH362,FlowCalNumber,0),1,1)&gt;INDEX(FlowCalLowSetting,MATCH(AH362,FlowCalNumber,0),1,1), (INDEX(FlowCalConstA,MATCH(AH362,FlowCalNumber,0),1,1)*AJ364^INDEX(FlowCalConstB,MATCH(AH362,FlowCalNumber,0),1,1)&lt;INDEX(FlowCalHighSetting,MATCH(AH362,FlowCalNumber,0),1,1))),INDEX(FlowCalConstA,MATCH(AH362,FlowCalNumber,0),1,1)*AJ364^INDEX(FlowCalConstB,MATCH(AH362,FlowCalNumber,0),1,1)," ")</f>
        <v>#REF!</v>
      </c>
      <c r="AL364" s="33"/>
      <c r="AM364" s="242"/>
      <c r="AN364" s="241"/>
      <c r="AO364" s="244"/>
      <c r="AQ364" s="242"/>
      <c r="AR364" s="241"/>
      <c r="AS364" s="244"/>
      <c r="AT364" s="33"/>
      <c r="AU364" s="242"/>
      <c r="AV364" s="241"/>
      <c r="AW364" s="244"/>
      <c r="AX364" s="33"/>
      <c r="AY364" s="242"/>
      <c r="AZ364" s="241"/>
      <c r="BA364" s="244"/>
      <c r="BB364" s="33"/>
      <c r="BC364" s="242"/>
      <c r="BD364" s="241"/>
      <c r="BE364" s="244"/>
      <c r="BF364" s="33"/>
      <c r="BG364" s="242"/>
      <c r="BH364" s="241"/>
      <c r="BI364" s="244"/>
      <c r="BJ364" s="33"/>
      <c r="BK364" s="242"/>
      <c r="BL364" s="241"/>
      <c r="BM364" s="244"/>
      <c r="BN364" s="33"/>
      <c r="BO364" s="242"/>
      <c r="BP364" s="241"/>
      <c r="BQ364" s="244"/>
      <c r="BR364" s="33"/>
      <c r="BS364" s="242"/>
      <c r="BT364" s="241"/>
      <c r="BU364" s="244"/>
      <c r="BV364" s="33"/>
      <c r="BW364" s="242"/>
      <c r="BX364" s="241"/>
      <c r="BY364" s="244"/>
      <c r="BZ364" s="33"/>
      <c r="CA364" s="242"/>
      <c r="CB364" s="241"/>
      <c r="CC364" s="244"/>
      <c r="CD364" s="243"/>
      <c r="CE364" s="243"/>
      <c r="CF364" s="243"/>
      <c r="CG364" s="243"/>
      <c r="CH364" s="243"/>
      <c r="CI364" s="243"/>
      <c r="CJ364" s="243"/>
      <c r="CK364" s="243"/>
      <c r="CL364" s="243"/>
      <c r="CM364" s="243"/>
      <c r="CN364" s="243"/>
      <c r="CO364" s="243"/>
      <c r="CP364" s="243"/>
      <c r="CQ364" s="243"/>
      <c r="CR364" s="243"/>
      <c r="CS364" s="243"/>
      <c r="CT364" s="243"/>
      <c r="CU364" s="243"/>
      <c r="CV364" s="243"/>
      <c r="CW364" s="243"/>
      <c r="CX364" s="243"/>
      <c r="CY364" s="243"/>
      <c r="CZ364" s="243"/>
      <c r="DA364" s="243"/>
      <c r="DB364" s="243"/>
      <c r="DC364" s="243"/>
      <c r="DD364" s="243"/>
      <c r="DE364" s="243"/>
      <c r="DF364" s="243"/>
      <c r="DG364" s="243"/>
      <c r="DH364" s="243"/>
      <c r="DI364" s="243"/>
      <c r="DJ364" s="243"/>
      <c r="DK364" s="243"/>
      <c r="DM364" s="242"/>
      <c r="DO364" s="243"/>
      <c r="DQ364" s="242"/>
      <c r="DS364" s="243"/>
      <c r="DU364" s="242"/>
      <c r="DW364" s="243"/>
      <c r="DY364" s="242"/>
      <c r="EA364" s="243"/>
    </row>
    <row r="365" spans="1:131">
      <c r="A365" s="20"/>
      <c r="B365" s="124" t="str">
        <f t="shared" si="342"/>
        <v/>
      </c>
      <c r="C365" s="235"/>
      <c r="D365" s="24">
        <f>'1% Wind'!$M$84</f>
        <v>20.5</v>
      </c>
      <c r="E365" s="90"/>
      <c r="F365" s="90"/>
      <c r="G365" s="79" t="e">
        <f ca="1">IF(I362=0.9743,$G364,MAX(G364/D364*D365,2))</f>
        <v>#REF!</v>
      </c>
      <c r="H365" s="121" t="e">
        <f t="shared" ca="1" si="343"/>
        <v>#REF!</v>
      </c>
      <c r="J365" s="33"/>
      <c r="K365" s="242">
        <f t="shared" si="344"/>
        <v>1</v>
      </c>
      <c r="L365" s="241" t="e">
        <f t="shared" ca="1" si="345"/>
        <v>#REF!</v>
      </c>
      <c r="M365" s="243" t="e">
        <f ca="1">IF(AND(INDEX(FlowCalConstA,MATCH(J362,FlowCalNumber,0),1,1)*L365^INDEX(FlowCalConstB,MATCH(J362,FlowCalNumber,0),1,1)&gt;INDEX(FlowCalLowSetting,MATCH(J362,FlowCalNumber,0),1,1), (INDEX(FlowCalConstA,MATCH(J362,FlowCalNumber,0),1,1)*L365^INDEX(FlowCalConstB,MATCH(J362,FlowCalNumber,0),1,1)&lt;INDEX(FlowCalHighSetting,MATCH(J362,FlowCalNumber,0),1,1))),INDEX(FlowCalConstA,MATCH(J362,FlowCalNumber,0),1,1)*L365^INDEX(FlowCalConstB,MATCH(J362,FlowCalNumber,0),1,1)," ")</f>
        <v>#REF!</v>
      </c>
      <c r="N365" s="33"/>
      <c r="O365" s="242">
        <f t="shared" si="346"/>
        <v>1</v>
      </c>
      <c r="P365" s="241" t="e">
        <f t="shared" ca="1" si="347"/>
        <v>#REF!</v>
      </c>
      <c r="Q365" s="243" t="e">
        <f ca="1">IF(AND(INDEX(FlowCalConstA,MATCH(N362,FlowCalNumber,0),1,1)*P365^INDEX(FlowCalConstB,MATCH(N362,FlowCalNumber,0),1,1)&gt;INDEX(FlowCalLowSetting,MATCH(N362,FlowCalNumber,0),1,1), (INDEX(FlowCalConstA,MATCH(N362,FlowCalNumber,0),1,1)*P365^INDEX(FlowCalConstB,MATCH(N362,FlowCalNumber,0),1,1)&lt;INDEX(FlowCalHighSetting,MATCH(N362,FlowCalNumber,0),1,1))),INDEX(FlowCalConstA,MATCH(N362,FlowCalNumber,0),1,1)*P365^INDEX(FlowCalConstB,MATCH(N362,FlowCalNumber,0),1,1)," ")</f>
        <v>#REF!</v>
      </c>
      <c r="R365" s="33"/>
      <c r="S365" s="242">
        <f t="shared" si="348"/>
        <v>1</v>
      </c>
      <c r="T365" s="241" t="e">
        <f t="shared" ca="1" si="349"/>
        <v>#REF!</v>
      </c>
      <c r="U365" s="244" t="e">
        <f ca="1">IF(AND(INDEX(FlowCalConstA,MATCH(R362,FlowCalNumber,0),1,1)*T365^INDEX(FlowCalConstB,MATCH(R362,FlowCalNumber,0),1,1)&gt;INDEX(FlowCalLowSetting,MATCH(R362,FlowCalNumber,0),1,1), (INDEX(FlowCalConstA,MATCH(R362,FlowCalNumber,0),1,1)*T365^INDEX(FlowCalConstB,MATCH(R362,FlowCalNumber,0),1,1)&lt;INDEX(FlowCalHighSetting,MATCH(R362,FlowCalNumber,0),1,1))),INDEX(FlowCalConstA,MATCH(R362,FlowCalNumber,0),1,1)*T365^INDEX(FlowCalConstB,MATCH(R362,FlowCalNumber,0),1,1)," ")</f>
        <v>#REF!</v>
      </c>
      <c r="V365" s="33"/>
      <c r="W365" s="242">
        <f t="shared" si="350"/>
        <v>0.1</v>
      </c>
      <c r="X365" s="241" t="e">
        <f t="shared" ca="1" si="351"/>
        <v>#REF!</v>
      </c>
      <c r="Y365" s="243" t="e">
        <f ca="1">IF(AND(INDEX(FlowCalConstA,MATCH(V362,FlowCalNumber,0),1,1)*X365^INDEX(FlowCalConstB,MATCH(V362,FlowCalNumber,0),1,1)&gt;INDEX(FlowCalLowSetting,MATCH(V362,FlowCalNumber,0),1,1), (INDEX(FlowCalConstA,MATCH(V362,FlowCalNumber,0),1,1)*X365^INDEX(FlowCalConstB,MATCH(V362,FlowCalNumber,0),1,1)&lt;INDEX(FlowCalHighSetting,MATCH(V362,FlowCalNumber,0),1,1))),INDEX(FlowCalConstA,MATCH(V362,FlowCalNumber,0),1,1)*X365^INDEX(FlowCalConstB,MATCH(V362,FlowCalNumber,0),1,1)," ")</f>
        <v>#REF!</v>
      </c>
      <c r="Z365" s="33"/>
      <c r="AA365" s="242">
        <f t="shared" si="352"/>
        <v>0.9</v>
      </c>
      <c r="AB365" s="241" t="e">
        <f t="shared" ca="1" si="353"/>
        <v>#REF!</v>
      </c>
      <c r="AC365" s="243" t="e">
        <f ca="1">IF(AND(INDEX(FlowCalConstA,MATCH(Z362,FlowCalNumber,0),1,1)*AB365^INDEX(FlowCalConstB,MATCH(Z362,FlowCalNumber,0),1,1)&gt;INDEX(FlowCalLowSetting,MATCH(Z362,FlowCalNumber,0),1,1), (INDEX(FlowCalConstA,MATCH(Z362,FlowCalNumber,0),1,1)*AB365^INDEX(FlowCalConstB,MATCH(Z362,FlowCalNumber,0),1,1)&lt;INDEX(FlowCalHighSetting,MATCH(Z362,FlowCalNumber,0),1,1))),INDEX(FlowCalConstA,MATCH(Z362,FlowCalNumber,0),1,1)*AB365^INDEX(FlowCalConstB,MATCH(Z362,FlowCalNumber,0),1,1)," ")</f>
        <v>#REF!</v>
      </c>
      <c r="AD365" s="33"/>
      <c r="AE365" s="242">
        <f t="shared" si="354"/>
        <v>0.1</v>
      </c>
      <c r="AF365" s="241" t="e">
        <f t="shared" ca="1" si="355"/>
        <v>#REF!</v>
      </c>
      <c r="AG365" s="243" t="e">
        <f ca="1">IF(AND(INDEX(FlowCalConstA,MATCH(AD362,FlowCalNumber,0),1,1)*AF365^INDEX(FlowCalConstB,MATCH(AD362,FlowCalNumber,0),1,1)&gt;INDEX(FlowCalLowSetting,MATCH(AD362,FlowCalNumber,0),1,1), (INDEX(FlowCalConstA,MATCH(AD362,FlowCalNumber,0),1,1)*AF365^INDEX(FlowCalConstB,MATCH(AD362,FlowCalNumber,0),1,1)&lt;INDEX(FlowCalHighSetting,MATCH(AD362,FlowCalNumber,0),1,1))),INDEX(FlowCalConstA,MATCH(AD362,FlowCalNumber,0),1,1)*AF365^INDEX(FlowCalConstB,MATCH(AD362,FlowCalNumber,0),1,1)," ")</f>
        <v>#REF!</v>
      </c>
      <c r="AH365" s="33"/>
      <c r="AI365" s="242">
        <f t="shared" si="356"/>
        <v>0.9</v>
      </c>
      <c r="AJ365" s="241" t="e">
        <f t="shared" ca="1" si="357"/>
        <v>#REF!</v>
      </c>
      <c r="AK365" s="243" t="e">
        <f ca="1">IF(AND(INDEX(FlowCalConstA,MATCH(AH362,FlowCalNumber,0),1,1)*AJ365^INDEX(FlowCalConstB,MATCH(AH362,FlowCalNumber,0),1,1)&gt;INDEX(FlowCalLowSetting,MATCH(AH362,FlowCalNumber,0),1,1), (INDEX(FlowCalConstA,MATCH(AH362,FlowCalNumber,0),1,1)*AJ365^INDEX(FlowCalConstB,MATCH(AH362,FlowCalNumber,0),1,1)&lt;INDEX(FlowCalHighSetting,MATCH(AH362,FlowCalNumber,0),1,1))),INDEX(FlowCalConstA,MATCH(AH362,FlowCalNumber,0),1,1)*AJ365^INDEX(FlowCalConstB,MATCH(AH362,FlowCalNumber,0),1,1)," ")</f>
        <v>#REF!</v>
      </c>
      <c r="AL365" s="33"/>
      <c r="AM365" s="242"/>
      <c r="AN365" s="241"/>
      <c r="AO365" s="244"/>
      <c r="AQ365" s="242"/>
      <c r="AR365" s="241"/>
      <c r="AS365" s="244"/>
      <c r="AT365" s="33"/>
      <c r="AU365" s="242"/>
      <c r="AV365" s="241"/>
      <c r="AW365" s="244"/>
      <c r="AX365" s="33"/>
      <c r="AY365" s="242"/>
      <c r="AZ365" s="241"/>
      <c r="BA365" s="244"/>
      <c r="BB365" s="33"/>
      <c r="BC365" s="242"/>
      <c r="BD365" s="241"/>
      <c r="BE365" s="244"/>
      <c r="BF365" s="33"/>
      <c r="BG365" s="242"/>
      <c r="BH365" s="241"/>
      <c r="BI365" s="244"/>
      <c r="BJ365" s="33"/>
      <c r="BK365" s="242"/>
      <c r="BL365" s="241"/>
      <c r="BM365" s="244"/>
      <c r="BN365" s="33"/>
      <c r="BO365" s="242"/>
      <c r="BP365" s="241"/>
      <c r="BQ365" s="244"/>
      <c r="BR365" s="33"/>
      <c r="BS365" s="242"/>
      <c r="BT365" s="241"/>
      <c r="BU365" s="244"/>
      <c r="BV365" s="33"/>
      <c r="BW365" s="242"/>
      <c r="BX365" s="241"/>
      <c r="BY365" s="244"/>
      <c r="BZ365" s="33"/>
      <c r="CA365" s="242"/>
      <c r="CB365" s="241"/>
      <c r="CC365" s="244"/>
      <c r="CD365" s="243"/>
      <c r="CE365" s="243"/>
      <c r="CF365" s="243"/>
      <c r="CG365" s="243"/>
      <c r="CH365" s="243"/>
      <c r="CI365" s="243"/>
      <c r="CJ365" s="243"/>
      <c r="CK365" s="243"/>
      <c r="CL365" s="243"/>
      <c r="CM365" s="243"/>
      <c r="CN365" s="243"/>
      <c r="CO365" s="243"/>
      <c r="CP365" s="243"/>
      <c r="CQ365" s="243"/>
      <c r="CR365" s="243"/>
      <c r="CS365" s="243"/>
      <c r="CT365" s="243"/>
      <c r="CU365" s="243"/>
      <c r="CV365" s="243"/>
      <c r="CW365" s="243"/>
      <c r="CX365" s="243"/>
      <c r="CY365" s="243"/>
      <c r="CZ365" s="243"/>
      <c r="DA365" s="243"/>
      <c r="DB365" s="243"/>
      <c r="DC365" s="243"/>
      <c r="DD365" s="243"/>
      <c r="DE365" s="243"/>
      <c r="DF365" s="243"/>
      <c r="DG365" s="243"/>
      <c r="DH365" s="243"/>
      <c r="DI365" s="243"/>
      <c r="DJ365" s="243"/>
      <c r="DK365" s="243"/>
      <c r="DM365" s="242"/>
      <c r="DO365" s="243"/>
      <c r="DQ365" s="242"/>
      <c r="DS365" s="243"/>
      <c r="DU365" s="242"/>
      <c r="DW365" s="243"/>
      <c r="DY365" s="242"/>
      <c r="EA365" s="243"/>
    </row>
    <row r="366" spans="1:131">
      <c r="A366" s="20"/>
      <c r="B366" s="124" t="str">
        <f t="shared" si="342"/>
        <v/>
      </c>
      <c r="C366" s="235"/>
      <c r="D366" s="24">
        <f>'1% Wind'!$M$85</f>
        <v>17.8</v>
      </c>
      <c r="E366" s="90"/>
      <c r="F366" s="90"/>
      <c r="G366" s="79" t="e">
        <f ca="1">IF(I362=0.9743,$G365,MAX(G365/D365*D366,2))</f>
        <v>#REF!</v>
      </c>
      <c r="H366" s="121" t="e">
        <f t="shared" ca="1" si="343"/>
        <v>#REF!</v>
      </c>
      <c r="J366" s="33"/>
      <c r="K366" s="242">
        <f t="shared" si="344"/>
        <v>1</v>
      </c>
      <c r="L366" s="241" t="e">
        <f t="shared" ca="1" si="345"/>
        <v>#REF!</v>
      </c>
      <c r="M366" s="243" t="e">
        <f ca="1">IF(AND(INDEX(FlowCalConstA,MATCH(J362,FlowCalNumber,0),1,1)*L366^INDEX(FlowCalConstB,MATCH(J362,FlowCalNumber,0),1,1)&gt;INDEX(FlowCalLowSetting,MATCH(J362,FlowCalNumber,0),1,1), (INDEX(FlowCalConstA,MATCH(J362,FlowCalNumber,0),1,1)*L366^INDEX(FlowCalConstB,MATCH(J362,FlowCalNumber,0),1,1)&lt;INDEX(FlowCalHighSetting,MATCH(J362,FlowCalNumber,0),1,1))),INDEX(FlowCalConstA,MATCH(J362,FlowCalNumber,0),1,1)*L366^INDEX(FlowCalConstB,MATCH(J362,FlowCalNumber,0),1,1)," ")</f>
        <v>#REF!</v>
      </c>
      <c r="N366" s="33"/>
      <c r="O366" s="242">
        <f t="shared" si="346"/>
        <v>1</v>
      </c>
      <c r="P366" s="241" t="e">
        <f t="shared" ca="1" si="347"/>
        <v>#REF!</v>
      </c>
      <c r="Q366" s="243" t="e">
        <f ca="1">IF(AND(INDEX(FlowCalConstA,MATCH(N362,FlowCalNumber,0),1,1)*P366^INDEX(FlowCalConstB,MATCH(N362,FlowCalNumber,0),1,1)&gt;INDEX(FlowCalLowSetting,MATCH(N362,FlowCalNumber,0),1,1), (INDEX(FlowCalConstA,MATCH(N362,FlowCalNumber,0),1,1)*P366^INDEX(FlowCalConstB,MATCH(N362,FlowCalNumber,0),1,1)&lt;INDEX(FlowCalHighSetting,MATCH(N362,FlowCalNumber,0),1,1))),INDEX(FlowCalConstA,MATCH(N362,FlowCalNumber,0),1,1)*P366^INDEX(FlowCalConstB,MATCH(N362,FlowCalNumber,0),1,1)," ")</f>
        <v>#REF!</v>
      </c>
      <c r="R366" s="33"/>
      <c r="S366" s="242">
        <f t="shared" si="348"/>
        <v>1</v>
      </c>
      <c r="T366" s="241" t="e">
        <f t="shared" ca="1" si="349"/>
        <v>#REF!</v>
      </c>
      <c r="U366" s="244" t="e">
        <f ca="1">IF(AND(INDEX(FlowCalConstA,MATCH(R362,FlowCalNumber,0),1,1)*T366^INDEX(FlowCalConstB,MATCH(R362,FlowCalNumber,0),1,1)&gt;INDEX(FlowCalLowSetting,MATCH(R362,FlowCalNumber,0),1,1), (INDEX(FlowCalConstA,MATCH(R362,FlowCalNumber,0),1,1)*T366^INDEX(FlowCalConstB,MATCH(R362,FlowCalNumber,0),1,1)&lt;INDEX(FlowCalHighSetting,MATCH(R362,FlowCalNumber,0),1,1))),INDEX(FlowCalConstA,MATCH(R362,FlowCalNumber,0),1,1)*T366^INDEX(FlowCalConstB,MATCH(R362,FlowCalNumber,0),1,1)," ")</f>
        <v>#REF!</v>
      </c>
      <c r="V366" s="33"/>
      <c r="W366" s="242">
        <f t="shared" si="350"/>
        <v>0.1</v>
      </c>
      <c r="X366" s="241" t="e">
        <f t="shared" ca="1" si="351"/>
        <v>#REF!</v>
      </c>
      <c r="Y366" s="243" t="e">
        <f ca="1">IF(AND(INDEX(FlowCalConstA,MATCH(V362,FlowCalNumber,0),1,1)*X366^INDEX(FlowCalConstB,MATCH(V362,FlowCalNumber,0),1,1)&gt;INDEX(FlowCalLowSetting,MATCH(V362,FlowCalNumber,0),1,1), (INDEX(FlowCalConstA,MATCH(V362,FlowCalNumber,0),1,1)*X366^INDEX(FlowCalConstB,MATCH(V362,FlowCalNumber,0),1,1)&lt;INDEX(FlowCalHighSetting,MATCH(V362,FlowCalNumber,0),1,1))),INDEX(FlowCalConstA,MATCH(V362,FlowCalNumber,0),1,1)*X366^INDEX(FlowCalConstB,MATCH(V362,FlowCalNumber,0),1,1)," ")</f>
        <v>#REF!</v>
      </c>
      <c r="Z366" s="33"/>
      <c r="AA366" s="242">
        <f t="shared" si="352"/>
        <v>0.9</v>
      </c>
      <c r="AB366" s="241" t="e">
        <f t="shared" ca="1" si="353"/>
        <v>#REF!</v>
      </c>
      <c r="AC366" s="243" t="e">
        <f ca="1">IF(AND(INDEX(FlowCalConstA,MATCH(Z362,FlowCalNumber,0),1,1)*AB366^INDEX(FlowCalConstB,MATCH(Z362,FlowCalNumber,0),1,1)&gt;INDEX(FlowCalLowSetting,MATCH(Z362,FlowCalNumber,0),1,1), (INDEX(FlowCalConstA,MATCH(Z362,FlowCalNumber,0),1,1)*AB366^INDEX(FlowCalConstB,MATCH(Z362,FlowCalNumber,0),1,1)&lt;INDEX(FlowCalHighSetting,MATCH(Z362,FlowCalNumber,0),1,1))),INDEX(FlowCalConstA,MATCH(Z362,FlowCalNumber,0),1,1)*AB366^INDEX(FlowCalConstB,MATCH(Z362,FlowCalNumber,0),1,1)," ")</f>
        <v>#REF!</v>
      </c>
      <c r="AD366" s="33"/>
      <c r="AE366" s="242">
        <f t="shared" si="354"/>
        <v>0.1</v>
      </c>
      <c r="AF366" s="241" t="e">
        <f t="shared" ca="1" si="355"/>
        <v>#REF!</v>
      </c>
      <c r="AG366" s="243" t="e">
        <f ca="1">IF(AND(INDEX(FlowCalConstA,MATCH(AD362,FlowCalNumber,0),1,1)*AF366^INDEX(FlowCalConstB,MATCH(AD362,FlowCalNumber,0),1,1)&gt;INDEX(FlowCalLowSetting,MATCH(AD362,FlowCalNumber,0),1,1), (INDEX(FlowCalConstA,MATCH(AD362,FlowCalNumber,0),1,1)*AF366^INDEX(FlowCalConstB,MATCH(AD362,FlowCalNumber,0),1,1)&lt;INDEX(FlowCalHighSetting,MATCH(AD362,FlowCalNumber,0),1,1))),INDEX(FlowCalConstA,MATCH(AD362,FlowCalNumber,0),1,1)*AF366^INDEX(FlowCalConstB,MATCH(AD362,FlowCalNumber,0),1,1)," ")</f>
        <v>#REF!</v>
      </c>
      <c r="AH366" s="33"/>
      <c r="AI366" s="242">
        <f t="shared" si="356"/>
        <v>0.9</v>
      </c>
      <c r="AJ366" s="241" t="e">
        <f t="shared" ca="1" si="357"/>
        <v>#REF!</v>
      </c>
      <c r="AK366" s="243" t="e">
        <f ca="1">IF(AND(INDEX(FlowCalConstA,MATCH(AH362,FlowCalNumber,0),1,1)*AJ366^INDEX(FlowCalConstB,MATCH(AH362,FlowCalNumber,0),1,1)&gt;INDEX(FlowCalLowSetting,MATCH(AH362,FlowCalNumber,0),1,1), (INDEX(FlowCalConstA,MATCH(AH362,FlowCalNumber,0),1,1)*AJ366^INDEX(FlowCalConstB,MATCH(AH362,FlowCalNumber,0),1,1)&lt;INDEX(FlowCalHighSetting,MATCH(AH362,FlowCalNumber,0),1,1))),INDEX(FlowCalConstA,MATCH(AH362,FlowCalNumber,0),1,1)*AJ366^INDEX(FlowCalConstB,MATCH(AH362,FlowCalNumber,0),1,1)," ")</f>
        <v>#REF!</v>
      </c>
      <c r="AL366" s="33"/>
      <c r="AM366" s="242"/>
      <c r="AN366" s="241"/>
      <c r="AO366" s="244"/>
      <c r="AQ366" s="242"/>
      <c r="AR366" s="241"/>
      <c r="AS366" s="244"/>
      <c r="AT366" s="33"/>
      <c r="AU366" s="242"/>
      <c r="AV366" s="241"/>
      <c r="AW366" s="244"/>
      <c r="AX366" s="33"/>
      <c r="AY366" s="242"/>
      <c r="AZ366" s="241"/>
      <c r="BA366" s="244"/>
      <c r="BB366" s="33"/>
      <c r="BC366" s="242"/>
      <c r="BD366" s="241"/>
      <c r="BE366" s="244"/>
      <c r="BF366" s="33"/>
      <c r="BG366" s="242"/>
      <c r="BH366" s="241"/>
      <c r="BI366" s="244"/>
      <c r="BJ366" s="33"/>
      <c r="BK366" s="242"/>
      <c r="BL366" s="241"/>
      <c r="BM366" s="244"/>
      <c r="BN366" s="33"/>
      <c r="BO366" s="242"/>
      <c r="BP366" s="241"/>
      <c r="BQ366" s="244"/>
      <c r="BR366" s="33"/>
      <c r="BS366" s="242"/>
      <c r="BT366" s="241"/>
      <c r="BU366" s="244"/>
      <c r="BV366" s="33"/>
      <c r="BW366" s="242"/>
      <c r="BX366" s="241"/>
      <c r="BY366" s="244"/>
      <c r="BZ366" s="33"/>
      <c r="CA366" s="242"/>
      <c r="CB366" s="241"/>
      <c r="CC366" s="244"/>
      <c r="CD366" s="243"/>
      <c r="CE366" s="243"/>
      <c r="CF366" s="243"/>
      <c r="CG366" s="243"/>
      <c r="CH366" s="243"/>
      <c r="CI366" s="243"/>
      <c r="CJ366" s="243"/>
      <c r="CK366" s="243"/>
      <c r="CL366" s="243"/>
      <c r="CM366" s="243"/>
      <c r="CN366" s="243"/>
      <c r="CO366" s="243"/>
      <c r="CP366" s="243"/>
      <c r="CQ366" s="243"/>
      <c r="CR366" s="243"/>
      <c r="CS366" s="243"/>
      <c r="CT366" s="243"/>
      <c r="CU366" s="243"/>
      <c r="CV366" s="243"/>
      <c r="CW366" s="243"/>
      <c r="CX366" s="243"/>
      <c r="CY366" s="243"/>
      <c r="CZ366" s="243"/>
      <c r="DA366" s="243"/>
      <c r="DB366" s="243"/>
      <c r="DC366" s="243"/>
      <c r="DD366" s="243"/>
      <c r="DE366" s="243"/>
      <c r="DF366" s="243"/>
      <c r="DG366" s="243"/>
      <c r="DH366" s="243"/>
      <c r="DI366" s="243"/>
      <c r="DJ366" s="243"/>
      <c r="DK366" s="243"/>
      <c r="DM366" s="242"/>
      <c r="DO366" s="243"/>
      <c r="DQ366" s="242"/>
      <c r="DS366" s="243"/>
      <c r="DU366" s="242"/>
      <c r="DW366" s="243"/>
      <c r="DY366" s="242"/>
      <c r="EA366" s="243"/>
    </row>
    <row r="367" spans="1:131">
      <c r="A367" s="20"/>
      <c r="B367" s="124" t="str">
        <f t="shared" si="342"/>
        <v/>
      </c>
      <c r="C367" s="235"/>
      <c r="D367" s="24">
        <f>'1% Wind'!$M$86</f>
        <v>15.5</v>
      </c>
      <c r="E367" s="90"/>
      <c r="F367" s="90"/>
      <c r="G367" s="79" t="e">
        <f ca="1">IF(I362=0.9743,$G366,MAX(G366/D366*D367,2))</f>
        <v>#REF!</v>
      </c>
      <c r="H367" s="121" t="e">
        <f t="shared" ca="1" si="343"/>
        <v>#REF!</v>
      </c>
      <c r="J367" s="33"/>
      <c r="K367" s="242">
        <f t="shared" si="344"/>
        <v>1</v>
      </c>
      <c r="L367" s="241" t="e">
        <f t="shared" ca="1" si="345"/>
        <v>#REF!</v>
      </c>
      <c r="M367" s="243" t="e">
        <f ca="1">IF(AND(INDEX(FlowCalConstA,MATCH(J362,FlowCalNumber,0),1,1)*L367^INDEX(FlowCalConstB,MATCH(J362,FlowCalNumber,0),1,1)&gt;INDEX(FlowCalLowSetting,MATCH(J362,FlowCalNumber,0),1,1), (INDEX(FlowCalConstA,MATCH(J362,FlowCalNumber,0),1,1)*L367^INDEX(FlowCalConstB,MATCH(J362,FlowCalNumber,0),1,1)&lt;INDEX(FlowCalHighSetting,MATCH(J362,FlowCalNumber,0),1,1))),INDEX(FlowCalConstA,MATCH(J362,FlowCalNumber,0),1,1)*L367^INDEX(FlowCalConstB,MATCH(J362,FlowCalNumber,0),1,1)," ")</f>
        <v>#REF!</v>
      </c>
      <c r="N367" s="33"/>
      <c r="O367" s="242">
        <f t="shared" si="346"/>
        <v>1</v>
      </c>
      <c r="P367" s="241" t="e">
        <f t="shared" ca="1" si="347"/>
        <v>#REF!</v>
      </c>
      <c r="Q367" s="243" t="e">
        <f ca="1">IF(AND(INDEX(FlowCalConstA,MATCH(N362,FlowCalNumber,0),1,1)*P367^INDEX(FlowCalConstB,MATCH(N362,FlowCalNumber,0),1,1)&gt;INDEX(FlowCalLowSetting,MATCH(N362,FlowCalNumber,0),1,1), (INDEX(FlowCalConstA,MATCH(N362,FlowCalNumber,0),1,1)*P367^INDEX(FlowCalConstB,MATCH(N362,FlowCalNumber,0),1,1)&lt;INDEX(FlowCalHighSetting,MATCH(N362,FlowCalNumber,0),1,1))),INDEX(FlowCalConstA,MATCH(N362,FlowCalNumber,0),1,1)*P367^INDEX(FlowCalConstB,MATCH(N362,FlowCalNumber,0),1,1)," ")</f>
        <v>#REF!</v>
      </c>
      <c r="R367" s="33"/>
      <c r="S367" s="242">
        <f t="shared" si="348"/>
        <v>1</v>
      </c>
      <c r="T367" s="241" t="e">
        <f t="shared" ca="1" si="349"/>
        <v>#REF!</v>
      </c>
      <c r="U367" s="244" t="e">
        <f ca="1">IF(AND(INDEX(FlowCalConstA,MATCH(R362,FlowCalNumber,0),1,1)*T367^INDEX(FlowCalConstB,MATCH(R362,FlowCalNumber,0),1,1)&gt;INDEX(FlowCalLowSetting,MATCH(R362,FlowCalNumber,0),1,1), (INDEX(FlowCalConstA,MATCH(R362,FlowCalNumber,0),1,1)*T367^INDEX(FlowCalConstB,MATCH(R362,FlowCalNumber,0),1,1)&lt;INDEX(FlowCalHighSetting,MATCH(R362,FlowCalNumber,0),1,1))),INDEX(FlowCalConstA,MATCH(R362,FlowCalNumber,0),1,1)*T367^INDEX(FlowCalConstB,MATCH(R362,FlowCalNumber,0),1,1)," ")</f>
        <v>#REF!</v>
      </c>
      <c r="V367" s="33"/>
      <c r="W367" s="242">
        <f t="shared" si="350"/>
        <v>0.1</v>
      </c>
      <c r="X367" s="241" t="e">
        <f t="shared" ca="1" si="351"/>
        <v>#REF!</v>
      </c>
      <c r="Y367" s="243" t="e">
        <f ca="1">IF(AND(INDEX(FlowCalConstA,MATCH(V362,FlowCalNumber,0),1,1)*X367^INDEX(FlowCalConstB,MATCH(V362,FlowCalNumber,0),1,1)&gt;INDEX(FlowCalLowSetting,MATCH(V362,FlowCalNumber,0),1,1), (INDEX(FlowCalConstA,MATCH(V362,FlowCalNumber,0),1,1)*X367^INDEX(FlowCalConstB,MATCH(V362,FlowCalNumber,0),1,1)&lt;INDEX(FlowCalHighSetting,MATCH(V362,FlowCalNumber,0),1,1))),INDEX(FlowCalConstA,MATCH(V362,FlowCalNumber,0),1,1)*X367^INDEX(FlowCalConstB,MATCH(V362,FlowCalNumber,0),1,1)," ")</f>
        <v>#REF!</v>
      </c>
      <c r="Z367" s="33"/>
      <c r="AA367" s="242">
        <f t="shared" si="352"/>
        <v>0.9</v>
      </c>
      <c r="AB367" s="241" t="e">
        <f t="shared" ca="1" si="353"/>
        <v>#REF!</v>
      </c>
      <c r="AC367" s="243" t="e">
        <f ca="1">IF(AND(INDEX(FlowCalConstA,MATCH(Z362,FlowCalNumber,0),1,1)*AB367^INDEX(FlowCalConstB,MATCH(Z362,FlowCalNumber,0),1,1)&gt;INDEX(FlowCalLowSetting,MATCH(Z362,FlowCalNumber,0),1,1), (INDEX(FlowCalConstA,MATCH(Z362,FlowCalNumber,0),1,1)*AB367^INDEX(FlowCalConstB,MATCH(Z362,FlowCalNumber,0),1,1)&lt;INDEX(FlowCalHighSetting,MATCH(Z362,FlowCalNumber,0),1,1))),INDEX(FlowCalConstA,MATCH(Z362,FlowCalNumber,0),1,1)*AB367^INDEX(FlowCalConstB,MATCH(Z362,FlowCalNumber,0),1,1)," ")</f>
        <v>#REF!</v>
      </c>
      <c r="AD367" s="33"/>
      <c r="AE367" s="242">
        <f t="shared" si="354"/>
        <v>0.1</v>
      </c>
      <c r="AF367" s="241" t="e">
        <f t="shared" ca="1" si="355"/>
        <v>#REF!</v>
      </c>
      <c r="AG367" s="243" t="e">
        <f ca="1">IF(AND(INDEX(FlowCalConstA,MATCH(AD362,FlowCalNumber,0),1,1)*AF367^INDEX(FlowCalConstB,MATCH(AD362,FlowCalNumber,0),1,1)&gt;INDEX(FlowCalLowSetting,MATCH(AD362,FlowCalNumber,0),1,1), (INDEX(FlowCalConstA,MATCH(AD362,FlowCalNumber,0),1,1)*AF367^INDEX(FlowCalConstB,MATCH(AD362,FlowCalNumber,0),1,1)&lt;INDEX(FlowCalHighSetting,MATCH(AD362,FlowCalNumber,0),1,1))),INDEX(FlowCalConstA,MATCH(AD362,FlowCalNumber,0),1,1)*AF367^INDEX(FlowCalConstB,MATCH(AD362,FlowCalNumber,0),1,1)," ")</f>
        <v>#REF!</v>
      </c>
      <c r="AH367" s="33"/>
      <c r="AI367" s="242">
        <f t="shared" si="356"/>
        <v>0.9</v>
      </c>
      <c r="AJ367" s="241" t="e">
        <f t="shared" ca="1" si="357"/>
        <v>#REF!</v>
      </c>
      <c r="AK367" s="243" t="e">
        <f ca="1">IF(AND(INDEX(FlowCalConstA,MATCH(AH362,FlowCalNumber,0),1,1)*AJ367^INDEX(FlowCalConstB,MATCH(AH362,FlowCalNumber,0),1,1)&gt;INDEX(FlowCalLowSetting,MATCH(AH362,FlowCalNumber,0),1,1), (INDEX(FlowCalConstA,MATCH(AH362,FlowCalNumber,0),1,1)*AJ367^INDEX(FlowCalConstB,MATCH(AH362,FlowCalNumber,0),1,1)&lt;INDEX(FlowCalHighSetting,MATCH(AH362,FlowCalNumber,0),1,1))),INDEX(FlowCalConstA,MATCH(AH362,FlowCalNumber,0),1,1)*AJ367^INDEX(FlowCalConstB,MATCH(AH362,FlowCalNumber,0),1,1)," ")</f>
        <v>#REF!</v>
      </c>
      <c r="AL367" s="33"/>
      <c r="AM367" s="242"/>
      <c r="AN367" s="241"/>
      <c r="AO367" s="244"/>
      <c r="AQ367" s="242"/>
      <c r="AR367" s="241"/>
      <c r="AS367" s="244"/>
      <c r="AT367" s="33"/>
      <c r="AU367" s="242"/>
      <c r="AV367" s="241"/>
      <c r="AW367" s="244"/>
      <c r="AX367" s="33"/>
      <c r="AY367" s="242"/>
      <c r="AZ367" s="241"/>
      <c r="BA367" s="244"/>
      <c r="BB367" s="33"/>
      <c r="BC367" s="242"/>
      <c r="BD367" s="241"/>
      <c r="BE367" s="244"/>
      <c r="BF367" s="33"/>
      <c r="BG367" s="242"/>
      <c r="BH367" s="241"/>
      <c r="BI367" s="244"/>
      <c r="BJ367" s="33"/>
      <c r="BK367" s="242"/>
      <c r="BL367" s="241"/>
      <c r="BM367" s="244"/>
      <c r="BN367" s="33"/>
      <c r="BO367" s="242"/>
      <c r="BP367" s="241"/>
      <c r="BQ367" s="244"/>
      <c r="BR367" s="33"/>
      <c r="BS367" s="242"/>
      <c r="BT367" s="241"/>
      <c r="BU367" s="244"/>
      <c r="BV367" s="33"/>
      <c r="BW367" s="242"/>
      <c r="BX367" s="241"/>
      <c r="BY367" s="244"/>
      <c r="BZ367" s="33"/>
      <c r="CA367" s="242"/>
      <c r="CB367" s="241"/>
      <c r="CC367" s="244"/>
      <c r="CD367" s="243"/>
      <c r="CE367" s="243"/>
      <c r="CF367" s="243"/>
      <c r="CG367" s="243"/>
      <c r="CH367" s="243"/>
      <c r="CI367" s="243"/>
      <c r="CJ367" s="243"/>
      <c r="CK367" s="243"/>
      <c r="CL367" s="243"/>
      <c r="CM367" s="243"/>
      <c r="CN367" s="243"/>
      <c r="CO367" s="243"/>
      <c r="CP367" s="243"/>
      <c r="CQ367" s="243"/>
      <c r="CR367" s="243"/>
      <c r="CS367" s="243"/>
      <c r="CT367" s="243"/>
      <c r="CU367" s="243"/>
      <c r="CV367" s="243"/>
      <c r="CW367" s="243"/>
      <c r="CX367" s="243"/>
      <c r="CY367" s="243"/>
      <c r="CZ367" s="243"/>
      <c r="DA367" s="243"/>
      <c r="DB367" s="243"/>
      <c r="DC367" s="243"/>
      <c r="DD367" s="243"/>
      <c r="DE367" s="243"/>
      <c r="DF367" s="243"/>
      <c r="DG367" s="243"/>
      <c r="DH367" s="243"/>
      <c r="DI367" s="243"/>
      <c r="DJ367" s="243"/>
      <c r="DK367" s="243"/>
      <c r="DM367" s="242"/>
      <c r="DO367" s="243"/>
      <c r="DQ367" s="242"/>
      <c r="DS367" s="243"/>
      <c r="DU367" s="242"/>
      <c r="DW367" s="243"/>
      <c r="DY367" s="242"/>
      <c r="EA367" s="243"/>
    </row>
    <row r="368" spans="1:131">
      <c r="A368" s="20"/>
      <c r="B368" s="124" t="str">
        <f t="shared" si="342"/>
        <v/>
      </c>
      <c r="C368" s="235"/>
      <c r="D368" s="24">
        <f>'1% Wind'!$M$87</f>
        <v>13.5</v>
      </c>
      <c r="E368" s="90"/>
      <c r="F368" s="90"/>
      <c r="G368" s="79" t="e">
        <f ca="1">IF(I362=0.9743,$G367,MAX(G367/D367*D368,2))</f>
        <v>#REF!</v>
      </c>
      <c r="H368" s="121" t="e">
        <f t="shared" ca="1" si="343"/>
        <v>#REF!</v>
      </c>
      <c r="J368" s="33"/>
      <c r="K368" s="242">
        <f t="shared" si="344"/>
        <v>1</v>
      </c>
      <c r="L368" s="241" t="e">
        <f t="shared" ca="1" si="345"/>
        <v>#REF!</v>
      </c>
      <c r="M368" s="243" t="e">
        <f ca="1">IF(AND(INDEX(FlowCalConstA,MATCH(J362,FlowCalNumber,0),1,1)*L368^INDEX(FlowCalConstB,MATCH(J362,FlowCalNumber,0),1,1)&gt;INDEX(FlowCalLowSetting,MATCH(J362,FlowCalNumber,0),1,1), (INDEX(FlowCalConstA,MATCH(J362,FlowCalNumber,0),1,1)*L368^INDEX(FlowCalConstB,MATCH(J362,FlowCalNumber,0),1,1)&lt;INDEX(FlowCalHighSetting,MATCH(J362,FlowCalNumber,0),1,1))),INDEX(FlowCalConstA,MATCH(J362,FlowCalNumber,0),1,1)*L368^INDEX(FlowCalConstB,MATCH(J362,FlowCalNumber,0),1,1)," ")</f>
        <v>#REF!</v>
      </c>
      <c r="N368" s="33"/>
      <c r="O368" s="242">
        <f t="shared" si="346"/>
        <v>1</v>
      </c>
      <c r="P368" s="241" t="e">
        <f t="shared" ca="1" si="347"/>
        <v>#REF!</v>
      </c>
      <c r="Q368" s="243" t="e">
        <f ca="1">IF(AND(INDEX(FlowCalConstA,MATCH(N362,FlowCalNumber,0),1,1)*P368^INDEX(FlowCalConstB,MATCH(N362,FlowCalNumber,0),1,1)&gt;INDEX(FlowCalLowSetting,MATCH(N362,FlowCalNumber,0),1,1), (INDEX(FlowCalConstA,MATCH(N362,FlowCalNumber,0),1,1)*P368^INDEX(FlowCalConstB,MATCH(N362,FlowCalNumber,0),1,1)&lt;INDEX(FlowCalHighSetting,MATCH(N362,FlowCalNumber,0),1,1))),INDEX(FlowCalConstA,MATCH(N362,FlowCalNumber,0),1,1)*P368^INDEX(FlowCalConstB,MATCH(N362,FlowCalNumber,0),1,1)," ")</f>
        <v>#REF!</v>
      </c>
      <c r="R368" s="33"/>
      <c r="S368" s="242">
        <f t="shared" si="348"/>
        <v>1</v>
      </c>
      <c r="T368" s="241" t="e">
        <f t="shared" ca="1" si="349"/>
        <v>#REF!</v>
      </c>
      <c r="U368" s="244" t="e">
        <f ca="1">IF(AND(INDEX(FlowCalConstA,MATCH(R362,FlowCalNumber,0),1,1)*T368^INDEX(FlowCalConstB,MATCH(R362,FlowCalNumber,0),1,1)&gt;INDEX(FlowCalLowSetting,MATCH(R362,FlowCalNumber,0),1,1), (INDEX(FlowCalConstA,MATCH(R362,FlowCalNumber,0),1,1)*T368^INDEX(FlowCalConstB,MATCH(R362,FlowCalNumber,0),1,1)&lt;INDEX(FlowCalHighSetting,MATCH(R362,FlowCalNumber,0),1,1))),INDEX(FlowCalConstA,MATCH(R362,FlowCalNumber,0),1,1)*T368^INDEX(FlowCalConstB,MATCH(R362,FlowCalNumber,0),1,1)," ")</f>
        <v>#REF!</v>
      </c>
      <c r="V368" s="33"/>
      <c r="W368" s="242">
        <f t="shared" si="350"/>
        <v>0.1</v>
      </c>
      <c r="X368" s="241" t="e">
        <f t="shared" ca="1" si="351"/>
        <v>#REF!</v>
      </c>
      <c r="Y368" s="243" t="e">
        <f ca="1">IF(AND(INDEX(FlowCalConstA,MATCH(V362,FlowCalNumber,0),1,1)*X368^INDEX(FlowCalConstB,MATCH(V362,FlowCalNumber,0),1,1)&gt;INDEX(FlowCalLowSetting,MATCH(V362,FlowCalNumber,0),1,1), (INDEX(FlowCalConstA,MATCH(V362,FlowCalNumber,0),1,1)*X368^INDEX(FlowCalConstB,MATCH(V362,FlowCalNumber,0),1,1)&lt;INDEX(FlowCalHighSetting,MATCH(V362,FlowCalNumber,0),1,1))),INDEX(FlowCalConstA,MATCH(V362,FlowCalNumber,0),1,1)*X368^INDEX(FlowCalConstB,MATCH(V362,FlowCalNumber,0),1,1)," ")</f>
        <v>#REF!</v>
      </c>
      <c r="Z368" s="33"/>
      <c r="AA368" s="242">
        <f t="shared" si="352"/>
        <v>0.9</v>
      </c>
      <c r="AB368" s="241" t="e">
        <f t="shared" ca="1" si="353"/>
        <v>#REF!</v>
      </c>
      <c r="AC368" s="243" t="e">
        <f ca="1">IF(AND(INDEX(FlowCalConstA,MATCH(Z362,FlowCalNumber,0),1,1)*AB368^INDEX(FlowCalConstB,MATCH(Z362,FlowCalNumber,0),1,1)&gt;INDEX(FlowCalLowSetting,MATCH(Z362,FlowCalNumber,0),1,1), (INDEX(FlowCalConstA,MATCH(Z362,FlowCalNumber,0),1,1)*AB368^INDEX(FlowCalConstB,MATCH(Z362,FlowCalNumber,0),1,1)&lt;INDEX(FlowCalHighSetting,MATCH(Z362,FlowCalNumber,0),1,1))),INDEX(FlowCalConstA,MATCH(Z362,FlowCalNumber,0),1,1)*AB368^INDEX(FlowCalConstB,MATCH(Z362,FlowCalNumber,0),1,1)," ")</f>
        <v>#REF!</v>
      </c>
      <c r="AD368" s="33"/>
      <c r="AE368" s="242">
        <f t="shared" si="354"/>
        <v>0.1</v>
      </c>
      <c r="AF368" s="241" t="e">
        <f t="shared" ca="1" si="355"/>
        <v>#REF!</v>
      </c>
      <c r="AG368" s="243" t="e">
        <f ca="1">IF(AND(INDEX(FlowCalConstA,MATCH(AD362,FlowCalNumber,0),1,1)*AF368^INDEX(FlowCalConstB,MATCH(AD362,FlowCalNumber,0),1,1)&gt;INDEX(FlowCalLowSetting,MATCH(AD362,FlowCalNumber,0),1,1), (INDEX(FlowCalConstA,MATCH(AD362,FlowCalNumber,0),1,1)*AF368^INDEX(FlowCalConstB,MATCH(AD362,FlowCalNumber,0),1,1)&lt;INDEX(FlowCalHighSetting,MATCH(AD362,FlowCalNumber,0),1,1))),INDEX(FlowCalConstA,MATCH(AD362,FlowCalNumber,0),1,1)*AF368^INDEX(FlowCalConstB,MATCH(AD362,FlowCalNumber,0),1,1)," ")</f>
        <v>#REF!</v>
      </c>
      <c r="AH368" s="33"/>
      <c r="AI368" s="242">
        <f t="shared" si="356"/>
        <v>0.9</v>
      </c>
      <c r="AJ368" s="241" t="e">
        <f t="shared" ca="1" si="357"/>
        <v>#REF!</v>
      </c>
      <c r="AK368" s="243" t="e">
        <f ca="1">IF(AND(INDEX(FlowCalConstA,MATCH(AH362,FlowCalNumber,0),1,1)*AJ368^INDEX(FlowCalConstB,MATCH(AH362,FlowCalNumber,0),1,1)&gt;INDEX(FlowCalLowSetting,MATCH(AH362,FlowCalNumber,0),1,1), (INDEX(FlowCalConstA,MATCH(AH362,FlowCalNumber,0),1,1)*AJ368^INDEX(FlowCalConstB,MATCH(AH362,FlowCalNumber,0),1,1)&lt;INDEX(FlowCalHighSetting,MATCH(AH362,FlowCalNumber,0),1,1))),INDEX(FlowCalConstA,MATCH(AH362,FlowCalNumber,0),1,1)*AJ368^INDEX(FlowCalConstB,MATCH(AH362,FlowCalNumber,0),1,1)," ")</f>
        <v>#REF!</v>
      </c>
      <c r="AL368" s="33"/>
      <c r="AM368" s="242"/>
      <c r="AN368" s="241"/>
      <c r="AO368" s="244"/>
      <c r="AQ368" s="242"/>
      <c r="AR368" s="241"/>
      <c r="AS368" s="244"/>
      <c r="AT368" s="33"/>
      <c r="AU368" s="242"/>
      <c r="AV368" s="241"/>
      <c r="AW368" s="244"/>
      <c r="AX368" s="33"/>
      <c r="AY368" s="242"/>
      <c r="AZ368" s="241"/>
      <c r="BA368" s="244"/>
      <c r="BB368" s="33"/>
      <c r="BC368" s="242"/>
      <c r="BD368" s="241"/>
      <c r="BE368" s="244"/>
      <c r="BF368" s="33"/>
      <c r="BG368" s="242"/>
      <c r="BH368" s="241"/>
      <c r="BI368" s="244"/>
      <c r="BJ368" s="33"/>
      <c r="BK368" s="242"/>
      <c r="BL368" s="241"/>
      <c r="BM368" s="244"/>
      <c r="BN368" s="33"/>
      <c r="BO368" s="242"/>
      <c r="BP368" s="241"/>
      <c r="BQ368" s="244"/>
      <c r="BR368" s="33"/>
      <c r="BS368" s="242"/>
      <c r="BT368" s="241"/>
      <c r="BU368" s="244"/>
      <c r="BV368" s="33"/>
      <c r="BW368" s="242"/>
      <c r="BX368" s="241"/>
      <c r="BY368" s="244"/>
      <c r="BZ368" s="33"/>
      <c r="CA368" s="242"/>
      <c r="CB368" s="241"/>
      <c r="CC368" s="244"/>
      <c r="CD368" s="243"/>
      <c r="CE368" s="243"/>
      <c r="CF368" s="243"/>
      <c r="CG368" s="243"/>
      <c r="CH368" s="243"/>
      <c r="CI368" s="243"/>
      <c r="CJ368" s="243"/>
      <c r="CK368" s="243"/>
      <c r="CL368" s="243"/>
      <c r="CM368" s="243"/>
      <c r="CN368" s="243"/>
      <c r="CO368" s="243"/>
      <c r="CP368" s="243"/>
      <c r="CQ368" s="243"/>
      <c r="CR368" s="243"/>
      <c r="CS368" s="243"/>
      <c r="CT368" s="243"/>
      <c r="CU368" s="243"/>
      <c r="CV368" s="243"/>
      <c r="CW368" s="243"/>
      <c r="CX368" s="243"/>
      <c r="CY368" s="243"/>
      <c r="CZ368" s="243"/>
      <c r="DA368" s="243"/>
      <c r="DB368" s="243"/>
      <c r="DC368" s="243"/>
      <c r="DD368" s="243"/>
      <c r="DE368" s="243"/>
      <c r="DF368" s="243"/>
      <c r="DG368" s="243"/>
      <c r="DH368" s="243"/>
      <c r="DI368" s="243"/>
      <c r="DJ368" s="243"/>
      <c r="DK368" s="243"/>
      <c r="DM368" s="242"/>
      <c r="DO368" s="243"/>
      <c r="DQ368" s="242"/>
      <c r="DS368" s="243"/>
      <c r="DU368" s="242"/>
      <c r="DW368" s="243"/>
      <c r="DY368" s="242"/>
      <c r="EA368" s="243"/>
    </row>
    <row r="369" spans="1:131">
      <c r="A369" s="20"/>
      <c r="B369" s="124" t="str">
        <f t="shared" si="342"/>
        <v/>
      </c>
      <c r="C369" s="235"/>
      <c r="D369" s="24">
        <f>'1% Wind'!$M$88</f>
        <v>10.1</v>
      </c>
      <c r="E369" s="90"/>
      <c r="F369" s="90"/>
      <c r="G369" s="79" t="e">
        <f ca="1">IF(I362=0.9743,$G368,MAX(G368/D368*D369,2))</f>
        <v>#REF!</v>
      </c>
      <c r="H369" s="121" t="e">
        <f t="shared" ca="1" si="343"/>
        <v>#REF!</v>
      </c>
      <c r="J369" s="33"/>
      <c r="K369" s="242">
        <f t="shared" si="344"/>
        <v>1</v>
      </c>
      <c r="L369" s="241" t="e">
        <f t="shared" ca="1" si="345"/>
        <v>#REF!</v>
      </c>
      <c r="M369" s="243" t="e">
        <f ca="1">IF(AND(INDEX(FlowCalConstA,MATCH(J362,FlowCalNumber,0),1,1)*L369^INDEX(FlowCalConstB,MATCH(J362,FlowCalNumber,0),1,1)&gt;INDEX(FlowCalLowSetting,MATCH(J362,FlowCalNumber,0),1,1), (INDEX(FlowCalConstA,MATCH(J362,FlowCalNumber,0),1,1)*L369^INDEX(FlowCalConstB,MATCH(J362,FlowCalNumber,0),1,1)&lt;INDEX(FlowCalHighSetting,MATCH(J362,FlowCalNumber,0),1,1))),INDEX(FlowCalConstA,MATCH(J362,FlowCalNumber,0),1,1)*L369^INDEX(FlowCalConstB,MATCH(J362,FlowCalNumber,0),1,1)," ")</f>
        <v>#REF!</v>
      </c>
      <c r="N369" s="33"/>
      <c r="O369" s="242">
        <f t="shared" si="346"/>
        <v>1</v>
      </c>
      <c r="P369" s="241" t="e">
        <f t="shared" ca="1" si="347"/>
        <v>#REF!</v>
      </c>
      <c r="Q369" s="243" t="e">
        <f ca="1">IF(AND(INDEX(FlowCalConstA,MATCH(N362,FlowCalNumber,0),1,1)*P369^INDEX(FlowCalConstB,MATCH(N362,FlowCalNumber,0),1,1)&gt;INDEX(FlowCalLowSetting,MATCH(N362,FlowCalNumber,0),1,1), (INDEX(FlowCalConstA,MATCH(N362,FlowCalNumber,0),1,1)*P369^INDEX(FlowCalConstB,MATCH(N362,FlowCalNumber,0),1,1)&lt;INDEX(FlowCalHighSetting,MATCH(N362,FlowCalNumber,0),1,1))),INDEX(FlowCalConstA,MATCH(N362,FlowCalNumber,0),1,1)*P369^INDEX(FlowCalConstB,MATCH(N362,FlowCalNumber,0),1,1)," ")</f>
        <v>#REF!</v>
      </c>
      <c r="R369" s="33"/>
      <c r="S369" s="242">
        <f t="shared" si="348"/>
        <v>1</v>
      </c>
      <c r="T369" s="241" t="e">
        <f t="shared" ca="1" si="349"/>
        <v>#REF!</v>
      </c>
      <c r="U369" s="244" t="e">
        <f ca="1">IF(AND(INDEX(FlowCalConstA,MATCH(R362,FlowCalNumber,0),1,1)*T369^INDEX(FlowCalConstB,MATCH(R362,FlowCalNumber,0),1,1)&gt;INDEX(FlowCalLowSetting,MATCH(R362,FlowCalNumber,0),1,1), (INDEX(FlowCalConstA,MATCH(R362,FlowCalNumber,0),1,1)*T369^INDEX(FlowCalConstB,MATCH(R362,FlowCalNumber,0),1,1)&lt;INDEX(FlowCalHighSetting,MATCH(R362,FlowCalNumber,0),1,1))),INDEX(FlowCalConstA,MATCH(R362,FlowCalNumber,0),1,1)*T369^INDEX(FlowCalConstB,MATCH(R362,FlowCalNumber,0),1,1)," ")</f>
        <v>#REF!</v>
      </c>
      <c r="V369" s="33"/>
      <c r="W369" s="242">
        <f t="shared" si="350"/>
        <v>0.1</v>
      </c>
      <c r="X369" s="241" t="e">
        <f t="shared" ca="1" si="351"/>
        <v>#REF!</v>
      </c>
      <c r="Y369" s="243" t="e">
        <f ca="1">IF(AND(INDEX(FlowCalConstA,MATCH(V362,FlowCalNumber,0),1,1)*X369^INDEX(FlowCalConstB,MATCH(V362,FlowCalNumber,0),1,1)&gt;INDEX(FlowCalLowSetting,MATCH(V362,FlowCalNumber,0),1,1), (INDEX(FlowCalConstA,MATCH(V362,FlowCalNumber,0),1,1)*X369^INDEX(FlowCalConstB,MATCH(V362,FlowCalNumber,0),1,1)&lt;INDEX(FlowCalHighSetting,MATCH(V362,FlowCalNumber,0),1,1))),INDEX(FlowCalConstA,MATCH(V362,FlowCalNumber,0),1,1)*X369^INDEX(FlowCalConstB,MATCH(V362,FlowCalNumber,0),1,1)," ")</f>
        <v>#REF!</v>
      </c>
      <c r="Z369" s="33"/>
      <c r="AA369" s="242">
        <f t="shared" si="352"/>
        <v>0.9</v>
      </c>
      <c r="AB369" s="241" t="e">
        <f t="shared" ca="1" si="353"/>
        <v>#REF!</v>
      </c>
      <c r="AC369" s="243" t="e">
        <f ca="1">IF(AND(INDEX(FlowCalConstA,MATCH(Z362,FlowCalNumber,0),1,1)*AB369^INDEX(FlowCalConstB,MATCH(Z362,FlowCalNumber,0),1,1)&gt;INDEX(FlowCalLowSetting,MATCH(Z362,FlowCalNumber,0),1,1), (INDEX(FlowCalConstA,MATCH(Z362,FlowCalNumber,0),1,1)*AB369^INDEX(FlowCalConstB,MATCH(Z362,FlowCalNumber,0),1,1)&lt;INDEX(FlowCalHighSetting,MATCH(Z362,FlowCalNumber,0),1,1))),INDEX(FlowCalConstA,MATCH(Z362,FlowCalNumber,0),1,1)*AB369^INDEX(FlowCalConstB,MATCH(Z362,FlowCalNumber,0),1,1)," ")</f>
        <v>#REF!</v>
      </c>
      <c r="AD369" s="33"/>
      <c r="AE369" s="242">
        <f t="shared" si="354"/>
        <v>0.1</v>
      </c>
      <c r="AF369" s="241" t="e">
        <f t="shared" ca="1" si="355"/>
        <v>#REF!</v>
      </c>
      <c r="AG369" s="243" t="e">
        <f ca="1">IF(AND(INDEX(FlowCalConstA,MATCH(AD362,FlowCalNumber,0),1,1)*AF369^INDEX(FlowCalConstB,MATCH(AD362,FlowCalNumber,0),1,1)&gt;INDEX(FlowCalLowSetting,MATCH(AD362,FlowCalNumber,0),1,1), (INDEX(FlowCalConstA,MATCH(AD362,FlowCalNumber,0),1,1)*AF369^INDEX(FlowCalConstB,MATCH(AD362,FlowCalNumber,0),1,1)&lt;INDEX(FlowCalHighSetting,MATCH(AD362,FlowCalNumber,0),1,1))),INDEX(FlowCalConstA,MATCH(AD362,FlowCalNumber,0),1,1)*AF369^INDEX(FlowCalConstB,MATCH(AD362,FlowCalNumber,0),1,1)," ")</f>
        <v>#REF!</v>
      </c>
      <c r="AH369" s="33"/>
      <c r="AI369" s="242">
        <f t="shared" si="356"/>
        <v>0.9</v>
      </c>
      <c r="AJ369" s="241" t="e">
        <f t="shared" ca="1" si="357"/>
        <v>#REF!</v>
      </c>
      <c r="AK369" s="243" t="e">
        <f ca="1">IF(AND(INDEX(FlowCalConstA,MATCH(AH362,FlowCalNumber,0),1,1)*AJ369^INDEX(FlowCalConstB,MATCH(AH362,FlowCalNumber,0),1,1)&gt;INDEX(FlowCalLowSetting,MATCH(AH362,FlowCalNumber,0),1,1), (INDEX(FlowCalConstA,MATCH(AH362,FlowCalNumber,0),1,1)*AJ369^INDEX(FlowCalConstB,MATCH(AH362,FlowCalNumber,0),1,1)&lt;INDEX(FlowCalHighSetting,MATCH(AH362,FlowCalNumber,0),1,1))),INDEX(FlowCalConstA,MATCH(AH362,FlowCalNumber,0),1,1)*AJ369^INDEX(FlowCalConstB,MATCH(AH362,FlowCalNumber,0),1,1)," ")</f>
        <v>#REF!</v>
      </c>
      <c r="AL369" s="33"/>
      <c r="AM369" s="242"/>
      <c r="AN369" s="241"/>
      <c r="AO369" s="244"/>
      <c r="AQ369" s="242"/>
      <c r="AR369" s="241"/>
      <c r="AS369" s="244"/>
      <c r="AT369" s="33"/>
      <c r="AU369" s="242"/>
      <c r="AV369" s="241"/>
      <c r="AW369" s="244"/>
      <c r="AX369" s="33"/>
      <c r="AY369" s="242"/>
      <c r="AZ369" s="241"/>
      <c r="BA369" s="244"/>
      <c r="BB369" s="33"/>
      <c r="BC369" s="242"/>
      <c r="BD369" s="241"/>
      <c r="BE369" s="244"/>
      <c r="BF369" s="33"/>
      <c r="BG369" s="242"/>
      <c r="BH369" s="241"/>
      <c r="BI369" s="244"/>
      <c r="BJ369" s="33"/>
      <c r="BK369" s="242"/>
      <c r="BL369" s="241"/>
      <c r="BM369" s="244"/>
      <c r="BN369" s="33"/>
      <c r="BO369" s="242"/>
      <c r="BP369" s="241"/>
      <c r="BQ369" s="244"/>
      <c r="BR369" s="33"/>
      <c r="BS369" s="242"/>
      <c r="BT369" s="241"/>
      <c r="BU369" s="244"/>
      <c r="BV369" s="33"/>
      <c r="BW369" s="242"/>
      <c r="BX369" s="241"/>
      <c r="BY369" s="244"/>
      <c r="BZ369" s="33"/>
      <c r="CA369" s="242"/>
      <c r="CB369" s="241"/>
      <c r="CC369" s="244"/>
      <c r="CD369" s="243"/>
      <c r="CE369" s="243"/>
      <c r="CF369" s="243"/>
      <c r="CG369" s="243"/>
      <c r="CH369" s="243"/>
      <c r="CI369" s="243"/>
      <c r="CJ369" s="243"/>
      <c r="CK369" s="243"/>
      <c r="CL369" s="243"/>
      <c r="CM369" s="243"/>
      <c r="CN369" s="243"/>
      <c r="CO369" s="243"/>
      <c r="CP369" s="243"/>
      <c r="CQ369" s="243"/>
      <c r="CR369" s="243"/>
      <c r="CS369" s="243"/>
      <c r="CT369" s="243"/>
      <c r="CU369" s="243"/>
      <c r="CV369" s="243"/>
      <c r="CW369" s="243"/>
      <c r="CX369" s="243"/>
      <c r="CY369" s="243"/>
      <c r="CZ369" s="243"/>
      <c r="DA369" s="243"/>
      <c r="DB369" s="243"/>
      <c r="DC369" s="243"/>
      <c r="DD369" s="243"/>
      <c r="DE369" s="243"/>
      <c r="DF369" s="243"/>
      <c r="DG369" s="243"/>
      <c r="DH369" s="243"/>
      <c r="DI369" s="243"/>
      <c r="DJ369" s="243"/>
      <c r="DK369" s="243"/>
      <c r="DM369" s="242"/>
      <c r="DO369" s="243"/>
      <c r="DQ369" s="242"/>
      <c r="DS369" s="243"/>
      <c r="DU369" s="242"/>
      <c r="DW369" s="243"/>
      <c r="DY369" s="242"/>
      <c r="EA369" s="243"/>
    </row>
    <row r="370" spans="1:131">
      <c r="A370" s="20"/>
      <c r="B370" s="124" t="str">
        <f t="shared" si="342"/>
        <v/>
      </c>
      <c r="C370" s="235"/>
      <c r="D370" s="24">
        <f>'1% Wind'!$M$89</f>
        <v>7.6</v>
      </c>
      <c r="E370" s="90"/>
      <c r="F370" s="90"/>
      <c r="G370" s="79" t="e">
        <f ca="1">IF(I362=0.9743,$G369,MAX(G369/D369*D370,2))</f>
        <v>#REF!</v>
      </c>
      <c r="H370" s="121" t="e">
        <f t="shared" ca="1" si="343"/>
        <v>#REF!</v>
      </c>
      <c r="J370" s="33"/>
      <c r="K370" s="242">
        <f t="shared" si="344"/>
        <v>1</v>
      </c>
      <c r="L370" s="241" t="e">
        <f t="shared" ca="1" si="345"/>
        <v>#REF!</v>
      </c>
      <c r="M370" s="243" t="e">
        <f ca="1">IF(AND(INDEX(FlowCalConstA,MATCH(J362,FlowCalNumber,0),1,1)*L370^INDEX(FlowCalConstB,MATCH(J362,FlowCalNumber,0),1,1)&gt;INDEX(FlowCalLowSetting,MATCH(J362,FlowCalNumber,0),1,1), (INDEX(FlowCalConstA,MATCH(J362,FlowCalNumber,0),1,1)*L370^INDEX(FlowCalConstB,MATCH(J362,FlowCalNumber,0),1,1)&lt;INDEX(FlowCalHighSetting,MATCH(J362,FlowCalNumber,0),1,1))),INDEX(FlowCalConstA,MATCH(J362,FlowCalNumber,0),1,1)*L370^INDEX(FlowCalConstB,MATCH(J362,FlowCalNumber,0),1,1)," ")</f>
        <v>#REF!</v>
      </c>
      <c r="N370" s="33"/>
      <c r="O370" s="242">
        <f t="shared" si="346"/>
        <v>1</v>
      </c>
      <c r="P370" s="241" t="e">
        <f t="shared" ca="1" si="347"/>
        <v>#REF!</v>
      </c>
      <c r="Q370" s="243" t="e">
        <f ca="1">IF(AND(INDEX(FlowCalConstA,MATCH(N362,FlowCalNumber,0),1,1)*P370^INDEX(FlowCalConstB,MATCH(N362,FlowCalNumber,0),1,1)&gt;INDEX(FlowCalLowSetting,MATCH(N362,FlowCalNumber,0),1,1), (INDEX(FlowCalConstA,MATCH(N362,FlowCalNumber,0),1,1)*P370^INDEX(FlowCalConstB,MATCH(N362,FlowCalNumber,0),1,1)&lt;INDEX(FlowCalHighSetting,MATCH(N362,FlowCalNumber,0),1,1))),INDEX(FlowCalConstA,MATCH(N362,FlowCalNumber,0),1,1)*P370^INDEX(FlowCalConstB,MATCH(N362,FlowCalNumber,0),1,1)," ")</f>
        <v>#REF!</v>
      </c>
      <c r="R370" s="33"/>
      <c r="S370" s="242">
        <f t="shared" si="348"/>
        <v>1</v>
      </c>
      <c r="T370" s="241" t="e">
        <f t="shared" ca="1" si="349"/>
        <v>#REF!</v>
      </c>
      <c r="U370" s="244" t="e">
        <f ca="1">IF(AND(INDEX(FlowCalConstA,MATCH(R362,FlowCalNumber,0),1,1)*T370^INDEX(FlowCalConstB,MATCH(R362,FlowCalNumber,0),1,1)&gt;INDEX(FlowCalLowSetting,MATCH(R362,FlowCalNumber,0),1,1), (INDEX(FlowCalConstA,MATCH(R362,FlowCalNumber,0),1,1)*T370^INDEX(FlowCalConstB,MATCH(R362,FlowCalNumber,0),1,1)&lt;INDEX(FlowCalHighSetting,MATCH(R362,FlowCalNumber,0),1,1))),INDEX(FlowCalConstA,MATCH(R362,FlowCalNumber,0),1,1)*T370^INDEX(FlowCalConstB,MATCH(R362,FlowCalNumber,0),1,1)," ")</f>
        <v>#REF!</v>
      </c>
      <c r="V370" s="33"/>
      <c r="W370" s="242">
        <f t="shared" si="350"/>
        <v>0.1</v>
      </c>
      <c r="X370" s="241" t="e">
        <f t="shared" ca="1" si="351"/>
        <v>#REF!</v>
      </c>
      <c r="Y370" s="243" t="e">
        <f ca="1">IF(AND(INDEX(FlowCalConstA,MATCH(V362,FlowCalNumber,0),1,1)*X370^INDEX(FlowCalConstB,MATCH(V362,FlowCalNumber,0),1,1)&gt;INDEX(FlowCalLowSetting,MATCH(V362,FlowCalNumber,0),1,1), (INDEX(FlowCalConstA,MATCH(V362,FlowCalNumber,0),1,1)*X370^INDEX(FlowCalConstB,MATCH(V362,FlowCalNumber,0),1,1)&lt;INDEX(FlowCalHighSetting,MATCH(V362,FlowCalNumber,0),1,1))),INDEX(FlowCalConstA,MATCH(V362,FlowCalNumber,0),1,1)*X370^INDEX(FlowCalConstB,MATCH(V362,FlowCalNumber,0),1,1)," ")</f>
        <v>#REF!</v>
      </c>
      <c r="Z370" s="33"/>
      <c r="AA370" s="242">
        <f t="shared" si="352"/>
        <v>0.9</v>
      </c>
      <c r="AB370" s="241" t="e">
        <f t="shared" ca="1" si="353"/>
        <v>#REF!</v>
      </c>
      <c r="AC370" s="243" t="e">
        <f ca="1">IF(AND(INDEX(FlowCalConstA,MATCH(Z362,FlowCalNumber,0),1,1)*AB370^INDEX(FlowCalConstB,MATCH(Z362,FlowCalNumber,0),1,1)&gt;INDEX(FlowCalLowSetting,MATCH(Z362,FlowCalNumber,0),1,1), (INDEX(FlowCalConstA,MATCH(Z362,FlowCalNumber,0),1,1)*AB370^INDEX(FlowCalConstB,MATCH(Z362,FlowCalNumber,0),1,1)&lt;INDEX(FlowCalHighSetting,MATCH(Z362,FlowCalNumber,0),1,1))),INDEX(FlowCalConstA,MATCH(Z362,FlowCalNumber,0),1,1)*AB370^INDEX(FlowCalConstB,MATCH(Z362,FlowCalNumber,0),1,1)," ")</f>
        <v>#REF!</v>
      </c>
      <c r="AD370" s="33"/>
      <c r="AE370" s="242">
        <f t="shared" si="354"/>
        <v>0.1</v>
      </c>
      <c r="AF370" s="241" t="e">
        <f t="shared" ca="1" si="355"/>
        <v>#REF!</v>
      </c>
      <c r="AG370" s="243" t="e">
        <f ca="1">IF(AND(INDEX(FlowCalConstA,MATCH(AD362,FlowCalNumber,0),1,1)*AF370^INDEX(FlowCalConstB,MATCH(AD362,FlowCalNumber,0),1,1)&gt;INDEX(FlowCalLowSetting,MATCH(AD362,FlowCalNumber,0),1,1), (INDEX(FlowCalConstA,MATCH(AD362,FlowCalNumber,0),1,1)*AF370^INDEX(FlowCalConstB,MATCH(AD362,FlowCalNumber,0),1,1)&lt;INDEX(FlowCalHighSetting,MATCH(AD362,FlowCalNumber,0),1,1))),INDEX(FlowCalConstA,MATCH(AD362,FlowCalNumber,0),1,1)*AF370^INDEX(FlowCalConstB,MATCH(AD362,FlowCalNumber,0),1,1)," ")</f>
        <v>#REF!</v>
      </c>
      <c r="AH370" s="33"/>
      <c r="AI370" s="242">
        <f t="shared" si="356"/>
        <v>0.9</v>
      </c>
      <c r="AJ370" s="241" t="e">
        <f t="shared" ca="1" si="357"/>
        <v>#REF!</v>
      </c>
      <c r="AK370" s="243" t="e">
        <f ca="1">IF(AND(INDEX(FlowCalConstA,MATCH(AH362,FlowCalNumber,0),1,1)*AJ370^INDEX(FlowCalConstB,MATCH(AH362,FlowCalNumber,0),1,1)&gt;INDEX(FlowCalLowSetting,MATCH(AH362,FlowCalNumber,0),1,1), (INDEX(FlowCalConstA,MATCH(AH362,FlowCalNumber,0),1,1)*AJ370^INDEX(FlowCalConstB,MATCH(AH362,FlowCalNumber,0),1,1)&lt;INDEX(FlowCalHighSetting,MATCH(AH362,FlowCalNumber,0),1,1))),INDEX(FlowCalConstA,MATCH(AH362,FlowCalNumber,0),1,1)*AJ370^INDEX(FlowCalConstB,MATCH(AH362,FlowCalNumber,0),1,1)," ")</f>
        <v>#REF!</v>
      </c>
      <c r="AL370" s="33"/>
      <c r="AM370" s="242"/>
      <c r="AN370" s="241"/>
      <c r="AO370" s="244"/>
      <c r="AQ370" s="242"/>
      <c r="AR370" s="241"/>
      <c r="AS370" s="244"/>
      <c r="AT370" s="33"/>
      <c r="AU370" s="242"/>
      <c r="AV370" s="241"/>
      <c r="AW370" s="244"/>
      <c r="AX370" s="33"/>
      <c r="AY370" s="242"/>
      <c r="AZ370" s="241"/>
      <c r="BA370" s="244"/>
      <c r="BB370" s="33"/>
      <c r="BC370" s="242"/>
      <c r="BD370" s="241"/>
      <c r="BE370" s="244"/>
      <c r="BF370" s="33"/>
      <c r="BG370" s="242"/>
      <c r="BH370" s="241"/>
      <c r="BI370" s="244"/>
      <c r="BJ370" s="33"/>
      <c r="BK370" s="242"/>
      <c r="BL370" s="241"/>
      <c r="BM370" s="244"/>
      <c r="BN370" s="33"/>
      <c r="BO370" s="242"/>
      <c r="BP370" s="241"/>
      <c r="BQ370" s="244"/>
      <c r="BR370" s="33"/>
      <c r="BS370" s="242"/>
      <c r="BT370" s="241"/>
      <c r="BU370" s="244"/>
      <c r="BV370" s="33"/>
      <c r="BW370" s="242"/>
      <c r="BX370" s="241"/>
      <c r="BY370" s="244"/>
      <c r="BZ370" s="33"/>
      <c r="CA370" s="242"/>
      <c r="CB370" s="241"/>
      <c r="CC370" s="244"/>
      <c r="CD370" s="243"/>
      <c r="CE370" s="243"/>
      <c r="CF370" s="243"/>
      <c r="CG370" s="243"/>
      <c r="CH370" s="243"/>
      <c r="CI370" s="243"/>
      <c r="CJ370" s="243"/>
      <c r="CK370" s="243"/>
      <c r="CL370" s="243"/>
      <c r="CM370" s="243"/>
      <c r="CN370" s="243"/>
      <c r="CO370" s="243"/>
      <c r="CP370" s="243"/>
      <c r="CQ370" s="243"/>
      <c r="CR370" s="243"/>
      <c r="CS370" s="243"/>
      <c r="CT370" s="243"/>
      <c r="CU370" s="243"/>
      <c r="CV370" s="243"/>
      <c r="CW370" s="243"/>
      <c r="CX370" s="243"/>
      <c r="CY370" s="243"/>
      <c r="CZ370" s="243"/>
      <c r="DA370" s="243"/>
      <c r="DB370" s="243"/>
      <c r="DC370" s="243"/>
      <c r="DD370" s="243"/>
      <c r="DE370" s="243"/>
      <c r="DF370" s="243"/>
      <c r="DG370" s="243"/>
      <c r="DH370" s="243"/>
      <c r="DI370" s="243"/>
      <c r="DJ370" s="243"/>
      <c r="DK370" s="243"/>
      <c r="DM370" s="242"/>
      <c r="DO370" s="243"/>
      <c r="DQ370" s="242"/>
      <c r="DS370" s="243"/>
      <c r="DU370" s="242"/>
      <c r="DW370" s="243"/>
      <c r="DY370" s="242"/>
      <c r="EA370" s="243"/>
    </row>
    <row r="371" spans="1:131">
      <c r="A371" s="20"/>
      <c r="B371" s="124" t="str">
        <f t="shared" si="342"/>
        <v/>
      </c>
      <c r="C371" s="235"/>
      <c r="D371" s="24">
        <f>'1% Wind'!$M$90</f>
        <v>5.7</v>
      </c>
      <c r="E371" s="90"/>
      <c r="F371" s="90"/>
      <c r="G371" s="79" t="e">
        <f ca="1">IF(I362=0.9743,$G370,MAX(G370/D370*D371,2))</f>
        <v>#REF!</v>
      </c>
      <c r="H371" s="121" t="e">
        <f t="shared" ca="1" si="343"/>
        <v>#REF!</v>
      </c>
      <c r="J371" s="33"/>
      <c r="K371" s="242">
        <f t="shared" si="344"/>
        <v>1</v>
      </c>
      <c r="L371" s="241" t="e">
        <f t="shared" ca="1" si="345"/>
        <v>#REF!</v>
      </c>
      <c r="M371" s="243" t="e">
        <f ca="1">IF(AND(INDEX(FlowCalConstA,MATCH(J362,FlowCalNumber,0),1,1)*L371^INDEX(FlowCalConstB,MATCH(J362,FlowCalNumber,0),1,1)&gt;INDEX(FlowCalLowSetting,MATCH(J362,FlowCalNumber,0),1,1), (INDEX(FlowCalConstA,MATCH(J362,FlowCalNumber,0),1,1)*L371^INDEX(FlowCalConstB,MATCH(J362,FlowCalNumber,0),1,1)&lt;INDEX(FlowCalHighSetting,MATCH(J362,FlowCalNumber,0),1,1))),INDEX(FlowCalConstA,MATCH(J362,FlowCalNumber,0),1,1)*L371^INDEX(FlowCalConstB,MATCH(J362,FlowCalNumber,0),1,1)," ")</f>
        <v>#REF!</v>
      </c>
      <c r="N371" s="33"/>
      <c r="O371" s="242">
        <f t="shared" si="346"/>
        <v>1</v>
      </c>
      <c r="P371" s="241" t="e">
        <f t="shared" ca="1" si="347"/>
        <v>#REF!</v>
      </c>
      <c r="Q371" s="243" t="e">
        <f ca="1">IF(AND(INDEX(FlowCalConstA,MATCH(N362,FlowCalNumber,0),1,1)*P371^INDEX(FlowCalConstB,MATCH(N362,FlowCalNumber,0),1,1)&gt;INDEX(FlowCalLowSetting,MATCH(N362,FlowCalNumber,0),1,1), (INDEX(FlowCalConstA,MATCH(N362,FlowCalNumber,0),1,1)*P371^INDEX(FlowCalConstB,MATCH(N362,FlowCalNumber,0),1,1)&lt;INDEX(FlowCalHighSetting,MATCH(N362,FlowCalNumber,0),1,1))),INDEX(FlowCalConstA,MATCH(N362,FlowCalNumber,0),1,1)*P371^INDEX(FlowCalConstB,MATCH(N362,FlowCalNumber,0),1,1)," ")</f>
        <v>#REF!</v>
      </c>
      <c r="R371" s="33"/>
      <c r="S371" s="242">
        <f t="shared" si="348"/>
        <v>1</v>
      </c>
      <c r="T371" s="241" t="e">
        <f t="shared" ca="1" si="349"/>
        <v>#REF!</v>
      </c>
      <c r="U371" s="244" t="e">
        <f ca="1">IF(AND(INDEX(FlowCalConstA,MATCH(R362,FlowCalNumber,0),1,1)*T371^INDEX(FlowCalConstB,MATCH(R362,FlowCalNumber,0),1,1)&gt;INDEX(FlowCalLowSetting,MATCH(R362,FlowCalNumber,0),1,1), (INDEX(FlowCalConstA,MATCH(R362,FlowCalNumber,0),1,1)*T371^INDEX(FlowCalConstB,MATCH(R362,FlowCalNumber,0),1,1)&lt;INDEX(FlowCalHighSetting,MATCH(R362,FlowCalNumber,0),1,1))),INDEX(FlowCalConstA,MATCH(R362,FlowCalNumber,0),1,1)*T371^INDEX(FlowCalConstB,MATCH(R362,FlowCalNumber,0),1,1)," ")</f>
        <v>#REF!</v>
      </c>
      <c r="V371" s="33"/>
      <c r="W371" s="242">
        <f t="shared" si="350"/>
        <v>0.1</v>
      </c>
      <c r="X371" s="241" t="e">
        <f t="shared" ca="1" si="351"/>
        <v>#REF!</v>
      </c>
      <c r="Y371" s="243" t="e">
        <f ca="1">IF(AND(INDEX(FlowCalConstA,MATCH(V362,FlowCalNumber,0),1,1)*X371^INDEX(FlowCalConstB,MATCH(V362,FlowCalNumber,0),1,1)&gt;INDEX(FlowCalLowSetting,MATCH(V362,FlowCalNumber,0),1,1), (INDEX(FlowCalConstA,MATCH(V362,FlowCalNumber,0),1,1)*X371^INDEX(FlowCalConstB,MATCH(V362,FlowCalNumber,0),1,1)&lt;INDEX(FlowCalHighSetting,MATCH(V362,FlowCalNumber,0),1,1))),INDEX(FlowCalConstA,MATCH(V362,FlowCalNumber,0),1,1)*X371^INDEX(FlowCalConstB,MATCH(V362,FlowCalNumber,0),1,1)," ")</f>
        <v>#REF!</v>
      </c>
      <c r="Z371" s="33"/>
      <c r="AA371" s="242">
        <f t="shared" si="352"/>
        <v>0.9</v>
      </c>
      <c r="AB371" s="241" t="e">
        <f t="shared" ca="1" si="353"/>
        <v>#REF!</v>
      </c>
      <c r="AC371" s="243" t="e">
        <f ca="1">IF(AND(INDEX(FlowCalConstA,MATCH(Z362,FlowCalNumber,0),1,1)*AB371^INDEX(FlowCalConstB,MATCH(Z362,FlowCalNumber,0),1,1)&gt;INDEX(FlowCalLowSetting,MATCH(Z362,FlowCalNumber,0),1,1), (INDEX(FlowCalConstA,MATCH(Z362,FlowCalNumber,0),1,1)*AB371^INDEX(FlowCalConstB,MATCH(Z362,FlowCalNumber,0),1,1)&lt;INDEX(FlowCalHighSetting,MATCH(Z362,FlowCalNumber,0),1,1))),INDEX(FlowCalConstA,MATCH(Z362,FlowCalNumber,0),1,1)*AB371^INDEX(FlowCalConstB,MATCH(Z362,FlowCalNumber,0),1,1)," ")</f>
        <v>#REF!</v>
      </c>
      <c r="AD371" s="33"/>
      <c r="AE371" s="242">
        <f t="shared" si="354"/>
        <v>0.1</v>
      </c>
      <c r="AF371" s="241" t="e">
        <f t="shared" ca="1" si="355"/>
        <v>#REF!</v>
      </c>
      <c r="AG371" s="243" t="e">
        <f ca="1">IF(AND(INDEX(FlowCalConstA,MATCH(AD362,FlowCalNumber,0),1,1)*AF371^INDEX(FlowCalConstB,MATCH(AD362,FlowCalNumber,0),1,1)&gt;INDEX(FlowCalLowSetting,MATCH(AD362,FlowCalNumber,0),1,1), (INDEX(FlowCalConstA,MATCH(AD362,FlowCalNumber,0),1,1)*AF371^INDEX(FlowCalConstB,MATCH(AD362,FlowCalNumber,0),1,1)&lt;INDEX(FlowCalHighSetting,MATCH(AD362,FlowCalNumber,0),1,1))),INDEX(FlowCalConstA,MATCH(AD362,FlowCalNumber,0),1,1)*AF371^INDEX(FlowCalConstB,MATCH(AD362,FlowCalNumber,0),1,1)," ")</f>
        <v>#REF!</v>
      </c>
      <c r="AH371" s="33"/>
      <c r="AI371" s="242">
        <f t="shared" si="356"/>
        <v>0.9</v>
      </c>
      <c r="AJ371" s="241" t="e">
        <f t="shared" ca="1" si="357"/>
        <v>#REF!</v>
      </c>
      <c r="AK371" s="243" t="e">
        <f ca="1">IF(AND(INDEX(FlowCalConstA,MATCH(AH362,FlowCalNumber,0),1,1)*AJ371^INDEX(FlowCalConstB,MATCH(AH362,FlowCalNumber,0),1,1)&gt;INDEX(FlowCalLowSetting,MATCH(AH362,FlowCalNumber,0),1,1), (INDEX(FlowCalConstA,MATCH(AH362,FlowCalNumber,0),1,1)*AJ371^INDEX(FlowCalConstB,MATCH(AH362,FlowCalNumber,0),1,1)&lt;INDEX(FlowCalHighSetting,MATCH(AH362,FlowCalNumber,0),1,1))),INDEX(FlowCalConstA,MATCH(AH362,FlowCalNumber,0),1,1)*AJ371^INDEX(FlowCalConstB,MATCH(AH362,FlowCalNumber,0),1,1)," ")</f>
        <v>#REF!</v>
      </c>
      <c r="AL371" s="33"/>
      <c r="AM371" s="242"/>
      <c r="AN371" s="241"/>
      <c r="AO371" s="244"/>
      <c r="AQ371" s="242"/>
      <c r="AR371" s="241"/>
      <c r="AS371" s="244"/>
      <c r="AT371" s="33"/>
      <c r="AU371" s="242"/>
      <c r="AV371" s="241"/>
      <c r="AW371" s="244"/>
      <c r="AX371" s="33"/>
      <c r="AY371" s="242"/>
      <c r="AZ371" s="241"/>
      <c r="BA371" s="244"/>
      <c r="BB371" s="33"/>
      <c r="BC371" s="242"/>
      <c r="BD371" s="241"/>
      <c r="BE371" s="244"/>
      <c r="BF371" s="33"/>
      <c r="BG371" s="242"/>
      <c r="BH371" s="241"/>
      <c r="BI371" s="244"/>
      <c r="BJ371" s="33"/>
      <c r="BK371" s="242"/>
      <c r="BL371" s="241"/>
      <c r="BM371" s="244"/>
      <c r="BN371" s="33"/>
      <c r="BO371" s="242"/>
      <c r="BP371" s="241"/>
      <c r="BQ371" s="244"/>
      <c r="BR371" s="33"/>
      <c r="BS371" s="242"/>
      <c r="BT371" s="241"/>
      <c r="BU371" s="244"/>
      <c r="BV371" s="33"/>
      <c r="BW371" s="242"/>
      <c r="BX371" s="241"/>
      <c r="BY371" s="244"/>
      <c r="BZ371" s="33"/>
      <c r="CA371" s="242"/>
      <c r="CB371" s="241"/>
      <c r="CC371" s="244"/>
      <c r="CD371" s="243"/>
      <c r="CE371" s="243"/>
      <c r="CF371" s="243"/>
      <c r="CG371" s="243"/>
      <c r="CH371" s="243"/>
      <c r="CI371" s="243"/>
      <c r="CJ371" s="243"/>
      <c r="CK371" s="243"/>
      <c r="CL371" s="243"/>
      <c r="CM371" s="243"/>
      <c r="CN371" s="243"/>
      <c r="CO371" s="243"/>
      <c r="CP371" s="243"/>
      <c r="CQ371" s="243"/>
      <c r="CR371" s="243"/>
      <c r="CS371" s="243"/>
      <c r="CT371" s="243"/>
      <c r="CU371" s="243"/>
      <c r="CV371" s="243"/>
      <c r="CW371" s="243"/>
      <c r="CX371" s="243"/>
      <c r="CY371" s="243"/>
      <c r="CZ371" s="243"/>
      <c r="DA371" s="243"/>
      <c r="DB371" s="243"/>
      <c r="DC371" s="243"/>
      <c r="DD371" s="243"/>
      <c r="DE371" s="243"/>
      <c r="DF371" s="243"/>
      <c r="DG371" s="243"/>
      <c r="DH371" s="243"/>
      <c r="DI371" s="243"/>
      <c r="DJ371" s="243"/>
      <c r="DK371" s="243"/>
      <c r="DM371" s="242"/>
      <c r="DO371" s="243"/>
      <c r="DQ371" s="242"/>
      <c r="DS371" s="243"/>
      <c r="DU371" s="242"/>
      <c r="DW371" s="243"/>
      <c r="DY371" s="242"/>
      <c r="EA371" s="243"/>
    </row>
    <row r="372" spans="1:131">
      <c r="A372" s="20"/>
      <c r="B372" s="124" t="str">
        <f t="shared" si="342"/>
        <v/>
      </c>
      <c r="C372" s="235"/>
      <c r="D372" s="24">
        <f>'1% Wind'!$M$91</f>
        <v>4.2</v>
      </c>
      <c r="E372" s="90"/>
      <c r="F372" s="90"/>
      <c r="G372" s="79" t="e">
        <f ca="1">IF(I362=0.9743,$G371,MAX(G371/D371*D372,2))</f>
        <v>#REF!</v>
      </c>
      <c r="H372" s="121" t="e">
        <f t="shared" ca="1" si="343"/>
        <v>#REF!</v>
      </c>
      <c r="J372" s="33"/>
      <c r="K372" s="242">
        <f t="shared" si="344"/>
        <v>1</v>
      </c>
      <c r="L372" s="241" t="e">
        <f t="shared" ca="1" si="345"/>
        <v>#REF!</v>
      </c>
      <c r="M372" s="243" t="e">
        <f ca="1">IF(AND(INDEX(FlowCalConstA,MATCH(J362,FlowCalNumber,0),1,1)*L372^INDEX(FlowCalConstB,MATCH(J362,FlowCalNumber,0),1,1)&gt;INDEX(FlowCalLowSetting,MATCH(J362,FlowCalNumber,0),1,1), (INDEX(FlowCalConstA,MATCH(J362,FlowCalNumber,0),1,1)*L372^INDEX(FlowCalConstB,MATCH(J362,FlowCalNumber,0),1,1)&lt;INDEX(FlowCalHighSetting,MATCH(J362,FlowCalNumber,0),1,1))),INDEX(FlowCalConstA,MATCH(J362,FlowCalNumber,0),1,1)*L372^INDEX(FlowCalConstB,MATCH(J362,FlowCalNumber,0),1,1)," ")</f>
        <v>#REF!</v>
      </c>
      <c r="N372" s="33"/>
      <c r="O372" s="242">
        <f t="shared" si="346"/>
        <v>1</v>
      </c>
      <c r="P372" s="241" t="e">
        <f t="shared" ca="1" si="347"/>
        <v>#REF!</v>
      </c>
      <c r="Q372" s="243" t="e">
        <f ca="1">IF(AND(INDEX(FlowCalConstA,MATCH(N362,FlowCalNumber,0),1,1)*P372^INDEX(FlowCalConstB,MATCH(N362,FlowCalNumber,0),1,1)&gt;INDEX(FlowCalLowSetting,MATCH(N362,FlowCalNumber,0),1,1), (INDEX(FlowCalConstA,MATCH(N362,FlowCalNumber,0),1,1)*P372^INDEX(FlowCalConstB,MATCH(N362,FlowCalNumber,0),1,1)&lt;INDEX(FlowCalHighSetting,MATCH(N362,FlowCalNumber,0),1,1))),INDEX(FlowCalConstA,MATCH(N362,FlowCalNumber,0),1,1)*P372^INDEX(FlowCalConstB,MATCH(N362,FlowCalNumber,0),1,1)," ")</f>
        <v>#REF!</v>
      </c>
      <c r="R372" s="33"/>
      <c r="S372" s="242">
        <f t="shared" si="348"/>
        <v>1</v>
      </c>
      <c r="T372" s="241" t="e">
        <f t="shared" ca="1" si="349"/>
        <v>#REF!</v>
      </c>
      <c r="U372" s="244" t="e">
        <f ca="1">IF(AND(INDEX(FlowCalConstA,MATCH(R362,FlowCalNumber,0),1,1)*T372^INDEX(FlowCalConstB,MATCH(R362,FlowCalNumber,0),1,1)&gt;INDEX(FlowCalLowSetting,MATCH(R362,FlowCalNumber,0),1,1), (INDEX(FlowCalConstA,MATCH(R362,FlowCalNumber,0),1,1)*T372^INDEX(FlowCalConstB,MATCH(R362,FlowCalNumber,0),1,1)&lt;INDEX(FlowCalHighSetting,MATCH(R362,FlowCalNumber,0),1,1))),INDEX(FlowCalConstA,MATCH(R362,FlowCalNumber,0),1,1)*T372^INDEX(FlowCalConstB,MATCH(R362,FlowCalNumber,0),1,1)," ")</f>
        <v>#REF!</v>
      </c>
      <c r="V372" s="33"/>
      <c r="W372" s="242">
        <f t="shared" si="350"/>
        <v>0.1</v>
      </c>
      <c r="X372" s="241" t="e">
        <f t="shared" ca="1" si="351"/>
        <v>#REF!</v>
      </c>
      <c r="Y372" s="243" t="e">
        <f ca="1">IF(AND(INDEX(FlowCalConstA,MATCH(V362,FlowCalNumber,0),1,1)*X372^INDEX(FlowCalConstB,MATCH(V362,FlowCalNumber,0),1,1)&gt;INDEX(FlowCalLowSetting,MATCH(V362,FlowCalNumber,0),1,1), (INDEX(FlowCalConstA,MATCH(V362,FlowCalNumber,0),1,1)*X372^INDEX(FlowCalConstB,MATCH(V362,FlowCalNumber,0),1,1)&lt;INDEX(FlowCalHighSetting,MATCH(V362,FlowCalNumber,0),1,1))),INDEX(FlowCalConstA,MATCH(V362,FlowCalNumber,0),1,1)*X372^INDEX(FlowCalConstB,MATCH(V362,FlowCalNumber,0),1,1)," ")</f>
        <v>#REF!</v>
      </c>
      <c r="Z372" s="33"/>
      <c r="AA372" s="242">
        <f t="shared" si="352"/>
        <v>0.9</v>
      </c>
      <c r="AB372" s="241" t="e">
        <f t="shared" ca="1" si="353"/>
        <v>#REF!</v>
      </c>
      <c r="AC372" s="243" t="e">
        <f ca="1">IF(AND(INDEX(FlowCalConstA,MATCH(Z362,FlowCalNumber,0),1,1)*AB372^INDEX(FlowCalConstB,MATCH(Z362,FlowCalNumber,0),1,1)&gt;INDEX(FlowCalLowSetting,MATCH(Z362,FlowCalNumber,0),1,1), (INDEX(FlowCalConstA,MATCH(Z362,FlowCalNumber,0),1,1)*AB372^INDEX(FlowCalConstB,MATCH(Z362,FlowCalNumber,0),1,1)&lt;INDEX(FlowCalHighSetting,MATCH(Z362,FlowCalNumber,0),1,1))),INDEX(FlowCalConstA,MATCH(Z362,FlowCalNumber,0),1,1)*AB372^INDEX(FlowCalConstB,MATCH(Z362,FlowCalNumber,0),1,1)," ")</f>
        <v>#REF!</v>
      </c>
      <c r="AD372" s="33"/>
      <c r="AE372" s="242">
        <f t="shared" si="354"/>
        <v>0.1</v>
      </c>
      <c r="AF372" s="241" t="e">
        <f t="shared" ca="1" si="355"/>
        <v>#REF!</v>
      </c>
      <c r="AG372" s="243" t="e">
        <f ca="1">IF(AND(INDEX(FlowCalConstA,MATCH(AD362,FlowCalNumber,0),1,1)*AF372^INDEX(FlowCalConstB,MATCH(AD362,FlowCalNumber,0),1,1)&gt;INDEX(FlowCalLowSetting,MATCH(AD362,FlowCalNumber,0),1,1), (INDEX(FlowCalConstA,MATCH(AD362,FlowCalNumber,0),1,1)*AF372^INDEX(FlowCalConstB,MATCH(AD362,FlowCalNumber,0),1,1)&lt;INDEX(FlowCalHighSetting,MATCH(AD362,FlowCalNumber,0),1,1))),INDEX(FlowCalConstA,MATCH(AD362,FlowCalNumber,0),1,1)*AF372^INDEX(FlowCalConstB,MATCH(AD362,FlowCalNumber,0),1,1)," ")</f>
        <v>#REF!</v>
      </c>
      <c r="AH372" s="33"/>
      <c r="AI372" s="242">
        <f t="shared" si="356"/>
        <v>0.9</v>
      </c>
      <c r="AJ372" s="241" t="e">
        <f t="shared" ca="1" si="357"/>
        <v>#REF!</v>
      </c>
      <c r="AK372" s="243" t="e">
        <f ca="1">IF(AND(INDEX(FlowCalConstA,MATCH(AH362,FlowCalNumber,0),1,1)*AJ372^INDEX(FlowCalConstB,MATCH(AH362,FlowCalNumber,0),1,1)&gt;INDEX(FlowCalLowSetting,MATCH(AH362,FlowCalNumber,0),1,1), (INDEX(FlowCalConstA,MATCH(AH362,FlowCalNumber,0),1,1)*AJ372^INDEX(FlowCalConstB,MATCH(AH362,FlowCalNumber,0),1,1)&lt;INDEX(FlowCalHighSetting,MATCH(AH362,FlowCalNumber,0),1,1))),INDEX(FlowCalConstA,MATCH(AH362,FlowCalNumber,0),1,1)*AJ372^INDEX(FlowCalConstB,MATCH(AH362,FlowCalNumber,0),1,1)," ")</f>
        <v>#REF!</v>
      </c>
      <c r="AL372" s="33"/>
      <c r="AM372" s="242"/>
      <c r="AN372" s="241"/>
      <c r="AO372" s="244"/>
      <c r="AQ372" s="242"/>
      <c r="AR372" s="241"/>
      <c r="AS372" s="244"/>
      <c r="AT372" s="33"/>
      <c r="AU372" s="242"/>
      <c r="AV372" s="241"/>
      <c r="AW372" s="244"/>
      <c r="AX372" s="33"/>
      <c r="AY372" s="242"/>
      <c r="AZ372" s="241"/>
      <c r="BA372" s="244"/>
      <c r="BB372" s="33"/>
      <c r="BC372" s="242"/>
      <c r="BD372" s="241"/>
      <c r="BE372" s="244"/>
      <c r="BF372" s="33"/>
      <c r="BG372" s="242"/>
      <c r="BH372" s="241"/>
      <c r="BI372" s="244"/>
      <c r="BJ372" s="33"/>
      <c r="BK372" s="242"/>
      <c r="BL372" s="241"/>
      <c r="BM372" s="244"/>
      <c r="BN372" s="33"/>
      <c r="BO372" s="242"/>
      <c r="BP372" s="241"/>
      <c r="BQ372" s="244"/>
      <c r="BR372" s="33"/>
      <c r="BS372" s="242"/>
      <c r="BT372" s="241"/>
      <c r="BU372" s="244"/>
      <c r="BV372" s="33"/>
      <c r="BW372" s="242"/>
      <c r="BX372" s="241"/>
      <c r="BY372" s="244"/>
      <c r="BZ372" s="33"/>
      <c r="CA372" s="242"/>
      <c r="CB372" s="241"/>
      <c r="CC372" s="244"/>
      <c r="CD372" s="243"/>
      <c r="CE372" s="243"/>
      <c r="CF372" s="243"/>
      <c r="CG372" s="243"/>
      <c r="CH372" s="243"/>
      <c r="CI372" s="243"/>
      <c r="CJ372" s="243"/>
      <c r="CK372" s="243"/>
      <c r="CL372" s="243"/>
      <c r="CM372" s="243"/>
      <c r="CN372" s="243"/>
      <c r="CO372" s="243"/>
      <c r="CP372" s="243"/>
      <c r="CQ372" s="243"/>
      <c r="CR372" s="243"/>
      <c r="CS372" s="243"/>
      <c r="CT372" s="243"/>
      <c r="CU372" s="243"/>
      <c r="CV372" s="243"/>
      <c r="CW372" s="243"/>
      <c r="CX372" s="243"/>
      <c r="CY372" s="243"/>
      <c r="CZ372" s="243"/>
      <c r="DA372" s="243"/>
      <c r="DB372" s="243"/>
      <c r="DC372" s="243"/>
      <c r="DD372" s="243"/>
      <c r="DE372" s="243"/>
      <c r="DF372" s="243"/>
      <c r="DG372" s="243"/>
      <c r="DH372" s="243"/>
      <c r="DI372" s="243"/>
      <c r="DJ372" s="243"/>
      <c r="DK372" s="243"/>
      <c r="DM372" s="242"/>
      <c r="DO372" s="243"/>
      <c r="DQ372" s="242"/>
      <c r="DS372" s="243"/>
      <c r="DU372" s="242"/>
      <c r="DW372" s="243"/>
      <c r="DY372" s="242"/>
      <c r="EA372" s="243"/>
    </row>
    <row r="373" spans="1:131">
      <c r="A373" s="20"/>
      <c r="B373" s="124" t="str">
        <f t="shared" si="342"/>
        <v/>
      </c>
      <c r="C373" s="235"/>
      <c r="D373" s="24">
        <f>'1% Wind'!$M$92</f>
        <v>3.2</v>
      </c>
      <c r="E373" s="90"/>
      <c r="F373" s="90"/>
      <c r="G373" s="79" t="e">
        <f ca="1">IF(I362=0.9743,$G372,MAX(G372/D372*D373,2))</f>
        <v>#REF!</v>
      </c>
      <c r="H373" s="121" t="e">
        <f t="shared" ca="1" si="343"/>
        <v>#REF!</v>
      </c>
      <c r="J373" s="33"/>
      <c r="K373" s="242">
        <f t="shared" si="344"/>
        <v>1</v>
      </c>
      <c r="L373" s="241" t="e">
        <f t="shared" ca="1" si="345"/>
        <v>#REF!</v>
      </c>
      <c r="M373" s="243" t="e">
        <f ca="1">IF(AND(INDEX(FlowCalConstA,MATCH(J362,FlowCalNumber,0),1,1)*L373^INDEX(FlowCalConstB,MATCH(J362,FlowCalNumber,0),1,1)&gt;INDEX(FlowCalLowSetting,MATCH(J362,FlowCalNumber,0),1,1), (INDEX(FlowCalConstA,MATCH(J362,FlowCalNumber,0),1,1)*L373^INDEX(FlowCalConstB,MATCH(J362,FlowCalNumber,0),1,1)&lt;INDEX(FlowCalHighSetting,MATCH(J362,FlowCalNumber,0),1,1))),INDEX(FlowCalConstA,MATCH(J362,FlowCalNumber,0),1,1)*L373^INDEX(FlowCalConstB,MATCH(J362,FlowCalNumber,0),1,1)," ")</f>
        <v>#REF!</v>
      </c>
      <c r="N373" s="33"/>
      <c r="O373" s="242">
        <f t="shared" si="346"/>
        <v>1</v>
      </c>
      <c r="P373" s="241" t="e">
        <f t="shared" ca="1" si="347"/>
        <v>#REF!</v>
      </c>
      <c r="Q373" s="243" t="e">
        <f ca="1">IF(AND(INDEX(FlowCalConstA,MATCH(N362,FlowCalNumber,0),1,1)*P373^INDEX(FlowCalConstB,MATCH(N362,FlowCalNumber,0),1,1)&gt;INDEX(FlowCalLowSetting,MATCH(N362,FlowCalNumber,0),1,1), (INDEX(FlowCalConstA,MATCH(N362,FlowCalNumber,0),1,1)*P373^INDEX(FlowCalConstB,MATCH(N362,FlowCalNumber,0),1,1)&lt;INDEX(FlowCalHighSetting,MATCH(N362,FlowCalNumber,0),1,1))),INDEX(FlowCalConstA,MATCH(N362,FlowCalNumber,0),1,1)*P373^INDEX(FlowCalConstB,MATCH(N362,FlowCalNumber,0),1,1)," ")</f>
        <v>#REF!</v>
      </c>
      <c r="R373" s="33"/>
      <c r="S373" s="242">
        <f t="shared" si="348"/>
        <v>1</v>
      </c>
      <c r="T373" s="241" t="e">
        <f t="shared" ca="1" si="349"/>
        <v>#REF!</v>
      </c>
      <c r="U373" s="244" t="e">
        <f ca="1">IF(AND(INDEX(FlowCalConstA,MATCH(R362,FlowCalNumber,0),1,1)*T373^INDEX(FlowCalConstB,MATCH(R362,FlowCalNumber,0),1,1)&gt;INDEX(FlowCalLowSetting,MATCH(R362,FlowCalNumber,0),1,1), (INDEX(FlowCalConstA,MATCH(R362,FlowCalNumber,0),1,1)*T373^INDEX(FlowCalConstB,MATCH(R362,FlowCalNumber,0),1,1)&lt;INDEX(FlowCalHighSetting,MATCH(R362,FlowCalNumber,0),1,1))),INDEX(FlowCalConstA,MATCH(R362,FlowCalNumber,0),1,1)*T373^INDEX(FlowCalConstB,MATCH(R362,FlowCalNumber,0),1,1)," ")</f>
        <v>#REF!</v>
      </c>
      <c r="V373" s="33"/>
      <c r="W373" s="242">
        <f t="shared" si="350"/>
        <v>0.1</v>
      </c>
      <c r="X373" s="241" t="e">
        <f t="shared" ca="1" si="351"/>
        <v>#REF!</v>
      </c>
      <c r="Y373" s="243" t="e">
        <f ca="1">IF(AND(INDEX(FlowCalConstA,MATCH(V362,FlowCalNumber,0),1,1)*X373^INDEX(FlowCalConstB,MATCH(V362,FlowCalNumber,0),1,1)&gt;INDEX(FlowCalLowSetting,MATCH(V362,FlowCalNumber,0),1,1), (INDEX(FlowCalConstA,MATCH(V362,FlowCalNumber,0),1,1)*X373^INDEX(FlowCalConstB,MATCH(V362,FlowCalNumber,0),1,1)&lt;INDEX(FlowCalHighSetting,MATCH(V362,FlowCalNumber,0),1,1))),INDEX(FlowCalConstA,MATCH(V362,FlowCalNumber,0),1,1)*X373^INDEX(FlowCalConstB,MATCH(V362,FlowCalNumber,0),1,1)," ")</f>
        <v>#REF!</v>
      </c>
      <c r="Z373" s="33"/>
      <c r="AA373" s="242">
        <f t="shared" si="352"/>
        <v>0.9</v>
      </c>
      <c r="AB373" s="241" t="e">
        <f t="shared" ca="1" si="353"/>
        <v>#REF!</v>
      </c>
      <c r="AC373" s="243" t="e">
        <f ca="1">IF(AND(INDEX(FlowCalConstA,MATCH(Z362,FlowCalNumber,0),1,1)*AB373^INDEX(FlowCalConstB,MATCH(Z362,FlowCalNumber,0),1,1)&gt;INDEX(FlowCalLowSetting,MATCH(Z362,FlowCalNumber,0),1,1), (INDEX(FlowCalConstA,MATCH(Z362,FlowCalNumber,0),1,1)*AB373^INDEX(FlowCalConstB,MATCH(Z362,FlowCalNumber,0),1,1)&lt;INDEX(FlowCalHighSetting,MATCH(Z362,FlowCalNumber,0),1,1))),INDEX(FlowCalConstA,MATCH(Z362,FlowCalNumber,0),1,1)*AB373^INDEX(FlowCalConstB,MATCH(Z362,FlowCalNumber,0),1,1)," ")</f>
        <v>#REF!</v>
      </c>
      <c r="AD373" s="33"/>
      <c r="AE373" s="242">
        <f t="shared" si="354"/>
        <v>0.1</v>
      </c>
      <c r="AF373" s="241" t="e">
        <f t="shared" ca="1" si="355"/>
        <v>#REF!</v>
      </c>
      <c r="AG373" s="243" t="e">
        <f ca="1">IF(AND(INDEX(FlowCalConstA,MATCH(AD362,FlowCalNumber,0),1,1)*AF373^INDEX(FlowCalConstB,MATCH(AD362,FlowCalNumber,0),1,1)&gt;INDEX(FlowCalLowSetting,MATCH(AD362,FlowCalNumber,0),1,1), (INDEX(FlowCalConstA,MATCH(AD362,FlowCalNumber,0),1,1)*AF373^INDEX(FlowCalConstB,MATCH(AD362,FlowCalNumber,0),1,1)&lt;INDEX(FlowCalHighSetting,MATCH(AD362,FlowCalNumber,0),1,1))),INDEX(FlowCalConstA,MATCH(AD362,FlowCalNumber,0),1,1)*AF373^INDEX(FlowCalConstB,MATCH(AD362,FlowCalNumber,0),1,1)," ")</f>
        <v>#REF!</v>
      </c>
      <c r="AH373" s="33"/>
      <c r="AI373" s="242">
        <f t="shared" si="356"/>
        <v>0.9</v>
      </c>
      <c r="AJ373" s="241" t="e">
        <f t="shared" ca="1" si="357"/>
        <v>#REF!</v>
      </c>
      <c r="AK373" s="243" t="e">
        <f ca="1">IF(AND(INDEX(FlowCalConstA,MATCH(AH362,FlowCalNumber,0),1,1)*AJ373^INDEX(FlowCalConstB,MATCH(AH362,FlowCalNumber,0),1,1)&gt;INDEX(FlowCalLowSetting,MATCH(AH362,FlowCalNumber,0),1,1), (INDEX(FlowCalConstA,MATCH(AH362,FlowCalNumber,0),1,1)*AJ373^INDEX(FlowCalConstB,MATCH(AH362,FlowCalNumber,0),1,1)&lt;INDEX(FlowCalHighSetting,MATCH(AH362,FlowCalNumber,0),1,1))),INDEX(FlowCalConstA,MATCH(AH362,FlowCalNumber,0),1,1)*AJ373^INDEX(FlowCalConstB,MATCH(AH362,FlowCalNumber,0),1,1)," ")</f>
        <v>#REF!</v>
      </c>
      <c r="AL373" s="33"/>
      <c r="AM373" s="242"/>
      <c r="AN373" s="241"/>
      <c r="AO373" s="244"/>
      <c r="AQ373" s="242"/>
      <c r="AR373" s="241"/>
      <c r="AS373" s="244"/>
      <c r="AT373" s="33"/>
      <c r="AU373" s="242"/>
      <c r="AV373" s="241"/>
      <c r="AW373" s="244"/>
      <c r="AX373" s="33"/>
      <c r="AY373" s="242"/>
      <c r="AZ373" s="241"/>
      <c r="BA373" s="244"/>
      <c r="BB373" s="33"/>
      <c r="BC373" s="242"/>
      <c r="BD373" s="241"/>
      <c r="BE373" s="244"/>
      <c r="BF373" s="33"/>
      <c r="BG373" s="242"/>
      <c r="BH373" s="241"/>
      <c r="BI373" s="244"/>
      <c r="BJ373" s="33"/>
      <c r="BK373" s="242"/>
      <c r="BL373" s="241"/>
      <c r="BM373" s="244"/>
      <c r="BN373" s="33"/>
      <c r="BO373" s="242"/>
      <c r="BP373" s="241"/>
      <c r="BQ373" s="244"/>
      <c r="BR373" s="33"/>
      <c r="BS373" s="242"/>
      <c r="BT373" s="241"/>
      <c r="BU373" s="244"/>
      <c r="BV373" s="33"/>
      <c r="BW373" s="242"/>
      <c r="BX373" s="241"/>
      <c r="BY373" s="244"/>
      <c r="BZ373" s="33"/>
      <c r="CA373" s="242"/>
      <c r="CB373" s="241"/>
      <c r="CC373" s="244"/>
      <c r="CD373" s="243"/>
      <c r="CE373" s="243"/>
      <c r="CF373" s="243"/>
      <c r="CG373" s="243"/>
      <c r="CH373" s="243"/>
      <c r="CI373" s="243"/>
      <c r="CJ373" s="243"/>
      <c r="CK373" s="243"/>
      <c r="CL373" s="243"/>
      <c r="CM373" s="243"/>
      <c r="CN373" s="243"/>
      <c r="CO373" s="243"/>
      <c r="CP373" s="243"/>
      <c r="CQ373" s="243"/>
      <c r="CR373" s="243"/>
      <c r="CS373" s="243"/>
      <c r="CT373" s="243"/>
      <c r="CU373" s="243"/>
      <c r="CV373" s="243"/>
      <c r="CW373" s="243"/>
      <c r="CX373" s="243"/>
      <c r="CY373" s="243"/>
      <c r="CZ373" s="243"/>
      <c r="DA373" s="243"/>
      <c r="DB373" s="243"/>
      <c r="DC373" s="243"/>
      <c r="DD373" s="243"/>
      <c r="DE373" s="243"/>
      <c r="DF373" s="243"/>
      <c r="DG373" s="243"/>
      <c r="DH373" s="243"/>
      <c r="DI373" s="243"/>
      <c r="DJ373" s="243"/>
      <c r="DK373" s="243"/>
      <c r="DM373" s="242"/>
      <c r="DO373" s="243"/>
      <c r="DQ373" s="242"/>
      <c r="DS373" s="243"/>
      <c r="DU373" s="242"/>
      <c r="DW373" s="243"/>
      <c r="DY373" s="242"/>
      <c r="EA373" s="243"/>
    </row>
    <row r="374" spans="1:131">
      <c r="A374" s="20"/>
      <c r="B374" s="124" t="str">
        <f t="shared" si="342"/>
        <v/>
      </c>
      <c r="C374" s="235"/>
      <c r="D374" s="24">
        <f>'1% Wind'!$M$93</f>
        <v>2.4</v>
      </c>
      <c r="E374" s="90"/>
      <c r="F374" s="90"/>
      <c r="G374" s="79" t="e">
        <f ca="1">IF(I362=0.9743,$G373,MAX(G373/D373*D374,2))</f>
        <v>#REF!</v>
      </c>
      <c r="H374" s="121" t="e">
        <f t="shared" ca="1" si="343"/>
        <v>#REF!</v>
      </c>
      <c r="J374" s="33"/>
      <c r="K374" s="242">
        <f t="shared" si="344"/>
        <v>1</v>
      </c>
      <c r="L374" s="241" t="e">
        <f t="shared" ca="1" si="345"/>
        <v>#REF!</v>
      </c>
      <c r="M374" s="243" t="e">
        <f ca="1">IF(AND(INDEX(FlowCalConstA,MATCH(J362,FlowCalNumber,0),1,1)*L374^INDEX(FlowCalConstB,MATCH(J362,FlowCalNumber,0),1,1)&gt;INDEX(FlowCalLowSetting,MATCH(J362,FlowCalNumber,0),1,1), (INDEX(FlowCalConstA,MATCH(J362,FlowCalNumber,0),1,1)*L374^INDEX(FlowCalConstB,MATCH(J362,FlowCalNumber,0),1,1)&lt;INDEX(FlowCalHighSetting,MATCH(J362,FlowCalNumber,0),1,1))),INDEX(FlowCalConstA,MATCH(J362,FlowCalNumber,0),1,1)*L374^INDEX(FlowCalConstB,MATCH(J362,FlowCalNumber,0),1,1)," ")</f>
        <v>#REF!</v>
      </c>
      <c r="N374" s="33"/>
      <c r="O374" s="242">
        <f t="shared" si="346"/>
        <v>1</v>
      </c>
      <c r="P374" s="241" t="e">
        <f t="shared" ca="1" si="347"/>
        <v>#REF!</v>
      </c>
      <c r="Q374" s="243" t="e">
        <f ca="1">IF(AND(INDEX(FlowCalConstA,MATCH(N362,FlowCalNumber,0),1,1)*P374^INDEX(FlowCalConstB,MATCH(N362,FlowCalNumber,0),1,1)&gt;INDEX(FlowCalLowSetting,MATCH(N362,FlowCalNumber,0),1,1), (INDEX(FlowCalConstA,MATCH(N362,FlowCalNumber,0),1,1)*P374^INDEX(FlowCalConstB,MATCH(N362,FlowCalNumber,0),1,1)&lt;INDEX(FlowCalHighSetting,MATCH(N362,FlowCalNumber,0),1,1))),INDEX(FlowCalConstA,MATCH(N362,FlowCalNumber,0),1,1)*P374^INDEX(FlowCalConstB,MATCH(N362,FlowCalNumber,0),1,1)," ")</f>
        <v>#REF!</v>
      </c>
      <c r="R374" s="33"/>
      <c r="S374" s="242">
        <f t="shared" si="348"/>
        <v>1</v>
      </c>
      <c r="T374" s="241" t="e">
        <f t="shared" ca="1" si="349"/>
        <v>#REF!</v>
      </c>
      <c r="U374" s="244" t="e">
        <f ca="1">IF(AND(INDEX(FlowCalConstA,MATCH(R362,FlowCalNumber,0),1,1)*T374^INDEX(FlowCalConstB,MATCH(R362,FlowCalNumber,0),1,1)&gt;INDEX(FlowCalLowSetting,MATCH(R362,FlowCalNumber,0),1,1), (INDEX(FlowCalConstA,MATCH(R362,FlowCalNumber,0),1,1)*T374^INDEX(FlowCalConstB,MATCH(R362,FlowCalNumber,0),1,1)&lt;INDEX(FlowCalHighSetting,MATCH(R362,FlowCalNumber,0),1,1))),INDEX(FlowCalConstA,MATCH(R362,FlowCalNumber,0),1,1)*T374^INDEX(FlowCalConstB,MATCH(R362,FlowCalNumber,0),1,1)," ")</f>
        <v>#REF!</v>
      </c>
      <c r="V374" s="33"/>
      <c r="W374" s="242">
        <f t="shared" si="350"/>
        <v>0.1</v>
      </c>
      <c r="X374" s="241" t="e">
        <f t="shared" ca="1" si="351"/>
        <v>#REF!</v>
      </c>
      <c r="Y374" s="243" t="e">
        <f ca="1">IF(AND(INDEX(FlowCalConstA,MATCH(V362,FlowCalNumber,0),1,1)*X374^INDEX(FlowCalConstB,MATCH(V362,FlowCalNumber,0),1,1)&gt;INDEX(FlowCalLowSetting,MATCH(V362,FlowCalNumber,0),1,1), (INDEX(FlowCalConstA,MATCH(V362,FlowCalNumber,0),1,1)*X374^INDEX(FlowCalConstB,MATCH(V362,FlowCalNumber,0),1,1)&lt;INDEX(FlowCalHighSetting,MATCH(V362,FlowCalNumber,0),1,1))),INDEX(FlowCalConstA,MATCH(V362,FlowCalNumber,0),1,1)*X374^INDEX(FlowCalConstB,MATCH(V362,FlowCalNumber,0),1,1)," ")</f>
        <v>#REF!</v>
      </c>
      <c r="Z374" s="33"/>
      <c r="AA374" s="242">
        <f t="shared" si="352"/>
        <v>0.9</v>
      </c>
      <c r="AB374" s="241" t="e">
        <f t="shared" ca="1" si="353"/>
        <v>#REF!</v>
      </c>
      <c r="AC374" s="243" t="e">
        <f ca="1">IF(AND(INDEX(FlowCalConstA,MATCH(Z362,FlowCalNumber,0),1,1)*AB374^INDEX(FlowCalConstB,MATCH(Z362,FlowCalNumber,0),1,1)&gt;INDEX(FlowCalLowSetting,MATCH(Z362,FlowCalNumber,0),1,1), (INDEX(FlowCalConstA,MATCH(Z362,FlowCalNumber,0),1,1)*AB374^INDEX(FlowCalConstB,MATCH(Z362,FlowCalNumber,0),1,1)&lt;INDEX(FlowCalHighSetting,MATCH(Z362,FlowCalNumber,0),1,1))),INDEX(FlowCalConstA,MATCH(Z362,FlowCalNumber,0),1,1)*AB374^INDEX(FlowCalConstB,MATCH(Z362,FlowCalNumber,0),1,1)," ")</f>
        <v>#REF!</v>
      </c>
      <c r="AD374" s="33"/>
      <c r="AE374" s="242">
        <f t="shared" si="354"/>
        <v>0.1</v>
      </c>
      <c r="AF374" s="241" t="e">
        <f t="shared" ca="1" si="355"/>
        <v>#REF!</v>
      </c>
      <c r="AG374" s="243" t="e">
        <f ca="1">IF(AND(INDEX(FlowCalConstA,MATCH(AD362,FlowCalNumber,0),1,1)*AF374^INDEX(FlowCalConstB,MATCH(AD362,FlowCalNumber,0),1,1)&gt;INDEX(FlowCalLowSetting,MATCH(AD362,FlowCalNumber,0),1,1), (INDEX(FlowCalConstA,MATCH(AD362,FlowCalNumber,0),1,1)*AF374^INDEX(FlowCalConstB,MATCH(AD362,FlowCalNumber,0),1,1)&lt;INDEX(FlowCalHighSetting,MATCH(AD362,FlowCalNumber,0),1,1))),INDEX(FlowCalConstA,MATCH(AD362,FlowCalNumber,0),1,1)*AF374^INDEX(FlowCalConstB,MATCH(AD362,FlowCalNumber,0),1,1)," ")</f>
        <v>#REF!</v>
      </c>
      <c r="AH374" s="33"/>
      <c r="AI374" s="242">
        <f t="shared" si="356"/>
        <v>0.9</v>
      </c>
      <c r="AJ374" s="241" t="e">
        <f t="shared" ca="1" si="357"/>
        <v>#REF!</v>
      </c>
      <c r="AK374" s="243" t="e">
        <f ca="1">IF(AND(INDEX(FlowCalConstA,MATCH(AH362,FlowCalNumber,0),1,1)*AJ374^INDEX(FlowCalConstB,MATCH(AH362,FlowCalNumber,0),1,1)&gt;INDEX(FlowCalLowSetting,MATCH(AH362,FlowCalNumber,0),1,1), (INDEX(FlowCalConstA,MATCH(AH362,FlowCalNumber,0),1,1)*AJ374^INDEX(FlowCalConstB,MATCH(AH362,FlowCalNumber,0),1,1)&lt;INDEX(FlowCalHighSetting,MATCH(AH362,FlowCalNumber,0),1,1))),INDEX(FlowCalConstA,MATCH(AH362,FlowCalNumber,0),1,1)*AJ374^INDEX(FlowCalConstB,MATCH(AH362,FlowCalNumber,0),1,1)," ")</f>
        <v>#REF!</v>
      </c>
      <c r="AL374" s="33"/>
      <c r="AM374" s="242"/>
      <c r="AN374" s="241"/>
      <c r="AO374" s="244"/>
      <c r="AQ374" s="242"/>
      <c r="AR374" s="241"/>
      <c r="AS374" s="244"/>
      <c r="AT374" s="33"/>
      <c r="AU374" s="242"/>
      <c r="AV374" s="241"/>
      <c r="AW374" s="244"/>
      <c r="AX374" s="33"/>
      <c r="AY374" s="242"/>
      <c r="AZ374" s="241"/>
      <c r="BA374" s="244"/>
      <c r="BB374" s="33"/>
      <c r="BC374" s="242"/>
      <c r="BD374" s="241"/>
      <c r="BE374" s="244"/>
      <c r="BF374" s="33"/>
      <c r="BG374" s="242"/>
      <c r="BH374" s="241"/>
      <c r="BI374" s="244"/>
      <c r="BJ374" s="33"/>
      <c r="BK374" s="242"/>
      <c r="BL374" s="241"/>
      <c r="BM374" s="244"/>
      <c r="BN374" s="33"/>
      <c r="BO374" s="242"/>
      <c r="BP374" s="241"/>
      <c r="BQ374" s="244"/>
      <c r="BR374" s="33"/>
      <c r="BS374" s="242"/>
      <c r="BT374" s="241"/>
      <c r="BU374" s="244"/>
      <c r="BV374" s="33"/>
      <c r="BW374" s="242"/>
      <c r="BX374" s="241"/>
      <c r="BY374" s="244"/>
      <c r="BZ374" s="33"/>
      <c r="CA374" s="242"/>
      <c r="CB374" s="241"/>
      <c r="CC374" s="244"/>
      <c r="CD374" s="243"/>
      <c r="CE374" s="243"/>
      <c r="CF374" s="243"/>
      <c r="CG374" s="243"/>
      <c r="CH374" s="243"/>
      <c r="CI374" s="243"/>
      <c r="CJ374" s="243"/>
      <c r="CK374" s="243"/>
      <c r="CL374" s="243"/>
      <c r="CM374" s="243"/>
      <c r="CN374" s="243"/>
      <c r="CO374" s="243"/>
      <c r="CP374" s="243"/>
      <c r="CQ374" s="243"/>
      <c r="CR374" s="243"/>
      <c r="CS374" s="243"/>
      <c r="CT374" s="243"/>
      <c r="CU374" s="243"/>
      <c r="CV374" s="243"/>
      <c r="CW374" s="243"/>
      <c r="CX374" s="243"/>
      <c r="CY374" s="243"/>
      <c r="CZ374" s="243"/>
      <c r="DA374" s="243"/>
      <c r="DB374" s="243"/>
      <c r="DC374" s="243"/>
      <c r="DD374" s="243"/>
      <c r="DE374" s="243"/>
      <c r="DF374" s="243"/>
      <c r="DG374" s="243"/>
      <c r="DH374" s="243"/>
      <c r="DI374" s="243"/>
      <c r="DJ374" s="243"/>
      <c r="DK374" s="243"/>
      <c r="DM374" s="242"/>
      <c r="DO374" s="243"/>
      <c r="DQ374" s="242"/>
      <c r="DS374" s="243"/>
      <c r="DU374" s="242"/>
      <c r="DW374" s="243"/>
      <c r="DY374" s="242"/>
      <c r="EA374" s="243"/>
    </row>
    <row r="375" spans="1:131">
      <c r="A375" s="20"/>
      <c r="B375" s="124" t="str">
        <f t="shared" si="342"/>
        <v/>
      </c>
      <c r="C375" s="235"/>
      <c r="D375" s="24">
        <f>'1% Wind'!$M$94</f>
        <v>1.8</v>
      </c>
      <c r="E375" s="90"/>
      <c r="F375" s="90"/>
      <c r="G375" s="79" t="e">
        <f ca="1">IF(I362=0.9743,$G374,MAX(G374/D374*D375,2))</f>
        <v>#REF!</v>
      </c>
      <c r="H375" s="121" t="e">
        <f t="shared" ca="1" si="343"/>
        <v>#REF!</v>
      </c>
      <c r="J375" s="33"/>
      <c r="K375" s="242">
        <f t="shared" si="344"/>
        <v>1</v>
      </c>
      <c r="L375" s="241" t="e">
        <f t="shared" ca="1" si="345"/>
        <v>#REF!</v>
      </c>
      <c r="M375" s="243" t="e">
        <f ca="1">IF(AND(INDEX(FlowCalConstA,MATCH(J362,FlowCalNumber,0),1,1)*L375^INDEX(FlowCalConstB,MATCH(J362,FlowCalNumber,0),1,1)&gt;INDEX(FlowCalLowSetting,MATCH(J362,FlowCalNumber,0),1,1), (INDEX(FlowCalConstA,MATCH(J362,FlowCalNumber,0),1,1)*L375^INDEX(FlowCalConstB,MATCH(J362,FlowCalNumber,0),1,1)&lt;INDEX(FlowCalHighSetting,MATCH(J362,FlowCalNumber,0),1,1))),INDEX(FlowCalConstA,MATCH(J362,FlowCalNumber,0),1,1)*L375^INDEX(FlowCalConstB,MATCH(J362,FlowCalNumber,0),1,1)," ")</f>
        <v>#REF!</v>
      </c>
      <c r="N375" s="33"/>
      <c r="O375" s="242">
        <f t="shared" si="346"/>
        <v>1</v>
      </c>
      <c r="P375" s="241" t="e">
        <f t="shared" ca="1" si="347"/>
        <v>#REF!</v>
      </c>
      <c r="Q375" s="243" t="e">
        <f ca="1">IF(AND(INDEX(FlowCalConstA,MATCH(N362,FlowCalNumber,0),1,1)*P375^INDEX(FlowCalConstB,MATCH(N362,FlowCalNumber,0),1,1)&gt;INDEX(FlowCalLowSetting,MATCH(N362,FlowCalNumber,0),1,1), (INDEX(FlowCalConstA,MATCH(N362,FlowCalNumber,0),1,1)*P375^INDEX(FlowCalConstB,MATCH(N362,FlowCalNumber,0),1,1)&lt;INDEX(FlowCalHighSetting,MATCH(N362,FlowCalNumber,0),1,1))),INDEX(FlowCalConstA,MATCH(N362,FlowCalNumber,0),1,1)*P375^INDEX(FlowCalConstB,MATCH(N362,FlowCalNumber,0),1,1)," ")</f>
        <v>#REF!</v>
      </c>
      <c r="R375" s="33"/>
      <c r="S375" s="242">
        <f t="shared" si="348"/>
        <v>1</v>
      </c>
      <c r="T375" s="241" t="e">
        <f t="shared" ca="1" si="349"/>
        <v>#REF!</v>
      </c>
      <c r="U375" s="244" t="e">
        <f ca="1">IF(AND(INDEX(FlowCalConstA,MATCH(R362,FlowCalNumber,0),1,1)*T375^INDEX(FlowCalConstB,MATCH(R362,FlowCalNumber,0),1,1)&gt;INDEX(FlowCalLowSetting,MATCH(R362,FlowCalNumber,0),1,1), (INDEX(FlowCalConstA,MATCH(R362,FlowCalNumber,0),1,1)*T375^INDEX(FlowCalConstB,MATCH(R362,FlowCalNumber,0),1,1)&lt;INDEX(FlowCalHighSetting,MATCH(R362,FlowCalNumber,0),1,1))),INDEX(FlowCalConstA,MATCH(R362,FlowCalNumber,0),1,1)*T375^INDEX(FlowCalConstB,MATCH(R362,FlowCalNumber,0),1,1)," ")</f>
        <v>#REF!</v>
      </c>
      <c r="V375" s="33"/>
      <c r="W375" s="242">
        <f t="shared" si="350"/>
        <v>0.1</v>
      </c>
      <c r="X375" s="241" t="e">
        <f t="shared" ca="1" si="351"/>
        <v>#REF!</v>
      </c>
      <c r="Y375" s="243" t="e">
        <f ca="1">IF(AND(INDEX(FlowCalConstA,MATCH(V362,FlowCalNumber,0),1,1)*X375^INDEX(FlowCalConstB,MATCH(V362,FlowCalNumber,0),1,1)&gt;INDEX(FlowCalLowSetting,MATCH(V362,FlowCalNumber,0),1,1), (INDEX(FlowCalConstA,MATCH(V362,FlowCalNumber,0),1,1)*X375^INDEX(FlowCalConstB,MATCH(V362,FlowCalNumber,0),1,1)&lt;INDEX(FlowCalHighSetting,MATCH(V362,FlowCalNumber,0),1,1))),INDEX(FlowCalConstA,MATCH(V362,FlowCalNumber,0),1,1)*X375^INDEX(FlowCalConstB,MATCH(V362,FlowCalNumber,0),1,1)," ")</f>
        <v>#REF!</v>
      </c>
      <c r="Z375" s="33"/>
      <c r="AA375" s="242">
        <f t="shared" si="352"/>
        <v>0.9</v>
      </c>
      <c r="AB375" s="241" t="e">
        <f t="shared" ca="1" si="353"/>
        <v>#REF!</v>
      </c>
      <c r="AC375" s="243" t="e">
        <f ca="1">IF(AND(INDEX(FlowCalConstA,MATCH(Z362,FlowCalNumber,0),1,1)*AB375^INDEX(FlowCalConstB,MATCH(Z362,FlowCalNumber,0),1,1)&gt;INDEX(FlowCalLowSetting,MATCH(Z362,FlowCalNumber,0),1,1), (INDEX(FlowCalConstA,MATCH(Z362,FlowCalNumber,0),1,1)*AB375^INDEX(FlowCalConstB,MATCH(Z362,FlowCalNumber,0),1,1)&lt;INDEX(FlowCalHighSetting,MATCH(Z362,FlowCalNumber,0),1,1))),INDEX(FlowCalConstA,MATCH(Z362,FlowCalNumber,0),1,1)*AB375^INDEX(FlowCalConstB,MATCH(Z362,FlowCalNumber,0),1,1)," ")</f>
        <v>#REF!</v>
      </c>
      <c r="AD375" s="33"/>
      <c r="AE375" s="242">
        <f t="shared" si="354"/>
        <v>0.1</v>
      </c>
      <c r="AF375" s="241" t="e">
        <f t="shared" ca="1" si="355"/>
        <v>#REF!</v>
      </c>
      <c r="AG375" s="243" t="e">
        <f ca="1">IF(AND(INDEX(FlowCalConstA,MATCH(AD362,FlowCalNumber,0),1,1)*AF375^INDEX(FlowCalConstB,MATCH(AD362,FlowCalNumber,0),1,1)&gt;INDEX(FlowCalLowSetting,MATCH(AD362,FlowCalNumber,0),1,1), (INDEX(FlowCalConstA,MATCH(AD362,FlowCalNumber,0),1,1)*AF375^INDEX(FlowCalConstB,MATCH(AD362,FlowCalNumber,0),1,1)&lt;INDEX(FlowCalHighSetting,MATCH(AD362,FlowCalNumber,0),1,1))),INDEX(FlowCalConstA,MATCH(AD362,FlowCalNumber,0),1,1)*AF375^INDEX(FlowCalConstB,MATCH(AD362,FlowCalNumber,0),1,1)," ")</f>
        <v>#REF!</v>
      </c>
      <c r="AH375" s="33"/>
      <c r="AI375" s="242">
        <f t="shared" si="356"/>
        <v>0.9</v>
      </c>
      <c r="AJ375" s="241" t="e">
        <f t="shared" ca="1" si="357"/>
        <v>#REF!</v>
      </c>
      <c r="AK375" s="243" t="e">
        <f ca="1">IF(AND(INDEX(FlowCalConstA,MATCH(AH362,FlowCalNumber,0),1,1)*AJ375^INDEX(FlowCalConstB,MATCH(AH362,FlowCalNumber,0),1,1)&gt;INDEX(FlowCalLowSetting,MATCH(AH362,FlowCalNumber,0),1,1), (INDEX(FlowCalConstA,MATCH(AH362,FlowCalNumber,0),1,1)*AJ375^INDEX(FlowCalConstB,MATCH(AH362,FlowCalNumber,0),1,1)&lt;INDEX(FlowCalHighSetting,MATCH(AH362,FlowCalNumber,0),1,1))),INDEX(FlowCalConstA,MATCH(AH362,FlowCalNumber,0),1,1)*AJ375^INDEX(FlowCalConstB,MATCH(AH362,FlowCalNumber,0),1,1)," ")</f>
        <v>#REF!</v>
      </c>
      <c r="AL375" s="33"/>
      <c r="AM375" s="242"/>
      <c r="AN375" s="241"/>
      <c r="AO375" s="244"/>
      <c r="AQ375" s="242"/>
      <c r="AR375" s="241"/>
      <c r="AS375" s="244"/>
      <c r="AT375" s="33"/>
      <c r="AU375" s="242"/>
      <c r="AV375" s="241"/>
      <c r="AW375" s="244"/>
      <c r="AX375" s="33"/>
      <c r="AY375" s="242"/>
      <c r="AZ375" s="241"/>
      <c r="BA375" s="244"/>
      <c r="BB375" s="33"/>
      <c r="BC375" s="242"/>
      <c r="BD375" s="241"/>
      <c r="BE375" s="244"/>
      <c r="BF375" s="33"/>
      <c r="BG375" s="242"/>
      <c r="BH375" s="241"/>
      <c r="BI375" s="244"/>
      <c r="BJ375" s="33"/>
      <c r="BK375" s="242"/>
      <c r="BL375" s="241"/>
      <c r="BM375" s="244"/>
      <c r="BN375" s="33"/>
      <c r="BO375" s="242"/>
      <c r="BP375" s="241"/>
      <c r="BQ375" s="244"/>
      <c r="BR375" s="33"/>
      <c r="BS375" s="242"/>
      <c r="BT375" s="241"/>
      <c r="BU375" s="244"/>
      <c r="BV375" s="33"/>
      <c r="BW375" s="242"/>
      <c r="BX375" s="241"/>
      <c r="BY375" s="244"/>
      <c r="BZ375" s="33"/>
      <c r="CA375" s="242"/>
      <c r="CB375" s="241"/>
      <c r="CC375" s="244"/>
      <c r="CD375" s="243"/>
      <c r="CE375" s="243"/>
      <c r="CF375" s="243"/>
      <c r="CG375" s="243"/>
      <c r="CH375" s="243"/>
      <c r="CI375" s="243"/>
      <c r="CJ375" s="243"/>
      <c r="CK375" s="243"/>
      <c r="CL375" s="243"/>
      <c r="CM375" s="243"/>
      <c r="CN375" s="243"/>
      <c r="CO375" s="243"/>
      <c r="CP375" s="243"/>
      <c r="CQ375" s="243"/>
      <c r="CR375" s="243"/>
      <c r="CS375" s="243"/>
      <c r="CT375" s="243"/>
      <c r="CU375" s="243"/>
      <c r="CV375" s="243"/>
      <c r="CW375" s="243"/>
      <c r="CX375" s="243"/>
      <c r="CY375" s="243"/>
      <c r="CZ375" s="243"/>
      <c r="DA375" s="243"/>
      <c r="DB375" s="243"/>
      <c r="DC375" s="243"/>
      <c r="DD375" s="243"/>
      <c r="DE375" s="243"/>
      <c r="DF375" s="243"/>
      <c r="DG375" s="243"/>
      <c r="DH375" s="243"/>
      <c r="DI375" s="243"/>
      <c r="DJ375" s="243"/>
      <c r="DK375" s="243"/>
      <c r="DM375" s="242"/>
      <c r="DO375" s="243"/>
      <c r="DQ375" s="242"/>
      <c r="DS375" s="243"/>
      <c r="DU375" s="242"/>
      <c r="DW375" s="243"/>
      <c r="DY375" s="242"/>
      <c r="EA375" s="243"/>
    </row>
    <row r="376" spans="1:131">
      <c r="A376" s="20"/>
      <c r="B376" s="124" t="str">
        <f t="shared" si="342"/>
        <v/>
      </c>
      <c r="C376" s="235"/>
      <c r="D376" s="24">
        <f>'1% Wind'!$M$95</f>
        <v>1.3</v>
      </c>
      <c r="E376" s="90"/>
      <c r="F376" s="90"/>
      <c r="G376" s="79" t="e">
        <f ca="1">IF(I362=0.9743,$G375,MAX(G375/D375*D376,2))</f>
        <v>#REF!</v>
      </c>
      <c r="H376" s="121" t="e">
        <f t="shared" ca="1" si="343"/>
        <v>#REF!</v>
      </c>
      <c r="J376" s="33"/>
      <c r="K376" s="242">
        <f t="shared" si="344"/>
        <v>1</v>
      </c>
      <c r="L376" s="241" t="e">
        <f t="shared" ca="1" si="345"/>
        <v>#REF!</v>
      </c>
      <c r="M376" s="243" t="e">
        <f ca="1">IF(AND(INDEX(FlowCalConstA,MATCH(J362,FlowCalNumber,0),1,1)*L376^INDEX(FlowCalConstB,MATCH(J362,FlowCalNumber,0),1,1)&gt;INDEX(FlowCalLowSetting,MATCH(J362,FlowCalNumber,0),1,1), (INDEX(FlowCalConstA,MATCH(J362,FlowCalNumber,0),1,1)*L376^INDEX(FlowCalConstB,MATCH(J362,FlowCalNumber,0),1,1)&lt;INDEX(FlowCalHighSetting,MATCH(J362,FlowCalNumber,0),1,1))),INDEX(FlowCalConstA,MATCH(J362,FlowCalNumber,0),1,1)*L376^INDEX(FlowCalConstB,MATCH(J362,FlowCalNumber,0),1,1)," ")</f>
        <v>#REF!</v>
      </c>
      <c r="N376" s="33"/>
      <c r="O376" s="242">
        <f t="shared" si="346"/>
        <v>1</v>
      </c>
      <c r="P376" s="241" t="e">
        <f t="shared" ca="1" si="347"/>
        <v>#REF!</v>
      </c>
      <c r="Q376" s="243" t="e">
        <f ca="1">IF(AND(INDEX(FlowCalConstA,MATCH(N362,FlowCalNumber,0),1,1)*P376^INDEX(FlowCalConstB,MATCH(N362,FlowCalNumber,0),1,1)&gt;INDEX(FlowCalLowSetting,MATCH(N362,FlowCalNumber,0),1,1), (INDEX(FlowCalConstA,MATCH(N362,FlowCalNumber,0),1,1)*P376^INDEX(FlowCalConstB,MATCH(N362,FlowCalNumber,0),1,1)&lt;INDEX(FlowCalHighSetting,MATCH(N362,FlowCalNumber,0),1,1))),INDEX(FlowCalConstA,MATCH(N362,FlowCalNumber,0),1,1)*P376^INDEX(FlowCalConstB,MATCH(N362,FlowCalNumber,0),1,1)," ")</f>
        <v>#REF!</v>
      </c>
      <c r="R376" s="33"/>
      <c r="S376" s="242">
        <f t="shared" si="348"/>
        <v>1</v>
      </c>
      <c r="T376" s="241" t="e">
        <f t="shared" ca="1" si="349"/>
        <v>#REF!</v>
      </c>
      <c r="U376" s="244" t="e">
        <f ca="1">IF(AND(INDEX(FlowCalConstA,MATCH(R362,FlowCalNumber,0),1,1)*T376^INDEX(FlowCalConstB,MATCH(R362,FlowCalNumber,0),1,1)&gt;INDEX(FlowCalLowSetting,MATCH(R362,FlowCalNumber,0),1,1), (INDEX(FlowCalConstA,MATCH(R362,FlowCalNumber,0),1,1)*T376^INDEX(FlowCalConstB,MATCH(R362,FlowCalNumber,0),1,1)&lt;INDEX(FlowCalHighSetting,MATCH(R362,FlowCalNumber,0),1,1))),INDEX(FlowCalConstA,MATCH(R362,FlowCalNumber,0),1,1)*T376^INDEX(FlowCalConstB,MATCH(R362,FlowCalNumber,0),1,1)," ")</f>
        <v>#REF!</v>
      </c>
      <c r="V376" s="33"/>
      <c r="W376" s="242">
        <f t="shared" si="350"/>
        <v>0.1</v>
      </c>
      <c r="X376" s="241" t="e">
        <f t="shared" ca="1" si="351"/>
        <v>#REF!</v>
      </c>
      <c r="Y376" s="243" t="e">
        <f ca="1">IF(AND(INDEX(FlowCalConstA,MATCH(V362,FlowCalNumber,0),1,1)*X376^INDEX(FlowCalConstB,MATCH(V362,FlowCalNumber,0),1,1)&gt;INDEX(FlowCalLowSetting,MATCH(V362,FlowCalNumber,0),1,1), (INDEX(FlowCalConstA,MATCH(V362,FlowCalNumber,0),1,1)*X376^INDEX(FlowCalConstB,MATCH(V362,FlowCalNumber,0),1,1)&lt;INDEX(FlowCalHighSetting,MATCH(V362,FlowCalNumber,0),1,1))),INDEX(FlowCalConstA,MATCH(V362,FlowCalNumber,0),1,1)*X376^INDEX(FlowCalConstB,MATCH(V362,FlowCalNumber,0),1,1)," ")</f>
        <v>#REF!</v>
      </c>
      <c r="Z376" s="33"/>
      <c r="AA376" s="242">
        <f t="shared" si="352"/>
        <v>0.9</v>
      </c>
      <c r="AB376" s="241" t="e">
        <f t="shared" ca="1" si="353"/>
        <v>#REF!</v>
      </c>
      <c r="AC376" s="243" t="e">
        <f ca="1">IF(AND(INDEX(FlowCalConstA,MATCH(Z362,FlowCalNumber,0),1,1)*AB376^INDEX(FlowCalConstB,MATCH(Z362,FlowCalNumber,0),1,1)&gt;INDEX(FlowCalLowSetting,MATCH(Z362,FlowCalNumber,0),1,1), (INDEX(FlowCalConstA,MATCH(Z362,FlowCalNumber,0),1,1)*AB376^INDEX(FlowCalConstB,MATCH(Z362,FlowCalNumber,0),1,1)&lt;INDEX(FlowCalHighSetting,MATCH(Z362,FlowCalNumber,0),1,1))),INDEX(FlowCalConstA,MATCH(Z362,FlowCalNumber,0),1,1)*AB376^INDEX(FlowCalConstB,MATCH(Z362,FlowCalNumber,0),1,1)," ")</f>
        <v>#REF!</v>
      </c>
      <c r="AD376" s="33"/>
      <c r="AE376" s="242">
        <f t="shared" si="354"/>
        <v>0.1</v>
      </c>
      <c r="AF376" s="241" t="e">
        <f t="shared" ca="1" si="355"/>
        <v>#REF!</v>
      </c>
      <c r="AG376" s="243" t="e">
        <f ca="1">IF(AND(INDEX(FlowCalConstA,MATCH(AD362,FlowCalNumber,0),1,1)*AF376^INDEX(FlowCalConstB,MATCH(AD362,FlowCalNumber,0),1,1)&gt;INDEX(FlowCalLowSetting,MATCH(AD362,FlowCalNumber,0),1,1), (INDEX(FlowCalConstA,MATCH(AD362,FlowCalNumber,0),1,1)*AF376^INDEX(FlowCalConstB,MATCH(AD362,FlowCalNumber,0),1,1)&lt;INDEX(FlowCalHighSetting,MATCH(AD362,FlowCalNumber,0),1,1))),INDEX(FlowCalConstA,MATCH(AD362,FlowCalNumber,0),1,1)*AF376^INDEX(FlowCalConstB,MATCH(AD362,FlowCalNumber,0),1,1)," ")</f>
        <v>#REF!</v>
      </c>
      <c r="AH376" s="33"/>
      <c r="AI376" s="242">
        <f t="shared" si="356"/>
        <v>0.9</v>
      </c>
      <c r="AJ376" s="241" t="e">
        <f t="shared" ca="1" si="357"/>
        <v>#REF!</v>
      </c>
      <c r="AK376" s="243" t="e">
        <f ca="1">IF(AND(INDEX(FlowCalConstA,MATCH(AH362,FlowCalNumber,0),1,1)*AJ376^INDEX(FlowCalConstB,MATCH(AH362,FlowCalNumber,0),1,1)&gt;INDEX(FlowCalLowSetting,MATCH(AH362,FlowCalNumber,0),1,1), (INDEX(FlowCalConstA,MATCH(AH362,FlowCalNumber,0),1,1)*AJ376^INDEX(FlowCalConstB,MATCH(AH362,FlowCalNumber,0),1,1)&lt;INDEX(FlowCalHighSetting,MATCH(AH362,FlowCalNumber,0),1,1))),INDEX(FlowCalConstA,MATCH(AH362,FlowCalNumber,0),1,1)*AJ376^INDEX(FlowCalConstB,MATCH(AH362,FlowCalNumber,0),1,1)," ")</f>
        <v>#REF!</v>
      </c>
      <c r="AL376" s="33"/>
      <c r="AM376" s="242"/>
      <c r="AN376" s="241"/>
      <c r="AO376" s="244"/>
      <c r="AQ376" s="242"/>
      <c r="AR376" s="241"/>
      <c r="AS376" s="244"/>
      <c r="AT376" s="33"/>
      <c r="AU376" s="242"/>
      <c r="AV376" s="241"/>
      <c r="AW376" s="244"/>
      <c r="AX376" s="33"/>
      <c r="AY376" s="242"/>
      <c r="AZ376" s="241"/>
      <c r="BA376" s="244"/>
      <c r="BB376" s="33"/>
      <c r="BC376" s="242"/>
      <c r="BD376" s="241"/>
      <c r="BE376" s="244"/>
      <c r="BF376" s="33"/>
      <c r="BG376" s="242"/>
      <c r="BH376" s="241"/>
      <c r="BI376" s="244"/>
      <c r="BJ376" s="33"/>
      <c r="BK376" s="242"/>
      <c r="BL376" s="241"/>
      <c r="BM376" s="244"/>
      <c r="BN376" s="33"/>
      <c r="BO376" s="242"/>
      <c r="BP376" s="241"/>
      <c r="BQ376" s="244"/>
      <c r="BR376" s="33"/>
      <c r="BS376" s="242"/>
      <c r="BT376" s="241"/>
      <c r="BU376" s="244"/>
      <c r="BV376" s="33"/>
      <c r="BW376" s="242"/>
      <c r="BX376" s="241"/>
      <c r="BY376" s="244"/>
      <c r="BZ376" s="33"/>
      <c r="CA376" s="242"/>
      <c r="CB376" s="241"/>
      <c r="CC376" s="244"/>
      <c r="CD376" s="243"/>
      <c r="CE376" s="243"/>
      <c r="CF376" s="243"/>
      <c r="CG376" s="243"/>
      <c r="CH376" s="243"/>
      <c r="CI376" s="243"/>
      <c r="CJ376" s="243"/>
      <c r="CK376" s="243"/>
      <c r="CL376" s="243"/>
      <c r="CM376" s="243"/>
      <c r="CN376" s="243"/>
      <c r="CO376" s="243"/>
      <c r="CP376" s="243"/>
      <c r="CQ376" s="243"/>
      <c r="CR376" s="243"/>
      <c r="CS376" s="243"/>
      <c r="CT376" s="243"/>
      <c r="CU376" s="243"/>
      <c r="CV376" s="243"/>
      <c r="CW376" s="243"/>
      <c r="CX376" s="243"/>
      <c r="CY376" s="243"/>
      <c r="CZ376" s="243"/>
      <c r="DA376" s="243"/>
      <c r="DB376" s="243"/>
      <c r="DC376" s="243"/>
      <c r="DD376" s="243"/>
      <c r="DE376" s="243"/>
      <c r="DF376" s="243"/>
      <c r="DG376" s="243"/>
      <c r="DH376" s="243"/>
      <c r="DI376" s="243"/>
      <c r="DJ376" s="243"/>
      <c r="DK376" s="243"/>
      <c r="DM376" s="242"/>
      <c r="DO376" s="243"/>
      <c r="DQ376" s="242"/>
      <c r="DS376" s="243"/>
      <c r="DU376" s="242"/>
      <c r="DW376" s="243"/>
      <c r="DY376" s="242"/>
      <c r="EA376" s="243"/>
    </row>
    <row r="377" spans="1:131">
      <c r="A377" s="20"/>
      <c r="B377" s="124" t="str">
        <f t="shared" si="342"/>
        <v/>
      </c>
      <c r="C377" s="235"/>
      <c r="D377" s="24">
        <f>'1% Wind'!$M$96</f>
        <v>1</v>
      </c>
      <c r="E377" s="90"/>
      <c r="F377" s="90"/>
      <c r="G377" s="79" t="e">
        <f ca="1">IF(I362=0.9743,$G376,MAX(G376/D376*D377,2))</f>
        <v>#REF!</v>
      </c>
      <c r="H377" s="121" t="e">
        <f t="shared" ca="1" si="343"/>
        <v>#REF!</v>
      </c>
      <c r="J377" s="33"/>
      <c r="K377" s="242">
        <f t="shared" si="344"/>
        <v>1</v>
      </c>
      <c r="L377" s="241" t="e">
        <f t="shared" ca="1" si="345"/>
        <v>#REF!</v>
      </c>
      <c r="M377" s="243" t="e">
        <f ca="1">IF(AND(INDEX(FlowCalConstA,MATCH(J362,FlowCalNumber,0),1,1)*L377^INDEX(FlowCalConstB,MATCH(J362,FlowCalNumber,0),1,1)&gt;INDEX(FlowCalLowSetting,MATCH(J362,FlowCalNumber,0),1,1), (INDEX(FlowCalConstA,MATCH(J362,FlowCalNumber,0),1,1)*L377^INDEX(FlowCalConstB,MATCH(J362,FlowCalNumber,0),1,1)&lt;INDEX(FlowCalHighSetting,MATCH(J362,FlowCalNumber,0),1,1))),INDEX(FlowCalConstA,MATCH(J362,FlowCalNumber,0),1,1)*L377^INDEX(FlowCalConstB,MATCH(J362,FlowCalNumber,0),1,1)," ")</f>
        <v>#REF!</v>
      </c>
      <c r="N377" s="33"/>
      <c r="O377" s="242">
        <f t="shared" si="346"/>
        <v>1</v>
      </c>
      <c r="P377" s="241" t="e">
        <f t="shared" ca="1" si="347"/>
        <v>#REF!</v>
      </c>
      <c r="Q377" s="243" t="e">
        <f ca="1">IF(AND(INDEX(FlowCalConstA,MATCH(N362,FlowCalNumber,0),1,1)*P377^INDEX(FlowCalConstB,MATCH(N362,FlowCalNumber,0),1,1)&gt;INDEX(FlowCalLowSetting,MATCH(N362,FlowCalNumber,0),1,1), (INDEX(FlowCalConstA,MATCH(N362,FlowCalNumber,0),1,1)*P377^INDEX(FlowCalConstB,MATCH(N362,FlowCalNumber,0),1,1)&lt;INDEX(FlowCalHighSetting,MATCH(N362,FlowCalNumber,0),1,1))),INDEX(FlowCalConstA,MATCH(N362,FlowCalNumber,0),1,1)*P377^INDEX(FlowCalConstB,MATCH(N362,FlowCalNumber,0),1,1)," ")</f>
        <v>#REF!</v>
      </c>
      <c r="R377" s="33"/>
      <c r="S377" s="242">
        <f t="shared" si="348"/>
        <v>1</v>
      </c>
      <c r="T377" s="241" t="e">
        <f t="shared" ca="1" si="349"/>
        <v>#REF!</v>
      </c>
      <c r="U377" s="244" t="e">
        <f ca="1">IF(AND(INDEX(FlowCalConstA,MATCH(R362,FlowCalNumber,0),1,1)*T377^INDEX(FlowCalConstB,MATCH(R362,FlowCalNumber,0),1,1)&gt;INDEX(FlowCalLowSetting,MATCH(R362,FlowCalNumber,0),1,1), (INDEX(FlowCalConstA,MATCH(R362,FlowCalNumber,0),1,1)*T377^INDEX(FlowCalConstB,MATCH(R362,FlowCalNumber,0),1,1)&lt;INDEX(FlowCalHighSetting,MATCH(R362,FlowCalNumber,0),1,1))),INDEX(FlowCalConstA,MATCH(R362,FlowCalNumber,0),1,1)*T377^INDEX(FlowCalConstB,MATCH(R362,FlowCalNumber,0),1,1)," ")</f>
        <v>#REF!</v>
      </c>
      <c r="V377" s="33"/>
      <c r="W377" s="242">
        <f t="shared" si="350"/>
        <v>0.1</v>
      </c>
      <c r="X377" s="241" t="e">
        <f t="shared" ca="1" si="351"/>
        <v>#REF!</v>
      </c>
      <c r="Y377" s="243" t="e">
        <f ca="1">IF(AND(INDEX(FlowCalConstA,MATCH(V362,FlowCalNumber,0),1,1)*X377^INDEX(FlowCalConstB,MATCH(V362,FlowCalNumber,0),1,1)&gt;INDEX(FlowCalLowSetting,MATCH(V362,FlowCalNumber,0),1,1), (INDEX(FlowCalConstA,MATCH(V362,FlowCalNumber,0),1,1)*X377^INDEX(FlowCalConstB,MATCH(V362,FlowCalNumber,0),1,1)&lt;INDEX(FlowCalHighSetting,MATCH(V362,FlowCalNumber,0),1,1))),INDEX(FlowCalConstA,MATCH(V362,FlowCalNumber,0),1,1)*X377^INDEX(FlowCalConstB,MATCH(V362,FlowCalNumber,0),1,1)," ")</f>
        <v>#REF!</v>
      </c>
      <c r="Z377" s="33"/>
      <c r="AA377" s="242">
        <f t="shared" si="352"/>
        <v>0.9</v>
      </c>
      <c r="AB377" s="241" t="e">
        <f t="shared" ca="1" si="353"/>
        <v>#REF!</v>
      </c>
      <c r="AC377" s="243" t="e">
        <f ca="1">IF(AND(INDEX(FlowCalConstA,MATCH(Z362,FlowCalNumber,0),1,1)*AB377^INDEX(FlowCalConstB,MATCH(Z362,FlowCalNumber,0),1,1)&gt;INDEX(FlowCalLowSetting,MATCH(Z362,FlowCalNumber,0),1,1), (INDEX(FlowCalConstA,MATCH(Z362,FlowCalNumber,0),1,1)*AB377^INDEX(FlowCalConstB,MATCH(Z362,FlowCalNumber,0),1,1)&lt;INDEX(FlowCalHighSetting,MATCH(Z362,FlowCalNumber,0),1,1))),INDEX(FlowCalConstA,MATCH(Z362,FlowCalNumber,0),1,1)*AB377^INDEX(FlowCalConstB,MATCH(Z362,FlowCalNumber,0),1,1)," ")</f>
        <v>#REF!</v>
      </c>
      <c r="AD377" s="33"/>
      <c r="AE377" s="242">
        <f t="shared" si="354"/>
        <v>0.1</v>
      </c>
      <c r="AF377" s="241" t="e">
        <f t="shared" ca="1" si="355"/>
        <v>#REF!</v>
      </c>
      <c r="AG377" s="243" t="e">
        <f ca="1">IF(AND(INDEX(FlowCalConstA,MATCH(AD362,FlowCalNumber,0),1,1)*AF377^INDEX(FlowCalConstB,MATCH(AD362,FlowCalNumber,0),1,1)&gt;INDEX(FlowCalLowSetting,MATCH(AD362,FlowCalNumber,0),1,1), (INDEX(FlowCalConstA,MATCH(AD362,FlowCalNumber,0),1,1)*AF377^INDEX(FlowCalConstB,MATCH(AD362,FlowCalNumber,0),1,1)&lt;INDEX(FlowCalHighSetting,MATCH(AD362,FlowCalNumber,0),1,1))),INDEX(FlowCalConstA,MATCH(AD362,FlowCalNumber,0),1,1)*AF377^INDEX(FlowCalConstB,MATCH(AD362,FlowCalNumber,0),1,1)," ")</f>
        <v>#REF!</v>
      </c>
      <c r="AH377" s="33"/>
      <c r="AI377" s="242">
        <f t="shared" si="356"/>
        <v>0.9</v>
      </c>
      <c r="AJ377" s="241" t="e">
        <f t="shared" ca="1" si="357"/>
        <v>#REF!</v>
      </c>
      <c r="AK377" s="243" t="e">
        <f ca="1">IF(AND(INDEX(FlowCalConstA,MATCH(AH362,FlowCalNumber,0),1,1)*AJ377^INDEX(FlowCalConstB,MATCH(AH362,FlowCalNumber,0),1,1)&gt;INDEX(FlowCalLowSetting,MATCH(AH362,FlowCalNumber,0),1,1), (INDEX(FlowCalConstA,MATCH(AH362,FlowCalNumber,0),1,1)*AJ377^INDEX(FlowCalConstB,MATCH(AH362,FlowCalNumber,0),1,1)&lt;INDEX(FlowCalHighSetting,MATCH(AH362,FlowCalNumber,0),1,1))),INDEX(FlowCalConstA,MATCH(AH362,FlowCalNumber,0),1,1)*AJ377^INDEX(FlowCalConstB,MATCH(AH362,FlowCalNumber,0),1,1)," ")</f>
        <v>#REF!</v>
      </c>
      <c r="AL377" s="33"/>
      <c r="AM377" s="242"/>
      <c r="AN377" s="241"/>
      <c r="AO377" s="244"/>
      <c r="AQ377" s="242"/>
      <c r="AR377" s="241"/>
      <c r="AS377" s="244"/>
      <c r="AT377" s="33"/>
      <c r="AU377" s="242"/>
      <c r="AV377" s="241"/>
      <c r="AW377" s="244"/>
      <c r="AX377" s="33"/>
      <c r="AY377" s="242"/>
      <c r="AZ377" s="241"/>
      <c r="BA377" s="244"/>
      <c r="BB377" s="33"/>
      <c r="BC377" s="242"/>
      <c r="BD377" s="241"/>
      <c r="BE377" s="244"/>
      <c r="BF377" s="33"/>
      <c r="BG377" s="242"/>
      <c r="BH377" s="241"/>
      <c r="BI377" s="244"/>
      <c r="BJ377" s="33"/>
      <c r="BK377" s="242"/>
      <c r="BL377" s="241"/>
      <c r="BM377" s="244"/>
      <c r="BN377" s="33"/>
      <c r="BO377" s="242"/>
      <c r="BP377" s="241"/>
      <c r="BQ377" s="244"/>
      <c r="BR377" s="33"/>
      <c r="BS377" s="242"/>
      <c r="BT377" s="241"/>
      <c r="BU377" s="244"/>
      <c r="BV377" s="33"/>
      <c r="BW377" s="242"/>
      <c r="BX377" s="241"/>
      <c r="BY377" s="244"/>
      <c r="BZ377" s="33"/>
      <c r="CA377" s="242"/>
      <c r="CB377" s="241"/>
      <c r="CC377" s="244"/>
      <c r="CD377" s="243"/>
      <c r="CE377" s="243"/>
      <c r="CF377" s="243"/>
      <c r="CG377" s="243"/>
      <c r="CH377" s="243"/>
      <c r="CI377" s="243"/>
      <c r="CJ377" s="243"/>
      <c r="CK377" s="243"/>
      <c r="CL377" s="243"/>
      <c r="CM377" s="243"/>
      <c r="CN377" s="243"/>
      <c r="CO377" s="243"/>
      <c r="CP377" s="243"/>
      <c r="CQ377" s="243"/>
      <c r="CR377" s="243"/>
      <c r="CS377" s="243"/>
      <c r="CT377" s="243"/>
      <c r="CU377" s="243"/>
      <c r="CV377" s="243"/>
      <c r="CW377" s="243"/>
      <c r="CX377" s="243"/>
      <c r="CY377" s="243"/>
      <c r="CZ377" s="243"/>
      <c r="DA377" s="243"/>
      <c r="DB377" s="243"/>
      <c r="DC377" s="243"/>
      <c r="DD377" s="243"/>
      <c r="DE377" s="243"/>
      <c r="DF377" s="243"/>
      <c r="DG377" s="243"/>
      <c r="DH377" s="243"/>
      <c r="DI377" s="243"/>
      <c r="DJ377" s="243"/>
      <c r="DK377" s="243"/>
      <c r="DM377" s="242"/>
      <c r="DO377" s="243"/>
      <c r="DQ377" s="242"/>
      <c r="DS377" s="243"/>
      <c r="DU377" s="242"/>
      <c r="DW377" s="243"/>
      <c r="DY377" s="242"/>
      <c r="EA377" s="243"/>
    </row>
    <row r="378" spans="1:131">
      <c r="A378" s="33"/>
      <c r="B378" s="33"/>
      <c r="C378" s="235"/>
      <c r="E378" s="90"/>
      <c r="F378" s="90"/>
      <c r="G378" s="33"/>
      <c r="J378" s="33"/>
      <c r="N378" s="33"/>
      <c r="Q378" s="243"/>
      <c r="R378" s="33"/>
      <c r="U378" s="244"/>
      <c r="V378" s="33"/>
      <c r="Y378" s="243"/>
      <c r="Z378" s="33"/>
      <c r="AC378" s="243"/>
      <c r="AD378" s="33"/>
      <c r="AG378" s="243"/>
      <c r="AH378" s="33"/>
      <c r="AK378" s="244"/>
      <c r="AL378" s="792"/>
      <c r="AM378" s="243"/>
      <c r="AN378" s="243"/>
      <c r="AO378" s="244"/>
      <c r="AP378" s="243"/>
      <c r="AQ378" s="243"/>
      <c r="AR378" s="243"/>
      <c r="AS378" s="244"/>
      <c r="AT378" s="243"/>
      <c r="AU378" s="243"/>
      <c r="AV378" s="243"/>
      <c r="AW378" s="244"/>
      <c r="AX378" s="243"/>
      <c r="AY378" s="243"/>
      <c r="AZ378" s="243"/>
      <c r="BA378" s="244"/>
      <c r="BB378" s="33"/>
      <c r="BE378" s="244"/>
      <c r="BF378" s="33"/>
      <c r="BI378" s="244"/>
      <c r="BJ378" s="33"/>
      <c r="BM378" s="244"/>
      <c r="BN378" s="243"/>
      <c r="BO378" s="243"/>
      <c r="BP378" s="243"/>
      <c r="BQ378" s="244"/>
      <c r="BR378" s="792"/>
      <c r="BS378" s="243"/>
      <c r="BT378" s="243"/>
      <c r="BU378" s="244"/>
      <c r="BV378" s="792"/>
      <c r="BW378" s="243"/>
      <c r="BX378" s="243"/>
      <c r="BY378" s="244"/>
      <c r="BZ378" s="792"/>
      <c r="CA378" s="243"/>
      <c r="CB378" s="243"/>
      <c r="CC378" s="244"/>
      <c r="CD378" s="243"/>
      <c r="CE378" s="243"/>
      <c r="CF378" s="243"/>
      <c r="CG378" s="243"/>
      <c r="CH378" s="243"/>
      <c r="CI378" s="243"/>
      <c r="CJ378" s="243"/>
      <c r="CK378" s="243"/>
      <c r="CL378" s="243"/>
      <c r="CM378" s="243"/>
      <c r="CN378" s="243"/>
      <c r="CO378" s="243"/>
      <c r="CP378" s="243"/>
      <c r="CQ378" s="243"/>
      <c r="CR378" s="243"/>
      <c r="CS378" s="243"/>
      <c r="CT378" s="243"/>
      <c r="CU378" s="243"/>
      <c r="CV378" s="243"/>
      <c r="CW378" s="243"/>
      <c r="CX378" s="243"/>
      <c r="CY378" s="243"/>
      <c r="CZ378" s="243"/>
      <c r="DA378" s="243"/>
      <c r="DB378" s="243"/>
      <c r="DC378" s="243"/>
      <c r="DD378" s="243"/>
      <c r="DE378" s="243"/>
      <c r="DF378" s="243"/>
      <c r="DG378" s="243"/>
      <c r="DH378" s="243"/>
      <c r="DI378" s="243"/>
      <c r="DJ378" s="243"/>
      <c r="DK378" s="243"/>
      <c r="DO378" s="243"/>
      <c r="DS378" s="243"/>
      <c r="DW378" s="243"/>
      <c r="EA378" s="243"/>
    </row>
    <row r="379" spans="1:131">
      <c r="A379" s="256" t="str">
        <f>IF((RIGHT(A362,1))&lt;&gt;"Z",CHAR(CODE(A362))&amp;CHAR(CODE(RIGHT(A362,1))+1),CHAR(CODE(A362)+1)&amp;"A")</f>
        <v>AV</v>
      </c>
      <c r="B379" s="270" t="e">
        <f>INDEX(SourceID,MATCH($A379,SourceNumber,0),1,1)</f>
        <v>#N/A</v>
      </c>
      <c r="C379" s="354" t="e">
        <f>INDEX(SourceExitDiameter,MATCH($A379,SourceNumber,0),1,1)*3.28*12</f>
        <v>#N/A</v>
      </c>
      <c r="D379" s="24" t="str">
        <f>UAnem1percent</f>
        <v>1% Wind</v>
      </c>
      <c r="E379" s="350" t="e">
        <f ca="1">INDIRECT(ADDRESS(53,6,1,,CONCATENATE("TA",$A379)))</f>
        <v>#REF!</v>
      </c>
      <c r="F379" s="625" t="e">
        <f ca="1">(ROUND((INDIRECT(ADDRESS(15,7,1,,CONCATENATE("TA",$A379)))*3.28*12*32),0)&amp;"/32")</f>
        <v>#REF!</v>
      </c>
      <c r="G379" s="125" t="e">
        <f ca="1">INDIRECT(ADDRESS(29,7,1,,$A379))</f>
        <v>#REF!</v>
      </c>
      <c r="H379" s="24" t="e">
        <f ca="1">INDIRECT(ADDRESS(19,7,1,,$A379))*100^3</f>
        <v>#REF!</v>
      </c>
      <c r="I379" s="941" t="e">
        <f ca="1">INDIRECT(ADDRESS(53,7,1,,$A379))</f>
        <v>#REF!</v>
      </c>
      <c r="J379" s="20" t="e">
        <f ca="1">IF($I379=$I$6,K$16&amp;$G$6&amp;J$6,IF($I379=$I$7,K$16&amp;$G$7&amp;J$7,"Bad"))</f>
        <v>#REF!</v>
      </c>
      <c r="K379" t="e">
        <f ca="1">INDEX(FlowCalGasMixture,MATCH(J379,FlowCalNumber,0),1,1)</f>
        <v>#REF!</v>
      </c>
      <c r="M379" s="944" t="e">
        <f ca="1">INDEX(FlowCalDevice,MATCH(J379,FlowCalNumber,0),1,1)</f>
        <v>#REF!</v>
      </c>
      <c r="N379" s="943" t="e">
        <f ca="1">IF($I379=$I$6,O$16&amp;$G$6&amp;"90"&amp;$H$6&amp;N$6,IF($I379=$I$7,O$16&amp;$G$7&amp;"90"&amp;$H$7&amp;N$7,"Bad"))</f>
        <v>#REF!</v>
      </c>
      <c r="O379" t="e">
        <f ca="1">INDEX(FlowCalGasMixture,MATCH(N379,FlowCalNumber,0),1,1)</f>
        <v>#REF!</v>
      </c>
      <c r="Q379" s="944" t="e">
        <f ca="1">INDEX(FlowCalDevice,MATCH(N379,FlowCalNumber,0),1,1)</f>
        <v>#REF!</v>
      </c>
      <c r="R379" s="943" t="e">
        <f ca="1">IF($I379=$I$6,S$16&amp;$G$6&amp;"90"&amp;$H$6&amp;R$6,IF($I379=$I$7,S$16&amp;$G$7&amp;"90"&amp;$H$7&amp;R$7,"Bad"))</f>
        <v>#REF!</v>
      </c>
      <c r="S379" t="e">
        <f ca="1">INDEX(FlowCalGasMixture,MATCH(R379,FlowCalNumber,0),1,1)</f>
        <v>#REF!</v>
      </c>
      <c r="U379" s="944" t="e">
        <f ca="1">INDEX(FlowCalDevice,MATCH(R379,FlowCalNumber,0),1,1)</f>
        <v>#REF!</v>
      </c>
      <c r="V379" s="20" t="e">
        <f ca="1">IF($I379=$I$6,W$16&amp;$G$6&amp;V$6,IF($I379=$I$7,W$16&amp;$G$7&amp;V$7,"Bad"))</f>
        <v>#REF!</v>
      </c>
      <c r="W379" t="e">
        <f ca="1">INDEX(FlowCalGasMixture,MATCH(V379,FlowCalNumber,0),1,1)</f>
        <v>#REF!</v>
      </c>
      <c r="Y379" s="944" t="e">
        <f ca="1">INDEX(FlowCalDevice,MATCH(V379,FlowCalNumber,0),1,1)</f>
        <v>#REF!</v>
      </c>
      <c r="Z379" s="946" t="e">
        <f ca="1">IF($I379=$I$6,AA$18&amp;$H$6&amp;Z$6,IF($I379=$I$7,AA$18&amp;$H$7&amp;Z$7,"Bad"))</f>
        <v>#REF!</v>
      </c>
      <c r="AA379" t="e">
        <f ca="1">INDEX(FlowCalGasMixture,MATCH(Z379,FlowCalNumber,0),1,1)</f>
        <v>#REF!</v>
      </c>
      <c r="AC379" s="944" t="e">
        <f ca="1">INDEX(FlowCalDevice,MATCH(Z379,FlowCalNumber,0),1,1)</f>
        <v>#REF!</v>
      </c>
      <c r="AD379" s="20" t="e">
        <f ca="1">IF($I379=$I$6,AE$16&amp;$G$6&amp;AD$6,IF($I379=$I$7,AE$16&amp;$G$7&amp;AD$7,"Bad"))</f>
        <v>#REF!</v>
      </c>
      <c r="AE379" t="e">
        <f ca="1">INDEX(FlowCalGasMixture,MATCH(AD379,FlowCalNumber,0),1,1)</f>
        <v>#REF!</v>
      </c>
      <c r="AG379" s="944" t="e">
        <f ca="1">INDEX(FlowCalDevice,MATCH(AD379,FlowCalNumber,0),1,1)</f>
        <v>#REF!</v>
      </c>
      <c r="AH379" s="946" t="e">
        <f ca="1">IF($I379=$I$6,AI$18&amp;$H$6&amp;AH$6,IF($I379=$I$7,AI$18&amp;$H$7&amp;AH$7,"Bad"))</f>
        <v>#REF!</v>
      </c>
      <c r="AI379" t="e">
        <f ca="1">INDEX(FlowCalGasMixture,MATCH(AH379,FlowCalNumber,0),1,1)</f>
        <v>#REF!</v>
      </c>
      <c r="AK379" s="944" t="e">
        <f ca="1">INDEX(FlowCalDevice,MATCH(AH379,FlowCalNumber,0),1,1)</f>
        <v>#REF!</v>
      </c>
      <c r="AL379" s="20"/>
      <c r="AO379" s="982"/>
      <c r="AP379" s="960"/>
      <c r="AS379" s="982"/>
      <c r="AT379" s="20"/>
      <c r="AW379" s="982"/>
      <c r="AX379" s="946"/>
      <c r="BA379" s="982"/>
      <c r="BB379" s="20"/>
      <c r="BC379" s="16"/>
      <c r="BE379" s="982"/>
      <c r="BF379" s="946"/>
      <c r="BG379" s="16"/>
      <c r="BI379" s="982"/>
      <c r="BJ379" s="946"/>
      <c r="BK379" s="16"/>
      <c r="BM379" s="982"/>
      <c r="BN379" s="20"/>
      <c r="BO379" s="16"/>
      <c r="BQ379" s="982"/>
      <c r="BR379" s="946"/>
      <c r="BS379" s="16"/>
      <c r="BU379" s="982"/>
      <c r="BV379" s="946"/>
      <c r="BW379" s="16"/>
      <c r="BY379" s="982"/>
      <c r="BZ379" s="946"/>
      <c r="CA379" s="16"/>
      <c r="CC379" s="982"/>
      <c r="CD379" s="355"/>
      <c r="CE379" s="355"/>
      <c r="CF379" s="355"/>
      <c r="CG379" s="355"/>
      <c r="CH379" s="355"/>
      <c r="CI379" s="355"/>
      <c r="CJ379" s="355"/>
      <c r="CK379" s="355"/>
      <c r="CL379" s="355"/>
      <c r="CM379" s="355"/>
      <c r="CN379" s="355"/>
      <c r="CO379" s="355"/>
      <c r="CP379" s="355"/>
      <c r="CQ379" s="355"/>
      <c r="CR379" s="355"/>
      <c r="CS379" s="355"/>
      <c r="CT379" s="355"/>
      <c r="CU379" s="355"/>
      <c r="CV379" s="355"/>
      <c r="CW379" s="355"/>
      <c r="CX379" s="355"/>
      <c r="CY379" s="355"/>
      <c r="CZ379" s="355"/>
      <c r="DA379" s="355"/>
      <c r="DB379" s="355"/>
      <c r="DC379" s="355"/>
      <c r="DD379" s="355"/>
      <c r="DE379" s="355"/>
      <c r="DF379" s="355"/>
      <c r="DG379" s="355"/>
      <c r="DH379" s="355"/>
      <c r="DI379" s="355"/>
      <c r="DJ379" s="355"/>
      <c r="DK379" s="355"/>
      <c r="DL379" s="46"/>
      <c r="DM379" s="16"/>
      <c r="DO379" s="355"/>
      <c r="DP379" s="42"/>
      <c r="DQ379" s="16"/>
      <c r="DS379" s="355"/>
      <c r="DT379" s="42"/>
      <c r="DU379" s="16"/>
      <c r="DW379" s="355"/>
      <c r="DX379" s="42"/>
      <c r="DY379" s="16"/>
      <c r="EA379" s="355"/>
    </row>
    <row r="380" spans="1:131">
      <c r="A380" s="20"/>
      <c r="B380" s="124" t="str">
        <f t="shared" ref="B380:B394" si="358">IF(D380=UAnem1percent,"1% Wind","")</f>
        <v/>
      </c>
      <c r="C380" s="235"/>
      <c r="D380" s="24">
        <f>'1% Wind'!$M$82</f>
        <v>27</v>
      </c>
      <c r="E380" s="90"/>
      <c r="F380" s="90"/>
      <c r="G380" s="79" t="e">
        <f ca="1">IF(I379=0.9743,$G379,MAX(G379/D379*D380,2))</f>
        <v>#REF!</v>
      </c>
      <c r="H380" s="121" t="e">
        <f t="shared" ref="H380:H394" ca="1" si="359">H379*(D379/D380)*(G380/G379)</f>
        <v>#REF!</v>
      </c>
      <c r="J380" s="33"/>
      <c r="K380" s="260">
        <f>K$17/100</f>
        <v>1</v>
      </c>
      <c r="L380" s="241" t="e">
        <f ca="1">K380*$H380</f>
        <v>#REF!</v>
      </c>
      <c r="M380" s="243" t="e">
        <f ca="1">IF(AND(INDEX(FlowCalConstA,MATCH(J379,FlowCalNumber,0),1,1)*L380^INDEX(FlowCalConstB,MATCH(J379,FlowCalNumber,0),1,1)&gt;INDEX(FlowCalLowSetting,MATCH(J379,FlowCalNumber,0),1,1), (INDEX(FlowCalConstA,MATCH(J379,FlowCalNumber,0),1,1)*L380^INDEX(FlowCalConstB,MATCH(J379,FlowCalNumber,0),1,1)&lt;INDEX(FlowCalHighSetting,MATCH(J379,FlowCalNumber,0),1,1))),INDEX(FlowCalConstA,MATCH(J379,FlowCalNumber,0),1,1)*L380^INDEX(FlowCalConstB,MATCH(J379,FlowCalNumber,0),1,1)," ")</f>
        <v>#REF!</v>
      </c>
      <c r="N380" s="33"/>
      <c r="O380" s="260">
        <f>O$17/100</f>
        <v>1</v>
      </c>
      <c r="P380" s="241" t="e">
        <f ca="1">O380*$H380</f>
        <v>#REF!</v>
      </c>
      <c r="Q380" s="243" t="e">
        <f ca="1">IF(AND(INDEX(FlowCalConstA,MATCH(N379,FlowCalNumber,0),1,1)*P380^INDEX(FlowCalConstB,MATCH(N379,FlowCalNumber,0),1,1)&gt;INDEX(FlowCalLowSetting,MATCH(N379,FlowCalNumber,0),1,1), (INDEX(FlowCalConstA,MATCH(N379,FlowCalNumber,0),1,1)*P380^INDEX(FlowCalConstB,MATCH(N379,FlowCalNumber,0),1,1)&lt;INDEX(FlowCalHighSetting,MATCH(N379,FlowCalNumber,0),1,1))),INDEX(FlowCalConstA,MATCH(N379,FlowCalNumber,0),1,1)*P380^INDEX(FlowCalConstB,MATCH(N379,FlowCalNumber,0),1,1)," ")</f>
        <v>#REF!</v>
      </c>
      <c r="R380" s="33"/>
      <c r="S380" s="260">
        <f>S$17/100</f>
        <v>1</v>
      </c>
      <c r="T380" s="241" t="e">
        <f ca="1">S380*$H380</f>
        <v>#REF!</v>
      </c>
      <c r="U380" s="244" t="e">
        <f ca="1">IF(AND(INDEX(FlowCalConstA,MATCH(R379,FlowCalNumber,0),1,1)*T380^INDEX(FlowCalConstB,MATCH(R379,FlowCalNumber,0),1,1)&gt;INDEX(FlowCalLowSetting,MATCH(R379,FlowCalNumber,0),1,1), (INDEX(FlowCalConstA,MATCH(R379,FlowCalNumber,0),1,1)*T380^INDEX(FlowCalConstB,MATCH(R379,FlowCalNumber,0),1,1)&lt;INDEX(FlowCalHighSetting,MATCH(R379,FlowCalNumber,0),1,1))),INDEX(FlowCalConstA,MATCH(R379,FlowCalNumber,0),1,1)*T380^INDEX(FlowCalConstB,MATCH(R379,FlowCalNumber,0),1,1)," ")</f>
        <v>#REF!</v>
      </c>
      <c r="V380" s="33"/>
      <c r="W380" s="260">
        <f>W$17/100</f>
        <v>0.1</v>
      </c>
      <c r="X380" s="241" t="e">
        <f ca="1">W380*$H380</f>
        <v>#REF!</v>
      </c>
      <c r="Y380" s="243" t="e">
        <f ca="1">IF(AND(INDEX(FlowCalConstA,MATCH(V379,FlowCalNumber,0),1,1)*X380^INDEX(FlowCalConstB,MATCH(V379,FlowCalNumber,0),1,1)&gt;INDEX(FlowCalLowSetting,MATCH(V379,FlowCalNumber,0),1,1), (INDEX(FlowCalConstA,MATCH(V379,FlowCalNumber,0),1,1)*X380^INDEX(FlowCalConstB,MATCH(V379,FlowCalNumber,0),1,1)&lt;INDEX(FlowCalHighSetting,MATCH(V379,FlowCalNumber,0),1,1))),INDEX(FlowCalConstA,MATCH(V379,FlowCalNumber,0),1,1)*X380^INDEX(FlowCalConstB,MATCH(V379,FlowCalNumber,0),1,1)," ")</f>
        <v>#REF!</v>
      </c>
      <c r="Z380" s="33"/>
      <c r="AA380" s="260">
        <f>AA$17/100</f>
        <v>0.9</v>
      </c>
      <c r="AB380" s="241" t="e">
        <f ca="1">AA380*$H380</f>
        <v>#REF!</v>
      </c>
      <c r="AC380" s="243" t="e">
        <f ca="1">IF(AND(INDEX(FlowCalConstA,MATCH(Z379,FlowCalNumber,0),1,1)*AB380^INDEX(FlowCalConstB,MATCH(Z379,FlowCalNumber,0),1,1)&gt;INDEX(FlowCalLowSetting,MATCH(Z379,FlowCalNumber,0),1,1), (INDEX(FlowCalConstA,MATCH(Z379,FlowCalNumber,0),1,1)*AB380^INDEX(FlowCalConstB,MATCH(Z379,FlowCalNumber,0),1,1)&lt;INDEX(FlowCalHighSetting,MATCH(Z379,FlowCalNumber,0),1,1))),INDEX(FlowCalConstA,MATCH(Z379,FlowCalNumber,0),1,1)*AB380^INDEX(FlowCalConstB,MATCH(Z379,FlowCalNumber,0),1,1)," ")</f>
        <v>#REF!</v>
      </c>
      <c r="AD380" s="33"/>
      <c r="AE380" s="260">
        <f>AE$17/100</f>
        <v>0.1</v>
      </c>
      <c r="AF380" s="241" t="e">
        <f ca="1">AE380*$H380</f>
        <v>#REF!</v>
      </c>
      <c r="AG380" s="243" t="e">
        <f ca="1">IF(AND(INDEX(FlowCalConstA,MATCH(AD379,FlowCalNumber,0),1,1)*AF380^INDEX(FlowCalConstB,MATCH(AD379,FlowCalNumber,0),1,1)&gt;INDEX(FlowCalLowSetting,MATCH(AD379,FlowCalNumber,0),1,1), (INDEX(FlowCalConstA,MATCH(AD379,FlowCalNumber,0),1,1)*AF380^INDEX(FlowCalConstB,MATCH(AD379,FlowCalNumber,0),1,1)&lt;INDEX(FlowCalHighSetting,MATCH(AD379,FlowCalNumber,0),1,1))),INDEX(FlowCalConstA,MATCH(AD379,FlowCalNumber,0),1,1)*AF380^INDEX(FlowCalConstB,MATCH(AD379,FlowCalNumber,0),1,1)," ")</f>
        <v>#REF!</v>
      </c>
      <c r="AH380" s="33"/>
      <c r="AI380" s="260">
        <f>AI$17/100</f>
        <v>0.9</v>
      </c>
      <c r="AJ380" s="241" t="e">
        <f ca="1">AI380*$H380</f>
        <v>#REF!</v>
      </c>
      <c r="AK380" s="243" t="e">
        <f ca="1">IF(AND(INDEX(FlowCalConstA,MATCH(AH379,FlowCalNumber,0),1,1)*AJ380^INDEX(FlowCalConstB,MATCH(AH379,FlowCalNumber,0),1,1)&gt;INDEX(FlowCalLowSetting,MATCH(AH379,FlowCalNumber,0),1,1), (INDEX(FlowCalConstA,MATCH(AH379,FlowCalNumber,0),1,1)*AJ380^INDEX(FlowCalConstB,MATCH(AH379,FlowCalNumber,0),1,1)&lt;INDEX(FlowCalHighSetting,MATCH(AH379,FlowCalNumber,0),1,1))),INDEX(FlowCalConstA,MATCH(AH379,FlowCalNumber,0),1,1)*AJ380^INDEX(FlowCalConstB,MATCH(AH379,FlowCalNumber,0),1,1)," ")</f>
        <v>#REF!</v>
      </c>
      <c r="AL380" s="33"/>
      <c r="AM380" s="260"/>
      <c r="AN380" s="241"/>
      <c r="AO380" s="244"/>
      <c r="AQ380" s="260"/>
      <c r="AR380" s="241"/>
      <c r="AS380" s="244"/>
      <c r="AT380" s="33"/>
      <c r="AU380" s="260"/>
      <c r="AV380" s="241"/>
      <c r="AW380" s="244"/>
      <c r="AX380" s="33"/>
      <c r="AY380" s="260"/>
      <c r="AZ380" s="241"/>
      <c r="BA380" s="244"/>
      <c r="BB380" s="33"/>
      <c r="BC380" s="260"/>
      <c r="BD380" s="241"/>
      <c r="BE380" s="244"/>
      <c r="BF380" s="33"/>
      <c r="BG380" s="260"/>
      <c r="BH380" s="241"/>
      <c r="BI380" s="244"/>
      <c r="BJ380" s="33"/>
      <c r="BK380" s="260"/>
      <c r="BL380" s="241"/>
      <c r="BM380" s="244"/>
      <c r="BN380" s="33"/>
      <c r="BO380" s="260"/>
      <c r="BP380" s="241"/>
      <c r="BQ380" s="244"/>
      <c r="BR380" s="33"/>
      <c r="BS380" s="260"/>
      <c r="BT380" s="241"/>
      <c r="BU380" s="244"/>
      <c r="BV380" s="33"/>
      <c r="BW380" s="260"/>
      <c r="BX380" s="241"/>
      <c r="BY380" s="244"/>
      <c r="BZ380" s="33"/>
      <c r="CA380" s="260"/>
      <c r="CB380" s="241"/>
      <c r="CC380" s="244"/>
      <c r="CD380" s="243"/>
      <c r="CE380" s="243"/>
      <c r="CF380" s="243"/>
      <c r="CG380" s="243"/>
      <c r="CH380" s="243"/>
      <c r="CI380" s="243"/>
      <c r="CJ380" s="243"/>
      <c r="CK380" s="243"/>
      <c r="CL380" s="243"/>
      <c r="CM380" s="243"/>
      <c r="CN380" s="243"/>
      <c r="CO380" s="243"/>
      <c r="CP380" s="243"/>
      <c r="CQ380" s="243"/>
      <c r="CR380" s="243"/>
      <c r="CS380" s="243"/>
      <c r="CT380" s="243"/>
      <c r="CU380" s="243"/>
      <c r="CV380" s="243"/>
      <c r="CW380" s="243"/>
      <c r="CX380" s="243"/>
      <c r="CY380" s="243"/>
      <c r="CZ380" s="243"/>
      <c r="DA380" s="243"/>
      <c r="DB380" s="243"/>
      <c r="DC380" s="243"/>
      <c r="DD380" s="243"/>
      <c r="DE380" s="243"/>
      <c r="DF380" s="243"/>
      <c r="DG380" s="243"/>
      <c r="DH380" s="243"/>
      <c r="DI380" s="243"/>
      <c r="DJ380" s="243"/>
      <c r="DK380" s="243"/>
      <c r="DM380" s="259"/>
      <c r="DO380" s="243"/>
      <c r="DQ380" s="259"/>
      <c r="DS380" s="243"/>
      <c r="DU380" s="259"/>
      <c r="DW380" s="243"/>
      <c r="DY380" s="260"/>
      <c r="EA380" s="243"/>
    </row>
    <row r="381" spans="1:131">
      <c r="A381" s="20"/>
      <c r="B381" s="124" t="str">
        <f t="shared" si="358"/>
        <v/>
      </c>
      <c r="C381" s="235"/>
      <c r="D381" s="24">
        <f>'1% Wind'!$M$83</f>
        <v>23.5</v>
      </c>
      <c r="E381" s="90"/>
      <c r="F381" s="90"/>
      <c r="G381" s="79" t="e">
        <f ca="1">IF(I379=0.9743,$G380,MAX(G380/D380*D381,2))</f>
        <v>#REF!</v>
      </c>
      <c r="H381" s="121" t="e">
        <f t="shared" ca="1" si="359"/>
        <v>#REF!</v>
      </c>
      <c r="J381" s="33"/>
      <c r="K381" s="242">
        <f t="shared" ref="K381:K394" si="360">K380</f>
        <v>1</v>
      </c>
      <c r="L381" s="241" t="e">
        <f t="shared" ref="L381:L394" ca="1" si="361">K381*$H381</f>
        <v>#REF!</v>
      </c>
      <c r="M381" s="243" t="e">
        <f ca="1">IF(AND(INDEX(FlowCalConstA,MATCH(J379,FlowCalNumber,0),1,1)*L381^INDEX(FlowCalConstB,MATCH(J379,FlowCalNumber,0),1,1)&gt;INDEX(FlowCalLowSetting,MATCH(J379,FlowCalNumber,0),1,1), (INDEX(FlowCalConstA,MATCH(J379,FlowCalNumber,0),1,1)*L381^INDEX(FlowCalConstB,MATCH(J379,FlowCalNumber,0),1,1)&lt;INDEX(FlowCalHighSetting,MATCH(J379,FlowCalNumber,0),1,1))),INDEX(FlowCalConstA,MATCH(J379,FlowCalNumber,0),1,1)*L381^INDEX(FlowCalConstB,MATCH(J379,FlowCalNumber,0),1,1)," ")</f>
        <v>#REF!</v>
      </c>
      <c r="N381" s="33"/>
      <c r="O381" s="242">
        <f t="shared" ref="O381:O394" si="362">O380</f>
        <v>1</v>
      </c>
      <c r="P381" s="241" t="e">
        <f t="shared" ref="P381:P394" ca="1" si="363">O381*$H381</f>
        <v>#REF!</v>
      </c>
      <c r="Q381" s="243" t="e">
        <f ca="1">IF(AND(INDEX(FlowCalConstA,MATCH(N379,FlowCalNumber,0),1,1)*P381^INDEX(FlowCalConstB,MATCH(N379,FlowCalNumber,0),1,1)&gt;INDEX(FlowCalLowSetting,MATCH(N379,FlowCalNumber,0),1,1), (INDEX(FlowCalConstA,MATCH(N379,FlowCalNumber,0),1,1)*P381^INDEX(FlowCalConstB,MATCH(N379,FlowCalNumber,0),1,1)&lt;INDEX(FlowCalHighSetting,MATCH(N379,FlowCalNumber,0),1,1))),INDEX(FlowCalConstA,MATCH(N379,FlowCalNumber,0),1,1)*P381^INDEX(FlowCalConstB,MATCH(N379,FlowCalNumber,0),1,1)," ")</f>
        <v>#REF!</v>
      </c>
      <c r="R381" s="33"/>
      <c r="S381" s="242">
        <f t="shared" ref="S381:S394" si="364">S380</f>
        <v>1</v>
      </c>
      <c r="T381" s="241" t="e">
        <f t="shared" ref="T381:T394" ca="1" si="365">S381*$H381</f>
        <v>#REF!</v>
      </c>
      <c r="U381" s="244" t="e">
        <f ca="1">IF(AND(INDEX(FlowCalConstA,MATCH(R379,FlowCalNumber,0),1,1)*T381^INDEX(FlowCalConstB,MATCH(R379,FlowCalNumber,0),1,1)&gt;INDEX(FlowCalLowSetting,MATCH(R379,FlowCalNumber,0),1,1), (INDEX(FlowCalConstA,MATCH(R379,FlowCalNumber,0),1,1)*T381^INDEX(FlowCalConstB,MATCH(R379,FlowCalNumber,0),1,1)&lt;INDEX(FlowCalHighSetting,MATCH(R379,FlowCalNumber,0),1,1))),INDEX(FlowCalConstA,MATCH(R379,FlowCalNumber,0),1,1)*T381^INDEX(FlowCalConstB,MATCH(R379,FlowCalNumber,0),1,1)," ")</f>
        <v>#REF!</v>
      </c>
      <c r="V381" s="33"/>
      <c r="W381" s="242">
        <f t="shared" ref="W381:W394" si="366">W380</f>
        <v>0.1</v>
      </c>
      <c r="X381" s="241" t="e">
        <f t="shared" ref="X381:X394" ca="1" si="367">W381*$H381</f>
        <v>#REF!</v>
      </c>
      <c r="Y381" s="243" t="e">
        <f ca="1">IF(AND(INDEX(FlowCalConstA,MATCH(V379,FlowCalNumber,0),1,1)*X381^INDEX(FlowCalConstB,MATCH(V379,FlowCalNumber,0),1,1)&gt;INDEX(FlowCalLowSetting,MATCH(V379,FlowCalNumber,0),1,1), (INDEX(FlowCalConstA,MATCH(V379,FlowCalNumber,0),1,1)*X381^INDEX(FlowCalConstB,MATCH(V379,FlowCalNumber,0),1,1)&lt;INDEX(FlowCalHighSetting,MATCH(V379,FlowCalNumber,0),1,1))),INDEX(FlowCalConstA,MATCH(V379,FlowCalNumber,0),1,1)*X381^INDEX(FlowCalConstB,MATCH(V379,FlowCalNumber,0),1,1)," ")</f>
        <v>#REF!</v>
      </c>
      <c r="Z381" s="33"/>
      <c r="AA381" s="242">
        <f t="shared" ref="AA381:AA394" si="368">AA380</f>
        <v>0.9</v>
      </c>
      <c r="AB381" s="241" t="e">
        <f t="shared" ref="AB381:AB394" ca="1" si="369">AA381*$H381</f>
        <v>#REF!</v>
      </c>
      <c r="AC381" s="243" t="e">
        <f ca="1">IF(AND(INDEX(FlowCalConstA,MATCH(Z379,FlowCalNumber,0),1,1)*AB381^INDEX(FlowCalConstB,MATCH(Z379,FlowCalNumber,0),1,1)&gt;INDEX(FlowCalLowSetting,MATCH(Z379,FlowCalNumber,0),1,1), (INDEX(FlowCalConstA,MATCH(Z379,FlowCalNumber,0),1,1)*AB381^INDEX(FlowCalConstB,MATCH(Z379,FlowCalNumber,0),1,1)&lt;INDEX(FlowCalHighSetting,MATCH(Z379,FlowCalNumber,0),1,1))),INDEX(FlowCalConstA,MATCH(Z379,FlowCalNumber,0),1,1)*AB381^INDEX(FlowCalConstB,MATCH(Z379,FlowCalNumber,0),1,1)," ")</f>
        <v>#REF!</v>
      </c>
      <c r="AD381" s="33"/>
      <c r="AE381" s="242">
        <f t="shared" ref="AE381:AE394" si="370">AE380</f>
        <v>0.1</v>
      </c>
      <c r="AF381" s="241" t="e">
        <f t="shared" ref="AF381:AF394" ca="1" si="371">AE381*$H381</f>
        <v>#REF!</v>
      </c>
      <c r="AG381" s="243" t="e">
        <f ca="1">IF(AND(INDEX(FlowCalConstA,MATCH(AD379,FlowCalNumber,0),1,1)*AF381^INDEX(FlowCalConstB,MATCH(AD379,FlowCalNumber,0),1,1)&gt;INDEX(FlowCalLowSetting,MATCH(AD379,FlowCalNumber,0),1,1), (INDEX(FlowCalConstA,MATCH(AD379,FlowCalNumber,0),1,1)*AF381^INDEX(FlowCalConstB,MATCH(AD379,FlowCalNumber,0),1,1)&lt;INDEX(FlowCalHighSetting,MATCH(AD379,FlowCalNumber,0),1,1))),INDEX(FlowCalConstA,MATCH(AD379,FlowCalNumber,0),1,1)*AF381^INDEX(FlowCalConstB,MATCH(AD379,FlowCalNumber,0),1,1)," ")</f>
        <v>#REF!</v>
      </c>
      <c r="AH381" s="33"/>
      <c r="AI381" s="242">
        <f t="shared" ref="AI381:AI394" si="372">AI380</f>
        <v>0.9</v>
      </c>
      <c r="AJ381" s="241" t="e">
        <f t="shared" ref="AJ381:AJ394" ca="1" si="373">AI381*$H381</f>
        <v>#REF!</v>
      </c>
      <c r="AK381" s="243" t="e">
        <f ca="1">IF(AND(INDEX(FlowCalConstA,MATCH(AH379,FlowCalNumber,0),1,1)*AJ381^INDEX(FlowCalConstB,MATCH(AH379,FlowCalNumber,0),1,1)&gt;INDEX(FlowCalLowSetting,MATCH(AH379,FlowCalNumber,0),1,1), (INDEX(FlowCalConstA,MATCH(AH379,FlowCalNumber,0),1,1)*AJ381^INDEX(FlowCalConstB,MATCH(AH379,FlowCalNumber,0),1,1)&lt;INDEX(FlowCalHighSetting,MATCH(AH379,FlowCalNumber,0),1,1))),INDEX(FlowCalConstA,MATCH(AH379,FlowCalNumber,0),1,1)*AJ381^INDEX(FlowCalConstB,MATCH(AH379,FlowCalNumber,0),1,1)," ")</f>
        <v>#REF!</v>
      </c>
      <c r="AL381" s="33"/>
      <c r="AM381" s="242"/>
      <c r="AN381" s="241"/>
      <c r="AO381" s="244"/>
      <c r="AQ381" s="242"/>
      <c r="AR381" s="241"/>
      <c r="AS381" s="244"/>
      <c r="AT381" s="33"/>
      <c r="AU381" s="242"/>
      <c r="AV381" s="241"/>
      <c r="AW381" s="244"/>
      <c r="AX381" s="33"/>
      <c r="AY381" s="242"/>
      <c r="AZ381" s="241"/>
      <c r="BA381" s="244"/>
      <c r="BB381" s="33"/>
      <c r="BC381" s="242"/>
      <c r="BD381" s="241"/>
      <c r="BE381" s="244"/>
      <c r="BF381" s="33"/>
      <c r="BG381" s="242"/>
      <c r="BH381" s="241"/>
      <c r="BI381" s="244"/>
      <c r="BJ381" s="33"/>
      <c r="BK381" s="242"/>
      <c r="BL381" s="241"/>
      <c r="BM381" s="244"/>
      <c r="BN381" s="33"/>
      <c r="BO381" s="242"/>
      <c r="BP381" s="241"/>
      <c r="BQ381" s="244"/>
      <c r="BR381" s="33"/>
      <c r="BS381" s="242"/>
      <c r="BT381" s="241"/>
      <c r="BU381" s="244"/>
      <c r="BV381" s="33"/>
      <c r="BW381" s="242"/>
      <c r="BX381" s="241"/>
      <c r="BY381" s="244"/>
      <c r="BZ381" s="33"/>
      <c r="CA381" s="242"/>
      <c r="CB381" s="241"/>
      <c r="CC381" s="244"/>
      <c r="CD381" s="243"/>
      <c r="CE381" s="243"/>
      <c r="CF381" s="243"/>
      <c r="CG381" s="243"/>
      <c r="CH381" s="243"/>
      <c r="CI381" s="243"/>
      <c r="CJ381" s="243"/>
      <c r="CK381" s="243"/>
      <c r="CL381" s="243"/>
      <c r="CM381" s="243"/>
      <c r="CN381" s="243"/>
      <c r="CO381" s="243"/>
      <c r="CP381" s="243"/>
      <c r="CQ381" s="243"/>
      <c r="CR381" s="243"/>
      <c r="CS381" s="243"/>
      <c r="CT381" s="243"/>
      <c r="CU381" s="243"/>
      <c r="CV381" s="243"/>
      <c r="CW381" s="243"/>
      <c r="CX381" s="243"/>
      <c r="CY381" s="243"/>
      <c r="CZ381" s="243"/>
      <c r="DA381" s="243"/>
      <c r="DB381" s="243"/>
      <c r="DC381" s="243"/>
      <c r="DD381" s="243"/>
      <c r="DE381" s="243"/>
      <c r="DF381" s="243"/>
      <c r="DG381" s="243"/>
      <c r="DH381" s="243"/>
      <c r="DI381" s="243"/>
      <c r="DJ381" s="243"/>
      <c r="DK381" s="243"/>
      <c r="DM381" s="242"/>
      <c r="DO381" s="243"/>
      <c r="DQ381" s="242"/>
      <c r="DS381" s="243"/>
      <c r="DU381" s="242"/>
      <c r="DW381" s="243"/>
      <c r="DY381" s="242"/>
      <c r="EA381" s="243"/>
    </row>
    <row r="382" spans="1:131">
      <c r="A382" s="20"/>
      <c r="B382" s="124" t="str">
        <f t="shared" si="358"/>
        <v/>
      </c>
      <c r="C382" s="235"/>
      <c r="D382" s="24">
        <f>'1% Wind'!$M$84</f>
        <v>20.5</v>
      </c>
      <c r="E382" s="90"/>
      <c r="F382" s="90"/>
      <c r="G382" s="79" t="e">
        <f ca="1">IF(I379=0.9743,$G381,MAX(G381/D381*D382,2))</f>
        <v>#REF!</v>
      </c>
      <c r="H382" s="121" t="e">
        <f t="shared" ca="1" si="359"/>
        <v>#REF!</v>
      </c>
      <c r="J382" s="33"/>
      <c r="K382" s="242">
        <f t="shared" si="360"/>
        <v>1</v>
      </c>
      <c r="L382" s="241" t="e">
        <f t="shared" ca="1" si="361"/>
        <v>#REF!</v>
      </c>
      <c r="M382" s="243" t="e">
        <f ca="1">IF(AND(INDEX(FlowCalConstA,MATCH(J379,FlowCalNumber,0),1,1)*L382^INDEX(FlowCalConstB,MATCH(J379,FlowCalNumber,0),1,1)&gt;INDEX(FlowCalLowSetting,MATCH(J379,FlowCalNumber,0),1,1), (INDEX(FlowCalConstA,MATCH(J379,FlowCalNumber,0),1,1)*L382^INDEX(FlowCalConstB,MATCH(J379,FlowCalNumber,0),1,1)&lt;INDEX(FlowCalHighSetting,MATCH(J379,FlowCalNumber,0),1,1))),INDEX(FlowCalConstA,MATCH(J379,FlowCalNumber,0),1,1)*L382^INDEX(FlowCalConstB,MATCH(J379,FlowCalNumber,0),1,1)," ")</f>
        <v>#REF!</v>
      </c>
      <c r="N382" s="33"/>
      <c r="O382" s="242">
        <f t="shared" si="362"/>
        <v>1</v>
      </c>
      <c r="P382" s="241" t="e">
        <f t="shared" ca="1" si="363"/>
        <v>#REF!</v>
      </c>
      <c r="Q382" s="243" t="e">
        <f ca="1">IF(AND(INDEX(FlowCalConstA,MATCH(N379,FlowCalNumber,0),1,1)*P382^INDEX(FlowCalConstB,MATCH(N379,FlowCalNumber,0),1,1)&gt;INDEX(FlowCalLowSetting,MATCH(N379,FlowCalNumber,0),1,1), (INDEX(FlowCalConstA,MATCH(N379,FlowCalNumber,0),1,1)*P382^INDEX(FlowCalConstB,MATCH(N379,FlowCalNumber,0),1,1)&lt;INDEX(FlowCalHighSetting,MATCH(N379,FlowCalNumber,0),1,1))),INDEX(FlowCalConstA,MATCH(N379,FlowCalNumber,0),1,1)*P382^INDEX(FlowCalConstB,MATCH(N379,FlowCalNumber,0),1,1)," ")</f>
        <v>#REF!</v>
      </c>
      <c r="R382" s="33"/>
      <c r="S382" s="242">
        <f t="shared" si="364"/>
        <v>1</v>
      </c>
      <c r="T382" s="241" t="e">
        <f t="shared" ca="1" si="365"/>
        <v>#REF!</v>
      </c>
      <c r="U382" s="244" t="e">
        <f ca="1">IF(AND(INDEX(FlowCalConstA,MATCH(R379,FlowCalNumber,0),1,1)*T382^INDEX(FlowCalConstB,MATCH(R379,FlowCalNumber,0),1,1)&gt;INDEX(FlowCalLowSetting,MATCH(R379,FlowCalNumber,0),1,1), (INDEX(FlowCalConstA,MATCH(R379,FlowCalNumber,0),1,1)*T382^INDEX(FlowCalConstB,MATCH(R379,FlowCalNumber,0),1,1)&lt;INDEX(FlowCalHighSetting,MATCH(R379,FlowCalNumber,0),1,1))),INDEX(FlowCalConstA,MATCH(R379,FlowCalNumber,0),1,1)*T382^INDEX(FlowCalConstB,MATCH(R379,FlowCalNumber,0),1,1)," ")</f>
        <v>#REF!</v>
      </c>
      <c r="V382" s="33"/>
      <c r="W382" s="242">
        <f t="shared" si="366"/>
        <v>0.1</v>
      </c>
      <c r="X382" s="241" t="e">
        <f t="shared" ca="1" si="367"/>
        <v>#REF!</v>
      </c>
      <c r="Y382" s="243" t="e">
        <f ca="1">IF(AND(INDEX(FlowCalConstA,MATCH(V379,FlowCalNumber,0),1,1)*X382^INDEX(FlowCalConstB,MATCH(V379,FlowCalNumber,0),1,1)&gt;INDEX(FlowCalLowSetting,MATCH(V379,FlowCalNumber,0),1,1), (INDEX(FlowCalConstA,MATCH(V379,FlowCalNumber,0),1,1)*X382^INDEX(FlowCalConstB,MATCH(V379,FlowCalNumber,0),1,1)&lt;INDEX(FlowCalHighSetting,MATCH(V379,FlowCalNumber,0),1,1))),INDEX(FlowCalConstA,MATCH(V379,FlowCalNumber,0),1,1)*X382^INDEX(FlowCalConstB,MATCH(V379,FlowCalNumber,0),1,1)," ")</f>
        <v>#REF!</v>
      </c>
      <c r="Z382" s="33"/>
      <c r="AA382" s="242">
        <f t="shared" si="368"/>
        <v>0.9</v>
      </c>
      <c r="AB382" s="241" t="e">
        <f t="shared" ca="1" si="369"/>
        <v>#REF!</v>
      </c>
      <c r="AC382" s="243" t="e">
        <f ca="1">IF(AND(INDEX(FlowCalConstA,MATCH(Z379,FlowCalNumber,0),1,1)*AB382^INDEX(FlowCalConstB,MATCH(Z379,FlowCalNumber,0),1,1)&gt;INDEX(FlowCalLowSetting,MATCH(Z379,FlowCalNumber,0),1,1), (INDEX(FlowCalConstA,MATCH(Z379,FlowCalNumber,0),1,1)*AB382^INDEX(FlowCalConstB,MATCH(Z379,FlowCalNumber,0),1,1)&lt;INDEX(FlowCalHighSetting,MATCH(Z379,FlowCalNumber,0),1,1))),INDEX(FlowCalConstA,MATCH(Z379,FlowCalNumber,0),1,1)*AB382^INDEX(FlowCalConstB,MATCH(Z379,FlowCalNumber,0),1,1)," ")</f>
        <v>#REF!</v>
      </c>
      <c r="AD382" s="33"/>
      <c r="AE382" s="242">
        <f t="shared" si="370"/>
        <v>0.1</v>
      </c>
      <c r="AF382" s="241" t="e">
        <f t="shared" ca="1" si="371"/>
        <v>#REF!</v>
      </c>
      <c r="AG382" s="243" t="e">
        <f ca="1">IF(AND(INDEX(FlowCalConstA,MATCH(AD379,FlowCalNumber,0),1,1)*AF382^INDEX(FlowCalConstB,MATCH(AD379,FlowCalNumber,0),1,1)&gt;INDEX(FlowCalLowSetting,MATCH(AD379,FlowCalNumber,0),1,1), (INDEX(FlowCalConstA,MATCH(AD379,FlowCalNumber,0),1,1)*AF382^INDEX(FlowCalConstB,MATCH(AD379,FlowCalNumber,0),1,1)&lt;INDEX(FlowCalHighSetting,MATCH(AD379,FlowCalNumber,0),1,1))),INDEX(FlowCalConstA,MATCH(AD379,FlowCalNumber,0),1,1)*AF382^INDEX(FlowCalConstB,MATCH(AD379,FlowCalNumber,0),1,1)," ")</f>
        <v>#REF!</v>
      </c>
      <c r="AH382" s="33"/>
      <c r="AI382" s="242">
        <f t="shared" si="372"/>
        <v>0.9</v>
      </c>
      <c r="AJ382" s="241" t="e">
        <f t="shared" ca="1" si="373"/>
        <v>#REF!</v>
      </c>
      <c r="AK382" s="243" t="e">
        <f ca="1">IF(AND(INDEX(FlowCalConstA,MATCH(AH379,FlowCalNumber,0),1,1)*AJ382^INDEX(FlowCalConstB,MATCH(AH379,FlowCalNumber,0),1,1)&gt;INDEX(FlowCalLowSetting,MATCH(AH379,FlowCalNumber,0),1,1), (INDEX(FlowCalConstA,MATCH(AH379,FlowCalNumber,0),1,1)*AJ382^INDEX(FlowCalConstB,MATCH(AH379,FlowCalNumber,0),1,1)&lt;INDEX(FlowCalHighSetting,MATCH(AH379,FlowCalNumber,0),1,1))),INDEX(FlowCalConstA,MATCH(AH379,FlowCalNumber,0),1,1)*AJ382^INDEX(FlowCalConstB,MATCH(AH379,FlowCalNumber,0),1,1)," ")</f>
        <v>#REF!</v>
      </c>
      <c r="AL382" s="33"/>
      <c r="AM382" s="242"/>
      <c r="AN382" s="241"/>
      <c r="AO382" s="244"/>
      <c r="AQ382" s="242"/>
      <c r="AR382" s="241"/>
      <c r="AS382" s="244"/>
      <c r="AT382" s="33"/>
      <c r="AU382" s="242"/>
      <c r="AV382" s="241"/>
      <c r="AW382" s="244"/>
      <c r="AX382" s="33"/>
      <c r="AY382" s="242"/>
      <c r="AZ382" s="241"/>
      <c r="BA382" s="244"/>
      <c r="BB382" s="33"/>
      <c r="BC382" s="242"/>
      <c r="BD382" s="241"/>
      <c r="BE382" s="244"/>
      <c r="BF382" s="33"/>
      <c r="BG382" s="242"/>
      <c r="BH382" s="241"/>
      <c r="BI382" s="244"/>
      <c r="BJ382" s="33"/>
      <c r="BK382" s="242"/>
      <c r="BL382" s="241"/>
      <c r="BM382" s="244"/>
      <c r="BN382" s="33"/>
      <c r="BO382" s="242"/>
      <c r="BP382" s="241"/>
      <c r="BQ382" s="244"/>
      <c r="BR382" s="33"/>
      <c r="BS382" s="242"/>
      <c r="BT382" s="241"/>
      <c r="BU382" s="244"/>
      <c r="BV382" s="33"/>
      <c r="BW382" s="242"/>
      <c r="BX382" s="241"/>
      <c r="BY382" s="244"/>
      <c r="BZ382" s="33"/>
      <c r="CA382" s="242"/>
      <c r="CB382" s="241"/>
      <c r="CC382" s="244"/>
      <c r="CD382" s="243"/>
      <c r="CE382" s="243"/>
      <c r="CF382" s="243"/>
      <c r="CG382" s="243"/>
      <c r="CH382" s="243"/>
      <c r="CI382" s="243"/>
      <c r="CJ382" s="243"/>
      <c r="CK382" s="243"/>
      <c r="CL382" s="243"/>
      <c r="CM382" s="243"/>
      <c r="CN382" s="243"/>
      <c r="CO382" s="243"/>
      <c r="CP382" s="243"/>
      <c r="CQ382" s="243"/>
      <c r="CR382" s="243"/>
      <c r="CS382" s="243"/>
      <c r="CT382" s="243"/>
      <c r="CU382" s="243"/>
      <c r="CV382" s="243"/>
      <c r="CW382" s="243"/>
      <c r="CX382" s="243"/>
      <c r="CY382" s="243"/>
      <c r="CZ382" s="243"/>
      <c r="DA382" s="243"/>
      <c r="DB382" s="243"/>
      <c r="DC382" s="243"/>
      <c r="DD382" s="243"/>
      <c r="DE382" s="243"/>
      <c r="DF382" s="243"/>
      <c r="DG382" s="243"/>
      <c r="DH382" s="243"/>
      <c r="DI382" s="243"/>
      <c r="DJ382" s="243"/>
      <c r="DK382" s="243"/>
      <c r="DM382" s="242"/>
      <c r="DO382" s="243"/>
      <c r="DQ382" s="242"/>
      <c r="DS382" s="243"/>
      <c r="DU382" s="242"/>
      <c r="DW382" s="243"/>
      <c r="DY382" s="242"/>
      <c r="EA382" s="243"/>
    </row>
    <row r="383" spans="1:131">
      <c r="A383" s="20"/>
      <c r="B383" s="124" t="str">
        <f t="shared" si="358"/>
        <v/>
      </c>
      <c r="C383" s="235"/>
      <c r="D383" s="24">
        <f>'1% Wind'!$M$85</f>
        <v>17.8</v>
      </c>
      <c r="E383" s="90"/>
      <c r="F383" s="90"/>
      <c r="G383" s="79" t="e">
        <f ca="1">IF(I379=0.9743,$G382,MAX(G382/D382*D383,2))</f>
        <v>#REF!</v>
      </c>
      <c r="H383" s="121" t="e">
        <f t="shared" ca="1" si="359"/>
        <v>#REF!</v>
      </c>
      <c r="J383" s="33"/>
      <c r="K383" s="242">
        <f t="shared" si="360"/>
        <v>1</v>
      </c>
      <c r="L383" s="241" t="e">
        <f t="shared" ca="1" si="361"/>
        <v>#REF!</v>
      </c>
      <c r="M383" s="243" t="e">
        <f ca="1">IF(AND(INDEX(FlowCalConstA,MATCH(J379,FlowCalNumber,0),1,1)*L383^INDEX(FlowCalConstB,MATCH(J379,FlowCalNumber,0),1,1)&gt;INDEX(FlowCalLowSetting,MATCH(J379,FlowCalNumber,0),1,1), (INDEX(FlowCalConstA,MATCH(J379,FlowCalNumber,0),1,1)*L383^INDEX(FlowCalConstB,MATCH(J379,FlowCalNumber,0),1,1)&lt;INDEX(FlowCalHighSetting,MATCH(J379,FlowCalNumber,0),1,1))),INDEX(FlowCalConstA,MATCH(J379,FlowCalNumber,0),1,1)*L383^INDEX(FlowCalConstB,MATCH(J379,FlowCalNumber,0),1,1)," ")</f>
        <v>#REF!</v>
      </c>
      <c r="N383" s="33"/>
      <c r="O383" s="242">
        <f t="shared" si="362"/>
        <v>1</v>
      </c>
      <c r="P383" s="241" t="e">
        <f t="shared" ca="1" si="363"/>
        <v>#REF!</v>
      </c>
      <c r="Q383" s="243" t="e">
        <f ca="1">IF(AND(INDEX(FlowCalConstA,MATCH(N379,FlowCalNumber,0),1,1)*P383^INDEX(FlowCalConstB,MATCH(N379,FlowCalNumber,0),1,1)&gt;INDEX(FlowCalLowSetting,MATCH(N379,FlowCalNumber,0),1,1), (INDEX(FlowCalConstA,MATCH(N379,FlowCalNumber,0),1,1)*P383^INDEX(FlowCalConstB,MATCH(N379,FlowCalNumber,0),1,1)&lt;INDEX(FlowCalHighSetting,MATCH(N379,FlowCalNumber,0),1,1))),INDEX(FlowCalConstA,MATCH(N379,FlowCalNumber,0),1,1)*P383^INDEX(FlowCalConstB,MATCH(N379,FlowCalNumber,0),1,1)," ")</f>
        <v>#REF!</v>
      </c>
      <c r="R383" s="33"/>
      <c r="S383" s="242">
        <f t="shared" si="364"/>
        <v>1</v>
      </c>
      <c r="T383" s="241" t="e">
        <f t="shared" ca="1" si="365"/>
        <v>#REF!</v>
      </c>
      <c r="U383" s="244" t="e">
        <f ca="1">IF(AND(INDEX(FlowCalConstA,MATCH(R379,FlowCalNumber,0),1,1)*T383^INDEX(FlowCalConstB,MATCH(R379,FlowCalNumber,0),1,1)&gt;INDEX(FlowCalLowSetting,MATCH(R379,FlowCalNumber,0),1,1), (INDEX(FlowCalConstA,MATCH(R379,FlowCalNumber,0),1,1)*T383^INDEX(FlowCalConstB,MATCH(R379,FlowCalNumber,0),1,1)&lt;INDEX(FlowCalHighSetting,MATCH(R379,FlowCalNumber,0),1,1))),INDEX(FlowCalConstA,MATCH(R379,FlowCalNumber,0),1,1)*T383^INDEX(FlowCalConstB,MATCH(R379,FlowCalNumber,0),1,1)," ")</f>
        <v>#REF!</v>
      </c>
      <c r="V383" s="33"/>
      <c r="W383" s="242">
        <f t="shared" si="366"/>
        <v>0.1</v>
      </c>
      <c r="X383" s="241" t="e">
        <f t="shared" ca="1" si="367"/>
        <v>#REF!</v>
      </c>
      <c r="Y383" s="243" t="e">
        <f ca="1">IF(AND(INDEX(FlowCalConstA,MATCH(V379,FlowCalNumber,0),1,1)*X383^INDEX(FlowCalConstB,MATCH(V379,FlowCalNumber,0),1,1)&gt;INDEX(FlowCalLowSetting,MATCH(V379,FlowCalNumber,0),1,1), (INDEX(FlowCalConstA,MATCH(V379,FlowCalNumber,0),1,1)*X383^INDEX(FlowCalConstB,MATCH(V379,FlowCalNumber,0),1,1)&lt;INDEX(FlowCalHighSetting,MATCH(V379,FlowCalNumber,0),1,1))),INDEX(FlowCalConstA,MATCH(V379,FlowCalNumber,0),1,1)*X383^INDEX(FlowCalConstB,MATCH(V379,FlowCalNumber,0),1,1)," ")</f>
        <v>#REF!</v>
      </c>
      <c r="Z383" s="33"/>
      <c r="AA383" s="242">
        <f t="shared" si="368"/>
        <v>0.9</v>
      </c>
      <c r="AB383" s="241" t="e">
        <f t="shared" ca="1" si="369"/>
        <v>#REF!</v>
      </c>
      <c r="AC383" s="243" t="e">
        <f ca="1">IF(AND(INDEX(FlowCalConstA,MATCH(Z379,FlowCalNumber,0),1,1)*AB383^INDEX(FlowCalConstB,MATCH(Z379,FlowCalNumber,0),1,1)&gt;INDEX(FlowCalLowSetting,MATCH(Z379,FlowCalNumber,0),1,1), (INDEX(FlowCalConstA,MATCH(Z379,FlowCalNumber,0),1,1)*AB383^INDEX(FlowCalConstB,MATCH(Z379,FlowCalNumber,0),1,1)&lt;INDEX(FlowCalHighSetting,MATCH(Z379,FlowCalNumber,0),1,1))),INDEX(FlowCalConstA,MATCH(Z379,FlowCalNumber,0),1,1)*AB383^INDEX(FlowCalConstB,MATCH(Z379,FlowCalNumber,0),1,1)," ")</f>
        <v>#REF!</v>
      </c>
      <c r="AD383" s="33"/>
      <c r="AE383" s="242">
        <f t="shared" si="370"/>
        <v>0.1</v>
      </c>
      <c r="AF383" s="241" t="e">
        <f t="shared" ca="1" si="371"/>
        <v>#REF!</v>
      </c>
      <c r="AG383" s="243" t="e">
        <f ca="1">IF(AND(INDEX(FlowCalConstA,MATCH(AD379,FlowCalNumber,0),1,1)*AF383^INDEX(FlowCalConstB,MATCH(AD379,FlowCalNumber,0),1,1)&gt;INDEX(FlowCalLowSetting,MATCH(AD379,FlowCalNumber,0),1,1), (INDEX(FlowCalConstA,MATCH(AD379,FlowCalNumber,0),1,1)*AF383^INDEX(FlowCalConstB,MATCH(AD379,FlowCalNumber,0),1,1)&lt;INDEX(FlowCalHighSetting,MATCH(AD379,FlowCalNumber,0),1,1))),INDEX(FlowCalConstA,MATCH(AD379,FlowCalNumber,0),1,1)*AF383^INDEX(FlowCalConstB,MATCH(AD379,FlowCalNumber,0),1,1)," ")</f>
        <v>#REF!</v>
      </c>
      <c r="AH383" s="33"/>
      <c r="AI383" s="242">
        <f t="shared" si="372"/>
        <v>0.9</v>
      </c>
      <c r="AJ383" s="241" t="e">
        <f t="shared" ca="1" si="373"/>
        <v>#REF!</v>
      </c>
      <c r="AK383" s="243" t="e">
        <f ca="1">IF(AND(INDEX(FlowCalConstA,MATCH(AH379,FlowCalNumber,0),1,1)*AJ383^INDEX(FlowCalConstB,MATCH(AH379,FlowCalNumber,0),1,1)&gt;INDEX(FlowCalLowSetting,MATCH(AH379,FlowCalNumber,0),1,1), (INDEX(FlowCalConstA,MATCH(AH379,FlowCalNumber,0),1,1)*AJ383^INDEX(FlowCalConstB,MATCH(AH379,FlowCalNumber,0),1,1)&lt;INDEX(FlowCalHighSetting,MATCH(AH379,FlowCalNumber,0),1,1))),INDEX(FlowCalConstA,MATCH(AH379,FlowCalNumber,0),1,1)*AJ383^INDEX(FlowCalConstB,MATCH(AH379,FlowCalNumber,0),1,1)," ")</f>
        <v>#REF!</v>
      </c>
      <c r="AL383" s="33"/>
      <c r="AM383" s="242"/>
      <c r="AN383" s="241"/>
      <c r="AO383" s="244"/>
      <c r="AQ383" s="242"/>
      <c r="AR383" s="241"/>
      <c r="AS383" s="244"/>
      <c r="AT383" s="33"/>
      <c r="AU383" s="242"/>
      <c r="AV383" s="241"/>
      <c r="AW383" s="244"/>
      <c r="AX383" s="33"/>
      <c r="AY383" s="242"/>
      <c r="AZ383" s="241"/>
      <c r="BA383" s="244"/>
      <c r="BB383" s="33"/>
      <c r="BC383" s="242"/>
      <c r="BD383" s="241"/>
      <c r="BE383" s="244"/>
      <c r="BF383" s="33"/>
      <c r="BG383" s="242"/>
      <c r="BH383" s="241"/>
      <c r="BI383" s="244"/>
      <c r="BJ383" s="33"/>
      <c r="BK383" s="242"/>
      <c r="BL383" s="241"/>
      <c r="BM383" s="244"/>
      <c r="BN383" s="33"/>
      <c r="BO383" s="242"/>
      <c r="BP383" s="241"/>
      <c r="BQ383" s="244"/>
      <c r="BR383" s="33"/>
      <c r="BS383" s="242"/>
      <c r="BT383" s="241"/>
      <c r="BU383" s="244"/>
      <c r="BV383" s="33"/>
      <c r="BW383" s="242"/>
      <c r="BX383" s="241"/>
      <c r="BY383" s="244"/>
      <c r="BZ383" s="33"/>
      <c r="CA383" s="242"/>
      <c r="CB383" s="241"/>
      <c r="CC383" s="244"/>
      <c r="CD383" s="243"/>
      <c r="CE383" s="243"/>
      <c r="CF383" s="243"/>
      <c r="CG383" s="243"/>
      <c r="CH383" s="243"/>
      <c r="CI383" s="243"/>
      <c r="CJ383" s="243"/>
      <c r="CK383" s="243"/>
      <c r="CL383" s="243"/>
      <c r="CM383" s="243"/>
      <c r="CN383" s="243"/>
      <c r="CO383" s="243"/>
      <c r="CP383" s="243"/>
      <c r="CQ383" s="243"/>
      <c r="CR383" s="243"/>
      <c r="CS383" s="243"/>
      <c r="CT383" s="243"/>
      <c r="CU383" s="243"/>
      <c r="CV383" s="243"/>
      <c r="CW383" s="243"/>
      <c r="CX383" s="243"/>
      <c r="CY383" s="243"/>
      <c r="CZ383" s="243"/>
      <c r="DA383" s="243"/>
      <c r="DB383" s="243"/>
      <c r="DC383" s="243"/>
      <c r="DD383" s="243"/>
      <c r="DE383" s="243"/>
      <c r="DF383" s="243"/>
      <c r="DG383" s="243"/>
      <c r="DH383" s="243"/>
      <c r="DI383" s="243"/>
      <c r="DJ383" s="243"/>
      <c r="DK383" s="243"/>
      <c r="DM383" s="242"/>
      <c r="DO383" s="243"/>
      <c r="DQ383" s="242"/>
      <c r="DS383" s="243"/>
      <c r="DU383" s="242"/>
      <c r="DW383" s="243"/>
      <c r="DY383" s="242"/>
      <c r="EA383" s="243"/>
    </row>
    <row r="384" spans="1:131">
      <c r="A384" s="20"/>
      <c r="B384" s="124" t="str">
        <f t="shared" si="358"/>
        <v/>
      </c>
      <c r="C384" s="235"/>
      <c r="D384" s="24">
        <f>'1% Wind'!$M$86</f>
        <v>15.5</v>
      </c>
      <c r="E384" s="90"/>
      <c r="F384" s="90"/>
      <c r="G384" s="79" t="e">
        <f ca="1">IF(I379=0.9743,$G383,MAX(G383/D383*D384,2))</f>
        <v>#REF!</v>
      </c>
      <c r="H384" s="121" t="e">
        <f t="shared" ca="1" si="359"/>
        <v>#REF!</v>
      </c>
      <c r="J384" s="33"/>
      <c r="K384" s="242">
        <f t="shared" si="360"/>
        <v>1</v>
      </c>
      <c r="L384" s="241" t="e">
        <f t="shared" ca="1" si="361"/>
        <v>#REF!</v>
      </c>
      <c r="M384" s="243" t="e">
        <f ca="1">IF(AND(INDEX(FlowCalConstA,MATCH(J379,FlowCalNumber,0),1,1)*L384^INDEX(FlowCalConstB,MATCH(J379,FlowCalNumber,0),1,1)&gt;INDEX(FlowCalLowSetting,MATCH(J379,FlowCalNumber,0),1,1), (INDEX(FlowCalConstA,MATCH(J379,FlowCalNumber,0),1,1)*L384^INDEX(FlowCalConstB,MATCH(J379,FlowCalNumber,0),1,1)&lt;INDEX(FlowCalHighSetting,MATCH(J379,FlowCalNumber,0),1,1))),INDEX(FlowCalConstA,MATCH(J379,FlowCalNumber,0),1,1)*L384^INDEX(FlowCalConstB,MATCH(J379,FlowCalNumber,0),1,1)," ")</f>
        <v>#REF!</v>
      </c>
      <c r="N384" s="33"/>
      <c r="O384" s="242">
        <f t="shared" si="362"/>
        <v>1</v>
      </c>
      <c r="P384" s="241" t="e">
        <f t="shared" ca="1" si="363"/>
        <v>#REF!</v>
      </c>
      <c r="Q384" s="243" t="e">
        <f ca="1">IF(AND(INDEX(FlowCalConstA,MATCH(N379,FlowCalNumber,0),1,1)*P384^INDEX(FlowCalConstB,MATCH(N379,FlowCalNumber,0),1,1)&gt;INDEX(FlowCalLowSetting,MATCH(N379,FlowCalNumber,0),1,1), (INDEX(FlowCalConstA,MATCH(N379,FlowCalNumber,0),1,1)*P384^INDEX(FlowCalConstB,MATCH(N379,FlowCalNumber,0),1,1)&lt;INDEX(FlowCalHighSetting,MATCH(N379,FlowCalNumber,0),1,1))),INDEX(FlowCalConstA,MATCH(N379,FlowCalNumber,0),1,1)*P384^INDEX(FlowCalConstB,MATCH(N379,FlowCalNumber,0),1,1)," ")</f>
        <v>#REF!</v>
      </c>
      <c r="R384" s="33"/>
      <c r="S384" s="242">
        <f t="shared" si="364"/>
        <v>1</v>
      </c>
      <c r="T384" s="241" t="e">
        <f t="shared" ca="1" si="365"/>
        <v>#REF!</v>
      </c>
      <c r="U384" s="244" t="e">
        <f ca="1">IF(AND(INDEX(FlowCalConstA,MATCH(R379,FlowCalNumber,0),1,1)*T384^INDEX(FlowCalConstB,MATCH(R379,FlowCalNumber,0),1,1)&gt;INDEX(FlowCalLowSetting,MATCH(R379,FlowCalNumber,0),1,1), (INDEX(FlowCalConstA,MATCH(R379,FlowCalNumber,0),1,1)*T384^INDEX(FlowCalConstB,MATCH(R379,FlowCalNumber,0),1,1)&lt;INDEX(FlowCalHighSetting,MATCH(R379,FlowCalNumber,0),1,1))),INDEX(FlowCalConstA,MATCH(R379,FlowCalNumber,0),1,1)*T384^INDEX(FlowCalConstB,MATCH(R379,FlowCalNumber,0),1,1)," ")</f>
        <v>#REF!</v>
      </c>
      <c r="V384" s="33"/>
      <c r="W384" s="242">
        <f t="shared" si="366"/>
        <v>0.1</v>
      </c>
      <c r="X384" s="241" t="e">
        <f t="shared" ca="1" si="367"/>
        <v>#REF!</v>
      </c>
      <c r="Y384" s="243" t="e">
        <f ca="1">IF(AND(INDEX(FlowCalConstA,MATCH(V379,FlowCalNumber,0),1,1)*X384^INDEX(FlowCalConstB,MATCH(V379,FlowCalNumber,0),1,1)&gt;INDEX(FlowCalLowSetting,MATCH(V379,FlowCalNumber,0),1,1), (INDEX(FlowCalConstA,MATCH(V379,FlowCalNumber,0),1,1)*X384^INDEX(FlowCalConstB,MATCH(V379,FlowCalNumber,0),1,1)&lt;INDEX(FlowCalHighSetting,MATCH(V379,FlowCalNumber,0),1,1))),INDEX(FlowCalConstA,MATCH(V379,FlowCalNumber,0),1,1)*X384^INDEX(FlowCalConstB,MATCH(V379,FlowCalNumber,0),1,1)," ")</f>
        <v>#REF!</v>
      </c>
      <c r="Z384" s="33"/>
      <c r="AA384" s="242">
        <f t="shared" si="368"/>
        <v>0.9</v>
      </c>
      <c r="AB384" s="241" t="e">
        <f t="shared" ca="1" si="369"/>
        <v>#REF!</v>
      </c>
      <c r="AC384" s="243" t="e">
        <f ca="1">IF(AND(INDEX(FlowCalConstA,MATCH(Z379,FlowCalNumber,0),1,1)*AB384^INDEX(FlowCalConstB,MATCH(Z379,FlowCalNumber,0),1,1)&gt;INDEX(FlowCalLowSetting,MATCH(Z379,FlowCalNumber,0),1,1), (INDEX(FlowCalConstA,MATCH(Z379,FlowCalNumber,0),1,1)*AB384^INDEX(FlowCalConstB,MATCH(Z379,FlowCalNumber,0),1,1)&lt;INDEX(FlowCalHighSetting,MATCH(Z379,FlowCalNumber,0),1,1))),INDEX(FlowCalConstA,MATCH(Z379,FlowCalNumber,0),1,1)*AB384^INDEX(FlowCalConstB,MATCH(Z379,FlowCalNumber,0),1,1)," ")</f>
        <v>#REF!</v>
      </c>
      <c r="AD384" s="33"/>
      <c r="AE384" s="242">
        <f t="shared" si="370"/>
        <v>0.1</v>
      </c>
      <c r="AF384" s="241" t="e">
        <f t="shared" ca="1" si="371"/>
        <v>#REF!</v>
      </c>
      <c r="AG384" s="243" t="e">
        <f ca="1">IF(AND(INDEX(FlowCalConstA,MATCH(AD379,FlowCalNumber,0),1,1)*AF384^INDEX(FlowCalConstB,MATCH(AD379,FlowCalNumber,0),1,1)&gt;INDEX(FlowCalLowSetting,MATCH(AD379,FlowCalNumber,0),1,1), (INDEX(FlowCalConstA,MATCH(AD379,FlowCalNumber,0),1,1)*AF384^INDEX(FlowCalConstB,MATCH(AD379,FlowCalNumber,0),1,1)&lt;INDEX(FlowCalHighSetting,MATCH(AD379,FlowCalNumber,0),1,1))),INDEX(FlowCalConstA,MATCH(AD379,FlowCalNumber,0),1,1)*AF384^INDEX(FlowCalConstB,MATCH(AD379,FlowCalNumber,0),1,1)," ")</f>
        <v>#REF!</v>
      </c>
      <c r="AH384" s="33"/>
      <c r="AI384" s="242">
        <f t="shared" si="372"/>
        <v>0.9</v>
      </c>
      <c r="AJ384" s="241" t="e">
        <f t="shared" ca="1" si="373"/>
        <v>#REF!</v>
      </c>
      <c r="AK384" s="243" t="e">
        <f ca="1">IF(AND(INDEX(FlowCalConstA,MATCH(AH379,FlowCalNumber,0),1,1)*AJ384^INDEX(FlowCalConstB,MATCH(AH379,FlowCalNumber,0),1,1)&gt;INDEX(FlowCalLowSetting,MATCH(AH379,FlowCalNumber,0),1,1), (INDEX(FlowCalConstA,MATCH(AH379,FlowCalNumber,0),1,1)*AJ384^INDEX(FlowCalConstB,MATCH(AH379,FlowCalNumber,0),1,1)&lt;INDEX(FlowCalHighSetting,MATCH(AH379,FlowCalNumber,0),1,1))),INDEX(FlowCalConstA,MATCH(AH379,FlowCalNumber,0),1,1)*AJ384^INDEX(FlowCalConstB,MATCH(AH379,FlowCalNumber,0),1,1)," ")</f>
        <v>#REF!</v>
      </c>
      <c r="AL384" s="33"/>
      <c r="AM384" s="242"/>
      <c r="AN384" s="241"/>
      <c r="AO384" s="244"/>
      <c r="AQ384" s="242"/>
      <c r="AR384" s="241"/>
      <c r="AS384" s="244"/>
      <c r="AT384" s="33"/>
      <c r="AU384" s="242"/>
      <c r="AV384" s="241"/>
      <c r="AW384" s="244"/>
      <c r="AX384" s="33"/>
      <c r="AY384" s="242"/>
      <c r="AZ384" s="241"/>
      <c r="BA384" s="244"/>
      <c r="BB384" s="33"/>
      <c r="BC384" s="242"/>
      <c r="BD384" s="241"/>
      <c r="BE384" s="244"/>
      <c r="BF384" s="33"/>
      <c r="BG384" s="242"/>
      <c r="BH384" s="241"/>
      <c r="BI384" s="244"/>
      <c r="BJ384" s="33"/>
      <c r="BK384" s="242"/>
      <c r="BL384" s="241"/>
      <c r="BM384" s="244"/>
      <c r="BN384" s="33"/>
      <c r="BO384" s="242"/>
      <c r="BP384" s="241"/>
      <c r="BQ384" s="244"/>
      <c r="BR384" s="33"/>
      <c r="BS384" s="242"/>
      <c r="BT384" s="241"/>
      <c r="BU384" s="244"/>
      <c r="BV384" s="33"/>
      <c r="BW384" s="242"/>
      <c r="BX384" s="241"/>
      <c r="BY384" s="244"/>
      <c r="BZ384" s="33"/>
      <c r="CA384" s="242"/>
      <c r="CB384" s="241"/>
      <c r="CC384" s="244"/>
      <c r="CD384" s="243"/>
      <c r="CE384" s="243"/>
      <c r="CF384" s="243"/>
      <c r="CG384" s="243"/>
      <c r="CH384" s="243"/>
      <c r="CI384" s="243"/>
      <c r="CJ384" s="243"/>
      <c r="CK384" s="243"/>
      <c r="CL384" s="243"/>
      <c r="CM384" s="243"/>
      <c r="CN384" s="243"/>
      <c r="CO384" s="243"/>
      <c r="CP384" s="243"/>
      <c r="CQ384" s="243"/>
      <c r="CR384" s="243"/>
      <c r="CS384" s="243"/>
      <c r="CT384" s="243"/>
      <c r="CU384" s="243"/>
      <c r="CV384" s="243"/>
      <c r="CW384" s="243"/>
      <c r="CX384" s="243"/>
      <c r="CY384" s="243"/>
      <c r="CZ384" s="243"/>
      <c r="DA384" s="243"/>
      <c r="DB384" s="243"/>
      <c r="DC384" s="243"/>
      <c r="DD384" s="243"/>
      <c r="DE384" s="243"/>
      <c r="DF384" s="243"/>
      <c r="DG384" s="243"/>
      <c r="DH384" s="243"/>
      <c r="DI384" s="243"/>
      <c r="DJ384" s="243"/>
      <c r="DK384" s="243"/>
      <c r="DM384" s="242"/>
      <c r="DO384" s="243"/>
      <c r="DQ384" s="242"/>
      <c r="DS384" s="243"/>
      <c r="DU384" s="242"/>
      <c r="DW384" s="243"/>
      <c r="DY384" s="242"/>
      <c r="EA384" s="243"/>
    </row>
    <row r="385" spans="1:131">
      <c r="A385" s="20"/>
      <c r="B385" s="124" t="str">
        <f t="shared" si="358"/>
        <v/>
      </c>
      <c r="C385" s="235"/>
      <c r="D385" s="24">
        <f>'1% Wind'!$M$87</f>
        <v>13.5</v>
      </c>
      <c r="E385" s="90"/>
      <c r="F385" s="90"/>
      <c r="G385" s="79" t="e">
        <f ca="1">IF(I379=0.9743,$G384,MAX(G384/D384*D385,2))</f>
        <v>#REF!</v>
      </c>
      <c r="H385" s="121" t="e">
        <f t="shared" ca="1" si="359"/>
        <v>#REF!</v>
      </c>
      <c r="J385" s="33"/>
      <c r="K385" s="242">
        <f t="shared" si="360"/>
        <v>1</v>
      </c>
      <c r="L385" s="241" t="e">
        <f t="shared" ca="1" si="361"/>
        <v>#REF!</v>
      </c>
      <c r="M385" s="243" t="e">
        <f ca="1">IF(AND(INDEX(FlowCalConstA,MATCH(J379,FlowCalNumber,0),1,1)*L385^INDEX(FlowCalConstB,MATCH(J379,FlowCalNumber,0),1,1)&gt;INDEX(FlowCalLowSetting,MATCH(J379,FlowCalNumber,0),1,1), (INDEX(FlowCalConstA,MATCH(J379,FlowCalNumber,0),1,1)*L385^INDEX(FlowCalConstB,MATCH(J379,FlowCalNumber,0),1,1)&lt;INDEX(FlowCalHighSetting,MATCH(J379,FlowCalNumber,0),1,1))),INDEX(FlowCalConstA,MATCH(J379,FlowCalNumber,0),1,1)*L385^INDEX(FlowCalConstB,MATCH(J379,FlowCalNumber,0),1,1)," ")</f>
        <v>#REF!</v>
      </c>
      <c r="N385" s="33"/>
      <c r="O385" s="242">
        <f t="shared" si="362"/>
        <v>1</v>
      </c>
      <c r="P385" s="241" t="e">
        <f t="shared" ca="1" si="363"/>
        <v>#REF!</v>
      </c>
      <c r="Q385" s="243" t="e">
        <f ca="1">IF(AND(INDEX(FlowCalConstA,MATCH(N379,FlowCalNumber,0),1,1)*P385^INDEX(FlowCalConstB,MATCH(N379,FlowCalNumber,0),1,1)&gt;INDEX(FlowCalLowSetting,MATCH(N379,FlowCalNumber,0),1,1), (INDEX(FlowCalConstA,MATCH(N379,FlowCalNumber,0),1,1)*P385^INDEX(FlowCalConstB,MATCH(N379,FlowCalNumber,0),1,1)&lt;INDEX(FlowCalHighSetting,MATCH(N379,FlowCalNumber,0),1,1))),INDEX(FlowCalConstA,MATCH(N379,FlowCalNumber,0),1,1)*P385^INDEX(FlowCalConstB,MATCH(N379,FlowCalNumber,0),1,1)," ")</f>
        <v>#REF!</v>
      </c>
      <c r="R385" s="33"/>
      <c r="S385" s="242">
        <f t="shared" si="364"/>
        <v>1</v>
      </c>
      <c r="T385" s="241" t="e">
        <f t="shared" ca="1" si="365"/>
        <v>#REF!</v>
      </c>
      <c r="U385" s="244" t="e">
        <f ca="1">IF(AND(INDEX(FlowCalConstA,MATCH(R379,FlowCalNumber,0),1,1)*T385^INDEX(FlowCalConstB,MATCH(R379,FlowCalNumber,0),1,1)&gt;INDEX(FlowCalLowSetting,MATCH(R379,FlowCalNumber,0),1,1), (INDEX(FlowCalConstA,MATCH(R379,FlowCalNumber,0),1,1)*T385^INDEX(FlowCalConstB,MATCH(R379,FlowCalNumber,0),1,1)&lt;INDEX(FlowCalHighSetting,MATCH(R379,FlowCalNumber,0),1,1))),INDEX(FlowCalConstA,MATCH(R379,FlowCalNumber,0),1,1)*T385^INDEX(FlowCalConstB,MATCH(R379,FlowCalNumber,0),1,1)," ")</f>
        <v>#REF!</v>
      </c>
      <c r="V385" s="33"/>
      <c r="W385" s="242">
        <f t="shared" si="366"/>
        <v>0.1</v>
      </c>
      <c r="X385" s="241" t="e">
        <f t="shared" ca="1" si="367"/>
        <v>#REF!</v>
      </c>
      <c r="Y385" s="243" t="e">
        <f ca="1">IF(AND(INDEX(FlowCalConstA,MATCH(V379,FlowCalNumber,0),1,1)*X385^INDEX(FlowCalConstB,MATCH(V379,FlowCalNumber,0),1,1)&gt;INDEX(FlowCalLowSetting,MATCH(V379,FlowCalNumber,0),1,1), (INDEX(FlowCalConstA,MATCH(V379,FlowCalNumber,0),1,1)*X385^INDEX(FlowCalConstB,MATCH(V379,FlowCalNumber,0),1,1)&lt;INDEX(FlowCalHighSetting,MATCH(V379,FlowCalNumber,0),1,1))),INDEX(FlowCalConstA,MATCH(V379,FlowCalNumber,0),1,1)*X385^INDEX(FlowCalConstB,MATCH(V379,FlowCalNumber,0),1,1)," ")</f>
        <v>#REF!</v>
      </c>
      <c r="Z385" s="33"/>
      <c r="AA385" s="242">
        <f t="shared" si="368"/>
        <v>0.9</v>
      </c>
      <c r="AB385" s="241" t="e">
        <f t="shared" ca="1" si="369"/>
        <v>#REF!</v>
      </c>
      <c r="AC385" s="243" t="e">
        <f ca="1">IF(AND(INDEX(FlowCalConstA,MATCH(Z379,FlowCalNumber,0),1,1)*AB385^INDEX(FlowCalConstB,MATCH(Z379,FlowCalNumber,0),1,1)&gt;INDEX(FlowCalLowSetting,MATCH(Z379,FlowCalNumber,0),1,1), (INDEX(FlowCalConstA,MATCH(Z379,FlowCalNumber,0),1,1)*AB385^INDEX(FlowCalConstB,MATCH(Z379,FlowCalNumber,0),1,1)&lt;INDEX(FlowCalHighSetting,MATCH(Z379,FlowCalNumber,0),1,1))),INDEX(FlowCalConstA,MATCH(Z379,FlowCalNumber,0),1,1)*AB385^INDEX(FlowCalConstB,MATCH(Z379,FlowCalNumber,0),1,1)," ")</f>
        <v>#REF!</v>
      </c>
      <c r="AD385" s="33"/>
      <c r="AE385" s="242">
        <f t="shared" si="370"/>
        <v>0.1</v>
      </c>
      <c r="AF385" s="241" t="e">
        <f t="shared" ca="1" si="371"/>
        <v>#REF!</v>
      </c>
      <c r="AG385" s="243" t="e">
        <f ca="1">IF(AND(INDEX(FlowCalConstA,MATCH(AD379,FlowCalNumber,0),1,1)*AF385^INDEX(FlowCalConstB,MATCH(AD379,FlowCalNumber,0),1,1)&gt;INDEX(FlowCalLowSetting,MATCH(AD379,FlowCalNumber,0),1,1), (INDEX(FlowCalConstA,MATCH(AD379,FlowCalNumber,0),1,1)*AF385^INDEX(FlowCalConstB,MATCH(AD379,FlowCalNumber,0),1,1)&lt;INDEX(FlowCalHighSetting,MATCH(AD379,FlowCalNumber,0),1,1))),INDEX(FlowCalConstA,MATCH(AD379,FlowCalNumber,0),1,1)*AF385^INDEX(FlowCalConstB,MATCH(AD379,FlowCalNumber,0),1,1)," ")</f>
        <v>#REF!</v>
      </c>
      <c r="AH385" s="33"/>
      <c r="AI385" s="242">
        <f t="shared" si="372"/>
        <v>0.9</v>
      </c>
      <c r="AJ385" s="241" t="e">
        <f t="shared" ca="1" si="373"/>
        <v>#REF!</v>
      </c>
      <c r="AK385" s="243" t="e">
        <f ca="1">IF(AND(INDEX(FlowCalConstA,MATCH(AH379,FlowCalNumber,0),1,1)*AJ385^INDEX(FlowCalConstB,MATCH(AH379,FlowCalNumber,0),1,1)&gt;INDEX(FlowCalLowSetting,MATCH(AH379,FlowCalNumber,0),1,1), (INDEX(FlowCalConstA,MATCH(AH379,FlowCalNumber,0),1,1)*AJ385^INDEX(FlowCalConstB,MATCH(AH379,FlowCalNumber,0),1,1)&lt;INDEX(FlowCalHighSetting,MATCH(AH379,FlowCalNumber,0),1,1))),INDEX(FlowCalConstA,MATCH(AH379,FlowCalNumber,0),1,1)*AJ385^INDEX(FlowCalConstB,MATCH(AH379,FlowCalNumber,0),1,1)," ")</f>
        <v>#REF!</v>
      </c>
      <c r="AL385" s="33"/>
      <c r="AM385" s="242"/>
      <c r="AN385" s="241"/>
      <c r="AO385" s="244"/>
      <c r="AQ385" s="242"/>
      <c r="AR385" s="241"/>
      <c r="AS385" s="244"/>
      <c r="AT385" s="33"/>
      <c r="AU385" s="242"/>
      <c r="AV385" s="241"/>
      <c r="AW385" s="244"/>
      <c r="AX385" s="33"/>
      <c r="AY385" s="242"/>
      <c r="AZ385" s="241"/>
      <c r="BA385" s="244"/>
      <c r="BB385" s="33"/>
      <c r="BC385" s="242"/>
      <c r="BD385" s="241"/>
      <c r="BE385" s="244"/>
      <c r="BF385" s="33"/>
      <c r="BG385" s="242"/>
      <c r="BH385" s="241"/>
      <c r="BI385" s="244"/>
      <c r="BJ385" s="33"/>
      <c r="BK385" s="242"/>
      <c r="BL385" s="241"/>
      <c r="BM385" s="244"/>
      <c r="BN385" s="33"/>
      <c r="BO385" s="242"/>
      <c r="BP385" s="241"/>
      <c r="BQ385" s="244"/>
      <c r="BR385" s="33"/>
      <c r="BS385" s="242"/>
      <c r="BT385" s="241"/>
      <c r="BU385" s="244"/>
      <c r="BV385" s="33"/>
      <c r="BW385" s="242"/>
      <c r="BX385" s="241"/>
      <c r="BY385" s="244"/>
      <c r="BZ385" s="33"/>
      <c r="CA385" s="242"/>
      <c r="CB385" s="241"/>
      <c r="CC385" s="244"/>
      <c r="CD385" s="243"/>
      <c r="CE385" s="243"/>
      <c r="CF385" s="243"/>
      <c r="CG385" s="243"/>
      <c r="CH385" s="243"/>
      <c r="CI385" s="243"/>
      <c r="CJ385" s="243"/>
      <c r="CK385" s="243"/>
      <c r="CL385" s="243"/>
      <c r="CM385" s="243"/>
      <c r="CN385" s="243"/>
      <c r="CO385" s="243"/>
      <c r="CP385" s="243"/>
      <c r="CQ385" s="243"/>
      <c r="CR385" s="243"/>
      <c r="CS385" s="243"/>
      <c r="CT385" s="243"/>
      <c r="CU385" s="243"/>
      <c r="CV385" s="243"/>
      <c r="CW385" s="243"/>
      <c r="CX385" s="243"/>
      <c r="CY385" s="243"/>
      <c r="CZ385" s="243"/>
      <c r="DA385" s="243"/>
      <c r="DB385" s="243"/>
      <c r="DC385" s="243"/>
      <c r="DD385" s="243"/>
      <c r="DE385" s="243"/>
      <c r="DF385" s="243"/>
      <c r="DG385" s="243"/>
      <c r="DH385" s="243"/>
      <c r="DI385" s="243"/>
      <c r="DJ385" s="243"/>
      <c r="DK385" s="243"/>
      <c r="DM385" s="242"/>
      <c r="DO385" s="243"/>
      <c r="DQ385" s="242"/>
      <c r="DS385" s="243"/>
      <c r="DU385" s="242"/>
      <c r="DW385" s="243"/>
      <c r="DY385" s="242"/>
      <c r="EA385" s="243"/>
    </row>
    <row r="386" spans="1:131">
      <c r="A386" s="20"/>
      <c r="B386" s="124" t="str">
        <f t="shared" si="358"/>
        <v/>
      </c>
      <c r="C386" s="235"/>
      <c r="D386" s="24">
        <f>'1% Wind'!$M$88</f>
        <v>10.1</v>
      </c>
      <c r="E386" s="90"/>
      <c r="F386" s="90"/>
      <c r="G386" s="79" t="e">
        <f ca="1">IF(I379=0.9743,$G385,MAX(G385/D385*D386,2))</f>
        <v>#REF!</v>
      </c>
      <c r="H386" s="121" t="e">
        <f t="shared" ca="1" si="359"/>
        <v>#REF!</v>
      </c>
      <c r="J386" s="33"/>
      <c r="K386" s="242">
        <f t="shared" si="360"/>
        <v>1</v>
      </c>
      <c r="L386" s="241" t="e">
        <f t="shared" ca="1" si="361"/>
        <v>#REF!</v>
      </c>
      <c r="M386" s="243" t="e">
        <f ca="1">IF(AND(INDEX(FlowCalConstA,MATCH(J379,FlowCalNumber,0),1,1)*L386^INDEX(FlowCalConstB,MATCH(J379,FlowCalNumber,0),1,1)&gt;INDEX(FlowCalLowSetting,MATCH(J379,FlowCalNumber,0),1,1), (INDEX(FlowCalConstA,MATCH(J379,FlowCalNumber,0),1,1)*L386^INDEX(FlowCalConstB,MATCH(J379,FlowCalNumber,0),1,1)&lt;INDEX(FlowCalHighSetting,MATCH(J379,FlowCalNumber,0),1,1))),INDEX(FlowCalConstA,MATCH(J379,FlowCalNumber,0),1,1)*L386^INDEX(FlowCalConstB,MATCH(J379,FlowCalNumber,0),1,1)," ")</f>
        <v>#REF!</v>
      </c>
      <c r="N386" s="33"/>
      <c r="O386" s="242">
        <f t="shared" si="362"/>
        <v>1</v>
      </c>
      <c r="P386" s="241" t="e">
        <f t="shared" ca="1" si="363"/>
        <v>#REF!</v>
      </c>
      <c r="Q386" s="243" t="e">
        <f ca="1">IF(AND(INDEX(FlowCalConstA,MATCH(N379,FlowCalNumber,0),1,1)*P386^INDEX(FlowCalConstB,MATCH(N379,FlowCalNumber,0),1,1)&gt;INDEX(FlowCalLowSetting,MATCH(N379,FlowCalNumber,0),1,1), (INDEX(FlowCalConstA,MATCH(N379,FlowCalNumber,0),1,1)*P386^INDEX(FlowCalConstB,MATCH(N379,FlowCalNumber,0),1,1)&lt;INDEX(FlowCalHighSetting,MATCH(N379,FlowCalNumber,0),1,1))),INDEX(FlowCalConstA,MATCH(N379,FlowCalNumber,0),1,1)*P386^INDEX(FlowCalConstB,MATCH(N379,FlowCalNumber,0),1,1)," ")</f>
        <v>#REF!</v>
      </c>
      <c r="R386" s="33"/>
      <c r="S386" s="242">
        <f t="shared" si="364"/>
        <v>1</v>
      </c>
      <c r="T386" s="241" t="e">
        <f t="shared" ca="1" si="365"/>
        <v>#REF!</v>
      </c>
      <c r="U386" s="244" t="e">
        <f ca="1">IF(AND(INDEX(FlowCalConstA,MATCH(R379,FlowCalNumber,0),1,1)*T386^INDEX(FlowCalConstB,MATCH(R379,FlowCalNumber,0),1,1)&gt;INDEX(FlowCalLowSetting,MATCH(R379,FlowCalNumber,0),1,1), (INDEX(FlowCalConstA,MATCH(R379,FlowCalNumber,0),1,1)*T386^INDEX(FlowCalConstB,MATCH(R379,FlowCalNumber,0),1,1)&lt;INDEX(FlowCalHighSetting,MATCH(R379,FlowCalNumber,0),1,1))),INDEX(FlowCalConstA,MATCH(R379,FlowCalNumber,0),1,1)*T386^INDEX(FlowCalConstB,MATCH(R379,FlowCalNumber,0),1,1)," ")</f>
        <v>#REF!</v>
      </c>
      <c r="V386" s="33"/>
      <c r="W386" s="242">
        <f t="shared" si="366"/>
        <v>0.1</v>
      </c>
      <c r="X386" s="241" t="e">
        <f t="shared" ca="1" si="367"/>
        <v>#REF!</v>
      </c>
      <c r="Y386" s="243" t="e">
        <f ca="1">IF(AND(INDEX(FlowCalConstA,MATCH(V379,FlowCalNumber,0),1,1)*X386^INDEX(FlowCalConstB,MATCH(V379,FlowCalNumber,0),1,1)&gt;INDEX(FlowCalLowSetting,MATCH(V379,FlowCalNumber,0),1,1), (INDEX(FlowCalConstA,MATCH(V379,FlowCalNumber,0),1,1)*X386^INDEX(FlowCalConstB,MATCH(V379,FlowCalNumber,0),1,1)&lt;INDEX(FlowCalHighSetting,MATCH(V379,FlowCalNumber,0),1,1))),INDEX(FlowCalConstA,MATCH(V379,FlowCalNumber,0),1,1)*X386^INDEX(FlowCalConstB,MATCH(V379,FlowCalNumber,0),1,1)," ")</f>
        <v>#REF!</v>
      </c>
      <c r="Z386" s="33"/>
      <c r="AA386" s="242">
        <f t="shared" si="368"/>
        <v>0.9</v>
      </c>
      <c r="AB386" s="241" t="e">
        <f t="shared" ca="1" si="369"/>
        <v>#REF!</v>
      </c>
      <c r="AC386" s="243" t="e">
        <f ca="1">IF(AND(INDEX(FlowCalConstA,MATCH(Z379,FlowCalNumber,0),1,1)*AB386^INDEX(FlowCalConstB,MATCH(Z379,FlowCalNumber,0),1,1)&gt;INDEX(FlowCalLowSetting,MATCH(Z379,FlowCalNumber,0),1,1), (INDEX(FlowCalConstA,MATCH(Z379,FlowCalNumber,0),1,1)*AB386^INDEX(FlowCalConstB,MATCH(Z379,FlowCalNumber,0),1,1)&lt;INDEX(FlowCalHighSetting,MATCH(Z379,FlowCalNumber,0),1,1))),INDEX(FlowCalConstA,MATCH(Z379,FlowCalNumber,0),1,1)*AB386^INDEX(FlowCalConstB,MATCH(Z379,FlowCalNumber,0),1,1)," ")</f>
        <v>#REF!</v>
      </c>
      <c r="AD386" s="33"/>
      <c r="AE386" s="242">
        <f t="shared" si="370"/>
        <v>0.1</v>
      </c>
      <c r="AF386" s="241" t="e">
        <f t="shared" ca="1" si="371"/>
        <v>#REF!</v>
      </c>
      <c r="AG386" s="243" t="e">
        <f ca="1">IF(AND(INDEX(FlowCalConstA,MATCH(AD379,FlowCalNumber,0),1,1)*AF386^INDEX(FlowCalConstB,MATCH(AD379,FlowCalNumber,0),1,1)&gt;INDEX(FlowCalLowSetting,MATCH(AD379,FlowCalNumber,0),1,1), (INDEX(FlowCalConstA,MATCH(AD379,FlowCalNumber,0),1,1)*AF386^INDEX(FlowCalConstB,MATCH(AD379,FlowCalNumber,0),1,1)&lt;INDEX(FlowCalHighSetting,MATCH(AD379,FlowCalNumber,0),1,1))),INDEX(FlowCalConstA,MATCH(AD379,FlowCalNumber,0),1,1)*AF386^INDEX(FlowCalConstB,MATCH(AD379,FlowCalNumber,0),1,1)," ")</f>
        <v>#REF!</v>
      </c>
      <c r="AH386" s="33"/>
      <c r="AI386" s="242">
        <f t="shared" si="372"/>
        <v>0.9</v>
      </c>
      <c r="AJ386" s="241" t="e">
        <f t="shared" ca="1" si="373"/>
        <v>#REF!</v>
      </c>
      <c r="AK386" s="243" t="e">
        <f ca="1">IF(AND(INDEX(FlowCalConstA,MATCH(AH379,FlowCalNumber,0),1,1)*AJ386^INDEX(FlowCalConstB,MATCH(AH379,FlowCalNumber,0),1,1)&gt;INDEX(FlowCalLowSetting,MATCH(AH379,FlowCalNumber,0),1,1), (INDEX(FlowCalConstA,MATCH(AH379,FlowCalNumber,0),1,1)*AJ386^INDEX(FlowCalConstB,MATCH(AH379,FlowCalNumber,0),1,1)&lt;INDEX(FlowCalHighSetting,MATCH(AH379,FlowCalNumber,0),1,1))),INDEX(FlowCalConstA,MATCH(AH379,FlowCalNumber,0),1,1)*AJ386^INDEX(FlowCalConstB,MATCH(AH379,FlowCalNumber,0),1,1)," ")</f>
        <v>#REF!</v>
      </c>
      <c r="AL386" s="33"/>
      <c r="AM386" s="242"/>
      <c r="AN386" s="241"/>
      <c r="AO386" s="244"/>
      <c r="AQ386" s="242"/>
      <c r="AR386" s="241"/>
      <c r="AS386" s="244"/>
      <c r="AT386" s="33"/>
      <c r="AU386" s="242"/>
      <c r="AV386" s="241"/>
      <c r="AW386" s="244"/>
      <c r="AX386" s="33"/>
      <c r="AY386" s="242"/>
      <c r="AZ386" s="241"/>
      <c r="BA386" s="244"/>
      <c r="BB386" s="33"/>
      <c r="BC386" s="242"/>
      <c r="BD386" s="241"/>
      <c r="BE386" s="244"/>
      <c r="BF386" s="33"/>
      <c r="BG386" s="242"/>
      <c r="BH386" s="241"/>
      <c r="BI386" s="244"/>
      <c r="BJ386" s="33"/>
      <c r="BK386" s="242"/>
      <c r="BL386" s="241"/>
      <c r="BM386" s="244"/>
      <c r="BN386" s="33"/>
      <c r="BO386" s="242"/>
      <c r="BP386" s="241"/>
      <c r="BQ386" s="244"/>
      <c r="BR386" s="33"/>
      <c r="BS386" s="242"/>
      <c r="BT386" s="241"/>
      <c r="BU386" s="244"/>
      <c r="BV386" s="33"/>
      <c r="BW386" s="242"/>
      <c r="BX386" s="241"/>
      <c r="BY386" s="244"/>
      <c r="BZ386" s="33"/>
      <c r="CA386" s="242"/>
      <c r="CB386" s="241"/>
      <c r="CC386" s="244"/>
      <c r="CD386" s="243"/>
      <c r="CE386" s="243"/>
      <c r="CF386" s="243"/>
      <c r="CG386" s="243"/>
      <c r="CH386" s="243"/>
      <c r="CI386" s="243"/>
      <c r="CJ386" s="243"/>
      <c r="CK386" s="243"/>
      <c r="CL386" s="243"/>
      <c r="CM386" s="243"/>
      <c r="CN386" s="243"/>
      <c r="CO386" s="243"/>
      <c r="CP386" s="243"/>
      <c r="CQ386" s="243"/>
      <c r="CR386" s="243"/>
      <c r="CS386" s="243"/>
      <c r="CT386" s="243"/>
      <c r="CU386" s="243"/>
      <c r="CV386" s="243"/>
      <c r="CW386" s="243"/>
      <c r="CX386" s="243"/>
      <c r="CY386" s="243"/>
      <c r="CZ386" s="243"/>
      <c r="DA386" s="243"/>
      <c r="DB386" s="243"/>
      <c r="DC386" s="243"/>
      <c r="DD386" s="243"/>
      <c r="DE386" s="243"/>
      <c r="DF386" s="243"/>
      <c r="DG386" s="243"/>
      <c r="DH386" s="243"/>
      <c r="DI386" s="243"/>
      <c r="DJ386" s="243"/>
      <c r="DK386" s="243"/>
      <c r="DM386" s="242"/>
      <c r="DO386" s="243"/>
      <c r="DQ386" s="242"/>
      <c r="DS386" s="243"/>
      <c r="DU386" s="242"/>
      <c r="DW386" s="243"/>
      <c r="DY386" s="242"/>
      <c r="EA386" s="243"/>
    </row>
    <row r="387" spans="1:131">
      <c r="A387" s="20"/>
      <c r="B387" s="124" t="str">
        <f t="shared" si="358"/>
        <v/>
      </c>
      <c r="C387" s="235"/>
      <c r="D387" s="24">
        <f>'1% Wind'!$M$89</f>
        <v>7.6</v>
      </c>
      <c r="E387" s="90"/>
      <c r="F387" s="90"/>
      <c r="G387" s="79" t="e">
        <f ca="1">IF(I379=0.9743,$G386,MAX(G386/D386*D387,2))</f>
        <v>#REF!</v>
      </c>
      <c r="H387" s="121" t="e">
        <f t="shared" ca="1" si="359"/>
        <v>#REF!</v>
      </c>
      <c r="J387" s="33"/>
      <c r="K387" s="242">
        <f t="shared" si="360"/>
        <v>1</v>
      </c>
      <c r="L387" s="241" t="e">
        <f t="shared" ca="1" si="361"/>
        <v>#REF!</v>
      </c>
      <c r="M387" s="243" t="e">
        <f ca="1">IF(AND(INDEX(FlowCalConstA,MATCH(J379,FlowCalNumber,0),1,1)*L387^INDEX(FlowCalConstB,MATCH(J379,FlowCalNumber,0),1,1)&gt;INDEX(FlowCalLowSetting,MATCH(J379,FlowCalNumber,0),1,1), (INDEX(FlowCalConstA,MATCH(J379,FlowCalNumber,0),1,1)*L387^INDEX(FlowCalConstB,MATCH(J379,FlowCalNumber,0),1,1)&lt;INDEX(FlowCalHighSetting,MATCH(J379,FlowCalNumber,0),1,1))),INDEX(FlowCalConstA,MATCH(J379,FlowCalNumber,0),1,1)*L387^INDEX(FlowCalConstB,MATCH(J379,FlowCalNumber,0),1,1)," ")</f>
        <v>#REF!</v>
      </c>
      <c r="N387" s="33"/>
      <c r="O387" s="242">
        <f t="shared" si="362"/>
        <v>1</v>
      </c>
      <c r="P387" s="241" t="e">
        <f t="shared" ca="1" si="363"/>
        <v>#REF!</v>
      </c>
      <c r="Q387" s="243" t="e">
        <f ca="1">IF(AND(INDEX(FlowCalConstA,MATCH(N379,FlowCalNumber,0),1,1)*P387^INDEX(FlowCalConstB,MATCH(N379,FlowCalNumber,0),1,1)&gt;INDEX(FlowCalLowSetting,MATCH(N379,FlowCalNumber,0),1,1), (INDEX(FlowCalConstA,MATCH(N379,FlowCalNumber,0),1,1)*P387^INDEX(FlowCalConstB,MATCH(N379,FlowCalNumber,0),1,1)&lt;INDEX(FlowCalHighSetting,MATCH(N379,FlowCalNumber,0),1,1))),INDEX(FlowCalConstA,MATCH(N379,FlowCalNumber,0),1,1)*P387^INDEX(FlowCalConstB,MATCH(N379,FlowCalNumber,0),1,1)," ")</f>
        <v>#REF!</v>
      </c>
      <c r="R387" s="33"/>
      <c r="S387" s="242">
        <f t="shared" si="364"/>
        <v>1</v>
      </c>
      <c r="T387" s="241" t="e">
        <f t="shared" ca="1" si="365"/>
        <v>#REF!</v>
      </c>
      <c r="U387" s="244" t="e">
        <f ca="1">IF(AND(INDEX(FlowCalConstA,MATCH(R379,FlowCalNumber,0),1,1)*T387^INDEX(FlowCalConstB,MATCH(R379,FlowCalNumber,0),1,1)&gt;INDEX(FlowCalLowSetting,MATCH(R379,FlowCalNumber,0),1,1), (INDEX(FlowCalConstA,MATCH(R379,FlowCalNumber,0),1,1)*T387^INDEX(FlowCalConstB,MATCH(R379,FlowCalNumber,0),1,1)&lt;INDEX(FlowCalHighSetting,MATCH(R379,FlowCalNumber,0),1,1))),INDEX(FlowCalConstA,MATCH(R379,FlowCalNumber,0),1,1)*T387^INDEX(FlowCalConstB,MATCH(R379,FlowCalNumber,0),1,1)," ")</f>
        <v>#REF!</v>
      </c>
      <c r="V387" s="33"/>
      <c r="W387" s="242">
        <f t="shared" si="366"/>
        <v>0.1</v>
      </c>
      <c r="X387" s="241" t="e">
        <f t="shared" ca="1" si="367"/>
        <v>#REF!</v>
      </c>
      <c r="Y387" s="243" t="e">
        <f ca="1">IF(AND(INDEX(FlowCalConstA,MATCH(V379,FlowCalNumber,0),1,1)*X387^INDEX(FlowCalConstB,MATCH(V379,FlowCalNumber,0),1,1)&gt;INDEX(FlowCalLowSetting,MATCH(V379,FlowCalNumber,0),1,1), (INDEX(FlowCalConstA,MATCH(V379,FlowCalNumber,0),1,1)*X387^INDEX(FlowCalConstB,MATCH(V379,FlowCalNumber,0),1,1)&lt;INDEX(FlowCalHighSetting,MATCH(V379,FlowCalNumber,0),1,1))),INDEX(FlowCalConstA,MATCH(V379,FlowCalNumber,0),1,1)*X387^INDEX(FlowCalConstB,MATCH(V379,FlowCalNumber,0),1,1)," ")</f>
        <v>#REF!</v>
      </c>
      <c r="Z387" s="33"/>
      <c r="AA387" s="242">
        <f t="shared" si="368"/>
        <v>0.9</v>
      </c>
      <c r="AB387" s="241" t="e">
        <f t="shared" ca="1" si="369"/>
        <v>#REF!</v>
      </c>
      <c r="AC387" s="243" t="e">
        <f ca="1">IF(AND(INDEX(FlowCalConstA,MATCH(Z379,FlowCalNumber,0),1,1)*AB387^INDEX(FlowCalConstB,MATCH(Z379,FlowCalNumber,0),1,1)&gt;INDEX(FlowCalLowSetting,MATCH(Z379,FlowCalNumber,0),1,1), (INDEX(FlowCalConstA,MATCH(Z379,FlowCalNumber,0),1,1)*AB387^INDEX(FlowCalConstB,MATCH(Z379,FlowCalNumber,0),1,1)&lt;INDEX(FlowCalHighSetting,MATCH(Z379,FlowCalNumber,0),1,1))),INDEX(FlowCalConstA,MATCH(Z379,FlowCalNumber,0),1,1)*AB387^INDEX(FlowCalConstB,MATCH(Z379,FlowCalNumber,0),1,1)," ")</f>
        <v>#REF!</v>
      </c>
      <c r="AD387" s="33"/>
      <c r="AE387" s="242">
        <f t="shared" si="370"/>
        <v>0.1</v>
      </c>
      <c r="AF387" s="241" t="e">
        <f t="shared" ca="1" si="371"/>
        <v>#REF!</v>
      </c>
      <c r="AG387" s="243" t="e">
        <f ca="1">IF(AND(INDEX(FlowCalConstA,MATCH(AD379,FlowCalNumber,0),1,1)*AF387^INDEX(FlowCalConstB,MATCH(AD379,FlowCalNumber,0),1,1)&gt;INDEX(FlowCalLowSetting,MATCH(AD379,FlowCalNumber,0),1,1), (INDEX(FlowCalConstA,MATCH(AD379,FlowCalNumber,0),1,1)*AF387^INDEX(FlowCalConstB,MATCH(AD379,FlowCalNumber,0),1,1)&lt;INDEX(FlowCalHighSetting,MATCH(AD379,FlowCalNumber,0),1,1))),INDEX(FlowCalConstA,MATCH(AD379,FlowCalNumber,0),1,1)*AF387^INDEX(FlowCalConstB,MATCH(AD379,FlowCalNumber,0),1,1)," ")</f>
        <v>#REF!</v>
      </c>
      <c r="AH387" s="33"/>
      <c r="AI387" s="242">
        <f t="shared" si="372"/>
        <v>0.9</v>
      </c>
      <c r="AJ387" s="241" t="e">
        <f t="shared" ca="1" si="373"/>
        <v>#REF!</v>
      </c>
      <c r="AK387" s="243" t="e">
        <f ca="1">IF(AND(INDEX(FlowCalConstA,MATCH(AH379,FlowCalNumber,0),1,1)*AJ387^INDEX(FlowCalConstB,MATCH(AH379,FlowCalNumber,0),1,1)&gt;INDEX(FlowCalLowSetting,MATCH(AH379,FlowCalNumber,0),1,1), (INDEX(FlowCalConstA,MATCH(AH379,FlowCalNumber,0),1,1)*AJ387^INDEX(FlowCalConstB,MATCH(AH379,FlowCalNumber,0),1,1)&lt;INDEX(FlowCalHighSetting,MATCH(AH379,FlowCalNumber,0),1,1))),INDEX(FlowCalConstA,MATCH(AH379,FlowCalNumber,0),1,1)*AJ387^INDEX(FlowCalConstB,MATCH(AH379,FlowCalNumber,0),1,1)," ")</f>
        <v>#REF!</v>
      </c>
      <c r="AL387" s="33"/>
      <c r="AM387" s="242"/>
      <c r="AN387" s="241"/>
      <c r="AO387" s="244"/>
      <c r="AQ387" s="242"/>
      <c r="AR387" s="241"/>
      <c r="AS387" s="244"/>
      <c r="AT387" s="33"/>
      <c r="AU387" s="242"/>
      <c r="AV387" s="241"/>
      <c r="AW387" s="244"/>
      <c r="AX387" s="33"/>
      <c r="AY387" s="242"/>
      <c r="AZ387" s="241"/>
      <c r="BA387" s="244"/>
      <c r="BB387" s="33"/>
      <c r="BC387" s="242"/>
      <c r="BD387" s="241"/>
      <c r="BE387" s="244"/>
      <c r="BF387" s="33"/>
      <c r="BG387" s="242"/>
      <c r="BH387" s="241"/>
      <c r="BI387" s="244"/>
      <c r="BJ387" s="33"/>
      <c r="BK387" s="242"/>
      <c r="BL387" s="241"/>
      <c r="BM387" s="244"/>
      <c r="BN387" s="33"/>
      <c r="BO387" s="242"/>
      <c r="BP387" s="241"/>
      <c r="BQ387" s="244"/>
      <c r="BR387" s="33"/>
      <c r="BS387" s="242"/>
      <c r="BT387" s="241"/>
      <c r="BU387" s="244"/>
      <c r="BV387" s="33"/>
      <c r="BW387" s="242"/>
      <c r="BX387" s="241"/>
      <c r="BY387" s="244"/>
      <c r="BZ387" s="33"/>
      <c r="CA387" s="242"/>
      <c r="CB387" s="241"/>
      <c r="CC387" s="244"/>
      <c r="CD387" s="243"/>
      <c r="CE387" s="243"/>
      <c r="CF387" s="243"/>
      <c r="CG387" s="243"/>
      <c r="CH387" s="243"/>
      <c r="CI387" s="243"/>
      <c r="CJ387" s="243"/>
      <c r="CK387" s="243"/>
      <c r="CL387" s="243"/>
      <c r="CM387" s="243"/>
      <c r="CN387" s="243"/>
      <c r="CO387" s="243"/>
      <c r="CP387" s="243"/>
      <c r="CQ387" s="243"/>
      <c r="CR387" s="243"/>
      <c r="CS387" s="243"/>
      <c r="CT387" s="243"/>
      <c r="CU387" s="243"/>
      <c r="CV387" s="243"/>
      <c r="CW387" s="243"/>
      <c r="CX387" s="243"/>
      <c r="CY387" s="243"/>
      <c r="CZ387" s="243"/>
      <c r="DA387" s="243"/>
      <c r="DB387" s="243"/>
      <c r="DC387" s="243"/>
      <c r="DD387" s="243"/>
      <c r="DE387" s="243"/>
      <c r="DF387" s="243"/>
      <c r="DG387" s="243"/>
      <c r="DH387" s="243"/>
      <c r="DI387" s="243"/>
      <c r="DJ387" s="243"/>
      <c r="DK387" s="243"/>
      <c r="DM387" s="242"/>
      <c r="DO387" s="243"/>
      <c r="DQ387" s="242"/>
      <c r="DS387" s="243"/>
      <c r="DU387" s="242"/>
      <c r="DW387" s="243"/>
      <c r="DY387" s="242"/>
      <c r="EA387" s="243"/>
    </row>
    <row r="388" spans="1:131">
      <c r="A388" s="20"/>
      <c r="B388" s="124" t="str">
        <f t="shared" si="358"/>
        <v/>
      </c>
      <c r="C388" s="235"/>
      <c r="D388" s="24">
        <f>'1% Wind'!$M$90</f>
        <v>5.7</v>
      </c>
      <c r="E388" s="90"/>
      <c r="F388" s="90"/>
      <c r="G388" s="79" t="e">
        <f ca="1">IF(I379=0.9743,$G387,MAX(G387/D387*D388,2))</f>
        <v>#REF!</v>
      </c>
      <c r="H388" s="121" t="e">
        <f t="shared" ca="1" si="359"/>
        <v>#REF!</v>
      </c>
      <c r="J388" s="33"/>
      <c r="K388" s="242">
        <f t="shared" si="360"/>
        <v>1</v>
      </c>
      <c r="L388" s="241" t="e">
        <f t="shared" ca="1" si="361"/>
        <v>#REF!</v>
      </c>
      <c r="M388" s="243" t="e">
        <f ca="1">IF(AND(INDEX(FlowCalConstA,MATCH(J379,FlowCalNumber,0),1,1)*L388^INDEX(FlowCalConstB,MATCH(J379,FlowCalNumber,0),1,1)&gt;INDEX(FlowCalLowSetting,MATCH(J379,FlowCalNumber,0),1,1), (INDEX(FlowCalConstA,MATCH(J379,FlowCalNumber,0),1,1)*L388^INDEX(FlowCalConstB,MATCH(J379,FlowCalNumber,0),1,1)&lt;INDEX(FlowCalHighSetting,MATCH(J379,FlowCalNumber,0),1,1))),INDEX(FlowCalConstA,MATCH(J379,FlowCalNumber,0),1,1)*L388^INDEX(FlowCalConstB,MATCH(J379,FlowCalNumber,0),1,1)," ")</f>
        <v>#REF!</v>
      </c>
      <c r="N388" s="33"/>
      <c r="O388" s="242">
        <f t="shared" si="362"/>
        <v>1</v>
      </c>
      <c r="P388" s="241" t="e">
        <f t="shared" ca="1" si="363"/>
        <v>#REF!</v>
      </c>
      <c r="Q388" s="243" t="e">
        <f ca="1">IF(AND(INDEX(FlowCalConstA,MATCH(N379,FlowCalNumber,0),1,1)*P388^INDEX(FlowCalConstB,MATCH(N379,FlowCalNumber,0),1,1)&gt;INDEX(FlowCalLowSetting,MATCH(N379,FlowCalNumber,0),1,1), (INDEX(FlowCalConstA,MATCH(N379,FlowCalNumber,0),1,1)*P388^INDEX(FlowCalConstB,MATCH(N379,FlowCalNumber,0),1,1)&lt;INDEX(FlowCalHighSetting,MATCH(N379,FlowCalNumber,0),1,1))),INDEX(FlowCalConstA,MATCH(N379,FlowCalNumber,0),1,1)*P388^INDEX(FlowCalConstB,MATCH(N379,FlowCalNumber,0),1,1)," ")</f>
        <v>#REF!</v>
      </c>
      <c r="R388" s="33"/>
      <c r="S388" s="242">
        <f t="shared" si="364"/>
        <v>1</v>
      </c>
      <c r="T388" s="241" t="e">
        <f t="shared" ca="1" si="365"/>
        <v>#REF!</v>
      </c>
      <c r="U388" s="244" t="e">
        <f ca="1">IF(AND(INDEX(FlowCalConstA,MATCH(R379,FlowCalNumber,0),1,1)*T388^INDEX(FlowCalConstB,MATCH(R379,FlowCalNumber,0),1,1)&gt;INDEX(FlowCalLowSetting,MATCH(R379,FlowCalNumber,0),1,1), (INDEX(FlowCalConstA,MATCH(R379,FlowCalNumber,0),1,1)*T388^INDEX(FlowCalConstB,MATCH(R379,FlowCalNumber,0),1,1)&lt;INDEX(FlowCalHighSetting,MATCH(R379,FlowCalNumber,0),1,1))),INDEX(FlowCalConstA,MATCH(R379,FlowCalNumber,0),1,1)*T388^INDEX(FlowCalConstB,MATCH(R379,FlowCalNumber,0),1,1)," ")</f>
        <v>#REF!</v>
      </c>
      <c r="V388" s="33"/>
      <c r="W388" s="242">
        <f t="shared" si="366"/>
        <v>0.1</v>
      </c>
      <c r="X388" s="241" t="e">
        <f t="shared" ca="1" si="367"/>
        <v>#REF!</v>
      </c>
      <c r="Y388" s="243" t="e">
        <f ca="1">IF(AND(INDEX(FlowCalConstA,MATCH(V379,FlowCalNumber,0),1,1)*X388^INDEX(FlowCalConstB,MATCH(V379,FlowCalNumber,0),1,1)&gt;INDEX(FlowCalLowSetting,MATCH(V379,FlowCalNumber,0),1,1), (INDEX(FlowCalConstA,MATCH(V379,FlowCalNumber,0),1,1)*X388^INDEX(FlowCalConstB,MATCH(V379,FlowCalNumber,0),1,1)&lt;INDEX(FlowCalHighSetting,MATCH(V379,FlowCalNumber,0),1,1))),INDEX(FlowCalConstA,MATCH(V379,FlowCalNumber,0),1,1)*X388^INDEX(FlowCalConstB,MATCH(V379,FlowCalNumber,0),1,1)," ")</f>
        <v>#REF!</v>
      </c>
      <c r="Z388" s="33"/>
      <c r="AA388" s="242">
        <f t="shared" si="368"/>
        <v>0.9</v>
      </c>
      <c r="AB388" s="241" t="e">
        <f t="shared" ca="1" si="369"/>
        <v>#REF!</v>
      </c>
      <c r="AC388" s="243" t="e">
        <f ca="1">IF(AND(INDEX(FlowCalConstA,MATCH(Z379,FlowCalNumber,0),1,1)*AB388^INDEX(FlowCalConstB,MATCH(Z379,FlowCalNumber,0),1,1)&gt;INDEX(FlowCalLowSetting,MATCH(Z379,FlowCalNumber,0),1,1), (INDEX(FlowCalConstA,MATCH(Z379,FlowCalNumber,0),1,1)*AB388^INDEX(FlowCalConstB,MATCH(Z379,FlowCalNumber,0),1,1)&lt;INDEX(FlowCalHighSetting,MATCH(Z379,FlowCalNumber,0),1,1))),INDEX(FlowCalConstA,MATCH(Z379,FlowCalNumber,0),1,1)*AB388^INDEX(FlowCalConstB,MATCH(Z379,FlowCalNumber,0),1,1)," ")</f>
        <v>#REF!</v>
      </c>
      <c r="AD388" s="33"/>
      <c r="AE388" s="242">
        <f t="shared" si="370"/>
        <v>0.1</v>
      </c>
      <c r="AF388" s="241" t="e">
        <f t="shared" ca="1" si="371"/>
        <v>#REF!</v>
      </c>
      <c r="AG388" s="243" t="e">
        <f ca="1">IF(AND(INDEX(FlowCalConstA,MATCH(AD379,FlowCalNumber,0),1,1)*AF388^INDEX(FlowCalConstB,MATCH(AD379,FlowCalNumber,0),1,1)&gt;INDEX(FlowCalLowSetting,MATCH(AD379,FlowCalNumber,0),1,1), (INDEX(FlowCalConstA,MATCH(AD379,FlowCalNumber,0),1,1)*AF388^INDEX(FlowCalConstB,MATCH(AD379,FlowCalNumber,0),1,1)&lt;INDEX(FlowCalHighSetting,MATCH(AD379,FlowCalNumber,0),1,1))),INDEX(FlowCalConstA,MATCH(AD379,FlowCalNumber,0),1,1)*AF388^INDEX(FlowCalConstB,MATCH(AD379,FlowCalNumber,0),1,1)," ")</f>
        <v>#REF!</v>
      </c>
      <c r="AH388" s="33"/>
      <c r="AI388" s="242">
        <f t="shared" si="372"/>
        <v>0.9</v>
      </c>
      <c r="AJ388" s="241" t="e">
        <f t="shared" ca="1" si="373"/>
        <v>#REF!</v>
      </c>
      <c r="AK388" s="243" t="e">
        <f ca="1">IF(AND(INDEX(FlowCalConstA,MATCH(AH379,FlowCalNumber,0),1,1)*AJ388^INDEX(FlowCalConstB,MATCH(AH379,FlowCalNumber,0),1,1)&gt;INDEX(FlowCalLowSetting,MATCH(AH379,FlowCalNumber,0),1,1), (INDEX(FlowCalConstA,MATCH(AH379,FlowCalNumber,0),1,1)*AJ388^INDEX(FlowCalConstB,MATCH(AH379,FlowCalNumber,0),1,1)&lt;INDEX(FlowCalHighSetting,MATCH(AH379,FlowCalNumber,0),1,1))),INDEX(FlowCalConstA,MATCH(AH379,FlowCalNumber,0),1,1)*AJ388^INDEX(FlowCalConstB,MATCH(AH379,FlowCalNumber,0),1,1)," ")</f>
        <v>#REF!</v>
      </c>
      <c r="AL388" s="33"/>
      <c r="AM388" s="242"/>
      <c r="AN388" s="241"/>
      <c r="AO388" s="244"/>
      <c r="AQ388" s="242"/>
      <c r="AR388" s="241"/>
      <c r="AS388" s="244"/>
      <c r="AT388" s="33"/>
      <c r="AU388" s="242"/>
      <c r="AV388" s="241"/>
      <c r="AW388" s="244"/>
      <c r="AX388" s="33"/>
      <c r="AY388" s="242"/>
      <c r="AZ388" s="241"/>
      <c r="BA388" s="244"/>
      <c r="BB388" s="33"/>
      <c r="BC388" s="242"/>
      <c r="BD388" s="241"/>
      <c r="BE388" s="244"/>
      <c r="BF388" s="33"/>
      <c r="BG388" s="242"/>
      <c r="BH388" s="241"/>
      <c r="BI388" s="244"/>
      <c r="BJ388" s="33"/>
      <c r="BK388" s="242"/>
      <c r="BL388" s="241"/>
      <c r="BM388" s="244"/>
      <c r="BN388" s="33"/>
      <c r="BO388" s="242"/>
      <c r="BP388" s="241"/>
      <c r="BQ388" s="244"/>
      <c r="BR388" s="33"/>
      <c r="BS388" s="242"/>
      <c r="BT388" s="241"/>
      <c r="BU388" s="244"/>
      <c r="BV388" s="33"/>
      <c r="BW388" s="242"/>
      <c r="BX388" s="241"/>
      <c r="BY388" s="244"/>
      <c r="BZ388" s="33"/>
      <c r="CA388" s="242"/>
      <c r="CB388" s="241"/>
      <c r="CC388" s="244"/>
      <c r="CD388" s="243"/>
      <c r="CE388" s="243"/>
      <c r="CF388" s="243"/>
      <c r="CG388" s="243"/>
      <c r="CH388" s="243"/>
      <c r="CI388" s="243"/>
      <c r="CJ388" s="243"/>
      <c r="CK388" s="243"/>
      <c r="CL388" s="243"/>
      <c r="CM388" s="243"/>
      <c r="CN388" s="243"/>
      <c r="CO388" s="243"/>
      <c r="CP388" s="243"/>
      <c r="CQ388" s="243"/>
      <c r="CR388" s="243"/>
      <c r="CS388" s="243"/>
      <c r="CT388" s="243"/>
      <c r="CU388" s="243"/>
      <c r="CV388" s="243"/>
      <c r="CW388" s="243"/>
      <c r="CX388" s="243"/>
      <c r="CY388" s="243"/>
      <c r="CZ388" s="243"/>
      <c r="DA388" s="243"/>
      <c r="DB388" s="243"/>
      <c r="DC388" s="243"/>
      <c r="DD388" s="243"/>
      <c r="DE388" s="243"/>
      <c r="DF388" s="243"/>
      <c r="DG388" s="243"/>
      <c r="DH388" s="243"/>
      <c r="DI388" s="243"/>
      <c r="DJ388" s="243"/>
      <c r="DK388" s="243"/>
      <c r="DM388" s="242"/>
      <c r="DO388" s="243"/>
      <c r="DQ388" s="242"/>
      <c r="DS388" s="243"/>
      <c r="DU388" s="242"/>
      <c r="DW388" s="243"/>
      <c r="DY388" s="242"/>
      <c r="EA388" s="243"/>
    </row>
    <row r="389" spans="1:131">
      <c r="A389" s="20"/>
      <c r="B389" s="124" t="str">
        <f t="shared" si="358"/>
        <v/>
      </c>
      <c r="C389" s="235"/>
      <c r="D389" s="24">
        <f>'1% Wind'!$M$91</f>
        <v>4.2</v>
      </c>
      <c r="E389" s="90"/>
      <c r="F389" s="90"/>
      <c r="G389" s="79" t="e">
        <f ca="1">IF(I379=0.9743,$G388,MAX(G388/D388*D389,2))</f>
        <v>#REF!</v>
      </c>
      <c r="H389" s="121" t="e">
        <f t="shared" ca="1" si="359"/>
        <v>#REF!</v>
      </c>
      <c r="J389" s="33"/>
      <c r="K389" s="242">
        <f t="shared" si="360"/>
        <v>1</v>
      </c>
      <c r="L389" s="241" t="e">
        <f t="shared" ca="1" si="361"/>
        <v>#REF!</v>
      </c>
      <c r="M389" s="243" t="e">
        <f ca="1">IF(AND(INDEX(FlowCalConstA,MATCH(J379,FlowCalNumber,0),1,1)*L389^INDEX(FlowCalConstB,MATCH(J379,FlowCalNumber,0),1,1)&gt;INDEX(FlowCalLowSetting,MATCH(J379,FlowCalNumber,0),1,1), (INDEX(FlowCalConstA,MATCH(J379,FlowCalNumber,0),1,1)*L389^INDEX(FlowCalConstB,MATCH(J379,FlowCalNumber,0),1,1)&lt;INDEX(FlowCalHighSetting,MATCH(J379,FlowCalNumber,0),1,1))),INDEX(FlowCalConstA,MATCH(J379,FlowCalNumber,0),1,1)*L389^INDEX(FlowCalConstB,MATCH(J379,FlowCalNumber,0),1,1)," ")</f>
        <v>#REF!</v>
      </c>
      <c r="N389" s="33"/>
      <c r="O389" s="242">
        <f t="shared" si="362"/>
        <v>1</v>
      </c>
      <c r="P389" s="241" t="e">
        <f t="shared" ca="1" si="363"/>
        <v>#REF!</v>
      </c>
      <c r="Q389" s="243" t="e">
        <f ca="1">IF(AND(INDEX(FlowCalConstA,MATCH(N379,FlowCalNumber,0),1,1)*P389^INDEX(FlowCalConstB,MATCH(N379,FlowCalNumber,0),1,1)&gt;INDEX(FlowCalLowSetting,MATCH(N379,FlowCalNumber,0),1,1), (INDEX(FlowCalConstA,MATCH(N379,FlowCalNumber,0),1,1)*P389^INDEX(FlowCalConstB,MATCH(N379,FlowCalNumber,0),1,1)&lt;INDEX(FlowCalHighSetting,MATCH(N379,FlowCalNumber,0),1,1))),INDEX(FlowCalConstA,MATCH(N379,FlowCalNumber,0),1,1)*P389^INDEX(FlowCalConstB,MATCH(N379,FlowCalNumber,0),1,1)," ")</f>
        <v>#REF!</v>
      </c>
      <c r="R389" s="33"/>
      <c r="S389" s="242">
        <f t="shared" si="364"/>
        <v>1</v>
      </c>
      <c r="T389" s="241" t="e">
        <f t="shared" ca="1" si="365"/>
        <v>#REF!</v>
      </c>
      <c r="U389" s="244" t="e">
        <f ca="1">IF(AND(INDEX(FlowCalConstA,MATCH(R379,FlowCalNumber,0),1,1)*T389^INDEX(FlowCalConstB,MATCH(R379,FlowCalNumber,0),1,1)&gt;INDEX(FlowCalLowSetting,MATCH(R379,FlowCalNumber,0),1,1), (INDEX(FlowCalConstA,MATCH(R379,FlowCalNumber,0),1,1)*T389^INDEX(FlowCalConstB,MATCH(R379,FlowCalNumber,0),1,1)&lt;INDEX(FlowCalHighSetting,MATCH(R379,FlowCalNumber,0),1,1))),INDEX(FlowCalConstA,MATCH(R379,FlowCalNumber,0),1,1)*T389^INDEX(FlowCalConstB,MATCH(R379,FlowCalNumber,0),1,1)," ")</f>
        <v>#REF!</v>
      </c>
      <c r="V389" s="33"/>
      <c r="W389" s="242">
        <f t="shared" si="366"/>
        <v>0.1</v>
      </c>
      <c r="X389" s="241" t="e">
        <f t="shared" ca="1" si="367"/>
        <v>#REF!</v>
      </c>
      <c r="Y389" s="243" t="e">
        <f ca="1">IF(AND(INDEX(FlowCalConstA,MATCH(V379,FlowCalNumber,0),1,1)*X389^INDEX(FlowCalConstB,MATCH(V379,FlowCalNumber,0),1,1)&gt;INDEX(FlowCalLowSetting,MATCH(V379,FlowCalNumber,0),1,1), (INDEX(FlowCalConstA,MATCH(V379,FlowCalNumber,0),1,1)*X389^INDEX(FlowCalConstB,MATCH(V379,FlowCalNumber,0),1,1)&lt;INDEX(FlowCalHighSetting,MATCH(V379,FlowCalNumber,0),1,1))),INDEX(FlowCalConstA,MATCH(V379,FlowCalNumber,0),1,1)*X389^INDEX(FlowCalConstB,MATCH(V379,FlowCalNumber,0),1,1)," ")</f>
        <v>#REF!</v>
      </c>
      <c r="Z389" s="33"/>
      <c r="AA389" s="242">
        <f t="shared" si="368"/>
        <v>0.9</v>
      </c>
      <c r="AB389" s="241" t="e">
        <f t="shared" ca="1" si="369"/>
        <v>#REF!</v>
      </c>
      <c r="AC389" s="243" t="e">
        <f ca="1">IF(AND(INDEX(FlowCalConstA,MATCH(Z379,FlowCalNumber,0),1,1)*AB389^INDEX(FlowCalConstB,MATCH(Z379,FlowCalNumber,0),1,1)&gt;INDEX(FlowCalLowSetting,MATCH(Z379,FlowCalNumber,0),1,1), (INDEX(FlowCalConstA,MATCH(Z379,FlowCalNumber,0),1,1)*AB389^INDEX(FlowCalConstB,MATCH(Z379,FlowCalNumber,0),1,1)&lt;INDEX(FlowCalHighSetting,MATCH(Z379,FlowCalNumber,0),1,1))),INDEX(FlowCalConstA,MATCH(Z379,FlowCalNumber,0),1,1)*AB389^INDEX(FlowCalConstB,MATCH(Z379,FlowCalNumber,0),1,1)," ")</f>
        <v>#REF!</v>
      </c>
      <c r="AD389" s="33"/>
      <c r="AE389" s="242">
        <f t="shared" si="370"/>
        <v>0.1</v>
      </c>
      <c r="AF389" s="241" t="e">
        <f t="shared" ca="1" si="371"/>
        <v>#REF!</v>
      </c>
      <c r="AG389" s="243" t="e">
        <f ca="1">IF(AND(INDEX(FlowCalConstA,MATCH(AD379,FlowCalNumber,0),1,1)*AF389^INDEX(FlowCalConstB,MATCH(AD379,FlowCalNumber,0),1,1)&gt;INDEX(FlowCalLowSetting,MATCH(AD379,FlowCalNumber,0),1,1), (INDEX(FlowCalConstA,MATCH(AD379,FlowCalNumber,0),1,1)*AF389^INDEX(FlowCalConstB,MATCH(AD379,FlowCalNumber,0),1,1)&lt;INDEX(FlowCalHighSetting,MATCH(AD379,FlowCalNumber,0),1,1))),INDEX(FlowCalConstA,MATCH(AD379,FlowCalNumber,0),1,1)*AF389^INDEX(FlowCalConstB,MATCH(AD379,FlowCalNumber,0),1,1)," ")</f>
        <v>#REF!</v>
      </c>
      <c r="AH389" s="33"/>
      <c r="AI389" s="242">
        <f t="shared" si="372"/>
        <v>0.9</v>
      </c>
      <c r="AJ389" s="241" t="e">
        <f t="shared" ca="1" si="373"/>
        <v>#REF!</v>
      </c>
      <c r="AK389" s="243" t="e">
        <f ca="1">IF(AND(INDEX(FlowCalConstA,MATCH(AH379,FlowCalNumber,0),1,1)*AJ389^INDEX(FlowCalConstB,MATCH(AH379,FlowCalNumber,0),1,1)&gt;INDEX(FlowCalLowSetting,MATCH(AH379,FlowCalNumber,0),1,1), (INDEX(FlowCalConstA,MATCH(AH379,FlowCalNumber,0),1,1)*AJ389^INDEX(FlowCalConstB,MATCH(AH379,FlowCalNumber,0),1,1)&lt;INDEX(FlowCalHighSetting,MATCH(AH379,FlowCalNumber,0),1,1))),INDEX(FlowCalConstA,MATCH(AH379,FlowCalNumber,0),1,1)*AJ389^INDEX(FlowCalConstB,MATCH(AH379,FlowCalNumber,0),1,1)," ")</f>
        <v>#REF!</v>
      </c>
      <c r="AL389" s="33"/>
      <c r="AM389" s="242"/>
      <c r="AN389" s="241"/>
      <c r="AO389" s="244"/>
      <c r="AQ389" s="242"/>
      <c r="AR389" s="241"/>
      <c r="AS389" s="244"/>
      <c r="AT389" s="33"/>
      <c r="AU389" s="242"/>
      <c r="AV389" s="241"/>
      <c r="AW389" s="244"/>
      <c r="AX389" s="33"/>
      <c r="AY389" s="242"/>
      <c r="AZ389" s="241"/>
      <c r="BA389" s="244"/>
      <c r="BB389" s="33"/>
      <c r="BC389" s="242"/>
      <c r="BD389" s="241"/>
      <c r="BE389" s="244"/>
      <c r="BF389" s="33"/>
      <c r="BG389" s="242"/>
      <c r="BH389" s="241"/>
      <c r="BI389" s="244"/>
      <c r="BJ389" s="33"/>
      <c r="BK389" s="242"/>
      <c r="BL389" s="241"/>
      <c r="BM389" s="244"/>
      <c r="BN389" s="33"/>
      <c r="BO389" s="242"/>
      <c r="BP389" s="241"/>
      <c r="BQ389" s="244"/>
      <c r="BR389" s="33"/>
      <c r="BS389" s="242"/>
      <c r="BT389" s="241"/>
      <c r="BU389" s="244"/>
      <c r="BV389" s="33"/>
      <c r="BW389" s="242"/>
      <c r="BX389" s="241"/>
      <c r="BY389" s="244"/>
      <c r="BZ389" s="33"/>
      <c r="CA389" s="242"/>
      <c r="CB389" s="241"/>
      <c r="CC389" s="244"/>
      <c r="CD389" s="243"/>
      <c r="CE389" s="243"/>
      <c r="CF389" s="243"/>
      <c r="CG389" s="243"/>
      <c r="CH389" s="243"/>
      <c r="CI389" s="243"/>
      <c r="CJ389" s="243"/>
      <c r="CK389" s="243"/>
      <c r="CL389" s="243"/>
      <c r="CM389" s="243"/>
      <c r="CN389" s="243"/>
      <c r="CO389" s="243"/>
      <c r="CP389" s="243"/>
      <c r="CQ389" s="243"/>
      <c r="CR389" s="243"/>
      <c r="CS389" s="243"/>
      <c r="CT389" s="243"/>
      <c r="CU389" s="243"/>
      <c r="CV389" s="243"/>
      <c r="CW389" s="243"/>
      <c r="CX389" s="243"/>
      <c r="CY389" s="243"/>
      <c r="CZ389" s="243"/>
      <c r="DA389" s="243"/>
      <c r="DB389" s="243"/>
      <c r="DC389" s="243"/>
      <c r="DD389" s="243"/>
      <c r="DE389" s="243"/>
      <c r="DF389" s="243"/>
      <c r="DG389" s="243"/>
      <c r="DH389" s="243"/>
      <c r="DI389" s="243"/>
      <c r="DJ389" s="243"/>
      <c r="DK389" s="243"/>
      <c r="DM389" s="242"/>
      <c r="DO389" s="243"/>
      <c r="DQ389" s="242"/>
      <c r="DS389" s="243"/>
      <c r="DU389" s="242"/>
      <c r="DW389" s="243"/>
      <c r="DY389" s="242"/>
      <c r="EA389" s="243"/>
    </row>
    <row r="390" spans="1:131">
      <c r="A390" s="20"/>
      <c r="B390" s="124" t="str">
        <f t="shared" si="358"/>
        <v/>
      </c>
      <c r="C390" s="235"/>
      <c r="D390" s="24">
        <f>'1% Wind'!$M$92</f>
        <v>3.2</v>
      </c>
      <c r="E390" s="90"/>
      <c r="F390" s="90"/>
      <c r="G390" s="79" t="e">
        <f ca="1">IF(I379=0.9743,$G389,MAX(G389/D389*D390,2))</f>
        <v>#REF!</v>
      </c>
      <c r="H390" s="121" t="e">
        <f t="shared" ca="1" si="359"/>
        <v>#REF!</v>
      </c>
      <c r="J390" s="33"/>
      <c r="K390" s="242">
        <f t="shared" si="360"/>
        <v>1</v>
      </c>
      <c r="L390" s="241" t="e">
        <f t="shared" ca="1" si="361"/>
        <v>#REF!</v>
      </c>
      <c r="M390" s="243" t="e">
        <f ca="1">IF(AND(INDEX(FlowCalConstA,MATCH(J379,FlowCalNumber,0),1,1)*L390^INDEX(FlowCalConstB,MATCH(J379,FlowCalNumber,0),1,1)&gt;INDEX(FlowCalLowSetting,MATCH(J379,FlowCalNumber,0),1,1), (INDEX(FlowCalConstA,MATCH(J379,FlowCalNumber,0),1,1)*L390^INDEX(FlowCalConstB,MATCH(J379,FlowCalNumber,0),1,1)&lt;INDEX(FlowCalHighSetting,MATCH(J379,FlowCalNumber,0),1,1))),INDEX(FlowCalConstA,MATCH(J379,FlowCalNumber,0),1,1)*L390^INDEX(FlowCalConstB,MATCH(J379,FlowCalNumber,0),1,1)," ")</f>
        <v>#REF!</v>
      </c>
      <c r="N390" s="33"/>
      <c r="O390" s="242">
        <f t="shared" si="362"/>
        <v>1</v>
      </c>
      <c r="P390" s="241" t="e">
        <f t="shared" ca="1" si="363"/>
        <v>#REF!</v>
      </c>
      <c r="Q390" s="243" t="e">
        <f ca="1">IF(AND(INDEX(FlowCalConstA,MATCH(N379,FlowCalNumber,0),1,1)*P390^INDEX(FlowCalConstB,MATCH(N379,FlowCalNumber,0),1,1)&gt;INDEX(FlowCalLowSetting,MATCH(N379,FlowCalNumber,0),1,1), (INDEX(FlowCalConstA,MATCH(N379,FlowCalNumber,0),1,1)*P390^INDEX(FlowCalConstB,MATCH(N379,FlowCalNumber,0),1,1)&lt;INDEX(FlowCalHighSetting,MATCH(N379,FlowCalNumber,0),1,1))),INDEX(FlowCalConstA,MATCH(N379,FlowCalNumber,0),1,1)*P390^INDEX(FlowCalConstB,MATCH(N379,FlowCalNumber,0),1,1)," ")</f>
        <v>#REF!</v>
      </c>
      <c r="R390" s="33"/>
      <c r="S390" s="242">
        <f t="shared" si="364"/>
        <v>1</v>
      </c>
      <c r="T390" s="241" t="e">
        <f t="shared" ca="1" si="365"/>
        <v>#REF!</v>
      </c>
      <c r="U390" s="244" t="e">
        <f ca="1">IF(AND(INDEX(FlowCalConstA,MATCH(R379,FlowCalNumber,0),1,1)*T390^INDEX(FlowCalConstB,MATCH(R379,FlowCalNumber,0),1,1)&gt;INDEX(FlowCalLowSetting,MATCH(R379,FlowCalNumber,0),1,1), (INDEX(FlowCalConstA,MATCH(R379,FlowCalNumber,0),1,1)*T390^INDEX(FlowCalConstB,MATCH(R379,FlowCalNumber,0),1,1)&lt;INDEX(FlowCalHighSetting,MATCH(R379,FlowCalNumber,0),1,1))),INDEX(FlowCalConstA,MATCH(R379,FlowCalNumber,0),1,1)*T390^INDEX(FlowCalConstB,MATCH(R379,FlowCalNumber,0),1,1)," ")</f>
        <v>#REF!</v>
      </c>
      <c r="V390" s="33"/>
      <c r="W390" s="242">
        <f t="shared" si="366"/>
        <v>0.1</v>
      </c>
      <c r="X390" s="241" t="e">
        <f t="shared" ca="1" si="367"/>
        <v>#REF!</v>
      </c>
      <c r="Y390" s="243" t="e">
        <f ca="1">IF(AND(INDEX(FlowCalConstA,MATCH(V379,FlowCalNumber,0),1,1)*X390^INDEX(FlowCalConstB,MATCH(V379,FlowCalNumber,0),1,1)&gt;INDEX(FlowCalLowSetting,MATCH(V379,FlowCalNumber,0),1,1), (INDEX(FlowCalConstA,MATCH(V379,FlowCalNumber,0),1,1)*X390^INDEX(FlowCalConstB,MATCH(V379,FlowCalNumber,0),1,1)&lt;INDEX(FlowCalHighSetting,MATCH(V379,FlowCalNumber,0),1,1))),INDEX(FlowCalConstA,MATCH(V379,FlowCalNumber,0),1,1)*X390^INDEX(FlowCalConstB,MATCH(V379,FlowCalNumber,0),1,1)," ")</f>
        <v>#REF!</v>
      </c>
      <c r="Z390" s="33"/>
      <c r="AA390" s="242">
        <f t="shared" si="368"/>
        <v>0.9</v>
      </c>
      <c r="AB390" s="241" t="e">
        <f t="shared" ca="1" si="369"/>
        <v>#REF!</v>
      </c>
      <c r="AC390" s="243" t="e">
        <f ca="1">IF(AND(INDEX(FlowCalConstA,MATCH(Z379,FlowCalNumber,0),1,1)*AB390^INDEX(FlowCalConstB,MATCH(Z379,FlowCalNumber,0),1,1)&gt;INDEX(FlowCalLowSetting,MATCH(Z379,FlowCalNumber,0),1,1), (INDEX(FlowCalConstA,MATCH(Z379,FlowCalNumber,0),1,1)*AB390^INDEX(FlowCalConstB,MATCH(Z379,FlowCalNumber,0),1,1)&lt;INDEX(FlowCalHighSetting,MATCH(Z379,FlowCalNumber,0),1,1))),INDEX(FlowCalConstA,MATCH(Z379,FlowCalNumber,0),1,1)*AB390^INDEX(FlowCalConstB,MATCH(Z379,FlowCalNumber,0),1,1)," ")</f>
        <v>#REF!</v>
      </c>
      <c r="AD390" s="33"/>
      <c r="AE390" s="242">
        <f t="shared" si="370"/>
        <v>0.1</v>
      </c>
      <c r="AF390" s="241" t="e">
        <f t="shared" ca="1" si="371"/>
        <v>#REF!</v>
      </c>
      <c r="AG390" s="243" t="e">
        <f ca="1">IF(AND(INDEX(FlowCalConstA,MATCH(AD379,FlowCalNumber,0),1,1)*AF390^INDEX(FlowCalConstB,MATCH(AD379,FlowCalNumber,0),1,1)&gt;INDEX(FlowCalLowSetting,MATCH(AD379,FlowCalNumber,0),1,1), (INDEX(FlowCalConstA,MATCH(AD379,FlowCalNumber,0),1,1)*AF390^INDEX(FlowCalConstB,MATCH(AD379,FlowCalNumber,0),1,1)&lt;INDEX(FlowCalHighSetting,MATCH(AD379,FlowCalNumber,0),1,1))),INDEX(FlowCalConstA,MATCH(AD379,FlowCalNumber,0),1,1)*AF390^INDEX(FlowCalConstB,MATCH(AD379,FlowCalNumber,0),1,1)," ")</f>
        <v>#REF!</v>
      </c>
      <c r="AH390" s="33"/>
      <c r="AI390" s="242">
        <f t="shared" si="372"/>
        <v>0.9</v>
      </c>
      <c r="AJ390" s="241" t="e">
        <f t="shared" ca="1" si="373"/>
        <v>#REF!</v>
      </c>
      <c r="AK390" s="243" t="e">
        <f ca="1">IF(AND(INDEX(FlowCalConstA,MATCH(AH379,FlowCalNumber,0),1,1)*AJ390^INDEX(FlowCalConstB,MATCH(AH379,FlowCalNumber,0),1,1)&gt;INDEX(FlowCalLowSetting,MATCH(AH379,FlowCalNumber,0),1,1), (INDEX(FlowCalConstA,MATCH(AH379,FlowCalNumber,0),1,1)*AJ390^INDEX(FlowCalConstB,MATCH(AH379,FlowCalNumber,0),1,1)&lt;INDEX(FlowCalHighSetting,MATCH(AH379,FlowCalNumber,0),1,1))),INDEX(FlowCalConstA,MATCH(AH379,FlowCalNumber,0),1,1)*AJ390^INDEX(FlowCalConstB,MATCH(AH379,FlowCalNumber,0),1,1)," ")</f>
        <v>#REF!</v>
      </c>
      <c r="AL390" s="33"/>
      <c r="AM390" s="242"/>
      <c r="AN390" s="241"/>
      <c r="AO390" s="244"/>
      <c r="AQ390" s="242"/>
      <c r="AR390" s="241"/>
      <c r="AS390" s="244"/>
      <c r="AT390" s="33"/>
      <c r="AU390" s="242"/>
      <c r="AV390" s="241"/>
      <c r="AW390" s="244"/>
      <c r="AX390" s="33"/>
      <c r="AY390" s="242"/>
      <c r="AZ390" s="241"/>
      <c r="BA390" s="244"/>
      <c r="BB390" s="33"/>
      <c r="BC390" s="242"/>
      <c r="BD390" s="241"/>
      <c r="BE390" s="244"/>
      <c r="BF390" s="33"/>
      <c r="BG390" s="242"/>
      <c r="BH390" s="241"/>
      <c r="BI390" s="244"/>
      <c r="BJ390" s="33"/>
      <c r="BK390" s="242"/>
      <c r="BL390" s="241"/>
      <c r="BM390" s="244"/>
      <c r="BN390" s="33"/>
      <c r="BO390" s="242"/>
      <c r="BP390" s="241"/>
      <c r="BQ390" s="244"/>
      <c r="BR390" s="33"/>
      <c r="BS390" s="242"/>
      <c r="BT390" s="241"/>
      <c r="BU390" s="244"/>
      <c r="BV390" s="33"/>
      <c r="BW390" s="242"/>
      <c r="BX390" s="241"/>
      <c r="BY390" s="244"/>
      <c r="BZ390" s="33"/>
      <c r="CA390" s="242"/>
      <c r="CB390" s="241"/>
      <c r="CC390" s="244"/>
      <c r="CD390" s="243"/>
      <c r="CE390" s="243"/>
      <c r="CF390" s="243"/>
      <c r="CG390" s="243"/>
      <c r="CH390" s="243"/>
      <c r="CI390" s="243"/>
      <c r="CJ390" s="243"/>
      <c r="CK390" s="243"/>
      <c r="CL390" s="243"/>
      <c r="CM390" s="243"/>
      <c r="CN390" s="243"/>
      <c r="CO390" s="243"/>
      <c r="CP390" s="243"/>
      <c r="CQ390" s="243"/>
      <c r="CR390" s="243"/>
      <c r="CS390" s="243"/>
      <c r="CT390" s="243"/>
      <c r="CU390" s="243"/>
      <c r="CV390" s="243"/>
      <c r="CW390" s="243"/>
      <c r="CX390" s="243"/>
      <c r="CY390" s="243"/>
      <c r="CZ390" s="243"/>
      <c r="DA390" s="243"/>
      <c r="DB390" s="243"/>
      <c r="DC390" s="243"/>
      <c r="DD390" s="243"/>
      <c r="DE390" s="243"/>
      <c r="DF390" s="243"/>
      <c r="DG390" s="243"/>
      <c r="DH390" s="243"/>
      <c r="DI390" s="243"/>
      <c r="DJ390" s="243"/>
      <c r="DK390" s="243"/>
      <c r="DM390" s="242"/>
      <c r="DO390" s="243"/>
      <c r="DQ390" s="242"/>
      <c r="DS390" s="243"/>
      <c r="DU390" s="242"/>
      <c r="DW390" s="243"/>
      <c r="DY390" s="242"/>
      <c r="EA390" s="243"/>
    </row>
    <row r="391" spans="1:131">
      <c r="A391" s="20"/>
      <c r="B391" s="124" t="str">
        <f t="shared" si="358"/>
        <v/>
      </c>
      <c r="C391" s="235"/>
      <c r="D391" s="24">
        <f>'1% Wind'!$M$93</f>
        <v>2.4</v>
      </c>
      <c r="E391" s="90"/>
      <c r="F391" s="90"/>
      <c r="G391" s="79" t="e">
        <f ca="1">IF(I379=0.9743,$G390,MAX(G390/D390*D391,2))</f>
        <v>#REF!</v>
      </c>
      <c r="H391" s="121" t="e">
        <f t="shared" ca="1" si="359"/>
        <v>#REF!</v>
      </c>
      <c r="J391" s="33"/>
      <c r="K391" s="242">
        <f t="shared" si="360"/>
        <v>1</v>
      </c>
      <c r="L391" s="241" t="e">
        <f t="shared" ca="1" si="361"/>
        <v>#REF!</v>
      </c>
      <c r="M391" s="243" t="e">
        <f ca="1">IF(AND(INDEX(FlowCalConstA,MATCH(J379,FlowCalNumber,0),1,1)*L391^INDEX(FlowCalConstB,MATCH(J379,FlowCalNumber,0),1,1)&gt;INDEX(FlowCalLowSetting,MATCH(J379,FlowCalNumber,0),1,1), (INDEX(FlowCalConstA,MATCH(J379,FlowCalNumber,0),1,1)*L391^INDEX(FlowCalConstB,MATCH(J379,FlowCalNumber,0),1,1)&lt;INDEX(FlowCalHighSetting,MATCH(J379,FlowCalNumber,0),1,1))),INDEX(FlowCalConstA,MATCH(J379,FlowCalNumber,0),1,1)*L391^INDEX(FlowCalConstB,MATCH(J379,FlowCalNumber,0),1,1)," ")</f>
        <v>#REF!</v>
      </c>
      <c r="N391" s="33"/>
      <c r="O391" s="242">
        <f t="shared" si="362"/>
        <v>1</v>
      </c>
      <c r="P391" s="241" t="e">
        <f t="shared" ca="1" si="363"/>
        <v>#REF!</v>
      </c>
      <c r="Q391" s="243" t="e">
        <f ca="1">IF(AND(INDEX(FlowCalConstA,MATCH(N379,FlowCalNumber,0),1,1)*P391^INDEX(FlowCalConstB,MATCH(N379,FlowCalNumber,0),1,1)&gt;INDEX(FlowCalLowSetting,MATCH(N379,FlowCalNumber,0),1,1), (INDEX(FlowCalConstA,MATCH(N379,FlowCalNumber,0),1,1)*P391^INDEX(FlowCalConstB,MATCH(N379,FlowCalNumber,0),1,1)&lt;INDEX(FlowCalHighSetting,MATCH(N379,FlowCalNumber,0),1,1))),INDEX(FlowCalConstA,MATCH(N379,FlowCalNumber,0),1,1)*P391^INDEX(FlowCalConstB,MATCH(N379,FlowCalNumber,0),1,1)," ")</f>
        <v>#REF!</v>
      </c>
      <c r="R391" s="33"/>
      <c r="S391" s="242">
        <f t="shared" si="364"/>
        <v>1</v>
      </c>
      <c r="T391" s="241" t="e">
        <f t="shared" ca="1" si="365"/>
        <v>#REF!</v>
      </c>
      <c r="U391" s="244" t="e">
        <f ca="1">IF(AND(INDEX(FlowCalConstA,MATCH(R379,FlowCalNumber,0),1,1)*T391^INDEX(FlowCalConstB,MATCH(R379,FlowCalNumber,0),1,1)&gt;INDEX(FlowCalLowSetting,MATCH(R379,FlowCalNumber,0),1,1), (INDEX(FlowCalConstA,MATCH(R379,FlowCalNumber,0),1,1)*T391^INDEX(FlowCalConstB,MATCH(R379,FlowCalNumber,0),1,1)&lt;INDEX(FlowCalHighSetting,MATCH(R379,FlowCalNumber,0),1,1))),INDEX(FlowCalConstA,MATCH(R379,FlowCalNumber,0),1,1)*T391^INDEX(FlowCalConstB,MATCH(R379,FlowCalNumber,0),1,1)," ")</f>
        <v>#REF!</v>
      </c>
      <c r="V391" s="33"/>
      <c r="W391" s="242">
        <f t="shared" si="366"/>
        <v>0.1</v>
      </c>
      <c r="X391" s="241" t="e">
        <f t="shared" ca="1" si="367"/>
        <v>#REF!</v>
      </c>
      <c r="Y391" s="243" t="e">
        <f ca="1">IF(AND(INDEX(FlowCalConstA,MATCH(V379,FlowCalNumber,0),1,1)*X391^INDEX(FlowCalConstB,MATCH(V379,FlowCalNumber,0),1,1)&gt;INDEX(FlowCalLowSetting,MATCH(V379,FlowCalNumber,0),1,1), (INDEX(FlowCalConstA,MATCH(V379,FlowCalNumber,0),1,1)*X391^INDEX(FlowCalConstB,MATCH(V379,FlowCalNumber,0),1,1)&lt;INDEX(FlowCalHighSetting,MATCH(V379,FlowCalNumber,0),1,1))),INDEX(FlowCalConstA,MATCH(V379,FlowCalNumber,0),1,1)*X391^INDEX(FlowCalConstB,MATCH(V379,FlowCalNumber,0),1,1)," ")</f>
        <v>#REF!</v>
      </c>
      <c r="Z391" s="33"/>
      <c r="AA391" s="242">
        <f t="shared" si="368"/>
        <v>0.9</v>
      </c>
      <c r="AB391" s="241" t="e">
        <f t="shared" ca="1" si="369"/>
        <v>#REF!</v>
      </c>
      <c r="AC391" s="243" t="e">
        <f ca="1">IF(AND(INDEX(FlowCalConstA,MATCH(Z379,FlowCalNumber,0),1,1)*AB391^INDEX(FlowCalConstB,MATCH(Z379,FlowCalNumber,0),1,1)&gt;INDEX(FlowCalLowSetting,MATCH(Z379,FlowCalNumber,0),1,1), (INDEX(FlowCalConstA,MATCH(Z379,FlowCalNumber,0),1,1)*AB391^INDEX(FlowCalConstB,MATCH(Z379,FlowCalNumber,0),1,1)&lt;INDEX(FlowCalHighSetting,MATCH(Z379,FlowCalNumber,0),1,1))),INDEX(FlowCalConstA,MATCH(Z379,FlowCalNumber,0),1,1)*AB391^INDEX(FlowCalConstB,MATCH(Z379,FlowCalNumber,0),1,1)," ")</f>
        <v>#REF!</v>
      </c>
      <c r="AD391" s="33"/>
      <c r="AE391" s="242">
        <f t="shared" si="370"/>
        <v>0.1</v>
      </c>
      <c r="AF391" s="241" t="e">
        <f t="shared" ca="1" si="371"/>
        <v>#REF!</v>
      </c>
      <c r="AG391" s="243" t="e">
        <f ca="1">IF(AND(INDEX(FlowCalConstA,MATCH(AD379,FlowCalNumber,0),1,1)*AF391^INDEX(FlowCalConstB,MATCH(AD379,FlowCalNumber,0),1,1)&gt;INDEX(FlowCalLowSetting,MATCH(AD379,FlowCalNumber,0),1,1), (INDEX(FlowCalConstA,MATCH(AD379,FlowCalNumber,0),1,1)*AF391^INDEX(FlowCalConstB,MATCH(AD379,FlowCalNumber,0),1,1)&lt;INDEX(FlowCalHighSetting,MATCH(AD379,FlowCalNumber,0),1,1))),INDEX(FlowCalConstA,MATCH(AD379,FlowCalNumber,0),1,1)*AF391^INDEX(FlowCalConstB,MATCH(AD379,FlowCalNumber,0),1,1)," ")</f>
        <v>#REF!</v>
      </c>
      <c r="AH391" s="33"/>
      <c r="AI391" s="242">
        <f t="shared" si="372"/>
        <v>0.9</v>
      </c>
      <c r="AJ391" s="241" t="e">
        <f t="shared" ca="1" si="373"/>
        <v>#REF!</v>
      </c>
      <c r="AK391" s="243" t="e">
        <f ca="1">IF(AND(INDEX(FlowCalConstA,MATCH(AH379,FlowCalNumber,0),1,1)*AJ391^INDEX(FlowCalConstB,MATCH(AH379,FlowCalNumber,0),1,1)&gt;INDEX(FlowCalLowSetting,MATCH(AH379,FlowCalNumber,0),1,1), (INDEX(FlowCalConstA,MATCH(AH379,FlowCalNumber,0),1,1)*AJ391^INDEX(FlowCalConstB,MATCH(AH379,FlowCalNumber,0),1,1)&lt;INDEX(FlowCalHighSetting,MATCH(AH379,FlowCalNumber,0),1,1))),INDEX(FlowCalConstA,MATCH(AH379,FlowCalNumber,0),1,1)*AJ391^INDEX(FlowCalConstB,MATCH(AH379,FlowCalNumber,0),1,1)," ")</f>
        <v>#REF!</v>
      </c>
      <c r="AL391" s="33"/>
      <c r="AM391" s="242"/>
      <c r="AN391" s="241"/>
      <c r="AO391" s="244"/>
      <c r="AQ391" s="242"/>
      <c r="AR391" s="241"/>
      <c r="AS391" s="244"/>
      <c r="AT391" s="33"/>
      <c r="AU391" s="242"/>
      <c r="AV391" s="241"/>
      <c r="AW391" s="244"/>
      <c r="AX391" s="33"/>
      <c r="AY391" s="242"/>
      <c r="AZ391" s="241"/>
      <c r="BA391" s="244"/>
      <c r="BB391" s="33"/>
      <c r="BC391" s="242"/>
      <c r="BD391" s="241"/>
      <c r="BE391" s="244"/>
      <c r="BF391" s="33"/>
      <c r="BG391" s="242"/>
      <c r="BH391" s="241"/>
      <c r="BI391" s="244"/>
      <c r="BJ391" s="33"/>
      <c r="BK391" s="242"/>
      <c r="BL391" s="241"/>
      <c r="BM391" s="244"/>
      <c r="BN391" s="33"/>
      <c r="BO391" s="242"/>
      <c r="BP391" s="241"/>
      <c r="BQ391" s="244"/>
      <c r="BR391" s="33"/>
      <c r="BS391" s="242"/>
      <c r="BT391" s="241"/>
      <c r="BU391" s="244"/>
      <c r="BV391" s="33"/>
      <c r="BW391" s="242"/>
      <c r="BX391" s="241"/>
      <c r="BY391" s="244"/>
      <c r="BZ391" s="33"/>
      <c r="CA391" s="242"/>
      <c r="CB391" s="241"/>
      <c r="CC391" s="244"/>
      <c r="CD391" s="243"/>
      <c r="CE391" s="243"/>
      <c r="CF391" s="243"/>
      <c r="CG391" s="243"/>
      <c r="CH391" s="243"/>
      <c r="CI391" s="243"/>
      <c r="CJ391" s="243"/>
      <c r="CK391" s="243"/>
      <c r="CL391" s="243"/>
      <c r="CM391" s="243"/>
      <c r="CN391" s="243"/>
      <c r="CO391" s="243"/>
      <c r="CP391" s="243"/>
      <c r="CQ391" s="243"/>
      <c r="CR391" s="243"/>
      <c r="CS391" s="243"/>
      <c r="CT391" s="243"/>
      <c r="CU391" s="243"/>
      <c r="CV391" s="243"/>
      <c r="CW391" s="243"/>
      <c r="CX391" s="243"/>
      <c r="CY391" s="243"/>
      <c r="CZ391" s="243"/>
      <c r="DA391" s="243"/>
      <c r="DB391" s="243"/>
      <c r="DC391" s="243"/>
      <c r="DD391" s="243"/>
      <c r="DE391" s="243"/>
      <c r="DF391" s="243"/>
      <c r="DG391" s="243"/>
      <c r="DH391" s="243"/>
      <c r="DI391" s="243"/>
      <c r="DJ391" s="243"/>
      <c r="DK391" s="243"/>
      <c r="DM391" s="242"/>
      <c r="DO391" s="243"/>
      <c r="DQ391" s="242"/>
      <c r="DS391" s="243"/>
      <c r="DU391" s="242"/>
      <c r="DW391" s="243"/>
      <c r="DY391" s="242"/>
      <c r="EA391" s="243"/>
    </row>
    <row r="392" spans="1:131">
      <c r="A392" s="20"/>
      <c r="B392" s="124" t="str">
        <f t="shared" si="358"/>
        <v/>
      </c>
      <c r="C392" s="235"/>
      <c r="D392" s="24">
        <f>'1% Wind'!$M$94</f>
        <v>1.8</v>
      </c>
      <c r="E392" s="90"/>
      <c r="F392" s="90"/>
      <c r="G392" s="79" t="e">
        <f ca="1">IF(I379=0.9743,$G391,MAX(G391/D391*D392,2))</f>
        <v>#REF!</v>
      </c>
      <c r="H392" s="121" t="e">
        <f t="shared" ca="1" si="359"/>
        <v>#REF!</v>
      </c>
      <c r="J392" s="33"/>
      <c r="K392" s="242">
        <f t="shared" si="360"/>
        <v>1</v>
      </c>
      <c r="L392" s="241" t="e">
        <f t="shared" ca="1" si="361"/>
        <v>#REF!</v>
      </c>
      <c r="M392" s="243" t="e">
        <f ca="1">IF(AND(INDEX(FlowCalConstA,MATCH(J379,FlowCalNumber,0),1,1)*L392^INDEX(FlowCalConstB,MATCH(J379,FlowCalNumber,0),1,1)&gt;INDEX(FlowCalLowSetting,MATCH(J379,FlowCalNumber,0),1,1), (INDEX(FlowCalConstA,MATCH(J379,FlowCalNumber,0),1,1)*L392^INDEX(FlowCalConstB,MATCH(J379,FlowCalNumber,0),1,1)&lt;INDEX(FlowCalHighSetting,MATCH(J379,FlowCalNumber,0),1,1))),INDEX(FlowCalConstA,MATCH(J379,FlowCalNumber,0),1,1)*L392^INDEX(FlowCalConstB,MATCH(J379,FlowCalNumber,0),1,1)," ")</f>
        <v>#REF!</v>
      </c>
      <c r="N392" s="33"/>
      <c r="O392" s="242">
        <f t="shared" si="362"/>
        <v>1</v>
      </c>
      <c r="P392" s="241" t="e">
        <f t="shared" ca="1" si="363"/>
        <v>#REF!</v>
      </c>
      <c r="Q392" s="243" t="e">
        <f ca="1">IF(AND(INDEX(FlowCalConstA,MATCH(N379,FlowCalNumber,0),1,1)*P392^INDEX(FlowCalConstB,MATCH(N379,FlowCalNumber,0),1,1)&gt;INDEX(FlowCalLowSetting,MATCH(N379,FlowCalNumber,0),1,1), (INDEX(FlowCalConstA,MATCH(N379,FlowCalNumber,0),1,1)*P392^INDEX(FlowCalConstB,MATCH(N379,FlowCalNumber,0),1,1)&lt;INDEX(FlowCalHighSetting,MATCH(N379,FlowCalNumber,0),1,1))),INDEX(FlowCalConstA,MATCH(N379,FlowCalNumber,0),1,1)*P392^INDEX(FlowCalConstB,MATCH(N379,FlowCalNumber,0),1,1)," ")</f>
        <v>#REF!</v>
      </c>
      <c r="R392" s="33"/>
      <c r="S392" s="242">
        <f t="shared" si="364"/>
        <v>1</v>
      </c>
      <c r="T392" s="241" t="e">
        <f t="shared" ca="1" si="365"/>
        <v>#REF!</v>
      </c>
      <c r="U392" s="244" t="e">
        <f ca="1">IF(AND(INDEX(FlowCalConstA,MATCH(R379,FlowCalNumber,0),1,1)*T392^INDEX(FlowCalConstB,MATCH(R379,FlowCalNumber,0),1,1)&gt;INDEX(FlowCalLowSetting,MATCH(R379,FlowCalNumber,0),1,1), (INDEX(FlowCalConstA,MATCH(R379,FlowCalNumber,0),1,1)*T392^INDEX(FlowCalConstB,MATCH(R379,FlowCalNumber,0),1,1)&lt;INDEX(FlowCalHighSetting,MATCH(R379,FlowCalNumber,0),1,1))),INDEX(FlowCalConstA,MATCH(R379,FlowCalNumber,0),1,1)*T392^INDEX(FlowCalConstB,MATCH(R379,FlowCalNumber,0),1,1)," ")</f>
        <v>#REF!</v>
      </c>
      <c r="V392" s="33"/>
      <c r="W392" s="242">
        <f t="shared" si="366"/>
        <v>0.1</v>
      </c>
      <c r="X392" s="241" t="e">
        <f t="shared" ca="1" si="367"/>
        <v>#REF!</v>
      </c>
      <c r="Y392" s="243" t="e">
        <f ca="1">IF(AND(INDEX(FlowCalConstA,MATCH(V379,FlowCalNumber,0),1,1)*X392^INDEX(FlowCalConstB,MATCH(V379,FlowCalNumber,0),1,1)&gt;INDEX(FlowCalLowSetting,MATCH(V379,FlowCalNumber,0),1,1), (INDEX(FlowCalConstA,MATCH(V379,FlowCalNumber,0),1,1)*X392^INDEX(FlowCalConstB,MATCH(V379,FlowCalNumber,0),1,1)&lt;INDEX(FlowCalHighSetting,MATCH(V379,FlowCalNumber,0),1,1))),INDEX(FlowCalConstA,MATCH(V379,FlowCalNumber,0),1,1)*X392^INDEX(FlowCalConstB,MATCH(V379,FlowCalNumber,0),1,1)," ")</f>
        <v>#REF!</v>
      </c>
      <c r="Z392" s="33"/>
      <c r="AA392" s="242">
        <f t="shared" si="368"/>
        <v>0.9</v>
      </c>
      <c r="AB392" s="241" t="e">
        <f t="shared" ca="1" si="369"/>
        <v>#REF!</v>
      </c>
      <c r="AC392" s="243" t="e">
        <f ca="1">IF(AND(INDEX(FlowCalConstA,MATCH(Z379,FlowCalNumber,0),1,1)*AB392^INDEX(FlowCalConstB,MATCH(Z379,FlowCalNumber,0),1,1)&gt;INDEX(FlowCalLowSetting,MATCH(Z379,FlowCalNumber,0),1,1), (INDEX(FlowCalConstA,MATCH(Z379,FlowCalNumber,0),1,1)*AB392^INDEX(FlowCalConstB,MATCH(Z379,FlowCalNumber,0),1,1)&lt;INDEX(FlowCalHighSetting,MATCH(Z379,FlowCalNumber,0),1,1))),INDEX(FlowCalConstA,MATCH(Z379,FlowCalNumber,0),1,1)*AB392^INDEX(FlowCalConstB,MATCH(Z379,FlowCalNumber,0),1,1)," ")</f>
        <v>#REF!</v>
      </c>
      <c r="AD392" s="33"/>
      <c r="AE392" s="242">
        <f t="shared" si="370"/>
        <v>0.1</v>
      </c>
      <c r="AF392" s="241" t="e">
        <f t="shared" ca="1" si="371"/>
        <v>#REF!</v>
      </c>
      <c r="AG392" s="243" t="e">
        <f ca="1">IF(AND(INDEX(FlowCalConstA,MATCH(AD379,FlowCalNumber,0),1,1)*AF392^INDEX(FlowCalConstB,MATCH(AD379,FlowCalNumber,0),1,1)&gt;INDEX(FlowCalLowSetting,MATCH(AD379,FlowCalNumber,0),1,1), (INDEX(FlowCalConstA,MATCH(AD379,FlowCalNumber,0),1,1)*AF392^INDEX(FlowCalConstB,MATCH(AD379,FlowCalNumber,0),1,1)&lt;INDEX(FlowCalHighSetting,MATCH(AD379,FlowCalNumber,0),1,1))),INDEX(FlowCalConstA,MATCH(AD379,FlowCalNumber,0),1,1)*AF392^INDEX(FlowCalConstB,MATCH(AD379,FlowCalNumber,0),1,1)," ")</f>
        <v>#REF!</v>
      </c>
      <c r="AH392" s="33"/>
      <c r="AI392" s="242">
        <f t="shared" si="372"/>
        <v>0.9</v>
      </c>
      <c r="AJ392" s="241" t="e">
        <f t="shared" ca="1" si="373"/>
        <v>#REF!</v>
      </c>
      <c r="AK392" s="243" t="e">
        <f ca="1">IF(AND(INDEX(FlowCalConstA,MATCH(AH379,FlowCalNumber,0),1,1)*AJ392^INDEX(FlowCalConstB,MATCH(AH379,FlowCalNumber,0),1,1)&gt;INDEX(FlowCalLowSetting,MATCH(AH379,FlowCalNumber,0),1,1), (INDEX(FlowCalConstA,MATCH(AH379,FlowCalNumber,0),1,1)*AJ392^INDEX(FlowCalConstB,MATCH(AH379,FlowCalNumber,0),1,1)&lt;INDEX(FlowCalHighSetting,MATCH(AH379,FlowCalNumber,0),1,1))),INDEX(FlowCalConstA,MATCH(AH379,FlowCalNumber,0),1,1)*AJ392^INDEX(FlowCalConstB,MATCH(AH379,FlowCalNumber,0),1,1)," ")</f>
        <v>#REF!</v>
      </c>
      <c r="AL392" s="33"/>
      <c r="AM392" s="242"/>
      <c r="AN392" s="241"/>
      <c r="AO392" s="244"/>
      <c r="AQ392" s="242"/>
      <c r="AR392" s="241"/>
      <c r="AS392" s="244"/>
      <c r="AT392" s="33"/>
      <c r="AU392" s="242"/>
      <c r="AV392" s="241"/>
      <c r="AW392" s="244"/>
      <c r="AX392" s="33"/>
      <c r="AY392" s="242"/>
      <c r="AZ392" s="241"/>
      <c r="BA392" s="244"/>
      <c r="BB392" s="33"/>
      <c r="BC392" s="242"/>
      <c r="BD392" s="241"/>
      <c r="BE392" s="244"/>
      <c r="BF392" s="33"/>
      <c r="BG392" s="242"/>
      <c r="BH392" s="241"/>
      <c r="BI392" s="244"/>
      <c r="BJ392" s="33"/>
      <c r="BK392" s="242"/>
      <c r="BL392" s="241"/>
      <c r="BM392" s="244"/>
      <c r="BN392" s="33"/>
      <c r="BO392" s="242"/>
      <c r="BP392" s="241"/>
      <c r="BQ392" s="244"/>
      <c r="BR392" s="33"/>
      <c r="BS392" s="242"/>
      <c r="BT392" s="241"/>
      <c r="BU392" s="244"/>
      <c r="BV392" s="33"/>
      <c r="BW392" s="242"/>
      <c r="BX392" s="241"/>
      <c r="BY392" s="244"/>
      <c r="BZ392" s="33"/>
      <c r="CA392" s="242"/>
      <c r="CB392" s="241"/>
      <c r="CC392" s="244"/>
      <c r="CD392" s="243"/>
      <c r="CE392" s="243"/>
      <c r="CF392" s="243"/>
      <c r="CG392" s="243"/>
      <c r="CH392" s="243"/>
      <c r="CI392" s="243"/>
      <c r="CJ392" s="243"/>
      <c r="CK392" s="243"/>
      <c r="CL392" s="243"/>
      <c r="CM392" s="243"/>
      <c r="CN392" s="243"/>
      <c r="CO392" s="243"/>
      <c r="CP392" s="243"/>
      <c r="CQ392" s="243"/>
      <c r="CR392" s="243"/>
      <c r="CS392" s="243"/>
      <c r="CT392" s="243"/>
      <c r="CU392" s="243"/>
      <c r="CV392" s="243"/>
      <c r="CW392" s="243"/>
      <c r="CX392" s="243"/>
      <c r="CY392" s="243"/>
      <c r="CZ392" s="243"/>
      <c r="DA392" s="243"/>
      <c r="DB392" s="243"/>
      <c r="DC392" s="243"/>
      <c r="DD392" s="243"/>
      <c r="DE392" s="243"/>
      <c r="DF392" s="243"/>
      <c r="DG392" s="243"/>
      <c r="DH392" s="243"/>
      <c r="DI392" s="243"/>
      <c r="DJ392" s="243"/>
      <c r="DK392" s="243"/>
      <c r="DM392" s="242"/>
      <c r="DO392" s="243"/>
      <c r="DQ392" s="242"/>
      <c r="DS392" s="243"/>
      <c r="DU392" s="242"/>
      <c r="DW392" s="243"/>
      <c r="DY392" s="242"/>
      <c r="EA392" s="243"/>
    </row>
    <row r="393" spans="1:131">
      <c r="A393" s="20"/>
      <c r="B393" s="124" t="str">
        <f t="shared" si="358"/>
        <v/>
      </c>
      <c r="C393" s="235"/>
      <c r="D393" s="24">
        <f>'1% Wind'!$M$95</f>
        <v>1.3</v>
      </c>
      <c r="E393" s="90"/>
      <c r="F393" s="90"/>
      <c r="G393" s="79" t="e">
        <f ca="1">IF(I379=0.9743,$G392,MAX(G392/D392*D393,2))</f>
        <v>#REF!</v>
      </c>
      <c r="H393" s="121" t="e">
        <f t="shared" ca="1" si="359"/>
        <v>#REF!</v>
      </c>
      <c r="J393" s="33"/>
      <c r="K393" s="242">
        <f t="shared" si="360"/>
        <v>1</v>
      </c>
      <c r="L393" s="241" t="e">
        <f t="shared" ca="1" si="361"/>
        <v>#REF!</v>
      </c>
      <c r="M393" s="243" t="e">
        <f ca="1">IF(AND(INDEX(FlowCalConstA,MATCH(J379,FlowCalNumber,0),1,1)*L393^INDEX(FlowCalConstB,MATCH(J379,FlowCalNumber,0),1,1)&gt;INDEX(FlowCalLowSetting,MATCH(J379,FlowCalNumber,0),1,1), (INDEX(FlowCalConstA,MATCH(J379,FlowCalNumber,0),1,1)*L393^INDEX(FlowCalConstB,MATCH(J379,FlowCalNumber,0),1,1)&lt;INDEX(FlowCalHighSetting,MATCH(J379,FlowCalNumber,0),1,1))),INDEX(FlowCalConstA,MATCH(J379,FlowCalNumber,0),1,1)*L393^INDEX(FlowCalConstB,MATCH(J379,FlowCalNumber,0),1,1)," ")</f>
        <v>#REF!</v>
      </c>
      <c r="N393" s="33"/>
      <c r="O393" s="242">
        <f t="shared" si="362"/>
        <v>1</v>
      </c>
      <c r="P393" s="241" t="e">
        <f t="shared" ca="1" si="363"/>
        <v>#REF!</v>
      </c>
      <c r="Q393" s="243" t="e">
        <f ca="1">IF(AND(INDEX(FlowCalConstA,MATCH(N379,FlowCalNumber,0),1,1)*P393^INDEX(FlowCalConstB,MATCH(N379,FlowCalNumber,0),1,1)&gt;INDEX(FlowCalLowSetting,MATCH(N379,FlowCalNumber,0),1,1), (INDEX(FlowCalConstA,MATCH(N379,FlowCalNumber,0),1,1)*P393^INDEX(FlowCalConstB,MATCH(N379,FlowCalNumber,0),1,1)&lt;INDEX(FlowCalHighSetting,MATCH(N379,FlowCalNumber,0),1,1))),INDEX(FlowCalConstA,MATCH(N379,FlowCalNumber,0),1,1)*P393^INDEX(FlowCalConstB,MATCH(N379,FlowCalNumber,0),1,1)," ")</f>
        <v>#REF!</v>
      </c>
      <c r="R393" s="33"/>
      <c r="S393" s="242">
        <f t="shared" si="364"/>
        <v>1</v>
      </c>
      <c r="T393" s="241" t="e">
        <f t="shared" ca="1" si="365"/>
        <v>#REF!</v>
      </c>
      <c r="U393" s="244" t="e">
        <f ca="1">IF(AND(INDEX(FlowCalConstA,MATCH(R379,FlowCalNumber,0),1,1)*T393^INDEX(FlowCalConstB,MATCH(R379,FlowCalNumber,0),1,1)&gt;INDEX(FlowCalLowSetting,MATCH(R379,FlowCalNumber,0),1,1), (INDEX(FlowCalConstA,MATCH(R379,FlowCalNumber,0),1,1)*T393^INDEX(FlowCalConstB,MATCH(R379,FlowCalNumber,0),1,1)&lt;INDEX(FlowCalHighSetting,MATCH(R379,FlowCalNumber,0),1,1))),INDEX(FlowCalConstA,MATCH(R379,FlowCalNumber,0),1,1)*T393^INDEX(FlowCalConstB,MATCH(R379,FlowCalNumber,0),1,1)," ")</f>
        <v>#REF!</v>
      </c>
      <c r="V393" s="33"/>
      <c r="W393" s="242">
        <f t="shared" si="366"/>
        <v>0.1</v>
      </c>
      <c r="X393" s="241" t="e">
        <f t="shared" ca="1" si="367"/>
        <v>#REF!</v>
      </c>
      <c r="Y393" s="243" t="e">
        <f ca="1">IF(AND(INDEX(FlowCalConstA,MATCH(V379,FlowCalNumber,0),1,1)*X393^INDEX(FlowCalConstB,MATCH(V379,FlowCalNumber,0),1,1)&gt;INDEX(FlowCalLowSetting,MATCH(V379,FlowCalNumber,0),1,1), (INDEX(FlowCalConstA,MATCH(V379,FlowCalNumber,0),1,1)*X393^INDEX(FlowCalConstB,MATCH(V379,FlowCalNumber,0),1,1)&lt;INDEX(FlowCalHighSetting,MATCH(V379,FlowCalNumber,0),1,1))),INDEX(FlowCalConstA,MATCH(V379,FlowCalNumber,0),1,1)*X393^INDEX(FlowCalConstB,MATCH(V379,FlowCalNumber,0),1,1)," ")</f>
        <v>#REF!</v>
      </c>
      <c r="Z393" s="33"/>
      <c r="AA393" s="242">
        <f t="shared" si="368"/>
        <v>0.9</v>
      </c>
      <c r="AB393" s="241" t="e">
        <f t="shared" ca="1" si="369"/>
        <v>#REF!</v>
      </c>
      <c r="AC393" s="243" t="e">
        <f ca="1">IF(AND(INDEX(FlowCalConstA,MATCH(Z379,FlowCalNumber,0),1,1)*AB393^INDEX(FlowCalConstB,MATCH(Z379,FlowCalNumber,0),1,1)&gt;INDEX(FlowCalLowSetting,MATCH(Z379,FlowCalNumber,0),1,1), (INDEX(FlowCalConstA,MATCH(Z379,FlowCalNumber,0),1,1)*AB393^INDEX(FlowCalConstB,MATCH(Z379,FlowCalNumber,0),1,1)&lt;INDEX(FlowCalHighSetting,MATCH(Z379,FlowCalNumber,0),1,1))),INDEX(FlowCalConstA,MATCH(Z379,FlowCalNumber,0),1,1)*AB393^INDEX(FlowCalConstB,MATCH(Z379,FlowCalNumber,0),1,1)," ")</f>
        <v>#REF!</v>
      </c>
      <c r="AD393" s="33"/>
      <c r="AE393" s="242">
        <f t="shared" si="370"/>
        <v>0.1</v>
      </c>
      <c r="AF393" s="241" t="e">
        <f t="shared" ca="1" si="371"/>
        <v>#REF!</v>
      </c>
      <c r="AG393" s="243" t="e">
        <f ca="1">IF(AND(INDEX(FlowCalConstA,MATCH(AD379,FlowCalNumber,0),1,1)*AF393^INDEX(FlowCalConstB,MATCH(AD379,FlowCalNumber,0),1,1)&gt;INDEX(FlowCalLowSetting,MATCH(AD379,FlowCalNumber,0),1,1), (INDEX(FlowCalConstA,MATCH(AD379,FlowCalNumber,0),1,1)*AF393^INDEX(FlowCalConstB,MATCH(AD379,FlowCalNumber,0),1,1)&lt;INDEX(FlowCalHighSetting,MATCH(AD379,FlowCalNumber,0),1,1))),INDEX(FlowCalConstA,MATCH(AD379,FlowCalNumber,0),1,1)*AF393^INDEX(FlowCalConstB,MATCH(AD379,FlowCalNumber,0),1,1)," ")</f>
        <v>#REF!</v>
      </c>
      <c r="AH393" s="33"/>
      <c r="AI393" s="242">
        <f t="shared" si="372"/>
        <v>0.9</v>
      </c>
      <c r="AJ393" s="241" t="e">
        <f t="shared" ca="1" si="373"/>
        <v>#REF!</v>
      </c>
      <c r="AK393" s="243" t="e">
        <f ca="1">IF(AND(INDEX(FlowCalConstA,MATCH(AH379,FlowCalNumber,0),1,1)*AJ393^INDEX(FlowCalConstB,MATCH(AH379,FlowCalNumber,0),1,1)&gt;INDEX(FlowCalLowSetting,MATCH(AH379,FlowCalNumber,0),1,1), (INDEX(FlowCalConstA,MATCH(AH379,FlowCalNumber,0),1,1)*AJ393^INDEX(FlowCalConstB,MATCH(AH379,FlowCalNumber,0),1,1)&lt;INDEX(FlowCalHighSetting,MATCH(AH379,FlowCalNumber,0),1,1))),INDEX(FlowCalConstA,MATCH(AH379,FlowCalNumber,0),1,1)*AJ393^INDEX(FlowCalConstB,MATCH(AH379,FlowCalNumber,0),1,1)," ")</f>
        <v>#REF!</v>
      </c>
      <c r="AL393" s="33"/>
      <c r="AM393" s="242"/>
      <c r="AN393" s="241"/>
      <c r="AO393" s="244"/>
      <c r="AQ393" s="242"/>
      <c r="AR393" s="241"/>
      <c r="AS393" s="244"/>
      <c r="AT393" s="33"/>
      <c r="AU393" s="242"/>
      <c r="AV393" s="241"/>
      <c r="AW393" s="244"/>
      <c r="AX393" s="33"/>
      <c r="AY393" s="242"/>
      <c r="AZ393" s="241"/>
      <c r="BA393" s="244"/>
      <c r="BB393" s="33"/>
      <c r="BC393" s="242"/>
      <c r="BD393" s="241"/>
      <c r="BE393" s="244"/>
      <c r="BF393" s="33"/>
      <c r="BG393" s="242"/>
      <c r="BH393" s="241"/>
      <c r="BI393" s="244"/>
      <c r="BJ393" s="33"/>
      <c r="BK393" s="242"/>
      <c r="BL393" s="241"/>
      <c r="BM393" s="244"/>
      <c r="BN393" s="33"/>
      <c r="BO393" s="242"/>
      <c r="BP393" s="241"/>
      <c r="BQ393" s="244"/>
      <c r="BR393" s="33"/>
      <c r="BS393" s="242"/>
      <c r="BT393" s="241"/>
      <c r="BU393" s="244"/>
      <c r="BV393" s="33"/>
      <c r="BW393" s="242"/>
      <c r="BX393" s="241"/>
      <c r="BY393" s="244"/>
      <c r="BZ393" s="33"/>
      <c r="CA393" s="242"/>
      <c r="CB393" s="241"/>
      <c r="CC393" s="244"/>
      <c r="CD393" s="243"/>
      <c r="CE393" s="243"/>
      <c r="CF393" s="243"/>
      <c r="CG393" s="243"/>
      <c r="CH393" s="243"/>
      <c r="CI393" s="243"/>
      <c r="CJ393" s="243"/>
      <c r="CK393" s="243"/>
      <c r="CL393" s="243"/>
      <c r="CM393" s="243"/>
      <c r="CN393" s="243"/>
      <c r="CO393" s="243"/>
      <c r="CP393" s="243"/>
      <c r="CQ393" s="243"/>
      <c r="CR393" s="243"/>
      <c r="CS393" s="243"/>
      <c r="CT393" s="243"/>
      <c r="CU393" s="243"/>
      <c r="CV393" s="243"/>
      <c r="CW393" s="243"/>
      <c r="CX393" s="243"/>
      <c r="CY393" s="243"/>
      <c r="CZ393" s="243"/>
      <c r="DA393" s="243"/>
      <c r="DB393" s="243"/>
      <c r="DC393" s="243"/>
      <c r="DD393" s="243"/>
      <c r="DE393" s="243"/>
      <c r="DF393" s="243"/>
      <c r="DG393" s="243"/>
      <c r="DH393" s="243"/>
      <c r="DI393" s="243"/>
      <c r="DJ393" s="243"/>
      <c r="DK393" s="243"/>
      <c r="DM393" s="242"/>
      <c r="DO393" s="243"/>
      <c r="DQ393" s="242"/>
      <c r="DS393" s="243"/>
      <c r="DU393" s="242"/>
      <c r="DW393" s="243"/>
      <c r="DY393" s="242"/>
      <c r="EA393" s="243"/>
    </row>
    <row r="394" spans="1:131">
      <c r="A394" s="20"/>
      <c r="B394" s="124" t="str">
        <f t="shared" si="358"/>
        <v/>
      </c>
      <c r="C394" s="235"/>
      <c r="D394" s="24">
        <f>'1% Wind'!$M$96</f>
        <v>1</v>
      </c>
      <c r="E394" s="90"/>
      <c r="F394" s="90"/>
      <c r="G394" s="79" t="e">
        <f ca="1">IF(I379=0.9743,$G393,MAX(G393/D393*D394,2))</f>
        <v>#REF!</v>
      </c>
      <c r="H394" s="121" t="e">
        <f t="shared" ca="1" si="359"/>
        <v>#REF!</v>
      </c>
      <c r="J394" s="33"/>
      <c r="K394" s="242">
        <f t="shared" si="360"/>
        <v>1</v>
      </c>
      <c r="L394" s="241" t="e">
        <f t="shared" ca="1" si="361"/>
        <v>#REF!</v>
      </c>
      <c r="M394" s="243" t="e">
        <f ca="1">IF(AND(INDEX(FlowCalConstA,MATCH(J379,FlowCalNumber,0),1,1)*L394^INDEX(FlowCalConstB,MATCH(J379,FlowCalNumber,0),1,1)&gt;INDEX(FlowCalLowSetting,MATCH(J379,FlowCalNumber,0),1,1), (INDEX(FlowCalConstA,MATCH(J379,FlowCalNumber,0),1,1)*L394^INDEX(FlowCalConstB,MATCH(J379,FlowCalNumber,0),1,1)&lt;INDEX(FlowCalHighSetting,MATCH(J379,FlowCalNumber,0),1,1))),INDEX(FlowCalConstA,MATCH(J379,FlowCalNumber,0),1,1)*L394^INDEX(FlowCalConstB,MATCH(J379,FlowCalNumber,0),1,1)," ")</f>
        <v>#REF!</v>
      </c>
      <c r="N394" s="33"/>
      <c r="O394" s="242">
        <f t="shared" si="362"/>
        <v>1</v>
      </c>
      <c r="P394" s="241" t="e">
        <f t="shared" ca="1" si="363"/>
        <v>#REF!</v>
      </c>
      <c r="Q394" s="243" t="e">
        <f ca="1">IF(AND(INDEX(FlowCalConstA,MATCH(N379,FlowCalNumber,0),1,1)*P394^INDEX(FlowCalConstB,MATCH(N379,FlowCalNumber,0),1,1)&gt;INDEX(FlowCalLowSetting,MATCH(N379,FlowCalNumber,0),1,1), (INDEX(FlowCalConstA,MATCH(N379,FlowCalNumber,0),1,1)*P394^INDEX(FlowCalConstB,MATCH(N379,FlowCalNumber,0),1,1)&lt;INDEX(FlowCalHighSetting,MATCH(N379,FlowCalNumber,0),1,1))),INDEX(FlowCalConstA,MATCH(N379,FlowCalNumber,0),1,1)*P394^INDEX(FlowCalConstB,MATCH(N379,FlowCalNumber,0),1,1)," ")</f>
        <v>#REF!</v>
      </c>
      <c r="R394" s="33"/>
      <c r="S394" s="242">
        <f t="shared" si="364"/>
        <v>1</v>
      </c>
      <c r="T394" s="241" t="e">
        <f t="shared" ca="1" si="365"/>
        <v>#REF!</v>
      </c>
      <c r="U394" s="244" t="e">
        <f ca="1">IF(AND(INDEX(FlowCalConstA,MATCH(R379,FlowCalNumber,0),1,1)*T394^INDEX(FlowCalConstB,MATCH(R379,FlowCalNumber,0),1,1)&gt;INDEX(FlowCalLowSetting,MATCH(R379,FlowCalNumber,0),1,1), (INDEX(FlowCalConstA,MATCH(R379,FlowCalNumber,0),1,1)*T394^INDEX(FlowCalConstB,MATCH(R379,FlowCalNumber,0),1,1)&lt;INDEX(FlowCalHighSetting,MATCH(R379,FlowCalNumber,0),1,1))),INDEX(FlowCalConstA,MATCH(R379,FlowCalNumber,0),1,1)*T394^INDEX(FlowCalConstB,MATCH(R379,FlowCalNumber,0),1,1)," ")</f>
        <v>#REF!</v>
      </c>
      <c r="V394" s="33"/>
      <c r="W394" s="242">
        <f t="shared" si="366"/>
        <v>0.1</v>
      </c>
      <c r="X394" s="241" t="e">
        <f t="shared" ca="1" si="367"/>
        <v>#REF!</v>
      </c>
      <c r="Y394" s="243" t="e">
        <f ca="1">IF(AND(INDEX(FlowCalConstA,MATCH(V379,FlowCalNumber,0),1,1)*X394^INDEX(FlowCalConstB,MATCH(V379,FlowCalNumber,0),1,1)&gt;INDEX(FlowCalLowSetting,MATCH(V379,FlowCalNumber,0),1,1), (INDEX(FlowCalConstA,MATCH(V379,FlowCalNumber,0),1,1)*X394^INDEX(FlowCalConstB,MATCH(V379,FlowCalNumber,0),1,1)&lt;INDEX(FlowCalHighSetting,MATCH(V379,FlowCalNumber,0),1,1))),INDEX(FlowCalConstA,MATCH(V379,FlowCalNumber,0),1,1)*X394^INDEX(FlowCalConstB,MATCH(V379,FlowCalNumber,0),1,1)," ")</f>
        <v>#REF!</v>
      </c>
      <c r="Z394" s="33"/>
      <c r="AA394" s="242">
        <f t="shared" si="368"/>
        <v>0.9</v>
      </c>
      <c r="AB394" s="241" t="e">
        <f t="shared" ca="1" si="369"/>
        <v>#REF!</v>
      </c>
      <c r="AC394" s="243" t="e">
        <f ca="1">IF(AND(INDEX(FlowCalConstA,MATCH(Z379,FlowCalNumber,0),1,1)*AB394^INDEX(FlowCalConstB,MATCH(Z379,FlowCalNumber,0),1,1)&gt;INDEX(FlowCalLowSetting,MATCH(Z379,FlowCalNumber,0),1,1), (INDEX(FlowCalConstA,MATCH(Z379,FlowCalNumber,0),1,1)*AB394^INDEX(FlowCalConstB,MATCH(Z379,FlowCalNumber,0),1,1)&lt;INDEX(FlowCalHighSetting,MATCH(Z379,FlowCalNumber,0),1,1))),INDEX(FlowCalConstA,MATCH(Z379,FlowCalNumber,0),1,1)*AB394^INDEX(FlowCalConstB,MATCH(Z379,FlowCalNumber,0),1,1)," ")</f>
        <v>#REF!</v>
      </c>
      <c r="AD394" s="33"/>
      <c r="AE394" s="242">
        <f t="shared" si="370"/>
        <v>0.1</v>
      </c>
      <c r="AF394" s="241" t="e">
        <f t="shared" ca="1" si="371"/>
        <v>#REF!</v>
      </c>
      <c r="AG394" s="243" t="e">
        <f ca="1">IF(AND(INDEX(FlowCalConstA,MATCH(AD379,FlowCalNumber,0),1,1)*AF394^INDEX(FlowCalConstB,MATCH(AD379,FlowCalNumber,0),1,1)&gt;INDEX(FlowCalLowSetting,MATCH(AD379,FlowCalNumber,0),1,1), (INDEX(FlowCalConstA,MATCH(AD379,FlowCalNumber,0),1,1)*AF394^INDEX(FlowCalConstB,MATCH(AD379,FlowCalNumber,0),1,1)&lt;INDEX(FlowCalHighSetting,MATCH(AD379,FlowCalNumber,0),1,1))),INDEX(FlowCalConstA,MATCH(AD379,FlowCalNumber,0),1,1)*AF394^INDEX(FlowCalConstB,MATCH(AD379,FlowCalNumber,0),1,1)," ")</f>
        <v>#REF!</v>
      </c>
      <c r="AH394" s="33"/>
      <c r="AI394" s="242">
        <f t="shared" si="372"/>
        <v>0.9</v>
      </c>
      <c r="AJ394" s="241" t="e">
        <f t="shared" ca="1" si="373"/>
        <v>#REF!</v>
      </c>
      <c r="AK394" s="243" t="e">
        <f ca="1">IF(AND(INDEX(FlowCalConstA,MATCH(AH379,FlowCalNumber,0),1,1)*AJ394^INDEX(FlowCalConstB,MATCH(AH379,FlowCalNumber,0),1,1)&gt;INDEX(FlowCalLowSetting,MATCH(AH379,FlowCalNumber,0),1,1), (INDEX(FlowCalConstA,MATCH(AH379,FlowCalNumber,0),1,1)*AJ394^INDEX(FlowCalConstB,MATCH(AH379,FlowCalNumber,0),1,1)&lt;INDEX(FlowCalHighSetting,MATCH(AH379,FlowCalNumber,0),1,1))),INDEX(FlowCalConstA,MATCH(AH379,FlowCalNumber,0),1,1)*AJ394^INDEX(FlowCalConstB,MATCH(AH379,FlowCalNumber,0),1,1)," ")</f>
        <v>#REF!</v>
      </c>
      <c r="AL394" s="33"/>
      <c r="AM394" s="242"/>
      <c r="AN394" s="241"/>
      <c r="AO394" s="244"/>
      <c r="AQ394" s="242"/>
      <c r="AR394" s="241"/>
      <c r="AS394" s="244"/>
      <c r="AT394" s="33"/>
      <c r="AU394" s="242"/>
      <c r="AV394" s="241"/>
      <c r="AW394" s="244"/>
      <c r="AX394" s="33"/>
      <c r="AY394" s="242"/>
      <c r="AZ394" s="241"/>
      <c r="BA394" s="244"/>
      <c r="BB394" s="33"/>
      <c r="BC394" s="242"/>
      <c r="BD394" s="241"/>
      <c r="BE394" s="244"/>
      <c r="BF394" s="33"/>
      <c r="BG394" s="242"/>
      <c r="BH394" s="241"/>
      <c r="BI394" s="244"/>
      <c r="BJ394" s="33"/>
      <c r="BK394" s="242"/>
      <c r="BL394" s="241"/>
      <c r="BM394" s="244"/>
      <c r="BN394" s="33"/>
      <c r="BO394" s="242"/>
      <c r="BP394" s="241"/>
      <c r="BQ394" s="244"/>
      <c r="BR394" s="33"/>
      <c r="BS394" s="242"/>
      <c r="BT394" s="241"/>
      <c r="BU394" s="244"/>
      <c r="BV394" s="33"/>
      <c r="BW394" s="242"/>
      <c r="BX394" s="241"/>
      <c r="BY394" s="244"/>
      <c r="BZ394" s="33"/>
      <c r="CA394" s="242"/>
      <c r="CB394" s="241"/>
      <c r="CC394" s="244"/>
      <c r="CD394" s="243"/>
      <c r="CE394" s="243"/>
      <c r="CF394" s="243"/>
      <c r="CG394" s="243"/>
      <c r="CH394" s="243"/>
      <c r="CI394" s="243"/>
      <c r="CJ394" s="243"/>
      <c r="CK394" s="243"/>
      <c r="CL394" s="243"/>
      <c r="CM394" s="243"/>
      <c r="CN394" s="243"/>
      <c r="CO394" s="243"/>
      <c r="CP394" s="243"/>
      <c r="CQ394" s="243"/>
      <c r="CR394" s="243"/>
      <c r="CS394" s="243"/>
      <c r="CT394" s="243"/>
      <c r="CU394" s="243"/>
      <c r="CV394" s="243"/>
      <c r="CW394" s="243"/>
      <c r="CX394" s="243"/>
      <c r="CY394" s="243"/>
      <c r="CZ394" s="243"/>
      <c r="DA394" s="243"/>
      <c r="DB394" s="243"/>
      <c r="DC394" s="243"/>
      <c r="DD394" s="243"/>
      <c r="DE394" s="243"/>
      <c r="DF394" s="243"/>
      <c r="DG394" s="243"/>
      <c r="DH394" s="243"/>
      <c r="DI394" s="243"/>
      <c r="DJ394" s="243"/>
      <c r="DK394" s="243"/>
      <c r="DM394" s="242"/>
      <c r="DO394" s="243"/>
      <c r="DQ394" s="242"/>
      <c r="DS394" s="243"/>
      <c r="DU394" s="242"/>
      <c r="DW394" s="243"/>
      <c r="DY394" s="242"/>
      <c r="EA394" s="243"/>
    </row>
    <row r="395" spans="1:131">
      <c r="A395" s="33"/>
      <c r="B395" s="33"/>
      <c r="C395" s="235"/>
      <c r="E395" s="90"/>
      <c r="F395" s="90"/>
      <c r="G395" s="33"/>
      <c r="J395" s="33"/>
      <c r="N395" s="33"/>
      <c r="Q395" s="243"/>
      <c r="R395" s="33"/>
      <c r="U395" s="244"/>
      <c r="V395" s="33"/>
      <c r="Y395" s="243"/>
      <c r="Z395" s="33"/>
      <c r="AC395" s="243"/>
      <c r="AD395" s="33"/>
      <c r="AG395" s="243"/>
      <c r="AH395" s="33"/>
      <c r="AK395" s="244"/>
      <c r="AL395" s="792"/>
      <c r="AM395" s="243"/>
      <c r="AN395" s="243"/>
      <c r="AO395" s="244"/>
      <c r="AP395" s="243"/>
      <c r="AQ395" s="243"/>
      <c r="AR395" s="243"/>
      <c r="AS395" s="244"/>
      <c r="AT395" s="243"/>
      <c r="AU395" s="243"/>
      <c r="AV395" s="243"/>
      <c r="AW395" s="244"/>
      <c r="AX395" s="243"/>
      <c r="AY395" s="243"/>
      <c r="AZ395" s="243"/>
      <c r="BA395" s="244"/>
      <c r="BB395" s="33"/>
      <c r="BE395" s="244"/>
      <c r="BF395" s="33"/>
      <c r="BI395" s="244"/>
      <c r="BJ395" s="33"/>
      <c r="BM395" s="244"/>
      <c r="BN395" s="243"/>
      <c r="BO395" s="243"/>
      <c r="BP395" s="243"/>
      <c r="BQ395" s="244"/>
      <c r="BR395" s="792"/>
      <c r="BS395" s="243"/>
      <c r="BT395" s="243"/>
      <c r="BU395" s="244"/>
      <c r="BV395" s="792"/>
      <c r="BW395" s="243"/>
      <c r="BX395" s="243"/>
      <c r="BY395" s="244"/>
      <c r="BZ395" s="792"/>
      <c r="CA395" s="243"/>
      <c r="CB395" s="243"/>
      <c r="CC395" s="244"/>
      <c r="CD395" s="243"/>
      <c r="CE395" s="243"/>
      <c r="CF395" s="243"/>
      <c r="CG395" s="243"/>
      <c r="CH395" s="243"/>
      <c r="CI395" s="243"/>
      <c r="CJ395" s="243"/>
      <c r="CK395" s="243"/>
      <c r="CL395" s="243"/>
      <c r="CM395" s="243"/>
      <c r="CN395" s="243"/>
      <c r="CO395" s="243"/>
      <c r="CP395" s="243"/>
      <c r="CQ395" s="243"/>
      <c r="CR395" s="243"/>
      <c r="CS395" s="243"/>
      <c r="CT395" s="243"/>
      <c r="CU395" s="243"/>
      <c r="CV395" s="243"/>
      <c r="CW395" s="243"/>
      <c r="CX395" s="243"/>
      <c r="CY395" s="243"/>
      <c r="CZ395" s="243"/>
      <c r="DA395" s="243"/>
      <c r="DB395" s="243"/>
      <c r="DC395" s="243"/>
      <c r="DD395" s="243"/>
      <c r="DE395" s="243"/>
      <c r="DF395" s="243"/>
      <c r="DG395" s="243"/>
      <c r="DH395" s="243"/>
      <c r="DI395" s="243"/>
      <c r="DJ395" s="243"/>
      <c r="DK395" s="243"/>
      <c r="DO395" s="243"/>
      <c r="DS395" s="243"/>
      <c r="DW395" s="243"/>
      <c r="EA395" s="243"/>
    </row>
    <row r="396" spans="1:131">
      <c r="A396" s="256" t="str">
        <f>IF((RIGHT(A379,1))&lt;&gt;"Z",CHAR(CODE(A379))&amp;CHAR(CODE(RIGHT(A379,1))+1),CHAR(CODE(A379)+1)&amp;"A")</f>
        <v>AW</v>
      </c>
      <c r="B396" s="270" t="e">
        <f>INDEX(SourceID,MATCH($A396,SourceNumber,0),1,1)</f>
        <v>#N/A</v>
      </c>
      <c r="C396" s="354" t="e">
        <f>INDEX(SourceExitDiameter,MATCH($A396,SourceNumber,0),1,1)*3.28*12</f>
        <v>#N/A</v>
      </c>
      <c r="D396" s="24" t="str">
        <f>UAnem1percent</f>
        <v>1% Wind</v>
      </c>
      <c r="E396" s="350" t="e">
        <f ca="1">INDIRECT(ADDRESS(53,6,1,,CONCATENATE("TA",$A396)))</f>
        <v>#REF!</v>
      </c>
      <c r="F396" s="625" t="e">
        <f ca="1">(ROUND((INDIRECT(ADDRESS(15,7,1,,CONCATENATE("TA",$A396)))*3.28*12*32),0)&amp;"/32")</f>
        <v>#REF!</v>
      </c>
      <c r="G396" s="125" t="e">
        <f ca="1">INDIRECT(ADDRESS(29,7,1,,$A396))</f>
        <v>#REF!</v>
      </c>
      <c r="H396" s="24" t="e">
        <f ca="1">INDIRECT(ADDRESS(19,7,1,,$A396))*100^3</f>
        <v>#REF!</v>
      </c>
      <c r="I396" s="941" t="e">
        <f ca="1">INDIRECT(ADDRESS(53,7,1,,$A396))</f>
        <v>#REF!</v>
      </c>
      <c r="J396" s="20" t="e">
        <f ca="1">IF($I396=$I$6,K$16&amp;$G$6&amp;J$6,IF($I396=$I$7,K$16&amp;$G$7&amp;J$7,"Bad"))</f>
        <v>#REF!</v>
      </c>
      <c r="K396" t="e">
        <f ca="1">INDEX(FlowCalGasMixture,MATCH(J396,FlowCalNumber,0),1,1)</f>
        <v>#REF!</v>
      </c>
      <c r="M396" s="944" t="e">
        <f ca="1">INDEX(FlowCalDevice,MATCH(J396,FlowCalNumber,0),1,1)</f>
        <v>#REF!</v>
      </c>
      <c r="N396" s="943" t="e">
        <f ca="1">IF($I396=$I$6,O$16&amp;$G$6&amp;"90"&amp;$H$6&amp;N$6,IF($I396=$I$7,O$16&amp;$G$7&amp;"90"&amp;$H$7&amp;N$7,"Bad"))</f>
        <v>#REF!</v>
      </c>
      <c r="O396" t="e">
        <f ca="1">INDEX(FlowCalGasMixture,MATCH(N396,FlowCalNumber,0),1,1)</f>
        <v>#REF!</v>
      </c>
      <c r="Q396" s="944" t="e">
        <f ca="1">INDEX(FlowCalDevice,MATCH(N396,FlowCalNumber,0),1,1)</f>
        <v>#REF!</v>
      </c>
      <c r="R396" s="943" t="e">
        <f ca="1">IF($I396=$I$6,S$16&amp;$G$6&amp;"90"&amp;$H$6&amp;R$6,IF($I396=$I$7,S$16&amp;$G$7&amp;"90"&amp;$H$7&amp;R$7,"Bad"))</f>
        <v>#REF!</v>
      </c>
      <c r="S396" t="e">
        <f ca="1">INDEX(FlowCalGasMixture,MATCH(R396,FlowCalNumber,0),1,1)</f>
        <v>#REF!</v>
      </c>
      <c r="U396" s="944" t="e">
        <f ca="1">INDEX(FlowCalDevice,MATCH(R396,FlowCalNumber,0),1,1)</f>
        <v>#REF!</v>
      </c>
      <c r="V396" s="20" t="e">
        <f ca="1">IF($I396=$I$6,W$16&amp;$G$6&amp;V$6,IF($I396=$I$7,W$16&amp;$G$7&amp;V$7,"Bad"))</f>
        <v>#REF!</v>
      </c>
      <c r="W396" t="e">
        <f ca="1">INDEX(FlowCalGasMixture,MATCH(V396,FlowCalNumber,0),1,1)</f>
        <v>#REF!</v>
      </c>
      <c r="Y396" s="944" t="e">
        <f ca="1">INDEX(FlowCalDevice,MATCH(V396,FlowCalNumber,0),1,1)</f>
        <v>#REF!</v>
      </c>
      <c r="Z396" s="946" t="e">
        <f ca="1">IF($I396=$I$6,AA$18&amp;$H$6&amp;Z$6,IF($I396=$I$7,AA$18&amp;$H$7&amp;Z$7,"Bad"))</f>
        <v>#REF!</v>
      </c>
      <c r="AA396" t="e">
        <f ca="1">INDEX(FlowCalGasMixture,MATCH(Z396,FlowCalNumber,0),1,1)</f>
        <v>#REF!</v>
      </c>
      <c r="AC396" s="944" t="e">
        <f ca="1">INDEX(FlowCalDevice,MATCH(Z396,FlowCalNumber,0),1,1)</f>
        <v>#REF!</v>
      </c>
      <c r="AD396" s="20" t="e">
        <f ca="1">IF($I396=$I$6,AE$16&amp;$G$6&amp;AD$6,IF($I396=$I$7,AE$16&amp;$G$7&amp;AD$7,"Bad"))</f>
        <v>#REF!</v>
      </c>
      <c r="AE396" t="e">
        <f ca="1">INDEX(FlowCalGasMixture,MATCH(AD396,FlowCalNumber,0),1,1)</f>
        <v>#REF!</v>
      </c>
      <c r="AG396" s="944" t="e">
        <f ca="1">INDEX(FlowCalDevice,MATCH(AD396,FlowCalNumber,0),1,1)</f>
        <v>#REF!</v>
      </c>
      <c r="AH396" s="946" t="e">
        <f ca="1">IF($I396=$I$6,AI$18&amp;$H$6&amp;AH$6,IF($I396=$I$7,AI$18&amp;$H$7&amp;AH$7,"Bad"))</f>
        <v>#REF!</v>
      </c>
      <c r="AI396" t="e">
        <f ca="1">INDEX(FlowCalGasMixture,MATCH(AH396,FlowCalNumber,0),1,1)</f>
        <v>#REF!</v>
      </c>
      <c r="AK396" s="944" t="e">
        <f ca="1">INDEX(FlowCalDevice,MATCH(AH396,FlowCalNumber,0),1,1)</f>
        <v>#REF!</v>
      </c>
      <c r="AL396" s="20"/>
      <c r="AO396" s="982"/>
      <c r="AP396" s="960"/>
      <c r="AS396" s="982"/>
      <c r="AT396" s="20"/>
      <c r="AW396" s="982"/>
      <c r="AX396" s="946"/>
      <c r="BA396" s="982"/>
      <c r="BB396" s="20"/>
      <c r="BC396" s="16"/>
      <c r="BE396" s="982"/>
      <c r="BF396" s="946"/>
      <c r="BG396" s="16"/>
      <c r="BI396" s="982"/>
      <c r="BJ396" s="946"/>
      <c r="BK396" s="16"/>
      <c r="BM396" s="982"/>
      <c r="BN396" s="20"/>
      <c r="BO396" s="16"/>
      <c r="BQ396" s="982"/>
      <c r="BR396" s="946"/>
      <c r="BS396" s="16"/>
      <c r="BU396" s="982"/>
      <c r="BV396" s="946"/>
      <c r="BW396" s="16"/>
      <c r="BY396" s="982"/>
      <c r="BZ396" s="946"/>
      <c r="CA396" s="16"/>
      <c r="CC396" s="982"/>
      <c r="CD396" s="355"/>
      <c r="CE396" s="355"/>
      <c r="CF396" s="355"/>
      <c r="CG396" s="355"/>
      <c r="CH396" s="355"/>
      <c r="CI396" s="355"/>
      <c r="CJ396" s="355"/>
      <c r="CK396" s="355"/>
      <c r="CL396" s="355"/>
      <c r="CM396" s="355"/>
      <c r="CN396" s="355"/>
      <c r="CO396" s="355"/>
      <c r="CP396" s="355"/>
      <c r="CQ396" s="355"/>
      <c r="CR396" s="355"/>
      <c r="CS396" s="355"/>
      <c r="CT396" s="355"/>
      <c r="CU396" s="355"/>
      <c r="CV396" s="355"/>
      <c r="CW396" s="355"/>
      <c r="CX396" s="355"/>
      <c r="CY396" s="355"/>
      <c r="CZ396" s="355"/>
      <c r="DA396" s="355"/>
      <c r="DB396" s="355"/>
      <c r="DC396" s="355"/>
      <c r="DD396" s="355"/>
      <c r="DE396" s="355"/>
      <c r="DF396" s="355"/>
      <c r="DG396" s="355"/>
      <c r="DH396" s="355"/>
      <c r="DI396" s="355"/>
      <c r="DJ396" s="355"/>
      <c r="DK396" s="355"/>
      <c r="DL396" s="46"/>
      <c r="DM396" s="16"/>
      <c r="DO396" s="355"/>
      <c r="DP396" s="42"/>
      <c r="DQ396" s="16"/>
      <c r="DS396" s="355"/>
      <c r="DT396" s="42"/>
      <c r="DU396" s="16"/>
      <c r="DW396" s="355"/>
      <c r="DX396" s="42"/>
      <c r="DY396" s="16"/>
      <c r="EA396" s="355"/>
    </row>
    <row r="397" spans="1:131">
      <c r="A397" s="20"/>
      <c r="B397" s="124" t="str">
        <f t="shared" ref="B397:B411" si="374">IF(D397=UAnem1percent,"1% Wind","")</f>
        <v/>
      </c>
      <c r="C397" s="235"/>
      <c r="D397" s="24">
        <f>'1% Wind'!$M$82</f>
        <v>27</v>
      </c>
      <c r="E397" s="90"/>
      <c r="F397" s="90"/>
      <c r="G397" s="79" t="e">
        <f ca="1">IF(I396=0.9743,$G396,MAX(G396/D396*D397,2))</f>
        <v>#REF!</v>
      </c>
      <c r="H397" s="121" t="e">
        <f t="shared" ref="H397:H411" ca="1" si="375">H396*(D396/D397)*(G397/G396)</f>
        <v>#REF!</v>
      </c>
      <c r="J397" s="33"/>
      <c r="K397" s="260">
        <f>K$17/100</f>
        <v>1</v>
      </c>
      <c r="L397" s="241" t="e">
        <f ca="1">K397*$H397</f>
        <v>#REF!</v>
      </c>
      <c r="M397" s="243" t="e">
        <f ca="1">IF(AND(INDEX(FlowCalConstA,MATCH(J396,FlowCalNumber,0),1,1)*L397^INDEX(FlowCalConstB,MATCH(J396,FlowCalNumber,0),1,1)&gt;INDEX(FlowCalLowSetting,MATCH(J396,FlowCalNumber,0),1,1), (INDEX(FlowCalConstA,MATCH(J396,FlowCalNumber,0),1,1)*L397^INDEX(FlowCalConstB,MATCH(J396,FlowCalNumber,0),1,1)&lt;INDEX(FlowCalHighSetting,MATCH(J396,FlowCalNumber,0),1,1))),INDEX(FlowCalConstA,MATCH(J396,FlowCalNumber,0),1,1)*L397^INDEX(FlowCalConstB,MATCH(J396,FlowCalNumber,0),1,1)," ")</f>
        <v>#REF!</v>
      </c>
      <c r="N397" s="33"/>
      <c r="O397" s="260">
        <f>O$17/100</f>
        <v>1</v>
      </c>
      <c r="P397" s="241" t="e">
        <f ca="1">O397*$H397</f>
        <v>#REF!</v>
      </c>
      <c r="Q397" s="243" t="e">
        <f ca="1">IF(AND(INDEX(FlowCalConstA,MATCH(N396,FlowCalNumber,0),1,1)*P397^INDEX(FlowCalConstB,MATCH(N396,FlowCalNumber,0),1,1)&gt;INDEX(FlowCalLowSetting,MATCH(N396,FlowCalNumber,0),1,1), (INDEX(FlowCalConstA,MATCH(N396,FlowCalNumber,0),1,1)*P397^INDEX(FlowCalConstB,MATCH(N396,FlowCalNumber,0),1,1)&lt;INDEX(FlowCalHighSetting,MATCH(N396,FlowCalNumber,0),1,1))),INDEX(FlowCalConstA,MATCH(N396,FlowCalNumber,0),1,1)*P397^INDEX(FlowCalConstB,MATCH(N396,FlowCalNumber,0),1,1)," ")</f>
        <v>#REF!</v>
      </c>
      <c r="R397" s="33"/>
      <c r="S397" s="260">
        <f>S$17/100</f>
        <v>1</v>
      </c>
      <c r="T397" s="241" t="e">
        <f ca="1">S397*$H397</f>
        <v>#REF!</v>
      </c>
      <c r="U397" s="244" t="e">
        <f ca="1">IF(AND(INDEX(FlowCalConstA,MATCH(R396,FlowCalNumber,0),1,1)*T397^INDEX(FlowCalConstB,MATCH(R396,FlowCalNumber,0),1,1)&gt;INDEX(FlowCalLowSetting,MATCH(R396,FlowCalNumber,0),1,1), (INDEX(FlowCalConstA,MATCH(R396,FlowCalNumber,0),1,1)*T397^INDEX(FlowCalConstB,MATCH(R396,FlowCalNumber,0),1,1)&lt;INDEX(FlowCalHighSetting,MATCH(R396,FlowCalNumber,0),1,1))),INDEX(FlowCalConstA,MATCH(R396,FlowCalNumber,0),1,1)*T397^INDEX(FlowCalConstB,MATCH(R396,FlowCalNumber,0),1,1)," ")</f>
        <v>#REF!</v>
      </c>
      <c r="V397" s="33"/>
      <c r="W397" s="260">
        <f>W$17/100</f>
        <v>0.1</v>
      </c>
      <c r="X397" s="241" t="e">
        <f ca="1">W397*$H397</f>
        <v>#REF!</v>
      </c>
      <c r="Y397" s="243" t="e">
        <f ca="1">IF(AND(INDEX(FlowCalConstA,MATCH(V396,FlowCalNumber,0),1,1)*X397^INDEX(FlowCalConstB,MATCH(V396,FlowCalNumber,0),1,1)&gt;INDEX(FlowCalLowSetting,MATCH(V396,FlowCalNumber,0),1,1), (INDEX(FlowCalConstA,MATCH(V396,FlowCalNumber,0),1,1)*X397^INDEX(FlowCalConstB,MATCH(V396,FlowCalNumber,0),1,1)&lt;INDEX(FlowCalHighSetting,MATCH(V396,FlowCalNumber,0),1,1))),INDEX(FlowCalConstA,MATCH(V396,FlowCalNumber,0),1,1)*X397^INDEX(FlowCalConstB,MATCH(V396,FlowCalNumber,0),1,1)," ")</f>
        <v>#REF!</v>
      </c>
      <c r="Z397" s="33"/>
      <c r="AA397" s="260">
        <f>AA$17/100</f>
        <v>0.9</v>
      </c>
      <c r="AB397" s="241" t="e">
        <f ca="1">AA397*$H397</f>
        <v>#REF!</v>
      </c>
      <c r="AC397" s="243" t="e">
        <f ca="1">IF(AND(INDEX(FlowCalConstA,MATCH(Z396,FlowCalNumber,0),1,1)*AB397^INDEX(FlowCalConstB,MATCH(Z396,FlowCalNumber,0),1,1)&gt;INDEX(FlowCalLowSetting,MATCH(Z396,FlowCalNumber,0),1,1), (INDEX(FlowCalConstA,MATCH(Z396,FlowCalNumber,0),1,1)*AB397^INDEX(FlowCalConstB,MATCH(Z396,FlowCalNumber,0),1,1)&lt;INDEX(FlowCalHighSetting,MATCH(Z396,FlowCalNumber,0),1,1))),INDEX(FlowCalConstA,MATCH(Z396,FlowCalNumber,0),1,1)*AB397^INDEX(FlowCalConstB,MATCH(Z396,FlowCalNumber,0),1,1)," ")</f>
        <v>#REF!</v>
      </c>
      <c r="AD397" s="33"/>
      <c r="AE397" s="260">
        <f>AE$17/100</f>
        <v>0.1</v>
      </c>
      <c r="AF397" s="241" t="e">
        <f ca="1">AE397*$H397</f>
        <v>#REF!</v>
      </c>
      <c r="AG397" s="243" t="e">
        <f ca="1">IF(AND(INDEX(FlowCalConstA,MATCH(AD396,FlowCalNumber,0),1,1)*AF397^INDEX(FlowCalConstB,MATCH(AD396,FlowCalNumber,0),1,1)&gt;INDEX(FlowCalLowSetting,MATCH(AD396,FlowCalNumber,0),1,1), (INDEX(FlowCalConstA,MATCH(AD396,FlowCalNumber,0),1,1)*AF397^INDEX(FlowCalConstB,MATCH(AD396,FlowCalNumber,0),1,1)&lt;INDEX(FlowCalHighSetting,MATCH(AD396,FlowCalNumber,0),1,1))),INDEX(FlowCalConstA,MATCH(AD396,FlowCalNumber,0),1,1)*AF397^INDEX(FlowCalConstB,MATCH(AD396,FlowCalNumber,0),1,1)," ")</f>
        <v>#REF!</v>
      </c>
      <c r="AH397" s="33"/>
      <c r="AI397" s="260">
        <f>AI$17/100</f>
        <v>0.9</v>
      </c>
      <c r="AJ397" s="241" t="e">
        <f ca="1">AI397*$H397</f>
        <v>#REF!</v>
      </c>
      <c r="AK397" s="243" t="e">
        <f ca="1">IF(AND(INDEX(FlowCalConstA,MATCH(AH396,FlowCalNumber,0),1,1)*AJ397^INDEX(FlowCalConstB,MATCH(AH396,FlowCalNumber,0),1,1)&gt;INDEX(FlowCalLowSetting,MATCH(AH396,FlowCalNumber,0),1,1), (INDEX(FlowCalConstA,MATCH(AH396,FlowCalNumber,0),1,1)*AJ397^INDEX(FlowCalConstB,MATCH(AH396,FlowCalNumber,0),1,1)&lt;INDEX(FlowCalHighSetting,MATCH(AH396,FlowCalNumber,0),1,1))),INDEX(FlowCalConstA,MATCH(AH396,FlowCalNumber,0),1,1)*AJ397^INDEX(FlowCalConstB,MATCH(AH396,FlowCalNumber,0),1,1)," ")</f>
        <v>#REF!</v>
      </c>
      <c r="AL397" s="33"/>
      <c r="AM397" s="260"/>
      <c r="AN397" s="241"/>
      <c r="AO397" s="244"/>
      <c r="AQ397" s="260"/>
      <c r="AR397" s="241"/>
      <c r="AS397" s="244"/>
      <c r="AT397" s="33"/>
      <c r="AU397" s="260"/>
      <c r="AV397" s="241"/>
      <c r="AW397" s="244"/>
      <c r="AX397" s="33"/>
      <c r="AY397" s="260"/>
      <c r="AZ397" s="241"/>
      <c r="BA397" s="244"/>
      <c r="BB397" s="33"/>
      <c r="BC397" s="260"/>
      <c r="BD397" s="241"/>
      <c r="BE397" s="244"/>
      <c r="BF397" s="33"/>
      <c r="BG397" s="260"/>
      <c r="BH397" s="241"/>
      <c r="BI397" s="244"/>
      <c r="BJ397" s="33"/>
      <c r="BK397" s="260"/>
      <c r="BL397" s="241"/>
      <c r="BM397" s="244"/>
      <c r="BN397" s="33"/>
      <c r="BO397" s="260"/>
      <c r="BP397" s="241"/>
      <c r="BQ397" s="244"/>
      <c r="BR397" s="33"/>
      <c r="BS397" s="260"/>
      <c r="BT397" s="241"/>
      <c r="BU397" s="244"/>
      <c r="BV397" s="33"/>
      <c r="BW397" s="260"/>
      <c r="BX397" s="241"/>
      <c r="BY397" s="244"/>
      <c r="BZ397" s="33"/>
      <c r="CA397" s="260"/>
      <c r="CB397" s="241"/>
      <c r="CC397" s="244"/>
      <c r="CD397" s="243"/>
      <c r="CE397" s="243"/>
      <c r="CF397" s="243"/>
      <c r="CG397" s="243"/>
      <c r="CH397" s="243"/>
      <c r="CI397" s="243"/>
      <c r="CJ397" s="243"/>
      <c r="CK397" s="243"/>
      <c r="CL397" s="243"/>
      <c r="CM397" s="243"/>
      <c r="CN397" s="243"/>
      <c r="CO397" s="243"/>
      <c r="CP397" s="243"/>
      <c r="CQ397" s="243"/>
      <c r="CR397" s="243"/>
      <c r="CS397" s="243"/>
      <c r="CT397" s="243"/>
      <c r="CU397" s="243"/>
      <c r="CV397" s="243"/>
      <c r="CW397" s="243"/>
      <c r="CX397" s="243"/>
      <c r="CY397" s="243"/>
      <c r="CZ397" s="243"/>
      <c r="DA397" s="243"/>
      <c r="DB397" s="243"/>
      <c r="DC397" s="243"/>
      <c r="DD397" s="243"/>
      <c r="DE397" s="243"/>
      <c r="DF397" s="243"/>
      <c r="DG397" s="243"/>
      <c r="DH397" s="243"/>
      <c r="DI397" s="243"/>
      <c r="DJ397" s="243"/>
      <c r="DK397" s="243"/>
      <c r="DM397" s="259"/>
      <c r="DO397" s="243"/>
      <c r="DQ397" s="259"/>
      <c r="DS397" s="243"/>
      <c r="DU397" s="259"/>
      <c r="DW397" s="243"/>
      <c r="DY397" s="260"/>
      <c r="EA397" s="243"/>
    </row>
    <row r="398" spans="1:131">
      <c r="A398" s="20"/>
      <c r="B398" s="124" t="str">
        <f t="shared" si="374"/>
        <v/>
      </c>
      <c r="C398" s="235"/>
      <c r="D398" s="24">
        <f>'1% Wind'!$M$83</f>
        <v>23.5</v>
      </c>
      <c r="E398" s="90"/>
      <c r="F398" s="90"/>
      <c r="G398" s="79" t="e">
        <f ca="1">IF(I396=0.9743,$G397,MAX(G397/D397*D398,2))</f>
        <v>#REF!</v>
      </c>
      <c r="H398" s="121" t="e">
        <f t="shared" ca="1" si="375"/>
        <v>#REF!</v>
      </c>
      <c r="J398" s="33"/>
      <c r="K398" s="242">
        <f t="shared" ref="K398:K411" si="376">K397</f>
        <v>1</v>
      </c>
      <c r="L398" s="241" t="e">
        <f t="shared" ref="L398:L411" ca="1" si="377">K398*$H398</f>
        <v>#REF!</v>
      </c>
      <c r="M398" s="243" t="e">
        <f ca="1">IF(AND(INDEX(FlowCalConstA,MATCH(J396,FlowCalNumber,0),1,1)*L398^INDEX(FlowCalConstB,MATCH(J396,FlowCalNumber,0),1,1)&gt;INDEX(FlowCalLowSetting,MATCH(J396,FlowCalNumber,0),1,1), (INDEX(FlowCalConstA,MATCH(J396,FlowCalNumber,0),1,1)*L398^INDEX(FlowCalConstB,MATCH(J396,FlowCalNumber,0),1,1)&lt;INDEX(FlowCalHighSetting,MATCH(J396,FlowCalNumber,0),1,1))),INDEX(FlowCalConstA,MATCH(J396,FlowCalNumber,0),1,1)*L398^INDEX(FlowCalConstB,MATCH(J396,FlowCalNumber,0),1,1)," ")</f>
        <v>#REF!</v>
      </c>
      <c r="N398" s="33"/>
      <c r="O398" s="242">
        <f t="shared" ref="O398:O411" si="378">O397</f>
        <v>1</v>
      </c>
      <c r="P398" s="241" t="e">
        <f t="shared" ref="P398:P411" ca="1" si="379">O398*$H398</f>
        <v>#REF!</v>
      </c>
      <c r="Q398" s="243" t="e">
        <f ca="1">IF(AND(INDEX(FlowCalConstA,MATCH(N396,FlowCalNumber,0),1,1)*P398^INDEX(FlowCalConstB,MATCH(N396,FlowCalNumber,0),1,1)&gt;INDEX(FlowCalLowSetting,MATCH(N396,FlowCalNumber,0),1,1), (INDEX(FlowCalConstA,MATCH(N396,FlowCalNumber,0),1,1)*P398^INDEX(FlowCalConstB,MATCH(N396,FlowCalNumber,0),1,1)&lt;INDEX(FlowCalHighSetting,MATCH(N396,FlowCalNumber,0),1,1))),INDEX(FlowCalConstA,MATCH(N396,FlowCalNumber,0),1,1)*P398^INDEX(FlowCalConstB,MATCH(N396,FlowCalNumber,0),1,1)," ")</f>
        <v>#REF!</v>
      </c>
      <c r="R398" s="33"/>
      <c r="S398" s="242">
        <f t="shared" ref="S398:S411" si="380">S397</f>
        <v>1</v>
      </c>
      <c r="T398" s="241" t="e">
        <f t="shared" ref="T398:T411" ca="1" si="381">S398*$H398</f>
        <v>#REF!</v>
      </c>
      <c r="U398" s="244" t="e">
        <f ca="1">IF(AND(INDEX(FlowCalConstA,MATCH(R396,FlowCalNumber,0),1,1)*T398^INDEX(FlowCalConstB,MATCH(R396,FlowCalNumber,0),1,1)&gt;INDEX(FlowCalLowSetting,MATCH(R396,FlowCalNumber,0),1,1), (INDEX(FlowCalConstA,MATCH(R396,FlowCalNumber,0),1,1)*T398^INDEX(FlowCalConstB,MATCH(R396,FlowCalNumber,0),1,1)&lt;INDEX(FlowCalHighSetting,MATCH(R396,FlowCalNumber,0),1,1))),INDEX(FlowCalConstA,MATCH(R396,FlowCalNumber,0),1,1)*T398^INDEX(FlowCalConstB,MATCH(R396,FlowCalNumber,0),1,1)," ")</f>
        <v>#REF!</v>
      </c>
      <c r="V398" s="33"/>
      <c r="W398" s="242">
        <f t="shared" ref="W398:W411" si="382">W397</f>
        <v>0.1</v>
      </c>
      <c r="X398" s="241" t="e">
        <f t="shared" ref="X398:X411" ca="1" si="383">W398*$H398</f>
        <v>#REF!</v>
      </c>
      <c r="Y398" s="243" t="e">
        <f ca="1">IF(AND(INDEX(FlowCalConstA,MATCH(V396,FlowCalNumber,0),1,1)*X398^INDEX(FlowCalConstB,MATCH(V396,FlowCalNumber,0),1,1)&gt;INDEX(FlowCalLowSetting,MATCH(V396,FlowCalNumber,0),1,1), (INDEX(FlowCalConstA,MATCH(V396,FlowCalNumber,0),1,1)*X398^INDEX(FlowCalConstB,MATCH(V396,FlowCalNumber,0),1,1)&lt;INDEX(FlowCalHighSetting,MATCH(V396,FlowCalNumber,0),1,1))),INDEX(FlowCalConstA,MATCH(V396,FlowCalNumber,0),1,1)*X398^INDEX(FlowCalConstB,MATCH(V396,FlowCalNumber,0),1,1)," ")</f>
        <v>#REF!</v>
      </c>
      <c r="Z398" s="33"/>
      <c r="AA398" s="242">
        <f t="shared" ref="AA398:AA411" si="384">AA397</f>
        <v>0.9</v>
      </c>
      <c r="AB398" s="241" t="e">
        <f t="shared" ref="AB398:AB411" ca="1" si="385">AA398*$H398</f>
        <v>#REF!</v>
      </c>
      <c r="AC398" s="243" t="e">
        <f ca="1">IF(AND(INDEX(FlowCalConstA,MATCH(Z396,FlowCalNumber,0),1,1)*AB398^INDEX(FlowCalConstB,MATCH(Z396,FlowCalNumber,0),1,1)&gt;INDEX(FlowCalLowSetting,MATCH(Z396,FlowCalNumber,0),1,1), (INDEX(FlowCalConstA,MATCH(Z396,FlowCalNumber,0),1,1)*AB398^INDEX(FlowCalConstB,MATCH(Z396,FlowCalNumber,0),1,1)&lt;INDEX(FlowCalHighSetting,MATCH(Z396,FlowCalNumber,0),1,1))),INDEX(FlowCalConstA,MATCH(Z396,FlowCalNumber,0),1,1)*AB398^INDEX(FlowCalConstB,MATCH(Z396,FlowCalNumber,0),1,1)," ")</f>
        <v>#REF!</v>
      </c>
      <c r="AD398" s="33"/>
      <c r="AE398" s="242">
        <f t="shared" ref="AE398:AE411" si="386">AE397</f>
        <v>0.1</v>
      </c>
      <c r="AF398" s="241" t="e">
        <f t="shared" ref="AF398:AF411" ca="1" si="387">AE398*$H398</f>
        <v>#REF!</v>
      </c>
      <c r="AG398" s="243" t="e">
        <f ca="1">IF(AND(INDEX(FlowCalConstA,MATCH(AD396,FlowCalNumber,0),1,1)*AF398^INDEX(FlowCalConstB,MATCH(AD396,FlowCalNumber,0),1,1)&gt;INDEX(FlowCalLowSetting,MATCH(AD396,FlowCalNumber,0),1,1), (INDEX(FlowCalConstA,MATCH(AD396,FlowCalNumber,0),1,1)*AF398^INDEX(FlowCalConstB,MATCH(AD396,FlowCalNumber,0),1,1)&lt;INDEX(FlowCalHighSetting,MATCH(AD396,FlowCalNumber,0),1,1))),INDEX(FlowCalConstA,MATCH(AD396,FlowCalNumber,0),1,1)*AF398^INDEX(FlowCalConstB,MATCH(AD396,FlowCalNumber,0),1,1)," ")</f>
        <v>#REF!</v>
      </c>
      <c r="AH398" s="33"/>
      <c r="AI398" s="242">
        <f t="shared" ref="AI398:AI411" si="388">AI397</f>
        <v>0.9</v>
      </c>
      <c r="AJ398" s="241" t="e">
        <f t="shared" ref="AJ398:AJ411" ca="1" si="389">AI398*$H398</f>
        <v>#REF!</v>
      </c>
      <c r="AK398" s="243" t="e">
        <f ca="1">IF(AND(INDEX(FlowCalConstA,MATCH(AH396,FlowCalNumber,0),1,1)*AJ398^INDEX(FlowCalConstB,MATCH(AH396,FlowCalNumber,0),1,1)&gt;INDEX(FlowCalLowSetting,MATCH(AH396,FlowCalNumber,0),1,1), (INDEX(FlowCalConstA,MATCH(AH396,FlowCalNumber,0),1,1)*AJ398^INDEX(FlowCalConstB,MATCH(AH396,FlowCalNumber,0),1,1)&lt;INDEX(FlowCalHighSetting,MATCH(AH396,FlowCalNumber,0),1,1))),INDEX(FlowCalConstA,MATCH(AH396,FlowCalNumber,0),1,1)*AJ398^INDEX(FlowCalConstB,MATCH(AH396,FlowCalNumber,0),1,1)," ")</f>
        <v>#REF!</v>
      </c>
      <c r="AL398" s="33"/>
      <c r="AM398" s="242"/>
      <c r="AN398" s="241"/>
      <c r="AO398" s="244"/>
      <c r="AQ398" s="242"/>
      <c r="AR398" s="241"/>
      <c r="AS398" s="244"/>
      <c r="AT398" s="33"/>
      <c r="AU398" s="242"/>
      <c r="AV398" s="241"/>
      <c r="AW398" s="244"/>
      <c r="AX398" s="33"/>
      <c r="AY398" s="242"/>
      <c r="AZ398" s="241"/>
      <c r="BA398" s="244"/>
      <c r="BB398" s="33"/>
      <c r="BC398" s="242"/>
      <c r="BD398" s="241"/>
      <c r="BE398" s="244"/>
      <c r="BF398" s="33"/>
      <c r="BG398" s="242"/>
      <c r="BH398" s="241"/>
      <c r="BI398" s="244"/>
      <c r="BJ398" s="33"/>
      <c r="BK398" s="242"/>
      <c r="BL398" s="241"/>
      <c r="BM398" s="244"/>
      <c r="BN398" s="33"/>
      <c r="BO398" s="242"/>
      <c r="BP398" s="241"/>
      <c r="BQ398" s="244"/>
      <c r="BR398" s="33"/>
      <c r="BS398" s="242"/>
      <c r="BT398" s="241"/>
      <c r="BU398" s="244"/>
      <c r="BV398" s="33"/>
      <c r="BW398" s="242"/>
      <c r="BX398" s="241"/>
      <c r="BY398" s="244"/>
      <c r="BZ398" s="33"/>
      <c r="CA398" s="242"/>
      <c r="CB398" s="241"/>
      <c r="CC398" s="244"/>
      <c r="CD398" s="243"/>
      <c r="CE398" s="243"/>
      <c r="CF398" s="243"/>
      <c r="CG398" s="243"/>
      <c r="CH398" s="243"/>
      <c r="CI398" s="243"/>
      <c r="CJ398" s="243"/>
      <c r="CK398" s="243"/>
      <c r="CL398" s="243"/>
      <c r="CM398" s="243"/>
      <c r="CN398" s="243"/>
      <c r="CO398" s="243"/>
      <c r="CP398" s="243"/>
      <c r="CQ398" s="243"/>
      <c r="CR398" s="243"/>
      <c r="CS398" s="243"/>
      <c r="CT398" s="243"/>
      <c r="CU398" s="243"/>
      <c r="CV398" s="243"/>
      <c r="CW398" s="243"/>
      <c r="CX398" s="243"/>
      <c r="CY398" s="243"/>
      <c r="CZ398" s="243"/>
      <c r="DA398" s="243"/>
      <c r="DB398" s="243"/>
      <c r="DC398" s="243"/>
      <c r="DD398" s="243"/>
      <c r="DE398" s="243"/>
      <c r="DF398" s="243"/>
      <c r="DG398" s="243"/>
      <c r="DH398" s="243"/>
      <c r="DI398" s="243"/>
      <c r="DJ398" s="243"/>
      <c r="DK398" s="243"/>
      <c r="DM398" s="242"/>
      <c r="DO398" s="243"/>
      <c r="DQ398" s="242"/>
      <c r="DS398" s="243"/>
      <c r="DU398" s="242"/>
      <c r="DW398" s="243"/>
      <c r="DY398" s="242"/>
      <c r="EA398" s="243"/>
    </row>
    <row r="399" spans="1:131">
      <c r="A399" s="20"/>
      <c r="B399" s="124" t="str">
        <f t="shared" si="374"/>
        <v/>
      </c>
      <c r="C399" s="235"/>
      <c r="D399" s="24">
        <f>'1% Wind'!$M$84</f>
        <v>20.5</v>
      </c>
      <c r="E399" s="90"/>
      <c r="F399" s="90"/>
      <c r="G399" s="79" t="e">
        <f ca="1">IF(I396=0.9743,$G398,MAX(G398/D398*D399,2))</f>
        <v>#REF!</v>
      </c>
      <c r="H399" s="121" t="e">
        <f t="shared" ca="1" si="375"/>
        <v>#REF!</v>
      </c>
      <c r="J399" s="33"/>
      <c r="K399" s="242">
        <f t="shared" si="376"/>
        <v>1</v>
      </c>
      <c r="L399" s="241" t="e">
        <f t="shared" ca="1" si="377"/>
        <v>#REF!</v>
      </c>
      <c r="M399" s="243" t="e">
        <f ca="1">IF(AND(INDEX(FlowCalConstA,MATCH(J396,FlowCalNumber,0),1,1)*L399^INDEX(FlowCalConstB,MATCH(J396,FlowCalNumber,0),1,1)&gt;INDEX(FlowCalLowSetting,MATCH(J396,FlowCalNumber,0),1,1), (INDEX(FlowCalConstA,MATCH(J396,FlowCalNumber,0),1,1)*L399^INDEX(FlowCalConstB,MATCH(J396,FlowCalNumber,0),1,1)&lt;INDEX(FlowCalHighSetting,MATCH(J396,FlowCalNumber,0),1,1))),INDEX(FlowCalConstA,MATCH(J396,FlowCalNumber,0),1,1)*L399^INDEX(FlowCalConstB,MATCH(J396,FlowCalNumber,0),1,1)," ")</f>
        <v>#REF!</v>
      </c>
      <c r="N399" s="33"/>
      <c r="O399" s="242">
        <f t="shared" si="378"/>
        <v>1</v>
      </c>
      <c r="P399" s="241" t="e">
        <f t="shared" ca="1" si="379"/>
        <v>#REF!</v>
      </c>
      <c r="Q399" s="243" t="e">
        <f ca="1">IF(AND(INDEX(FlowCalConstA,MATCH(N396,FlowCalNumber,0),1,1)*P399^INDEX(FlowCalConstB,MATCH(N396,FlowCalNumber,0),1,1)&gt;INDEX(FlowCalLowSetting,MATCH(N396,FlowCalNumber,0),1,1), (INDEX(FlowCalConstA,MATCH(N396,FlowCalNumber,0),1,1)*P399^INDEX(FlowCalConstB,MATCH(N396,FlowCalNumber,0),1,1)&lt;INDEX(FlowCalHighSetting,MATCH(N396,FlowCalNumber,0),1,1))),INDEX(FlowCalConstA,MATCH(N396,FlowCalNumber,0),1,1)*P399^INDEX(FlowCalConstB,MATCH(N396,FlowCalNumber,0),1,1)," ")</f>
        <v>#REF!</v>
      </c>
      <c r="R399" s="33"/>
      <c r="S399" s="242">
        <f t="shared" si="380"/>
        <v>1</v>
      </c>
      <c r="T399" s="241" t="e">
        <f t="shared" ca="1" si="381"/>
        <v>#REF!</v>
      </c>
      <c r="U399" s="244" t="e">
        <f ca="1">IF(AND(INDEX(FlowCalConstA,MATCH(R396,FlowCalNumber,0),1,1)*T399^INDEX(FlowCalConstB,MATCH(R396,FlowCalNumber,0),1,1)&gt;INDEX(FlowCalLowSetting,MATCH(R396,FlowCalNumber,0),1,1), (INDEX(FlowCalConstA,MATCH(R396,FlowCalNumber,0),1,1)*T399^INDEX(FlowCalConstB,MATCH(R396,FlowCalNumber,0),1,1)&lt;INDEX(FlowCalHighSetting,MATCH(R396,FlowCalNumber,0),1,1))),INDEX(FlowCalConstA,MATCH(R396,FlowCalNumber,0),1,1)*T399^INDEX(FlowCalConstB,MATCH(R396,FlowCalNumber,0),1,1)," ")</f>
        <v>#REF!</v>
      </c>
      <c r="V399" s="33"/>
      <c r="W399" s="242">
        <f t="shared" si="382"/>
        <v>0.1</v>
      </c>
      <c r="X399" s="241" t="e">
        <f t="shared" ca="1" si="383"/>
        <v>#REF!</v>
      </c>
      <c r="Y399" s="243" t="e">
        <f ca="1">IF(AND(INDEX(FlowCalConstA,MATCH(V396,FlowCalNumber,0),1,1)*X399^INDEX(FlowCalConstB,MATCH(V396,FlowCalNumber,0),1,1)&gt;INDEX(FlowCalLowSetting,MATCH(V396,FlowCalNumber,0),1,1), (INDEX(FlowCalConstA,MATCH(V396,FlowCalNumber,0),1,1)*X399^INDEX(FlowCalConstB,MATCH(V396,FlowCalNumber,0),1,1)&lt;INDEX(FlowCalHighSetting,MATCH(V396,FlowCalNumber,0),1,1))),INDEX(FlowCalConstA,MATCH(V396,FlowCalNumber,0),1,1)*X399^INDEX(FlowCalConstB,MATCH(V396,FlowCalNumber,0),1,1)," ")</f>
        <v>#REF!</v>
      </c>
      <c r="Z399" s="33"/>
      <c r="AA399" s="242">
        <f t="shared" si="384"/>
        <v>0.9</v>
      </c>
      <c r="AB399" s="241" t="e">
        <f t="shared" ca="1" si="385"/>
        <v>#REF!</v>
      </c>
      <c r="AC399" s="243" t="e">
        <f ca="1">IF(AND(INDEX(FlowCalConstA,MATCH(Z396,FlowCalNumber,0),1,1)*AB399^INDEX(FlowCalConstB,MATCH(Z396,FlowCalNumber,0),1,1)&gt;INDEX(FlowCalLowSetting,MATCH(Z396,FlowCalNumber,0),1,1), (INDEX(FlowCalConstA,MATCH(Z396,FlowCalNumber,0),1,1)*AB399^INDEX(FlowCalConstB,MATCH(Z396,FlowCalNumber,0),1,1)&lt;INDEX(FlowCalHighSetting,MATCH(Z396,FlowCalNumber,0),1,1))),INDEX(FlowCalConstA,MATCH(Z396,FlowCalNumber,0),1,1)*AB399^INDEX(FlowCalConstB,MATCH(Z396,FlowCalNumber,0),1,1)," ")</f>
        <v>#REF!</v>
      </c>
      <c r="AD399" s="33"/>
      <c r="AE399" s="242">
        <f t="shared" si="386"/>
        <v>0.1</v>
      </c>
      <c r="AF399" s="241" t="e">
        <f t="shared" ca="1" si="387"/>
        <v>#REF!</v>
      </c>
      <c r="AG399" s="243" t="e">
        <f ca="1">IF(AND(INDEX(FlowCalConstA,MATCH(AD396,FlowCalNumber,0),1,1)*AF399^INDEX(FlowCalConstB,MATCH(AD396,FlowCalNumber,0),1,1)&gt;INDEX(FlowCalLowSetting,MATCH(AD396,FlowCalNumber,0),1,1), (INDEX(FlowCalConstA,MATCH(AD396,FlowCalNumber,0),1,1)*AF399^INDEX(FlowCalConstB,MATCH(AD396,FlowCalNumber,0),1,1)&lt;INDEX(FlowCalHighSetting,MATCH(AD396,FlowCalNumber,0),1,1))),INDEX(FlowCalConstA,MATCH(AD396,FlowCalNumber,0),1,1)*AF399^INDEX(FlowCalConstB,MATCH(AD396,FlowCalNumber,0),1,1)," ")</f>
        <v>#REF!</v>
      </c>
      <c r="AH399" s="33"/>
      <c r="AI399" s="242">
        <f t="shared" si="388"/>
        <v>0.9</v>
      </c>
      <c r="AJ399" s="241" t="e">
        <f t="shared" ca="1" si="389"/>
        <v>#REF!</v>
      </c>
      <c r="AK399" s="243" t="e">
        <f ca="1">IF(AND(INDEX(FlowCalConstA,MATCH(AH396,FlowCalNumber,0),1,1)*AJ399^INDEX(FlowCalConstB,MATCH(AH396,FlowCalNumber,0),1,1)&gt;INDEX(FlowCalLowSetting,MATCH(AH396,FlowCalNumber,0),1,1), (INDEX(FlowCalConstA,MATCH(AH396,FlowCalNumber,0),1,1)*AJ399^INDEX(FlowCalConstB,MATCH(AH396,FlowCalNumber,0),1,1)&lt;INDEX(FlowCalHighSetting,MATCH(AH396,FlowCalNumber,0),1,1))),INDEX(FlowCalConstA,MATCH(AH396,FlowCalNumber,0),1,1)*AJ399^INDEX(FlowCalConstB,MATCH(AH396,FlowCalNumber,0),1,1)," ")</f>
        <v>#REF!</v>
      </c>
      <c r="AL399" s="33"/>
      <c r="AM399" s="242"/>
      <c r="AN399" s="241"/>
      <c r="AO399" s="244"/>
      <c r="AQ399" s="242"/>
      <c r="AR399" s="241"/>
      <c r="AS399" s="244"/>
      <c r="AT399" s="33"/>
      <c r="AU399" s="242"/>
      <c r="AV399" s="241"/>
      <c r="AW399" s="244"/>
      <c r="AX399" s="33"/>
      <c r="AY399" s="242"/>
      <c r="AZ399" s="241"/>
      <c r="BA399" s="244"/>
      <c r="BB399" s="33"/>
      <c r="BC399" s="242"/>
      <c r="BD399" s="241"/>
      <c r="BE399" s="244"/>
      <c r="BF399" s="33"/>
      <c r="BG399" s="242"/>
      <c r="BH399" s="241"/>
      <c r="BI399" s="244"/>
      <c r="BJ399" s="33"/>
      <c r="BK399" s="242"/>
      <c r="BL399" s="241"/>
      <c r="BM399" s="244"/>
      <c r="BN399" s="33"/>
      <c r="BO399" s="242"/>
      <c r="BP399" s="241"/>
      <c r="BQ399" s="244"/>
      <c r="BR399" s="33"/>
      <c r="BS399" s="242"/>
      <c r="BT399" s="241"/>
      <c r="BU399" s="244"/>
      <c r="BV399" s="33"/>
      <c r="BW399" s="242"/>
      <c r="BX399" s="241"/>
      <c r="BY399" s="244"/>
      <c r="BZ399" s="33"/>
      <c r="CA399" s="242"/>
      <c r="CB399" s="241"/>
      <c r="CC399" s="244"/>
      <c r="CD399" s="243"/>
      <c r="CE399" s="243"/>
      <c r="CF399" s="243"/>
      <c r="CG399" s="243"/>
      <c r="CH399" s="243"/>
      <c r="CI399" s="243"/>
      <c r="CJ399" s="243"/>
      <c r="CK399" s="243"/>
      <c r="CL399" s="243"/>
      <c r="CM399" s="243"/>
      <c r="CN399" s="243"/>
      <c r="CO399" s="243"/>
      <c r="CP399" s="243"/>
      <c r="CQ399" s="243"/>
      <c r="CR399" s="243"/>
      <c r="CS399" s="243"/>
      <c r="CT399" s="243"/>
      <c r="CU399" s="243"/>
      <c r="CV399" s="243"/>
      <c r="CW399" s="243"/>
      <c r="CX399" s="243"/>
      <c r="CY399" s="243"/>
      <c r="CZ399" s="243"/>
      <c r="DA399" s="243"/>
      <c r="DB399" s="243"/>
      <c r="DC399" s="243"/>
      <c r="DD399" s="243"/>
      <c r="DE399" s="243"/>
      <c r="DF399" s="243"/>
      <c r="DG399" s="243"/>
      <c r="DH399" s="243"/>
      <c r="DI399" s="243"/>
      <c r="DJ399" s="243"/>
      <c r="DK399" s="243"/>
      <c r="DM399" s="242"/>
      <c r="DO399" s="243"/>
      <c r="DQ399" s="242"/>
      <c r="DS399" s="243"/>
      <c r="DU399" s="242"/>
      <c r="DW399" s="243"/>
      <c r="DY399" s="242"/>
      <c r="EA399" s="243"/>
    </row>
    <row r="400" spans="1:131">
      <c r="A400" s="20"/>
      <c r="B400" s="124" t="str">
        <f t="shared" si="374"/>
        <v/>
      </c>
      <c r="C400" s="235"/>
      <c r="D400" s="24">
        <f>'1% Wind'!$M$85</f>
        <v>17.8</v>
      </c>
      <c r="E400" s="90"/>
      <c r="F400" s="90"/>
      <c r="G400" s="79" t="e">
        <f ca="1">IF(I396=0.9743,$G399,MAX(G399/D399*D400,2))</f>
        <v>#REF!</v>
      </c>
      <c r="H400" s="121" t="e">
        <f t="shared" ca="1" si="375"/>
        <v>#REF!</v>
      </c>
      <c r="J400" s="33"/>
      <c r="K400" s="242">
        <f t="shared" si="376"/>
        <v>1</v>
      </c>
      <c r="L400" s="241" t="e">
        <f t="shared" ca="1" si="377"/>
        <v>#REF!</v>
      </c>
      <c r="M400" s="243" t="e">
        <f ca="1">IF(AND(INDEX(FlowCalConstA,MATCH(J396,FlowCalNumber,0),1,1)*L400^INDEX(FlowCalConstB,MATCH(J396,FlowCalNumber,0),1,1)&gt;INDEX(FlowCalLowSetting,MATCH(J396,FlowCalNumber,0),1,1), (INDEX(FlowCalConstA,MATCH(J396,FlowCalNumber,0),1,1)*L400^INDEX(FlowCalConstB,MATCH(J396,FlowCalNumber,0),1,1)&lt;INDEX(FlowCalHighSetting,MATCH(J396,FlowCalNumber,0),1,1))),INDEX(FlowCalConstA,MATCH(J396,FlowCalNumber,0),1,1)*L400^INDEX(FlowCalConstB,MATCH(J396,FlowCalNumber,0),1,1)," ")</f>
        <v>#REF!</v>
      </c>
      <c r="N400" s="33"/>
      <c r="O400" s="242">
        <f t="shared" si="378"/>
        <v>1</v>
      </c>
      <c r="P400" s="241" t="e">
        <f t="shared" ca="1" si="379"/>
        <v>#REF!</v>
      </c>
      <c r="Q400" s="243" t="e">
        <f ca="1">IF(AND(INDEX(FlowCalConstA,MATCH(N396,FlowCalNumber,0),1,1)*P400^INDEX(FlowCalConstB,MATCH(N396,FlowCalNumber,0),1,1)&gt;INDEX(FlowCalLowSetting,MATCH(N396,FlowCalNumber,0),1,1), (INDEX(FlowCalConstA,MATCH(N396,FlowCalNumber,0),1,1)*P400^INDEX(FlowCalConstB,MATCH(N396,FlowCalNumber,0),1,1)&lt;INDEX(FlowCalHighSetting,MATCH(N396,FlowCalNumber,0),1,1))),INDEX(FlowCalConstA,MATCH(N396,FlowCalNumber,0),1,1)*P400^INDEX(FlowCalConstB,MATCH(N396,FlowCalNumber,0),1,1)," ")</f>
        <v>#REF!</v>
      </c>
      <c r="R400" s="33"/>
      <c r="S400" s="242">
        <f t="shared" si="380"/>
        <v>1</v>
      </c>
      <c r="T400" s="241" t="e">
        <f t="shared" ca="1" si="381"/>
        <v>#REF!</v>
      </c>
      <c r="U400" s="244" t="e">
        <f ca="1">IF(AND(INDEX(FlowCalConstA,MATCH(R396,FlowCalNumber,0),1,1)*T400^INDEX(FlowCalConstB,MATCH(R396,FlowCalNumber,0),1,1)&gt;INDEX(FlowCalLowSetting,MATCH(R396,FlowCalNumber,0),1,1), (INDEX(FlowCalConstA,MATCH(R396,FlowCalNumber,0),1,1)*T400^INDEX(FlowCalConstB,MATCH(R396,FlowCalNumber,0),1,1)&lt;INDEX(FlowCalHighSetting,MATCH(R396,FlowCalNumber,0),1,1))),INDEX(FlowCalConstA,MATCH(R396,FlowCalNumber,0),1,1)*T400^INDEX(FlowCalConstB,MATCH(R396,FlowCalNumber,0),1,1)," ")</f>
        <v>#REF!</v>
      </c>
      <c r="V400" s="33"/>
      <c r="W400" s="242">
        <f t="shared" si="382"/>
        <v>0.1</v>
      </c>
      <c r="X400" s="241" t="e">
        <f t="shared" ca="1" si="383"/>
        <v>#REF!</v>
      </c>
      <c r="Y400" s="243" t="e">
        <f ca="1">IF(AND(INDEX(FlowCalConstA,MATCH(V396,FlowCalNumber,0),1,1)*X400^INDEX(FlowCalConstB,MATCH(V396,FlowCalNumber,0),1,1)&gt;INDEX(FlowCalLowSetting,MATCH(V396,FlowCalNumber,0),1,1), (INDEX(FlowCalConstA,MATCH(V396,FlowCalNumber,0),1,1)*X400^INDEX(FlowCalConstB,MATCH(V396,FlowCalNumber,0),1,1)&lt;INDEX(FlowCalHighSetting,MATCH(V396,FlowCalNumber,0),1,1))),INDEX(FlowCalConstA,MATCH(V396,FlowCalNumber,0),1,1)*X400^INDEX(FlowCalConstB,MATCH(V396,FlowCalNumber,0),1,1)," ")</f>
        <v>#REF!</v>
      </c>
      <c r="Z400" s="33"/>
      <c r="AA400" s="242">
        <f t="shared" si="384"/>
        <v>0.9</v>
      </c>
      <c r="AB400" s="241" t="e">
        <f t="shared" ca="1" si="385"/>
        <v>#REF!</v>
      </c>
      <c r="AC400" s="243" t="e">
        <f ca="1">IF(AND(INDEX(FlowCalConstA,MATCH(Z396,FlowCalNumber,0),1,1)*AB400^INDEX(FlowCalConstB,MATCH(Z396,FlowCalNumber,0),1,1)&gt;INDEX(FlowCalLowSetting,MATCH(Z396,FlowCalNumber,0),1,1), (INDEX(FlowCalConstA,MATCH(Z396,FlowCalNumber,0),1,1)*AB400^INDEX(FlowCalConstB,MATCH(Z396,FlowCalNumber,0),1,1)&lt;INDEX(FlowCalHighSetting,MATCH(Z396,FlowCalNumber,0),1,1))),INDEX(FlowCalConstA,MATCH(Z396,FlowCalNumber,0),1,1)*AB400^INDEX(FlowCalConstB,MATCH(Z396,FlowCalNumber,0),1,1)," ")</f>
        <v>#REF!</v>
      </c>
      <c r="AD400" s="33"/>
      <c r="AE400" s="242">
        <f t="shared" si="386"/>
        <v>0.1</v>
      </c>
      <c r="AF400" s="241" t="e">
        <f t="shared" ca="1" si="387"/>
        <v>#REF!</v>
      </c>
      <c r="AG400" s="243" t="e">
        <f ca="1">IF(AND(INDEX(FlowCalConstA,MATCH(AD396,FlowCalNumber,0),1,1)*AF400^INDEX(FlowCalConstB,MATCH(AD396,FlowCalNumber,0),1,1)&gt;INDEX(FlowCalLowSetting,MATCH(AD396,FlowCalNumber,0),1,1), (INDEX(FlowCalConstA,MATCH(AD396,FlowCalNumber,0),1,1)*AF400^INDEX(FlowCalConstB,MATCH(AD396,FlowCalNumber,0),1,1)&lt;INDEX(FlowCalHighSetting,MATCH(AD396,FlowCalNumber,0),1,1))),INDEX(FlowCalConstA,MATCH(AD396,FlowCalNumber,0),1,1)*AF400^INDEX(FlowCalConstB,MATCH(AD396,FlowCalNumber,0),1,1)," ")</f>
        <v>#REF!</v>
      </c>
      <c r="AH400" s="33"/>
      <c r="AI400" s="242">
        <f t="shared" si="388"/>
        <v>0.9</v>
      </c>
      <c r="AJ400" s="241" t="e">
        <f t="shared" ca="1" si="389"/>
        <v>#REF!</v>
      </c>
      <c r="AK400" s="243" t="e">
        <f ca="1">IF(AND(INDEX(FlowCalConstA,MATCH(AH396,FlowCalNumber,0),1,1)*AJ400^INDEX(FlowCalConstB,MATCH(AH396,FlowCalNumber,0),1,1)&gt;INDEX(FlowCalLowSetting,MATCH(AH396,FlowCalNumber,0),1,1), (INDEX(FlowCalConstA,MATCH(AH396,FlowCalNumber,0),1,1)*AJ400^INDEX(FlowCalConstB,MATCH(AH396,FlowCalNumber,0),1,1)&lt;INDEX(FlowCalHighSetting,MATCH(AH396,FlowCalNumber,0),1,1))),INDEX(FlowCalConstA,MATCH(AH396,FlowCalNumber,0),1,1)*AJ400^INDEX(FlowCalConstB,MATCH(AH396,FlowCalNumber,0),1,1)," ")</f>
        <v>#REF!</v>
      </c>
      <c r="AL400" s="33"/>
      <c r="AM400" s="242"/>
      <c r="AN400" s="241"/>
      <c r="AO400" s="244"/>
      <c r="AQ400" s="242"/>
      <c r="AR400" s="241"/>
      <c r="AS400" s="244"/>
      <c r="AT400" s="33"/>
      <c r="AU400" s="242"/>
      <c r="AV400" s="241"/>
      <c r="AW400" s="244"/>
      <c r="AX400" s="33"/>
      <c r="AY400" s="242"/>
      <c r="AZ400" s="241"/>
      <c r="BA400" s="244"/>
      <c r="BB400" s="33"/>
      <c r="BC400" s="242"/>
      <c r="BD400" s="241"/>
      <c r="BE400" s="244"/>
      <c r="BF400" s="33"/>
      <c r="BG400" s="242"/>
      <c r="BH400" s="241"/>
      <c r="BI400" s="244"/>
      <c r="BJ400" s="33"/>
      <c r="BK400" s="242"/>
      <c r="BL400" s="241"/>
      <c r="BM400" s="244"/>
      <c r="BN400" s="33"/>
      <c r="BO400" s="242"/>
      <c r="BP400" s="241"/>
      <c r="BQ400" s="244"/>
      <c r="BR400" s="33"/>
      <c r="BS400" s="242"/>
      <c r="BT400" s="241"/>
      <c r="BU400" s="244"/>
      <c r="BV400" s="33"/>
      <c r="BW400" s="242"/>
      <c r="BX400" s="241"/>
      <c r="BY400" s="244"/>
      <c r="BZ400" s="33"/>
      <c r="CA400" s="242"/>
      <c r="CB400" s="241"/>
      <c r="CC400" s="244"/>
      <c r="CD400" s="243"/>
      <c r="CE400" s="243"/>
      <c r="CF400" s="243"/>
      <c r="CG400" s="243"/>
      <c r="CH400" s="243"/>
      <c r="CI400" s="243"/>
      <c r="CJ400" s="243"/>
      <c r="CK400" s="243"/>
      <c r="CL400" s="243"/>
      <c r="CM400" s="243"/>
      <c r="CN400" s="243"/>
      <c r="CO400" s="243"/>
      <c r="CP400" s="243"/>
      <c r="CQ400" s="243"/>
      <c r="CR400" s="243"/>
      <c r="CS400" s="243"/>
      <c r="CT400" s="243"/>
      <c r="CU400" s="243"/>
      <c r="CV400" s="243"/>
      <c r="CW400" s="243"/>
      <c r="CX400" s="243"/>
      <c r="CY400" s="243"/>
      <c r="CZ400" s="243"/>
      <c r="DA400" s="243"/>
      <c r="DB400" s="243"/>
      <c r="DC400" s="243"/>
      <c r="DD400" s="243"/>
      <c r="DE400" s="243"/>
      <c r="DF400" s="243"/>
      <c r="DG400" s="243"/>
      <c r="DH400" s="243"/>
      <c r="DI400" s="243"/>
      <c r="DJ400" s="243"/>
      <c r="DK400" s="243"/>
      <c r="DM400" s="242"/>
      <c r="DO400" s="243"/>
      <c r="DQ400" s="242"/>
      <c r="DS400" s="243"/>
      <c r="DU400" s="242"/>
      <c r="DW400" s="243"/>
      <c r="DY400" s="242"/>
      <c r="EA400" s="243"/>
    </row>
    <row r="401" spans="1:131">
      <c r="A401" s="20"/>
      <c r="B401" s="124" t="str">
        <f t="shared" si="374"/>
        <v/>
      </c>
      <c r="C401" s="235"/>
      <c r="D401" s="24">
        <f>'1% Wind'!$M$86</f>
        <v>15.5</v>
      </c>
      <c r="E401" s="90"/>
      <c r="F401" s="90"/>
      <c r="G401" s="79" t="e">
        <f ca="1">IF(I396=0.9743,$G400,MAX(G400/D400*D401,2))</f>
        <v>#REF!</v>
      </c>
      <c r="H401" s="121" t="e">
        <f t="shared" ca="1" si="375"/>
        <v>#REF!</v>
      </c>
      <c r="J401" s="33"/>
      <c r="K401" s="242">
        <f t="shared" si="376"/>
        <v>1</v>
      </c>
      <c r="L401" s="241" t="e">
        <f t="shared" ca="1" si="377"/>
        <v>#REF!</v>
      </c>
      <c r="M401" s="243" t="e">
        <f ca="1">IF(AND(INDEX(FlowCalConstA,MATCH(J396,FlowCalNumber,0),1,1)*L401^INDEX(FlowCalConstB,MATCH(J396,FlowCalNumber,0),1,1)&gt;INDEX(FlowCalLowSetting,MATCH(J396,FlowCalNumber,0),1,1), (INDEX(FlowCalConstA,MATCH(J396,FlowCalNumber,0),1,1)*L401^INDEX(FlowCalConstB,MATCH(J396,FlowCalNumber,0),1,1)&lt;INDEX(FlowCalHighSetting,MATCH(J396,FlowCalNumber,0),1,1))),INDEX(FlowCalConstA,MATCH(J396,FlowCalNumber,0),1,1)*L401^INDEX(FlowCalConstB,MATCH(J396,FlowCalNumber,0),1,1)," ")</f>
        <v>#REF!</v>
      </c>
      <c r="N401" s="33"/>
      <c r="O401" s="242">
        <f t="shared" si="378"/>
        <v>1</v>
      </c>
      <c r="P401" s="241" t="e">
        <f t="shared" ca="1" si="379"/>
        <v>#REF!</v>
      </c>
      <c r="Q401" s="243" t="e">
        <f ca="1">IF(AND(INDEX(FlowCalConstA,MATCH(N396,FlowCalNumber,0),1,1)*P401^INDEX(FlowCalConstB,MATCH(N396,FlowCalNumber,0),1,1)&gt;INDEX(FlowCalLowSetting,MATCH(N396,FlowCalNumber,0),1,1), (INDEX(FlowCalConstA,MATCH(N396,FlowCalNumber,0),1,1)*P401^INDEX(FlowCalConstB,MATCH(N396,FlowCalNumber,0),1,1)&lt;INDEX(FlowCalHighSetting,MATCH(N396,FlowCalNumber,0),1,1))),INDEX(FlowCalConstA,MATCH(N396,FlowCalNumber,0),1,1)*P401^INDEX(FlowCalConstB,MATCH(N396,FlowCalNumber,0),1,1)," ")</f>
        <v>#REF!</v>
      </c>
      <c r="R401" s="33"/>
      <c r="S401" s="242">
        <f t="shared" si="380"/>
        <v>1</v>
      </c>
      <c r="T401" s="241" t="e">
        <f t="shared" ca="1" si="381"/>
        <v>#REF!</v>
      </c>
      <c r="U401" s="244" t="e">
        <f ca="1">IF(AND(INDEX(FlowCalConstA,MATCH(R396,FlowCalNumber,0),1,1)*T401^INDEX(FlowCalConstB,MATCH(R396,FlowCalNumber,0),1,1)&gt;INDEX(FlowCalLowSetting,MATCH(R396,FlowCalNumber,0),1,1), (INDEX(FlowCalConstA,MATCH(R396,FlowCalNumber,0),1,1)*T401^INDEX(FlowCalConstB,MATCH(R396,FlowCalNumber,0),1,1)&lt;INDEX(FlowCalHighSetting,MATCH(R396,FlowCalNumber,0),1,1))),INDEX(FlowCalConstA,MATCH(R396,FlowCalNumber,0),1,1)*T401^INDEX(FlowCalConstB,MATCH(R396,FlowCalNumber,0),1,1)," ")</f>
        <v>#REF!</v>
      </c>
      <c r="V401" s="33"/>
      <c r="W401" s="242">
        <f t="shared" si="382"/>
        <v>0.1</v>
      </c>
      <c r="X401" s="241" t="e">
        <f t="shared" ca="1" si="383"/>
        <v>#REF!</v>
      </c>
      <c r="Y401" s="243" t="e">
        <f ca="1">IF(AND(INDEX(FlowCalConstA,MATCH(V396,FlowCalNumber,0),1,1)*X401^INDEX(FlowCalConstB,MATCH(V396,FlowCalNumber,0),1,1)&gt;INDEX(FlowCalLowSetting,MATCH(V396,FlowCalNumber,0),1,1), (INDEX(FlowCalConstA,MATCH(V396,FlowCalNumber,0),1,1)*X401^INDEX(FlowCalConstB,MATCH(V396,FlowCalNumber,0),1,1)&lt;INDEX(FlowCalHighSetting,MATCH(V396,FlowCalNumber,0),1,1))),INDEX(FlowCalConstA,MATCH(V396,FlowCalNumber,0),1,1)*X401^INDEX(FlowCalConstB,MATCH(V396,FlowCalNumber,0),1,1)," ")</f>
        <v>#REF!</v>
      </c>
      <c r="Z401" s="33"/>
      <c r="AA401" s="242">
        <f t="shared" si="384"/>
        <v>0.9</v>
      </c>
      <c r="AB401" s="241" t="e">
        <f t="shared" ca="1" si="385"/>
        <v>#REF!</v>
      </c>
      <c r="AC401" s="243" t="e">
        <f ca="1">IF(AND(INDEX(FlowCalConstA,MATCH(Z396,FlowCalNumber,0),1,1)*AB401^INDEX(FlowCalConstB,MATCH(Z396,FlowCalNumber,0),1,1)&gt;INDEX(FlowCalLowSetting,MATCH(Z396,FlowCalNumber,0),1,1), (INDEX(FlowCalConstA,MATCH(Z396,FlowCalNumber,0),1,1)*AB401^INDEX(FlowCalConstB,MATCH(Z396,FlowCalNumber,0),1,1)&lt;INDEX(FlowCalHighSetting,MATCH(Z396,FlowCalNumber,0),1,1))),INDEX(FlowCalConstA,MATCH(Z396,FlowCalNumber,0),1,1)*AB401^INDEX(FlowCalConstB,MATCH(Z396,FlowCalNumber,0),1,1)," ")</f>
        <v>#REF!</v>
      </c>
      <c r="AD401" s="33"/>
      <c r="AE401" s="242">
        <f t="shared" si="386"/>
        <v>0.1</v>
      </c>
      <c r="AF401" s="241" t="e">
        <f t="shared" ca="1" si="387"/>
        <v>#REF!</v>
      </c>
      <c r="AG401" s="243" t="e">
        <f ca="1">IF(AND(INDEX(FlowCalConstA,MATCH(AD396,FlowCalNumber,0),1,1)*AF401^INDEX(FlowCalConstB,MATCH(AD396,FlowCalNumber,0),1,1)&gt;INDEX(FlowCalLowSetting,MATCH(AD396,FlowCalNumber,0),1,1), (INDEX(FlowCalConstA,MATCH(AD396,FlowCalNumber,0),1,1)*AF401^INDEX(FlowCalConstB,MATCH(AD396,FlowCalNumber,0),1,1)&lt;INDEX(FlowCalHighSetting,MATCH(AD396,FlowCalNumber,0),1,1))),INDEX(FlowCalConstA,MATCH(AD396,FlowCalNumber,0),1,1)*AF401^INDEX(FlowCalConstB,MATCH(AD396,FlowCalNumber,0),1,1)," ")</f>
        <v>#REF!</v>
      </c>
      <c r="AH401" s="33"/>
      <c r="AI401" s="242">
        <f t="shared" si="388"/>
        <v>0.9</v>
      </c>
      <c r="AJ401" s="241" t="e">
        <f t="shared" ca="1" si="389"/>
        <v>#REF!</v>
      </c>
      <c r="AK401" s="243" t="e">
        <f ca="1">IF(AND(INDEX(FlowCalConstA,MATCH(AH396,FlowCalNumber,0),1,1)*AJ401^INDEX(FlowCalConstB,MATCH(AH396,FlowCalNumber,0),1,1)&gt;INDEX(FlowCalLowSetting,MATCH(AH396,FlowCalNumber,0),1,1), (INDEX(FlowCalConstA,MATCH(AH396,FlowCalNumber,0),1,1)*AJ401^INDEX(FlowCalConstB,MATCH(AH396,FlowCalNumber,0),1,1)&lt;INDEX(FlowCalHighSetting,MATCH(AH396,FlowCalNumber,0),1,1))),INDEX(FlowCalConstA,MATCH(AH396,FlowCalNumber,0),1,1)*AJ401^INDEX(FlowCalConstB,MATCH(AH396,FlowCalNumber,0),1,1)," ")</f>
        <v>#REF!</v>
      </c>
      <c r="AL401" s="33"/>
      <c r="AM401" s="242"/>
      <c r="AN401" s="241"/>
      <c r="AO401" s="244"/>
      <c r="AQ401" s="242"/>
      <c r="AR401" s="241"/>
      <c r="AS401" s="244"/>
      <c r="AT401" s="33"/>
      <c r="AU401" s="242"/>
      <c r="AV401" s="241"/>
      <c r="AW401" s="244"/>
      <c r="AX401" s="33"/>
      <c r="AY401" s="242"/>
      <c r="AZ401" s="241"/>
      <c r="BA401" s="244"/>
      <c r="BB401" s="33"/>
      <c r="BC401" s="242"/>
      <c r="BD401" s="241"/>
      <c r="BE401" s="244"/>
      <c r="BF401" s="33"/>
      <c r="BG401" s="242"/>
      <c r="BH401" s="241"/>
      <c r="BI401" s="244"/>
      <c r="BJ401" s="33"/>
      <c r="BK401" s="242"/>
      <c r="BL401" s="241"/>
      <c r="BM401" s="244"/>
      <c r="BN401" s="33"/>
      <c r="BO401" s="242"/>
      <c r="BP401" s="241"/>
      <c r="BQ401" s="244"/>
      <c r="BR401" s="33"/>
      <c r="BS401" s="242"/>
      <c r="BT401" s="241"/>
      <c r="BU401" s="244"/>
      <c r="BV401" s="33"/>
      <c r="BW401" s="242"/>
      <c r="BX401" s="241"/>
      <c r="BY401" s="244"/>
      <c r="BZ401" s="33"/>
      <c r="CA401" s="242"/>
      <c r="CB401" s="241"/>
      <c r="CC401" s="244"/>
      <c r="CD401" s="243"/>
      <c r="CE401" s="243"/>
      <c r="CF401" s="243"/>
      <c r="CG401" s="243"/>
      <c r="CH401" s="243"/>
      <c r="CI401" s="243"/>
      <c r="CJ401" s="243"/>
      <c r="CK401" s="243"/>
      <c r="CL401" s="243"/>
      <c r="CM401" s="243"/>
      <c r="CN401" s="243"/>
      <c r="CO401" s="243"/>
      <c r="CP401" s="243"/>
      <c r="CQ401" s="243"/>
      <c r="CR401" s="243"/>
      <c r="CS401" s="243"/>
      <c r="CT401" s="243"/>
      <c r="CU401" s="243"/>
      <c r="CV401" s="243"/>
      <c r="CW401" s="243"/>
      <c r="CX401" s="243"/>
      <c r="CY401" s="243"/>
      <c r="CZ401" s="243"/>
      <c r="DA401" s="243"/>
      <c r="DB401" s="243"/>
      <c r="DC401" s="243"/>
      <c r="DD401" s="243"/>
      <c r="DE401" s="243"/>
      <c r="DF401" s="243"/>
      <c r="DG401" s="243"/>
      <c r="DH401" s="243"/>
      <c r="DI401" s="243"/>
      <c r="DJ401" s="243"/>
      <c r="DK401" s="243"/>
      <c r="DM401" s="242"/>
      <c r="DO401" s="243"/>
      <c r="DQ401" s="242"/>
      <c r="DS401" s="243"/>
      <c r="DU401" s="242"/>
      <c r="DW401" s="243"/>
      <c r="DY401" s="242"/>
      <c r="EA401" s="243"/>
    </row>
    <row r="402" spans="1:131">
      <c r="A402" s="20"/>
      <c r="B402" s="124" t="str">
        <f t="shared" si="374"/>
        <v/>
      </c>
      <c r="C402" s="235"/>
      <c r="D402" s="24">
        <f>'1% Wind'!$M$87</f>
        <v>13.5</v>
      </c>
      <c r="E402" s="90"/>
      <c r="F402" s="90"/>
      <c r="G402" s="79" t="e">
        <f ca="1">IF(I396=0.9743,$G401,MAX(G401/D401*D402,2))</f>
        <v>#REF!</v>
      </c>
      <c r="H402" s="121" t="e">
        <f t="shared" ca="1" si="375"/>
        <v>#REF!</v>
      </c>
      <c r="J402" s="33"/>
      <c r="K402" s="242">
        <f t="shared" si="376"/>
        <v>1</v>
      </c>
      <c r="L402" s="241" t="e">
        <f t="shared" ca="1" si="377"/>
        <v>#REF!</v>
      </c>
      <c r="M402" s="243" t="e">
        <f ca="1">IF(AND(INDEX(FlowCalConstA,MATCH(J396,FlowCalNumber,0),1,1)*L402^INDEX(FlowCalConstB,MATCH(J396,FlowCalNumber,0),1,1)&gt;INDEX(FlowCalLowSetting,MATCH(J396,FlowCalNumber,0),1,1), (INDEX(FlowCalConstA,MATCH(J396,FlowCalNumber,0),1,1)*L402^INDEX(FlowCalConstB,MATCH(J396,FlowCalNumber,0),1,1)&lt;INDEX(FlowCalHighSetting,MATCH(J396,FlowCalNumber,0),1,1))),INDEX(FlowCalConstA,MATCH(J396,FlowCalNumber,0),1,1)*L402^INDEX(FlowCalConstB,MATCH(J396,FlowCalNumber,0),1,1)," ")</f>
        <v>#REF!</v>
      </c>
      <c r="N402" s="33"/>
      <c r="O402" s="242">
        <f t="shared" si="378"/>
        <v>1</v>
      </c>
      <c r="P402" s="241" t="e">
        <f t="shared" ca="1" si="379"/>
        <v>#REF!</v>
      </c>
      <c r="Q402" s="243" t="e">
        <f ca="1">IF(AND(INDEX(FlowCalConstA,MATCH(N396,FlowCalNumber,0),1,1)*P402^INDEX(FlowCalConstB,MATCH(N396,FlowCalNumber,0),1,1)&gt;INDEX(FlowCalLowSetting,MATCH(N396,FlowCalNumber,0),1,1), (INDEX(FlowCalConstA,MATCH(N396,FlowCalNumber,0),1,1)*P402^INDEX(FlowCalConstB,MATCH(N396,FlowCalNumber,0),1,1)&lt;INDEX(FlowCalHighSetting,MATCH(N396,FlowCalNumber,0),1,1))),INDEX(FlowCalConstA,MATCH(N396,FlowCalNumber,0),1,1)*P402^INDEX(FlowCalConstB,MATCH(N396,FlowCalNumber,0),1,1)," ")</f>
        <v>#REF!</v>
      </c>
      <c r="R402" s="33"/>
      <c r="S402" s="242">
        <f t="shared" si="380"/>
        <v>1</v>
      </c>
      <c r="T402" s="241" t="e">
        <f t="shared" ca="1" si="381"/>
        <v>#REF!</v>
      </c>
      <c r="U402" s="244" t="e">
        <f ca="1">IF(AND(INDEX(FlowCalConstA,MATCH(R396,FlowCalNumber,0),1,1)*T402^INDEX(FlowCalConstB,MATCH(R396,FlowCalNumber,0),1,1)&gt;INDEX(FlowCalLowSetting,MATCH(R396,FlowCalNumber,0),1,1), (INDEX(FlowCalConstA,MATCH(R396,FlowCalNumber,0),1,1)*T402^INDEX(FlowCalConstB,MATCH(R396,FlowCalNumber,0),1,1)&lt;INDEX(FlowCalHighSetting,MATCH(R396,FlowCalNumber,0),1,1))),INDEX(FlowCalConstA,MATCH(R396,FlowCalNumber,0),1,1)*T402^INDEX(FlowCalConstB,MATCH(R396,FlowCalNumber,0),1,1)," ")</f>
        <v>#REF!</v>
      </c>
      <c r="V402" s="33"/>
      <c r="W402" s="242">
        <f t="shared" si="382"/>
        <v>0.1</v>
      </c>
      <c r="X402" s="241" t="e">
        <f t="shared" ca="1" si="383"/>
        <v>#REF!</v>
      </c>
      <c r="Y402" s="243" t="e">
        <f ca="1">IF(AND(INDEX(FlowCalConstA,MATCH(V396,FlowCalNumber,0),1,1)*X402^INDEX(FlowCalConstB,MATCH(V396,FlowCalNumber,0),1,1)&gt;INDEX(FlowCalLowSetting,MATCH(V396,FlowCalNumber,0),1,1), (INDEX(FlowCalConstA,MATCH(V396,FlowCalNumber,0),1,1)*X402^INDEX(FlowCalConstB,MATCH(V396,FlowCalNumber,0),1,1)&lt;INDEX(FlowCalHighSetting,MATCH(V396,FlowCalNumber,0),1,1))),INDEX(FlowCalConstA,MATCH(V396,FlowCalNumber,0),1,1)*X402^INDEX(FlowCalConstB,MATCH(V396,FlowCalNumber,0),1,1)," ")</f>
        <v>#REF!</v>
      </c>
      <c r="Z402" s="33"/>
      <c r="AA402" s="242">
        <f t="shared" si="384"/>
        <v>0.9</v>
      </c>
      <c r="AB402" s="241" t="e">
        <f t="shared" ca="1" si="385"/>
        <v>#REF!</v>
      </c>
      <c r="AC402" s="243" t="e">
        <f ca="1">IF(AND(INDEX(FlowCalConstA,MATCH(Z396,FlowCalNumber,0),1,1)*AB402^INDEX(FlowCalConstB,MATCH(Z396,FlowCalNumber,0),1,1)&gt;INDEX(FlowCalLowSetting,MATCH(Z396,FlowCalNumber,0),1,1), (INDEX(FlowCalConstA,MATCH(Z396,FlowCalNumber,0),1,1)*AB402^INDEX(FlowCalConstB,MATCH(Z396,FlowCalNumber,0),1,1)&lt;INDEX(FlowCalHighSetting,MATCH(Z396,FlowCalNumber,0),1,1))),INDEX(FlowCalConstA,MATCH(Z396,FlowCalNumber,0),1,1)*AB402^INDEX(FlowCalConstB,MATCH(Z396,FlowCalNumber,0),1,1)," ")</f>
        <v>#REF!</v>
      </c>
      <c r="AD402" s="33"/>
      <c r="AE402" s="242">
        <f t="shared" si="386"/>
        <v>0.1</v>
      </c>
      <c r="AF402" s="241" t="e">
        <f t="shared" ca="1" si="387"/>
        <v>#REF!</v>
      </c>
      <c r="AG402" s="243" t="e">
        <f ca="1">IF(AND(INDEX(FlowCalConstA,MATCH(AD396,FlowCalNumber,0),1,1)*AF402^INDEX(FlowCalConstB,MATCH(AD396,FlowCalNumber,0),1,1)&gt;INDEX(FlowCalLowSetting,MATCH(AD396,FlowCalNumber,0),1,1), (INDEX(FlowCalConstA,MATCH(AD396,FlowCalNumber,0),1,1)*AF402^INDEX(FlowCalConstB,MATCH(AD396,FlowCalNumber,0),1,1)&lt;INDEX(FlowCalHighSetting,MATCH(AD396,FlowCalNumber,0),1,1))),INDEX(FlowCalConstA,MATCH(AD396,FlowCalNumber,0),1,1)*AF402^INDEX(FlowCalConstB,MATCH(AD396,FlowCalNumber,0),1,1)," ")</f>
        <v>#REF!</v>
      </c>
      <c r="AH402" s="33"/>
      <c r="AI402" s="242">
        <f t="shared" si="388"/>
        <v>0.9</v>
      </c>
      <c r="AJ402" s="241" t="e">
        <f t="shared" ca="1" si="389"/>
        <v>#REF!</v>
      </c>
      <c r="AK402" s="243" t="e">
        <f ca="1">IF(AND(INDEX(FlowCalConstA,MATCH(AH396,FlowCalNumber,0),1,1)*AJ402^INDEX(FlowCalConstB,MATCH(AH396,FlowCalNumber,0),1,1)&gt;INDEX(FlowCalLowSetting,MATCH(AH396,FlowCalNumber,0),1,1), (INDEX(FlowCalConstA,MATCH(AH396,FlowCalNumber,0),1,1)*AJ402^INDEX(FlowCalConstB,MATCH(AH396,FlowCalNumber,0),1,1)&lt;INDEX(FlowCalHighSetting,MATCH(AH396,FlowCalNumber,0),1,1))),INDEX(FlowCalConstA,MATCH(AH396,FlowCalNumber,0),1,1)*AJ402^INDEX(FlowCalConstB,MATCH(AH396,FlowCalNumber,0),1,1)," ")</f>
        <v>#REF!</v>
      </c>
      <c r="AL402" s="33"/>
      <c r="AM402" s="242"/>
      <c r="AN402" s="241"/>
      <c r="AO402" s="244"/>
      <c r="AQ402" s="242"/>
      <c r="AR402" s="241"/>
      <c r="AS402" s="244"/>
      <c r="AT402" s="33"/>
      <c r="AU402" s="242"/>
      <c r="AV402" s="241"/>
      <c r="AW402" s="244"/>
      <c r="AX402" s="33"/>
      <c r="AY402" s="242"/>
      <c r="AZ402" s="241"/>
      <c r="BA402" s="244"/>
      <c r="BB402" s="33"/>
      <c r="BC402" s="242"/>
      <c r="BD402" s="241"/>
      <c r="BE402" s="244"/>
      <c r="BF402" s="33"/>
      <c r="BG402" s="242"/>
      <c r="BH402" s="241"/>
      <c r="BI402" s="244"/>
      <c r="BJ402" s="33"/>
      <c r="BK402" s="242"/>
      <c r="BL402" s="241"/>
      <c r="BM402" s="244"/>
      <c r="BN402" s="33"/>
      <c r="BO402" s="242"/>
      <c r="BP402" s="241"/>
      <c r="BQ402" s="244"/>
      <c r="BR402" s="33"/>
      <c r="BS402" s="242"/>
      <c r="BT402" s="241"/>
      <c r="BU402" s="244"/>
      <c r="BV402" s="33"/>
      <c r="BW402" s="242"/>
      <c r="BX402" s="241"/>
      <c r="BY402" s="244"/>
      <c r="BZ402" s="33"/>
      <c r="CA402" s="242"/>
      <c r="CB402" s="241"/>
      <c r="CC402" s="244"/>
      <c r="CD402" s="243"/>
      <c r="CE402" s="243"/>
      <c r="CF402" s="243"/>
      <c r="CG402" s="243"/>
      <c r="CH402" s="243"/>
      <c r="CI402" s="243"/>
      <c r="CJ402" s="243"/>
      <c r="CK402" s="243"/>
      <c r="CL402" s="243"/>
      <c r="CM402" s="243"/>
      <c r="CN402" s="243"/>
      <c r="CO402" s="243"/>
      <c r="CP402" s="243"/>
      <c r="CQ402" s="243"/>
      <c r="CR402" s="243"/>
      <c r="CS402" s="243"/>
      <c r="CT402" s="243"/>
      <c r="CU402" s="243"/>
      <c r="CV402" s="243"/>
      <c r="CW402" s="243"/>
      <c r="CX402" s="243"/>
      <c r="CY402" s="243"/>
      <c r="CZ402" s="243"/>
      <c r="DA402" s="243"/>
      <c r="DB402" s="243"/>
      <c r="DC402" s="243"/>
      <c r="DD402" s="243"/>
      <c r="DE402" s="243"/>
      <c r="DF402" s="243"/>
      <c r="DG402" s="243"/>
      <c r="DH402" s="243"/>
      <c r="DI402" s="243"/>
      <c r="DJ402" s="243"/>
      <c r="DK402" s="243"/>
      <c r="DM402" s="242"/>
      <c r="DO402" s="243"/>
      <c r="DQ402" s="242"/>
      <c r="DS402" s="243"/>
      <c r="DU402" s="242"/>
      <c r="DW402" s="243"/>
      <c r="DY402" s="242"/>
      <c r="EA402" s="243"/>
    </row>
    <row r="403" spans="1:131">
      <c r="A403" s="20"/>
      <c r="B403" s="124" t="str">
        <f t="shared" si="374"/>
        <v/>
      </c>
      <c r="C403" s="235"/>
      <c r="D403" s="24">
        <f>'1% Wind'!$M$88</f>
        <v>10.1</v>
      </c>
      <c r="E403" s="90"/>
      <c r="F403" s="90"/>
      <c r="G403" s="79" t="e">
        <f ca="1">IF(I396=0.9743,$G402,MAX(G402/D402*D403,2))</f>
        <v>#REF!</v>
      </c>
      <c r="H403" s="121" t="e">
        <f t="shared" ca="1" si="375"/>
        <v>#REF!</v>
      </c>
      <c r="J403" s="33"/>
      <c r="K403" s="242">
        <f t="shared" si="376"/>
        <v>1</v>
      </c>
      <c r="L403" s="241" t="e">
        <f t="shared" ca="1" si="377"/>
        <v>#REF!</v>
      </c>
      <c r="M403" s="243" t="e">
        <f ca="1">IF(AND(INDEX(FlowCalConstA,MATCH(J396,FlowCalNumber,0),1,1)*L403^INDEX(FlowCalConstB,MATCH(J396,FlowCalNumber,0),1,1)&gt;INDEX(FlowCalLowSetting,MATCH(J396,FlowCalNumber,0),1,1), (INDEX(FlowCalConstA,MATCH(J396,FlowCalNumber,0),1,1)*L403^INDEX(FlowCalConstB,MATCH(J396,FlowCalNumber,0),1,1)&lt;INDEX(FlowCalHighSetting,MATCH(J396,FlowCalNumber,0),1,1))),INDEX(FlowCalConstA,MATCH(J396,FlowCalNumber,0),1,1)*L403^INDEX(FlowCalConstB,MATCH(J396,FlowCalNumber,0),1,1)," ")</f>
        <v>#REF!</v>
      </c>
      <c r="N403" s="33"/>
      <c r="O403" s="242">
        <f t="shared" si="378"/>
        <v>1</v>
      </c>
      <c r="P403" s="241" t="e">
        <f t="shared" ca="1" si="379"/>
        <v>#REF!</v>
      </c>
      <c r="Q403" s="243" t="e">
        <f ca="1">IF(AND(INDEX(FlowCalConstA,MATCH(N396,FlowCalNumber,0),1,1)*P403^INDEX(FlowCalConstB,MATCH(N396,FlowCalNumber,0),1,1)&gt;INDEX(FlowCalLowSetting,MATCH(N396,FlowCalNumber,0),1,1), (INDEX(FlowCalConstA,MATCH(N396,FlowCalNumber,0),1,1)*P403^INDEX(FlowCalConstB,MATCH(N396,FlowCalNumber,0),1,1)&lt;INDEX(FlowCalHighSetting,MATCH(N396,FlowCalNumber,0),1,1))),INDEX(FlowCalConstA,MATCH(N396,FlowCalNumber,0),1,1)*P403^INDEX(FlowCalConstB,MATCH(N396,FlowCalNumber,0),1,1)," ")</f>
        <v>#REF!</v>
      </c>
      <c r="R403" s="33"/>
      <c r="S403" s="242">
        <f t="shared" si="380"/>
        <v>1</v>
      </c>
      <c r="T403" s="241" t="e">
        <f t="shared" ca="1" si="381"/>
        <v>#REF!</v>
      </c>
      <c r="U403" s="244" t="e">
        <f ca="1">IF(AND(INDEX(FlowCalConstA,MATCH(R396,FlowCalNumber,0),1,1)*T403^INDEX(FlowCalConstB,MATCH(R396,FlowCalNumber,0),1,1)&gt;INDEX(FlowCalLowSetting,MATCH(R396,FlowCalNumber,0),1,1), (INDEX(FlowCalConstA,MATCH(R396,FlowCalNumber,0),1,1)*T403^INDEX(FlowCalConstB,MATCH(R396,FlowCalNumber,0),1,1)&lt;INDEX(FlowCalHighSetting,MATCH(R396,FlowCalNumber,0),1,1))),INDEX(FlowCalConstA,MATCH(R396,FlowCalNumber,0),1,1)*T403^INDEX(FlowCalConstB,MATCH(R396,FlowCalNumber,0),1,1)," ")</f>
        <v>#REF!</v>
      </c>
      <c r="V403" s="33"/>
      <c r="W403" s="242">
        <f t="shared" si="382"/>
        <v>0.1</v>
      </c>
      <c r="X403" s="241" t="e">
        <f t="shared" ca="1" si="383"/>
        <v>#REF!</v>
      </c>
      <c r="Y403" s="243" t="e">
        <f ca="1">IF(AND(INDEX(FlowCalConstA,MATCH(V396,FlowCalNumber,0),1,1)*X403^INDEX(FlowCalConstB,MATCH(V396,FlowCalNumber,0),1,1)&gt;INDEX(FlowCalLowSetting,MATCH(V396,FlowCalNumber,0),1,1), (INDEX(FlowCalConstA,MATCH(V396,FlowCalNumber,0),1,1)*X403^INDEX(FlowCalConstB,MATCH(V396,FlowCalNumber,0),1,1)&lt;INDEX(FlowCalHighSetting,MATCH(V396,FlowCalNumber,0),1,1))),INDEX(FlowCalConstA,MATCH(V396,FlowCalNumber,0),1,1)*X403^INDEX(FlowCalConstB,MATCH(V396,FlowCalNumber,0),1,1)," ")</f>
        <v>#REF!</v>
      </c>
      <c r="Z403" s="33"/>
      <c r="AA403" s="242">
        <f t="shared" si="384"/>
        <v>0.9</v>
      </c>
      <c r="AB403" s="241" t="e">
        <f t="shared" ca="1" si="385"/>
        <v>#REF!</v>
      </c>
      <c r="AC403" s="243" t="e">
        <f ca="1">IF(AND(INDEX(FlowCalConstA,MATCH(Z396,FlowCalNumber,0),1,1)*AB403^INDEX(FlowCalConstB,MATCH(Z396,FlowCalNumber,0),1,1)&gt;INDEX(FlowCalLowSetting,MATCH(Z396,FlowCalNumber,0),1,1), (INDEX(FlowCalConstA,MATCH(Z396,FlowCalNumber,0),1,1)*AB403^INDEX(FlowCalConstB,MATCH(Z396,FlowCalNumber,0),1,1)&lt;INDEX(FlowCalHighSetting,MATCH(Z396,FlowCalNumber,0),1,1))),INDEX(FlowCalConstA,MATCH(Z396,FlowCalNumber,0),1,1)*AB403^INDEX(FlowCalConstB,MATCH(Z396,FlowCalNumber,0),1,1)," ")</f>
        <v>#REF!</v>
      </c>
      <c r="AD403" s="33"/>
      <c r="AE403" s="242">
        <f t="shared" si="386"/>
        <v>0.1</v>
      </c>
      <c r="AF403" s="241" t="e">
        <f t="shared" ca="1" si="387"/>
        <v>#REF!</v>
      </c>
      <c r="AG403" s="243" t="e">
        <f ca="1">IF(AND(INDEX(FlowCalConstA,MATCH(AD396,FlowCalNumber,0),1,1)*AF403^INDEX(FlowCalConstB,MATCH(AD396,FlowCalNumber,0),1,1)&gt;INDEX(FlowCalLowSetting,MATCH(AD396,FlowCalNumber,0),1,1), (INDEX(FlowCalConstA,MATCH(AD396,FlowCalNumber,0),1,1)*AF403^INDEX(FlowCalConstB,MATCH(AD396,FlowCalNumber,0),1,1)&lt;INDEX(FlowCalHighSetting,MATCH(AD396,FlowCalNumber,0),1,1))),INDEX(FlowCalConstA,MATCH(AD396,FlowCalNumber,0),1,1)*AF403^INDEX(FlowCalConstB,MATCH(AD396,FlowCalNumber,0),1,1)," ")</f>
        <v>#REF!</v>
      </c>
      <c r="AH403" s="33"/>
      <c r="AI403" s="242">
        <f t="shared" si="388"/>
        <v>0.9</v>
      </c>
      <c r="AJ403" s="241" t="e">
        <f t="shared" ca="1" si="389"/>
        <v>#REF!</v>
      </c>
      <c r="AK403" s="243" t="e">
        <f ca="1">IF(AND(INDEX(FlowCalConstA,MATCH(AH396,FlowCalNumber,0),1,1)*AJ403^INDEX(FlowCalConstB,MATCH(AH396,FlowCalNumber,0),1,1)&gt;INDEX(FlowCalLowSetting,MATCH(AH396,FlowCalNumber,0),1,1), (INDEX(FlowCalConstA,MATCH(AH396,FlowCalNumber,0),1,1)*AJ403^INDEX(FlowCalConstB,MATCH(AH396,FlowCalNumber,0),1,1)&lt;INDEX(FlowCalHighSetting,MATCH(AH396,FlowCalNumber,0),1,1))),INDEX(FlowCalConstA,MATCH(AH396,FlowCalNumber,0),1,1)*AJ403^INDEX(FlowCalConstB,MATCH(AH396,FlowCalNumber,0),1,1)," ")</f>
        <v>#REF!</v>
      </c>
      <c r="AL403" s="33"/>
      <c r="AM403" s="242"/>
      <c r="AN403" s="241"/>
      <c r="AO403" s="244"/>
      <c r="AQ403" s="242"/>
      <c r="AR403" s="241"/>
      <c r="AS403" s="244"/>
      <c r="AT403" s="33"/>
      <c r="AU403" s="242"/>
      <c r="AV403" s="241"/>
      <c r="AW403" s="244"/>
      <c r="AX403" s="33"/>
      <c r="AY403" s="242"/>
      <c r="AZ403" s="241"/>
      <c r="BA403" s="244"/>
      <c r="BB403" s="33"/>
      <c r="BC403" s="242"/>
      <c r="BD403" s="241"/>
      <c r="BE403" s="244"/>
      <c r="BF403" s="33"/>
      <c r="BG403" s="242"/>
      <c r="BH403" s="241"/>
      <c r="BI403" s="244"/>
      <c r="BJ403" s="33"/>
      <c r="BK403" s="242"/>
      <c r="BL403" s="241"/>
      <c r="BM403" s="244"/>
      <c r="BN403" s="33"/>
      <c r="BO403" s="242"/>
      <c r="BP403" s="241"/>
      <c r="BQ403" s="244"/>
      <c r="BR403" s="33"/>
      <c r="BS403" s="242"/>
      <c r="BT403" s="241"/>
      <c r="BU403" s="244"/>
      <c r="BV403" s="33"/>
      <c r="BW403" s="242"/>
      <c r="BX403" s="241"/>
      <c r="BY403" s="244"/>
      <c r="BZ403" s="33"/>
      <c r="CA403" s="242"/>
      <c r="CB403" s="241"/>
      <c r="CC403" s="244"/>
      <c r="CD403" s="243"/>
      <c r="CE403" s="243"/>
      <c r="CF403" s="243"/>
      <c r="CG403" s="243"/>
      <c r="CH403" s="243"/>
      <c r="CI403" s="243"/>
      <c r="CJ403" s="243"/>
      <c r="CK403" s="243"/>
      <c r="CL403" s="243"/>
      <c r="CM403" s="243"/>
      <c r="CN403" s="243"/>
      <c r="CO403" s="243"/>
      <c r="CP403" s="243"/>
      <c r="CQ403" s="243"/>
      <c r="CR403" s="243"/>
      <c r="CS403" s="243"/>
      <c r="CT403" s="243"/>
      <c r="CU403" s="243"/>
      <c r="CV403" s="243"/>
      <c r="CW403" s="243"/>
      <c r="CX403" s="243"/>
      <c r="CY403" s="243"/>
      <c r="CZ403" s="243"/>
      <c r="DA403" s="243"/>
      <c r="DB403" s="243"/>
      <c r="DC403" s="243"/>
      <c r="DD403" s="243"/>
      <c r="DE403" s="243"/>
      <c r="DF403" s="243"/>
      <c r="DG403" s="243"/>
      <c r="DH403" s="243"/>
      <c r="DI403" s="243"/>
      <c r="DJ403" s="243"/>
      <c r="DK403" s="243"/>
      <c r="DM403" s="242"/>
      <c r="DO403" s="243"/>
      <c r="DQ403" s="242"/>
      <c r="DS403" s="243"/>
      <c r="DU403" s="242"/>
      <c r="DW403" s="243"/>
      <c r="DY403" s="242"/>
      <c r="EA403" s="243"/>
    </row>
    <row r="404" spans="1:131">
      <c r="A404" s="20"/>
      <c r="B404" s="124" t="str">
        <f t="shared" si="374"/>
        <v/>
      </c>
      <c r="C404" s="235"/>
      <c r="D404" s="24">
        <f>'1% Wind'!$M$89</f>
        <v>7.6</v>
      </c>
      <c r="E404" s="90"/>
      <c r="F404" s="90"/>
      <c r="G404" s="79" t="e">
        <f ca="1">IF(I396=0.9743,$G403,MAX(G403/D403*D404,2))</f>
        <v>#REF!</v>
      </c>
      <c r="H404" s="121" t="e">
        <f t="shared" ca="1" si="375"/>
        <v>#REF!</v>
      </c>
      <c r="J404" s="33"/>
      <c r="K404" s="242">
        <f t="shared" si="376"/>
        <v>1</v>
      </c>
      <c r="L404" s="241" t="e">
        <f t="shared" ca="1" si="377"/>
        <v>#REF!</v>
      </c>
      <c r="M404" s="243" t="e">
        <f ca="1">IF(AND(INDEX(FlowCalConstA,MATCH(J396,FlowCalNumber,0),1,1)*L404^INDEX(FlowCalConstB,MATCH(J396,FlowCalNumber,0),1,1)&gt;INDEX(FlowCalLowSetting,MATCH(J396,FlowCalNumber,0),1,1), (INDEX(FlowCalConstA,MATCH(J396,FlowCalNumber,0),1,1)*L404^INDEX(FlowCalConstB,MATCH(J396,FlowCalNumber,0),1,1)&lt;INDEX(FlowCalHighSetting,MATCH(J396,FlowCalNumber,0),1,1))),INDEX(FlowCalConstA,MATCH(J396,FlowCalNumber,0),1,1)*L404^INDEX(FlowCalConstB,MATCH(J396,FlowCalNumber,0),1,1)," ")</f>
        <v>#REF!</v>
      </c>
      <c r="N404" s="33"/>
      <c r="O404" s="242">
        <f t="shared" si="378"/>
        <v>1</v>
      </c>
      <c r="P404" s="241" t="e">
        <f t="shared" ca="1" si="379"/>
        <v>#REF!</v>
      </c>
      <c r="Q404" s="243" t="e">
        <f ca="1">IF(AND(INDEX(FlowCalConstA,MATCH(N396,FlowCalNumber,0),1,1)*P404^INDEX(FlowCalConstB,MATCH(N396,FlowCalNumber,0),1,1)&gt;INDEX(FlowCalLowSetting,MATCH(N396,FlowCalNumber,0),1,1), (INDEX(FlowCalConstA,MATCH(N396,FlowCalNumber,0),1,1)*P404^INDEX(FlowCalConstB,MATCH(N396,FlowCalNumber,0),1,1)&lt;INDEX(FlowCalHighSetting,MATCH(N396,FlowCalNumber,0),1,1))),INDEX(FlowCalConstA,MATCH(N396,FlowCalNumber,0),1,1)*P404^INDEX(FlowCalConstB,MATCH(N396,FlowCalNumber,0),1,1)," ")</f>
        <v>#REF!</v>
      </c>
      <c r="R404" s="33"/>
      <c r="S404" s="242">
        <f t="shared" si="380"/>
        <v>1</v>
      </c>
      <c r="T404" s="241" t="e">
        <f t="shared" ca="1" si="381"/>
        <v>#REF!</v>
      </c>
      <c r="U404" s="244" t="e">
        <f ca="1">IF(AND(INDEX(FlowCalConstA,MATCH(R396,FlowCalNumber,0),1,1)*T404^INDEX(FlowCalConstB,MATCH(R396,FlowCalNumber,0),1,1)&gt;INDEX(FlowCalLowSetting,MATCH(R396,FlowCalNumber,0),1,1), (INDEX(FlowCalConstA,MATCH(R396,FlowCalNumber,0),1,1)*T404^INDEX(FlowCalConstB,MATCH(R396,FlowCalNumber,0),1,1)&lt;INDEX(FlowCalHighSetting,MATCH(R396,FlowCalNumber,0),1,1))),INDEX(FlowCalConstA,MATCH(R396,FlowCalNumber,0),1,1)*T404^INDEX(FlowCalConstB,MATCH(R396,FlowCalNumber,0),1,1)," ")</f>
        <v>#REF!</v>
      </c>
      <c r="V404" s="33"/>
      <c r="W404" s="242">
        <f t="shared" si="382"/>
        <v>0.1</v>
      </c>
      <c r="X404" s="241" t="e">
        <f t="shared" ca="1" si="383"/>
        <v>#REF!</v>
      </c>
      <c r="Y404" s="243" t="e">
        <f ca="1">IF(AND(INDEX(FlowCalConstA,MATCH(V396,FlowCalNumber,0),1,1)*X404^INDEX(FlowCalConstB,MATCH(V396,FlowCalNumber,0),1,1)&gt;INDEX(FlowCalLowSetting,MATCH(V396,FlowCalNumber,0),1,1), (INDEX(FlowCalConstA,MATCH(V396,FlowCalNumber,0),1,1)*X404^INDEX(FlowCalConstB,MATCH(V396,FlowCalNumber,0),1,1)&lt;INDEX(FlowCalHighSetting,MATCH(V396,FlowCalNumber,0),1,1))),INDEX(FlowCalConstA,MATCH(V396,FlowCalNumber,0),1,1)*X404^INDEX(FlowCalConstB,MATCH(V396,FlowCalNumber,0),1,1)," ")</f>
        <v>#REF!</v>
      </c>
      <c r="Z404" s="33"/>
      <c r="AA404" s="242">
        <f t="shared" si="384"/>
        <v>0.9</v>
      </c>
      <c r="AB404" s="241" t="e">
        <f t="shared" ca="1" si="385"/>
        <v>#REF!</v>
      </c>
      <c r="AC404" s="243" t="e">
        <f ca="1">IF(AND(INDEX(FlowCalConstA,MATCH(Z396,FlowCalNumber,0),1,1)*AB404^INDEX(FlowCalConstB,MATCH(Z396,FlowCalNumber,0),1,1)&gt;INDEX(FlowCalLowSetting,MATCH(Z396,FlowCalNumber,0),1,1), (INDEX(FlowCalConstA,MATCH(Z396,FlowCalNumber,0),1,1)*AB404^INDEX(FlowCalConstB,MATCH(Z396,FlowCalNumber,0),1,1)&lt;INDEX(FlowCalHighSetting,MATCH(Z396,FlowCalNumber,0),1,1))),INDEX(FlowCalConstA,MATCH(Z396,FlowCalNumber,0),1,1)*AB404^INDEX(FlowCalConstB,MATCH(Z396,FlowCalNumber,0),1,1)," ")</f>
        <v>#REF!</v>
      </c>
      <c r="AD404" s="33"/>
      <c r="AE404" s="242">
        <f t="shared" si="386"/>
        <v>0.1</v>
      </c>
      <c r="AF404" s="241" t="e">
        <f t="shared" ca="1" si="387"/>
        <v>#REF!</v>
      </c>
      <c r="AG404" s="243" t="e">
        <f ca="1">IF(AND(INDEX(FlowCalConstA,MATCH(AD396,FlowCalNumber,0),1,1)*AF404^INDEX(FlowCalConstB,MATCH(AD396,FlowCalNumber,0),1,1)&gt;INDEX(FlowCalLowSetting,MATCH(AD396,FlowCalNumber,0),1,1), (INDEX(FlowCalConstA,MATCH(AD396,FlowCalNumber,0),1,1)*AF404^INDEX(FlowCalConstB,MATCH(AD396,FlowCalNumber,0),1,1)&lt;INDEX(FlowCalHighSetting,MATCH(AD396,FlowCalNumber,0),1,1))),INDEX(FlowCalConstA,MATCH(AD396,FlowCalNumber,0),1,1)*AF404^INDEX(FlowCalConstB,MATCH(AD396,FlowCalNumber,0),1,1)," ")</f>
        <v>#REF!</v>
      </c>
      <c r="AH404" s="33"/>
      <c r="AI404" s="242">
        <f t="shared" si="388"/>
        <v>0.9</v>
      </c>
      <c r="AJ404" s="241" t="e">
        <f t="shared" ca="1" si="389"/>
        <v>#REF!</v>
      </c>
      <c r="AK404" s="243" t="e">
        <f ca="1">IF(AND(INDEX(FlowCalConstA,MATCH(AH396,FlowCalNumber,0),1,1)*AJ404^INDEX(FlowCalConstB,MATCH(AH396,FlowCalNumber,0),1,1)&gt;INDEX(FlowCalLowSetting,MATCH(AH396,FlowCalNumber,0),1,1), (INDEX(FlowCalConstA,MATCH(AH396,FlowCalNumber,0),1,1)*AJ404^INDEX(FlowCalConstB,MATCH(AH396,FlowCalNumber,0),1,1)&lt;INDEX(FlowCalHighSetting,MATCH(AH396,FlowCalNumber,0),1,1))),INDEX(FlowCalConstA,MATCH(AH396,FlowCalNumber,0),1,1)*AJ404^INDEX(FlowCalConstB,MATCH(AH396,FlowCalNumber,0),1,1)," ")</f>
        <v>#REF!</v>
      </c>
      <c r="AL404" s="33"/>
      <c r="AM404" s="242"/>
      <c r="AN404" s="241"/>
      <c r="AO404" s="244"/>
      <c r="AQ404" s="242"/>
      <c r="AR404" s="241"/>
      <c r="AS404" s="244"/>
      <c r="AT404" s="33"/>
      <c r="AU404" s="242"/>
      <c r="AV404" s="241"/>
      <c r="AW404" s="244"/>
      <c r="AX404" s="33"/>
      <c r="AY404" s="242"/>
      <c r="AZ404" s="241"/>
      <c r="BA404" s="244"/>
      <c r="BB404" s="33"/>
      <c r="BC404" s="242"/>
      <c r="BD404" s="241"/>
      <c r="BE404" s="244"/>
      <c r="BF404" s="33"/>
      <c r="BG404" s="242"/>
      <c r="BH404" s="241"/>
      <c r="BI404" s="244"/>
      <c r="BJ404" s="33"/>
      <c r="BK404" s="242"/>
      <c r="BL404" s="241"/>
      <c r="BM404" s="244"/>
      <c r="BN404" s="33"/>
      <c r="BO404" s="242"/>
      <c r="BP404" s="241"/>
      <c r="BQ404" s="244"/>
      <c r="BR404" s="33"/>
      <c r="BS404" s="242"/>
      <c r="BT404" s="241"/>
      <c r="BU404" s="244"/>
      <c r="BV404" s="33"/>
      <c r="BW404" s="242"/>
      <c r="BX404" s="241"/>
      <c r="BY404" s="244"/>
      <c r="BZ404" s="33"/>
      <c r="CA404" s="242"/>
      <c r="CB404" s="241"/>
      <c r="CC404" s="244"/>
      <c r="CD404" s="243"/>
      <c r="CE404" s="243"/>
      <c r="CF404" s="243"/>
      <c r="CG404" s="243"/>
      <c r="CH404" s="243"/>
      <c r="CI404" s="243"/>
      <c r="CJ404" s="243"/>
      <c r="CK404" s="243"/>
      <c r="CL404" s="243"/>
      <c r="CM404" s="243"/>
      <c r="CN404" s="243"/>
      <c r="CO404" s="243"/>
      <c r="CP404" s="243"/>
      <c r="CQ404" s="243"/>
      <c r="CR404" s="243"/>
      <c r="CS404" s="243"/>
      <c r="CT404" s="243"/>
      <c r="CU404" s="243"/>
      <c r="CV404" s="243"/>
      <c r="CW404" s="243"/>
      <c r="CX404" s="243"/>
      <c r="CY404" s="243"/>
      <c r="CZ404" s="243"/>
      <c r="DA404" s="243"/>
      <c r="DB404" s="243"/>
      <c r="DC404" s="243"/>
      <c r="DD404" s="243"/>
      <c r="DE404" s="243"/>
      <c r="DF404" s="243"/>
      <c r="DG404" s="243"/>
      <c r="DH404" s="243"/>
      <c r="DI404" s="243"/>
      <c r="DJ404" s="243"/>
      <c r="DK404" s="243"/>
      <c r="DM404" s="242"/>
      <c r="DO404" s="243"/>
      <c r="DQ404" s="242"/>
      <c r="DS404" s="243"/>
      <c r="DU404" s="242"/>
      <c r="DW404" s="243"/>
      <c r="DY404" s="242"/>
      <c r="EA404" s="243"/>
    </row>
    <row r="405" spans="1:131">
      <c r="A405" s="20"/>
      <c r="B405" s="124" t="str">
        <f t="shared" si="374"/>
        <v/>
      </c>
      <c r="C405" s="235"/>
      <c r="D405" s="24">
        <f>'1% Wind'!$M$90</f>
        <v>5.7</v>
      </c>
      <c r="E405" s="90"/>
      <c r="F405" s="90"/>
      <c r="G405" s="79" t="e">
        <f ca="1">IF(I396=0.9743,$G404,MAX(G404/D404*D405,2))</f>
        <v>#REF!</v>
      </c>
      <c r="H405" s="121" t="e">
        <f t="shared" ca="1" si="375"/>
        <v>#REF!</v>
      </c>
      <c r="J405" s="33"/>
      <c r="K405" s="242">
        <f t="shared" si="376"/>
        <v>1</v>
      </c>
      <c r="L405" s="241" t="e">
        <f t="shared" ca="1" si="377"/>
        <v>#REF!</v>
      </c>
      <c r="M405" s="243" t="e">
        <f ca="1">IF(AND(INDEX(FlowCalConstA,MATCH(J396,FlowCalNumber,0),1,1)*L405^INDEX(FlowCalConstB,MATCH(J396,FlowCalNumber,0),1,1)&gt;INDEX(FlowCalLowSetting,MATCH(J396,FlowCalNumber,0),1,1), (INDEX(FlowCalConstA,MATCH(J396,FlowCalNumber,0),1,1)*L405^INDEX(FlowCalConstB,MATCH(J396,FlowCalNumber,0),1,1)&lt;INDEX(FlowCalHighSetting,MATCH(J396,FlowCalNumber,0),1,1))),INDEX(FlowCalConstA,MATCH(J396,FlowCalNumber,0),1,1)*L405^INDEX(FlowCalConstB,MATCH(J396,FlowCalNumber,0),1,1)," ")</f>
        <v>#REF!</v>
      </c>
      <c r="N405" s="33"/>
      <c r="O405" s="242">
        <f t="shared" si="378"/>
        <v>1</v>
      </c>
      <c r="P405" s="241" t="e">
        <f t="shared" ca="1" si="379"/>
        <v>#REF!</v>
      </c>
      <c r="Q405" s="243" t="e">
        <f ca="1">IF(AND(INDEX(FlowCalConstA,MATCH(N396,FlowCalNumber,0),1,1)*P405^INDEX(FlowCalConstB,MATCH(N396,FlowCalNumber,0),1,1)&gt;INDEX(FlowCalLowSetting,MATCH(N396,FlowCalNumber,0),1,1), (INDEX(FlowCalConstA,MATCH(N396,FlowCalNumber,0),1,1)*P405^INDEX(FlowCalConstB,MATCH(N396,FlowCalNumber,0),1,1)&lt;INDEX(FlowCalHighSetting,MATCH(N396,FlowCalNumber,0),1,1))),INDEX(FlowCalConstA,MATCH(N396,FlowCalNumber,0),1,1)*P405^INDEX(FlowCalConstB,MATCH(N396,FlowCalNumber,0),1,1)," ")</f>
        <v>#REF!</v>
      </c>
      <c r="R405" s="33"/>
      <c r="S405" s="242">
        <f t="shared" si="380"/>
        <v>1</v>
      </c>
      <c r="T405" s="241" t="e">
        <f t="shared" ca="1" si="381"/>
        <v>#REF!</v>
      </c>
      <c r="U405" s="244" t="e">
        <f ca="1">IF(AND(INDEX(FlowCalConstA,MATCH(R396,FlowCalNumber,0),1,1)*T405^INDEX(FlowCalConstB,MATCH(R396,FlowCalNumber,0),1,1)&gt;INDEX(FlowCalLowSetting,MATCH(R396,FlowCalNumber,0),1,1), (INDEX(FlowCalConstA,MATCH(R396,FlowCalNumber,0),1,1)*T405^INDEX(FlowCalConstB,MATCH(R396,FlowCalNumber,0),1,1)&lt;INDEX(FlowCalHighSetting,MATCH(R396,FlowCalNumber,0),1,1))),INDEX(FlowCalConstA,MATCH(R396,FlowCalNumber,0),1,1)*T405^INDEX(FlowCalConstB,MATCH(R396,FlowCalNumber,0),1,1)," ")</f>
        <v>#REF!</v>
      </c>
      <c r="V405" s="33"/>
      <c r="W405" s="242">
        <f t="shared" si="382"/>
        <v>0.1</v>
      </c>
      <c r="X405" s="241" t="e">
        <f t="shared" ca="1" si="383"/>
        <v>#REF!</v>
      </c>
      <c r="Y405" s="243" t="e">
        <f ca="1">IF(AND(INDEX(FlowCalConstA,MATCH(V396,FlowCalNumber,0),1,1)*X405^INDEX(FlowCalConstB,MATCH(V396,FlowCalNumber,0),1,1)&gt;INDEX(FlowCalLowSetting,MATCH(V396,FlowCalNumber,0),1,1), (INDEX(FlowCalConstA,MATCH(V396,FlowCalNumber,0),1,1)*X405^INDEX(FlowCalConstB,MATCH(V396,FlowCalNumber,0),1,1)&lt;INDEX(FlowCalHighSetting,MATCH(V396,FlowCalNumber,0),1,1))),INDEX(FlowCalConstA,MATCH(V396,FlowCalNumber,0),1,1)*X405^INDEX(FlowCalConstB,MATCH(V396,FlowCalNumber,0),1,1)," ")</f>
        <v>#REF!</v>
      </c>
      <c r="Z405" s="33"/>
      <c r="AA405" s="242">
        <f t="shared" si="384"/>
        <v>0.9</v>
      </c>
      <c r="AB405" s="241" t="e">
        <f t="shared" ca="1" si="385"/>
        <v>#REF!</v>
      </c>
      <c r="AC405" s="243" t="e">
        <f ca="1">IF(AND(INDEX(FlowCalConstA,MATCH(Z396,FlowCalNumber,0),1,1)*AB405^INDEX(FlowCalConstB,MATCH(Z396,FlowCalNumber,0),1,1)&gt;INDEX(FlowCalLowSetting,MATCH(Z396,FlowCalNumber,0),1,1), (INDEX(FlowCalConstA,MATCH(Z396,FlowCalNumber,0),1,1)*AB405^INDEX(FlowCalConstB,MATCH(Z396,FlowCalNumber,0),1,1)&lt;INDEX(FlowCalHighSetting,MATCH(Z396,FlowCalNumber,0),1,1))),INDEX(FlowCalConstA,MATCH(Z396,FlowCalNumber,0),1,1)*AB405^INDEX(FlowCalConstB,MATCH(Z396,FlowCalNumber,0),1,1)," ")</f>
        <v>#REF!</v>
      </c>
      <c r="AD405" s="33"/>
      <c r="AE405" s="242">
        <f t="shared" si="386"/>
        <v>0.1</v>
      </c>
      <c r="AF405" s="241" t="e">
        <f t="shared" ca="1" si="387"/>
        <v>#REF!</v>
      </c>
      <c r="AG405" s="243" t="e">
        <f ca="1">IF(AND(INDEX(FlowCalConstA,MATCH(AD396,FlowCalNumber,0),1,1)*AF405^INDEX(FlowCalConstB,MATCH(AD396,FlowCalNumber,0),1,1)&gt;INDEX(FlowCalLowSetting,MATCH(AD396,FlowCalNumber,0),1,1), (INDEX(FlowCalConstA,MATCH(AD396,FlowCalNumber,0),1,1)*AF405^INDEX(FlowCalConstB,MATCH(AD396,FlowCalNumber,0),1,1)&lt;INDEX(FlowCalHighSetting,MATCH(AD396,FlowCalNumber,0),1,1))),INDEX(FlowCalConstA,MATCH(AD396,FlowCalNumber,0),1,1)*AF405^INDEX(FlowCalConstB,MATCH(AD396,FlowCalNumber,0),1,1)," ")</f>
        <v>#REF!</v>
      </c>
      <c r="AH405" s="33"/>
      <c r="AI405" s="242">
        <f t="shared" si="388"/>
        <v>0.9</v>
      </c>
      <c r="AJ405" s="241" t="e">
        <f t="shared" ca="1" si="389"/>
        <v>#REF!</v>
      </c>
      <c r="AK405" s="243" t="e">
        <f ca="1">IF(AND(INDEX(FlowCalConstA,MATCH(AH396,FlowCalNumber,0),1,1)*AJ405^INDEX(FlowCalConstB,MATCH(AH396,FlowCalNumber,0),1,1)&gt;INDEX(FlowCalLowSetting,MATCH(AH396,FlowCalNumber,0),1,1), (INDEX(FlowCalConstA,MATCH(AH396,FlowCalNumber,0),1,1)*AJ405^INDEX(FlowCalConstB,MATCH(AH396,FlowCalNumber,0),1,1)&lt;INDEX(FlowCalHighSetting,MATCH(AH396,FlowCalNumber,0),1,1))),INDEX(FlowCalConstA,MATCH(AH396,FlowCalNumber,0),1,1)*AJ405^INDEX(FlowCalConstB,MATCH(AH396,FlowCalNumber,0),1,1)," ")</f>
        <v>#REF!</v>
      </c>
      <c r="AL405" s="33"/>
      <c r="AM405" s="242"/>
      <c r="AN405" s="241"/>
      <c r="AO405" s="244"/>
      <c r="AQ405" s="242"/>
      <c r="AR405" s="241"/>
      <c r="AS405" s="244"/>
      <c r="AT405" s="33"/>
      <c r="AU405" s="242"/>
      <c r="AV405" s="241"/>
      <c r="AW405" s="244"/>
      <c r="AX405" s="33"/>
      <c r="AY405" s="242"/>
      <c r="AZ405" s="241"/>
      <c r="BA405" s="244"/>
      <c r="BB405" s="33"/>
      <c r="BC405" s="242"/>
      <c r="BD405" s="241"/>
      <c r="BE405" s="244"/>
      <c r="BF405" s="33"/>
      <c r="BG405" s="242"/>
      <c r="BH405" s="241"/>
      <c r="BI405" s="244"/>
      <c r="BJ405" s="33"/>
      <c r="BK405" s="242"/>
      <c r="BL405" s="241"/>
      <c r="BM405" s="244"/>
      <c r="BN405" s="33"/>
      <c r="BO405" s="242"/>
      <c r="BP405" s="241"/>
      <c r="BQ405" s="244"/>
      <c r="BR405" s="33"/>
      <c r="BS405" s="242"/>
      <c r="BT405" s="241"/>
      <c r="BU405" s="244"/>
      <c r="BV405" s="33"/>
      <c r="BW405" s="242"/>
      <c r="BX405" s="241"/>
      <c r="BY405" s="244"/>
      <c r="BZ405" s="33"/>
      <c r="CA405" s="242"/>
      <c r="CB405" s="241"/>
      <c r="CC405" s="244"/>
      <c r="CD405" s="243"/>
      <c r="CE405" s="243"/>
      <c r="CF405" s="243"/>
      <c r="CG405" s="243"/>
      <c r="CH405" s="243"/>
      <c r="CI405" s="243"/>
      <c r="CJ405" s="243"/>
      <c r="CK405" s="243"/>
      <c r="CL405" s="243"/>
      <c r="CM405" s="243"/>
      <c r="CN405" s="243"/>
      <c r="CO405" s="243"/>
      <c r="CP405" s="243"/>
      <c r="CQ405" s="243"/>
      <c r="CR405" s="243"/>
      <c r="CS405" s="243"/>
      <c r="CT405" s="243"/>
      <c r="CU405" s="243"/>
      <c r="CV405" s="243"/>
      <c r="CW405" s="243"/>
      <c r="CX405" s="243"/>
      <c r="CY405" s="243"/>
      <c r="CZ405" s="243"/>
      <c r="DA405" s="243"/>
      <c r="DB405" s="243"/>
      <c r="DC405" s="243"/>
      <c r="DD405" s="243"/>
      <c r="DE405" s="243"/>
      <c r="DF405" s="243"/>
      <c r="DG405" s="243"/>
      <c r="DH405" s="243"/>
      <c r="DI405" s="243"/>
      <c r="DJ405" s="243"/>
      <c r="DK405" s="243"/>
      <c r="DM405" s="242"/>
      <c r="DO405" s="243"/>
      <c r="DQ405" s="242"/>
      <c r="DS405" s="243"/>
      <c r="DU405" s="242"/>
      <c r="DW405" s="243"/>
      <c r="DY405" s="242"/>
      <c r="EA405" s="243"/>
    </row>
    <row r="406" spans="1:131">
      <c r="A406" s="20"/>
      <c r="B406" s="124" t="str">
        <f t="shared" si="374"/>
        <v/>
      </c>
      <c r="C406" s="235"/>
      <c r="D406" s="24">
        <f>'1% Wind'!$M$91</f>
        <v>4.2</v>
      </c>
      <c r="E406" s="90"/>
      <c r="F406" s="90"/>
      <c r="G406" s="79" t="e">
        <f ca="1">IF(I396=0.9743,$G405,MAX(G405/D405*D406,2))</f>
        <v>#REF!</v>
      </c>
      <c r="H406" s="121" t="e">
        <f t="shared" ca="1" si="375"/>
        <v>#REF!</v>
      </c>
      <c r="J406" s="33"/>
      <c r="K406" s="242">
        <f t="shared" si="376"/>
        <v>1</v>
      </c>
      <c r="L406" s="241" t="e">
        <f t="shared" ca="1" si="377"/>
        <v>#REF!</v>
      </c>
      <c r="M406" s="243" t="e">
        <f ca="1">IF(AND(INDEX(FlowCalConstA,MATCH(J396,FlowCalNumber,0),1,1)*L406^INDEX(FlowCalConstB,MATCH(J396,FlowCalNumber,0),1,1)&gt;INDEX(FlowCalLowSetting,MATCH(J396,FlowCalNumber,0),1,1), (INDEX(FlowCalConstA,MATCH(J396,FlowCalNumber,0),1,1)*L406^INDEX(FlowCalConstB,MATCH(J396,FlowCalNumber,0),1,1)&lt;INDEX(FlowCalHighSetting,MATCH(J396,FlowCalNumber,0),1,1))),INDEX(FlowCalConstA,MATCH(J396,FlowCalNumber,0),1,1)*L406^INDEX(FlowCalConstB,MATCH(J396,FlowCalNumber,0),1,1)," ")</f>
        <v>#REF!</v>
      </c>
      <c r="N406" s="33"/>
      <c r="O406" s="242">
        <f t="shared" si="378"/>
        <v>1</v>
      </c>
      <c r="P406" s="241" t="e">
        <f t="shared" ca="1" si="379"/>
        <v>#REF!</v>
      </c>
      <c r="Q406" s="243" t="e">
        <f ca="1">IF(AND(INDEX(FlowCalConstA,MATCH(N396,FlowCalNumber,0),1,1)*P406^INDEX(FlowCalConstB,MATCH(N396,FlowCalNumber,0),1,1)&gt;INDEX(FlowCalLowSetting,MATCH(N396,FlowCalNumber,0),1,1), (INDEX(FlowCalConstA,MATCH(N396,FlowCalNumber,0),1,1)*P406^INDEX(FlowCalConstB,MATCH(N396,FlowCalNumber,0),1,1)&lt;INDEX(FlowCalHighSetting,MATCH(N396,FlowCalNumber,0),1,1))),INDEX(FlowCalConstA,MATCH(N396,FlowCalNumber,0),1,1)*P406^INDEX(FlowCalConstB,MATCH(N396,FlowCalNumber,0),1,1)," ")</f>
        <v>#REF!</v>
      </c>
      <c r="R406" s="33"/>
      <c r="S406" s="242">
        <f t="shared" si="380"/>
        <v>1</v>
      </c>
      <c r="T406" s="241" t="e">
        <f t="shared" ca="1" si="381"/>
        <v>#REF!</v>
      </c>
      <c r="U406" s="244" t="e">
        <f ca="1">IF(AND(INDEX(FlowCalConstA,MATCH(R396,FlowCalNumber,0),1,1)*T406^INDEX(FlowCalConstB,MATCH(R396,FlowCalNumber,0),1,1)&gt;INDEX(FlowCalLowSetting,MATCH(R396,FlowCalNumber,0),1,1), (INDEX(FlowCalConstA,MATCH(R396,FlowCalNumber,0),1,1)*T406^INDEX(FlowCalConstB,MATCH(R396,FlowCalNumber,0),1,1)&lt;INDEX(FlowCalHighSetting,MATCH(R396,FlowCalNumber,0),1,1))),INDEX(FlowCalConstA,MATCH(R396,FlowCalNumber,0),1,1)*T406^INDEX(FlowCalConstB,MATCH(R396,FlowCalNumber,0),1,1)," ")</f>
        <v>#REF!</v>
      </c>
      <c r="V406" s="33"/>
      <c r="W406" s="242">
        <f t="shared" si="382"/>
        <v>0.1</v>
      </c>
      <c r="X406" s="241" t="e">
        <f t="shared" ca="1" si="383"/>
        <v>#REF!</v>
      </c>
      <c r="Y406" s="243" t="e">
        <f ca="1">IF(AND(INDEX(FlowCalConstA,MATCH(V396,FlowCalNumber,0),1,1)*X406^INDEX(FlowCalConstB,MATCH(V396,FlowCalNumber,0),1,1)&gt;INDEX(FlowCalLowSetting,MATCH(V396,FlowCalNumber,0),1,1), (INDEX(FlowCalConstA,MATCH(V396,FlowCalNumber,0),1,1)*X406^INDEX(FlowCalConstB,MATCH(V396,FlowCalNumber,0),1,1)&lt;INDEX(FlowCalHighSetting,MATCH(V396,FlowCalNumber,0),1,1))),INDEX(FlowCalConstA,MATCH(V396,FlowCalNumber,0),1,1)*X406^INDEX(FlowCalConstB,MATCH(V396,FlowCalNumber,0),1,1)," ")</f>
        <v>#REF!</v>
      </c>
      <c r="Z406" s="33"/>
      <c r="AA406" s="242">
        <f t="shared" si="384"/>
        <v>0.9</v>
      </c>
      <c r="AB406" s="241" t="e">
        <f t="shared" ca="1" si="385"/>
        <v>#REF!</v>
      </c>
      <c r="AC406" s="243" t="e">
        <f ca="1">IF(AND(INDEX(FlowCalConstA,MATCH(Z396,FlowCalNumber,0),1,1)*AB406^INDEX(FlowCalConstB,MATCH(Z396,FlowCalNumber,0),1,1)&gt;INDEX(FlowCalLowSetting,MATCH(Z396,FlowCalNumber,0),1,1), (INDEX(FlowCalConstA,MATCH(Z396,FlowCalNumber,0),1,1)*AB406^INDEX(FlowCalConstB,MATCH(Z396,FlowCalNumber,0),1,1)&lt;INDEX(FlowCalHighSetting,MATCH(Z396,FlowCalNumber,0),1,1))),INDEX(FlowCalConstA,MATCH(Z396,FlowCalNumber,0),1,1)*AB406^INDEX(FlowCalConstB,MATCH(Z396,FlowCalNumber,0),1,1)," ")</f>
        <v>#REF!</v>
      </c>
      <c r="AD406" s="33"/>
      <c r="AE406" s="242">
        <f t="shared" si="386"/>
        <v>0.1</v>
      </c>
      <c r="AF406" s="241" t="e">
        <f t="shared" ca="1" si="387"/>
        <v>#REF!</v>
      </c>
      <c r="AG406" s="243" t="e">
        <f ca="1">IF(AND(INDEX(FlowCalConstA,MATCH(AD396,FlowCalNumber,0),1,1)*AF406^INDEX(FlowCalConstB,MATCH(AD396,FlowCalNumber,0),1,1)&gt;INDEX(FlowCalLowSetting,MATCH(AD396,FlowCalNumber,0),1,1), (INDEX(FlowCalConstA,MATCH(AD396,FlowCalNumber,0),1,1)*AF406^INDEX(FlowCalConstB,MATCH(AD396,FlowCalNumber,0),1,1)&lt;INDEX(FlowCalHighSetting,MATCH(AD396,FlowCalNumber,0),1,1))),INDEX(FlowCalConstA,MATCH(AD396,FlowCalNumber,0),1,1)*AF406^INDEX(FlowCalConstB,MATCH(AD396,FlowCalNumber,0),1,1)," ")</f>
        <v>#REF!</v>
      </c>
      <c r="AH406" s="33"/>
      <c r="AI406" s="242">
        <f t="shared" si="388"/>
        <v>0.9</v>
      </c>
      <c r="AJ406" s="241" t="e">
        <f t="shared" ca="1" si="389"/>
        <v>#REF!</v>
      </c>
      <c r="AK406" s="243" t="e">
        <f ca="1">IF(AND(INDEX(FlowCalConstA,MATCH(AH396,FlowCalNumber,0),1,1)*AJ406^INDEX(FlowCalConstB,MATCH(AH396,FlowCalNumber,0),1,1)&gt;INDEX(FlowCalLowSetting,MATCH(AH396,FlowCalNumber,0),1,1), (INDEX(FlowCalConstA,MATCH(AH396,FlowCalNumber,0),1,1)*AJ406^INDEX(FlowCalConstB,MATCH(AH396,FlowCalNumber,0),1,1)&lt;INDEX(FlowCalHighSetting,MATCH(AH396,FlowCalNumber,0),1,1))),INDEX(FlowCalConstA,MATCH(AH396,FlowCalNumber,0),1,1)*AJ406^INDEX(FlowCalConstB,MATCH(AH396,FlowCalNumber,0),1,1)," ")</f>
        <v>#REF!</v>
      </c>
      <c r="AL406" s="33"/>
      <c r="AM406" s="242"/>
      <c r="AN406" s="241"/>
      <c r="AO406" s="244"/>
      <c r="AQ406" s="242"/>
      <c r="AR406" s="241"/>
      <c r="AS406" s="244"/>
      <c r="AT406" s="33"/>
      <c r="AU406" s="242"/>
      <c r="AV406" s="241"/>
      <c r="AW406" s="244"/>
      <c r="AX406" s="33"/>
      <c r="AY406" s="242"/>
      <c r="AZ406" s="241"/>
      <c r="BA406" s="244"/>
      <c r="BB406" s="33"/>
      <c r="BC406" s="242"/>
      <c r="BD406" s="241"/>
      <c r="BE406" s="244"/>
      <c r="BF406" s="33"/>
      <c r="BG406" s="242"/>
      <c r="BH406" s="241"/>
      <c r="BI406" s="244"/>
      <c r="BJ406" s="33"/>
      <c r="BK406" s="242"/>
      <c r="BL406" s="241"/>
      <c r="BM406" s="244"/>
      <c r="BN406" s="33"/>
      <c r="BO406" s="242"/>
      <c r="BP406" s="241"/>
      <c r="BQ406" s="244"/>
      <c r="BR406" s="33"/>
      <c r="BS406" s="242"/>
      <c r="BT406" s="241"/>
      <c r="BU406" s="244"/>
      <c r="BV406" s="33"/>
      <c r="BW406" s="242"/>
      <c r="BX406" s="241"/>
      <c r="BY406" s="244"/>
      <c r="BZ406" s="33"/>
      <c r="CA406" s="242"/>
      <c r="CB406" s="241"/>
      <c r="CC406" s="244"/>
      <c r="CD406" s="243"/>
      <c r="CE406" s="243"/>
      <c r="CF406" s="243"/>
      <c r="CG406" s="243"/>
      <c r="CH406" s="243"/>
      <c r="CI406" s="243"/>
      <c r="CJ406" s="243"/>
      <c r="CK406" s="243"/>
      <c r="CL406" s="243"/>
      <c r="CM406" s="243"/>
      <c r="CN406" s="243"/>
      <c r="CO406" s="243"/>
      <c r="CP406" s="243"/>
      <c r="CQ406" s="243"/>
      <c r="CR406" s="243"/>
      <c r="CS406" s="243"/>
      <c r="CT406" s="243"/>
      <c r="CU406" s="243"/>
      <c r="CV406" s="243"/>
      <c r="CW406" s="243"/>
      <c r="CX406" s="243"/>
      <c r="CY406" s="243"/>
      <c r="CZ406" s="243"/>
      <c r="DA406" s="243"/>
      <c r="DB406" s="243"/>
      <c r="DC406" s="243"/>
      <c r="DD406" s="243"/>
      <c r="DE406" s="243"/>
      <c r="DF406" s="243"/>
      <c r="DG406" s="243"/>
      <c r="DH406" s="243"/>
      <c r="DI406" s="243"/>
      <c r="DJ406" s="243"/>
      <c r="DK406" s="243"/>
      <c r="DM406" s="242"/>
      <c r="DO406" s="243"/>
      <c r="DQ406" s="242"/>
      <c r="DS406" s="243"/>
      <c r="DU406" s="242"/>
      <c r="DW406" s="243"/>
      <c r="DY406" s="242"/>
      <c r="EA406" s="243"/>
    </row>
    <row r="407" spans="1:131">
      <c r="A407" s="20"/>
      <c r="B407" s="124" t="str">
        <f t="shared" si="374"/>
        <v/>
      </c>
      <c r="C407" s="235"/>
      <c r="D407" s="24">
        <f>'1% Wind'!$M$92</f>
        <v>3.2</v>
      </c>
      <c r="E407" s="90"/>
      <c r="F407" s="90"/>
      <c r="G407" s="79" t="e">
        <f ca="1">IF(I396=0.9743,$G406,MAX(G406/D406*D407,2))</f>
        <v>#REF!</v>
      </c>
      <c r="H407" s="121" t="e">
        <f t="shared" ca="1" si="375"/>
        <v>#REF!</v>
      </c>
      <c r="J407" s="33"/>
      <c r="K407" s="242">
        <f t="shared" si="376"/>
        <v>1</v>
      </c>
      <c r="L407" s="241" t="e">
        <f t="shared" ca="1" si="377"/>
        <v>#REF!</v>
      </c>
      <c r="M407" s="243" t="e">
        <f ca="1">IF(AND(INDEX(FlowCalConstA,MATCH(J396,FlowCalNumber,0),1,1)*L407^INDEX(FlowCalConstB,MATCH(J396,FlowCalNumber,0),1,1)&gt;INDEX(FlowCalLowSetting,MATCH(J396,FlowCalNumber,0),1,1), (INDEX(FlowCalConstA,MATCH(J396,FlowCalNumber,0),1,1)*L407^INDEX(FlowCalConstB,MATCH(J396,FlowCalNumber,0),1,1)&lt;INDEX(FlowCalHighSetting,MATCH(J396,FlowCalNumber,0),1,1))),INDEX(FlowCalConstA,MATCH(J396,FlowCalNumber,0),1,1)*L407^INDEX(FlowCalConstB,MATCH(J396,FlowCalNumber,0),1,1)," ")</f>
        <v>#REF!</v>
      </c>
      <c r="N407" s="33"/>
      <c r="O407" s="242">
        <f t="shared" si="378"/>
        <v>1</v>
      </c>
      <c r="P407" s="241" t="e">
        <f t="shared" ca="1" si="379"/>
        <v>#REF!</v>
      </c>
      <c r="Q407" s="243" t="e">
        <f ca="1">IF(AND(INDEX(FlowCalConstA,MATCH(N396,FlowCalNumber,0),1,1)*P407^INDEX(FlowCalConstB,MATCH(N396,FlowCalNumber,0),1,1)&gt;INDEX(FlowCalLowSetting,MATCH(N396,FlowCalNumber,0),1,1), (INDEX(FlowCalConstA,MATCH(N396,FlowCalNumber,0),1,1)*P407^INDEX(FlowCalConstB,MATCH(N396,FlowCalNumber,0),1,1)&lt;INDEX(FlowCalHighSetting,MATCH(N396,FlowCalNumber,0),1,1))),INDEX(FlowCalConstA,MATCH(N396,FlowCalNumber,0),1,1)*P407^INDEX(FlowCalConstB,MATCH(N396,FlowCalNumber,0),1,1)," ")</f>
        <v>#REF!</v>
      </c>
      <c r="R407" s="33"/>
      <c r="S407" s="242">
        <f t="shared" si="380"/>
        <v>1</v>
      </c>
      <c r="T407" s="241" t="e">
        <f t="shared" ca="1" si="381"/>
        <v>#REF!</v>
      </c>
      <c r="U407" s="244" t="e">
        <f ca="1">IF(AND(INDEX(FlowCalConstA,MATCH(R396,FlowCalNumber,0),1,1)*T407^INDEX(FlowCalConstB,MATCH(R396,FlowCalNumber,0),1,1)&gt;INDEX(FlowCalLowSetting,MATCH(R396,FlowCalNumber,0),1,1), (INDEX(FlowCalConstA,MATCH(R396,FlowCalNumber,0),1,1)*T407^INDEX(FlowCalConstB,MATCH(R396,FlowCalNumber,0),1,1)&lt;INDEX(FlowCalHighSetting,MATCH(R396,FlowCalNumber,0),1,1))),INDEX(FlowCalConstA,MATCH(R396,FlowCalNumber,0),1,1)*T407^INDEX(FlowCalConstB,MATCH(R396,FlowCalNumber,0),1,1)," ")</f>
        <v>#REF!</v>
      </c>
      <c r="V407" s="33"/>
      <c r="W407" s="242">
        <f t="shared" si="382"/>
        <v>0.1</v>
      </c>
      <c r="X407" s="241" t="e">
        <f t="shared" ca="1" si="383"/>
        <v>#REF!</v>
      </c>
      <c r="Y407" s="243" t="e">
        <f ca="1">IF(AND(INDEX(FlowCalConstA,MATCH(V396,FlowCalNumber,0),1,1)*X407^INDEX(FlowCalConstB,MATCH(V396,FlowCalNumber,0),1,1)&gt;INDEX(FlowCalLowSetting,MATCH(V396,FlowCalNumber,0),1,1), (INDEX(FlowCalConstA,MATCH(V396,FlowCalNumber,0),1,1)*X407^INDEX(FlowCalConstB,MATCH(V396,FlowCalNumber,0),1,1)&lt;INDEX(FlowCalHighSetting,MATCH(V396,FlowCalNumber,0),1,1))),INDEX(FlowCalConstA,MATCH(V396,FlowCalNumber,0),1,1)*X407^INDEX(FlowCalConstB,MATCH(V396,FlowCalNumber,0),1,1)," ")</f>
        <v>#REF!</v>
      </c>
      <c r="Z407" s="33"/>
      <c r="AA407" s="242">
        <f t="shared" si="384"/>
        <v>0.9</v>
      </c>
      <c r="AB407" s="241" t="e">
        <f t="shared" ca="1" si="385"/>
        <v>#REF!</v>
      </c>
      <c r="AC407" s="243" t="e">
        <f ca="1">IF(AND(INDEX(FlowCalConstA,MATCH(Z396,FlowCalNumber,0),1,1)*AB407^INDEX(FlowCalConstB,MATCH(Z396,FlowCalNumber,0),1,1)&gt;INDEX(FlowCalLowSetting,MATCH(Z396,FlowCalNumber,0),1,1), (INDEX(FlowCalConstA,MATCH(Z396,FlowCalNumber,0),1,1)*AB407^INDEX(FlowCalConstB,MATCH(Z396,FlowCalNumber,0),1,1)&lt;INDEX(FlowCalHighSetting,MATCH(Z396,FlowCalNumber,0),1,1))),INDEX(FlowCalConstA,MATCH(Z396,FlowCalNumber,0),1,1)*AB407^INDEX(FlowCalConstB,MATCH(Z396,FlowCalNumber,0),1,1)," ")</f>
        <v>#REF!</v>
      </c>
      <c r="AD407" s="33"/>
      <c r="AE407" s="242">
        <f t="shared" si="386"/>
        <v>0.1</v>
      </c>
      <c r="AF407" s="241" t="e">
        <f t="shared" ca="1" si="387"/>
        <v>#REF!</v>
      </c>
      <c r="AG407" s="243" t="e">
        <f ca="1">IF(AND(INDEX(FlowCalConstA,MATCH(AD396,FlowCalNumber,0),1,1)*AF407^INDEX(FlowCalConstB,MATCH(AD396,FlowCalNumber,0),1,1)&gt;INDEX(FlowCalLowSetting,MATCH(AD396,FlowCalNumber,0),1,1), (INDEX(FlowCalConstA,MATCH(AD396,FlowCalNumber,0),1,1)*AF407^INDEX(FlowCalConstB,MATCH(AD396,FlowCalNumber,0),1,1)&lt;INDEX(FlowCalHighSetting,MATCH(AD396,FlowCalNumber,0),1,1))),INDEX(FlowCalConstA,MATCH(AD396,FlowCalNumber,0),1,1)*AF407^INDEX(FlowCalConstB,MATCH(AD396,FlowCalNumber,0),1,1)," ")</f>
        <v>#REF!</v>
      </c>
      <c r="AH407" s="33"/>
      <c r="AI407" s="242">
        <f t="shared" si="388"/>
        <v>0.9</v>
      </c>
      <c r="AJ407" s="241" t="e">
        <f t="shared" ca="1" si="389"/>
        <v>#REF!</v>
      </c>
      <c r="AK407" s="243" t="e">
        <f ca="1">IF(AND(INDEX(FlowCalConstA,MATCH(AH396,FlowCalNumber,0),1,1)*AJ407^INDEX(FlowCalConstB,MATCH(AH396,FlowCalNumber,0),1,1)&gt;INDEX(FlowCalLowSetting,MATCH(AH396,FlowCalNumber,0),1,1), (INDEX(FlowCalConstA,MATCH(AH396,FlowCalNumber,0),1,1)*AJ407^INDEX(FlowCalConstB,MATCH(AH396,FlowCalNumber,0),1,1)&lt;INDEX(FlowCalHighSetting,MATCH(AH396,FlowCalNumber,0),1,1))),INDEX(FlowCalConstA,MATCH(AH396,FlowCalNumber,0),1,1)*AJ407^INDEX(FlowCalConstB,MATCH(AH396,FlowCalNumber,0),1,1)," ")</f>
        <v>#REF!</v>
      </c>
      <c r="AL407" s="33"/>
      <c r="AM407" s="242"/>
      <c r="AN407" s="241"/>
      <c r="AO407" s="244"/>
      <c r="AQ407" s="242"/>
      <c r="AR407" s="241"/>
      <c r="AS407" s="244"/>
      <c r="AT407" s="33"/>
      <c r="AU407" s="242"/>
      <c r="AV407" s="241"/>
      <c r="AW407" s="244"/>
      <c r="AX407" s="33"/>
      <c r="AY407" s="242"/>
      <c r="AZ407" s="241"/>
      <c r="BA407" s="244"/>
      <c r="BB407" s="33"/>
      <c r="BC407" s="242"/>
      <c r="BD407" s="241"/>
      <c r="BE407" s="244"/>
      <c r="BF407" s="33"/>
      <c r="BG407" s="242"/>
      <c r="BH407" s="241"/>
      <c r="BI407" s="244"/>
      <c r="BJ407" s="33"/>
      <c r="BK407" s="242"/>
      <c r="BL407" s="241"/>
      <c r="BM407" s="244"/>
      <c r="BN407" s="33"/>
      <c r="BO407" s="242"/>
      <c r="BP407" s="241"/>
      <c r="BQ407" s="244"/>
      <c r="BR407" s="33"/>
      <c r="BS407" s="242"/>
      <c r="BT407" s="241"/>
      <c r="BU407" s="244"/>
      <c r="BV407" s="33"/>
      <c r="BW407" s="242"/>
      <c r="BX407" s="241"/>
      <c r="BY407" s="244"/>
      <c r="BZ407" s="33"/>
      <c r="CA407" s="242"/>
      <c r="CB407" s="241"/>
      <c r="CC407" s="244"/>
      <c r="CD407" s="243"/>
      <c r="CE407" s="243"/>
      <c r="CF407" s="243"/>
      <c r="CG407" s="243"/>
      <c r="CH407" s="243"/>
      <c r="CI407" s="243"/>
      <c r="CJ407" s="243"/>
      <c r="CK407" s="243"/>
      <c r="CL407" s="243"/>
      <c r="CM407" s="243"/>
      <c r="CN407" s="243"/>
      <c r="CO407" s="243"/>
      <c r="CP407" s="243"/>
      <c r="CQ407" s="243"/>
      <c r="CR407" s="243"/>
      <c r="CS407" s="243"/>
      <c r="CT407" s="243"/>
      <c r="CU407" s="243"/>
      <c r="CV407" s="243"/>
      <c r="CW407" s="243"/>
      <c r="CX407" s="243"/>
      <c r="CY407" s="243"/>
      <c r="CZ407" s="243"/>
      <c r="DA407" s="243"/>
      <c r="DB407" s="243"/>
      <c r="DC407" s="243"/>
      <c r="DD407" s="243"/>
      <c r="DE407" s="243"/>
      <c r="DF407" s="243"/>
      <c r="DG407" s="243"/>
      <c r="DH407" s="243"/>
      <c r="DI407" s="243"/>
      <c r="DJ407" s="243"/>
      <c r="DK407" s="243"/>
      <c r="DM407" s="242"/>
      <c r="DO407" s="243"/>
      <c r="DQ407" s="242"/>
      <c r="DS407" s="243"/>
      <c r="DU407" s="242"/>
      <c r="DW407" s="243"/>
      <c r="DY407" s="242"/>
      <c r="EA407" s="243"/>
    </row>
    <row r="408" spans="1:131">
      <c r="A408" s="20"/>
      <c r="B408" s="124" t="str">
        <f t="shared" si="374"/>
        <v/>
      </c>
      <c r="C408" s="235"/>
      <c r="D408" s="24">
        <f>'1% Wind'!$M$93</f>
        <v>2.4</v>
      </c>
      <c r="E408" s="90"/>
      <c r="F408" s="90"/>
      <c r="G408" s="79" t="e">
        <f ca="1">IF(I396=0.9743,$G407,MAX(G407/D407*D408,2))</f>
        <v>#REF!</v>
      </c>
      <c r="H408" s="121" t="e">
        <f t="shared" ca="1" si="375"/>
        <v>#REF!</v>
      </c>
      <c r="J408" s="33"/>
      <c r="K408" s="242">
        <f t="shared" si="376"/>
        <v>1</v>
      </c>
      <c r="L408" s="241" t="e">
        <f t="shared" ca="1" si="377"/>
        <v>#REF!</v>
      </c>
      <c r="M408" s="243" t="e">
        <f ca="1">IF(AND(INDEX(FlowCalConstA,MATCH(J396,FlowCalNumber,0),1,1)*L408^INDEX(FlowCalConstB,MATCH(J396,FlowCalNumber,0),1,1)&gt;INDEX(FlowCalLowSetting,MATCH(J396,FlowCalNumber,0),1,1), (INDEX(FlowCalConstA,MATCH(J396,FlowCalNumber,0),1,1)*L408^INDEX(FlowCalConstB,MATCH(J396,FlowCalNumber,0),1,1)&lt;INDEX(FlowCalHighSetting,MATCH(J396,FlowCalNumber,0),1,1))),INDEX(FlowCalConstA,MATCH(J396,FlowCalNumber,0),1,1)*L408^INDEX(FlowCalConstB,MATCH(J396,FlowCalNumber,0),1,1)," ")</f>
        <v>#REF!</v>
      </c>
      <c r="N408" s="33"/>
      <c r="O408" s="242">
        <f t="shared" si="378"/>
        <v>1</v>
      </c>
      <c r="P408" s="241" t="e">
        <f t="shared" ca="1" si="379"/>
        <v>#REF!</v>
      </c>
      <c r="Q408" s="243" t="e">
        <f ca="1">IF(AND(INDEX(FlowCalConstA,MATCH(N396,FlowCalNumber,0),1,1)*P408^INDEX(FlowCalConstB,MATCH(N396,FlowCalNumber,0),1,1)&gt;INDEX(FlowCalLowSetting,MATCH(N396,FlowCalNumber,0),1,1), (INDEX(FlowCalConstA,MATCH(N396,FlowCalNumber,0),1,1)*P408^INDEX(FlowCalConstB,MATCH(N396,FlowCalNumber,0),1,1)&lt;INDEX(FlowCalHighSetting,MATCH(N396,FlowCalNumber,0),1,1))),INDEX(FlowCalConstA,MATCH(N396,FlowCalNumber,0),1,1)*P408^INDEX(FlowCalConstB,MATCH(N396,FlowCalNumber,0),1,1)," ")</f>
        <v>#REF!</v>
      </c>
      <c r="R408" s="33"/>
      <c r="S408" s="242">
        <f t="shared" si="380"/>
        <v>1</v>
      </c>
      <c r="T408" s="241" t="e">
        <f t="shared" ca="1" si="381"/>
        <v>#REF!</v>
      </c>
      <c r="U408" s="244" t="e">
        <f ca="1">IF(AND(INDEX(FlowCalConstA,MATCH(R396,FlowCalNumber,0),1,1)*T408^INDEX(FlowCalConstB,MATCH(R396,FlowCalNumber,0),1,1)&gt;INDEX(FlowCalLowSetting,MATCH(R396,FlowCalNumber,0),1,1), (INDEX(FlowCalConstA,MATCH(R396,FlowCalNumber,0),1,1)*T408^INDEX(FlowCalConstB,MATCH(R396,FlowCalNumber,0),1,1)&lt;INDEX(FlowCalHighSetting,MATCH(R396,FlowCalNumber,0),1,1))),INDEX(FlowCalConstA,MATCH(R396,FlowCalNumber,0),1,1)*T408^INDEX(FlowCalConstB,MATCH(R396,FlowCalNumber,0),1,1)," ")</f>
        <v>#REF!</v>
      </c>
      <c r="V408" s="33"/>
      <c r="W408" s="242">
        <f t="shared" si="382"/>
        <v>0.1</v>
      </c>
      <c r="X408" s="241" t="e">
        <f t="shared" ca="1" si="383"/>
        <v>#REF!</v>
      </c>
      <c r="Y408" s="243" t="e">
        <f ca="1">IF(AND(INDEX(FlowCalConstA,MATCH(V396,FlowCalNumber,0),1,1)*X408^INDEX(FlowCalConstB,MATCH(V396,FlowCalNumber,0),1,1)&gt;INDEX(FlowCalLowSetting,MATCH(V396,FlowCalNumber,0),1,1), (INDEX(FlowCalConstA,MATCH(V396,FlowCalNumber,0),1,1)*X408^INDEX(FlowCalConstB,MATCH(V396,FlowCalNumber,0),1,1)&lt;INDEX(FlowCalHighSetting,MATCH(V396,FlowCalNumber,0),1,1))),INDEX(FlowCalConstA,MATCH(V396,FlowCalNumber,0),1,1)*X408^INDEX(FlowCalConstB,MATCH(V396,FlowCalNumber,0),1,1)," ")</f>
        <v>#REF!</v>
      </c>
      <c r="Z408" s="33"/>
      <c r="AA408" s="242">
        <f t="shared" si="384"/>
        <v>0.9</v>
      </c>
      <c r="AB408" s="241" t="e">
        <f t="shared" ca="1" si="385"/>
        <v>#REF!</v>
      </c>
      <c r="AC408" s="243" t="e">
        <f ca="1">IF(AND(INDEX(FlowCalConstA,MATCH(Z396,FlowCalNumber,0),1,1)*AB408^INDEX(FlowCalConstB,MATCH(Z396,FlowCalNumber,0),1,1)&gt;INDEX(FlowCalLowSetting,MATCH(Z396,FlowCalNumber,0),1,1), (INDEX(FlowCalConstA,MATCH(Z396,FlowCalNumber,0),1,1)*AB408^INDEX(FlowCalConstB,MATCH(Z396,FlowCalNumber,0),1,1)&lt;INDEX(FlowCalHighSetting,MATCH(Z396,FlowCalNumber,0),1,1))),INDEX(FlowCalConstA,MATCH(Z396,FlowCalNumber,0),1,1)*AB408^INDEX(FlowCalConstB,MATCH(Z396,FlowCalNumber,0),1,1)," ")</f>
        <v>#REF!</v>
      </c>
      <c r="AD408" s="33"/>
      <c r="AE408" s="242">
        <f t="shared" si="386"/>
        <v>0.1</v>
      </c>
      <c r="AF408" s="241" t="e">
        <f t="shared" ca="1" si="387"/>
        <v>#REF!</v>
      </c>
      <c r="AG408" s="243" t="e">
        <f ca="1">IF(AND(INDEX(FlowCalConstA,MATCH(AD396,FlowCalNumber,0),1,1)*AF408^INDEX(FlowCalConstB,MATCH(AD396,FlowCalNumber,0),1,1)&gt;INDEX(FlowCalLowSetting,MATCH(AD396,FlowCalNumber,0),1,1), (INDEX(FlowCalConstA,MATCH(AD396,FlowCalNumber,0),1,1)*AF408^INDEX(FlowCalConstB,MATCH(AD396,FlowCalNumber,0),1,1)&lt;INDEX(FlowCalHighSetting,MATCH(AD396,FlowCalNumber,0),1,1))),INDEX(FlowCalConstA,MATCH(AD396,FlowCalNumber,0),1,1)*AF408^INDEX(FlowCalConstB,MATCH(AD396,FlowCalNumber,0),1,1)," ")</f>
        <v>#REF!</v>
      </c>
      <c r="AH408" s="33"/>
      <c r="AI408" s="242">
        <f t="shared" si="388"/>
        <v>0.9</v>
      </c>
      <c r="AJ408" s="241" t="e">
        <f t="shared" ca="1" si="389"/>
        <v>#REF!</v>
      </c>
      <c r="AK408" s="243" t="e">
        <f ca="1">IF(AND(INDEX(FlowCalConstA,MATCH(AH396,FlowCalNumber,0),1,1)*AJ408^INDEX(FlowCalConstB,MATCH(AH396,FlowCalNumber,0),1,1)&gt;INDEX(FlowCalLowSetting,MATCH(AH396,FlowCalNumber,0),1,1), (INDEX(FlowCalConstA,MATCH(AH396,FlowCalNumber,0),1,1)*AJ408^INDEX(FlowCalConstB,MATCH(AH396,FlowCalNumber,0),1,1)&lt;INDEX(FlowCalHighSetting,MATCH(AH396,FlowCalNumber,0),1,1))),INDEX(FlowCalConstA,MATCH(AH396,FlowCalNumber,0),1,1)*AJ408^INDEX(FlowCalConstB,MATCH(AH396,FlowCalNumber,0),1,1)," ")</f>
        <v>#REF!</v>
      </c>
      <c r="AL408" s="33"/>
      <c r="AM408" s="242"/>
      <c r="AN408" s="241"/>
      <c r="AO408" s="244"/>
      <c r="AQ408" s="242"/>
      <c r="AR408" s="241"/>
      <c r="AS408" s="244"/>
      <c r="AT408" s="33"/>
      <c r="AU408" s="242"/>
      <c r="AV408" s="241"/>
      <c r="AW408" s="244"/>
      <c r="AX408" s="33"/>
      <c r="AY408" s="242"/>
      <c r="AZ408" s="241"/>
      <c r="BA408" s="244"/>
      <c r="BB408" s="33"/>
      <c r="BC408" s="242"/>
      <c r="BD408" s="241"/>
      <c r="BE408" s="244"/>
      <c r="BF408" s="33"/>
      <c r="BG408" s="242"/>
      <c r="BH408" s="241"/>
      <c r="BI408" s="244"/>
      <c r="BJ408" s="33"/>
      <c r="BK408" s="242"/>
      <c r="BL408" s="241"/>
      <c r="BM408" s="244"/>
      <c r="BN408" s="33"/>
      <c r="BO408" s="242"/>
      <c r="BP408" s="241"/>
      <c r="BQ408" s="244"/>
      <c r="BR408" s="33"/>
      <c r="BS408" s="242"/>
      <c r="BT408" s="241"/>
      <c r="BU408" s="244"/>
      <c r="BV408" s="33"/>
      <c r="BW408" s="242"/>
      <c r="BX408" s="241"/>
      <c r="BY408" s="244"/>
      <c r="BZ408" s="33"/>
      <c r="CA408" s="242"/>
      <c r="CB408" s="241"/>
      <c r="CC408" s="244"/>
      <c r="CD408" s="243"/>
      <c r="CE408" s="243"/>
      <c r="CF408" s="243"/>
      <c r="CG408" s="243"/>
      <c r="CH408" s="243"/>
      <c r="CI408" s="243"/>
      <c r="CJ408" s="243"/>
      <c r="CK408" s="243"/>
      <c r="CL408" s="243"/>
      <c r="CM408" s="243"/>
      <c r="CN408" s="243"/>
      <c r="CO408" s="243"/>
      <c r="CP408" s="243"/>
      <c r="CQ408" s="243"/>
      <c r="CR408" s="243"/>
      <c r="CS408" s="243"/>
      <c r="CT408" s="243"/>
      <c r="CU408" s="243"/>
      <c r="CV408" s="243"/>
      <c r="CW408" s="243"/>
      <c r="CX408" s="243"/>
      <c r="CY408" s="243"/>
      <c r="CZ408" s="243"/>
      <c r="DA408" s="243"/>
      <c r="DB408" s="243"/>
      <c r="DC408" s="243"/>
      <c r="DD408" s="243"/>
      <c r="DE408" s="243"/>
      <c r="DF408" s="243"/>
      <c r="DG408" s="243"/>
      <c r="DH408" s="243"/>
      <c r="DI408" s="243"/>
      <c r="DJ408" s="243"/>
      <c r="DK408" s="243"/>
      <c r="DM408" s="242"/>
      <c r="DO408" s="243"/>
      <c r="DQ408" s="242"/>
      <c r="DS408" s="243"/>
      <c r="DU408" s="242"/>
      <c r="DW408" s="243"/>
      <c r="DY408" s="242"/>
      <c r="EA408" s="243"/>
    </row>
    <row r="409" spans="1:131">
      <c r="A409" s="20"/>
      <c r="B409" s="124" t="str">
        <f t="shared" si="374"/>
        <v/>
      </c>
      <c r="C409" s="235"/>
      <c r="D409" s="24">
        <f>'1% Wind'!$M$94</f>
        <v>1.8</v>
      </c>
      <c r="E409" s="90"/>
      <c r="F409" s="90"/>
      <c r="G409" s="79" t="e">
        <f ca="1">IF(I396=0.9743,$G408,MAX(G408/D408*D409,2))</f>
        <v>#REF!</v>
      </c>
      <c r="H409" s="121" t="e">
        <f t="shared" ca="1" si="375"/>
        <v>#REF!</v>
      </c>
      <c r="J409" s="33"/>
      <c r="K409" s="242">
        <f t="shared" si="376"/>
        <v>1</v>
      </c>
      <c r="L409" s="241" t="e">
        <f t="shared" ca="1" si="377"/>
        <v>#REF!</v>
      </c>
      <c r="M409" s="243" t="e">
        <f ca="1">IF(AND(INDEX(FlowCalConstA,MATCH(J396,FlowCalNumber,0),1,1)*L409^INDEX(FlowCalConstB,MATCH(J396,FlowCalNumber,0),1,1)&gt;INDEX(FlowCalLowSetting,MATCH(J396,FlowCalNumber,0),1,1), (INDEX(FlowCalConstA,MATCH(J396,FlowCalNumber,0),1,1)*L409^INDEX(FlowCalConstB,MATCH(J396,FlowCalNumber,0),1,1)&lt;INDEX(FlowCalHighSetting,MATCH(J396,FlowCalNumber,0),1,1))),INDEX(FlowCalConstA,MATCH(J396,FlowCalNumber,0),1,1)*L409^INDEX(FlowCalConstB,MATCH(J396,FlowCalNumber,0),1,1)," ")</f>
        <v>#REF!</v>
      </c>
      <c r="N409" s="33"/>
      <c r="O409" s="242">
        <f t="shared" si="378"/>
        <v>1</v>
      </c>
      <c r="P409" s="241" t="e">
        <f t="shared" ca="1" si="379"/>
        <v>#REF!</v>
      </c>
      <c r="Q409" s="243" t="e">
        <f ca="1">IF(AND(INDEX(FlowCalConstA,MATCH(N396,FlowCalNumber,0),1,1)*P409^INDEX(FlowCalConstB,MATCH(N396,FlowCalNumber,0),1,1)&gt;INDEX(FlowCalLowSetting,MATCH(N396,FlowCalNumber,0),1,1), (INDEX(FlowCalConstA,MATCH(N396,FlowCalNumber,0),1,1)*P409^INDEX(FlowCalConstB,MATCH(N396,FlowCalNumber,0),1,1)&lt;INDEX(FlowCalHighSetting,MATCH(N396,FlowCalNumber,0),1,1))),INDEX(FlowCalConstA,MATCH(N396,FlowCalNumber,0),1,1)*P409^INDEX(FlowCalConstB,MATCH(N396,FlowCalNumber,0),1,1)," ")</f>
        <v>#REF!</v>
      </c>
      <c r="R409" s="33"/>
      <c r="S409" s="242">
        <f t="shared" si="380"/>
        <v>1</v>
      </c>
      <c r="T409" s="241" t="e">
        <f t="shared" ca="1" si="381"/>
        <v>#REF!</v>
      </c>
      <c r="U409" s="244" t="e">
        <f ca="1">IF(AND(INDEX(FlowCalConstA,MATCH(R396,FlowCalNumber,0),1,1)*T409^INDEX(FlowCalConstB,MATCH(R396,FlowCalNumber,0),1,1)&gt;INDEX(FlowCalLowSetting,MATCH(R396,FlowCalNumber,0),1,1), (INDEX(FlowCalConstA,MATCH(R396,FlowCalNumber,0),1,1)*T409^INDEX(FlowCalConstB,MATCH(R396,FlowCalNumber,0),1,1)&lt;INDEX(FlowCalHighSetting,MATCH(R396,FlowCalNumber,0),1,1))),INDEX(FlowCalConstA,MATCH(R396,FlowCalNumber,0),1,1)*T409^INDEX(FlowCalConstB,MATCH(R396,FlowCalNumber,0),1,1)," ")</f>
        <v>#REF!</v>
      </c>
      <c r="V409" s="33"/>
      <c r="W409" s="242">
        <f t="shared" si="382"/>
        <v>0.1</v>
      </c>
      <c r="X409" s="241" t="e">
        <f t="shared" ca="1" si="383"/>
        <v>#REF!</v>
      </c>
      <c r="Y409" s="243" t="e">
        <f ca="1">IF(AND(INDEX(FlowCalConstA,MATCH(V396,FlowCalNumber,0),1,1)*X409^INDEX(FlowCalConstB,MATCH(V396,FlowCalNumber,0),1,1)&gt;INDEX(FlowCalLowSetting,MATCH(V396,FlowCalNumber,0),1,1), (INDEX(FlowCalConstA,MATCH(V396,FlowCalNumber,0),1,1)*X409^INDEX(FlowCalConstB,MATCH(V396,FlowCalNumber,0),1,1)&lt;INDEX(FlowCalHighSetting,MATCH(V396,FlowCalNumber,0),1,1))),INDEX(FlowCalConstA,MATCH(V396,FlowCalNumber,0),1,1)*X409^INDEX(FlowCalConstB,MATCH(V396,FlowCalNumber,0),1,1)," ")</f>
        <v>#REF!</v>
      </c>
      <c r="Z409" s="33"/>
      <c r="AA409" s="242">
        <f t="shared" si="384"/>
        <v>0.9</v>
      </c>
      <c r="AB409" s="241" t="e">
        <f t="shared" ca="1" si="385"/>
        <v>#REF!</v>
      </c>
      <c r="AC409" s="243" t="e">
        <f ca="1">IF(AND(INDEX(FlowCalConstA,MATCH(Z396,FlowCalNumber,0),1,1)*AB409^INDEX(FlowCalConstB,MATCH(Z396,FlowCalNumber,0),1,1)&gt;INDEX(FlowCalLowSetting,MATCH(Z396,FlowCalNumber,0),1,1), (INDEX(FlowCalConstA,MATCH(Z396,FlowCalNumber,0),1,1)*AB409^INDEX(FlowCalConstB,MATCH(Z396,FlowCalNumber,0),1,1)&lt;INDEX(FlowCalHighSetting,MATCH(Z396,FlowCalNumber,0),1,1))),INDEX(FlowCalConstA,MATCH(Z396,FlowCalNumber,0),1,1)*AB409^INDEX(FlowCalConstB,MATCH(Z396,FlowCalNumber,0),1,1)," ")</f>
        <v>#REF!</v>
      </c>
      <c r="AD409" s="33"/>
      <c r="AE409" s="242">
        <f t="shared" si="386"/>
        <v>0.1</v>
      </c>
      <c r="AF409" s="241" t="e">
        <f t="shared" ca="1" si="387"/>
        <v>#REF!</v>
      </c>
      <c r="AG409" s="243" t="e">
        <f ca="1">IF(AND(INDEX(FlowCalConstA,MATCH(AD396,FlowCalNumber,0),1,1)*AF409^INDEX(FlowCalConstB,MATCH(AD396,FlowCalNumber,0),1,1)&gt;INDEX(FlowCalLowSetting,MATCH(AD396,FlowCalNumber,0),1,1), (INDEX(FlowCalConstA,MATCH(AD396,FlowCalNumber,0),1,1)*AF409^INDEX(FlowCalConstB,MATCH(AD396,FlowCalNumber,0),1,1)&lt;INDEX(FlowCalHighSetting,MATCH(AD396,FlowCalNumber,0),1,1))),INDEX(FlowCalConstA,MATCH(AD396,FlowCalNumber,0),1,1)*AF409^INDEX(FlowCalConstB,MATCH(AD396,FlowCalNumber,0),1,1)," ")</f>
        <v>#REF!</v>
      </c>
      <c r="AH409" s="33"/>
      <c r="AI409" s="242">
        <f t="shared" si="388"/>
        <v>0.9</v>
      </c>
      <c r="AJ409" s="241" t="e">
        <f t="shared" ca="1" si="389"/>
        <v>#REF!</v>
      </c>
      <c r="AK409" s="243" t="e">
        <f ca="1">IF(AND(INDEX(FlowCalConstA,MATCH(AH396,FlowCalNumber,0),1,1)*AJ409^INDEX(FlowCalConstB,MATCH(AH396,FlowCalNumber,0),1,1)&gt;INDEX(FlowCalLowSetting,MATCH(AH396,FlowCalNumber,0),1,1), (INDEX(FlowCalConstA,MATCH(AH396,FlowCalNumber,0),1,1)*AJ409^INDEX(FlowCalConstB,MATCH(AH396,FlowCalNumber,0),1,1)&lt;INDEX(FlowCalHighSetting,MATCH(AH396,FlowCalNumber,0),1,1))),INDEX(FlowCalConstA,MATCH(AH396,FlowCalNumber,0),1,1)*AJ409^INDEX(FlowCalConstB,MATCH(AH396,FlowCalNumber,0),1,1)," ")</f>
        <v>#REF!</v>
      </c>
      <c r="AL409" s="33"/>
      <c r="AM409" s="242"/>
      <c r="AN409" s="241"/>
      <c r="AO409" s="244"/>
      <c r="AQ409" s="242"/>
      <c r="AR409" s="241"/>
      <c r="AS409" s="244"/>
      <c r="AT409" s="33"/>
      <c r="AU409" s="242"/>
      <c r="AV409" s="241"/>
      <c r="AW409" s="244"/>
      <c r="AX409" s="33"/>
      <c r="AY409" s="242"/>
      <c r="AZ409" s="241"/>
      <c r="BA409" s="244"/>
      <c r="BB409" s="33"/>
      <c r="BC409" s="242"/>
      <c r="BD409" s="241"/>
      <c r="BE409" s="244"/>
      <c r="BF409" s="33"/>
      <c r="BG409" s="242"/>
      <c r="BH409" s="241"/>
      <c r="BI409" s="244"/>
      <c r="BJ409" s="33"/>
      <c r="BK409" s="242"/>
      <c r="BL409" s="241"/>
      <c r="BM409" s="244"/>
      <c r="BN409" s="33"/>
      <c r="BO409" s="242"/>
      <c r="BP409" s="241"/>
      <c r="BQ409" s="244"/>
      <c r="BR409" s="33"/>
      <c r="BS409" s="242"/>
      <c r="BT409" s="241"/>
      <c r="BU409" s="244"/>
      <c r="BV409" s="33"/>
      <c r="BW409" s="242"/>
      <c r="BX409" s="241"/>
      <c r="BY409" s="244"/>
      <c r="BZ409" s="33"/>
      <c r="CA409" s="242"/>
      <c r="CB409" s="241"/>
      <c r="CC409" s="244"/>
      <c r="CD409" s="243"/>
      <c r="CE409" s="243"/>
      <c r="CF409" s="243"/>
      <c r="CG409" s="243"/>
      <c r="CH409" s="243"/>
      <c r="CI409" s="243"/>
      <c r="CJ409" s="243"/>
      <c r="CK409" s="243"/>
      <c r="CL409" s="243"/>
      <c r="CM409" s="243"/>
      <c r="CN409" s="243"/>
      <c r="CO409" s="243"/>
      <c r="CP409" s="243"/>
      <c r="CQ409" s="243"/>
      <c r="CR409" s="243"/>
      <c r="CS409" s="243"/>
      <c r="CT409" s="243"/>
      <c r="CU409" s="243"/>
      <c r="CV409" s="243"/>
      <c r="CW409" s="243"/>
      <c r="CX409" s="243"/>
      <c r="CY409" s="243"/>
      <c r="CZ409" s="243"/>
      <c r="DA409" s="243"/>
      <c r="DB409" s="243"/>
      <c r="DC409" s="243"/>
      <c r="DD409" s="243"/>
      <c r="DE409" s="243"/>
      <c r="DF409" s="243"/>
      <c r="DG409" s="243"/>
      <c r="DH409" s="243"/>
      <c r="DI409" s="243"/>
      <c r="DJ409" s="243"/>
      <c r="DK409" s="243"/>
      <c r="DM409" s="242"/>
      <c r="DO409" s="243"/>
      <c r="DQ409" s="242"/>
      <c r="DS409" s="243"/>
      <c r="DU409" s="242"/>
      <c r="DW409" s="243"/>
      <c r="DY409" s="242"/>
      <c r="EA409" s="243"/>
    </row>
    <row r="410" spans="1:131">
      <c r="A410" s="20"/>
      <c r="B410" s="124" t="str">
        <f t="shared" si="374"/>
        <v/>
      </c>
      <c r="C410" s="235"/>
      <c r="D410" s="24">
        <f>'1% Wind'!$M$95</f>
        <v>1.3</v>
      </c>
      <c r="E410" s="90"/>
      <c r="F410" s="90"/>
      <c r="G410" s="79" t="e">
        <f ca="1">IF(I396=0.9743,$G409,MAX(G409/D409*D410,2))</f>
        <v>#REF!</v>
      </c>
      <c r="H410" s="121" t="e">
        <f t="shared" ca="1" si="375"/>
        <v>#REF!</v>
      </c>
      <c r="J410" s="33"/>
      <c r="K410" s="242">
        <f t="shared" si="376"/>
        <v>1</v>
      </c>
      <c r="L410" s="241" t="e">
        <f t="shared" ca="1" si="377"/>
        <v>#REF!</v>
      </c>
      <c r="M410" s="243" t="e">
        <f ca="1">IF(AND(INDEX(FlowCalConstA,MATCH(J396,FlowCalNumber,0),1,1)*L410^INDEX(FlowCalConstB,MATCH(J396,FlowCalNumber,0),1,1)&gt;INDEX(FlowCalLowSetting,MATCH(J396,FlowCalNumber,0),1,1), (INDEX(FlowCalConstA,MATCH(J396,FlowCalNumber,0),1,1)*L410^INDEX(FlowCalConstB,MATCH(J396,FlowCalNumber,0),1,1)&lt;INDEX(FlowCalHighSetting,MATCH(J396,FlowCalNumber,0),1,1))),INDEX(FlowCalConstA,MATCH(J396,FlowCalNumber,0),1,1)*L410^INDEX(FlowCalConstB,MATCH(J396,FlowCalNumber,0),1,1)," ")</f>
        <v>#REF!</v>
      </c>
      <c r="N410" s="33"/>
      <c r="O410" s="242">
        <f t="shared" si="378"/>
        <v>1</v>
      </c>
      <c r="P410" s="241" t="e">
        <f t="shared" ca="1" si="379"/>
        <v>#REF!</v>
      </c>
      <c r="Q410" s="243" t="e">
        <f ca="1">IF(AND(INDEX(FlowCalConstA,MATCH(N396,FlowCalNumber,0),1,1)*P410^INDEX(FlowCalConstB,MATCH(N396,FlowCalNumber,0),1,1)&gt;INDEX(FlowCalLowSetting,MATCH(N396,FlowCalNumber,0),1,1), (INDEX(FlowCalConstA,MATCH(N396,FlowCalNumber,0),1,1)*P410^INDEX(FlowCalConstB,MATCH(N396,FlowCalNumber,0),1,1)&lt;INDEX(FlowCalHighSetting,MATCH(N396,FlowCalNumber,0),1,1))),INDEX(FlowCalConstA,MATCH(N396,FlowCalNumber,0),1,1)*P410^INDEX(FlowCalConstB,MATCH(N396,FlowCalNumber,0),1,1)," ")</f>
        <v>#REF!</v>
      </c>
      <c r="R410" s="33"/>
      <c r="S410" s="242">
        <f t="shared" si="380"/>
        <v>1</v>
      </c>
      <c r="T410" s="241" t="e">
        <f t="shared" ca="1" si="381"/>
        <v>#REF!</v>
      </c>
      <c r="U410" s="244" t="e">
        <f ca="1">IF(AND(INDEX(FlowCalConstA,MATCH(R396,FlowCalNumber,0),1,1)*T410^INDEX(FlowCalConstB,MATCH(R396,FlowCalNumber,0),1,1)&gt;INDEX(FlowCalLowSetting,MATCH(R396,FlowCalNumber,0),1,1), (INDEX(FlowCalConstA,MATCH(R396,FlowCalNumber,0),1,1)*T410^INDEX(FlowCalConstB,MATCH(R396,FlowCalNumber,0),1,1)&lt;INDEX(FlowCalHighSetting,MATCH(R396,FlowCalNumber,0),1,1))),INDEX(FlowCalConstA,MATCH(R396,FlowCalNumber,0),1,1)*T410^INDEX(FlowCalConstB,MATCH(R396,FlowCalNumber,0),1,1)," ")</f>
        <v>#REF!</v>
      </c>
      <c r="V410" s="33"/>
      <c r="W410" s="242">
        <f t="shared" si="382"/>
        <v>0.1</v>
      </c>
      <c r="X410" s="241" t="e">
        <f t="shared" ca="1" si="383"/>
        <v>#REF!</v>
      </c>
      <c r="Y410" s="243" t="e">
        <f ca="1">IF(AND(INDEX(FlowCalConstA,MATCH(V396,FlowCalNumber,0),1,1)*X410^INDEX(FlowCalConstB,MATCH(V396,FlowCalNumber,0),1,1)&gt;INDEX(FlowCalLowSetting,MATCH(V396,FlowCalNumber,0),1,1), (INDEX(FlowCalConstA,MATCH(V396,FlowCalNumber,0),1,1)*X410^INDEX(FlowCalConstB,MATCH(V396,FlowCalNumber,0),1,1)&lt;INDEX(FlowCalHighSetting,MATCH(V396,FlowCalNumber,0),1,1))),INDEX(FlowCalConstA,MATCH(V396,FlowCalNumber,0),1,1)*X410^INDEX(FlowCalConstB,MATCH(V396,FlowCalNumber,0),1,1)," ")</f>
        <v>#REF!</v>
      </c>
      <c r="Z410" s="33"/>
      <c r="AA410" s="242">
        <f t="shared" si="384"/>
        <v>0.9</v>
      </c>
      <c r="AB410" s="241" t="e">
        <f t="shared" ca="1" si="385"/>
        <v>#REF!</v>
      </c>
      <c r="AC410" s="243" t="e">
        <f ca="1">IF(AND(INDEX(FlowCalConstA,MATCH(Z396,FlowCalNumber,0),1,1)*AB410^INDEX(FlowCalConstB,MATCH(Z396,FlowCalNumber,0),1,1)&gt;INDEX(FlowCalLowSetting,MATCH(Z396,FlowCalNumber,0),1,1), (INDEX(FlowCalConstA,MATCH(Z396,FlowCalNumber,0),1,1)*AB410^INDEX(FlowCalConstB,MATCH(Z396,FlowCalNumber,0),1,1)&lt;INDEX(FlowCalHighSetting,MATCH(Z396,FlowCalNumber,0),1,1))),INDEX(FlowCalConstA,MATCH(Z396,FlowCalNumber,0),1,1)*AB410^INDEX(FlowCalConstB,MATCH(Z396,FlowCalNumber,0),1,1)," ")</f>
        <v>#REF!</v>
      </c>
      <c r="AD410" s="33"/>
      <c r="AE410" s="242">
        <f t="shared" si="386"/>
        <v>0.1</v>
      </c>
      <c r="AF410" s="241" t="e">
        <f t="shared" ca="1" si="387"/>
        <v>#REF!</v>
      </c>
      <c r="AG410" s="243" t="e">
        <f ca="1">IF(AND(INDEX(FlowCalConstA,MATCH(AD396,FlowCalNumber,0),1,1)*AF410^INDEX(FlowCalConstB,MATCH(AD396,FlowCalNumber,0),1,1)&gt;INDEX(FlowCalLowSetting,MATCH(AD396,FlowCalNumber,0),1,1), (INDEX(FlowCalConstA,MATCH(AD396,FlowCalNumber,0),1,1)*AF410^INDEX(FlowCalConstB,MATCH(AD396,FlowCalNumber,0),1,1)&lt;INDEX(FlowCalHighSetting,MATCH(AD396,FlowCalNumber,0),1,1))),INDEX(FlowCalConstA,MATCH(AD396,FlowCalNumber,0),1,1)*AF410^INDEX(FlowCalConstB,MATCH(AD396,FlowCalNumber,0),1,1)," ")</f>
        <v>#REF!</v>
      </c>
      <c r="AH410" s="33"/>
      <c r="AI410" s="242">
        <f t="shared" si="388"/>
        <v>0.9</v>
      </c>
      <c r="AJ410" s="241" t="e">
        <f t="shared" ca="1" si="389"/>
        <v>#REF!</v>
      </c>
      <c r="AK410" s="243" t="e">
        <f ca="1">IF(AND(INDEX(FlowCalConstA,MATCH(AH396,FlowCalNumber,0),1,1)*AJ410^INDEX(FlowCalConstB,MATCH(AH396,FlowCalNumber,0),1,1)&gt;INDEX(FlowCalLowSetting,MATCH(AH396,FlowCalNumber,0),1,1), (INDEX(FlowCalConstA,MATCH(AH396,FlowCalNumber,0),1,1)*AJ410^INDEX(FlowCalConstB,MATCH(AH396,FlowCalNumber,0),1,1)&lt;INDEX(FlowCalHighSetting,MATCH(AH396,FlowCalNumber,0),1,1))),INDEX(FlowCalConstA,MATCH(AH396,FlowCalNumber,0),1,1)*AJ410^INDEX(FlowCalConstB,MATCH(AH396,FlowCalNumber,0),1,1)," ")</f>
        <v>#REF!</v>
      </c>
      <c r="AL410" s="33"/>
      <c r="AM410" s="242"/>
      <c r="AN410" s="241"/>
      <c r="AO410" s="244"/>
      <c r="AQ410" s="242"/>
      <c r="AR410" s="241"/>
      <c r="AS410" s="244"/>
      <c r="AT410" s="33"/>
      <c r="AU410" s="242"/>
      <c r="AV410" s="241"/>
      <c r="AW410" s="244"/>
      <c r="AX410" s="33"/>
      <c r="AY410" s="242"/>
      <c r="AZ410" s="241"/>
      <c r="BA410" s="244"/>
      <c r="BB410" s="33"/>
      <c r="BC410" s="242"/>
      <c r="BD410" s="241"/>
      <c r="BE410" s="244"/>
      <c r="BF410" s="33"/>
      <c r="BG410" s="242"/>
      <c r="BH410" s="241"/>
      <c r="BI410" s="244"/>
      <c r="BJ410" s="33"/>
      <c r="BK410" s="242"/>
      <c r="BL410" s="241"/>
      <c r="BM410" s="244"/>
      <c r="BN410" s="33"/>
      <c r="BO410" s="242"/>
      <c r="BP410" s="241"/>
      <c r="BQ410" s="244"/>
      <c r="BR410" s="33"/>
      <c r="BS410" s="242"/>
      <c r="BT410" s="241"/>
      <c r="BU410" s="244"/>
      <c r="BV410" s="33"/>
      <c r="BW410" s="242"/>
      <c r="BX410" s="241"/>
      <c r="BY410" s="244"/>
      <c r="BZ410" s="33"/>
      <c r="CA410" s="242"/>
      <c r="CB410" s="241"/>
      <c r="CC410" s="244"/>
      <c r="CD410" s="243"/>
      <c r="CE410" s="243"/>
      <c r="CF410" s="243"/>
      <c r="CG410" s="243"/>
      <c r="CH410" s="243"/>
      <c r="CI410" s="243"/>
      <c r="CJ410" s="243"/>
      <c r="CK410" s="243"/>
      <c r="CL410" s="243"/>
      <c r="CM410" s="243"/>
      <c r="CN410" s="243"/>
      <c r="CO410" s="243"/>
      <c r="CP410" s="243"/>
      <c r="CQ410" s="243"/>
      <c r="CR410" s="243"/>
      <c r="CS410" s="243"/>
      <c r="CT410" s="243"/>
      <c r="CU410" s="243"/>
      <c r="CV410" s="243"/>
      <c r="CW410" s="243"/>
      <c r="CX410" s="243"/>
      <c r="CY410" s="243"/>
      <c r="CZ410" s="243"/>
      <c r="DA410" s="243"/>
      <c r="DB410" s="243"/>
      <c r="DC410" s="243"/>
      <c r="DD410" s="243"/>
      <c r="DE410" s="243"/>
      <c r="DF410" s="243"/>
      <c r="DG410" s="243"/>
      <c r="DH410" s="243"/>
      <c r="DI410" s="243"/>
      <c r="DJ410" s="243"/>
      <c r="DK410" s="243"/>
      <c r="DM410" s="242"/>
      <c r="DO410" s="243"/>
      <c r="DQ410" s="242"/>
      <c r="DS410" s="243"/>
      <c r="DU410" s="242"/>
      <c r="DW410" s="243"/>
      <c r="DY410" s="242"/>
      <c r="EA410" s="243"/>
    </row>
    <row r="411" spans="1:131">
      <c r="A411" s="20"/>
      <c r="B411" s="124" t="str">
        <f t="shared" si="374"/>
        <v/>
      </c>
      <c r="C411" s="235"/>
      <c r="D411" s="24">
        <f>'1% Wind'!$M$96</f>
        <v>1</v>
      </c>
      <c r="E411" s="90"/>
      <c r="F411" s="90"/>
      <c r="G411" s="79" t="e">
        <f ca="1">IF(I396=0.9743,$G410,MAX(G410/D410*D411,2))</f>
        <v>#REF!</v>
      </c>
      <c r="H411" s="121" t="e">
        <f t="shared" ca="1" si="375"/>
        <v>#REF!</v>
      </c>
      <c r="J411" s="33"/>
      <c r="K411" s="242">
        <f t="shared" si="376"/>
        <v>1</v>
      </c>
      <c r="L411" s="241" t="e">
        <f t="shared" ca="1" si="377"/>
        <v>#REF!</v>
      </c>
      <c r="M411" s="243" t="e">
        <f ca="1">IF(AND(INDEX(FlowCalConstA,MATCH(J396,FlowCalNumber,0),1,1)*L411^INDEX(FlowCalConstB,MATCH(J396,FlowCalNumber,0),1,1)&gt;INDEX(FlowCalLowSetting,MATCH(J396,FlowCalNumber,0),1,1), (INDEX(FlowCalConstA,MATCH(J396,FlowCalNumber,0),1,1)*L411^INDEX(FlowCalConstB,MATCH(J396,FlowCalNumber,0),1,1)&lt;INDEX(FlowCalHighSetting,MATCH(J396,FlowCalNumber,0),1,1))),INDEX(FlowCalConstA,MATCH(J396,FlowCalNumber,0),1,1)*L411^INDEX(FlowCalConstB,MATCH(J396,FlowCalNumber,0),1,1)," ")</f>
        <v>#REF!</v>
      </c>
      <c r="N411" s="33"/>
      <c r="O411" s="242">
        <f t="shared" si="378"/>
        <v>1</v>
      </c>
      <c r="P411" s="241" t="e">
        <f t="shared" ca="1" si="379"/>
        <v>#REF!</v>
      </c>
      <c r="Q411" s="243" t="e">
        <f ca="1">IF(AND(INDEX(FlowCalConstA,MATCH(N396,FlowCalNumber,0),1,1)*P411^INDEX(FlowCalConstB,MATCH(N396,FlowCalNumber,0),1,1)&gt;INDEX(FlowCalLowSetting,MATCH(N396,FlowCalNumber,0),1,1), (INDEX(FlowCalConstA,MATCH(N396,FlowCalNumber,0),1,1)*P411^INDEX(FlowCalConstB,MATCH(N396,FlowCalNumber,0),1,1)&lt;INDEX(FlowCalHighSetting,MATCH(N396,FlowCalNumber,0),1,1))),INDEX(FlowCalConstA,MATCH(N396,FlowCalNumber,0),1,1)*P411^INDEX(FlowCalConstB,MATCH(N396,FlowCalNumber,0),1,1)," ")</f>
        <v>#REF!</v>
      </c>
      <c r="R411" s="33"/>
      <c r="S411" s="242">
        <f t="shared" si="380"/>
        <v>1</v>
      </c>
      <c r="T411" s="241" t="e">
        <f t="shared" ca="1" si="381"/>
        <v>#REF!</v>
      </c>
      <c r="U411" s="244" t="e">
        <f ca="1">IF(AND(INDEX(FlowCalConstA,MATCH(R396,FlowCalNumber,0),1,1)*T411^INDEX(FlowCalConstB,MATCH(R396,FlowCalNumber,0),1,1)&gt;INDEX(FlowCalLowSetting,MATCH(R396,FlowCalNumber,0),1,1), (INDEX(FlowCalConstA,MATCH(R396,FlowCalNumber,0),1,1)*T411^INDEX(FlowCalConstB,MATCH(R396,FlowCalNumber,0),1,1)&lt;INDEX(FlowCalHighSetting,MATCH(R396,FlowCalNumber,0),1,1))),INDEX(FlowCalConstA,MATCH(R396,FlowCalNumber,0),1,1)*T411^INDEX(FlowCalConstB,MATCH(R396,FlowCalNumber,0),1,1)," ")</f>
        <v>#REF!</v>
      </c>
      <c r="V411" s="33"/>
      <c r="W411" s="242">
        <f t="shared" si="382"/>
        <v>0.1</v>
      </c>
      <c r="X411" s="241" t="e">
        <f t="shared" ca="1" si="383"/>
        <v>#REF!</v>
      </c>
      <c r="Y411" s="243" t="e">
        <f ca="1">IF(AND(INDEX(FlowCalConstA,MATCH(V396,FlowCalNumber,0),1,1)*X411^INDEX(FlowCalConstB,MATCH(V396,FlowCalNumber,0),1,1)&gt;INDEX(FlowCalLowSetting,MATCH(V396,FlowCalNumber,0),1,1), (INDEX(FlowCalConstA,MATCH(V396,FlowCalNumber,0),1,1)*X411^INDEX(FlowCalConstB,MATCH(V396,FlowCalNumber,0),1,1)&lt;INDEX(FlowCalHighSetting,MATCH(V396,FlowCalNumber,0),1,1))),INDEX(FlowCalConstA,MATCH(V396,FlowCalNumber,0),1,1)*X411^INDEX(FlowCalConstB,MATCH(V396,FlowCalNumber,0),1,1)," ")</f>
        <v>#REF!</v>
      </c>
      <c r="Z411" s="33"/>
      <c r="AA411" s="242">
        <f t="shared" si="384"/>
        <v>0.9</v>
      </c>
      <c r="AB411" s="241" t="e">
        <f t="shared" ca="1" si="385"/>
        <v>#REF!</v>
      </c>
      <c r="AC411" s="243" t="e">
        <f ca="1">IF(AND(INDEX(FlowCalConstA,MATCH(Z396,FlowCalNumber,0),1,1)*AB411^INDEX(FlowCalConstB,MATCH(Z396,FlowCalNumber,0),1,1)&gt;INDEX(FlowCalLowSetting,MATCH(Z396,FlowCalNumber,0),1,1), (INDEX(FlowCalConstA,MATCH(Z396,FlowCalNumber,0),1,1)*AB411^INDEX(FlowCalConstB,MATCH(Z396,FlowCalNumber,0),1,1)&lt;INDEX(FlowCalHighSetting,MATCH(Z396,FlowCalNumber,0),1,1))),INDEX(FlowCalConstA,MATCH(Z396,FlowCalNumber,0),1,1)*AB411^INDEX(FlowCalConstB,MATCH(Z396,FlowCalNumber,0),1,1)," ")</f>
        <v>#REF!</v>
      </c>
      <c r="AD411" s="33"/>
      <c r="AE411" s="242">
        <f t="shared" si="386"/>
        <v>0.1</v>
      </c>
      <c r="AF411" s="241" t="e">
        <f t="shared" ca="1" si="387"/>
        <v>#REF!</v>
      </c>
      <c r="AG411" s="243" t="e">
        <f ca="1">IF(AND(INDEX(FlowCalConstA,MATCH(AD396,FlowCalNumber,0),1,1)*AF411^INDEX(FlowCalConstB,MATCH(AD396,FlowCalNumber,0),1,1)&gt;INDEX(FlowCalLowSetting,MATCH(AD396,FlowCalNumber,0),1,1), (INDEX(FlowCalConstA,MATCH(AD396,FlowCalNumber,0),1,1)*AF411^INDEX(FlowCalConstB,MATCH(AD396,FlowCalNumber,0),1,1)&lt;INDEX(FlowCalHighSetting,MATCH(AD396,FlowCalNumber,0),1,1))),INDEX(FlowCalConstA,MATCH(AD396,FlowCalNumber,0),1,1)*AF411^INDEX(FlowCalConstB,MATCH(AD396,FlowCalNumber,0),1,1)," ")</f>
        <v>#REF!</v>
      </c>
      <c r="AH411" s="33"/>
      <c r="AI411" s="242">
        <f t="shared" si="388"/>
        <v>0.9</v>
      </c>
      <c r="AJ411" s="241" t="e">
        <f t="shared" ca="1" si="389"/>
        <v>#REF!</v>
      </c>
      <c r="AK411" s="243" t="e">
        <f ca="1">IF(AND(INDEX(FlowCalConstA,MATCH(AH396,FlowCalNumber,0),1,1)*AJ411^INDEX(FlowCalConstB,MATCH(AH396,FlowCalNumber,0),1,1)&gt;INDEX(FlowCalLowSetting,MATCH(AH396,FlowCalNumber,0),1,1), (INDEX(FlowCalConstA,MATCH(AH396,FlowCalNumber,0),1,1)*AJ411^INDEX(FlowCalConstB,MATCH(AH396,FlowCalNumber,0),1,1)&lt;INDEX(FlowCalHighSetting,MATCH(AH396,FlowCalNumber,0),1,1))),INDEX(FlowCalConstA,MATCH(AH396,FlowCalNumber,0),1,1)*AJ411^INDEX(FlowCalConstB,MATCH(AH396,FlowCalNumber,0),1,1)," ")</f>
        <v>#REF!</v>
      </c>
      <c r="AL411" s="33"/>
      <c r="AM411" s="242"/>
      <c r="AN411" s="241"/>
      <c r="AO411" s="244"/>
      <c r="AQ411" s="242"/>
      <c r="AR411" s="241"/>
      <c r="AS411" s="244"/>
      <c r="AT411" s="33"/>
      <c r="AU411" s="242"/>
      <c r="AV411" s="241"/>
      <c r="AW411" s="244"/>
      <c r="AX411" s="33"/>
      <c r="AY411" s="242"/>
      <c r="AZ411" s="241"/>
      <c r="BA411" s="244"/>
      <c r="BB411" s="33"/>
      <c r="BC411" s="242"/>
      <c r="BD411" s="241"/>
      <c r="BE411" s="244"/>
      <c r="BF411" s="33"/>
      <c r="BG411" s="242"/>
      <c r="BH411" s="241"/>
      <c r="BI411" s="244"/>
      <c r="BJ411" s="33"/>
      <c r="BK411" s="242"/>
      <c r="BL411" s="241"/>
      <c r="BM411" s="244"/>
      <c r="BN411" s="33"/>
      <c r="BO411" s="242"/>
      <c r="BP411" s="241"/>
      <c r="BQ411" s="244"/>
      <c r="BR411" s="33"/>
      <c r="BS411" s="242"/>
      <c r="BT411" s="241"/>
      <c r="BU411" s="244"/>
      <c r="BV411" s="33"/>
      <c r="BW411" s="242"/>
      <c r="BX411" s="241"/>
      <c r="BY411" s="244"/>
      <c r="BZ411" s="33"/>
      <c r="CA411" s="242"/>
      <c r="CB411" s="241"/>
      <c r="CC411" s="244"/>
      <c r="CD411" s="243"/>
      <c r="CE411" s="243"/>
      <c r="CF411" s="243"/>
      <c r="CG411" s="243"/>
      <c r="CH411" s="243"/>
      <c r="CI411" s="243"/>
      <c r="CJ411" s="243"/>
      <c r="CK411" s="243"/>
      <c r="CL411" s="243"/>
      <c r="CM411" s="243"/>
      <c r="CN411" s="243"/>
      <c r="CO411" s="243"/>
      <c r="CP411" s="243"/>
      <c r="CQ411" s="243"/>
      <c r="CR411" s="243"/>
      <c r="CS411" s="243"/>
      <c r="CT411" s="243"/>
      <c r="CU411" s="243"/>
      <c r="CV411" s="243"/>
      <c r="CW411" s="243"/>
      <c r="CX411" s="243"/>
      <c r="CY411" s="243"/>
      <c r="CZ411" s="243"/>
      <c r="DA411" s="243"/>
      <c r="DB411" s="243"/>
      <c r="DC411" s="243"/>
      <c r="DD411" s="243"/>
      <c r="DE411" s="243"/>
      <c r="DF411" s="243"/>
      <c r="DG411" s="243"/>
      <c r="DH411" s="243"/>
      <c r="DI411" s="243"/>
      <c r="DJ411" s="243"/>
      <c r="DK411" s="243"/>
      <c r="DM411" s="242"/>
      <c r="DO411" s="243"/>
      <c r="DQ411" s="242"/>
      <c r="DS411" s="243"/>
      <c r="DU411" s="242"/>
      <c r="DW411" s="243"/>
      <c r="DY411" s="242"/>
      <c r="EA411" s="243"/>
    </row>
    <row r="412" spans="1:131">
      <c r="A412" s="33"/>
      <c r="B412" s="33"/>
      <c r="C412" s="235"/>
      <c r="E412" s="90"/>
      <c r="F412" s="90"/>
      <c r="G412" s="33"/>
      <c r="J412" s="33"/>
      <c r="N412" s="33"/>
      <c r="Q412" s="243"/>
      <c r="R412" s="33"/>
      <c r="U412" s="244"/>
      <c r="V412" s="33"/>
      <c r="Y412" s="243"/>
      <c r="Z412" s="33"/>
      <c r="AC412" s="243"/>
      <c r="AD412" s="33"/>
      <c r="AG412" s="243"/>
      <c r="AH412" s="33"/>
      <c r="AK412" s="244"/>
      <c r="AL412" s="792"/>
      <c r="AM412" s="243"/>
      <c r="AN412" s="243"/>
      <c r="AO412" s="244"/>
      <c r="AP412" s="243"/>
      <c r="AQ412" s="243"/>
      <c r="AR412" s="243"/>
      <c r="AS412" s="244"/>
      <c r="AT412" s="243"/>
      <c r="AU412" s="243"/>
      <c r="AV412" s="243"/>
      <c r="AW412" s="244"/>
      <c r="AX412" s="243"/>
      <c r="AY412" s="243"/>
      <c r="AZ412" s="243"/>
      <c r="BA412" s="244"/>
      <c r="BB412" s="33"/>
      <c r="BE412" s="244"/>
      <c r="BF412" s="33"/>
      <c r="BI412" s="244"/>
      <c r="BJ412" s="33"/>
      <c r="BM412" s="244"/>
      <c r="BN412" s="243"/>
      <c r="BO412" s="243"/>
      <c r="BP412" s="243"/>
      <c r="BQ412" s="244"/>
      <c r="BR412" s="792"/>
      <c r="BS412" s="243"/>
      <c r="BT412" s="243"/>
      <c r="BU412" s="244"/>
      <c r="BV412" s="792"/>
      <c r="BW412" s="243"/>
      <c r="BX412" s="243"/>
      <c r="BY412" s="244"/>
      <c r="BZ412" s="792"/>
      <c r="CA412" s="243"/>
      <c r="CB412" s="243"/>
      <c r="CC412" s="244"/>
      <c r="CD412" s="243"/>
      <c r="CE412" s="243"/>
      <c r="CF412" s="243"/>
      <c r="CG412" s="243"/>
      <c r="CH412" s="243"/>
      <c r="CI412" s="243"/>
      <c r="CJ412" s="243"/>
      <c r="CK412" s="243"/>
      <c r="CL412" s="243"/>
      <c r="CM412" s="243"/>
      <c r="CN412" s="243"/>
      <c r="CO412" s="243"/>
      <c r="CP412" s="243"/>
      <c r="CQ412" s="243"/>
      <c r="CR412" s="243"/>
      <c r="CS412" s="243"/>
      <c r="CT412" s="243"/>
      <c r="CU412" s="243"/>
      <c r="CV412" s="243"/>
      <c r="CW412" s="243"/>
      <c r="CX412" s="243"/>
      <c r="CY412" s="243"/>
      <c r="CZ412" s="243"/>
      <c r="DA412" s="243"/>
      <c r="DB412" s="243"/>
      <c r="DC412" s="243"/>
      <c r="DD412" s="243"/>
      <c r="DE412" s="243"/>
      <c r="DF412" s="243"/>
      <c r="DG412" s="243"/>
      <c r="DH412" s="243"/>
      <c r="DI412" s="243"/>
      <c r="DJ412" s="243"/>
      <c r="DK412" s="243"/>
      <c r="DO412" s="243"/>
      <c r="DS412" s="243"/>
      <c r="DW412" s="243"/>
      <c r="EA412" s="243"/>
    </row>
    <row r="413" spans="1:131">
      <c r="A413" s="256" t="str">
        <f>IF((RIGHT(A396,1))&lt;&gt;"Z",CHAR(CODE(A396))&amp;CHAR(CODE(RIGHT(A396,1))+1),CHAR(CODE(A396)+1)&amp;"A")</f>
        <v>AX</v>
      </c>
      <c r="B413" s="270" t="e">
        <f>INDEX(SourceID,MATCH($A413,SourceNumber,0),1,1)</f>
        <v>#N/A</v>
      </c>
      <c r="C413" s="354" t="e">
        <f>INDEX(SourceExitDiameter,MATCH($A413,SourceNumber,0),1,1)*3.28*12</f>
        <v>#N/A</v>
      </c>
      <c r="D413" s="24" t="str">
        <f>UAnem1percent</f>
        <v>1% Wind</v>
      </c>
      <c r="E413" s="350" t="e">
        <f ca="1">INDIRECT(ADDRESS(53,6,1,,CONCATENATE("TA",$A413)))</f>
        <v>#REF!</v>
      </c>
      <c r="F413" s="625" t="e">
        <f ca="1">(ROUND((INDIRECT(ADDRESS(15,7,1,,CONCATENATE("TA",$A413)))*3.28*12*32),0)&amp;"/32")</f>
        <v>#REF!</v>
      </c>
      <c r="G413" s="125" t="e">
        <f ca="1">INDIRECT(ADDRESS(29,7,1,,$A413))</f>
        <v>#REF!</v>
      </c>
      <c r="H413" s="24" t="e">
        <f ca="1">INDIRECT(ADDRESS(19,7,1,,$A413))*100^3</f>
        <v>#REF!</v>
      </c>
      <c r="I413" s="941" t="e">
        <f ca="1">INDIRECT(ADDRESS(53,7,1,,$A413))</f>
        <v>#REF!</v>
      </c>
      <c r="J413" s="20" t="e">
        <f ca="1">IF($I413=$I$6,K$16&amp;$G$6&amp;J$6,IF($I413=$I$7,K$16&amp;$G$7&amp;J$7,"Bad"))</f>
        <v>#REF!</v>
      </c>
      <c r="K413" t="e">
        <f ca="1">INDEX(FlowCalGasMixture,MATCH(J413,FlowCalNumber,0),1,1)</f>
        <v>#REF!</v>
      </c>
      <c r="M413" s="944" t="e">
        <f ca="1">INDEX(FlowCalDevice,MATCH(J413,FlowCalNumber,0),1,1)</f>
        <v>#REF!</v>
      </c>
      <c r="N413" s="943" t="e">
        <f ca="1">IF($I413=$I$6,O$16&amp;$G$6&amp;"90"&amp;$H$6&amp;N$6,IF($I413=$I$7,O$16&amp;$G$7&amp;"90"&amp;$H$7&amp;N$7,"Bad"))</f>
        <v>#REF!</v>
      </c>
      <c r="O413" t="e">
        <f ca="1">INDEX(FlowCalGasMixture,MATCH(N413,FlowCalNumber,0),1,1)</f>
        <v>#REF!</v>
      </c>
      <c r="Q413" s="944" t="e">
        <f ca="1">INDEX(FlowCalDevice,MATCH(N413,FlowCalNumber,0),1,1)</f>
        <v>#REF!</v>
      </c>
      <c r="R413" s="943" t="e">
        <f ca="1">IF($I413=$I$6,S$16&amp;$G$6&amp;"90"&amp;$H$6&amp;R$6,IF($I413=$I$7,S$16&amp;$G$7&amp;"90"&amp;$H$7&amp;R$7,"Bad"))</f>
        <v>#REF!</v>
      </c>
      <c r="S413" t="e">
        <f ca="1">INDEX(FlowCalGasMixture,MATCH(R413,FlowCalNumber,0),1,1)</f>
        <v>#REF!</v>
      </c>
      <c r="U413" s="944" t="e">
        <f ca="1">INDEX(FlowCalDevice,MATCH(R413,FlowCalNumber,0),1,1)</f>
        <v>#REF!</v>
      </c>
      <c r="V413" s="20" t="e">
        <f ca="1">IF($I413=$I$6,W$16&amp;$G$6&amp;V$6,IF($I413=$I$7,W$16&amp;$G$7&amp;V$7,"Bad"))</f>
        <v>#REF!</v>
      </c>
      <c r="W413" t="e">
        <f ca="1">INDEX(FlowCalGasMixture,MATCH(V413,FlowCalNumber,0),1,1)</f>
        <v>#REF!</v>
      </c>
      <c r="Y413" s="944" t="e">
        <f ca="1">INDEX(FlowCalDevice,MATCH(V413,FlowCalNumber,0),1,1)</f>
        <v>#REF!</v>
      </c>
      <c r="Z413" s="946" t="e">
        <f ca="1">IF($I413=$I$6,AA$18&amp;$H$6&amp;Z$6,IF($I413=$I$7,AA$18&amp;$H$7&amp;Z$7,"Bad"))</f>
        <v>#REF!</v>
      </c>
      <c r="AA413" t="e">
        <f ca="1">INDEX(FlowCalGasMixture,MATCH(Z413,FlowCalNumber,0),1,1)</f>
        <v>#REF!</v>
      </c>
      <c r="AC413" s="944" t="e">
        <f ca="1">INDEX(FlowCalDevice,MATCH(Z413,FlowCalNumber,0),1,1)</f>
        <v>#REF!</v>
      </c>
      <c r="AD413" s="20" t="e">
        <f ca="1">IF($I413=$I$6,AE$16&amp;$G$6&amp;AD$6,IF($I413=$I$7,AE$16&amp;$G$7&amp;AD$7,"Bad"))</f>
        <v>#REF!</v>
      </c>
      <c r="AE413" t="e">
        <f ca="1">INDEX(FlowCalGasMixture,MATCH(AD413,FlowCalNumber,0),1,1)</f>
        <v>#REF!</v>
      </c>
      <c r="AG413" s="944" t="e">
        <f ca="1">INDEX(FlowCalDevice,MATCH(AD413,FlowCalNumber,0),1,1)</f>
        <v>#REF!</v>
      </c>
      <c r="AH413" s="946" t="e">
        <f ca="1">IF($I413=$I$6,AI$18&amp;$H$6&amp;AH$6,IF($I413=$I$7,AI$18&amp;$H$7&amp;AH$7,"Bad"))</f>
        <v>#REF!</v>
      </c>
      <c r="AI413" t="e">
        <f ca="1">INDEX(FlowCalGasMixture,MATCH(AH413,FlowCalNumber,0),1,1)</f>
        <v>#REF!</v>
      </c>
      <c r="AK413" s="944" t="e">
        <f ca="1">INDEX(FlowCalDevice,MATCH(AH413,FlowCalNumber,0),1,1)</f>
        <v>#REF!</v>
      </c>
      <c r="AL413" s="20"/>
      <c r="AO413" s="982"/>
      <c r="AP413" s="960"/>
      <c r="AS413" s="982"/>
      <c r="AT413" s="20"/>
      <c r="AW413" s="982"/>
      <c r="AX413" s="946"/>
      <c r="BA413" s="982"/>
      <c r="BB413" s="20"/>
      <c r="BC413" s="16"/>
      <c r="BE413" s="982"/>
      <c r="BF413" s="946"/>
      <c r="BG413" s="16"/>
      <c r="BI413" s="982"/>
      <c r="BJ413" s="946"/>
      <c r="BK413" s="16"/>
      <c r="BM413" s="982"/>
      <c r="BN413" s="20"/>
      <c r="BO413" s="16"/>
      <c r="BQ413" s="982"/>
      <c r="BR413" s="946"/>
      <c r="BS413" s="16"/>
      <c r="BU413" s="982"/>
      <c r="BV413" s="946"/>
      <c r="BW413" s="16"/>
      <c r="BY413" s="982"/>
      <c r="BZ413" s="946"/>
      <c r="CA413" s="16"/>
      <c r="CC413" s="982"/>
      <c r="CD413" s="355"/>
      <c r="CE413" s="355"/>
      <c r="CF413" s="355"/>
      <c r="CG413" s="355"/>
      <c r="CH413" s="355"/>
      <c r="CI413" s="355"/>
      <c r="CJ413" s="355"/>
      <c r="CK413" s="355"/>
      <c r="CL413" s="355"/>
      <c r="CM413" s="355"/>
      <c r="CN413" s="355"/>
      <c r="CO413" s="355"/>
      <c r="CP413" s="355"/>
      <c r="CQ413" s="355"/>
      <c r="CR413" s="355"/>
      <c r="CS413" s="355"/>
      <c r="CT413" s="355"/>
      <c r="CU413" s="355"/>
      <c r="CV413" s="355"/>
      <c r="CW413" s="355"/>
      <c r="CX413" s="355"/>
      <c r="CY413" s="355"/>
      <c r="CZ413" s="355"/>
      <c r="DA413" s="355"/>
      <c r="DB413" s="355"/>
      <c r="DC413" s="355"/>
      <c r="DD413" s="355"/>
      <c r="DE413" s="355"/>
      <c r="DF413" s="355"/>
      <c r="DG413" s="355"/>
      <c r="DH413" s="355"/>
      <c r="DI413" s="355"/>
      <c r="DJ413" s="355"/>
      <c r="DK413" s="355"/>
      <c r="DL413" s="46"/>
      <c r="DM413" s="16"/>
      <c r="DO413" s="355"/>
      <c r="DP413" s="42"/>
      <c r="DQ413" s="16"/>
      <c r="DS413" s="355"/>
      <c r="DT413" s="42"/>
      <c r="DU413" s="16"/>
      <c r="DW413" s="355"/>
      <c r="DX413" s="42"/>
      <c r="DY413" s="16"/>
      <c r="EA413" s="355"/>
    </row>
    <row r="414" spans="1:131">
      <c r="A414" s="20"/>
      <c r="B414" s="124" t="str">
        <f t="shared" ref="B414:B428" si="390">IF(D414=UAnem1percent,"1% Wind","")</f>
        <v/>
      </c>
      <c r="C414" s="235"/>
      <c r="D414" s="24">
        <f>'1% Wind'!$M$82</f>
        <v>27</v>
      </c>
      <c r="E414" s="90"/>
      <c r="F414" s="90"/>
      <c r="G414" s="79" t="e">
        <f ca="1">IF(I413=0.9743,$G413,MAX(G413/D413*D414,2))</f>
        <v>#REF!</v>
      </c>
      <c r="H414" s="121" t="e">
        <f t="shared" ref="H414:H428" ca="1" si="391">H413*(D413/D414)*(G414/G413)</f>
        <v>#REF!</v>
      </c>
      <c r="J414" s="33"/>
      <c r="K414" s="260">
        <f>K$17/100</f>
        <v>1</v>
      </c>
      <c r="L414" s="241" t="e">
        <f ca="1">K414*$H414</f>
        <v>#REF!</v>
      </c>
      <c r="M414" s="243" t="e">
        <f ca="1">IF(AND(INDEX(FlowCalConstA,MATCH(J413,FlowCalNumber,0),1,1)*L414^INDEX(FlowCalConstB,MATCH(J413,FlowCalNumber,0),1,1)&gt;INDEX(FlowCalLowSetting,MATCH(J413,FlowCalNumber,0),1,1), (INDEX(FlowCalConstA,MATCH(J413,FlowCalNumber,0),1,1)*L414^INDEX(FlowCalConstB,MATCH(J413,FlowCalNumber,0),1,1)&lt;INDEX(FlowCalHighSetting,MATCH(J413,FlowCalNumber,0),1,1))),INDEX(FlowCalConstA,MATCH(J413,FlowCalNumber,0),1,1)*L414^INDEX(FlowCalConstB,MATCH(J413,FlowCalNumber,0),1,1)," ")</f>
        <v>#REF!</v>
      </c>
      <c r="N414" s="33"/>
      <c r="O414" s="260">
        <f>O$17/100</f>
        <v>1</v>
      </c>
      <c r="P414" s="241" t="e">
        <f ca="1">O414*$H414</f>
        <v>#REF!</v>
      </c>
      <c r="Q414" s="243" t="e">
        <f ca="1">IF(AND(INDEX(FlowCalConstA,MATCH(N413,FlowCalNumber,0),1,1)*P414^INDEX(FlowCalConstB,MATCH(N413,FlowCalNumber,0),1,1)&gt;INDEX(FlowCalLowSetting,MATCH(N413,FlowCalNumber,0),1,1), (INDEX(FlowCalConstA,MATCH(N413,FlowCalNumber,0),1,1)*P414^INDEX(FlowCalConstB,MATCH(N413,FlowCalNumber,0),1,1)&lt;INDEX(FlowCalHighSetting,MATCH(N413,FlowCalNumber,0),1,1))),INDEX(FlowCalConstA,MATCH(N413,FlowCalNumber,0),1,1)*P414^INDEX(FlowCalConstB,MATCH(N413,FlowCalNumber,0),1,1)," ")</f>
        <v>#REF!</v>
      </c>
      <c r="R414" s="33"/>
      <c r="S414" s="260">
        <f>S$17/100</f>
        <v>1</v>
      </c>
      <c r="T414" s="241" t="e">
        <f ca="1">S414*$H414</f>
        <v>#REF!</v>
      </c>
      <c r="U414" s="244" t="e">
        <f ca="1">IF(AND(INDEX(FlowCalConstA,MATCH(R413,FlowCalNumber,0),1,1)*T414^INDEX(FlowCalConstB,MATCH(R413,FlowCalNumber,0),1,1)&gt;INDEX(FlowCalLowSetting,MATCH(R413,FlowCalNumber,0),1,1), (INDEX(FlowCalConstA,MATCH(R413,FlowCalNumber,0),1,1)*T414^INDEX(FlowCalConstB,MATCH(R413,FlowCalNumber,0),1,1)&lt;INDEX(FlowCalHighSetting,MATCH(R413,FlowCalNumber,0),1,1))),INDEX(FlowCalConstA,MATCH(R413,FlowCalNumber,0),1,1)*T414^INDEX(FlowCalConstB,MATCH(R413,FlowCalNumber,0),1,1)," ")</f>
        <v>#REF!</v>
      </c>
      <c r="V414" s="33"/>
      <c r="W414" s="260">
        <f>W$17/100</f>
        <v>0.1</v>
      </c>
      <c r="X414" s="241" t="e">
        <f ca="1">W414*$H414</f>
        <v>#REF!</v>
      </c>
      <c r="Y414" s="243" t="e">
        <f ca="1">IF(AND(INDEX(FlowCalConstA,MATCH(V413,FlowCalNumber,0),1,1)*X414^INDEX(FlowCalConstB,MATCH(V413,FlowCalNumber,0),1,1)&gt;INDEX(FlowCalLowSetting,MATCH(V413,FlowCalNumber,0),1,1), (INDEX(FlowCalConstA,MATCH(V413,FlowCalNumber,0),1,1)*X414^INDEX(FlowCalConstB,MATCH(V413,FlowCalNumber,0),1,1)&lt;INDEX(FlowCalHighSetting,MATCH(V413,FlowCalNumber,0),1,1))),INDEX(FlowCalConstA,MATCH(V413,FlowCalNumber,0),1,1)*X414^INDEX(FlowCalConstB,MATCH(V413,FlowCalNumber,0),1,1)," ")</f>
        <v>#REF!</v>
      </c>
      <c r="Z414" s="33"/>
      <c r="AA414" s="260">
        <f>AA$17/100</f>
        <v>0.9</v>
      </c>
      <c r="AB414" s="241" t="e">
        <f ca="1">AA414*$H414</f>
        <v>#REF!</v>
      </c>
      <c r="AC414" s="243" t="e">
        <f ca="1">IF(AND(INDEX(FlowCalConstA,MATCH(Z413,FlowCalNumber,0),1,1)*AB414^INDEX(FlowCalConstB,MATCH(Z413,FlowCalNumber,0),1,1)&gt;INDEX(FlowCalLowSetting,MATCH(Z413,FlowCalNumber,0),1,1), (INDEX(FlowCalConstA,MATCH(Z413,FlowCalNumber,0),1,1)*AB414^INDEX(FlowCalConstB,MATCH(Z413,FlowCalNumber,0),1,1)&lt;INDEX(FlowCalHighSetting,MATCH(Z413,FlowCalNumber,0),1,1))),INDEX(FlowCalConstA,MATCH(Z413,FlowCalNumber,0),1,1)*AB414^INDEX(FlowCalConstB,MATCH(Z413,FlowCalNumber,0),1,1)," ")</f>
        <v>#REF!</v>
      </c>
      <c r="AD414" s="33"/>
      <c r="AE414" s="260">
        <f>AE$17/100</f>
        <v>0.1</v>
      </c>
      <c r="AF414" s="241" t="e">
        <f ca="1">AE414*$H414</f>
        <v>#REF!</v>
      </c>
      <c r="AG414" s="243" t="e">
        <f ca="1">IF(AND(INDEX(FlowCalConstA,MATCH(AD413,FlowCalNumber,0),1,1)*AF414^INDEX(FlowCalConstB,MATCH(AD413,FlowCalNumber,0),1,1)&gt;INDEX(FlowCalLowSetting,MATCH(AD413,FlowCalNumber,0),1,1), (INDEX(FlowCalConstA,MATCH(AD413,FlowCalNumber,0),1,1)*AF414^INDEX(FlowCalConstB,MATCH(AD413,FlowCalNumber,0),1,1)&lt;INDEX(FlowCalHighSetting,MATCH(AD413,FlowCalNumber,0),1,1))),INDEX(FlowCalConstA,MATCH(AD413,FlowCalNumber,0),1,1)*AF414^INDEX(FlowCalConstB,MATCH(AD413,FlowCalNumber,0),1,1)," ")</f>
        <v>#REF!</v>
      </c>
      <c r="AH414" s="33"/>
      <c r="AI414" s="260">
        <f>AI$17/100</f>
        <v>0.9</v>
      </c>
      <c r="AJ414" s="241" t="e">
        <f ca="1">AI414*$H414</f>
        <v>#REF!</v>
      </c>
      <c r="AK414" s="243" t="e">
        <f ca="1">IF(AND(INDEX(FlowCalConstA,MATCH(AH413,FlowCalNumber,0),1,1)*AJ414^INDEX(FlowCalConstB,MATCH(AH413,FlowCalNumber,0),1,1)&gt;INDEX(FlowCalLowSetting,MATCH(AH413,FlowCalNumber,0),1,1), (INDEX(FlowCalConstA,MATCH(AH413,FlowCalNumber,0),1,1)*AJ414^INDEX(FlowCalConstB,MATCH(AH413,FlowCalNumber,0),1,1)&lt;INDEX(FlowCalHighSetting,MATCH(AH413,FlowCalNumber,0),1,1))),INDEX(FlowCalConstA,MATCH(AH413,FlowCalNumber,0),1,1)*AJ414^INDEX(FlowCalConstB,MATCH(AH413,FlowCalNumber,0),1,1)," ")</f>
        <v>#REF!</v>
      </c>
      <c r="AL414" s="33"/>
      <c r="AM414" s="260"/>
      <c r="AN414" s="241"/>
      <c r="AO414" s="244"/>
      <c r="AQ414" s="260"/>
      <c r="AR414" s="241"/>
      <c r="AS414" s="244"/>
      <c r="AT414" s="33"/>
      <c r="AU414" s="260"/>
      <c r="AV414" s="241"/>
      <c r="AW414" s="244"/>
      <c r="AX414" s="33"/>
      <c r="AY414" s="260"/>
      <c r="AZ414" s="241"/>
      <c r="BA414" s="244"/>
      <c r="BB414" s="33"/>
      <c r="BC414" s="260"/>
      <c r="BD414" s="241"/>
      <c r="BE414" s="244"/>
      <c r="BF414" s="33"/>
      <c r="BG414" s="260"/>
      <c r="BH414" s="241"/>
      <c r="BI414" s="244"/>
      <c r="BJ414" s="33"/>
      <c r="BK414" s="260"/>
      <c r="BL414" s="241"/>
      <c r="BM414" s="244"/>
      <c r="BN414" s="33"/>
      <c r="BO414" s="260"/>
      <c r="BP414" s="241"/>
      <c r="BQ414" s="244"/>
      <c r="BR414" s="33"/>
      <c r="BS414" s="260"/>
      <c r="BT414" s="241"/>
      <c r="BU414" s="244"/>
      <c r="BV414" s="33"/>
      <c r="BW414" s="260"/>
      <c r="BX414" s="241"/>
      <c r="BY414" s="244"/>
      <c r="BZ414" s="33"/>
      <c r="CA414" s="260"/>
      <c r="CB414" s="241"/>
      <c r="CC414" s="244"/>
      <c r="CD414" s="243"/>
      <c r="CE414" s="243"/>
      <c r="CF414" s="243"/>
      <c r="CG414" s="243"/>
      <c r="CH414" s="243"/>
      <c r="CI414" s="243"/>
      <c r="CJ414" s="243"/>
      <c r="CK414" s="243"/>
      <c r="CL414" s="243"/>
      <c r="CM414" s="243"/>
      <c r="CN414" s="243"/>
      <c r="CO414" s="243"/>
      <c r="CP414" s="243"/>
      <c r="CQ414" s="243"/>
      <c r="CR414" s="243"/>
      <c r="CS414" s="243"/>
      <c r="CT414" s="243"/>
      <c r="CU414" s="243"/>
      <c r="CV414" s="243"/>
      <c r="CW414" s="243"/>
      <c r="CX414" s="243"/>
      <c r="CY414" s="243"/>
      <c r="CZ414" s="243"/>
      <c r="DA414" s="243"/>
      <c r="DB414" s="243"/>
      <c r="DC414" s="243"/>
      <c r="DD414" s="243"/>
      <c r="DE414" s="243"/>
      <c r="DF414" s="243"/>
      <c r="DG414" s="243"/>
      <c r="DH414" s="243"/>
      <c r="DI414" s="243"/>
      <c r="DJ414" s="243"/>
      <c r="DK414" s="243"/>
      <c r="DM414" s="259"/>
      <c r="DO414" s="243"/>
      <c r="DQ414" s="259"/>
      <c r="DS414" s="243"/>
      <c r="DU414" s="259"/>
      <c r="DW414" s="243"/>
      <c r="DY414" s="260"/>
      <c r="EA414" s="243"/>
    </row>
    <row r="415" spans="1:131">
      <c r="A415" s="20"/>
      <c r="B415" s="124" t="str">
        <f t="shared" si="390"/>
        <v/>
      </c>
      <c r="C415" s="235"/>
      <c r="D415" s="24">
        <f>'1% Wind'!$M$83</f>
        <v>23.5</v>
      </c>
      <c r="E415" s="90"/>
      <c r="F415" s="90"/>
      <c r="G415" s="79" t="e">
        <f ca="1">IF(I413=0.9743,$G414,MAX(G414/D414*D415,2))</f>
        <v>#REF!</v>
      </c>
      <c r="H415" s="121" t="e">
        <f t="shared" ca="1" si="391"/>
        <v>#REF!</v>
      </c>
      <c r="J415" s="33"/>
      <c r="K415" s="242">
        <f t="shared" ref="K415:K428" si="392">K414</f>
        <v>1</v>
      </c>
      <c r="L415" s="241" t="e">
        <f t="shared" ref="L415:L428" ca="1" si="393">K415*$H415</f>
        <v>#REF!</v>
      </c>
      <c r="M415" s="243" t="e">
        <f ca="1">IF(AND(INDEX(FlowCalConstA,MATCH(J413,FlowCalNumber,0),1,1)*L415^INDEX(FlowCalConstB,MATCH(J413,FlowCalNumber,0),1,1)&gt;INDEX(FlowCalLowSetting,MATCH(J413,FlowCalNumber,0),1,1), (INDEX(FlowCalConstA,MATCH(J413,FlowCalNumber,0),1,1)*L415^INDEX(FlowCalConstB,MATCH(J413,FlowCalNumber,0),1,1)&lt;INDEX(FlowCalHighSetting,MATCH(J413,FlowCalNumber,0),1,1))),INDEX(FlowCalConstA,MATCH(J413,FlowCalNumber,0),1,1)*L415^INDEX(FlowCalConstB,MATCH(J413,FlowCalNumber,0),1,1)," ")</f>
        <v>#REF!</v>
      </c>
      <c r="N415" s="33"/>
      <c r="O415" s="242">
        <f t="shared" ref="O415:O428" si="394">O414</f>
        <v>1</v>
      </c>
      <c r="P415" s="241" t="e">
        <f t="shared" ref="P415:P428" ca="1" si="395">O415*$H415</f>
        <v>#REF!</v>
      </c>
      <c r="Q415" s="243" t="e">
        <f ca="1">IF(AND(INDEX(FlowCalConstA,MATCH(N413,FlowCalNumber,0),1,1)*P415^INDEX(FlowCalConstB,MATCH(N413,FlowCalNumber,0),1,1)&gt;INDEX(FlowCalLowSetting,MATCH(N413,FlowCalNumber,0),1,1), (INDEX(FlowCalConstA,MATCH(N413,FlowCalNumber,0),1,1)*P415^INDEX(FlowCalConstB,MATCH(N413,FlowCalNumber,0),1,1)&lt;INDEX(FlowCalHighSetting,MATCH(N413,FlowCalNumber,0),1,1))),INDEX(FlowCalConstA,MATCH(N413,FlowCalNumber,0),1,1)*P415^INDEX(FlowCalConstB,MATCH(N413,FlowCalNumber,0),1,1)," ")</f>
        <v>#REF!</v>
      </c>
      <c r="R415" s="33"/>
      <c r="S415" s="242">
        <f t="shared" ref="S415:S428" si="396">S414</f>
        <v>1</v>
      </c>
      <c r="T415" s="241" t="e">
        <f t="shared" ref="T415:T428" ca="1" si="397">S415*$H415</f>
        <v>#REF!</v>
      </c>
      <c r="U415" s="244" t="e">
        <f ca="1">IF(AND(INDEX(FlowCalConstA,MATCH(R413,FlowCalNumber,0),1,1)*T415^INDEX(FlowCalConstB,MATCH(R413,FlowCalNumber,0),1,1)&gt;INDEX(FlowCalLowSetting,MATCH(R413,FlowCalNumber,0),1,1), (INDEX(FlowCalConstA,MATCH(R413,FlowCalNumber,0),1,1)*T415^INDEX(FlowCalConstB,MATCH(R413,FlowCalNumber,0),1,1)&lt;INDEX(FlowCalHighSetting,MATCH(R413,FlowCalNumber,0),1,1))),INDEX(FlowCalConstA,MATCH(R413,FlowCalNumber,0),1,1)*T415^INDEX(FlowCalConstB,MATCH(R413,FlowCalNumber,0),1,1)," ")</f>
        <v>#REF!</v>
      </c>
      <c r="V415" s="33"/>
      <c r="W415" s="242">
        <f t="shared" ref="W415:W428" si="398">W414</f>
        <v>0.1</v>
      </c>
      <c r="X415" s="241" t="e">
        <f t="shared" ref="X415:X428" ca="1" si="399">W415*$H415</f>
        <v>#REF!</v>
      </c>
      <c r="Y415" s="243" t="e">
        <f ca="1">IF(AND(INDEX(FlowCalConstA,MATCH(V413,FlowCalNumber,0),1,1)*X415^INDEX(FlowCalConstB,MATCH(V413,FlowCalNumber,0),1,1)&gt;INDEX(FlowCalLowSetting,MATCH(V413,FlowCalNumber,0),1,1), (INDEX(FlowCalConstA,MATCH(V413,FlowCalNumber,0),1,1)*X415^INDEX(FlowCalConstB,MATCH(V413,FlowCalNumber,0),1,1)&lt;INDEX(FlowCalHighSetting,MATCH(V413,FlowCalNumber,0),1,1))),INDEX(FlowCalConstA,MATCH(V413,FlowCalNumber,0),1,1)*X415^INDEX(FlowCalConstB,MATCH(V413,FlowCalNumber,0),1,1)," ")</f>
        <v>#REF!</v>
      </c>
      <c r="Z415" s="33"/>
      <c r="AA415" s="242">
        <f t="shared" ref="AA415:AA428" si="400">AA414</f>
        <v>0.9</v>
      </c>
      <c r="AB415" s="241" t="e">
        <f t="shared" ref="AB415:AB428" ca="1" si="401">AA415*$H415</f>
        <v>#REF!</v>
      </c>
      <c r="AC415" s="243" t="e">
        <f ca="1">IF(AND(INDEX(FlowCalConstA,MATCH(Z413,FlowCalNumber,0),1,1)*AB415^INDEX(FlowCalConstB,MATCH(Z413,FlowCalNumber,0),1,1)&gt;INDEX(FlowCalLowSetting,MATCH(Z413,FlowCalNumber,0),1,1), (INDEX(FlowCalConstA,MATCH(Z413,FlowCalNumber,0),1,1)*AB415^INDEX(FlowCalConstB,MATCH(Z413,FlowCalNumber,0),1,1)&lt;INDEX(FlowCalHighSetting,MATCH(Z413,FlowCalNumber,0),1,1))),INDEX(FlowCalConstA,MATCH(Z413,FlowCalNumber,0),1,1)*AB415^INDEX(FlowCalConstB,MATCH(Z413,FlowCalNumber,0),1,1)," ")</f>
        <v>#REF!</v>
      </c>
      <c r="AD415" s="33"/>
      <c r="AE415" s="242">
        <f t="shared" ref="AE415:AE428" si="402">AE414</f>
        <v>0.1</v>
      </c>
      <c r="AF415" s="241" t="e">
        <f t="shared" ref="AF415:AF428" ca="1" si="403">AE415*$H415</f>
        <v>#REF!</v>
      </c>
      <c r="AG415" s="243" t="e">
        <f ca="1">IF(AND(INDEX(FlowCalConstA,MATCH(AD413,FlowCalNumber,0),1,1)*AF415^INDEX(FlowCalConstB,MATCH(AD413,FlowCalNumber,0),1,1)&gt;INDEX(FlowCalLowSetting,MATCH(AD413,FlowCalNumber,0),1,1), (INDEX(FlowCalConstA,MATCH(AD413,FlowCalNumber,0),1,1)*AF415^INDEX(FlowCalConstB,MATCH(AD413,FlowCalNumber,0),1,1)&lt;INDEX(FlowCalHighSetting,MATCH(AD413,FlowCalNumber,0),1,1))),INDEX(FlowCalConstA,MATCH(AD413,FlowCalNumber,0),1,1)*AF415^INDEX(FlowCalConstB,MATCH(AD413,FlowCalNumber,0),1,1)," ")</f>
        <v>#REF!</v>
      </c>
      <c r="AH415" s="33"/>
      <c r="AI415" s="242">
        <f t="shared" ref="AI415:AI428" si="404">AI414</f>
        <v>0.9</v>
      </c>
      <c r="AJ415" s="241" t="e">
        <f t="shared" ref="AJ415:AJ428" ca="1" si="405">AI415*$H415</f>
        <v>#REF!</v>
      </c>
      <c r="AK415" s="243" t="e">
        <f ca="1">IF(AND(INDEX(FlowCalConstA,MATCH(AH413,FlowCalNumber,0),1,1)*AJ415^INDEX(FlowCalConstB,MATCH(AH413,FlowCalNumber,0),1,1)&gt;INDEX(FlowCalLowSetting,MATCH(AH413,FlowCalNumber,0),1,1), (INDEX(FlowCalConstA,MATCH(AH413,FlowCalNumber,0),1,1)*AJ415^INDEX(FlowCalConstB,MATCH(AH413,FlowCalNumber,0),1,1)&lt;INDEX(FlowCalHighSetting,MATCH(AH413,FlowCalNumber,0),1,1))),INDEX(FlowCalConstA,MATCH(AH413,FlowCalNumber,0),1,1)*AJ415^INDEX(FlowCalConstB,MATCH(AH413,FlowCalNumber,0),1,1)," ")</f>
        <v>#REF!</v>
      </c>
      <c r="AL415" s="33"/>
      <c r="AM415" s="242"/>
      <c r="AN415" s="241"/>
      <c r="AO415" s="244"/>
      <c r="AQ415" s="242"/>
      <c r="AR415" s="241"/>
      <c r="AS415" s="244"/>
      <c r="AT415" s="33"/>
      <c r="AU415" s="242"/>
      <c r="AV415" s="241"/>
      <c r="AW415" s="244"/>
      <c r="AX415" s="33"/>
      <c r="AY415" s="242"/>
      <c r="AZ415" s="241"/>
      <c r="BA415" s="244"/>
      <c r="BB415" s="33"/>
      <c r="BC415" s="242"/>
      <c r="BD415" s="241"/>
      <c r="BE415" s="244"/>
      <c r="BF415" s="33"/>
      <c r="BG415" s="242"/>
      <c r="BH415" s="241"/>
      <c r="BI415" s="244"/>
      <c r="BJ415" s="33"/>
      <c r="BK415" s="242"/>
      <c r="BL415" s="241"/>
      <c r="BM415" s="244"/>
      <c r="BN415" s="33"/>
      <c r="BO415" s="242"/>
      <c r="BP415" s="241"/>
      <c r="BQ415" s="244"/>
      <c r="BR415" s="33"/>
      <c r="BS415" s="242"/>
      <c r="BT415" s="241"/>
      <c r="BU415" s="244"/>
      <c r="BV415" s="33"/>
      <c r="BW415" s="242"/>
      <c r="BX415" s="241"/>
      <c r="BY415" s="244"/>
      <c r="BZ415" s="33"/>
      <c r="CA415" s="242"/>
      <c r="CB415" s="241"/>
      <c r="CC415" s="244"/>
      <c r="CD415" s="243"/>
      <c r="CE415" s="243"/>
      <c r="CF415" s="243"/>
      <c r="CG415" s="243"/>
      <c r="CH415" s="243"/>
      <c r="CI415" s="243"/>
      <c r="CJ415" s="243"/>
      <c r="CK415" s="243"/>
      <c r="CL415" s="243"/>
      <c r="CM415" s="243"/>
      <c r="CN415" s="243"/>
      <c r="CO415" s="243"/>
      <c r="CP415" s="243"/>
      <c r="CQ415" s="243"/>
      <c r="CR415" s="243"/>
      <c r="CS415" s="243"/>
      <c r="CT415" s="243"/>
      <c r="CU415" s="243"/>
      <c r="CV415" s="243"/>
      <c r="CW415" s="243"/>
      <c r="CX415" s="243"/>
      <c r="CY415" s="243"/>
      <c r="CZ415" s="243"/>
      <c r="DA415" s="243"/>
      <c r="DB415" s="243"/>
      <c r="DC415" s="243"/>
      <c r="DD415" s="243"/>
      <c r="DE415" s="243"/>
      <c r="DF415" s="243"/>
      <c r="DG415" s="243"/>
      <c r="DH415" s="243"/>
      <c r="DI415" s="243"/>
      <c r="DJ415" s="243"/>
      <c r="DK415" s="243"/>
      <c r="DM415" s="242"/>
      <c r="DO415" s="243"/>
      <c r="DQ415" s="242"/>
      <c r="DS415" s="243"/>
      <c r="DU415" s="242"/>
      <c r="DW415" s="243"/>
      <c r="DY415" s="242"/>
      <c r="EA415" s="243"/>
    </row>
    <row r="416" spans="1:131">
      <c r="A416" s="20"/>
      <c r="B416" s="124" t="str">
        <f t="shared" si="390"/>
        <v/>
      </c>
      <c r="C416" s="235"/>
      <c r="D416" s="24">
        <f>'1% Wind'!$M$84</f>
        <v>20.5</v>
      </c>
      <c r="E416" s="90"/>
      <c r="F416" s="90"/>
      <c r="G416" s="79" t="e">
        <f ca="1">IF(I413=0.9743,$G415,MAX(G415/D415*D416,2))</f>
        <v>#REF!</v>
      </c>
      <c r="H416" s="121" t="e">
        <f t="shared" ca="1" si="391"/>
        <v>#REF!</v>
      </c>
      <c r="J416" s="33"/>
      <c r="K416" s="242">
        <f t="shared" si="392"/>
        <v>1</v>
      </c>
      <c r="L416" s="241" t="e">
        <f t="shared" ca="1" si="393"/>
        <v>#REF!</v>
      </c>
      <c r="M416" s="243" t="e">
        <f ca="1">IF(AND(INDEX(FlowCalConstA,MATCH(J413,FlowCalNumber,0),1,1)*L416^INDEX(FlowCalConstB,MATCH(J413,FlowCalNumber,0),1,1)&gt;INDEX(FlowCalLowSetting,MATCH(J413,FlowCalNumber,0),1,1), (INDEX(FlowCalConstA,MATCH(J413,FlowCalNumber,0),1,1)*L416^INDEX(FlowCalConstB,MATCH(J413,FlowCalNumber,0),1,1)&lt;INDEX(FlowCalHighSetting,MATCH(J413,FlowCalNumber,0),1,1))),INDEX(FlowCalConstA,MATCH(J413,FlowCalNumber,0),1,1)*L416^INDEX(FlowCalConstB,MATCH(J413,FlowCalNumber,0),1,1)," ")</f>
        <v>#REF!</v>
      </c>
      <c r="N416" s="33"/>
      <c r="O416" s="242">
        <f t="shared" si="394"/>
        <v>1</v>
      </c>
      <c r="P416" s="241" t="e">
        <f t="shared" ca="1" si="395"/>
        <v>#REF!</v>
      </c>
      <c r="Q416" s="243" t="e">
        <f ca="1">IF(AND(INDEX(FlowCalConstA,MATCH(N413,FlowCalNumber,0),1,1)*P416^INDEX(FlowCalConstB,MATCH(N413,FlowCalNumber,0),1,1)&gt;INDEX(FlowCalLowSetting,MATCH(N413,FlowCalNumber,0),1,1), (INDEX(FlowCalConstA,MATCH(N413,FlowCalNumber,0),1,1)*P416^INDEX(FlowCalConstB,MATCH(N413,FlowCalNumber,0),1,1)&lt;INDEX(FlowCalHighSetting,MATCH(N413,FlowCalNumber,0),1,1))),INDEX(FlowCalConstA,MATCH(N413,FlowCalNumber,0),1,1)*P416^INDEX(FlowCalConstB,MATCH(N413,FlowCalNumber,0),1,1)," ")</f>
        <v>#REF!</v>
      </c>
      <c r="R416" s="33"/>
      <c r="S416" s="242">
        <f t="shared" si="396"/>
        <v>1</v>
      </c>
      <c r="T416" s="241" t="e">
        <f t="shared" ca="1" si="397"/>
        <v>#REF!</v>
      </c>
      <c r="U416" s="244" t="e">
        <f ca="1">IF(AND(INDEX(FlowCalConstA,MATCH(R413,FlowCalNumber,0),1,1)*T416^INDEX(FlowCalConstB,MATCH(R413,FlowCalNumber,0),1,1)&gt;INDEX(FlowCalLowSetting,MATCH(R413,FlowCalNumber,0),1,1), (INDEX(FlowCalConstA,MATCH(R413,FlowCalNumber,0),1,1)*T416^INDEX(FlowCalConstB,MATCH(R413,FlowCalNumber,0),1,1)&lt;INDEX(FlowCalHighSetting,MATCH(R413,FlowCalNumber,0),1,1))),INDEX(FlowCalConstA,MATCH(R413,FlowCalNumber,0),1,1)*T416^INDEX(FlowCalConstB,MATCH(R413,FlowCalNumber,0),1,1)," ")</f>
        <v>#REF!</v>
      </c>
      <c r="V416" s="33"/>
      <c r="W416" s="242">
        <f t="shared" si="398"/>
        <v>0.1</v>
      </c>
      <c r="X416" s="241" t="e">
        <f t="shared" ca="1" si="399"/>
        <v>#REF!</v>
      </c>
      <c r="Y416" s="243" t="e">
        <f ca="1">IF(AND(INDEX(FlowCalConstA,MATCH(V413,FlowCalNumber,0),1,1)*X416^INDEX(FlowCalConstB,MATCH(V413,FlowCalNumber,0),1,1)&gt;INDEX(FlowCalLowSetting,MATCH(V413,FlowCalNumber,0),1,1), (INDEX(FlowCalConstA,MATCH(V413,FlowCalNumber,0),1,1)*X416^INDEX(FlowCalConstB,MATCH(V413,FlowCalNumber,0),1,1)&lt;INDEX(FlowCalHighSetting,MATCH(V413,FlowCalNumber,0),1,1))),INDEX(FlowCalConstA,MATCH(V413,FlowCalNumber,0),1,1)*X416^INDEX(FlowCalConstB,MATCH(V413,FlowCalNumber,0),1,1)," ")</f>
        <v>#REF!</v>
      </c>
      <c r="Z416" s="33"/>
      <c r="AA416" s="242">
        <f t="shared" si="400"/>
        <v>0.9</v>
      </c>
      <c r="AB416" s="241" t="e">
        <f t="shared" ca="1" si="401"/>
        <v>#REF!</v>
      </c>
      <c r="AC416" s="243" t="e">
        <f ca="1">IF(AND(INDEX(FlowCalConstA,MATCH(Z413,FlowCalNumber,0),1,1)*AB416^INDEX(FlowCalConstB,MATCH(Z413,FlowCalNumber,0),1,1)&gt;INDEX(FlowCalLowSetting,MATCH(Z413,FlowCalNumber,0),1,1), (INDEX(FlowCalConstA,MATCH(Z413,FlowCalNumber,0),1,1)*AB416^INDEX(FlowCalConstB,MATCH(Z413,FlowCalNumber,0),1,1)&lt;INDEX(FlowCalHighSetting,MATCH(Z413,FlowCalNumber,0),1,1))),INDEX(FlowCalConstA,MATCH(Z413,FlowCalNumber,0),1,1)*AB416^INDEX(FlowCalConstB,MATCH(Z413,FlowCalNumber,0),1,1)," ")</f>
        <v>#REF!</v>
      </c>
      <c r="AD416" s="33"/>
      <c r="AE416" s="242">
        <f t="shared" si="402"/>
        <v>0.1</v>
      </c>
      <c r="AF416" s="241" t="e">
        <f t="shared" ca="1" si="403"/>
        <v>#REF!</v>
      </c>
      <c r="AG416" s="243" t="e">
        <f ca="1">IF(AND(INDEX(FlowCalConstA,MATCH(AD413,FlowCalNumber,0),1,1)*AF416^INDEX(FlowCalConstB,MATCH(AD413,FlowCalNumber,0),1,1)&gt;INDEX(FlowCalLowSetting,MATCH(AD413,FlowCalNumber,0),1,1), (INDEX(FlowCalConstA,MATCH(AD413,FlowCalNumber,0),1,1)*AF416^INDEX(FlowCalConstB,MATCH(AD413,FlowCalNumber,0),1,1)&lt;INDEX(FlowCalHighSetting,MATCH(AD413,FlowCalNumber,0),1,1))),INDEX(FlowCalConstA,MATCH(AD413,FlowCalNumber,0),1,1)*AF416^INDEX(FlowCalConstB,MATCH(AD413,FlowCalNumber,0),1,1)," ")</f>
        <v>#REF!</v>
      </c>
      <c r="AH416" s="33"/>
      <c r="AI416" s="242">
        <f t="shared" si="404"/>
        <v>0.9</v>
      </c>
      <c r="AJ416" s="241" t="e">
        <f t="shared" ca="1" si="405"/>
        <v>#REF!</v>
      </c>
      <c r="AK416" s="243" t="e">
        <f ca="1">IF(AND(INDEX(FlowCalConstA,MATCH(AH413,FlowCalNumber,0),1,1)*AJ416^INDEX(FlowCalConstB,MATCH(AH413,FlowCalNumber,0),1,1)&gt;INDEX(FlowCalLowSetting,MATCH(AH413,FlowCalNumber,0),1,1), (INDEX(FlowCalConstA,MATCH(AH413,FlowCalNumber,0),1,1)*AJ416^INDEX(FlowCalConstB,MATCH(AH413,FlowCalNumber,0),1,1)&lt;INDEX(FlowCalHighSetting,MATCH(AH413,FlowCalNumber,0),1,1))),INDEX(FlowCalConstA,MATCH(AH413,FlowCalNumber,0),1,1)*AJ416^INDEX(FlowCalConstB,MATCH(AH413,FlowCalNumber,0),1,1)," ")</f>
        <v>#REF!</v>
      </c>
      <c r="AL416" s="33"/>
      <c r="AM416" s="242"/>
      <c r="AN416" s="241"/>
      <c r="AO416" s="244"/>
      <c r="AQ416" s="242"/>
      <c r="AR416" s="241"/>
      <c r="AS416" s="244"/>
      <c r="AT416" s="33"/>
      <c r="AU416" s="242"/>
      <c r="AV416" s="241"/>
      <c r="AW416" s="244"/>
      <c r="AX416" s="33"/>
      <c r="AY416" s="242"/>
      <c r="AZ416" s="241"/>
      <c r="BA416" s="244"/>
      <c r="BB416" s="33"/>
      <c r="BC416" s="242"/>
      <c r="BD416" s="241"/>
      <c r="BE416" s="244"/>
      <c r="BF416" s="33"/>
      <c r="BG416" s="242"/>
      <c r="BH416" s="241"/>
      <c r="BI416" s="244"/>
      <c r="BJ416" s="33"/>
      <c r="BK416" s="242"/>
      <c r="BL416" s="241"/>
      <c r="BM416" s="244"/>
      <c r="BN416" s="33"/>
      <c r="BO416" s="242"/>
      <c r="BP416" s="241"/>
      <c r="BQ416" s="244"/>
      <c r="BR416" s="33"/>
      <c r="BS416" s="242"/>
      <c r="BT416" s="241"/>
      <c r="BU416" s="244"/>
      <c r="BV416" s="33"/>
      <c r="BW416" s="242"/>
      <c r="BX416" s="241"/>
      <c r="BY416" s="244"/>
      <c r="BZ416" s="33"/>
      <c r="CA416" s="242"/>
      <c r="CB416" s="241"/>
      <c r="CC416" s="244"/>
      <c r="CD416" s="243"/>
      <c r="CE416" s="243"/>
      <c r="CF416" s="243"/>
      <c r="CG416" s="243"/>
      <c r="CH416" s="243"/>
      <c r="CI416" s="243"/>
      <c r="CJ416" s="243"/>
      <c r="CK416" s="243"/>
      <c r="CL416" s="243"/>
      <c r="CM416" s="243"/>
      <c r="CN416" s="243"/>
      <c r="CO416" s="243"/>
      <c r="CP416" s="243"/>
      <c r="CQ416" s="243"/>
      <c r="CR416" s="243"/>
      <c r="CS416" s="243"/>
      <c r="CT416" s="243"/>
      <c r="CU416" s="243"/>
      <c r="CV416" s="243"/>
      <c r="CW416" s="243"/>
      <c r="CX416" s="243"/>
      <c r="CY416" s="243"/>
      <c r="CZ416" s="243"/>
      <c r="DA416" s="243"/>
      <c r="DB416" s="243"/>
      <c r="DC416" s="243"/>
      <c r="DD416" s="243"/>
      <c r="DE416" s="243"/>
      <c r="DF416" s="243"/>
      <c r="DG416" s="243"/>
      <c r="DH416" s="243"/>
      <c r="DI416" s="243"/>
      <c r="DJ416" s="243"/>
      <c r="DK416" s="243"/>
      <c r="DM416" s="242"/>
      <c r="DO416" s="243"/>
      <c r="DQ416" s="242"/>
      <c r="DS416" s="243"/>
      <c r="DU416" s="242"/>
      <c r="DW416" s="243"/>
      <c r="DY416" s="242"/>
      <c r="EA416" s="243"/>
    </row>
    <row r="417" spans="1:131">
      <c r="A417" s="20"/>
      <c r="B417" s="124" t="str">
        <f t="shared" si="390"/>
        <v/>
      </c>
      <c r="C417" s="235"/>
      <c r="D417" s="24">
        <f>'1% Wind'!$M$85</f>
        <v>17.8</v>
      </c>
      <c r="E417" s="90"/>
      <c r="F417" s="90"/>
      <c r="G417" s="79" t="e">
        <f ca="1">IF(I413=0.9743,$G416,MAX(G416/D416*D417,2))</f>
        <v>#REF!</v>
      </c>
      <c r="H417" s="121" t="e">
        <f t="shared" ca="1" si="391"/>
        <v>#REF!</v>
      </c>
      <c r="J417" s="33"/>
      <c r="K417" s="242">
        <f t="shared" si="392"/>
        <v>1</v>
      </c>
      <c r="L417" s="241" t="e">
        <f t="shared" ca="1" si="393"/>
        <v>#REF!</v>
      </c>
      <c r="M417" s="243" t="e">
        <f ca="1">IF(AND(INDEX(FlowCalConstA,MATCH(J413,FlowCalNumber,0),1,1)*L417^INDEX(FlowCalConstB,MATCH(J413,FlowCalNumber,0),1,1)&gt;INDEX(FlowCalLowSetting,MATCH(J413,FlowCalNumber,0),1,1), (INDEX(FlowCalConstA,MATCH(J413,FlowCalNumber,0),1,1)*L417^INDEX(FlowCalConstB,MATCH(J413,FlowCalNumber,0),1,1)&lt;INDEX(FlowCalHighSetting,MATCH(J413,FlowCalNumber,0),1,1))),INDEX(FlowCalConstA,MATCH(J413,FlowCalNumber,0),1,1)*L417^INDEX(FlowCalConstB,MATCH(J413,FlowCalNumber,0),1,1)," ")</f>
        <v>#REF!</v>
      </c>
      <c r="N417" s="33"/>
      <c r="O417" s="242">
        <f t="shared" si="394"/>
        <v>1</v>
      </c>
      <c r="P417" s="241" t="e">
        <f t="shared" ca="1" si="395"/>
        <v>#REF!</v>
      </c>
      <c r="Q417" s="243" t="e">
        <f ca="1">IF(AND(INDEX(FlowCalConstA,MATCH(N413,FlowCalNumber,0),1,1)*P417^INDEX(FlowCalConstB,MATCH(N413,FlowCalNumber,0),1,1)&gt;INDEX(FlowCalLowSetting,MATCH(N413,FlowCalNumber,0),1,1), (INDEX(FlowCalConstA,MATCH(N413,FlowCalNumber,0),1,1)*P417^INDEX(FlowCalConstB,MATCH(N413,FlowCalNumber,0),1,1)&lt;INDEX(FlowCalHighSetting,MATCH(N413,FlowCalNumber,0),1,1))),INDEX(FlowCalConstA,MATCH(N413,FlowCalNumber,0),1,1)*P417^INDEX(FlowCalConstB,MATCH(N413,FlowCalNumber,0),1,1)," ")</f>
        <v>#REF!</v>
      </c>
      <c r="R417" s="33"/>
      <c r="S417" s="242">
        <f t="shared" si="396"/>
        <v>1</v>
      </c>
      <c r="T417" s="241" t="e">
        <f t="shared" ca="1" si="397"/>
        <v>#REF!</v>
      </c>
      <c r="U417" s="244" t="e">
        <f ca="1">IF(AND(INDEX(FlowCalConstA,MATCH(R413,FlowCalNumber,0),1,1)*T417^INDEX(FlowCalConstB,MATCH(R413,FlowCalNumber,0),1,1)&gt;INDEX(FlowCalLowSetting,MATCH(R413,FlowCalNumber,0),1,1), (INDEX(FlowCalConstA,MATCH(R413,FlowCalNumber,0),1,1)*T417^INDEX(FlowCalConstB,MATCH(R413,FlowCalNumber,0),1,1)&lt;INDEX(FlowCalHighSetting,MATCH(R413,FlowCalNumber,0),1,1))),INDEX(FlowCalConstA,MATCH(R413,FlowCalNumber,0),1,1)*T417^INDEX(FlowCalConstB,MATCH(R413,FlowCalNumber,0),1,1)," ")</f>
        <v>#REF!</v>
      </c>
      <c r="V417" s="33"/>
      <c r="W417" s="242">
        <f t="shared" si="398"/>
        <v>0.1</v>
      </c>
      <c r="X417" s="241" t="e">
        <f t="shared" ca="1" si="399"/>
        <v>#REF!</v>
      </c>
      <c r="Y417" s="243" t="e">
        <f ca="1">IF(AND(INDEX(FlowCalConstA,MATCH(V413,FlowCalNumber,0),1,1)*X417^INDEX(FlowCalConstB,MATCH(V413,FlowCalNumber,0),1,1)&gt;INDEX(FlowCalLowSetting,MATCH(V413,FlowCalNumber,0),1,1), (INDEX(FlowCalConstA,MATCH(V413,FlowCalNumber,0),1,1)*X417^INDEX(FlowCalConstB,MATCH(V413,FlowCalNumber,0),1,1)&lt;INDEX(FlowCalHighSetting,MATCH(V413,FlowCalNumber,0),1,1))),INDEX(FlowCalConstA,MATCH(V413,FlowCalNumber,0),1,1)*X417^INDEX(FlowCalConstB,MATCH(V413,FlowCalNumber,0),1,1)," ")</f>
        <v>#REF!</v>
      </c>
      <c r="Z417" s="33"/>
      <c r="AA417" s="242">
        <f t="shared" si="400"/>
        <v>0.9</v>
      </c>
      <c r="AB417" s="241" t="e">
        <f t="shared" ca="1" si="401"/>
        <v>#REF!</v>
      </c>
      <c r="AC417" s="243" t="e">
        <f ca="1">IF(AND(INDEX(FlowCalConstA,MATCH(Z413,FlowCalNumber,0),1,1)*AB417^INDEX(FlowCalConstB,MATCH(Z413,FlowCalNumber,0),1,1)&gt;INDEX(FlowCalLowSetting,MATCH(Z413,FlowCalNumber,0),1,1), (INDEX(FlowCalConstA,MATCH(Z413,FlowCalNumber,0),1,1)*AB417^INDEX(FlowCalConstB,MATCH(Z413,FlowCalNumber,0),1,1)&lt;INDEX(FlowCalHighSetting,MATCH(Z413,FlowCalNumber,0),1,1))),INDEX(FlowCalConstA,MATCH(Z413,FlowCalNumber,0),1,1)*AB417^INDEX(FlowCalConstB,MATCH(Z413,FlowCalNumber,0),1,1)," ")</f>
        <v>#REF!</v>
      </c>
      <c r="AD417" s="33"/>
      <c r="AE417" s="242">
        <f t="shared" si="402"/>
        <v>0.1</v>
      </c>
      <c r="AF417" s="241" t="e">
        <f t="shared" ca="1" si="403"/>
        <v>#REF!</v>
      </c>
      <c r="AG417" s="243" t="e">
        <f ca="1">IF(AND(INDEX(FlowCalConstA,MATCH(AD413,FlowCalNumber,0),1,1)*AF417^INDEX(FlowCalConstB,MATCH(AD413,FlowCalNumber,0),1,1)&gt;INDEX(FlowCalLowSetting,MATCH(AD413,FlowCalNumber,0),1,1), (INDEX(FlowCalConstA,MATCH(AD413,FlowCalNumber,0),1,1)*AF417^INDEX(FlowCalConstB,MATCH(AD413,FlowCalNumber,0),1,1)&lt;INDEX(FlowCalHighSetting,MATCH(AD413,FlowCalNumber,0),1,1))),INDEX(FlowCalConstA,MATCH(AD413,FlowCalNumber,0),1,1)*AF417^INDEX(FlowCalConstB,MATCH(AD413,FlowCalNumber,0),1,1)," ")</f>
        <v>#REF!</v>
      </c>
      <c r="AH417" s="33"/>
      <c r="AI417" s="242">
        <f t="shared" si="404"/>
        <v>0.9</v>
      </c>
      <c r="AJ417" s="241" t="e">
        <f t="shared" ca="1" si="405"/>
        <v>#REF!</v>
      </c>
      <c r="AK417" s="243" t="e">
        <f ca="1">IF(AND(INDEX(FlowCalConstA,MATCH(AH413,FlowCalNumber,0),1,1)*AJ417^INDEX(FlowCalConstB,MATCH(AH413,FlowCalNumber,0),1,1)&gt;INDEX(FlowCalLowSetting,MATCH(AH413,FlowCalNumber,0),1,1), (INDEX(FlowCalConstA,MATCH(AH413,FlowCalNumber,0),1,1)*AJ417^INDEX(FlowCalConstB,MATCH(AH413,FlowCalNumber,0),1,1)&lt;INDEX(FlowCalHighSetting,MATCH(AH413,FlowCalNumber,0),1,1))),INDEX(FlowCalConstA,MATCH(AH413,FlowCalNumber,0),1,1)*AJ417^INDEX(FlowCalConstB,MATCH(AH413,FlowCalNumber,0),1,1)," ")</f>
        <v>#REF!</v>
      </c>
      <c r="AL417" s="33"/>
      <c r="AM417" s="242"/>
      <c r="AN417" s="241"/>
      <c r="AO417" s="244"/>
      <c r="AQ417" s="242"/>
      <c r="AR417" s="241"/>
      <c r="AS417" s="244"/>
      <c r="AT417" s="33"/>
      <c r="AU417" s="242"/>
      <c r="AV417" s="241"/>
      <c r="AW417" s="244"/>
      <c r="AX417" s="33"/>
      <c r="AY417" s="242"/>
      <c r="AZ417" s="241"/>
      <c r="BA417" s="244"/>
      <c r="BB417" s="33"/>
      <c r="BC417" s="242"/>
      <c r="BD417" s="241"/>
      <c r="BE417" s="244"/>
      <c r="BF417" s="33"/>
      <c r="BG417" s="242"/>
      <c r="BH417" s="241"/>
      <c r="BI417" s="244"/>
      <c r="BJ417" s="33"/>
      <c r="BK417" s="242"/>
      <c r="BL417" s="241"/>
      <c r="BM417" s="244"/>
      <c r="BN417" s="33"/>
      <c r="BO417" s="242"/>
      <c r="BP417" s="241"/>
      <c r="BQ417" s="244"/>
      <c r="BR417" s="33"/>
      <c r="BS417" s="242"/>
      <c r="BT417" s="241"/>
      <c r="BU417" s="244"/>
      <c r="BV417" s="33"/>
      <c r="BW417" s="242"/>
      <c r="BX417" s="241"/>
      <c r="BY417" s="244"/>
      <c r="BZ417" s="33"/>
      <c r="CA417" s="242"/>
      <c r="CB417" s="241"/>
      <c r="CC417" s="244"/>
      <c r="CD417" s="243"/>
      <c r="CE417" s="243"/>
      <c r="CF417" s="243"/>
      <c r="CG417" s="243"/>
      <c r="CH417" s="243"/>
      <c r="CI417" s="243"/>
      <c r="CJ417" s="243"/>
      <c r="CK417" s="243"/>
      <c r="CL417" s="243"/>
      <c r="CM417" s="243"/>
      <c r="CN417" s="243"/>
      <c r="CO417" s="243"/>
      <c r="CP417" s="243"/>
      <c r="CQ417" s="243"/>
      <c r="CR417" s="243"/>
      <c r="CS417" s="243"/>
      <c r="CT417" s="243"/>
      <c r="CU417" s="243"/>
      <c r="CV417" s="243"/>
      <c r="CW417" s="243"/>
      <c r="CX417" s="243"/>
      <c r="CY417" s="243"/>
      <c r="CZ417" s="243"/>
      <c r="DA417" s="243"/>
      <c r="DB417" s="243"/>
      <c r="DC417" s="243"/>
      <c r="DD417" s="243"/>
      <c r="DE417" s="243"/>
      <c r="DF417" s="243"/>
      <c r="DG417" s="243"/>
      <c r="DH417" s="243"/>
      <c r="DI417" s="243"/>
      <c r="DJ417" s="243"/>
      <c r="DK417" s="243"/>
      <c r="DM417" s="242"/>
      <c r="DO417" s="243"/>
      <c r="DQ417" s="242"/>
      <c r="DS417" s="243"/>
      <c r="DU417" s="242"/>
      <c r="DW417" s="243"/>
      <c r="DY417" s="242"/>
      <c r="EA417" s="243"/>
    </row>
    <row r="418" spans="1:131">
      <c r="A418" s="20"/>
      <c r="B418" s="124" t="str">
        <f t="shared" si="390"/>
        <v/>
      </c>
      <c r="C418" s="235"/>
      <c r="D418" s="24">
        <f>'1% Wind'!$M$86</f>
        <v>15.5</v>
      </c>
      <c r="E418" s="90"/>
      <c r="F418" s="90"/>
      <c r="G418" s="79" t="e">
        <f ca="1">IF(I413=0.9743,$G417,MAX(G417/D417*D418,2))</f>
        <v>#REF!</v>
      </c>
      <c r="H418" s="121" t="e">
        <f t="shared" ca="1" si="391"/>
        <v>#REF!</v>
      </c>
      <c r="J418" s="33"/>
      <c r="K418" s="242">
        <f t="shared" si="392"/>
        <v>1</v>
      </c>
      <c r="L418" s="241" t="e">
        <f t="shared" ca="1" si="393"/>
        <v>#REF!</v>
      </c>
      <c r="M418" s="243" t="e">
        <f ca="1">IF(AND(INDEX(FlowCalConstA,MATCH(J413,FlowCalNumber,0),1,1)*L418^INDEX(FlowCalConstB,MATCH(J413,FlowCalNumber,0),1,1)&gt;INDEX(FlowCalLowSetting,MATCH(J413,FlowCalNumber,0),1,1), (INDEX(FlowCalConstA,MATCH(J413,FlowCalNumber,0),1,1)*L418^INDEX(FlowCalConstB,MATCH(J413,FlowCalNumber,0),1,1)&lt;INDEX(FlowCalHighSetting,MATCH(J413,FlowCalNumber,0),1,1))),INDEX(FlowCalConstA,MATCH(J413,FlowCalNumber,0),1,1)*L418^INDEX(FlowCalConstB,MATCH(J413,FlowCalNumber,0),1,1)," ")</f>
        <v>#REF!</v>
      </c>
      <c r="N418" s="33"/>
      <c r="O418" s="242">
        <f t="shared" si="394"/>
        <v>1</v>
      </c>
      <c r="P418" s="241" t="e">
        <f t="shared" ca="1" si="395"/>
        <v>#REF!</v>
      </c>
      <c r="Q418" s="243" t="e">
        <f ca="1">IF(AND(INDEX(FlowCalConstA,MATCH(N413,FlowCalNumber,0),1,1)*P418^INDEX(FlowCalConstB,MATCH(N413,FlowCalNumber,0),1,1)&gt;INDEX(FlowCalLowSetting,MATCH(N413,FlowCalNumber,0),1,1), (INDEX(FlowCalConstA,MATCH(N413,FlowCalNumber,0),1,1)*P418^INDEX(FlowCalConstB,MATCH(N413,FlowCalNumber,0),1,1)&lt;INDEX(FlowCalHighSetting,MATCH(N413,FlowCalNumber,0),1,1))),INDEX(FlowCalConstA,MATCH(N413,FlowCalNumber,0),1,1)*P418^INDEX(FlowCalConstB,MATCH(N413,FlowCalNumber,0),1,1)," ")</f>
        <v>#REF!</v>
      </c>
      <c r="R418" s="33"/>
      <c r="S418" s="242">
        <f t="shared" si="396"/>
        <v>1</v>
      </c>
      <c r="T418" s="241" t="e">
        <f t="shared" ca="1" si="397"/>
        <v>#REF!</v>
      </c>
      <c r="U418" s="244" t="e">
        <f ca="1">IF(AND(INDEX(FlowCalConstA,MATCH(R413,FlowCalNumber,0),1,1)*T418^INDEX(FlowCalConstB,MATCH(R413,FlowCalNumber,0),1,1)&gt;INDEX(FlowCalLowSetting,MATCH(R413,FlowCalNumber,0),1,1), (INDEX(FlowCalConstA,MATCH(R413,FlowCalNumber,0),1,1)*T418^INDEX(FlowCalConstB,MATCH(R413,FlowCalNumber,0),1,1)&lt;INDEX(FlowCalHighSetting,MATCH(R413,FlowCalNumber,0),1,1))),INDEX(FlowCalConstA,MATCH(R413,FlowCalNumber,0),1,1)*T418^INDEX(FlowCalConstB,MATCH(R413,FlowCalNumber,0),1,1)," ")</f>
        <v>#REF!</v>
      </c>
      <c r="V418" s="33"/>
      <c r="W418" s="242">
        <f t="shared" si="398"/>
        <v>0.1</v>
      </c>
      <c r="X418" s="241" t="e">
        <f t="shared" ca="1" si="399"/>
        <v>#REF!</v>
      </c>
      <c r="Y418" s="243" t="e">
        <f ca="1">IF(AND(INDEX(FlowCalConstA,MATCH(V413,FlowCalNumber,0),1,1)*X418^INDEX(FlowCalConstB,MATCH(V413,FlowCalNumber,0),1,1)&gt;INDEX(FlowCalLowSetting,MATCH(V413,FlowCalNumber,0),1,1), (INDEX(FlowCalConstA,MATCH(V413,FlowCalNumber,0),1,1)*X418^INDEX(FlowCalConstB,MATCH(V413,FlowCalNumber,0),1,1)&lt;INDEX(FlowCalHighSetting,MATCH(V413,FlowCalNumber,0),1,1))),INDEX(FlowCalConstA,MATCH(V413,FlowCalNumber,0),1,1)*X418^INDEX(FlowCalConstB,MATCH(V413,FlowCalNumber,0),1,1)," ")</f>
        <v>#REF!</v>
      </c>
      <c r="Z418" s="33"/>
      <c r="AA418" s="242">
        <f t="shared" si="400"/>
        <v>0.9</v>
      </c>
      <c r="AB418" s="241" t="e">
        <f t="shared" ca="1" si="401"/>
        <v>#REF!</v>
      </c>
      <c r="AC418" s="243" t="e">
        <f ca="1">IF(AND(INDEX(FlowCalConstA,MATCH(Z413,FlowCalNumber,0),1,1)*AB418^INDEX(FlowCalConstB,MATCH(Z413,FlowCalNumber,0),1,1)&gt;INDEX(FlowCalLowSetting,MATCH(Z413,FlowCalNumber,0),1,1), (INDEX(FlowCalConstA,MATCH(Z413,FlowCalNumber,0),1,1)*AB418^INDEX(FlowCalConstB,MATCH(Z413,FlowCalNumber,0),1,1)&lt;INDEX(FlowCalHighSetting,MATCH(Z413,FlowCalNumber,0),1,1))),INDEX(FlowCalConstA,MATCH(Z413,FlowCalNumber,0),1,1)*AB418^INDEX(FlowCalConstB,MATCH(Z413,FlowCalNumber,0),1,1)," ")</f>
        <v>#REF!</v>
      </c>
      <c r="AD418" s="33"/>
      <c r="AE418" s="242">
        <f t="shared" si="402"/>
        <v>0.1</v>
      </c>
      <c r="AF418" s="241" t="e">
        <f t="shared" ca="1" si="403"/>
        <v>#REF!</v>
      </c>
      <c r="AG418" s="243" t="e">
        <f ca="1">IF(AND(INDEX(FlowCalConstA,MATCH(AD413,FlowCalNumber,0),1,1)*AF418^INDEX(FlowCalConstB,MATCH(AD413,FlowCalNumber,0),1,1)&gt;INDEX(FlowCalLowSetting,MATCH(AD413,FlowCalNumber,0),1,1), (INDEX(FlowCalConstA,MATCH(AD413,FlowCalNumber,0),1,1)*AF418^INDEX(FlowCalConstB,MATCH(AD413,FlowCalNumber,0),1,1)&lt;INDEX(FlowCalHighSetting,MATCH(AD413,FlowCalNumber,0),1,1))),INDEX(FlowCalConstA,MATCH(AD413,FlowCalNumber,0),1,1)*AF418^INDEX(FlowCalConstB,MATCH(AD413,FlowCalNumber,0),1,1)," ")</f>
        <v>#REF!</v>
      </c>
      <c r="AH418" s="33"/>
      <c r="AI418" s="242">
        <f t="shared" si="404"/>
        <v>0.9</v>
      </c>
      <c r="AJ418" s="241" t="e">
        <f t="shared" ca="1" si="405"/>
        <v>#REF!</v>
      </c>
      <c r="AK418" s="243" t="e">
        <f ca="1">IF(AND(INDEX(FlowCalConstA,MATCH(AH413,FlowCalNumber,0),1,1)*AJ418^INDEX(FlowCalConstB,MATCH(AH413,FlowCalNumber,0),1,1)&gt;INDEX(FlowCalLowSetting,MATCH(AH413,FlowCalNumber,0),1,1), (INDEX(FlowCalConstA,MATCH(AH413,FlowCalNumber,0),1,1)*AJ418^INDEX(FlowCalConstB,MATCH(AH413,FlowCalNumber,0),1,1)&lt;INDEX(FlowCalHighSetting,MATCH(AH413,FlowCalNumber,0),1,1))),INDEX(FlowCalConstA,MATCH(AH413,FlowCalNumber,0),1,1)*AJ418^INDEX(FlowCalConstB,MATCH(AH413,FlowCalNumber,0),1,1)," ")</f>
        <v>#REF!</v>
      </c>
      <c r="AL418" s="33"/>
      <c r="AM418" s="242"/>
      <c r="AN418" s="241"/>
      <c r="AO418" s="244"/>
      <c r="AQ418" s="242"/>
      <c r="AR418" s="241"/>
      <c r="AS418" s="244"/>
      <c r="AT418" s="33"/>
      <c r="AU418" s="242"/>
      <c r="AV418" s="241"/>
      <c r="AW418" s="244"/>
      <c r="AX418" s="33"/>
      <c r="AY418" s="242"/>
      <c r="AZ418" s="241"/>
      <c r="BA418" s="244"/>
      <c r="BB418" s="33"/>
      <c r="BC418" s="242"/>
      <c r="BD418" s="241"/>
      <c r="BE418" s="244"/>
      <c r="BF418" s="33"/>
      <c r="BG418" s="242"/>
      <c r="BH418" s="241"/>
      <c r="BI418" s="244"/>
      <c r="BJ418" s="33"/>
      <c r="BK418" s="242"/>
      <c r="BL418" s="241"/>
      <c r="BM418" s="244"/>
      <c r="BN418" s="33"/>
      <c r="BO418" s="242"/>
      <c r="BP418" s="241"/>
      <c r="BQ418" s="244"/>
      <c r="BR418" s="33"/>
      <c r="BS418" s="242"/>
      <c r="BT418" s="241"/>
      <c r="BU418" s="244"/>
      <c r="BV418" s="33"/>
      <c r="BW418" s="242"/>
      <c r="BX418" s="241"/>
      <c r="BY418" s="244"/>
      <c r="BZ418" s="33"/>
      <c r="CA418" s="242"/>
      <c r="CB418" s="241"/>
      <c r="CC418" s="244"/>
      <c r="CD418" s="243"/>
      <c r="CE418" s="243"/>
      <c r="CF418" s="243"/>
      <c r="CG418" s="243"/>
      <c r="CH418" s="243"/>
      <c r="CI418" s="243"/>
      <c r="CJ418" s="243"/>
      <c r="CK418" s="243"/>
      <c r="CL418" s="243"/>
      <c r="CM418" s="243"/>
      <c r="CN418" s="243"/>
      <c r="CO418" s="243"/>
      <c r="CP418" s="243"/>
      <c r="CQ418" s="243"/>
      <c r="CR418" s="243"/>
      <c r="CS418" s="243"/>
      <c r="CT418" s="243"/>
      <c r="CU418" s="243"/>
      <c r="CV418" s="243"/>
      <c r="CW418" s="243"/>
      <c r="CX418" s="243"/>
      <c r="CY418" s="243"/>
      <c r="CZ418" s="243"/>
      <c r="DA418" s="243"/>
      <c r="DB418" s="243"/>
      <c r="DC418" s="243"/>
      <c r="DD418" s="243"/>
      <c r="DE418" s="243"/>
      <c r="DF418" s="243"/>
      <c r="DG418" s="243"/>
      <c r="DH418" s="243"/>
      <c r="DI418" s="243"/>
      <c r="DJ418" s="243"/>
      <c r="DK418" s="243"/>
      <c r="DM418" s="242"/>
      <c r="DO418" s="243"/>
      <c r="DQ418" s="242"/>
      <c r="DS418" s="243"/>
      <c r="DU418" s="242"/>
      <c r="DW418" s="243"/>
      <c r="DY418" s="242"/>
      <c r="EA418" s="243"/>
    </row>
    <row r="419" spans="1:131">
      <c r="A419" s="20"/>
      <c r="B419" s="124" t="str">
        <f t="shared" si="390"/>
        <v/>
      </c>
      <c r="C419" s="235"/>
      <c r="D419" s="24">
        <f>'1% Wind'!$M$87</f>
        <v>13.5</v>
      </c>
      <c r="E419" s="90"/>
      <c r="F419" s="90"/>
      <c r="G419" s="79" t="e">
        <f ca="1">IF(I413=0.9743,$G418,MAX(G418/D418*D419,2))</f>
        <v>#REF!</v>
      </c>
      <c r="H419" s="121" t="e">
        <f t="shared" ca="1" si="391"/>
        <v>#REF!</v>
      </c>
      <c r="J419" s="33"/>
      <c r="K419" s="242">
        <f t="shared" si="392"/>
        <v>1</v>
      </c>
      <c r="L419" s="241" t="e">
        <f t="shared" ca="1" si="393"/>
        <v>#REF!</v>
      </c>
      <c r="M419" s="243" t="e">
        <f ca="1">IF(AND(INDEX(FlowCalConstA,MATCH(J413,FlowCalNumber,0),1,1)*L419^INDEX(FlowCalConstB,MATCH(J413,FlowCalNumber,0),1,1)&gt;INDEX(FlowCalLowSetting,MATCH(J413,FlowCalNumber,0),1,1), (INDEX(FlowCalConstA,MATCH(J413,FlowCalNumber,0),1,1)*L419^INDEX(FlowCalConstB,MATCH(J413,FlowCalNumber,0),1,1)&lt;INDEX(FlowCalHighSetting,MATCH(J413,FlowCalNumber,0),1,1))),INDEX(FlowCalConstA,MATCH(J413,FlowCalNumber,0),1,1)*L419^INDEX(FlowCalConstB,MATCH(J413,FlowCalNumber,0),1,1)," ")</f>
        <v>#REF!</v>
      </c>
      <c r="N419" s="33"/>
      <c r="O419" s="242">
        <f t="shared" si="394"/>
        <v>1</v>
      </c>
      <c r="P419" s="241" t="e">
        <f t="shared" ca="1" si="395"/>
        <v>#REF!</v>
      </c>
      <c r="Q419" s="243" t="e">
        <f ca="1">IF(AND(INDEX(FlowCalConstA,MATCH(N413,FlowCalNumber,0),1,1)*P419^INDEX(FlowCalConstB,MATCH(N413,FlowCalNumber,0),1,1)&gt;INDEX(FlowCalLowSetting,MATCH(N413,FlowCalNumber,0),1,1), (INDEX(FlowCalConstA,MATCH(N413,FlowCalNumber,0),1,1)*P419^INDEX(FlowCalConstB,MATCH(N413,FlowCalNumber,0),1,1)&lt;INDEX(FlowCalHighSetting,MATCH(N413,FlowCalNumber,0),1,1))),INDEX(FlowCalConstA,MATCH(N413,FlowCalNumber,0),1,1)*P419^INDEX(FlowCalConstB,MATCH(N413,FlowCalNumber,0),1,1)," ")</f>
        <v>#REF!</v>
      </c>
      <c r="R419" s="33"/>
      <c r="S419" s="242">
        <f t="shared" si="396"/>
        <v>1</v>
      </c>
      <c r="T419" s="241" t="e">
        <f t="shared" ca="1" si="397"/>
        <v>#REF!</v>
      </c>
      <c r="U419" s="244" t="e">
        <f ca="1">IF(AND(INDEX(FlowCalConstA,MATCH(R413,FlowCalNumber,0),1,1)*T419^INDEX(FlowCalConstB,MATCH(R413,FlowCalNumber,0),1,1)&gt;INDEX(FlowCalLowSetting,MATCH(R413,FlowCalNumber,0),1,1), (INDEX(FlowCalConstA,MATCH(R413,FlowCalNumber,0),1,1)*T419^INDEX(FlowCalConstB,MATCH(R413,FlowCalNumber,0),1,1)&lt;INDEX(FlowCalHighSetting,MATCH(R413,FlowCalNumber,0),1,1))),INDEX(FlowCalConstA,MATCH(R413,FlowCalNumber,0),1,1)*T419^INDEX(FlowCalConstB,MATCH(R413,FlowCalNumber,0),1,1)," ")</f>
        <v>#REF!</v>
      </c>
      <c r="V419" s="33"/>
      <c r="W419" s="242">
        <f t="shared" si="398"/>
        <v>0.1</v>
      </c>
      <c r="X419" s="241" t="e">
        <f t="shared" ca="1" si="399"/>
        <v>#REF!</v>
      </c>
      <c r="Y419" s="243" t="e">
        <f ca="1">IF(AND(INDEX(FlowCalConstA,MATCH(V413,FlowCalNumber,0),1,1)*X419^INDEX(FlowCalConstB,MATCH(V413,FlowCalNumber,0),1,1)&gt;INDEX(FlowCalLowSetting,MATCH(V413,FlowCalNumber,0),1,1), (INDEX(FlowCalConstA,MATCH(V413,FlowCalNumber,0),1,1)*X419^INDEX(FlowCalConstB,MATCH(V413,FlowCalNumber,0),1,1)&lt;INDEX(FlowCalHighSetting,MATCH(V413,FlowCalNumber,0),1,1))),INDEX(FlowCalConstA,MATCH(V413,FlowCalNumber,0),1,1)*X419^INDEX(FlowCalConstB,MATCH(V413,FlowCalNumber,0),1,1)," ")</f>
        <v>#REF!</v>
      </c>
      <c r="Z419" s="33"/>
      <c r="AA419" s="242">
        <f t="shared" si="400"/>
        <v>0.9</v>
      </c>
      <c r="AB419" s="241" t="e">
        <f t="shared" ca="1" si="401"/>
        <v>#REF!</v>
      </c>
      <c r="AC419" s="243" t="e">
        <f ca="1">IF(AND(INDEX(FlowCalConstA,MATCH(Z413,FlowCalNumber,0),1,1)*AB419^INDEX(FlowCalConstB,MATCH(Z413,FlowCalNumber,0),1,1)&gt;INDEX(FlowCalLowSetting,MATCH(Z413,FlowCalNumber,0),1,1), (INDEX(FlowCalConstA,MATCH(Z413,FlowCalNumber,0),1,1)*AB419^INDEX(FlowCalConstB,MATCH(Z413,FlowCalNumber,0),1,1)&lt;INDEX(FlowCalHighSetting,MATCH(Z413,FlowCalNumber,0),1,1))),INDEX(FlowCalConstA,MATCH(Z413,FlowCalNumber,0),1,1)*AB419^INDEX(FlowCalConstB,MATCH(Z413,FlowCalNumber,0),1,1)," ")</f>
        <v>#REF!</v>
      </c>
      <c r="AD419" s="33"/>
      <c r="AE419" s="242">
        <f t="shared" si="402"/>
        <v>0.1</v>
      </c>
      <c r="AF419" s="241" t="e">
        <f t="shared" ca="1" si="403"/>
        <v>#REF!</v>
      </c>
      <c r="AG419" s="243" t="e">
        <f ca="1">IF(AND(INDEX(FlowCalConstA,MATCH(AD413,FlowCalNumber,0),1,1)*AF419^INDEX(FlowCalConstB,MATCH(AD413,FlowCalNumber,0),1,1)&gt;INDEX(FlowCalLowSetting,MATCH(AD413,FlowCalNumber,0),1,1), (INDEX(FlowCalConstA,MATCH(AD413,FlowCalNumber,0),1,1)*AF419^INDEX(FlowCalConstB,MATCH(AD413,FlowCalNumber,0),1,1)&lt;INDEX(FlowCalHighSetting,MATCH(AD413,FlowCalNumber,0),1,1))),INDEX(FlowCalConstA,MATCH(AD413,FlowCalNumber,0),1,1)*AF419^INDEX(FlowCalConstB,MATCH(AD413,FlowCalNumber,0),1,1)," ")</f>
        <v>#REF!</v>
      </c>
      <c r="AH419" s="33"/>
      <c r="AI419" s="242">
        <f t="shared" si="404"/>
        <v>0.9</v>
      </c>
      <c r="AJ419" s="241" t="e">
        <f t="shared" ca="1" si="405"/>
        <v>#REF!</v>
      </c>
      <c r="AK419" s="243" t="e">
        <f ca="1">IF(AND(INDEX(FlowCalConstA,MATCH(AH413,FlowCalNumber,0),1,1)*AJ419^INDEX(FlowCalConstB,MATCH(AH413,FlowCalNumber,0),1,1)&gt;INDEX(FlowCalLowSetting,MATCH(AH413,FlowCalNumber,0),1,1), (INDEX(FlowCalConstA,MATCH(AH413,FlowCalNumber,0),1,1)*AJ419^INDEX(FlowCalConstB,MATCH(AH413,FlowCalNumber,0),1,1)&lt;INDEX(FlowCalHighSetting,MATCH(AH413,FlowCalNumber,0),1,1))),INDEX(FlowCalConstA,MATCH(AH413,FlowCalNumber,0),1,1)*AJ419^INDEX(FlowCalConstB,MATCH(AH413,FlowCalNumber,0),1,1)," ")</f>
        <v>#REF!</v>
      </c>
      <c r="AL419" s="33"/>
      <c r="AM419" s="242"/>
      <c r="AN419" s="241"/>
      <c r="AO419" s="244"/>
      <c r="AQ419" s="242"/>
      <c r="AR419" s="241"/>
      <c r="AS419" s="244"/>
      <c r="AT419" s="33"/>
      <c r="AU419" s="242"/>
      <c r="AV419" s="241"/>
      <c r="AW419" s="244"/>
      <c r="AX419" s="33"/>
      <c r="AY419" s="242"/>
      <c r="AZ419" s="241"/>
      <c r="BA419" s="244"/>
      <c r="BB419" s="33"/>
      <c r="BC419" s="242"/>
      <c r="BD419" s="241"/>
      <c r="BE419" s="244"/>
      <c r="BF419" s="33"/>
      <c r="BG419" s="242"/>
      <c r="BH419" s="241"/>
      <c r="BI419" s="244"/>
      <c r="BJ419" s="33"/>
      <c r="BK419" s="242"/>
      <c r="BL419" s="241"/>
      <c r="BM419" s="244"/>
      <c r="BN419" s="33"/>
      <c r="BO419" s="242"/>
      <c r="BP419" s="241"/>
      <c r="BQ419" s="244"/>
      <c r="BR419" s="33"/>
      <c r="BS419" s="242"/>
      <c r="BT419" s="241"/>
      <c r="BU419" s="244"/>
      <c r="BV419" s="33"/>
      <c r="BW419" s="242"/>
      <c r="BX419" s="241"/>
      <c r="BY419" s="244"/>
      <c r="BZ419" s="33"/>
      <c r="CA419" s="242"/>
      <c r="CB419" s="241"/>
      <c r="CC419" s="244"/>
      <c r="CD419" s="243"/>
      <c r="CE419" s="243"/>
      <c r="CF419" s="243"/>
      <c r="CG419" s="243"/>
      <c r="CH419" s="243"/>
      <c r="CI419" s="243"/>
      <c r="CJ419" s="243"/>
      <c r="CK419" s="243"/>
      <c r="CL419" s="243"/>
      <c r="CM419" s="243"/>
      <c r="CN419" s="243"/>
      <c r="CO419" s="243"/>
      <c r="CP419" s="243"/>
      <c r="CQ419" s="243"/>
      <c r="CR419" s="243"/>
      <c r="CS419" s="243"/>
      <c r="CT419" s="243"/>
      <c r="CU419" s="243"/>
      <c r="CV419" s="243"/>
      <c r="CW419" s="243"/>
      <c r="CX419" s="243"/>
      <c r="CY419" s="243"/>
      <c r="CZ419" s="243"/>
      <c r="DA419" s="243"/>
      <c r="DB419" s="243"/>
      <c r="DC419" s="243"/>
      <c r="DD419" s="243"/>
      <c r="DE419" s="243"/>
      <c r="DF419" s="243"/>
      <c r="DG419" s="243"/>
      <c r="DH419" s="243"/>
      <c r="DI419" s="243"/>
      <c r="DJ419" s="243"/>
      <c r="DK419" s="243"/>
      <c r="DM419" s="242"/>
      <c r="DO419" s="243"/>
      <c r="DQ419" s="242"/>
      <c r="DS419" s="243"/>
      <c r="DU419" s="242"/>
      <c r="DW419" s="243"/>
      <c r="DY419" s="242"/>
      <c r="EA419" s="243"/>
    </row>
    <row r="420" spans="1:131">
      <c r="A420" s="20"/>
      <c r="B420" s="124" t="str">
        <f t="shared" si="390"/>
        <v/>
      </c>
      <c r="C420" s="235"/>
      <c r="D420" s="24">
        <f>'1% Wind'!$M$88</f>
        <v>10.1</v>
      </c>
      <c r="E420" s="90"/>
      <c r="F420" s="90"/>
      <c r="G420" s="79" t="e">
        <f ca="1">IF(I413=0.9743,$G419,MAX(G419/D419*D420,2))</f>
        <v>#REF!</v>
      </c>
      <c r="H420" s="121" t="e">
        <f t="shared" ca="1" si="391"/>
        <v>#REF!</v>
      </c>
      <c r="J420" s="33"/>
      <c r="K420" s="242">
        <f t="shared" si="392"/>
        <v>1</v>
      </c>
      <c r="L420" s="241" t="e">
        <f t="shared" ca="1" si="393"/>
        <v>#REF!</v>
      </c>
      <c r="M420" s="243" t="e">
        <f ca="1">IF(AND(INDEX(FlowCalConstA,MATCH(J413,FlowCalNumber,0),1,1)*L420^INDEX(FlowCalConstB,MATCH(J413,FlowCalNumber,0),1,1)&gt;INDEX(FlowCalLowSetting,MATCH(J413,FlowCalNumber,0),1,1), (INDEX(FlowCalConstA,MATCH(J413,FlowCalNumber,0),1,1)*L420^INDEX(FlowCalConstB,MATCH(J413,FlowCalNumber,0),1,1)&lt;INDEX(FlowCalHighSetting,MATCH(J413,FlowCalNumber,0),1,1))),INDEX(FlowCalConstA,MATCH(J413,FlowCalNumber,0),1,1)*L420^INDEX(FlowCalConstB,MATCH(J413,FlowCalNumber,0),1,1)," ")</f>
        <v>#REF!</v>
      </c>
      <c r="N420" s="33"/>
      <c r="O420" s="242">
        <f t="shared" si="394"/>
        <v>1</v>
      </c>
      <c r="P420" s="241" t="e">
        <f t="shared" ca="1" si="395"/>
        <v>#REF!</v>
      </c>
      <c r="Q420" s="243" t="e">
        <f ca="1">IF(AND(INDEX(FlowCalConstA,MATCH(N413,FlowCalNumber,0),1,1)*P420^INDEX(FlowCalConstB,MATCH(N413,FlowCalNumber,0),1,1)&gt;INDEX(FlowCalLowSetting,MATCH(N413,FlowCalNumber,0),1,1), (INDEX(FlowCalConstA,MATCH(N413,FlowCalNumber,0),1,1)*P420^INDEX(FlowCalConstB,MATCH(N413,FlowCalNumber,0),1,1)&lt;INDEX(FlowCalHighSetting,MATCH(N413,FlowCalNumber,0),1,1))),INDEX(FlowCalConstA,MATCH(N413,FlowCalNumber,0),1,1)*P420^INDEX(FlowCalConstB,MATCH(N413,FlowCalNumber,0),1,1)," ")</f>
        <v>#REF!</v>
      </c>
      <c r="R420" s="33"/>
      <c r="S420" s="242">
        <f t="shared" si="396"/>
        <v>1</v>
      </c>
      <c r="T420" s="241" t="e">
        <f t="shared" ca="1" si="397"/>
        <v>#REF!</v>
      </c>
      <c r="U420" s="244" t="e">
        <f ca="1">IF(AND(INDEX(FlowCalConstA,MATCH(R413,FlowCalNumber,0),1,1)*T420^INDEX(FlowCalConstB,MATCH(R413,FlowCalNumber,0),1,1)&gt;INDEX(FlowCalLowSetting,MATCH(R413,FlowCalNumber,0),1,1), (INDEX(FlowCalConstA,MATCH(R413,FlowCalNumber,0),1,1)*T420^INDEX(FlowCalConstB,MATCH(R413,FlowCalNumber,0),1,1)&lt;INDEX(FlowCalHighSetting,MATCH(R413,FlowCalNumber,0),1,1))),INDEX(FlowCalConstA,MATCH(R413,FlowCalNumber,0),1,1)*T420^INDEX(FlowCalConstB,MATCH(R413,FlowCalNumber,0),1,1)," ")</f>
        <v>#REF!</v>
      </c>
      <c r="V420" s="33"/>
      <c r="W420" s="242">
        <f t="shared" si="398"/>
        <v>0.1</v>
      </c>
      <c r="X420" s="241" t="e">
        <f t="shared" ca="1" si="399"/>
        <v>#REF!</v>
      </c>
      <c r="Y420" s="243" t="e">
        <f ca="1">IF(AND(INDEX(FlowCalConstA,MATCH(V413,FlowCalNumber,0),1,1)*X420^INDEX(FlowCalConstB,MATCH(V413,FlowCalNumber,0),1,1)&gt;INDEX(FlowCalLowSetting,MATCH(V413,FlowCalNumber,0),1,1), (INDEX(FlowCalConstA,MATCH(V413,FlowCalNumber,0),1,1)*X420^INDEX(FlowCalConstB,MATCH(V413,FlowCalNumber,0),1,1)&lt;INDEX(FlowCalHighSetting,MATCH(V413,FlowCalNumber,0),1,1))),INDEX(FlowCalConstA,MATCH(V413,FlowCalNumber,0),1,1)*X420^INDEX(FlowCalConstB,MATCH(V413,FlowCalNumber,0),1,1)," ")</f>
        <v>#REF!</v>
      </c>
      <c r="Z420" s="33"/>
      <c r="AA420" s="242">
        <f t="shared" si="400"/>
        <v>0.9</v>
      </c>
      <c r="AB420" s="241" t="e">
        <f t="shared" ca="1" si="401"/>
        <v>#REF!</v>
      </c>
      <c r="AC420" s="243" t="e">
        <f ca="1">IF(AND(INDEX(FlowCalConstA,MATCH(Z413,FlowCalNumber,0),1,1)*AB420^INDEX(FlowCalConstB,MATCH(Z413,FlowCalNumber,0),1,1)&gt;INDEX(FlowCalLowSetting,MATCH(Z413,FlowCalNumber,0),1,1), (INDEX(FlowCalConstA,MATCH(Z413,FlowCalNumber,0),1,1)*AB420^INDEX(FlowCalConstB,MATCH(Z413,FlowCalNumber,0),1,1)&lt;INDEX(FlowCalHighSetting,MATCH(Z413,FlowCalNumber,0),1,1))),INDEX(FlowCalConstA,MATCH(Z413,FlowCalNumber,0),1,1)*AB420^INDEX(FlowCalConstB,MATCH(Z413,FlowCalNumber,0),1,1)," ")</f>
        <v>#REF!</v>
      </c>
      <c r="AD420" s="33"/>
      <c r="AE420" s="242">
        <f t="shared" si="402"/>
        <v>0.1</v>
      </c>
      <c r="AF420" s="241" t="e">
        <f t="shared" ca="1" si="403"/>
        <v>#REF!</v>
      </c>
      <c r="AG420" s="243" t="e">
        <f ca="1">IF(AND(INDEX(FlowCalConstA,MATCH(AD413,FlowCalNumber,0),1,1)*AF420^INDEX(FlowCalConstB,MATCH(AD413,FlowCalNumber,0),1,1)&gt;INDEX(FlowCalLowSetting,MATCH(AD413,FlowCalNumber,0),1,1), (INDEX(FlowCalConstA,MATCH(AD413,FlowCalNumber,0),1,1)*AF420^INDEX(FlowCalConstB,MATCH(AD413,FlowCalNumber,0),1,1)&lt;INDEX(FlowCalHighSetting,MATCH(AD413,FlowCalNumber,0),1,1))),INDEX(FlowCalConstA,MATCH(AD413,FlowCalNumber,0),1,1)*AF420^INDEX(FlowCalConstB,MATCH(AD413,FlowCalNumber,0),1,1)," ")</f>
        <v>#REF!</v>
      </c>
      <c r="AH420" s="33"/>
      <c r="AI420" s="242">
        <f t="shared" si="404"/>
        <v>0.9</v>
      </c>
      <c r="AJ420" s="241" t="e">
        <f t="shared" ca="1" si="405"/>
        <v>#REF!</v>
      </c>
      <c r="AK420" s="243" t="e">
        <f ca="1">IF(AND(INDEX(FlowCalConstA,MATCH(AH413,FlowCalNumber,0),1,1)*AJ420^INDEX(FlowCalConstB,MATCH(AH413,FlowCalNumber,0),1,1)&gt;INDEX(FlowCalLowSetting,MATCH(AH413,FlowCalNumber,0),1,1), (INDEX(FlowCalConstA,MATCH(AH413,FlowCalNumber,0),1,1)*AJ420^INDEX(FlowCalConstB,MATCH(AH413,FlowCalNumber,0),1,1)&lt;INDEX(FlowCalHighSetting,MATCH(AH413,FlowCalNumber,0),1,1))),INDEX(FlowCalConstA,MATCH(AH413,FlowCalNumber,0),1,1)*AJ420^INDEX(FlowCalConstB,MATCH(AH413,FlowCalNumber,0),1,1)," ")</f>
        <v>#REF!</v>
      </c>
      <c r="AL420" s="33"/>
      <c r="AM420" s="242"/>
      <c r="AN420" s="241"/>
      <c r="AO420" s="244"/>
      <c r="AQ420" s="242"/>
      <c r="AR420" s="241"/>
      <c r="AS420" s="244"/>
      <c r="AT420" s="33"/>
      <c r="AU420" s="242"/>
      <c r="AV420" s="241"/>
      <c r="AW420" s="244"/>
      <c r="AX420" s="33"/>
      <c r="AY420" s="242"/>
      <c r="AZ420" s="241"/>
      <c r="BA420" s="244"/>
      <c r="BB420" s="33"/>
      <c r="BC420" s="242"/>
      <c r="BD420" s="241"/>
      <c r="BE420" s="244"/>
      <c r="BF420" s="33"/>
      <c r="BG420" s="242"/>
      <c r="BH420" s="241"/>
      <c r="BI420" s="244"/>
      <c r="BJ420" s="33"/>
      <c r="BK420" s="242"/>
      <c r="BL420" s="241"/>
      <c r="BM420" s="244"/>
      <c r="BN420" s="33"/>
      <c r="BO420" s="242"/>
      <c r="BP420" s="241"/>
      <c r="BQ420" s="244"/>
      <c r="BR420" s="33"/>
      <c r="BS420" s="242"/>
      <c r="BT420" s="241"/>
      <c r="BU420" s="244"/>
      <c r="BV420" s="33"/>
      <c r="BW420" s="242"/>
      <c r="BX420" s="241"/>
      <c r="BY420" s="244"/>
      <c r="BZ420" s="33"/>
      <c r="CA420" s="242"/>
      <c r="CB420" s="241"/>
      <c r="CC420" s="244"/>
      <c r="CD420" s="243"/>
      <c r="CE420" s="243"/>
      <c r="CF420" s="243"/>
      <c r="CG420" s="243"/>
      <c r="CH420" s="243"/>
      <c r="CI420" s="243"/>
      <c r="CJ420" s="243"/>
      <c r="CK420" s="243"/>
      <c r="CL420" s="243"/>
      <c r="CM420" s="243"/>
      <c r="CN420" s="243"/>
      <c r="CO420" s="243"/>
      <c r="CP420" s="243"/>
      <c r="CQ420" s="243"/>
      <c r="CR420" s="243"/>
      <c r="CS420" s="243"/>
      <c r="CT420" s="243"/>
      <c r="CU420" s="243"/>
      <c r="CV420" s="243"/>
      <c r="CW420" s="243"/>
      <c r="CX420" s="243"/>
      <c r="CY420" s="243"/>
      <c r="CZ420" s="243"/>
      <c r="DA420" s="243"/>
      <c r="DB420" s="243"/>
      <c r="DC420" s="243"/>
      <c r="DD420" s="243"/>
      <c r="DE420" s="243"/>
      <c r="DF420" s="243"/>
      <c r="DG420" s="243"/>
      <c r="DH420" s="243"/>
      <c r="DI420" s="243"/>
      <c r="DJ420" s="243"/>
      <c r="DK420" s="243"/>
      <c r="DM420" s="242"/>
      <c r="DO420" s="243"/>
      <c r="DQ420" s="242"/>
      <c r="DS420" s="243"/>
      <c r="DU420" s="242"/>
      <c r="DW420" s="243"/>
      <c r="DY420" s="242"/>
      <c r="EA420" s="243"/>
    </row>
    <row r="421" spans="1:131">
      <c r="A421" s="20"/>
      <c r="B421" s="124" t="str">
        <f t="shared" si="390"/>
        <v/>
      </c>
      <c r="C421" s="235"/>
      <c r="D421" s="24">
        <f>'1% Wind'!$M$89</f>
        <v>7.6</v>
      </c>
      <c r="E421" s="90"/>
      <c r="F421" s="90"/>
      <c r="G421" s="79" t="e">
        <f ca="1">IF(I413=0.9743,$G420,MAX(G420/D420*D421,2))</f>
        <v>#REF!</v>
      </c>
      <c r="H421" s="121" t="e">
        <f t="shared" ca="1" si="391"/>
        <v>#REF!</v>
      </c>
      <c r="J421" s="33"/>
      <c r="K421" s="242">
        <f t="shared" si="392"/>
        <v>1</v>
      </c>
      <c r="L421" s="241" t="e">
        <f t="shared" ca="1" si="393"/>
        <v>#REF!</v>
      </c>
      <c r="M421" s="243" t="e">
        <f ca="1">IF(AND(INDEX(FlowCalConstA,MATCH(J413,FlowCalNumber,0),1,1)*L421^INDEX(FlowCalConstB,MATCH(J413,FlowCalNumber,0),1,1)&gt;INDEX(FlowCalLowSetting,MATCH(J413,FlowCalNumber,0),1,1), (INDEX(FlowCalConstA,MATCH(J413,FlowCalNumber,0),1,1)*L421^INDEX(FlowCalConstB,MATCH(J413,FlowCalNumber,0),1,1)&lt;INDEX(FlowCalHighSetting,MATCH(J413,FlowCalNumber,0),1,1))),INDEX(FlowCalConstA,MATCH(J413,FlowCalNumber,0),1,1)*L421^INDEX(FlowCalConstB,MATCH(J413,FlowCalNumber,0),1,1)," ")</f>
        <v>#REF!</v>
      </c>
      <c r="N421" s="33"/>
      <c r="O421" s="242">
        <f t="shared" si="394"/>
        <v>1</v>
      </c>
      <c r="P421" s="241" t="e">
        <f t="shared" ca="1" si="395"/>
        <v>#REF!</v>
      </c>
      <c r="Q421" s="243" t="e">
        <f ca="1">IF(AND(INDEX(FlowCalConstA,MATCH(N413,FlowCalNumber,0),1,1)*P421^INDEX(FlowCalConstB,MATCH(N413,FlowCalNumber,0),1,1)&gt;INDEX(FlowCalLowSetting,MATCH(N413,FlowCalNumber,0),1,1), (INDEX(FlowCalConstA,MATCH(N413,FlowCalNumber,0),1,1)*P421^INDEX(FlowCalConstB,MATCH(N413,FlowCalNumber,0),1,1)&lt;INDEX(FlowCalHighSetting,MATCH(N413,FlowCalNumber,0),1,1))),INDEX(FlowCalConstA,MATCH(N413,FlowCalNumber,0),1,1)*P421^INDEX(FlowCalConstB,MATCH(N413,FlowCalNumber,0),1,1)," ")</f>
        <v>#REF!</v>
      </c>
      <c r="R421" s="33"/>
      <c r="S421" s="242">
        <f t="shared" si="396"/>
        <v>1</v>
      </c>
      <c r="T421" s="241" t="e">
        <f t="shared" ca="1" si="397"/>
        <v>#REF!</v>
      </c>
      <c r="U421" s="244" t="e">
        <f ca="1">IF(AND(INDEX(FlowCalConstA,MATCH(R413,FlowCalNumber,0),1,1)*T421^INDEX(FlowCalConstB,MATCH(R413,FlowCalNumber,0),1,1)&gt;INDEX(FlowCalLowSetting,MATCH(R413,FlowCalNumber,0),1,1), (INDEX(FlowCalConstA,MATCH(R413,FlowCalNumber,0),1,1)*T421^INDEX(FlowCalConstB,MATCH(R413,FlowCalNumber,0),1,1)&lt;INDEX(FlowCalHighSetting,MATCH(R413,FlowCalNumber,0),1,1))),INDEX(FlowCalConstA,MATCH(R413,FlowCalNumber,0),1,1)*T421^INDEX(FlowCalConstB,MATCH(R413,FlowCalNumber,0),1,1)," ")</f>
        <v>#REF!</v>
      </c>
      <c r="V421" s="33"/>
      <c r="W421" s="242">
        <f t="shared" si="398"/>
        <v>0.1</v>
      </c>
      <c r="X421" s="241" t="e">
        <f t="shared" ca="1" si="399"/>
        <v>#REF!</v>
      </c>
      <c r="Y421" s="243" t="e">
        <f ca="1">IF(AND(INDEX(FlowCalConstA,MATCH(V413,FlowCalNumber,0),1,1)*X421^INDEX(FlowCalConstB,MATCH(V413,FlowCalNumber,0),1,1)&gt;INDEX(FlowCalLowSetting,MATCH(V413,FlowCalNumber,0),1,1), (INDEX(FlowCalConstA,MATCH(V413,FlowCalNumber,0),1,1)*X421^INDEX(FlowCalConstB,MATCH(V413,FlowCalNumber,0),1,1)&lt;INDEX(FlowCalHighSetting,MATCH(V413,FlowCalNumber,0),1,1))),INDEX(FlowCalConstA,MATCH(V413,FlowCalNumber,0),1,1)*X421^INDEX(FlowCalConstB,MATCH(V413,FlowCalNumber,0),1,1)," ")</f>
        <v>#REF!</v>
      </c>
      <c r="Z421" s="33"/>
      <c r="AA421" s="242">
        <f t="shared" si="400"/>
        <v>0.9</v>
      </c>
      <c r="AB421" s="241" t="e">
        <f t="shared" ca="1" si="401"/>
        <v>#REF!</v>
      </c>
      <c r="AC421" s="243" t="e">
        <f ca="1">IF(AND(INDEX(FlowCalConstA,MATCH(Z413,FlowCalNumber,0),1,1)*AB421^INDEX(FlowCalConstB,MATCH(Z413,FlowCalNumber,0),1,1)&gt;INDEX(FlowCalLowSetting,MATCH(Z413,FlowCalNumber,0),1,1), (INDEX(FlowCalConstA,MATCH(Z413,FlowCalNumber,0),1,1)*AB421^INDEX(FlowCalConstB,MATCH(Z413,FlowCalNumber,0),1,1)&lt;INDEX(FlowCalHighSetting,MATCH(Z413,FlowCalNumber,0),1,1))),INDEX(FlowCalConstA,MATCH(Z413,FlowCalNumber,0),1,1)*AB421^INDEX(FlowCalConstB,MATCH(Z413,FlowCalNumber,0),1,1)," ")</f>
        <v>#REF!</v>
      </c>
      <c r="AD421" s="33"/>
      <c r="AE421" s="242">
        <f t="shared" si="402"/>
        <v>0.1</v>
      </c>
      <c r="AF421" s="241" t="e">
        <f t="shared" ca="1" si="403"/>
        <v>#REF!</v>
      </c>
      <c r="AG421" s="243" t="e">
        <f ca="1">IF(AND(INDEX(FlowCalConstA,MATCH(AD413,FlowCalNumber,0),1,1)*AF421^INDEX(FlowCalConstB,MATCH(AD413,FlowCalNumber,0),1,1)&gt;INDEX(FlowCalLowSetting,MATCH(AD413,FlowCalNumber,0),1,1), (INDEX(FlowCalConstA,MATCH(AD413,FlowCalNumber,0),1,1)*AF421^INDEX(FlowCalConstB,MATCH(AD413,FlowCalNumber,0),1,1)&lt;INDEX(FlowCalHighSetting,MATCH(AD413,FlowCalNumber,0),1,1))),INDEX(FlowCalConstA,MATCH(AD413,FlowCalNumber,0),1,1)*AF421^INDEX(FlowCalConstB,MATCH(AD413,FlowCalNumber,0),1,1)," ")</f>
        <v>#REF!</v>
      </c>
      <c r="AH421" s="33"/>
      <c r="AI421" s="242">
        <f t="shared" si="404"/>
        <v>0.9</v>
      </c>
      <c r="AJ421" s="241" t="e">
        <f t="shared" ca="1" si="405"/>
        <v>#REF!</v>
      </c>
      <c r="AK421" s="243" t="e">
        <f ca="1">IF(AND(INDEX(FlowCalConstA,MATCH(AH413,FlowCalNumber,0),1,1)*AJ421^INDEX(FlowCalConstB,MATCH(AH413,FlowCalNumber,0),1,1)&gt;INDEX(FlowCalLowSetting,MATCH(AH413,FlowCalNumber,0),1,1), (INDEX(FlowCalConstA,MATCH(AH413,FlowCalNumber,0),1,1)*AJ421^INDEX(FlowCalConstB,MATCH(AH413,FlowCalNumber,0),1,1)&lt;INDEX(FlowCalHighSetting,MATCH(AH413,FlowCalNumber,0),1,1))),INDEX(FlowCalConstA,MATCH(AH413,FlowCalNumber,0),1,1)*AJ421^INDEX(FlowCalConstB,MATCH(AH413,FlowCalNumber,0),1,1)," ")</f>
        <v>#REF!</v>
      </c>
      <c r="AL421" s="33"/>
      <c r="AM421" s="242"/>
      <c r="AN421" s="241"/>
      <c r="AO421" s="244"/>
      <c r="AQ421" s="242"/>
      <c r="AR421" s="241"/>
      <c r="AS421" s="244"/>
      <c r="AT421" s="33"/>
      <c r="AU421" s="242"/>
      <c r="AV421" s="241"/>
      <c r="AW421" s="244"/>
      <c r="AX421" s="33"/>
      <c r="AY421" s="242"/>
      <c r="AZ421" s="241"/>
      <c r="BA421" s="244"/>
      <c r="BB421" s="33"/>
      <c r="BC421" s="242"/>
      <c r="BD421" s="241"/>
      <c r="BE421" s="244"/>
      <c r="BF421" s="33"/>
      <c r="BG421" s="242"/>
      <c r="BH421" s="241"/>
      <c r="BI421" s="244"/>
      <c r="BJ421" s="33"/>
      <c r="BK421" s="242"/>
      <c r="BL421" s="241"/>
      <c r="BM421" s="244"/>
      <c r="BN421" s="33"/>
      <c r="BO421" s="242"/>
      <c r="BP421" s="241"/>
      <c r="BQ421" s="244"/>
      <c r="BR421" s="33"/>
      <c r="BS421" s="242"/>
      <c r="BT421" s="241"/>
      <c r="BU421" s="244"/>
      <c r="BV421" s="33"/>
      <c r="BW421" s="242"/>
      <c r="BX421" s="241"/>
      <c r="BY421" s="244"/>
      <c r="BZ421" s="33"/>
      <c r="CA421" s="242"/>
      <c r="CB421" s="241"/>
      <c r="CC421" s="244"/>
      <c r="CD421" s="243"/>
      <c r="CE421" s="243"/>
      <c r="CF421" s="243"/>
      <c r="CG421" s="243"/>
      <c r="CH421" s="243"/>
      <c r="CI421" s="243"/>
      <c r="CJ421" s="243"/>
      <c r="CK421" s="243"/>
      <c r="CL421" s="243"/>
      <c r="CM421" s="243"/>
      <c r="CN421" s="243"/>
      <c r="CO421" s="243"/>
      <c r="CP421" s="243"/>
      <c r="CQ421" s="243"/>
      <c r="CR421" s="243"/>
      <c r="CS421" s="243"/>
      <c r="CT421" s="243"/>
      <c r="CU421" s="243"/>
      <c r="CV421" s="243"/>
      <c r="CW421" s="243"/>
      <c r="CX421" s="243"/>
      <c r="CY421" s="243"/>
      <c r="CZ421" s="243"/>
      <c r="DA421" s="243"/>
      <c r="DB421" s="243"/>
      <c r="DC421" s="243"/>
      <c r="DD421" s="243"/>
      <c r="DE421" s="243"/>
      <c r="DF421" s="243"/>
      <c r="DG421" s="243"/>
      <c r="DH421" s="243"/>
      <c r="DI421" s="243"/>
      <c r="DJ421" s="243"/>
      <c r="DK421" s="243"/>
      <c r="DM421" s="242"/>
      <c r="DO421" s="243"/>
      <c r="DQ421" s="242"/>
      <c r="DS421" s="243"/>
      <c r="DU421" s="242"/>
      <c r="DW421" s="243"/>
      <c r="DY421" s="242"/>
      <c r="EA421" s="243"/>
    </row>
    <row r="422" spans="1:131">
      <c r="A422" s="20"/>
      <c r="B422" s="124" t="str">
        <f t="shared" si="390"/>
        <v/>
      </c>
      <c r="C422" s="235"/>
      <c r="D422" s="24">
        <f>'1% Wind'!$M$90</f>
        <v>5.7</v>
      </c>
      <c r="E422" s="90"/>
      <c r="F422" s="90"/>
      <c r="G422" s="79" t="e">
        <f ca="1">IF(I413=0.9743,$G421,MAX(G421/D421*D422,2))</f>
        <v>#REF!</v>
      </c>
      <c r="H422" s="121" t="e">
        <f t="shared" ca="1" si="391"/>
        <v>#REF!</v>
      </c>
      <c r="J422" s="33"/>
      <c r="K422" s="242">
        <f t="shared" si="392"/>
        <v>1</v>
      </c>
      <c r="L422" s="241" t="e">
        <f t="shared" ca="1" si="393"/>
        <v>#REF!</v>
      </c>
      <c r="M422" s="243" t="e">
        <f ca="1">IF(AND(INDEX(FlowCalConstA,MATCH(J413,FlowCalNumber,0),1,1)*L422^INDEX(FlowCalConstB,MATCH(J413,FlowCalNumber,0),1,1)&gt;INDEX(FlowCalLowSetting,MATCH(J413,FlowCalNumber,0),1,1), (INDEX(FlowCalConstA,MATCH(J413,FlowCalNumber,0),1,1)*L422^INDEX(FlowCalConstB,MATCH(J413,FlowCalNumber,0),1,1)&lt;INDEX(FlowCalHighSetting,MATCH(J413,FlowCalNumber,0),1,1))),INDEX(FlowCalConstA,MATCH(J413,FlowCalNumber,0),1,1)*L422^INDEX(FlowCalConstB,MATCH(J413,FlowCalNumber,0),1,1)," ")</f>
        <v>#REF!</v>
      </c>
      <c r="N422" s="33"/>
      <c r="O422" s="242">
        <f t="shared" si="394"/>
        <v>1</v>
      </c>
      <c r="P422" s="241" t="e">
        <f t="shared" ca="1" si="395"/>
        <v>#REF!</v>
      </c>
      <c r="Q422" s="243" t="e">
        <f ca="1">IF(AND(INDEX(FlowCalConstA,MATCH(N413,FlowCalNumber,0),1,1)*P422^INDEX(FlowCalConstB,MATCH(N413,FlowCalNumber,0),1,1)&gt;INDEX(FlowCalLowSetting,MATCH(N413,FlowCalNumber,0),1,1), (INDEX(FlowCalConstA,MATCH(N413,FlowCalNumber,0),1,1)*P422^INDEX(FlowCalConstB,MATCH(N413,FlowCalNumber,0),1,1)&lt;INDEX(FlowCalHighSetting,MATCH(N413,FlowCalNumber,0),1,1))),INDEX(FlowCalConstA,MATCH(N413,FlowCalNumber,0),1,1)*P422^INDEX(FlowCalConstB,MATCH(N413,FlowCalNumber,0),1,1)," ")</f>
        <v>#REF!</v>
      </c>
      <c r="R422" s="33"/>
      <c r="S422" s="242">
        <f t="shared" si="396"/>
        <v>1</v>
      </c>
      <c r="T422" s="241" t="e">
        <f t="shared" ca="1" si="397"/>
        <v>#REF!</v>
      </c>
      <c r="U422" s="244" t="e">
        <f ca="1">IF(AND(INDEX(FlowCalConstA,MATCH(R413,FlowCalNumber,0),1,1)*T422^INDEX(FlowCalConstB,MATCH(R413,FlowCalNumber,0),1,1)&gt;INDEX(FlowCalLowSetting,MATCH(R413,FlowCalNumber,0),1,1), (INDEX(FlowCalConstA,MATCH(R413,FlowCalNumber,0),1,1)*T422^INDEX(FlowCalConstB,MATCH(R413,FlowCalNumber,0),1,1)&lt;INDEX(FlowCalHighSetting,MATCH(R413,FlowCalNumber,0),1,1))),INDEX(FlowCalConstA,MATCH(R413,FlowCalNumber,0),1,1)*T422^INDEX(FlowCalConstB,MATCH(R413,FlowCalNumber,0),1,1)," ")</f>
        <v>#REF!</v>
      </c>
      <c r="V422" s="33"/>
      <c r="W422" s="242">
        <f t="shared" si="398"/>
        <v>0.1</v>
      </c>
      <c r="X422" s="241" t="e">
        <f t="shared" ca="1" si="399"/>
        <v>#REF!</v>
      </c>
      <c r="Y422" s="243" t="e">
        <f ca="1">IF(AND(INDEX(FlowCalConstA,MATCH(V413,FlowCalNumber,0),1,1)*X422^INDEX(FlowCalConstB,MATCH(V413,FlowCalNumber,0),1,1)&gt;INDEX(FlowCalLowSetting,MATCH(V413,FlowCalNumber,0),1,1), (INDEX(FlowCalConstA,MATCH(V413,FlowCalNumber,0),1,1)*X422^INDEX(FlowCalConstB,MATCH(V413,FlowCalNumber,0),1,1)&lt;INDEX(FlowCalHighSetting,MATCH(V413,FlowCalNumber,0),1,1))),INDEX(FlowCalConstA,MATCH(V413,FlowCalNumber,0),1,1)*X422^INDEX(FlowCalConstB,MATCH(V413,FlowCalNumber,0),1,1)," ")</f>
        <v>#REF!</v>
      </c>
      <c r="Z422" s="33"/>
      <c r="AA422" s="242">
        <f t="shared" si="400"/>
        <v>0.9</v>
      </c>
      <c r="AB422" s="241" t="e">
        <f t="shared" ca="1" si="401"/>
        <v>#REF!</v>
      </c>
      <c r="AC422" s="243" t="e">
        <f ca="1">IF(AND(INDEX(FlowCalConstA,MATCH(Z413,FlowCalNumber,0),1,1)*AB422^INDEX(FlowCalConstB,MATCH(Z413,FlowCalNumber,0),1,1)&gt;INDEX(FlowCalLowSetting,MATCH(Z413,FlowCalNumber,0),1,1), (INDEX(FlowCalConstA,MATCH(Z413,FlowCalNumber,0),1,1)*AB422^INDEX(FlowCalConstB,MATCH(Z413,FlowCalNumber,0),1,1)&lt;INDEX(FlowCalHighSetting,MATCH(Z413,FlowCalNumber,0),1,1))),INDEX(FlowCalConstA,MATCH(Z413,FlowCalNumber,0),1,1)*AB422^INDEX(FlowCalConstB,MATCH(Z413,FlowCalNumber,0),1,1)," ")</f>
        <v>#REF!</v>
      </c>
      <c r="AD422" s="33"/>
      <c r="AE422" s="242">
        <f t="shared" si="402"/>
        <v>0.1</v>
      </c>
      <c r="AF422" s="241" t="e">
        <f t="shared" ca="1" si="403"/>
        <v>#REF!</v>
      </c>
      <c r="AG422" s="243" t="e">
        <f ca="1">IF(AND(INDEX(FlowCalConstA,MATCH(AD413,FlowCalNumber,0),1,1)*AF422^INDEX(FlowCalConstB,MATCH(AD413,FlowCalNumber,0),1,1)&gt;INDEX(FlowCalLowSetting,MATCH(AD413,FlowCalNumber,0),1,1), (INDEX(FlowCalConstA,MATCH(AD413,FlowCalNumber,0),1,1)*AF422^INDEX(FlowCalConstB,MATCH(AD413,FlowCalNumber,0),1,1)&lt;INDEX(FlowCalHighSetting,MATCH(AD413,FlowCalNumber,0),1,1))),INDEX(FlowCalConstA,MATCH(AD413,FlowCalNumber,0),1,1)*AF422^INDEX(FlowCalConstB,MATCH(AD413,FlowCalNumber,0),1,1)," ")</f>
        <v>#REF!</v>
      </c>
      <c r="AH422" s="33"/>
      <c r="AI422" s="242">
        <f t="shared" si="404"/>
        <v>0.9</v>
      </c>
      <c r="AJ422" s="241" t="e">
        <f t="shared" ca="1" si="405"/>
        <v>#REF!</v>
      </c>
      <c r="AK422" s="243" t="e">
        <f ca="1">IF(AND(INDEX(FlowCalConstA,MATCH(AH413,FlowCalNumber,0),1,1)*AJ422^INDEX(FlowCalConstB,MATCH(AH413,FlowCalNumber,0),1,1)&gt;INDEX(FlowCalLowSetting,MATCH(AH413,FlowCalNumber,0),1,1), (INDEX(FlowCalConstA,MATCH(AH413,FlowCalNumber,0),1,1)*AJ422^INDEX(FlowCalConstB,MATCH(AH413,FlowCalNumber,0),1,1)&lt;INDEX(FlowCalHighSetting,MATCH(AH413,FlowCalNumber,0),1,1))),INDEX(FlowCalConstA,MATCH(AH413,FlowCalNumber,0),1,1)*AJ422^INDEX(FlowCalConstB,MATCH(AH413,FlowCalNumber,0),1,1)," ")</f>
        <v>#REF!</v>
      </c>
      <c r="AL422" s="33"/>
      <c r="AM422" s="242"/>
      <c r="AN422" s="241"/>
      <c r="AO422" s="244"/>
      <c r="AQ422" s="242"/>
      <c r="AR422" s="241"/>
      <c r="AS422" s="244"/>
      <c r="AT422" s="33"/>
      <c r="AU422" s="242"/>
      <c r="AV422" s="241"/>
      <c r="AW422" s="244"/>
      <c r="AX422" s="33"/>
      <c r="AY422" s="242"/>
      <c r="AZ422" s="241"/>
      <c r="BA422" s="244"/>
      <c r="BB422" s="33"/>
      <c r="BC422" s="242"/>
      <c r="BD422" s="241"/>
      <c r="BE422" s="244"/>
      <c r="BF422" s="33"/>
      <c r="BG422" s="242"/>
      <c r="BH422" s="241"/>
      <c r="BI422" s="244"/>
      <c r="BJ422" s="33"/>
      <c r="BK422" s="242"/>
      <c r="BL422" s="241"/>
      <c r="BM422" s="244"/>
      <c r="BN422" s="33"/>
      <c r="BO422" s="242"/>
      <c r="BP422" s="241"/>
      <c r="BQ422" s="244"/>
      <c r="BR422" s="33"/>
      <c r="BS422" s="242"/>
      <c r="BT422" s="241"/>
      <c r="BU422" s="244"/>
      <c r="BV422" s="33"/>
      <c r="BW422" s="242"/>
      <c r="BX422" s="241"/>
      <c r="BY422" s="244"/>
      <c r="BZ422" s="33"/>
      <c r="CA422" s="242"/>
      <c r="CB422" s="241"/>
      <c r="CC422" s="244"/>
      <c r="CD422" s="243"/>
      <c r="CE422" s="243"/>
      <c r="CF422" s="243"/>
      <c r="CG422" s="243"/>
      <c r="CH422" s="243"/>
      <c r="CI422" s="243"/>
      <c r="CJ422" s="243"/>
      <c r="CK422" s="243"/>
      <c r="CL422" s="243"/>
      <c r="CM422" s="243"/>
      <c r="CN422" s="243"/>
      <c r="CO422" s="243"/>
      <c r="CP422" s="243"/>
      <c r="CQ422" s="243"/>
      <c r="CR422" s="243"/>
      <c r="CS422" s="243"/>
      <c r="CT422" s="243"/>
      <c r="CU422" s="243"/>
      <c r="CV422" s="243"/>
      <c r="CW422" s="243"/>
      <c r="CX422" s="243"/>
      <c r="CY422" s="243"/>
      <c r="CZ422" s="243"/>
      <c r="DA422" s="243"/>
      <c r="DB422" s="243"/>
      <c r="DC422" s="243"/>
      <c r="DD422" s="243"/>
      <c r="DE422" s="243"/>
      <c r="DF422" s="243"/>
      <c r="DG422" s="243"/>
      <c r="DH422" s="243"/>
      <c r="DI422" s="243"/>
      <c r="DJ422" s="243"/>
      <c r="DK422" s="243"/>
      <c r="DM422" s="242"/>
      <c r="DO422" s="243"/>
      <c r="DQ422" s="242"/>
      <c r="DS422" s="243"/>
      <c r="DU422" s="242"/>
      <c r="DW422" s="243"/>
      <c r="DY422" s="242"/>
      <c r="EA422" s="243"/>
    </row>
    <row r="423" spans="1:131">
      <c r="A423" s="20"/>
      <c r="B423" s="124" t="str">
        <f t="shared" si="390"/>
        <v/>
      </c>
      <c r="C423" s="235"/>
      <c r="D423" s="24">
        <f>'1% Wind'!$M$91</f>
        <v>4.2</v>
      </c>
      <c r="E423" s="90"/>
      <c r="F423" s="90"/>
      <c r="G423" s="79" t="e">
        <f ca="1">IF(I413=0.9743,$G422,MAX(G422/D422*D423,2))</f>
        <v>#REF!</v>
      </c>
      <c r="H423" s="121" t="e">
        <f t="shared" ca="1" si="391"/>
        <v>#REF!</v>
      </c>
      <c r="J423" s="33"/>
      <c r="K423" s="242">
        <f t="shared" si="392"/>
        <v>1</v>
      </c>
      <c r="L423" s="241" t="e">
        <f t="shared" ca="1" si="393"/>
        <v>#REF!</v>
      </c>
      <c r="M423" s="243" t="e">
        <f ca="1">IF(AND(INDEX(FlowCalConstA,MATCH(J413,FlowCalNumber,0),1,1)*L423^INDEX(FlowCalConstB,MATCH(J413,FlowCalNumber,0),1,1)&gt;INDEX(FlowCalLowSetting,MATCH(J413,FlowCalNumber,0),1,1), (INDEX(FlowCalConstA,MATCH(J413,FlowCalNumber,0),1,1)*L423^INDEX(FlowCalConstB,MATCH(J413,FlowCalNumber,0),1,1)&lt;INDEX(FlowCalHighSetting,MATCH(J413,FlowCalNumber,0),1,1))),INDEX(FlowCalConstA,MATCH(J413,FlowCalNumber,0),1,1)*L423^INDEX(FlowCalConstB,MATCH(J413,FlowCalNumber,0),1,1)," ")</f>
        <v>#REF!</v>
      </c>
      <c r="N423" s="33"/>
      <c r="O423" s="242">
        <f t="shared" si="394"/>
        <v>1</v>
      </c>
      <c r="P423" s="241" t="e">
        <f t="shared" ca="1" si="395"/>
        <v>#REF!</v>
      </c>
      <c r="Q423" s="243" t="e">
        <f ca="1">IF(AND(INDEX(FlowCalConstA,MATCH(N413,FlowCalNumber,0),1,1)*P423^INDEX(FlowCalConstB,MATCH(N413,FlowCalNumber,0),1,1)&gt;INDEX(FlowCalLowSetting,MATCH(N413,FlowCalNumber,0),1,1), (INDEX(FlowCalConstA,MATCH(N413,FlowCalNumber,0),1,1)*P423^INDEX(FlowCalConstB,MATCH(N413,FlowCalNumber,0),1,1)&lt;INDEX(FlowCalHighSetting,MATCH(N413,FlowCalNumber,0),1,1))),INDEX(FlowCalConstA,MATCH(N413,FlowCalNumber,0),1,1)*P423^INDEX(FlowCalConstB,MATCH(N413,FlowCalNumber,0),1,1)," ")</f>
        <v>#REF!</v>
      </c>
      <c r="R423" s="33"/>
      <c r="S423" s="242">
        <f t="shared" si="396"/>
        <v>1</v>
      </c>
      <c r="T423" s="241" t="e">
        <f t="shared" ca="1" si="397"/>
        <v>#REF!</v>
      </c>
      <c r="U423" s="244" t="e">
        <f ca="1">IF(AND(INDEX(FlowCalConstA,MATCH(R413,FlowCalNumber,0),1,1)*T423^INDEX(FlowCalConstB,MATCH(R413,FlowCalNumber,0),1,1)&gt;INDEX(FlowCalLowSetting,MATCH(R413,FlowCalNumber,0),1,1), (INDEX(FlowCalConstA,MATCH(R413,FlowCalNumber,0),1,1)*T423^INDEX(FlowCalConstB,MATCH(R413,FlowCalNumber,0),1,1)&lt;INDEX(FlowCalHighSetting,MATCH(R413,FlowCalNumber,0),1,1))),INDEX(FlowCalConstA,MATCH(R413,FlowCalNumber,0),1,1)*T423^INDEX(FlowCalConstB,MATCH(R413,FlowCalNumber,0),1,1)," ")</f>
        <v>#REF!</v>
      </c>
      <c r="V423" s="33"/>
      <c r="W423" s="242">
        <f t="shared" si="398"/>
        <v>0.1</v>
      </c>
      <c r="X423" s="241" t="e">
        <f t="shared" ca="1" si="399"/>
        <v>#REF!</v>
      </c>
      <c r="Y423" s="243" t="e">
        <f ca="1">IF(AND(INDEX(FlowCalConstA,MATCH(V413,FlowCalNumber,0),1,1)*X423^INDEX(FlowCalConstB,MATCH(V413,FlowCalNumber,0),1,1)&gt;INDEX(FlowCalLowSetting,MATCH(V413,FlowCalNumber,0),1,1), (INDEX(FlowCalConstA,MATCH(V413,FlowCalNumber,0),1,1)*X423^INDEX(FlowCalConstB,MATCH(V413,FlowCalNumber,0),1,1)&lt;INDEX(FlowCalHighSetting,MATCH(V413,FlowCalNumber,0),1,1))),INDEX(FlowCalConstA,MATCH(V413,FlowCalNumber,0),1,1)*X423^INDEX(FlowCalConstB,MATCH(V413,FlowCalNumber,0),1,1)," ")</f>
        <v>#REF!</v>
      </c>
      <c r="Z423" s="33"/>
      <c r="AA423" s="242">
        <f t="shared" si="400"/>
        <v>0.9</v>
      </c>
      <c r="AB423" s="241" t="e">
        <f t="shared" ca="1" si="401"/>
        <v>#REF!</v>
      </c>
      <c r="AC423" s="243" t="e">
        <f ca="1">IF(AND(INDEX(FlowCalConstA,MATCH(Z413,FlowCalNumber,0),1,1)*AB423^INDEX(FlowCalConstB,MATCH(Z413,FlowCalNumber,0),1,1)&gt;INDEX(FlowCalLowSetting,MATCH(Z413,FlowCalNumber,0),1,1), (INDEX(FlowCalConstA,MATCH(Z413,FlowCalNumber,0),1,1)*AB423^INDEX(FlowCalConstB,MATCH(Z413,FlowCalNumber,0),1,1)&lt;INDEX(FlowCalHighSetting,MATCH(Z413,FlowCalNumber,0),1,1))),INDEX(FlowCalConstA,MATCH(Z413,FlowCalNumber,0),1,1)*AB423^INDEX(FlowCalConstB,MATCH(Z413,FlowCalNumber,0),1,1)," ")</f>
        <v>#REF!</v>
      </c>
      <c r="AD423" s="33"/>
      <c r="AE423" s="242">
        <f t="shared" si="402"/>
        <v>0.1</v>
      </c>
      <c r="AF423" s="241" t="e">
        <f t="shared" ca="1" si="403"/>
        <v>#REF!</v>
      </c>
      <c r="AG423" s="243" t="e">
        <f ca="1">IF(AND(INDEX(FlowCalConstA,MATCH(AD413,FlowCalNumber,0),1,1)*AF423^INDEX(FlowCalConstB,MATCH(AD413,FlowCalNumber,0),1,1)&gt;INDEX(FlowCalLowSetting,MATCH(AD413,FlowCalNumber,0),1,1), (INDEX(FlowCalConstA,MATCH(AD413,FlowCalNumber,0),1,1)*AF423^INDEX(FlowCalConstB,MATCH(AD413,FlowCalNumber,0),1,1)&lt;INDEX(FlowCalHighSetting,MATCH(AD413,FlowCalNumber,0),1,1))),INDEX(FlowCalConstA,MATCH(AD413,FlowCalNumber,0),1,1)*AF423^INDEX(FlowCalConstB,MATCH(AD413,FlowCalNumber,0),1,1)," ")</f>
        <v>#REF!</v>
      </c>
      <c r="AH423" s="33"/>
      <c r="AI423" s="242">
        <f t="shared" si="404"/>
        <v>0.9</v>
      </c>
      <c r="AJ423" s="241" t="e">
        <f t="shared" ca="1" si="405"/>
        <v>#REF!</v>
      </c>
      <c r="AK423" s="243" t="e">
        <f ca="1">IF(AND(INDEX(FlowCalConstA,MATCH(AH413,FlowCalNumber,0),1,1)*AJ423^INDEX(FlowCalConstB,MATCH(AH413,FlowCalNumber,0),1,1)&gt;INDEX(FlowCalLowSetting,MATCH(AH413,FlowCalNumber,0),1,1), (INDEX(FlowCalConstA,MATCH(AH413,FlowCalNumber,0),1,1)*AJ423^INDEX(FlowCalConstB,MATCH(AH413,FlowCalNumber,0),1,1)&lt;INDEX(FlowCalHighSetting,MATCH(AH413,FlowCalNumber,0),1,1))),INDEX(FlowCalConstA,MATCH(AH413,FlowCalNumber,0),1,1)*AJ423^INDEX(FlowCalConstB,MATCH(AH413,FlowCalNumber,0),1,1)," ")</f>
        <v>#REF!</v>
      </c>
      <c r="AL423" s="33"/>
      <c r="AM423" s="242"/>
      <c r="AN423" s="241"/>
      <c r="AO423" s="244"/>
      <c r="AQ423" s="242"/>
      <c r="AR423" s="241"/>
      <c r="AS423" s="244"/>
      <c r="AT423" s="33"/>
      <c r="AU423" s="242"/>
      <c r="AV423" s="241"/>
      <c r="AW423" s="244"/>
      <c r="AX423" s="33"/>
      <c r="AY423" s="242"/>
      <c r="AZ423" s="241"/>
      <c r="BA423" s="244"/>
      <c r="BB423" s="33"/>
      <c r="BC423" s="242"/>
      <c r="BD423" s="241"/>
      <c r="BE423" s="244"/>
      <c r="BF423" s="33"/>
      <c r="BG423" s="242"/>
      <c r="BH423" s="241"/>
      <c r="BI423" s="244"/>
      <c r="BJ423" s="33"/>
      <c r="BK423" s="242"/>
      <c r="BL423" s="241"/>
      <c r="BM423" s="244"/>
      <c r="BN423" s="33"/>
      <c r="BO423" s="242"/>
      <c r="BP423" s="241"/>
      <c r="BQ423" s="244"/>
      <c r="BR423" s="33"/>
      <c r="BS423" s="242"/>
      <c r="BT423" s="241"/>
      <c r="BU423" s="244"/>
      <c r="BV423" s="33"/>
      <c r="BW423" s="242"/>
      <c r="BX423" s="241"/>
      <c r="BY423" s="244"/>
      <c r="BZ423" s="33"/>
      <c r="CA423" s="242"/>
      <c r="CB423" s="241"/>
      <c r="CC423" s="244"/>
      <c r="CD423" s="243"/>
      <c r="CE423" s="243"/>
      <c r="CF423" s="243"/>
      <c r="CG423" s="243"/>
      <c r="CH423" s="243"/>
      <c r="CI423" s="243"/>
      <c r="CJ423" s="243"/>
      <c r="CK423" s="243"/>
      <c r="CL423" s="243"/>
      <c r="CM423" s="243"/>
      <c r="CN423" s="243"/>
      <c r="CO423" s="243"/>
      <c r="CP423" s="243"/>
      <c r="CQ423" s="243"/>
      <c r="CR423" s="243"/>
      <c r="CS423" s="243"/>
      <c r="CT423" s="243"/>
      <c r="CU423" s="243"/>
      <c r="CV423" s="243"/>
      <c r="CW423" s="243"/>
      <c r="CX423" s="243"/>
      <c r="CY423" s="243"/>
      <c r="CZ423" s="243"/>
      <c r="DA423" s="243"/>
      <c r="DB423" s="243"/>
      <c r="DC423" s="243"/>
      <c r="DD423" s="243"/>
      <c r="DE423" s="243"/>
      <c r="DF423" s="243"/>
      <c r="DG423" s="243"/>
      <c r="DH423" s="243"/>
      <c r="DI423" s="243"/>
      <c r="DJ423" s="243"/>
      <c r="DK423" s="243"/>
      <c r="DM423" s="242"/>
      <c r="DO423" s="243"/>
      <c r="DQ423" s="242"/>
      <c r="DS423" s="243"/>
      <c r="DU423" s="242"/>
      <c r="DW423" s="243"/>
      <c r="DY423" s="242"/>
      <c r="EA423" s="243"/>
    </row>
    <row r="424" spans="1:131">
      <c r="A424" s="20"/>
      <c r="B424" s="124" t="str">
        <f t="shared" si="390"/>
        <v/>
      </c>
      <c r="C424" s="235"/>
      <c r="D424" s="24">
        <f>'1% Wind'!$M$92</f>
        <v>3.2</v>
      </c>
      <c r="E424" s="90"/>
      <c r="F424" s="90"/>
      <c r="G424" s="79" t="e">
        <f ca="1">IF(I413=0.9743,$G423,MAX(G423/D423*D424,2))</f>
        <v>#REF!</v>
      </c>
      <c r="H424" s="121" t="e">
        <f t="shared" ca="1" si="391"/>
        <v>#REF!</v>
      </c>
      <c r="J424" s="33"/>
      <c r="K424" s="242">
        <f t="shared" si="392"/>
        <v>1</v>
      </c>
      <c r="L424" s="241" t="e">
        <f t="shared" ca="1" si="393"/>
        <v>#REF!</v>
      </c>
      <c r="M424" s="243" t="e">
        <f ca="1">IF(AND(INDEX(FlowCalConstA,MATCH(J413,FlowCalNumber,0),1,1)*L424^INDEX(FlowCalConstB,MATCH(J413,FlowCalNumber,0),1,1)&gt;INDEX(FlowCalLowSetting,MATCH(J413,FlowCalNumber,0),1,1), (INDEX(FlowCalConstA,MATCH(J413,FlowCalNumber,0),1,1)*L424^INDEX(FlowCalConstB,MATCH(J413,FlowCalNumber,0),1,1)&lt;INDEX(FlowCalHighSetting,MATCH(J413,FlowCalNumber,0),1,1))),INDEX(FlowCalConstA,MATCH(J413,FlowCalNumber,0),1,1)*L424^INDEX(FlowCalConstB,MATCH(J413,FlowCalNumber,0),1,1)," ")</f>
        <v>#REF!</v>
      </c>
      <c r="N424" s="33"/>
      <c r="O424" s="242">
        <f t="shared" si="394"/>
        <v>1</v>
      </c>
      <c r="P424" s="241" t="e">
        <f t="shared" ca="1" si="395"/>
        <v>#REF!</v>
      </c>
      <c r="Q424" s="243" t="e">
        <f ca="1">IF(AND(INDEX(FlowCalConstA,MATCH(N413,FlowCalNumber,0),1,1)*P424^INDEX(FlowCalConstB,MATCH(N413,FlowCalNumber,0),1,1)&gt;INDEX(FlowCalLowSetting,MATCH(N413,FlowCalNumber,0),1,1), (INDEX(FlowCalConstA,MATCH(N413,FlowCalNumber,0),1,1)*P424^INDEX(FlowCalConstB,MATCH(N413,FlowCalNumber,0),1,1)&lt;INDEX(FlowCalHighSetting,MATCH(N413,FlowCalNumber,0),1,1))),INDEX(FlowCalConstA,MATCH(N413,FlowCalNumber,0),1,1)*P424^INDEX(FlowCalConstB,MATCH(N413,FlowCalNumber,0),1,1)," ")</f>
        <v>#REF!</v>
      </c>
      <c r="R424" s="33"/>
      <c r="S424" s="242">
        <f t="shared" si="396"/>
        <v>1</v>
      </c>
      <c r="T424" s="241" t="e">
        <f t="shared" ca="1" si="397"/>
        <v>#REF!</v>
      </c>
      <c r="U424" s="244" t="e">
        <f ca="1">IF(AND(INDEX(FlowCalConstA,MATCH(R413,FlowCalNumber,0),1,1)*T424^INDEX(FlowCalConstB,MATCH(R413,FlowCalNumber,0),1,1)&gt;INDEX(FlowCalLowSetting,MATCH(R413,FlowCalNumber,0),1,1), (INDEX(FlowCalConstA,MATCH(R413,FlowCalNumber,0),1,1)*T424^INDEX(FlowCalConstB,MATCH(R413,FlowCalNumber,0),1,1)&lt;INDEX(FlowCalHighSetting,MATCH(R413,FlowCalNumber,0),1,1))),INDEX(FlowCalConstA,MATCH(R413,FlowCalNumber,0),1,1)*T424^INDEX(FlowCalConstB,MATCH(R413,FlowCalNumber,0),1,1)," ")</f>
        <v>#REF!</v>
      </c>
      <c r="V424" s="33"/>
      <c r="W424" s="242">
        <f t="shared" si="398"/>
        <v>0.1</v>
      </c>
      <c r="X424" s="241" t="e">
        <f t="shared" ca="1" si="399"/>
        <v>#REF!</v>
      </c>
      <c r="Y424" s="243" t="e">
        <f ca="1">IF(AND(INDEX(FlowCalConstA,MATCH(V413,FlowCalNumber,0),1,1)*X424^INDEX(FlowCalConstB,MATCH(V413,FlowCalNumber,0),1,1)&gt;INDEX(FlowCalLowSetting,MATCH(V413,FlowCalNumber,0),1,1), (INDEX(FlowCalConstA,MATCH(V413,FlowCalNumber,0),1,1)*X424^INDEX(FlowCalConstB,MATCH(V413,FlowCalNumber,0),1,1)&lt;INDEX(FlowCalHighSetting,MATCH(V413,FlowCalNumber,0),1,1))),INDEX(FlowCalConstA,MATCH(V413,FlowCalNumber,0),1,1)*X424^INDEX(FlowCalConstB,MATCH(V413,FlowCalNumber,0),1,1)," ")</f>
        <v>#REF!</v>
      </c>
      <c r="Z424" s="33"/>
      <c r="AA424" s="242">
        <f t="shared" si="400"/>
        <v>0.9</v>
      </c>
      <c r="AB424" s="241" t="e">
        <f t="shared" ca="1" si="401"/>
        <v>#REF!</v>
      </c>
      <c r="AC424" s="243" t="e">
        <f ca="1">IF(AND(INDEX(FlowCalConstA,MATCH(Z413,FlowCalNumber,0),1,1)*AB424^INDEX(FlowCalConstB,MATCH(Z413,FlowCalNumber,0),1,1)&gt;INDEX(FlowCalLowSetting,MATCH(Z413,FlowCalNumber,0),1,1), (INDEX(FlowCalConstA,MATCH(Z413,FlowCalNumber,0),1,1)*AB424^INDEX(FlowCalConstB,MATCH(Z413,FlowCalNumber,0),1,1)&lt;INDEX(FlowCalHighSetting,MATCH(Z413,FlowCalNumber,0),1,1))),INDEX(FlowCalConstA,MATCH(Z413,FlowCalNumber,0),1,1)*AB424^INDEX(FlowCalConstB,MATCH(Z413,FlowCalNumber,0),1,1)," ")</f>
        <v>#REF!</v>
      </c>
      <c r="AD424" s="33"/>
      <c r="AE424" s="242">
        <f t="shared" si="402"/>
        <v>0.1</v>
      </c>
      <c r="AF424" s="241" t="e">
        <f t="shared" ca="1" si="403"/>
        <v>#REF!</v>
      </c>
      <c r="AG424" s="243" t="e">
        <f ca="1">IF(AND(INDEX(FlowCalConstA,MATCH(AD413,FlowCalNumber,0),1,1)*AF424^INDEX(FlowCalConstB,MATCH(AD413,FlowCalNumber,0),1,1)&gt;INDEX(FlowCalLowSetting,MATCH(AD413,FlowCalNumber,0),1,1), (INDEX(FlowCalConstA,MATCH(AD413,FlowCalNumber,0),1,1)*AF424^INDEX(FlowCalConstB,MATCH(AD413,FlowCalNumber,0),1,1)&lt;INDEX(FlowCalHighSetting,MATCH(AD413,FlowCalNumber,0),1,1))),INDEX(FlowCalConstA,MATCH(AD413,FlowCalNumber,0),1,1)*AF424^INDEX(FlowCalConstB,MATCH(AD413,FlowCalNumber,0),1,1)," ")</f>
        <v>#REF!</v>
      </c>
      <c r="AH424" s="33"/>
      <c r="AI424" s="242">
        <f t="shared" si="404"/>
        <v>0.9</v>
      </c>
      <c r="AJ424" s="241" t="e">
        <f t="shared" ca="1" si="405"/>
        <v>#REF!</v>
      </c>
      <c r="AK424" s="243" t="e">
        <f ca="1">IF(AND(INDEX(FlowCalConstA,MATCH(AH413,FlowCalNumber,0),1,1)*AJ424^INDEX(FlowCalConstB,MATCH(AH413,FlowCalNumber,0),1,1)&gt;INDEX(FlowCalLowSetting,MATCH(AH413,FlowCalNumber,0),1,1), (INDEX(FlowCalConstA,MATCH(AH413,FlowCalNumber,0),1,1)*AJ424^INDEX(FlowCalConstB,MATCH(AH413,FlowCalNumber,0),1,1)&lt;INDEX(FlowCalHighSetting,MATCH(AH413,FlowCalNumber,0),1,1))),INDEX(FlowCalConstA,MATCH(AH413,FlowCalNumber,0),1,1)*AJ424^INDEX(FlowCalConstB,MATCH(AH413,FlowCalNumber,0),1,1)," ")</f>
        <v>#REF!</v>
      </c>
      <c r="AL424" s="33"/>
      <c r="AM424" s="242"/>
      <c r="AN424" s="241"/>
      <c r="AO424" s="244"/>
      <c r="AQ424" s="242"/>
      <c r="AR424" s="241"/>
      <c r="AS424" s="244"/>
      <c r="AT424" s="33"/>
      <c r="AU424" s="242"/>
      <c r="AV424" s="241"/>
      <c r="AW424" s="244"/>
      <c r="AX424" s="33"/>
      <c r="AY424" s="242"/>
      <c r="AZ424" s="241"/>
      <c r="BA424" s="244"/>
      <c r="BB424" s="33"/>
      <c r="BC424" s="242"/>
      <c r="BD424" s="241"/>
      <c r="BE424" s="244"/>
      <c r="BF424" s="33"/>
      <c r="BG424" s="242"/>
      <c r="BH424" s="241"/>
      <c r="BI424" s="244"/>
      <c r="BJ424" s="33"/>
      <c r="BK424" s="242"/>
      <c r="BL424" s="241"/>
      <c r="BM424" s="244"/>
      <c r="BN424" s="33"/>
      <c r="BO424" s="242"/>
      <c r="BP424" s="241"/>
      <c r="BQ424" s="244"/>
      <c r="BR424" s="33"/>
      <c r="BS424" s="242"/>
      <c r="BT424" s="241"/>
      <c r="BU424" s="244"/>
      <c r="BV424" s="33"/>
      <c r="BW424" s="242"/>
      <c r="BX424" s="241"/>
      <c r="BY424" s="244"/>
      <c r="BZ424" s="33"/>
      <c r="CA424" s="242"/>
      <c r="CB424" s="241"/>
      <c r="CC424" s="244"/>
      <c r="CD424" s="243"/>
      <c r="CE424" s="243"/>
      <c r="CF424" s="243"/>
      <c r="CG424" s="243"/>
      <c r="CH424" s="243"/>
      <c r="CI424" s="243"/>
      <c r="CJ424" s="243"/>
      <c r="CK424" s="243"/>
      <c r="CL424" s="243"/>
      <c r="CM424" s="243"/>
      <c r="CN424" s="243"/>
      <c r="CO424" s="243"/>
      <c r="CP424" s="243"/>
      <c r="CQ424" s="243"/>
      <c r="CR424" s="243"/>
      <c r="CS424" s="243"/>
      <c r="CT424" s="243"/>
      <c r="CU424" s="243"/>
      <c r="CV424" s="243"/>
      <c r="CW424" s="243"/>
      <c r="CX424" s="243"/>
      <c r="CY424" s="243"/>
      <c r="CZ424" s="243"/>
      <c r="DA424" s="243"/>
      <c r="DB424" s="243"/>
      <c r="DC424" s="243"/>
      <c r="DD424" s="243"/>
      <c r="DE424" s="243"/>
      <c r="DF424" s="243"/>
      <c r="DG424" s="243"/>
      <c r="DH424" s="243"/>
      <c r="DI424" s="243"/>
      <c r="DJ424" s="243"/>
      <c r="DK424" s="243"/>
      <c r="DM424" s="242"/>
      <c r="DO424" s="243"/>
      <c r="DQ424" s="242"/>
      <c r="DS424" s="243"/>
      <c r="DU424" s="242"/>
      <c r="DW424" s="243"/>
      <c r="DY424" s="242"/>
      <c r="EA424" s="243"/>
    </row>
    <row r="425" spans="1:131">
      <c r="A425" s="20"/>
      <c r="B425" s="124" t="str">
        <f t="shared" si="390"/>
        <v/>
      </c>
      <c r="C425" s="235"/>
      <c r="D425" s="24">
        <f>'1% Wind'!$M$93</f>
        <v>2.4</v>
      </c>
      <c r="E425" s="90"/>
      <c r="F425" s="90"/>
      <c r="G425" s="79" t="e">
        <f ca="1">IF(I413=0.9743,$G424,MAX(G424/D424*D425,2))</f>
        <v>#REF!</v>
      </c>
      <c r="H425" s="121" t="e">
        <f t="shared" ca="1" si="391"/>
        <v>#REF!</v>
      </c>
      <c r="J425" s="33"/>
      <c r="K425" s="242">
        <f t="shared" si="392"/>
        <v>1</v>
      </c>
      <c r="L425" s="241" t="e">
        <f t="shared" ca="1" si="393"/>
        <v>#REF!</v>
      </c>
      <c r="M425" s="243" t="e">
        <f ca="1">IF(AND(INDEX(FlowCalConstA,MATCH(J413,FlowCalNumber,0),1,1)*L425^INDEX(FlowCalConstB,MATCH(J413,FlowCalNumber,0),1,1)&gt;INDEX(FlowCalLowSetting,MATCH(J413,FlowCalNumber,0),1,1), (INDEX(FlowCalConstA,MATCH(J413,FlowCalNumber,0),1,1)*L425^INDEX(FlowCalConstB,MATCH(J413,FlowCalNumber,0),1,1)&lt;INDEX(FlowCalHighSetting,MATCH(J413,FlowCalNumber,0),1,1))),INDEX(FlowCalConstA,MATCH(J413,FlowCalNumber,0),1,1)*L425^INDEX(FlowCalConstB,MATCH(J413,FlowCalNumber,0),1,1)," ")</f>
        <v>#REF!</v>
      </c>
      <c r="N425" s="33"/>
      <c r="O425" s="242">
        <f t="shared" si="394"/>
        <v>1</v>
      </c>
      <c r="P425" s="241" t="e">
        <f t="shared" ca="1" si="395"/>
        <v>#REF!</v>
      </c>
      <c r="Q425" s="243" t="e">
        <f ca="1">IF(AND(INDEX(FlowCalConstA,MATCH(N413,FlowCalNumber,0),1,1)*P425^INDEX(FlowCalConstB,MATCH(N413,FlowCalNumber,0),1,1)&gt;INDEX(FlowCalLowSetting,MATCH(N413,FlowCalNumber,0),1,1), (INDEX(FlowCalConstA,MATCH(N413,FlowCalNumber,0),1,1)*P425^INDEX(FlowCalConstB,MATCH(N413,FlowCalNumber,0),1,1)&lt;INDEX(FlowCalHighSetting,MATCH(N413,FlowCalNumber,0),1,1))),INDEX(FlowCalConstA,MATCH(N413,FlowCalNumber,0),1,1)*P425^INDEX(FlowCalConstB,MATCH(N413,FlowCalNumber,0),1,1)," ")</f>
        <v>#REF!</v>
      </c>
      <c r="R425" s="33"/>
      <c r="S425" s="242">
        <f t="shared" si="396"/>
        <v>1</v>
      </c>
      <c r="T425" s="241" t="e">
        <f t="shared" ca="1" si="397"/>
        <v>#REF!</v>
      </c>
      <c r="U425" s="244" t="e">
        <f ca="1">IF(AND(INDEX(FlowCalConstA,MATCH(R413,FlowCalNumber,0),1,1)*T425^INDEX(FlowCalConstB,MATCH(R413,FlowCalNumber,0),1,1)&gt;INDEX(FlowCalLowSetting,MATCH(R413,FlowCalNumber,0),1,1), (INDEX(FlowCalConstA,MATCH(R413,FlowCalNumber,0),1,1)*T425^INDEX(FlowCalConstB,MATCH(R413,FlowCalNumber,0),1,1)&lt;INDEX(FlowCalHighSetting,MATCH(R413,FlowCalNumber,0),1,1))),INDEX(FlowCalConstA,MATCH(R413,FlowCalNumber,0),1,1)*T425^INDEX(FlowCalConstB,MATCH(R413,FlowCalNumber,0),1,1)," ")</f>
        <v>#REF!</v>
      </c>
      <c r="V425" s="33"/>
      <c r="W425" s="242">
        <f t="shared" si="398"/>
        <v>0.1</v>
      </c>
      <c r="X425" s="241" t="e">
        <f t="shared" ca="1" si="399"/>
        <v>#REF!</v>
      </c>
      <c r="Y425" s="243" t="e">
        <f ca="1">IF(AND(INDEX(FlowCalConstA,MATCH(V413,FlowCalNumber,0),1,1)*X425^INDEX(FlowCalConstB,MATCH(V413,FlowCalNumber,0),1,1)&gt;INDEX(FlowCalLowSetting,MATCH(V413,FlowCalNumber,0),1,1), (INDEX(FlowCalConstA,MATCH(V413,FlowCalNumber,0),1,1)*X425^INDEX(FlowCalConstB,MATCH(V413,FlowCalNumber,0),1,1)&lt;INDEX(FlowCalHighSetting,MATCH(V413,FlowCalNumber,0),1,1))),INDEX(FlowCalConstA,MATCH(V413,FlowCalNumber,0),1,1)*X425^INDEX(FlowCalConstB,MATCH(V413,FlowCalNumber,0),1,1)," ")</f>
        <v>#REF!</v>
      </c>
      <c r="Z425" s="33"/>
      <c r="AA425" s="242">
        <f t="shared" si="400"/>
        <v>0.9</v>
      </c>
      <c r="AB425" s="241" t="e">
        <f t="shared" ca="1" si="401"/>
        <v>#REF!</v>
      </c>
      <c r="AC425" s="243" t="e">
        <f ca="1">IF(AND(INDEX(FlowCalConstA,MATCH(Z413,FlowCalNumber,0),1,1)*AB425^INDEX(FlowCalConstB,MATCH(Z413,FlowCalNumber,0),1,1)&gt;INDEX(FlowCalLowSetting,MATCH(Z413,FlowCalNumber,0),1,1), (INDEX(FlowCalConstA,MATCH(Z413,FlowCalNumber,0),1,1)*AB425^INDEX(FlowCalConstB,MATCH(Z413,FlowCalNumber,0),1,1)&lt;INDEX(FlowCalHighSetting,MATCH(Z413,FlowCalNumber,0),1,1))),INDEX(FlowCalConstA,MATCH(Z413,FlowCalNumber,0),1,1)*AB425^INDEX(FlowCalConstB,MATCH(Z413,FlowCalNumber,0),1,1)," ")</f>
        <v>#REF!</v>
      </c>
      <c r="AD425" s="33"/>
      <c r="AE425" s="242">
        <f t="shared" si="402"/>
        <v>0.1</v>
      </c>
      <c r="AF425" s="241" t="e">
        <f t="shared" ca="1" si="403"/>
        <v>#REF!</v>
      </c>
      <c r="AG425" s="243" t="e">
        <f ca="1">IF(AND(INDEX(FlowCalConstA,MATCH(AD413,FlowCalNumber,0),1,1)*AF425^INDEX(FlowCalConstB,MATCH(AD413,FlowCalNumber,0),1,1)&gt;INDEX(FlowCalLowSetting,MATCH(AD413,FlowCalNumber,0),1,1), (INDEX(FlowCalConstA,MATCH(AD413,FlowCalNumber,0),1,1)*AF425^INDEX(FlowCalConstB,MATCH(AD413,FlowCalNumber,0),1,1)&lt;INDEX(FlowCalHighSetting,MATCH(AD413,FlowCalNumber,0),1,1))),INDEX(FlowCalConstA,MATCH(AD413,FlowCalNumber,0),1,1)*AF425^INDEX(FlowCalConstB,MATCH(AD413,FlowCalNumber,0),1,1)," ")</f>
        <v>#REF!</v>
      </c>
      <c r="AH425" s="33"/>
      <c r="AI425" s="242">
        <f t="shared" si="404"/>
        <v>0.9</v>
      </c>
      <c r="AJ425" s="241" t="e">
        <f t="shared" ca="1" si="405"/>
        <v>#REF!</v>
      </c>
      <c r="AK425" s="243" t="e">
        <f ca="1">IF(AND(INDEX(FlowCalConstA,MATCH(AH413,FlowCalNumber,0),1,1)*AJ425^INDEX(FlowCalConstB,MATCH(AH413,FlowCalNumber,0),1,1)&gt;INDEX(FlowCalLowSetting,MATCH(AH413,FlowCalNumber,0),1,1), (INDEX(FlowCalConstA,MATCH(AH413,FlowCalNumber,0),1,1)*AJ425^INDEX(FlowCalConstB,MATCH(AH413,FlowCalNumber,0),1,1)&lt;INDEX(FlowCalHighSetting,MATCH(AH413,FlowCalNumber,0),1,1))),INDEX(FlowCalConstA,MATCH(AH413,FlowCalNumber,0),1,1)*AJ425^INDEX(FlowCalConstB,MATCH(AH413,FlowCalNumber,0),1,1)," ")</f>
        <v>#REF!</v>
      </c>
      <c r="AL425" s="33"/>
      <c r="AM425" s="242"/>
      <c r="AN425" s="241"/>
      <c r="AO425" s="244"/>
      <c r="AQ425" s="242"/>
      <c r="AR425" s="241"/>
      <c r="AS425" s="244"/>
      <c r="AT425" s="33"/>
      <c r="AU425" s="242"/>
      <c r="AV425" s="241"/>
      <c r="AW425" s="244"/>
      <c r="AX425" s="33"/>
      <c r="AY425" s="242"/>
      <c r="AZ425" s="241"/>
      <c r="BA425" s="244"/>
      <c r="BB425" s="33"/>
      <c r="BC425" s="242"/>
      <c r="BD425" s="241"/>
      <c r="BE425" s="244"/>
      <c r="BF425" s="33"/>
      <c r="BG425" s="242"/>
      <c r="BH425" s="241"/>
      <c r="BI425" s="244"/>
      <c r="BJ425" s="33"/>
      <c r="BK425" s="242"/>
      <c r="BL425" s="241"/>
      <c r="BM425" s="244"/>
      <c r="BN425" s="33"/>
      <c r="BO425" s="242"/>
      <c r="BP425" s="241"/>
      <c r="BQ425" s="244"/>
      <c r="BR425" s="33"/>
      <c r="BS425" s="242"/>
      <c r="BT425" s="241"/>
      <c r="BU425" s="244"/>
      <c r="BV425" s="33"/>
      <c r="BW425" s="242"/>
      <c r="BX425" s="241"/>
      <c r="BY425" s="244"/>
      <c r="BZ425" s="33"/>
      <c r="CA425" s="242"/>
      <c r="CB425" s="241"/>
      <c r="CC425" s="244"/>
      <c r="CD425" s="243"/>
      <c r="CE425" s="243"/>
      <c r="CF425" s="243"/>
      <c r="CG425" s="243"/>
      <c r="CH425" s="243"/>
      <c r="CI425" s="243"/>
      <c r="CJ425" s="243"/>
      <c r="CK425" s="243"/>
      <c r="CL425" s="243"/>
      <c r="CM425" s="243"/>
      <c r="CN425" s="243"/>
      <c r="CO425" s="243"/>
      <c r="CP425" s="243"/>
      <c r="CQ425" s="243"/>
      <c r="CR425" s="243"/>
      <c r="CS425" s="243"/>
      <c r="CT425" s="243"/>
      <c r="CU425" s="243"/>
      <c r="CV425" s="243"/>
      <c r="CW425" s="243"/>
      <c r="CX425" s="243"/>
      <c r="CY425" s="243"/>
      <c r="CZ425" s="243"/>
      <c r="DA425" s="243"/>
      <c r="DB425" s="243"/>
      <c r="DC425" s="243"/>
      <c r="DD425" s="243"/>
      <c r="DE425" s="243"/>
      <c r="DF425" s="243"/>
      <c r="DG425" s="243"/>
      <c r="DH425" s="243"/>
      <c r="DI425" s="243"/>
      <c r="DJ425" s="243"/>
      <c r="DK425" s="243"/>
      <c r="DM425" s="242"/>
      <c r="DO425" s="243"/>
      <c r="DQ425" s="242"/>
      <c r="DS425" s="243"/>
      <c r="DU425" s="242"/>
      <c r="DW425" s="243"/>
      <c r="DY425" s="242"/>
      <c r="EA425" s="243"/>
    </row>
    <row r="426" spans="1:131">
      <c r="A426" s="20"/>
      <c r="B426" s="124" t="str">
        <f t="shared" si="390"/>
        <v/>
      </c>
      <c r="C426" s="235"/>
      <c r="D426" s="24">
        <f>'1% Wind'!$M$94</f>
        <v>1.8</v>
      </c>
      <c r="E426" s="90"/>
      <c r="F426" s="90"/>
      <c r="G426" s="79" t="e">
        <f ca="1">IF(I413=0.9743,$G425,MAX(G425/D425*D426,2))</f>
        <v>#REF!</v>
      </c>
      <c r="H426" s="121" t="e">
        <f t="shared" ca="1" si="391"/>
        <v>#REF!</v>
      </c>
      <c r="J426" s="33"/>
      <c r="K426" s="242">
        <f t="shared" si="392"/>
        <v>1</v>
      </c>
      <c r="L426" s="241" t="e">
        <f t="shared" ca="1" si="393"/>
        <v>#REF!</v>
      </c>
      <c r="M426" s="243" t="e">
        <f ca="1">IF(AND(INDEX(FlowCalConstA,MATCH(J413,FlowCalNumber,0),1,1)*L426^INDEX(FlowCalConstB,MATCH(J413,FlowCalNumber,0),1,1)&gt;INDEX(FlowCalLowSetting,MATCH(J413,FlowCalNumber,0),1,1), (INDEX(FlowCalConstA,MATCH(J413,FlowCalNumber,0),1,1)*L426^INDEX(FlowCalConstB,MATCH(J413,FlowCalNumber,0),1,1)&lt;INDEX(FlowCalHighSetting,MATCH(J413,FlowCalNumber,0),1,1))),INDEX(FlowCalConstA,MATCH(J413,FlowCalNumber,0),1,1)*L426^INDEX(FlowCalConstB,MATCH(J413,FlowCalNumber,0),1,1)," ")</f>
        <v>#REF!</v>
      </c>
      <c r="N426" s="33"/>
      <c r="O426" s="242">
        <f t="shared" si="394"/>
        <v>1</v>
      </c>
      <c r="P426" s="241" t="e">
        <f t="shared" ca="1" si="395"/>
        <v>#REF!</v>
      </c>
      <c r="Q426" s="243" t="e">
        <f ca="1">IF(AND(INDEX(FlowCalConstA,MATCH(N413,FlowCalNumber,0),1,1)*P426^INDEX(FlowCalConstB,MATCH(N413,FlowCalNumber,0),1,1)&gt;INDEX(FlowCalLowSetting,MATCH(N413,FlowCalNumber,0),1,1), (INDEX(FlowCalConstA,MATCH(N413,FlowCalNumber,0),1,1)*P426^INDEX(FlowCalConstB,MATCH(N413,FlowCalNumber,0),1,1)&lt;INDEX(FlowCalHighSetting,MATCH(N413,FlowCalNumber,0),1,1))),INDEX(FlowCalConstA,MATCH(N413,FlowCalNumber,0),1,1)*P426^INDEX(FlowCalConstB,MATCH(N413,FlowCalNumber,0),1,1)," ")</f>
        <v>#REF!</v>
      </c>
      <c r="R426" s="33"/>
      <c r="S426" s="242">
        <f t="shared" si="396"/>
        <v>1</v>
      </c>
      <c r="T426" s="241" t="e">
        <f t="shared" ca="1" si="397"/>
        <v>#REF!</v>
      </c>
      <c r="U426" s="244" t="e">
        <f ca="1">IF(AND(INDEX(FlowCalConstA,MATCH(R413,FlowCalNumber,0),1,1)*T426^INDEX(FlowCalConstB,MATCH(R413,FlowCalNumber,0),1,1)&gt;INDEX(FlowCalLowSetting,MATCH(R413,FlowCalNumber,0),1,1), (INDEX(FlowCalConstA,MATCH(R413,FlowCalNumber,0),1,1)*T426^INDEX(FlowCalConstB,MATCH(R413,FlowCalNumber,0),1,1)&lt;INDEX(FlowCalHighSetting,MATCH(R413,FlowCalNumber,0),1,1))),INDEX(FlowCalConstA,MATCH(R413,FlowCalNumber,0),1,1)*T426^INDEX(FlowCalConstB,MATCH(R413,FlowCalNumber,0),1,1)," ")</f>
        <v>#REF!</v>
      </c>
      <c r="V426" s="33"/>
      <c r="W426" s="242">
        <f t="shared" si="398"/>
        <v>0.1</v>
      </c>
      <c r="X426" s="241" t="e">
        <f t="shared" ca="1" si="399"/>
        <v>#REF!</v>
      </c>
      <c r="Y426" s="243" t="e">
        <f ca="1">IF(AND(INDEX(FlowCalConstA,MATCH(V413,FlowCalNumber,0),1,1)*X426^INDEX(FlowCalConstB,MATCH(V413,FlowCalNumber,0),1,1)&gt;INDEX(FlowCalLowSetting,MATCH(V413,FlowCalNumber,0),1,1), (INDEX(FlowCalConstA,MATCH(V413,FlowCalNumber,0),1,1)*X426^INDEX(FlowCalConstB,MATCH(V413,FlowCalNumber,0),1,1)&lt;INDEX(FlowCalHighSetting,MATCH(V413,FlowCalNumber,0),1,1))),INDEX(FlowCalConstA,MATCH(V413,FlowCalNumber,0),1,1)*X426^INDEX(FlowCalConstB,MATCH(V413,FlowCalNumber,0),1,1)," ")</f>
        <v>#REF!</v>
      </c>
      <c r="Z426" s="33"/>
      <c r="AA426" s="242">
        <f t="shared" si="400"/>
        <v>0.9</v>
      </c>
      <c r="AB426" s="241" t="e">
        <f t="shared" ca="1" si="401"/>
        <v>#REF!</v>
      </c>
      <c r="AC426" s="243" t="e">
        <f ca="1">IF(AND(INDEX(FlowCalConstA,MATCH(Z413,FlowCalNumber,0),1,1)*AB426^INDEX(FlowCalConstB,MATCH(Z413,FlowCalNumber,0),1,1)&gt;INDEX(FlowCalLowSetting,MATCH(Z413,FlowCalNumber,0),1,1), (INDEX(FlowCalConstA,MATCH(Z413,FlowCalNumber,0),1,1)*AB426^INDEX(FlowCalConstB,MATCH(Z413,FlowCalNumber,0),1,1)&lt;INDEX(FlowCalHighSetting,MATCH(Z413,FlowCalNumber,0),1,1))),INDEX(FlowCalConstA,MATCH(Z413,FlowCalNumber,0),1,1)*AB426^INDEX(FlowCalConstB,MATCH(Z413,FlowCalNumber,0),1,1)," ")</f>
        <v>#REF!</v>
      </c>
      <c r="AD426" s="33"/>
      <c r="AE426" s="242">
        <f t="shared" si="402"/>
        <v>0.1</v>
      </c>
      <c r="AF426" s="241" t="e">
        <f t="shared" ca="1" si="403"/>
        <v>#REF!</v>
      </c>
      <c r="AG426" s="243" t="e">
        <f ca="1">IF(AND(INDEX(FlowCalConstA,MATCH(AD413,FlowCalNumber,0),1,1)*AF426^INDEX(FlowCalConstB,MATCH(AD413,FlowCalNumber,0),1,1)&gt;INDEX(FlowCalLowSetting,MATCH(AD413,FlowCalNumber,0),1,1), (INDEX(FlowCalConstA,MATCH(AD413,FlowCalNumber,0),1,1)*AF426^INDEX(FlowCalConstB,MATCH(AD413,FlowCalNumber,0),1,1)&lt;INDEX(FlowCalHighSetting,MATCH(AD413,FlowCalNumber,0),1,1))),INDEX(FlowCalConstA,MATCH(AD413,FlowCalNumber,0),1,1)*AF426^INDEX(FlowCalConstB,MATCH(AD413,FlowCalNumber,0),1,1)," ")</f>
        <v>#REF!</v>
      </c>
      <c r="AH426" s="33"/>
      <c r="AI426" s="242">
        <f t="shared" si="404"/>
        <v>0.9</v>
      </c>
      <c r="AJ426" s="241" t="e">
        <f t="shared" ca="1" si="405"/>
        <v>#REF!</v>
      </c>
      <c r="AK426" s="243" t="e">
        <f ca="1">IF(AND(INDEX(FlowCalConstA,MATCH(AH413,FlowCalNumber,0),1,1)*AJ426^INDEX(FlowCalConstB,MATCH(AH413,FlowCalNumber,0),1,1)&gt;INDEX(FlowCalLowSetting,MATCH(AH413,FlowCalNumber,0),1,1), (INDEX(FlowCalConstA,MATCH(AH413,FlowCalNumber,0),1,1)*AJ426^INDEX(FlowCalConstB,MATCH(AH413,FlowCalNumber,0),1,1)&lt;INDEX(FlowCalHighSetting,MATCH(AH413,FlowCalNumber,0),1,1))),INDEX(FlowCalConstA,MATCH(AH413,FlowCalNumber,0),1,1)*AJ426^INDEX(FlowCalConstB,MATCH(AH413,FlowCalNumber,0),1,1)," ")</f>
        <v>#REF!</v>
      </c>
      <c r="AL426" s="33"/>
      <c r="AM426" s="242"/>
      <c r="AN426" s="241"/>
      <c r="AO426" s="244"/>
      <c r="AQ426" s="242"/>
      <c r="AR426" s="241"/>
      <c r="AS426" s="244"/>
      <c r="AT426" s="33"/>
      <c r="AU426" s="242"/>
      <c r="AV426" s="241"/>
      <c r="AW426" s="244"/>
      <c r="AX426" s="33"/>
      <c r="AY426" s="242"/>
      <c r="AZ426" s="241"/>
      <c r="BA426" s="244"/>
      <c r="BB426" s="33"/>
      <c r="BC426" s="242"/>
      <c r="BD426" s="241"/>
      <c r="BE426" s="244"/>
      <c r="BF426" s="33"/>
      <c r="BG426" s="242"/>
      <c r="BH426" s="241"/>
      <c r="BI426" s="244"/>
      <c r="BJ426" s="33"/>
      <c r="BK426" s="242"/>
      <c r="BL426" s="241"/>
      <c r="BM426" s="244"/>
      <c r="BN426" s="33"/>
      <c r="BO426" s="242"/>
      <c r="BP426" s="241"/>
      <c r="BQ426" s="244"/>
      <c r="BR426" s="33"/>
      <c r="BS426" s="242"/>
      <c r="BT426" s="241"/>
      <c r="BU426" s="244"/>
      <c r="BV426" s="33"/>
      <c r="BW426" s="242"/>
      <c r="BX426" s="241"/>
      <c r="BY426" s="244"/>
      <c r="BZ426" s="33"/>
      <c r="CA426" s="242"/>
      <c r="CB426" s="241"/>
      <c r="CC426" s="244"/>
      <c r="CD426" s="243"/>
      <c r="CE426" s="243"/>
      <c r="CF426" s="243"/>
      <c r="CG426" s="243"/>
      <c r="CH426" s="243"/>
      <c r="CI426" s="243"/>
      <c r="CJ426" s="243"/>
      <c r="CK426" s="243"/>
      <c r="CL426" s="243"/>
      <c r="CM426" s="243"/>
      <c r="CN426" s="243"/>
      <c r="CO426" s="243"/>
      <c r="CP426" s="243"/>
      <c r="CQ426" s="243"/>
      <c r="CR426" s="243"/>
      <c r="CS426" s="243"/>
      <c r="CT426" s="243"/>
      <c r="CU426" s="243"/>
      <c r="CV426" s="243"/>
      <c r="CW426" s="243"/>
      <c r="CX426" s="243"/>
      <c r="CY426" s="243"/>
      <c r="CZ426" s="243"/>
      <c r="DA426" s="243"/>
      <c r="DB426" s="243"/>
      <c r="DC426" s="243"/>
      <c r="DD426" s="243"/>
      <c r="DE426" s="243"/>
      <c r="DF426" s="243"/>
      <c r="DG426" s="243"/>
      <c r="DH426" s="243"/>
      <c r="DI426" s="243"/>
      <c r="DJ426" s="243"/>
      <c r="DK426" s="243"/>
      <c r="DM426" s="242"/>
      <c r="DO426" s="243"/>
      <c r="DQ426" s="242"/>
      <c r="DS426" s="243"/>
      <c r="DU426" s="242"/>
      <c r="DW426" s="243"/>
      <c r="DY426" s="242"/>
      <c r="EA426" s="243"/>
    </row>
    <row r="427" spans="1:131">
      <c r="A427" s="20"/>
      <c r="B427" s="124" t="str">
        <f t="shared" si="390"/>
        <v/>
      </c>
      <c r="C427" s="235"/>
      <c r="D427" s="24">
        <f>'1% Wind'!$M$95</f>
        <v>1.3</v>
      </c>
      <c r="E427" s="90"/>
      <c r="F427" s="90"/>
      <c r="G427" s="79" t="e">
        <f ca="1">IF(I413=0.9743,$G426,MAX(G426/D426*D427,2))</f>
        <v>#REF!</v>
      </c>
      <c r="H427" s="121" t="e">
        <f t="shared" ca="1" si="391"/>
        <v>#REF!</v>
      </c>
      <c r="J427" s="33"/>
      <c r="K427" s="242">
        <f t="shared" si="392"/>
        <v>1</v>
      </c>
      <c r="L427" s="241" t="e">
        <f t="shared" ca="1" si="393"/>
        <v>#REF!</v>
      </c>
      <c r="M427" s="243" t="e">
        <f ca="1">IF(AND(INDEX(FlowCalConstA,MATCH(J413,FlowCalNumber,0),1,1)*L427^INDEX(FlowCalConstB,MATCH(J413,FlowCalNumber,0),1,1)&gt;INDEX(FlowCalLowSetting,MATCH(J413,FlowCalNumber,0),1,1), (INDEX(FlowCalConstA,MATCH(J413,FlowCalNumber,0),1,1)*L427^INDEX(FlowCalConstB,MATCH(J413,FlowCalNumber,0),1,1)&lt;INDEX(FlowCalHighSetting,MATCH(J413,FlowCalNumber,0),1,1))),INDEX(FlowCalConstA,MATCH(J413,FlowCalNumber,0),1,1)*L427^INDEX(FlowCalConstB,MATCH(J413,FlowCalNumber,0),1,1)," ")</f>
        <v>#REF!</v>
      </c>
      <c r="N427" s="33"/>
      <c r="O427" s="242">
        <f t="shared" si="394"/>
        <v>1</v>
      </c>
      <c r="P427" s="241" t="e">
        <f t="shared" ca="1" si="395"/>
        <v>#REF!</v>
      </c>
      <c r="Q427" s="243" t="e">
        <f ca="1">IF(AND(INDEX(FlowCalConstA,MATCH(N413,FlowCalNumber,0),1,1)*P427^INDEX(FlowCalConstB,MATCH(N413,FlowCalNumber,0),1,1)&gt;INDEX(FlowCalLowSetting,MATCH(N413,FlowCalNumber,0),1,1), (INDEX(FlowCalConstA,MATCH(N413,FlowCalNumber,0),1,1)*P427^INDEX(FlowCalConstB,MATCH(N413,FlowCalNumber,0),1,1)&lt;INDEX(FlowCalHighSetting,MATCH(N413,FlowCalNumber,0),1,1))),INDEX(FlowCalConstA,MATCH(N413,FlowCalNumber,0),1,1)*P427^INDEX(FlowCalConstB,MATCH(N413,FlowCalNumber,0),1,1)," ")</f>
        <v>#REF!</v>
      </c>
      <c r="R427" s="33"/>
      <c r="S427" s="242">
        <f t="shared" si="396"/>
        <v>1</v>
      </c>
      <c r="T427" s="241" t="e">
        <f t="shared" ca="1" si="397"/>
        <v>#REF!</v>
      </c>
      <c r="U427" s="244" t="e">
        <f ca="1">IF(AND(INDEX(FlowCalConstA,MATCH(R413,FlowCalNumber,0),1,1)*T427^INDEX(FlowCalConstB,MATCH(R413,FlowCalNumber,0),1,1)&gt;INDEX(FlowCalLowSetting,MATCH(R413,FlowCalNumber,0),1,1), (INDEX(FlowCalConstA,MATCH(R413,FlowCalNumber,0),1,1)*T427^INDEX(FlowCalConstB,MATCH(R413,FlowCalNumber,0),1,1)&lt;INDEX(FlowCalHighSetting,MATCH(R413,FlowCalNumber,0),1,1))),INDEX(FlowCalConstA,MATCH(R413,FlowCalNumber,0),1,1)*T427^INDEX(FlowCalConstB,MATCH(R413,FlowCalNumber,0),1,1)," ")</f>
        <v>#REF!</v>
      </c>
      <c r="V427" s="33"/>
      <c r="W427" s="242">
        <f t="shared" si="398"/>
        <v>0.1</v>
      </c>
      <c r="X427" s="241" t="e">
        <f t="shared" ca="1" si="399"/>
        <v>#REF!</v>
      </c>
      <c r="Y427" s="243" t="e">
        <f ca="1">IF(AND(INDEX(FlowCalConstA,MATCH(V413,FlowCalNumber,0),1,1)*X427^INDEX(FlowCalConstB,MATCH(V413,FlowCalNumber,0),1,1)&gt;INDEX(FlowCalLowSetting,MATCH(V413,FlowCalNumber,0),1,1), (INDEX(FlowCalConstA,MATCH(V413,FlowCalNumber,0),1,1)*X427^INDEX(FlowCalConstB,MATCH(V413,FlowCalNumber,0),1,1)&lt;INDEX(FlowCalHighSetting,MATCH(V413,FlowCalNumber,0),1,1))),INDEX(FlowCalConstA,MATCH(V413,FlowCalNumber,0),1,1)*X427^INDEX(FlowCalConstB,MATCH(V413,FlowCalNumber,0),1,1)," ")</f>
        <v>#REF!</v>
      </c>
      <c r="Z427" s="33"/>
      <c r="AA427" s="242">
        <f t="shared" si="400"/>
        <v>0.9</v>
      </c>
      <c r="AB427" s="241" t="e">
        <f t="shared" ca="1" si="401"/>
        <v>#REF!</v>
      </c>
      <c r="AC427" s="243" t="e">
        <f ca="1">IF(AND(INDEX(FlowCalConstA,MATCH(Z413,FlowCalNumber,0),1,1)*AB427^INDEX(FlowCalConstB,MATCH(Z413,FlowCalNumber,0),1,1)&gt;INDEX(FlowCalLowSetting,MATCH(Z413,FlowCalNumber,0),1,1), (INDEX(FlowCalConstA,MATCH(Z413,FlowCalNumber,0),1,1)*AB427^INDEX(FlowCalConstB,MATCH(Z413,FlowCalNumber,0),1,1)&lt;INDEX(FlowCalHighSetting,MATCH(Z413,FlowCalNumber,0),1,1))),INDEX(FlowCalConstA,MATCH(Z413,FlowCalNumber,0),1,1)*AB427^INDEX(FlowCalConstB,MATCH(Z413,FlowCalNumber,0),1,1)," ")</f>
        <v>#REF!</v>
      </c>
      <c r="AD427" s="33"/>
      <c r="AE427" s="242">
        <f t="shared" si="402"/>
        <v>0.1</v>
      </c>
      <c r="AF427" s="241" t="e">
        <f t="shared" ca="1" si="403"/>
        <v>#REF!</v>
      </c>
      <c r="AG427" s="243" t="e">
        <f ca="1">IF(AND(INDEX(FlowCalConstA,MATCH(AD413,FlowCalNumber,0),1,1)*AF427^INDEX(FlowCalConstB,MATCH(AD413,FlowCalNumber,0),1,1)&gt;INDEX(FlowCalLowSetting,MATCH(AD413,FlowCalNumber,0),1,1), (INDEX(FlowCalConstA,MATCH(AD413,FlowCalNumber,0),1,1)*AF427^INDEX(FlowCalConstB,MATCH(AD413,FlowCalNumber,0),1,1)&lt;INDEX(FlowCalHighSetting,MATCH(AD413,FlowCalNumber,0),1,1))),INDEX(FlowCalConstA,MATCH(AD413,FlowCalNumber,0),1,1)*AF427^INDEX(FlowCalConstB,MATCH(AD413,FlowCalNumber,0),1,1)," ")</f>
        <v>#REF!</v>
      </c>
      <c r="AH427" s="33"/>
      <c r="AI427" s="242">
        <f t="shared" si="404"/>
        <v>0.9</v>
      </c>
      <c r="AJ427" s="241" t="e">
        <f t="shared" ca="1" si="405"/>
        <v>#REF!</v>
      </c>
      <c r="AK427" s="243" t="e">
        <f ca="1">IF(AND(INDEX(FlowCalConstA,MATCH(AH413,FlowCalNumber,0),1,1)*AJ427^INDEX(FlowCalConstB,MATCH(AH413,FlowCalNumber,0),1,1)&gt;INDEX(FlowCalLowSetting,MATCH(AH413,FlowCalNumber,0),1,1), (INDEX(FlowCalConstA,MATCH(AH413,FlowCalNumber,0),1,1)*AJ427^INDEX(FlowCalConstB,MATCH(AH413,FlowCalNumber,0),1,1)&lt;INDEX(FlowCalHighSetting,MATCH(AH413,FlowCalNumber,0),1,1))),INDEX(FlowCalConstA,MATCH(AH413,FlowCalNumber,0),1,1)*AJ427^INDEX(FlowCalConstB,MATCH(AH413,FlowCalNumber,0),1,1)," ")</f>
        <v>#REF!</v>
      </c>
      <c r="AL427" s="33"/>
      <c r="AM427" s="242"/>
      <c r="AN427" s="241"/>
      <c r="AO427" s="244"/>
      <c r="AQ427" s="242"/>
      <c r="AR427" s="241"/>
      <c r="AS427" s="244"/>
      <c r="AT427" s="33"/>
      <c r="AU427" s="242"/>
      <c r="AV427" s="241"/>
      <c r="AW427" s="244"/>
      <c r="AX427" s="33"/>
      <c r="AY427" s="242"/>
      <c r="AZ427" s="241"/>
      <c r="BA427" s="244"/>
      <c r="BB427" s="33"/>
      <c r="BC427" s="242"/>
      <c r="BD427" s="241"/>
      <c r="BE427" s="244"/>
      <c r="BF427" s="33"/>
      <c r="BG427" s="242"/>
      <c r="BH427" s="241"/>
      <c r="BI427" s="244"/>
      <c r="BJ427" s="33"/>
      <c r="BK427" s="242"/>
      <c r="BL427" s="241"/>
      <c r="BM427" s="244"/>
      <c r="BN427" s="33"/>
      <c r="BO427" s="242"/>
      <c r="BP427" s="241"/>
      <c r="BQ427" s="244"/>
      <c r="BR427" s="33"/>
      <c r="BS427" s="242"/>
      <c r="BT427" s="241"/>
      <c r="BU427" s="244"/>
      <c r="BV427" s="33"/>
      <c r="BW427" s="242"/>
      <c r="BX427" s="241"/>
      <c r="BY427" s="244"/>
      <c r="BZ427" s="33"/>
      <c r="CA427" s="242"/>
      <c r="CB427" s="241"/>
      <c r="CC427" s="244"/>
      <c r="CD427" s="243"/>
      <c r="CE427" s="243"/>
      <c r="CF427" s="243"/>
      <c r="CG427" s="243"/>
      <c r="CH427" s="243"/>
      <c r="CI427" s="243"/>
      <c r="CJ427" s="243"/>
      <c r="CK427" s="243"/>
      <c r="CL427" s="243"/>
      <c r="CM427" s="243"/>
      <c r="CN427" s="243"/>
      <c r="CO427" s="243"/>
      <c r="CP427" s="243"/>
      <c r="CQ427" s="243"/>
      <c r="CR427" s="243"/>
      <c r="CS427" s="243"/>
      <c r="CT427" s="243"/>
      <c r="CU427" s="243"/>
      <c r="CV427" s="243"/>
      <c r="CW427" s="243"/>
      <c r="CX427" s="243"/>
      <c r="CY427" s="243"/>
      <c r="CZ427" s="243"/>
      <c r="DA427" s="243"/>
      <c r="DB427" s="243"/>
      <c r="DC427" s="243"/>
      <c r="DD427" s="243"/>
      <c r="DE427" s="243"/>
      <c r="DF427" s="243"/>
      <c r="DG427" s="243"/>
      <c r="DH427" s="243"/>
      <c r="DI427" s="243"/>
      <c r="DJ427" s="243"/>
      <c r="DK427" s="243"/>
      <c r="DM427" s="242"/>
      <c r="DO427" s="243"/>
      <c r="DQ427" s="242"/>
      <c r="DS427" s="243"/>
      <c r="DU427" s="242"/>
      <c r="DW427" s="243"/>
      <c r="DY427" s="242"/>
      <c r="EA427" s="243"/>
    </row>
    <row r="428" spans="1:131">
      <c r="A428" s="20"/>
      <c r="B428" s="124" t="str">
        <f t="shared" si="390"/>
        <v/>
      </c>
      <c r="C428" s="235"/>
      <c r="D428" s="24">
        <f>'1% Wind'!$M$96</f>
        <v>1</v>
      </c>
      <c r="E428" s="90"/>
      <c r="F428" s="90"/>
      <c r="G428" s="79" t="e">
        <f ca="1">IF(I413=0.9743,$G427,MAX(G427/D427*D428,2))</f>
        <v>#REF!</v>
      </c>
      <c r="H428" s="121" t="e">
        <f t="shared" ca="1" si="391"/>
        <v>#REF!</v>
      </c>
      <c r="J428" s="33"/>
      <c r="K428" s="242">
        <f t="shared" si="392"/>
        <v>1</v>
      </c>
      <c r="L428" s="241" t="e">
        <f t="shared" ca="1" si="393"/>
        <v>#REF!</v>
      </c>
      <c r="M428" s="243" t="e">
        <f ca="1">IF(AND(INDEX(FlowCalConstA,MATCH(J413,FlowCalNumber,0),1,1)*L428^INDEX(FlowCalConstB,MATCH(J413,FlowCalNumber,0),1,1)&gt;INDEX(FlowCalLowSetting,MATCH(J413,FlowCalNumber,0),1,1), (INDEX(FlowCalConstA,MATCH(J413,FlowCalNumber,0),1,1)*L428^INDEX(FlowCalConstB,MATCH(J413,FlowCalNumber,0),1,1)&lt;INDEX(FlowCalHighSetting,MATCH(J413,FlowCalNumber,0),1,1))),INDEX(FlowCalConstA,MATCH(J413,FlowCalNumber,0),1,1)*L428^INDEX(FlowCalConstB,MATCH(J413,FlowCalNumber,0),1,1)," ")</f>
        <v>#REF!</v>
      </c>
      <c r="N428" s="33"/>
      <c r="O428" s="242">
        <f t="shared" si="394"/>
        <v>1</v>
      </c>
      <c r="P428" s="241" t="e">
        <f t="shared" ca="1" si="395"/>
        <v>#REF!</v>
      </c>
      <c r="Q428" s="243" t="e">
        <f ca="1">IF(AND(INDEX(FlowCalConstA,MATCH(N413,FlowCalNumber,0),1,1)*P428^INDEX(FlowCalConstB,MATCH(N413,FlowCalNumber,0),1,1)&gt;INDEX(FlowCalLowSetting,MATCH(N413,FlowCalNumber,0),1,1), (INDEX(FlowCalConstA,MATCH(N413,FlowCalNumber,0),1,1)*P428^INDEX(FlowCalConstB,MATCH(N413,FlowCalNumber,0),1,1)&lt;INDEX(FlowCalHighSetting,MATCH(N413,FlowCalNumber,0),1,1))),INDEX(FlowCalConstA,MATCH(N413,FlowCalNumber,0),1,1)*P428^INDEX(FlowCalConstB,MATCH(N413,FlowCalNumber,0),1,1)," ")</f>
        <v>#REF!</v>
      </c>
      <c r="R428" s="33"/>
      <c r="S428" s="242">
        <f t="shared" si="396"/>
        <v>1</v>
      </c>
      <c r="T428" s="241" t="e">
        <f t="shared" ca="1" si="397"/>
        <v>#REF!</v>
      </c>
      <c r="U428" s="244" t="e">
        <f ca="1">IF(AND(INDEX(FlowCalConstA,MATCH(R413,FlowCalNumber,0),1,1)*T428^INDEX(FlowCalConstB,MATCH(R413,FlowCalNumber,0),1,1)&gt;INDEX(FlowCalLowSetting,MATCH(R413,FlowCalNumber,0),1,1), (INDEX(FlowCalConstA,MATCH(R413,FlowCalNumber,0),1,1)*T428^INDEX(FlowCalConstB,MATCH(R413,FlowCalNumber,0),1,1)&lt;INDEX(FlowCalHighSetting,MATCH(R413,FlowCalNumber,0),1,1))),INDEX(FlowCalConstA,MATCH(R413,FlowCalNumber,0),1,1)*T428^INDEX(FlowCalConstB,MATCH(R413,FlowCalNumber,0),1,1)," ")</f>
        <v>#REF!</v>
      </c>
      <c r="V428" s="33"/>
      <c r="W428" s="242">
        <f t="shared" si="398"/>
        <v>0.1</v>
      </c>
      <c r="X428" s="241" t="e">
        <f t="shared" ca="1" si="399"/>
        <v>#REF!</v>
      </c>
      <c r="Y428" s="243" t="e">
        <f ca="1">IF(AND(INDEX(FlowCalConstA,MATCH(V413,FlowCalNumber,0),1,1)*X428^INDEX(FlowCalConstB,MATCH(V413,FlowCalNumber,0),1,1)&gt;INDEX(FlowCalLowSetting,MATCH(V413,FlowCalNumber,0),1,1), (INDEX(FlowCalConstA,MATCH(V413,FlowCalNumber,0),1,1)*X428^INDEX(FlowCalConstB,MATCH(V413,FlowCalNumber,0),1,1)&lt;INDEX(FlowCalHighSetting,MATCH(V413,FlowCalNumber,0),1,1))),INDEX(FlowCalConstA,MATCH(V413,FlowCalNumber,0),1,1)*X428^INDEX(FlowCalConstB,MATCH(V413,FlowCalNumber,0),1,1)," ")</f>
        <v>#REF!</v>
      </c>
      <c r="Z428" s="33"/>
      <c r="AA428" s="242">
        <f t="shared" si="400"/>
        <v>0.9</v>
      </c>
      <c r="AB428" s="241" t="e">
        <f t="shared" ca="1" si="401"/>
        <v>#REF!</v>
      </c>
      <c r="AC428" s="243" t="e">
        <f ca="1">IF(AND(INDEX(FlowCalConstA,MATCH(Z413,FlowCalNumber,0),1,1)*AB428^INDEX(FlowCalConstB,MATCH(Z413,FlowCalNumber,0),1,1)&gt;INDEX(FlowCalLowSetting,MATCH(Z413,FlowCalNumber,0),1,1), (INDEX(FlowCalConstA,MATCH(Z413,FlowCalNumber,0),1,1)*AB428^INDEX(FlowCalConstB,MATCH(Z413,FlowCalNumber,0),1,1)&lt;INDEX(FlowCalHighSetting,MATCH(Z413,FlowCalNumber,0),1,1))),INDEX(FlowCalConstA,MATCH(Z413,FlowCalNumber,0),1,1)*AB428^INDEX(FlowCalConstB,MATCH(Z413,FlowCalNumber,0),1,1)," ")</f>
        <v>#REF!</v>
      </c>
      <c r="AD428" s="33"/>
      <c r="AE428" s="242">
        <f t="shared" si="402"/>
        <v>0.1</v>
      </c>
      <c r="AF428" s="241" t="e">
        <f t="shared" ca="1" si="403"/>
        <v>#REF!</v>
      </c>
      <c r="AG428" s="243" t="e">
        <f ca="1">IF(AND(INDEX(FlowCalConstA,MATCH(AD413,FlowCalNumber,0),1,1)*AF428^INDEX(FlowCalConstB,MATCH(AD413,FlowCalNumber,0),1,1)&gt;INDEX(FlowCalLowSetting,MATCH(AD413,FlowCalNumber,0),1,1), (INDEX(FlowCalConstA,MATCH(AD413,FlowCalNumber,0),1,1)*AF428^INDEX(FlowCalConstB,MATCH(AD413,FlowCalNumber,0),1,1)&lt;INDEX(FlowCalHighSetting,MATCH(AD413,FlowCalNumber,0),1,1))),INDEX(FlowCalConstA,MATCH(AD413,FlowCalNumber,0),1,1)*AF428^INDEX(FlowCalConstB,MATCH(AD413,FlowCalNumber,0),1,1)," ")</f>
        <v>#REF!</v>
      </c>
      <c r="AH428" s="33"/>
      <c r="AI428" s="242">
        <f t="shared" si="404"/>
        <v>0.9</v>
      </c>
      <c r="AJ428" s="241" t="e">
        <f t="shared" ca="1" si="405"/>
        <v>#REF!</v>
      </c>
      <c r="AK428" s="243" t="e">
        <f ca="1">IF(AND(INDEX(FlowCalConstA,MATCH(AH413,FlowCalNumber,0),1,1)*AJ428^INDEX(FlowCalConstB,MATCH(AH413,FlowCalNumber,0),1,1)&gt;INDEX(FlowCalLowSetting,MATCH(AH413,FlowCalNumber,0),1,1), (INDEX(FlowCalConstA,MATCH(AH413,FlowCalNumber,0),1,1)*AJ428^INDEX(FlowCalConstB,MATCH(AH413,FlowCalNumber,0),1,1)&lt;INDEX(FlowCalHighSetting,MATCH(AH413,FlowCalNumber,0),1,1))),INDEX(FlowCalConstA,MATCH(AH413,FlowCalNumber,0),1,1)*AJ428^INDEX(FlowCalConstB,MATCH(AH413,FlowCalNumber,0),1,1)," ")</f>
        <v>#REF!</v>
      </c>
      <c r="AL428" s="33"/>
      <c r="AM428" s="242"/>
      <c r="AN428" s="241"/>
      <c r="AO428" s="244"/>
      <c r="AQ428" s="242"/>
      <c r="AR428" s="241"/>
      <c r="AS428" s="244"/>
      <c r="AT428" s="33"/>
      <c r="AU428" s="242"/>
      <c r="AV428" s="241"/>
      <c r="AW428" s="244"/>
      <c r="AX428" s="33"/>
      <c r="AY428" s="242"/>
      <c r="AZ428" s="241"/>
      <c r="BA428" s="244"/>
      <c r="BB428" s="33"/>
      <c r="BC428" s="242"/>
      <c r="BD428" s="241"/>
      <c r="BE428" s="244"/>
      <c r="BF428" s="33"/>
      <c r="BG428" s="242"/>
      <c r="BH428" s="241"/>
      <c r="BI428" s="244"/>
      <c r="BJ428" s="33"/>
      <c r="BK428" s="242"/>
      <c r="BL428" s="241"/>
      <c r="BM428" s="244"/>
      <c r="BN428" s="33"/>
      <c r="BO428" s="242"/>
      <c r="BP428" s="241"/>
      <c r="BQ428" s="244"/>
      <c r="BR428" s="33"/>
      <c r="BS428" s="242"/>
      <c r="BT428" s="241"/>
      <c r="BU428" s="244"/>
      <c r="BV428" s="33"/>
      <c r="BW428" s="242"/>
      <c r="BX428" s="241"/>
      <c r="BY428" s="244"/>
      <c r="BZ428" s="33"/>
      <c r="CA428" s="242"/>
      <c r="CB428" s="241"/>
      <c r="CC428" s="244"/>
      <c r="CD428" s="243"/>
      <c r="CE428" s="243"/>
      <c r="CF428" s="243"/>
      <c r="CG428" s="243"/>
      <c r="CH428" s="243"/>
      <c r="CI428" s="243"/>
      <c r="CJ428" s="243"/>
      <c r="CK428" s="243"/>
      <c r="CL428" s="243"/>
      <c r="CM428" s="243"/>
      <c r="CN428" s="243"/>
      <c r="CO428" s="243"/>
      <c r="CP428" s="243"/>
      <c r="CQ428" s="243"/>
      <c r="CR428" s="243"/>
      <c r="CS428" s="243"/>
      <c r="CT428" s="243"/>
      <c r="CU428" s="243"/>
      <c r="CV428" s="243"/>
      <c r="CW428" s="243"/>
      <c r="CX428" s="243"/>
      <c r="CY428" s="243"/>
      <c r="CZ428" s="243"/>
      <c r="DA428" s="243"/>
      <c r="DB428" s="243"/>
      <c r="DC428" s="243"/>
      <c r="DD428" s="243"/>
      <c r="DE428" s="243"/>
      <c r="DF428" s="243"/>
      <c r="DG428" s="243"/>
      <c r="DH428" s="243"/>
      <c r="DI428" s="243"/>
      <c r="DJ428" s="243"/>
      <c r="DK428" s="243"/>
      <c r="DM428" s="242"/>
      <c r="DO428" s="243"/>
      <c r="DQ428" s="242"/>
      <c r="DS428" s="243"/>
      <c r="DU428" s="242"/>
      <c r="DW428" s="243"/>
      <c r="DY428" s="242"/>
      <c r="EA428" s="243"/>
    </row>
    <row r="429" spans="1:131">
      <c r="A429" s="33"/>
      <c r="B429" s="33"/>
      <c r="C429" s="235"/>
      <c r="E429" s="90"/>
      <c r="F429" s="90"/>
      <c r="G429" s="33"/>
      <c r="J429" s="33"/>
      <c r="N429" s="33"/>
      <c r="Q429" s="243"/>
      <c r="R429" s="33"/>
      <c r="U429" s="244"/>
      <c r="V429" s="33"/>
      <c r="Y429" s="243"/>
      <c r="Z429" s="33"/>
      <c r="AC429" s="243"/>
      <c r="AD429" s="33"/>
      <c r="AG429" s="243"/>
      <c r="AH429" s="33"/>
      <c r="AK429" s="244"/>
      <c r="AL429" s="792"/>
      <c r="AM429" s="243"/>
      <c r="AN429" s="243"/>
      <c r="AO429" s="244"/>
      <c r="AP429" s="243"/>
      <c r="AQ429" s="243"/>
      <c r="AR429" s="243"/>
      <c r="AS429" s="244"/>
      <c r="AT429" s="243"/>
      <c r="AU429" s="243"/>
      <c r="AV429" s="243"/>
      <c r="AW429" s="244"/>
      <c r="AX429" s="243"/>
      <c r="AY429" s="243"/>
      <c r="AZ429" s="243"/>
      <c r="BA429" s="244"/>
      <c r="BB429" s="33"/>
      <c r="BE429" s="244"/>
      <c r="BF429" s="33"/>
      <c r="BI429" s="244"/>
      <c r="BJ429" s="33"/>
      <c r="BM429" s="244"/>
      <c r="BN429" s="243"/>
      <c r="BO429" s="243"/>
      <c r="BP429" s="243"/>
      <c r="BQ429" s="244"/>
      <c r="BR429" s="792"/>
      <c r="BS429" s="243"/>
      <c r="BT429" s="243"/>
      <c r="BU429" s="244"/>
      <c r="BV429" s="792"/>
      <c r="BW429" s="243"/>
      <c r="BX429" s="243"/>
      <c r="BY429" s="244"/>
      <c r="BZ429" s="792"/>
      <c r="CA429" s="243"/>
      <c r="CB429" s="243"/>
      <c r="CC429" s="244"/>
      <c r="CD429" s="243"/>
      <c r="CE429" s="243"/>
      <c r="CF429" s="243"/>
      <c r="CG429" s="243"/>
      <c r="CH429" s="243"/>
      <c r="CI429" s="243"/>
      <c r="CJ429" s="243"/>
      <c r="CK429" s="243"/>
      <c r="CL429" s="243"/>
      <c r="CM429" s="243"/>
      <c r="CN429" s="243"/>
      <c r="CO429" s="243"/>
      <c r="CP429" s="243"/>
      <c r="CQ429" s="243"/>
      <c r="CR429" s="243"/>
      <c r="CS429" s="243"/>
      <c r="CT429" s="243"/>
      <c r="CU429" s="243"/>
      <c r="CV429" s="243"/>
      <c r="CW429" s="243"/>
      <c r="CX429" s="243"/>
      <c r="CY429" s="243"/>
      <c r="CZ429" s="243"/>
      <c r="DA429" s="243"/>
      <c r="DB429" s="243"/>
      <c r="DC429" s="243"/>
      <c r="DD429" s="243"/>
      <c r="DE429" s="243"/>
      <c r="DF429" s="243"/>
      <c r="DG429" s="243"/>
      <c r="DH429" s="243"/>
      <c r="DI429" s="243"/>
      <c r="DJ429" s="243"/>
      <c r="DK429" s="243"/>
      <c r="DO429" s="243"/>
      <c r="DS429" s="243"/>
      <c r="DW429" s="243"/>
      <c r="EA429" s="243"/>
    </row>
    <row r="430" spans="1:131">
      <c r="A430" s="256" t="str">
        <f>IF((RIGHT(A413,1))&lt;&gt;"Z",CHAR(CODE(A413))&amp;CHAR(CODE(RIGHT(A413,1))+1),CHAR(CODE(A413)+1)&amp;"A")</f>
        <v>AY</v>
      </c>
      <c r="B430" s="270" t="e">
        <f>INDEX(SourceID,MATCH($A430,SourceNumber,0),1,1)</f>
        <v>#N/A</v>
      </c>
      <c r="C430" s="354" t="e">
        <f>INDEX(SourceExitDiameter,MATCH($A430,SourceNumber,0),1,1)*3.28*12</f>
        <v>#N/A</v>
      </c>
      <c r="D430" s="24" t="str">
        <f>UAnem1percent</f>
        <v>1% Wind</v>
      </c>
      <c r="E430" s="350" t="e">
        <f ca="1">INDIRECT(ADDRESS(53,6,1,,CONCATENATE("TA",$A430)))</f>
        <v>#REF!</v>
      </c>
      <c r="F430" s="625" t="e">
        <f ca="1">(ROUND((INDIRECT(ADDRESS(15,7,1,,CONCATENATE("TA",$A430)))*3.28*12*32),0)&amp;"/32")</f>
        <v>#REF!</v>
      </c>
      <c r="G430" s="125" t="e">
        <f ca="1">INDIRECT(ADDRESS(29,7,1,,$A430))</f>
        <v>#REF!</v>
      </c>
      <c r="H430" s="24" t="e">
        <f ca="1">INDIRECT(ADDRESS(19,7,1,,$A430))*100^3</f>
        <v>#REF!</v>
      </c>
      <c r="I430" s="941" t="e">
        <f ca="1">INDIRECT(ADDRESS(53,7,1,,$A430))</f>
        <v>#REF!</v>
      </c>
      <c r="J430" s="20" t="e">
        <f ca="1">IF($I430=$I$6,K$16&amp;$G$6&amp;J$6,IF($I430=$I$7,K$16&amp;$G$7&amp;J$7,"Bad"))</f>
        <v>#REF!</v>
      </c>
      <c r="K430" t="e">
        <f ca="1">INDEX(FlowCalGasMixture,MATCH(J430,FlowCalNumber,0),1,1)</f>
        <v>#REF!</v>
      </c>
      <c r="M430" s="944" t="e">
        <f ca="1">INDEX(FlowCalDevice,MATCH(J430,FlowCalNumber,0),1,1)</f>
        <v>#REF!</v>
      </c>
      <c r="N430" s="943" t="e">
        <f ca="1">IF($I430=$I$6,O$16&amp;$G$6&amp;"90"&amp;$H$6&amp;N$6,IF($I430=$I$7,O$16&amp;$G$7&amp;"90"&amp;$H$7&amp;N$7,"Bad"))</f>
        <v>#REF!</v>
      </c>
      <c r="O430" t="e">
        <f ca="1">INDEX(FlowCalGasMixture,MATCH(N430,FlowCalNumber,0),1,1)</f>
        <v>#REF!</v>
      </c>
      <c r="Q430" s="944" t="e">
        <f ca="1">INDEX(FlowCalDevice,MATCH(N430,FlowCalNumber,0),1,1)</f>
        <v>#REF!</v>
      </c>
      <c r="R430" s="943" t="e">
        <f ca="1">IF($I430=$I$6,S$16&amp;$G$6&amp;"90"&amp;$H$6&amp;R$6,IF($I430=$I$7,S$16&amp;$G$7&amp;"90"&amp;$H$7&amp;R$7,"Bad"))</f>
        <v>#REF!</v>
      </c>
      <c r="S430" t="e">
        <f ca="1">INDEX(FlowCalGasMixture,MATCH(R430,FlowCalNumber,0),1,1)</f>
        <v>#REF!</v>
      </c>
      <c r="U430" s="944" t="e">
        <f ca="1">INDEX(FlowCalDevice,MATCH(R430,FlowCalNumber,0),1,1)</f>
        <v>#REF!</v>
      </c>
      <c r="V430" s="20" t="e">
        <f ca="1">IF($I430=$I$6,W$16&amp;$G$6&amp;V$6,IF($I430=$I$7,W$16&amp;$G$7&amp;V$7,"Bad"))</f>
        <v>#REF!</v>
      </c>
      <c r="W430" t="e">
        <f ca="1">INDEX(FlowCalGasMixture,MATCH(V430,FlowCalNumber,0),1,1)</f>
        <v>#REF!</v>
      </c>
      <c r="Y430" s="944" t="e">
        <f ca="1">INDEX(FlowCalDevice,MATCH(V430,FlowCalNumber,0),1,1)</f>
        <v>#REF!</v>
      </c>
      <c r="Z430" s="946" t="e">
        <f ca="1">IF($I430=$I$6,AA$18&amp;$H$6&amp;Z$6,IF($I430=$I$7,AA$18&amp;$H$7&amp;Z$7,"Bad"))</f>
        <v>#REF!</v>
      </c>
      <c r="AA430" t="e">
        <f ca="1">INDEX(FlowCalGasMixture,MATCH(Z430,FlowCalNumber,0),1,1)</f>
        <v>#REF!</v>
      </c>
      <c r="AC430" s="944" t="e">
        <f ca="1">INDEX(FlowCalDevice,MATCH(Z430,FlowCalNumber,0),1,1)</f>
        <v>#REF!</v>
      </c>
      <c r="AD430" s="20" t="e">
        <f ca="1">IF($I430=$I$6,AE$16&amp;$G$6&amp;AD$6,IF($I430=$I$7,AE$16&amp;$G$7&amp;AD$7,"Bad"))</f>
        <v>#REF!</v>
      </c>
      <c r="AE430" t="e">
        <f ca="1">INDEX(FlowCalGasMixture,MATCH(AD430,FlowCalNumber,0),1,1)</f>
        <v>#REF!</v>
      </c>
      <c r="AG430" s="944" t="e">
        <f ca="1">INDEX(FlowCalDevice,MATCH(AD430,FlowCalNumber,0),1,1)</f>
        <v>#REF!</v>
      </c>
      <c r="AH430" s="946" t="e">
        <f ca="1">IF($I430=$I$6,AI$18&amp;$H$6&amp;AH$6,IF($I430=$I$7,AI$18&amp;$H$7&amp;AH$7,"Bad"))</f>
        <v>#REF!</v>
      </c>
      <c r="AI430" t="e">
        <f ca="1">INDEX(FlowCalGasMixture,MATCH(AH430,FlowCalNumber,0),1,1)</f>
        <v>#REF!</v>
      </c>
      <c r="AK430" s="944" t="e">
        <f ca="1">INDEX(FlowCalDevice,MATCH(AH430,FlowCalNumber,0),1,1)</f>
        <v>#REF!</v>
      </c>
      <c r="AL430" s="20"/>
      <c r="AO430" s="982"/>
      <c r="AP430" s="960"/>
      <c r="AS430" s="982"/>
      <c r="AT430" s="20"/>
      <c r="AW430" s="982"/>
      <c r="AX430" s="946"/>
      <c r="BA430" s="982"/>
      <c r="BB430" s="20"/>
      <c r="BC430" s="16"/>
      <c r="BE430" s="982"/>
      <c r="BF430" s="946"/>
      <c r="BG430" s="16"/>
      <c r="BI430" s="982"/>
      <c r="BJ430" s="946"/>
      <c r="BK430" s="16"/>
      <c r="BM430" s="982"/>
      <c r="BN430" s="20"/>
      <c r="BO430" s="16"/>
      <c r="BQ430" s="982"/>
      <c r="BR430" s="946"/>
      <c r="BS430" s="16"/>
      <c r="BU430" s="982"/>
      <c r="BV430" s="946"/>
      <c r="BW430" s="16"/>
      <c r="BY430" s="982"/>
      <c r="BZ430" s="946"/>
      <c r="CA430" s="16"/>
      <c r="CC430" s="982"/>
      <c r="CD430" s="355"/>
      <c r="CE430" s="355"/>
      <c r="CF430" s="355"/>
      <c r="CG430" s="355"/>
      <c r="CH430" s="355"/>
      <c r="CI430" s="355"/>
      <c r="CJ430" s="355"/>
      <c r="CK430" s="355"/>
      <c r="CL430" s="355"/>
      <c r="CM430" s="355"/>
      <c r="CN430" s="355"/>
      <c r="CO430" s="355"/>
      <c r="CP430" s="355"/>
      <c r="CQ430" s="355"/>
      <c r="CR430" s="355"/>
      <c r="CS430" s="355"/>
      <c r="CT430" s="355"/>
      <c r="CU430" s="355"/>
      <c r="CV430" s="355"/>
      <c r="CW430" s="355"/>
      <c r="CX430" s="355"/>
      <c r="CY430" s="355"/>
      <c r="CZ430" s="355"/>
      <c r="DA430" s="355"/>
      <c r="DB430" s="355"/>
      <c r="DC430" s="355"/>
      <c r="DD430" s="355"/>
      <c r="DE430" s="355"/>
      <c r="DF430" s="355"/>
      <c r="DG430" s="355"/>
      <c r="DH430" s="355"/>
      <c r="DI430" s="355"/>
      <c r="DJ430" s="355"/>
      <c r="DK430" s="355"/>
      <c r="DL430" s="46"/>
      <c r="DM430" s="16"/>
      <c r="DO430" s="355"/>
      <c r="DP430" s="42"/>
      <c r="DQ430" s="16"/>
      <c r="DS430" s="355"/>
      <c r="DT430" s="42"/>
      <c r="DU430" s="16"/>
      <c r="DW430" s="355"/>
      <c r="DX430" s="42"/>
      <c r="DY430" s="16"/>
      <c r="EA430" s="355"/>
    </row>
    <row r="431" spans="1:131">
      <c r="A431" s="20"/>
      <c r="B431" s="124" t="str">
        <f t="shared" ref="B431:B445" si="406">IF(D431=UAnem1percent,"1% Wind","")</f>
        <v/>
      </c>
      <c r="C431" s="235"/>
      <c r="D431" s="24">
        <f>'1% Wind'!$M$82</f>
        <v>27</v>
      </c>
      <c r="E431" s="90"/>
      <c r="F431" s="90"/>
      <c r="G431" s="79" t="e">
        <f ca="1">IF(I430=0.9743,$G430,MAX(G430/D430*D431,2))</f>
        <v>#REF!</v>
      </c>
      <c r="H431" s="121" t="e">
        <f t="shared" ref="H431:H445" ca="1" si="407">H430*(D430/D431)*(G431/G430)</f>
        <v>#REF!</v>
      </c>
      <c r="J431" s="33"/>
      <c r="K431" s="260">
        <f>K$17/100</f>
        <v>1</v>
      </c>
      <c r="L431" s="241" t="e">
        <f ca="1">K431*$H431</f>
        <v>#REF!</v>
      </c>
      <c r="M431" s="243" t="e">
        <f ca="1">IF(AND(INDEX(FlowCalConstA,MATCH(J430,FlowCalNumber,0),1,1)*L431^INDEX(FlowCalConstB,MATCH(J430,FlowCalNumber,0),1,1)&gt;INDEX(FlowCalLowSetting,MATCH(J430,FlowCalNumber,0),1,1), (INDEX(FlowCalConstA,MATCH(J430,FlowCalNumber,0),1,1)*L431^INDEX(FlowCalConstB,MATCH(J430,FlowCalNumber,0),1,1)&lt;INDEX(FlowCalHighSetting,MATCH(J430,FlowCalNumber,0),1,1))),INDEX(FlowCalConstA,MATCH(J430,FlowCalNumber,0),1,1)*L431^INDEX(FlowCalConstB,MATCH(J430,FlowCalNumber,0),1,1)," ")</f>
        <v>#REF!</v>
      </c>
      <c r="N431" s="33"/>
      <c r="O431" s="260">
        <f>O$17/100</f>
        <v>1</v>
      </c>
      <c r="P431" s="241" t="e">
        <f ca="1">O431*$H431</f>
        <v>#REF!</v>
      </c>
      <c r="Q431" s="243" t="e">
        <f ca="1">IF(AND(INDEX(FlowCalConstA,MATCH(N430,FlowCalNumber,0),1,1)*P431^INDEX(FlowCalConstB,MATCH(N430,FlowCalNumber,0),1,1)&gt;INDEX(FlowCalLowSetting,MATCH(N430,FlowCalNumber,0),1,1), (INDEX(FlowCalConstA,MATCH(N430,FlowCalNumber,0),1,1)*P431^INDEX(FlowCalConstB,MATCH(N430,FlowCalNumber,0),1,1)&lt;INDEX(FlowCalHighSetting,MATCH(N430,FlowCalNumber,0),1,1))),INDEX(FlowCalConstA,MATCH(N430,FlowCalNumber,0),1,1)*P431^INDEX(FlowCalConstB,MATCH(N430,FlowCalNumber,0),1,1)," ")</f>
        <v>#REF!</v>
      </c>
      <c r="R431" s="33"/>
      <c r="S431" s="260">
        <f>S$17/100</f>
        <v>1</v>
      </c>
      <c r="T431" s="241" t="e">
        <f ca="1">S431*$H431</f>
        <v>#REF!</v>
      </c>
      <c r="U431" s="244" t="e">
        <f ca="1">IF(AND(INDEX(FlowCalConstA,MATCH(R430,FlowCalNumber,0),1,1)*T431^INDEX(FlowCalConstB,MATCH(R430,FlowCalNumber,0),1,1)&gt;INDEX(FlowCalLowSetting,MATCH(R430,FlowCalNumber,0),1,1), (INDEX(FlowCalConstA,MATCH(R430,FlowCalNumber,0),1,1)*T431^INDEX(FlowCalConstB,MATCH(R430,FlowCalNumber,0),1,1)&lt;INDEX(FlowCalHighSetting,MATCH(R430,FlowCalNumber,0),1,1))),INDEX(FlowCalConstA,MATCH(R430,FlowCalNumber,0),1,1)*T431^INDEX(FlowCalConstB,MATCH(R430,FlowCalNumber,0),1,1)," ")</f>
        <v>#REF!</v>
      </c>
      <c r="V431" s="33"/>
      <c r="W431" s="260">
        <f>W$17/100</f>
        <v>0.1</v>
      </c>
      <c r="X431" s="241" t="e">
        <f ca="1">W431*$H431</f>
        <v>#REF!</v>
      </c>
      <c r="Y431" s="243" t="e">
        <f ca="1">IF(AND(INDEX(FlowCalConstA,MATCH(V430,FlowCalNumber,0),1,1)*X431^INDEX(FlowCalConstB,MATCH(V430,FlowCalNumber,0),1,1)&gt;INDEX(FlowCalLowSetting,MATCH(V430,FlowCalNumber,0),1,1), (INDEX(FlowCalConstA,MATCH(V430,FlowCalNumber,0),1,1)*X431^INDEX(FlowCalConstB,MATCH(V430,FlowCalNumber,0),1,1)&lt;INDEX(FlowCalHighSetting,MATCH(V430,FlowCalNumber,0),1,1))),INDEX(FlowCalConstA,MATCH(V430,FlowCalNumber,0),1,1)*X431^INDEX(FlowCalConstB,MATCH(V430,FlowCalNumber,0),1,1)," ")</f>
        <v>#REF!</v>
      </c>
      <c r="Z431" s="33"/>
      <c r="AA431" s="260">
        <f>AA$17/100</f>
        <v>0.9</v>
      </c>
      <c r="AB431" s="241" t="e">
        <f ca="1">AA431*$H431</f>
        <v>#REF!</v>
      </c>
      <c r="AC431" s="243" t="e">
        <f ca="1">IF(AND(INDEX(FlowCalConstA,MATCH(Z430,FlowCalNumber,0),1,1)*AB431^INDEX(FlowCalConstB,MATCH(Z430,FlowCalNumber,0),1,1)&gt;INDEX(FlowCalLowSetting,MATCH(Z430,FlowCalNumber,0),1,1), (INDEX(FlowCalConstA,MATCH(Z430,FlowCalNumber,0),1,1)*AB431^INDEX(FlowCalConstB,MATCH(Z430,FlowCalNumber,0),1,1)&lt;INDEX(FlowCalHighSetting,MATCH(Z430,FlowCalNumber,0),1,1))),INDEX(FlowCalConstA,MATCH(Z430,FlowCalNumber,0),1,1)*AB431^INDEX(FlowCalConstB,MATCH(Z430,FlowCalNumber,0),1,1)," ")</f>
        <v>#REF!</v>
      </c>
      <c r="AD431" s="33"/>
      <c r="AE431" s="260">
        <f>AE$17/100</f>
        <v>0.1</v>
      </c>
      <c r="AF431" s="241" t="e">
        <f ca="1">AE431*$H431</f>
        <v>#REF!</v>
      </c>
      <c r="AG431" s="243" t="e">
        <f ca="1">IF(AND(INDEX(FlowCalConstA,MATCH(AD430,FlowCalNumber,0),1,1)*AF431^INDEX(FlowCalConstB,MATCH(AD430,FlowCalNumber,0),1,1)&gt;INDEX(FlowCalLowSetting,MATCH(AD430,FlowCalNumber,0),1,1), (INDEX(FlowCalConstA,MATCH(AD430,FlowCalNumber,0),1,1)*AF431^INDEX(FlowCalConstB,MATCH(AD430,FlowCalNumber,0),1,1)&lt;INDEX(FlowCalHighSetting,MATCH(AD430,FlowCalNumber,0),1,1))),INDEX(FlowCalConstA,MATCH(AD430,FlowCalNumber,0),1,1)*AF431^INDEX(FlowCalConstB,MATCH(AD430,FlowCalNumber,0),1,1)," ")</f>
        <v>#REF!</v>
      </c>
      <c r="AH431" s="33"/>
      <c r="AI431" s="260">
        <f>AI$17/100</f>
        <v>0.9</v>
      </c>
      <c r="AJ431" s="241" t="e">
        <f ca="1">AI431*$H431</f>
        <v>#REF!</v>
      </c>
      <c r="AK431" s="243" t="e">
        <f ca="1">IF(AND(INDEX(FlowCalConstA,MATCH(AH430,FlowCalNumber,0),1,1)*AJ431^INDEX(FlowCalConstB,MATCH(AH430,FlowCalNumber,0),1,1)&gt;INDEX(FlowCalLowSetting,MATCH(AH430,FlowCalNumber,0),1,1), (INDEX(FlowCalConstA,MATCH(AH430,FlowCalNumber,0),1,1)*AJ431^INDEX(FlowCalConstB,MATCH(AH430,FlowCalNumber,0),1,1)&lt;INDEX(FlowCalHighSetting,MATCH(AH430,FlowCalNumber,0),1,1))),INDEX(FlowCalConstA,MATCH(AH430,FlowCalNumber,0),1,1)*AJ431^INDEX(FlowCalConstB,MATCH(AH430,FlowCalNumber,0),1,1)," ")</f>
        <v>#REF!</v>
      </c>
      <c r="AL431" s="33"/>
      <c r="AM431" s="260"/>
      <c r="AN431" s="241"/>
      <c r="AO431" s="244"/>
      <c r="AQ431" s="260"/>
      <c r="AR431" s="241"/>
      <c r="AS431" s="244"/>
      <c r="AT431" s="33"/>
      <c r="AU431" s="260"/>
      <c r="AV431" s="241"/>
      <c r="AW431" s="244"/>
      <c r="AX431" s="33"/>
      <c r="AY431" s="260"/>
      <c r="AZ431" s="241"/>
      <c r="BA431" s="244"/>
      <c r="BB431" s="33"/>
      <c r="BC431" s="260"/>
      <c r="BD431" s="241"/>
      <c r="BE431" s="244"/>
      <c r="BF431" s="33"/>
      <c r="BG431" s="260"/>
      <c r="BH431" s="241"/>
      <c r="BI431" s="244"/>
      <c r="BJ431" s="33"/>
      <c r="BK431" s="260"/>
      <c r="BL431" s="241"/>
      <c r="BM431" s="244"/>
      <c r="BN431" s="33"/>
      <c r="BO431" s="260"/>
      <c r="BP431" s="241"/>
      <c r="BQ431" s="244"/>
      <c r="BR431" s="33"/>
      <c r="BS431" s="260"/>
      <c r="BT431" s="241"/>
      <c r="BU431" s="244"/>
      <c r="BV431" s="33"/>
      <c r="BW431" s="260"/>
      <c r="BX431" s="241"/>
      <c r="BY431" s="244"/>
      <c r="BZ431" s="33"/>
      <c r="CA431" s="260"/>
      <c r="CB431" s="241"/>
      <c r="CC431" s="244"/>
      <c r="CD431" s="243"/>
      <c r="CE431" s="243"/>
      <c r="CF431" s="243"/>
      <c r="CG431" s="243"/>
      <c r="CH431" s="243"/>
      <c r="CI431" s="243"/>
      <c r="CJ431" s="243"/>
      <c r="CK431" s="243"/>
      <c r="CL431" s="243"/>
      <c r="CM431" s="243"/>
      <c r="CN431" s="243"/>
      <c r="CO431" s="243"/>
      <c r="CP431" s="243"/>
      <c r="CQ431" s="243"/>
      <c r="CR431" s="243"/>
      <c r="CS431" s="243"/>
      <c r="CT431" s="243"/>
      <c r="CU431" s="243"/>
      <c r="CV431" s="243"/>
      <c r="CW431" s="243"/>
      <c r="CX431" s="243"/>
      <c r="CY431" s="243"/>
      <c r="CZ431" s="243"/>
      <c r="DA431" s="243"/>
      <c r="DB431" s="243"/>
      <c r="DC431" s="243"/>
      <c r="DD431" s="243"/>
      <c r="DE431" s="243"/>
      <c r="DF431" s="243"/>
      <c r="DG431" s="243"/>
      <c r="DH431" s="243"/>
      <c r="DI431" s="243"/>
      <c r="DJ431" s="243"/>
      <c r="DK431" s="243"/>
      <c r="DM431" s="259"/>
      <c r="DO431" s="243"/>
      <c r="DQ431" s="259"/>
      <c r="DS431" s="243"/>
      <c r="DU431" s="259"/>
      <c r="DW431" s="243"/>
      <c r="DY431" s="260"/>
      <c r="EA431" s="243"/>
    </row>
    <row r="432" spans="1:131">
      <c r="A432" s="20"/>
      <c r="B432" s="124" t="str">
        <f t="shared" si="406"/>
        <v/>
      </c>
      <c r="C432" s="235"/>
      <c r="D432" s="24">
        <f>'1% Wind'!$M$83</f>
        <v>23.5</v>
      </c>
      <c r="E432" s="90"/>
      <c r="F432" s="90"/>
      <c r="G432" s="79" t="e">
        <f ca="1">IF(I430=0.9743,$G431,MAX(G431/D431*D432,2))</f>
        <v>#REF!</v>
      </c>
      <c r="H432" s="121" t="e">
        <f t="shared" ca="1" si="407"/>
        <v>#REF!</v>
      </c>
      <c r="J432" s="33"/>
      <c r="K432" s="242">
        <f t="shared" ref="K432:K445" si="408">K431</f>
        <v>1</v>
      </c>
      <c r="L432" s="241" t="e">
        <f t="shared" ref="L432:L445" ca="1" si="409">K432*$H432</f>
        <v>#REF!</v>
      </c>
      <c r="M432" s="243" t="e">
        <f ca="1">IF(AND(INDEX(FlowCalConstA,MATCH(J430,FlowCalNumber,0),1,1)*L432^INDEX(FlowCalConstB,MATCH(J430,FlowCalNumber,0),1,1)&gt;INDEX(FlowCalLowSetting,MATCH(J430,FlowCalNumber,0),1,1), (INDEX(FlowCalConstA,MATCH(J430,FlowCalNumber,0),1,1)*L432^INDEX(FlowCalConstB,MATCH(J430,FlowCalNumber,0),1,1)&lt;INDEX(FlowCalHighSetting,MATCH(J430,FlowCalNumber,0),1,1))),INDEX(FlowCalConstA,MATCH(J430,FlowCalNumber,0),1,1)*L432^INDEX(FlowCalConstB,MATCH(J430,FlowCalNumber,0),1,1)," ")</f>
        <v>#REF!</v>
      </c>
      <c r="N432" s="33"/>
      <c r="O432" s="242">
        <f t="shared" ref="O432:O445" si="410">O431</f>
        <v>1</v>
      </c>
      <c r="P432" s="241" t="e">
        <f t="shared" ref="P432:P445" ca="1" si="411">O432*$H432</f>
        <v>#REF!</v>
      </c>
      <c r="Q432" s="243" t="e">
        <f ca="1">IF(AND(INDEX(FlowCalConstA,MATCH(N430,FlowCalNumber,0),1,1)*P432^INDEX(FlowCalConstB,MATCH(N430,FlowCalNumber,0),1,1)&gt;INDEX(FlowCalLowSetting,MATCH(N430,FlowCalNumber,0),1,1), (INDEX(FlowCalConstA,MATCH(N430,FlowCalNumber,0),1,1)*P432^INDEX(FlowCalConstB,MATCH(N430,FlowCalNumber,0),1,1)&lt;INDEX(FlowCalHighSetting,MATCH(N430,FlowCalNumber,0),1,1))),INDEX(FlowCalConstA,MATCH(N430,FlowCalNumber,0),1,1)*P432^INDEX(FlowCalConstB,MATCH(N430,FlowCalNumber,0),1,1)," ")</f>
        <v>#REF!</v>
      </c>
      <c r="R432" s="33"/>
      <c r="S432" s="242">
        <f t="shared" ref="S432:S445" si="412">S431</f>
        <v>1</v>
      </c>
      <c r="T432" s="241" t="e">
        <f t="shared" ref="T432:T445" ca="1" si="413">S432*$H432</f>
        <v>#REF!</v>
      </c>
      <c r="U432" s="244" t="e">
        <f ca="1">IF(AND(INDEX(FlowCalConstA,MATCH(R430,FlowCalNumber,0),1,1)*T432^INDEX(FlowCalConstB,MATCH(R430,FlowCalNumber,0),1,1)&gt;INDEX(FlowCalLowSetting,MATCH(R430,FlowCalNumber,0),1,1), (INDEX(FlowCalConstA,MATCH(R430,FlowCalNumber,0),1,1)*T432^INDEX(FlowCalConstB,MATCH(R430,FlowCalNumber,0),1,1)&lt;INDEX(FlowCalHighSetting,MATCH(R430,FlowCalNumber,0),1,1))),INDEX(FlowCalConstA,MATCH(R430,FlowCalNumber,0),1,1)*T432^INDEX(FlowCalConstB,MATCH(R430,FlowCalNumber,0),1,1)," ")</f>
        <v>#REF!</v>
      </c>
      <c r="V432" s="33"/>
      <c r="W432" s="242">
        <f t="shared" ref="W432:W445" si="414">W431</f>
        <v>0.1</v>
      </c>
      <c r="X432" s="241" t="e">
        <f t="shared" ref="X432:X445" ca="1" si="415">W432*$H432</f>
        <v>#REF!</v>
      </c>
      <c r="Y432" s="243" t="e">
        <f ca="1">IF(AND(INDEX(FlowCalConstA,MATCH(V430,FlowCalNumber,0),1,1)*X432^INDEX(FlowCalConstB,MATCH(V430,FlowCalNumber,0),1,1)&gt;INDEX(FlowCalLowSetting,MATCH(V430,FlowCalNumber,0),1,1), (INDEX(FlowCalConstA,MATCH(V430,FlowCalNumber,0),1,1)*X432^INDEX(FlowCalConstB,MATCH(V430,FlowCalNumber,0),1,1)&lt;INDEX(FlowCalHighSetting,MATCH(V430,FlowCalNumber,0),1,1))),INDEX(FlowCalConstA,MATCH(V430,FlowCalNumber,0),1,1)*X432^INDEX(FlowCalConstB,MATCH(V430,FlowCalNumber,0),1,1)," ")</f>
        <v>#REF!</v>
      </c>
      <c r="Z432" s="33"/>
      <c r="AA432" s="242">
        <f t="shared" ref="AA432:AA445" si="416">AA431</f>
        <v>0.9</v>
      </c>
      <c r="AB432" s="241" t="e">
        <f t="shared" ref="AB432:AB445" ca="1" si="417">AA432*$H432</f>
        <v>#REF!</v>
      </c>
      <c r="AC432" s="243" t="e">
        <f ca="1">IF(AND(INDEX(FlowCalConstA,MATCH(Z430,FlowCalNumber,0),1,1)*AB432^INDEX(FlowCalConstB,MATCH(Z430,FlowCalNumber,0),1,1)&gt;INDEX(FlowCalLowSetting,MATCH(Z430,FlowCalNumber,0),1,1), (INDEX(FlowCalConstA,MATCH(Z430,FlowCalNumber,0),1,1)*AB432^INDEX(FlowCalConstB,MATCH(Z430,FlowCalNumber,0),1,1)&lt;INDEX(FlowCalHighSetting,MATCH(Z430,FlowCalNumber,0),1,1))),INDEX(FlowCalConstA,MATCH(Z430,FlowCalNumber,0),1,1)*AB432^INDEX(FlowCalConstB,MATCH(Z430,FlowCalNumber,0),1,1)," ")</f>
        <v>#REF!</v>
      </c>
      <c r="AD432" s="33"/>
      <c r="AE432" s="242">
        <f t="shared" ref="AE432:AE445" si="418">AE431</f>
        <v>0.1</v>
      </c>
      <c r="AF432" s="241" t="e">
        <f t="shared" ref="AF432:AF445" ca="1" si="419">AE432*$H432</f>
        <v>#REF!</v>
      </c>
      <c r="AG432" s="243" t="e">
        <f ca="1">IF(AND(INDEX(FlowCalConstA,MATCH(AD430,FlowCalNumber,0),1,1)*AF432^INDEX(FlowCalConstB,MATCH(AD430,FlowCalNumber,0),1,1)&gt;INDEX(FlowCalLowSetting,MATCH(AD430,FlowCalNumber,0),1,1), (INDEX(FlowCalConstA,MATCH(AD430,FlowCalNumber,0),1,1)*AF432^INDEX(FlowCalConstB,MATCH(AD430,FlowCalNumber,0),1,1)&lt;INDEX(FlowCalHighSetting,MATCH(AD430,FlowCalNumber,0),1,1))),INDEX(FlowCalConstA,MATCH(AD430,FlowCalNumber,0),1,1)*AF432^INDEX(FlowCalConstB,MATCH(AD430,FlowCalNumber,0),1,1)," ")</f>
        <v>#REF!</v>
      </c>
      <c r="AH432" s="33"/>
      <c r="AI432" s="242">
        <f t="shared" ref="AI432:AI445" si="420">AI431</f>
        <v>0.9</v>
      </c>
      <c r="AJ432" s="241" t="e">
        <f t="shared" ref="AJ432:AJ445" ca="1" si="421">AI432*$H432</f>
        <v>#REF!</v>
      </c>
      <c r="AK432" s="243" t="e">
        <f ca="1">IF(AND(INDEX(FlowCalConstA,MATCH(AH430,FlowCalNumber,0),1,1)*AJ432^INDEX(FlowCalConstB,MATCH(AH430,FlowCalNumber,0),1,1)&gt;INDEX(FlowCalLowSetting,MATCH(AH430,FlowCalNumber,0),1,1), (INDEX(FlowCalConstA,MATCH(AH430,FlowCalNumber,0),1,1)*AJ432^INDEX(FlowCalConstB,MATCH(AH430,FlowCalNumber,0),1,1)&lt;INDEX(FlowCalHighSetting,MATCH(AH430,FlowCalNumber,0),1,1))),INDEX(FlowCalConstA,MATCH(AH430,FlowCalNumber,0),1,1)*AJ432^INDEX(FlowCalConstB,MATCH(AH430,FlowCalNumber,0),1,1)," ")</f>
        <v>#REF!</v>
      </c>
      <c r="AL432" s="33"/>
      <c r="AM432" s="242"/>
      <c r="AN432" s="241"/>
      <c r="AO432" s="244"/>
      <c r="AQ432" s="242"/>
      <c r="AR432" s="241"/>
      <c r="AS432" s="244"/>
      <c r="AT432" s="33"/>
      <c r="AU432" s="242"/>
      <c r="AV432" s="241"/>
      <c r="AW432" s="244"/>
      <c r="AX432" s="33"/>
      <c r="AY432" s="242"/>
      <c r="AZ432" s="241"/>
      <c r="BA432" s="244"/>
      <c r="BB432" s="33"/>
      <c r="BC432" s="242"/>
      <c r="BD432" s="241"/>
      <c r="BE432" s="244"/>
      <c r="BF432" s="33"/>
      <c r="BG432" s="242"/>
      <c r="BH432" s="241"/>
      <c r="BI432" s="244"/>
      <c r="BJ432" s="33"/>
      <c r="BK432" s="242"/>
      <c r="BL432" s="241"/>
      <c r="BM432" s="244"/>
      <c r="BN432" s="33"/>
      <c r="BO432" s="242"/>
      <c r="BP432" s="241"/>
      <c r="BQ432" s="244"/>
      <c r="BR432" s="33"/>
      <c r="BS432" s="242"/>
      <c r="BT432" s="241"/>
      <c r="BU432" s="244"/>
      <c r="BV432" s="33"/>
      <c r="BW432" s="242"/>
      <c r="BX432" s="241"/>
      <c r="BY432" s="244"/>
      <c r="BZ432" s="33"/>
      <c r="CA432" s="242"/>
      <c r="CB432" s="241"/>
      <c r="CC432" s="244"/>
      <c r="CD432" s="243"/>
      <c r="CE432" s="243"/>
      <c r="CF432" s="243"/>
      <c r="CG432" s="243"/>
      <c r="CH432" s="243"/>
      <c r="CI432" s="243"/>
      <c r="CJ432" s="243"/>
      <c r="CK432" s="243"/>
      <c r="CL432" s="243"/>
      <c r="CM432" s="243"/>
      <c r="CN432" s="243"/>
      <c r="CO432" s="243"/>
      <c r="CP432" s="243"/>
      <c r="CQ432" s="243"/>
      <c r="CR432" s="243"/>
      <c r="CS432" s="243"/>
      <c r="CT432" s="243"/>
      <c r="CU432" s="243"/>
      <c r="CV432" s="243"/>
      <c r="CW432" s="243"/>
      <c r="CX432" s="243"/>
      <c r="CY432" s="243"/>
      <c r="CZ432" s="243"/>
      <c r="DA432" s="243"/>
      <c r="DB432" s="243"/>
      <c r="DC432" s="243"/>
      <c r="DD432" s="243"/>
      <c r="DE432" s="243"/>
      <c r="DF432" s="243"/>
      <c r="DG432" s="243"/>
      <c r="DH432" s="243"/>
      <c r="DI432" s="243"/>
      <c r="DJ432" s="243"/>
      <c r="DK432" s="243"/>
      <c r="DM432" s="242"/>
      <c r="DO432" s="243"/>
      <c r="DQ432" s="242"/>
      <c r="DS432" s="243"/>
      <c r="DU432" s="242"/>
      <c r="DW432" s="243"/>
      <c r="DY432" s="242"/>
      <c r="EA432" s="243"/>
    </row>
    <row r="433" spans="1:131">
      <c r="A433" s="20"/>
      <c r="B433" s="124" t="str">
        <f t="shared" si="406"/>
        <v/>
      </c>
      <c r="C433" s="235"/>
      <c r="D433" s="24">
        <f>'1% Wind'!$M$84</f>
        <v>20.5</v>
      </c>
      <c r="E433" s="90"/>
      <c r="F433" s="90"/>
      <c r="G433" s="79" t="e">
        <f ca="1">IF(I430=0.9743,$G432,MAX(G432/D432*D433,2))</f>
        <v>#REF!</v>
      </c>
      <c r="H433" s="121" t="e">
        <f t="shared" ca="1" si="407"/>
        <v>#REF!</v>
      </c>
      <c r="J433" s="33"/>
      <c r="K433" s="242">
        <f t="shared" si="408"/>
        <v>1</v>
      </c>
      <c r="L433" s="241" t="e">
        <f t="shared" ca="1" si="409"/>
        <v>#REF!</v>
      </c>
      <c r="M433" s="243" t="e">
        <f ca="1">IF(AND(INDEX(FlowCalConstA,MATCH(J430,FlowCalNumber,0),1,1)*L433^INDEX(FlowCalConstB,MATCH(J430,FlowCalNumber,0),1,1)&gt;INDEX(FlowCalLowSetting,MATCH(J430,FlowCalNumber,0),1,1), (INDEX(FlowCalConstA,MATCH(J430,FlowCalNumber,0),1,1)*L433^INDEX(FlowCalConstB,MATCH(J430,FlowCalNumber,0),1,1)&lt;INDEX(FlowCalHighSetting,MATCH(J430,FlowCalNumber,0),1,1))),INDEX(FlowCalConstA,MATCH(J430,FlowCalNumber,0),1,1)*L433^INDEX(FlowCalConstB,MATCH(J430,FlowCalNumber,0),1,1)," ")</f>
        <v>#REF!</v>
      </c>
      <c r="N433" s="33"/>
      <c r="O433" s="242">
        <f t="shared" si="410"/>
        <v>1</v>
      </c>
      <c r="P433" s="241" t="e">
        <f t="shared" ca="1" si="411"/>
        <v>#REF!</v>
      </c>
      <c r="Q433" s="243" t="e">
        <f ca="1">IF(AND(INDEX(FlowCalConstA,MATCH(N430,FlowCalNumber,0),1,1)*P433^INDEX(FlowCalConstB,MATCH(N430,FlowCalNumber,0),1,1)&gt;INDEX(FlowCalLowSetting,MATCH(N430,FlowCalNumber,0),1,1), (INDEX(FlowCalConstA,MATCH(N430,FlowCalNumber,0),1,1)*P433^INDEX(FlowCalConstB,MATCH(N430,FlowCalNumber,0),1,1)&lt;INDEX(FlowCalHighSetting,MATCH(N430,FlowCalNumber,0),1,1))),INDEX(FlowCalConstA,MATCH(N430,FlowCalNumber,0),1,1)*P433^INDEX(FlowCalConstB,MATCH(N430,FlowCalNumber,0),1,1)," ")</f>
        <v>#REF!</v>
      </c>
      <c r="R433" s="33"/>
      <c r="S433" s="242">
        <f t="shared" si="412"/>
        <v>1</v>
      </c>
      <c r="T433" s="241" t="e">
        <f t="shared" ca="1" si="413"/>
        <v>#REF!</v>
      </c>
      <c r="U433" s="244" t="e">
        <f ca="1">IF(AND(INDEX(FlowCalConstA,MATCH(R430,FlowCalNumber,0),1,1)*T433^INDEX(FlowCalConstB,MATCH(R430,FlowCalNumber,0),1,1)&gt;INDEX(FlowCalLowSetting,MATCH(R430,FlowCalNumber,0),1,1), (INDEX(FlowCalConstA,MATCH(R430,FlowCalNumber,0),1,1)*T433^INDEX(FlowCalConstB,MATCH(R430,FlowCalNumber,0),1,1)&lt;INDEX(FlowCalHighSetting,MATCH(R430,FlowCalNumber,0),1,1))),INDEX(FlowCalConstA,MATCH(R430,FlowCalNumber,0),1,1)*T433^INDEX(FlowCalConstB,MATCH(R430,FlowCalNumber,0),1,1)," ")</f>
        <v>#REF!</v>
      </c>
      <c r="V433" s="33"/>
      <c r="W433" s="242">
        <f t="shared" si="414"/>
        <v>0.1</v>
      </c>
      <c r="X433" s="241" t="e">
        <f t="shared" ca="1" si="415"/>
        <v>#REF!</v>
      </c>
      <c r="Y433" s="243" t="e">
        <f ca="1">IF(AND(INDEX(FlowCalConstA,MATCH(V430,FlowCalNumber,0),1,1)*X433^INDEX(FlowCalConstB,MATCH(V430,FlowCalNumber,0),1,1)&gt;INDEX(FlowCalLowSetting,MATCH(V430,FlowCalNumber,0),1,1), (INDEX(FlowCalConstA,MATCH(V430,FlowCalNumber,0),1,1)*X433^INDEX(FlowCalConstB,MATCH(V430,FlowCalNumber,0),1,1)&lt;INDEX(FlowCalHighSetting,MATCH(V430,FlowCalNumber,0),1,1))),INDEX(FlowCalConstA,MATCH(V430,FlowCalNumber,0),1,1)*X433^INDEX(FlowCalConstB,MATCH(V430,FlowCalNumber,0),1,1)," ")</f>
        <v>#REF!</v>
      </c>
      <c r="Z433" s="33"/>
      <c r="AA433" s="242">
        <f t="shared" si="416"/>
        <v>0.9</v>
      </c>
      <c r="AB433" s="241" t="e">
        <f t="shared" ca="1" si="417"/>
        <v>#REF!</v>
      </c>
      <c r="AC433" s="243" t="e">
        <f ca="1">IF(AND(INDEX(FlowCalConstA,MATCH(Z430,FlowCalNumber,0),1,1)*AB433^INDEX(FlowCalConstB,MATCH(Z430,FlowCalNumber,0),1,1)&gt;INDEX(FlowCalLowSetting,MATCH(Z430,FlowCalNumber,0),1,1), (INDEX(FlowCalConstA,MATCH(Z430,FlowCalNumber,0),1,1)*AB433^INDEX(FlowCalConstB,MATCH(Z430,FlowCalNumber,0),1,1)&lt;INDEX(FlowCalHighSetting,MATCH(Z430,FlowCalNumber,0),1,1))),INDEX(FlowCalConstA,MATCH(Z430,FlowCalNumber,0),1,1)*AB433^INDEX(FlowCalConstB,MATCH(Z430,FlowCalNumber,0),1,1)," ")</f>
        <v>#REF!</v>
      </c>
      <c r="AD433" s="33"/>
      <c r="AE433" s="242">
        <f t="shared" si="418"/>
        <v>0.1</v>
      </c>
      <c r="AF433" s="241" t="e">
        <f t="shared" ca="1" si="419"/>
        <v>#REF!</v>
      </c>
      <c r="AG433" s="243" t="e">
        <f ca="1">IF(AND(INDEX(FlowCalConstA,MATCH(AD430,FlowCalNumber,0),1,1)*AF433^INDEX(FlowCalConstB,MATCH(AD430,FlowCalNumber,0),1,1)&gt;INDEX(FlowCalLowSetting,MATCH(AD430,FlowCalNumber,0),1,1), (INDEX(FlowCalConstA,MATCH(AD430,FlowCalNumber,0),1,1)*AF433^INDEX(FlowCalConstB,MATCH(AD430,FlowCalNumber,0),1,1)&lt;INDEX(FlowCalHighSetting,MATCH(AD430,FlowCalNumber,0),1,1))),INDEX(FlowCalConstA,MATCH(AD430,FlowCalNumber,0),1,1)*AF433^INDEX(FlowCalConstB,MATCH(AD430,FlowCalNumber,0),1,1)," ")</f>
        <v>#REF!</v>
      </c>
      <c r="AH433" s="33"/>
      <c r="AI433" s="242">
        <f t="shared" si="420"/>
        <v>0.9</v>
      </c>
      <c r="AJ433" s="241" t="e">
        <f t="shared" ca="1" si="421"/>
        <v>#REF!</v>
      </c>
      <c r="AK433" s="243" t="e">
        <f ca="1">IF(AND(INDEX(FlowCalConstA,MATCH(AH430,FlowCalNumber,0),1,1)*AJ433^INDEX(FlowCalConstB,MATCH(AH430,FlowCalNumber,0),1,1)&gt;INDEX(FlowCalLowSetting,MATCH(AH430,FlowCalNumber,0),1,1), (INDEX(FlowCalConstA,MATCH(AH430,FlowCalNumber,0),1,1)*AJ433^INDEX(FlowCalConstB,MATCH(AH430,FlowCalNumber,0),1,1)&lt;INDEX(FlowCalHighSetting,MATCH(AH430,FlowCalNumber,0),1,1))),INDEX(FlowCalConstA,MATCH(AH430,FlowCalNumber,0),1,1)*AJ433^INDEX(FlowCalConstB,MATCH(AH430,FlowCalNumber,0),1,1)," ")</f>
        <v>#REF!</v>
      </c>
      <c r="AL433" s="33"/>
      <c r="AM433" s="242"/>
      <c r="AN433" s="241"/>
      <c r="AO433" s="244"/>
      <c r="AQ433" s="242"/>
      <c r="AR433" s="241"/>
      <c r="AS433" s="244"/>
      <c r="AT433" s="33"/>
      <c r="AU433" s="242"/>
      <c r="AV433" s="241"/>
      <c r="AW433" s="244"/>
      <c r="AX433" s="33"/>
      <c r="AY433" s="242"/>
      <c r="AZ433" s="241"/>
      <c r="BA433" s="244"/>
      <c r="BB433" s="33"/>
      <c r="BC433" s="242"/>
      <c r="BD433" s="241"/>
      <c r="BE433" s="244"/>
      <c r="BF433" s="33"/>
      <c r="BG433" s="242"/>
      <c r="BH433" s="241"/>
      <c r="BI433" s="244"/>
      <c r="BJ433" s="33"/>
      <c r="BK433" s="242"/>
      <c r="BL433" s="241"/>
      <c r="BM433" s="244"/>
      <c r="BN433" s="33"/>
      <c r="BO433" s="242"/>
      <c r="BP433" s="241"/>
      <c r="BQ433" s="244"/>
      <c r="BR433" s="33"/>
      <c r="BS433" s="242"/>
      <c r="BT433" s="241"/>
      <c r="BU433" s="244"/>
      <c r="BV433" s="33"/>
      <c r="BW433" s="242"/>
      <c r="BX433" s="241"/>
      <c r="BY433" s="244"/>
      <c r="BZ433" s="33"/>
      <c r="CA433" s="242"/>
      <c r="CB433" s="241"/>
      <c r="CC433" s="244"/>
      <c r="CD433" s="243"/>
      <c r="CE433" s="243"/>
      <c r="CF433" s="243"/>
      <c r="CG433" s="243"/>
      <c r="CH433" s="243"/>
      <c r="CI433" s="243"/>
      <c r="CJ433" s="243"/>
      <c r="CK433" s="243"/>
      <c r="CL433" s="243"/>
      <c r="CM433" s="243"/>
      <c r="CN433" s="243"/>
      <c r="CO433" s="243"/>
      <c r="CP433" s="243"/>
      <c r="CQ433" s="243"/>
      <c r="CR433" s="243"/>
      <c r="CS433" s="243"/>
      <c r="CT433" s="243"/>
      <c r="CU433" s="243"/>
      <c r="CV433" s="243"/>
      <c r="CW433" s="243"/>
      <c r="CX433" s="243"/>
      <c r="CY433" s="243"/>
      <c r="CZ433" s="243"/>
      <c r="DA433" s="243"/>
      <c r="DB433" s="243"/>
      <c r="DC433" s="243"/>
      <c r="DD433" s="243"/>
      <c r="DE433" s="243"/>
      <c r="DF433" s="243"/>
      <c r="DG433" s="243"/>
      <c r="DH433" s="243"/>
      <c r="DI433" s="243"/>
      <c r="DJ433" s="243"/>
      <c r="DK433" s="243"/>
      <c r="DM433" s="242"/>
      <c r="DO433" s="243"/>
      <c r="DQ433" s="242"/>
      <c r="DS433" s="243"/>
      <c r="DU433" s="242"/>
      <c r="DW433" s="243"/>
      <c r="DY433" s="242"/>
      <c r="EA433" s="243"/>
    </row>
    <row r="434" spans="1:131">
      <c r="A434" s="20"/>
      <c r="B434" s="124" t="str">
        <f t="shared" si="406"/>
        <v/>
      </c>
      <c r="C434" s="235"/>
      <c r="D434" s="24">
        <f>'1% Wind'!$M$85</f>
        <v>17.8</v>
      </c>
      <c r="E434" s="90"/>
      <c r="F434" s="90"/>
      <c r="G434" s="79" t="e">
        <f ca="1">IF(I430=0.9743,$G433,MAX(G433/D433*D434,2))</f>
        <v>#REF!</v>
      </c>
      <c r="H434" s="121" t="e">
        <f t="shared" ca="1" si="407"/>
        <v>#REF!</v>
      </c>
      <c r="J434" s="33"/>
      <c r="K434" s="242">
        <f t="shared" si="408"/>
        <v>1</v>
      </c>
      <c r="L434" s="241" t="e">
        <f t="shared" ca="1" si="409"/>
        <v>#REF!</v>
      </c>
      <c r="M434" s="243" t="e">
        <f ca="1">IF(AND(INDEX(FlowCalConstA,MATCH(J430,FlowCalNumber,0),1,1)*L434^INDEX(FlowCalConstB,MATCH(J430,FlowCalNumber,0),1,1)&gt;INDEX(FlowCalLowSetting,MATCH(J430,FlowCalNumber,0),1,1), (INDEX(FlowCalConstA,MATCH(J430,FlowCalNumber,0),1,1)*L434^INDEX(FlowCalConstB,MATCH(J430,FlowCalNumber,0),1,1)&lt;INDEX(FlowCalHighSetting,MATCH(J430,FlowCalNumber,0),1,1))),INDEX(FlowCalConstA,MATCH(J430,FlowCalNumber,0),1,1)*L434^INDEX(FlowCalConstB,MATCH(J430,FlowCalNumber,0),1,1)," ")</f>
        <v>#REF!</v>
      </c>
      <c r="N434" s="33"/>
      <c r="O434" s="242">
        <f t="shared" si="410"/>
        <v>1</v>
      </c>
      <c r="P434" s="241" t="e">
        <f t="shared" ca="1" si="411"/>
        <v>#REF!</v>
      </c>
      <c r="Q434" s="243" t="e">
        <f ca="1">IF(AND(INDEX(FlowCalConstA,MATCH(N430,FlowCalNumber,0),1,1)*P434^INDEX(FlowCalConstB,MATCH(N430,FlowCalNumber,0),1,1)&gt;INDEX(FlowCalLowSetting,MATCH(N430,FlowCalNumber,0),1,1), (INDEX(FlowCalConstA,MATCH(N430,FlowCalNumber,0),1,1)*P434^INDEX(FlowCalConstB,MATCH(N430,FlowCalNumber,0),1,1)&lt;INDEX(FlowCalHighSetting,MATCH(N430,FlowCalNumber,0),1,1))),INDEX(FlowCalConstA,MATCH(N430,FlowCalNumber,0),1,1)*P434^INDEX(FlowCalConstB,MATCH(N430,FlowCalNumber,0),1,1)," ")</f>
        <v>#REF!</v>
      </c>
      <c r="R434" s="33"/>
      <c r="S434" s="242">
        <f t="shared" si="412"/>
        <v>1</v>
      </c>
      <c r="T434" s="241" t="e">
        <f t="shared" ca="1" si="413"/>
        <v>#REF!</v>
      </c>
      <c r="U434" s="244" t="e">
        <f ca="1">IF(AND(INDEX(FlowCalConstA,MATCH(R430,FlowCalNumber,0),1,1)*T434^INDEX(FlowCalConstB,MATCH(R430,FlowCalNumber,0),1,1)&gt;INDEX(FlowCalLowSetting,MATCH(R430,FlowCalNumber,0),1,1), (INDEX(FlowCalConstA,MATCH(R430,FlowCalNumber,0),1,1)*T434^INDEX(FlowCalConstB,MATCH(R430,FlowCalNumber,0),1,1)&lt;INDEX(FlowCalHighSetting,MATCH(R430,FlowCalNumber,0),1,1))),INDEX(FlowCalConstA,MATCH(R430,FlowCalNumber,0),1,1)*T434^INDEX(FlowCalConstB,MATCH(R430,FlowCalNumber,0),1,1)," ")</f>
        <v>#REF!</v>
      </c>
      <c r="V434" s="33"/>
      <c r="W434" s="242">
        <f t="shared" si="414"/>
        <v>0.1</v>
      </c>
      <c r="X434" s="241" t="e">
        <f t="shared" ca="1" si="415"/>
        <v>#REF!</v>
      </c>
      <c r="Y434" s="243" t="e">
        <f ca="1">IF(AND(INDEX(FlowCalConstA,MATCH(V430,FlowCalNumber,0),1,1)*X434^INDEX(FlowCalConstB,MATCH(V430,FlowCalNumber,0),1,1)&gt;INDEX(FlowCalLowSetting,MATCH(V430,FlowCalNumber,0),1,1), (INDEX(FlowCalConstA,MATCH(V430,FlowCalNumber,0),1,1)*X434^INDEX(FlowCalConstB,MATCH(V430,FlowCalNumber,0),1,1)&lt;INDEX(FlowCalHighSetting,MATCH(V430,FlowCalNumber,0),1,1))),INDEX(FlowCalConstA,MATCH(V430,FlowCalNumber,0),1,1)*X434^INDEX(FlowCalConstB,MATCH(V430,FlowCalNumber,0),1,1)," ")</f>
        <v>#REF!</v>
      </c>
      <c r="Z434" s="33"/>
      <c r="AA434" s="242">
        <f t="shared" si="416"/>
        <v>0.9</v>
      </c>
      <c r="AB434" s="241" t="e">
        <f t="shared" ca="1" si="417"/>
        <v>#REF!</v>
      </c>
      <c r="AC434" s="243" t="e">
        <f ca="1">IF(AND(INDEX(FlowCalConstA,MATCH(Z430,FlowCalNumber,0),1,1)*AB434^INDEX(FlowCalConstB,MATCH(Z430,FlowCalNumber,0),1,1)&gt;INDEX(FlowCalLowSetting,MATCH(Z430,FlowCalNumber,0),1,1), (INDEX(FlowCalConstA,MATCH(Z430,FlowCalNumber,0),1,1)*AB434^INDEX(FlowCalConstB,MATCH(Z430,FlowCalNumber,0),1,1)&lt;INDEX(FlowCalHighSetting,MATCH(Z430,FlowCalNumber,0),1,1))),INDEX(FlowCalConstA,MATCH(Z430,FlowCalNumber,0),1,1)*AB434^INDEX(FlowCalConstB,MATCH(Z430,FlowCalNumber,0),1,1)," ")</f>
        <v>#REF!</v>
      </c>
      <c r="AD434" s="33"/>
      <c r="AE434" s="242">
        <f t="shared" si="418"/>
        <v>0.1</v>
      </c>
      <c r="AF434" s="241" t="e">
        <f t="shared" ca="1" si="419"/>
        <v>#REF!</v>
      </c>
      <c r="AG434" s="243" t="e">
        <f ca="1">IF(AND(INDEX(FlowCalConstA,MATCH(AD430,FlowCalNumber,0),1,1)*AF434^INDEX(FlowCalConstB,MATCH(AD430,FlowCalNumber,0),1,1)&gt;INDEX(FlowCalLowSetting,MATCH(AD430,FlowCalNumber,0),1,1), (INDEX(FlowCalConstA,MATCH(AD430,FlowCalNumber,0),1,1)*AF434^INDEX(FlowCalConstB,MATCH(AD430,FlowCalNumber,0),1,1)&lt;INDEX(FlowCalHighSetting,MATCH(AD430,FlowCalNumber,0),1,1))),INDEX(FlowCalConstA,MATCH(AD430,FlowCalNumber,0),1,1)*AF434^INDEX(FlowCalConstB,MATCH(AD430,FlowCalNumber,0),1,1)," ")</f>
        <v>#REF!</v>
      </c>
      <c r="AH434" s="33"/>
      <c r="AI434" s="242">
        <f t="shared" si="420"/>
        <v>0.9</v>
      </c>
      <c r="AJ434" s="241" t="e">
        <f t="shared" ca="1" si="421"/>
        <v>#REF!</v>
      </c>
      <c r="AK434" s="243" t="e">
        <f ca="1">IF(AND(INDEX(FlowCalConstA,MATCH(AH430,FlowCalNumber,0),1,1)*AJ434^INDEX(FlowCalConstB,MATCH(AH430,FlowCalNumber,0),1,1)&gt;INDEX(FlowCalLowSetting,MATCH(AH430,FlowCalNumber,0),1,1), (INDEX(FlowCalConstA,MATCH(AH430,FlowCalNumber,0),1,1)*AJ434^INDEX(FlowCalConstB,MATCH(AH430,FlowCalNumber,0),1,1)&lt;INDEX(FlowCalHighSetting,MATCH(AH430,FlowCalNumber,0),1,1))),INDEX(FlowCalConstA,MATCH(AH430,FlowCalNumber,0),1,1)*AJ434^INDEX(FlowCalConstB,MATCH(AH430,FlowCalNumber,0),1,1)," ")</f>
        <v>#REF!</v>
      </c>
      <c r="AL434" s="33"/>
      <c r="AM434" s="242"/>
      <c r="AN434" s="241"/>
      <c r="AO434" s="244"/>
      <c r="AQ434" s="242"/>
      <c r="AR434" s="241"/>
      <c r="AS434" s="244"/>
      <c r="AT434" s="33"/>
      <c r="AU434" s="242"/>
      <c r="AV434" s="241"/>
      <c r="AW434" s="244"/>
      <c r="AX434" s="33"/>
      <c r="AY434" s="242"/>
      <c r="AZ434" s="241"/>
      <c r="BA434" s="244"/>
      <c r="BB434" s="33"/>
      <c r="BC434" s="242"/>
      <c r="BD434" s="241"/>
      <c r="BE434" s="244"/>
      <c r="BF434" s="33"/>
      <c r="BG434" s="242"/>
      <c r="BH434" s="241"/>
      <c r="BI434" s="244"/>
      <c r="BJ434" s="33"/>
      <c r="BK434" s="242"/>
      <c r="BL434" s="241"/>
      <c r="BM434" s="244"/>
      <c r="BN434" s="33"/>
      <c r="BO434" s="242"/>
      <c r="BP434" s="241"/>
      <c r="BQ434" s="244"/>
      <c r="BR434" s="33"/>
      <c r="BS434" s="242"/>
      <c r="BT434" s="241"/>
      <c r="BU434" s="244"/>
      <c r="BV434" s="33"/>
      <c r="BW434" s="242"/>
      <c r="BX434" s="241"/>
      <c r="BY434" s="244"/>
      <c r="BZ434" s="33"/>
      <c r="CA434" s="242"/>
      <c r="CB434" s="241"/>
      <c r="CC434" s="244"/>
      <c r="CD434" s="243"/>
      <c r="CE434" s="243"/>
      <c r="CF434" s="243"/>
      <c r="CG434" s="243"/>
      <c r="CH434" s="243"/>
      <c r="CI434" s="243"/>
      <c r="CJ434" s="243"/>
      <c r="CK434" s="243"/>
      <c r="CL434" s="243"/>
      <c r="CM434" s="243"/>
      <c r="CN434" s="243"/>
      <c r="CO434" s="243"/>
      <c r="CP434" s="243"/>
      <c r="CQ434" s="243"/>
      <c r="CR434" s="243"/>
      <c r="CS434" s="243"/>
      <c r="CT434" s="243"/>
      <c r="CU434" s="243"/>
      <c r="CV434" s="243"/>
      <c r="CW434" s="243"/>
      <c r="CX434" s="243"/>
      <c r="CY434" s="243"/>
      <c r="CZ434" s="243"/>
      <c r="DA434" s="243"/>
      <c r="DB434" s="243"/>
      <c r="DC434" s="243"/>
      <c r="DD434" s="243"/>
      <c r="DE434" s="243"/>
      <c r="DF434" s="243"/>
      <c r="DG434" s="243"/>
      <c r="DH434" s="243"/>
      <c r="DI434" s="243"/>
      <c r="DJ434" s="243"/>
      <c r="DK434" s="243"/>
      <c r="DM434" s="242"/>
      <c r="DO434" s="243"/>
      <c r="DQ434" s="242"/>
      <c r="DS434" s="243"/>
      <c r="DU434" s="242"/>
      <c r="DW434" s="243"/>
      <c r="DY434" s="242"/>
      <c r="EA434" s="243"/>
    </row>
    <row r="435" spans="1:131">
      <c r="A435" s="20"/>
      <c r="B435" s="124" t="str">
        <f t="shared" si="406"/>
        <v/>
      </c>
      <c r="C435" s="235"/>
      <c r="D435" s="24">
        <f>'1% Wind'!$M$86</f>
        <v>15.5</v>
      </c>
      <c r="E435" s="90"/>
      <c r="F435" s="90"/>
      <c r="G435" s="79" t="e">
        <f ca="1">IF(I430=0.9743,$G434,MAX(G434/D434*D435,2))</f>
        <v>#REF!</v>
      </c>
      <c r="H435" s="121" t="e">
        <f t="shared" ca="1" si="407"/>
        <v>#REF!</v>
      </c>
      <c r="J435" s="33"/>
      <c r="K435" s="242">
        <f t="shared" si="408"/>
        <v>1</v>
      </c>
      <c r="L435" s="241" t="e">
        <f t="shared" ca="1" si="409"/>
        <v>#REF!</v>
      </c>
      <c r="M435" s="243" t="e">
        <f ca="1">IF(AND(INDEX(FlowCalConstA,MATCH(J430,FlowCalNumber,0),1,1)*L435^INDEX(FlowCalConstB,MATCH(J430,FlowCalNumber,0),1,1)&gt;INDEX(FlowCalLowSetting,MATCH(J430,FlowCalNumber,0),1,1), (INDEX(FlowCalConstA,MATCH(J430,FlowCalNumber,0),1,1)*L435^INDEX(FlowCalConstB,MATCH(J430,FlowCalNumber,0),1,1)&lt;INDEX(FlowCalHighSetting,MATCH(J430,FlowCalNumber,0),1,1))),INDEX(FlowCalConstA,MATCH(J430,FlowCalNumber,0),1,1)*L435^INDEX(FlowCalConstB,MATCH(J430,FlowCalNumber,0),1,1)," ")</f>
        <v>#REF!</v>
      </c>
      <c r="N435" s="33"/>
      <c r="O435" s="242">
        <f t="shared" si="410"/>
        <v>1</v>
      </c>
      <c r="P435" s="241" t="e">
        <f t="shared" ca="1" si="411"/>
        <v>#REF!</v>
      </c>
      <c r="Q435" s="243" t="e">
        <f ca="1">IF(AND(INDEX(FlowCalConstA,MATCH(N430,FlowCalNumber,0),1,1)*P435^INDEX(FlowCalConstB,MATCH(N430,FlowCalNumber,0),1,1)&gt;INDEX(FlowCalLowSetting,MATCH(N430,FlowCalNumber,0),1,1), (INDEX(FlowCalConstA,MATCH(N430,FlowCalNumber,0),1,1)*P435^INDEX(FlowCalConstB,MATCH(N430,FlowCalNumber,0),1,1)&lt;INDEX(FlowCalHighSetting,MATCH(N430,FlowCalNumber,0),1,1))),INDEX(FlowCalConstA,MATCH(N430,FlowCalNumber,0),1,1)*P435^INDEX(FlowCalConstB,MATCH(N430,FlowCalNumber,0),1,1)," ")</f>
        <v>#REF!</v>
      </c>
      <c r="R435" s="33"/>
      <c r="S435" s="242">
        <f t="shared" si="412"/>
        <v>1</v>
      </c>
      <c r="T435" s="241" t="e">
        <f t="shared" ca="1" si="413"/>
        <v>#REF!</v>
      </c>
      <c r="U435" s="244" t="e">
        <f ca="1">IF(AND(INDEX(FlowCalConstA,MATCH(R430,FlowCalNumber,0),1,1)*T435^INDEX(FlowCalConstB,MATCH(R430,FlowCalNumber,0),1,1)&gt;INDEX(FlowCalLowSetting,MATCH(R430,FlowCalNumber,0),1,1), (INDEX(FlowCalConstA,MATCH(R430,FlowCalNumber,0),1,1)*T435^INDEX(FlowCalConstB,MATCH(R430,FlowCalNumber,0),1,1)&lt;INDEX(FlowCalHighSetting,MATCH(R430,FlowCalNumber,0),1,1))),INDEX(FlowCalConstA,MATCH(R430,FlowCalNumber,0),1,1)*T435^INDEX(FlowCalConstB,MATCH(R430,FlowCalNumber,0),1,1)," ")</f>
        <v>#REF!</v>
      </c>
      <c r="V435" s="33"/>
      <c r="W435" s="242">
        <f t="shared" si="414"/>
        <v>0.1</v>
      </c>
      <c r="X435" s="241" t="e">
        <f t="shared" ca="1" si="415"/>
        <v>#REF!</v>
      </c>
      <c r="Y435" s="243" t="e">
        <f ca="1">IF(AND(INDEX(FlowCalConstA,MATCH(V430,FlowCalNumber,0),1,1)*X435^INDEX(FlowCalConstB,MATCH(V430,FlowCalNumber,0),1,1)&gt;INDEX(FlowCalLowSetting,MATCH(V430,FlowCalNumber,0),1,1), (INDEX(FlowCalConstA,MATCH(V430,FlowCalNumber,0),1,1)*X435^INDEX(FlowCalConstB,MATCH(V430,FlowCalNumber,0),1,1)&lt;INDEX(FlowCalHighSetting,MATCH(V430,FlowCalNumber,0),1,1))),INDEX(FlowCalConstA,MATCH(V430,FlowCalNumber,0),1,1)*X435^INDEX(FlowCalConstB,MATCH(V430,FlowCalNumber,0),1,1)," ")</f>
        <v>#REF!</v>
      </c>
      <c r="Z435" s="33"/>
      <c r="AA435" s="242">
        <f t="shared" si="416"/>
        <v>0.9</v>
      </c>
      <c r="AB435" s="241" t="e">
        <f t="shared" ca="1" si="417"/>
        <v>#REF!</v>
      </c>
      <c r="AC435" s="243" t="e">
        <f ca="1">IF(AND(INDEX(FlowCalConstA,MATCH(Z430,FlowCalNumber,0),1,1)*AB435^INDEX(FlowCalConstB,MATCH(Z430,FlowCalNumber,0),1,1)&gt;INDEX(FlowCalLowSetting,MATCH(Z430,FlowCalNumber,0),1,1), (INDEX(FlowCalConstA,MATCH(Z430,FlowCalNumber,0),1,1)*AB435^INDEX(FlowCalConstB,MATCH(Z430,FlowCalNumber,0),1,1)&lt;INDEX(FlowCalHighSetting,MATCH(Z430,FlowCalNumber,0),1,1))),INDEX(FlowCalConstA,MATCH(Z430,FlowCalNumber,0),1,1)*AB435^INDEX(FlowCalConstB,MATCH(Z430,FlowCalNumber,0),1,1)," ")</f>
        <v>#REF!</v>
      </c>
      <c r="AD435" s="33"/>
      <c r="AE435" s="242">
        <f t="shared" si="418"/>
        <v>0.1</v>
      </c>
      <c r="AF435" s="241" t="e">
        <f t="shared" ca="1" si="419"/>
        <v>#REF!</v>
      </c>
      <c r="AG435" s="243" t="e">
        <f ca="1">IF(AND(INDEX(FlowCalConstA,MATCH(AD430,FlowCalNumber,0),1,1)*AF435^INDEX(FlowCalConstB,MATCH(AD430,FlowCalNumber,0),1,1)&gt;INDEX(FlowCalLowSetting,MATCH(AD430,FlowCalNumber,0),1,1), (INDEX(FlowCalConstA,MATCH(AD430,FlowCalNumber,0),1,1)*AF435^INDEX(FlowCalConstB,MATCH(AD430,FlowCalNumber,0),1,1)&lt;INDEX(FlowCalHighSetting,MATCH(AD430,FlowCalNumber,0),1,1))),INDEX(FlowCalConstA,MATCH(AD430,FlowCalNumber,0),1,1)*AF435^INDEX(FlowCalConstB,MATCH(AD430,FlowCalNumber,0),1,1)," ")</f>
        <v>#REF!</v>
      </c>
      <c r="AH435" s="33"/>
      <c r="AI435" s="242">
        <f t="shared" si="420"/>
        <v>0.9</v>
      </c>
      <c r="AJ435" s="241" t="e">
        <f t="shared" ca="1" si="421"/>
        <v>#REF!</v>
      </c>
      <c r="AK435" s="243" t="e">
        <f ca="1">IF(AND(INDEX(FlowCalConstA,MATCH(AH430,FlowCalNumber,0),1,1)*AJ435^INDEX(FlowCalConstB,MATCH(AH430,FlowCalNumber,0),1,1)&gt;INDEX(FlowCalLowSetting,MATCH(AH430,FlowCalNumber,0),1,1), (INDEX(FlowCalConstA,MATCH(AH430,FlowCalNumber,0),1,1)*AJ435^INDEX(FlowCalConstB,MATCH(AH430,FlowCalNumber,0),1,1)&lt;INDEX(FlowCalHighSetting,MATCH(AH430,FlowCalNumber,0),1,1))),INDEX(FlowCalConstA,MATCH(AH430,FlowCalNumber,0),1,1)*AJ435^INDEX(FlowCalConstB,MATCH(AH430,FlowCalNumber,0),1,1)," ")</f>
        <v>#REF!</v>
      </c>
      <c r="AL435" s="33"/>
      <c r="AM435" s="242"/>
      <c r="AN435" s="241"/>
      <c r="AO435" s="244"/>
      <c r="AQ435" s="242"/>
      <c r="AR435" s="241"/>
      <c r="AS435" s="244"/>
      <c r="AT435" s="33"/>
      <c r="AU435" s="242"/>
      <c r="AV435" s="241"/>
      <c r="AW435" s="244"/>
      <c r="AX435" s="33"/>
      <c r="AY435" s="242"/>
      <c r="AZ435" s="241"/>
      <c r="BA435" s="244"/>
      <c r="BB435" s="33"/>
      <c r="BC435" s="242"/>
      <c r="BD435" s="241"/>
      <c r="BE435" s="244"/>
      <c r="BF435" s="33"/>
      <c r="BG435" s="242"/>
      <c r="BH435" s="241"/>
      <c r="BI435" s="244"/>
      <c r="BJ435" s="33"/>
      <c r="BK435" s="242"/>
      <c r="BL435" s="241"/>
      <c r="BM435" s="244"/>
      <c r="BN435" s="33"/>
      <c r="BO435" s="242"/>
      <c r="BP435" s="241"/>
      <c r="BQ435" s="244"/>
      <c r="BR435" s="33"/>
      <c r="BS435" s="242"/>
      <c r="BT435" s="241"/>
      <c r="BU435" s="244"/>
      <c r="BV435" s="33"/>
      <c r="BW435" s="242"/>
      <c r="BX435" s="241"/>
      <c r="BY435" s="244"/>
      <c r="BZ435" s="33"/>
      <c r="CA435" s="242"/>
      <c r="CB435" s="241"/>
      <c r="CC435" s="244"/>
      <c r="CD435" s="243"/>
      <c r="CE435" s="243"/>
      <c r="CF435" s="243"/>
      <c r="CG435" s="243"/>
      <c r="CH435" s="243"/>
      <c r="CI435" s="243"/>
      <c r="CJ435" s="243"/>
      <c r="CK435" s="243"/>
      <c r="CL435" s="243"/>
      <c r="CM435" s="243"/>
      <c r="CN435" s="243"/>
      <c r="CO435" s="243"/>
      <c r="CP435" s="243"/>
      <c r="CQ435" s="243"/>
      <c r="CR435" s="243"/>
      <c r="CS435" s="243"/>
      <c r="CT435" s="243"/>
      <c r="CU435" s="243"/>
      <c r="CV435" s="243"/>
      <c r="CW435" s="243"/>
      <c r="CX435" s="243"/>
      <c r="CY435" s="243"/>
      <c r="CZ435" s="243"/>
      <c r="DA435" s="243"/>
      <c r="DB435" s="243"/>
      <c r="DC435" s="243"/>
      <c r="DD435" s="243"/>
      <c r="DE435" s="243"/>
      <c r="DF435" s="243"/>
      <c r="DG435" s="243"/>
      <c r="DH435" s="243"/>
      <c r="DI435" s="243"/>
      <c r="DJ435" s="243"/>
      <c r="DK435" s="243"/>
      <c r="DM435" s="242"/>
      <c r="DO435" s="243"/>
      <c r="DQ435" s="242"/>
      <c r="DS435" s="243"/>
      <c r="DU435" s="242"/>
      <c r="DW435" s="243"/>
      <c r="DY435" s="242"/>
      <c r="EA435" s="243"/>
    </row>
    <row r="436" spans="1:131">
      <c r="A436" s="20"/>
      <c r="B436" s="124" t="str">
        <f t="shared" si="406"/>
        <v/>
      </c>
      <c r="C436" s="235"/>
      <c r="D436" s="24">
        <f>'1% Wind'!$M$87</f>
        <v>13.5</v>
      </c>
      <c r="E436" s="90"/>
      <c r="F436" s="90"/>
      <c r="G436" s="79" t="e">
        <f ca="1">IF(I430=0.9743,$G435,MAX(G435/D435*D436,2))</f>
        <v>#REF!</v>
      </c>
      <c r="H436" s="121" t="e">
        <f t="shared" ca="1" si="407"/>
        <v>#REF!</v>
      </c>
      <c r="J436" s="33"/>
      <c r="K436" s="242">
        <f t="shared" si="408"/>
        <v>1</v>
      </c>
      <c r="L436" s="241" t="e">
        <f t="shared" ca="1" si="409"/>
        <v>#REF!</v>
      </c>
      <c r="M436" s="243" t="e">
        <f ca="1">IF(AND(INDEX(FlowCalConstA,MATCH(J430,FlowCalNumber,0),1,1)*L436^INDEX(FlowCalConstB,MATCH(J430,FlowCalNumber,0),1,1)&gt;INDEX(FlowCalLowSetting,MATCH(J430,FlowCalNumber,0),1,1), (INDEX(FlowCalConstA,MATCH(J430,FlowCalNumber,0),1,1)*L436^INDEX(FlowCalConstB,MATCH(J430,FlowCalNumber,0),1,1)&lt;INDEX(FlowCalHighSetting,MATCH(J430,FlowCalNumber,0),1,1))),INDEX(FlowCalConstA,MATCH(J430,FlowCalNumber,0),1,1)*L436^INDEX(FlowCalConstB,MATCH(J430,FlowCalNumber,0),1,1)," ")</f>
        <v>#REF!</v>
      </c>
      <c r="N436" s="33"/>
      <c r="O436" s="242">
        <f t="shared" si="410"/>
        <v>1</v>
      </c>
      <c r="P436" s="241" t="e">
        <f t="shared" ca="1" si="411"/>
        <v>#REF!</v>
      </c>
      <c r="Q436" s="243" t="e">
        <f ca="1">IF(AND(INDEX(FlowCalConstA,MATCH(N430,FlowCalNumber,0),1,1)*P436^INDEX(FlowCalConstB,MATCH(N430,FlowCalNumber,0),1,1)&gt;INDEX(FlowCalLowSetting,MATCH(N430,FlowCalNumber,0),1,1), (INDEX(FlowCalConstA,MATCH(N430,FlowCalNumber,0),1,1)*P436^INDEX(FlowCalConstB,MATCH(N430,FlowCalNumber,0),1,1)&lt;INDEX(FlowCalHighSetting,MATCH(N430,FlowCalNumber,0),1,1))),INDEX(FlowCalConstA,MATCH(N430,FlowCalNumber,0),1,1)*P436^INDEX(FlowCalConstB,MATCH(N430,FlowCalNumber,0),1,1)," ")</f>
        <v>#REF!</v>
      </c>
      <c r="R436" s="33"/>
      <c r="S436" s="242">
        <f t="shared" si="412"/>
        <v>1</v>
      </c>
      <c r="T436" s="241" t="e">
        <f t="shared" ca="1" si="413"/>
        <v>#REF!</v>
      </c>
      <c r="U436" s="244" t="e">
        <f ca="1">IF(AND(INDEX(FlowCalConstA,MATCH(R430,FlowCalNumber,0),1,1)*T436^INDEX(FlowCalConstB,MATCH(R430,FlowCalNumber,0),1,1)&gt;INDEX(FlowCalLowSetting,MATCH(R430,FlowCalNumber,0),1,1), (INDEX(FlowCalConstA,MATCH(R430,FlowCalNumber,0),1,1)*T436^INDEX(FlowCalConstB,MATCH(R430,FlowCalNumber,0),1,1)&lt;INDEX(FlowCalHighSetting,MATCH(R430,FlowCalNumber,0),1,1))),INDEX(FlowCalConstA,MATCH(R430,FlowCalNumber,0),1,1)*T436^INDEX(FlowCalConstB,MATCH(R430,FlowCalNumber,0),1,1)," ")</f>
        <v>#REF!</v>
      </c>
      <c r="V436" s="33"/>
      <c r="W436" s="242">
        <f t="shared" si="414"/>
        <v>0.1</v>
      </c>
      <c r="X436" s="241" t="e">
        <f t="shared" ca="1" si="415"/>
        <v>#REF!</v>
      </c>
      <c r="Y436" s="243" t="e">
        <f ca="1">IF(AND(INDEX(FlowCalConstA,MATCH(V430,FlowCalNumber,0),1,1)*X436^INDEX(FlowCalConstB,MATCH(V430,FlowCalNumber,0),1,1)&gt;INDEX(FlowCalLowSetting,MATCH(V430,FlowCalNumber,0),1,1), (INDEX(FlowCalConstA,MATCH(V430,FlowCalNumber,0),1,1)*X436^INDEX(FlowCalConstB,MATCH(V430,FlowCalNumber,0),1,1)&lt;INDEX(FlowCalHighSetting,MATCH(V430,FlowCalNumber,0),1,1))),INDEX(FlowCalConstA,MATCH(V430,FlowCalNumber,0),1,1)*X436^INDEX(FlowCalConstB,MATCH(V430,FlowCalNumber,0),1,1)," ")</f>
        <v>#REF!</v>
      </c>
      <c r="Z436" s="33"/>
      <c r="AA436" s="242">
        <f t="shared" si="416"/>
        <v>0.9</v>
      </c>
      <c r="AB436" s="241" t="e">
        <f t="shared" ca="1" si="417"/>
        <v>#REF!</v>
      </c>
      <c r="AC436" s="243" t="e">
        <f ca="1">IF(AND(INDEX(FlowCalConstA,MATCH(Z430,FlowCalNumber,0),1,1)*AB436^INDEX(FlowCalConstB,MATCH(Z430,FlowCalNumber,0),1,1)&gt;INDEX(FlowCalLowSetting,MATCH(Z430,FlowCalNumber,0),1,1), (INDEX(FlowCalConstA,MATCH(Z430,FlowCalNumber,0),1,1)*AB436^INDEX(FlowCalConstB,MATCH(Z430,FlowCalNumber,0),1,1)&lt;INDEX(FlowCalHighSetting,MATCH(Z430,FlowCalNumber,0),1,1))),INDEX(FlowCalConstA,MATCH(Z430,FlowCalNumber,0),1,1)*AB436^INDEX(FlowCalConstB,MATCH(Z430,FlowCalNumber,0),1,1)," ")</f>
        <v>#REF!</v>
      </c>
      <c r="AD436" s="33"/>
      <c r="AE436" s="242">
        <f t="shared" si="418"/>
        <v>0.1</v>
      </c>
      <c r="AF436" s="241" t="e">
        <f t="shared" ca="1" si="419"/>
        <v>#REF!</v>
      </c>
      <c r="AG436" s="243" t="e">
        <f ca="1">IF(AND(INDEX(FlowCalConstA,MATCH(AD430,FlowCalNumber,0),1,1)*AF436^INDEX(FlowCalConstB,MATCH(AD430,FlowCalNumber,0),1,1)&gt;INDEX(FlowCalLowSetting,MATCH(AD430,FlowCalNumber,0),1,1), (INDEX(FlowCalConstA,MATCH(AD430,FlowCalNumber,0),1,1)*AF436^INDEX(FlowCalConstB,MATCH(AD430,FlowCalNumber,0),1,1)&lt;INDEX(FlowCalHighSetting,MATCH(AD430,FlowCalNumber,0),1,1))),INDEX(FlowCalConstA,MATCH(AD430,FlowCalNumber,0),1,1)*AF436^INDEX(FlowCalConstB,MATCH(AD430,FlowCalNumber,0),1,1)," ")</f>
        <v>#REF!</v>
      </c>
      <c r="AH436" s="33"/>
      <c r="AI436" s="242">
        <f t="shared" si="420"/>
        <v>0.9</v>
      </c>
      <c r="AJ436" s="241" t="e">
        <f t="shared" ca="1" si="421"/>
        <v>#REF!</v>
      </c>
      <c r="AK436" s="243" t="e">
        <f ca="1">IF(AND(INDEX(FlowCalConstA,MATCH(AH430,FlowCalNumber,0),1,1)*AJ436^INDEX(FlowCalConstB,MATCH(AH430,FlowCalNumber,0),1,1)&gt;INDEX(FlowCalLowSetting,MATCH(AH430,FlowCalNumber,0),1,1), (INDEX(FlowCalConstA,MATCH(AH430,FlowCalNumber,0),1,1)*AJ436^INDEX(FlowCalConstB,MATCH(AH430,FlowCalNumber,0),1,1)&lt;INDEX(FlowCalHighSetting,MATCH(AH430,FlowCalNumber,0),1,1))),INDEX(FlowCalConstA,MATCH(AH430,FlowCalNumber,0),1,1)*AJ436^INDEX(FlowCalConstB,MATCH(AH430,FlowCalNumber,0),1,1)," ")</f>
        <v>#REF!</v>
      </c>
      <c r="AL436" s="33"/>
      <c r="AM436" s="242"/>
      <c r="AN436" s="241"/>
      <c r="AO436" s="244"/>
      <c r="AQ436" s="242"/>
      <c r="AR436" s="241"/>
      <c r="AS436" s="244"/>
      <c r="AT436" s="33"/>
      <c r="AU436" s="242"/>
      <c r="AV436" s="241"/>
      <c r="AW436" s="244"/>
      <c r="AX436" s="33"/>
      <c r="AY436" s="242"/>
      <c r="AZ436" s="241"/>
      <c r="BA436" s="244"/>
      <c r="BB436" s="33"/>
      <c r="BC436" s="242"/>
      <c r="BD436" s="241"/>
      <c r="BE436" s="244"/>
      <c r="BF436" s="33"/>
      <c r="BG436" s="242"/>
      <c r="BH436" s="241"/>
      <c r="BI436" s="244"/>
      <c r="BJ436" s="33"/>
      <c r="BK436" s="242"/>
      <c r="BL436" s="241"/>
      <c r="BM436" s="244"/>
      <c r="BN436" s="33"/>
      <c r="BO436" s="242"/>
      <c r="BP436" s="241"/>
      <c r="BQ436" s="244"/>
      <c r="BR436" s="33"/>
      <c r="BS436" s="242"/>
      <c r="BT436" s="241"/>
      <c r="BU436" s="244"/>
      <c r="BV436" s="33"/>
      <c r="BW436" s="242"/>
      <c r="BX436" s="241"/>
      <c r="BY436" s="244"/>
      <c r="BZ436" s="33"/>
      <c r="CA436" s="242"/>
      <c r="CB436" s="241"/>
      <c r="CC436" s="244"/>
      <c r="CD436" s="243"/>
      <c r="CE436" s="243"/>
      <c r="CF436" s="243"/>
      <c r="CG436" s="243"/>
      <c r="CH436" s="243"/>
      <c r="CI436" s="243"/>
      <c r="CJ436" s="243"/>
      <c r="CK436" s="243"/>
      <c r="CL436" s="243"/>
      <c r="CM436" s="243"/>
      <c r="CN436" s="243"/>
      <c r="CO436" s="243"/>
      <c r="CP436" s="243"/>
      <c r="CQ436" s="243"/>
      <c r="CR436" s="243"/>
      <c r="CS436" s="243"/>
      <c r="CT436" s="243"/>
      <c r="CU436" s="243"/>
      <c r="CV436" s="243"/>
      <c r="CW436" s="243"/>
      <c r="CX436" s="243"/>
      <c r="CY436" s="243"/>
      <c r="CZ436" s="243"/>
      <c r="DA436" s="243"/>
      <c r="DB436" s="243"/>
      <c r="DC436" s="243"/>
      <c r="DD436" s="243"/>
      <c r="DE436" s="243"/>
      <c r="DF436" s="243"/>
      <c r="DG436" s="243"/>
      <c r="DH436" s="243"/>
      <c r="DI436" s="243"/>
      <c r="DJ436" s="243"/>
      <c r="DK436" s="243"/>
      <c r="DM436" s="242"/>
      <c r="DO436" s="243"/>
      <c r="DQ436" s="242"/>
      <c r="DS436" s="243"/>
      <c r="DU436" s="242"/>
      <c r="DW436" s="243"/>
      <c r="DY436" s="242"/>
      <c r="EA436" s="243"/>
    </row>
    <row r="437" spans="1:131">
      <c r="A437" s="20"/>
      <c r="B437" s="124" t="str">
        <f t="shared" si="406"/>
        <v/>
      </c>
      <c r="C437" s="235"/>
      <c r="D437" s="24">
        <f>'1% Wind'!$M$88</f>
        <v>10.1</v>
      </c>
      <c r="E437" s="90"/>
      <c r="F437" s="90"/>
      <c r="G437" s="79" t="e">
        <f ca="1">IF(I430=0.9743,$G436,MAX(G436/D436*D437,2))</f>
        <v>#REF!</v>
      </c>
      <c r="H437" s="121" t="e">
        <f t="shared" ca="1" si="407"/>
        <v>#REF!</v>
      </c>
      <c r="J437" s="33"/>
      <c r="K437" s="242">
        <f t="shared" si="408"/>
        <v>1</v>
      </c>
      <c r="L437" s="241" t="e">
        <f t="shared" ca="1" si="409"/>
        <v>#REF!</v>
      </c>
      <c r="M437" s="243" t="e">
        <f ca="1">IF(AND(INDEX(FlowCalConstA,MATCH(J430,FlowCalNumber,0),1,1)*L437^INDEX(FlowCalConstB,MATCH(J430,FlowCalNumber,0),1,1)&gt;INDEX(FlowCalLowSetting,MATCH(J430,FlowCalNumber,0),1,1), (INDEX(FlowCalConstA,MATCH(J430,FlowCalNumber,0),1,1)*L437^INDEX(FlowCalConstB,MATCH(J430,FlowCalNumber,0),1,1)&lt;INDEX(FlowCalHighSetting,MATCH(J430,FlowCalNumber,0),1,1))),INDEX(FlowCalConstA,MATCH(J430,FlowCalNumber,0),1,1)*L437^INDEX(FlowCalConstB,MATCH(J430,FlowCalNumber,0),1,1)," ")</f>
        <v>#REF!</v>
      </c>
      <c r="N437" s="33"/>
      <c r="O437" s="242">
        <f t="shared" si="410"/>
        <v>1</v>
      </c>
      <c r="P437" s="241" t="e">
        <f t="shared" ca="1" si="411"/>
        <v>#REF!</v>
      </c>
      <c r="Q437" s="243" t="e">
        <f ca="1">IF(AND(INDEX(FlowCalConstA,MATCH(N430,FlowCalNumber,0),1,1)*P437^INDEX(FlowCalConstB,MATCH(N430,FlowCalNumber,0),1,1)&gt;INDEX(FlowCalLowSetting,MATCH(N430,FlowCalNumber,0),1,1), (INDEX(FlowCalConstA,MATCH(N430,FlowCalNumber,0),1,1)*P437^INDEX(FlowCalConstB,MATCH(N430,FlowCalNumber,0),1,1)&lt;INDEX(FlowCalHighSetting,MATCH(N430,FlowCalNumber,0),1,1))),INDEX(FlowCalConstA,MATCH(N430,FlowCalNumber,0),1,1)*P437^INDEX(FlowCalConstB,MATCH(N430,FlowCalNumber,0),1,1)," ")</f>
        <v>#REF!</v>
      </c>
      <c r="R437" s="33"/>
      <c r="S437" s="242">
        <f t="shared" si="412"/>
        <v>1</v>
      </c>
      <c r="T437" s="241" t="e">
        <f t="shared" ca="1" si="413"/>
        <v>#REF!</v>
      </c>
      <c r="U437" s="244" t="e">
        <f ca="1">IF(AND(INDEX(FlowCalConstA,MATCH(R430,FlowCalNumber,0),1,1)*T437^INDEX(FlowCalConstB,MATCH(R430,FlowCalNumber,0),1,1)&gt;INDEX(FlowCalLowSetting,MATCH(R430,FlowCalNumber,0),1,1), (INDEX(FlowCalConstA,MATCH(R430,FlowCalNumber,0),1,1)*T437^INDEX(FlowCalConstB,MATCH(R430,FlowCalNumber,0),1,1)&lt;INDEX(FlowCalHighSetting,MATCH(R430,FlowCalNumber,0),1,1))),INDEX(FlowCalConstA,MATCH(R430,FlowCalNumber,0),1,1)*T437^INDEX(FlowCalConstB,MATCH(R430,FlowCalNumber,0),1,1)," ")</f>
        <v>#REF!</v>
      </c>
      <c r="V437" s="33"/>
      <c r="W437" s="242">
        <f t="shared" si="414"/>
        <v>0.1</v>
      </c>
      <c r="X437" s="241" t="e">
        <f t="shared" ca="1" si="415"/>
        <v>#REF!</v>
      </c>
      <c r="Y437" s="243" t="e">
        <f ca="1">IF(AND(INDEX(FlowCalConstA,MATCH(V430,FlowCalNumber,0),1,1)*X437^INDEX(FlowCalConstB,MATCH(V430,FlowCalNumber,0),1,1)&gt;INDEX(FlowCalLowSetting,MATCH(V430,FlowCalNumber,0),1,1), (INDEX(FlowCalConstA,MATCH(V430,FlowCalNumber,0),1,1)*X437^INDEX(FlowCalConstB,MATCH(V430,FlowCalNumber,0),1,1)&lt;INDEX(FlowCalHighSetting,MATCH(V430,FlowCalNumber,0),1,1))),INDEX(FlowCalConstA,MATCH(V430,FlowCalNumber,0),1,1)*X437^INDEX(FlowCalConstB,MATCH(V430,FlowCalNumber,0),1,1)," ")</f>
        <v>#REF!</v>
      </c>
      <c r="Z437" s="33"/>
      <c r="AA437" s="242">
        <f t="shared" si="416"/>
        <v>0.9</v>
      </c>
      <c r="AB437" s="241" t="e">
        <f t="shared" ca="1" si="417"/>
        <v>#REF!</v>
      </c>
      <c r="AC437" s="243" t="e">
        <f ca="1">IF(AND(INDEX(FlowCalConstA,MATCH(Z430,FlowCalNumber,0),1,1)*AB437^INDEX(FlowCalConstB,MATCH(Z430,FlowCalNumber,0),1,1)&gt;INDEX(FlowCalLowSetting,MATCH(Z430,FlowCalNumber,0),1,1), (INDEX(FlowCalConstA,MATCH(Z430,FlowCalNumber,0),1,1)*AB437^INDEX(FlowCalConstB,MATCH(Z430,FlowCalNumber,0),1,1)&lt;INDEX(FlowCalHighSetting,MATCH(Z430,FlowCalNumber,0),1,1))),INDEX(FlowCalConstA,MATCH(Z430,FlowCalNumber,0),1,1)*AB437^INDEX(FlowCalConstB,MATCH(Z430,FlowCalNumber,0),1,1)," ")</f>
        <v>#REF!</v>
      </c>
      <c r="AD437" s="33"/>
      <c r="AE437" s="242">
        <f t="shared" si="418"/>
        <v>0.1</v>
      </c>
      <c r="AF437" s="241" t="e">
        <f t="shared" ca="1" si="419"/>
        <v>#REF!</v>
      </c>
      <c r="AG437" s="243" t="e">
        <f ca="1">IF(AND(INDEX(FlowCalConstA,MATCH(AD430,FlowCalNumber,0),1,1)*AF437^INDEX(FlowCalConstB,MATCH(AD430,FlowCalNumber,0),1,1)&gt;INDEX(FlowCalLowSetting,MATCH(AD430,FlowCalNumber,0),1,1), (INDEX(FlowCalConstA,MATCH(AD430,FlowCalNumber,0),1,1)*AF437^INDEX(FlowCalConstB,MATCH(AD430,FlowCalNumber,0),1,1)&lt;INDEX(FlowCalHighSetting,MATCH(AD430,FlowCalNumber,0),1,1))),INDEX(FlowCalConstA,MATCH(AD430,FlowCalNumber,0),1,1)*AF437^INDEX(FlowCalConstB,MATCH(AD430,FlowCalNumber,0),1,1)," ")</f>
        <v>#REF!</v>
      </c>
      <c r="AH437" s="33"/>
      <c r="AI437" s="242">
        <f t="shared" si="420"/>
        <v>0.9</v>
      </c>
      <c r="AJ437" s="241" t="e">
        <f t="shared" ca="1" si="421"/>
        <v>#REF!</v>
      </c>
      <c r="AK437" s="243" t="e">
        <f ca="1">IF(AND(INDEX(FlowCalConstA,MATCH(AH430,FlowCalNumber,0),1,1)*AJ437^INDEX(FlowCalConstB,MATCH(AH430,FlowCalNumber,0),1,1)&gt;INDEX(FlowCalLowSetting,MATCH(AH430,FlowCalNumber,0),1,1), (INDEX(FlowCalConstA,MATCH(AH430,FlowCalNumber,0),1,1)*AJ437^INDEX(FlowCalConstB,MATCH(AH430,FlowCalNumber,0),1,1)&lt;INDEX(FlowCalHighSetting,MATCH(AH430,FlowCalNumber,0),1,1))),INDEX(FlowCalConstA,MATCH(AH430,FlowCalNumber,0),1,1)*AJ437^INDEX(FlowCalConstB,MATCH(AH430,FlowCalNumber,0),1,1)," ")</f>
        <v>#REF!</v>
      </c>
      <c r="AL437" s="33"/>
      <c r="AM437" s="242"/>
      <c r="AN437" s="241"/>
      <c r="AO437" s="244"/>
      <c r="AQ437" s="242"/>
      <c r="AR437" s="241"/>
      <c r="AS437" s="244"/>
      <c r="AT437" s="33"/>
      <c r="AU437" s="242"/>
      <c r="AV437" s="241"/>
      <c r="AW437" s="244"/>
      <c r="AX437" s="33"/>
      <c r="AY437" s="242"/>
      <c r="AZ437" s="241"/>
      <c r="BA437" s="244"/>
      <c r="BB437" s="33"/>
      <c r="BC437" s="242"/>
      <c r="BD437" s="241"/>
      <c r="BE437" s="244"/>
      <c r="BF437" s="33"/>
      <c r="BG437" s="242"/>
      <c r="BH437" s="241"/>
      <c r="BI437" s="244"/>
      <c r="BJ437" s="33"/>
      <c r="BK437" s="242"/>
      <c r="BL437" s="241"/>
      <c r="BM437" s="244"/>
      <c r="BN437" s="33"/>
      <c r="BO437" s="242"/>
      <c r="BP437" s="241"/>
      <c r="BQ437" s="244"/>
      <c r="BR437" s="33"/>
      <c r="BS437" s="242"/>
      <c r="BT437" s="241"/>
      <c r="BU437" s="244"/>
      <c r="BV437" s="33"/>
      <c r="BW437" s="242"/>
      <c r="BX437" s="241"/>
      <c r="BY437" s="244"/>
      <c r="BZ437" s="33"/>
      <c r="CA437" s="242"/>
      <c r="CB437" s="241"/>
      <c r="CC437" s="244"/>
      <c r="CD437" s="243"/>
      <c r="CE437" s="243"/>
      <c r="CF437" s="243"/>
      <c r="CG437" s="243"/>
      <c r="CH437" s="243"/>
      <c r="CI437" s="243"/>
      <c r="CJ437" s="243"/>
      <c r="CK437" s="243"/>
      <c r="CL437" s="243"/>
      <c r="CM437" s="243"/>
      <c r="CN437" s="243"/>
      <c r="CO437" s="243"/>
      <c r="CP437" s="243"/>
      <c r="CQ437" s="243"/>
      <c r="CR437" s="243"/>
      <c r="CS437" s="243"/>
      <c r="CT437" s="243"/>
      <c r="CU437" s="243"/>
      <c r="CV437" s="243"/>
      <c r="CW437" s="243"/>
      <c r="CX437" s="243"/>
      <c r="CY437" s="243"/>
      <c r="CZ437" s="243"/>
      <c r="DA437" s="243"/>
      <c r="DB437" s="243"/>
      <c r="DC437" s="243"/>
      <c r="DD437" s="243"/>
      <c r="DE437" s="243"/>
      <c r="DF437" s="243"/>
      <c r="DG437" s="243"/>
      <c r="DH437" s="243"/>
      <c r="DI437" s="243"/>
      <c r="DJ437" s="243"/>
      <c r="DK437" s="243"/>
      <c r="DM437" s="242"/>
      <c r="DO437" s="243"/>
      <c r="DQ437" s="242"/>
      <c r="DS437" s="243"/>
      <c r="DU437" s="242"/>
      <c r="DW437" s="243"/>
      <c r="DY437" s="242"/>
      <c r="EA437" s="243"/>
    </row>
    <row r="438" spans="1:131">
      <c r="A438" s="20"/>
      <c r="B438" s="124" t="str">
        <f t="shared" si="406"/>
        <v/>
      </c>
      <c r="C438" s="235"/>
      <c r="D438" s="24">
        <f>'1% Wind'!$M$89</f>
        <v>7.6</v>
      </c>
      <c r="E438" s="90"/>
      <c r="F438" s="90"/>
      <c r="G438" s="79" t="e">
        <f ca="1">IF(I430=0.9743,$G437,MAX(G437/D437*D438,2))</f>
        <v>#REF!</v>
      </c>
      <c r="H438" s="121" t="e">
        <f t="shared" ca="1" si="407"/>
        <v>#REF!</v>
      </c>
      <c r="J438" s="33"/>
      <c r="K438" s="242">
        <f t="shared" si="408"/>
        <v>1</v>
      </c>
      <c r="L438" s="241" t="e">
        <f t="shared" ca="1" si="409"/>
        <v>#REF!</v>
      </c>
      <c r="M438" s="243" t="e">
        <f ca="1">IF(AND(INDEX(FlowCalConstA,MATCH(J430,FlowCalNumber,0),1,1)*L438^INDEX(FlowCalConstB,MATCH(J430,FlowCalNumber,0),1,1)&gt;INDEX(FlowCalLowSetting,MATCH(J430,FlowCalNumber,0),1,1), (INDEX(FlowCalConstA,MATCH(J430,FlowCalNumber,0),1,1)*L438^INDEX(FlowCalConstB,MATCH(J430,FlowCalNumber,0),1,1)&lt;INDEX(FlowCalHighSetting,MATCH(J430,FlowCalNumber,0),1,1))),INDEX(FlowCalConstA,MATCH(J430,FlowCalNumber,0),1,1)*L438^INDEX(FlowCalConstB,MATCH(J430,FlowCalNumber,0),1,1)," ")</f>
        <v>#REF!</v>
      </c>
      <c r="N438" s="33"/>
      <c r="O438" s="242">
        <f t="shared" si="410"/>
        <v>1</v>
      </c>
      <c r="P438" s="241" t="e">
        <f t="shared" ca="1" si="411"/>
        <v>#REF!</v>
      </c>
      <c r="Q438" s="243" t="e">
        <f ca="1">IF(AND(INDEX(FlowCalConstA,MATCH(N430,FlowCalNumber,0),1,1)*P438^INDEX(FlowCalConstB,MATCH(N430,FlowCalNumber,0),1,1)&gt;INDEX(FlowCalLowSetting,MATCH(N430,FlowCalNumber,0),1,1), (INDEX(FlowCalConstA,MATCH(N430,FlowCalNumber,0),1,1)*P438^INDEX(FlowCalConstB,MATCH(N430,FlowCalNumber,0),1,1)&lt;INDEX(FlowCalHighSetting,MATCH(N430,FlowCalNumber,0),1,1))),INDEX(FlowCalConstA,MATCH(N430,FlowCalNumber,0),1,1)*P438^INDEX(FlowCalConstB,MATCH(N430,FlowCalNumber,0),1,1)," ")</f>
        <v>#REF!</v>
      </c>
      <c r="R438" s="33"/>
      <c r="S438" s="242">
        <f t="shared" si="412"/>
        <v>1</v>
      </c>
      <c r="T438" s="241" t="e">
        <f t="shared" ca="1" si="413"/>
        <v>#REF!</v>
      </c>
      <c r="U438" s="244" t="e">
        <f ca="1">IF(AND(INDEX(FlowCalConstA,MATCH(R430,FlowCalNumber,0),1,1)*T438^INDEX(FlowCalConstB,MATCH(R430,FlowCalNumber,0),1,1)&gt;INDEX(FlowCalLowSetting,MATCH(R430,FlowCalNumber,0),1,1), (INDEX(FlowCalConstA,MATCH(R430,FlowCalNumber,0),1,1)*T438^INDEX(FlowCalConstB,MATCH(R430,FlowCalNumber,0),1,1)&lt;INDEX(FlowCalHighSetting,MATCH(R430,FlowCalNumber,0),1,1))),INDEX(FlowCalConstA,MATCH(R430,FlowCalNumber,0),1,1)*T438^INDEX(FlowCalConstB,MATCH(R430,FlowCalNumber,0),1,1)," ")</f>
        <v>#REF!</v>
      </c>
      <c r="V438" s="33"/>
      <c r="W438" s="242">
        <f t="shared" si="414"/>
        <v>0.1</v>
      </c>
      <c r="X438" s="241" t="e">
        <f t="shared" ca="1" si="415"/>
        <v>#REF!</v>
      </c>
      <c r="Y438" s="243" t="e">
        <f ca="1">IF(AND(INDEX(FlowCalConstA,MATCH(V430,FlowCalNumber,0),1,1)*X438^INDEX(FlowCalConstB,MATCH(V430,FlowCalNumber,0),1,1)&gt;INDEX(FlowCalLowSetting,MATCH(V430,FlowCalNumber,0),1,1), (INDEX(FlowCalConstA,MATCH(V430,FlowCalNumber,0),1,1)*X438^INDEX(FlowCalConstB,MATCH(V430,FlowCalNumber,0),1,1)&lt;INDEX(FlowCalHighSetting,MATCH(V430,FlowCalNumber,0),1,1))),INDEX(FlowCalConstA,MATCH(V430,FlowCalNumber,0),1,1)*X438^INDEX(FlowCalConstB,MATCH(V430,FlowCalNumber,0),1,1)," ")</f>
        <v>#REF!</v>
      </c>
      <c r="Z438" s="33"/>
      <c r="AA438" s="242">
        <f t="shared" si="416"/>
        <v>0.9</v>
      </c>
      <c r="AB438" s="241" t="e">
        <f t="shared" ca="1" si="417"/>
        <v>#REF!</v>
      </c>
      <c r="AC438" s="243" t="e">
        <f ca="1">IF(AND(INDEX(FlowCalConstA,MATCH(Z430,FlowCalNumber,0),1,1)*AB438^INDEX(FlowCalConstB,MATCH(Z430,FlowCalNumber,0),1,1)&gt;INDEX(FlowCalLowSetting,MATCH(Z430,FlowCalNumber,0),1,1), (INDEX(FlowCalConstA,MATCH(Z430,FlowCalNumber,0),1,1)*AB438^INDEX(FlowCalConstB,MATCH(Z430,FlowCalNumber,0),1,1)&lt;INDEX(FlowCalHighSetting,MATCH(Z430,FlowCalNumber,0),1,1))),INDEX(FlowCalConstA,MATCH(Z430,FlowCalNumber,0),1,1)*AB438^INDEX(FlowCalConstB,MATCH(Z430,FlowCalNumber,0),1,1)," ")</f>
        <v>#REF!</v>
      </c>
      <c r="AD438" s="33"/>
      <c r="AE438" s="242">
        <f t="shared" si="418"/>
        <v>0.1</v>
      </c>
      <c r="AF438" s="241" t="e">
        <f t="shared" ca="1" si="419"/>
        <v>#REF!</v>
      </c>
      <c r="AG438" s="243" t="e">
        <f ca="1">IF(AND(INDEX(FlowCalConstA,MATCH(AD430,FlowCalNumber,0),1,1)*AF438^INDEX(FlowCalConstB,MATCH(AD430,FlowCalNumber,0),1,1)&gt;INDEX(FlowCalLowSetting,MATCH(AD430,FlowCalNumber,0),1,1), (INDEX(FlowCalConstA,MATCH(AD430,FlowCalNumber,0),1,1)*AF438^INDEX(FlowCalConstB,MATCH(AD430,FlowCalNumber,0),1,1)&lt;INDEX(FlowCalHighSetting,MATCH(AD430,FlowCalNumber,0),1,1))),INDEX(FlowCalConstA,MATCH(AD430,FlowCalNumber,0),1,1)*AF438^INDEX(FlowCalConstB,MATCH(AD430,FlowCalNumber,0),1,1)," ")</f>
        <v>#REF!</v>
      </c>
      <c r="AH438" s="33"/>
      <c r="AI438" s="242">
        <f t="shared" si="420"/>
        <v>0.9</v>
      </c>
      <c r="AJ438" s="241" t="e">
        <f t="shared" ca="1" si="421"/>
        <v>#REF!</v>
      </c>
      <c r="AK438" s="243" t="e">
        <f ca="1">IF(AND(INDEX(FlowCalConstA,MATCH(AH430,FlowCalNumber,0),1,1)*AJ438^INDEX(FlowCalConstB,MATCH(AH430,FlowCalNumber,0),1,1)&gt;INDEX(FlowCalLowSetting,MATCH(AH430,FlowCalNumber,0),1,1), (INDEX(FlowCalConstA,MATCH(AH430,FlowCalNumber,0),1,1)*AJ438^INDEX(FlowCalConstB,MATCH(AH430,FlowCalNumber,0),1,1)&lt;INDEX(FlowCalHighSetting,MATCH(AH430,FlowCalNumber,0),1,1))),INDEX(FlowCalConstA,MATCH(AH430,FlowCalNumber,0),1,1)*AJ438^INDEX(FlowCalConstB,MATCH(AH430,FlowCalNumber,0),1,1)," ")</f>
        <v>#REF!</v>
      </c>
      <c r="AL438" s="33"/>
      <c r="AM438" s="242"/>
      <c r="AN438" s="241"/>
      <c r="AO438" s="244"/>
      <c r="AQ438" s="242"/>
      <c r="AR438" s="241"/>
      <c r="AS438" s="244"/>
      <c r="AT438" s="33"/>
      <c r="AU438" s="242"/>
      <c r="AV438" s="241"/>
      <c r="AW438" s="244"/>
      <c r="AX438" s="33"/>
      <c r="AY438" s="242"/>
      <c r="AZ438" s="241"/>
      <c r="BA438" s="244"/>
      <c r="BB438" s="33"/>
      <c r="BC438" s="242"/>
      <c r="BD438" s="241"/>
      <c r="BE438" s="244"/>
      <c r="BF438" s="33"/>
      <c r="BG438" s="242"/>
      <c r="BH438" s="241"/>
      <c r="BI438" s="244"/>
      <c r="BJ438" s="33"/>
      <c r="BK438" s="242"/>
      <c r="BL438" s="241"/>
      <c r="BM438" s="244"/>
      <c r="BN438" s="33"/>
      <c r="BO438" s="242"/>
      <c r="BP438" s="241"/>
      <c r="BQ438" s="244"/>
      <c r="BR438" s="33"/>
      <c r="BS438" s="242"/>
      <c r="BT438" s="241"/>
      <c r="BU438" s="244"/>
      <c r="BV438" s="33"/>
      <c r="BW438" s="242"/>
      <c r="BX438" s="241"/>
      <c r="BY438" s="244"/>
      <c r="BZ438" s="33"/>
      <c r="CA438" s="242"/>
      <c r="CB438" s="241"/>
      <c r="CC438" s="244"/>
      <c r="CD438" s="243"/>
      <c r="CE438" s="243"/>
      <c r="CF438" s="243"/>
      <c r="CG438" s="243"/>
      <c r="CH438" s="243"/>
      <c r="CI438" s="243"/>
      <c r="CJ438" s="243"/>
      <c r="CK438" s="243"/>
      <c r="CL438" s="243"/>
      <c r="CM438" s="243"/>
      <c r="CN438" s="243"/>
      <c r="CO438" s="243"/>
      <c r="CP438" s="243"/>
      <c r="CQ438" s="243"/>
      <c r="CR438" s="243"/>
      <c r="CS438" s="243"/>
      <c r="CT438" s="243"/>
      <c r="CU438" s="243"/>
      <c r="CV438" s="243"/>
      <c r="CW438" s="243"/>
      <c r="CX438" s="243"/>
      <c r="CY438" s="243"/>
      <c r="CZ438" s="243"/>
      <c r="DA438" s="243"/>
      <c r="DB438" s="243"/>
      <c r="DC438" s="243"/>
      <c r="DD438" s="243"/>
      <c r="DE438" s="243"/>
      <c r="DF438" s="243"/>
      <c r="DG438" s="243"/>
      <c r="DH438" s="243"/>
      <c r="DI438" s="243"/>
      <c r="DJ438" s="243"/>
      <c r="DK438" s="243"/>
      <c r="DM438" s="242"/>
      <c r="DO438" s="243"/>
      <c r="DQ438" s="242"/>
      <c r="DS438" s="243"/>
      <c r="DU438" s="242"/>
      <c r="DW438" s="243"/>
      <c r="DY438" s="242"/>
      <c r="EA438" s="243"/>
    </row>
    <row r="439" spans="1:131">
      <c r="A439" s="20"/>
      <c r="B439" s="124" t="str">
        <f t="shared" si="406"/>
        <v/>
      </c>
      <c r="C439" s="235"/>
      <c r="D439" s="24">
        <f>'1% Wind'!$M$90</f>
        <v>5.7</v>
      </c>
      <c r="E439" s="90"/>
      <c r="F439" s="90"/>
      <c r="G439" s="79" t="e">
        <f ca="1">IF(I430=0.9743,$G438,MAX(G438/D438*D439,2))</f>
        <v>#REF!</v>
      </c>
      <c r="H439" s="121" t="e">
        <f t="shared" ca="1" si="407"/>
        <v>#REF!</v>
      </c>
      <c r="J439" s="33"/>
      <c r="K439" s="242">
        <f t="shared" si="408"/>
        <v>1</v>
      </c>
      <c r="L439" s="241" t="e">
        <f t="shared" ca="1" si="409"/>
        <v>#REF!</v>
      </c>
      <c r="M439" s="243" t="e">
        <f ca="1">IF(AND(INDEX(FlowCalConstA,MATCH(J430,FlowCalNumber,0),1,1)*L439^INDEX(FlowCalConstB,MATCH(J430,FlowCalNumber,0),1,1)&gt;INDEX(FlowCalLowSetting,MATCH(J430,FlowCalNumber,0),1,1), (INDEX(FlowCalConstA,MATCH(J430,FlowCalNumber,0),1,1)*L439^INDEX(FlowCalConstB,MATCH(J430,FlowCalNumber,0),1,1)&lt;INDEX(FlowCalHighSetting,MATCH(J430,FlowCalNumber,0),1,1))),INDEX(FlowCalConstA,MATCH(J430,FlowCalNumber,0),1,1)*L439^INDEX(FlowCalConstB,MATCH(J430,FlowCalNumber,0),1,1)," ")</f>
        <v>#REF!</v>
      </c>
      <c r="N439" s="33"/>
      <c r="O439" s="242">
        <f t="shared" si="410"/>
        <v>1</v>
      </c>
      <c r="P439" s="241" t="e">
        <f t="shared" ca="1" si="411"/>
        <v>#REF!</v>
      </c>
      <c r="Q439" s="243" t="e">
        <f ca="1">IF(AND(INDEX(FlowCalConstA,MATCH(N430,FlowCalNumber,0),1,1)*P439^INDEX(FlowCalConstB,MATCH(N430,FlowCalNumber,0),1,1)&gt;INDEX(FlowCalLowSetting,MATCH(N430,FlowCalNumber,0),1,1), (INDEX(FlowCalConstA,MATCH(N430,FlowCalNumber,0),1,1)*P439^INDEX(FlowCalConstB,MATCH(N430,FlowCalNumber,0),1,1)&lt;INDEX(FlowCalHighSetting,MATCH(N430,FlowCalNumber,0),1,1))),INDEX(FlowCalConstA,MATCH(N430,FlowCalNumber,0),1,1)*P439^INDEX(FlowCalConstB,MATCH(N430,FlowCalNumber,0),1,1)," ")</f>
        <v>#REF!</v>
      </c>
      <c r="R439" s="33"/>
      <c r="S439" s="242">
        <f t="shared" si="412"/>
        <v>1</v>
      </c>
      <c r="T439" s="241" t="e">
        <f t="shared" ca="1" si="413"/>
        <v>#REF!</v>
      </c>
      <c r="U439" s="244" t="e">
        <f ca="1">IF(AND(INDEX(FlowCalConstA,MATCH(R430,FlowCalNumber,0),1,1)*T439^INDEX(FlowCalConstB,MATCH(R430,FlowCalNumber,0),1,1)&gt;INDEX(FlowCalLowSetting,MATCH(R430,FlowCalNumber,0),1,1), (INDEX(FlowCalConstA,MATCH(R430,FlowCalNumber,0),1,1)*T439^INDEX(FlowCalConstB,MATCH(R430,FlowCalNumber,0),1,1)&lt;INDEX(FlowCalHighSetting,MATCH(R430,FlowCalNumber,0),1,1))),INDEX(FlowCalConstA,MATCH(R430,FlowCalNumber,0),1,1)*T439^INDEX(FlowCalConstB,MATCH(R430,FlowCalNumber,0),1,1)," ")</f>
        <v>#REF!</v>
      </c>
      <c r="V439" s="33"/>
      <c r="W439" s="242">
        <f t="shared" si="414"/>
        <v>0.1</v>
      </c>
      <c r="X439" s="241" t="e">
        <f t="shared" ca="1" si="415"/>
        <v>#REF!</v>
      </c>
      <c r="Y439" s="243" t="e">
        <f ca="1">IF(AND(INDEX(FlowCalConstA,MATCH(V430,FlowCalNumber,0),1,1)*X439^INDEX(FlowCalConstB,MATCH(V430,FlowCalNumber,0),1,1)&gt;INDEX(FlowCalLowSetting,MATCH(V430,FlowCalNumber,0),1,1), (INDEX(FlowCalConstA,MATCH(V430,FlowCalNumber,0),1,1)*X439^INDEX(FlowCalConstB,MATCH(V430,FlowCalNumber,0),1,1)&lt;INDEX(FlowCalHighSetting,MATCH(V430,FlowCalNumber,0),1,1))),INDEX(FlowCalConstA,MATCH(V430,FlowCalNumber,0),1,1)*X439^INDEX(FlowCalConstB,MATCH(V430,FlowCalNumber,0),1,1)," ")</f>
        <v>#REF!</v>
      </c>
      <c r="Z439" s="33"/>
      <c r="AA439" s="242">
        <f t="shared" si="416"/>
        <v>0.9</v>
      </c>
      <c r="AB439" s="241" t="e">
        <f t="shared" ca="1" si="417"/>
        <v>#REF!</v>
      </c>
      <c r="AC439" s="243" t="e">
        <f ca="1">IF(AND(INDEX(FlowCalConstA,MATCH(Z430,FlowCalNumber,0),1,1)*AB439^INDEX(FlowCalConstB,MATCH(Z430,FlowCalNumber,0),1,1)&gt;INDEX(FlowCalLowSetting,MATCH(Z430,FlowCalNumber,0),1,1), (INDEX(FlowCalConstA,MATCH(Z430,FlowCalNumber,0),1,1)*AB439^INDEX(FlowCalConstB,MATCH(Z430,FlowCalNumber,0),1,1)&lt;INDEX(FlowCalHighSetting,MATCH(Z430,FlowCalNumber,0),1,1))),INDEX(FlowCalConstA,MATCH(Z430,FlowCalNumber,0),1,1)*AB439^INDEX(FlowCalConstB,MATCH(Z430,FlowCalNumber,0),1,1)," ")</f>
        <v>#REF!</v>
      </c>
      <c r="AD439" s="33"/>
      <c r="AE439" s="242">
        <f t="shared" si="418"/>
        <v>0.1</v>
      </c>
      <c r="AF439" s="241" t="e">
        <f t="shared" ca="1" si="419"/>
        <v>#REF!</v>
      </c>
      <c r="AG439" s="243" t="e">
        <f ca="1">IF(AND(INDEX(FlowCalConstA,MATCH(AD430,FlowCalNumber,0),1,1)*AF439^INDEX(FlowCalConstB,MATCH(AD430,FlowCalNumber,0),1,1)&gt;INDEX(FlowCalLowSetting,MATCH(AD430,FlowCalNumber,0),1,1), (INDEX(FlowCalConstA,MATCH(AD430,FlowCalNumber,0),1,1)*AF439^INDEX(FlowCalConstB,MATCH(AD430,FlowCalNumber,0),1,1)&lt;INDEX(FlowCalHighSetting,MATCH(AD430,FlowCalNumber,0),1,1))),INDEX(FlowCalConstA,MATCH(AD430,FlowCalNumber,0),1,1)*AF439^INDEX(FlowCalConstB,MATCH(AD430,FlowCalNumber,0),1,1)," ")</f>
        <v>#REF!</v>
      </c>
      <c r="AH439" s="33"/>
      <c r="AI439" s="242">
        <f t="shared" si="420"/>
        <v>0.9</v>
      </c>
      <c r="AJ439" s="241" t="e">
        <f t="shared" ca="1" si="421"/>
        <v>#REF!</v>
      </c>
      <c r="AK439" s="243" t="e">
        <f ca="1">IF(AND(INDEX(FlowCalConstA,MATCH(AH430,FlowCalNumber,0),1,1)*AJ439^INDEX(FlowCalConstB,MATCH(AH430,FlowCalNumber,0),1,1)&gt;INDEX(FlowCalLowSetting,MATCH(AH430,FlowCalNumber,0),1,1), (INDEX(FlowCalConstA,MATCH(AH430,FlowCalNumber,0),1,1)*AJ439^INDEX(FlowCalConstB,MATCH(AH430,FlowCalNumber,0),1,1)&lt;INDEX(FlowCalHighSetting,MATCH(AH430,FlowCalNumber,0),1,1))),INDEX(FlowCalConstA,MATCH(AH430,FlowCalNumber,0),1,1)*AJ439^INDEX(FlowCalConstB,MATCH(AH430,FlowCalNumber,0),1,1)," ")</f>
        <v>#REF!</v>
      </c>
      <c r="AL439" s="33"/>
      <c r="AM439" s="242"/>
      <c r="AN439" s="241"/>
      <c r="AO439" s="244"/>
      <c r="AQ439" s="242"/>
      <c r="AR439" s="241"/>
      <c r="AS439" s="244"/>
      <c r="AT439" s="33"/>
      <c r="AU439" s="242"/>
      <c r="AV439" s="241"/>
      <c r="AW439" s="244"/>
      <c r="AX439" s="33"/>
      <c r="AY439" s="242"/>
      <c r="AZ439" s="241"/>
      <c r="BA439" s="244"/>
      <c r="BB439" s="33"/>
      <c r="BC439" s="242"/>
      <c r="BD439" s="241"/>
      <c r="BE439" s="244"/>
      <c r="BF439" s="33"/>
      <c r="BG439" s="242"/>
      <c r="BH439" s="241"/>
      <c r="BI439" s="244"/>
      <c r="BJ439" s="33"/>
      <c r="BK439" s="242"/>
      <c r="BL439" s="241"/>
      <c r="BM439" s="244"/>
      <c r="BN439" s="33"/>
      <c r="BO439" s="242"/>
      <c r="BP439" s="241"/>
      <c r="BQ439" s="244"/>
      <c r="BR439" s="33"/>
      <c r="BS439" s="242"/>
      <c r="BT439" s="241"/>
      <c r="BU439" s="244"/>
      <c r="BV439" s="33"/>
      <c r="BW439" s="242"/>
      <c r="BX439" s="241"/>
      <c r="BY439" s="244"/>
      <c r="BZ439" s="33"/>
      <c r="CA439" s="242"/>
      <c r="CB439" s="241"/>
      <c r="CC439" s="244"/>
      <c r="CD439" s="243"/>
      <c r="CE439" s="243"/>
      <c r="CF439" s="243"/>
      <c r="CG439" s="243"/>
      <c r="CH439" s="243"/>
      <c r="CI439" s="243"/>
      <c r="CJ439" s="243"/>
      <c r="CK439" s="243"/>
      <c r="CL439" s="243"/>
      <c r="CM439" s="243"/>
      <c r="CN439" s="243"/>
      <c r="CO439" s="243"/>
      <c r="CP439" s="243"/>
      <c r="CQ439" s="243"/>
      <c r="CR439" s="243"/>
      <c r="CS439" s="243"/>
      <c r="CT439" s="243"/>
      <c r="CU439" s="243"/>
      <c r="CV439" s="243"/>
      <c r="CW439" s="243"/>
      <c r="CX439" s="243"/>
      <c r="CY439" s="243"/>
      <c r="CZ439" s="243"/>
      <c r="DA439" s="243"/>
      <c r="DB439" s="243"/>
      <c r="DC439" s="243"/>
      <c r="DD439" s="243"/>
      <c r="DE439" s="243"/>
      <c r="DF439" s="243"/>
      <c r="DG439" s="243"/>
      <c r="DH439" s="243"/>
      <c r="DI439" s="243"/>
      <c r="DJ439" s="243"/>
      <c r="DK439" s="243"/>
      <c r="DM439" s="242"/>
      <c r="DO439" s="243"/>
      <c r="DQ439" s="242"/>
      <c r="DS439" s="243"/>
      <c r="DU439" s="242"/>
      <c r="DW439" s="243"/>
      <c r="DY439" s="242"/>
      <c r="EA439" s="243"/>
    </row>
    <row r="440" spans="1:131">
      <c r="A440" s="20"/>
      <c r="B440" s="124" t="str">
        <f t="shared" si="406"/>
        <v/>
      </c>
      <c r="C440" s="235"/>
      <c r="D440" s="24">
        <f>'1% Wind'!$M$91</f>
        <v>4.2</v>
      </c>
      <c r="E440" s="90"/>
      <c r="F440" s="90"/>
      <c r="G440" s="79" t="e">
        <f ca="1">IF(I430=0.9743,$G439,MAX(G439/D439*D440,2))</f>
        <v>#REF!</v>
      </c>
      <c r="H440" s="121" t="e">
        <f t="shared" ca="1" si="407"/>
        <v>#REF!</v>
      </c>
      <c r="J440" s="33"/>
      <c r="K440" s="242">
        <f t="shared" si="408"/>
        <v>1</v>
      </c>
      <c r="L440" s="241" t="e">
        <f t="shared" ca="1" si="409"/>
        <v>#REF!</v>
      </c>
      <c r="M440" s="243" t="e">
        <f ca="1">IF(AND(INDEX(FlowCalConstA,MATCH(J430,FlowCalNumber,0),1,1)*L440^INDEX(FlowCalConstB,MATCH(J430,FlowCalNumber,0),1,1)&gt;INDEX(FlowCalLowSetting,MATCH(J430,FlowCalNumber,0),1,1), (INDEX(FlowCalConstA,MATCH(J430,FlowCalNumber,0),1,1)*L440^INDEX(FlowCalConstB,MATCH(J430,FlowCalNumber,0),1,1)&lt;INDEX(FlowCalHighSetting,MATCH(J430,FlowCalNumber,0),1,1))),INDEX(FlowCalConstA,MATCH(J430,FlowCalNumber,0),1,1)*L440^INDEX(FlowCalConstB,MATCH(J430,FlowCalNumber,0),1,1)," ")</f>
        <v>#REF!</v>
      </c>
      <c r="N440" s="33"/>
      <c r="O440" s="242">
        <f t="shared" si="410"/>
        <v>1</v>
      </c>
      <c r="P440" s="241" t="e">
        <f t="shared" ca="1" si="411"/>
        <v>#REF!</v>
      </c>
      <c r="Q440" s="243" t="e">
        <f ca="1">IF(AND(INDEX(FlowCalConstA,MATCH(N430,FlowCalNumber,0),1,1)*P440^INDEX(FlowCalConstB,MATCH(N430,FlowCalNumber,0),1,1)&gt;INDEX(FlowCalLowSetting,MATCH(N430,FlowCalNumber,0),1,1), (INDEX(FlowCalConstA,MATCH(N430,FlowCalNumber,0),1,1)*P440^INDEX(FlowCalConstB,MATCH(N430,FlowCalNumber,0),1,1)&lt;INDEX(FlowCalHighSetting,MATCH(N430,FlowCalNumber,0),1,1))),INDEX(FlowCalConstA,MATCH(N430,FlowCalNumber,0),1,1)*P440^INDEX(FlowCalConstB,MATCH(N430,FlowCalNumber,0),1,1)," ")</f>
        <v>#REF!</v>
      </c>
      <c r="R440" s="33"/>
      <c r="S440" s="242">
        <f t="shared" si="412"/>
        <v>1</v>
      </c>
      <c r="T440" s="241" t="e">
        <f t="shared" ca="1" si="413"/>
        <v>#REF!</v>
      </c>
      <c r="U440" s="244" t="e">
        <f ca="1">IF(AND(INDEX(FlowCalConstA,MATCH(R430,FlowCalNumber,0),1,1)*T440^INDEX(FlowCalConstB,MATCH(R430,FlowCalNumber,0),1,1)&gt;INDEX(FlowCalLowSetting,MATCH(R430,FlowCalNumber,0),1,1), (INDEX(FlowCalConstA,MATCH(R430,FlowCalNumber,0),1,1)*T440^INDEX(FlowCalConstB,MATCH(R430,FlowCalNumber,0),1,1)&lt;INDEX(FlowCalHighSetting,MATCH(R430,FlowCalNumber,0),1,1))),INDEX(FlowCalConstA,MATCH(R430,FlowCalNumber,0),1,1)*T440^INDEX(FlowCalConstB,MATCH(R430,FlowCalNumber,0),1,1)," ")</f>
        <v>#REF!</v>
      </c>
      <c r="V440" s="33"/>
      <c r="W440" s="242">
        <f t="shared" si="414"/>
        <v>0.1</v>
      </c>
      <c r="X440" s="241" t="e">
        <f t="shared" ca="1" si="415"/>
        <v>#REF!</v>
      </c>
      <c r="Y440" s="243" t="e">
        <f ca="1">IF(AND(INDEX(FlowCalConstA,MATCH(V430,FlowCalNumber,0),1,1)*X440^INDEX(FlowCalConstB,MATCH(V430,FlowCalNumber,0),1,1)&gt;INDEX(FlowCalLowSetting,MATCH(V430,FlowCalNumber,0),1,1), (INDEX(FlowCalConstA,MATCH(V430,FlowCalNumber,0),1,1)*X440^INDEX(FlowCalConstB,MATCH(V430,FlowCalNumber,0),1,1)&lt;INDEX(FlowCalHighSetting,MATCH(V430,FlowCalNumber,0),1,1))),INDEX(FlowCalConstA,MATCH(V430,FlowCalNumber,0),1,1)*X440^INDEX(FlowCalConstB,MATCH(V430,FlowCalNumber,0),1,1)," ")</f>
        <v>#REF!</v>
      </c>
      <c r="Z440" s="33"/>
      <c r="AA440" s="242">
        <f t="shared" si="416"/>
        <v>0.9</v>
      </c>
      <c r="AB440" s="241" t="e">
        <f t="shared" ca="1" si="417"/>
        <v>#REF!</v>
      </c>
      <c r="AC440" s="243" t="e">
        <f ca="1">IF(AND(INDEX(FlowCalConstA,MATCH(Z430,FlowCalNumber,0),1,1)*AB440^INDEX(FlowCalConstB,MATCH(Z430,FlowCalNumber,0),1,1)&gt;INDEX(FlowCalLowSetting,MATCH(Z430,FlowCalNumber,0),1,1), (INDEX(FlowCalConstA,MATCH(Z430,FlowCalNumber,0),1,1)*AB440^INDEX(FlowCalConstB,MATCH(Z430,FlowCalNumber,0),1,1)&lt;INDEX(FlowCalHighSetting,MATCH(Z430,FlowCalNumber,0),1,1))),INDEX(FlowCalConstA,MATCH(Z430,FlowCalNumber,0),1,1)*AB440^INDEX(FlowCalConstB,MATCH(Z430,FlowCalNumber,0),1,1)," ")</f>
        <v>#REF!</v>
      </c>
      <c r="AD440" s="33"/>
      <c r="AE440" s="242">
        <f t="shared" si="418"/>
        <v>0.1</v>
      </c>
      <c r="AF440" s="241" t="e">
        <f t="shared" ca="1" si="419"/>
        <v>#REF!</v>
      </c>
      <c r="AG440" s="243" t="e">
        <f ca="1">IF(AND(INDEX(FlowCalConstA,MATCH(AD430,FlowCalNumber,0),1,1)*AF440^INDEX(FlowCalConstB,MATCH(AD430,FlowCalNumber,0),1,1)&gt;INDEX(FlowCalLowSetting,MATCH(AD430,FlowCalNumber,0),1,1), (INDEX(FlowCalConstA,MATCH(AD430,FlowCalNumber,0),1,1)*AF440^INDEX(FlowCalConstB,MATCH(AD430,FlowCalNumber,0),1,1)&lt;INDEX(FlowCalHighSetting,MATCH(AD430,FlowCalNumber,0),1,1))),INDEX(FlowCalConstA,MATCH(AD430,FlowCalNumber,0),1,1)*AF440^INDEX(FlowCalConstB,MATCH(AD430,FlowCalNumber,0),1,1)," ")</f>
        <v>#REF!</v>
      </c>
      <c r="AH440" s="33"/>
      <c r="AI440" s="242">
        <f t="shared" si="420"/>
        <v>0.9</v>
      </c>
      <c r="AJ440" s="241" t="e">
        <f t="shared" ca="1" si="421"/>
        <v>#REF!</v>
      </c>
      <c r="AK440" s="243" t="e">
        <f ca="1">IF(AND(INDEX(FlowCalConstA,MATCH(AH430,FlowCalNumber,0),1,1)*AJ440^INDEX(FlowCalConstB,MATCH(AH430,FlowCalNumber,0),1,1)&gt;INDEX(FlowCalLowSetting,MATCH(AH430,FlowCalNumber,0),1,1), (INDEX(FlowCalConstA,MATCH(AH430,FlowCalNumber,0),1,1)*AJ440^INDEX(FlowCalConstB,MATCH(AH430,FlowCalNumber,0),1,1)&lt;INDEX(FlowCalHighSetting,MATCH(AH430,FlowCalNumber,0),1,1))),INDEX(FlowCalConstA,MATCH(AH430,FlowCalNumber,0),1,1)*AJ440^INDEX(FlowCalConstB,MATCH(AH430,FlowCalNumber,0),1,1)," ")</f>
        <v>#REF!</v>
      </c>
      <c r="AL440" s="33"/>
      <c r="AM440" s="242"/>
      <c r="AN440" s="241"/>
      <c r="AO440" s="244"/>
      <c r="AQ440" s="242"/>
      <c r="AR440" s="241"/>
      <c r="AS440" s="244"/>
      <c r="AT440" s="33"/>
      <c r="AU440" s="242"/>
      <c r="AV440" s="241"/>
      <c r="AW440" s="244"/>
      <c r="AX440" s="33"/>
      <c r="AY440" s="242"/>
      <c r="AZ440" s="241"/>
      <c r="BA440" s="244"/>
      <c r="BB440" s="33"/>
      <c r="BC440" s="242"/>
      <c r="BD440" s="241"/>
      <c r="BE440" s="244"/>
      <c r="BF440" s="33"/>
      <c r="BG440" s="242"/>
      <c r="BH440" s="241"/>
      <c r="BI440" s="244"/>
      <c r="BJ440" s="33"/>
      <c r="BK440" s="242"/>
      <c r="BL440" s="241"/>
      <c r="BM440" s="244"/>
      <c r="BN440" s="33"/>
      <c r="BO440" s="242"/>
      <c r="BP440" s="241"/>
      <c r="BQ440" s="244"/>
      <c r="BR440" s="33"/>
      <c r="BS440" s="242"/>
      <c r="BT440" s="241"/>
      <c r="BU440" s="244"/>
      <c r="BV440" s="33"/>
      <c r="BW440" s="242"/>
      <c r="BX440" s="241"/>
      <c r="BY440" s="244"/>
      <c r="BZ440" s="33"/>
      <c r="CA440" s="242"/>
      <c r="CB440" s="241"/>
      <c r="CC440" s="244"/>
      <c r="CD440" s="243"/>
      <c r="CE440" s="243"/>
      <c r="CF440" s="243"/>
      <c r="CG440" s="243"/>
      <c r="CH440" s="243"/>
      <c r="CI440" s="243"/>
      <c r="CJ440" s="243"/>
      <c r="CK440" s="243"/>
      <c r="CL440" s="243"/>
      <c r="CM440" s="243"/>
      <c r="CN440" s="243"/>
      <c r="CO440" s="243"/>
      <c r="CP440" s="243"/>
      <c r="CQ440" s="243"/>
      <c r="CR440" s="243"/>
      <c r="CS440" s="243"/>
      <c r="CT440" s="243"/>
      <c r="CU440" s="243"/>
      <c r="CV440" s="243"/>
      <c r="CW440" s="243"/>
      <c r="CX440" s="243"/>
      <c r="CY440" s="243"/>
      <c r="CZ440" s="243"/>
      <c r="DA440" s="243"/>
      <c r="DB440" s="243"/>
      <c r="DC440" s="243"/>
      <c r="DD440" s="243"/>
      <c r="DE440" s="243"/>
      <c r="DF440" s="243"/>
      <c r="DG440" s="243"/>
      <c r="DH440" s="243"/>
      <c r="DI440" s="243"/>
      <c r="DJ440" s="243"/>
      <c r="DK440" s="243"/>
      <c r="DM440" s="242"/>
      <c r="DO440" s="243"/>
      <c r="DQ440" s="242"/>
      <c r="DS440" s="243"/>
      <c r="DU440" s="242"/>
      <c r="DW440" s="243"/>
      <c r="DY440" s="242"/>
      <c r="EA440" s="243"/>
    </row>
    <row r="441" spans="1:131">
      <c r="A441" s="20"/>
      <c r="B441" s="124" t="str">
        <f t="shared" si="406"/>
        <v/>
      </c>
      <c r="C441" s="235"/>
      <c r="D441" s="24">
        <f>'1% Wind'!$M$92</f>
        <v>3.2</v>
      </c>
      <c r="E441" s="90"/>
      <c r="F441" s="90"/>
      <c r="G441" s="79" t="e">
        <f ca="1">IF(I430=0.9743,$G440,MAX(G440/D440*D441,2))</f>
        <v>#REF!</v>
      </c>
      <c r="H441" s="121" t="e">
        <f t="shared" ca="1" si="407"/>
        <v>#REF!</v>
      </c>
      <c r="J441" s="33"/>
      <c r="K441" s="242">
        <f t="shared" si="408"/>
        <v>1</v>
      </c>
      <c r="L441" s="241" t="e">
        <f t="shared" ca="1" si="409"/>
        <v>#REF!</v>
      </c>
      <c r="M441" s="243" t="e">
        <f ca="1">IF(AND(INDEX(FlowCalConstA,MATCH(J430,FlowCalNumber,0),1,1)*L441^INDEX(FlowCalConstB,MATCH(J430,FlowCalNumber,0),1,1)&gt;INDEX(FlowCalLowSetting,MATCH(J430,FlowCalNumber,0),1,1), (INDEX(FlowCalConstA,MATCH(J430,FlowCalNumber,0),1,1)*L441^INDEX(FlowCalConstB,MATCH(J430,FlowCalNumber,0),1,1)&lt;INDEX(FlowCalHighSetting,MATCH(J430,FlowCalNumber,0),1,1))),INDEX(FlowCalConstA,MATCH(J430,FlowCalNumber,0),1,1)*L441^INDEX(FlowCalConstB,MATCH(J430,FlowCalNumber,0),1,1)," ")</f>
        <v>#REF!</v>
      </c>
      <c r="N441" s="33"/>
      <c r="O441" s="242">
        <f t="shared" si="410"/>
        <v>1</v>
      </c>
      <c r="P441" s="241" t="e">
        <f t="shared" ca="1" si="411"/>
        <v>#REF!</v>
      </c>
      <c r="Q441" s="243" t="e">
        <f ca="1">IF(AND(INDEX(FlowCalConstA,MATCH(N430,FlowCalNumber,0),1,1)*P441^INDEX(FlowCalConstB,MATCH(N430,FlowCalNumber,0),1,1)&gt;INDEX(FlowCalLowSetting,MATCH(N430,FlowCalNumber,0),1,1), (INDEX(FlowCalConstA,MATCH(N430,FlowCalNumber,0),1,1)*P441^INDEX(FlowCalConstB,MATCH(N430,FlowCalNumber,0),1,1)&lt;INDEX(FlowCalHighSetting,MATCH(N430,FlowCalNumber,0),1,1))),INDEX(FlowCalConstA,MATCH(N430,FlowCalNumber,0),1,1)*P441^INDEX(FlowCalConstB,MATCH(N430,FlowCalNumber,0),1,1)," ")</f>
        <v>#REF!</v>
      </c>
      <c r="R441" s="33"/>
      <c r="S441" s="242">
        <f t="shared" si="412"/>
        <v>1</v>
      </c>
      <c r="T441" s="241" t="e">
        <f t="shared" ca="1" si="413"/>
        <v>#REF!</v>
      </c>
      <c r="U441" s="244" t="e">
        <f ca="1">IF(AND(INDEX(FlowCalConstA,MATCH(R430,FlowCalNumber,0),1,1)*T441^INDEX(FlowCalConstB,MATCH(R430,FlowCalNumber,0),1,1)&gt;INDEX(FlowCalLowSetting,MATCH(R430,FlowCalNumber,0),1,1), (INDEX(FlowCalConstA,MATCH(R430,FlowCalNumber,0),1,1)*T441^INDEX(FlowCalConstB,MATCH(R430,FlowCalNumber,0),1,1)&lt;INDEX(FlowCalHighSetting,MATCH(R430,FlowCalNumber,0),1,1))),INDEX(FlowCalConstA,MATCH(R430,FlowCalNumber,0),1,1)*T441^INDEX(FlowCalConstB,MATCH(R430,FlowCalNumber,0),1,1)," ")</f>
        <v>#REF!</v>
      </c>
      <c r="V441" s="33"/>
      <c r="W441" s="242">
        <f t="shared" si="414"/>
        <v>0.1</v>
      </c>
      <c r="X441" s="241" t="e">
        <f t="shared" ca="1" si="415"/>
        <v>#REF!</v>
      </c>
      <c r="Y441" s="243" t="e">
        <f ca="1">IF(AND(INDEX(FlowCalConstA,MATCH(V430,FlowCalNumber,0),1,1)*X441^INDEX(FlowCalConstB,MATCH(V430,FlowCalNumber,0),1,1)&gt;INDEX(FlowCalLowSetting,MATCH(V430,FlowCalNumber,0),1,1), (INDEX(FlowCalConstA,MATCH(V430,FlowCalNumber,0),1,1)*X441^INDEX(FlowCalConstB,MATCH(V430,FlowCalNumber,0),1,1)&lt;INDEX(FlowCalHighSetting,MATCH(V430,FlowCalNumber,0),1,1))),INDEX(FlowCalConstA,MATCH(V430,FlowCalNumber,0),1,1)*X441^INDEX(FlowCalConstB,MATCH(V430,FlowCalNumber,0),1,1)," ")</f>
        <v>#REF!</v>
      </c>
      <c r="Z441" s="33"/>
      <c r="AA441" s="242">
        <f t="shared" si="416"/>
        <v>0.9</v>
      </c>
      <c r="AB441" s="241" t="e">
        <f t="shared" ca="1" si="417"/>
        <v>#REF!</v>
      </c>
      <c r="AC441" s="243" t="e">
        <f ca="1">IF(AND(INDEX(FlowCalConstA,MATCH(Z430,FlowCalNumber,0),1,1)*AB441^INDEX(FlowCalConstB,MATCH(Z430,FlowCalNumber,0),1,1)&gt;INDEX(FlowCalLowSetting,MATCH(Z430,FlowCalNumber,0),1,1), (INDEX(FlowCalConstA,MATCH(Z430,FlowCalNumber,0),1,1)*AB441^INDEX(FlowCalConstB,MATCH(Z430,FlowCalNumber,0),1,1)&lt;INDEX(FlowCalHighSetting,MATCH(Z430,FlowCalNumber,0),1,1))),INDEX(FlowCalConstA,MATCH(Z430,FlowCalNumber,0),1,1)*AB441^INDEX(FlowCalConstB,MATCH(Z430,FlowCalNumber,0),1,1)," ")</f>
        <v>#REF!</v>
      </c>
      <c r="AD441" s="33"/>
      <c r="AE441" s="242">
        <f t="shared" si="418"/>
        <v>0.1</v>
      </c>
      <c r="AF441" s="241" t="e">
        <f t="shared" ca="1" si="419"/>
        <v>#REF!</v>
      </c>
      <c r="AG441" s="243" t="e">
        <f ca="1">IF(AND(INDEX(FlowCalConstA,MATCH(AD430,FlowCalNumber,0),1,1)*AF441^INDEX(FlowCalConstB,MATCH(AD430,FlowCalNumber,0),1,1)&gt;INDEX(FlowCalLowSetting,MATCH(AD430,FlowCalNumber,0),1,1), (INDEX(FlowCalConstA,MATCH(AD430,FlowCalNumber,0),1,1)*AF441^INDEX(FlowCalConstB,MATCH(AD430,FlowCalNumber,0),1,1)&lt;INDEX(FlowCalHighSetting,MATCH(AD430,FlowCalNumber,0),1,1))),INDEX(FlowCalConstA,MATCH(AD430,FlowCalNumber,0),1,1)*AF441^INDEX(FlowCalConstB,MATCH(AD430,FlowCalNumber,0),1,1)," ")</f>
        <v>#REF!</v>
      </c>
      <c r="AH441" s="33"/>
      <c r="AI441" s="242">
        <f t="shared" si="420"/>
        <v>0.9</v>
      </c>
      <c r="AJ441" s="241" t="e">
        <f t="shared" ca="1" si="421"/>
        <v>#REF!</v>
      </c>
      <c r="AK441" s="243" t="e">
        <f ca="1">IF(AND(INDEX(FlowCalConstA,MATCH(AH430,FlowCalNumber,0),1,1)*AJ441^INDEX(FlowCalConstB,MATCH(AH430,FlowCalNumber,0),1,1)&gt;INDEX(FlowCalLowSetting,MATCH(AH430,FlowCalNumber,0),1,1), (INDEX(FlowCalConstA,MATCH(AH430,FlowCalNumber,0),1,1)*AJ441^INDEX(FlowCalConstB,MATCH(AH430,FlowCalNumber,0),1,1)&lt;INDEX(FlowCalHighSetting,MATCH(AH430,FlowCalNumber,0),1,1))),INDEX(FlowCalConstA,MATCH(AH430,FlowCalNumber,0),1,1)*AJ441^INDEX(FlowCalConstB,MATCH(AH430,FlowCalNumber,0),1,1)," ")</f>
        <v>#REF!</v>
      </c>
      <c r="AL441" s="33"/>
      <c r="AM441" s="242"/>
      <c r="AN441" s="241"/>
      <c r="AO441" s="244"/>
      <c r="AQ441" s="242"/>
      <c r="AR441" s="241"/>
      <c r="AS441" s="244"/>
      <c r="AT441" s="33"/>
      <c r="AU441" s="242"/>
      <c r="AV441" s="241"/>
      <c r="AW441" s="244"/>
      <c r="AX441" s="33"/>
      <c r="AY441" s="242"/>
      <c r="AZ441" s="241"/>
      <c r="BA441" s="244"/>
      <c r="BB441" s="33"/>
      <c r="BC441" s="242"/>
      <c r="BD441" s="241"/>
      <c r="BE441" s="244"/>
      <c r="BF441" s="33"/>
      <c r="BG441" s="242"/>
      <c r="BH441" s="241"/>
      <c r="BI441" s="244"/>
      <c r="BJ441" s="33"/>
      <c r="BK441" s="242"/>
      <c r="BL441" s="241"/>
      <c r="BM441" s="244"/>
      <c r="BN441" s="33"/>
      <c r="BO441" s="242"/>
      <c r="BP441" s="241"/>
      <c r="BQ441" s="244"/>
      <c r="BR441" s="33"/>
      <c r="BS441" s="242"/>
      <c r="BT441" s="241"/>
      <c r="BU441" s="244"/>
      <c r="BV441" s="33"/>
      <c r="BW441" s="242"/>
      <c r="BX441" s="241"/>
      <c r="BY441" s="244"/>
      <c r="BZ441" s="33"/>
      <c r="CA441" s="242"/>
      <c r="CB441" s="241"/>
      <c r="CC441" s="244"/>
      <c r="CD441" s="243"/>
      <c r="CE441" s="243"/>
      <c r="CF441" s="243"/>
      <c r="CG441" s="243"/>
      <c r="CH441" s="243"/>
      <c r="CI441" s="243"/>
      <c r="CJ441" s="243"/>
      <c r="CK441" s="243"/>
      <c r="CL441" s="243"/>
      <c r="CM441" s="243"/>
      <c r="CN441" s="243"/>
      <c r="CO441" s="243"/>
      <c r="CP441" s="243"/>
      <c r="CQ441" s="243"/>
      <c r="CR441" s="243"/>
      <c r="CS441" s="243"/>
      <c r="CT441" s="243"/>
      <c r="CU441" s="243"/>
      <c r="CV441" s="243"/>
      <c r="CW441" s="243"/>
      <c r="CX441" s="243"/>
      <c r="CY441" s="243"/>
      <c r="CZ441" s="243"/>
      <c r="DA441" s="243"/>
      <c r="DB441" s="243"/>
      <c r="DC441" s="243"/>
      <c r="DD441" s="243"/>
      <c r="DE441" s="243"/>
      <c r="DF441" s="243"/>
      <c r="DG441" s="243"/>
      <c r="DH441" s="243"/>
      <c r="DI441" s="243"/>
      <c r="DJ441" s="243"/>
      <c r="DK441" s="243"/>
      <c r="DM441" s="242"/>
      <c r="DO441" s="243"/>
      <c r="DQ441" s="242"/>
      <c r="DS441" s="243"/>
      <c r="DU441" s="242"/>
      <c r="DW441" s="243"/>
      <c r="DY441" s="242"/>
      <c r="EA441" s="243"/>
    </row>
    <row r="442" spans="1:131">
      <c r="A442" s="20"/>
      <c r="B442" s="124" t="str">
        <f t="shared" si="406"/>
        <v/>
      </c>
      <c r="C442" s="235"/>
      <c r="D442" s="24">
        <f>'1% Wind'!$M$93</f>
        <v>2.4</v>
      </c>
      <c r="E442" s="90"/>
      <c r="F442" s="90"/>
      <c r="G442" s="79" t="e">
        <f ca="1">IF(I430=0.9743,$G441,MAX(G441/D441*D442,2))</f>
        <v>#REF!</v>
      </c>
      <c r="H442" s="121" t="e">
        <f t="shared" ca="1" si="407"/>
        <v>#REF!</v>
      </c>
      <c r="J442" s="33"/>
      <c r="K442" s="242">
        <f t="shared" si="408"/>
        <v>1</v>
      </c>
      <c r="L442" s="241" t="e">
        <f t="shared" ca="1" si="409"/>
        <v>#REF!</v>
      </c>
      <c r="M442" s="243" t="e">
        <f ca="1">IF(AND(INDEX(FlowCalConstA,MATCH(J430,FlowCalNumber,0),1,1)*L442^INDEX(FlowCalConstB,MATCH(J430,FlowCalNumber,0),1,1)&gt;INDEX(FlowCalLowSetting,MATCH(J430,FlowCalNumber,0),1,1), (INDEX(FlowCalConstA,MATCH(J430,FlowCalNumber,0),1,1)*L442^INDEX(FlowCalConstB,MATCH(J430,FlowCalNumber,0),1,1)&lt;INDEX(FlowCalHighSetting,MATCH(J430,FlowCalNumber,0),1,1))),INDEX(FlowCalConstA,MATCH(J430,FlowCalNumber,0),1,1)*L442^INDEX(FlowCalConstB,MATCH(J430,FlowCalNumber,0),1,1)," ")</f>
        <v>#REF!</v>
      </c>
      <c r="N442" s="33"/>
      <c r="O442" s="242">
        <f t="shared" si="410"/>
        <v>1</v>
      </c>
      <c r="P442" s="241" t="e">
        <f t="shared" ca="1" si="411"/>
        <v>#REF!</v>
      </c>
      <c r="Q442" s="243" t="e">
        <f ca="1">IF(AND(INDEX(FlowCalConstA,MATCH(N430,FlowCalNumber,0),1,1)*P442^INDEX(FlowCalConstB,MATCH(N430,FlowCalNumber,0),1,1)&gt;INDEX(FlowCalLowSetting,MATCH(N430,FlowCalNumber,0),1,1), (INDEX(FlowCalConstA,MATCH(N430,FlowCalNumber,0),1,1)*P442^INDEX(FlowCalConstB,MATCH(N430,FlowCalNumber,0),1,1)&lt;INDEX(FlowCalHighSetting,MATCH(N430,FlowCalNumber,0),1,1))),INDEX(FlowCalConstA,MATCH(N430,FlowCalNumber,0),1,1)*P442^INDEX(FlowCalConstB,MATCH(N430,FlowCalNumber,0),1,1)," ")</f>
        <v>#REF!</v>
      </c>
      <c r="R442" s="33"/>
      <c r="S442" s="242">
        <f t="shared" si="412"/>
        <v>1</v>
      </c>
      <c r="T442" s="241" t="e">
        <f t="shared" ca="1" si="413"/>
        <v>#REF!</v>
      </c>
      <c r="U442" s="244" t="e">
        <f ca="1">IF(AND(INDEX(FlowCalConstA,MATCH(R430,FlowCalNumber,0),1,1)*T442^INDEX(FlowCalConstB,MATCH(R430,FlowCalNumber,0),1,1)&gt;INDEX(FlowCalLowSetting,MATCH(R430,FlowCalNumber,0),1,1), (INDEX(FlowCalConstA,MATCH(R430,FlowCalNumber,0),1,1)*T442^INDEX(FlowCalConstB,MATCH(R430,FlowCalNumber,0),1,1)&lt;INDEX(FlowCalHighSetting,MATCH(R430,FlowCalNumber,0),1,1))),INDEX(FlowCalConstA,MATCH(R430,FlowCalNumber,0),1,1)*T442^INDEX(FlowCalConstB,MATCH(R430,FlowCalNumber,0),1,1)," ")</f>
        <v>#REF!</v>
      </c>
      <c r="V442" s="33"/>
      <c r="W442" s="242">
        <f t="shared" si="414"/>
        <v>0.1</v>
      </c>
      <c r="X442" s="241" t="e">
        <f t="shared" ca="1" si="415"/>
        <v>#REF!</v>
      </c>
      <c r="Y442" s="243" t="e">
        <f ca="1">IF(AND(INDEX(FlowCalConstA,MATCH(V430,FlowCalNumber,0),1,1)*X442^INDEX(FlowCalConstB,MATCH(V430,FlowCalNumber,0),1,1)&gt;INDEX(FlowCalLowSetting,MATCH(V430,FlowCalNumber,0),1,1), (INDEX(FlowCalConstA,MATCH(V430,FlowCalNumber,0),1,1)*X442^INDEX(FlowCalConstB,MATCH(V430,FlowCalNumber,0),1,1)&lt;INDEX(FlowCalHighSetting,MATCH(V430,FlowCalNumber,0),1,1))),INDEX(FlowCalConstA,MATCH(V430,FlowCalNumber,0),1,1)*X442^INDEX(FlowCalConstB,MATCH(V430,FlowCalNumber,0),1,1)," ")</f>
        <v>#REF!</v>
      </c>
      <c r="Z442" s="33"/>
      <c r="AA442" s="242">
        <f t="shared" si="416"/>
        <v>0.9</v>
      </c>
      <c r="AB442" s="241" t="e">
        <f t="shared" ca="1" si="417"/>
        <v>#REF!</v>
      </c>
      <c r="AC442" s="243" t="e">
        <f ca="1">IF(AND(INDEX(FlowCalConstA,MATCH(Z430,FlowCalNumber,0),1,1)*AB442^INDEX(FlowCalConstB,MATCH(Z430,FlowCalNumber,0),1,1)&gt;INDEX(FlowCalLowSetting,MATCH(Z430,FlowCalNumber,0),1,1), (INDEX(FlowCalConstA,MATCH(Z430,FlowCalNumber,0),1,1)*AB442^INDEX(FlowCalConstB,MATCH(Z430,FlowCalNumber,0),1,1)&lt;INDEX(FlowCalHighSetting,MATCH(Z430,FlowCalNumber,0),1,1))),INDEX(FlowCalConstA,MATCH(Z430,FlowCalNumber,0),1,1)*AB442^INDEX(FlowCalConstB,MATCH(Z430,FlowCalNumber,0),1,1)," ")</f>
        <v>#REF!</v>
      </c>
      <c r="AD442" s="33"/>
      <c r="AE442" s="242">
        <f t="shared" si="418"/>
        <v>0.1</v>
      </c>
      <c r="AF442" s="241" t="e">
        <f t="shared" ca="1" si="419"/>
        <v>#REF!</v>
      </c>
      <c r="AG442" s="243" t="e">
        <f ca="1">IF(AND(INDEX(FlowCalConstA,MATCH(AD430,FlowCalNumber,0),1,1)*AF442^INDEX(FlowCalConstB,MATCH(AD430,FlowCalNumber,0),1,1)&gt;INDEX(FlowCalLowSetting,MATCH(AD430,FlowCalNumber,0),1,1), (INDEX(FlowCalConstA,MATCH(AD430,FlowCalNumber,0),1,1)*AF442^INDEX(FlowCalConstB,MATCH(AD430,FlowCalNumber,0),1,1)&lt;INDEX(FlowCalHighSetting,MATCH(AD430,FlowCalNumber,0),1,1))),INDEX(FlowCalConstA,MATCH(AD430,FlowCalNumber,0),1,1)*AF442^INDEX(FlowCalConstB,MATCH(AD430,FlowCalNumber,0),1,1)," ")</f>
        <v>#REF!</v>
      </c>
      <c r="AH442" s="33"/>
      <c r="AI442" s="242">
        <f t="shared" si="420"/>
        <v>0.9</v>
      </c>
      <c r="AJ442" s="241" t="e">
        <f t="shared" ca="1" si="421"/>
        <v>#REF!</v>
      </c>
      <c r="AK442" s="243" t="e">
        <f ca="1">IF(AND(INDEX(FlowCalConstA,MATCH(AH430,FlowCalNumber,0),1,1)*AJ442^INDEX(FlowCalConstB,MATCH(AH430,FlowCalNumber,0),1,1)&gt;INDEX(FlowCalLowSetting,MATCH(AH430,FlowCalNumber,0),1,1), (INDEX(FlowCalConstA,MATCH(AH430,FlowCalNumber,0),1,1)*AJ442^INDEX(FlowCalConstB,MATCH(AH430,FlowCalNumber,0),1,1)&lt;INDEX(FlowCalHighSetting,MATCH(AH430,FlowCalNumber,0),1,1))),INDEX(FlowCalConstA,MATCH(AH430,FlowCalNumber,0),1,1)*AJ442^INDEX(FlowCalConstB,MATCH(AH430,FlowCalNumber,0),1,1)," ")</f>
        <v>#REF!</v>
      </c>
      <c r="AL442" s="33"/>
      <c r="AM442" s="242"/>
      <c r="AN442" s="241"/>
      <c r="AO442" s="244"/>
      <c r="AQ442" s="242"/>
      <c r="AR442" s="241"/>
      <c r="AS442" s="244"/>
      <c r="AT442" s="33"/>
      <c r="AU442" s="242"/>
      <c r="AV442" s="241"/>
      <c r="AW442" s="244"/>
      <c r="AX442" s="33"/>
      <c r="AY442" s="242"/>
      <c r="AZ442" s="241"/>
      <c r="BA442" s="244"/>
      <c r="BB442" s="33"/>
      <c r="BC442" s="242"/>
      <c r="BD442" s="241"/>
      <c r="BE442" s="244"/>
      <c r="BF442" s="33"/>
      <c r="BG442" s="242"/>
      <c r="BH442" s="241"/>
      <c r="BI442" s="244"/>
      <c r="BJ442" s="33"/>
      <c r="BK442" s="242"/>
      <c r="BL442" s="241"/>
      <c r="BM442" s="244"/>
      <c r="BN442" s="33"/>
      <c r="BO442" s="242"/>
      <c r="BP442" s="241"/>
      <c r="BQ442" s="244"/>
      <c r="BR442" s="33"/>
      <c r="BS442" s="242"/>
      <c r="BT442" s="241"/>
      <c r="BU442" s="244"/>
      <c r="BV442" s="33"/>
      <c r="BW442" s="242"/>
      <c r="BX442" s="241"/>
      <c r="BY442" s="244"/>
      <c r="BZ442" s="33"/>
      <c r="CA442" s="242"/>
      <c r="CB442" s="241"/>
      <c r="CC442" s="244"/>
      <c r="CD442" s="243"/>
      <c r="CE442" s="243"/>
      <c r="CF442" s="243"/>
      <c r="CG442" s="243"/>
      <c r="CH442" s="243"/>
      <c r="CI442" s="243"/>
      <c r="CJ442" s="243"/>
      <c r="CK442" s="243"/>
      <c r="CL442" s="243"/>
      <c r="CM442" s="243"/>
      <c r="CN442" s="243"/>
      <c r="CO442" s="243"/>
      <c r="CP442" s="243"/>
      <c r="CQ442" s="243"/>
      <c r="CR442" s="243"/>
      <c r="CS442" s="243"/>
      <c r="CT442" s="243"/>
      <c r="CU442" s="243"/>
      <c r="CV442" s="243"/>
      <c r="CW442" s="243"/>
      <c r="CX442" s="243"/>
      <c r="CY442" s="243"/>
      <c r="CZ442" s="243"/>
      <c r="DA442" s="243"/>
      <c r="DB442" s="243"/>
      <c r="DC442" s="243"/>
      <c r="DD442" s="243"/>
      <c r="DE442" s="243"/>
      <c r="DF442" s="243"/>
      <c r="DG442" s="243"/>
      <c r="DH442" s="243"/>
      <c r="DI442" s="243"/>
      <c r="DJ442" s="243"/>
      <c r="DK442" s="243"/>
      <c r="DM442" s="242"/>
      <c r="DO442" s="243"/>
      <c r="DQ442" s="242"/>
      <c r="DS442" s="243"/>
      <c r="DU442" s="242"/>
      <c r="DW442" s="243"/>
      <c r="DY442" s="242"/>
      <c r="EA442" s="243"/>
    </row>
    <row r="443" spans="1:131">
      <c r="A443" s="20"/>
      <c r="B443" s="124" t="str">
        <f t="shared" si="406"/>
        <v/>
      </c>
      <c r="C443" s="235"/>
      <c r="D443" s="24">
        <f>'1% Wind'!$M$94</f>
        <v>1.8</v>
      </c>
      <c r="E443" s="90"/>
      <c r="F443" s="90"/>
      <c r="G443" s="79" t="e">
        <f ca="1">IF(I430=0.9743,$G442,MAX(G442/D442*D443,2))</f>
        <v>#REF!</v>
      </c>
      <c r="H443" s="121" t="e">
        <f t="shared" ca="1" si="407"/>
        <v>#REF!</v>
      </c>
      <c r="J443" s="33"/>
      <c r="K443" s="242">
        <f t="shared" si="408"/>
        <v>1</v>
      </c>
      <c r="L443" s="241" t="e">
        <f t="shared" ca="1" si="409"/>
        <v>#REF!</v>
      </c>
      <c r="M443" s="243" t="e">
        <f ca="1">IF(AND(INDEX(FlowCalConstA,MATCH(J430,FlowCalNumber,0),1,1)*L443^INDEX(FlowCalConstB,MATCH(J430,FlowCalNumber,0),1,1)&gt;INDEX(FlowCalLowSetting,MATCH(J430,FlowCalNumber,0),1,1), (INDEX(FlowCalConstA,MATCH(J430,FlowCalNumber,0),1,1)*L443^INDEX(FlowCalConstB,MATCH(J430,FlowCalNumber,0),1,1)&lt;INDEX(FlowCalHighSetting,MATCH(J430,FlowCalNumber,0),1,1))),INDEX(FlowCalConstA,MATCH(J430,FlowCalNumber,0),1,1)*L443^INDEX(FlowCalConstB,MATCH(J430,FlowCalNumber,0),1,1)," ")</f>
        <v>#REF!</v>
      </c>
      <c r="N443" s="33"/>
      <c r="O443" s="242">
        <f t="shared" si="410"/>
        <v>1</v>
      </c>
      <c r="P443" s="241" t="e">
        <f t="shared" ca="1" si="411"/>
        <v>#REF!</v>
      </c>
      <c r="Q443" s="243" t="e">
        <f ca="1">IF(AND(INDEX(FlowCalConstA,MATCH(N430,FlowCalNumber,0),1,1)*P443^INDEX(FlowCalConstB,MATCH(N430,FlowCalNumber,0),1,1)&gt;INDEX(FlowCalLowSetting,MATCH(N430,FlowCalNumber,0),1,1), (INDEX(FlowCalConstA,MATCH(N430,FlowCalNumber,0),1,1)*P443^INDEX(FlowCalConstB,MATCH(N430,FlowCalNumber,0),1,1)&lt;INDEX(FlowCalHighSetting,MATCH(N430,FlowCalNumber,0),1,1))),INDEX(FlowCalConstA,MATCH(N430,FlowCalNumber,0),1,1)*P443^INDEX(FlowCalConstB,MATCH(N430,FlowCalNumber,0),1,1)," ")</f>
        <v>#REF!</v>
      </c>
      <c r="R443" s="33"/>
      <c r="S443" s="242">
        <f t="shared" si="412"/>
        <v>1</v>
      </c>
      <c r="T443" s="241" t="e">
        <f t="shared" ca="1" si="413"/>
        <v>#REF!</v>
      </c>
      <c r="U443" s="244" t="e">
        <f ca="1">IF(AND(INDEX(FlowCalConstA,MATCH(R430,FlowCalNumber,0),1,1)*T443^INDEX(FlowCalConstB,MATCH(R430,FlowCalNumber,0),1,1)&gt;INDEX(FlowCalLowSetting,MATCH(R430,FlowCalNumber,0),1,1), (INDEX(FlowCalConstA,MATCH(R430,FlowCalNumber,0),1,1)*T443^INDEX(FlowCalConstB,MATCH(R430,FlowCalNumber,0),1,1)&lt;INDEX(FlowCalHighSetting,MATCH(R430,FlowCalNumber,0),1,1))),INDEX(FlowCalConstA,MATCH(R430,FlowCalNumber,0),1,1)*T443^INDEX(FlowCalConstB,MATCH(R430,FlowCalNumber,0),1,1)," ")</f>
        <v>#REF!</v>
      </c>
      <c r="V443" s="33"/>
      <c r="W443" s="242">
        <f t="shared" si="414"/>
        <v>0.1</v>
      </c>
      <c r="X443" s="241" t="e">
        <f t="shared" ca="1" si="415"/>
        <v>#REF!</v>
      </c>
      <c r="Y443" s="243" t="e">
        <f ca="1">IF(AND(INDEX(FlowCalConstA,MATCH(V430,FlowCalNumber,0),1,1)*X443^INDEX(FlowCalConstB,MATCH(V430,FlowCalNumber,0),1,1)&gt;INDEX(FlowCalLowSetting,MATCH(V430,FlowCalNumber,0),1,1), (INDEX(FlowCalConstA,MATCH(V430,FlowCalNumber,0),1,1)*X443^INDEX(FlowCalConstB,MATCH(V430,FlowCalNumber,0),1,1)&lt;INDEX(FlowCalHighSetting,MATCH(V430,FlowCalNumber,0),1,1))),INDEX(FlowCalConstA,MATCH(V430,FlowCalNumber,0),1,1)*X443^INDEX(FlowCalConstB,MATCH(V430,FlowCalNumber,0),1,1)," ")</f>
        <v>#REF!</v>
      </c>
      <c r="Z443" s="33"/>
      <c r="AA443" s="242">
        <f t="shared" si="416"/>
        <v>0.9</v>
      </c>
      <c r="AB443" s="241" t="e">
        <f t="shared" ca="1" si="417"/>
        <v>#REF!</v>
      </c>
      <c r="AC443" s="243" t="e">
        <f ca="1">IF(AND(INDEX(FlowCalConstA,MATCH(Z430,FlowCalNumber,0),1,1)*AB443^INDEX(FlowCalConstB,MATCH(Z430,FlowCalNumber,0),1,1)&gt;INDEX(FlowCalLowSetting,MATCH(Z430,FlowCalNumber,0),1,1), (INDEX(FlowCalConstA,MATCH(Z430,FlowCalNumber,0),1,1)*AB443^INDEX(FlowCalConstB,MATCH(Z430,FlowCalNumber,0),1,1)&lt;INDEX(FlowCalHighSetting,MATCH(Z430,FlowCalNumber,0),1,1))),INDEX(FlowCalConstA,MATCH(Z430,FlowCalNumber,0),1,1)*AB443^INDEX(FlowCalConstB,MATCH(Z430,FlowCalNumber,0),1,1)," ")</f>
        <v>#REF!</v>
      </c>
      <c r="AD443" s="33"/>
      <c r="AE443" s="242">
        <f t="shared" si="418"/>
        <v>0.1</v>
      </c>
      <c r="AF443" s="241" t="e">
        <f t="shared" ca="1" si="419"/>
        <v>#REF!</v>
      </c>
      <c r="AG443" s="243" t="e">
        <f ca="1">IF(AND(INDEX(FlowCalConstA,MATCH(AD430,FlowCalNumber,0),1,1)*AF443^INDEX(FlowCalConstB,MATCH(AD430,FlowCalNumber,0),1,1)&gt;INDEX(FlowCalLowSetting,MATCH(AD430,FlowCalNumber,0),1,1), (INDEX(FlowCalConstA,MATCH(AD430,FlowCalNumber,0),1,1)*AF443^INDEX(FlowCalConstB,MATCH(AD430,FlowCalNumber,0),1,1)&lt;INDEX(FlowCalHighSetting,MATCH(AD430,FlowCalNumber,0),1,1))),INDEX(FlowCalConstA,MATCH(AD430,FlowCalNumber,0),1,1)*AF443^INDEX(FlowCalConstB,MATCH(AD430,FlowCalNumber,0),1,1)," ")</f>
        <v>#REF!</v>
      </c>
      <c r="AH443" s="33"/>
      <c r="AI443" s="242">
        <f t="shared" si="420"/>
        <v>0.9</v>
      </c>
      <c r="AJ443" s="241" t="e">
        <f t="shared" ca="1" si="421"/>
        <v>#REF!</v>
      </c>
      <c r="AK443" s="243" t="e">
        <f ca="1">IF(AND(INDEX(FlowCalConstA,MATCH(AH430,FlowCalNumber,0),1,1)*AJ443^INDEX(FlowCalConstB,MATCH(AH430,FlowCalNumber,0),1,1)&gt;INDEX(FlowCalLowSetting,MATCH(AH430,FlowCalNumber,0),1,1), (INDEX(FlowCalConstA,MATCH(AH430,FlowCalNumber,0),1,1)*AJ443^INDEX(FlowCalConstB,MATCH(AH430,FlowCalNumber,0),1,1)&lt;INDEX(FlowCalHighSetting,MATCH(AH430,FlowCalNumber,0),1,1))),INDEX(FlowCalConstA,MATCH(AH430,FlowCalNumber,0),1,1)*AJ443^INDEX(FlowCalConstB,MATCH(AH430,FlowCalNumber,0),1,1)," ")</f>
        <v>#REF!</v>
      </c>
      <c r="AL443" s="33"/>
      <c r="AM443" s="242"/>
      <c r="AN443" s="241"/>
      <c r="AO443" s="244"/>
      <c r="AQ443" s="242"/>
      <c r="AR443" s="241"/>
      <c r="AS443" s="244"/>
      <c r="AT443" s="33"/>
      <c r="AU443" s="242"/>
      <c r="AV443" s="241"/>
      <c r="AW443" s="244"/>
      <c r="AX443" s="33"/>
      <c r="AY443" s="242"/>
      <c r="AZ443" s="241"/>
      <c r="BA443" s="244"/>
      <c r="BB443" s="33"/>
      <c r="BC443" s="242"/>
      <c r="BD443" s="241"/>
      <c r="BE443" s="244"/>
      <c r="BF443" s="33"/>
      <c r="BG443" s="242"/>
      <c r="BH443" s="241"/>
      <c r="BI443" s="244"/>
      <c r="BJ443" s="33"/>
      <c r="BK443" s="242"/>
      <c r="BL443" s="241"/>
      <c r="BM443" s="244"/>
      <c r="BN443" s="33"/>
      <c r="BO443" s="242"/>
      <c r="BP443" s="241"/>
      <c r="BQ443" s="244"/>
      <c r="BR443" s="33"/>
      <c r="BS443" s="242"/>
      <c r="BT443" s="241"/>
      <c r="BU443" s="244"/>
      <c r="BV443" s="33"/>
      <c r="BW443" s="242"/>
      <c r="BX443" s="241"/>
      <c r="BY443" s="244"/>
      <c r="BZ443" s="33"/>
      <c r="CA443" s="242"/>
      <c r="CB443" s="241"/>
      <c r="CC443" s="244"/>
      <c r="CD443" s="243"/>
      <c r="CE443" s="243"/>
      <c r="CF443" s="243"/>
      <c r="CG443" s="243"/>
      <c r="CH443" s="243"/>
      <c r="CI443" s="243"/>
      <c r="CJ443" s="243"/>
      <c r="CK443" s="243"/>
      <c r="CL443" s="243"/>
      <c r="CM443" s="243"/>
      <c r="CN443" s="243"/>
      <c r="CO443" s="243"/>
      <c r="CP443" s="243"/>
      <c r="CQ443" s="243"/>
      <c r="CR443" s="243"/>
      <c r="CS443" s="243"/>
      <c r="CT443" s="243"/>
      <c r="CU443" s="243"/>
      <c r="CV443" s="243"/>
      <c r="CW443" s="243"/>
      <c r="CX443" s="243"/>
      <c r="CY443" s="243"/>
      <c r="CZ443" s="243"/>
      <c r="DA443" s="243"/>
      <c r="DB443" s="243"/>
      <c r="DC443" s="243"/>
      <c r="DD443" s="243"/>
      <c r="DE443" s="243"/>
      <c r="DF443" s="243"/>
      <c r="DG443" s="243"/>
      <c r="DH443" s="243"/>
      <c r="DI443" s="243"/>
      <c r="DJ443" s="243"/>
      <c r="DK443" s="243"/>
      <c r="DM443" s="242"/>
      <c r="DO443" s="243"/>
      <c r="DQ443" s="242"/>
      <c r="DS443" s="243"/>
      <c r="DU443" s="242"/>
      <c r="DW443" s="243"/>
      <c r="DY443" s="242"/>
      <c r="EA443" s="243"/>
    </row>
    <row r="444" spans="1:131">
      <c r="A444" s="20"/>
      <c r="B444" s="124" t="str">
        <f t="shared" si="406"/>
        <v/>
      </c>
      <c r="C444" s="235"/>
      <c r="D444" s="24">
        <f>'1% Wind'!$M$95</f>
        <v>1.3</v>
      </c>
      <c r="E444" s="90"/>
      <c r="F444" s="90"/>
      <c r="G444" s="79" t="e">
        <f ca="1">IF(I430=0.9743,$G443,MAX(G443/D443*D444,2))</f>
        <v>#REF!</v>
      </c>
      <c r="H444" s="121" t="e">
        <f t="shared" ca="1" si="407"/>
        <v>#REF!</v>
      </c>
      <c r="J444" s="33"/>
      <c r="K444" s="242">
        <f t="shared" si="408"/>
        <v>1</v>
      </c>
      <c r="L444" s="241" t="e">
        <f t="shared" ca="1" si="409"/>
        <v>#REF!</v>
      </c>
      <c r="M444" s="243" t="e">
        <f ca="1">IF(AND(INDEX(FlowCalConstA,MATCH(J430,FlowCalNumber,0),1,1)*L444^INDEX(FlowCalConstB,MATCH(J430,FlowCalNumber,0),1,1)&gt;INDEX(FlowCalLowSetting,MATCH(J430,FlowCalNumber,0),1,1), (INDEX(FlowCalConstA,MATCH(J430,FlowCalNumber,0),1,1)*L444^INDEX(FlowCalConstB,MATCH(J430,FlowCalNumber,0),1,1)&lt;INDEX(FlowCalHighSetting,MATCH(J430,FlowCalNumber,0),1,1))),INDEX(FlowCalConstA,MATCH(J430,FlowCalNumber,0),1,1)*L444^INDEX(FlowCalConstB,MATCH(J430,FlowCalNumber,0),1,1)," ")</f>
        <v>#REF!</v>
      </c>
      <c r="N444" s="33"/>
      <c r="O444" s="242">
        <f t="shared" si="410"/>
        <v>1</v>
      </c>
      <c r="P444" s="241" t="e">
        <f t="shared" ca="1" si="411"/>
        <v>#REF!</v>
      </c>
      <c r="Q444" s="243" t="e">
        <f ca="1">IF(AND(INDEX(FlowCalConstA,MATCH(N430,FlowCalNumber,0),1,1)*P444^INDEX(FlowCalConstB,MATCH(N430,FlowCalNumber,0),1,1)&gt;INDEX(FlowCalLowSetting,MATCH(N430,FlowCalNumber,0),1,1), (INDEX(FlowCalConstA,MATCH(N430,FlowCalNumber,0),1,1)*P444^INDEX(FlowCalConstB,MATCH(N430,FlowCalNumber,0),1,1)&lt;INDEX(FlowCalHighSetting,MATCH(N430,FlowCalNumber,0),1,1))),INDEX(FlowCalConstA,MATCH(N430,FlowCalNumber,0),1,1)*P444^INDEX(FlowCalConstB,MATCH(N430,FlowCalNumber,0),1,1)," ")</f>
        <v>#REF!</v>
      </c>
      <c r="R444" s="33"/>
      <c r="S444" s="242">
        <f t="shared" si="412"/>
        <v>1</v>
      </c>
      <c r="T444" s="241" t="e">
        <f t="shared" ca="1" si="413"/>
        <v>#REF!</v>
      </c>
      <c r="U444" s="244" t="e">
        <f ca="1">IF(AND(INDEX(FlowCalConstA,MATCH(R430,FlowCalNumber,0),1,1)*T444^INDEX(FlowCalConstB,MATCH(R430,FlowCalNumber,0),1,1)&gt;INDEX(FlowCalLowSetting,MATCH(R430,FlowCalNumber,0),1,1), (INDEX(FlowCalConstA,MATCH(R430,FlowCalNumber,0),1,1)*T444^INDEX(FlowCalConstB,MATCH(R430,FlowCalNumber,0),1,1)&lt;INDEX(FlowCalHighSetting,MATCH(R430,FlowCalNumber,0),1,1))),INDEX(FlowCalConstA,MATCH(R430,FlowCalNumber,0),1,1)*T444^INDEX(FlowCalConstB,MATCH(R430,FlowCalNumber,0),1,1)," ")</f>
        <v>#REF!</v>
      </c>
      <c r="V444" s="33"/>
      <c r="W444" s="242">
        <f t="shared" si="414"/>
        <v>0.1</v>
      </c>
      <c r="X444" s="241" t="e">
        <f t="shared" ca="1" si="415"/>
        <v>#REF!</v>
      </c>
      <c r="Y444" s="243" t="e">
        <f ca="1">IF(AND(INDEX(FlowCalConstA,MATCH(V430,FlowCalNumber,0),1,1)*X444^INDEX(FlowCalConstB,MATCH(V430,FlowCalNumber,0),1,1)&gt;INDEX(FlowCalLowSetting,MATCH(V430,FlowCalNumber,0),1,1), (INDEX(FlowCalConstA,MATCH(V430,FlowCalNumber,0),1,1)*X444^INDEX(FlowCalConstB,MATCH(V430,FlowCalNumber,0),1,1)&lt;INDEX(FlowCalHighSetting,MATCH(V430,FlowCalNumber,0),1,1))),INDEX(FlowCalConstA,MATCH(V430,FlowCalNumber,0),1,1)*X444^INDEX(FlowCalConstB,MATCH(V430,FlowCalNumber,0),1,1)," ")</f>
        <v>#REF!</v>
      </c>
      <c r="Z444" s="33"/>
      <c r="AA444" s="242">
        <f t="shared" si="416"/>
        <v>0.9</v>
      </c>
      <c r="AB444" s="241" t="e">
        <f t="shared" ca="1" si="417"/>
        <v>#REF!</v>
      </c>
      <c r="AC444" s="243" t="e">
        <f ca="1">IF(AND(INDEX(FlowCalConstA,MATCH(Z430,FlowCalNumber,0),1,1)*AB444^INDEX(FlowCalConstB,MATCH(Z430,FlowCalNumber,0),1,1)&gt;INDEX(FlowCalLowSetting,MATCH(Z430,FlowCalNumber,0),1,1), (INDEX(FlowCalConstA,MATCH(Z430,FlowCalNumber,0),1,1)*AB444^INDEX(FlowCalConstB,MATCH(Z430,FlowCalNumber,0),1,1)&lt;INDEX(FlowCalHighSetting,MATCH(Z430,FlowCalNumber,0),1,1))),INDEX(FlowCalConstA,MATCH(Z430,FlowCalNumber,0),1,1)*AB444^INDEX(FlowCalConstB,MATCH(Z430,FlowCalNumber,0),1,1)," ")</f>
        <v>#REF!</v>
      </c>
      <c r="AD444" s="33"/>
      <c r="AE444" s="242">
        <f t="shared" si="418"/>
        <v>0.1</v>
      </c>
      <c r="AF444" s="241" t="e">
        <f t="shared" ca="1" si="419"/>
        <v>#REF!</v>
      </c>
      <c r="AG444" s="243" t="e">
        <f ca="1">IF(AND(INDEX(FlowCalConstA,MATCH(AD430,FlowCalNumber,0),1,1)*AF444^INDEX(FlowCalConstB,MATCH(AD430,FlowCalNumber,0),1,1)&gt;INDEX(FlowCalLowSetting,MATCH(AD430,FlowCalNumber,0),1,1), (INDEX(FlowCalConstA,MATCH(AD430,FlowCalNumber,0),1,1)*AF444^INDEX(FlowCalConstB,MATCH(AD430,FlowCalNumber,0),1,1)&lt;INDEX(FlowCalHighSetting,MATCH(AD430,FlowCalNumber,0),1,1))),INDEX(FlowCalConstA,MATCH(AD430,FlowCalNumber,0),1,1)*AF444^INDEX(FlowCalConstB,MATCH(AD430,FlowCalNumber,0),1,1)," ")</f>
        <v>#REF!</v>
      </c>
      <c r="AH444" s="33"/>
      <c r="AI444" s="242">
        <f t="shared" si="420"/>
        <v>0.9</v>
      </c>
      <c r="AJ444" s="241" t="e">
        <f t="shared" ca="1" si="421"/>
        <v>#REF!</v>
      </c>
      <c r="AK444" s="243" t="e">
        <f ca="1">IF(AND(INDEX(FlowCalConstA,MATCH(AH430,FlowCalNumber,0),1,1)*AJ444^INDEX(FlowCalConstB,MATCH(AH430,FlowCalNumber,0),1,1)&gt;INDEX(FlowCalLowSetting,MATCH(AH430,FlowCalNumber,0),1,1), (INDEX(FlowCalConstA,MATCH(AH430,FlowCalNumber,0),1,1)*AJ444^INDEX(FlowCalConstB,MATCH(AH430,FlowCalNumber,0),1,1)&lt;INDEX(FlowCalHighSetting,MATCH(AH430,FlowCalNumber,0),1,1))),INDEX(FlowCalConstA,MATCH(AH430,FlowCalNumber,0),1,1)*AJ444^INDEX(FlowCalConstB,MATCH(AH430,FlowCalNumber,0),1,1)," ")</f>
        <v>#REF!</v>
      </c>
      <c r="AL444" s="33"/>
      <c r="AM444" s="242"/>
      <c r="AN444" s="241"/>
      <c r="AO444" s="244"/>
      <c r="AQ444" s="242"/>
      <c r="AR444" s="241"/>
      <c r="AS444" s="244"/>
      <c r="AT444" s="33"/>
      <c r="AU444" s="242"/>
      <c r="AV444" s="241"/>
      <c r="AW444" s="244"/>
      <c r="AX444" s="33"/>
      <c r="AY444" s="242"/>
      <c r="AZ444" s="241"/>
      <c r="BA444" s="244"/>
      <c r="BB444" s="33"/>
      <c r="BC444" s="242"/>
      <c r="BD444" s="241"/>
      <c r="BE444" s="244"/>
      <c r="BF444" s="33"/>
      <c r="BG444" s="242"/>
      <c r="BH444" s="241"/>
      <c r="BI444" s="244"/>
      <c r="BJ444" s="33"/>
      <c r="BK444" s="242"/>
      <c r="BL444" s="241"/>
      <c r="BM444" s="244"/>
      <c r="BN444" s="33"/>
      <c r="BO444" s="242"/>
      <c r="BP444" s="241"/>
      <c r="BQ444" s="244"/>
      <c r="BR444" s="33"/>
      <c r="BS444" s="242"/>
      <c r="BT444" s="241"/>
      <c r="BU444" s="244"/>
      <c r="BV444" s="33"/>
      <c r="BW444" s="242"/>
      <c r="BX444" s="241"/>
      <c r="BY444" s="244"/>
      <c r="BZ444" s="33"/>
      <c r="CA444" s="242"/>
      <c r="CB444" s="241"/>
      <c r="CC444" s="244"/>
      <c r="CD444" s="243"/>
      <c r="CE444" s="243"/>
      <c r="CF444" s="243"/>
      <c r="CG444" s="243"/>
      <c r="CH444" s="243"/>
      <c r="CI444" s="243"/>
      <c r="CJ444" s="243"/>
      <c r="CK444" s="243"/>
      <c r="CL444" s="243"/>
      <c r="CM444" s="243"/>
      <c r="CN444" s="243"/>
      <c r="CO444" s="243"/>
      <c r="CP444" s="243"/>
      <c r="CQ444" s="243"/>
      <c r="CR444" s="243"/>
      <c r="CS444" s="243"/>
      <c r="CT444" s="243"/>
      <c r="CU444" s="243"/>
      <c r="CV444" s="243"/>
      <c r="CW444" s="243"/>
      <c r="CX444" s="243"/>
      <c r="CY444" s="243"/>
      <c r="CZ444" s="243"/>
      <c r="DA444" s="243"/>
      <c r="DB444" s="243"/>
      <c r="DC444" s="243"/>
      <c r="DD444" s="243"/>
      <c r="DE444" s="243"/>
      <c r="DF444" s="243"/>
      <c r="DG444" s="243"/>
      <c r="DH444" s="243"/>
      <c r="DI444" s="243"/>
      <c r="DJ444" s="243"/>
      <c r="DK444" s="243"/>
      <c r="DM444" s="242"/>
      <c r="DO444" s="243"/>
      <c r="DQ444" s="242"/>
      <c r="DS444" s="243"/>
      <c r="DU444" s="242"/>
      <c r="DW444" s="243"/>
      <c r="DY444" s="242"/>
      <c r="EA444" s="243"/>
    </row>
    <row r="445" spans="1:131">
      <c r="A445" s="20"/>
      <c r="B445" s="124" t="str">
        <f t="shared" si="406"/>
        <v/>
      </c>
      <c r="C445" s="235"/>
      <c r="D445" s="24">
        <f>'1% Wind'!$M$96</f>
        <v>1</v>
      </c>
      <c r="E445" s="90"/>
      <c r="F445" s="90"/>
      <c r="G445" s="79" t="e">
        <f ca="1">IF(I430=0.9743,$G444,MAX(G444/D444*D445,2))</f>
        <v>#REF!</v>
      </c>
      <c r="H445" s="121" t="e">
        <f t="shared" ca="1" si="407"/>
        <v>#REF!</v>
      </c>
      <c r="J445" s="33"/>
      <c r="K445" s="242">
        <f t="shared" si="408"/>
        <v>1</v>
      </c>
      <c r="L445" s="241" t="e">
        <f t="shared" ca="1" si="409"/>
        <v>#REF!</v>
      </c>
      <c r="M445" s="243" t="e">
        <f ca="1">IF(AND(INDEX(FlowCalConstA,MATCH(J430,FlowCalNumber,0),1,1)*L445^INDEX(FlowCalConstB,MATCH(J430,FlowCalNumber,0),1,1)&gt;INDEX(FlowCalLowSetting,MATCH(J430,FlowCalNumber,0),1,1), (INDEX(FlowCalConstA,MATCH(J430,FlowCalNumber,0),1,1)*L445^INDEX(FlowCalConstB,MATCH(J430,FlowCalNumber,0),1,1)&lt;INDEX(FlowCalHighSetting,MATCH(J430,FlowCalNumber,0),1,1))),INDEX(FlowCalConstA,MATCH(J430,FlowCalNumber,0),1,1)*L445^INDEX(FlowCalConstB,MATCH(J430,FlowCalNumber,0),1,1)," ")</f>
        <v>#REF!</v>
      </c>
      <c r="N445" s="33"/>
      <c r="O445" s="242">
        <f t="shared" si="410"/>
        <v>1</v>
      </c>
      <c r="P445" s="241" t="e">
        <f t="shared" ca="1" si="411"/>
        <v>#REF!</v>
      </c>
      <c r="Q445" s="243" t="e">
        <f ca="1">IF(AND(INDEX(FlowCalConstA,MATCH(N430,FlowCalNumber,0),1,1)*P445^INDEX(FlowCalConstB,MATCH(N430,FlowCalNumber,0),1,1)&gt;INDEX(FlowCalLowSetting,MATCH(N430,FlowCalNumber,0),1,1), (INDEX(FlowCalConstA,MATCH(N430,FlowCalNumber,0),1,1)*P445^INDEX(FlowCalConstB,MATCH(N430,FlowCalNumber,0),1,1)&lt;INDEX(FlowCalHighSetting,MATCH(N430,FlowCalNumber,0),1,1))),INDEX(FlowCalConstA,MATCH(N430,FlowCalNumber,0),1,1)*P445^INDEX(FlowCalConstB,MATCH(N430,FlowCalNumber,0),1,1)," ")</f>
        <v>#REF!</v>
      </c>
      <c r="R445" s="33"/>
      <c r="S445" s="242">
        <f t="shared" si="412"/>
        <v>1</v>
      </c>
      <c r="T445" s="241" t="e">
        <f t="shared" ca="1" si="413"/>
        <v>#REF!</v>
      </c>
      <c r="U445" s="244" t="e">
        <f ca="1">IF(AND(INDEX(FlowCalConstA,MATCH(R430,FlowCalNumber,0),1,1)*T445^INDEX(FlowCalConstB,MATCH(R430,FlowCalNumber,0),1,1)&gt;INDEX(FlowCalLowSetting,MATCH(R430,FlowCalNumber,0),1,1), (INDEX(FlowCalConstA,MATCH(R430,FlowCalNumber,0),1,1)*T445^INDEX(FlowCalConstB,MATCH(R430,FlowCalNumber,0),1,1)&lt;INDEX(FlowCalHighSetting,MATCH(R430,FlowCalNumber,0),1,1))),INDEX(FlowCalConstA,MATCH(R430,FlowCalNumber,0),1,1)*T445^INDEX(FlowCalConstB,MATCH(R430,FlowCalNumber,0),1,1)," ")</f>
        <v>#REF!</v>
      </c>
      <c r="V445" s="33"/>
      <c r="W445" s="242">
        <f t="shared" si="414"/>
        <v>0.1</v>
      </c>
      <c r="X445" s="241" t="e">
        <f t="shared" ca="1" si="415"/>
        <v>#REF!</v>
      </c>
      <c r="Y445" s="243" t="e">
        <f ca="1">IF(AND(INDEX(FlowCalConstA,MATCH(V430,FlowCalNumber,0),1,1)*X445^INDEX(FlowCalConstB,MATCH(V430,FlowCalNumber,0),1,1)&gt;INDEX(FlowCalLowSetting,MATCH(V430,FlowCalNumber,0),1,1), (INDEX(FlowCalConstA,MATCH(V430,FlowCalNumber,0),1,1)*X445^INDEX(FlowCalConstB,MATCH(V430,FlowCalNumber,0),1,1)&lt;INDEX(FlowCalHighSetting,MATCH(V430,FlowCalNumber,0),1,1))),INDEX(FlowCalConstA,MATCH(V430,FlowCalNumber,0),1,1)*X445^INDEX(FlowCalConstB,MATCH(V430,FlowCalNumber,0),1,1)," ")</f>
        <v>#REF!</v>
      </c>
      <c r="Z445" s="33"/>
      <c r="AA445" s="242">
        <f t="shared" si="416"/>
        <v>0.9</v>
      </c>
      <c r="AB445" s="241" t="e">
        <f t="shared" ca="1" si="417"/>
        <v>#REF!</v>
      </c>
      <c r="AC445" s="243" t="e">
        <f ca="1">IF(AND(INDEX(FlowCalConstA,MATCH(Z430,FlowCalNumber,0),1,1)*AB445^INDEX(FlowCalConstB,MATCH(Z430,FlowCalNumber,0),1,1)&gt;INDEX(FlowCalLowSetting,MATCH(Z430,FlowCalNumber,0),1,1), (INDEX(FlowCalConstA,MATCH(Z430,FlowCalNumber,0),1,1)*AB445^INDEX(FlowCalConstB,MATCH(Z430,FlowCalNumber,0),1,1)&lt;INDEX(FlowCalHighSetting,MATCH(Z430,FlowCalNumber,0),1,1))),INDEX(FlowCalConstA,MATCH(Z430,FlowCalNumber,0),1,1)*AB445^INDEX(FlowCalConstB,MATCH(Z430,FlowCalNumber,0),1,1)," ")</f>
        <v>#REF!</v>
      </c>
      <c r="AD445" s="33"/>
      <c r="AE445" s="242">
        <f t="shared" si="418"/>
        <v>0.1</v>
      </c>
      <c r="AF445" s="241" t="e">
        <f t="shared" ca="1" si="419"/>
        <v>#REF!</v>
      </c>
      <c r="AG445" s="243" t="e">
        <f ca="1">IF(AND(INDEX(FlowCalConstA,MATCH(AD430,FlowCalNumber,0),1,1)*AF445^INDEX(FlowCalConstB,MATCH(AD430,FlowCalNumber,0),1,1)&gt;INDEX(FlowCalLowSetting,MATCH(AD430,FlowCalNumber,0),1,1), (INDEX(FlowCalConstA,MATCH(AD430,FlowCalNumber,0),1,1)*AF445^INDEX(FlowCalConstB,MATCH(AD430,FlowCalNumber,0),1,1)&lt;INDEX(FlowCalHighSetting,MATCH(AD430,FlowCalNumber,0),1,1))),INDEX(FlowCalConstA,MATCH(AD430,FlowCalNumber,0),1,1)*AF445^INDEX(FlowCalConstB,MATCH(AD430,FlowCalNumber,0),1,1)," ")</f>
        <v>#REF!</v>
      </c>
      <c r="AH445" s="33"/>
      <c r="AI445" s="242">
        <f t="shared" si="420"/>
        <v>0.9</v>
      </c>
      <c r="AJ445" s="241" t="e">
        <f t="shared" ca="1" si="421"/>
        <v>#REF!</v>
      </c>
      <c r="AK445" s="243" t="e">
        <f ca="1">IF(AND(INDEX(FlowCalConstA,MATCH(AH430,FlowCalNumber,0),1,1)*AJ445^INDEX(FlowCalConstB,MATCH(AH430,FlowCalNumber,0),1,1)&gt;INDEX(FlowCalLowSetting,MATCH(AH430,FlowCalNumber,0),1,1), (INDEX(FlowCalConstA,MATCH(AH430,FlowCalNumber,0),1,1)*AJ445^INDEX(FlowCalConstB,MATCH(AH430,FlowCalNumber,0),1,1)&lt;INDEX(FlowCalHighSetting,MATCH(AH430,FlowCalNumber,0),1,1))),INDEX(FlowCalConstA,MATCH(AH430,FlowCalNumber,0),1,1)*AJ445^INDEX(FlowCalConstB,MATCH(AH430,FlowCalNumber,0),1,1)," ")</f>
        <v>#REF!</v>
      </c>
      <c r="AL445" s="33"/>
      <c r="AM445" s="242"/>
      <c r="AN445" s="241"/>
      <c r="AO445" s="244"/>
      <c r="AQ445" s="242"/>
      <c r="AR445" s="241"/>
      <c r="AS445" s="244"/>
      <c r="AT445" s="33"/>
      <c r="AU445" s="242"/>
      <c r="AV445" s="241"/>
      <c r="AW445" s="244"/>
      <c r="AX445" s="33"/>
      <c r="AY445" s="242"/>
      <c r="AZ445" s="241"/>
      <c r="BA445" s="244"/>
      <c r="BB445" s="33"/>
      <c r="BC445" s="242"/>
      <c r="BD445" s="241"/>
      <c r="BE445" s="244"/>
      <c r="BF445" s="33"/>
      <c r="BG445" s="242"/>
      <c r="BH445" s="241"/>
      <c r="BI445" s="244"/>
      <c r="BJ445" s="33"/>
      <c r="BK445" s="242"/>
      <c r="BL445" s="241"/>
      <c r="BM445" s="244"/>
      <c r="BN445" s="33"/>
      <c r="BO445" s="242"/>
      <c r="BP445" s="241"/>
      <c r="BQ445" s="244"/>
      <c r="BR445" s="33"/>
      <c r="BS445" s="242"/>
      <c r="BT445" s="241"/>
      <c r="BU445" s="244"/>
      <c r="BV445" s="33"/>
      <c r="BW445" s="242"/>
      <c r="BX445" s="241"/>
      <c r="BY445" s="244"/>
      <c r="BZ445" s="33"/>
      <c r="CA445" s="242"/>
      <c r="CB445" s="241"/>
      <c r="CC445" s="244"/>
      <c r="CD445" s="243"/>
      <c r="CE445" s="243"/>
      <c r="CF445" s="243"/>
      <c r="CG445" s="243"/>
      <c r="CH445" s="243"/>
      <c r="CI445" s="243"/>
      <c r="CJ445" s="243"/>
      <c r="CK445" s="243"/>
      <c r="CL445" s="243"/>
      <c r="CM445" s="243"/>
      <c r="CN445" s="243"/>
      <c r="CO445" s="243"/>
      <c r="CP445" s="243"/>
      <c r="CQ445" s="243"/>
      <c r="CR445" s="243"/>
      <c r="CS445" s="243"/>
      <c r="CT445" s="243"/>
      <c r="CU445" s="243"/>
      <c r="CV445" s="243"/>
      <c r="CW445" s="243"/>
      <c r="CX445" s="243"/>
      <c r="CY445" s="243"/>
      <c r="CZ445" s="243"/>
      <c r="DA445" s="243"/>
      <c r="DB445" s="243"/>
      <c r="DC445" s="243"/>
      <c r="DD445" s="243"/>
      <c r="DE445" s="243"/>
      <c r="DF445" s="243"/>
      <c r="DG445" s="243"/>
      <c r="DH445" s="243"/>
      <c r="DI445" s="243"/>
      <c r="DJ445" s="243"/>
      <c r="DK445" s="243"/>
      <c r="DM445" s="242"/>
      <c r="DO445" s="243"/>
      <c r="DQ445" s="242"/>
      <c r="DS445" s="243"/>
      <c r="DU445" s="242"/>
      <c r="DW445" s="243"/>
      <c r="DY445" s="242"/>
      <c r="EA445" s="243"/>
    </row>
    <row r="446" spans="1:131">
      <c r="A446" s="33"/>
      <c r="B446" s="33"/>
      <c r="C446" s="235"/>
      <c r="E446" s="90"/>
      <c r="F446" s="90"/>
      <c r="G446" s="33"/>
      <c r="J446" s="33"/>
      <c r="N446" s="33"/>
      <c r="Q446" s="243"/>
      <c r="R446" s="33"/>
      <c r="U446" s="244"/>
      <c r="V446" s="33"/>
      <c r="Y446" s="243"/>
      <c r="Z446" s="33"/>
      <c r="AC446" s="243"/>
      <c r="AD446" s="33"/>
      <c r="AG446" s="243"/>
      <c r="AH446" s="33"/>
      <c r="AK446" s="244"/>
      <c r="AL446" s="792"/>
      <c r="AM446" s="243"/>
      <c r="AN446" s="243"/>
      <c r="AO446" s="244"/>
      <c r="AP446" s="243"/>
      <c r="AQ446" s="243"/>
      <c r="AR446" s="243"/>
      <c r="AS446" s="244"/>
      <c r="AT446" s="243"/>
      <c r="AU446" s="243"/>
      <c r="AV446" s="243"/>
      <c r="AW446" s="244"/>
      <c r="AX446" s="243"/>
      <c r="AY446" s="243"/>
      <c r="AZ446" s="243"/>
      <c r="BA446" s="244"/>
      <c r="BB446" s="33"/>
      <c r="BE446" s="244"/>
      <c r="BF446" s="33"/>
      <c r="BI446" s="244"/>
      <c r="BJ446" s="33"/>
      <c r="BM446" s="244"/>
      <c r="BN446" s="243"/>
      <c r="BO446" s="243"/>
      <c r="BP446" s="243"/>
      <c r="BQ446" s="244"/>
      <c r="BR446" s="792"/>
      <c r="BS446" s="243"/>
      <c r="BT446" s="243"/>
      <c r="BU446" s="244"/>
      <c r="BV446" s="792"/>
      <c r="BW446" s="243"/>
      <c r="BX446" s="243"/>
      <c r="BY446" s="244"/>
      <c r="BZ446" s="792"/>
      <c r="CA446" s="243"/>
      <c r="CB446" s="243"/>
      <c r="CC446" s="244"/>
      <c r="CD446" s="243"/>
      <c r="CE446" s="243"/>
      <c r="CF446" s="243"/>
      <c r="CG446" s="243"/>
      <c r="CH446" s="243"/>
      <c r="CI446" s="243"/>
      <c r="CJ446" s="243"/>
      <c r="CK446" s="243"/>
      <c r="CL446" s="243"/>
      <c r="CM446" s="243"/>
      <c r="CN446" s="243"/>
      <c r="CO446" s="243"/>
      <c r="CP446" s="243"/>
      <c r="CQ446" s="243"/>
      <c r="CR446" s="243"/>
      <c r="CS446" s="243"/>
      <c r="CT446" s="243"/>
      <c r="CU446" s="243"/>
      <c r="CV446" s="243"/>
      <c r="CW446" s="243"/>
      <c r="CX446" s="243"/>
      <c r="CY446" s="243"/>
      <c r="CZ446" s="243"/>
      <c r="DA446" s="243"/>
      <c r="DB446" s="243"/>
      <c r="DC446" s="243"/>
      <c r="DD446" s="243"/>
      <c r="DE446" s="243"/>
      <c r="DF446" s="243"/>
      <c r="DG446" s="243"/>
      <c r="DH446" s="243"/>
      <c r="DI446" s="243"/>
      <c r="DJ446" s="243"/>
      <c r="DK446" s="243"/>
      <c r="DO446" s="243"/>
      <c r="DS446" s="243"/>
      <c r="DW446" s="243"/>
      <c r="EA446" s="243"/>
    </row>
    <row r="447" spans="1:131">
      <c r="A447" s="256" t="str">
        <f>IF((RIGHT(A430,1))&lt;&gt;"Z",CHAR(CODE(A430))&amp;CHAR(CODE(RIGHT(A430,1))+1),CHAR(CODE(A430)+1)&amp;"A")</f>
        <v>AZ</v>
      </c>
      <c r="B447" s="270" t="e">
        <f>INDEX(SourceID,MATCH($A447,SourceNumber,0),1,1)</f>
        <v>#N/A</v>
      </c>
      <c r="C447" s="354" t="e">
        <f>INDEX(SourceExitDiameter,MATCH($A447,SourceNumber,0),1,1)*3.28*12</f>
        <v>#N/A</v>
      </c>
      <c r="D447" s="24" t="str">
        <f>UAnem1percent</f>
        <v>1% Wind</v>
      </c>
      <c r="E447" s="350" t="e">
        <f ca="1">INDIRECT(ADDRESS(53,6,1,,CONCATENATE("TA",$A447)))</f>
        <v>#REF!</v>
      </c>
      <c r="F447" s="625" t="e">
        <f ca="1">(ROUND((INDIRECT(ADDRESS(15,7,1,,CONCATENATE("TA",$A447)))*3.28*12*32),0)&amp;"/32")</f>
        <v>#REF!</v>
      </c>
      <c r="G447" s="125" t="e">
        <f ca="1">INDIRECT(ADDRESS(29,7,1,,$A447))</f>
        <v>#REF!</v>
      </c>
      <c r="H447" s="24" t="e">
        <f ca="1">INDIRECT(ADDRESS(19,7,1,,$A447))*100^3</f>
        <v>#REF!</v>
      </c>
      <c r="I447" s="941" t="e">
        <f ca="1">INDIRECT(ADDRESS(53,7,1,,$A447))</f>
        <v>#REF!</v>
      </c>
      <c r="J447" s="20" t="e">
        <f ca="1">IF($I447=$I$6,K$16&amp;$G$6&amp;J$6,IF($I447=$I$7,K$16&amp;$G$7&amp;J$7,"Bad"))</f>
        <v>#REF!</v>
      </c>
      <c r="K447" t="e">
        <f ca="1">INDEX(FlowCalGasMixture,MATCH(J447,FlowCalNumber,0),1,1)</f>
        <v>#REF!</v>
      </c>
      <c r="M447" s="944" t="e">
        <f ca="1">INDEX(FlowCalDevice,MATCH(J447,FlowCalNumber,0),1,1)</f>
        <v>#REF!</v>
      </c>
      <c r="N447" s="943" t="e">
        <f ca="1">IF($I447=$I$6,O$16&amp;$G$6&amp;"90"&amp;$H$6&amp;N$6,IF($I447=$I$7,O$16&amp;$G$7&amp;"90"&amp;$H$7&amp;N$7,"Bad"))</f>
        <v>#REF!</v>
      </c>
      <c r="O447" t="e">
        <f ca="1">INDEX(FlowCalGasMixture,MATCH(N447,FlowCalNumber,0),1,1)</f>
        <v>#REF!</v>
      </c>
      <c r="Q447" s="944" t="e">
        <f ca="1">INDEX(FlowCalDevice,MATCH(N447,FlowCalNumber,0),1,1)</f>
        <v>#REF!</v>
      </c>
      <c r="R447" s="943" t="e">
        <f ca="1">IF($I447=$I$6,S$16&amp;$G$6&amp;"90"&amp;$H$6&amp;R$6,IF($I447=$I$7,S$16&amp;$G$7&amp;"90"&amp;$H$7&amp;R$7,"Bad"))</f>
        <v>#REF!</v>
      </c>
      <c r="S447" t="e">
        <f ca="1">INDEX(FlowCalGasMixture,MATCH(R447,FlowCalNumber,0),1,1)</f>
        <v>#REF!</v>
      </c>
      <c r="U447" s="944" t="e">
        <f ca="1">INDEX(FlowCalDevice,MATCH(R447,FlowCalNumber,0),1,1)</f>
        <v>#REF!</v>
      </c>
      <c r="V447" s="20" t="e">
        <f ca="1">IF($I447=$I$6,W$16&amp;$G$6&amp;V$6,IF($I447=$I$7,W$16&amp;$G$7&amp;V$7,"Bad"))</f>
        <v>#REF!</v>
      </c>
      <c r="W447" t="e">
        <f ca="1">INDEX(FlowCalGasMixture,MATCH(V447,FlowCalNumber,0),1,1)</f>
        <v>#REF!</v>
      </c>
      <c r="Y447" s="944" t="e">
        <f ca="1">INDEX(FlowCalDevice,MATCH(V447,FlowCalNumber,0),1,1)</f>
        <v>#REF!</v>
      </c>
      <c r="Z447" s="946" t="e">
        <f ca="1">IF($I447=$I$6,AA$18&amp;$H$6&amp;Z$6,IF($I447=$I$7,AA$18&amp;$H$7&amp;Z$7,"Bad"))</f>
        <v>#REF!</v>
      </c>
      <c r="AA447" t="e">
        <f ca="1">INDEX(FlowCalGasMixture,MATCH(Z447,FlowCalNumber,0),1,1)</f>
        <v>#REF!</v>
      </c>
      <c r="AC447" s="944" t="e">
        <f ca="1">INDEX(FlowCalDevice,MATCH(Z447,FlowCalNumber,0),1,1)</f>
        <v>#REF!</v>
      </c>
      <c r="AD447" s="20" t="e">
        <f ca="1">IF($I447=$I$6,AE$16&amp;$G$6&amp;AD$6,IF($I447=$I$7,AE$16&amp;$G$7&amp;AD$7,"Bad"))</f>
        <v>#REF!</v>
      </c>
      <c r="AE447" t="e">
        <f ca="1">INDEX(FlowCalGasMixture,MATCH(AD447,FlowCalNumber,0),1,1)</f>
        <v>#REF!</v>
      </c>
      <c r="AG447" s="944" t="e">
        <f ca="1">INDEX(FlowCalDevice,MATCH(AD447,FlowCalNumber,0),1,1)</f>
        <v>#REF!</v>
      </c>
      <c r="AH447" s="946" t="e">
        <f ca="1">IF($I447=$I$6,AI$18&amp;$H$6&amp;AH$6,IF($I447=$I$7,AI$18&amp;$H$7&amp;AH$7,"Bad"))</f>
        <v>#REF!</v>
      </c>
      <c r="AI447" t="e">
        <f ca="1">INDEX(FlowCalGasMixture,MATCH(AH447,FlowCalNumber,0),1,1)</f>
        <v>#REF!</v>
      </c>
      <c r="AK447" s="944" t="e">
        <f ca="1">INDEX(FlowCalDevice,MATCH(AH447,FlowCalNumber,0),1,1)</f>
        <v>#REF!</v>
      </c>
      <c r="AL447" s="20"/>
      <c r="AO447" s="982"/>
      <c r="AP447" s="960"/>
      <c r="AS447" s="982"/>
      <c r="AT447" s="20"/>
      <c r="AW447" s="982"/>
      <c r="AX447" s="946"/>
      <c r="BA447" s="982"/>
      <c r="BB447" s="20"/>
      <c r="BC447" s="16"/>
      <c r="BE447" s="982"/>
      <c r="BF447" s="946"/>
      <c r="BG447" s="16"/>
      <c r="BI447" s="982"/>
      <c r="BJ447" s="946"/>
      <c r="BK447" s="16"/>
      <c r="BM447" s="982"/>
      <c r="BN447" s="20"/>
      <c r="BO447" s="16"/>
      <c r="BQ447" s="982"/>
      <c r="BR447" s="946"/>
      <c r="BS447" s="16"/>
      <c r="BU447" s="982"/>
      <c r="BV447" s="946"/>
      <c r="BW447" s="16"/>
      <c r="BY447" s="982"/>
      <c r="BZ447" s="946"/>
      <c r="CA447" s="16"/>
      <c r="CC447" s="982"/>
      <c r="CD447" s="355"/>
      <c r="CE447" s="355"/>
      <c r="CF447" s="355"/>
      <c r="CG447" s="355"/>
      <c r="CH447" s="355"/>
      <c r="CI447" s="355"/>
      <c r="CJ447" s="355"/>
      <c r="CK447" s="355"/>
      <c r="CL447" s="355"/>
      <c r="CM447" s="355"/>
      <c r="CN447" s="355"/>
      <c r="CO447" s="355"/>
      <c r="CP447" s="355"/>
      <c r="CQ447" s="355"/>
      <c r="CR447" s="355"/>
      <c r="CS447" s="355"/>
      <c r="CT447" s="355"/>
      <c r="CU447" s="355"/>
      <c r="CV447" s="355"/>
      <c r="CW447" s="355"/>
      <c r="CX447" s="355"/>
      <c r="CY447" s="355"/>
      <c r="CZ447" s="355"/>
      <c r="DA447" s="355"/>
      <c r="DB447" s="355"/>
      <c r="DC447" s="355"/>
      <c r="DD447" s="355"/>
      <c r="DE447" s="355"/>
      <c r="DF447" s="355"/>
      <c r="DG447" s="355"/>
      <c r="DH447" s="355"/>
      <c r="DI447" s="355"/>
      <c r="DJ447" s="355"/>
      <c r="DK447" s="355"/>
      <c r="DL447" s="46"/>
      <c r="DM447" s="16"/>
      <c r="DO447" s="355"/>
      <c r="DP447" s="42"/>
      <c r="DQ447" s="16"/>
      <c r="DS447" s="355"/>
      <c r="DT447" s="42"/>
      <c r="DU447" s="16"/>
      <c r="DW447" s="355"/>
      <c r="DX447" s="42"/>
      <c r="DY447" s="16"/>
      <c r="EA447" s="355"/>
    </row>
    <row r="448" spans="1:131">
      <c r="A448" s="20"/>
      <c r="B448" s="124" t="str">
        <f t="shared" ref="B448:B462" si="422">IF(D448=UAnem1percent,"1% Wind","")</f>
        <v/>
      </c>
      <c r="C448" s="235"/>
      <c r="D448" s="24">
        <f>'1% Wind'!$M$82</f>
        <v>27</v>
      </c>
      <c r="E448" s="90"/>
      <c r="F448" s="90"/>
      <c r="G448" s="79" t="e">
        <f ca="1">IF(I447=0.9743,$G447,MAX(G447/D447*D448,2))</f>
        <v>#REF!</v>
      </c>
      <c r="H448" s="121" t="e">
        <f t="shared" ref="H448:H462" ca="1" si="423">H447*(D447/D448)*(G448/G447)</f>
        <v>#REF!</v>
      </c>
      <c r="J448" s="33"/>
      <c r="K448" s="260">
        <f>K$17/100</f>
        <v>1</v>
      </c>
      <c r="L448" s="241" t="e">
        <f ca="1">K448*$H448</f>
        <v>#REF!</v>
      </c>
      <c r="M448" s="243" t="e">
        <f ca="1">IF(AND(INDEX(FlowCalConstA,MATCH(J447,FlowCalNumber,0),1,1)*L448^INDEX(FlowCalConstB,MATCH(J447,FlowCalNumber,0),1,1)&gt;INDEX(FlowCalLowSetting,MATCH(J447,FlowCalNumber,0),1,1), (INDEX(FlowCalConstA,MATCH(J447,FlowCalNumber,0),1,1)*L448^INDEX(FlowCalConstB,MATCH(J447,FlowCalNumber,0),1,1)&lt;INDEX(FlowCalHighSetting,MATCH(J447,FlowCalNumber,0),1,1))),INDEX(FlowCalConstA,MATCH(J447,FlowCalNumber,0),1,1)*L448^INDEX(FlowCalConstB,MATCH(J447,FlowCalNumber,0),1,1)," ")</f>
        <v>#REF!</v>
      </c>
      <c r="N448" s="33"/>
      <c r="O448" s="260">
        <f>O$17/100</f>
        <v>1</v>
      </c>
      <c r="P448" s="241" t="e">
        <f ca="1">O448*$H448</f>
        <v>#REF!</v>
      </c>
      <c r="Q448" s="243" t="e">
        <f ca="1">IF(AND(INDEX(FlowCalConstA,MATCH(N447,FlowCalNumber,0),1,1)*P448^INDEX(FlowCalConstB,MATCH(N447,FlowCalNumber,0),1,1)&gt;INDEX(FlowCalLowSetting,MATCH(N447,FlowCalNumber,0),1,1), (INDEX(FlowCalConstA,MATCH(N447,FlowCalNumber,0),1,1)*P448^INDEX(FlowCalConstB,MATCH(N447,FlowCalNumber,0),1,1)&lt;INDEX(FlowCalHighSetting,MATCH(N447,FlowCalNumber,0),1,1))),INDEX(FlowCalConstA,MATCH(N447,FlowCalNumber,0),1,1)*P448^INDEX(FlowCalConstB,MATCH(N447,FlowCalNumber,0),1,1)," ")</f>
        <v>#REF!</v>
      </c>
      <c r="R448" s="33"/>
      <c r="S448" s="260">
        <f>S$17/100</f>
        <v>1</v>
      </c>
      <c r="T448" s="241" t="e">
        <f ca="1">S448*$H448</f>
        <v>#REF!</v>
      </c>
      <c r="U448" s="244" t="e">
        <f ca="1">IF(AND(INDEX(FlowCalConstA,MATCH(R447,FlowCalNumber,0),1,1)*T448^INDEX(FlowCalConstB,MATCH(R447,FlowCalNumber,0),1,1)&gt;INDEX(FlowCalLowSetting,MATCH(R447,FlowCalNumber,0),1,1), (INDEX(FlowCalConstA,MATCH(R447,FlowCalNumber,0),1,1)*T448^INDEX(FlowCalConstB,MATCH(R447,FlowCalNumber,0),1,1)&lt;INDEX(FlowCalHighSetting,MATCH(R447,FlowCalNumber,0),1,1))),INDEX(FlowCalConstA,MATCH(R447,FlowCalNumber,0),1,1)*T448^INDEX(FlowCalConstB,MATCH(R447,FlowCalNumber,0),1,1)," ")</f>
        <v>#REF!</v>
      </c>
      <c r="V448" s="33"/>
      <c r="W448" s="260">
        <f>W$17/100</f>
        <v>0.1</v>
      </c>
      <c r="X448" s="241" t="e">
        <f ca="1">W448*$H448</f>
        <v>#REF!</v>
      </c>
      <c r="Y448" s="243" t="e">
        <f ca="1">IF(AND(INDEX(FlowCalConstA,MATCH(V447,FlowCalNumber,0),1,1)*X448^INDEX(FlowCalConstB,MATCH(V447,FlowCalNumber,0),1,1)&gt;INDEX(FlowCalLowSetting,MATCH(V447,FlowCalNumber,0),1,1), (INDEX(FlowCalConstA,MATCH(V447,FlowCalNumber,0),1,1)*X448^INDEX(FlowCalConstB,MATCH(V447,FlowCalNumber,0),1,1)&lt;INDEX(FlowCalHighSetting,MATCH(V447,FlowCalNumber,0),1,1))),INDEX(FlowCalConstA,MATCH(V447,FlowCalNumber,0),1,1)*X448^INDEX(FlowCalConstB,MATCH(V447,FlowCalNumber,0),1,1)," ")</f>
        <v>#REF!</v>
      </c>
      <c r="Z448" s="33"/>
      <c r="AA448" s="260">
        <f>AA$17/100</f>
        <v>0.9</v>
      </c>
      <c r="AB448" s="241" t="e">
        <f ca="1">AA448*$H448</f>
        <v>#REF!</v>
      </c>
      <c r="AC448" s="243" t="e">
        <f ca="1">IF(AND(INDEX(FlowCalConstA,MATCH(Z447,FlowCalNumber,0),1,1)*AB448^INDEX(FlowCalConstB,MATCH(Z447,FlowCalNumber,0),1,1)&gt;INDEX(FlowCalLowSetting,MATCH(Z447,FlowCalNumber,0),1,1), (INDEX(FlowCalConstA,MATCH(Z447,FlowCalNumber,0),1,1)*AB448^INDEX(FlowCalConstB,MATCH(Z447,FlowCalNumber,0),1,1)&lt;INDEX(FlowCalHighSetting,MATCH(Z447,FlowCalNumber,0),1,1))),INDEX(FlowCalConstA,MATCH(Z447,FlowCalNumber,0),1,1)*AB448^INDEX(FlowCalConstB,MATCH(Z447,FlowCalNumber,0),1,1)," ")</f>
        <v>#REF!</v>
      </c>
      <c r="AD448" s="33"/>
      <c r="AE448" s="260">
        <f>AE$17/100</f>
        <v>0.1</v>
      </c>
      <c r="AF448" s="241" t="e">
        <f ca="1">AE448*$H448</f>
        <v>#REF!</v>
      </c>
      <c r="AG448" s="243" t="e">
        <f ca="1">IF(AND(INDEX(FlowCalConstA,MATCH(AD447,FlowCalNumber,0),1,1)*AF448^INDEX(FlowCalConstB,MATCH(AD447,FlowCalNumber,0),1,1)&gt;INDEX(FlowCalLowSetting,MATCH(AD447,FlowCalNumber,0),1,1), (INDEX(FlowCalConstA,MATCH(AD447,FlowCalNumber,0),1,1)*AF448^INDEX(FlowCalConstB,MATCH(AD447,FlowCalNumber,0),1,1)&lt;INDEX(FlowCalHighSetting,MATCH(AD447,FlowCalNumber,0),1,1))),INDEX(FlowCalConstA,MATCH(AD447,FlowCalNumber,0),1,1)*AF448^INDEX(FlowCalConstB,MATCH(AD447,FlowCalNumber,0),1,1)," ")</f>
        <v>#REF!</v>
      </c>
      <c r="AH448" s="33"/>
      <c r="AI448" s="260">
        <f>AI$17/100</f>
        <v>0.9</v>
      </c>
      <c r="AJ448" s="241" t="e">
        <f ca="1">AI448*$H448</f>
        <v>#REF!</v>
      </c>
      <c r="AK448" s="243" t="e">
        <f ca="1">IF(AND(INDEX(FlowCalConstA,MATCH(AH447,FlowCalNumber,0),1,1)*AJ448^INDEX(FlowCalConstB,MATCH(AH447,FlowCalNumber,0),1,1)&gt;INDEX(FlowCalLowSetting,MATCH(AH447,FlowCalNumber,0),1,1), (INDEX(FlowCalConstA,MATCH(AH447,FlowCalNumber,0),1,1)*AJ448^INDEX(FlowCalConstB,MATCH(AH447,FlowCalNumber,0),1,1)&lt;INDEX(FlowCalHighSetting,MATCH(AH447,FlowCalNumber,0),1,1))),INDEX(FlowCalConstA,MATCH(AH447,FlowCalNumber,0),1,1)*AJ448^INDEX(FlowCalConstB,MATCH(AH447,FlowCalNumber,0),1,1)," ")</f>
        <v>#REF!</v>
      </c>
      <c r="AL448" s="33"/>
      <c r="AM448" s="260"/>
      <c r="AN448" s="241"/>
      <c r="AO448" s="244"/>
      <c r="AQ448" s="260"/>
      <c r="AR448" s="241"/>
      <c r="AS448" s="244"/>
      <c r="AT448" s="33"/>
      <c r="AU448" s="260"/>
      <c r="AV448" s="241"/>
      <c r="AW448" s="244"/>
      <c r="AX448" s="33"/>
      <c r="AY448" s="260"/>
      <c r="AZ448" s="241"/>
      <c r="BA448" s="244"/>
      <c r="BB448" s="33"/>
      <c r="BC448" s="260"/>
      <c r="BD448" s="241"/>
      <c r="BE448" s="244"/>
      <c r="BF448" s="33"/>
      <c r="BG448" s="260"/>
      <c r="BH448" s="241"/>
      <c r="BI448" s="244"/>
      <c r="BJ448" s="33"/>
      <c r="BK448" s="260"/>
      <c r="BL448" s="241"/>
      <c r="BM448" s="244"/>
      <c r="BN448" s="33"/>
      <c r="BO448" s="260"/>
      <c r="BP448" s="241"/>
      <c r="BQ448" s="244"/>
      <c r="BR448" s="33"/>
      <c r="BS448" s="260"/>
      <c r="BT448" s="241"/>
      <c r="BU448" s="244"/>
      <c r="BV448" s="33"/>
      <c r="BW448" s="260"/>
      <c r="BX448" s="241"/>
      <c r="BY448" s="244"/>
      <c r="BZ448" s="33"/>
      <c r="CA448" s="260"/>
      <c r="CB448" s="241"/>
      <c r="CC448" s="244"/>
      <c r="CD448" s="243"/>
      <c r="CE448" s="243"/>
      <c r="CF448" s="243"/>
      <c r="CG448" s="243"/>
      <c r="CH448" s="243"/>
      <c r="CI448" s="243"/>
      <c r="CJ448" s="243"/>
      <c r="CK448" s="243"/>
      <c r="CL448" s="243"/>
      <c r="CM448" s="243"/>
      <c r="CN448" s="243"/>
      <c r="CO448" s="243"/>
      <c r="CP448" s="243"/>
      <c r="CQ448" s="243"/>
      <c r="CR448" s="243"/>
      <c r="CS448" s="243"/>
      <c r="CT448" s="243"/>
      <c r="CU448" s="243"/>
      <c r="CV448" s="243"/>
      <c r="CW448" s="243"/>
      <c r="CX448" s="243"/>
      <c r="CY448" s="243"/>
      <c r="CZ448" s="243"/>
      <c r="DA448" s="243"/>
      <c r="DB448" s="243"/>
      <c r="DC448" s="243"/>
      <c r="DD448" s="243"/>
      <c r="DE448" s="243"/>
      <c r="DF448" s="243"/>
      <c r="DG448" s="243"/>
      <c r="DH448" s="243"/>
      <c r="DI448" s="243"/>
      <c r="DJ448" s="243"/>
      <c r="DK448" s="243"/>
      <c r="DM448" s="259"/>
      <c r="DO448" s="243"/>
      <c r="DQ448" s="259"/>
      <c r="DS448" s="243"/>
      <c r="DU448" s="259"/>
      <c r="DW448" s="243"/>
      <c r="DY448" s="260"/>
      <c r="EA448" s="243"/>
    </row>
    <row r="449" spans="1:131">
      <c r="A449" s="20"/>
      <c r="B449" s="124" t="str">
        <f t="shared" si="422"/>
        <v/>
      </c>
      <c r="C449" s="235"/>
      <c r="D449" s="24">
        <f>'1% Wind'!$M$83</f>
        <v>23.5</v>
      </c>
      <c r="E449" s="90"/>
      <c r="F449" s="90"/>
      <c r="G449" s="79" t="e">
        <f ca="1">IF(I447=0.9743,$G448,MAX(G448/D448*D449,2))</f>
        <v>#REF!</v>
      </c>
      <c r="H449" s="121" t="e">
        <f t="shared" ca="1" si="423"/>
        <v>#REF!</v>
      </c>
      <c r="J449" s="33"/>
      <c r="K449" s="242">
        <f t="shared" ref="K449:K462" si="424">K448</f>
        <v>1</v>
      </c>
      <c r="L449" s="241" t="e">
        <f t="shared" ref="L449:L462" ca="1" si="425">K449*$H449</f>
        <v>#REF!</v>
      </c>
      <c r="M449" s="243" t="e">
        <f ca="1">IF(AND(INDEX(FlowCalConstA,MATCH(J447,FlowCalNumber,0),1,1)*L449^INDEX(FlowCalConstB,MATCH(J447,FlowCalNumber,0),1,1)&gt;INDEX(FlowCalLowSetting,MATCH(J447,FlowCalNumber,0),1,1), (INDEX(FlowCalConstA,MATCH(J447,FlowCalNumber,0),1,1)*L449^INDEX(FlowCalConstB,MATCH(J447,FlowCalNumber,0),1,1)&lt;INDEX(FlowCalHighSetting,MATCH(J447,FlowCalNumber,0),1,1))),INDEX(FlowCalConstA,MATCH(J447,FlowCalNumber,0),1,1)*L449^INDEX(FlowCalConstB,MATCH(J447,FlowCalNumber,0),1,1)," ")</f>
        <v>#REF!</v>
      </c>
      <c r="N449" s="33"/>
      <c r="O449" s="242">
        <f t="shared" ref="O449:O462" si="426">O448</f>
        <v>1</v>
      </c>
      <c r="P449" s="241" t="e">
        <f t="shared" ref="P449:P462" ca="1" si="427">O449*$H449</f>
        <v>#REF!</v>
      </c>
      <c r="Q449" s="243" t="e">
        <f ca="1">IF(AND(INDEX(FlowCalConstA,MATCH(N447,FlowCalNumber,0),1,1)*P449^INDEX(FlowCalConstB,MATCH(N447,FlowCalNumber,0),1,1)&gt;INDEX(FlowCalLowSetting,MATCH(N447,FlowCalNumber,0),1,1), (INDEX(FlowCalConstA,MATCH(N447,FlowCalNumber,0),1,1)*P449^INDEX(FlowCalConstB,MATCH(N447,FlowCalNumber,0),1,1)&lt;INDEX(FlowCalHighSetting,MATCH(N447,FlowCalNumber,0),1,1))),INDEX(FlowCalConstA,MATCH(N447,FlowCalNumber,0),1,1)*P449^INDEX(FlowCalConstB,MATCH(N447,FlowCalNumber,0),1,1)," ")</f>
        <v>#REF!</v>
      </c>
      <c r="R449" s="33"/>
      <c r="S449" s="242">
        <f t="shared" ref="S449:S462" si="428">S448</f>
        <v>1</v>
      </c>
      <c r="T449" s="241" t="e">
        <f t="shared" ref="T449:T462" ca="1" si="429">S449*$H449</f>
        <v>#REF!</v>
      </c>
      <c r="U449" s="244" t="e">
        <f ca="1">IF(AND(INDEX(FlowCalConstA,MATCH(R447,FlowCalNumber,0),1,1)*T449^INDEX(FlowCalConstB,MATCH(R447,FlowCalNumber,0),1,1)&gt;INDEX(FlowCalLowSetting,MATCH(R447,FlowCalNumber,0),1,1), (INDEX(FlowCalConstA,MATCH(R447,FlowCalNumber,0),1,1)*T449^INDEX(FlowCalConstB,MATCH(R447,FlowCalNumber,0),1,1)&lt;INDEX(FlowCalHighSetting,MATCH(R447,FlowCalNumber,0),1,1))),INDEX(FlowCalConstA,MATCH(R447,FlowCalNumber,0),1,1)*T449^INDEX(FlowCalConstB,MATCH(R447,FlowCalNumber,0),1,1)," ")</f>
        <v>#REF!</v>
      </c>
      <c r="V449" s="33"/>
      <c r="W449" s="242">
        <f t="shared" ref="W449:W462" si="430">W448</f>
        <v>0.1</v>
      </c>
      <c r="X449" s="241" t="e">
        <f t="shared" ref="X449:X462" ca="1" si="431">W449*$H449</f>
        <v>#REF!</v>
      </c>
      <c r="Y449" s="243" t="e">
        <f ca="1">IF(AND(INDEX(FlowCalConstA,MATCH(V447,FlowCalNumber,0),1,1)*X449^INDEX(FlowCalConstB,MATCH(V447,FlowCalNumber,0),1,1)&gt;INDEX(FlowCalLowSetting,MATCH(V447,FlowCalNumber,0),1,1), (INDEX(FlowCalConstA,MATCH(V447,FlowCalNumber,0),1,1)*X449^INDEX(FlowCalConstB,MATCH(V447,FlowCalNumber,0),1,1)&lt;INDEX(FlowCalHighSetting,MATCH(V447,FlowCalNumber,0),1,1))),INDEX(FlowCalConstA,MATCH(V447,FlowCalNumber,0),1,1)*X449^INDEX(FlowCalConstB,MATCH(V447,FlowCalNumber,0),1,1)," ")</f>
        <v>#REF!</v>
      </c>
      <c r="Z449" s="33"/>
      <c r="AA449" s="242">
        <f t="shared" ref="AA449:AA462" si="432">AA448</f>
        <v>0.9</v>
      </c>
      <c r="AB449" s="241" t="e">
        <f t="shared" ref="AB449:AB462" ca="1" si="433">AA449*$H449</f>
        <v>#REF!</v>
      </c>
      <c r="AC449" s="243" t="e">
        <f ca="1">IF(AND(INDEX(FlowCalConstA,MATCH(Z447,FlowCalNumber,0),1,1)*AB449^INDEX(FlowCalConstB,MATCH(Z447,FlowCalNumber,0),1,1)&gt;INDEX(FlowCalLowSetting,MATCH(Z447,FlowCalNumber,0),1,1), (INDEX(FlowCalConstA,MATCH(Z447,FlowCalNumber,0),1,1)*AB449^INDEX(FlowCalConstB,MATCH(Z447,FlowCalNumber,0),1,1)&lt;INDEX(FlowCalHighSetting,MATCH(Z447,FlowCalNumber,0),1,1))),INDEX(FlowCalConstA,MATCH(Z447,FlowCalNumber,0),1,1)*AB449^INDEX(FlowCalConstB,MATCH(Z447,FlowCalNumber,0),1,1)," ")</f>
        <v>#REF!</v>
      </c>
      <c r="AD449" s="33"/>
      <c r="AE449" s="242">
        <f t="shared" ref="AE449:AE462" si="434">AE448</f>
        <v>0.1</v>
      </c>
      <c r="AF449" s="241" t="e">
        <f t="shared" ref="AF449:AF462" ca="1" si="435">AE449*$H449</f>
        <v>#REF!</v>
      </c>
      <c r="AG449" s="243" t="e">
        <f ca="1">IF(AND(INDEX(FlowCalConstA,MATCH(AD447,FlowCalNumber,0),1,1)*AF449^INDEX(FlowCalConstB,MATCH(AD447,FlowCalNumber,0),1,1)&gt;INDEX(FlowCalLowSetting,MATCH(AD447,FlowCalNumber,0),1,1), (INDEX(FlowCalConstA,MATCH(AD447,FlowCalNumber,0),1,1)*AF449^INDEX(FlowCalConstB,MATCH(AD447,FlowCalNumber,0),1,1)&lt;INDEX(FlowCalHighSetting,MATCH(AD447,FlowCalNumber,0),1,1))),INDEX(FlowCalConstA,MATCH(AD447,FlowCalNumber,0),1,1)*AF449^INDEX(FlowCalConstB,MATCH(AD447,FlowCalNumber,0),1,1)," ")</f>
        <v>#REF!</v>
      </c>
      <c r="AH449" s="33"/>
      <c r="AI449" s="242">
        <f t="shared" ref="AI449:AI462" si="436">AI448</f>
        <v>0.9</v>
      </c>
      <c r="AJ449" s="241" t="e">
        <f t="shared" ref="AJ449:AJ462" ca="1" si="437">AI449*$H449</f>
        <v>#REF!</v>
      </c>
      <c r="AK449" s="243" t="e">
        <f ca="1">IF(AND(INDEX(FlowCalConstA,MATCH(AH447,FlowCalNumber,0),1,1)*AJ449^INDEX(FlowCalConstB,MATCH(AH447,FlowCalNumber,0),1,1)&gt;INDEX(FlowCalLowSetting,MATCH(AH447,FlowCalNumber,0),1,1), (INDEX(FlowCalConstA,MATCH(AH447,FlowCalNumber,0),1,1)*AJ449^INDEX(FlowCalConstB,MATCH(AH447,FlowCalNumber,0),1,1)&lt;INDEX(FlowCalHighSetting,MATCH(AH447,FlowCalNumber,0),1,1))),INDEX(FlowCalConstA,MATCH(AH447,FlowCalNumber,0),1,1)*AJ449^INDEX(FlowCalConstB,MATCH(AH447,FlowCalNumber,0),1,1)," ")</f>
        <v>#REF!</v>
      </c>
      <c r="AL449" s="33"/>
      <c r="AM449" s="242"/>
      <c r="AN449" s="241"/>
      <c r="AO449" s="244"/>
      <c r="AQ449" s="242"/>
      <c r="AR449" s="241"/>
      <c r="AS449" s="244"/>
      <c r="AT449" s="33"/>
      <c r="AU449" s="242"/>
      <c r="AV449" s="241"/>
      <c r="AW449" s="244"/>
      <c r="AX449" s="33"/>
      <c r="AY449" s="242"/>
      <c r="AZ449" s="241"/>
      <c r="BA449" s="244"/>
      <c r="BB449" s="33"/>
      <c r="BC449" s="242"/>
      <c r="BD449" s="241"/>
      <c r="BE449" s="244"/>
      <c r="BF449" s="33"/>
      <c r="BG449" s="242"/>
      <c r="BH449" s="241"/>
      <c r="BI449" s="244"/>
      <c r="BJ449" s="33"/>
      <c r="BK449" s="242"/>
      <c r="BL449" s="241"/>
      <c r="BM449" s="244"/>
      <c r="BN449" s="33"/>
      <c r="BO449" s="242"/>
      <c r="BP449" s="241"/>
      <c r="BQ449" s="244"/>
      <c r="BR449" s="33"/>
      <c r="BS449" s="242"/>
      <c r="BT449" s="241"/>
      <c r="BU449" s="244"/>
      <c r="BV449" s="33"/>
      <c r="BW449" s="242"/>
      <c r="BX449" s="241"/>
      <c r="BY449" s="244"/>
      <c r="BZ449" s="33"/>
      <c r="CA449" s="242"/>
      <c r="CB449" s="241"/>
      <c r="CC449" s="244"/>
      <c r="CD449" s="243"/>
      <c r="CE449" s="243"/>
      <c r="CF449" s="243"/>
      <c r="CG449" s="243"/>
      <c r="CH449" s="243"/>
      <c r="CI449" s="243"/>
      <c r="CJ449" s="243"/>
      <c r="CK449" s="243"/>
      <c r="CL449" s="243"/>
      <c r="CM449" s="243"/>
      <c r="CN449" s="243"/>
      <c r="CO449" s="243"/>
      <c r="CP449" s="243"/>
      <c r="CQ449" s="243"/>
      <c r="CR449" s="243"/>
      <c r="CS449" s="243"/>
      <c r="CT449" s="243"/>
      <c r="CU449" s="243"/>
      <c r="CV449" s="243"/>
      <c r="CW449" s="243"/>
      <c r="CX449" s="243"/>
      <c r="CY449" s="243"/>
      <c r="CZ449" s="243"/>
      <c r="DA449" s="243"/>
      <c r="DB449" s="243"/>
      <c r="DC449" s="243"/>
      <c r="DD449" s="243"/>
      <c r="DE449" s="243"/>
      <c r="DF449" s="243"/>
      <c r="DG449" s="243"/>
      <c r="DH449" s="243"/>
      <c r="DI449" s="243"/>
      <c r="DJ449" s="243"/>
      <c r="DK449" s="243"/>
      <c r="DM449" s="242"/>
      <c r="DO449" s="243"/>
      <c r="DQ449" s="242"/>
      <c r="DS449" s="243"/>
      <c r="DU449" s="242"/>
      <c r="DW449" s="243"/>
      <c r="DY449" s="242"/>
      <c r="EA449" s="243"/>
    </row>
    <row r="450" spans="1:131">
      <c r="A450" s="20"/>
      <c r="B450" s="124" t="str">
        <f t="shared" si="422"/>
        <v/>
      </c>
      <c r="C450" s="235"/>
      <c r="D450" s="24">
        <f>'1% Wind'!$M$84</f>
        <v>20.5</v>
      </c>
      <c r="E450" s="90"/>
      <c r="F450" s="90"/>
      <c r="G450" s="79" t="e">
        <f ca="1">IF(I447=0.9743,$G449,MAX(G449/D449*D450,2))</f>
        <v>#REF!</v>
      </c>
      <c r="H450" s="121" t="e">
        <f t="shared" ca="1" si="423"/>
        <v>#REF!</v>
      </c>
      <c r="J450" s="33"/>
      <c r="K450" s="242">
        <f t="shared" si="424"/>
        <v>1</v>
      </c>
      <c r="L450" s="241" t="e">
        <f t="shared" ca="1" si="425"/>
        <v>#REF!</v>
      </c>
      <c r="M450" s="243" t="e">
        <f ca="1">IF(AND(INDEX(FlowCalConstA,MATCH(J447,FlowCalNumber,0),1,1)*L450^INDEX(FlowCalConstB,MATCH(J447,FlowCalNumber,0),1,1)&gt;INDEX(FlowCalLowSetting,MATCH(J447,FlowCalNumber,0),1,1), (INDEX(FlowCalConstA,MATCH(J447,FlowCalNumber,0),1,1)*L450^INDEX(FlowCalConstB,MATCH(J447,FlowCalNumber,0),1,1)&lt;INDEX(FlowCalHighSetting,MATCH(J447,FlowCalNumber,0),1,1))),INDEX(FlowCalConstA,MATCH(J447,FlowCalNumber,0),1,1)*L450^INDEX(FlowCalConstB,MATCH(J447,FlowCalNumber,0),1,1)," ")</f>
        <v>#REF!</v>
      </c>
      <c r="N450" s="33"/>
      <c r="O450" s="242">
        <f t="shared" si="426"/>
        <v>1</v>
      </c>
      <c r="P450" s="241" t="e">
        <f t="shared" ca="1" si="427"/>
        <v>#REF!</v>
      </c>
      <c r="Q450" s="243" t="e">
        <f ca="1">IF(AND(INDEX(FlowCalConstA,MATCH(N447,FlowCalNumber,0),1,1)*P450^INDEX(FlowCalConstB,MATCH(N447,FlowCalNumber,0),1,1)&gt;INDEX(FlowCalLowSetting,MATCH(N447,FlowCalNumber,0),1,1), (INDEX(FlowCalConstA,MATCH(N447,FlowCalNumber,0),1,1)*P450^INDEX(FlowCalConstB,MATCH(N447,FlowCalNumber,0),1,1)&lt;INDEX(FlowCalHighSetting,MATCH(N447,FlowCalNumber,0),1,1))),INDEX(FlowCalConstA,MATCH(N447,FlowCalNumber,0),1,1)*P450^INDEX(FlowCalConstB,MATCH(N447,FlowCalNumber,0),1,1)," ")</f>
        <v>#REF!</v>
      </c>
      <c r="R450" s="33"/>
      <c r="S450" s="242">
        <f t="shared" si="428"/>
        <v>1</v>
      </c>
      <c r="T450" s="241" t="e">
        <f t="shared" ca="1" si="429"/>
        <v>#REF!</v>
      </c>
      <c r="U450" s="244" t="e">
        <f ca="1">IF(AND(INDEX(FlowCalConstA,MATCH(R447,FlowCalNumber,0),1,1)*T450^INDEX(FlowCalConstB,MATCH(R447,FlowCalNumber,0),1,1)&gt;INDEX(FlowCalLowSetting,MATCH(R447,FlowCalNumber,0),1,1), (INDEX(FlowCalConstA,MATCH(R447,FlowCalNumber,0),1,1)*T450^INDEX(FlowCalConstB,MATCH(R447,FlowCalNumber,0),1,1)&lt;INDEX(FlowCalHighSetting,MATCH(R447,FlowCalNumber,0),1,1))),INDEX(FlowCalConstA,MATCH(R447,FlowCalNumber,0),1,1)*T450^INDEX(FlowCalConstB,MATCH(R447,FlowCalNumber,0),1,1)," ")</f>
        <v>#REF!</v>
      </c>
      <c r="V450" s="33"/>
      <c r="W450" s="242">
        <f t="shared" si="430"/>
        <v>0.1</v>
      </c>
      <c r="X450" s="241" t="e">
        <f t="shared" ca="1" si="431"/>
        <v>#REF!</v>
      </c>
      <c r="Y450" s="243" t="e">
        <f ca="1">IF(AND(INDEX(FlowCalConstA,MATCH(V447,FlowCalNumber,0),1,1)*X450^INDEX(FlowCalConstB,MATCH(V447,FlowCalNumber,0),1,1)&gt;INDEX(FlowCalLowSetting,MATCH(V447,FlowCalNumber,0),1,1), (INDEX(FlowCalConstA,MATCH(V447,FlowCalNumber,0),1,1)*X450^INDEX(FlowCalConstB,MATCH(V447,FlowCalNumber,0),1,1)&lt;INDEX(FlowCalHighSetting,MATCH(V447,FlowCalNumber,0),1,1))),INDEX(FlowCalConstA,MATCH(V447,FlowCalNumber,0),1,1)*X450^INDEX(FlowCalConstB,MATCH(V447,FlowCalNumber,0),1,1)," ")</f>
        <v>#REF!</v>
      </c>
      <c r="Z450" s="33"/>
      <c r="AA450" s="242">
        <f t="shared" si="432"/>
        <v>0.9</v>
      </c>
      <c r="AB450" s="241" t="e">
        <f t="shared" ca="1" si="433"/>
        <v>#REF!</v>
      </c>
      <c r="AC450" s="243" t="e">
        <f ca="1">IF(AND(INDEX(FlowCalConstA,MATCH(Z447,FlowCalNumber,0),1,1)*AB450^INDEX(FlowCalConstB,MATCH(Z447,FlowCalNumber,0),1,1)&gt;INDEX(FlowCalLowSetting,MATCH(Z447,FlowCalNumber,0),1,1), (INDEX(FlowCalConstA,MATCH(Z447,FlowCalNumber,0),1,1)*AB450^INDEX(FlowCalConstB,MATCH(Z447,FlowCalNumber,0),1,1)&lt;INDEX(FlowCalHighSetting,MATCH(Z447,FlowCalNumber,0),1,1))),INDEX(FlowCalConstA,MATCH(Z447,FlowCalNumber,0),1,1)*AB450^INDEX(FlowCalConstB,MATCH(Z447,FlowCalNumber,0),1,1)," ")</f>
        <v>#REF!</v>
      </c>
      <c r="AD450" s="33"/>
      <c r="AE450" s="242">
        <f t="shared" si="434"/>
        <v>0.1</v>
      </c>
      <c r="AF450" s="241" t="e">
        <f t="shared" ca="1" si="435"/>
        <v>#REF!</v>
      </c>
      <c r="AG450" s="243" t="e">
        <f ca="1">IF(AND(INDEX(FlowCalConstA,MATCH(AD447,FlowCalNumber,0),1,1)*AF450^INDEX(FlowCalConstB,MATCH(AD447,FlowCalNumber,0),1,1)&gt;INDEX(FlowCalLowSetting,MATCH(AD447,FlowCalNumber,0),1,1), (INDEX(FlowCalConstA,MATCH(AD447,FlowCalNumber,0),1,1)*AF450^INDEX(FlowCalConstB,MATCH(AD447,FlowCalNumber,0),1,1)&lt;INDEX(FlowCalHighSetting,MATCH(AD447,FlowCalNumber,0),1,1))),INDEX(FlowCalConstA,MATCH(AD447,FlowCalNumber,0),1,1)*AF450^INDEX(FlowCalConstB,MATCH(AD447,FlowCalNumber,0),1,1)," ")</f>
        <v>#REF!</v>
      </c>
      <c r="AH450" s="33"/>
      <c r="AI450" s="242">
        <f t="shared" si="436"/>
        <v>0.9</v>
      </c>
      <c r="AJ450" s="241" t="e">
        <f t="shared" ca="1" si="437"/>
        <v>#REF!</v>
      </c>
      <c r="AK450" s="243" t="e">
        <f ca="1">IF(AND(INDEX(FlowCalConstA,MATCH(AH447,FlowCalNumber,0),1,1)*AJ450^INDEX(FlowCalConstB,MATCH(AH447,FlowCalNumber,0),1,1)&gt;INDEX(FlowCalLowSetting,MATCH(AH447,FlowCalNumber,0),1,1), (INDEX(FlowCalConstA,MATCH(AH447,FlowCalNumber,0),1,1)*AJ450^INDEX(FlowCalConstB,MATCH(AH447,FlowCalNumber,0),1,1)&lt;INDEX(FlowCalHighSetting,MATCH(AH447,FlowCalNumber,0),1,1))),INDEX(FlowCalConstA,MATCH(AH447,FlowCalNumber,0),1,1)*AJ450^INDEX(FlowCalConstB,MATCH(AH447,FlowCalNumber,0),1,1)," ")</f>
        <v>#REF!</v>
      </c>
      <c r="AL450" s="33"/>
      <c r="AM450" s="242"/>
      <c r="AN450" s="241"/>
      <c r="AO450" s="244"/>
      <c r="AQ450" s="242"/>
      <c r="AR450" s="241"/>
      <c r="AS450" s="244"/>
      <c r="AT450" s="33"/>
      <c r="AU450" s="242"/>
      <c r="AV450" s="241"/>
      <c r="AW450" s="244"/>
      <c r="AX450" s="33"/>
      <c r="AY450" s="242"/>
      <c r="AZ450" s="241"/>
      <c r="BA450" s="244"/>
      <c r="BB450" s="33"/>
      <c r="BC450" s="242"/>
      <c r="BD450" s="241"/>
      <c r="BE450" s="244"/>
      <c r="BF450" s="33"/>
      <c r="BG450" s="242"/>
      <c r="BH450" s="241"/>
      <c r="BI450" s="244"/>
      <c r="BJ450" s="33"/>
      <c r="BK450" s="242"/>
      <c r="BL450" s="241"/>
      <c r="BM450" s="244"/>
      <c r="BN450" s="33"/>
      <c r="BO450" s="242"/>
      <c r="BP450" s="241"/>
      <c r="BQ450" s="244"/>
      <c r="BR450" s="33"/>
      <c r="BS450" s="242"/>
      <c r="BT450" s="241"/>
      <c r="BU450" s="244"/>
      <c r="BV450" s="33"/>
      <c r="BW450" s="242"/>
      <c r="BX450" s="241"/>
      <c r="BY450" s="244"/>
      <c r="BZ450" s="33"/>
      <c r="CA450" s="242"/>
      <c r="CB450" s="241"/>
      <c r="CC450" s="244"/>
      <c r="CD450" s="243"/>
      <c r="CE450" s="243"/>
      <c r="CF450" s="243"/>
      <c r="CG450" s="243"/>
      <c r="CH450" s="243"/>
      <c r="CI450" s="243"/>
      <c r="CJ450" s="243"/>
      <c r="CK450" s="243"/>
      <c r="CL450" s="243"/>
      <c r="CM450" s="243"/>
      <c r="CN450" s="243"/>
      <c r="CO450" s="243"/>
      <c r="CP450" s="243"/>
      <c r="CQ450" s="243"/>
      <c r="CR450" s="243"/>
      <c r="CS450" s="243"/>
      <c r="CT450" s="243"/>
      <c r="CU450" s="243"/>
      <c r="CV450" s="243"/>
      <c r="CW450" s="243"/>
      <c r="CX450" s="243"/>
      <c r="CY450" s="243"/>
      <c r="CZ450" s="243"/>
      <c r="DA450" s="243"/>
      <c r="DB450" s="243"/>
      <c r="DC450" s="243"/>
      <c r="DD450" s="243"/>
      <c r="DE450" s="243"/>
      <c r="DF450" s="243"/>
      <c r="DG450" s="243"/>
      <c r="DH450" s="243"/>
      <c r="DI450" s="243"/>
      <c r="DJ450" s="243"/>
      <c r="DK450" s="243"/>
      <c r="DM450" s="242"/>
      <c r="DO450" s="243"/>
      <c r="DQ450" s="242"/>
      <c r="DS450" s="243"/>
      <c r="DU450" s="242"/>
      <c r="DW450" s="243"/>
      <c r="DY450" s="242"/>
      <c r="EA450" s="243"/>
    </row>
    <row r="451" spans="1:131">
      <c r="A451" s="20"/>
      <c r="B451" s="124" t="str">
        <f t="shared" si="422"/>
        <v/>
      </c>
      <c r="C451" s="235"/>
      <c r="D451" s="24">
        <f>'1% Wind'!$M$85</f>
        <v>17.8</v>
      </c>
      <c r="E451" s="90"/>
      <c r="F451" s="90"/>
      <c r="G451" s="79" t="e">
        <f ca="1">IF(I447=0.9743,$G450,MAX(G450/D450*D451,2))</f>
        <v>#REF!</v>
      </c>
      <c r="H451" s="121" t="e">
        <f t="shared" ca="1" si="423"/>
        <v>#REF!</v>
      </c>
      <c r="J451" s="33"/>
      <c r="K451" s="242">
        <f t="shared" si="424"/>
        <v>1</v>
      </c>
      <c r="L451" s="241" t="e">
        <f t="shared" ca="1" si="425"/>
        <v>#REF!</v>
      </c>
      <c r="M451" s="243" t="e">
        <f ca="1">IF(AND(INDEX(FlowCalConstA,MATCH(J447,FlowCalNumber,0),1,1)*L451^INDEX(FlowCalConstB,MATCH(J447,FlowCalNumber,0),1,1)&gt;INDEX(FlowCalLowSetting,MATCH(J447,FlowCalNumber,0),1,1), (INDEX(FlowCalConstA,MATCH(J447,FlowCalNumber,0),1,1)*L451^INDEX(FlowCalConstB,MATCH(J447,FlowCalNumber,0),1,1)&lt;INDEX(FlowCalHighSetting,MATCH(J447,FlowCalNumber,0),1,1))),INDEX(FlowCalConstA,MATCH(J447,FlowCalNumber,0),1,1)*L451^INDEX(FlowCalConstB,MATCH(J447,FlowCalNumber,0),1,1)," ")</f>
        <v>#REF!</v>
      </c>
      <c r="N451" s="33"/>
      <c r="O451" s="242">
        <f t="shared" si="426"/>
        <v>1</v>
      </c>
      <c r="P451" s="241" t="e">
        <f t="shared" ca="1" si="427"/>
        <v>#REF!</v>
      </c>
      <c r="Q451" s="243" t="e">
        <f ca="1">IF(AND(INDEX(FlowCalConstA,MATCH(N447,FlowCalNumber,0),1,1)*P451^INDEX(FlowCalConstB,MATCH(N447,FlowCalNumber,0),1,1)&gt;INDEX(FlowCalLowSetting,MATCH(N447,FlowCalNumber,0),1,1), (INDEX(FlowCalConstA,MATCH(N447,FlowCalNumber,0),1,1)*P451^INDEX(FlowCalConstB,MATCH(N447,FlowCalNumber,0),1,1)&lt;INDEX(FlowCalHighSetting,MATCH(N447,FlowCalNumber,0),1,1))),INDEX(FlowCalConstA,MATCH(N447,FlowCalNumber,0),1,1)*P451^INDEX(FlowCalConstB,MATCH(N447,FlowCalNumber,0),1,1)," ")</f>
        <v>#REF!</v>
      </c>
      <c r="R451" s="33"/>
      <c r="S451" s="242">
        <f t="shared" si="428"/>
        <v>1</v>
      </c>
      <c r="T451" s="241" t="e">
        <f t="shared" ca="1" si="429"/>
        <v>#REF!</v>
      </c>
      <c r="U451" s="244" t="e">
        <f ca="1">IF(AND(INDEX(FlowCalConstA,MATCH(R447,FlowCalNumber,0),1,1)*T451^INDEX(FlowCalConstB,MATCH(R447,FlowCalNumber,0),1,1)&gt;INDEX(FlowCalLowSetting,MATCH(R447,FlowCalNumber,0),1,1), (INDEX(FlowCalConstA,MATCH(R447,FlowCalNumber,0),1,1)*T451^INDEX(FlowCalConstB,MATCH(R447,FlowCalNumber,0),1,1)&lt;INDEX(FlowCalHighSetting,MATCH(R447,FlowCalNumber,0),1,1))),INDEX(FlowCalConstA,MATCH(R447,FlowCalNumber,0),1,1)*T451^INDEX(FlowCalConstB,MATCH(R447,FlowCalNumber,0),1,1)," ")</f>
        <v>#REF!</v>
      </c>
      <c r="V451" s="33"/>
      <c r="W451" s="242">
        <f t="shared" si="430"/>
        <v>0.1</v>
      </c>
      <c r="X451" s="241" t="e">
        <f t="shared" ca="1" si="431"/>
        <v>#REF!</v>
      </c>
      <c r="Y451" s="243" t="e">
        <f ca="1">IF(AND(INDEX(FlowCalConstA,MATCH(V447,FlowCalNumber,0),1,1)*X451^INDEX(FlowCalConstB,MATCH(V447,FlowCalNumber,0),1,1)&gt;INDEX(FlowCalLowSetting,MATCH(V447,FlowCalNumber,0),1,1), (INDEX(FlowCalConstA,MATCH(V447,FlowCalNumber,0),1,1)*X451^INDEX(FlowCalConstB,MATCH(V447,FlowCalNumber,0),1,1)&lt;INDEX(FlowCalHighSetting,MATCH(V447,FlowCalNumber,0),1,1))),INDEX(FlowCalConstA,MATCH(V447,FlowCalNumber,0),1,1)*X451^INDEX(FlowCalConstB,MATCH(V447,FlowCalNumber,0),1,1)," ")</f>
        <v>#REF!</v>
      </c>
      <c r="Z451" s="33"/>
      <c r="AA451" s="242">
        <f t="shared" si="432"/>
        <v>0.9</v>
      </c>
      <c r="AB451" s="241" t="e">
        <f t="shared" ca="1" si="433"/>
        <v>#REF!</v>
      </c>
      <c r="AC451" s="243" t="e">
        <f ca="1">IF(AND(INDEX(FlowCalConstA,MATCH(Z447,FlowCalNumber,0),1,1)*AB451^INDEX(FlowCalConstB,MATCH(Z447,FlowCalNumber,0),1,1)&gt;INDEX(FlowCalLowSetting,MATCH(Z447,FlowCalNumber,0),1,1), (INDEX(FlowCalConstA,MATCH(Z447,FlowCalNumber,0),1,1)*AB451^INDEX(FlowCalConstB,MATCH(Z447,FlowCalNumber,0),1,1)&lt;INDEX(FlowCalHighSetting,MATCH(Z447,FlowCalNumber,0),1,1))),INDEX(FlowCalConstA,MATCH(Z447,FlowCalNumber,0),1,1)*AB451^INDEX(FlowCalConstB,MATCH(Z447,FlowCalNumber,0),1,1)," ")</f>
        <v>#REF!</v>
      </c>
      <c r="AD451" s="33"/>
      <c r="AE451" s="242">
        <f t="shared" si="434"/>
        <v>0.1</v>
      </c>
      <c r="AF451" s="241" t="e">
        <f t="shared" ca="1" si="435"/>
        <v>#REF!</v>
      </c>
      <c r="AG451" s="243" t="e">
        <f ca="1">IF(AND(INDEX(FlowCalConstA,MATCH(AD447,FlowCalNumber,0),1,1)*AF451^INDEX(FlowCalConstB,MATCH(AD447,FlowCalNumber,0),1,1)&gt;INDEX(FlowCalLowSetting,MATCH(AD447,FlowCalNumber,0),1,1), (INDEX(FlowCalConstA,MATCH(AD447,FlowCalNumber,0),1,1)*AF451^INDEX(FlowCalConstB,MATCH(AD447,FlowCalNumber,0),1,1)&lt;INDEX(FlowCalHighSetting,MATCH(AD447,FlowCalNumber,0),1,1))),INDEX(FlowCalConstA,MATCH(AD447,FlowCalNumber,0),1,1)*AF451^INDEX(FlowCalConstB,MATCH(AD447,FlowCalNumber,0),1,1)," ")</f>
        <v>#REF!</v>
      </c>
      <c r="AH451" s="33"/>
      <c r="AI451" s="242">
        <f t="shared" si="436"/>
        <v>0.9</v>
      </c>
      <c r="AJ451" s="241" t="e">
        <f t="shared" ca="1" si="437"/>
        <v>#REF!</v>
      </c>
      <c r="AK451" s="243" t="e">
        <f ca="1">IF(AND(INDEX(FlowCalConstA,MATCH(AH447,FlowCalNumber,0),1,1)*AJ451^INDEX(FlowCalConstB,MATCH(AH447,FlowCalNumber,0),1,1)&gt;INDEX(FlowCalLowSetting,MATCH(AH447,FlowCalNumber,0),1,1), (INDEX(FlowCalConstA,MATCH(AH447,FlowCalNumber,0),1,1)*AJ451^INDEX(FlowCalConstB,MATCH(AH447,FlowCalNumber,0),1,1)&lt;INDEX(FlowCalHighSetting,MATCH(AH447,FlowCalNumber,0),1,1))),INDEX(FlowCalConstA,MATCH(AH447,FlowCalNumber,0),1,1)*AJ451^INDEX(FlowCalConstB,MATCH(AH447,FlowCalNumber,0),1,1)," ")</f>
        <v>#REF!</v>
      </c>
      <c r="AL451" s="33"/>
      <c r="AM451" s="242"/>
      <c r="AN451" s="241"/>
      <c r="AO451" s="244"/>
      <c r="AQ451" s="242"/>
      <c r="AR451" s="241"/>
      <c r="AS451" s="244"/>
      <c r="AT451" s="33"/>
      <c r="AU451" s="242"/>
      <c r="AV451" s="241"/>
      <c r="AW451" s="244"/>
      <c r="AX451" s="33"/>
      <c r="AY451" s="242"/>
      <c r="AZ451" s="241"/>
      <c r="BA451" s="244"/>
      <c r="BB451" s="33"/>
      <c r="BC451" s="242"/>
      <c r="BD451" s="241"/>
      <c r="BE451" s="244"/>
      <c r="BF451" s="33"/>
      <c r="BG451" s="242"/>
      <c r="BH451" s="241"/>
      <c r="BI451" s="244"/>
      <c r="BJ451" s="33"/>
      <c r="BK451" s="242"/>
      <c r="BL451" s="241"/>
      <c r="BM451" s="244"/>
      <c r="BN451" s="33"/>
      <c r="BO451" s="242"/>
      <c r="BP451" s="241"/>
      <c r="BQ451" s="244"/>
      <c r="BR451" s="33"/>
      <c r="BS451" s="242"/>
      <c r="BT451" s="241"/>
      <c r="BU451" s="244"/>
      <c r="BV451" s="33"/>
      <c r="BW451" s="242"/>
      <c r="BX451" s="241"/>
      <c r="BY451" s="244"/>
      <c r="BZ451" s="33"/>
      <c r="CA451" s="242"/>
      <c r="CB451" s="241"/>
      <c r="CC451" s="244"/>
      <c r="CD451" s="243"/>
      <c r="CE451" s="243"/>
      <c r="CF451" s="243"/>
      <c r="CG451" s="243"/>
      <c r="CH451" s="243"/>
      <c r="CI451" s="243"/>
      <c r="CJ451" s="243"/>
      <c r="CK451" s="243"/>
      <c r="CL451" s="243"/>
      <c r="CM451" s="243"/>
      <c r="CN451" s="243"/>
      <c r="CO451" s="243"/>
      <c r="CP451" s="243"/>
      <c r="CQ451" s="243"/>
      <c r="CR451" s="243"/>
      <c r="CS451" s="243"/>
      <c r="CT451" s="243"/>
      <c r="CU451" s="243"/>
      <c r="CV451" s="243"/>
      <c r="CW451" s="243"/>
      <c r="CX451" s="243"/>
      <c r="CY451" s="243"/>
      <c r="CZ451" s="243"/>
      <c r="DA451" s="243"/>
      <c r="DB451" s="243"/>
      <c r="DC451" s="243"/>
      <c r="DD451" s="243"/>
      <c r="DE451" s="243"/>
      <c r="DF451" s="243"/>
      <c r="DG451" s="243"/>
      <c r="DH451" s="243"/>
      <c r="DI451" s="243"/>
      <c r="DJ451" s="243"/>
      <c r="DK451" s="243"/>
      <c r="DM451" s="242"/>
      <c r="DO451" s="243"/>
      <c r="DQ451" s="242"/>
      <c r="DS451" s="243"/>
      <c r="DU451" s="242"/>
      <c r="DW451" s="243"/>
      <c r="DY451" s="242"/>
      <c r="EA451" s="243"/>
    </row>
    <row r="452" spans="1:131">
      <c r="A452" s="20"/>
      <c r="B452" s="124" t="str">
        <f t="shared" si="422"/>
        <v/>
      </c>
      <c r="C452" s="235"/>
      <c r="D452" s="24">
        <f>'1% Wind'!$M$86</f>
        <v>15.5</v>
      </c>
      <c r="E452" s="90"/>
      <c r="F452" s="90"/>
      <c r="G452" s="79" t="e">
        <f ca="1">IF(I447=0.9743,$G451,MAX(G451/D451*D452,2))</f>
        <v>#REF!</v>
      </c>
      <c r="H452" s="121" t="e">
        <f t="shared" ca="1" si="423"/>
        <v>#REF!</v>
      </c>
      <c r="J452" s="33"/>
      <c r="K452" s="242">
        <f t="shared" si="424"/>
        <v>1</v>
      </c>
      <c r="L452" s="241" t="e">
        <f t="shared" ca="1" si="425"/>
        <v>#REF!</v>
      </c>
      <c r="M452" s="243" t="e">
        <f ca="1">IF(AND(INDEX(FlowCalConstA,MATCH(J447,FlowCalNumber,0),1,1)*L452^INDEX(FlowCalConstB,MATCH(J447,FlowCalNumber,0),1,1)&gt;INDEX(FlowCalLowSetting,MATCH(J447,FlowCalNumber,0),1,1), (INDEX(FlowCalConstA,MATCH(J447,FlowCalNumber,0),1,1)*L452^INDEX(FlowCalConstB,MATCH(J447,FlowCalNumber,0),1,1)&lt;INDEX(FlowCalHighSetting,MATCH(J447,FlowCalNumber,0),1,1))),INDEX(FlowCalConstA,MATCH(J447,FlowCalNumber,0),1,1)*L452^INDEX(FlowCalConstB,MATCH(J447,FlowCalNumber,0),1,1)," ")</f>
        <v>#REF!</v>
      </c>
      <c r="N452" s="33"/>
      <c r="O452" s="242">
        <f t="shared" si="426"/>
        <v>1</v>
      </c>
      <c r="P452" s="241" t="e">
        <f t="shared" ca="1" si="427"/>
        <v>#REF!</v>
      </c>
      <c r="Q452" s="243" t="e">
        <f ca="1">IF(AND(INDEX(FlowCalConstA,MATCH(N447,FlowCalNumber,0),1,1)*P452^INDEX(FlowCalConstB,MATCH(N447,FlowCalNumber,0),1,1)&gt;INDEX(FlowCalLowSetting,MATCH(N447,FlowCalNumber,0),1,1), (INDEX(FlowCalConstA,MATCH(N447,FlowCalNumber,0),1,1)*P452^INDEX(FlowCalConstB,MATCH(N447,FlowCalNumber,0),1,1)&lt;INDEX(FlowCalHighSetting,MATCH(N447,FlowCalNumber,0),1,1))),INDEX(FlowCalConstA,MATCH(N447,FlowCalNumber,0),1,1)*P452^INDEX(FlowCalConstB,MATCH(N447,FlowCalNumber,0),1,1)," ")</f>
        <v>#REF!</v>
      </c>
      <c r="R452" s="33"/>
      <c r="S452" s="242">
        <f t="shared" si="428"/>
        <v>1</v>
      </c>
      <c r="T452" s="241" t="e">
        <f t="shared" ca="1" si="429"/>
        <v>#REF!</v>
      </c>
      <c r="U452" s="244" t="e">
        <f ca="1">IF(AND(INDEX(FlowCalConstA,MATCH(R447,FlowCalNumber,0),1,1)*T452^INDEX(FlowCalConstB,MATCH(R447,FlowCalNumber,0),1,1)&gt;INDEX(FlowCalLowSetting,MATCH(R447,FlowCalNumber,0),1,1), (INDEX(FlowCalConstA,MATCH(R447,FlowCalNumber,0),1,1)*T452^INDEX(FlowCalConstB,MATCH(R447,FlowCalNumber,0),1,1)&lt;INDEX(FlowCalHighSetting,MATCH(R447,FlowCalNumber,0),1,1))),INDEX(FlowCalConstA,MATCH(R447,FlowCalNumber,0),1,1)*T452^INDEX(FlowCalConstB,MATCH(R447,FlowCalNumber,0),1,1)," ")</f>
        <v>#REF!</v>
      </c>
      <c r="V452" s="33"/>
      <c r="W452" s="242">
        <f t="shared" si="430"/>
        <v>0.1</v>
      </c>
      <c r="X452" s="241" t="e">
        <f t="shared" ca="1" si="431"/>
        <v>#REF!</v>
      </c>
      <c r="Y452" s="243" t="e">
        <f ca="1">IF(AND(INDEX(FlowCalConstA,MATCH(V447,FlowCalNumber,0),1,1)*X452^INDEX(FlowCalConstB,MATCH(V447,FlowCalNumber,0),1,1)&gt;INDEX(FlowCalLowSetting,MATCH(V447,FlowCalNumber,0),1,1), (INDEX(FlowCalConstA,MATCH(V447,FlowCalNumber,0),1,1)*X452^INDEX(FlowCalConstB,MATCH(V447,FlowCalNumber,0),1,1)&lt;INDEX(FlowCalHighSetting,MATCH(V447,FlowCalNumber,0),1,1))),INDEX(FlowCalConstA,MATCH(V447,FlowCalNumber,0),1,1)*X452^INDEX(FlowCalConstB,MATCH(V447,FlowCalNumber,0),1,1)," ")</f>
        <v>#REF!</v>
      </c>
      <c r="Z452" s="33"/>
      <c r="AA452" s="242">
        <f t="shared" si="432"/>
        <v>0.9</v>
      </c>
      <c r="AB452" s="241" t="e">
        <f t="shared" ca="1" si="433"/>
        <v>#REF!</v>
      </c>
      <c r="AC452" s="243" t="e">
        <f ca="1">IF(AND(INDEX(FlowCalConstA,MATCH(Z447,FlowCalNumber,0),1,1)*AB452^INDEX(FlowCalConstB,MATCH(Z447,FlowCalNumber,0),1,1)&gt;INDEX(FlowCalLowSetting,MATCH(Z447,FlowCalNumber,0),1,1), (INDEX(FlowCalConstA,MATCH(Z447,FlowCalNumber,0),1,1)*AB452^INDEX(FlowCalConstB,MATCH(Z447,FlowCalNumber,0),1,1)&lt;INDEX(FlowCalHighSetting,MATCH(Z447,FlowCalNumber,0),1,1))),INDEX(FlowCalConstA,MATCH(Z447,FlowCalNumber,0),1,1)*AB452^INDEX(FlowCalConstB,MATCH(Z447,FlowCalNumber,0),1,1)," ")</f>
        <v>#REF!</v>
      </c>
      <c r="AD452" s="33"/>
      <c r="AE452" s="242">
        <f t="shared" si="434"/>
        <v>0.1</v>
      </c>
      <c r="AF452" s="241" t="e">
        <f t="shared" ca="1" si="435"/>
        <v>#REF!</v>
      </c>
      <c r="AG452" s="243" t="e">
        <f ca="1">IF(AND(INDEX(FlowCalConstA,MATCH(AD447,FlowCalNumber,0),1,1)*AF452^INDEX(FlowCalConstB,MATCH(AD447,FlowCalNumber,0),1,1)&gt;INDEX(FlowCalLowSetting,MATCH(AD447,FlowCalNumber,0),1,1), (INDEX(FlowCalConstA,MATCH(AD447,FlowCalNumber,0),1,1)*AF452^INDEX(FlowCalConstB,MATCH(AD447,FlowCalNumber,0),1,1)&lt;INDEX(FlowCalHighSetting,MATCH(AD447,FlowCalNumber,0),1,1))),INDEX(FlowCalConstA,MATCH(AD447,FlowCalNumber,0),1,1)*AF452^INDEX(FlowCalConstB,MATCH(AD447,FlowCalNumber,0),1,1)," ")</f>
        <v>#REF!</v>
      </c>
      <c r="AH452" s="33"/>
      <c r="AI452" s="242">
        <f t="shared" si="436"/>
        <v>0.9</v>
      </c>
      <c r="AJ452" s="241" t="e">
        <f t="shared" ca="1" si="437"/>
        <v>#REF!</v>
      </c>
      <c r="AK452" s="243" t="e">
        <f ca="1">IF(AND(INDEX(FlowCalConstA,MATCH(AH447,FlowCalNumber,0),1,1)*AJ452^INDEX(FlowCalConstB,MATCH(AH447,FlowCalNumber,0),1,1)&gt;INDEX(FlowCalLowSetting,MATCH(AH447,FlowCalNumber,0),1,1), (INDEX(FlowCalConstA,MATCH(AH447,FlowCalNumber,0),1,1)*AJ452^INDEX(FlowCalConstB,MATCH(AH447,FlowCalNumber,0),1,1)&lt;INDEX(FlowCalHighSetting,MATCH(AH447,FlowCalNumber,0),1,1))),INDEX(FlowCalConstA,MATCH(AH447,FlowCalNumber,0),1,1)*AJ452^INDEX(FlowCalConstB,MATCH(AH447,FlowCalNumber,0),1,1)," ")</f>
        <v>#REF!</v>
      </c>
      <c r="AL452" s="33"/>
      <c r="AM452" s="242"/>
      <c r="AN452" s="241"/>
      <c r="AO452" s="244"/>
      <c r="AQ452" s="242"/>
      <c r="AR452" s="241"/>
      <c r="AS452" s="244"/>
      <c r="AT452" s="33"/>
      <c r="AU452" s="242"/>
      <c r="AV452" s="241"/>
      <c r="AW452" s="244"/>
      <c r="AX452" s="33"/>
      <c r="AY452" s="242"/>
      <c r="AZ452" s="241"/>
      <c r="BA452" s="244"/>
      <c r="BB452" s="33"/>
      <c r="BC452" s="242"/>
      <c r="BD452" s="241"/>
      <c r="BE452" s="244"/>
      <c r="BF452" s="33"/>
      <c r="BG452" s="242"/>
      <c r="BH452" s="241"/>
      <c r="BI452" s="244"/>
      <c r="BJ452" s="33"/>
      <c r="BK452" s="242"/>
      <c r="BL452" s="241"/>
      <c r="BM452" s="244"/>
      <c r="BN452" s="33"/>
      <c r="BO452" s="242"/>
      <c r="BP452" s="241"/>
      <c r="BQ452" s="244"/>
      <c r="BR452" s="33"/>
      <c r="BS452" s="242"/>
      <c r="BT452" s="241"/>
      <c r="BU452" s="244"/>
      <c r="BV452" s="33"/>
      <c r="BW452" s="242"/>
      <c r="BX452" s="241"/>
      <c r="BY452" s="244"/>
      <c r="BZ452" s="33"/>
      <c r="CA452" s="242"/>
      <c r="CB452" s="241"/>
      <c r="CC452" s="244"/>
      <c r="CD452" s="243"/>
      <c r="CE452" s="243"/>
      <c r="CF452" s="243"/>
      <c r="CG452" s="243"/>
      <c r="CH452" s="243"/>
      <c r="CI452" s="243"/>
      <c r="CJ452" s="243"/>
      <c r="CK452" s="243"/>
      <c r="CL452" s="243"/>
      <c r="CM452" s="243"/>
      <c r="CN452" s="243"/>
      <c r="CO452" s="243"/>
      <c r="CP452" s="243"/>
      <c r="CQ452" s="243"/>
      <c r="CR452" s="243"/>
      <c r="CS452" s="243"/>
      <c r="CT452" s="243"/>
      <c r="CU452" s="243"/>
      <c r="CV452" s="243"/>
      <c r="CW452" s="243"/>
      <c r="CX452" s="243"/>
      <c r="CY452" s="243"/>
      <c r="CZ452" s="243"/>
      <c r="DA452" s="243"/>
      <c r="DB452" s="243"/>
      <c r="DC452" s="243"/>
      <c r="DD452" s="243"/>
      <c r="DE452" s="243"/>
      <c r="DF452" s="243"/>
      <c r="DG452" s="243"/>
      <c r="DH452" s="243"/>
      <c r="DI452" s="243"/>
      <c r="DJ452" s="243"/>
      <c r="DK452" s="243"/>
      <c r="DM452" s="242"/>
      <c r="DO452" s="243"/>
      <c r="DQ452" s="242"/>
      <c r="DS452" s="243"/>
      <c r="DU452" s="242"/>
      <c r="DW452" s="243"/>
      <c r="DY452" s="242"/>
      <c r="EA452" s="243"/>
    </row>
    <row r="453" spans="1:131">
      <c r="A453" s="20"/>
      <c r="B453" s="124" t="str">
        <f t="shared" si="422"/>
        <v/>
      </c>
      <c r="C453" s="235"/>
      <c r="D453" s="24">
        <f>'1% Wind'!$M$87</f>
        <v>13.5</v>
      </c>
      <c r="E453" s="90"/>
      <c r="F453" s="90"/>
      <c r="G453" s="79" t="e">
        <f ca="1">IF(I447=0.9743,$G452,MAX(G452/D452*D453,2))</f>
        <v>#REF!</v>
      </c>
      <c r="H453" s="121" t="e">
        <f t="shared" ca="1" si="423"/>
        <v>#REF!</v>
      </c>
      <c r="J453" s="33"/>
      <c r="K453" s="242">
        <f t="shared" si="424"/>
        <v>1</v>
      </c>
      <c r="L453" s="241" t="e">
        <f t="shared" ca="1" si="425"/>
        <v>#REF!</v>
      </c>
      <c r="M453" s="243" t="e">
        <f ca="1">IF(AND(INDEX(FlowCalConstA,MATCH(J447,FlowCalNumber,0),1,1)*L453^INDEX(FlowCalConstB,MATCH(J447,FlowCalNumber,0),1,1)&gt;INDEX(FlowCalLowSetting,MATCH(J447,FlowCalNumber,0),1,1), (INDEX(FlowCalConstA,MATCH(J447,FlowCalNumber,0),1,1)*L453^INDEX(FlowCalConstB,MATCH(J447,FlowCalNumber,0),1,1)&lt;INDEX(FlowCalHighSetting,MATCH(J447,FlowCalNumber,0),1,1))),INDEX(FlowCalConstA,MATCH(J447,FlowCalNumber,0),1,1)*L453^INDEX(FlowCalConstB,MATCH(J447,FlowCalNumber,0),1,1)," ")</f>
        <v>#REF!</v>
      </c>
      <c r="N453" s="33"/>
      <c r="O453" s="242">
        <f t="shared" si="426"/>
        <v>1</v>
      </c>
      <c r="P453" s="241" t="e">
        <f t="shared" ca="1" si="427"/>
        <v>#REF!</v>
      </c>
      <c r="Q453" s="243" t="e">
        <f ca="1">IF(AND(INDEX(FlowCalConstA,MATCH(N447,FlowCalNumber,0),1,1)*P453^INDEX(FlowCalConstB,MATCH(N447,FlowCalNumber,0),1,1)&gt;INDEX(FlowCalLowSetting,MATCH(N447,FlowCalNumber,0),1,1), (INDEX(FlowCalConstA,MATCH(N447,FlowCalNumber,0),1,1)*P453^INDEX(FlowCalConstB,MATCH(N447,FlowCalNumber,0),1,1)&lt;INDEX(FlowCalHighSetting,MATCH(N447,FlowCalNumber,0),1,1))),INDEX(FlowCalConstA,MATCH(N447,FlowCalNumber,0),1,1)*P453^INDEX(FlowCalConstB,MATCH(N447,FlowCalNumber,0),1,1)," ")</f>
        <v>#REF!</v>
      </c>
      <c r="R453" s="33"/>
      <c r="S453" s="242">
        <f t="shared" si="428"/>
        <v>1</v>
      </c>
      <c r="T453" s="241" t="e">
        <f t="shared" ca="1" si="429"/>
        <v>#REF!</v>
      </c>
      <c r="U453" s="244" t="e">
        <f ca="1">IF(AND(INDEX(FlowCalConstA,MATCH(R447,FlowCalNumber,0),1,1)*T453^INDEX(FlowCalConstB,MATCH(R447,FlowCalNumber,0),1,1)&gt;INDEX(FlowCalLowSetting,MATCH(R447,FlowCalNumber,0),1,1), (INDEX(FlowCalConstA,MATCH(R447,FlowCalNumber,0),1,1)*T453^INDEX(FlowCalConstB,MATCH(R447,FlowCalNumber,0),1,1)&lt;INDEX(FlowCalHighSetting,MATCH(R447,FlowCalNumber,0),1,1))),INDEX(FlowCalConstA,MATCH(R447,FlowCalNumber,0),1,1)*T453^INDEX(FlowCalConstB,MATCH(R447,FlowCalNumber,0),1,1)," ")</f>
        <v>#REF!</v>
      </c>
      <c r="V453" s="33"/>
      <c r="W453" s="242">
        <f t="shared" si="430"/>
        <v>0.1</v>
      </c>
      <c r="X453" s="241" t="e">
        <f t="shared" ca="1" si="431"/>
        <v>#REF!</v>
      </c>
      <c r="Y453" s="243" t="e">
        <f ca="1">IF(AND(INDEX(FlowCalConstA,MATCH(V447,FlowCalNumber,0),1,1)*X453^INDEX(FlowCalConstB,MATCH(V447,FlowCalNumber,0),1,1)&gt;INDEX(FlowCalLowSetting,MATCH(V447,FlowCalNumber,0),1,1), (INDEX(FlowCalConstA,MATCH(V447,FlowCalNumber,0),1,1)*X453^INDEX(FlowCalConstB,MATCH(V447,FlowCalNumber,0),1,1)&lt;INDEX(FlowCalHighSetting,MATCH(V447,FlowCalNumber,0),1,1))),INDEX(FlowCalConstA,MATCH(V447,FlowCalNumber,0),1,1)*X453^INDEX(FlowCalConstB,MATCH(V447,FlowCalNumber,0),1,1)," ")</f>
        <v>#REF!</v>
      </c>
      <c r="Z453" s="33"/>
      <c r="AA453" s="242">
        <f t="shared" si="432"/>
        <v>0.9</v>
      </c>
      <c r="AB453" s="241" t="e">
        <f t="shared" ca="1" si="433"/>
        <v>#REF!</v>
      </c>
      <c r="AC453" s="243" t="e">
        <f ca="1">IF(AND(INDEX(FlowCalConstA,MATCH(Z447,FlowCalNumber,0),1,1)*AB453^INDEX(FlowCalConstB,MATCH(Z447,FlowCalNumber,0),1,1)&gt;INDEX(FlowCalLowSetting,MATCH(Z447,FlowCalNumber,0),1,1), (INDEX(FlowCalConstA,MATCH(Z447,FlowCalNumber,0),1,1)*AB453^INDEX(FlowCalConstB,MATCH(Z447,FlowCalNumber,0),1,1)&lt;INDEX(FlowCalHighSetting,MATCH(Z447,FlowCalNumber,0),1,1))),INDEX(FlowCalConstA,MATCH(Z447,FlowCalNumber,0),1,1)*AB453^INDEX(FlowCalConstB,MATCH(Z447,FlowCalNumber,0),1,1)," ")</f>
        <v>#REF!</v>
      </c>
      <c r="AD453" s="33"/>
      <c r="AE453" s="242">
        <f t="shared" si="434"/>
        <v>0.1</v>
      </c>
      <c r="AF453" s="241" t="e">
        <f t="shared" ca="1" si="435"/>
        <v>#REF!</v>
      </c>
      <c r="AG453" s="243" t="e">
        <f ca="1">IF(AND(INDEX(FlowCalConstA,MATCH(AD447,FlowCalNumber,0),1,1)*AF453^INDEX(FlowCalConstB,MATCH(AD447,FlowCalNumber,0),1,1)&gt;INDEX(FlowCalLowSetting,MATCH(AD447,FlowCalNumber,0),1,1), (INDEX(FlowCalConstA,MATCH(AD447,FlowCalNumber,0),1,1)*AF453^INDEX(FlowCalConstB,MATCH(AD447,FlowCalNumber,0),1,1)&lt;INDEX(FlowCalHighSetting,MATCH(AD447,FlowCalNumber,0),1,1))),INDEX(FlowCalConstA,MATCH(AD447,FlowCalNumber,0),1,1)*AF453^INDEX(FlowCalConstB,MATCH(AD447,FlowCalNumber,0),1,1)," ")</f>
        <v>#REF!</v>
      </c>
      <c r="AH453" s="33"/>
      <c r="AI453" s="242">
        <f t="shared" si="436"/>
        <v>0.9</v>
      </c>
      <c r="AJ453" s="241" t="e">
        <f t="shared" ca="1" si="437"/>
        <v>#REF!</v>
      </c>
      <c r="AK453" s="243" t="e">
        <f ca="1">IF(AND(INDEX(FlowCalConstA,MATCH(AH447,FlowCalNumber,0),1,1)*AJ453^INDEX(FlowCalConstB,MATCH(AH447,FlowCalNumber,0),1,1)&gt;INDEX(FlowCalLowSetting,MATCH(AH447,FlowCalNumber,0),1,1), (INDEX(FlowCalConstA,MATCH(AH447,FlowCalNumber,0),1,1)*AJ453^INDEX(FlowCalConstB,MATCH(AH447,FlowCalNumber,0),1,1)&lt;INDEX(FlowCalHighSetting,MATCH(AH447,FlowCalNumber,0),1,1))),INDEX(FlowCalConstA,MATCH(AH447,FlowCalNumber,0),1,1)*AJ453^INDEX(FlowCalConstB,MATCH(AH447,FlowCalNumber,0),1,1)," ")</f>
        <v>#REF!</v>
      </c>
      <c r="AL453" s="33"/>
      <c r="AM453" s="242"/>
      <c r="AN453" s="241"/>
      <c r="AO453" s="244"/>
      <c r="AQ453" s="242"/>
      <c r="AR453" s="241"/>
      <c r="AS453" s="244"/>
      <c r="AT453" s="33"/>
      <c r="AU453" s="242"/>
      <c r="AV453" s="241"/>
      <c r="AW453" s="244"/>
      <c r="AX453" s="33"/>
      <c r="AY453" s="242"/>
      <c r="AZ453" s="241"/>
      <c r="BA453" s="244"/>
      <c r="BB453" s="33"/>
      <c r="BC453" s="242"/>
      <c r="BD453" s="241"/>
      <c r="BE453" s="244"/>
      <c r="BF453" s="33"/>
      <c r="BG453" s="242"/>
      <c r="BH453" s="241"/>
      <c r="BI453" s="244"/>
      <c r="BJ453" s="33"/>
      <c r="BK453" s="242"/>
      <c r="BL453" s="241"/>
      <c r="BM453" s="244"/>
      <c r="BN453" s="33"/>
      <c r="BO453" s="242"/>
      <c r="BP453" s="241"/>
      <c r="BQ453" s="244"/>
      <c r="BR453" s="33"/>
      <c r="BS453" s="242"/>
      <c r="BT453" s="241"/>
      <c r="BU453" s="244"/>
      <c r="BV453" s="33"/>
      <c r="BW453" s="242"/>
      <c r="BX453" s="241"/>
      <c r="BY453" s="244"/>
      <c r="BZ453" s="33"/>
      <c r="CA453" s="242"/>
      <c r="CB453" s="241"/>
      <c r="CC453" s="244"/>
      <c r="CD453" s="243"/>
      <c r="CE453" s="243"/>
      <c r="CF453" s="243"/>
      <c r="CG453" s="243"/>
      <c r="CH453" s="243"/>
      <c r="CI453" s="243"/>
      <c r="CJ453" s="243"/>
      <c r="CK453" s="243"/>
      <c r="CL453" s="243"/>
      <c r="CM453" s="243"/>
      <c r="CN453" s="243"/>
      <c r="CO453" s="243"/>
      <c r="CP453" s="243"/>
      <c r="CQ453" s="243"/>
      <c r="CR453" s="243"/>
      <c r="CS453" s="243"/>
      <c r="CT453" s="243"/>
      <c r="CU453" s="243"/>
      <c r="CV453" s="243"/>
      <c r="CW453" s="243"/>
      <c r="CX453" s="243"/>
      <c r="CY453" s="243"/>
      <c r="CZ453" s="243"/>
      <c r="DA453" s="243"/>
      <c r="DB453" s="243"/>
      <c r="DC453" s="243"/>
      <c r="DD453" s="243"/>
      <c r="DE453" s="243"/>
      <c r="DF453" s="243"/>
      <c r="DG453" s="243"/>
      <c r="DH453" s="243"/>
      <c r="DI453" s="243"/>
      <c r="DJ453" s="243"/>
      <c r="DK453" s="243"/>
      <c r="DM453" s="242"/>
      <c r="DO453" s="243"/>
      <c r="DQ453" s="242"/>
      <c r="DS453" s="243"/>
      <c r="DU453" s="242"/>
      <c r="DW453" s="243"/>
      <c r="DY453" s="242"/>
      <c r="EA453" s="243"/>
    </row>
    <row r="454" spans="1:131">
      <c r="A454" s="20"/>
      <c r="B454" s="124" t="str">
        <f t="shared" si="422"/>
        <v/>
      </c>
      <c r="C454" s="235"/>
      <c r="D454" s="24">
        <f>'1% Wind'!$M$88</f>
        <v>10.1</v>
      </c>
      <c r="E454" s="90"/>
      <c r="F454" s="90"/>
      <c r="G454" s="79" t="e">
        <f ca="1">IF(I447=0.9743,$G453,MAX(G453/D453*D454,2))</f>
        <v>#REF!</v>
      </c>
      <c r="H454" s="121" t="e">
        <f t="shared" ca="1" si="423"/>
        <v>#REF!</v>
      </c>
      <c r="J454" s="33"/>
      <c r="K454" s="242">
        <f t="shared" si="424"/>
        <v>1</v>
      </c>
      <c r="L454" s="241" t="e">
        <f t="shared" ca="1" si="425"/>
        <v>#REF!</v>
      </c>
      <c r="M454" s="243" t="e">
        <f ca="1">IF(AND(INDEX(FlowCalConstA,MATCH(J447,FlowCalNumber,0),1,1)*L454^INDEX(FlowCalConstB,MATCH(J447,FlowCalNumber,0),1,1)&gt;INDEX(FlowCalLowSetting,MATCH(J447,FlowCalNumber,0),1,1), (INDEX(FlowCalConstA,MATCH(J447,FlowCalNumber,0),1,1)*L454^INDEX(FlowCalConstB,MATCH(J447,FlowCalNumber,0),1,1)&lt;INDEX(FlowCalHighSetting,MATCH(J447,FlowCalNumber,0),1,1))),INDEX(FlowCalConstA,MATCH(J447,FlowCalNumber,0),1,1)*L454^INDEX(FlowCalConstB,MATCH(J447,FlowCalNumber,0),1,1)," ")</f>
        <v>#REF!</v>
      </c>
      <c r="N454" s="33"/>
      <c r="O454" s="242">
        <f t="shared" si="426"/>
        <v>1</v>
      </c>
      <c r="P454" s="241" t="e">
        <f t="shared" ca="1" si="427"/>
        <v>#REF!</v>
      </c>
      <c r="Q454" s="243" t="e">
        <f ca="1">IF(AND(INDEX(FlowCalConstA,MATCH(N447,FlowCalNumber,0),1,1)*P454^INDEX(FlowCalConstB,MATCH(N447,FlowCalNumber,0),1,1)&gt;INDEX(FlowCalLowSetting,MATCH(N447,FlowCalNumber,0),1,1), (INDEX(FlowCalConstA,MATCH(N447,FlowCalNumber,0),1,1)*P454^INDEX(FlowCalConstB,MATCH(N447,FlowCalNumber,0),1,1)&lt;INDEX(FlowCalHighSetting,MATCH(N447,FlowCalNumber,0),1,1))),INDEX(FlowCalConstA,MATCH(N447,FlowCalNumber,0),1,1)*P454^INDEX(FlowCalConstB,MATCH(N447,FlowCalNumber,0),1,1)," ")</f>
        <v>#REF!</v>
      </c>
      <c r="R454" s="33"/>
      <c r="S454" s="242">
        <f t="shared" si="428"/>
        <v>1</v>
      </c>
      <c r="T454" s="241" t="e">
        <f t="shared" ca="1" si="429"/>
        <v>#REF!</v>
      </c>
      <c r="U454" s="244" t="e">
        <f ca="1">IF(AND(INDEX(FlowCalConstA,MATCH(R447,FlowCalNumber,0),1,1)*T454^INDEX(FlowCalConstB,MATCH(R447,FlowCalNumber,0),1,1)&gt;INDEX(FlowCalLowSetting,MATCH(R447,FlowCalNumber,0),1,1), (INDEX(FlowCalConstA,MATCH(R447,FlowCalNumber,0),1,1)*T454^INDEX(FlowCalConstB,MATCH(R447,FlowCalNumber,0),1,1)&lt;INDEX(FlowCalHighSetting,MATCH(R447,FlowCalNumber,0),1,1))),INDEX(FlowCalConstA,MATCH(R447,FlowCalNumber,0),1,1)*T454^INDEX(FlowCalConstB,MATCH(R447,FlowCalNumber,0),1,1)," ")</f>
        <v>#REF!</v>
      </c>
      <c r="V454" s="33"/>
      <c r="W454" s="242">
        <f t="shared" si="430"/>
        <v>0.1</v>
      </c>
      <c r="X454" s="241" t="e">
        <f t="shared" ca="1" si="431"/>
        <v>#REF!</v>
      </c>
      <c r="Y454" s="243" t="e">
        <f ca="1">IF(AND(INDEX(FlowCalConstA,MATCH(V447,FlowCalNumber,0),1,1)*X454^INDEX(FlowCalConstB,MATCH(V447,FlowCalNumber,0),1,1)&gt;INDEX(FlowCalLowSetting,MATCH(V447,FlowCalNumber,0),1,1), (INDEX(FlowCalConstA,MATCH(V447,FlowCalNumber,0),1,1)*X454^INDEX(FlowCalConstB,MATCH(V447,FlowCalNumber,0),1,1)&lt;INDEX(FlowCalHighSetting,MATCH(V447,FlowCalNumber,0),1,1))),INDEX(FlowCalConstA,MATCH(V447,FlowCalNumber,0),1,1)*X454^INDEX(FlowCalConstB,MATCH(V447,FlowCalNumber,0),1,1)," ")</f>
        <v>#REF!</v>
      </c>
      <c r="Z454" s="33"/>
      <c r="AA454" s="242">
        <f t="shared" si="432"/>
        <v>0.9</v>
      </c>
      <c r="AB454" s="241" t="e">
        <f t="shared" ca="1" si="433"/>
        <v>#REF!</v>
      </c>
      <c r="AC454" s="243" t="e">
        <f ca="1">IF(AND(INDEX(FlowCalConstA,MATCH(Z447,FlowCalNumber,0),1,1)*AB454^INDEX(FlowCalConstB,MATCH(Z447,FlowCalNumber,0),1,1)&gt;INDEX(FlowCalLowSetting,MATCH(Z447,FlowCalNumber,0),1,1), (INDEX(FlowCalConstA,MATCH(Z447,FlowCalNumber,0),1,1)*AB454^INDEX(FlowCalConstB,MATCH(Z447,FlowCalNumber,0),1,1)&lt;INDEX(FlowCalHighSetting,MATCH(Z447,FlowCalNumber,0),1,1))),INDEX(FlowCalConstA,MATCH(Z447,FlowCalNumber,0),1,1)*AB454^INDEX(FlowCalConstB,MATCH(Z447,FlowCalNumber,0),1,1)," ")</f>
        <v>#REF!</v>
      </c>
      <c r="AD454" s="33"/>
      <c r="AE454" s="242">
        <f t="shared" si="434"/>
        <v>0.1</v>
      </c>
      <c r="AF454" s="241" t="e">
        <f t="shared" ca="1" si="435"/>
        <v>#REF!</v>
      </c>
      <c r="AG454" s="243" t="e">
        <f ca="1">IF(AND(INDEX(FlowCalConstA,MATCH(AD447,FlowCalNumber,0),1,1)*AF454^INDEX(FlowCalConstB,MATCH(AD447,FlowCalNumber,0),1,1)&gt;INDEX(FlowCalLowSetting,MATCH(AD447,FlowCalNumber,0),1,1), (INDEX(FlowCalConstA,MATCH(AD447,FlowCalNumber,0),1,1)*AF454^INDEX(FlowCalConstB,MATCH(AD447,FlowCalNumber,0),1,1)&lt;INDEX(FlowCalHighSetting,MATCH(AD447,FlowCalNumber,0),1,1))),INDEX(FlowCalConstA,MATCH(AD447,FlowCalNumber,0),1,1)*AF454^INDEX(FlowCalConstB,MATCH(AD447,FlowCalNumber,0),1,1)," ")</f>
        <v>#REF!</v>
      </c>
      <c r="AH454" s="33"/>
      <c r="AI454" s="242">
        <f t="shared" si="436"/>
        <v>0.9</v>
      </c>
      <c r="AJ454" s="241" t="e">
        <f t="shared" ca="1" si="437"/>
        <v>#REF!</v>
      </c>
      <c r="AK454" s="243" t="e">
        <f ca="1">IF(AND(INDEX(FlowCalConstA,MATCH(AH447,FlowCalNumber,0),1,1)*AJ454^INDEX(FlowCalConstB,MATCH(AH447,FlowCalNumber,0),1,1)&gt;INDEX(FlowCalLowSetting,MATCH(AH447,FlowCalNumber,0),1,1), (INDEX(FlowCalConstA,MATCH(AH447,FlowCalNumber,0),1,1)*AJ454^INDEX(FlowCalConstB,MATCH(AH447,FlowCalNumber,0),1,1)&lt;INDEX(FlowCalHighSetting,MATCH(AH447,FlowCalNumber,0),1,1))),INDEX(FlowCalConstA,MATCH(AH447,FlowCalNumber,0),1,1)*AJ454^INDEX(FlowCalConstB,MATCH(AH447,FlowCalNumber,0),1,1)," ")</f>
        <v>#REF!</v>
      </c>
      <c r="AL454" s="33"/>
      <c r="AM454" s="242"/>
      <c r="AN454" s="241"/>
      <c r="AO454" s="244"/>
      <c r="AQ454" s="242"/>
      <c r="AR454" s="241"/>
      <c r="AS454" s="244"/>
      <c r="AT454" s="33"/>
      <c r="AU454" s="242"/>
      <c r="AV454" s="241"/>
      <c r="AW454" s="244"/>
      <c r="AX454" s="33"/>
      <c r="AY454" s="242"/>
      <c r="AZ454" s="241"/>
      <c r="BA454" s="244"/>
      <c r="BB454" s="33"/>
      <c r="BC454" s="242"/>
      <c r="BD454" s="241"/>
      <c r="BE454" s="244"/>
      <c r="BF454" s="33"/>
      <c r="BG454" s="242"/>
      <c r="BH454" s="241"/>
      <c r="BI454" s="244"/>
      <c r="BJ454" s="33"/>
      <c r="BK454" s="242"/>
      <c r="BL454" s="241"/>
      <c r="BM454" s="244"/>
      <c r="BN454" s="33"/>
      <c r="BO454" s="242"/>
      <c r="BP454" s="241"/>
      <c r="BQ454" s="244"/>
      <c r="BR454" s="33"/>
      <c r="BS454" s="242"/>
      <c r="BT454" s="241"/>
      <c r="BU454" s="244"/>
      <c r="BV454" s="33"/>
      <c r="BW454" s="242"/>
      <c r="BX454" s="241"/>
      <c r="BY454" s="244"/>
      <c r="BZ454" s="33"/>
      <c r="CA454" s="242"/>
      <c r="CB454" s="241"/>
      <c r="CC454" s="244"/>
      <c r="CD454" s="243"/>
      <c r="CE454" s="243"/>
      <c r="CF454" s="243"/>
      <c r="CG454" s="243"/>
      <c r="CH454" s="243"/>
      <c r="CI454" s="243"/>
      <c r="CJ454" s="243"/>
      <c r="CK454" s="243"/>
      <c r="CL454" s="243"/>
      <c r="CM454" s="243"/>
      <c r="CN454" s="243"/>
      <c r="CO454" s="243"/>
      <c r="CP454" s="243"/>
      <c r="CQ454" s="243"/>
      <c r="CR454" s="243"/>
      <c r="CS454" s="243"/>
      <c r="CT454" s="243"/>
      <c r="CU454" s="243"/>
      <c r="CV454" s="243"/>
      <c r="CW454" s="243"/>
      <c r="CX454" s="243"/>
      <c r="CY454" s="243"/>
      <c r="CZ454" s="243"/>
      <c r="DA454" s="243"/>
      <c r="DB454" s="243"/>
      <c r="DC454" s="243"/>
      <c r="DD454" s="243"/>
      <c r="DE454" s="243"/>
      <c r="DF454" s="243"/>
      <c r="DG454" s="243"/>
      <c r="DH454" s="243"/>
      <c r="DI454" s="243"/>
      <c r="DJ454" s="243"/>
      <c r="DK454" s="243"/>
      <c r="DM454" s="242"/>
      <c r="DO454" s="243"/>
      <c r="DQ454" s="242"/>
      <c r="DS454" s="243"/>
      <c r="DU454" s="242"/>
      <c r="DW454" s="243"/>
      <c r="DY454" s="242"/>
      <c r="EA454" s="243"/>
    </row>
    <row r="455" spans="1:131">
      <c r="A455" s="20"/>
      <c r="B455" s="124" t="str">
        <f t="shared" si="422"/>
        <v/>
      </c>
      <c r="C455" s="235"/>
      <c r="D455" s="24">
        <f>'1% Wind'!$M$89</f>
        <v>7.6</v>
      </c>
      <c r="E455" s="90"/>
      <c r="F455" s="90"/>
      <c r="G455" s="79" t="e">
        <f ca="1">IF(I447=0.9743,$G454,MAX(G454/D454*D455,2))</f>
        <v>#REF!</v>
      </c>
      <c r="H455" s="121" t="e">
        <f t="shared" ca="1" si="423"/>
        <v>#REF!</v>
      </c>
      <c r="J455" s="33"/>
      <c r="K455" s="242">
        <f t="shared" si="424"/>
        <v>1</v>
      </c>
      <c r="L455" s="241" t="e">
        <f t="shared" ca="1" si="425"/>
        <v>#REF!</v>
      </c>
      <c r="M455" s="243" t="e">
        <f ca="1">IF(AND(INDEX(FlowCalConstA,MATCH(J447,FlowCalNumber,0),1,1)*L455^INDEX(FlowCalConstB,MATCH(J447,FlowCalNumber,0),1,1)&gt;INDEX(FlowCalLowSetting,MATCH(J447,FlowCalNumber,0),1,1), (INDEX(FlowCalConstA,MATCH(J447,FlowCalNumber,0),1,1)*L455^INDEX(FlowCalConstB,MATCH(J447,FlowCalNumber,0),1,1)&lt;INDEX(FlowCalHighSetting,MATCH(J447,FlowCalNumber,0),1,1))),INDEX(FlowCalConstA,MATCH(J447,FlowCalNumber,0),1,1)*L455^INDEX(FlowCalConstB,MATCH(J447,FlowCalNumber,0),1,1)," ")</f>
        <v>#REF!</v>
      </c>
      <c r="N455" s="33"/>
      <c r="O455" s="242">
        <f t="shared" si="426"/>
        <v>1</v>
      </c>
      <c r="P455" s="241" t="e">
        <f t="shared" ca="1" si="427"/>
        <v>#REF!</v>
      </c>
      <c r="Q455" s="243" t="e">
        <f ca="1">IF(AND(INDEX(FlowCalConstA,MATCH(N447,FlowCalNumber,0),1,1)*P455^INDEX(FlowCalConstB,MATCH(N447,FlowCalNumber,0),1,1)&gt;INDEX(FlowCalLowSetting,MATCH(N447,FlowCalNumber,0),1,1), (INDEX(FlowCalConstA,MATCH(N447,FlowCalNumber,0),1,1)*P455^INDEX(FlowCalConstB,MATCH(N447,FlowCalNumber,0),1,1)&lt;INDEX(FlowCalHighSetting,MATCH(N447,FlowCalNumber,0),1,1))),INDEX(FlowCalConstA,MATCH(N447,FlowCalNumber,0),1,1)*P455^INDEX(FlowCalConstB,MATCH(N447,FlowCalNumber,0),1,1)," ")</f>
        <v>#REF!</v>
      </c>
      <c r="R455" s="33"/>
      <c r="S455" s="242">
        <f t="shared" si="428"/>
        <v>1</v>
      </c>
      <c r="T455" s="241" t="e">
        <f t="shared" ca="1" si="429"/>
        <v>#REF!</v>
      </c>
      <c r="U455" s="244" t="e">
        <f ca="1">IF(AND(INDEX(FlowCalConstA,MATCH(R447,FlowCalNumber,0),1,1)*T455^INDEX(FlowCalConstB,MATCH(R447,FlowCalNumber,0),1,1)&gt;INDEX(FlowCalLowSetting,MATCH(R447,FlowCalNumber,0),1,1), (INDEX(FlowCalConstA,MATCH(R447,FlowCalNumber,0),1,1)*T455^INDEX(FlowCalConstB,MATCH(R447,FlowCalNumber,0),1,1)&lt;INDEX(FlowCalHighSetting,MATCH(R447,FlowCalNumber,0),1,1))),INDEX(FlowCalConstA,MATCH(R447,FlowCalNumber,0),1,1)*T455^INDEX(FlowCalConstB,MATCH(R447,FlowCalNumber,0),1,1)," ")</f>
        <v>#REF!</v>
      </c>
      <c r="V455" s="33"/>
      <c r="W455" s="242">
        <f t="shared" si="430"/>
        <v>0.1</v>
      </c>
      <c r="X455" s="241" t="e">
        <f t="shared" ca="1" si="431"/>
        <v>#REF!</v>
      </c>
      <c r="Y455" s="243" t="e">
        <f ca="1">IF(AND(INDEX(FlowCalConstA,MATCH(V447,FlowCalNumber,0),1,1)*X455^INDEX(FlowCalConstB,MATCH(V447,FlowCalNumber,0),1,1)&gt;INDEX(FlowCalLowSetting,MATCH(V447,FlowCalNumber,0),1,1), (INDEX(FlowCalConstA,MATCH(V447,FlowCalNumber,0),1,1)*X455^INDEX(FlowCalConstB,MATCH(V447,FlowCalNumber,0),1,1)&lt;INDEX(FlowCalHighSetting,MATCH(V447,FlowCalNumber,0),1,1))),INDEX(FlowCalConstA,MATCH(V447,FlowCalNumber,0),1,1)*X455^INDEX(FlowCalConstB,MATCH(V447,FlowCalNumber,0),1,1)," ")</f>
        <v>#REF!</v>
      </c>
      <c r="Z455" s="33"/>
      <c r="AA455" s="242">
        <f t="shared" si="432"/>
        <v>0.9</v>
      </c>
      <c r="AB455" s="241" t="e">
        <f t="shared" ca="1" si="433"/>
        <v>#REF!</v>
      </c>
      <c r="AC455" s="243" t="e">
        <f ca="1">IF(AND(INDEX(FlowCalConstA,MATCH(Z447,FlowCalNumber,0),1,1)*AB455^INDEX(FlowCalConstB,MATCH(Z447,FlowCalNumber,0),1,1)&gt;INDEX(FlowCalLowSetting,MATCH(Z447,FlowCalNumber,0),1,1), (INDEX(FlowCalConstA,MATCH(Z447,FlowCalNumber,0),1,1)*AB455^INDEX(FlowCalConstB,MATCH(Z447,FlowCalNumber,0),1,1)&lt;INDEX(FlowCalHighSetting,MATCH(Z447,FlowCalNumber,0),1,1))),INDEX(FlowCalConstA,MATCH(Z447,FlowCalNumber,0),1,1)*AB455^INDEX(FlowCalConstB,MATCH(Z447,FlowCalNumber,0),1,1)," ")</f>
        <v>#REF!</v>
      </c>
      <c r="AD455" s="33"/>
      <c r="AE455" s="242">
        <f t="shared" si="434"/>
        <v>0.1</v>
      </c>
      <c r="AF455" s="241" t="e">
        <f t="shared" ca="1" si="435"/>
        <v>#REF!</v>
      </c>
      <c r="AG455" s="243" t="e">
        <f ca="1">IF(AND(INDEX(FlowCalConstA,MATCH(AD447,FlowCalNumber,0),1,1)*AF455^INDEX(FlowCalConstB,MATCH(AD447,FlowCalNumber,0),1,1)&gt;INDEX(FlowCalLowSetting,MATCH(AD447,FlowCalNumber,0),1,1), (INDEX(FlowCalConstA,MATCH(AD447,FlowCalNumber,0),1,1)*AF455^INDEX(FlowCalConstB,MATCH(AD447,FlowCalNumber,0),1,1)&lt;INDEX(FlowCalHighSetting,MATCH(AD447,FlowCalNumber,0),1,1))),INDEX(FlowCalConstA,MATCH(AD447,FlowCalNumber,0),1,1)*AF455^INDEX(FlowCalConstB,MATCH(AD447,FlowCalNumber,0),1,1)," ")</f>
        <v>#REF!</v>
      </c>
      <c r="AH455" s="33"/>
      <c r="AI455" s="242">
        <f t="shared" si="436"/>
        <v>0.9</v>
      </c>
      <c r="AJ455" s="241" t="e">
        <f t="shared" ca="1" si="437"/>
        <v>#REF!</v>
      </c>
      <c r="AK455" s="243" t="e">
        <f ca="1">IF(AND(INDEX(FlowCalConstA,MATCH(AH447,FlowCalNumber,0),1,1)*AJ455^INDEX(FlowCalConstB,MATCH(AH447,FlowCalNumber,0),1,1)&gt;INDEX(FlowCalLowSetting,MATCH(AH447,FlowCalNumber,0),1,1), (INDEX(FlowCalConstA,MATCH(AH447,FlowCalNumber,0),1,1)*AJ455^INDEX(FlowCalConstB,MATCH(AH447,FlowCalNumber,0),1,1)&lt;INDEX(FlowCalHighSetting,MATCH(AH447,FlowCalNumber,0),1,1))),INDEX(FlowCalConstA,MATCH(AH447,FlowCalNumber,0),1,1)*AJ455^INDEX(FlowCalConstB,MATCH(AH447,FlowCalNumber,0),1,1)," ")</f>
        <v>#REF!</v>
      </c>
      <c r="AL455" s="33"/>
      <c r="AM455" s="242"/>
      <c r="AN455" s="241"/>
      <c r="AO455" s="244"/>
      <c r="AQ455" s="242"/>
      <c r="AR455" s="241"/>
      <c r="AS455" s="244"/>
      <c r="AT455" s="33"/>
      <c r="AU455" s="242"/>
      <c r="AV455" s="241"/>
      <c r="AW455" s="244"/>
      <c r="AX455" s="33"/>
      <c r="AY455" s="242"/>
      <c r="AZ455" s="241"/>
      <c r="BA455" s="244"/>
      <c r="BB455" s="33"/>
      <c r="BC455" s="242"/>
      <c r="BD455" s="241"/>
      <c r="BE455" s="244"/>
      <c r="BF455" s="33"/>
      <c r="BG455" s="242"/>
      <c r="BH455" s="241"/>
      <c r="BI455" s="244"/>
      <c r="BJ455" s="33"/>
      <c r="BK455" s="242"/>
      <c r="BL455" s="241"/>
      <c r="BM455" s="244"/>
      <c r="BN455" s="33"/>
      <c r="BO455" s="242"/>
      <c r="BP455" s="241"/>
      <c r="BQ455" s="244"/>
      <c r="BR455" s="33"/>
      <c r="BS455" s="242"/>
      <c r="BT455" s="241"/>
      <c r="BU455" s="244"/>
      <c r="BV455" s="33"/>
      <c r="BW455" s="242"/>
      <c r="BX455" s="241"/>
      <c r="BY455" s="244"/>
      <c r="BZ455" s="33"/>
      <c r="CA455" s="242"/>
      <c r="CB455" s="241"/>
      <c r="CC455" s="244"/>
      <c r="CD455" s="243"/>
      <c r="CE455" s="243"/>
      <c r="CF455" s="243"/>
      <c r="CG455" s="243"/>
      <c r="CH455" s="243"/>
      <c r="CI455" s="243"/>
      <c r="CJ455" s="243"/>
      <c r="CK455" s="243"/>
      <c r="CL455" s="243"/>
      <c r="CM455" s="243"/>
      <c r="CN455" s="243"/>
      <c r="CO455" s="243"/>
      <c r="CP455" s="243"/>
      <c r="CQ455" s="243"/>
      <c r="CR455" s="243"/>
      <c r="CS455" s="243"/>
      <c r="CT455" s="243"/>
      <c r="CU455" s="243"/>
      <c r="CV455" s="243"/>
      <c r="CW455" s="243"/>
      <c r="CX455" s="243"/>
      <c r="CY455" s="243"/>
      <c r="CZ455" s="243"/>
      <c r="DA455" s="243"/>
      <c r="DB455" s="243"/>
      <c r="DC455" s="243"/>
      <c r="DD455" s="243"/>
      <c r="DE455" s="243"/>
      <c r="DF455" s="243"/>
      <c r="DG455" s="243"/>
      <c r="DH455" s="243"/>
      <c r="DI455" s="243"/>
      <c r="DJ455" s="243"/>
      <c r="DK455" s="243"/>
      <c r="DM455" s="242"/>
      <c r="DO455" s="243"/>
      <c r="DQ455" s="242"/>
      <c r="DS455" s="243"/>
      <c r="DU455" s="242"/>
      <c r="DW455" s="243"/>
      <c r="DY455" s="242"/>
      <c r="EA455" s="243"/>
    </row>
    <row r="456" spans="1:131">
      <c r="A456" s="20"/>
      <c r="B456" s="124" t="str">
        <f t="shared" si="422"/>
        <v/>
      </c>
      <c r="C456" s="235"/>
      <c r="D456" s="24">
        <f>'1% Wind'!$M$90</f>
        <v>5.7</v>
      </c>
      <c r="E456" s="90"/>
      <c r="F456" s="90"/>
      <c r="G456" s="79" t="e">
        <f ca="1">IF(I447=0.9743,$G455,MAX(G455/D455*D456,2))</f>
        <v>#REF!</v>
      </c>
      <c r="H456" s="121" t="e">
        <f t="shared" ca="1" si="423"/>
        <v>#REF!</v>
      </c>
      <c r="J456" s="33"/>
      <c r="K456" s="242">
        <f t="shared" si="424"/>
        <v>1</v>
      </c>
      <c r="L456" s="241" t="e">
        <f t="shared" ca="1" si="425"/>
        <v>#REF!</v>
      </c>
      <c r="M456" s="243" t="e">
        <f ca="1">IF(AND(INDEX(FlowCalConstA,MATCH(J447,FlowCalNumber,0),1,1)*L456^INDEX(FlowCalConstB,MATCH(J447,FlowCalNumber,0),1,1)&gt;INDEX(FlowCalLowSetting,MATCH(J447,FlowCalNumber,0),1,1), (INDEX(FlowCalConstA,MATCH(J447,FlowCalNumber,0),1,1)*L456^INDEX(FlowCalConstB,MATCH(J447,FlowCalNumber,0),1,1)&lt;INDEX(FlowCalHighSetting,MATCH(J447,FlowCalNumber,0),1,1))),INDEX(FlowCalConstA,MATCH(J447,FlowCalNumber,0),1,1)*L456^INDEX(FlowCalConstB,MATCH(J447,FlowCalNumber,0),1,1)," ")</f>
        <v>#REF!</v>
      </c>
      <c r="N456" s="33"/>
      <c r="O456" s="242">
        <f t="shared" si="426"/>
        <v>1</v>
      </c>
      <c r="P456" s="241" t="e">
        <f t="shared" ca="1" si="427"/>
        <v>#REF!</v>
      </c>
      <c r="Q456" s="243" t="e">
        <f ca="1">IF(AND(INDEX(FlowCalConstA,MATCH(N447,FlowCalNumber,0),1,1)*P456^INDEX(FlowCalConstB,MATCH(N447,FlowCalNumber,0),1,1)&gt;INDEX(FlowCalLowSetting,MATCH(N447,FlowCalNumber,0),1,1), (INDEX(FlowCalConstA,MATCH(N447,FlowCalNumber,0),1,1)*P456^INDEX(FlowCalConstB,MATCH(N447,FlowCalNumber,0),1,1)&lt;INDEX(FlowCalHighSetting,MATCH(N447,FlowCalNumber,0),1,1))),INDEX(FlowCalConstA,MATCH(N447,FlowCalNumber,0),1,1)*P456^INDEX(FlowCalConstB,MATCH(N447,FlowCalNumber,0),1,1)," ")</f>
        <v>#REF!</v>
      </c>
      <c r="R456" s="33"/>
      <c r="S456" s="242">
        <f t="shared" si="428"/>
        <v>1</v>
      </c>
      <c r="T456" s="241" t="e">
        <f t="shared" ca="1" si="429"/>
        <v>#REF!</v>
      </c>
      <c r="U456" s="244" t="e">
        <f ca="1">IF(AND(INDEX(FlowCalConstA,MATCH(R447,FlowCalNumber,0),1,1)*T456^INDEX(FlowCalConstB,MATCH(R447,FlowCalNumber,0),1,1)&gt;INDEX(FlowCalLowSetting,MATCH(R447,FlowCalNumber,0),1,1), (INDEX(FlowCalConstA,MATCH(R447,FlowCalNumber,0),1,1)*T456^INDEX(FlowCalConstB,MATCH(R447,FlowCalNumber,0),1,1)&lt;INDEX(FlowCalHighSetting,MATCH(R447,FlowCalNumber,0),1,1))),INDEX(FlowCalConstA,MATCH(R447,FlowCalNumber,0),1,1)*T456^INDEX(FlowCalConstB,MATCH(R447,FlowCalNumber,0),1,1)," ")</f>
        <v>#REF!</v>
      </c>
      <c r="V456" s="33"/>
      <c r="W456" s="242">
        <f t="shared" si="430"/>
        <v>0.1</v>
      </c>
      <c r="X456" s="241" t="e">
        <f t="shared" ca="1" si="431"/>
        <v>#REF!</v>
      </c>
      <c r="Y456" s="243" t="e">
        <f ca="1">IF(AND(INDEX(FlowCalConstA,MATCH(V447,FlowCalNumber,0),1,1)*X456^INDEX(FlowCalConstB,MATCH(V447,FlowCalNumber,0),1,1)&gt;INDEX(FlowCalLowSetting,MATCH(V447,FlowCalNumber,0),1,1), (INDEX(FlowCalConstA,MATCH(V447,FlowCalNumber,0),1,1)*X456^INDEX(FlowCalConstB,MATCH(V447,FlowCalNumber,0),1,1)&lt;INDEX(FlowCalHighSetting,MATCH(V447,FlowCalNumber,0),1,1))),INDEX(FlowCalConstA,MATCH(V447,FlowCalNumber,0),1,1)*X456^INDEX(FlowCalConstB,MATCH(V447,FlowCalNumber,0),1,1)," ")</f>
        <v>#REF!</v>
      </c>
      <c r="Z456" s="33"/>
      <c r="AA456" s="242">
        <f t="shared" si="432"/>
        <v>0.9</v>
      </c>
      <c r="AB456" s="241" t="e">
        <f t="shared" ca="1" si="433"/>
        <v>#REF!</v>
      </c>
      <c r="AC456" s="243" t="e">
        <f ca="1">IF(AND(INDEX(FlowCalConstA,MATCH(Z447,FlowCalNumber,0),1,1)*AB456^INDEX(FlowCalConstB,MATCH(Z447,FlowCalNumber,0),1,1)&gt;INDEX(FlowCalLowSetting,MATCH(Z447,FlowCalNumber,0),1,1), (INDEX(FlowCalConstA,MATCH(Z447,FlowCalNumber,0),1,1)*AB456^INDEX(FlowCalConstB,MATCH(Z447,FlowCalNumber,0),1,1)&lt;INDEX(FlowCalHighSetting,MATCH(Z447,FlowCalNumber,0),1,1))),INDEX(FlowCalConstA,MATCH(Z447,FlowCalNumber,0),1,1)*AB456^INDEX(FlowCalConstB,MATCH(Z447,FlowCalNumber,0),1,1)," ")</f>
        <v>#REF!</v>
      </c>
      <c r="AD456" s="33"/>
      <c r="AE456" s="242">
        <f t="shared" si="434"/>
        <v>0.1</v>
      </c>
      <c r="AF456" s="241" t="e">
        <f t="shared" ca="1" si="435"/>
        <v>#REF!</v>
      </c>
      <c r="AG456" s="243" t="e">
        <f ca="1">IF(AND(INDEX(FlowCalConstA,MATCH(AD447,FlowCalNumber,0),1,1)*AF456^INDEX(FlowCalConstB,MATCH(AD447,FlowCalNumber,0),1,1)&gt;INDEX(FlowCalLowSetting,MATCH(AD447,FlowCalNumber,0),1,1), (INDEX(FlowCalConstA,MATCH(AD447,FlowCalNumber,0),1,1)*AF456^INDEX(FlowCalConstB,MATCH(AD447,FlowCalNumber,0),1,1)&lt;INDEX(FlowCalHighSetting,MATCH(AD447,FlowCalNumber,0),1,1))),INDEX(FlowCalConstA,MATCH(AD447,FlowCalNumber,0),1,1)*AF456^INDEX(FlowCalConstB,MATCH(AD447,FlowCalNumber,0),1,1)," ")</f>
        <v>#REF!</v>
      </c>
      <c r="AH456" s="33"/>
      <c r="AI456" s="242">
        <f t="shared" si="436"/>
        <v>0.9</v>
      </c>
      <c r="AJ456" s="241" t="e">
        <f t="shared" ca="1" si="437"/>
        <v>#REF!</v>
      </c>
      <c r="AK456" s="243" t="e">
        <f ca="1">IF(AND(INDEX(FlowCalConstA,MATCH(AH447,FlowCalNumber,0),1,1)*AJ456^INDEX(FlowCalConstB,MATCH(AH447,FlowCalNumber,0),1,1)&gt;INDEX(FlowCalLowSetting,MATCH(AH447,FlowCalNumber,0),1,1), (INDEX(FlowCalConstA,MATCH(AH447,FlowCalNumber,0),1,1)*AJ456^INDEX(FlowCalConstB,MATCH(AH447,FlowCalNumber,0),1,1)&lt;INDEX(FlowCalHighSetting,MATCH(AH447,FlowCalNumber,0),1,1))),INDEX(FlowCalConstA,MATCH(AH447,FlowCalNumber,0),1,1)*AJ456^INDEX(FlowCalConstB,MATCH(AH447,FlowCalNumber,0),1,1)," ")</f>
        <v>#REF!</v>
      </c>
      <c r="AL456" s="33"/>
      <c r="AM456" s="242"/>
      <c r="AN456" s="241"/>
      <c r="AO456" s="244"/>
      <c r="AQ456" s="242"/>
      <c r="AR456" s="241"/>
      <c r="AS456" s="244"/>
      <c r="AT456" s="33"/>
      <c r="AU456" s="242"/>
      <c r="AV456" s="241"/>
      <c r="AW456" s="244"/>
      <c r="AX456" s="33"/>
      <c r="AY456" s="242"/>
      <c r="AZ456" s="241"/>
      <c r="BA456" s="244"/>
      <c r="BB456" s="33"/>
      <c r="BC456" s="242"/>
      <c r="BD456" s="241"/>
      <c r="BE456" s="244"/>
      <c r="BF456" s="33"/>
      <c r="BG456" s="242"/>
      <c r="BH456" s="241"/>
      <c r="BI456" s="244"/>
      <c r="BJ456" s="33"/>
      <c r="BK456" s="242"/>
      <c r="BL456" s="241"/>
      <c r="BM456" s="244"/>
      <c r="BN456" s="33"/>
      <c r="BO456" s="242"/>
      <c r="BP456" s="241"/>
      <c r="BQ456" s="244"/>
      <c r="BR456" s="33"/>
      <c r="BS456" s="242"/>
      <c r="BT456" s="241"/>
      <c r="BU456" s="244"/>
      <c r="BV456" s="33"/>
      <c r="BW456" s="242"/>
      <c r="BX456" s="241"/>
      <c r="BY456" s="244"/>
      <c r="BZ456" s="33"/>
      <c r="CA456" s="242"/>
      <c r="CB456" s="241"/>
      <c r="CC456" s="244"/>
      <c r="CD456" s="243"/>
      <c r="CE456" s="243"/>
      <c r="CF456" s="243"/>
      <c r="CG456" s="243"/>
      <c r="CH456" s="243"/>
      <c r="CI456" s="243"/>
      <c r="CJ456" s="243"/>
      <c r="CK456" s="243"/>
      <c r="CL456" s="243"/>
      <c r="CM456" s="243"/>
      <c r="CN456" s="243"/>
      <c r="CO456" s="243"/>
      <c r="CP456" s="243"/>
      <c r="CQ456" s="243"/>
      <c r="CR456" s="243"/>
      <c r="CS456" s="243"/>
      <c r="CT456" s="243"/>
      <c r="CU456" s="243"/>
      <c r="CV456" s="243"/>
      <c r="CW456" s="243"/>
      <c r="CX456" s="243"/>
      <c r="CY456" s="243"/>
      <c r="CZ456" s="243"/>
      <c r="DA456" s="243"/>
      <c r="DB456" s="243"/>
      <c r="DC456" s="243"/>
      <c r="DD456" s="243"/>
      <c r="DE456" s="243"/>
      <c r="DF456" s="243"/>
      <c r="DG456" s="243"/>
      <c r="DH456" s="243"/>
      <c r="DI456" s="243"/>
      <c r="DJ456" s="243"/>
      <c r="DK456" s="243"/>
      <c r="DM456" s="242"/>
      <c r="DO456" s="243"/>
      <c r="DQ456" s="242"/>
      <c r="DS456" s="243"/>
      <c r="DU456" s="242"/>
      <c r="DW456" s="243"/>
      <c r="DY456" s="242"/>
      <c r="EA456" s="243"/>
    </row>
    <row r="457" spans="1:131">
      <c r="A457" s="20"/>
      <c r="B457" s="124" t="str">
        <f t="shared" si="422"/>
        <v/>
      </c>
      <c r="C457" s="235"/>
      <c r="D457" s="24">
        <f>'1% Wind'!$M$91</f>
        <v>4.2</v>
      </c>
      <c r="E457" s="90"/>
      <c r="F457" s="90"/>
      <c r="G457" s="79" t="e">
        <f ca="1">IF(I447=0.9743,$G456,MAX(G456/D456*D457,2))</f>
        <v>#REF!</v>
      </c>
      <c r="H457" s="121" t="e">
        <f t="shared" ca="1" si="423"/>
        <v>#REF!</v>
      </c>
      <c r="J457" s="33"/>
      <c r="K457" s="242">
        <f t="shared" si="424"/>
        <v>1</v>
      </c>
      <c r="L457" s="241" t="e">
        <f t="shared" ca="1" si="425"/>
        <v>#REF!</v>
      </c>
      <c r="M457" s="243" t="e">
        <f ca="1">IF(AND(INDEX(FlowCalConstA,MATCH(J447,FlowCalNumber,0),1,1)*L457^INDEX(FlowCalConstB,MATCH(J447,FlowCalNumber,0),1,1)&gt;INDEX(FlowCalLowSetting,MATCH(J447,FlowCalNumber,0),1,1), (INDEX(FlowCalConstA,MATCH(J447,FlowCalNumber,0),1,1)*L457^INDEX(FlowCalConstB,MATCH(J447,FlowCalNumber,0),1,1)&lt;INDEX(FlowCalHighSetting,MATCH(J447,FlowCalNumber,0),1,1))),INDEX(FlowCalConstA,MATCH(J447,FlowCalNumber,0),1,1)*L457^INDEX(FlowCalConstB,MATCH(J447,FlowCalNumber,0),1,1)," ")</f>
        <v>#REF!</v>
      </c>
      <c r="N457" s="33"/>
      <c r="O457" s="242">
        <f t="shared" si="426"/>
        <v>1</v>
      </c>
      <c r="P457" s="241" t="e">
        <f t="shared" ca="1" si="427"/>
        <v>#REF!</v>
      </c>
      <c r="Q457" s="243" t="e">
        <f ca="1">IF(AND(INDEX(FlowCalConstA,MATCH(N447,FlowCalNumber,0),1,1)*P457^INDEX(FlowCalConstB,MATCH(N447,FlowCalNumber,0),1,1)&gt;INDEX(FlowCalLowSetting,MATCH(N447,FlowCalNumber,0),1,1), (INDEX(FlowCalConstA,MATCH(N447,FlowCalNumber,0),1,1)*P457^INDEX(FlowCalConstB,MATCH(N447,FlowCalNumber,0),1,1)&lt;INDEX(FlowCalHighSetting,MATCH(N447,FlowCalNumber,0),1,1))),INDEX(FlowCalConstA,MATCH(N447,FlowCalNumber,0),1,1)*P457^INDEX(FlowCalConstB,MATCH(N447,FlowCalNumber,0),1,1)," ")</f>
        <v>#REF!</v>
      </c>
      <c r="R457" s="33"/>
      <c r="S457" s="242">
        <f t="shared" si="428"/>
        <v>1</v>
      </c>
      <c r="T457" s="241" t="e">
        <f t="shared" ca="1" si="429"/>
        <v>#REF!</v>
      </c>
      <c r="U457" s="244" t="e">
        <f ca="1">IF(AND(INDEX(FlowCalConstA,MATCH(R447,FlowCalNumber,0),1,1)*T457^INDEX(FlowCalConstB,MATCH(R447,FlowCalNumber,0),1,1)&gt;INDEX(FlowCalLowSetting,MATCH(R447,FlowCalNumber,0),1,1), (INDEX(FlowCalConstA,MATCH(R447,FlowCalNumber,0),1,1)*T457^INDEX(FlowCalConstB,MATCH(R447,FlowCalNumber,0),1,1)&lt;INDEX(FlowCalHighSetting,MATCH(R447,FlowCalNumber,0),1,1))),INDEX(FlowCalConstA,MATCH(R447,FlowCalNumber,0),1,1)*T457^INDEX(FlowCalConstB,MATCH(R447,FlowCalNumber,0),1,1)," ")</f>
        <v>#REF!</v>
      </c>
      <c r="V457" s="33"/>
      <c r="W457" s="242">
        <f t="shared" si="430"/>
        <v>0.1</v>
      </c>
      <c r="X457" s="241" t="e">
        <f t="shared" ca="1" si="431"/>
        <v>#REF!</v>
      </c>
      <c r="Y457" s="243" t="e">
        <f ca="1">IF(AND(INDEX(FlowCalConstA,MATCH(V447,FlowCalNumber,0),1,1)*X457^INDEX(FlowCalConstB,MATCH(V447,FlowCalNumber,0),1,1)&gt;INDEX(FlowCalLowSetting,MATCH(V447,FlowCalNumber,0),1,1), (INDEX(FlowCalConstA,MATCH(V447,FlowCalNumber,0),1,1)*X457^INDEX(FlowCalConstB,MATCH(V447,FlowCalNumber,0),1,1)&lt;INDEX(FlowCalHighSetting,MATCH(V447,FlowCalNumber,0),1,1))),INDEX(FlowCalConstA,MATCH(V447,FlowCalNumber,0),1,1)*X457^INDEX(FlowCalConstB,MATCH(V447,FlowCalNumber,0),1,1)," ")</f>
        <v>#REF!</v>
      </c>
      <c r="Z457" s="33"/>
      <c r="AA457" s="242">
        <f t="shared" si="432"/>
        <v>0.9</v>
      </c>
      <c r="AB457" s="241" t="e">
        <f t="shared" ca="1" si="433"/>
        <v>#REF!</v>
      </c>
      <c r="AC457" s="243" t="e">
        <f ca="1">IF(AND(INDEX(FlowCalConstA,MATCH(Z447,FlowCalNumber,0),1,1)*AB457^INDEX(FlowCalConstB,MATCH(Z447,FlowCalNumber,0),1,1)&gt;INDEX(FlowCalLowSetting,MATCH(Z447,FlowCalNumber,0),1,1), (INDEX(FlowCalConstA,MATCH(Z447,FlowCalNumber,0),1,1)*AB457^INDEX(FlowCalConstB,MATCH(Z447,FlowCalNumber,0),1,1)&lt;INDEX(FlowCalHighSetting,MATCH(Z447,FlowCalNumber,0),1,1))),INDEX(FlowCalConstA,MATCH(Z447,FlowCalNumber,0),1,1)*AB457^INDEX(FlowCalConstB,MATCH(Z447,FlowCalNumber,0),1,1)," ")</f>
        <v>#REF!</v>
      </c>
      <c r="AD457" s="33"/>
      <c r="AE457" s="242">
        <f t="shared" si="434"/>
        <v>0.1</v>
      </c>
      <c r="AF457" s="241" t="e">
        <f t="shared" ca="1" si="435"/>
        <v>#REF!</v>
      </c>
      <c r="AG457" s="243" t="e">
        <f ca="1">IF(AND(INDEX(FlowCalConstA,MATCH(AD447,FlowCalNumber,0),1,1)*AF457^INDEX(FlowCalConstB,MATCH(AD447,FlowCalNumber,0),1,1)&gt;INDEX(FlowCalLowSetting,MATCH(AD447,FlowCalNumber,0),1,1), (INDEX(FlowCalConstA,MATCH(AD447,FlowCalNumber,0),1,1)*AF457^INDEX(FlowCalConstB,MATCH(AD447,FlowCalNumber,0),1,1)&lt;INDEX(FlowCalHighSetting,MATCH(AD447,FlowCalNumber,0),1,1))),INDEX(FlowCalConstA,MATCH(AD447,FlowCalNumber,0),1,1)*AF457^INDEX(FlowCalConstB,MATCH(AD447,FlowCalNumber,0),1,1)," ")</f>
        <v>#REF!</v>
      </c>
      <c r="AH457" s="33"/>
      <c r="AI457" s="242">
        <f t="shared" si="436"/>
        <v>0.9</v>
      </c>
      <c r="AJ457" s="241" t="e">
        <f t="shared" ca="1" si="437"/>
        <v>#REF!</v>
      </c>
      <c r="AK457" s="243" t="e">
        <f ca="1">IF(AND(INDEX(FlowCalConstA,MATCH(AH447,FlowCalNumber,0),1,1)*AJ457^INDEX(FlowCalConstB,MATCH(AH447,FlowCalNumber,0),1,1)&gt;INDEX(FlowCalLowSetting,MATCH(AH447,FlowCalNumber,0),1,1), (INDEX(FlowCalConstA,MATCH(AH447,FlowCalNumber,0),1,1)*AJ457^INDEX(FlowCalConstB,MATCH(AH447,FlowCalNumber,0),1,1)&lt;INDEX(FlowCalHighSetting,MATCH(AH447,FlowCalNumber,0),1,1))),INDEX(FlowCalConstA,MATCH(AH447,FlowCalNumber,0),1,1)*AJ457^INDEX(FlowCalConstB,MATCH(AH447,FlowCalNumber,0),1,1)," ")</f>
        <v>#REF!</v>
      </c>
      <c r="AL457" s="33"/>
      <c r="AM457" s="242"/>
      <c r="AN457" s="241"/>
      <c r="AO457" s="244"/>
      <c r="AQ457" s="242"/>
      <c r="AR457" s="241"/>
      <c r="AS457" s="244"/>
      <c r="AT457" s="33"/>
      <c r="AU457" s="242"/>
      <c r="AV457" s="241"/>
      <c r="AW457" s="244"/>
      <c r="AX457" s="33"/>
      <c r="AY457" s="242"/>
      <c r="AZ457" s="241"/>
      <c r="BA457" s="244"/>
      <c r="BB457" s="33"/>
      <c r="BC457" s="242"/>
      <c r="BD457" s="241"/>
      <c r="BE457" s="244"/>
      <c r="BF457" s="33"/>
      <c r="BG457" s="242"/>
      <c r="BH457" s="241"/>
      <c r="BI457" s="244"/>
      <c r="BJ457" s="33"/>
      <c r="BK457" s="242"/>
      <c r="BL457" s="241"/>
      <c r="BM457" s="244"/>
      <c r="BN457" s="33"/>
      <c r="BO457" s="242"/>
      <c r="BP457" s="241"/>
      <c r="BQ457" s="244"/>
      <c r="BR457" s="33"/>
      <c r="BS457" s="242"/>
      <c r="BT457" s="241"/>
      <c r="BU457" s="244"/>
      <c r="BV457" s="33"/>
      <c r="BW457" s="242"/>
      <c r="BX457" s="241"/>
      <c r="BY457" s="244"/>
      <c r="BZ457" s="33"/>
      <c r="CA457" s="242"/>
      <c r="CB457" s="241"/>
      <c r="CC457" s="244"/>
      <c r="CD457" s="243"/>
      <c r="CE457" s="243"/>
      <c r="CF457" s="243"/>
      <c r="CG457" s="243"/>
      <c r="CH457" s="243"/>
      <c r="CI457" s="243"/>
      <c r="CJ457" s="243"/>
      <c r="CK457" s="243"/>
      <c r="CL457" s="243"/>
      <c r="CM457" s="243"/>
      <c r="CN457" s="243"/>
      <c r="CO457" s="243"/>
      <c r="CP457" s="243"/>
      <c r="CQ457" s="243"/>
      <c r="CR457" s="243"/>
      <c r="CS457" s="243"/>
      <c r="CT457" s="243"/>
      <c r="CU457" s="243"/>
      <c r="CV457" s="243"/>
      <c r="CW457" s="243"/>
      <c r="CX457" s="243"/>
      <c r="CY457" s="243"/>
      <c r="CZ457" s="243"/>
      <c r="DA457" s="243"/>
      <c r="DB457" s="243"/>
      <c r="DC457" s="243"/>
      <c r="DD457" s="243"/>
      <c r="DE457" s="243"/>
      <c r="DF457" s="243"/>
      <c r="DG457" s="243"/>
      <c r="DH457" s="243"/>
      <c r="DI457" s="243"/>
      <c r="DJ457" s="243"/>
      <c r="DK457" s="243"/>
      <c r="DM457" s="242"/>
      <c r="DO457" s="243"/>
      <c r="DQ457" s="242"/>
      <c r="DS457" s="243"/>
      <c r="DU457" s="242"/>
      <c r="DW457" s="243"/>
      <c r="DY457" s="242"/>
      <c r="EA457" s="243"/>
    </row>
    <row r="458" spans="1:131">
      <c r="A458" s="20"/>
      <c r="B458" s="124" t="str">
        <f t="shared" si="422"/>
        <v/>
      </c>
      <c r="C458" s="235"/>
      <c r="D458" s="24">
        <f>'1% Wind'!$M$92</f>
        <v>3.2</v>
      </c>
      <c r="E458" s="90"/>
      <c r="F458" s="90"/>
      <c r="G458" s="79" t="e">
        <f ca="1">IF(I447=0.9743,$G457,MAX(G457/D457*D458,2))</f>
        <v>#REF!</v>
      </c>
      <c r="H458" s="121" t="e">
        <f t="shared" ca="1" si="423"/>
        <v>#REF!</v>
      </c>
      <c r="J458" s="33"/>
      <c r="K458" s="242">
        <f t="shared" si="424"/>
        <v>1</v>
      </c>
      <c r="L458" s="241" t="e">
        <f t="shared" ca="1" si="425"/>
        <v>#REF!</v>
      </c>
      <c r="M458" s="243" t="e">
        <f ca="1">IF(AND(INDEX(FlowCalConstA,MATCH(J447,FlowCalNumber,0),1,1)*L458^INDEX(FlowCalConstB,MATCH(J447,FlowCalNumber,0),1,1)&gt;INDEX(FlowCalLowSetting,MATCH(J447,FlowCalNumber,0),1,1), (INDEX(FlowCalConstA,MATCH(J447,FlowCalNumber,0),1,1)*L458^INDEX(FlowCalConstB,MATCH(J447,FlowCalNumber,0),1,1)&lt;INDEX(FlowCalHighSetting,MATCH(J447,FlowCalNumber,0),1,1))),INDEX(FlowCalConstA,MATCH(J447,FlowCalNumber,0),1,1)*L458^INDEX(FlowCalConstB,MATCH(J447,FlowCalNumber,0),1,1)," ")</f>
        <v>#REF!</v>
      </c>
      <c r="N458" s="33"/>
      <c r="O458" s="242">
        <f t="shared" si="426"/>
        <v>1</v>
      </c>
      <c r="P458" s="241" t="e">
        <f t="shared" ca="1" si="427"/>
        <v>#REF!</v>
      </c>
      <c r="Q458" s="243" t="e">
        <f ca="1">IF(AND(INDEX(FlowCalConstA,MATCH(N447,FlowCalNumber,0),1,1)*P458^INDEX(FlowCalConstB,MATCH(N447,FlowCalNumber,0),1,1)&gt;INDEX(FlowCalLowSetting,MATCH(N447,FlowCalNumber,0),1,1), (INDEX(FlowCalConstA,MATCH(N447,FlowCalNumber,0),1,1)*P458^INDEX(FlowCalConstB,MATCH(N447,FlowCalNumber,0),1,1)&lt;INDEX(FlowCalHighSetting,MATCH(N447,FlowCalNumber,0),1,1))),INDEX(FlowCalConstA,MATCH(N447,FlowCalNumber,0),1,1)*P458^INDEX(FlowCalConstB,MATCH(N447,FlowCalNumber,0),1,1)," ")</f>
        <v>#REF!</v>
      </c>
      <c r="R458" s="33"/>
      <c r="S458" s="242">
        <f t="shared" si="428"/>
        <v>1</v>
      </c>
      <c r="T458" s="241" t="e">
        <f t="shared" ca="1" si="429"/>
        <v>#REF!</v>
      </c>
      <c r="U458" s="244" t="e">
        <f ca="1">IF(AND(INDEX(FlowCalConstA,MATCH(R447,FlowCalNumber,0),1,1)*T458^INDEX(FlowCalConstB,MATCH(R447,FlowCalNumber,0),1,1)&gt;INDEX(FlowCalLowSetting,MATCH(R447,FlowCalNumber,0),1,1), (INDEX(FlowCalConstA,MATCH(R447,FlowCalNumber,0),1,1)*T458^INDEX(FlowCalConstB,MATCH(R447,FlowCalNumber,0),1,1)&lt;INDEX(FlowCalHighSetting,MATCH(R447,FlowCalNumber,0),1,1))),INDEX(FlowCalConstA,MATCH(R447,FlowCalNumber,0),1,1)*T458^INDEX(FlowCalConstB,MATCH(R447,FlowCalNumber,0),1,1)," ")</f>
        <v>#REF!</v>
      </c>
      <c r="V458" s="33"/>
      <c r="W458" s="242">
        <f t="shared" si="430"/>
        <v>0.1</v>
      </c>
      <c r="X458" s="241" t="e">
        <f t="shared" ca="1" si="431"/>
        <v>#REF!</v>
      </c>
      <c r="Y458" s="243" t="e">
        <f ca="1">IF(AND(INDEX(FlowCalConstA,MATCH(V447,FlowCalNumber,0),1,1)*X458^INDEX(FlowCalConstB,MATCH(V447,FlowCalNumber,0),1,1)&gt;INDEX(FlowCalLowSetting,MATCH(V447,FlowCalNumber,0),1,1), (INDEX(FlowCalConstA,MATCH(V447,FlowCalNumber,0),1,1)*X458^INDEX(FlowCalConstB,MATCH(V447,FlowCalNumber,0),1,1)&lt;INDEX(FlowCalHighSetting,MATCH(V447,FlowCalNumber,0),1,1))),INDEX(FlowCalConstA,MATCH(V447,FlowCalNumber,0),1,1)*X458^INDEX(FlowCalConstB,MATCH(V447,FlowCalNumber,0),1,1)," ")</f>
        <v>#REF!</v>
      </c>
      <c r="Z458" s="33"/>
      <c r="AA458" s="242">
        <f t="shared" si="432"/>
        <v>0.9</v>
      </c>
      <c r="AB458" s="241" t="e">
        <f t="shared" ca="1" si="433"/>
        <v>#REF!</v>
      </c>
      <c r="AC458" s="243" t="e">
        <f ca="1">IF(AND(INDEX(FlowCalConstA,MATCH(Z447,FlowCalNumber,0),1,1)*AB458^INDEX(FlowCalConstB,MATCH(Z447,FlowCalNumber,0),1,1)&gt;INDEX(FlowCalLowSetting,MATCH(Z447,FlowCalNumber,0),1,1), (INDEX(FlowCalConstA,MATCH(Z447,FlowCalNumber,0),1,1)*AB458^INDEX(FlowCalConstB,MATCH(Z447,FlowCalNumber,0),1,1)&lt;INDEX(FlowCalHighSetting,MATCH(Z447,FlowCalNumber,0),1,1))),INDEX(FlowCalConstA,MATCH(Z447,FlowCalNumber,0),1,1)*AB458^INDEX(FlowCalConstB,MATCH(Z447,FlowCalNumber,0),1,1)," ")</f>
        <v>#REF!</v>
      </c>
      <c r="AD458" s="33"/>
      <c r="AE458" s="242">
        <f t="shared" si="434"/>
        <v>0.1</v>
      </c>
      <c r="AF458" s="241" t="e">
        <f t="shared" ca="1" si="435"/>
        <v>#REF!</v>
      </c>
      <c r="AG458" s="243" t="e">
        <f ca="1">IF(AND(INDEX(FlowCalConstA,MATCH(AD447,FlowCalNumber,0),1,1)*AF458^INDEX(FlowCalConstB,MATCH(AD447,FlowCalNumber,0),1,1)&gt;INDEX(FlowCalLowSetting,MATCH(AD447,FlowCalNumber,0),1,1), (INDEX(FlowCalConstA,MATCH(AD447,FlowCalNumber,0),1,1)*AF458^INDEX(FlowCalConstB,MATCH(AD447,FlowCalNumber,0),1,1)&lt;INDEX(FlowCalHighSetting,MATCH(AD447,FlowCalNumber,0),1,1))),INDEX(FlowCalConstA,MATCH(AD447,FlowCalNumber,0),1,1)*AF458^INDEX(FlowCalConstB,MATCH(AD447,FlowCalNumber,0),1,1)," ")</f>
        <v>#REF!</v>
      </c>
      <c r="AH458" s="33"/>
      <c r="AI458" s="242">
        <f t="shared" si="436"/>
        <v>0.9</v>
      </c>
      <c r="AJ458" s="241" t="e">
        <f t="shared" ca="1" si="437"/>
        <v>#REF!</v>
      </c>
      <c r="AK458" s="243" t="e">
        <f ca="1">IF(AND(INDEX(FlowCalConstA,MATCH(AH447,FlowCalNumber,0),1,1)*AJ458^INDEX(FlowCalConstB,MATCH(AH447,FlowCalNumber,0),1,1)&gt;INDEX(FlowCalLowSetting,MATCH(AH447,FlowCalNumber,0),1,1), (INDEX(FlowCalConstA,MATCH(AH447,FlowCalNumber,0),1,1)*AJ458^INDEX(FlowCalConstB,MATCH(AH447,FlowCalNumber,0),1,1)&lt;INDEX(FlowCalHighSetting,MATCH(AH447,FlowCalNumber,0),1,1))),INDEX(FlowCalConstA,MATCH(AH447,FlowCalNumber,0),1,1)*AJ458^INDEX(FlowCalConstB,MATCH(AH447,FlowCalNumber,0),1,1)," ")</f>
        <v>#REF!</v>
      </c>
      <c r="AL458" s="33"/>
      <c r="AM458" s="242"/>
      <c r="AN458" s="241"/>
      <c r="AO458" s="244"/>
      <c r="AQ458" s="242"/>
      <c r="AR458" s="241"/>
      <c r="AS458" s="244"/>
      <c r="AT458" s="33"/>
      <c r="AU458" s="242"/>
      <c r="AV458" s="241"/>
      <c r="AW458" s="244"/>
      <c r="AX458" s="33"/>
      <c r="AY458" s="242"/>
      <c r="AZ458" s="241"/>
      <c r="BA458" s="244"/>
      <c r="BB458" s="33"/>
      <c r="BC458" s="242"/>
      <c r="BD458" s="241"/>
      <c r="BE458" s="244"/>
      <c r="BF458" s="33"/>
      <c r="BG458" s="242"/>
      <c r="BH458" s="241"/>
      <c r="BI458" s="244"/>
      <c r="BJ458" s="33"/>
      <c r="BK458" s="242"/>
      <c r="BL458" s="241"/>
      <c r="BM458" s="244"/>
      <c r="BN458" s="33"/>
      <c r="BO458" s="242"/>
      <c r="BP458" s="241"/>
      <c r="BQ458" s="244"/>
      <c r="BR458" s="33"/>
      <c r="BS458" s="242"/>
      <c r="BT458" s="241"/>
      <c r="BU458" s="244"/>
      <c r="BV458" s="33"/>
      <c r="BW458" s="242"/>
      <c r="BX458" s="241"/>
      <c r="BY458" s="244"/>
      <c r="BZ458" s="33"/>
      <c r="CA458" s="242"/>
      <c r="CB458" s="241"/>
      <c r="CC458" s="244"/>
      <c r="CD458" s="243"/>
      <c r="CE458" s="243"/>
      <c r="CF458" s="243"/>
      <c r="CG458" s="243"/>
      <c r="CH458" s="243"/>
      <c r="CI458" s="243"/>
      <c r="CJ458" s="243"/>
      <c r="CK458" s="243"/>
      <c r="CL458" s="243"/>
      <c r="CM458" s="243"/>
      <c r="CN458" s="243"/>
      <c r="CO458" s="243"/>
      <c r="CP458" s="243"/>
      <c r="CQ458" s="243"/>
      <c r="CR458" s="243"/>
      <c r="CS458" s="243"/>
      <c r="CT458" s="243"/>
      <c r="CU458" s="243"/>
      <c r="CV458" s="243"/>
      <c r="CW458" s="243"/>
      <c r="CX458" s="243"/>
      <c r="CY458" s="243"/>
      <c r="CZ458" s="243"/>
      <c r="DA458" s="243"/>
      <c r="DB458" s="243"/>
      <c r="DC458" s="243"/>
      <c r="DD458" s="243"/>
      <c r="DE458" s="243"/>
      <c r="DF458" s="243"/>
      <c r="DG458" s="243"/>
      <c r="DH458" s="243"/>
      <c r="DI458" s="243"/>
      <c r="DJ458" s="243"/>
      <c r="DK458" s="243"/>
      <c r="DM458" s="242"/>
      <c r="DO458" s="243"/>
      <c r="DQ458" s="242"/>
      <c r="DS458" s="243"/>
      <c r="DU458" s="242"/>
      <c r="DW458" s="243"/>
      <c r="DY458" s="242"/>
      <c r="EA458" s="243"/>
    </row>
    <row r="459" spans="1:131">
      <c r="A459" s="20"/>
      <c r="B459" s="124" t="str">
        <f t="shared" si="422"/>
        <v/>
      </c>
      <c r="C459" s="235"/>
      <c r="D459" s="24">
        <f>'1% Wind'!$M$93</f>
        <v>2.4</v>
      </c>
      <c r="E459" s="90"/>
      <c r="F459" s="90"/>
      <c r="G459" s="79" t="e">
        <f ca="1">IF(I447=0.9743,$G458,MAX(G458/D458*D459,2))</f>
        <v>#REF!</v>
      </c>
      <c r="H459" s="121" t="e">
        <f t="shared" ca="1" si="423"/>
        <v>#REF!</v>
      </c>
      <c r="J459" s="33"/>
      <c r="K459" s="242">
        <f t="shared" si="424"/>
        <v>1</v>
      </c>
      <c r="L459" s="241" t="e">
        <f t="shared" ca="1" si="425"/>
        <v>#REF!</v>
      </c>
      <c r="M459" s="243" t="e">
        <f ca="1">IF(AND(INDEX(FlowCalConstA,MATCH(J447,FlowCalNumber,0),1,1)*L459^INDEX(FlowCalConstB,MATCH(J447,FlowCalNumber,0),1,1)&gt;INDEX(FlowCalLowSetting,MATCH(J447,FlowCalNumber,0),1,1), (INDEX(FlowCalConstA,MATCH(J447,FlowCalNumber,0),1,1)*L459^INDEX(FlowCalConstB,MATCH(J447,FlowCalNumber,0),1,1)&lt;INDEX(FlowCalHighSetting,MATCH(J447,FlowCalNumber,0),1,1))),INDEX(FlowCalConstA,MATCH(J447,FlowCalNumber,0),1,1)*L459^INDEX(FlowCalConstB,MATCH(J447,FlowCalNumber,0),1,1)," ")</f>
        <v>#REF!</v>
      </c>
      <c r="N459" s="33"/>
      <c r="O459" s="242">
        <f t="shared" si="426"/>
        <v>1</v>
      </c>
      <c r="P459" s="241" t="e">
        <f t="shared" ca="1" si="427"/>
        <v>#REF!</v>
      </c>
      <c r="Q459" s="243" t="e">
        <f ca="1">IF(AND(INDEX(FlowCalConstA,MATCH(N447,FlowCalNumber,0),1,1)*P459^INDEX(FlowCalConstB,MATCH(N447,FlowCalNumber,0),1,1)&gt;INDEX(FlowCalLowSetting,MATCH(N447,FlowCalNumber,0),1,1), (INDEX(FlowCalConstA,MATCH(N447,FlowCalNumber,0),1,1)*P459^INDEX(FlowCalConstB,MATCH(N447,FlowCalNumber,0),1,1)&lt;INDEX(FlowCalHighSetting,MATCH(N447,FlowCalNumber,0),1,1))),INDEX(FlowCalConstA,MATCH(N447,FlowCalNumber,0),1,1)*P459^INDEX(FlowCalConstB,MATCH(N447,FlowCalNumber,0),1,1)," ")</f>
        <v>#REF!</v>
      </c>
      <c r="R459" s="33"/>
      <c r="S459" s="242">
        <f t="shared" si="428"/>
        <v>1</v>
      </c>
      <c r="T459" s="241" t="e">
        <f t="shared" ca="1" si="429"/>
        <v>#REF!</v>
      </c>
      <c r="U459" s="244" t="e">
        <f ca="1">IF(AND(INDEX(FlowCalConstA,MATCH(R447,FlowCalNumber,0),1,1)*T459^INDEX(FlowCalConstB,MATCH(R447,FlowCalNumber,0),1,1)&gt;INDEX(FlowCalLowSetting,MATCH(R447,FlowCalNumber,0),1,1), (INDEX(FlowCalConstA,MATCH(R447,FlowCalNumber,0),1,1)*T459^INDEX(FlowCalConstB,MATCH(R447,FlowCalNumber,0),1,1)&lt;INDEX(FlowCalHighSetting,MATCH(R447,FlowCalNumber,0),1,1))),INDEX(FlowCalConstA,MATCH(R447,FlowCalNumber,0),1,1)*T459^INDEX(FlowCalConstB,MATCH(R447,FlowCalNumber,0),1,1)," ")</f>
        <v>#REF!</v>
      </c>
      <c r="V459" s="33"/>
      <c r="W459" s="242">
        <f t="shared" si="430"/>
        <v>0.1</v>
      </c>
      <c r="X459" s="241" t="e">
        <f t="shared" ca="1" si="431"/>
        <v>#REF!</v>
      </c>
      <c r="Y459" s="243" t="e">
        <f ca="1">IF(AND(INDEX(FlowCalConstA,MATCH(V447,FlowCalNumber,0),1,1)*X459^INDEX(FlowCalConstB,MATCH(V447,FlowCalNumber,0),1,1)&gt;INDEX(FlowCalLowSetting,MATCH(V447,FlowCalNumber,0),1,1), (INDEX(FlowCalConstA,MATCH(V447,FlowCalNumber,0),1,1)*X459^INDEX(FlowCalConstB,MATCH(V447,FlowCalNumber,0),1,1)&lt;INDEX(FlowCalHighSetting,MATCH(V447,FlowCalNumber,0),1,1))),INDEX(FlowCalConstA,MATCH(V447,FlowCalNumber,0),1,1)*X459^INDEX(FlowCalConstB,MATCH(V447,FlowCalNumber,0),1,1)," ")</f>
        <v>#REF!</v>
      </c>
      <c r="Z459" s="33"/>
      <c r="AA459" s="242">
        <f t="shared" si="432"/>
        <v>0.9</v>
      </c>
      <c r="AB459" s="241" t="e">
        <f t="shared" ca="1" si="433"/>
        <v>#REF!</v>
      </c>
      <c r="AC459" s="243" t="e">
        <f ca="1">IF(AND(INDEX(FlowCalConstA,MATCH(Z447,FlowCalNumber,0),1,1)*AB459^INDEX(FlowCalConstB,MATCH(Z447,FlowCalNumber,0),1,1)&gt;INDEX(FlowCalLowSetting,MATCH(Z447,FlowCalNumber,0),1,1), (INDEX(FlowCalConstA,MATCH(Z447,FlowCalNumber,0),1,1)*AB459^INDEX(FlowCalConstB,MATCH(Z447,FlowCalNumber,0),1,1)&lt;INDEX(FlowCalHighSetting,MATCH(Z447,FlowCalNumber,0),1,1))),INDEX(FlowCalConstA,MATCH(Z447,FlowCalNumber,0),1,1)*AB459^INDEX(FlowCalConstB,MATCH(Z447,FlowCalNumber,0),1,1)," ")</f>
        <v>#REF!</v>
      </c>
      <c r="AD459" s="33"/>
      <c r="AE459" s="242">
        <f t="shared" si="434"/>
        <v>0.1</v>
      </c>
      <c r="AF459" s="241" t="e">
        <f t="shared" ca="1" si="435"/>
        <v>#REF!</v>
      </c>
      <c r="AG459" s="243" t="e">
        <f ca="1">IF(AND(INDEX(FlowCalConstA,MATCH(AD447,FlowCalNumber,0),1,1)*AF459^INDEX(FlowCalConstB,MATCH(AD447,FlowCalNumber,0),1,1)&gt;INDEX(FlowCalLowSetting,MATCH(AD447,FlowCalNumber,0),1,1), (INDEX(FlowCalConstA,MATCH(AD447,FlowCalNumber,0),1,1)*AF459^INDEX(FlowCalConstB,MATCH(AD447,FlowCalNumber,0),1,1)&lt;INDEX(FlowCalHighSetting,MATCH(AD447,FlowCalNumber,0),1,1))),INDEX(FlowCalConstA,MATCH(AD447,FlowCalNumber,0),1,1)*AF459^INDEX(FlowCalConstB,MATCH(AD447,FlowCalNumber,0),1,1)," ")</f>
        <v>#REF!</v>
      </c>
      <c r="AH459" s="33"/>
      <c r="AI459" s="242">
        <f t="shared" si="436"/>
        <v>0.9</v>
      </c>
      <c r="AJ459" s="241" t="e">
        <f t="shared" ca="1" si="437"/>
        <v>#REF!</v>
      </c>
      <c r="AK459" s="243" t="e">
        <f ca="1">IF(AND(INDEX(FlowCalConstA,MATCH(AH447,FlowCalNumber,0),1,1)*AJ459^INDEX(FlowCalConstB,MATCH(AH447,FlowCalNumber,0),1,1)&gt;INDEX(FlowCalLowSetting,MATCH(AH447,FlowCalNumber,0),1,1), (INDEX(FlowCalConstA,MATCH(AH447,FlowCalNumber,0),1,1)*AJ459^INDEX(FlowCalConstB,MATCH(AH447,FlowCalNumber,0),1,1)&lt;INDEX(FlowCalHighSetting,MATCH(AH447,FlowCalNumber,0),1,1))),INDEX(FlowCalConstA,MATCH(AH447,FlowCalNumber,0),1,1)*AJ459^INDEX(FlowCalConstB,MATCH(AH447,FlowCalNumber,0),1,1)," ")</f>
        <v>#REF!</v>
      </c>
      <c r="AL459" s="33"/>
      <c r="AM459" s="242"/>
      <c r="AN459" s="241"/>
      <c r="AO459" s="244"/>
      <c r="AQ459" s="242"/>
      <c r="AR459" s="241"/>
      <c r="AS459" s="244"/>
      <c r="AT459" s="33"/>
      <c r="AU459" s="242"/>
      <c r="AV459" s="241"/>
      <c r="AW459" s="244"/>
      <c r="AX459" s="33"/>
      <c r="AY459" s="242"/>
      <c r="AZ459" s="241"/>
      <c r="BA459" s="244"/>
      <c r="BB459" s="33"/>
      <c r="BC459" s="242"/>
      <c r="BD459" s="241"/>
      <c r="BE459" s="244"/>
      <c r="BF459" s="33"/>
      <c r="BG459" s="242"/>
      <c r="BH459" s="241"/>
      <c r="BI459" s="244"/>
      <c r="BJ459" s="33"/>
      <c r="BK459" s="242"/>
      <c r="BL459" s="241"/>
      <c r="BM459" s="244"/>
      <c r="BN459" s="33"/>
      <c r="BO459" s="242"/>
      <c r="BP459" s="241"/>
      <c r="BQ459" s="244"/>
      <c r="BR459" s="33"/>
      <c r="BS459" s="242"/>
      <c r="BT459" s="241"/>
      <c r="BU459" s="244"/>
      <c r="BV459" s="33"/>
      <c r="BW459" s="242"/>
      <c r="BX459" s="241"/>
      <c r="BY459" s="244"/>
      <c r="BZ459" s="33"/>
      <c r="CA459" s="242"/>
      <c r="CB459" s="241"/>
      <c r="CC459" s="244"/>
      <c r="CD459" s="243"/>
      <c r="CE459" s="243"/>
      <c r="CF459" s="243"/>
      <c r="CG459" s="243"/>
      <c r="CH459" s="243"/>
      <c r="CI459" s="243"/>
      <c r="CJ459" s="243"/>
      <c r="CK459" s="243"/>
      <c r="CL459" s="243"/>
      <c r="CM459" s="243"/>
      <c r="CN459" s="243"/>
      <c r="CO459" s="243"/>
      <c r="CP459" s="243"/>
      <c r="CQ459" s="243"/>
      <c r="CR459" s="243"/>
      <c r="CS459" s="243"/>
      <c r="CT459" s="243"/>
      <c r="CU459" s="243"/>
      <c r="CV459" s="243"/>
      <c r="CW459" s="243"/>
      <c r="CX459" s="243"/>
      <c r="CY459" s="243"/>
      <c r="CZ459" s="243"/>
      <c r="DA459" s="243"/>
      <c r="DB459" s="243"/>
      <c r="DC459" s="243"/>
      <c r="DD459" s="243"/>
      <c r="DE459" s="243"/>
      <c r="DF459" s="243"/>
      <c r="DG459" s="243"/>
      <c r="DH459" s="243"/>
      <c r="DI459" s="243"/>
      <c r="DJ459" s="243"/>
      <c r="DK459" s="243"/>
      <c r="DM459" s="242"/>
      <c r="DO459" s="243"/>
      <c r="DQ459" s="242"/>
      <c r="DS459" s="243"/>
      <c r="DU459" s="242"/>
      <c r="DW459" s="243"/>
      <c r="DY459" s="242"/>
      <c r="EA459" s="243"/>
    </row>
    <row r="460" spans="1:131">
      <c r="A460" s="20"/>
      <c r="B460" s="124" t="str">
        <f t="shared" si="422"/>
        <v/>
      </c>
      <c r="C460" s="235"/>
      <c r="D460" s="24">
        <f>'1% Wind'!$M$94</f>
        <v>1.8</v>
      </c>
      <c r="E460" s="90"/>
      <c r="F460" s="90"/>
      <c r="G460" s="79" t="e">
        <f ca="1">IF(I447=0.9743,$G459,MAX(G459/D459*D460,2))</f>
        <v>#REF!</v>
      </c>
      <c r="H460" s="121" t="e">
        <f t="shared" ca="1" si="423"/>
        <v>#REF!</v>
      </c>
      <c r="J460" s="33"/>
      <c r="K460" s="242">
        <f t="shared" si="424"/>
        <v>1</v>
      </c>
      <c r="L460" s="241" t="e">
        <f t="shared" ca="1" si="425"/>
        <v>#REF!</v>
      </c>
      <c r="M460" s="243" t="e">
        <f ca="1">IF(AND(INDEX(FlowCalConstA,MATCH(J447,FlowCalNumber,0),1,1)*L460^INDEX(FlowCalConstB,MATCH(J447,FlowCalNumber,0),1,1)&gt;INDEX(FlowCalLowSetting,MATCH(J447,FlowCalNumber,0),1,1), (INDEX(FlowCalConstA,MATCH(J447,FlowCalNumber,0),1,1)*L460^INDEX(FlowCalConstB,MATCH(J447,FlowCalNumber,0),1,1)&lt;INDEX(FlowCalHighSetting,MATCH(J447,FlowCalNumber,0),1,1))),INDEX(FlowCalConstA,MATCH(J447,FlowCalNumber,0),1,1)*L460^INDEX(FlowCalConstB,MATCH(J447,FlowCalNumber,0),1,1)," ")</f>
        <v>#REF!</v>
      </c>
      <c r="N460" s="33"/>
      <c r="O460" s="242">
        <f t="shared" si="426"/>
        <v>1</v>
      </c>
      <c r="P460" s="241" t="e">
        <f t="shared" ca="1" si="427"/>
        <v>#REF!</v>
      </c>
      <c r="Q460" s="243" t="e">
        <f ca="1">IF(AND(INDEX(FlowCalConstA,MATCH(N447,FlowCalNumber,0),1,1)*P460^INDEX(FlowCalConstB,MATCH(N447,FlowCalNumber,0),1,1)&gt;INDEX(FlowCalLowSetting,MATCH(N447,FlowCalNumber,0),1,1), (INDEX(FlowCalConstA,MATCH(N447,FlowCalNumber,0),1,1)*P460^INDEX(FlowCalConstB,MATCH(N447,FlowCalNumber,0),1,1)&lt;INDEX(FlowCalHighSetting,MATCH(N447,FlowCalNumber,0),1,1))),INDEX(FlowCalConstA,MATCH(N447,FlowCalNumber,0),1,1)*P460^INDEX(FlowCalConstB,MATCH(N447,FlowCalNumber,0),1,1)," ")</f>
        <v>#REF!</v>
      </c>
      <c r="R460" s="33"/>
      <c r="S460" s="242">
        <f t="shared" si="428"/>
        <v>1</v>
      </c>
      <c r="T460" s="241" t="e">
        <f t="shared" ca="1" si="429"/>
        <v>#REF!</v>
      </c>
      <c r="U460" s="244" t="e">
        <f ca="1">IF(AND(INDEX(FlowCalConstA,MATCH(R447,FlowCalNumber,0),1,1)*T460^INDEX(FlowCalConstB,MATCH(R447,FlowCalNumber,0),1,1)&gt;INDEX(FlowCalLowSetting,MATCH(R447,FlowCalNumber,0),1,1), (INDEX(FlowCalConstA,MATCH(R447,FlowCalNumber,0),1,1)*T460^INDEX(FlowCalConstB,MATCH(R447,FlowCalNumber,0),1,1)&lt;INDEX(FlowCalHighSetting,MATCH(R447,FlowCalNumber,0),1,1))),INDEX(FlowCalConstA,MATCH(R447,FlowCalNumber,0),1,1)*T460^INDEX(FlowCalConstB,MATCH(R447,FlowCalNumber,0),1,1)," ")</f>
        <v>#REF!</v>
      </c>
      <c r="V460" s="33"/>
      <c r="W460" s="242">
        <f t="shared" si="430"/>
        <v>0.1</v>
      </c>
      <c r="X460" s="241" t="e">
        <f t="shared" ca="1" si="431"/>
        <v>#REF!</v>
      </c>
      <c r="Y460" s="243" t="e">
        <f ca="1">IF(AND(INDEX(FlowCalConstA,MATCH(V447,FlowCalNumber,0),1,1)*X460^INDEX(FlowCalConstB,MATCH(V447,FlowCalNumber,0),1,1)&gt;INDEX(FlowCalLowSetting,MATCH(V447,FlowCalNumber,0),1,1), (INDEX(FlowCalConstA,MATCH(V447,FlowCalNumber,0),1,1)*X460^INDEX(FlowCalConstB,MATCH(V447,FlowCalNumber,0),1,1)&lt;INDEX(FlowCalHighSetting,MATCH(V447,FlowCalNumber,0),1,1))),INDEX(FlowCalConstA,MATCH(V447,FlowCalNumber,0),1,1)*X460^INDEX(FlowCalConstB,MATCH(V447,FlowCalNumber,0),1,1)," ")</f>
        <v>#REF!</v>
      </c>
      <c r="Z460" s="33"/>
      <c r="AA460" s="242">
        <f t="shared" si="432"/>
        <v>0.9</v>
      </c>
      <c r="AB460" s="241" t="e">
        <f t="shared" ca="1" si="433"/>
        <v>#REF!</v>
      </c>
      <c r="AC460" s="243" t="e">
        <f ca="1">IF(AND(INDEX(FlowCalConstA,MATCH(Z447,FlowCalNumber,0),1,1)*AB460^INDEX(FlowCalConstB,MATCH(Z447,FlowCalNumber,0),1,1)&gt;INDEX(FlowCalLowSetting,MATCH(Z447,FlowCalNumber,0),1,1), (INDEX(FlowCalConstA,MATCH(Z447,FlowCalNumber,0),1,1)*AB460^INDEX(FlowCalConstB,MATCH(Z447,FlowCalNumber,0),1,1)&lt;INDEX(FlowCalHighSetting,MATCH(Z447,FlowCalNumber,0),1,1))),INDEX(FlowCalConstA,MATCH(Z447,FlowCalNumber,0),1,1)*AB460^INDEX(FlowCalConstB,MATCH(Z447,FlowCalNumber,0),1,1)," ")</f>
        <v>#REF!</v>
      </c>
      <c r="AD460" s="33"/>
      <c r="AE460" s="242">
        <f t="shared" si="434"/>
        <v>0.1</v>
      </c>
      <c r="AF460" s="241" t="e">
        <f t="shared" ca="1" si="435"/>
        <v>#REF!</v>
      </c>
      <c r="AG460" s="243" t="e">
        <f ca="1">IF(AND(INDEX(FlowCalConstA,MATCH(AD447,FlowCalNumber,0),1,1)*AF460^INDEX(FlowCalConstB,MATCH(AD447,FlowCalNumber,0),1,1)&gt;INDEX(FlowCalLowSetting,MATCH(AD447,FlowCalNumber,0),1,1), (INDEX(FlowCalConstA,MATCH(AD447,FlowCalNumber,0),1,1)*AF460^INDEX(FlowCalConstB,MATCH(AD447,FlowCalNumber,0),1,1)&lt;INDEX(FlowCalHighSetting,MATCH(AD447,FlowCalNumber,0),1,1))),INDEX(FlowCalConstA,MATCH(AD447,FlowCalNumber,0),1,1)*AF460^INDEX(FlowCalConstB,MATCH(AD447,FlowCalNumber,0),1,1)," ")</f>
        <v>#REF!</v>
      </c>
      <c r="AH460" s="33"/>
      <c r="AI460" s="242">
        <f t="shared" si="436"/>
        <v>0.9</v>
      </c>
      <c r="AJ460" s="241" t="e">
        <f t="shared" ca="1" si="437"/>
        <v>#REF!</v>
      </c>
      <c r="AK460" s="243" t="e">
        <f ca="1">IF(AND(INDEX(FlowCalConstA,MATCH(AH447,FlowCalNumber,0),1,1)*AJ460^INDEX(FlowCalConstB,MATCH(AH447,FlowCalNumber,0),1,1)&gt;INDEX(FlowCalLowSetting,MATCH(AH447,FlowCalNumber,0),1,1), (INDEX(FlowCalConstA,MATCH(AH447,FlowCalNumber,0),1,1)*AJ460^INDEX(FlowCalConstB,MATCH(AH447,FlowCalNumber,0),1,1)&lt;INDEX(FlowCalHighSetting,MATCH(AH447,FlowCalNumber,0),1,1))),INDEX(FlowCalConstA,MATCH(AH447,FlowCalNumber,0),1,1)*AJ460^INDEX(FlowCalConstB,MATCH(AH447,FlowCalNumber,0),1,1)," ")</f>
        <v>#REF!</v>
      </c>
      <c r="AL460" s="33"/>
      <c r="AM460" s="242"/>
      <c r="AN460" s="241"/>
      <c r="AO460" s="244"/>
      <c r="AQ460" s="242"/>
      <c r="AR460" s="241"/>
      <c r="AS460" s="244"/>
      <c r="AT460" s="33"/>
      <c r="AU460" s="242"/>
      <c r="AV460" s="241"/>
      <c r="AW460" s="244"/>
      <c r="AX460" s="33"/>
      <c r="AY460" s="242"/>
      <c r="AZ460" s="241"/>
      <c r="BA460" s="244"/>
      <c r="BB460" s="33"/>
      <c r="BC460" s="242"/>
      <c r="BD460" s="241"/>
      <c r="BE460" s="244"/>
      <c r="BF460" s="33"/>
      <c r="BG460" s="242"/>
      <c r="BH460" s="241"/>
      <c r="BI460" s="244"/>
      <c r="BJ460" s="33"/>
      <c r="BK460" s="242"/>
      <c r="BL460" s="241"/>
      <c r="BM460" s="244"/>
      <c r="BN460" s="33"/>
      <c r="BO460" s="242"/>
      <c r="BP460" s="241"/>
      <c r="BQ460" s="244"/>
      <c r="BR460" s="33"/>
      <c r="BS460" s="242"/>
      <c r="BT460" s="241"/>
      <c r="BU460" s="244"/>
      <c r="BV460" s="33"/>
      <c r="BW460" s="242"/>
      <c r="BX460" s="241"/>
      <c r="BY460" s="244"/>
      <c r="BZ460" s="33"/>
      <c r="CA460" s="242"/>
      <c r="CB460" s="241"/>
      <c r="CC460" s="244"/>
      <c r="CD460" s="243"/>
      <c r="CE460" s="243"/>
      <c r="CF460" s="243"/>
      <c r="CG460" s="243"/>
      <c r="CH460" s="243"/>
      <c r="CI460" s="243"/>
      <c r="CJ460" s="243"/>
      <c r="CK460" s="243"/>
      <c r="CL460" s="243"/>
      <c r="CM460" s="243"/>
      <c r="CN460" s="243"/>
      <c r="CO460" s="243"/>
      <c r="CP460" s="243"/>
      <c r="CQ460" s="243"/>
      <c r="CR460" s="243"/>
      <c r="CS460" s="243"/>
      <c r="CT460" s="243"/>
      <c r="CU460" s="243"/>
      <c r="CV460" s="243"/>
      <c r="CW460" s="243"/>
      <c r="CX460" s="243"/>
      <c r="CY460" s="243"/>
      <c r="CZ460" s="243"/>
      <c r="DA460" s="243"/>
      <c r="DB460" s="243"/>
      <c r="DC460" s="243"/>
      <c r="DD460" s="243"/>
      <c r="DE460" s="243"/>
      <c r="DF460" s="243"/>
      <c r="DG460" s="243"/>
      <c r="DH460" s="243"/>
      <c r="DI460" s="243"/>
      <c r="DJ460" s="243"/>
      <c r="DK460" s="243"/>
      <c r="DM460" s="242"/>
      <c r="DO460" s="243"/>
      <c r="DQ460" s="242"/>
      <c r="DS460" s="243"/>
      <c r="DU460" s="242"/>
      <c r="DW460" s="243"/>
      <c r="DY460" s="242"/>
      <c r="EA460" s="243"/>
    </row>
    <row r="461" spans="1:131">
      <c r="A461" s="20"/>
      <c r="B461" s="124" t="str">
        <f t="shared" si="422"/>
        <v/>
      </c>
      <c r="C461" s="235"/>
      <c r="D461" s="24">
        <f>'1% Wind'!$M$95</f>
        <v>1.3</v>
      </c>
      <c r="E461" s="90"/>
      <c r="F461" s="90"/>
      <c r="G461" s="79" t="e">
        <f ca="1">IF(I447=0.9743,$G460,MAX(G460/D460*D461,2))</f>
        <v>#REF!</v>
      </c>
      <c r="H461" s="121" t="e">
        <f t="shared" ca="1" si="423"/>
        <v>#REF!</v>
      </c>
      <c r="J461" s="33"/>
      <c r="K461" s="242">
        <f t="shared" si="424"/>
        <v>1</v>
      </c>
      <c r="L461" s="241" t="e">
        <f t="shared" ca="1" si="425"/>
        <v>#REF!</v>
      </c>
      <c r="M461" s="243" t="e">
        <f ca="1">IF(AND(INDEX(FlowCalConstA,MATCH(J447,FlowCalNumber,0),1,1)*L461^INDEX(FlowCalConstB,MATCH(J447,FlowCalNumber,0),1,1)&gt;INDEX(FlowCalLowSetting,MATCH(J447,FlowCalNumber,0),1,1), (INDEX(FlowCalConstA,MATCH(J447,FlowCalNumber,0),1,1)*L461^INDEX(FlowCalConstB,MATCH(J447,FlowCalNumber,0),1,1)&lt;INDEX(FlowCalHighSetting,MATCH(J447,FlowCalNumber,0),1,1))),INDEX(FlowCalConstA,MATCH(J447,FlowCalNumber,0),1,1)*L461^INDEX(FlowCalConstB,MATCH(J447,FlowCalNumber,0),1,1)," ")</f>
        <v>#REF!</v>
      </c>
      <c r="N461" s="33"/>
      <c r="O461" s="242">
        <f t="shared" si="426"/>
        <v>1</v>
      </c>
      <c r="P461" s="241" t="e">
        <f t="shared" ca="1" si="427"/>
        <v>#REF!</v>
      </c>
      <c r="Q461" s="243" t="e">
        <f ca="1">IF(AND(INDEX(FlowCalConstA,MATCH(N447,FlowCalNumber,0),1,1)*P461^INDEX(FlowCalConstB,MATCH(N447,FlowCalNumber,0),1,1)&gt;INDEX(FlowCalLowSetting,MATCH(N447,FlowCalNumber,0),1,1), (INDEX(FlowCalConstA,MATCH(N447,FlowCalNumber,0),1,1)*P461^INDEX(FlowCalConstB,MATCH(N447,FlowCalNumber,0),1,1)&lt;INDEX(FlowCalHighSetting,MATCH(N447,FlowCalNumber,0),1,1))),INDEX(FlowCalConstA,MATCH(N447,FlowCalNumber,0),1,1)*P461^INDEX(FlowCalConstB,MATCH(N447,FlowCalNumber,0),1,1)," ")</f>
        <v>#REF!</v>
      </c>
      <c r="R461" s="33"/>
      <c r="S461" s="242">
        <f t="shared" si="428"/>
        <v>1</v>
      </c>
      <c r="T461" s="241" t="e">
        <f t="shared" ca="1" si="429"/>
        <v>#REF!</v>
      </c>
      <c r="U461" s="244" t="e">
        <f ca="1">IF(AND(INDEX(FlowCalConstA,MATCH(R447,FlowCalNumber,0),1,1)*T461^INDEX(FlowCalConstB,MATCH(R447,FlowCalNumber,0),1,1)&gt;INDEX(FlowCalLowSetting,MATCH(R447,FlowCalNumber,0),1,1), (INDEX(FlowCalConstA,MATCH(R447,FlowCalNumber,0),1,1)*T461^INDEX(FlowCalConstB,MATCH(R447,FlowCalNumber,0),1,1)&lt;INDEX(FlowCalHighSetting,MATCH(R447,FlowCalNumber,0),1,1))),INDEX(FlowCalConstA,MATCH(R447,FlowCalNumber,0),1,1)*T461^INDEX(FlowCalConstB,MATCH(R447,FlowCalNumber,0),1,1)," ")</f>
        <v>#REF!</v>
      </c>
      <c r="V461" s="33"/>
      <c r="W461" s="242">
        <f t="shared" si="430"/>
        <v>0.1</v>
      </c>
      <c r="X461" s="241" t="e">
        <f t="shared" ca="1" si="431"/>
        <v>#REF!</v>
      </c>
      <c r="Y461" s="243" t="e">
        <f ca="1">IF(AND(INDEX(FlowCalConstA,MATCH(V447,FlowCalNumber,0),1,1)*X461^INDEX(FlowCalConstB,MATCH(V447,FlowCalNumber,0),1,1)&gt;INDEX(FlowCalLowSetting,MATCH(V447,FlowCalNumber,0),1,1), (INDEX(FlowCalConstA,MATCH(V447,FlowCalNumber,0),1,1)*X461^INDEX(FlowCalConstB,MATCH(V447,FlowCalNumber,0),1,1)&lt;INDEX(FlowCalHighSetting,MATCH(V447,FlowCalNumber,0),1,1))),INDEX(FlowCalConstA,MATCH(V447,FlowCalNumber,0),1,1)*X461^INDEX(FlowCalConstB,MATCH(V447,FlowCalNumber,0),1,1)," ")</f>
        <v>#REF!</v>
      </c>
      <c r="Z461" s="33"/>
      <c r="AA461" s="242">
        <f t="shared" si="432"/>
        <v>0.9</v>
      </c>
      <c r="AB461" s="241" t="e">
        <f t="shared" ca="1" si="433"/>
        <v>#REF!</v>
      </c>
      <c r="AC461" s="243" t="e">
        <f ca="1">IF(AND(INDEX(FlowCalConstA,MATCH(Z447,FlowCalNumber,0),1,1)*AB461^INDEX(FlowCalConstB,MATCH(Z447,FlowCalNumber,0),1,1)&gt;INDEX(FlowCalLowSetting,MATCH(Z447,FlowCalNumber,0),1,1), (INDEX(FlowCalConstA,MATCH(Z447,FlowCalNumber,0),1,1)*AB461^INDEX(FlowCalConstB,MATCH(Z447,FlowCalNumber,0),1,1)&lt;INDEX(FlowCalHighSetting,MATCH(Z447,FlowCalNumber,0),1,1))),INDEX(FlowCalConstA,MATCH(Z447,FlowCalNumber,0),1,1)*AB461^INDEX(FlowCalConstB,MATCH(Z447,FlowCalNumber,0),1,1)," ")</f>
        <v>#REF!</v>
      </c>
      <c r="AD461" s="33"/>
      <c r="AE461" s="242">
        <f t="shared" si="434"/>
        <v>0.1</v>
      </c>
      <c r="AF461" s="241" t="e">
        <f t="shared" ca="1" si="435"/>
        <v>#REF!</v>
      </c>
      <c r="AG461" s="243" t="e">
        <f ca="1">IF(AND(INDEX(FlowCalConstA,MATCH(AD447,FlowCalNumber,0),1,1)*AF461^INDEX(FlowCalConstB,MATCH(AD447,FlowCalNumber,0),1,1)&gt;INDEX(FlowCalLowSetting,MATCH(AD447,FlowCalNumber,0),1,1), (INDEX(FlowCalConstA,MATCH(AD447,FlowCalNumber,0),1,1)*AF461^INDEX(FlowCalConstB,MATCH(AD447,FlowCalNumber,0),1,1)&lt;INDEX(FlowCalHighSetting,MATCH(AD447,FlowCalNumber,0),1,1))),INDEX(FlowCalConstA,MATCH(AD447,FlowCalNumber,0),1,1)*AF461^INDEX(FlowCalConstB,MATCH(AD447,FlowCalNumber,0),1,1)," ")</f>
        <v>#REF!</v>
      </c>
      <c r="AH461" s="33"/>
      <c r="AI461" s="242">
        <f t="shared" si="436"/>
        <v>0.9</v>
      </c>
      <c r="AJ461" s="241" t="e">
        <f t="shared" ca="1" si="437"/>
        <v>#REF!</v>
      </c>
      <c r="AK461" s="243" t="e">
        <f ca="1">IF(AND(INDEX(FlowCalConstA,MATCH(AH447,FlowCalNumber,0),1,1)*AJ461^INDEX(FlowCalConstB,MATCH(AH447,FlowCalNumber,0),1,1)&gt;INDEX(FlowCalLowSetting,MATCH(AH447,FlowCalNumber,0),1,1), (INDEX(FlowCalConstA,MATCH(AH447,FlowCalNumber,0),1,1)*AJ461^INDEX(FlowCalConstB,MATCH(AH447,FlowCalNumber,0),1,1)&lt;INDEX(FlowCalHighSetting,MATCH(AH447,FlowCalNumber,0),1,1))),INDEX(FlowCalConstA,MATCH(AH447,FlowCalNumber,0),1,1)*AJ461^INDEX(FlowCalConstB,MATCH(AH447,FlowCalNumber,0),1,1)," ")</f>
        <v>#REF!</v>
      </c>
      <c r="AL461" s="33"/>
      <c r="AM461" s="242"/>
      <c r="AN461" s="241"/>
      <c r="AO461" s="244"/>
      <c r="AQ461" s="242"/>
      <c r="AR461" s="241"/>
      <c r="AS461" s="244"/>
      <c r="AT461" s="33"/>
      <c r="AU461" s="242"/>
      <c r="AV461" s="241"/>
      <c r="AW461" s="244"/>
      <c r="AX461" s="33"/>
      <c r="AY461" s="242"/>
      <c r="AZ461" s="241"/>
      <c r="BA461" s="244"/>
      <c r="BB461" s="33"/>
      <c r="BC461" s="242"/>
      <c r="BD461" s="241"/>
      <c r="BE461" s="244"/>
      <c r="BF461" s="33"/>
      <c r="BG461" s="242"/>
      <c r="BH461" s="241"/>
      <c r="BI461" s="244"/>
      <c r="BJ461" s="33"/>
      <c r="BK461" s="242"/>
      <c r="BL461" s="241"/>
      <c r="BM461" s="244"/>
      <c r="BN461" s="33"/>
      <c r="BO461" s="242"/>
      <c r="BP461" s="241"/>
      <c r="BQ461" s="244"/>
      <c r="BR461" s="33"/>
      <c r="BS461" s="242"/>
      <c r="BT461" s="241"/>
      <c r="BU461" s="244"/>
      <c r="BV461" s="33"/>
      <c r="BW461" s="242"/>
      <c r="BX461" s="241"/>
      <c r="BY461" s="244"/>
      <c r="BZ461" s="33"/>
      <c r="CA461" s="242"/>
      <c r="CB461" s="241"/>
      <c r="CC461" s="244"/>
      <c r="CD461" s="243"/>
      <c r="CE461" s="243"/>
      <c r="CF461" s="243"/>
      <c r="CG461" s="243"/>
      <c r="CH461" s="243"/>
      <c r="CI461" s="243"/>
      <c r="CJ461" s="243"/>
      <c r="CK461" s="243"/>
      <c r="CL461" s="243"/>
      <c r="CM461" s="243"/>
      <c r="CN461" s="243"/>
      <c r="CO461" s="243"/>
      <c r="CP461" s="243"/>
      <c r="CQ461" s="243"/>
      <c r="CR461" s="243"/>
      <c r="CS461" s="243"/>
      <c r="CT461" s="243"/>
      <c r="CU461" s="243"/>
      <c r="CV461" s="243"/>
      <c r="CW461" s="243"/>
      <c r="CX461" s="243"/>
      <c r="CY461" s="243"/>
      <c r="CZ461" s="243"/>
      <c r="DA461" s="243"/>
      <c r="DB461" s="243"/>
      <c r="DC461" s="243"/>
      <c r="DD461" s="243"/>
      <c r="DE461" s="243"/>
      <c r="DF461" s="243"/>
      <c r="DG461" s="243"/>
      <c r="DH461" s="243"/>
      <c r="DI461" s="243"/>
      <c r="DJ461" s="243"/>
      <c r="DK461" s="243"/>
      <c r="DM461" s="242"/>
      <c r="DO461" s="243"/>
      <c r="DQ461" s="242"/>
      <c r="DS461" s="243"/>
      <c r="DU461" s="242"/>
      <c r="DW461" s="243"/>
      <c r="DY461" s="242"/>
      <c r="EA461" s="243"/>
    </row>
    <row r="462" spans="1:131">
      <c r="A462" s="20"/>
      <c r="B462" s="124" t="str">
        <f t="shared" si="422"/>
        <v/>
      </c>
      <c r="C462" s="235"/>
      <c r="D462" s="24">
        <f>'1% Wind'!$M$96</f>
        <v>1</v>
      </c>
      <c r="E462" s="90"/>
      <c r="F462" s="90"/>
      <c r="G462" s="79" t="e">
        <f ca="1">IF(I447=0.9743,$G461,MAX(G461/D461*D462,2))</f>
        <v>#REF!</v>
      </c>
      <c r="H462" s="121" t="e">
        <f t="shared" ca="1" si="423"/>
        <v>#REF!</v>
      </c>
      <c r="J462" s="33"/>
      <c r="K462" s="242">
        <f t="shared" si="424"/>
        <v>1</v>
      </c>
      <c r="L462" s="241" t="e">
        <f t="shared" ca="1" si="425"/>
        <v>#REF!</v>
      </c>
      <c r="M462" s="243" t="e">
        <f ca="1">IF(AND(INDEX(FlowCalConstA,MATCH(J447,FlowCalNumber,0),1,1)*L462^INDEX(FlowCalConstB,MATCH(J447,FlowCalNumber,0),1,1)&gt;INDEX(FlowCalLowSetting,MATCH(J447,FlowCalNumber,0),1,1), (INDEX(FlowCalConstA,MATCH(J447,FlowCalNumber,0),1,1)*L462^INDEX(FlowCalConstB,MATCH(J447,FlowCalNumber,0),1,1)&lt;INDEX(FlowCalHighSetting,MATCH(J447,FlowCalNumber,0),1,1))),INDEX(FlowCalConstA,MATCH(J447,FlowCalNumber,0),1,1)*L462^INDEX(FlowCalConstB,MATCH(J447,FlowCalNumber,0),1,1)," ")</f>
        <v>#REF!</v>
      </c>
      <c r="N462" s="33"/>
      <c r="O462" s="242">
        <f t="shared" si="426"/>
        <v>1</v>
      </c>
      <c r="P462" s="241" t="e">
        <f t="shared" ca="1" si="427"/>
        <v>#REF!</v>
      </c>
      <c r="Q462" s="243" t="e">
        <f ca="1">IF(AND(INDEX(FlowCalConstA,MATCH(N447,FlowCalNumber,0),1,1)*P462^INDEX(FlowCalConstB,MATCH(N447,FlowCalNumber,0),1,1)&gt;INDEX(FlowCalLowSetting,MATCH(N447,FlowCalNumber,0),1,1), (INDEX(FlowCalConstA,MATCH(N447,FlowCalNumber,0),1,1)*P462^INDEX(FlowCalConstB,MATCH(N447,FlowCalNumber,0),1,1)&lt;INDEX(FlowCalHighSetting,MATCH(N447,FlowCalNumber,0),1,1))),INDEX(FlowCalConstA,MATCH(N447,FlowCalNumber,0),1,1)*P462^INDEX(FlowCalConstB,MATCH(N447,FlowCalNumber,0),1,1)," ")</f>
        <v>#REF!</v>
      </c>
      <c r="R462" s="33"/>
      <c r="S462" s="242">
        <f t="shared" si="428"/>
        <v>1</v>
      </c>
      <c r="T462" s="241" t="e">
        <f t="shared" ca="1" si="429"/>
        <v>#REF!</v>
      </c>
      <c r="U462" s="244" t="e">
        <f ca="1">IF(AND(INDEX(FlowCalConstA,MATCH(R447,FlowCalNumber,0),1,1)*T462^INDEX(FlowCalConstB,MATCH(R447,FlowCalNumber,0),1,1)&gt;INDEX(FlowCalLowSetting,MATCH(R447,FlowCalNumber,0),1,1), (INDEX(FlowCalConstA,MATCH(R447,FlowCalNumber,0),1,1)*T462^INDEX(FlowCalConstB,MATCH(R447,FlowCalNumber,0),1,1)&lt;INDEX(FlowCalHighSetting,MATCH(R447,FlowCalNumber,0),1,1))),INDEX(FlowCalConstA,MATCH(R447,FlowCalNumber,0),1,1)*T462^INDEX(FlowCalConstB,MATCH(R447,FlowCalNumber,0),1,1)," ")</f>
        <v>#REF!</v>
      </c>
      <c r="V462" s="33"/>
      <c r="W462" s="242">
        <f t="shared" si="430"/>
        <v>0.1</v>
      </c>
      <c r="X462" s="241" t="e">
        <f t="shared" ca="1" si="431"/>
        <v>#REF!</v>
      </c>
      <c r="Y462" s="243" t="e">
        <f ca="1">IF(AND(INDEX(FlowCalConstA,MATCH(V447,FlowCalNumber,0),1,1)*X462^INDEX(FlowCalConstB,MATCH(V447,FlowCalNumber,0),1,1)&gt;INDEX(FlowCalLowSetting,MATCH(V447,FlowCalNumber,0),1,1), (INDEX(FlowCalConstA,MATCH(V447,FlowCalNumber,0),1,1)*X462^INDEX(FlowCalConstB,MATCH(V447,FlowCalNumber,0),1,1)&lt;INDEX(FlowCalHighSetting,MATCH(V447,FlowCalNumber,0),1,1))),INDEX(FlowCalConstA,MATCH(V447,FlowCalNumber,0),1,1)*X462^INDEX(FlowCalConstB,MATCH(V447,FlowCalNumber,0),1,1)," ")</f>
        <v>#REF!</v>
      </c>
      <c r="Z462" s="33"/>
      <c r="AA462" s="242">
        <f t="shared" si="432"/>
        <v>0.9</v>
      </c>
      <c r="AB462" s="241" t="e">
        <f t="shared" ca="1" si="433"/>
        <v>#REF!</v>
      </c>
      <c r="AC462" s="243" t="e">
        <f ca="1">IF(AND(INDEX(FlowCalConstA,MATCH(Z447,FlowCalNumber,0),1,1)*AB462^INDEX(FlowCalConstB,MATCH(Z447,FlowCalNumber,0),1,1)&gt;INDEX(FlowCalLowSetting,MATCH(Z447,FlowCalNumber,0),1,1), (INDEX(FlowCalConstA,MATCH(Z447,FlowCalNumber,0),1,1)*AB462^INDEX(FlowCalConstB,MATCH(Z447,FlowCalNumber,0),1,1)&lt;INDEX(FlowCalHighSetting,MATCH(Z447,FlowCalNumber,0),1,1))),INDEX(FlowCalConstA,MATCH(Z447,FlowCalNumber,0),1,1)*AB462^INDEX(FlowCalConstB,MATCH(Z447,FlowCalNumber,0),1,1)," ")</f>
        <v>#REF!</v>
      </c>
      <c r="AD462" s="33"/>
      <c r="AE462" s="242">
        <f t="shared" si="434"/>
        <v>0.1</v>
      </c>
      <c r="AF462" s="241" t="e">
        <f t="shared" ca="1" si="435"/>
        <v>#REF!</v>
      </c>
      <c r="AG462" s="243" t="e">
        <f ca="1">IF(AND(INDEX(FlowCalConstA,MATCH(AD447,FlowCalNumber,0),1,1)*AF462^INDEX(FlowCalConstB,MATCH(AD447,FlowCalNumber,0),1,1)&gt;INDEX(FlowCalLowSetting,MATCH(AD447,FlowCalNumber,0),1,1), (INDEX(FlowCalConstA,MATCH(AD447,FlowCalNumber,0),1,1)*AF462^INDEX(FlowCalConstB,MATCH(AD447,FlowCalNumber,0),1,1)&lt;INDEX(FlowCalHighSetting,MATCH(AD447,FlowCalNumber,0),1,1))),INDEX(FlowCalConstA,MATCH(AD447,FlowCalNumber,0),1,1)*AF462^INDEX(FlowCalConstB,MATCH(AD447,FlowCalNumber,0),1,1)," ")</f>
        <v>#REF!</v>
      </c>
      <c r="AH462" s="33"/>
      <c r="AI462" s="242">
        <f t="shared" si="436"/>
        <v>0.9</v>
      </c>
      <c r="AJ462" s="241" t="e">
        <f t="shared" ca="1" si="437"/>
        <v>#REF!</v>
      </c>
      <c r="AK462" s="243" t="e">
        <f ca="1">IF(AND(INDEX(FlowCalConstA,MATCH(AH447,FlowCalNumber,0),1,1)*AJ462^INDEX(FlowCalConstB,MATCH(AH447,FlowCalNumber,0),1,1)&gt;INDEX(FlowCalLowSetting,MATCH(AH447,FlowCalNumber,0),1,1), (INDEX(FlowCalConstA,MATCH(AH447,FlowCalNumber,0),1,1)*AJ462^INDEX(FlowCalConstB,MATCH(AH447,FlowCalNumber,0),1,1)&lt;INDEX(FlowCalHighSetting,MATCH(AH447,FlowCalNumber,0),1,1))),INDEX(FlowCalConstA,MATCH(AH447,FlowCalNumber,0),1,1)*AJ462^INDEX(FlowCalConstB,MATCH(AH447,FlowCalNumber,0),1,1)," ")</f>
        <v>#REF!</v>
      </c>
      <c r="AL462" s="33"/>
      <c r="AM462" s="242"/>
      <c r="AN462" s="241"/>
      <c r="AO462" s="244"/>
      <c r="AQ462" s="242"/>
      <c r="AR462" s="241"/>
      <c r="AS462" s="244"/>
      <c r="AT462" s="33"/>
      <c r="AU462" s="242"/>
      <c r="AV462" s="241"/>
      <c r="AW462" s="244"/>
      <c r="AX462" s="33"/>
      <c r="AY462" s="242"/>
      <c r="AZ462" s="241"/>
      <c r="BA462" s="244"/>
      <c r="BB462" s="33"/>
      <c r="BC462" s="242"/>
      <c r="BD462" s="241"/>
      <c r="BE462" s="244"/>
      <c r="BF462" s="33"/>
      <c r="BG462" s="242"/>
      <c r="BH462" s="241"/>
      <c r="BI462" s="244"/>
      <c r="BJ462" s="33"/>
      <c r="BK462" s="242"/>
      <c r="BL462" s="241"/>
      <c r="BM462" s="244"/>
      <c r="BN462" s="33"/>
      <c r="BO462" s="242"/>
      <c r="BP462" s="241"/>
      <c r="BQ462" s="244"/>
      <c r="BR462" s="33"/>
      <c r="BS462" s="242"/>
      <c r="BT462" s="241"/>
      <c r="BU462" s="244"/>
      <c r="BV462" s="33"/>
      <c r="BW462" s="242"/>
      <c r="BX462" s="241"/>
      <c r="BY462" s="244"/>
      <c r="BZ462" s="33"/>
      <c r="CA462" s="242"/>
      <c r="CB462" s="241"/>
      <c r="CC462" s="244"/>
      <c r="CD462" s="243"/>
      <c r="CE462" s="243"/>
      <c r="CF462" s="243"/>
      <c r="CG462" s="243"/>
      <c r="CH462" s="243"/>
      <c r="CI462" s="243"/>
      <c r="CJ462" s="243"/>
      <c r="CK462" s="243"/>
      <c r="CL462" s="243"/>
      <c r="CM462" s="243"/>
      <c r="CN462" s="243"/>
      <c r="CO462" s="243"/>
      <c r="CP462" s="243"/>
      <c r="CQ462" s="243"/>
      <c r="CR462" s="243"/>
      <c r="CS462" s="243"/>
      <c r="CT462" s="243"/>
      <c r="CU462" s="243"/>
      <c r="CV462" s="243"/>
      <c r="CW462" s="243"/>
      <c r="CX462" s="243"/>
      <c r="CY462" s="243"/>
      <c r="CZ462" s="243"/>
      <c r="DA462" s="243"/>
      <c r="DB462" s="243"/>
      <c r="DC462" s="243"/>
      <c r="DD462" s="243"/>
      <c r="DE462" s="243"/>
      <c r="DF462" s="243"/>
      <c r="DG462" s="243"/>
      <c r="DH462" s="243"/>
      <c r="DI462" s="243"/>
      <c r="DJ462" s="243"/>
      <c r="DK462" s="243"/>
      <c r="DM462" s="242"/>
      <c r="DO462" s="243"/>
      <c r="DQ462" s="242"/>
      <c r="DS462" s="243"/>
      <c r="DU462" s="242"/>
      <c r="DW462" s="243"/>
      <c r="DY462" s="242"/>
      <c r="EA462" s="243"/>
    </row>
    <row r="463" spans="1:131">
      <c r="A463" s="33"/>
      <c r="B463" s="33"/>
      <c r="C463" s="235"/>
      <c r="E463" s="90"/>
      <c r="F463" s="90"/>
      <c r="G463" s="33"/>
      <c r="J463" s="33"/>
      <c r="N463" s="33"/>
      <c r="Q463" s="243"/>
      <c r="R463" s="33"/>
      <c r="U463" s="244"/>
      <c r="V463" s="33"/>
      <c r="Y463" s="243"/>
      <c r="Z463" s="33"/>
      <c r="AC463" s="243"/>
      <c r="AD463" s="33"/>
      <c r="AG463" s="243"/>
      <c r="AH463" s="33"/>
      <c r="AK463" s="244"/>
      <c r="AL463" s="792"/>
      <c r="AM463" s="243"/>
      <c r="AN463" s="243"/>
      <c r="AO463" s="244"/>
      <c r="AP463" s="243"/>
      <c r="AQ463" s="243"/>
      <c r="AR463" s="243"/>
      <c r="AS463" s="244"/>
      <c r="AT463" s="243"/>
      <c r="AU463" s="243"/>
      <c r="AV463" s="243"/>
      <c r="AW463" s="244"/>
      <c r="AX463" s="243"/>
      <c r="AY463" s="243"/>
      <c r="AZ463" s="243"/>
      <c r="BA463" s="244"/>
      <c r="BB463" s="33"/>
      <c r="BE463" s="244"/>
      <c r="BF463" s="33"/>
      <c r="BI463" s="244"/>
      <c r="BJ463" s="33"/>
      <c r="BM463" s="244"/>
      <c r="BN463" s="243"/>
      <c r="BO463" s="243"/>
      <c r="BP463" s="243"/>
      <c r="BQ463" s="244"/>
      <c r="BR463" s="792"/>
      <c r="BS463" s="243"/>
      <c r="BT463" s="243"/>
      <c r="BU463" s="244"/>
      <c r="BV463" s="792"/>
      <c r="BW463" s="243"/>
      <c r="BX463" s="243"/>
      <c r="BY463" s="244"/>
      <c r="BZ463" s="792"/>
      <c r="CA463" s="243"/>
      <c r="CB463" s="243"/>
      <c r="CC463" s="244"/>
      <c r="CD463" s="243"/>
      <c r="CE463" s="243"/>
      <c r="CF463" s="243"/>
      <c r="CG463" s="243"/>
      <c r="CH463" s="243"/>
      <c r="CI463" s="243"/>
      <c r="CJ463" s="243"/>
      <c r="CK463" s="243"/>
      <c r="CL463" s="243"/>
      <c r="CM463" s="243"/>
      <c r="CN463" s="243"/>
      <c r="CO463" s="243"/>
      <c r="CP463" s="243"/>
      <c r="CQ463" s="243"/>
      <c r="CR463" s="243"/>
      <c r="CS463" s="243"/>
      <c r="CT463" s="243"/>
      <c r="CU463" s="243"/>
      <c r="CV463" s="243"/>
      <c r="CW463" s="243"/>
      <c r="CX463" s="243"/>
      <c r="CY463" s="243"/>
      <c r="CZ463" s="243"/>
      <c r="DA463" s="243"/>
      <c r="DB463" s="243"/>
      <c r="DC463" s="243"/>
      <c r="DD463" s="243"/>
      <c r="DE463" s="243"/>
      <c r="DF463" s="243"/>
      <c r="DG463" s="243"/>
      <c r="DH463" s="243"/>
      <c r="DI463" s="243"/>
      <c r="DJ463" s="243"/>
      <c r="DK463" s="243"/>
      <c r="DO463" s="243"/>
      <c r="DS463" s="243"/>
      <c r="DW463" s="243"/>
      <c r="EA463" s="243"/>
    </row>
    <row r="464" spans="1:131">
      <c r="A464" s="256" t="str">
        <f>IF((RIGHT(A447,1))&lt;&gt;"Z",CHAR(CODE(A447))&amp;CHAR(CODE(RIGHT(A447,1))+1),CHAR(CODE(A447)+1)&amp;"A")</f>
        <v>BA</v>
      </c>
      <c r="B464" s="270" t="str">
        <f>INDEX(SourceID,MATCH($A464,SourceNumber,0),1,1)</f>
        <v>B2 Gen-1</v>
      </c>
      <c r="C464" s="354">
        <f>INDEX(SourceExitDiameter,MATCH($A464,SourceNumber,0),1,1)*3.28*12</f>
        <v>40.994999999999997</v>
      </c>
      <c r="D464" s="24" t="str">
        <f>UAnem1percent</f>
        <v>1% Wind</v>
      </c>
      <c r="E464" s="350" t="e">
        <f ca="1">INDIRECT(ADDRESS(53,6,1,,CONCATENATE("TA",$A464)))</f>
        <v>#REF!</v>
      </c>
      <c r="F464" s="625" t="e">
        <f ca="1">(ROUND((INDIRECT(ADDRESS(15,7,1,,CONCATENATE("TA",$A464)))*3.28*12*32),0)&amp;"/32")</f>
        <v>#REF!</v>
      </c>
      <c r="G464" s="125">
        <f ca="1">INDIRECT(ADDRESS(29,7,1,,$A464))</f>
        <v>6.001707317073171</v>
      </c>
      <c r="H464" s="24" t="e">
        <f ca="1">INDIRECT(ADDRESS(19,7,1,,$A464))*100^3</f>
        <v>#VALUE!</v>
      </c>
      <c r="I464" s="941">
        <f ca="1">INDIRECT(ADDRESS(53,7,1,,$A464))</f>
        <v>0.97430000000000005</v>
      </c>
      <c r="J464" s="20" t="str">
        <f ca="1">IF($I464=$I$6,K$16&amp;$G$6&amp;J$6,IF($I464=$I$7,K$16&amp;$G$7&amp;J$7,"Bad"))</f>
        <v>100EthPick a Tunnel</v>
      </c>
      <c r="K464" t="e">
        <f ca="1">INDEX(FlowCalGasMixture,MATCH(J464,FlowCalNumber,0),1,1)</f>
        <v>#N/A</v>
      </c>
      <c r="M464" s="944" t="e">
        <f ca="1">INDEX(FlowCalDevice,MATCH(J464,FlowCalNumber,0),1,1)</f>
        <v>#N/A</v>
      </c>
      <c r="N464" s="943" t="str">
        <f ca="1">IF($I464=$I$6,O$16&amp;$G$6&amp;"90"&amp;$H$6&amp;N$6,IF($I464=$I$7,O$16&amp;$G$7&amp;"90"&amp;$H$7&amp;N$7,"Bad"))</f>
        <v>10Eth90N2Pick a Tunnel</v>
      </c>
      <c r="O464" t="e">
        <f ca="1">INDEX(FlowCalGasMixture,MATCH(N464,FlowCalNumber,0),1,1)</f>
        <v>#N/A</v>
      </c>
      <c r="Q464" s="944" t="e">
        <f ca="1">INDEX(FlowCalDevice,MATCH(N464,FlowCalNumber,0),1,1)</f>
        <v>#N/A</v>
      </c>
      <c r="R464" s="943" t="str">
        <f ca="1">IF($I464=$I$6,S$16&amp;$G$6&amp;"90"&amp;$H$6&amp;R$6,IF($I464=$I$7,S$16&amp;$G$7&amp;"90"&amp;$H$7&amp;R$7,"Bad"))</f>
        <v>10Eth90N2Pick a Tunnel</v>
      </c>
      <c r="S464" t="e">
        <f ca="1">INDEX(FlowCalGasMixture,MATCH(R464,FlowCalNumber,0),1,1)</f>
        <v>#N/A</v>
      </c>
      <c r="U464" s="944" t="e">
        <f ca="1">INDEX(FlowCalDevice,MATCH(R464,FlowCalNumber,0),1,1)</f>
        <v>#N/A</v>
      </c>
      <c r="V464" s="20" t="str">
        <f ca="1">IF($I464=$I$6,W$16&amp;$G$6&amp;V$6,IF($I464=$I$7,W$16&amp;$G$7&amp;V$7,"Bad"))</f>
        <v>100EthPick a Tunnel</v>
      </c>
      <c r="W464" t="e">
        <f ca="1">INDEX(FlowCalGasMixture,MATCH(V464,FlowCalNumber,0),1,1)</f>
        <v>#N/A</v>
      </c>
      <c r="Y464" s="944" t="e">
        <f ca="1">INDEX(FlowCalDevice,MATCH(V464,FlowCalNumber,0),1,1)</f>
        <v>#N/A</v>
      </c>
      <c r="Z464" s="946" t="str">
        <f ca="1">IF($I464=$I$6,AA$18&amp;$H$6&amp;Z$6,IF($I464=$I$7,AA$18&amp;$H$7&amp;Z$7,"Bad"))</f>
        <v>100N2Pick a Tunnel</v>
      </c>
      <c r="AA464" t="e">
        <f ca="1">INDEX(FlowCalGasMixture,MATCH(Z464,FlowCalNumber,0),1,1)</f>
        <v>#N/A</v>
      </c>
      <c r="AC464" s="944" t="e">
        <f ca="1">INDEX(FlowCalDevice,MATCH(Z464,FlowCalNumber,0),1,1)</f>
        <v>#N/A</v>
      </c>
      <c r="AD464" s="20" t="str">
        <f ca="1">IF($I464=$I$6,AE$16&amp;$G$6&amp;AD$6,IF($I464=$I$7,AE$16&amp;$G$7&amp;AD$7,"Bad"))</f>
        <v>100EthPick a Tunnel</v>
      </c>
      <c r="AE464" t="e">
        <f ca="1">INDEX(FlowCalGasMixture,MATCH(AD464,FlowCalNumber,0),1,1)</f>
        <v>#N/A</v>
      </c>
      <c r="AG464" s="944" t="e">
        <f ca="1">INDEX(FlowCalDevice,MATCH(AD464,FlowCalNumber,0),1,1)</f>
        <v>#N/A</v>
      </c>
      <c r="AH464" s="946" t="str">
        <f ca="1">IF($I464=$I$6,AI$18&amp;$H$6&amp;AH$6,IF($I464=$I$7,AI$18&amp;$H$7&amp;AH$7,"Bad"))</f>
        <v>100N2Pick a Tunnel</v>
      </c>
      <c r="AI464" t="e">
        <f ca="1">INDEX(FlowCalGasMixture,MATCH(AH464,FlowCalNumber,0),1,1)</f>
        <v>#N/A</v>
      </c>
      <c r="AK464" s="944" t="e">
        <f ca="1">INDEX(FlowCalDevice,MATCH(AH464,FlowCalNumber,0),1,1)</f>
        <v>#N/A</v>
      </c>
      <c r="AL464" s="20"/>
      <c r="AO464" s="982"/>
      <c r="AP464" s="960"/>
      <c r="AS464" s="982"/>
      <c r="AT464" s="20"/>
      <c r="AW464" s="982"/>
      <c r="AX464" s="946"/>
      <c r="BA464" s="982"/>
      <c r="BB464" s="20"/>
      <c r="BC464" s="16"/>
      <c r="BE464" s="982"/>
      <c r="BF464" s="946"/>
      <c r="BG464" s="16"/>
      <c r="BI464" s="982"/>
      <c r="BJ464" s="946"/>
      <c r="BK464" s="16"/>
      <c r="BM464" s="982"/>
      <c r="BN464" s="20"/>
      <c r="BO464" s="16"/>
      <c r="BQ464" s="982"/>
      <c r="BR464" s="946"/>
      <c r="BS464" s="16"/>
      <c r="BU464" s="982"/>
      <c r="BV464" s="946"/>
      <c r="BW464" s="16"/>
      <c r="BY464" s="982"/>
      <c r="BZ464" s="946"/>
      <c r="CA464" s="16"/>
      <c r="CC464" s="982"/>
      <c r="CD464" s="355"/>
      <c r="CE464" s="355"/>
      <c r="CF464" s="355"/>
      <c r="CG464" s="355"/>
      <c r="CH464" s="355"/>
      <c r="CI464" s="355"/>
      <c r="CJ464" s="355"/>
      <c r="CK464" s="355"/>
      <c r="CL464" s="355"/>
      <c r="CM464" s="355"/>
      <c r="CN464" s="355"/>
      <c r="CO464" s="355"/>
      <c r="CP464" s="355"/>
      <c r="CQ464" s="355"/>
      <c r="CR464" s="355"/>
      <c r="CS464" s="355"/>
      <c r="CT464" s="355"/>
      <c r="CU464" s="355"/>
      <c r="CV464" s="355"/>
      <c r="CW464" s="355"/>
      <c r="CX464" s="355"/>
      <c r="CY464" s="355"/>
      <c r="CZ464" s="355"/>
      <c r="DA464" s="355"/>
      <c r="DB464" s="355"/>
      <c r="DC464" s="355"/>
      <c r="DD464" s="355"/>
      <c r="DE464" s="355"/>
      <c r="DF464" s="355"/>
      <c r="DG464" s="355"/>
      <c r="DH464" s="355"/>
      <c r="DI464" s="355"/>
      <c r="DJ464" s="355"/>
      <c r="DK464" s="355"/>
      <c r="DL464" s="46"/>
      <c r="DM464" s="16"/>
      <c r="DO464" s="355"/>
      <c r="DP464" s="42"/>
      <c r="DQ464" s="16"/>
      <c r="DS464" s="355"/>
      <c r="DT464" s="42"/>
      <c r="DU464" s="16"/>
      <c r="DW464" s="355"/>
      <c r="DX464" s="42"/>
      <c r="DY464" s="16"/>
      <c r="EA464" s="355"/>
    </row>
    <row r="465" spans="1:131">
      <c r="A465" s="20"/>
      <c r="B465" s="124" t="str">
        <f t="shared" ref="B465:B479" si="438">IF(D465=UAnem1percent,"1% Wind","")</f>
        <v/>
      </c>
      <c r="C465" s="235"/>
      <c r="D465" s="24">
        <f>'1% Wind'!$M$82</f>
        <v>27</v>
      </c>
      <c r="E465" s="90"/>
      <c r="F465" s="90"/>
      <c r="G465" s="79">
        <f ca="1">IF(I464=0.9743,$G464,MAX(G464/D464*D465,2))</f>
        <v>6.001707317073171</v>
      </c>
      <c r="H465" s="121" t="e">
        <f t="shared" ref="H465:H479" ca="1" si="439">H464*(D464/D465)*(G465/G464)</f>
        <v>#VALUE!</v>
      </c>
      <c r="J465" s="33"/>
      <c r="K465" s="260">
        <f>K$17/100</f>
        <v>1</v>
      </c>
      <c r="L465" s="241" t="e">
        <f ca="1">K465*$H465</f>
        <v>#VALUE!</v>
      </c>
      <c r="M465" s="243" t="e">
        <f ca="1">IF(AND(INDEX(FlowCalConstA,MATCH(J464,FlowCalNumber,0),1,1)*L465^INDEX(FlowCalConstB,MATCH(J464,FlowCalNumber,0),1,1)&gt;INDEX(FlowCalLowSetting,MATCH(J464,FlowCalNumber,0),1,1), (INDEX(FlowCalConstA,MATCH(J464,FlowCalNumber,0),1,1)*L465^INDEX(FlowCalConstB,MATCH(J464,FlowCalNumber,0),1,1)&lt;INDEX(FlowCalHighSetting,MATCH(J464,FlowCalNumber,0),1,1))),INDEX(FlowCalConstA,MATCH(J464,FlowCalNumber,0),1,1)*L465^INDEX(FlowCalConstB,MATCH(J464,FlowCalNumber,0),1,1)," ")</f>
        <v>#N/A</v>
      </c>
      <c r="N465" s="33"/>
      <c r="O465" s="260">
        <f>O$17/100</f>
        <v>1</v>
      </c>
      <c r="P465" s="241" t="e">
        <f ca="1">O465*$H465</f>
        <v>#VALUE!</v>
      </c>
      <c r="Q465" s="243" t="e">
        <f ca="1">IF(AND(INDEX(FlowCalConstA,MATCH(N464,FlowCalNumber,0),1,1)*P465^INDEX(FlowCalConstB,MATCH(N464,FlowCalNumber,0),1,1)&gt;INDEX(FlowCalLowSetting,MATCH(N464,FlowCalNumber,0),1,1), (INDEX(FlowCalConstA,MATCH(N464,FlowCalNumber,0),1,1)*P465^INDEX(FlowCalConstB,MATCH(N464,FlowCalNumber,0),1,1)&lt;INDEX(FlowCalHighSetting,MATCH(N464,FlowCalNumber,0),1,1))),INDEX(FlowCalConstA,MATCH(N464,FlowCalNumber,0),1,1)*P465^INDEX(FlowCalConstB,MATCH(N464,FlowCalNumber,0),1,1)," ")</f>
        <v>#N/A</v>
      </c>
      <c r="R465" s="33"/>
      <c r="S465" s="260">
        <f>S$17/100</f>
        <v>1</v>
      </c>
      <c r="T465" s="241" t="e">
        <f ca="1">S465*$H465</f>
        <v>#VALUE!</v>
      </c>
      <c r="U465" s="244" t="e">
        <f ca="1">IF(AND(INDEX(FlowCalConstA,MATCH(R464,FlowCalNumber,0),1,1)*T465^INDEX(FlowCalConstB,MATCH(R464,FlowCalNumber,0),1,1)&gt;INDEX(FlowCalLowSetting,MATCH(R464,FlowCalNumber,0),1,1), (INDEX(FlowCalConstA,MATCH(R464,FlowCalNumber,0),1,1)*T465^INDEX(FlowCalConstB,MATCH(R464,FlowCalNumber,0),1,1)&lt;INDEX(FlowCalHighSetting,MATCH(R464,FlowCalNumber,0),1,1))),INDEX(FlowCalConstA,MATCH(R464,FlowCalNumber,0),1,1)*T465^INDEX(FlowCalConstB,MATCH(R464,FlowCalNumber,0),1,1)," ")</f>
        <v>#N/A</v>
      </c>
      <c r="V465" s="33"/>
      <c r="W465" s="260">
        <f>W$17/100</f>
        <v>0.1</v>
      </c>
      <c r="X465" s="241" t="e">
        <f ca="1">W465*$H465</f>
        <v>#VALUE!</v>
      </c>
      <c r="Y465" s="243" t="e">
        <f ca="1">IF(AND(INDEX(FlowCalConstA,MATCH(V464,FlowCalNumber,0),1,1)*X465^INDEX(FlowCalConstB,MATCH(V464,FlowCalNumber,0),1,1)&gt;INDEX(FlowCalLowSetting,MATCH(V464,FlowCalNumber,0),1,1), (INDEX(FlowCalConstA,MATCH(V464,FlowCalNumber,0),1,1)*X465^INDEX(FlowCalConstB,MATCH(V464,FlowCalNumber,0),1,1)&lt;INDEX(FlowCalHighSetting,MATCH(V464,FlowCalNumber,0),1,1))),INDEX(FlowCalConstA,MATCH(V464,FlowCalNumber,0),1,1)*X465^INDEX(FlowCalConstB,MATCH(V464,FlowCalNumber,0),1,1)," ")</f>
        <v>#N/A</v>
      </c>
      <c r="Z465" s="33"/>
      <c r="AA465" s="260">
        <f>AA$17/100</f>
        <v>0.9</v>
      </c>
      <c r="AB465" s="241" t="e">
        <f ca="1">AA465*$H465</f>
        <v>#VALUE!</v>
      </c>
      <c r="AC465" s="243" t="e">
        <f ca="1">IF(AND(INDEX(FlowCalConstA,MATCH(Z464,FlowCalNumber,0),1,1)*AB465^INDEX(FlowCalConstB,MATCH(Z464,FlowCalNumber,0),1,1)&gt;INDEX(FlowCalLowSetting,MATCH(Z464,FlowCalNumber,0),1,1), (INDEX(FlowCalConstA,MATCH(Z464,FlowCalNumber,0),1,1)*AB465^INDEX(FlowCalConstB,MATCH(Z464,FlowCalNumber,0),1,1)&lt;INDEX(FlowCalHighSetting,MATCH(Z464,FlowCalNumber,0),1,1))),INDEX(FlowCalConstA,MATCH(Z464,FlowCalNumber,0),1,1)*AB465^INDEX(FlowCalConstB,MATCH(Z464,FlowCalNumber,0),1,1)," ")</f>
        <v>#N/A</v>
      </c>
      <c r="AD465" s="33"/>
      <c r="AE465" s="260">
        <f>AE$17/100</f>
        <v>0.1</v>
      </c>
      <c r="AF465" s="241" t="e">
        <f ca="1">AE465*$H465</f>
        <v>#VALUE!</v>
      </c>
      <c r="AG465" s="243" t="e">
        <f ca="1">IF(AND(INDEX(FlowCalConstA,MATCH(AD464,FlowCalNumber,0),1,1)*AF465^INDEX(FlowCalConstB,MATCH(AD464,FlowCalNumber,0),1,1)&gt;INDEX(FlowCalLowSetting,MATCH(AD464,FlowCalNumber,0),1,1), (INDEX(FlowCalConstA,MATCH(AD464,FlowCalNumber,0),1,1)*AF465^INDEX(FlowCalConstB,MATCH(AD464,FlowCalNumber,0),1,1)&lt;INDEX(FlowCalHighSetting,MATCH(AD464,FlowCalNumber,0),1,1))),INDEX(FlowCalConstA,MATCH(AD464,FlowCalNumber,0),1,1)*AF465^INDEX(FlowCalConstB,MATCH(AD464,FlowCalNumber,0),1,1)," ")</f>
        <v>#N/A</v>
      </c>
      <c r="AH465" s="33"/>
      <c r="AI465" s="260">
        <f>AI$17/100</f>
        <v>0.9</v>
      </c>
      <c r="AJ465" s="241" t="e">
        <f ca="1">AI465*$H465</f>
        <v>#VALUE!</v>
      </c>
      <c r="AK465" s="243" t="e">
        <f ca="1">IF(AND(INDEX(FlowCalConstA,MATCH(AH464,FlowCalNumber,0),1,1)*AJ465^INDEX(FlowCalConstB,MATCH(AH464,FlowCalNumber,0),1,1)&gt;INDEX(FlowCalLowSetting,MATCH(AH464,FlowCalNumber,0),1,1), (INDEX(FlowCalConstA,MATCH(AH464,FlowCalNumber,0),1,1)*AJ465^INDEX(FlowCalConstB,MATCH(AH464,FlowCalNumber,0),1,1)&lt;INDEX(FlowCalHighSetting,MATCH(AH464,FlowCalNumber,0),1,1))),INDEX(FlowCalConstA,MATCH(AH464,FlowCalNumber,0),1,1)*AJ465^INDEX(FlowCalConstB,MATCH(AH464,FlowCalNumber,0),1,1)," ")</f>
        <v>#N/A</v>
      </c>
      <c r="AL465" s="33"/>
      <c r="AM465" s="260"/>
      <c r="AN465" s="241"/>
      <c r="AO465" s="244"/>
      <c r="AQ465" s="260"/>
      <c r="AR465" s="241"/>
      <c r="AS465" s="244"/>
      <c r="AT465" s="33"/>
      <c r="AU465" s="260"/>
      <c r="AV465" s="241"/>
      <c r="AW465" s="244"/>
      <c r="AX465" s="33"/>
      <c r="AY465" s="260"/>
      <c r="AZ465" s="241"/>
      <c r="BA465" s="244"/>
      <c r="BB465" s="33"/>
      <c r="BC465" s="260"/>
      <c r="BD465" s="241"/>
      <c r="BE465" s="244"/>
      <c r="BF465" s="33"/>
      <c r="BG465" s="260"/>
      <c r="BH465" s="241"/>
      <c r="BI465" s="244"/>
      <c r="BJ465" s="33"/>
      <c r="BK465" s="260"/>
      <c r="BL465" s="241"/>
      <c r="BM465" s="244"/>
      <c r="BN465" s="33"/>
      <c r="BO465" s="260"/>
      <c r="BP465" s="241"/>
      <c r="BQ465" s="244"/>
      <c r="BR465" s="33"/>
      <c r="BS465" s="260"/>
      <c r="BT465" s="241"/>
      <c r="BU465" s="244"/>
      <c r="BV465" s="33"/>
      <c r="BW465" s="260"/>
      <c r="BX465" s="241"/>
      <c r="BY465" s="244"/>
      <c r="BZ465" s="33"/>
      <c r="CA465" s="260"/>
      <c r="CB465" s="241"/>
      <c r="CC465" s="244"/>
      <c r="CD465" s="243"/>
      <c r="CE465" s="243"/>
      <c r="CF465" s="243"/>
      <c r="CG465" s="243"/>
      <c r="CH465" s="243"/>
      <c r="CI465" s="243"/>
      <c r="CJ465" s="243"/>
      <c r="CK465" s="243"/>
      <c r="CL465" s="243"/>
      <c r="CM465" s="243"/>
      <c r="CN465" s="243"/>
      <c r="CO465" s="243"/>
      <c r="CP465" s="243"/>
      <c r="CQ465" s="243"/>
      <c r="CR465" s="243"/>
      <c r="CS465" s="243"/>
      <c r="CT465" s="243"/>
      <c r="CU465" s="243"/>
      <c r="CV465" s="243"/>
      <c r="CW465" s="243"/>
      <c r="CX465" s="243"/>
      <c r="CY465" s="243"/>
      <c r="CZ465" s="243"/>
      <c r="DA465" s="243"/>
      <c r="DB465" s="243"/>
      <c r="DC465" s="243"/>
      <c r="DD465" s="243"/>
      <c r="DE465" s="243"/>
      <c r="DF465" s="243"/>
      <c r="DG465" s="243"/>
      <c r="DH465" s="243"/>
      <c r="DI465" s="243"/>
      <c r="DJ465" s="243"/>
      <c r="DK465" s="243"/>
      <c r="DM465" s="259"/>
      <c r="DO465" s="243"/>
      <c r="DQ465" s="259"/>
      <c r="DS465" s="243"/>
      <c r="DU465" s="259"/>
      <c r="DW465" s="243"/>
      <c r="DY465" s="260"/>
      <c r="EA465" s="243"/>
    </row>
    <row r="466" spans="1:131">
      <c r="A466" s="20"/>
      <c r="B466" s="124" t="str">
        <f t="shared" si="438"/>
        <v/>
      </c>
      <c r="C466" s="235"/>
      <c r="D466" s="24">
        <f>'1% Wind'!$M$83</f>
        <v>23.5</v>
      </c>
      <c r="E466" s="90"/>
      <c r="F466" s="90"/>
      <c r="G466" s="79">
        <f ca="1">IF(I464=0.9743,$G465,MAX(G465/D465*D466,2))</f>
        <v>6.001707317073171</v>
      </c>
      <c r="H466" s="121" t="e">
        <f t="shared" ca="1" si="439"/>
        <v>#VALUE!</v>
      </c>
      <c r="J466" s="33"/>
      <c r="K466" s="242">
        <f t="shared" ref="K466:K479" si="440">K465</f>
        <v>1</v>
      </c>
      <c r="L466" s="241" t="e">
        <f t="shared" ref="L466:L479" ca="1" si="441">K466*$H466</f>
        <v>#VALUE!</v>
      </c>
      <c r="M466" s="243" t="e">
        <f ca="1">IF(AND(INDEX(FlowCalConstA,MATCH(J464,FlowCalNumber,0),1,1)*L466^INDEX(FlowCalConstB,MATCH(J464,FlowCalNumber,0),1,1)&gt;INDEX(FlowCalLowSetting,MATCH(J464,FlowCalNumber,0),1,1), (INDEX(FlowCalConstA,MATCH(J464,FlowCalNumber,0),1,1)*L466^INDEX(FlowCalConstB,MATCH(J464,FlowCalNumber,0),1,1)&lt;INDEX(FlowCalHighSetting,MATCH(J464,FlowCalNumber,0),1,1))),INDEX(FlowCalConstA,MATCH(J464,FlowCalNumber,0),1,1)*L466^INDEX(FlowCalConstB,MATCH(J464,FlowCalNumber,0),1,1)," ")</f>
        <v>#N/A</v>
      </c>
      <c r="N466" s="33"/>
      <c r="O466" s="242">
        <f t="shared" ref="O466:O479" si="442">O465</f>
        <v>1</v>
      </c>
      <c r="P466" s="241" t="e">
        <f t="shared" ref="P466:P479" ca="1" si="443">O466*$H466</f>
        <v>#VALUE!</v>
      </c>
      <c r="Q466" s="243" t="e">
        <f ca="1">IF(AND(INDEX(FlowCalConstA,MATCH(N464,FlowCalNumber,0),1,1)*P466^INDEX(FlowCalConstB,MATCH(N464,FlowCalNumber,0),1,1)&gt;INDEX(FlowCalLowSetting,MATCH(N464,FlowCalNumber,0),1,1), (INDEX(FlowCalConstA,MATCH(N464,FlowCalNumber,0),1,1)*P466^INDEX(FlowCalConstB,MATCH(N464,FlowCalNumber,0),1,1)&lt;INDEX(FlowCalHighSetting,MATCH(N464,FlowCalNumber,0),1,1))),INDEX(FlowCalConstA,MATCH(N464,FlowCalNumber,0),1,1)*P466^INDEX(FlowCalConstB,MATCH(N464,FlowCalNumber,0),1,1)," ")</f>
        <v>#N/A</v>
      </c>
      <c r="R466" s="33"/>
      <c r="S466" s="242">
        <f t="shared" ref="S466:S479" si="444">S465</f>
        <v>1</v>
      </c>
      <c r="T466" s="241" t="e">
        <f t="shared" ref="T466:T479" ca="1" si="445">S466*$H466</f>
        <v>#VALUE!</v>
      </c>
      <c r="U466" s="244" t="e">
        <f ca="1">IF(AND(INDEX(FlowCalConstA,MATCH(R464,FlowCalNumber,0),1,1)*T466^INDEX(FlowCalConstB,MATCH(R464,FlowCalNumber,0),1,1)&gt;INDEX(FlowCalLowSetting,MATCH(R464,FlowCalNumber,0),1,1), (INDEX(FlowCalConstA,MATCH(R464,FlowCalNumber,0),1,1)*T466^INDEX(FlowCalConstB,MATCH(R464,FlowCalNumber,0),1,1)&lt;INDEX(FlowCalHighSetting,MATCH(R464,FlowCalNumber,0),1,1))),INDEX(FlowCalConstA,MATCH(R464,FlowCalNumber,0),1,1)*T466^INDEX(FlowCalConstB,MATCH(R464,FlowCalNumber,0),1,1)," ")</f>
        <v>#N/A</v>
      </c>
      <c r="V466" s="33"/>
      <c r="W466" s="242">
        <f t="shared" ref="W466:W479" si="446">W465</f>
        <v>0.1</v>
      </c>
      <c r="X466" s="241" t="e">
        <f t="shared" ref="X466:X479" ca="1" si="447">W466*$H466</f>
        <v>#VALUE!</v>
      </c>
      <c r="Y466" s="243" t="e">
        <f ca="1">IF(AND(INDEX(FlowCalConstA,MATCH(V464,FlowCalNumber,0),1,1)*X466^INDEX(FlowCalConstB,MATCH(V464,FlowCalNumber,0),1,1)&gt;INDEX(FlowCalLowSetting,MATCH(V464,FlowCalNumber,0),1,1), (INDEX(FlowCalConstA,MATCH(V464,FlowCalNumber,0),1,1)*X466^INDEX(FlowCalConstB,MATCH(V464,FlowCalNumber,0),1,1)&lt;INDEX(FlowCalHighSetting,MATCH(V464,FlowCalNumber,0),1,1))),INDEX(FlowCalConstA,MATCH(V464,FlowCalNumber,0),1,1)*X466^INDEX(FlowCalConstB,MATCH(V464,FlowCalNumber,0),1,1)," ")</f>
        <v>#N/A</v>
      </c>
      <c r="Z466" s="33"/>
      <c r="AA466" s="242">
        <f t="shared" ref="AA466:AA479" si="448">AA465</f>
        <v>0.9</v>
      </c>
      <c r="AB466" s="241" t="e">
        <f t="shared" ref="AB466:AB479" ca="1" si="449">AA466*$H466</f>
        <v>#VALUE!</v>
      </c>
      <c r="AC466" s="243" t="e">
        <f ca="1">IF(AND(INDEX(FlowCalConstA,MATCH(Z464,FlowCalNumber,0),1,1)*AB466^INDEX(FlowCalConstB,MATCH(Z464,FlowCalNumber,0),1,1)&gt;INDEX(FlowCalLowSetting,MATCH(Z464,FlowCalNumber,0),1,1), (INDEX(FlowCalConstA,MATCH(Z464,FlowCalNumber,0),1,1)*AB466^INDEX(FlowCalConstB,MATCH(Z464,FlowCalNumber,0),1,1)&lt;INDEX(FlowCalHighSetting,MATCH(Z464,FlowCalNumber,0),1,1))),INDEX(FlowCalConstA,MATCH(Z464,FlowCalNumber,0),1,1)*AB466^INDEX(FlowCalConstB,MATCH(Z464,FlowCalNumber,0),1,1)," ")</f>
        <v>#N/A</v>
      </c>
      <c r="AD466" s="33"/>
      <c r="AE466" s="242">
        <f t="shared" ref="AE466:AE479" si="450">AE465</f>
        <v>0.1</v>
      </c>
      <c r="AF466" s="241" t="e">
        <f t="shared" ref="AF466:AF479" ca="1" si="451">AE466*$H466</f>
        <v>#VALUE!</v>
      </c>
      <c r="AG466" s="243" t="e">
        <f ca="1">IF(AND(INDEX(FlowCalConstA,MATCH(AD464,FlowCalNumber,0),1,1)*AF466^INDEX(FlowCalConstB,MATCH(AD464,FlowCalNumber,0),1,1)&gt;INDEX(FlowCalLowSetting,MATCH(AD464,FlowCalNumber,0),1,1), (INDEX(FlowCalConstA,MATCH(AD464,FlowCalNumber,0),1,1)*AF466^INDEX(FlowCalConstB,MATCH(AD464,FlowCalNumber,0),1,1)&lt;INDEX(FlowCalHighSetting,MATCH(AD464,FlowCalNumber,0),1,1))),INDEX(FlowCalConstA,MATCH(AD464,FlowCalNumber,0),1,1)*AF466^INDEX(FlowCalConstB,MATCH(AD464,FlowCalNumber,0),1,1)," ")</f>
        <v>#N/A</v>
      </c>
      <c r="AH466" s="33"/>
      <c r="AI466" s="242">
        <f t="shared" ref="AI466:AI479" si="452">AI465</f>
        <v>0.9</v>
      </c>
      <c r="AJ466" s="241" t="e">
        <f t="shared" ref="AJ466:AJ479" ca="1" si="453">AI466*$H466</f>
        <v>#VALUE!</v>
      </c>
      <c r="AK466" s="243" t="e">
        <f ca="1">IF(AND(INDEX(FlowCalConstA,MATCH(AH464,FlowCalNumber,0),1,1)*AJ466^INDEX(FlowCalConstB,MATCH(AH464,FlowCalNumber,0),1,1)&gt;INDEX(FlowCalLowSetting,MATCH(AH464,FlowCalNumber,0),1,1), (INDEX(FlowCalConstA,MATCH(AH464,FlowCalNumber,0),1,1)*AJ466^INDEX(FlowCalConstB,MATCH(AH464,FlowCalNumber,0),1,1)&lt;INDEX(FlowCalHighSetting,MATCH(AH464,FlowCalNumber,0),1,1))),INDEX(FlowCalConstA,MATCH(AH464,FlowCalNumber,0),1,1)*AJ466^INDEX(FlowCalConstB,MATCH(AH464,FlowCalNumber,0),1,1)," ")</f>
        <v>#N/A</v>
      </c>
      <c r="AL466" s="33"/>
      <c r="AM466" s="242"/>
      <c r="AN466" s="241"/>
      <c r="AO466" s="244"/>
      <c r="AQ466" s="242"/>
      <c r="AR466" s="241"/>
      <c r="AS466" s="244"/>
      <c r="AT466" s="33"/>
      <c r="AU466" s="242"/>
      <c r="AV466" s="241"/>
      <c r="AW466" s="244"/>
      <c r="AX466" s="33"/>
      <c r="AY466" s="242"/>
      <c r="AZ466" s="241"/>
      <c r="BA466" s="244"/>
      <c r="BB466" s="33"/>
      <c r="BC466" s="242"/>
      <c r="BD466" s="241"/>
      <c r="BE466" s="244"/>
      <c r="BF466" s="33"/>
      <c r="BG466" s="242"/>
      <c r="BH466" s="241"/>
      <c r="BI466" s="244"/>
      <c r="BJ466" s="33"/>
      <c r="BK466" s="242"/>
      <c r="BL466" s="241"/>
      <c r="BM466" s="244"/>
      <c r="BN466" s="33"/>
      <c r="BO466" s="242"/>
      <c r="BP466" s="241"/>
      <c r="BQ466" s="244"/>
      <c r="BR466" s="33"/>
      <c r="BS466" s="242"/>
      <c r="BT466" s="241"/>
      <c r="BU466" s="244"/>
      <c r="BV466" s="33"/>
      <c r="BW466" s="242"/>
      <c r="BX466" s="241"/>
      <c r="BY466" s="244"/>
      <c r="BZ466" s="33"/>
      <c r="CA466" s="242"/>
      <c r="CB466" s="241"/>
      <c r="CC466" s="244"/>
      <c r="CD466" s="243"/>
      <c r="CE466" s="243"/>
      <c r="CF466" s="243"/>
      <c r="CG466" s="243"/>
      <c r="CH466" s="243"/>
      <c r="CI466" s="243"/>
      <c r="CJ466" s="243"/>
      <c r="CK466" s="243"/>
      <c r="CL466" s="243"/>
      <c r="CM466" s="243"/>
      <c r="CN466" s="243"/>
      <c r="CO466" s="243"/>
      <c r="CP466" s="243"/>
      <c r="CQ466" s="243"/>
      <c r="CR466" s="243"/>
      <c r="CS466" s="243"/>
      <c r="CT466" s="243"/>
      <c r="CU466" s="243"/>
      <c r="CV466" s="243"/>
      <c r="CW466" s="243"/>
      <c r="CX466" s="243"/>
      <c r="CY466" s="243"/>
      <c r="CZ466" s="243"/>
      <c r="DA466" s="243"/>
      <c r="DB466" s="243"/>
      <c r="DC466" s="243"/>
      <c r="DD466" s="243"/>
      <c r="DE466" s="243"/>
      <c r="DF466" s="243"/>
      <c r="DG466" s="243"/>
      <c r="DH466" s="243"/>
      <c r="DI466" s="243"/>
      <c r="DJ466" s="243"/>
      <c r="DK466" s="243"/>
      <c r="DM466" s="242"/>
      <c r="DO466" s="243"/>
      <c r="DQ466" s="242"/>
      <c r="DS466" s="243"/>
      <c r="DU466" s="242"/>
      <c r="DW466" s="243"/>
      <c r="DY466" s="242"/>
      <c r="EA466" s="243"/>
    </row>
    <row r="467" spans="1:131">
      <c r="A467" s="20"/>
      <c r="B467" s="124" t="str">
        <f t="shared" si="438"/>
        <v/>
      </c>
      <c r="C467" s="235"/>
      <c r="D467" s="24">
        <f>'1% Wind'!$M$84</f>
        <v>20.5</v>
      </c>
      <c r="E467" s="90"/>
      <c r="F467" s="90"/>
      <c r="G467" s="79">
        <f ca="1">IF(I464=0.9743,$G466,MAX(G466/D466*D467,2))</f>
        <v>6.001707317073171</v>
      </c>
      <c r="H467" s="121" t="e">
        <f t="shared" ca="1" si="439"/>
        <v>#VALUE!</v>
      </c>
      <c r="J467" s="33"/>
      <c r="K467" s="242">
        <f t="shared" si="440"/>
        <v>1</v>
      </c>
      <c r="L467" s="241" t="e">
        <f t="shared" ca="1" si="441"/>
        <v>#VALUE!</v>
      </c>
      <c r="M467" s="243" t="e">
        <f ca="1">IF(AND(INDEX(FlowCalConstA,MATCH(J464,FlowCalNumber,0),1,1)*L467^INDEX(FlowCalConstB,MATCH(J464,FlowCalNumber,0),1,1)&gt;INDEX(FlowCalLowSetting,MATCH(J464,FlowCalNumber,0),1,1), (INDEX(FlowCalConstA,MATCH(J464,FlowCalNumber,0),1,1)*L467^INDEX(FlowCalConstB,MATCH(J464,FlowCalNumber,0),1,1)&lt;INDEX(FlowCalHighSetting,MATCH(J464,FlowCalNumber,0),1,1))),INDEX(FlowCalConstA,MATCH(J464,FlowCalNumber,0),1,1)*L467^INDEX(FlowCalConstB,MATCH(J464,FlowCalNumber,0),1,1)," ")</f>
        <v>#N/A</v>
      </c>
      <c r="N467" s="33"/>
      <c r="O467" s="242">
        <f t="shared" si="442"/>
        <v>1</v>
      </c>
      <c r="P467" s="241" t="e">
        <f t="shared" ca="1" si="443"/>
        <v>#VALUE!</v>
      </c>
      <c r="Q467" s="243" t="e">
        <f ca="1">IF(AND(INDEX(FlowCalConstA,MATCH(N464,FlowCalNumber,0),1,1)*P467^INDEX(FlowCalConstB,MATCH(N464,FlowCalNumber,0),1,1)&gt;INDEX(FlowCalLowSetting,MATCH(N464,FlowCalNumber,0),1,1), (INDEX(FlowCalConstA,MATCH(N464,FlowCalNumber,0),1,1)*P467^INDEX(FlowCalConstB,MATCH(N464,FlowCalNumber,0),1,1)&lt;INDEX(FlowCalHighSetting,MATCH(N464,FlowCalNumber,0),1,1))),INDEX(FlowCalConstA,MATCH(N464,FlowCalNumber,0),1,1)*P467^INDEX(FlowCalConstB,MATCH(N464,FlowCalNumber,0),1,1)," ")</f>
        <v>#N/A</v>
      </c>
      <c r="R467" s="33"/>
      <c r="S467" s="242">
        <f t="shared" si="444"/>
        <v>1</v>
      </c>
      <c r="T467" s="241" t="e">
        <f t="shared" ca="1" si="445"/>
        <v>#VALUE!</v>
      </c>
      <c r="U467" s="244" t="e">
        <f ca="1">IF(AND(INDEX(FlowCalConstA,MATCH(R464,FlowCalNumber,0),1,1)*T467^INDEX(FlowCalConstB,MATCH(R464,FlowCalNumber,0),1,1)&gt;INDEX(FlowCalLowSetting,MATCH(R464,FlowCalNumber,0),1,1), (INDEX(FlowCalConstA,MATCH(R464,FlowCalNumber,0),1,1)*T467^INDEX(FlowCalConstB,MATCH(R464,FlowCalNumber,0),1,1)&lt;INDEX(FlowCalHighSetting,MATCH(R464,FlowCalNumber,0),1,1))),INDEX(FlowCalConstA,MATCH(R464,FlowCalNumber,0),1,1)*T467^INDEX(FlowCalConstB,MATCH(R464,FlowCalNumber,0),1,1)," ")</f>
        <v>#N/A</v>
      </c>
      <c r="V467" s="33"/>
      <c r="W467" s="242">
        <f t="shared" si="446"/>
        <v>0.1</v>
      </c>
      <c r="X467" s="241" t="e">
        <f t="shared" ca="1" si="447"/>
        <v>#VALUE!</v>
      </c>
      <c r="Y467" s="243" t="e">
        <f ca="1">IF(AND(INDEX(FlowCalConstA,MATCH(V464,FlowCalNumber,0),1,1)*X467^INDEX(FlowCalConstB,MATCH(V464,FlowCalNumber,0),1,1)&gt;INDEX(FlowCalLowSetting,MATCH(V464,FlowCalNumber,0),1,1), (INDEX(FlowCalConstA,MATCH(V464,FlowCalNumber,0),1,1)*X467^INDEX(FlowCalConstB,MATCH(V464,FlowCalNumber,0),1,1)&lt;INDEX(FlowCalHighSetting,MATCH(V464,FlowCalNumber,0),1,1))),INDEX(FlowCalConstA,MATCH(V464,FlowCalNumber,0),1,1)*X467^INDEX(FlowCalConstB,MATCH(V464,FlowCalNumber,0),1,1)," ")</f>
        <v>#N/A</v>
      </c>
      <c r="Z467" s="33"/>
      <c r="AA467" s="242">
        <f t="shared" si="448"/>
        <v>0.9</v>
      </c>
      <c r="AB467" s="241" t="e">
        <f t="shared" ca="1" si="449"/>
        <v>#VALUE!</v>
      </c>
      <c r="AC467" s="243" t="e">
        <f ca="1">IF(AND(INDEX(FlowCalConstA,MATCH(Z464,FlowCalNumber,0),1,1)*AB467^INDEX(FlowCalConstB,MATCH(Z464,FlowCalNumber,0),1,1)&gt;INDEX(FlowCalLowSetting,MATCH(Z464,FlowCalNumber,0),1,1), (INDEX(FlowCalConstA,MATCH(Z464,FlowCalNumber,0),1,1)*AB467^INDEX(FlowCalConstB,MATCH(Z464,FlowCalNumber,0),1,1)&lt;INDEX(FlowCalHighSetting,MATCH(Z464,FlowCalNumber,0),1,1))),INDEX(FlowCalConstA,MATCH(Z464,FlowCalNumber,0),1,1)*AB467^INDEX(FlowCalConstB,MATCH(Z464,FlowCalNumber,0),1,1)," ")</f>
        <v>#N/A</v>
      </c>
      <c r="AD467" s="33"/>
      <c r="AE467" s="242">
        <f t="shared" si="450"/>
        <v>0.1</v>
      </c>
      <c r="AF467" s="241" t="e">
        <f t="shared" ca="1" si="451"/>
        <v>#VALUE!</v>
      </c>
      <c r="AG467" s="243" t="e">
        <f ca="1">IF(AND(INDEX(FlowCalConstA,MATCH(AD464,FlowCalNumber,0),1,1)*AF467^INDEX(FlowCalConstB,MATCH(AD464,FlowCalNumber,0),1,1)&gt;INDEX(FlowCalLowSetting,MATCH(AD464,FlowCalNumber,0),1,1), (INDEX(FlowCalConstA,MATCH(AD464,FlowCalNumber,0),1,1)*AF467^INDEX(FlowCalConstB,MATCH(AD464,FlowCalNumber,0),1,1)&lt;INDEX(FlowCalHighSetting,MATCH(AD464,FlowCalNumber,0),1,1))),INDEX(FlowCalConstA,MATCH(AD464,FlowCalNumber,0),1,1)*AF467^INDEX(FlowCalConstB,MATCH(AD464,FlowCalNumber,0),1,1)," ")</f>
        <v>#N/A</v>
      </c>
      <c r="AH467" s="33"/>
      <c r="AI467" s="242">
        <f t="shared" si="452"/>
        <v>0.9</v>
      </c>
      <c r="AJ467" s="241" t="e">
        <f t="shared" ca="1" si="453"/>
        <v>#VALUE!</v>
      </c>
      <c r="AK467" s="243" t="e">
        <f ca="1">IF(AND(INDEX(FlowCalConstA,MATCH(AH464,FlowCalNumber,0),1,1)*AJ467^INDEX(FlowCalConstB,MATCH(AH464,FlowCalNumber,0),1,1)&gt;INDEX(FlowCalLowSetting,MATCH(AH464,FlowCalNumber,0),1,1), (INDEX(FlowCalConstA,MATCH(AH464,FlowCalNumber,0),1,1)*AJ467^INDEX(FlowCalConstB,MATCH(AH464,FlowCalNumber,0),1,1)&lt;INDEX(FlowCalHighSetting,MATCH(AH464,FlowCalNumber,0),1,1))),INDEX(FlowCalConstA,MATCH(AH464,FlowCalNumber,0),1,1)*AJ467^INDEX(FlowCalConstB,MATCH(AH464,FlowCalNumber,0),1,1)," ")</f>
        <v>#N/A</v>
      </c>
      <c r="AL467" s="33"/>
      <c r="AM467" s="242"/>
      <c r="AN467" s="241"/>
      <c r="AO467" s="244"/>
      <c r="AQ467" s="242"/>
      <c r="AR467" s="241"/>
      <c r="AS467" s="244"/>
      <c r="AT467" s="33"/>
      <c r="AU467" s="242"/>
      <c r="AV467" s="241"/>
      <c r="AW467" s="244"/>
      <c r="AX467" s="33"/>
      <c r="AY467" s="242"/>
      <c r="AZ467" s="241"/>
      <c r="BA467" s="244"/>
      <c r="BB467" s="33"/>
      <c r="BC467" s="242"/>
      <c r="BD467" s="241"/>
      <c r="BE467" s="244"/>
      <c r="BF467" s="33"/>
      <c r="BG467" s="242"/>
      <c r="BH467" s="241"/>
      <c r="BI467" s="244"/>
      <c r="BJ467" s="33"/>
      <c r="BK467" s="242"/>
      <c r="BL467" s="241"/>
      <c r="BM467" s="244"/>
      <c r="BN467" s="33"/>
      <c r="BO467" s="242"/>
      <c r="BP467" s="241"/>
      <c r="BQ467" s="244"/>
      <c r="BR467" s="33"/>
      <c r="BS467" s="242"/>
      <c r="BT467" s="241"/>
      <c r="BU467" s="244"/>
      <c r="BV467" s="33"/>
      <c r="BW467" s="242"/>
      <c r="BX467" s="241"/>
      <c r="BY467" s="244"/>
      <c r="BZ467" s="33"/>
      <c r="CA467" s="242"/>
      <c r="CB467" s="241"/>
      <c r="CC467" s="244"/>
      <c r="CD467" s="243"/>
      <c r="CE467" s="243"/>
      <c r="CF467" s="243"/>
      <c r="CG467" s="243"/>
      <c r="CH467" s="243"/>
      <c r="CI467" s="243"/>
      <c r="CJ467" s="243"/>
      <c r="CK467" s="243"/>
      <c r="CL467" s="243"/>
      <c r="CM467" s="243"/>
      <c r="CN467" s="243"/>
      <c r="CO467" s="243"/>
      <c r="CP467" s="243"/>
      <c r="CQ467" s="243"/>
      <c r="CR467" s="243"/>
      <c r="CS467" s="243"/>
      <c r="CT467" s="243"/>
      <c r="CU467" s="243"/>
      <c r="CV467" s="243"/>
      <c r="CW467" s="243"/>
      <c r="CX467" s="243"/>
      <c r="CY467" s="243"/>
      <c r="CZ467" s="243"/>
      <c r="DA467" s="243"/>
      <c r="DB467" s="243"/>
      <c r="DC467" s="243"/>
      <c r="DD467" s="243"/>
      <c r="DE467" s="243"/>
      <c r="DF467" s="243"/>
      <c r="DG467" s="243"/>
      <c r="DH467" s="243"/>
      <c r="DI467" s="243"/>
      <c r="DJ467" s="243"/>
      <c r="DK467" s="243"/>
      <c r="DM467" s="242"/>
      <c r="DO467" s="243"/>
      <c r="DQ467" s="242"/>
      <c r="DS467" s="243"/>
      <c r="DU467" s="242"/>
      <c r="DW467" s="243"/>
      <c r="DY467" s="242"/>
      <c r="EA467" s="243"/>
    </row>
    <row r="468" spans="1:131">
      <c r="A468" s="20"/>
      <c r="B468" s="124" t="str">
        <f t="shared" si="438"/>
        <v/>
      </c>
      <c r="C468" s="235"/>
      <c r="D468" s="24">
        <f>'1% Wind'!$M$85</f>
        <v>17.8</v>
      </c>
      <c r="E468" s="90"/>
      <c r="F468" s="90"/>
      <c r="G468" s="79">
        <f ca="1">IF(I464=0.9743,$G467,MAX(G467/D467*D468,2))</f>
        <v>6.001707317073171</v>
      </c>
      <c r="H468" s="121" t="e">
        <f t="shared" ca="1" si="439"/>
        <v>#VALUE!</v>
      </c>
      <c r="J468" s="33"/>
      <c r="K468" s="242">
        <f t="shared" si="440"/>
        <v>1</v>
      </c>
      <c r="L468" s="241" t="e">
        <f t="shared" ca="1" si="441"/>
        <v>#VALUE!</v>
      </c>
      <c r="M468" s="243" t="e">
        <f ca="1">IF(AND(INDEX(FlowCalConstA,MATCH(J464,FlowCalNumber,0),1,1)*L468^INDEX(FlowCalConstB,MATCH(J464,FlowCalNumber,0),1,1)&gt;INDEX(FlowCalLowSetting,MATCH(J464,FlowCalNumber,0),1,1), (INDEX(FlowCalConstA,MATCH(J464,FlowCalNumber,0),1,1)*L468^INDEX(FlowCalConstB,MATCH(J464,FlowCalNumber,0),1,1)&lt;INDEX(FlowCalHighSetting,MATCH(J464,FlowCalNumber,0),1,1))),INDEX(FlowCalConstA,MATCH(J464,FlowCalNumber,0),1,1)*L468^INDEX(FlowCalConstB,MATCH(J464,FlowCalNumber,0),1,1)," ")</f>
        <v>#N/A</v>
      </c>
      <c r="N468" s="33"/>
      <c r="O468" s="242">
        <f t="shared" si="442"/>
        <v>1</v>
      </c>
      <c r="P468" s="241" t="e">
        <f t="shared" ca="1" si="443"/>
        <v>#VALUE!</v>
      </c>
      <c r="Q468" s="243" t="e">
        <f ca="1">IF(AND(INDEX(FlowCalConstA,MATCH(N464,FlowCalNumber,0),1,1)*P468^INDEX(FlowCalConstB,MATCH(N464,FlowCalNumber,0),1,1)&gt;INDEX(FlowCalLowSetting,MATCH(N464,FlowCalNumber,0),1,1), (INDEX(FlowCalConstA,MATCH(N464,FlowCalNumber,0),1,1)*P468^INDEX(FlowCalConstB,MATCH(N464,FlowCalNumber,0),1,1)&lt;INDEX(FlowCalHighSetting,MATCH(N464,FlowCalNumber,0),1,1))),INDEX(FlowCalConstA,MATCH(N464,FlowCalNumber,0),1,1)*P468^INDEX(FlowCalConstB,MATCH(N464,FlowCalNumber,0),1,1)," ")</f>
        <v>#N/A</v>
      </c>
      <c r="R468" s="33"/>
      <c r="S468" s="242">
        <f t="shared" si="444"/>
        <v>1</v>
      </c>
      <c r="T468" s="241" t="e">
        <f t="shared" ca="1" si="445"/>
        <v>#VALUE!</v>
      </c>
      <c r="U468" s="244" t="e">
        <f ca="1">IF(AND(INDEX(FlowCalConstA,MATCH(R464,FlowCalNumber,0),1,1)*T468^INDEX(FlowCalConstB,MATCH(R464,FlowCalNumber,0),1,1)&gt;INDEX(FlowCalLowSetting,MATCH(R464,FlowCalNumber,0),1,1), (INDEX(FlowCalConstA,MATCH(R464,FlowCalNumber,0),1,1)*T468^INDEX(FlowCalConstB,MATCH(R464,FlowCalNumber,0),1,1)&lt;INDEX(FlowCalHighSetting,MATCH(R464,FlowCalNumber,0),1,1))),INDEX(FlowCalConstA,MATCH(R464,FlowCalNumber,0),1,1)*T468^INDEX(FlowCalConstB,MATCH(R464,FlowCalNumber,0),1,1)," ")</f>
        <v>#N/A</v>
      </c>
      <c r="V468" s="33"/>
      <c r="W468" s="242">
        <f t="shared" si="446"/>
        <v>0.1</v>
      </c>
      <c r="X468" s="241" t="e">
        <f t="shared" ca="1" si="447"/>
        <v>#VALUE!</v>
      </c>
      <c r="Y468" s="243" t="e">
        <f ca="1">IF(AND(INDEX(FlowCalConstA,MATCH(V464,FlowCalNumber,0),1,1)*X468^INDEX(FlowCalConstB,MATCH(V464,FlowCalNumber,0),1,1)&gt;INDEX(FlowCalLowSetting,MATCH(V464,FlowCalNumber,0),1,1), (INDEX(FlowCalConstA,MATCH(V464,FlowCalNumber,0),1,1)*X468^INDEX(FlowCalConstB,MATCH(V464,FlowCalNumber,0),1,1)&lt;INDEX(FlowCalHighSetting,MATCH(V464,FlowCalNumber,0),1,1))),INDEX(FlowCalConstA,MATCH(V464,FlowCalNumber,0),1,1)*X468^INDEX(FlowCalConstB,MATCH(V464,FlowCalNumber,0),1,1)," ")</f>
        <v>#N/A</v>
      </c>
      <c r="Z468" s="33"/>
      <c r="AA468" s="242">
        <f t="shared" si="448"/>
        <v>0.9</v>
      </c>
      <c r="AB468" s="241" t="e">
        <f t="shared" ca="1" si="449"/>
        <v>#VALUE!</v>
      </c>
      <c r="AC468" s="243" t="e">
        <f ca="1">IF(AND(INDEX(FlowCalConstA,MATCH(Z464,FlowCalNumber,0),1,1)*AB468^INDEX(FlowCalConstB,MATCH(Z464,FlowCalNumber,0),1,1)&gt;INDEX(FlowCalLowSetting,MATCH(Z464,FlowCalNumber,0),1,1), (INDEX(FlowCalConstA,MATCH(Z464,FlowCalNumber,0),1,1)*AB468^INDEX(FlowCalConstB,MATCH(Z464,FlowCalNumber,0),1,1)&lt;INDEX(FlowCalHighSetting,MATCH(Z464,FlowCalNumber,0),1,1))),INDEX(FlowCalConstA,MATCH(Z464,FlowCalNumber,0),1,1)*AB468^INDEX(FlowCalConstB,MATCH(Z464,FlowCalNumber,0),1,1)," ")</f>
        <v>#N/A</v>
      </c>
      <c r="AD468" s="33"/>
      <c r="AE468" s="242">
        <f t="shared" si="450"/>
        <v>0.1</v>
      </c>
      <c r="AF468" s="241" t="e">
        <f t="shared" ca="1" si="451"/>
        <v>#VALUE!</v>
      </c>
      <c r="AG468" s="243" t="e">
        <f ca="1">IF(AND(INDEX(FlowCalConstA,MATCH(AD464,FlowCalNumber,0),1,1)*AF468^INDEX(FlowCalConstB,MATCH(AD464,FlowCalNumber,0),1,1)&gt;INDEX(FlowCalLowSetting,MATCH(AD464,FlowCalNumber,0),1,1), (INDEX(FlowCalConstA,MATCH(AD464,FlowCalNumber,0),1,1)*AF468^INDEX(FlowCalConstB,MATCH(AD464,FlowCalNumber,0),1,1)&lt;INDEX(FlowCalHighSetting,MATCH(AD464,FlowCalNumber,0),1,1))),INDEX(FlowCalConstA,MATCH(AD464,FlowCalNumber,0),1,1)*AF468^INDEX(FlowCalConstB,MATCH(AD464,FlowCalNumber,0),1,1)," ")</f>
        <v>#N/A</v>
      </c>
      <c r="AH468" s="33"/>
      <c r="AI468" s="242">
        <f t="shared" si="452"/>
        <v>0.9</v>
      </c>
      <c r="AJ468" s="241" t="e">
        <f t="shared" ca="1" si="453"/>
        <v>#VALUE!</v>
      </c>
      <c r="AK468" s="243" t="e">
        <f ca="1">IF(AND(INDEX(FlowCalConstA,MATCH(AH464,FlowCalNumber,0),1,1)*AJ468^INDEX(FlowCalConstB,MATCH(AH464,FlowCalNumber,0),1,1)&gt;INDEX(FlowCalLowSetting,MATCH(AH464,FlowCalNumber,0),1,1), (INDEX(FlowCalConstA,MATCH(AH464,FlowCalNumber,0),1,1)*AJ468^INDEX(FlowCalConstB,MATCH(AH464,FlowCalNumber,0),1,1)&lt;INDEX(FlowCalHighSetting,MATCH(AH464,FlowCalNumber,0),1,1))),INDEX(FlowCalConstA,MATCH(AH464,FlowCalNumber,0),1,1)*AJ468^INDEX(FlowCalConstB,MATCH(AH464,FlowCalNumber,0),1,1)," ")</f>
        <v>#N/A</v>
      </c>
      <c r="AL468" s="33"/>
      <c r="AM468" s="242"/>
      <c r="AN468" s="241"/>
      <c r="AO468" s="244"/>
      <c r="AQ468" s="242"/>
      <c r="AR468" s="241"/>
      <c r="AS468" s="244"/>
      <c r="AT468" s="33"/>
      <c r="AU468" s="242"/>
      <c r="AV468" s="241"/>
      <c r="AW468" s="244"/>
      <c r="AX468" s="33"/>
      <c r="AY468" s="242"/>
      <c r="AZ468" s="241"/>
      <c r="BA468" s="244"/>
      <c r="BB468" s="33"/>
      <c r="BC468" s="242"/>
      <c r="BD468" s="241"/>
      <c r="BE468" s="244"/>
      <c r="BF468" s="33"/>
      <c r="BG468" s="242"/>
      <c r="BH468" s="241"/>
      <c r="BI468" s="244"/>
      <c r="BJ468" s="33"/>
      <c r="BK468" s="242"/>
      <c r="BL468" s="241"/>
      <c r="BM468" s="244"/>
      <c r="BN468" s="33"/>
      <c r="BO468" s="242"/>
      <c r="BP468" s="241"/>
      <c r="BQ468" s="244"/>
      <c r="BR468" s="33"/>
      <c r="BS468" s="242"/>
      <c r="BT468" s="241"/>
      <c r="BU468" s="244"/>
      <c r="BV468" s="33"/>
      <c r="BW468" s="242"/>
      <c r="BX468" s="241"/>
      <c r="BY468" s="244"/>
      <c r="BZ468" s="33"/>
      <c r="CA468" s="242"/>
      <c r="CB468" s="241"/>
      <c r="CC468" s="244"/>
      <c r="CD468" s="243"/>
      <c r="CE468" s="243"/>
      <c r="CF468" s="243"/>
      <c r="CG468" s="243"/>
      <c r="CH468" s="243"/>
      <c r="CI468" s="243"/>
      <c r="CJ468" s="243"/>
      <c r="CK468" s="243"/>
      <c r="CL468" s="243"/>
      <c r="CM468" s="243"/>
      <c r="CN468" s="243"/>
      <c r="CO468" s="243"/>
      <c r="CP468" s="243"/>
      <c r="CQ468" s="243"/>
      <c r="CR468" s="243"/>
      <c r="CS468" s="243"/>
      <c r="CT468" s="243"/>
      <c r="CU468" s="243"/>
      <c r="CV468" s="243"/>
      <c r="CW468" s="243"/>
      <c r="CX468" s="243"/>
      <c r="CY468" s="243"/>
      <c r="CZ468" s="243"/>
      <c r="DA468" s="243"/>
      <c r="DB468" s="243"/>
      <c r="DC468" s="243"/>
      <c r="DD468" s="243"/>
      <c r="DE468" s="243"/>
      <c r="DF468" s="243"/>
      <c r="DG468" s="243"/>
      <c r="DH468" s="243"/>
      <c r="DI468" s="243"/>
      <c r="DJ468" s="243"/>
      <c r="DK468" s="243"/>
      <c r="DM468" s="242"/>
      <c r="DO468" s="243"/>
      <c r="DQ468" s="242"/>
      <c r="DS468" s="243"/>
      <c r="DU468" s="242"/>
      <c r="DW468" s="243"/>
      <c r="DY468" s="242"/>
      <c r="EA468" s="243"/>
    </row>
    <row r="469" spans="1:131">
      <c r="A469" s="20"/>
      <c r="B469" s="124" t="str">
        <f t="shared" si="438"/>
        <v/>
      </c>
      <c r="C469" s="235"/>
      <c r="D469" s="24">
        <f>'1% Wind'!$M$86</f>
        <v>15.5</v>
      </c>
      <c r="E469" s="90"/>
      <c r="F469" s="90"/>
      <c r="G469" s="79">
        <f ca="1">IF(I464=0.9743,$G468,MAX(G468/D468*D469,2))</f>
        <v>6.001707317073171</v>
      </c>
      <c r="H469" s="121" t="e">
        <f t="shared" ca="1" si="439"/>
        <v>#VALUE!</v>
      </c>
      <c r="J469" s="33"/>
      <c r="K469" s="242">
        <f t="shared" si="440"/>
        <v>1</v>
      </c>
      <c r="L469" s="241" t="e">
        <f t="shared" ca="1" si="441"/>
        <v>#VALUE!</v>
      </c>
      <c r="M469" s="243" t="e">
        <f ca="1">IF(AND(INDEX(FlowCalConstA,MATCH(J464,FlowCalNumber,0),1,1)*L469^INDEX(FlowCalConstB,MATCH(J464,FlowCalNumber,0),1,1)&gt;INDEX(FlowCalLowSetting,MATCH(J464,FlowCalNumber,0),1,1), (INDEX(FlowCalConstA,MATCH(J464,FlowCalNumber,0),1,1)*L469^INDEX(FlowCalConstB,MATCH(J464,FlowCalNumber,0),1,1)&lt;INDEX(FlowCalHighSetting,MATCH(J464,FlowCalNumber,0),1,1))),INDEX(FlowCalConstA,MATCH(J464,FlowCalNumber,0),1,1)*L469^INDEX(FlowCalConstB,MATCH(J464,FlowCalNumber,0),1,1)," ")</f>
        <v>#N/A</v>
      </c>
      <c r="N469" s="33"/>
      <c r="O469" s="242">
        <f t="shared" si="442"/>
        <v>1</v>
      </c>
      <c r="P469" s="241" t="e">
        <f t="shared" ca="1" si="443"/>
        <v>#VALUE!</v>
      </c>
      <c r="Q469" s="243" t="e">
        <f ca="1">IF(AND(INDEX(FlowCalConstA,MATCH(N464,FlowCalNumber,0),1,1)*P469^INDEX(FlowCalConstB,MATCH(N464,FlowCalNumber,0),1,1)&gt;INDEX(FlowCalLowSetting,MATCH(N464,FlowCalNumber,0),1,1), (INDEX(FlowCalConstA,MATCH(N464,FlowCalNumber,0),1,1)*P469^INDEX(FlowCalConstB,MATCH(N464,FlowCalNumber,0),1,1)&lt;INDEX(FlowCalHighSetting,MATCH(N464,FlowCalNumber,0),1,1))),INDEX(FlowCalConstA,MATCH(N464,FlowCalNumber,0),1,1)*P469^INDEX(FlowCalConstB,MATCH(N464,FlowCalNumber,0),1,1)," ")</f>
        <v>#N/A</v>
      </c>
      <c r="R469" s="33"/>
      <c r="S469" s="242">
        <f t="shared" si="444"/>
        <v>1</v>
      </c>
      <c r="T469" s="241" t="e">
        <f t="shared" ca="1" si="445"/>
        <v>#VALUE!</v>
      </c>
      <c r="U469" s="244" t="e">
        <f ca="1">IF(AND(INDEX(FlowCalConstA,MATCH(R464,FlowCalNumber,0),1,1)*T469^INDEX(FlowCalConstB,MATCH(R464,FlowCalNumber,0),1,1)&gt;INDEX(FlowCalLowSetting,MATCH(R464,FlowCalNumber,0),1,1), (INDEX(FlowCalConstA,MATCH(R464,FlowCalNumber,0),1,1)*T469^INDEX(FlowCalConstB,MATCH(R464,FlowCalNumber,0),1,1)&lt;INDEX(FlowCalHighSetting,MATCH(R464,FlowCalNumber,0),1,1))),INDEX(FlowCalConstA,MATCH(R464,FlowCalNumber,0),1,1)*T469^INDEX(FlowCalConstB,MATCH(R464,FlowCalNumber,0),1,1)," ")</f>
        <v>#N/A</v>
      </c>
      <c r="V469" s="33"/>
      <c r="W469" s="242">
        <f t="shared" si="446"/>
        <v>0.1</v>
      </c>
      <c r="X469" s="241" t="e">
        <f t="shared" ca="1" si="447"/>
        <v>#VALUE!</v>
      </c>
      <c r="Y469" s="243" t="e">
        <f ca="1">IF(AND(INDEX(FlowCalConstA,MATCH(V464,FlowCalNumber,0),1,1)*X469^INDEX(FlowCalConstB,MATCH(V464,FlowCalNumber,0),1,1)&gt;INDEX(FlowCalLowSetting,MATCH(V464,FlowCalNumber,0),1,1), (INDEX(FlowCalConstA,MATCH(V464,FlowCalNumber,0),1,1)*X469^INDEX(FlowCalConstB,MATCH(V464,FlowCalNumber,0),1,1)&lt;INDEX(FlowCalHighSetting,MATCH(V464,FlowCalNumber,0),1,1))),INDEX(FlowCalConstA,MATCH(V464,FlowCalNumber,0),1,1)*X469^INDEX(FlowCalConstB,MATCH(V464,FlowCalNumber,0),1,1)," ")</f>
        <v>#N/A</v>
      </c>
      <c r="Z469" s="33"/>
      <c r="AA469" s="242">
        <f t="shared" si="448"/>
        <v>0.9</v>
      </c>
      <c r="AB469" s="241" t="e">
        <f t="shared" ca="1" si="449"/>
        <v>#VALUE!</v>
      </c>
      <c r="AC469" s="243" t="e">
        <f ca="1">IF(AND(INDEX(FlowCalConstA,MATCH(Z464,FlowCalNumber,0),1,1)*AB469^INDEX(FlowCalConstB,MATCH(Z464,FlowCalNumber,0),1,1)&gt;INDEX(FlowCalLowSetting,MATCH(Z464,FlowCalNumber,0),1,1), (INDEX(FlowCalConstA,MATCH(Z464,FlowCalNumber,0),1,1)*AB469^INDEX(FlowCalConstB,MATCH(Z464,FlowCalNumber,0),1,1)&lt;INDEX(FlowCalHighSetting,MATCH(Z464,FlowCalNumber,0),1,1))),INDEX(FlowCalConstA,MATCH(Z464,FlowCalNumber,0),1,1)*AB469^INDEX(FlowCalConstB,MATCH(Z464,FlowCalNumber,0),1,1)," ")</f>
        <v>#N/A</v>
      </c>
      <c r="AD469" s="33"/>
      <c r="AE469" s="242">
        <f t="shared" si="450"/>
        <v>0.1</v>
      </c>
      <c r="AF469" s="241" t="e">
        <f t="shared" ca="1" si="451"/>
        <v>#VALUE!</v>
      </c>
      <c r="AG469" s="243" t="e">
        <f ca="1">IF(AND(INDEX(FlowCalConstA,MATCH(AD464,FlowCalNumber,0),1,1)*AF469^INDEX(FlowCalConstB,MATCH(AD464,FlowCalNumber,0),1,1)&gt;INDEX(FlowCalLowSetting,MATCH(AD464,FlowCalNumber,0),1,1), (INDEX(FlowCalConstA,MATCH(AD464,FlowCalNumber,0),1,1)*AF469^INDEX(FlowCalConstB,MATCH(AD464,FlowCalNumber,0),1,1)&lt;INDEX(FlowCalHighSetting,MATCH(AD464,FlowCalNumber,0),1,1))),INDEX(FlowCalConstA,MATCH(AD464,FlowCalNumber,0),1,1)*AF469^INDEX(FlowCalConstB,MATCH(AD464,FlowCalNumber,0),1,1)," ")</f>
        <v>#N/A</v>
      </c>
      <c r="AH469" s="33"/>
      <c r="AI469" s="242">
        <f t="shared" si="452"/>
        <v>0.9</v>
      </c>
      <c r="AJ469" s="241" t="e">
        <f t="shared" ca="1" si="453"/>
        <v>#VALUE!</v>
      </c>
      <c r="AK469" s="243" t="e">
        <f ca="1">IF(AND(INDEX(FlowCalConstA,MATCH(AH464,FlowCalNumber,0),1,1)*AJ469^INDEX(FlowCalConstB,MATCH(AH464,FlowCalNumber,0),1,1)&gt;INDEX(FlowCalLowSetting,MATCH(AH464,FlowCalNumber,0),1,1), (INDEX(FlowCalConstA,MATCH(AH464,FlowCalNumber,0),1,1)*AJ469^INDEX(FlowCalConstB,MATCH(AH464,FlowCalNumber,0),1,1)&lt;INDEX(FlowCalHighSetting,MATCH(AH464,FlowCalNumber,0),1,1))),INDEX(FlowCalConstA,MATCH(AH464,FlowCalNumber,0),1,1)*AJ469^INDEX(FlowCalConstB,MATCH(AH464,FlowCalNumber,0),1,1)," ")</f>
        <v>#N/A</v>
      </c>
      <c r="AL469" s="33"/>
      <c r="AM469" s="242"/>
      <c r="AN469" s="241"/>
      <c r="AO469" s="244"/>
      <c r="AQ469" s="242"/>
      <c r="AR469" s="241"/>
      <c r="AS469" s="244"/>
      <c r="AT469" s="33"/>
      <c r="AU469" s="242"/>
      <c r="AV469" s="241"/>
      <c r="AW469" s="244"/>
      <c r="AX469" s="33"/>
      <c r="AY469" s="242"/>
      <c r="AZ469" s="241"/>
      <c r="BA469" s="244"/>
      <c r="BB469" s="33"/>
      <c r="BC469" s="242"/>
      <c r="BD469" s="241"/>
      <c r="BE469" s="244"/>
      <c r="BF469" s="33"/>
      <c r="BG469" s="242"/>
      <c r="BH469" s="241"/>
      <c r="BI469" s="244"/>
      <c r="BJ469" s="33"/>
      <c r="BK469" s="242"/>
      <c r="BL469" s="241"/>
      <c r="BM469" s="244"/>
      <c r="BN469" s="33"/>
      <c r="BO469" s="242"/>
      <c r="BP469" s="241"/>
      <c r="BQ469" s="244"/>
      <c r="BR469" s="33"/>
      <c r="BS469" s="242"/>
      <c r="BT469" s="241"/>
      <c r="BU469" s="244"/>
      <c r="BV469" s="33"/>
      <c r="BW469" s="242"/>
      <c r="BX469" s="241"/>
      <c r="BY469" s="244"/>
      <c r="BZ469" s="33"/>
      <c r="CA469" s="242"/>
      <c r="CB469" s="241"/>
      <c r="CC469" s="244"/>
      <c r="CD469" s="243"/>
      <c r="CE469" s="243"/>
      <c r="CF469" s="243"/>
      <c r="CG469" s="243"/>
      <c r="CH469" s="243"/>
      <c r="CI469" s="243"/>
      <c r="CJ469" s="243"/>
      <c r="CK469" s="243"/>
      <c r="CL469" s="243"/>
      <c r="CM469" s="243"/>
      <c r="CN469" s="243"/>
      <c r="CO469" s="243"/>
      <c r="CP469" s="243"/>
      <c r="CQ469" s="243"/>
      <c r="CR469" s="243"/>
      <c r="CS469" s="243"/>
      <c r="CT469" s="243"/>
      <c r="CU469" s="243"/>
      <c r="CV469" s="243"/>
      <c r="CW469" s="243"/>
      <c r="CX469" s="243"/>
      <c r="CY469" s="243"/>
      <c r="CZ469" s="243"/>
      <c r="DA469" s="243"/>
      <c r="DB469" s="243"/>
      <c r="DC469" s="243"/>
      <c r="DD469" s="243"/>
      <c r="DE469" s="243"/>
      <c r="DF469" s="243"/>
      <c r="DG469" s="243"/>
      <c r="DH469" s="243"/>
      <c r="DI469" s="243"/>
      <c r="DJ469" s="243"/>
      <c r="DK469" s="243"/>
      <c r="DM469" s="242"/>
      <c r="DO469" s="243"/>
      <c r="DQ469" s="242"/>
      <c r="DS469" s="243"/>
      <c r="DU469" s="242"/>
      <c r="DW469" s="243"/>
      <c r="DY469" s="242"/>
      <c r="EA469" s="243"/>
    </row>
    <row r="470" spans="1:131">
      <c r="A470" s="20"/>
      <c r="B470" s="124" t="str">
        <f t="shared" si="438"/>
        <v/>
      </c>
      <c r="C470" s="235"/>
      <c r="D470" s="24">
        <f>'1% Wind'!$M$87</f>
        <v>13.5</v>
      </c>
      <c r="E470" s="90"/>
      <c r="F470" s="90"/>
      <c r="G470" s="79">
        <f ca="1">IF(I464=0.9743,$G469,MAX(G469/D469*D470,2))</f>
        <v>6.001707317073171</v>
      </c>
      <c r="H470" s="121" t="e">
        <f t="shared" ca="1" si="439"/>
        <v>#VALUE!</v>
      </c>
      <c r="J470" s="33"/>
      <c r="K470" s="242">
        <f t="shared" si="440"/>
        <v>1</v>
      </c>
      <c r="L470" s="241" t="e">
        <f t="shared" ca="1" si="441"/>
        <v>#VALUE!</v>
      </c>
      <c r="M470" s="243" t="e">
        <f ca="1">IF(AND(INDEX(FlowCalConstA,MATCH(J464,FlowCalNumber,0),1,1)*L470^INDEX(FlowCalConstB,MATCH(J464,FlowCalNumber,0),1,1)&gt;INDEX(FlowCalLowSetting,MATCH(J464,FlowCalNumber,0),1,1), (INDEX(FlowCalConstA,MATCH(J464,FlowCalNumber,0),1,1)*L470^INDEX(FlowCalConstB,MATCH(J464,FlowCalNumber,0),1,1)&lt;INDEX(FlowCalHighSetting,MATCH(J464,FlowCalNumber,0),1,1))),INDEX(FlowCalConstA,MATCH(J464,FlowCalNumber,0),1,1)*L470^INDEX(FlowCalConstB,MATCH(J464,FlowCalNumber,0),1,1)," ")</f>
        <v>#N/A</v>
      </c>
      <c r="N470" s="33"/>
      <c r="O470" s="242">
        <f t="shared" si="442"/>
        <v>1</v>
      </c>
      <c r="P470" s="241" t="e">
        <f t="shared" ca="1" si="443"/>
        <v>#VALUE!</v>
      </c>
      <c r="Q470" s="243" t="e">
        <f ca="1">IF(AND(INDEX(FlowCalConstA,MATCH(N464,FlowCalNumber,0),1,1)*P470^INDEX(FlowCalConstB,MATCH(N464,FlowCalNumber,0),1,1)&gt;INDEX(FlowCalLowSetting,MATCH(N464,FlowCalNumber,0),1,1), (INDEX(FlowCalConstA,MATCH(N464,FlowCalNumber,0),1,1)*P470^INDEX(FlowCalConstB,MATCH(N464,FlowCalNumber,0),1,1)&lt;INDEX(FlowCalHighSetting,MATCH(N464,FlowCalNumber,0),1,1))),INDEX(FlowCalConstA,MATCH(N464,FlowCalNumber,0),1,1)*P470^INDEX(FlowCalConstB,MATCH(N464,FlowCalNumber,0),1,1)," ")</f>
        <v>#N/A</v>
      </c>
      <c r="R470" s="33"/>
      <c r="S470" s="242">
        <f t="shared" si="444"/>
        <v>1</v>
      </c>
      <c r="T470" s="241" t="e">
        <f t="shared" ca="1" si="445"/>
        <v>#VALUE!</v>
      </c>
      <c r="U470" s="244" t="e">
        <f ca="1">IF(AND(INDEX(FlowCalConstA,MATCH(R464,FlowCalNumber,0),1,1)*T470^INDEX(FlowCalConstB,MATCH(R464,FlowCalNumber,0),1,1)&gt;INDEX(FlowCalLowSetting,MATCH(R464,FlowCalNumber,0),1,1), (INDEX(FlowCalConstA,MATCH(R464,FlowCalNumber,0),1,1)*T470^INDEX(FlowCalConstB,MATCH(R464,FlowCalNumber,0),1,1)&lt;INDEX(FlowCalHighSetting,MATCH(R464,FlowCalNumber,0),1,1))),INDEX(FlowCalConstA,MATCH(R464,FlowCalNumber,0),1,1)*T470^INDEX(FlowCalConstB,MATCH(R464,FlowCalNumber,0),1,1)," ")</f>
        <v>#N/A</v>
      </c>
      <c r="V470" s="33"/>
      <c r="W470" s="242">
        <f t="shared" si="446"/>
        <v>0.1</v>
      </c>
      <c r="X470" s="241" t="e">
        <f t="shared" ca="1" si="447"/>
        <v>#VALUE!</v>
      </c>
      <c r="Y470" s="243" t="e">
        <f ca="1">IF(AND(INDEX(FlowCalConstA,MATCH(V464,FlowCalNumber,0),1,1)*X470^INDEX(FlowCalConstB,MATCH(V464,FlowCalNumber,0),1,1)&gt;INDEX(FlowCalLowSetting,MATCH(V464,FlowCalNumber,0),1,1), (INDEX(FlowCalConstA,MATCH(V464,FlowCalNumber,0),1,1)*X470^INDEX(FlowCalConstB,MATCH(V464,FlowCalNumber,0),1,1)&lt;INDEX(FlowCalHighSetting,MATCH(V464,FlowCalNumber,0),1,1))),INDEX(FlowCalConstA,MATCH(V464,FlowCalNumber,0),1,1)*X470^INDEX(FlowCalConstB,MATCH(V464,FlowCalNumber,0),1,1)," ")</f>
        <v>#N/A</v>
      </c>
      <c r="Z470" s="33"/>
      <c r="AA470" s="242">
        <f t="shared" si="448"/>
        <v>0.9</v>
      </c>
      <c r="AB470" s="241" t="e">
        <f t="shared" ca="1" si="449"/>
        <v>#VALUE!</v>
      </c>
      <c r="AC470" s="243" t="e">
        <f ca="1">IF(AND(INDEX(FlowCalConstA,MATCH(Z464,FlowCalNumber,0),1,1)*AB470^INDEX(FlowCalConstB,MATCH(Z464,FlowCalNumber,0),1,1)&gt;INDEX(FlowCalLowSetting,MATCH(Z464,FlowCalNumber,0),1,1), (INDEX(FlowCalConstA,MATCH(Z464,FlowCalNumber,0),1,1)*AB470^INDEX(FlowCalConstB,MATCH(Z464,FlowCalNumber,0),1,1)&lt;INDEX(FlowCalHighSetting,MATCH(Z464,FlowCalNumber,0),1,1))),INDEX(FlowCalConstA,MATCH(Z464,FlowCalNumber,0),1,1)*AB470^INDEX(FlowCalConstB,MATCH(Z464,FlowCalNumber,0),1,1)," ")</f>
        <v>#N/A</v>
      </c>
      <c r="AD470" s="33"/>
      <c r="AE470" s="242">
        <f t="shared" si="450"/>
        <v>0.1</v>
      </c>
      <c r="AF470" s="241" t="e">
        <f t="shared" ca="1" si="451"/>
        <v>#VALUE!</v>
      </c>
      <c r="AG470" s="243" t="e">
        <f ca="1">IF(AND(INDEX(FlowCalConstA,MATCH(AD464,FlowCalNumber,0),1,1)*AF470^INDEX(FlowCalConstB,MATCH(AD464,FlowCalNumber,0),1,1)&gt;INDEX(FlowCalLowSetting,MATCH(AD464,FlowCalNumber,0),1,1), (INDEX(FlowCalConstA,MATCH(AD464,FlowCalNumber,0),1,1)*AF470^INDEX(FlowCalConstB,MATCH(AD464,FlowCalNumber,0),1,1)&lt;INDEX(FlowCalHighSetting,MATCH(AD464,FlowCalNumber,0),1,1))),INDEX(FlowCalConstA,MATCH(AD464,FlowCalNumber,0),1,1)*AF470^INDEX(FlowCalConstB,MATCH(AD464,FlowCalNumber,0),1,1)," ")</f>
        <v>#N/A</v>
      </c>
      <c r="AH470" s="33"/>
      <c r="AI470" s="242">
        <f t="shared" si="452"/>
        <v>0.9</v>
      </c>
      <c r="AJ470" s="241" t="e">
        <f t="shared" ca="1" si="453"/>
        <v>#VALUE!</v>
      </c>
      <c r="AK470" s="243" t="e">
        <f ca="1">IF(AND(INDEX(FlowCalConstA,MATCH(AH464,FlowCalNumber,0),1,1)*AJ470^INDEX(FlowCalConstB,MATCH(AH464,FlowCalNumber,0),1,1)&gt;INDEX(FlowCalLowSetting,MATCH(AH464,FlowCalNumber,0),1,1), (INDEX(FlowCalConstA,MATCH(AH464,FlowCalNumber,0),1,1)*AJ470^INDEX(FlowCalConstB,MATCH(AH464,FlowCalNumber,0),1,1)&lt;INDEX(FlowCalHighSetting,MATCH(AH464,FlowCalNumber,0),1,1))),INDEX(FlowCalConstA,MATCH(AH464,FlowCalNumber,0),1,1)*AJ470^INDEX(FlowCalConstB,MATCH(AH464,FlowCalNumber,0),1,1)," ")</f>
        <v>#N/A</v>
      </c>
      <c r="AL470" s="33"/>
      <c r="AM470" s="242"/>
      <c r="AN470" s="241"/>
      <c r="AO470" s="244"/>
      <c r="AQ470" s="242"/>
      <c r="AR470" s="241"/>
      <c r="AS470" s="244"/>
      <c r="AT470" s="33"/>
      <c r="AU470" s="242"/>
      <c r="AV470" s="241"/>
      <c r="AW470" s="244"/>
      <c r="AX470" s="33"/>
      <c r="AY470" s="242"/>
      <c r="AZ470" s="241"/>
      <c r="BA470" s="244"/>
      <c r="BB470" s="33"/>
      <c r="BC470" s="242"/>
      <c r="BD470" s="241"/>
      <c r="BE470" s="244"/>
      <c r="BF470" s="33"/>
      <c r="BG470" s="242"/>
      <c r="BH470" s="241"/>
      <c r="BI470" s="244"/>
      <c r="BJ470" s="33"/>
      <c r="BK470" s="242"/>
      <c r="BL470" s="241"/>
      <c r="BM470" s="244"/>
      <c r="BN470" s="33"/>
      <c r="BO470" s="242"/>
      <c r="BP470" s="241"/>
      <c r="BQ470" s="244"/>
      <c r="BR470" s="33"/>
      <c r="BS470" s="242"/>
      <c r="BT470" s="241"/>
      <c r="BU470" s="244"/>
      <c r="BV470" s="33"/>
      <c r="BW470" s="242"/>
      <c r="BX470" s="241"/>
      <c r="BY470" s="244"/>
      <c r="BZ470" s="33"/>
      <c r="CA470" s="242"/>
      <c r="CB470" s="241"/>
      <c r="CC470" s="244"/>
      <c r="CD470" s="243"/>
      <c r="CE470" s="243"/>
      <c r="CF470" s="243"/>
      <c r="CG470" s="243"/>
      <c r="CH470" s="243"/>
      <c r="CI470" s="243"/>
      <c r="CJ470" s="243"/>
      <c r="CK470" s="243"/>
      <c r="CL470" s="243"/>
      <c r="CM470" s="243"/>
      <c r="CN470" s="243"/>
      <c r="CO470" s="243"/>
      <c r="CP470" s="243"/>
      <c r="CQ470" s="243"/>
      <c r="CR470" s="243"/>
      <c r="CS470" s="243"/>
      <c r="CT470" s="243"/>
      <c r="CU470" s="243"/>
      <c r="CV470" s="243"/>
      <c r="CW470" s="243"/>
      <c r="CX470" s="243"/>
      <c r="CY470" s="243"/>
      <c r="CZ470" s="243"/>
      <c r="DA470" s="243"/>
      <c r="DB470" s="243"/>
      <c r="DC470" s="243"/>
      <c r="DD470" s="243"/>
      <c r="DE470" s="243"/>
      <c r="DF470" s="243"/>
      <c r="DG470" s="243"/>
      <c r="DH470" s="243"/>
      <c r="DI470" s="243"/>
      <c r="DJ470" s="243"/>
      <c r="DK470" s="243"/>
      <c r="DM470" s="242"/>
      <c r="DO470" s="243"/>
      <c r="DQ470" s="242"/>
      <c r="DS470" s="243"/>
      <c r="DU470" s="242"/>
      <c r="DW470" s="243"/>
      <c r="DY470" s="242"/>
      <c r="EA470" s="243"/>
    </row>
    <row r="471" spans="1:131">
      <c r="A471" s="20"/>
      <c r="B471" s="124" t="str">
        <f t="shared" si="438"/>
        <v/>
      </c>
      <c r="C471" s="235"/>
      <c r="D471" s="24">
        <f>'1% Wind'!$M$88</f>
        <v>10.1</v>
      </c>
      <c r="E471" s="90"/>
      <c r="F471" s="90"/>
      <c r="G471" s="79">
        <f ca="1">IF(I464=0.9743,$G470,MAX(G470/D470*D471,2))</f>
        <v>6.001707317073171</v>
      </c>
      <c r="H471" s="121" t="e">
        <f t="shared" ca="1" si="439"/>
        <v>#VALUE!</v>
      </c>
      <c r="J471" s="33"/>
      <c r="K471" s="242">
        <f t="shared" si="440"/>
        <v>1</v>
      </c>
      <c r="L471" s="241" t="e">
        <f t="shared" ca="1" si="441"/>
        <v>#VALUE!</v>
      </c>
      <c r="M471" s="243" t="e">
        <f ca="1">IF(AND(INDEX(FlowCalConstA,MATCH(J464,FlowCalNumber,0),1,1)*L471^INDEX(FlowCalConstB,MATCH(J464,FlowCalNumber,0),1,1)&gt;INDEX(FlowCalLowSetting,MATCH(J464,FlowCalNumber,0),1,1), (INDEX(FlowCalConstA,MATCH(J464,FlowCalNumber,0),1,1)*L471^INDEX(FlowCalConstB,MATCH(J464,FlowCalNumber,0),1,1)&lt;INDEX(FlowCalHighSetting,MATCH(J464,FlowCalNumber,0),1,1))),INDEX(FlowCalConstA,MATCH(J464,FlowCalNumber,0),1,1)*L471^INDEX(FlowCalConstB,MATCH(J464,FlowCalNumber,0),1,1)," ")</f>
        <v>#N/A</v>
      </c>
      <c r="N471" s="33"/>
      <c r="O471" s="242">
        <f t="shared" si="442"/>
        <v>1</v>
      </c>
      <c r="P471" s="241" t="e">
        <f t="shared" ca="1" si="443"/>
        <v>#VALUE!</v>
      </c>
      <c r="Q471" s="243" t="e">
        <f ca="1">IF(AND(INDEX(FlowCalConstA,MATCH(N464,FlowCalNumber,0),1,1)*P471^INDEX(FlowCalConstB,MATCH(N464,FlowCalNumber,0),1,1)&gt;INDEX(FlowCalLowSetting,MATCH(N464,FlowCalNumber,0),1,1), (INDEX(FlowCalConstA,MATCH(N464,FlowCalNumber,0),1,1)*P471^INDEX(FlowCalConstB,MATCH(N464,FlowCalNumber,0),1,1)&lt;INDEX(FlowCalHighSetting,MATCH(N464,FlowCalNumber,0),1,1))),INDEX(FlowCalConstA,MATCH(N464,FlowCalNumber,0),1,1)*P471^INDEX(FlowCalConstB,MATCH(N464,FlowCalNumber,0),1,1)," ")</f>
        <v>#N/A</v>
      </c>
      <c r="R471" s="33"/>
      <c r="S471" s="242">
        <f t="shared" si="444"/>
        <v>1</v>
      </c>
      <c r="T471" s="241" t="e">
        <f t="shared" ca="1" si="445"/>
        <v>#VALUE!</v>
      </c>
      <c r="U471" s="244" t="e">
        <f ca="1">IF(AND(INDEX(FlowCalConstA,MATCH(R464,FlowCalNumber,0),1,1)*T471^INDEX(FlowCalConstB,MATCH(R464,FlowCalNumber,0),1,1)&gt;INDEX(FlowCalLowSetting,MATCH(R464,FlowCalNumber,0),1,1), (INDEX(FlowCalConstA,MATCH(R464,FlowCalNumber,0),1,1)*T471^INDEX(FlowCalConstB,MATCH(R464,FlowCalNumber,0),1,1)&lt;INDEX(FlowCalHighSetting,MATCH(R464,FlowCalNumber,0),1,1))),INDEX(FlowCalConstA,MATCH(R464,FlowCalNumber,0),1,1)*T471^INDEX(FlowCalConstB,MATCH(R464,FlowCalNumber,0),1,1)," ")</f>
        <v>#N/A</v>
      </c>
      <c r="V471" s="33"/>
      <c r="W471" s="242">
        <f t="shared" si="446"/>
        <v>0.1</v>
      </c>
      <c r="X471" s="241" t="e">
        <f t="shared" ca="1" si="447"/>
        <v>#VALUE!</v>
      </c>
      <c r="Y471" s="243" t="e">
        <f ca="1">IF(AND(INDEX(FlowCalConstA,MATCH(V464,FlowCalNumber,0),1,1)*X471^INDEX(FlowCalConstB,MATCH(V464,FlowCalNumber,0),1,1)&gt;INDEX(FlowCalLowSetting,MATCH(V464,FlowCalNumber,0),1,1), (INDEX(FlowCalConstA,MATCH(V464,FlowCalNumber,0),1,1)*X471^INDEX(FlowCalConstB,MATCH(V464,FlowCalNumber,0),1,1)&lt;INDEX(FlowCalHighSetting,MATCH(V464,FlowCalNumber,0),1,1))),INDEX(FlowCalConstA,MATCH(V464,FlowCalNumber,0),1,1)*X471^INDEX(FlowCalConstB,MATCH(V464,FlowCalNumber,0),1,1)," ")</f>
        <v>#N/A</v>
      </c>
      <c r="Z471" s="33"/>
      <c r="AA471" s="242">
        <f t="shared" si="448"/>
        <v>0.9</v>
      </c>
      <c r="AB471" s="241" t="e">
        <f t="shared" ca="1" si="449"/>
        <v>#VALUE!</v>
      </c>
      <c r="AC471" s="243" t="e">
        <f ca="1">IF(AND(INDEX(FlowCalConstA,MATCH(Z464,FlowCalNumber,0),1,1)*AB471^INDEX(FlowCalConstB,MATCH(Z464,FlowCalNumber,0),1,1)&gt;INDEX(FlowCalLowSetting,MATCH(Z464,FlowCalNumber,0),1,1), (INDEX(FlowCalConstA,MATCH(Z464,FlowCalNumber,0),1,1)*AB471^INDEX(FlowCalConstB,MATCH(Z464,FlowCalNumber,0),1,1)&lt;INDEX(FlowCalHighSetting,MATCH(Z464,FlowCalNumber,0),1,1))),INDEX(FlowCalConstA,MATCH(Z464,FlowCalNumber,0),1,1)*AB471^INDEX(FlowCalConstB,MATCH(Z464,FlowCalNumber,0),1,1)," ")</f>
        <v>#N/A</v>
      </c>
      <c r="AD471" s="33"/>
      <c r="AE471" s="242">
        <f t="shared" si="450"/>
        <v>0.1</v>
      </c>
      <c r="AF471" s="241" t="e">
        <f t="shared" ca="1" si="451"/>
        <v>#VALUE!</v>
      </c>
      <c r="AG471" s="243" t="e">
        <f ca="1">IF(AND(INDEX(FlowCalConstA,MATCH(AD464,FlowCalNumber,0),1,1)*AF471^INDEX(FlowCalConstB,MATCH(AD464,FlowCalNumber,0),1,1)&gt;INDEX(FlowCalLowSetting,MATCH(AD464,FlowCalNumber,0),1,1), (INDEX(FlowCalConstA,MATCH(AD464,FlowCalNumber,0),1,1)*AF471^INDEX(FlowCalConstB,MATCH(AD464,FlowCalNumber,0),1,1)&lt;INDEX(FlowCalHighSetting,MATCH(AD464,FlowCalNumber,0),1,1))),INDEX(FlowCalConstA,MATCH(AD464,FlowCalNumber,0),1,1)*AF471^INDEX(FlowCalConstB,MATCH(AD464,FlowCalNumber,0),1,1)," ")</f>
        <v>#N/A</v>
      </c>
      <c r="AH471" s="33"/>
      <c r="AI471" s="242">
        <f t="shared" si="452"/>
        <v>0.9</v>
      </c>
      <c r="AJ471" s="241" t="e">
        <f t="shared" ca="1" si="453"/>
        <v>#VALUE!</v>
      </c>
      <c r="AK471" s="243" t="e">
        <f ca="1">IF(AND(INDEX(FlowCalConstA,MATCH(AH464,FlowCalNumber,0),1,1)*AJ471^INDEX(FlowCalConstB,MATCH(AH464,FlowCalNumber,0),1,1)&gt;INDEX(FlowCalLowSetting,MATCH(AH464,FlowCalNumber,0),1,1), (INDEX(FlowCalConstA,MATCH(AH464,FlowCalNumber,0),1,1)*AJ471^INDEX(FlowCalConstB,MATCH(AH464,FlowCalNumber,0),1,1)&lt;INDEX(FlowCalHighSetting,MATCH(AH464,FlowCalNumber,0),1,1))),INDEX(FlowCalConstA,MATCH(AH464,FlowCalNumber,0),1,1)*AJ471^INDEX(FlowCalConstB,MATCH(AH464,FlowCalNumber,0),1,1)," ")</f>
        <v>#N/A</v>
      </c>
      <c r="AL471" s="33"/>
      <c r="AM471" s="242"/>
      <c r="AN471" s="241"/>
      <c r="AO471" s="244"/>
      <c r="AQ471" s="242"/>
      <c r="AR471" s="241"/>
      <c r="AS471" s="244"/>
      <c r="AT471" s="33"/>
      <c r="AU471" s="242"/>
      <c r="AV471" s="241"/>
      <c r="AW471" s="244"/>
      <c r="AX471" s="33"/>
      <c r="AY471" s="242"/>
      <c r="AZ471" s="241"/>
      <c r="BA471" s="244"/>
      <c r="BB471" s="33"/>
      <c r="BC471" s="242"/>
      <c r="BD471" s="241"/>
      <c r="BE471" s="244"/>
      <c r="BF471" s="33"/>
      <c r="BG471" s="242"/>
      <c r="BH471" s="241"/>
      <c r="BI471" s="244"/>
      <c r="BJ471" s="33"/>
      <c r="BK471" s="242"/>
      <c r="BL471" s="241"/>
      <c r="BM471" s="244"/>
      <c r="BN471" s="33"/>
      <c r="BO471" s="242"/>
      <c r="BP471" s="241"/>
      <c r="BQ471" s="244"/>
      <c r="BR471" s="33"/>
      <c r="BS471" s="242"/>
      <c r="BT471" s="241"/>
      <c r="BU471" s="244"/>
      <c r="BV471" s="33"/>
      <c r="BW471" s="242"/>
      <c r="BX471" s="241"/>
      <c r="BY471" s="244"/>
      <c r="BZ471" s="33"/>
      <c r="CA471" s="242"/>
      <c r="CB471" s="241"/>
      <c r="CC471" s="244"/>
      <c r="CD471" s="243"/>
      <c r="CE471" s="243"/>
      <c r="CF471" s="243"/>
      <c r="CG471" s="243"/>
      <c r="CH471" s="243"/>
      <c r="CI471" s="243"/>
      <c r="CJ471" s="243"/>
      <c r="CK471" s="243"/>
      <c r="CL471" s="243"/>
      <c r="CM471" s="243"/>
      <c r="CN471" s="243"/>
      <c r="CO471" s="243"/>
      <c r="CP471" s="243"/>
      <c r="CQ471" s="243"/>
      <c r="CR471" s="243"/>
      <c r="CS471" s="243"/>
      <c r="CT471" s="243"/>
      <c r="CU471" s="243"/>
      <c r="CV471" s="243"/>
      <c r="CW471" s="243"/>
      <c r="CX471" s="243"/>
      <c r="CY471" s="243"/>
      <c r="CZ471" s="243"/>
      <c r="DA471" s="243"/>
      <c r="DB471" s="243"/>
      <c r="DC471" s="243"/>
      <c r="DD471" s="243"/>
      <c r="DE471" s="243"/>
      <c r="DF471" s="243"/>
      <c r="DG471" s="243"/>
      <c r="DH471" s="243"/>
      <c r="DI471" s="243"/>
      <c r="DJ471" s="243"/>
      <c r="DK471" s="243"/>
      <c r="DM471" s="242"/>
      <c r="DO471" s="243"/>
      <c r="DQ471" s="242"/>
      <c r="DS471" s="243"/>
      <c r="DU471" s="242"/>
      <c r="DW471" s="243"/>
      <c r="DY471" s="242"/>
      <c r="EA471" s="243"/>
    </row>
    <row r="472" spans="1:131">
      <c r="A472" s="20"/>
      <c r="B472" s="124" t="str">
        <f t="shared" si="438"/>
        <v/>
      </c>
      <c r="C472" s="235"/>
      <c r="D472" s="24">
        <f>'1% Wind'!$M$89</f>
        <v>7.6</v>
      </c>
      <c r="E472" s="90"/>
      <c r="F472" s="90"/>
      <c r="G472" s="79">
        <f ca="1">IF(I464=0.9743,$G471,MAX(G471/D471*D472,2))</f>
        <v>6.001707317073171</v>
      </c>
      <c r="H472" s="121" t="e">
        <f t="shared" ca="1" si="439"/>
        <v>#VALUE!</v>
      </c>
      <c r="J472" s="33"/>
      <c r="K472" s="242">
        <f t="shared" si="440"/>
        <v>1</v>
      </c>
      <c r="L472" s="241" t="e">
        <f t="shared" ca="1" si="441"/>
        <v>#VALUE!</v>
      </c>
      <c r="M472" s="243" t="e">
        <f ca="1">IF(AND(INDEX(FlowCalConstA,MATCH(J464,FlowCalNumber,0),1,1)*L472^INDEX(FlowCalConstB,MATCH(J464,FlowCalNumber,0),1,1)&gt;INDEX(FlowCalLowSetting,MATCH(J464,FlowCalNumber,0),1,1), (INDEX(FlowCalConstA,MATCH(J464,FlowCalNumber,0),1,1)*L472^INDEX(FlowCalConstB,MATCH(J464,FlowCalNumber,0),1,1)&lt;INDEX(FlowCalHighSetting,MATCH(J464,FlowCalNumber,0),1,1))),INDEX(FlowCalConstA,MATCH(J464,FlowCalNumber,0),1,1)*L472^INDEX(FlowCalConstB,MATCH(J464,FlowCalNumber,0),1,1)," ")</f>
        <v>#N/A</v>
      </c>
      <c r="N472" s="33"/>
      <c r="O472" s="242">
        <f t="shared" si="442"/>
        <v>1</v>
      </c>
      <c r="P472" s="241" t="e">
        <f t="shared" ca="1" si="443"/>
        <v>#VALUE!</v>
      </c>
      <c r="Q472" s="243" t="e">
        <f ca="1">IF(AND(INDEX(FlowCalConstA,MATCH(N464,FlowCalNumber,0),1,1)*P472^INDEX(FlowCalConstB,MATCH(N464,FlowCalNumber,0),1,1)&gt;INDEX(FlowCalLowSetting,MATCH(N464,FlowCalNumber,0),1,1), (INDEX(FlowCalConstA,MATCH(N464,FlowCalNumber,0),1,1)*P472^INDEX(FlowCalConstB,MATCH(N464,FlowCalNumber,0),1,1)&lt;INDEX(FlowCalHighSetting,MATCH(N464,FlowCalNumber,0),1,1))),INDEX(FlowCalConstA,MATCH(N464,FlowCalNumber,0),1,1)*P472^INDEX(FlowCalConstB,MATCH(N464,FlowCalNumber,0),1,1)," ")</f>
        <v>#N/A</v>
      </c>
      <c r="R472" s="33"/>
      <c r="S472" s="242">
        <f t="shared" si="444"/>
        <v>1</v>
      </c>
      <c r="T472" s="241" t="e">
        <f t="shared" ca="1" si="445"/>
        <v>#VALUE!</v>
      </c>
      <c r="U472" s="244" t="e">
        <f ca="1">IF(AND(INDEX(FlowCalConstA,MATCH(R464,FlowCalNumber,0),1,1)*T472^INDEX(FlowCalConstB,MATCH(R464,FlowCalNumber,0),1,1)&gt;INDEX(FlowCalLowSetting,MATCH(R464,FlowCalNumber,0),1,1), (INDEX(FlowCalConstA,MATCH(R464,FlowCalNumber,0),1,1)*T472^INDEX(FlowCalConstB,MATCH(R464,FlowCalNumber,0),1,1)&lt;INDEX(FlowCalHighSetting,MATCH(R464,FlowCalNumber,0),1,1))),INDEX(FlowCalConstA,MATCH(R464,FlowCalNumber,0),1,1)*T472^INDEX(FlowCalConstB,MATCH(R464,FlowCalNumber,0),1,1)," ")</f>
        <v>#N/A</v>
      </c>
      <c r="V472" s="33"/>
      <c r="W472" s="242">
        <f t="shared" si="446"/>
        <v>0.1</v>
      </c>
      <c r="X472" s="241" t="e">
        <f t="shared" ca="1" si="447"/>
        <v>#VALUE!</v>
      </c>
      <c r="Y472" s="243" t="e">
        <f ca="1">IF(AND(INDEX(FlowCalConstA,MATCH(V464,FlowCalNumber,0),1,1)*X472^INDEX(FlowCalConstB,MATCH(V464,FlowCalNumber,0),1,1)&gt;INDEX(FlowCalLowSetting,MATCH(V464,FlowCalNumber,0),1,1), (INDEX(FlowCalConstA,MATCH(V464,FlowCalNumber,0),1,1)*X472^INDEX(FlowCalConstB,MATCH(V464,FlowCalNumber,0),1,1)&lt;INDEX(FlowCalHighSetting,MATCH(V464,FlowCalNumber,0),1,1))),INDEX(FlowCalConstA,MATCH(V464,FlowCalNumber,0),1,1)*X472^INDEX(FlowCalConstB,MATCH(V464,FlowCalNumber,0),1,1)," ")</f>
        <v>#N/A</v>
      </c>
      <c r="Z472" s="33"/>
      <c r="AA472" s="242">
        <f t="shared" si="448"/>
        <v>0.9</v>
      </c>
      <c r="AB472" s="241" t="e">
        <f t="shared" ca="1" si="449"/>
        <v>#VALUE!</v>
      </c>
      <c r="AC472" s="243" t="e">
        <f ca="1">IF(AND(INDEX(FlowCalConstA,MATCH(Z464,FlowCalNumber,0),1,1)*AB472^INDEX(FlowCalConstB,MATCH(Z464,FlowCalNumber,0),1,1)&gt;INDEX(FlowCalLowSetting,MATCH(Z464,FlowCalNumber,0),1,1), (INDEX(FlowCalConstA,MATCH(Z464,FlowCalNumber,0),1,1)*AB472^INDEX(FlowCalConstB,MATCH(Z464,FlowCalNumber,0),1,1)&lt;INDEX(FlowCalHighSetting,MATCH(Z464,FlowCalNumber,0),1,1))),INDEX(FlowCalConstA,MATCH(Z464,FlowCalNumber,0),1,1)*AB472^INDEX(FlowCalConstB,MATCH(Z464,FlowCalNumber,0),1,1)," ")</f>
        <v>#N/A</v>
      </c>
      <c r="AD472" s="33"/>
      <c r="AE472" s="242">
        <f t="shared" si="450"/>
        <v>0.1</v>
      </c>
      <c r="AF472" s="241" t="e">
        <f t="shared" ca="1" si="451"/>
        <v>#VALUE!</v>
      </c>
      <c r="AG472" s="243" t="e">
        <f ca="1">IF(AND(INDEX(FlowCalConstA,MATCH(AD464,FlowCalNumber,0),1,1)*AF472^INDEX(FlowCalConstB,MATCH(AD464,FlowCalNumber,0),1,1)&gt;INDEX(FlowCalLowSetting,MATCH(AD464,FlowCalNumber,0),1,1), (INDEX(FlowCalConstA,MATCH(AD464,FlowCalNumber,0),1,1)*AF472^INDEX(FlowCalConstB,MATCH(AD464,FlowCalNumber,0),1,1)&lt;INDEX(FlowCalHighSetting,MATCH(AD464,FlowCalNumber,0),1,1))),INDEX(FlowCalConstA,MATCH(AD464,FlowCalNumber,0),1,1)*AF472^INDEX(FlowCalConstB,MATCH(AD464,FlowCalNumber,0),1,1)," ")</f>
        <v>#N/A</v>
      </c>
      <c r="AH472" s="33"/>
      <c r="AI472" s="242">
        <f t="shared" si="452"/>
        <v>0.9</v>
      </c>
      <c r="AJ472" s="241" t="e">
        <f t="shared" ca="1" si="453"/>
        <v>#VALUE!</v>
      </c>
      <c r="AK472" s="243" t="e">
        <f ca="1">IF(AND(INDEX(FlowCalConstA,MATCH(AH464,FlowCalNumber,0),1,1)*AJ472^INDEX(FlowCalConstB,MATCH(AH464,FlowCalNumber,0),1,1)&gt;INDEX(FlowCalLowSetting,MATCH(AH464,FlowCalNumber,0),1,1), (INDEX(FlowCalConstA,MATCH(AH464,FlowCalNumber,0),1,1)*AJ472^INDEX(FlowCalConstB,MATCH(AH464,FlowCalNumber,0),1,1)&lt;INDEX(FlowCalHighSetting,MATCH(AH464,FlowCalNumber,0),1,1))),INDEX(FlowCalConstA,MATCH(AH464,FlowCalNumber,0),1,1)*AJ472^INDEX(FlowCalConstB,MATCH(AH464,FlowCalNumber,0),1,1)," ")</f>
        <v>#N/A</v>
      </c>
      <c r="AL472" s="33"/>
      <c r="AM472" s="242"/>
      <c r="AN472" s="241"/>
      <c r="AO472" s="244"/>
      <c r="AQ472" s="242"/>
      <c r="AR472" s="241"/>
      <c r="AS472" s="244"/>
      <c r="AT472" s="33"/>
      <c r="AU472" s="242"/>
      <c r="AV472" s="241"/>
      <c r="AW472" s="244"/>
      <c r="AX472" s="33"/>
      <c r="AY472" s="242"/>
      <c r="AZ472" s="241"/>
      <c r="BA472" s="244"/>
      <c r="BB472" s="33"/>
      <c r="BC472" s="242"/>
      <c r="BD472" s="241"/>
      <c r="BE472" s="244"/>
      <c r="BF472" s="33"/>
      <c r="BG472" s="242"/>
      <c r="BH472" s="241"/>
      <c r="BI472" s="244"/>
      <c r="BJ472" s="33"/>
      <c r="BK472" s="242"/>
      <c r="BL472" s="241"/>
      <c r="BM472" s="244"/>
      <c r="BN472" s="33"/>
      <c r="BO472" s="242"/>
      <c r="BP472" s="241"/>
      <c r="BQ472" s="244"/>
      <c r="BR472" s="33"/>
      <c r="BS472" s="242"/>
      <c r="BT472" s="241"/>
      <c r="BU472" s="244"/>
      <c r="BV472" s="33"/>
      <c r="BW472" s="242"/>
      <c r="BX472" s="241"/>
      <c r="BY472" s="244"/>
      <c r="BZ472" s="33"/>
      <c r="CA472" s="242"/>
      <c r="CB472" s="241"/>
      <c r="CC472" s="244"/>
      <c r="CD472" s="243"/>
      <c r="CE472" s="243"/>
      <c r="CF472" s="243"/>
      <c r="CG472" s="243"/>
      <c r="CH472" s="243"/>
      <c r="CI472" s="243"/>
      <c r="CJ472" s="243"/>
      <c r="CK472" s="243"/>
      <c r="CL472" s="243"/>
      <c r="CM472" s="243"/>
      <c r="CN472" s="243"/>
      <c r="CO472" s="243"/>
      <c r="CP472" s="243"/>
      <c r="CQ472" s="243"/>
      <c r="CR472" s="243"/>
      <c r="CS472" s="243"/>
      <c r="CT472" s="243"/>
      <c r="CU472" s="243"/>
      <c r="CV472" s="243"/>
      <c r="CW472" s="243"/>
      <c r="CX472" s="243"/>
      <c r="CY472" s="243"/>
      <c r="CZ472" s="243"/>
      <c r="DA472" s="243"/>
      <c r="DB472" s="243"/>
      <c r="DC472" s="243"/>
      <c r="DD472" s="243"/>
      <c r="DE472" s="243"/>
      <c r="DF472" s="243"/>
      <c r="DG472" s="243"/>
      <c r="DH472" s="243"/>
      <c r="DI472" s="243"/>
      <c r="DJ472" s="243"/>
      <c r="DK472" s="243"/>
      <c r="DM472" s="242"/>
      <c r="DO472" s="243"/>
      <c r="DQ472" s="242"/>
      <c r="DS472" s="243"/>
      <c r="DU472" s="242"/>
      <c r="DW472" s="243"/>
      <c r="DY472" s="242"/>
      <c r="EA472" s="243"/>
    </row>
    <row r="473" spans="1:131">
      <c r="A473" s="20"/>
      <c r="B473" s="124" t="str">
        <f t="shared" si="438"/>
        <v/>
      </c>
      <c r="C473" s="235"/>
      <c r="D473" s="24">
        <f>'1% Wind'!$M$90</f>
        <v>5.7</v>
      </c>
      <c r="E473" s="90"/>
      <c r="F473" s="90"/>
      <c r="G473" s="79">
        <f ca="1">IF(I464=0.9743,$G472,MAX(G472/D472*D473,2))</f>
        <v>6.001707317073171</v>
      </c>
      <c r="H473" s="121" t="e">
        <f t="shared" ca="1" si="439"/>
        <v>#VALUE!</v>
      </c>
      <c r="J473" s="33"/>
      <c r="K473" s="242">
        <f t="shared" si="440"/>
        <v>1</v>
      </c>
      <c r="L473" s="241" t="e">
        <f t="shared" ca="1" si="441"/>
        <v>#VALUE!</v>
      </c>
      <c r="M473" s="243" t="e">
        <f ca="1">IF(AND(INDEX(FlowCalConstA,MATCH(J464,FlowCalNumber,0),1,1)*L473^INDEX(FlowCalConstB,MATCH(J464,FlowCalNumber,0),1,1)&gt;INDEX(FlowCalLowSetting,MATCH(J464,FlowCalNumber,0),1,1), (INDEX(FlowCalConstA,MATCH(J464,FlowCalNumber,0),1,1)*L473^INDEX(FlowCalConstB,MATCH(J464,FlowCalNumber,0),1,1)&lt;INDEX(FlowCalHighSetting,MATCH(J464,FlowCalNumber,0),1,1))),INDEX(FlowCalConstA,MATCH(J464,FlowCalNumber,0),1,1)*L473^INDEX(FlowCalConstB,MATCH(J464,FlowCalNumber,0),1,1)," ")</f>
        <v>#N/A</v>
      </c>
      <c r="N473" s="33"/>
      <c r="O473" s="242">
        <f t="shared" si="442"/>
        <v>1</v>
      </c>
      <c r="P473" s="241" t="e">
        <f t="shared" ca="1" si="443"/>
        <v>#VALUE!</v>
      </c>
      <c r="Q473" s="243" t="e">
        <f ca="1">IF(AND(INDEX(FlowCalConstA,MATCH(N464,FlowCalNumber,0),1,1)*P473^INDEX(FlowCalConstB,MATCH(N464,FlowCalNumber,0),1,1)&gt;INDEX(FlowCalLowSetting,MATCH(N464,FlowCalNumber,0),1,1), (INDEX(FlowCalConstA,MATCH(N464,FlowCalNumber,0),1,1)*P473^INDEX(FlowCalConstB,MATCH(N464,FlowCalNumber,0),1,1)&lt;INDEX(FlowCalHighSetting,MATCH(N464,FlowCalNumber,0),1,1))),INDEX(FlowCalConstA,MATCH(N464,FlowCalNumber,0),1,1)*P473^INDEX(FlowCalConstB,MATCH(N464,FlowCalNumber,0),1,1)," ")</f>
        <v>#N/A</v>
      </c>
      <c r="R473" s="33"/>
      <c r="S473" s="242">
        <f t="shared" si="444"/>
        <v>1</v>
      </c>
      <c r="T473" s="241" t="e">
        <f t="shared" ca="1" si="445"/>
        <v>#VALUE!</v>
      </c>
      <c r="U473" s="244" t="e">
        <f ca="1">IF(AND(INDEX(FlowCalConstA,MATCH(R464,FlowCalNumber,0),1,1)*T473^INDEX(FlowCalConstB,MATCH(R464,FlowCalNumber,0),1,1)&gt;INDEX(FlowCalLowSetting,MATCH(R464,FlowCalNumber,0),1,1), (INDEX(FlowCalConstA,MATCH(R464,FlowCalNumber,0),1,1)*T473^INDEX(FlowCalConstB,MATCH(R464,FlowCalNumber,0),1,1)&lt;INDEX(FlowCalHighSetting,MATCH(R464,FlowCalNumber,0),1,1))),INDEX(FlowCalConstA,MATCH(R464,FlowCalNumber,0),1,1)*T473^INDEX(FlowCalConstB,MATCH(R464,FlowCalNumber,0),1,1)," ")</f>
        <v>#N/A</v>
      </c>
      <c r="V473" s="33"/>
      <c r="W473" s="242">
        <f t="shared" si="446"/>
        <v>0.1</v>
      </c>
      <c r="X473" s="241" t="e">
        <f t="shared" ca="1" si="447"/>
        <v>#VALUE!</v>
      </c>
      <c r="Y473" s="243" t="e">
        <f ca="1">IF(AND(INDEX(FlowCalConstA,MATCH(V464,FlowCalNumber,0),1,1)*X473^INDEX(FlowCalConstB,MATCH(V464,FlowCalNumber,0),1,1)&gt;INDEX(FlowCalLowSetting,MATCH(V464,FlowCalNumber,0),1,1), (INDEX(FlowCalConstA,MATCH(V464,FlowCalNumber,0),1,1)*X473^INDEX(FlowCalConstB,MATCH(V464,FlowCalNumber,0),1,1)&lt;INDEX(FlowCalHighSetting,MATCH(V464,FlowCalNumber,0),1,1))),INDEX(FlowCalConstA,MATCH(V464,FlowCalNumber,0),1,1)*X473^INDEX(FlowCalConstB,MATCH(V464,FlowCalNumber,0),1,1)," ")</f>
        <v>#N/A</v>
      </c>
      <c r="Z473" s="33"/>
      <c r="AA473" s="242">
        <f t="shared" si="448"/>
        <v>0.9</v>
      </c>
      <c r="AB473" s="241" t="e">
        <f t="shared" ca="1" si="449"/>
        <v>#VALUE!</v>
      </c>
      <c r="AC473" s="243" t="e">
        <f ca="1">IF(AND(INDEX(FlowCalConstA,MATCH(Z464,FlowCalNumber,0),1,1)*AB473^INDEX(FlowCalConstB,MATCH(Z464,FlowCalNumber,0),1,1)&gt;INDEX(FlowCalLowSetting,MATCH(Z464,FlowCalNumber,0),1,1), (INDEX(FlowCalConstA,MATCH(Z464,FlowCalNumber,0),1,1)*AB473^INDEX(FlowCalConstB,MATCH(Z464,FlowCalNumber,0),1,1)&lt;INDEX(FlowCalHighSetting,MATCH(Z464,FlowCalNumber,0),1,1))),INDEX(FlowCalConstA,MATCH(Z464,FlowCalNumber,0),1,1)*AB473^INDEX(FlowCalConstB,MATCH(Z464,FlowCalNumber,0),1,1)," ")</f>
        <v>#N/A</v>
      </c>
      <c r="AD473" s="33"/>
      <c r="AE473" s="242">
        <f t="shared" si="450"/>
        <v>0.1</v>
      </c>
      <c r="AF473" s="241" t="e">
        <f t="shared" ca="1" si="451"/>
        <v>#VALUE!</v>
      </c>
      <c r="AG473" s="243" t="e">
        <f ca="1">IF(AND(INDEX(FlowCalConstA,MATCH(AD464,FlowCalNumber,0),1,1)*AF473^INDEX(FlowCalConstB,MATCH(AD464,FlowCalNumber,0),1,1)&gt;INDEX(FlowCalLowSetting,MATCH(AD464,FlowCalNumber,0),1,1), (INDEX(FlowCalConstA,MATCH(AD464,FlowCalNumber,0),1,1)*AF473^INDEX(FlowCalConstB,MATCH(AD464,FlowCalNumber,0),1,1)&lt;INDEX(FlowCalHighSetting,MATCH(AD464,FlowCalNumber,0),1,1))),INDEX(FlowCalConstA,MATCH(AD464,FlowCalNumber,0),1,1)*AF473^INDEX(FlowCalConstB,MATCH(AD464,FlowCalNumber,0),1,1)," ")</f>
        <v>#N/A</v>
      </c>
      <c r="AH473" s="33"/>
      <c r="AI473" s="242">
        <f t="shared" si="452"/>
        <v>0.9</v>
      </c>
      <c r="AJ473" s="241" t="e">
        <f t="shared" ca="1" si="453"/>
        <v>#VALUE!</v>
      </c>
      <c r="AK473" s="243" t="e">
        <f ca="1">IF(AND(INDEX(FlowCalConstA,MATCH(AH464,FlowCalNumber,0),1,1)*AJ473^INDEX(FlowCalConstB,MATCH(AH464,FlowCalNumber,0),1,1)&gt;INDEX(FlowCalLowSetting,MATCH(AH464,FlowCalNumber,0),1,1), (INDEX(FlowCalConstA,MATCH(AH464,FlowCalNumber,0),1,1)*AJ473^INDEX(FlowCalConstB,MATCH(AH464,FlowCalNumber,0),1,1)&lt;INDEX(FlowCalHighSetting,MATCH(AH464,FlowCalNumber,0),1,1))),INDEX(FlowCalConstA,MATCH(AH464,FlowCalNumber,0),1,1)*AJ473^INDEX(FlowCalConstB,MATCH(AH464,FlowCalNumber,0),1,1)," ")</f>
        <v>#N/A</v>
      </c>
      <c r="AL473" s="33"/>
      <c r="AM473" s="242"/>
      <c r="AN473" s="241"/>
      <c r="AO473" s="244"/>
      <c r="AQ473" s="242"/>
      <c r="AR473" s="241"/>
      <c r="AS473" s="244"/>
      <c r="AT473" s="33"/>
      <c r="AU473" s="242"/>
      <c r="AV473" s="241"/>
      <c r="AW473" s="244"/>
      <c r="AX473" s="33"/>
      <c r="AY473" s="242"/>
      <c r="AZ473" s="241"/>
      <c r="BA473" s="244"/>
      <c r="BB473" s="33"/>
      <c r="BC473" s="242"/>
      <c r="BD473" s="241"/>
      <c r="BE473" s="244"/>
      <c r="BF473" s="33"/>
      <c r="BG473" s="242"/>
      <c r="BH473" s="241"/>
      <c r="BI473" s="244"/>
      <c r="BJ473" s="33"/>
      <c r="BK473" s="242"/>
      <c r="BL473" s="241"/>
      <c r="BM473" s="244"/>
      <c r="BN473" s="33"/>
      <c r="BO473" s="242"/>
      <c r="BP473" s="241"/>
      <c r="BQ473" s="244"/>
      <c r="BR473" s="33"/>
      <c r="BS473" s="242"/>
      <c r="BT473" s="241"/>
      <c r="BU473" s="244"/>
      <c r="BV473" s="33"/>
      <c r="BW473" s="242"/>
      <c r="BX473" s="241"/>
      <c r="BY473" s="244"/>
      <c r="BZ473" s="33"/>
      <c r="CA473" s="242"/>
      <c r="CB473" s="241"/>
      <c r="CC473" s="244"/>
      <c r="CD473" s="243"/>
      <c r="CE473" s="243"/>
      <c r="CF473" s="243"/>
      <c r="CG473" s="243"/>
      <c r="CH473" s="243"/>
      <c r="CI473" s="243"/>
      <c r="CJ473" s="243"/>
      <c r="CK473" s="243"/>
      <c r="CL473" s="243"/>
      <c r="CM473" s="243"/>
      <c r="CN473" s="243"/>
      <c r="CO473" s="243"/>
      <c r="CP473" s="243"/>
      <c r="CQ473" s="243"/>
      <c r="CR473" s="243"/>
      <c r="CS473" s="243"/>
      <c r="CT473" s="243"/>
      <c r="CU473" s="243"/>
      <c r="CV473" s="243"/>
      <c r="CW473" s="243"/>
      <c r="CX473" s="243"/>
      <c r="CY473" s="243"/>
      <c r="CZ473" s="243"/>
      <c r="DA473" s="243"/>
      <c r="DB473" s="243"/>
      <c r="DC473" s="243"/>
      <c r="DD473" s="243"/>
      <c r="DE473" s="243"/>
      <c r="DF473" s="243"/>
      <c r="DG473" s="243"/>
      <c r="DH473" s="243"/>
      <c r="DI473" s="243"/>
      <c r="DJ473" s="243"/>
      <c r="DK473" s="243"/>
      <c r="DM473" s="242"/>
      <c r="DO473" s="243"/>
      <c r="DQ473" s="242"/>
      <c r="DS473" s="243"/>
      <c r="DU473" s="242"/>
      <c r="DW473" s="243"/>
      <c r="DY473" s="242"/>
      <c r="EA473" s="243"/>
    </row>
    <row r="474" spans="1:131">
      <c r="A474" s="20"/>
      <c r="B474" s="124" t="str">
        <f t="shared" si="438"/>
        <v/>
      </c>
      <c r="C474" s="235"/>
      <c r="D474" s="24">
        <f>'1% Wind'!$M$91</f>
        <v>4.2</v>
      </c>
      <c r="E474" s="90"/>
      <c r="F474" s="90"/>
      <c r="G474" s="79">
        <f ca="1">IF(I464=0.9743,$G473,MAX(G473/D473*D474,2))</f>
        <v>6.001707317073171</v>
      </c>
      <c r="H474" s="121" t="e">
        <f t="shared" ca="1" si="439"/>
        <v>#VALUE!</v>
      </c>
      <c r="J474" s="33"/>
      <c r="K474" s="242">
        <f t="shared" si="440"/>
        <v>1</v>
      </c>
      <c r="L474" s="241" t="e">
        <f t="shared" ca="1" si="441"/>
        <v>#VALUE!</v>
      </c>
      <c r="M474" s="243" t="e">
        <f ca="1">IF(AND(INDEX(FlowCalConstA,MATCH(J464,FlowCalNumber,0),1,1)*L474^INDEX(FlowCalConstB,MATCH(J464,FlowCalNumber,0),1,1)&gt;INDEX(FlowCalLowSetting,MATCH(J464,FlowCalNumber,0),1,1), (INDEX(FlowCalConstA,MATCH(J464,FlowCalNumber,0),1,1)*L474^INDEX(FlowCalConstB,MATCH(J464,FlowCalNumber,0),1,1)&lt;INDEX(FlowCalHighSetting,MATCH(J464,FlowCalNumber,0),1,1))),INDEX(FlowCalConstA,MATCH(J464,FlowCalNumber,0),1,1)*L474^INDEX(FlowCalConstB,MATCH(J464,FlowCalNumber,0),1,1)," ")</f>
        <v>#N/A</v>
      </c>
      <c r="N474" s="33"/>
      <c r="O474" s="242">
        <f t="shared" si="442"/>
        <v>1</v>
      </c>
      <c r="P474" s="241" t="e">
        <f t="shared" ca="1" si="443"/>
        <v>#VALUE!</v>
      </c>
      <c r="Q474" s="243" t="e">
        <f ca="1">IF(AND(INDEX(FlowCalConstA,MATCH(N464,FlowCalNumber,0),1,1)*P474^INDEX(FlowCalConstB,MATCH(N464,FlowCalNumber,0),1,1)&gt;INDEX(FlowCalLowSetting,MATCH(N464,FlowCalNumber,0),1,1), (INDEX(FlowCalConstA,MATCH(N464,FlowCalNumber,0),1,1)*P474^INDEX(FlowCalConstB,MATCH(N464,FlowCalNumber,0),1,1)&lt;INDEX(FlowCalHighSetting,MATCH(N464,FlowCalNumber,0),1,1))),INDEX(FlowCalConstA,MATCH(N464,FlowCalNumber,0),1,1)*P474^INDEX(FlowCalConstB,MATCH(N464,FlowCalNumber,0),1,1)," ")</f>
        <v>#N/A</v>
      </c>
      <c r="R474" s="33"/>
      <c r="S474" s="242">
        <f t="shared" si="444"/>
        <v>1</v>
      </c>
      <c r="T474" s="241" t="e">
        <f t="shared" ca="1" si="445"/>
        <v>#VALUE!</v>
      </c>
      <c r="U474" s="244" t="e">
        <f ca="1">IF(AND(INDEX(FlowCalConstA,MATCH(R464,FlowCalNumber,0),1,1)*T474^INDEX(FlowCalConstB,MATCH(R464,FlowCalNumber,0),1,1)&gt;INDEX(FlowCalLowSetting,MATCH(R464,FlowCalNumber,0),1,1), (INDEX(FlowCalConstA,MATCH(R464,FlowCalNumber,0),1,1)*T474^INDEX(FlowCalConstB,MATCH(R464,FlowCalNumber,0),1,1)&lt;INDEX(FlowCalHighSetting,MATCH(R464,FlowCalNumber,0),1,1))),INDEX(FlowCalConstA,MATCH(R464,FlowCalNumber,0),1,1)*T474^INDEX(FlowCalConstB,MATCH(R464,FlowCalNumber,0),1,1)," ")</f>
        <v>#N/A</v>
      </c>
      <c r="V474" s="33"/>
      <c r="W474" s="242">
        <f t="shared" si="446"/>
        <v>0.1</v>
      </c>
      <c r="X474" s="241" t="e">
        <f t="shared" ca="1" si="447"/>
        <v>#VALUE!</v>
      </c>
      <c r="Y474" s="243" t="e">
        <f ca="1">IF(AND(INDEX(FlowCalConstA,MATCH(V464,FlowCalNumber,0),1,1)*X474^INDEX(FlowCalConstB,MATCH(V464,FlowCalNumber,0),1,1)&gt;INDEX(FlowCalLowSetting,MATCH(V464,FlowCalNumber,0),1,1), (INDEX(FlowCalConstA,MATCH(V464,FlowCalNumber,0),1,1)*X474^INDEX(FlowCalConstB,MATCH(V464,FlowCalNumber,0),1,1)&lt;INDEX(FlowCalHighSetting,MATCH(V464,FlowCalNumber,0),1,1))),INDEX(FlowCalConstA,MATCH(V464,FlowCalNumber,0),1,1)*X474^INDEX(FlowCalConstB,MATCH(V464,FlowCalNumber,0),1,1)," ")</f>
        <v>#N/A</v>
      </c>
      <c r="Z474" s="33"/>
      <c r="AA474" s="242">
        <f t="shared" si="448"/>
        <v>0.9</v>
      </c>
      <c r="AB474" s="241" t="e">
        <f t="shared" ca="1" si="449"/>
        <v>#VALUE!</v>
      </c>
      <c r="AC474" s="243" t="e">
        <f ca="1">IF(AND(INDEX(FlowCalConstA,MATCH(Z464,FlowCalNumber,0),1,1)*AB474^INDEX(FlowCalConstB,MATCH(Z464,FlowCalNumber,0),1,1)&gt;INDEX(FlowCalLowSetting,MATCH(Z464,FlowCalNumber,0),1,1), (INDEX(FlowCalConstA,MATCH(Z464,FlowCalNumber,0),1,1)*AB474^INDEX(FlowCalConstB,MATCH(Z464,FlowCalNumber,0),1,1)&lt;INDEX(FlowCalHighSetting,MATCH(Z464,FlowCalNumber,0),1,1))),INDEX(FlowCalConstA,MATCH(Z464,FlowCalNumber,0),1,1)*AB474^INDEX(FlowCalConstB,MATCH(Z464,FlowCalNumber,0),1,1)," ")</f>
        <v>#N/A</v>
      </c>
      <c r="AD474" s="33"/>
      <c r="AE474" s="242">
        <f t="shared" si="450"/>
        <v>0.1</v>
      </c>
      <c r="AF474" s="241" t="e">
        <f t="shared" ca="1" si="451"/>
        <v>#VALUE!</v>
      </c>
      <c r="AG474" s="243" t="e">
        <f ca="1">IF(AND(INDEX(FlowCalConstA,MATCH(AD464,FlowCalNumber,0),1,1)*AF474^INDEX(FlowCalConstB,MATCH(AD464,FlowCalNumber,0),1,1)&gt;INDEX(FlowCalLowSetting,MATCH(AD464,FlowCalNumber,0),1,1), (INDEX(FlowCalConstA,MATCH(AD464,FlowCalNumber,0),1,1)*AF474^INDEX(FlowCalConstB,MATCH(AD464,FlowCalNumber,0),1,1)&lt;INDEX(FlowCalHighSetting,MATCH(AD464,FlowCalNumber,0),1,1))),INDEX(FlowCalConstA,MATCH(AD464,FlowCalNumber,0),1,1)*AF474^INDEX(FlowCalConstB,MATCH(AD464,FlowCalNumber,0),1,1)," ")</f>
        <v>#N/A</v>
      </c>
      <c r="AH474" s="33"/>
      <c r="AI474" s="242">
        <f t="shared" si="452"/>
        <v>0.9</v>
      </c>
      <c r="AJ474" s="241" t="e">
        <f t="shared" ca="1" si="453"/>
        <v>#VALUE!</v>
      </c>
      <c r="AK474" s="243" t="e">
        <f ca="1">IF(AND(INDEX(FlowCalConstA,MATCH(AH464,FlowCalNumber,0),1,1)*AJ474^INDEX(FlowCalConstB,MATCH(AH464,FlowCalNumber,0),1,1)&gt;INDEX(FlowCalLowSetting,MATCH(AH464,FlowCalNumber,0),1,1), (INDEX(FlowCalConstA,MATCH(AH464,FlowCalNumber,0),1,1)*AJ474^INDEX(FlowCalConstB,MATCH(AH464,FlowCalNumber,0),1,1)&lt;INDEX(FlowCalHighSetting,MATCH(AH464,FlowCalNumber,0),1,1))),INDEX(FlowCalConstA,MATCH(AH464,FlowCalNumber,0),1,1)*AJ474^INDEX(FlowCalConstB,MATCH(AH464,FlowCalNumber,0),1,1)," ")</f>
        <v>#N/A</v>
      </c>
      <c r="AL474" s="33"/>
      <c r="AM474" s="242"/>
      <c r="AN474" s="241"/>
      <c r="AO474" s="244"/>
      <c r="AQ474" s="242"/>
      <c r="AR474" s="241"/>
      <c r="AS474" s="244"/>
      <c r="AT474" s="33"/>
      <c r="AU474" s="242"/>
      <c r="AV474" s="241"/>
      <c r="AW474" s="244"/>
      <c r="AX474" s="33"/>
      <c r="AY474" s="242"/>
      <c r="AZ474" s="241"/>
      <c r="BA474" s="244"/>
      <c r="BB474" s="33"/>
      <c r="BC474" s="242"/>
      <c r="BD474" s="241"/>
      <c r="BE474" s="244"/>
      <c r="BF474" s="33"/>
      <c r="BG474" s="242"/>
      <c r="BH474" s="241"/>
      <c r="BI474" s="244"/>
      <c r="BJ474" s="33"/>
      <c r="BK474" s="242"/>
      <c r="BL474" s="241"/>
      <c r="BM474" s="244"/>
      <c r="BN474" s="33"/>
      <c r="BO474" s="242"/>
      <c r="BP474" s="241"/>
      <c r="BQ474" s="244"/>
      <c r="BR474" s="33"/>
      <c r="BS474" s="242"/>
      <c r="BT474" s="241"/>
      <c r="BU474" s="244"/>
      <c r="BV474" s="33"/>
      <c r="BW474" s="242"/>
      <c r="BX474" s="241"/>
      <c r="BY474" s="244"/>
      <c r="BZ474" s="33"/>
      <c r="CA474" s="242"/>
      <c r="CB474" s="241"/>
      <c r="CC474" s="244"/>
      <c r="CD474" s="243"/>
      <c r="CE474" s="243"/>
      <c r="CF474" s="243"/>
      <c r="CG474" s="243"/>
      <c r="CH474" s="243"/>
      <c r="CI474" s="243"/>
      <c r="CJ474" s="243"/>
      <c r="CK474" s="243"/>
      <c r="CL474" s="243"/>
      <c r="CM474" s="243"/>
      <c r="CN474" s="243"/>
      <c r="CO474" s="243"/>
      <c r="CP474" s="243"/>
      <c r="CQ474" s="243"/>
      <c r="CR474" s="243"/>
      <c r="CS474" s="243"/>
      <c r="CT474" s="243"/>
      <c r="CU474" s="243"/>
      <c r="CV474" s="243"/>
      <c r="CW474" s="243"/>
      <c r="CX474" s="243"/>
      <c r="CY474" s="243"/>
      <c r="CZ474" s="243"/>
      <c r="DA474" s="243"/>
      <c r="DB474" s="243"/>
      <c r="DC474" s="243"/>
      <c r="DD474" s="243"/>
      <c r="DE474" s="243"/>
      <c r="DF474" s="243"/>
      <c r="DG474" s="243"/>
      <c r="DH474" s="243"/>
      <c r="DI474" s="243"/>
      <c r="DJ474" s="243"/>
      <c r="DK474" s="243"/>
      <c r="DM474" s="242"/>
      <c r="DO474" s="243"/>
      <c r="DQ474" s="242"/>
      <c r="DS474" s="243"/>
      <c r="DU474" s="242"/>
      <c r="DW474" s="243"/>
      <c r="DY474" s="242"/>
      <c r="EA474" s="243"/>
    </row>
    <row r="475" spans="1:131">
      <c r="A475" s="20"/>
      <c r="B475" s="124" t="str">
        <f t="shared" si="438"/>
        <v/>
      </c>
      <c r="C475" s="235"/>
      <c r="D475" s="24">
        <f>'1% Wind'!$M$92</f>
        <v>3.2</v>
      </c>
      <c r="E475" s="90"/>
      <c r="F475" s="90"/>
      <c r="G475" s="79">
        <f ca="1">IF(I464=0.9743,$G474,MAX(G474/D474*D475,2))</f>
        <v>6.001707317073171</v>
      </c>
      <c r="H475" s="121" t="e">
        <f t="shared" ca="1" si="439"/>
        <v>#VALUE!</v>
      </c>
      <c r="J475" s="33"/>
      <c r="K475" s="242">
        <f t="shared" si="440"/>
        <v>1</v>
      </c>
      <c r="L475" s="241" t="e">
        <f t="shared" ca="1" si="441"/>
        <v>#VALUE!</v>
      </c>
      <c r="M475" s="243" t="e">
        <f ca="1">IF(AND(INDEX(FlowCalConstA,MATCH(J464,FlowCalNumber,0),1,1)*L475^INDEX(FlowCalConstB,MATCH(J464,FlowCalNumber,0),1,1)&gt;INDEX(FlowCalLowSetting,MATCH(J464,FlowCalNumber,0),1,1), (INDEX(FlowCalConstA,MATCH(J464,FlowCalNumber,0),1,1)*L475^INDEX(FlowCalConstB,MATCH(J464,FlowCalNumber,0),1,1)&lt;INDEX(FlowCalHighSetting,MATCH(J464,FlowCalNumber,0),1,1))),INDEX(FlowCalConstA,MATCH(J464,FlowCalNumber,0),1,1)*L475^INDEX(FlowCalConstB,MATCH(J464,FlowCalNumber,0),1,1)," ")</f>
        <v>#N/A</v>
      </c>
      <c r="N475" s="33"/>
      <c r="O475" s="242">
        <f t="shared" si="442"/>
        <v>1</v>
      </c>
      <c r="P475" s="241" t="e">
        <f t="shared" ca="1" si="443"/>
        <v>#VALUE!</v>
      </c>
      <c r="Q475" s="243" t="e">
        <f ca="1">IF(AND(INDEX(FlowCalConstA,MATCH(N464,FlowCalNumber,0),1,1)*P475^INDEX(FlowCalConstB,MATCH(N464,FlowCalNumber,0),1,1)&gt;INDEX(FlowCalLowSetting,MATCH(N464,FlowCalNumber,0),1,1), (INDEX(FlowCalConstA,MATCH(N464,FlowCalNumber,0),1,1)*P475^INDEX(FlowCalConstB,MATCH(N464,FlowCalNumber,0),1,1)&lt;INDEX(FlowCalHighSetting,MATCH(N464,FlowCalNumber,0),1,1))),INDEX(FlowCalConstA,MATCH(N464,FlowCalNumber,0),1,1)*P475^INDEX(FlowCalConstB,MATCH(N464,FlowCalNumber,0),1,1)," ")</f>
        <v>#N/A</v>
      </c>
      <c r="R475" s="33"/>
      <c r="S475" s="242">
        <f t="shared" si="444"/>
        <v>1</v>
      </c>
      <c r="T475" s="241" t="e">
        <f t="shared" ca="1" si="445"/>
        <v>#VALUE!</v>
      </c>
      <c r="U475" s="244" t="e">
        <f ca="1">IF(AND(INDEX(FlowCalConstA,MATCH(R464,FlowCalNumber,0),1,1)*T475^INDEX(FlowCalConstB,MATCH(R464,FlowCalNumber,0),1,1)&gt;INDEX(FlowCalLowSetting,MATCH(R464,FlowCalNumber,0),1,1), (INDEX(FlowCalConstA,MATCH(R464,FlowCalNumber,0),1,1)*T475^INDEX(FlowCalConstB,MATCH(R464,FlowCalNumber,0),1,1)&lt;INDEX(FlowCalHighSetting,MATCH(R464,FlowCalNumber,0),1,1))),INDEX(FlowCalConstA,MATCH(R464,FlowCalNumber,0),1,1)*T475^INDEX(FlowCalConstB,MATCH(R464,FlowCalNumber,0),1,1)," ")</f>
        <v>#N/A</v>
      </c>
      <c r="V475" s="33"/>
      <c r="W475" s="242">
        <f t="shared" si="446"/>
        <v>0.1</v>
      </c>
      <c r="X475" s="241" t="e">
        <f t="shared" ca="1" si="447"/>
        <v>#VALUE!</v>
      </c>
      <c r="Y475" s="243" t="e">
        <f ca="1">IF(AND(INDEX(FlowCalConstA,MATCH(V464,FlowCalNumber,0),1,1)*X475^INDEX(FlowCalConstB,MATCH(V464,FlowCalNumber,0),1,1)&gt;INDEX(FlowCalLowSetting,MATCH(V464,FlowCalNumber,0),1,1), (INDEX(FlowCalConstA,MATCH(V464,FlowCalNumber,0),1,1)*X475^INDEX(FlowCalConstB,MATCH(V464,FlowCalNumber,0),1,1)&lt;INDEX(FlowCalHighSetting,MATCH(V464,FlowCalNumber,0),1,1))),INDEX(FlowCalConstA,MATCH(V464,FlowCalNumber,0),1,1)*X475^INDEX(FlowCalConstB,MATCH(V464,FlowCalNumber,0),1,1)," ")</f>
        <v>#N/A</v>
      </c>
      <c r="Z475" s="33"/>
      <c r="AA475" s="242">
        <f t="shared" si="448"/>
        <v>0.9</v>
      </c>
      <c r="AB475" s="241" t="e">
        <f t="shared" ca="1" si="449"/>
        <v>#VALUE!</v>
      </c>
      <c r="AC475" s="243" t="e">
        <f ca="1">IF(AND(INDEX(FlowCalConstA,MATCH(Z464,FlowCalNumber,0),1,1)*AB475^INDEX(FlowCalConstB,MATCH(Z464,FlowCalNumber,0),1,1)&gt;INDEX(FlowCalLowSetting,MATCH(Z464,FlowCalNumber,0),1,1), (INDEX(FlowCalConstA,MATCH(Z464,FlowCalNumber,0),1,1)*AB475^INDEX(FlowCalConstB,MATCH(Z464,FlowCalNumber,0),1,1)&lt;INDEX(FlowCalHighSetting,MATCH(Z464,FlowCalNumber,0),1,1))),INDEX(FlowCalConstA,MATCH(Z464,FlowCalNumber,0),1,1)*AB475^INDEX(FlowCalConstB,MATCH(Z464,FlowCalNumber,0),1,1)," ")</f>
        <v>#N/A</v>
      </c>
      <c r="AD475" s="33"/>
      <c r="AE475" s="242">
        <f t="shared" si="450"/>
        <v>0.1</v>
      </c>
      <c r="AF475" s="241" t="e">
        <f t="shared" ca="1" si="451"/>
        <v>#VALUE!</v>
      </c>
      <c r="AG475" s="243" t="e">
        <f ca="1">IF(AND(INDEX(FlowCalConstA,MATCH(AD464,FlowCalNumber,0),1,1)*AF475^INDEX(FlowCalConstB,MATCH(AD464,FlowCalNumber,0),1,1)&gt;INDEX(FlowCalLowSetting,MATCH(AD464,FlowCalNumber,0),1,1), (INDEX(FlowCalConstA,MATCH(AD464,FlowCalNumber,0),1,1)*AF475^INDEX(FlowCalConstB,MATCH(AD464,FlowCalNumber,0),1,1)&lt;INDEX(FlowCalHighSetting,MATCH(AD464,FlowCalNumber,0),1,1))),INDEX(FlowCalConstA,MATCH(AD464,FlowCalNumber,0),1,1)*AF475^INDEX(FlowCalConstB,MATCH(AD464,FlowCalNumber,0),1,1)," ")</f>
        <v>#N/A</v>
      </c>
      <c r="AH475" s="33"/>
      <c r="AI475" s="242">
        <f t="shared" si="452"/>
        <v>0.9</v>
      </c>
      <c r="AJ475" s="241" t="e">
        <f t="shared" ca="1" si="453"/>
        <v>#VALUE!</v>
      </c>
      <c r="AK475" s="243" t="e">
        <f ca="1">IF(AND(INDEX(FlowCalConstA,MATCH(AH464,FlowCalNumber,0),1,1)*AJ475^INDEX(FlowCalConstB,MATCH(AH464,FlowCalNumber,0),1,1)&gt;INDEX(FlowCalLowSetting,MATCH(AH464,FlowCalNumber,0),1,1), (INDEX(FlowCalConstA,MATCH(AH464,FlowCalNumber,0),1,1)*AJ475^INDEX(FlowCalConstB,MATCH(AH464,FlowCalNumber,0),1,1)&lt;INDEX(FlowCalHighSetting,MATCH(AH464,FlowCalNumber,0),1,1))),INDEX(FlowCalConstA,MATCH(AH464,FlowCalNumber,0),1,1)*AJ475^INDEX(FlowCalConstB,MATCH(AH464,FlowCalNumber,0),1,1)," ")</f>
        <v>#N/A</v>
      </c>
      <c r="AL475" s="33"/>
      <c r="AM475" s="242"/>
      <c r="AN475" s="241"/>
      <c r="AO475" s="244"/>
      <c r="AQ475" s="242"/>
      <c r="AR475" s="241"/>
      <c r="AS475" s="244"/>
      <c r="AT475" s="33"/>
      <c r="AU475" s="242"/>
      <c r="AV475" s="241"/>
      <c r="AW475" s="244"/>
      <c r="AX475" s="33"/>
      <c r="AY475" s="242"/>
      <c r="AZ475" s="241"/>
      <c r="BA475" s="244"/>
      <c r="BB475" s="33"/>
      <c r="BC475" s="242"/>
      <c r="BD475" s="241"/>
      <c r="BE475" s="244"/>
      <c r="BF475" s="33"/>
      <c r="BG475" s="242"/>
      <c r="BH475" s="241"/>
      <c r="BI475" s="244"/>
      <c r="BJ475" s="33"/>
      <c r="BK475" s="242"/>
      <c r="BL475" s="241"/>
      <c r="BM475" s="244"/>
      <c r="BN475" s="33"/>
      <c r="BO475" s="242"/>
      <c r="BP475" s="241"/>
      <c r="BQ475" s="244"/>
      <c r="BR475" s="33"/>
      <c r="BS475" s="242"/>
      <c r="BT475" s="241"/>
      <c r="BU475" s="244"/>
      <c r="BV475" s="33"/>
      <c r="BW475" s="242"/>
      <c r="BX475" s="241"/>
      <c r="BY475" s="244"/>
      <c r="BZ475" s="33"/>
      <c r="CA475" s="242"/>
      <c r="CB475" s="241"/>
      <c r="CC475" s="244"/>
      <c r="CD475" s="243"/>
      <c r="CE475" s="243"/>
      <c r="CF475" s="243"/>
      <c r="CG475" s="243"/>
      <c r="CH475" s="243"/>
      <c r="CI475" s="243"/>
      <c r="CJ475" s="243"/>
      <c r="CK475" s="243"/>
      <c r="CL475" s="243"/>
      <c r="CM475" s="243"/>
      <c r="CN475" s="243"/>
      <c r="CO475" s="243"/>
      <c r="CP475" s="243"/>
      <c r="CQ475" s="243"/>
      <c r="CR475" s="243"/>
      <c r="CS475" s="243"/>
      <c r="CT475" s="243"/>
      <c r="CU475" s="243"/>
      <c r="CV475" s="243"/>
      <c r="CW475" s="243"/>
      <c r="CX475" s="243"/>
      <c r="CY475" s="243"/>
      <c r="CZ475" s="243"/>
      <c r="DA475" s="243"/>
      <c r="DB475" s="243"/>
      <c r="DC475" s="243"/>
      <c r="DD475" s="243"/>
      <c r="DE475" s="243"/>
      <c r="DF475" s="243"/>
      <c r="DG475" s="243"/>
      <c r="DH475" s="243"/>
      <c r="DI475" s="243"/>
      <c r="DJ475" s="243"/>
      <c r="DK475" s="243"/>
      <c r="DM475" s="242"/>
      <c r="DO475" s="243"/>
      <c r="DQ475" s="242"/>
      <c r="DS475" s="243"/>
      <c r="DU475" s="242"/>
      <c r="DW475" s="243"/>
      <c r="DY475" s="242"/>
      <c r="EA475" s="243"/>
    </row>
    <row r="476" spans="1:131">
      <c r="A476" s="20"/>
      <c r="B476" s="124" t="str">
        <f t="shared" si="438"/>
        <v/>
      </c>
      <c r="C476" s="235"/>
      <c r="D476" s="24">
        <f>'1% Wind'!$M$93</f>
        <v>2.4</v>
      </c>
      <c r="E476" s="90"/>
      <c r="F476" s="90"/>
      <c r="G476" s="79">
        <f ca="1">IF(I464=0.9743,$G475,MAX(G475/D475*D476,2))</f>
        <v>6.001707317073171</v>
      </c>
      <c r="H476" s="121" t="e">
        <f t="shared" ca="1" si="439"/>
        <v>#VALUE!</v>
      </c>
      <c r="J476" s="33"/>
      <c r="K476" s="242">
        <f t="shared" si="440"/>
        <v>1</v>
      </c>
      <c r="L476" s="241" t="e">
        <f t="shared" ca="1" si="441"/>
        <v>#VALUE!</v>
      </c>
      <c r="M476" s="243" t="e">
        <f ca="1">IF(AND(INDEX(FlowCalConstA,MATCH(J464,FlowCalNumber,0),1,1)*L476^INDEX(FlowCalConstB,MATCH(J464,FlowCalNumber,0),1,1)&gt;INDEX(FlowCalLowSetting,MATCH(J464,FlowCalNumber,0),1,1), (INDEX(FlowCalConstA,MATCH(J464,FlowCalNumber,0),1,1)*L476^INDEX(FlowCalConstB,MATCH(J464,FlowCalNumber,0),1,1)&lt;INDEX(FlowCalHighSetting,MATCH(J464,FlowCalNumber,0),1,1))),INDEX(FlowCalConstA,MATCH(J464,FlowCalNumber,0),1,1)*L476^INDEX(FlowCalConstB,MATCH(J464,FlowCalNumber,0),1,1)," ")</f>
        <v>#N/A</v>
      </c>
      <c r="N476" s="33"/>
      <c r="O476" s="242">
        <f t="shared" si="442"/>
        <v>1</v>
      </c>
      <c r="P476" s="241" t="e">
        <f t="shared" ca="1" si="443"/>
        <v>#VALUE!</v>
      </c>
      <c r="Q476" s="243" t="e">
        <f ca="1">IF(AND(INDEX(FlowCalConstA,MATCH(N464,FlowCalNumber,0),1,1)*P476^INDEX(FlowCalConstB,MATCH(N464,FlowCalNumber,0),1,1)&gt;INDEX(FlowCalLowSetting,MATCH(N464,FlowCalNumber,0),1,1), (INDEX(FlowCalConstA,MATCH(N464,FlowCalNumber,0),1,1)*P476^INDEX(FlowCalConstB,MATCH(N464,FlowCalNumber,0),1,1)&lt;INDEX(FlowCalHighSetting,MATCH(N464,FlowCalNumber,0),1,1))),INDEX(FlowCalConstA,MATCH(N464,FlowCalNumber,0),1,1)*P476^INDEX(FlowCalConstB,MATCH(N464,FlowCalNumber,0),1,1)," ")</f>
        <v>#N/A</v>
      </c>
      <c r="R476" s="33"/>
      <c r="S476" s="242">
        <f t="shared" si="444"/>
        <v>1</v>
      </c>
      <c r="T476" s="241" t="e">
        <f t="shared" ca="1" si="445"/>
        <v>#VALUE!</v>
      </c>
      <c r="U476" s="244" t="e">
        <f ca="1">IF(AND(INDEX(FlowCalConstA,MATCH(R464,FlowCalNumber,0),1,1)*T476^INDEX(FlowCalConstB,MATCH(R464,FlowCalNumber,0),1,1)&gt;INDEX(FlowCalLowSetting,MATCH(R464,FlowCalNumber,0),1,1), (INDEX(FlowCalConstA,MATCH(R464,FlowCalNumber,0),1,1)*T476^INDEX(FlowCalConstB,MATCH(R464,FlowCalNumber,0),1,1)&lt;INDEX(FlowCalHighSetting,MATCH(R464,FlowCalNumber,0),1,1))),INDEX(FlowCalConstA,MATCH(R464,FlowCalNumber,0),1,1)*T476^INDEX(FlowCalConstB,MATCH(R464,FlowCalNumber,0),1,1)," ")</f>
        <v>#N/A</v>
      </c>
      <c r="V476" s="33"/>
      <c r="W476" s="242">
        <f t="shared" si="446"/>
        <v>0.1</v>
      </c>
      <c r="X476" s="241" t="e">
        <f t="shared" ca="1" si="447"/>
        <v>#VALUE!</v>
      </c>
      <c r="Y476" s="243" t="e">
        <f ca="1">IF(AND(INDEX(FlowCalConstA,MATCH(V464,FlowCalNumber,0),1,1)*X476^INDEX(FlowCalConstB,MATCH(V464,FlowCalNumber,0),1,1)&gt;INDEX(FlowCalLowSetting,MATCH(V464,FlowCalNumber,0),1,1), (INDEX(FlowCalConstA,MATCH(V464,FlowCalNumber,0),1,1)*X476^INDEX(FlowCalConstB,MATCH(V464,FlowCalNumber,0),1,1)&lt;INDEX(FlowCalHighSetting,MATCH(V464,FlowCalNumber,0),1,1))),INDEX(FlowCalConstA,MATCH(V464,FlowCalNumber,0),1,1)*X476^INDEX(FlowCalConstB,MATCH(V464,FlowCalNumber,0),1,1)," ")</f>
        <v>#N/A</v>
      </c>
      <c r="Z476" s="33"/>
      <c r="AA476" s="242">
        <f t="shared" si="448"/>
        <v>0.9</v>
      </c>
      <c r="AB476" s="241" t="e">
        <f t="shared" ca="1" si="449"/>
        <v>#VALUE!</v>
      </c>
      <c r="AC476" s="243" t="e">
        <f ca="1">IF(AND(INDEX(FlowCalConstA,MATCH(Z464,FlowCalNumber,0),1,1)*AB476^INDEX(FlowCalConstB,MATCH(Z464,FlowCalNumber,0),1,1)&gt;INDEX(FlowCalLowSetting,MATCH(Z464,FlowCalNumber,0),1,1), (INDEX(FlowCalConstA,MATCH(Z464,FlowCalNumber,0),1,1)*AB476^INDEX(FlowCalConstB,MATCH(Z464,FlowCalNumber,0),1,1)&lt;INDEX(FlowCalHighSetting,MATCH(Z464,FlowCalNumber,0),1,1))),INDEX(FlowCalConstA,MATCH(Z464,FlowCalNumber,0),1,1)*AB476^INDEX(FlowCalConstB,MATCH(Z464,FlowCalNumber,0),1,1)," ")</f>
        <v>#N/A</v>
      </c>
      <c r="AD476" s="33"/>
      <c r="AE476" s="242">
        <f t="shared" si="450"/>
        <v>0.1</v>
      </c>
      <c r="AF476" s="241" t="e">
        <f t="shared" ca="1" si="451"/>
        <v>#VALUE!</v>
      </c>
      <c r="AG476" s="243" t="e">
        <f ca="1">IF(AND(INDEX(FlowCalConstA,MATCH(AD464,FlowCalNumber,0),1,1)*AF476^INDEX(FlowCalConstB,MATCH(AD464,FlowCalNumber,0),1,1)&gt;INDEX(FlowCalLowSetting,MATCH(AD464,FlowCalNumber,0),1,1), (INDEX(FlowCalConstA,MATCH(AD464,FlowCalNumber,0),1,1)*AF476^INDEX(FlowCalConstB,MATCH(AD464,FlowCalNumber,0),1,1)&lt;INDEX(FlowCalHighSetting,MATCH(AD464,FlowCalNumber,0),1,1))),INDEX(FlowCalConstA,MATCH(AD464,FlowCalNumber,0),1,1)*AF476^INDEX(FlowCalConstB,MATCH(AD464,FlowCalNumber,0),1,1)," ")</f>
        <v>#N/A</v>
      </c>
      <c r="AH476" s="33"/>
      <c r="AI476" s="242">
        <f t="shared" si="452"/>
        <v>0.9</v>
      </c>
      <c r="AJ476" s="241" t="e">
        <f t="shared" ca="1" si="453"/>
        <v>#VALUE!</v>
      </c>
      <c r="AK476" s="243" t="e">
        <f ca="1">IF(AND(INDEX(FlowCalConstA,MATCH(AH464,FlowCalNumber,0),1,1)*AJ476^INDEX(FlowCalConstB,MATCH(AH464,FlowCalNumber,0),1,1)&gt;INDEX(FlowCalLowSetting,MATCH(AH464,FlowCalNumber,0),1,1), (INDEX(FlowCalConstA,MATCH(AH464,FlowCalNumber,0),1,1)*AJ476^INDEX(FlowCalConstB,MATCH(AH464,FlowCalNumber,0),1,1)&lt;INDEX(FlowCalHighSetting,MATCH(AH464,FlowCalNumber,0),1,1))),INDEX(FlowCalConstA,MATCH(AH464,FlowCalNumber,0),1,1)*AJ476^INDEX(FlowCalConstB,MATCH(AH464,FlowCalNumber,0),1,1)," ")</f>
        <v>#N/A</v>
      </c>
      <c r="AL476" s="33"/>
      <c r="AM476" s="242"/>
      <c r="AN476" s="241"/>
      <c r="AO476" s="244"/>
      <c r="AQ476" s="242"/>
      <c r="AR476" s="241"/>
      <c r="AS476" s="244"/>
      <c r="AT476" s="33"/>
      <c r="AU476" s="242"/>
      <c r="AV476" s="241"/>
      <c r="AW476" s="244"/>
      <c r="AX476" s="33"/>
      <c r="AY476" s="242"/>
      <c r="AZ476" s="241"/>
      <c r="BA476" s="244"/>
      <c r="BB476" s="33"/>
      <c r="BC476" s="242"/>
      <c r="BD476" s="241"/>
      <c r="BE476" s="244"/>
      <c r="BF476" s="33"/>
      <c r="BG476" s="242"/>
      <c r="BH476" s="241"/>
      <c r="BI476" s="244"/>
      <c r="BJ476" s="33"/>
      <c r="BK476" s="242"/>
      <c r="BL476" s="241"/>
      <c r="BM476" s="244"/>
      <c r="BN476" s="33"/>
      <c r="BO476" s="242"/>
      <c r="BP476" s="241"/>
      <c r="BQ476" s="244"/>
      <c r="BR476" s="33"/>
      <c r="BS476" s="242"/>
      <c r="BT476" s="241"/>
      <c r="BU476" s="244"/>
      <c r="BV476" s="33"/>
      <c r="BW476" s="242"/>
      <c r="BX476" s="241"/>
      <c r="BY476" s="244"/>
      <c r="BZ476" s="33"/>
      <c r="CA476" s="242"/>
      <c r="CB476" s="241"/>
      <c r="CC476" s="244"/>
      <c r="CD476" s="243"/>
      <c r="CE476" s="243"/>
      <c r="CF476" s="243"/>
      <c r="CG476" s="243"/>
      <c r="CH476" s="243"/>
      <c r="CI476" s="243"/>
      <c r="CJ476" s="243"/>
      <c r="CK476" s="243"/>
      <c r="CL476" s="243"/>
      <c r="CM476" s="243"/>
      <c r="CN476" s="243"/>
      <c r="CO476" s="243"/>
      <c r="CP476" s="243"/>
      <c r="CQ476" s="243"/>
      <c r="CR476" s="243"/>
      <c r="CS476" s="243"/>
      <c r="CT476" s="243"/>
      <c r="CU476" s="243"/>
      <c r="CV476" s="243"/>
      <c r="CW476" s="243"/>
      <c r="CX476" s="243"/>
      <c r="CY476" s="243"/>
      <c r="CZ476" s="243"/>
      <c r="DA476" s="243"/>
      <c r="DB476" s="243"/>
      <c r="DC476" s="243"/>
      <c r="DD476" s="243"/>
      <c r="DE476" s="243"/>
      <c r="DF476" s="243"/>
      <c r="DG476" s="243"/>
      <c r="DH476" s="243"/>
      <c r="DI476" s="243"/>
      <c r="DJ476" s="243"/>
      <c r="DK476" s="243"/>
      <c r="DM476" s="242"/>
      <c r="DO476" s="243"/>
      <c r="DQ476" s="242"/>
      <c r="DS476" s="243"/>
      <c r="DU476" s="242"/>
      <c r="DW476" s="243"/>
      <c r="DY476" s="242"/>
      <c r="EA476" s="243"/>
    </row>
    <row r="477" spans="1:131">
      <c r="A477" s="20"/>
      <c r="B477" s="124" t="str">
        <f t="shared" si="438"/>
        <v/>
      </c>
      <c r="C477" s="235"/>
      <c r="D477" s="24">
        <f>'1% Wind'!$M$94</f>
        <v>1.8</v>
      </c>
      <c r="E477" s="90"/>
      <c r="F477" s="90"/>
      <c r="G477" s="79">
        <f ca="1">IF(I464=0.9743,$G476,MAX(G476/D476*D477,2))</f>
        <v>6.001707317073171</v>
      </c>
      <c r="H477" s="121" t="e">
        <f t="shared" ca="1" si="439"/>
        <v>#VALUE!</v>
      </c>
      <c r="J477" s="33"/>
      <c r="K477" s="242">
        <f t="shared" si="440"/>
        <v>1</v>
      </c>
      <c r="L477" s="241" t="e">
        <f t="shared" ca="1" si="441"/>
        <v>#VALUE!</v>
      </c>
      <c r="M477" s="243" t="e">
        <f ca="1">IF(AND(INDEX(FlowCalConstA,MATCH(J464,FlowCalNumber,0),1,1)*L477^INDEX(FlowCalConstB,MATCH(J464,FlowCalNumber,0),1,1)&gt;INDEX(FlowCalLowSetting,MATCH(J464,FlowCalNumber,0),1,1), (INDEX(FlowCalConstA,MATCH(J464,FlowCalNumber,0),1,1)*L477^INDEX(FlowCalConstB,MATCH(J464,FlowCalNumber,0),1,1)&lt;INDEX(FlowCalHighSetting,MATCH(J464,FlowCalNumber,0),1,1))),INDEX(FlowCalConstA,MATCH(J464,FlowCalNumber,0),1,1)*L477^INDEX(FlowCalConstB,MATCH(J464,FlowCalNumber,0),1,1)," ")</f>
        <v>#N/A</v>
      </c>
      <c r="N477" s="33"/>
      <c r="O477" s="242">
        <f t="shared" si="442"/>
        <v>1</v>
      </c>
      <c r="P477" s="241" t="e">
        <f t="shared" ca="1" si="443"/>
        <v>#VALUE!</v>
      </c>
      <c r="Q477" s="243" t="e">
        <f ca="1">IF(AND(INDEX(FlowCalConstA,MATCH(N464,FlowCalNumber,0),1,1)*P477^INDEX(FlowCalConstB,MATCH(N464,FlowCalNumber,0),1,1)&gt;INDEX(FlowCalLowSetting,MATCH(N464,FlowCalNumber,0),1,1), (INDEX(FlowCalConstA,MATCH(N464,FlowCalNumber,0),1,1)*P477^INDEX(FlowCalConstB,MATCH(N464,FlowCalNumber,0),1,1)&lt;INDEX(FlowCalHighSetting,MATCH(N464,FlowCalNumber,0),1,1))),INDEX(FlowCalConstA,MATCH(N464,FlowCalNumber,0),1,1)*P477^INDEX(FlowCalConstB,MATCH(N464,FlowCalNumber,0),1,1)," ")</f>
        <v>#N/A</v>
      </c>
      <c r="R477" s="33"/>
      <c r="S477" s="242">
        <f t="shared" si="444"/>
        <v>1</v>
      </c>
      <c r="T477" s="241" t="e">
        <f t="shared" ca="1" si="445"/>
        <v>#VALUE!</v>
      </c>
      <c r="U477" s="244" t="e">
        <f ca="1">IF(AND(INDEX(FlowCalConstA,MATCH(R464,FlowCalNumber,0),1,1)*T477^INDEX(FlowCalConstB,MATCH(R464,FlowCalNumber,0),1,1)&gt;INDEX(FlowCalLowSetting,MATCH(R464,FlowCalNumber,0),1,1), (INDEX(FlowCalConstA,MATCH(R464,FlowCalNumber,0),1,1)*T477^INDEX(FlowCalConstB,MATCH(R464,FlowCalNumber,0),1,1)&lt;INDEX(FlowCalHighSetting,MATCH(R464,FlowCalNumber,0),1,1))),INDEX(FlowCalConstA,MATCH(R464,FlowCalNumber,0),1,1)*T477^INDEX(FlowCalConstB,MATCH(R464,FlowCalNumber,0),1,1)," ")</f>
        <v>#N/A</v>
      </c>
      <c r="V477" s="33"/>
      <c r="W477" s="242">
        <f t="shared" si="446"/>
        <v>0.1</v>
      </c>
      <c r="X477" s="241" t="e">
        <f t="shared" ca="1" si="447"/>
        <v>#VALUE!</v>
      </c>
      <c r="Y477" s="243" t="e">
        <f ca="1">IF(AND(INDEX(FlowCalConstA,MATCH(V464,FlowCalNumber,0),1,1)*X477^INDEX(FlowCalConstB,MATCH(V464,FlowCalNumber,0),1,1)&gt;INDEX(FlowCalLowSetting,MATCH(V464,FlowCalNumber,0),1,1), (INDEX(FlowCalConstA,MATCH(V464,FlowCalNumber,0),1,1)*X477^INDEX(FlowCalConstB,MATCH(V464,FlowCalNumber,0),1,1)&lt;INDEX(FlowCalHighSetting,MATCH(V464,FlowCalNumber,0),1,1))),INDEX(FlowCalConstA,MATCH(V464,FlowCalNumber,0),1,1)*X477^INDEX(FlowCalConstB,MATCH(V464,FlowCalNumber,0),1,1)," ")</f>
        <v>#N/A</v>
      </c>
      <c r="Z477" s="33"/>
      <c r="AA477" s="242">
        <f t="shared" si="448"/>
        <v>0.9</v>
      </c>
      <c r="AB477" s="241" t="e">
        <f t="shared" ca="1" si="449"/>
        <v>#VALUE!</v>
      </c>
      <c r="AC477" s="243" t="e">
        <f ca="1">IF(AND(INDEX(FlowCalConstA,MATCH(Z464,FlowCalNumber,0),1,1)*AB477^INDEX(FlowCalConstB,MATCH(Z464,FlowCalNumber,0),1,1)&gt;INDEX(FlowCalLowSetting,MATCH(Z464,FlowCalNumber,0),1,1), (INDEX(FlowCalConstA,MATCH(Z464,FlowCalNumber,0),1,1)*AB477^INDEX(FlowCalConstB,MATCH(Z464,FlowCalNumber,0),1,1)&lt;INDEX(FlowCalHighSetting,MATCH(Z464,FlowCalNumber,0),1,1))),INDEX(FlowCalConstA,MATCH(Z464,FlowCalNumber,0),1,1)*AB477^INDEX(FlowCalConstB,MATCH(Z464,FlowCalNumber,0),1,1)," ")</f>
        <v>#N/A</v>
      </c>
      <c r="AD477" s="33"/>
      <c r="AE477" s="242">
        <f t="shared" si="450"/>
        <v>0.1</v>
      </c>
      <c r="AF477" s="241" t="e">
        <f t="shared" ca="1" si="451"/>
        <v>#VALUE!</v>
      </c>
      <c r="AG477" s="243" t="e">
        <f ca="1">IF(AND(INDEX(FlowCalConstA,MATCH(AD464,FlowCalNumber,0),1,1)*AF477^INDEX(FlowCalConstB,MATCH(AD464,FlowCalNumber,0),1,1)&gt;INDEX(FlowCalLowSetting,MATCH(AD464,FlowCalNumber,0),1,1), (INDEX(FlowCalConstA,MATCH(AD464,FlowCalNumber,0),1,1)*AF477^INDEX(FlowCalConstB,MATCH(AD464,FlowCalNumber,0),1,1)&lt;INDEX(FlowCalHighSetting,MATCH(AD464,FlowCalNumber,0),1,1))),INDEX(FlowCalConstA,MATCH(AD464,FlowCalNumber,0),1,1)*AF477^INDEX(FlowCalConstB,MATCH(AD464,FlowCalNumber,0),1,1)," ")</f>
        <v>#N/A</v>
      </c>
      <c r="AH477" s="33"/>
      <c r="AI477" s="242">
        <f t="shared" si="452"/>
        <v>0.9</v>
      </c>
      <c r="AJ477" s="241" t="e">
        <f t="shared" ca="1" si="453"/>
        <v>#VALUE!</v>
      </c>
      <c r="AK477" s="243" t="e">
        <f ca="1">IF(AND(INDEX(FlowCalConstA,MATCH(AH464,FlowCalNumber,0),1,1)*AJ477^INDEX(FlowCalConstB,MATCH(AH464,FlowCalNumber,0),1,1)&gt;INDEX(FlowCalLowSetting,MATCH(AH464,FlowCalNumber,0),1,1), (INDEX(FlowCalConstA,MATCH(AH464,FlowCalNumber,0),1,1)*AJ477^INDEX(FlowCalConstB,MATCH(AH464,FlowCalNumber,0),1,1)&lt;INDEX(FlowCalHighSetting,MATCH(AH464,FlowCalNumber,0),1,1))),INDEX(FlowCalConstA,MATCH(AH464,FlowCalNumber,0),1,1)*AJ477^INDEX(FlowCalConstB,MATCH(AH464,FlowCalNumber,0),1,1)," ")</f>
        <v>#N/A</v>
      </c>
      <c r="AL477" s="33"/>
      <c r="AM477" s="242"/>
      <c r="AN477" s="241"/>
      <c r="AO477" s="244"/>
      <c r="AQ477" s="242"/>
      <c r="AR477" s="241"/>
      <c r="AS477" s="244"/>
      <c r="AT477" s="33"/>
      <c r="AU477" s="242"/>
      <c r="AV477" s="241"/>
      <c r="AW477" s="244"/>
      <c r="AX477" s="33"/>
      <c r="AY477" s="242"/>
      <c r="AZ477" s="241"/>
      <c r="BA477" s="244"/>
      <c r="BB477" s="33"/>
      <c r="BC477" s="242"/>
      <c r="BD477" s="241"/>
      <c r="BE477" s="244"/>
      <c r="BF477" s="33"/>
      <c r="BG477" s="242"/>
      <c r="BH477" s="241"/>
      <c r="BI477" s="244"/>
      <c r="BJ477" s="33"/>
      <c r="BK477" s="242"/>
      <c r="BL477" s="241"/>
      <c r="BM477" s="244"/>
      <c r="BN477" s="33"/>
      <c r="BO477" s="242"/>
      <c r="BP477" s="241"/>
      <c r="BQ477" s="244"/>
      <c r="BR477" s="33"/>
      <c r="BS477" s="242"/>
      <c r="BT477" s="241"/>
      <c r="BU477" s="244"/>
      <c r="BV477" s="33"/>
      <c r="BW477" s="242"/>
      <c r="BX477" s="241"/>
      <c r="BY477" s="244"/>
      <c r="BZ477" s="33"/>
      <c r="CA477" s="242"/>
      <c r="CB477" s="241"/>
      <c r="CC477" s="244"/>
      <c r="CD477" s="243"/>
      <c r="CE477" s="243"/>
      <c r="CF477" s="243"/>
      <c r="CG477" s="243"/>
      <c r="CH477" s="243"/>
      <c r="CI477" s="243"/>
      <c r="CJ477" s="243"/>
      <c r="CK477" s="243"/>
      <c r="CL477" s="243"/>
      <c r="CM477" s="243"/>
      <c r="CN477" s="243"/>
      <c r="CO477" s="243"/>
      <c r="CP477" s="243"/>
      <c r="CQ477" s="243"/>
      <c r="CR477" s="243"/>
      <c r="CS477" s="243"/>
      <c r="CT477" s="243"/>
      <c r="CU477" s="243"/>
      <c r="CV477" s="243"/>
      <c r="CW477" s="243"/>
      <c r="CX477" s="243"/>
      <c r="CY477" s="243"/>
      <c r="CZ477" s="243"/>
      <c r="DA477" s="243"/>
      <c r="DB477" s="243"/>
      <c r="DC477" s="243"/>
      <c r="DD477" s="243"/>
      <c r="DE477" s="243"/>
      <c r="DF477" s="243"/>
      <c r="DG477" s="243"/>
      <c r="DH477" s="243"/>
      <c r="DI477" s="243"/>
      <c r="DJ477" s="243"/>
      <c r="DK477" s="243"/>
      <c r="DM477" s="242"/>
      <c r="DO477" s="243"/>
      <c r="DQ477" s="242"/>
      <c r="DS477" s="243"/>
      <c r="DU477" s="242"/>
      <c r="DW477" s="243"/>
      <c r="DY477" s="242"/>
      <c r="EA477" s="243"/>
    </row>
    <row r="478" spans="1:131">
      <c r="A478" s="20"/>
      <c r="B478" s="124" t="str">
        <f t="shared" si="438"/>
        <v/>
      </c>
      <c r="C478" s="235"/>
      <c r="D478" s="24">
        <f>'1% Wind'!$M$95</f>
        <v>1.3</v>
      </c>
      <c r="E478" s="90"/>
      <c r="F478" s="90"/>
      <c r="G478" s="79">
        <f ca="1">IF(I464=0.9743,$G477,MAX(G477/D477*D478,2))</f>
        <v>6.001707317073171</v>
      </c>
      <c r="H478" s="121" t="e">
        <f t="shared" ca="1" si="439"/>
        <v>#VALUE!</v>
      </c>
      <c r="J478" s="33"/>
      <c r="K478" s="242">
        <f t="shared" si="440"/>
        <v>1</v>
      </c>
      <c r="L478" s="241" t="e">
        <f t="shared" ca="1" si="441"/>
        <v>#VALUE!</v>
      </c>
      <c r="M478" s="243" t="e">
        <f ca="1">IF(AND(INDEX(FlowCalConstA,MATCH(J464,FlowCalNumber,0),1,1)*L478^INDEX(FlowCalConstB,MATCH(J464,FlowCalNumber,0),1,1)&gt;INDEX(FlowCalLowSetting,MATCH(J464,FlowCalNumber,0),1,1), (INDEX(FlowCalConstA,MATCH(J464,FlowCalNumber,0),1,1)*L478^INDEX(FlowCalConstB,MATCH(J464,FlowCalNumber,0),1,1)&lt;INDEX(FlowCalHighSetting,MATCH(J464,FlowCalNumber,0),1,1))),INDEX(FlowCalConstA,MATCH(J464,FlowCalNumber,0),1,1)*L478^INDEX(FlowCalConstB,MATCH(J464,FlowCalNumber,0),1,1)," ")</f>
        <v>#N/A</v>
      </c>
      <c r="N478" s="33"/>
      <c r="O478" s="242">
        <f t="shared" si="442"/>
        <v>1</v>
      </c>
      <c r="P478" s="241" t="e">
        <f t="shared" ca="1" si="443"/>
        <v>#VALUE!</v>
      </c>
      <c r="Q478" s="243" t="e">
        <f ca="1">IF(AND(INDEX(FlowCalConstA,MATCH(N464,FlowCalNumber,0),1,1)*P478^INDEX(FlowCalConstB,MATCH(N464,FlowCalNumber,0),1,1)&gt;INDEX(FlowCalLowSetting,MATCH(N464,FlowCalNumber,0),1,1), (INDEX(FlowCalConstA,MATCH(N464,FlowCalNumber,0),1,1)*P478^INDEX(FlowCalConstB,MATCH(N464,FlowCalNumber,0),1,1)&lt;INDEX(FlowCalHighSetting,MATCH(N464,FlowCalNumber,0),1,1))),INDEX(FlowCalConstA,MATCH(N464,FlowCalNumber,0),1,1)*P478^INDEX(FlowCalConstB,MATCH(N464,FlowCalNumber,0),1,1)," ")</f>
        <v>#N/A</v>
      </c>
      <c r="R478" s="33"/>
      <c r="S478" s="242">
        <f t="shared" si="444"/>
        <v>1</v>
      </c>
      <c r="T478" s="241" t="e">
        <f t="shared" ca="1" si="445"/>
        <v>#VALUE!</v>
      </c>
      <c r="U478" s="244" t="e">
        <f ca="1">IF(AND(INDEX(FlowCalConstA,MATCH(R464,FlowCalNumber,0),1,1)*T478^INDEX(FlowCalConstB,MATCH(R464,FlowCalNumber,0),1,1)&gt;INDEX(FlowCalLowSetting,MATCH(R464,FlowCalNumber,0),1,1), (INDEX(FlowCalConstA,MATCH(R464,FlowCalNumber,0),1,1)*T478^INDEX(FlowCalConstB,MATCH(R464,FlowCalNumber,0),1,1)&lt;INDEX(FlowCalHighSetting,MATCH(R464,FlowCalNumber,0),1,1))),INDEX(FlowCalConstA,MATCH(R464,FlowCalNumber,0),1,1)*T478^INDEX(FlowCalConstB,MATCH(R464,FlowCalNumber,0),1,1)," ")</f>
        <v>#N/A</v>
      </c>
      <c r="V478" s="33"/>
      <c r="W478" s="242">
        <f t="shared" si="446"/>
        <v>0.1</v>
      </c>
      <c r="X478" s="241" t="e">
        <f t="shared" ca="1" si="447"/>
        <v>#VALUE!</v>
      </c>
      <c r="Y478" s="243" t="e">
        <f ca="1">IF(AND(INDEX(FlowCalConstA,MATCH(V464,FlowCalNumber,0),1,1)*X478^INDEX(FlowCalConstB,MATCH(V464,FlowCalNumber,0),1,1)&gt;INDEX(FlowCalLowSetting,MATCH(V464,FlowCalNumber,0),1,1), (INDEX(FlowCalConstA,MATCH(V464,FlowCalNumber,0),1,1)*X478^INDEX(FlowCalConstB,MATCH(V464,FlowCalNumber,0),1,1)&lt;INDEX(FlowCalHighSetting,MATCH(V464,FlowCalNumber,0),1,1))),INDEX(FlowCalConstA,MATCH(V464,FlowCalNumber,0),1,1)*X478^INDEX(FlowCalConstB,MATCH(V464,FlowCalNumber,0),1,1)," ")</f>
        <v>#N/A</v>
      </c>
      <c r="Z478" s="33"/>
      <c r="AA478" s="242">
        <f t="shared" si="448"/>
        <v>0.9</v>
      </c>
      <c r="AB478" s="241" t="e">
        <f t="shared" ca="1" si="449"/>
        <v>#VALUE!</v>
      </c>
      <c r="AC478" s="243" t="e">
        <f ca="1">IF(AND(INDEX(FlowCalConstA,MATCH(Z464,FlowCalNumber,0),1,1)*AB478^INDEX(FlowCalConstB,MATCH(Z464,FlowCalNumber,0),1,1)&gt;INDEX(FlowCalLowSetting,MATCH(Z464,FlowCalNumber,0),1,1), (INDEX(FlowCalConstA,MATCH(Z464,FlowCalNumber,0),1,1)*AB478^INDEX(FlowCalConstB,MATCH(Z464,FlowCalNumber,0),1,1)&lt;INDEX(FlowCalHighSetting,MATCH(Z464,FlowCalNumber,0),1,1))),INDEX(FlowCalConstA,MATCH(Z464,FlowCalNumber,0),1,1)*AB478^INDEX(FlowCalConstB,MATCH(Z464,FlowCalNumber,0),1,1)," ")</f>
        <v>#N/A</v>
      </c>
      <c r="AD478" s="33"/>
      <c r="AE478" s="242">
        <f t="shared" si="450"/>
        <v>0.1</v>
      </c>
      <c r="AF478" s="241" t="e">
        <f t="shared" ca="1" si="451"/>
        <v>#VALUE!</v>
      </c>
      <c r="AG478" s="243" t="e">
        <f ca="1">IF(AND(INDEX(FlowCalConstA,MATCH(AD464,FlowCalNumber,0),1,1)*AF478^INDEX(FlowCalConstB,MATCH(AD464,FlowCalNumber,0),1,1)&gt;INDEX(FlowCalLowSetting,MATCH(AD464,FlowCalNumber,0),1,1), (INDEX(FlowCalConstA,MATCH(AD464,FlowCalNumber,0),1,1)*AF478^INDEX(FlowCalConstB,MATCH(AD464,FlowCalNumber,0),1,1)&lt;INDEX(FlowCalHighSetting,MATCH(AD464,FlowCalNumber,0),1,1))),INDEX(FlowCalConstA,MATCH(AD464,FlowCalNumber,0),1,1)*AF478^INDEX(FlowCalConstB,MATCH(AD464,FlowCalNumber,0),1,1)," ")</f>
        <v>#N/A</v>
      </c>
      <c r="AH478" s="33"/>
      <c r="AI478" s="242">
        <f t="shared" si="452"/>
        <v>0.9</v>
      </c>
      <c r="AJ478" s="241" t="e">
        <f t="shared" ca="1" si="453"/>
        <v>#VALUE!</v>
      </c>
      <c r="AK478" s="243" t="e">
        <f ca="1">IF(AND(INDEX(FlowCalConstA,MATCH(AH464,FlowCalNumber,0),1,1)*AJ478^INDEX(FlowCalConstB,MATCH(AH464,FlowCalNumber,0),1,1)&gt;INDEX(FlowCalLowSetting,MATCH(AH464,FlowCalNumber,0),1,1), (INDEX(FlowCalConstA,MATCH(AH464,FlowCalNumber,0),1,1)*AJ478^INDEX(FlowCalConstB,MATCH(AH464,FlowCalNumber,0),1,1)&lt;INDEX(FlowCalHighSetting,MATCH(AH464,FlowCalNumber,0),1,1))),INDEX(FlowCalConstA,MATCH(AH464,FlowCalNumber,0),1,1)*AJ478^INDEX(FlowCalConstB,MATCH(AH464,FlowCalNumber,0),1,1)," ")</f>
        <v>#N/A</v>
      </c>
      <c r="AL478" s="33"/>
      <c r="AM478" s="242"/>
      <c r="AN478" s="241"/>
      <c r="AO478" s="244"/>
      <c r="AQ478" s="242"/>
      <c r="AR478" s="241"/>
      <c r="AS478" s="244"/>
      <c r="AT478" s="33"/>
      <c r="AU478" s="242"/>
      <c r="AV478" s="241"/>
      <c r="AW478" s="244"/>
      <c r="AX478" s="33"/>
      <c r="AY478" s="242"/>
      <c r="AZ478" s="241"/>
      <c r="BA478" s="244"/>
      <c r="BB478" s="33"/>
      <c r="BC478" s="242"/>
      <c r="BD478" s="241"/>
      <c r="BE478" s="244"/>
      <c r="BF478" s="33"/>
      <c r="BG478" s="242"/>
      <c r="BH478" s="241"/>
      <c r="BI478" s="244"/>
      <c r="BJ478" s="33"/>
      <c r="BK478" s="242"/>
      <c r="BL478" s="241"/>
      <c r="BM478" s="244"/>
      <c r="BN478" s="33"/>
      <c r="BO478" s="242"/>
      <c r="BP478" s="241"/>
      <c r="BQ478" s="244"/>
      <c r="BR478" s="33"/>
      <c r="BS478" s="242"/>
      <c r="BT478" s="241"/>
      <c r="BU478" s="244"/>
      <c r="BV478" s="33"/>
      <c r="BW478" s="242"/>
      <c r="BX478" s="241"/>
      <c r="BY478" s="244"/>
      <c r="BZ478" s="33"/>
      <c r="CA478" s="242"/>
      <c r="CB478" s="241"/>
      <c r="CC478" s="244"/>
      <c r="CD478" s="243"/>
      <c r="CE478" s="243"/>
      <c r="CF478" s="243"/>
      <c r="CG478" s="243"/>
      <c r="CH478" s="243"/>
      <c r="CI478" s="243"/>
      <c r="CJ478" s="243"/>
      <c r="CK478" s="243"/>
      <c r="CL478" s="243"/>
      <c r="CM478" s="243"/>
      <c r="CN478" s="243"/>
      <c r="CO478" s="243"/>
      <c r="CP478" s="243"/>
      <c r="CQ478" s="243"/>
      <c r="CR478" s="243"/>
      <c r="CS478" s="243"/>
      <c r="CT478" s="243"/>
      <c r="CU478" s="243"/>
      <c r="CV478" s="243"/>
      <c r="CW478" s="243"/>
      <c r="CX478" s="243"/>
      <c r="CY478" s="243"/>
      <c r="CZ478" s="243"/>
      <c r="DA478" s="243"/>
      <c r="DB478" s="243"/>
      <c r="DC478" s="243"/>
      <c r="DD478" s="243"/>
      <c r="DE478" s="243"/>
      <c r="DF478" s="243"/>
      <c r="DG478" s="243"/>
      <c r="DH478" s="243"/>
      <c r="DI478" s="243"/>
      <c r="DJ478" s="243"/>
      <c r="DK478" s="243"/>
      <c r="DM478" s="242"/>
      <c r="DO478" s="243"/>
      <c r="DQ478" s="242"/>
      <c r="DS478" s="243"/>
      <c r="DU478" s="242"/>
      <c r="DW478" s="243"/>
      <c r="DY478" s="242"/>
      <c r="EA478" s="243"/>
    </row>
    <row r="479" spans="1:131">
      <c r="A479" s="20"/>
      <c r="B479" s="124" t="str">
        <f t="shared" si="438"/>
        <v/>
      </c>
      <c r="C479" s="235"/>
      <c r="D479" s="24">
        <f>'1% Wind'!$M$96</f>
        <v>1</v>
      </c>
      <c r="E479" s="90"/>
      <c r="F479" s="90"/>
      <c r="G479" s="79">
        <f ca="1">IF(I464=0.9743,$G478,MAX(G478/D478*D479,2))</f>
        <v>6.001707317073171</v>
      </c>
      <c r="H479" s="121" t="e">
        <f t="shared" ca="1" si="439"/>
        <v>#VALUE!</v>
      </c>
      <c r="J479" s="33"/>
      <c r="K479" s="242">
        <f t="shared" si="440"/>
        <v>1</v>
      </c>
      <c r="L479" s="241" t="e">
        <f t="shared" ca="1" si="441"/>
        <v>#VALUE!</v>
      </c>
      <c r="M479" s="243" t="e">
        <f ca="1">IF(AND(INDEX(FlowCalConstA,MATCH(J464,FlowCalNumber,0),1,1)*L479^INDEX(FlowCalConstB,MATCH(J464,FlowCalNumber,0),1,1)&gt;INDEX(FlowCalLowSetting,MATCH(J464,FlowCalNumber,0),1,1), (INDEX(FlowCalConstA,MATCH(J464,FlowCalNumber,0),1,1)*L479^INDEX(FlowCalConstB,MATCH(J464,FlowCalNumber,0),1,1)&lt;INDEX(FlowCalHighSetting,MATCH(J464,FlowCalNumber,0),1,1))),INDEX(FlowCalConstA,MATCH(J464,FlowCalNumber,0),1,1)*L479^INDEX(FlowCalConstB,MATCH(J464,FlowCalNumber,0),1,1)," ")</f>
        <v>#N/A</v>
      </c>
      <c r="N479" s="33"/>
      <c r="O479" s="242">
        <f t="shared" si="442"/>
        <v>1</v>
      </c>
      <c r="P479" s="241" t="e">
        <f t="shared" ca="1" si="443"/>
        <v>#VALUE!</v>
      </c>
      <c r="Q479" s="243" t="e">
        <f ca="1">IF(AND(INDEX(FlowCalConstA,MATCH(N464,FlowCalNumber,0),1,1)*P479^INDEX(FlowCalConstB,MATCH(N464,FlowCalNumber,0),1,1)&gt;INDEX(FlowCalLowSetting,MATCH(N464,FlowCalNumber,0),1,1), (INDEX(FlowCalConstA,MATCH(N464,FlowCalNumber,0),1,1)*P479^INDEX(FlowCalConstB,MATCH(N464,FlowCalNumber,0),1,1)&lt;INDEX(FlowCalHighSetting,MATCH(N464,FlowCalNumber,0),1,1))),INDEX(FlowCalConstA,MATCH(N464,FlowCalNumber,0),1,1)*P479^INDEX(FlowCalConstB,MATCH(N464,FlowCalNumber,0),1,1)," ")</f>
        <v>#N/A</v>
      </c>
      <c r="R479" s="33"/>
      <c r="S479" s="242">
        <f t="shared" si="444"/>
        <v>1</v>
      </c>
      <c r="T479" s="241" t="e">
        <f t="shared" ca="1" si="445"/>
        <v>#VALUE!</v>
      </c>
      <c r="U479" s="244" t="e">
        <f ca="1">IF(AND(INDEX(FlowCalConstA,MATCH(R464,FlowCalNumber,0),1,1)*T479^INDEX(FlowCalConstB,MATCH(R464,FlowCalNumber,0),1,1)&gt;INDEX(FlowCalLowSetting,MATCH(R464,FlowCalNumber,0),1,1), (INDEX(FlowCalConstA,MATCH(R464,FlowCalNumber,0),1,1)*T479^INDEX(FlowCalConstB,MATCH(R464,FlowCalNumber,0),1,1)&lt;INDEX(FlowCalHighSetting,MATCH(R464,FlowCalNumber,0),1,1))),INDEX(FlowCalConstA,MATCH(R464,FlowCalNumber,0),1,1)*T479^INDEX(FlowCalConstB,MATCH(R464,FlowCalNumber,0),1,1)," ")</f>
        <v>#N/A</v>
      </c>
      <c r="V479" s="33"/>
      <c r="W479" s="242">
        <f t="shared" si="446"/>
        <v>0.1</v>
      </c>
      <c r="X479" s="241" t="e">
        <f t="shared" ca="1" si="447"/>
        <v>#VALUE!</v>
      </c>
      <c r="Y479" s="243" t="e">
        <f ca="1">IF(AND(INDEX(FlowCalConstA,MATCH(V464,FlowCalNumber,0),1,1)*X479^INDEX(FlowCalConstB,MATCH(V464,FlowCalNumber,0),1,1)&gt;INDEX(FlowCalLowSetting,MATCH(V464,FlowCalNumber,0),1,1), (INDEX(FlowCalConstA,MATCH(V464,FlowCalNumber,0),1,1)*X479^INDEX(FlowCalConstB,MATCH(V464,FlowCalNumber,0),1,1)&lt;INDEX(FlowCalHighSetting,MATCH(V464,FlowCalNumber,0),1,1))),INDEX(FlowCalConstA,MATCH(V464,FlowCalNumber,0),1,1)*X479^INDEX(FlowCalConstB,MATCH(V464,FlowCalNumber,0),1,1)," ")</f>
        <v>#N/A</v>
      </c>
      <c r="Z479" s="33"/>
      <c r="AA479" s="242">
        <f t="shared" si="448"/>
        <v>0.9</v>
      </c>
      <c r="AB479" s="241" t="e">
        <f t="shared" ca="1" si="449"/>
        <v>#VALUE!</v>
      </c>
      <c r="AC479" s="243" t="e">
        <f ca="1">IF(AND(INDEX(FlowCalConstA,MATCH(Z464,FlowCalNumber,0),1,1)*AB479^INDEX(FlowCalConstB,MATCH(Z464,FlowCalNumber,0),1,1)&gt;INDEX(FlowCalLowSetting,MATCH(Z464,FlowCalNumber,0),1,1), (INDEX(FlowCalConstA,MATCH(Z464,FlowCalNumber,0),1,1)*AB479^INDEX(FlowCalConstB,MATCH(Z464,FlowCalNumber,0),1,1)&lt;INDEX(FlowCalHighSetting,MATCH(Z464,FlowCalNumber,0),1,1))),INDEX(FlowCalConstA,MATCH(Z464,FlowCalNumber,0),1,1)*AB479^INDEX(FlowCalConstB,MATCH(Z464,FlowCalNumber,0),1,1)," ")</f>
        <v>#N/A</v>
      </c>
      <c r="AD479" s="33"/>
      <c r="AE479" s="242">
        <f t="shared" si="450"/>
        <v>0.1</v>
      </c>
      <c r="AF479" s="241" t="e">
        <f t="shared" ca="1" si="451"/>
        <v>#VALUE!</v>
      </c>
      <c r="AG479" s="243" t="e">
        <f ca="1">IF(AND(INDEX(FlowCalConstA,MATCH(AD464,FlowCalNumber,0),1,1)*AF479^INDEX(FlowCalConstB,MATCH(AD464,FlowCalNumber,0),1,1)&gt;INDEX(FlowCalLowSetting,MATCH(AD464,FlowCalNumber,0),1,1), (INDEX(FlowCalConstA,MATCH(AD464,FlowCalNumber,0),1,1)*AF479^INDEX(FlowCalConstB,MATCH(AD464,FlowCalNumber,0),1,1)&lt;INDEX(FlowCalHighSetting,MATCH(AD464,FlowCalNumber,0),1,1))),INDEX(FlowCalConstA,MATCH(AD464,FlowCalNumber,0),1,1)*AF479^INDEX(FlowCalConstB,MATCH(AD464,FlowCalNumber,0),1,1)," ")</f>
        <v>#N/A</v>
      </c>
      <c r="AH479" s="33"/>
      <c r="AI479" s="242">
        <f t="shared" si="452"/>
        <v>0.9</v>
      </c>
      <c r="AJ479" s="241" t="e">
        <f t="shared" ca="1" si="453"/>
        <v>#VALUE!</v>
      </c>
      <c r="AK479" s="243" t="e">
        <f ca="1">IF(AND(INDEX(FlowCalConstA,MATCH(AH464,FlowCalNumber,0),1,1)*AJ479^INDEX(FlowCalConstB,MATCH(AH464,FlowCalNumber,0),1,1)&gt;INDEX(FlowCalLowSetting,MATCH(AH464,FlowCalNumber,0),1,1), (INDEX(FlowCalConstA,MATCH(AH464,FlowCalNumber,0),1,1)*AJ479^INDEX(FlowCalConstB,MATCH(AH464,FlowCalNumber,0),1,1)&lt;INDEX(FlowCalHighSetting,MATCH(AH464,FlowCalNumber,0),1,1))),INDEX(FlowCalConstA,MATCH(AH464,FlowCalNumber,0),1,1)*AJ479^INDEX(FlowCalConstB,MATCH(AH464,FlowCalNumber,0),1,1)," ")</f>
        <v>#N/A</v>
      </c>
      <c r="AL479" s="33"/>
      <c r="AM479" s="242"/>
      <c r="AN479" s="241"/>
      <c r="AO479" s="244"/>
      <c r="AQ479" s="242"/>
      <c r="AR479" s="241"/>
      <c r="AS479" s="244"/>
      <c r="AT479" s="33"/>
      <c r="AU479" s="242"/>
      <c r="AV479" s="241"/>
      <c r="AW479" s="244"/>
      <c r="AX479" s="33"/>
      <c r="AY479" s="242"/>
      <c r="AZ479" s="241"/>
      <c r="BA479" s="244"/>
      <c r="BB479" s="33"/>
      <c r="BC479" s="242"/>
      <c r="BD479" s="241"/>
      <c r="BE479" s="244"/>
      <c r="BF479" s="33"/>
      <c r="BG479" s="242"/>
      <c r="BH479" s="241"/>
      <c r="BI479" s="244"/>
      <c r="BJ479" s="33"/>
      <c r="BK479" s="242"/>
      <c r="BL479" s="241"/>
      <c r="BM479" s="244"/>
      <c r="BN479" s="33"/>
      <c r="BO479" s="242"/>
      <c r="BP479" s="241"/>
      <c r="BQ479" s="244"/>
      <c r="BR479" s="33"/>
      <c r="BS479" s="242"/>
      <c r="BT479" s="241"/>
      <c r="BU479" s="244"/>
      <c r="BV479" s="33"/>
      <c r="BW479" s="242"/>
      <c r="BX479" s="241"/>
      <c r="BY479" s="244"/>
      <c r="BZ479" s="33"/>
      <c r="CA479" s="242"/>
      <c r="CB479" s="241"/>
      <c r="CC479" s="244"/>
      <c r="CD479" s="243"/>
      <c r="CE479" s="243"/>
      <c r="CF479" s="243"/>
      <c r="CG479" s="243"/>
      <c r="CH479" s="243"/>
      <c r="CI479" s="243"/>
      <c r="CJ479" s="243"/>
      <c r="CK479" s="243"/>
      <c r="CL479" s="243"/>
      <c r="CM479" s="243"/>
      <c r="CN479" s="243"/>
      <c r="CO479" s="243"/>
      <c r="CP479" s="243"/>
      <c r="CQ479" s="243"/>
      <c r="CR479" s="243"/>
      <c r="CS479" s="243"/>
      <c r="CT479" s="243"/>
      <c r="CU479" s="243"/>
      <c r="CV479" s="243"/>
      <c r="CW479" s="243"/>
      <c r="CX479" s="243"/>
      <c r="CY479" s="243"/>
      <c r="CZ479" s="243"/>
      <c r="DA479" s="243"/>
      <c r="DB479" s="243"/>
      <c r="DC479" s="243"/>
      <c r="DD479" s="243"/>
      <c r="DE479" s="243"/>
      <c r="DF479" s="243"/>
      <c r="DG479" s="243"/>
      <c r="DH479" s="243"/>
      <c r="DI479" s="243"/>
      <c r="DJ479" s="243"/>
      <c r="DK479" s="243"/>
      <c r="DM479" s="242"/>
      <c r="DO479" s="243"/>
      <c r="DQ479" s="242"/>
      <c r="DS479" s="243"/>
      <c r="DU479" s="242"/>
      <c r="DW479" s="243"/>
      <c r="DY479" s="242"/>
      <c r="EA479" s="243"/>
    </row>
    <row r="480" spans="1:131">
      <c r="A480" s="33"/>
      <c r="B480" s="33"/>
      <c r="C480" s="235"/>
      <c r="E480" s="90"/>
      <c r="F480" s="90"/>
      <c r="G480" s="33"/>
      <c r="J480" s="33"/>
      <c r="N480" s="33"/>
      <c r="Q480" s="243"/>
      <c r="R480" s="33"/>
      <c r="U480" s="244"/>
      <c r="V480" s="33"/>
      <c r="Y480" s="243"/>
      <c r="Z480" s="33"/>
      <c r="AC480" s="243"/>
      <c r="AD480" s="33"/>
      <c r="AG480" s="243"/>
      <c r="AH480" s="33"/>
      <c r="AK480" s="244"/>
      <c r="AL480" s="792"/>
      <c r="AM480" s="243"/>
      <c r="AN480" s="243"/>
      <c r="AO480" s="244"/>
      <c r="AP480" s="243"/>
      <c r="AQ480" s="243"/>
      <c r="AR480" s="243"/>
      <c r="AS480" s="244"/>
      <c r="AT480" s="243"/>
      <c r="AU480" s="243"/>
      <c r="AV480" s="243"/>
      <c r="AW480" s="244"/>
      <c r="AX480" s="243"/>
      <c r="AY480" s="243"/>
      <c r="AZ480" s="243"/>
      <c r="BA480" s="244"/>
      <c r="BB480" s="33"/>
      <c r="BE480" s="244"/>
      <c r="BF480" s="33"/>
      <c r="BI480" s="244"/>
      <c r="BJ480" s="33"/>
      <c r="BM480" s="244"/>
      <c r="BN480" s="243"/>
      <c r="BO480" s="243"/>
      <c r="BP480" s="243"/>
      <c r="BQ480" s="244"/>
      <c r="BR480" s="792"/>
      <c r="BS480" s="243"/>
      <c r="BT480" s="243"/>
      <c r="BU480" s="244"/>
      <c r="BV480" s="792"/>
      <c r="BW480" s="243"/>
      <c r="BX480" s="243"/>
      <c r="BY480" s="244"/>
      <c r="BZ480" s="792"/>
      <c r="CA480" s="243"/>
      <c r="CB480" s="243"/>
      <c r="CC480" s="244"/>
      <c r="CD480" s="243"/>
      <c r="CE480" s="243"/>
      <c r="CF480" s="243"/>
      <c r="CG480" s="243"/>
      <c r="CH480" s="243"/>
      <c r="CI480" s="243"/>
      <c r="CJ480" s="243"/>
      <c r="CK480" s="243"/>
      <c r="CL480" s="243"/>
      <c r="CM480" s="243"/>
      <c r="CN480" s="243"/>
      <c r="CO480" s="243"/>
      <c r="CP480" s="243"/>
      <c r="CQ480" s="243"/>
      <c r="CR480" s="243"/>
      <c r="CS480" s="243"/>
      <c r="CT480" s="243"/>
      <c r="CU480" s="243"/>
      <c r="CV480" s="243"/>
      <c r="CW480" s="243"/>
      <c r="CX480" s="243"/>
      <c r="CY480" s="243"/>
      <c r="CZ480" s="243"/>
      <c r="DA480" s="243"/>
      <c r="DB480" s="243"/>
      <c r="DC480" s="243"/>
      <c r="DD480" s="243"/>
      <c r="DE480" s="243"/>
      <c r="DF480" s="243"/>
      <c r="DG480" s="243"/>
      <c r="DH480" s="243"/>
      <c r="DI480" s="243"/>
      <c r="DJ480" s="243"/>
      <c r="DK480" s="243"/>
      <c r="DO480" s="243"/>
      <c r="DS480" s="243"/>
      <c r="DW480" s="243"/>
      <c r="EA480" s="243"/>
    </row>
    <row r="481" spans="1:131">
      <c r="A481" s="256" t="str">
        <f>IF((RIGHT(A464,1))&lt;&gt;"Z",CHAR(CODE(A464))&amp;CHAR(CODE(RIGHT(A464,1))+1),CHAR(CODE(A464)+1)&amp;"A")</f>
        <v>BB</v>
      </c>
      <c r="B481" s="270" t="str">
        <f>INDEX(SourceID,MATCH($A481,SourceNumber,0),1,1)</f>
        <v>B2 Gen-2</v>
      </c>
      <c r="C481" s="354">
        <f>INDEX(SourceExitDiameter,MATCH($A481,SourceNumber,0),1,1)*3.28*12</f>
        <v>40.994999999999997</v>
      </c>
      <c r="D481" s="24" t="str">
        <f>UAnem1percent</f>
        <v>1% Wind</v>
      </c>
      <c r="E481" s="350" t="e">
        <f ca="1">INDIRECT(ADDRESS(53,6,1,,CONCATENATE("TA",$A481)))</f>
        <v>#REF!</v>
      </c>
      <c r="F481" s="625" t="e">
        <f ca="1">(ROUND((INDIRECT(ADDRESS(15,7,1,,CONCATENATE("TA",$A481)))*3.28*12*32),0)&amp;"/32")</f>
        <v>#REF!</v>
      </c>
      <c r="G481" s="125">
        <f ca="1">INDIRECT(ADDRESS(29,7,1,,$A481))</f>
        <v>6.001707317073171</v>
      </c>
      <c r="H481" s="24" t="e">
        <f ca="1">INDIRECT(ADDRESS(19,7,1,,$A481))*100^3</f>
        <v>#VALUE!</v>
      </c>
      <c r="I481" s="941">
        <f ca="1">INDIRECT(ADDRESS(53,7,1,,$A481))</f>
        <v>0.97430000000000005</v>
      </c>
      <c r="J481" s="20" t="str">
        <f ca="1">IF($I481=$I$6,K$16&amp;$G$6&amp;J$6,IF($I481=$I$7,K$16&amp;$G$7&amp;J$7,"Bad"))</f>
        <v>100EthPick a Tunnel</v>
      </c>
      <c r="K481" t="e">
        <f ca="1">INDEX(FlowCalGasMixture,MATCH(J481,FlowCalNumber,0),1,1)</f>
        <v>#N/A</v>
      </c>
      <c r="M481" s="944" t="e">
        <f ca="1">INDEX(FlowCalDevice,MATCH(J481,FlowCalNumber,0),1,1)</f>
        <v>#N/A</v>
      </c>
      <c r="N481" s="943" t="str">
        <f ca="1">IF($I481=$I$6,O$16&amp;$G$6&amp;"90"&amp;$H$6&amp;N$6,IF($I481=$I$7,O$16&amp;$G$7&amp;"90"&amp;$H$7&amp;N$7,"Bad"))</f>
        <v>10Eth90N2Pick a Tunnel</v>
      </c>
      <c r="O481" t="e">
        <f ca="1">INDEX(FlowCalGasMixture,MATCH(N481,FlowCalNumber,0),1,1)</f>
        <v>#N/A</v>
      </c>
      <c r="Q481" s="944" t="e">
        <f ca="1">INDEX(FlowCalDevice,MATCH(N481,FlowCalNumber,0),1,1)</f>
        <v>#N/A</v>
      </c>
      <c r="R481" s="943" t="str">
        <f ca="1">IF($I481=$I$6,S$16&amp;$G$6&amp;"90"&amp;$H$6&amp;R$6,IF($I481=$I$7,S$16&amp;$G$7&amp;"90"&amp;$H$7&amp;R$7,"Bad"))</f>
        <v>10Eth90N2Pick a Tunnel</v>
      </c>
      <c r="S481" t="e">
        <f ca="1">INDEX(FlowCalGasMixture,MATCH(R481,FlowCalNumber,0),1,1)</f>
        <v>#N/A</v>
      </c>
      <c r="U481" s="944" t="e">
        <f ca="1">INDEX(FlowCalDevice,MATCH(R481,FlowCalNumber,0),1,1)</f>
        <v>#N/A</v>
      </c>
      <c r="V481" s="20" t="str">
        <f ca="1">IF($I481=$I$6,W$16&amp;$G$6&amp;V$6,IF($I481=$I$7,W$16&amp;$G$7&amp;V$7,"Bad"))</f>
        <v>100EthPick a Tunnel</v>
      </c>
      <c r="W481" t="e">
        <f ca="1">INDEX(FlowCalGasMixture,MATCH(V481,FlowCalNumber,0),1,1)</f>
        <v>#N/A</v>
      </c>
      <c r="Y481" s="944" t="e">
        <f ca="1">INDEX(FlowCalDevice,MATCH(V481,FlowCalNumber,0),1,1)</f>
        <v>#N/A</v>
      </c>
      <c r="Z481" s="946" t="str">
        <f ca="1">IF($I481=$I$6,AA$18&amp;$H$6&amp;Z$6,IF($I481=$I$7,AA$18&amp;$H$7&amp;Z$7,"Bad"))</f>
        <v>100N2Pick a Tunnel</v>
      </c>
      <c r="AA481" t="e">
        <f ca="1">INDEX(FlowCalGasMixture,MATCH(Z481,FlowCalNumber,0),1,1)</f>
        <v>#N/A</v>
      </c>
      <c r="AC481" s="944" t="e">
        <f ca="1">INDEX(FlowCalDevice,MATCH(Z481,FlowCalNumber,0),1,1)</f>
        <v>#N/A</v>
      </c>
      <c r="AD481" s="20" t="str">
        <f ca="1">IF($I481=$I$6,AE$16&amp;$G$6&amp;AD$6,IF($I481=$I$7,AE$16&amp;$G$7&amp;AD$7,"Bad"))</f>
        <v>100EthPick a Tunnel</v>
      </c>
      <c r="AE481" t="e">
        <f ca="1">INDEX(FlowCalGasMixture,MATCH(AD481,FlowCalNumber,0),1,1)</f>
        <v>#N/A</v>
      </c>
      <c r="AG481" s="944" t="e">
        <f ca="1">INDEX(FlowCalDevice,MATCH(AD481,FlowCalNumber,0),1,1)</f>
        <v>#N/A</v>
      </c>
      <c r="AH481" s="946" t="str">
        <f ca="1">IF($I481=$I$6,AI$18&amp;$H$6&amp;AH$6,IF($I481=$I$7,AI$18&amp;$H$7&amp;AH$7,"Bad"))</f>
        <v>100N2Pick a Tunnel</v>
      </c>
      <c r="AI481" t="e">
        <f ca="1">INDEX(FlowCalGasMixture,MATCH(AH481,FlowCalNumber,0),1,1)</f>
        <v>#N/A</v>
      </c>
      <c r="AK481" s="944" t="e">
        <f ca="1">INDEX(FlowCalDevice,MATCH(AH481,FlowCalNumber,0),1,1)</f>
        <v>#N/A</v>
      </c>
      <c r="AL481" s="20"/>
      <c r="AO481" s="982"/>
      <c r="AP481" s="960"/>
      <c r="AS481" s="982"/>
      <c r="AT481" s="20"/>
      <c r="AW481" s="982"/>
      <c r="AX481" s="946"/>
      <c r="BA481" s="982"/>
      <c r="BB481" s="20"/>
      <c r="BC481" s="16"/>
      <c r="BE481" s="982"/>
      <c r="BF481" s="946"/>
      <c r="BG481" s="16"/>
      <c r="BI481" s="982"/>
      <c r="BJ481" s="946"/>
      <c r="BK481" s="16"/>
      <c r="BM481" s="982"/>
      <c r="BN481" s="20"/>
      <c r="BO481" s="16"/>
      <c r="BQ481" s="982"/>
      <c r="BR481" s="946"/>
      <c r="BS481" s="16"/>
      <c r="BU481" s="982"/>
      <c r="BV481" s="946"/>
      <c r="BW481" s="16"/>
      <c r="BY481" s="982"/>
      <c r="BZ481" s="946"/>
      <c r="CA481" s="16"/>
      <c r="CC481" s="982"/>
      <c r="CD481" s="355"/>
      <c r="CE481" s="355"/>
      <c r="CF481" s="355"/>
      <c r="CG481" s="355"/>
      <c r="CH481" s="355"/>
      <c r="CI481" s="355"/>
      <c r="CJ481" s="355"/>
      <c r="CK481" s="355"/>
      <c r="CL481" s="355"/>
      <c r="CM481" s="355"/>
      <c r="CN481" s="355"/>
      <c r="CO481" s="355"/>
      <c r="CP481" s="355"/>
      <c r="CQ481" s="355"/>
      <c r="CR481" s="355"/>
      <c r="CS481" s="355"/>
      <c r="CT481" s="355"/>
      <c r="CU481" s="355"/>
      <c r="CV481" s="355"/>
      <c r="CW481" s="355"/>
      <c r="CX481" s="355"/>
      <c r="CY481" s="355"/>
      <c r="CZ481" s="355"/>
      <c r="DA481" s="355"/>
      <c r="DB481" s="355"/>
      <c r="DC481" s="355"/>
      <c r="DD481" s="355"/>
      <c r="DE481" s="355"/>
      <c r="DF481" s="355"/>
      <c r="DG481" s="355"/>
      <c r="DH481" s="355"/>
      <c r="DI481" s="355"/>
      <c r="DJ481" s="355"/>
      <c r="DK481" s="355"/>
      <c r="DL481" s="46"/>
      <c r="DM481" s="16"/>
      <c r="DO481" s="355"/>
      <c r="DP481" s="42"/>
      <c r="DQ481" s="16"/>
      <c r="DS481" s="355"/>
      <c r="DT481" s="42"/>
      <c r="DU481" s="16"/>
      <c r="DW481" s="355"/>
      <c r="DX481" s="42"/>
      <c r="DY481" s="16"/>
      <c r="EA481" s="355"/>
    </row>
    <row r="482" spans="1:131">
      <c r="A482" s="20"/>
      <c r="B482" s="124" t="str">
        <f t="shared" ref="B482:B496" si="454">IF(D482=UAnem1percent,"1% Wind","")</f>
        <v/>
      </c>
      <c r="C482" s="235"/>
      <c r="D482" s="24">
        <f>'1% Wind'!$M$82</f>
        <v>27</v>
      </c>
      <c r="E482" s="90"/>
      <c r="F482" s="90"/>
      <c r="G482" s="79">
        <f ca="1">IF(I481=0.9743,$G481,MAX(G481/D481*D482,2))</f>
        <v>6.001707317073171</v>
      </c>
      <c r="H482" s="121" t="e">
        <f t="shared" ref="H482:H496" ca="1" si="455">H481*(D481/D482)*(G482/G481)</f>
        <v>#VALUE!</v>
      </c>
      <c r="J482" s="33"/>
      <c r="K482" s="260">
        <f>K$17/100</f>
        <v>1</v>
      </c>
      <c r="L482" s="241" t="e">
        <f ca="1">K482*$H482</f>
        <v>#VALUE!</v>
      </c>
      <c r="M482" s="243" t="e">
        <f ca="1">IF(AND(INDEX(FlowCalConstA,MATCH(J481,FlowCalNumber,0),1,1)*L482^INDEX(FlowCalConstB,MATCH(J481,FlowCalNumber,0),1,1)&gt;INDEX(FlowCalLowSetting,MATCH(J481,FlowCalNumber,0),1,1), (INDEX(FlowCalConstA,MATCH(J481,FlowCalNumber,0),1,1)*L482^INDEX(FlowCalConstB,MATCH(J481,FlowCalNumber,0),1,1)&lt;INDEX(FlowCalHighSetting,MATCH(J481,FlowCalNumber,0),1,1))),INDEX(FlowCalConstA,MATCH(J481,FlowCalNumber,0),1,1)*L482^INDEX(FlowCalConstB,MATCH(J481,FlowCalNumber,0),1,1)," ")</f>
        <v>#N/A</v>
      </c>
      <c r="N482" s="33"/>
      <c r="O482" s="260">
        <f>O$17/100</f>
        <v>1</v>
      </c>
      <c r="P482" s="241" t="e">
        <f ca="1">O482*$H482</f>
        <v>#VALUE!</v>
      </c>
      <c r="Q482" s="243" t="e">
        <f ca="1">IF(AND(INDEX(FlowCalConstA,MATCH(N481,FlowCalNumber,0),1,1)*P482^INDEX(FlowCalConstB,MATCH(N481,FlowCalNumber,0),1,1)&gt;INDEX(FlowCalLowSetting,MATCH(N481,FlowCalNumber,0),1,1), (INDEX(FlowCalConstA,MATCH(N481,FlowCalNumber,0),1,1)*P482^INDEX(FlowCalConstB,MATCH(N481,FlowCalNumber,0),1,1)&lt;INDEX(FlowCalHighSetting,MATCH(N481,FlowCalNumber,0),1,1))),INDEX(FlowCalConstA,MATCH(N481,FlowCalNumber,0),1,1)*P482^INDEX(FlowCalConstB,MATCH(N481,FlowCalNumber,0),1,1)," ")</f>
        <v>#N/A</v>
      </c>
      <c r="R482" s="33"/>
      <c r="S482" s="260">
        <f>S$17/100</f>
        <v>1</v>
      </c>
      <c r="T482" s="241" t="e">
        <f ca="1">S482*$H482</f>
        <v>#VALUE!</v>
      </c>
      <c r="U482" s="244" t="e">
        <f ca="1">IF(AND(INDEX(FlowCalConstA,MATCH(R481,FlowCalNumber,0),1,1)*T482^INDEX(FlowCalConstB,MATCH(R481,FlowCalNumber,0),1,1)&gt;INDEX(FlowCalLowSetting,MATCH(R481,FlowCalNumber,0),1,1), (INDEX(FlowCalConstA,MATCH(R481,FlowCalNumber,0),1,1)*T482^INDEX(FlowCalConstB,MATCH(R481,FlowCalNumber,0),1,1)&lt;INDEX(FlowCalHighSetting,MATCH(R481,FlowCalNumber,0),1,1))),INDEX(FlowCalConstA,MATCH(R481,FlowCalNumber,0),1,1)*T482^INDEX(FlowCalConstB,MATCH(R481,FlowCalNumber,0),1,1)," ")</f>
        <v>#N/A</v>
      </c>
      <c r="V482" s="33"/>
      <c r="W482" s="260">
        <f>W$17/100</f>
        <v>0.1</v>
      </c>
      <c r="X482" s="241" t="e">
        <f ca="1">W482*$H482</f>
        <v>#VALUE!</v>
      </c>
      <c r="Y482" s="243" t="e">
        <f ca="1">IF(AND(INDEX(FlowCalConstA,MATCH(V481,FlowCalNumber,0),1,1)*X482^INDEX(FlowCalConstB,MATCH(V481,FlowCalNumber,0),1,1)&gt;INDEX(FlowCalLowSetting,MATCH(V481,FlowCalNumber,0),1,1), (INDEX(FlowCalConstA,MATCH(V481,FlowCalNumber,0),1,1)*X482^INDEX(FlowCalConstB,MATCH(V481,FlowCalNumber,0),1,1)&lt;INDEX(FlowCalHighSetting,MATCH(V481,FlowCalNumber,0),1,1))),INDEX(FlowCalConstA,MATCH(V481,FlowCalNumber,0),1,1)*X482^INDEX(FlowCalConstB,MATCH(V481,FlowCalNumber,0),1,1)," ")</f>
        <v>#N/A</v>
      </c>
      <c r="Z482" s="33"/>
      <c r="AA482" s="260">
        <f>AA$17/100</f>
        <v>0.9</v>
      </c>
      <c r="AB482" s="241" t="e">
        <f ca="1">AA482*$H482</f>
        <v>#VALUE!</v>
      </c>
      <c r="AC482" s="243" t="e">
        <f ca="1">IF(AND(INDEX(FlowCalConstA,MATCH(Z481,FlowCalNumber,0),1,1)*AB482^INDEX(FlowCalConstB,MATCH(Z481,FlowCalNumber,0),1,1)&gt;INDEX(FlowCalLowSetting,MATCH(Z481,FlowCalNumber,0),1,1), (INDEX(FlowCalConstA,MATCH(Z481,FlowCalNumber,0),1,1)*AB482^INDEX(FlowCalConstB,MATCH(Z481,FlowCalNumber,0),1,1)&lt;INDEX(FlowCalHighSetting,MATCH(Z481,FlowCalNumber,0),1,1))),INDEX(FlowCalConstA,MATCH(Z481,FlowCalNumber,0),1,1)*AB482^INDEX(FlowCalConstB,MATCH(Z481,FlowCalNumber,0),1,1)," ")</f>
        <v>#N/A</v>
      </c>
      <c r="AD482" s="33"/>
      <c r="AE482" s="260">
        <f>AE$17/100</f>
        <v>0.1</v>
      </c>
      <c r="AF482" s="241" t="e">
        <f ca="1">AE482*$H482</f>
        <v>#VALUE!</v>
      </c>
      <c r="AG482" s="243" t="e">
        <f ca="1">IF(AND(INDEX(FlowCalConstA,MATCH(AD481,FlowCalNumber,0),1,1)*AF482^INDEX(FlowCalConstB,MATCH(AD481,FlowCalNumber,0),1,1)&gt;INDEX(FlowCalLowSetting,MATCH(AD481,FlowCalNumber,0),1,1), (INDEX(FlowCalConstA,MATCH(AD481,FlowCalNumber,0),1,1)*AF482^INDEX(FlowCalConstB,MATCH(AD481,FlowCalNumber,0),1,1)&lt;INDEX(FlowCalHighSetting,MATCH(AD481,FlowCalNumber,0),1,1))),INDEX(FlowCalConstA,MATCH(AD481,FlowCalNumber,0),1,1)*AF482^INDEX(FlowCalConstB,MATCH(AD481,FlowCalNumber,0),1,1)," ")</f>
        <v>#N/A</v>
      </c>
      <c r="AH482" s="33"/>
      <c r="AI482" s="260">
        <f>AI$17/100</f>
        <v>0.9</v>
      </c>
      <c r="AJ482" s="241" t="e">
        <f ca="1">AI482*$H482</f>
        <v>#VALUE!</v>
      </c>
      <c r="AK482" s="243" t="e">
        <f ca="1">IF(AND(INDEX(FlowCalConstA,MATCH(AH481,FlowCalNumber,0),1,1)*AJ482^INDEX(FlowCalConstB,MATCH(AH481,FlowCalNumber,0),1,1)&gt;INDEX(FlowCalLowSetting,MATCH(AH481,FlowCalNumber,0),1,1), (INDEX(FlowCalConstA,MATCH(AH481,FlowCalNumber,0),1,1)*AJ482^INDEX(FlowCalConstB,MATCH(AH481,FlowCalNumber,0),1,1)&lt;INDEX(FlowCalHighSetting,MATCH(AH481,FlowCalNumber,0),1,1))),INDEX(FlowCalConstA,MATCH(AH481,FlowCalNumber,0),1,1)*AJ482^INDEX(FlowCalConstB,MATCH(AH481,FlowCalNumber,0),1,1)," ")</f>
        <v>#N/A</v>
      </c>
      <c r="AL482" s="33"/>
      <c r="AM482" s="260"/>
      <c r="AN482" s="241"/>
      <c r="AO482" s="244"/>
      <c r="AQ482" s="260"/>
      <c r="AR482" s="241"/>
      <c r="AS482" s="244"/>
      <c r="AT482" s="33"/>
      <c r="AU482" s="260"/>
      <c r="AV482" s="241"/>
      <c r="AW482" s="244"/>
      <c r="AX482" s="33"/>
      <c r="AY482" s="260"/>
      <c r="AZ482" s="241"/>
      <c r="BA482" s="244"/>
      <c r="BB482" s="33"/>
      <c r="BC482" s="260"/>
      <c r="BD482" s="241"/>
      <c r="BE482" s="244"/>
      <c r="BF482" s="33"/>
      <c r="BG482" s="260"/>
      <c r="BH482" s="241"/>
      <c r="BI482" s="244"/>
      <c r="BJ482" s="33"/>
      <c r="BK482" s="260"/>
      <c r="BL482" s="241"/>
      <c r="BM482" s="244"/>
      <c r="BN482" s="33"/>
      <c r="BO482" s="260"/>
      <c r="BP482" s="241"/>
      <c r="BQ482" s="244"/>
      <c r="BR482" s="33"/>
      <c r="BS482" s="260"/>
      <c r="BT482" s="241"/>
      <c r="BU482" s="244"/>
      <c r="BV482" s="33"/>
      <c r="BW482" s="260"/>
      <c r="BX482" s="241"/>
      <c r="BY482" s="244"/>
      <c r="BZ482" s="33"/>
      <c r="CA482" s="260"/>
      <c r="CB482" s="241"/>
      <c r="CC482" s="244"/>
      <c r="CD482" s="243"/>
      <c r="CE482" s="243"/>
      <c r="CF482" s="243"/>
      <c r="CG482" s="243"/>
      <c r="CH482" s="243"/>
      <c r="CI482" s="243"/>
      <c r="CJ482" s="243"/>
      <c r="CK482" s="243"/>
      <c r="CL482" s="243"/>
      <c r="CM482" s="243"/>
      <c r="CN482" s="243"/>
      <c r="CO482" s="243"/>
      <c r="CP482" s="243"/>
      <c r="CQ482" s="243"/>
      <c r="CR482" s="243"/>
      <c r="CS482" s="243"/>
      <c r="CT482" s="243"/>
      <c r="CU482" s="243"/>
      <c r="CV482" s="243"/>
      <c r="CW482" s="243"/>
      <c r="CX482" s="243"/>
      <c r="CY482" s="243"/>
      <c r="CZ482" s="243"/>
      <c r="DA482" s="243"/>
      <c r="DB482" s="243"/>
      <c r="DC482" s="243"/>
      <c r="DD482" s="243"/>
      <c r="DE482" s="243"/>
      <c r="DF482" s="243"/>
      <c r="DG482" s="243"/>
      <c r="DH482" s="243"/>
      <c r="DI482" s="243"/>
      <c r="DJ482" s="243"/>
      <c r="DK482" s="243"/>
      <c r="DM482" s="259"/>
      <c r="DO482" s="243"/>
      <c r="DQ482" s="259"/>
      <c r="DS482" s="243"/>
      <c r="DU482" s="259"/>
      <c r="DW482" s="243"/>
      <c r="DY482" s="260"/>
      <c r="EA482" s="243"/>
    </row>
    <row r="483" spans="1:131">
      <c r="A483" s="20"/>
      <c r="B483" s="124" t="str">
        <f t="shared" si="454"/>
        <v/>
      </c>
      <c r="C483" s="235"/>
      <c r="D483" s="24">
        <f>'1% Wind'!$M$83</f>
        <v>23.5</v>
      </c>
      <c r="E483" s="90"/>
      <c r="F483" s="90"/>
      <c r="G483" s="79">
        <f ca="1">IF(I481=0.9743,$G482,MAX(G482/D482*D483,2))</f>
        <v>6.001707317073171</v>
      </c>
      <c r="H483" s="121" t="e">
        <f t="shared" ca="1" si="455"/>
        <v>#VALUE!</v>
      </c>
      <c r="J483" s="33"/>
      <c r="K483" s="242">
        <f t="shared" ref="K483:K496" si="456">K482</f>
        <v>1</v>
      </c>
      <c r="L483" s="241" t="e">
        <f t="shared" ref="L483:L496" ca="1" si="457">K483*$H483</f>
        <v>#VALUE!</v>
      </c>
      <c r="M483" s="243" t="e">
        <f ca="1">IF(AND(INDEX(FlowCalConstA,MATCH(J481,FlowCalNumber,0),1,1)*L483^INDEX(FlowCalConstB,MATCH(J481,FlowCalNumber,0),1,1)&gt;INDEX(FlowCalLowSetting,MATCH(J481,FlowCalNumber,0),1,1), (INDEX(FlowCalConstA,MATCH(J481,FlowCalNumber,0),1,1)*L483^INDEX(FlowCalConstB,MATCH(J481,FlowCalNumber,0),1,1)&lt;INDEX(FlowCalHighSetting,MATCH(J481,FlowCalNumber,0),1,1))),INDEX(FlowCalConstA,MATCH(J481,FlowCalNumber,0),1,1)*L483^INDEX(FlowCalConstB,MATCH(J481,FlowCalNumber,0),1,1)," ")</f>
        <v>#N/A</v>
      </c>
      <c r="N483" s="33"/>
      <c r="O483" s="242">
        <f t="shared" ref="O483:O496" si="458">O482</f>
        <v>1</v>
      </c>
      <c r="P483" s="241" t="e">
        <f t="shared" ref="P483:P496" ca="1" si="459">O483*$H483</f>
        <v>#VALUE!</v>
      </c>
      <c r="Q483" s="243" t="e">
        <f ca="1">IF(AND(INDEX(FlowCalConstA,MATCH(N481,FlowCalNumber,0),1,1)*P483^INDEX(FlowCalConstB,MATCH(N481,FlowCalNumber,0),1,1)&gt;INDEX(FlowCalLowSetting,MATCH(N481,FlowCalNumber,0),1,1), (INDEX(FlowCalConstA,MATCH(N481,FlowCalNumber,0),1,1)*P483^INDEX(FlowCalConstB,MATCH(N481,FlowCalNumber,0),1,1)&lt;INDEX(FlowCalHighSetting,MATCH(N481,FlowCalNumber,0),1,1))),INDEX(FlowCalConstA,MATCH(N481,FlowCalNumber,0),1,1)*P483^INDEX(FlowCalConstB,MATCH(N481,FlowCalNumber,0),1,1)," ")</f>
        <v>#N/A</v>
      </c>
      <c r="R483" s="33"/>
      <c r="S483" s="242">
        <f t="shared" ref="S483:S496" si="460">S482</f>
        <v>1</v>
      </c>
      <c r="T483" s="241" t="e">
        <f t="shared" ref="T483:T496" ca="1" si="461">S483*$H483</f>
        <v>#VALUE!</v>
      </c>
      <c r="U483" s="244" t="e">
        <f ca="1">IF(AND(INDEX(FlowCalConstA,MATCH(R481,FlowCalNumber,0),1,1)*T483^INDEX(FlowCalConstB,MATCH(R481,FlowCalNumber,0),1,1)&gt;INDEX(FlowCalLowSetting,MATCH(R481,FlowCalNumber,0),1,1), (INDEX(FlowCalConstA,MATCH(R481,FlowCalNumber,0),1,1)*T483^INDEX(FlowCalConstB,MATCH(R481,FlowCalNumber,0),1,1)&lt;INDEX(FlowCalHighSetting,MATCH(R481,FlowCalNumber,0),1,1))),INDEX(FlowCalConstA,MATCH(R481,FlowCalNumber,0),1,1)*T483^INDEX(FlowCalConstB,MATCH(R481,FlowCalNumber,0),1,1)," ")</f>
        <v>#N/A</v>
      </c>
      <c r="V483" s="33"/>
      <c r="W483" s="242">
        <f t="shared" ref="W483:W496" si="462">W482</f>
        <v>0.1</v>
      </c>
      <c r="X483" s="241" t="e">
        <f t="shared" ref="X483:X496" ca="1" si="463">W483*$H483</f>
        <v>#VALUE!</v>
      </c>
      <c r="Y483" s="243" t="e">
        <f ca="1">IF(AND(INDEX(FlowCalConstA,MATCH(V481,FlowCalNumber,0),1,1)*X483^INDEX(FlowCalConstB,MATCH(V481,FlowCalNumber,0),1,1)&gt;INDEX(FlowCalLowSetting,MATCH(V481,FlowCalNumber,0),1,1), (INDEX(FlowCalConstA,MATCH(V481,FlowCalNumber,0),1,1)*X483^INDEX(FlowCalConstB,MATCH(V481,FlowCalNumber,0),1,1)&lt;INDEX(FlowCalHighSetting,MATCH(V481,FlowCalNumber,0),1,1))),INDEX(FlowCalConstA,MATCH(V481,FlowCalNumber,0),1,1)*X483^INDEX(FlowCalConstB,MATCH(V481,FlowCalNumber,0),1,1)," ")</f>
        <v>#N/A</v>
      </c>
      <c r="Z483" s="33"/>
      <c r="AA483" s="242">
        <f t="shared" ref="AA483:AA496" si="464">AA482</f>
        <v>0.9</v>
      </c>
      <c r="AB483" s="241" t="e">
        <f t="shared" ref="AB483:AB496" ca="1" si="465">AA483*$H483</f>
        <v>#VALUE!</v>
      </c>
      <c r="AC483" s="243" t="e">
        <f ca="1">IF(AND(INDEX(FlowCalConstA,MATCH(Z481,FlowCalNumber,0),1,1)*AB483^INDEX(FlowCalConstB,MATCH(Z481,FlowCalNumber,0),1,1)&gt;INDEX(FlowCalLowSetting,MATCH(Z481,FlowCalNumber,0),1,1), (INDEX(FlowCalConstA,MATCH(Z481,FlowCalNumber,0),1,1)*AB483^INDEX(FlowCalConstB,MATCH(Z481,FlowCalNumber,0),1,1)&lt;INDEX(FlowCalHighSetting,MATCH(Z481,FlowCalNumber,0),1,1))),INDEX(FlowCalConstA,MATCH(Z481,FlowCalNumber,0),1,1)*AB483^INDEX(FlowCalConstB,MATCH(Z481,FlowCalNumber,0),1,1)," ")</f>
        <v>#N/A</v>
      </c>
      <c r="AD483" s="33"/>
      <c r="AE483" s="242">
        <f t="shared" ref="AE483:AE496" si="466">AE482</f>
        <v>0.1</v>
      </c>
      <c r="AF483" s="241" t="e">
        <f t="shared" ref="AF483:AF496" ca="1" si="467">AE483*$H483</f>
        <v>#VALUE!</v>
      </c>
      <c r="AG483" s="243" t="e">
        <f ca="1">IF(AND(INDEX(FlowCalConstA,MATCH(AD481,FlowCalNumber,0),1,1)*AF483^INDEX(FlowCalConstB,MATCH(AD481,FlowCalNumber,0),1,1)&gt;INDEX(FlowCalLowSetting,MATCH(AD481,FlowCalNumber,0),1,1), (INDEX(FlowCalConstA,MATCH(AD481,FlowCalNumber,0),1,1)*AF483^INDEX(FlowCalConstB,MATCH(AD481,FlowCalNumber,0),1,1)&lt;INDEX(FlowCalHighSetting,MATCH(AD481,FlowCalNumber,0),1,1))),INDEX(FlowCalConstA,MATCH(AD481,FlowCalNumber,0),1,1)*AF483^INDEX(FlowCalConstB,MATCH(AD481,FlowCalNumber,0),1,1)," ")</f>
        <v>#N/A</v>
      </c>
      <c r="AH483" s="33"/>
      <c r="AI483" s="242">
        <f t="shared" ref="AI483:AI496" si="468">AI482</f>
        <v>0.9</v>
      </c>
      <c r="AJ483" s="241" t="e">
        <f t="shared" ref="AJ483:AJ496" ca="1" si="469">AI483*$H483</f>
        <v>#VALUE!</v>
      </c>
      <c r="AK483" s="243" t="e">
        <f ca="1">IF(AND(INDEX(FlowCalConstA,MATCH(AH481,FlowCalNumber,0),1,1)*AJ483^INDEX(FlowCalConstB,MATCH(AH481,FlowCalNumber,0),1,1)&gt;INDEX(FlowCalLowSetting,MATCH(AH481,FlowCalNumber,0),1,1), (INDEX(FlowCalConstA,MATCH(AH481,FlowCalNumber,0),1,1)*AJ483^INDEX(FlowCalConstB,MATCH(AH481,FlowCalNumber,0),1,1)&lt;INDEX(FlowCalHighSetting,MATCH(AH481,FlowCalNumber,0),1,1))),INDEX(FlowCalConstA,MATCH(AH481,FlowCalNumber,0),1,1)*AJ483^INDEX(FlowCalConstB,MATCH(AH481,FlowCalNumber,0),1,1)," ")</f>
        <v>#N/A</v>
      </c>
      <c r="AL483" s="33"/>
      <c r="AM483" s="242"/>
      <c r="AN483" s="241"/>
      <c r="AO483" s="244"/>
      <c r="AQ483" s="242"/>
      <c r="AR483" s="241"/>
      <c r="AS483" s="244"/>
      <c r="AT483" s="33"/>
      <c r="AU483" s="242"/>
      <c r="AV483" s="241"/>
      <c r="AW483" s="244"/>
      <c r="AX483" s="33"/>
      <c r="AY483" s="242"/>
      <c r="AZ483" s="241"/>
      <c r="BA483" s="244"/>
      <c r="BB483" s="33"/>
      <c r="BC483" s="242"/>
      <c r="BD483" s="241"/>
      <c r="BE483" s="244"/>
      <c r="BF483" s="33"/>
      <c r="BG483" s="242"/>
      <c r="BH483" s="241"/>
      <c r="BI483" s="244"/>
      <c r="BJ483" s="33"/>
      <c r="BK483" s="242"/>
      <c r="BL483" s="241"/>
      <c r="BM483" s="244"/>
      <c r="BN483" s="33"/>
      <c r="BO483" s="242"/>
      <c r="BP483" s="241"/>
      <c r="BQ483" s="244"/>
      <c r="BR483" s="33"/>
      <c r="BS483" s="242"/>
      <c r="BT483" s="241"/>
      <c r="BU483" s="244"/>
      <c r="BV483" s="33"/>
      <c r="BW483" s="242"/>
      <c r="BX483" s="241"/>
      <c r="BY483" s="244"/>
      <c r="BZ483" s="33"/>
      <c r="CA483" s="242"/>
      <c r="CB483" s="241"/>
      <c r="CC483" s="244"/>
      <c r="CD483" s="243"/>
      <c r="CE483" s="243"/>
      <c r="CF483" s="243"/>
      <c r="CG483" s="243"/>
      <c r="CH483" s="243"/>
      <c r="CI483" s="243"/>
      <c r="CJ483" s="243"/>
      <c r="CK483" s="243"/>
      <c r="CL483" s="243"/>
      <c r="CM483" s="243"/>
      <c r="CN483" s="243"/>
      <c r="CO483" s="243"/>
      <c r="CP483" s="243"/>
      <c r="CQ483" s="243"/>
      <c r="CR483" s="243"/>
      <c r="CS483" s="243"/>
      <c r="CT483" s="243"/>
      <c r="CU483" s="243"/>
      <c r="CV483" s="243"/>
      <c r="CW483" s="243"/>
      <c r="CX483" s="243"/>
      <c r="CY483" s="243"/>
      <c r="CZ483" s="243"/>
      <c r="DA483" s="243"/>
      <c r="DB483" s="243"/>
      <c r="DC483" s="243"/>
      <c r="DD483" s="243"/>
      <c r="DE483" s="243"/>
      <c r="DF483" s="243"/>
      <c r="DG483" s="243"/>
      <c r="DH483" s="243"/>
      <c r="DI483" s="243"/>
      <c r="DJ483" s="243"/>
      <c r="DK483" s="243"/>
      <c r="DM483" s="242"/>
      <c r="DO483" s="243"/>
      <c r="DQ483" s="242"/>
      <c r="DS483" s="243"/>
      <c r="DU483" s="242"/>
      <c r="DW483" s="243"/>
      <c r="DY483" s="242"/>
      <c r="EA483" s="243"/>
    </row>
    <row r="484" spans="1:131">
      <c r="A484" s="20"/>
      <c r="B484" s="124" t="str">
        <f t="shared" si="454"/>
        <v/>
      </c>
      <c r="C484" s="235"/>
      <c r="D484" s="24">
        <f>'1% Wind'!$M$84</f>
        <v>20.5</v>
      </c>
      <c r="E484" s="90"/>
      <c r="F484" s="90"/>
      <c r="G484" s="79">
        <f ca="1">IF(I481=0.9743,$G483,MAX(G483/D483*D484,2))</f>
        <v>6.001707317073171</v>
      </c>
      <c r="H484" s="121" t="e">
        <f t="shared" ca="1" si="455"/>
        <v>#VALUE!</v>
      </c>
      <c r="J484" s="33"/>
      <c r="K484" s="242">
        <f t="shared" si="456"/>
        <v>1</v>
      </c>
      <c r="L484" s="241" t="e">
        <f t="shared" ca="1" si="457"/>
        <v>#VALUE!</v>
      </c>
      <c r="M484" s="243" t="e">
        <f ca="1">IF(AND(INDEX(FlowCalConstA,MATCH(J481,FlowCalNumber,0),1,1)*L484^INDEX(FlowCalConstB,MATCH(J481,FlowCalNumber,0),1,1)&gt;INDEX(FlowCalLowSetting,MATCH(J481,FlowCalNumber,0),1,1), (INDEX(FlowCalConstA,MATCH(J481,FlowCalNumber,0),1,1)*L484^INDEX(FlowCalConstB,MATCH(J481,FlowCalNumber,0),1,1)&lt;INDEX(FlowCalHighSetting,MATCH(J481,FlowCalNumber,0),1,1))),INDEX(FlowCalConstA,MATCH(J481,FlowCalNumber,0),1,1)*L484^INDEX(FlowCalConstB,MATCH(J481,FlowCalNumber,0),1,1)," ")</f>
        <v>#N/A</v>
      </c>
      <c r="N484" s="33"/>
      <c r="O484" s="242">
        <f t="shared" si="458"/>
        <v>1</v>
      </c>
      <c r="P484" s="241" t="e">
        <f t="shared" ca="1" si="459"/>
        <v>#VALUE!</v>
      </c>
      <c r="Q484" s="243" t="e">
        <f ca="1">IF(AND(INDEX(FlowCalConstA,MATCH(N481,FlowCalNumber,0),1,1)*P484^INDEX(FlowCalConstB,MATCH(N481,FlowCalNumber,0),1,1)&gt;INDEX(FlowCalLowSetting,MATCH(N481,FlowCalNumber,0),1,1), (INDEX(FlowCalConstA,MATCH(N481,FlowCalNumber,0),1,1)*P484^INDEX(FlowCalConstB,MATCH(N481,FlowCalNumber,0),1,1)&lt;INDEX(FlowCalHighSetting,MATCH(N481,FlowCalNumber,0),1,1))),INDEX(FlowCalConstA,MATCH(N481,FlowCalNumber,0),1,1)*P484^INDEX(FlowCalConstB,MATCH(N481,FlowCalNumber,0),1,1)," ")</f>
        <v>#N/A</v>
      </c>
      <c r="R484" s="33"/>
      <c r="S484" s="242">
        <f t="shared" si="460"/>
        <v>1</v>
      </c>
      <c r="T484" s="241" t="e">
        <f t="shared" ca="1" si="461"/>
        <v>#VALUE!</v>
      </c>
      <c r="U484" s="244" t="e">
        <f ca="1">IF(AND(INDEX(FlowCalConstA,MATCH(R481,FlowCalNumber,0),1,1)*T484^INDEX(FlowCalConstB,MATCH(R481,FlowCalNumber,0),1,1)&gt;INDEX(FlowCalLowSetting,MATCH(R481,FlowCalNumber,0),1,1), (INDEX(FlowCalConstA,MATCH(R481,FlowCalNumber,0),1,1)*T484^INDEX(FlowCalConstB,MATCH(R481,FlowCalNumber,0),1,1)&lt;INDEX(FlowCalHighSetting,MATCH(R481,FlowCalNumber,0),1,1))),INDEX(FlowCalConstA,MATCH(R481,FlowCalNumber,0),1,1)*T484^INDEX(FlowCalConstB,MATCH(R481,FlowCalNumber,0),1,1)," ")</f>
        <v>#N/A</v>
      </c>
      <c r="V484" s="33"/>
      <c r="W484" s="242">
        <f t="shared" si="462"/>
        <v>0.1</v>
      </c>
      <c r="X484" s="241" t="e">
        <f t="shared" ca="1" si="463"/>
        <v>#VALUE!</v>
      </c>
      <c r="Y484" s="243" t="e">
        <f ca="1">IF(AND(INDEX(FlowCalConstA,MATCH(V481,FlowCalNumber,0),1,1)*X484^INDEX(FlowCalConstB,MATCH(V481,FlowCalNumber,0),1,1)&gt;INDEX(FlowCalLowSetting,MATCH(V481,FlowCalNumber,0),1,1), (INDEX(FlowCalConstA,MATCH(V481,FlowCalNumber,0),1,1)*X484^INDEX(FlowCalConstB,MATCH(V481,FlowCalNumber,0),1,1)&lt;INDEX(FlowCalHighSetting,MATCH(V481,FlowCalNumber,0),1,1))),INDEX(FlowCalConstA,MATCH(V481,FlowCalNumber,0),1,1)*X484^INDEX(FlowCalConstB,MATCH(V481,FlowCalNumber,0),1,1)," ")</f>
        <v>#N/A</v>
      </c>
      <c r="Z484" s="33"/>
      <c r="AA484" s="242">
        <f t="shared" si="464"/>
        <v>0.9</v>
      </c>
      <c r="AB484" s="241" t="e">
        <f t="shared" ca="1" si="465"/>
        <v>#VALUE!</v>
      </c>
      <c r="AC484" s="243" t="e">
        <f ca="1">IF(AND(INDEX(FlowCalConstA,MATCH(Z481,FlowCalNumber,0),1,1)*AB484^INDEX(FlowCalConstB,MATCH(Z481,FlowCalNumber,0),1,1)&gt;INDEX(FlowCalLowSetting,MATCH(Z481,FlowCalNumber,0),1,1), (INDEX(FlowCalConstA,MATCH(Z481,FlowCalNumber,0),1,1)*AB484^INDEX(FlowCalConstB,MATCH(Z481,FlowCalNumber,0),1,1)&lt;INDEX(FlowCalHighSetting,MATCH(Z481,FlowCalNumber,0),1,1))),INDEX(FlowCalConstA,MATCH(Z481,FlowCalNumber,0),1,1)*AB484^INDEX(FlowCalConstB,MATCH(Z481,FlowCalNumber,0),1,1)," ")</f>
        <v>#N/A</v>
      </c>
      <c r="AD484" s="33"/>
      <c r="AE484" s="242">
        <f t="shared" si="466"/>
        <v>0.1</v>
      </c>
      <c r="AF484" s="241" t="e">
        <f t="shared" ca="1" si="467"/>
        <v>#VALUE!</v>
      </c>
      <c r="AG484" s="243" t="e">
        <f ca="1">IF(AND(INDEX(FlowCalConstA,MATCH(AD481,FlowCalNumber,0),1,1)*AF484^INDEX(FlowCalConstB,MATCH(AD481,FlowCalNumber,0),1,1)&gt;INDEX(FlowCalLowSetting,MATCH(AD481,FlowCalNumber,0),1,1), (INDEX(FlowCalConstA,MATCH(AD481,FlowCalNumber,0),1,1)*AF484^INDEX(FlowCalConstB,MATCH(AD481,FlowCalNumber,0),1,1)&lt;INDEX(FlowCalHighSetting,MATCH(AD481,FlowCalNumber,0),1,1))),INDEX(FlowCalConstA,MATCH(AD481,FlowCalNumber,0),1,1)*AF484^INDEX(FlowCalConstB,MATCH(AD481,FlowCalNumber,0),1,1)," ")</f>
        <v>#N/A</v>
      </c>
      <c r="AH484" s="33"/>
      <c r="AI484" s="242">
        <f t="shared" si="468"/>
        <v>0.9</v>
      </c>
      <c r="AJ484" s="241" t="e">
        <f t="shared" ca="1" si="469"/>
        <v>#VALUE!</v>
      </c>
      <c r="AK484" s="243" t="e">
        <f ca="1">IF(AND(INDEX(FlowCalConstA,MATCH(AH481,FlowCalNumber,0),1,1)*AJ484^INDEX(FlowCalConstB,MATCH(AH481,FlowCalNumber,0),1,1)&gt;INDEX(FlowCalLowSetting,MATCH(AH481,FlowCalNumber,0),1,1), (INDEX(FlowCalConstA,MATCH(AH481,FlowCalNumber,0),1,1)*AJ484^INDEX(FlowCalConstB,MATCH(AH481,FlowCalNumber,0),1,1)&lt;INDEX(FlowCalHighSetting,MATCH(AH481,FlowCalNumber,0),1,1))),INDEX(FlowCalConstA,MATCH(AH481,FlowCalNumber,0),1,1)*AJ484^INDEX(FlowCalConstB,MATCH(AH481,FlowCalNumber,0),1,1)," ")</f>
        <v>#N/A</v>
      </c>
      <c r="AL484" s="33"/>
      <c r="AM484" s="242"/>
      <c r="AN484" s="241"/>
      <c r="AO484" s="244"/>
      <c r="AQ484" s="242"/>
      <c r="AR484" s="241"/>
      <c r="AS484" s="244"/>
      <c r="AT484" s="33"/>
      <c r="AU484" s="242"/>
      <c r="AV484" s="241"/>
      <c r="AW484" s="244"/>
      <c r="AX484" s="33"/>
      <c r="AY484" s="242"/>
      <c r="AZ484" s="241"/>
      <c r="BA484" s="244"/>
      <c r="BB484" s="33"/>
      <c r="BC484" s="242"/>
      <c r="BD484" s="241"/>
      <c r="BE484" s="244"/>
      <c r="BF484" s="33"/>
      <c r="BG484" s="242"/>
      <c r="BH484" s="241"/>
      <c r="BI484" s="244"/>
      <c r="BJ484" s="33"/>
      <c r="BK484" s="242"/>
      <c r="BL484" s="241"/>
      <c r="BM484" s="244"/>
      <c r="BN484" s="33"/>
      <c r="BO484" s="242"/>
      <c r="BP484" s="241"/>
      <c r="BQ484" s="244"/>
      <c r="BR484" s="33"/>
      <c r="BS484" s="242"/>
      <c r="BT484" s="241"/>
      <c r="BU484" s="244"/>
      <c r="BV484" s="33"/>
      <c r="BW484" s="242"/>
      <c r="BX484" s="241"/>
      <c r="BY484" s="244"/>
      <c r="BZ484" s="33"/>
      <c r="CA484" s="242"/>
      <c r="CB484" s="241"/>
      <c r="CC484" s="244"/>
      <c r="CD484" s="243"/>
      <c r="CE484" s="243"/>
      <c r="CF484" s="243"/>
      <c r="CG484" s="243"/>
      <c r="CH484" s="243"/>
      <c r="CI484" s="243"/>
      <c r="CJ484" s="243"/>
      <c r="CK484" s="243"/>
      <c r="CL484" s="243"/>
      <c r="CM484" s="243"/>
      <c r="CN484" s="243"/>
      <c r="CO484" s="243"/>
      <c r="CP484" s="243"/>
      <c r="CQ484" s="243"/>
      <c r="CR484" s="243"/>
      <c r="CS484" s="243"/>
      <c r="CT484" s="243"/>
      <c r="CU484" s="243"/>
      <c r="CV484" s="243"/>
      <c r="CW484" s="243"/>
      <c r="CX484" s="243"/>
      <c r="CY484" s="243"/>
      <c r="CZ484" s="243"/>
      <c r="DA484" s="243"/>
      <c r="DB484" s="243"/>
      <c r="DC484" s="243"/>
      <c r="DD484" s="243"/>
      <c r="DE484" s="243"/>
      <c r="DF484" s="243"/>
      <c r="DG484" s="243"/>
      <c r="DH484" s="243"/>
      <c r="DI484" s="243"/>
      <c r="DJ484" s="243"/>
      <c r="DK484" s="243"/>
      <c r="DM484" s="242"/>
      <c r="DO484" s="243"/>
      <c r="DQ484" s="242"/>
      <c r="DS484" s="243"/>
      <c r="DU484" s="242"/>
      <c r="DW484" s="243"/>
      <c r="DY484" s="242"/>
      <c r="EA484" s="243"/>
    </row>
    <row r="485" spans="1:131">
      <c r="A485" s="20"/>
      <c r="B485" s="124" t="str">
        <f t="shared" si="454"/>
        <v/>
      </c>
      <c r="C485" s="235"/>
      <c r="D485" s="24">
        <f>'1% Wind'!$M$85</f>
        <v>17.8</v>
      </c>
      <c r="E485" s="90"/>
      <c r="F485" s="90"/>
      <c r="G485" s="79">
        <f ca="1">IF(I481=0.9743,$G484,MAX(G484/D484*D485,2))</f>
        <v>6.001707317073171</v>
      </c>
      <c r="H485" s="121" t="e">
        <f t="shared" ca="1" si="455"/>
        <v>#VALUE!</v>
      </c>
      <c r="J485" s="33"/>
      <c r="K485" s="242">
        <f t="shared" si="456"/>
        <v>1</v>
      </c>
      <c r="L485" s="241" t="e">
        <f t="shared" ca="1" si="457"/>
        <v>#VALUE!</v>
      </c>
      <c r="M485" s="243" t="e">
        <f ca="1">IF(AND(INDEX(FlowCalConstA,MATCH(J481,FlowCalNumber,0),1,1)*L485^INDEX(FlowCalConstB,MATCH(J481,FlowCalNumber,0),1,1)&gt;INDEX(FlowCalLowSetting,MATCH(J481,FlowCalNumber,0),1,1), (INDEX(FlowCalConstA,MATCH(J481,FlowCalNumber,0),1,1)*L485^INDEX(FlowCalConstB,MATCH(J481,FlowCalNumber,0),1,1)&lt;INDEX(FlowCalHighSetting,MATCH(J481,FlowCalNumber,0),1,1))),INDEX(FlowCalConstA,MATCH(J481,FlowCalNumber,0),1,1)*L485^INDEX(FlowCalConstB,MATCH(J481,FlowCalNumber,0),1,1)," ")</f>
        <v>#N/A</v>
      </c>
      <c r="N485" s="33"/>
      <c r="O485" s="242">
        <f t="shared" si="458"/>
        <v>1</v>
      </c>
      <c r="P485" s="241" t="e">
        <f t="shared" ca="1" si="459"/>
        <v>#VALUE!</v>
      </c>
      <c r="Q485" s="243" t="e">
        <f ca="1">IF(AND(INDEX(FlowCalConstA,MATCH(N481,FlowCalNumber,0),1,1)*P485^INDEX(FlowCalConstB,MATCH(N481,FlowCalNumber,0),1,1)&gt;INDEX(FlowCalLowSetting,MATCH(N481,FlowCalNumber,0),1,1), (INDEX(FlowCalConstA,MATCH(N481,FlowCalNumber,0),1,1)*P485^INDEX(FlowCalConstB,MATCH(N481,FlowCalNumber,0),1,1)&lt;INDEX(FlowCalHighSetting,MATCH(N481,FlowCalNumber,0),1,1))),INDEX(FlowCalConstA,MATCH(N481,FlowCalNumber,0),1,1)*P485^INDEX(FlowCalConstB,MATCH(N481,FlowCalNumber,0),1,1)," ")</f>
        <v>#N/A</v>
      </c>
      <c r="R485" s="33"/>
      <c r="S485" s="242">
        <f t="shared" si="460"/>
        <v>1</v>
      </c>
      <c r="T485" s="241" t="e">
        <f t="shared" ca="1" si="461"/>
        <v>#VALUE!</v>
      </c>
      <c r="U485" s="244" t="e">
        <f ca="1">IF(AND(INDEX(FlowCalConstA,MATCH(R481,FlowCalNumber,0),1,1)*T485^INDEX(FlowCalConstB,MATCH(R481,FlowCalNumber,0),1,1)&gt;INDEX(FlowCalLowSetting,MATCH(R481,FlowCalNumber,0),1,1), (INDEX(FlowCalConstA,MATCH(R481,FlowCalNumber,0),1,1)*T485^INDEX(FlowCalConstB,MATCH(R481,FlowCalNumber,0),1,1)&lt;INDEX(FlowCalHighSetting,MATCH(R481,FlowCalNumber,0),1,1))),INDEX(FlowCalConstA,MATCH(R481,FlowCalNumber,0),1,1)*T485^INDEX(FlowCalConstB,MATCH(R481,FlowCalNumber,0),1,1)," ")</f>
        <v>#N/A</v>
      </c>
      <c r="V485" s="33"/>
      <c r="W485" s="242">
        <f t="shared" si="462"/>
        <v>0.1</v>
      </c>
      <c r="X485" s="241" t="e">
        <f t="shared" ca="1" si="463"/>
        <v>#VALUE!</v>
      </c>
      <c r="Y485" s="243" t="e">
        <f ca="1">IF(AND(INDEX(FlowCalConstA,MATCH(V481,FlowCalNumber,0),1,1)*X485^INDEX(FlowCalConstB,MATCH(V481,FlowCalNumber,0),1,1)&gt;INDEX(FlowCalLowSetting,MATCH(V481,FlowCalNumber,0),1,1), (INDEX(FlowCalConstA,MATCH(V481,FlowCalNumber,0),1,1)*X485^INDEX(FlowCalConstB,MATCH(V481,FlowCalNumber,0),1,1)&lt;INDEX(FlowCalHighSetting,MATCH(V481,FlowCalNumber,0),1,1))),INDEX(FlowCalConstA,MATCH(V481,FlowCalNumber,0),1,1)*X485^INDEX(FlowCalConstB,MATCH(V481,FlowCalNumber,0),1,1)," ")</f>
        <v>#N/A</v>
      </c>
      <c r="Z485" s="33"/>
      <c r="AA485" s="242">
        <f t="shared" si="464"/>
        <v>0.9</v>
      </c>
      <c r="AB485" s="241" t="e">
        <f t="shared" ca="1" si="465"/>
        <v>#VALUE!</v>
      </c>
      <c r="AC485" s="243" t="e">
        <f ca="1">IF(AND(INDEX(FlowCalConstA,MATCH(Z481,FlowCalNumber,0),1,1)*AB485^INDEX(FlowCalConstB,MATCH(Z481,FlowCalNumber,0),1,1)&gt;INDEX(FlowCalLowSetting,MATCH(Z481,FlowCalNumber,0),1,1), (INDEX(FlowCalConstA,MATCH(Z481,FlowCalNumber,0),1,1)*AB485^INDEX(FlowCalConstB,MATCH(Z481,FlowCalNumber,0),1,1)&lt;INDEX(FlowCalHighSetting,MATCH(Z481,FlowCalNumber,0),1,1))),INDEX(FlowCalConstA,MATCH(Z481,FlowCalNumber,0),1,1)*AB485^INDEX(FlowCalConstB,MATCH(Z481,FlowCalNumber,0),1,1)," ")</f>
        <v>#N/A</v>
      </c>
      <c r="AD485" s="33"/>
      <c r="AE485" s="242">
        <f t="shared" si="466"/>
        <v>0.1</v>
      </c>
      <c r="AF485" s="241" t="e">
        <f t="shared" ca="1" si="467"/>
        <v>#VALUE!</v>
      </c>
      <c r="AG485" s="243" t="e">
        <f ca="1">IF(AND(INDEX(FlowCalConstA,MATCH(AD481,FlowCalNumber,0),1,1)*AF485^INDEX(FlowCalConstB,MATCH(AD481,FlowCalNumber,0),1,1)&gt;INDEX(FlowCalLowSetting,MATCH(AD481,FlowCalNumber,0),1,1), (INDEX(FlowCalConstA,MATCH(AD481,FlowCalNumber,0),1,1)*AF485^INDEX(FlowCalConstB,MATCH(AD481,FlowCalNumber,0),1,1)&lt;INDEX(FlowCalHighSetting,MATCH(AD481,FlowCalNumber,0),1,1))),INDEX(FlowCalConstA,MATCH(AD481,FlowCalNumber,0),1,1)*AF485^INDEX(FlowCalConstB,MATCH(AD481,FlowCalNumber,0),1,1)," ")</f>
        <v>#N/A</v>
      </c>
      <c r="AH485" s="33"/>
      <c r="AI485" s="242">
        <f t="shared" si="468"/>
        <v>0.9</v>
      </c>
      <c r="AJ485" s="241" t="e">
        <f t="shared" ca="1" si="469"/>
        <v>#VALUE!</v>
      </c>
      <c r="AK485" s="243" t="e">
        <f ca="1">IF(AND(INDEX(FlowCalConstA,MATCH(AH481,FlowCalNumber,0),1,1)*AJ485^INDEX(FlowCalConstB,MATCH(AH481,FlowCalNumber,0),1,1)&gt;INDEX(FlowCalLowSetting,MATCH(AH481,FlowCalNumber,0),1,1), (INDEX(FlowCalConstA,MATCH(AH481,FlowCalNumber,0),1,1)*AJ485^INDEX(FlowCalConstB,MATCH(AH481,FlowCalNumber,0),1,1)&lt;INDEX(FlowCalHighSetting,MATCH(AH481,FlowCalNumber,0),1,1))),INDEX(FlowCalConstA,MATCH(AH481,FlowCalNumber,0),1,1)*AJ485^INDEX(FlowCalConstB,MATCH(AH481,FlowCalNumber,0),1,1)," ")</f>
        <v>#N/A</v>
      </c>
      <c r="AL485" s="33"/>
      <c r="AM485" s="242"/>
      <c r="AN485" s="241"/>
      <c r="AO485" s="244"/>
      <c r="AQ485" s="242"/>
      <c r="AR485" s="241"/>
      <c r="AS485" s="244"/>
      <c r="AT485" s="33"/>
      <c r="AU485" s="242"/>
      <c r="AV485" s="241"/>
      <c r="AW485" s="244"/>
      <c r="AX485" s="33"/>
      <c r="AY485" s="242"/>
      <c r="AZ485" s="241"/>
      <c r="BA485" s="244"/>
      <c r="BB485" s="33"/>
      <c r="BC485" s="242"/>
      <c r="BD485" s="241"/>
      <c r="BE485" s="244"/>
      <c r="BF485" s="33"/>
      <c r="BG485" s="242"/>
      <c r="BH485" s="241"/>
      <c r="BI485" s="244"/>
      <c r="BJ485" s="33"/>
      <c r="BK485" s="242"/>
      <c r="BL485" s="241"/>
      <c r="BM485" s="244"/>
      <c r="BN485" s="33"/>
      <c r="BO485" s="242"/>
      <c r="BP485" s="241"/>
      <c r="BQ485" s="244"/>
      <c r="BR485" s="33"/>
      <c r="BS485" s="242"/>
      <c r="BT485" s="241"/>
      <c r="BU485" s="244"/>
      <c r="BV485" s="33"/>
      <c r="BW485" s="242"/>
      <c r="BX485" s="241"/>
      <c r="BY485" s="244"/>
      <c r="BZ485" s="33"/>
      <c r="CA485" s="242"/>
      <c r="CB485" s="241"/>
      <c r="CC485" s="244"/>
      <c r="CD485" s="243"/>
      <c r="CE485" s="243"/>
      <c r="CF485" s="243"/>
      <c r="CG485" s="243"/>
      <c r="CH485" s="243"/>
      <c r="CI485" s="243"/>
      <c r="CJ485" s="243"/>
      <c r="CK485" s="243"/>
      <c r="CL485" s="243"/>
      <c r="CM485" s="243"/>
      <c r="CN485" s="243"/>
      <c r="CO485" s="243"/>
      <c r="CP485" s="243"/>
      <c r="CQ485" s="243"/>
      <c r="CR485" s="243"/>
      <c r="CS485" s="243"/>
      <c r="CT485" s="243"/>
      <c r="CU485" s="243"/>
      <c r="CV485" s="243"/>
      <c r="CW485" s="243"/>
      <c r="CX485" s="243"/>
      <c r="CY485" s="243"/>
      <c r="CZ485" s="243"/>
      <c r="DA485" s="243"/>
      <c r="DB485" s="243"/>
      <c r="DC485" s="243"/>
      <c r="DD485" s="243"/>
      <c r="DE485" s="243"/>
      <c r="DF485" s="243"/>
      <c r="DG485" s="243"/>
      <c r="DH485" s="243"/>
      <c r="DI485" s="243"/>
      <c r="DJ485" s="243"/>
      <c r="DK485" s="243"/>
      <c r="DM485" s="242"/>
      <c r="DO485" s="243"/>
      <c r="DQ485" s="242"/>
      <c r="DS485" s="243"/>
      <c r="DU485" s="242"/>
      <c r="DW485" s="243"/>
      <c r="DY485" s="242"/>
      <c r="EA485" s="243"/>
    </row>
    <row r="486" spans="1:131">
      <c r="A486" s="20"/>
      <c r="B486" s="124" t="str">
        <f t="shared" si="454"/>
        <v/>
      </c>
      <c r="C486" s="235"/>
      <c r="D486" s="24">
        <f>'1% Wind'!$M$86</f>
        <v>15.5</v>
      </c>
      <c r="E486" s="90"/>
      <c r="F486" s="90"/>
      <c r="G486" s="79">
        <f ca="1">IF(I481=0.9743,$G485,MAX(G485/D485*D486,2))</f>
        <v>6.001707317073171</v>
      </c>
      <c r="H486" s="121" t="e">
        <f t="shared" ca="1" si="455"/>
        <v>#VALUE!</v>
      </c>
      <c r="J486" s="33"/>
      <c r="K486" s="242">
        <f t="shared" si="456"/>
        <v>1</v>
      </c>
      <c r="L486" s="241" t="e">
        <f t="shared" ca="1" si="457"/>
        <v>#VALUE!</v>
      </c>
      <c r="M486" s="243" t="e">
        <f ca="1">IF(AND(INDEX(FlowCalConstA,MATCH(J481,FlowCalNumber,0),1,1)*L486^INDEX(FlowCalConstB,MATCH(J481,FlowCalNumber,0),1,1)&gt;INDEX(FlowCalLowSetting,MATCH(J481,FlowCalNumber,0),1,1), (INDEX(FlowCalConstA,MATCH(J481,FlowCalNumber,0),1,1)*L486^INDEX(FlowCalConstB,MATCH(J481,FlowCalNumber,0),1,1)&lt;INDEX(FlowCalHighSetting,MATCH(J481,FlowCalNumber,0),1,1))),INDEX(FlowCalConstA,MATCH(J481,FlowCalNumber,0),1,1)*L486^INDEX(FlowCalConstB,MATCH(J481,FlowCalNumber,0),1,1)," ")</f>
        <v>#N/A</v>
      </c>
      <c r="N486" s="33"/>
      <c r="O486" s="242">
        <f t="shared" si="458"/>
        <v>1</v>
      </c>
      <c r="P486" s="241" t="e">
        <f t="shared" ca="1" si="459"/>
        <v>#VALUE!</v>
      </c>
      <c r="Q486" s="243" t="e">
        <f ca="1">IF(AND(INDEX(FlowCalConstA,MATCH(N481,FlowCalNumber,0),1,1)*P486^INDEX(FlowCalConstB,MATCH(N481,FlowCalNumber,0),1,1)&gt;INDEX(FlowCalLowSetting,MATCH(N481,FlowCalNumber,0),1,1), (INDEX(FlowCalConstA,MATCH(N481,FlowCalNumber,0),1,1)*P486^INDEX(FlowCalConstB,MATCH(N481,FlowCalNumber,0),1,1)&lt;INDEX(FlowCalHighSetting,MATCH(N481,FlowCalNumber,0),1,1))),INDEX(FlowCalConstA,MATCH(N481,FlowCalNumber,0),1,1)*P486^INDEX(FlowCalConstB,MATCH(N481,FlowCalNumber,0),1,1)," ")</f>
        <v>#N/A</v>
      </c>
      <c r="R486" s="33"/>
      <c r="S486" s="242">
        <f t="shared" si="460"/>
        <v>1</v>
      </c>
      <c r="T486" s="241" t="e">
        <f t="shared" ca="1" si="461"/>
        <v>#VALUE!</v>
      </c>
      <c r="U486" s="244" t="e">
        <f ca="1">IF(AND(INDEX(FlowCalConstA,MATCH(R481,FlowCalNumber,0),1,1)*T486^INDEX(FlowCalConstB,MATCH(R481,FlowCalNumber,0),1,1)&gt;INDEX(FlowCalLowSetting,MATCH(R481,FlowCalNumber,0),1,1), (INDEX(FlowCalConstA,MATCH(R481,FlowCalNumber,0),1,1)*T486^INDEX(FlowCalConstB,MATCH(R481,FlowCalNumber,0),1,1)&lt;INDEX(FlowCalHighSetting,MATCH(R481,FlowCalNumber,0),1,1))),INDEX(FlowCalConstA,MATCH(R481,FlowCalNumber,0),1,1)*T486^INDEX(FlowCalConstB,MATCH(R481,FlowCalNumber,0),1,1)," ")</f>
        <v>#N/A</v>
      </c>
      <c r="V486" s="33"/>
      <c r="W486" s="242">
        <f t="shared" si="462"/>
        <v>0.1</v>
      </c>
      <c r="X486" s="241" t="e">
        <f t="shared" ca="1" si="463"/>
        <v>#VALUE!</v>
      </c>
      <c r="Y486" s="243" t="e">
        <f ca="1">IF(AND(INDEX(FlowCalConstA,MATCH(V481,FlowCalNumber,0),1,1)*X486^INDEX(FlowCalConstB,MATCH(V481,FlowCalNumber,0),1,1)&gt;INDEX(FlowCalLowSetting,MATCH(V481,FlowCalNumber,0),1,1), (INDEX(FlowCalConstA,MATCH(V481,FlowCalNumber,0),1,1)*X486^INDEX(FlowCalConstB,MATCH(V481,FlowCalNumber,0),1,1)&lt;INDEX(FlowCalHighSetting,MATCH(V481,FlowCalNumber,0),1,1))),INDEX(FlowCalConstA,MATCH(V481,FlowCalNumber,0),1,1)*X486^INDEX(FlowCalConstB,MATCH(V481,FlowCalNumber,0),1,1)," ")</f>
        <v>#N/A</v>
      </c>
      <c r="Z486" s="33"/>
      <c r="AA486" s="242">
        <f t="shared" si="464"/>
        <v>0.9</v>
      </c>
      <c r="AB486" s="241" t="e">
        <f t="shared" ca="1" si="465"/>
        <v>#VALUE!</v>
      </c>
      <c r="AC486" s="243" t="e">
        <f ca="1">IF(AND(INDEX(FlowCalConstA,MATCH(Z481,FlowCalNumber,0),1,1)*AB486^INDEX(FlowCalConstB,MATCH(Z481,FlowCalNumber,0),1,1)&gt;INDEX(FlowCalLowSetting,MATCH(Z481,FlowCalNumber,0),1,1), (INDEX(FlowCalConstA,MATCH(Z481,FlowCalNumber,0),1,1)*AB486^INDEX(FlowCalConstB,MATCH(Z481,FlowCalNumber,0),1,1)&lt;INDEX(FlowCalHighSetting,MATCH(Z481,FlowCalNumber,0),1,1))),INDEX(FlowCalConstA,MATCH(Z481,FlowCalNumber,0),1,1)*AB486^INDEX(FlowCalConstB,MATCH(Z481,FlowCalNumber,0),1,1)," ")</f>
        <v>#N/A</v>
      </c>
      <c r="AD486" s="33"/>
      <c r="AE486" s="242">
        <f t="shared" si="466"/>
        <v>0.1</v>
      </c>
      <c r="AF486" s="241" t="e">
        <f t="shared" ca="1" si="467"/>
        <v>#VALUE!</v>
      </c>
      <c r="AG486" s="243" t="e">
        <f ca="1">IF(AND(INDEX(FlowCalConstA,MATCH(AD481,FlowCalNumber,0),1,1)*AF486^INDEX(FlowCalConstB,MATCH(AD481,FlowCalNumber,0),1,1)&gt;INDEX(FlowCalLowSetting,MATCH(AD481,FlowCalNumber,0),1,1), (INDEX(FlowCalConstA,MATCH(AD481,FlowCalNumber,0),1,1)*AF486^INDEX(FlowCalConstB,MATCH(AD481,FlowCalNumber,0),1,1)&lt;INDEX(FlowCalHighSetting,MATCH(AD481,FlowCalNumber,0),1,1))),INDEX(FlowCalConstA,MATCH(AD481,FlowCalNumber,0),1,1)*AF486^INDEX(FlowCalConstB,MATCH(AD481,FlowCalNumber,0),1,1)," ")</f>
        <v>#N/A</v>
      </c>
      <c r="AH486" s="33"/>
      <c r="AI486" s="242">
        <f t="shared" si="468"/>
        <v>0.9</v>
      </c>
      <c r="AJ486" s="241" t="e">
        <f t="shared" ca="1" si="469"/>
        <v>#VALUE!</v>
      </c>
      <c r="AK486" s="243" t="e">
        <f ca="1">IF(AND(INDEX(FlowCalConstA,MATCH(AH481,FlowCalNumber,0),1,1)*AJ486^INDEX(FlowCalConstB,MATCH(AH481,FlowCalNumber,0),1,1)&gt;INDEX(FlowCalLowSetting,MATCH(AH481,FlowCalNumber,0),1,1), (INDEX(FlowCalConstA,MATCH(AH481,FlowCalNumber,0),1,1)*AJ486^INDEX(FlowCalConstB,MATCH(AH481,FlowCalNumber,0),1,1)&lt;INDEX(FlowCalHighSetting,MATCH(AH481,FlowCalNumber,0),1,1))),INDEX(FlowCalConstA,MATCH(AH481,FlowCalNumber,0),1,1)*AJ486^INDEX(FlowCalConstB,MATCH(AH481,FlowCalNumber,0),1,1)," ")</f>
        <v>#N/A</v>
      </c>
      <c r="AL486" s="33"/>
      <c r="AM486" s="242"/>
      <c r="AN486" s="241"/>
      <c r="AO486" s="244"/>
      <c r="AQ486" s="242"/>
      <c r="AR486" s="241"/>
      <c r="AS486" s="244"/>
      <c r="AT486" s="33"/>
      <c r="AU486" s="242"/>
      <c r="AV486" s="241"/>
      <c r="AW486" s="244"/>
      <c r="AX486" s="33"/>
      <c r="AY486" s="242"/>
      <c r="AZ486" s="241"/>
      <c r="BA486" s="244"/>
      <c r="BB486" s="33"/>
      <c r="BC486" s="242"/>
      <c r="BD486" s="241"/>
      <c r="BE486" s="244"/>
      <c r="BF486" s="33"/>
      <c r="BG486" s="242"/>
      <c r="BH486" s="241"/>
      <c r="BI486" s="244"/>
      <c r="BJ486" s="33"/>
      <c r="BK486" s="242"/>
      <c r="BL486" s="241"/>
      <c r="BM486" s="244"/>
      <c r="BN486" s="33"/>
      <c r="BO486" s="242"/>
      <c r="BP486" s="241"/>
      <c r="BQ486" s="244"/>
      <c r="BR486" s="33"/>
      <c r="BS486" s="242"/>
      <c r="BT486" s="241"/>
      <c r="BU486" s="244"/>
      <c r="BV486" s="33"/>
      <c r="BW486" s="242"/>
      <c r="BX486" s="241"/>
      <c r="BY486" s="244"/>
      <c r="BZ486" s="33"/>
      <c r="CA486" s="242"/>
      <c r="CB486" s="241"/>
      <c r="CC486" s="244"/>
      <c r="CD486" s="243"/>
      <c r="CE486" s="243"/>
      <c r="CF486" s="243"/>
      <c r="CG486" s="243"/>
      <c r="CH486" s="243"/>
      <c r="CI486" s="243"/>
      <c r="CJ486" s="243"/>
      <c r="CK486" s="243"/>
      <c r="CL486" s="243"/>
      <c r="CM486" s="243"/>
      <c r="CN486" s="243"/>
      <c r="CO486" s="243"/>
      <c r="CP486" s="243"/>
      <c r="CQ486" s="243"/>
      <c r="CR486" s="243"/>
      <c r="CS486" s="243"/>
      <c r="CT486" s="243"/>
      <c r="CU486" s="243"/>
      <c r="CV486" s="243"/>
      <c r="CW486" s="243"/>
      <c r="CX486" s="243"/>
      <c r="CY486" s="243"/>
      <c r="CZ486" s="243"/>
      <c r="DA486" s="243"/>
      <c r="DB486" s="243"/>
      <c r="DC486" s="243"/>
      <c r="DD486" s="243"/>
      <c r="DE486" s="243"/>
      <c r="DF486" s="243"/>
      <c r="DG486" s="243"/>
      <c r="DH486" s="243"/>
      <c r="DI486" s="243"/>
      <c r="DJ486" s="243"/>
      <c r="DK486" s="243"/>
      <c r="DM486" s="242"/>
      <c r="DO486" s="243"/>
      <c r="DQ486" s="242"/>
      <c r="DS486" s="243"/>
      <c r="DU486" s="242"/>
      <c r="DW486" s="243"/>
      <c r="DY486" s="242"/>
      <c r="EA486" s="243"/>
    </row>
    <row r="487" spans="1:131">
      <c r="A487" s="20"/>
      <c r="B487" s="124" t="str">
        <f t="shared" si="454"/>
        <v/>
      </c>
      <c r="C487" s="235"/>
      <c r="D487" s="24">
        <f>'1% Wind'!$M$87</f>
        <v>13.5</v>
      </c>
      <c r="E487" s="90"/>
      <c r="F487" s="90"/>
      <c r="G487" s="79">
        <f ca="1">IF(I481=0.9743,$G486,MAX(G486/D486*D487,2))</f>
        <v>6.001707317073171</v>
      </c>
      <c r="H487" s="121" t="e">
        <f t="shared" ca="1" si="455"/>
        <v>#VALUE!</v>
      </c>
      <c r="J487" s="33"/>
      <c r="K487" s="242">
        <f t="shared" si="456"/>
        <v>1</v>
      </c>
      <c r="L487" s="241" t="e">
        <f t="shared" ca="1" si="457"/>
        <v>#VALUE!</v>
      </c>
      <c r="M487" s="243" t="e">
        <f ca="1">IF(AND(INDEX(FlowCalConstA,MATCH(J481,FlowCalNumber,0),1,1)*L487^INDEX(FlowCalConstB,MATCH(J481,FlowCalNumber,0),1,1)&gt;INDEX(FlowCalLowSetting,MATCH(J481,FlowCalNumber,0),1,1), (INDEX(FlowCalConstA,MATCH(J481,FlowCalNumber,0),1,1)*L487^INDEX(FlowCalConstB,MATCH(J481,FlowCalNumber,0),1,1)&lt;INDEX(FlowCalHighSetting,MATCH(J481,FlowCalNumber,0),1,1))),INDEX(FlowCalConstA,MATCH(J481,FlowCalNumber,0),1,1)*L487^INDEX(FlowCalConstB,MATCH(J481,FlowCalNumber,0),1,1)," ")</f>
        <v>#N/A</v>
      </c>
      <c r="N487" s="33"/>
      <c r="O487" s="242">
        <f t="shared" si="458"/>
        <v>1</v>
      </c>
      <c r="P487" s="241" t="e">
        <f t="shared" ca="1" si="459"/>
        <v>#VALUE!</v>
      </c>
      <c r="Q487" s="243" t="e">
        <f ca="1">IF(AND(INDEX(FlowCalConstA,MATCH(N481,FlowCalNumber,0),1,1)*P487^INDEX(FlowCalConstB,MATCH(N481,FlowCalNumber,0),1,1)&gt;INDEX(FlowCalLowSetting,MATCH(N481,FlowCalNumber,0),1,1), (INDEX(FlowCalConstA,MATCH(N481,FlowCalNumber,0),1,1)*P487^INDEX(FlowCalConstB,MATCH(N481,FlowCalNumber,0),1,1)&lt;INDEX(FlowCalHighSetting,MATCH(N481,FlowCalNumber,0),1,1))),INDEX(FlowCalConstA,MATCH(N481,FlowCalNumber,0),1,1)*P487^INDEX(FlowCalConstB,MATCH(N481,FlowCalNumber,0),1,1)," ")</f>
        <v>#N/A</v>
      </c>
      <c r="R487" s="33"/>
      <c r="S487" s="242">
        <f t="shared" si="460"/>
        <v>1</v>
      </c>
      <c r="T487" s="241" t="e">
        <f t="shared" ca="1" si="461"/>
        <v>#VALUE!</v>
      </c>
      <c r="U487" s="244" t="e">
        <f ca="1">IF(AND(INDEX(FlowCalConstA,MATCH(R481,FlowCalNumber,0),1,1)*T487^INDEX(FlowCalConstB,MATCH(R481,FlowCalNumber,0),1,1)&gt;INDEX(FlowCalLowSetting,MATCH(R481,FlowCalNumber,0),1,1), (INDEX(FlowCalConstA,MATCH(R481,FlowCalNumber,0),1,1)*T487^INDEX(FlowCalConstB,MATCH(R481,FlowCalNumber,0),1,1)&lt;INDEX(FlowCalHighSetting,MATCH(R481,FlowCalNumber,0),1,1))),INDEX(FlowCalConstA,MATCH(R481,FlowCalNumber,0),1,1)*T487^INDEX(FlowCalConstB,MATCH(R481,FlowCalNumber,0),1,1)," ")</f>
        <v>#N/A</v>
      </c>
      <c r="V487" s="33"/>
      <c r="W487" s="242">
        <f t="shared" si="462"/>
        <v>0.1</v>
      </c>
      <c r="X487" s="241" t="e">
        <f t="shared" ca="1" si="463"/>
        <v>#VALUE!</v>
      </c>
      <c r="Y487" s="243" t="e">
        <f ca="1">IF(AND(INDEX(FlowCalConstA,MATCH(V481,FlowCalNumber,0),1,1)*X487^INDEX(FlowCalConstB,MATCH(V481,FlowCalNumber,0),1,1)&gt;INDEX(FlowCalLowSetting,MATCH(V481,FlowCalNumber,0),1,1), (INDEX(FlowCalConstA,MATCH(V481,FlowCalNumber,0),1,1)*X487^INDEX(FlowCalConstB,MATCH(V481,FlowCalNumber,0),1,1)&lt;INDEX(FlowCalHighSetting,MATCH(V481,FlowCalNumber,0),1,1))),INDEX(FlowCalConstA,MATCH(V481,FlowCalNumber,0),1,1)*X487^INDEX(FlowCalConstB,MATCH(V481,FlowCalNumber,0),1,1)," ")</f>
        <v>#N/A</v>
      </c>
      <c r="Z487" s="33"/>
      <c r="AA487" s="242">
        <f t="shared" si="464"/>
        <v>0.9</v>
      </c>
      <c r="AB487" s="241" t="e">
        <f t="shared" ca="1" si="465"/>
        <v>#VALUE!</v>
      </c>
      <c r="AC487" s="243" t="e">
        <f ca="1">IF(AND(INDEX(FlowCalConstA,MATCH(Z481,FlowCalNumber,0),1,1)*AB487^INDEX(FlowCalConstB,MATCH(Z481,FlowCalNumber,0),1,1)&gt;INDEX(FlowCalLowSetting,MATCH(Z481,FlowCalNumber,0),1,1), (INDEX(FlowCalConstA,MATCH(Z481,FlowCalNumber,0),1,1)*AB487^INDEX(FlowCalConstB,MATCH(Z481,FlowCalNumber,0),1,1)&lt;INDEX(FlowCalHighSetting,MATCH(Z481,FlowCalNumber,0),1,1))),INDEX(FlowCalConstA,MATCH(Z481,FlowCalNumber,0),1,1)*AB487^INDEX(FlowCalConstB,MATCH(Z481,FlowCalNumber,0),1,1)," ")</f>
        <v>#N/A</v>
      </c>
      <c r="AD487" s="33"/>
      <c r="AE487" s="242">
        <f t="shared" si="466"/>
        <v>0.1</v>
      </c>
      <c r="AF487" s="241" t="e">
        <f t="shared" ca="1" si="467"/>
        <v>#VALUE!</v>
      </c>
      <c r="AG487" s="243" t="e">
        <f ca="1">IF(AND(INDEX(FlowCalConstA,MATCH(AD481,FlowCalNumber,0),1,1)*AF487^INDEX(FlowCalConstB,MATCH(AD481,FlowCalNumber,0),1,1)&gt;INDEX(FlowCalLowSetting,MATCH(AD481,FlowCalNumber,0),1,1), (INDEX(FlowCalConstA,MATCH(AD481,FlowCalNumber,0),1,1)*AF487^INDEX(FlowCalConstB,MATCH(AD481,FlowCalNumber,0),1,1)&lt;INDEX(FlowCalHighSetting,MATCH(AD481,FlowCalNumber,0),1,1))),INDEX(FlowCalConstA,MATCH(AD481,FlowCalNumber,0),1,1)*AF487^INDEX(FlowCalConstB,MATCH(AD481,FlowCalNumber,0),1,1)," ")</f>
        <v>#N/A</v>
      </c>
      <c r="AH487" s="33"/>
      <c r="AI487" s="242">
        <f t="shared" si="468"/>
        <v>0.9</v>
      </c>
      <c r="AJ487" s="241" t="e">
        <f t="shared" ca="1" si="469"/>
        <v>#VALUE!</v>
      </c>
      <c r="AK487" s="243" t="e">
        <f ca="1">IF(AND(INDEX(FlowCalConstA,MATCH(AH481,FlowCalNumber,0),1,1)*AJ487^INDEX(FlowCalConstB,MATCH(AH481,FlowCalNumber,0),1,1)&gt;INDEX(FlowCalLowSetting,MATCH(AH481,FlowCalNumber,0),1,1), (INDEX(FlowCalConstA,MATCH(AH481,FlowCalNumber,0),1,1)*AJ487^INDEX(FlowCalConstB,MATCH(AH481,FlowCalNumber,0),1,1)&lt;INDEX(FlowCalHighSetting,MATCH(AH481,FlowCalNumber,0),1,1))),INDEX(FlowCalConstA,MATCH(AH481,FlowCalNumber,0),1,1)*AJ487^INDEX(FlowCalConstB,MATCH(AH481,FlowCalNumber,0),1,1)," ")</f>
        <v>#N/A</v>
      </c>
      <c r="AL487" s="33"/>
      <c r="AM487" s="242"/>
      <c r="AN487" s="241"/>
      <c r="AO487" s="244"/>
      <c r="AQ487" s="242"/>
      <c r="AR487" s="241"/>
      <c r="AS487" s="244"/>
      <c r="AT487" s="33"/>
      <c r="AU487" s="242"/>
      <c r="AV487" s="241"/>
      <c r="AW487" s="244"/>
      <c r="AX487" s="33"/>
      <c r="AY487" s="242"/>
      <c r="AZ487" s="241"/>
      <c r="BA487" s="244"/>
      <c r="BB487" s="33"/>
      <c r="BC487" s="242"/>
      <c r="BD487" s="241"/>
      <c r="BE487" s="244"/>
      <c r="BF487" s="33"/>
      <c r="BG487" s="242"/>
      <c r="BH487" s="241"/>
      <c r="BI487" s="244"/>
      <c r="BJ487" s="33"/>
      <c r="BK487" s="242"/>
      <c r="BL487" s="241"/>
      <c r="BM487" s="244"/>
      <c r="BN487" s="33"/>
      <c r="BO487" s="242"/>
      <c r="BP487" s="241"/>
      <c r="BQ487" s="244"/>
      <c r="BR487" s="33"/>
      <c r="BS487" s="242"/>
      <c r="BT487" s="241"/>
      <c r="BU487" s="244"/>
      <c r="BV487" s="33"/>
      <c r="BW487" s="242"/>
      <c r="BX487" s="241"/>
      <c r="BY487" s="244"/>
      <c r="BZ487" s="33"/>
      <c r="CA487" s="242"/>
      <c r="CB487" s="241"/>
      <c r="CC487" s="244"/>
      <c r="CD487" s="243"/>
      <c r="CE487" s="243"/>
      <c r="CF487" s="243"/>
      <c r="CG487" s="243"/>
      <c r="CH487" s="243"/>
      <c r="CI487" s="243"/>
      <c r="CJ487" s="243"/>
      <c r="CK487" s="243"/>
      <c r="CL487" s="243"/>
      <c r="CM487" s="243"/>
      <c r="CN487" s="243"/>
      <c r="CO487" s="243"/>
      <c r="CP487" s="243"/>
      <c r="CQ487" s="243"/>
      <c r="CR487" s="243"/>
      <c r="CS487" s="243"/>
      <c r="CT487" s="243"/>
      <c r="CU487" s="243"/>
      <c r="CV487" s="243"/>
      <c r="CW487" s="243"/>
      <c r="CX487" s="243"/>
      <c r="CY487" s="243"/>
      <c r="CZ487" s="243"/>
      <c r="DA487" s="243"/>
      <c r="DB487" s="243"/>
      <c r="DC487" s="243"/>
      <c r="DD487" s="243"/>
      <c r="DE487" s="243"/>
      <c r="DF487" s="243"/>
      <c r="DG487" s="243"/>
      <c r="DH487" s="243"/>
      <c r="DI487" s="243"/>
      <c r="DJ487" s="243"/>
      <c r="DK487" s="243"/>
      <c r="DM487" s="242"/>
      <c r="DO487" s="243"/>
      <c r="DQ487" s="242"/>
      <c r="DS487" s="243"/>
      <c r="DU487" s="242"/>
      <c r="DW487" s="243"/>
      <c r="DY487" s="242"/>
      <c r="EA487" s="243"/>
    </row>
    <row r="488" spans="1:131">
      <c r="A488" s="20"/>
      <c r="B488" s="124" t="str">
        <f t="shared" si="454"/>
        <v/>
      </c>
      <c r="C488" s="235"/>
      <c r="D488" s="24">
        <f>'1% Wind'!$M$88</f>
        <v>10.1</v>
      </c>
      <c r="E488" s="90"/>
      <c r="F488" s="90"/>
      <c r="G488" s="79">
        <f ca="1">IF(I481=0.9743,$G487,MAX(G487/D487*D488,2))</f>
        <v>6.001707317073171</v>
      </c>
      <c r="H488" s="121" t="e">
        <f t="shared" ca="1" si="455"/>
        <v>#VALUE!</v>
      </c>
      <c r="J488" s="33"/>
      <c r="K488" s="242">
        <f t="shared" si="456"/>
        <v>1</v>
      </c>
      <c r="L488" s="241" t="e">
        <f t="shared" ca="1" si="457"/>
        <v>#VALUE!</v>
      </c>
      <c r="M488" s="243" t="e">
        <f ca="1">IF(AND(INDEX(FlowCalConstA,MATCH(J481,FlowCalNumber,0),1,1)*L488^INDEX(FlowCalConstB,MATCH(J481,FlowCalNumber,0),1,1)&gt;INDEX(FlowCalLowSetting,MATCH(J481,FlowCalNumber,0),1,1), (INDEX(FlowCalConstA,MATCH(J481,FlowCalNumber,0),1,1)*L488^INDEX(FlowCalConstB,MATCH(J481,FlowCalNumber,0),1,1)&lt;INDEX(FlowCalHighSetting,MATCH(J481,FlowCalNumber,0),1,1))),INDEX(FlowCalConstA,MATCH(J481,FlowCalNumber,0),1,1)*L488^INDEX(FlowCalConstB,MATCH(J481,FlowCalNumber,0),1,1)," ")</f>
        <v>#N/A</v>
      </c>
      <c r="N488" s="33"/>
      <c r="O488" s="242">
        <f t="shared" si="458"/>
        <v>1</v>
      </c>
      <c r="P488" s="241" t="e">
        <f t="shared" ca="1" si="459"/>
        <v>#VALUE!</v>
      </c>
      <c r="Q488" s="243" t="e">
        <f ca="1">IF(AND(INDEX(FlowCalConstA,MATCH(N481,FlowCalNumber,0),1,1)*P488^INDEX(FlowCalConstB,MATCH(N481,FlowCalNumber,0),1,1)&gt;INDEX(FlowCalLowSetting,MATCH(N481,FlowCalNumber,0),1,1), (INDEX(FlowCalConstA,MATCH(N481,FlowCalNumber,0),1,1)*P488^INDEX(FlowCalConstB,MATCH(N481,FlowCalNumber,0),1,1)&lt;INDEX(FlowCalHighSetting,MATCH(N481,FlowCalNumber,0),1,1))),INDEX(FlowCalConstA,MATCH(N481,FlowCalNumber,0),1,1)*P488^INDEX(FlowCalConstB,MATCH(N481,FlowCalNumber,0),1,1)," ")</f>
        <v>#N/A</v>
      </c>
      <c r="R488" s="33"/>
      <c r="S488" s="242">
        <f t="shared" si="460"/>
        <v>1</v>
      </c>
      <c r="T488" s="241" t="e">
        <f t="shared" ca="1" si="461"/>
        <v>#VALUE!</v>
      </c>
      <c r="U488" s="244" t="e">
        <f ca="1">IF(AND(INDEX(FlowCalConstA,MATCH(R481,FlowCalNumber,0),1,1)*T488^INDEX(FlowCalConstB,MATCH(R481,FlowCalNumber,0),1,1)&gt;INDEX(FlowCalLowSetting,MATCH(R481,FlowCalNumber,0),1,1), (INDEX(FlowCalConstA,MATCH(R481,FlowCalNumber,0),1,1)*T488^INDEX(FlowCalConstB,MATCH(R481,FlowCalNumber,0),1,1)&lt;INDEX(FlowCalHighSetting,MATCH(R481,FlowCalNumber,0),1,1))),INDEX(FlowCalConstA,MATCH(R481,FlowCalNumber,0),1,1)*T488^INDEX(FlowCalConstB,MATCH(R481,FlowCalNumber,0),1,1)," ")</f>
        <v>#N/A</v>
      </c>
      <c r="V488" s="33"/>
      <c r="W488" s="242">
        <f t="shared" si="462"/>
        <v>0.1</v>
      </c>
      <c r="X488" s="241" t="e">
        <f t="shared" ca="1" si="463"/>
        <v>#VALUE!</v>
      </c>
      <c r="Y488" s="243" t="e">
        <f ca="1">IF(AND(INDEX(FlowCalConstA,MATCH(V481,FlowCalNumber,0),1,1)*X488^INDEX(FlowCalConstB,MATCH(V481,FlowCalNumber,0),1,1)&gt;INDEX(FlowCalLowSetting,MATCH(V481,FlowCalNumber,0),1,1), (INDEX(FlowCalConstA,MATCH(V481,FlowCalNumber,0),1,1)*X488^INDEX(FlowCalConstB,MATCH(V481,FlowCalNumber,0),1,1)&lt;INDEX(FlowCalHighSetting,MATCH(V481,FlowCalNumber,0),1,1))),INDEX(FlowCalConstA,MATCH(V481,FlowCalNumber,0),1,1)*X488^INDEX(FlowCalConstB,MATCH(V481,FlowCalNumber,0),1,1)," ")</f>
        <v>#N/A</v>
      </c>
      <c r="Z488" s="33"/>
      <c r="AA488" s="242">
        <f t="shared" si="464"/>
        <v>0.9</v>
      </c>
      <c r="AB488" s="241" t="e">
        <f t="shared" ca="1" si="465"/>
        <v>#VALUE!</v>
      </c>
      <c r="AC488" s="243" t="e">
        <f ca="1">IF(AND(INDEX(FlowCalConstA,MATCH(Z481,FlowCalNumber,0),1,1)*AB488^INDEX(FlowCalConstB,MATCH(Z481,FlowCalNumber,0),1,1)&gt;INDEX(FlowCalLowSetting,MATCH(Z481,FlowCalNumber,0),1,1), (INDEX(FlowCalConstA,MATCH(Z481,FlowCalNumber,0),1,1)*AB488^INDEX(FlowCalConstB,MATCH(Z481,FlowCalNumber,0),1,1)&lt;INDEX(FlowCalHighSetting,MATCH(Z481,FlowCalNumber,0),1,1))),INDEX(FlowCalConstA,MATCH(Z481,FlowCalNumber,0),1,1)*AB488^INDEX(FlowCalConstB,MATCH(Z481,FlowCalNumber,0),1,1)," ")</f>
        <v>#N/A</v>
      </c>
      <c r="AD488" s="33"/>
      <c r="AE488" s="242">
        <f t="shared" si="466"/>
        <v>0.1</v>
      </c>
      <c r="AF488" s="241" t="e">
        <f t="shared" ca="1" si="467"/>
        <v>#VALUE!</v>
      </c>
      <c r="AG488" s="243" t="e">
        <f ca="1">IF(AND(INDEX(FlowCalConstA,MATCH(AD481,FlowCalNumber,0),1,1)*AF488^INDEX(FlowCalConstB,MATCH(AD481,FlowCalNumber,0),1,1)&gt;INDEX(FlowCalLowSetting,MATCH(AD481,FlowCalNumber,0),1,1), (INDEX(FlowCalConstA,MATCH(AD481,FlowCalNumber,0),1,1)*AF488^INDEX(FlowCalConstB,MATCH(AD481,FlowCalNumber,0),1,1)&lt;INDEX(FlowCalHighSetting,MATCH(AD481,FlowCalNumber,0),1,1))),INDEX(FlowCalConstA,MATCH(AD481,FlowCalNumber,0),1,1)*AF488^INDEX(FlowCalConstB,MATCH(AD481,FlowCalNumber,0),1,1)," ")</f>
        <v>#N/A</v>
      </c>
      <c r="AH488" s="33"/>
      <c r="AI488" s="242">
        <f t="shared" si="468"/>
        <v>0.9</v>
      </c>
      <c r="AJ488" s="241" t="e">
        <f t="shared" ca="1" si="469"/>
        <v>#VALUE!</v>
      </c>
      <c r="AK488" s="243" t="e">
        <f ca="1">IF(AND(INDEX(FlowCalConstA,MATCH(AH481,FlowCalNumber,0),1,1)*AJ488^INDEX(FlowCalConstB,MATCH(AH481,FlowCalNumber,0),1,1)&gt;INDEX(FlowCalLowSetting,MATCH(AH481,FlowCalNumber,0),1,1), (INDEX(FlowCalConstA,MATCH(AH481,FlowCalNumber,0),1,1)*AJ488^INDEX(FlowCalConstB,MATCH(AH481,FlowCalNumber,0),1,1)&lt;INDEX(FlowCalHighSetting,MATCH(AH481,FlowCalNumber,0),1,1))),INDEX(FlowCalConstA,MATCH(AH481,FlowCalNumber,0),1,1)*AJ488^INDEX(FlowCalConstB,MATCH(AH481,FlowCalNumber,0),1,1)," ")</f>
        <v>#N/A</v>
      </c>
      <c r="AL488" s="33"/>
      <c r="AM488" s="242"/>
      <c r="AN488" s="241"/>
      <c r="AO488" s="244"/>
      <c r="AQ488" s="242"/>
      <c r="AR488" s="241"/>
      <c r="AS488" s="244"/>
      <c r="AT488" s="33"/>
      <c r="AU488" s="242"/>
      <c r="AV488" s="241"/>
      <c r="AW488" s="244"/>
      <c r="AX488" s="33"/>
      <c r="AY488" s="242"/>
      <c r="AZ488" s="241"/>
      <c r="BA488" s="244"/>
      <c r="BB488" s="33"/>
      <c r="BC488" s="242"/>
      <c r="BD488" s="241"/>
      <c r="BE488" s="244"/>
      <c r="BF488" s="33"/>
      <c r="BG488" s="242"/>
      <c r="BH488" s="241"/>
      <c r="BI488" s="244"/>
      <c r="BJ488" s="33"/>
      <c r="BK488" s="242"/>
      <c r="BL488" s="241"/>
      <c r="BM488" s="244"/>
      <c r="BN488" s="33"/>
      <c r="BO488" s="242"/>
      <c r="BP488" s="241"/>
      <c r="BQ488" s="244"/>
      <c r="BR488" s="33"/>
      <c r="BS488" s="242"/>
      <c r="BT488" s="241"/>
      <c r="BU488" s="244"/>
      <c r="BV488" s="33"/>
      <c r="BW488" s="242"/>
      <c r="BX488" s="241"/>
      <c r="BY488" s="244"/>
      <c r="BZ488" s="33"/>
      <c r="CA488" s="242"/>
      <c r="CB488" s="241"/>
      <c r="CC488" s="244"/>
      <c r="CD488" s="243"/>
      <c r="CE488" s="243"/>
      <c r="CF488" s="243"/>
      <c r="CG488" s="243"/>
      <c r="CH488" s="243"/>
      <c r="CI488" s="243"/>
      <c r="CJ488" s="243"/>
      <c r="CK488" s="243"/>
      <c r="CL488" s="243"/>
      <c r="CM488" s="243"/>
      <c r="CN488" s="243"/>
      <c r="CO488" s="243"/>
      <c r="CP488" s="243"/>
      <c r="CQ488" s="243"/>
      <c r="CR488" s="243"/>
      <c r="CS488" s="243"/>
      <c r="CT488" s="243"/>
      <c r="CU488" s="243"/>
      <c r="CV488" s="243"/>
      <c r="CW488" s="243"/>
      <c r="CX488" s="243"/>
      <c r="CY488" s="243"/>
      <c r="CZ488" s="243"/>
      <c r="DA488" s="243"/>
      <c r="DB488" s="243"/>
      <c r="DC488" s="243"/>
      <c r="DD488" s="243"/>
      <c r="DE488" s="243"/>
      <c r="DF488" s="243"/>
      <c r="DG488" s="243"/>
      <c r="DH488" s="243"/>
      <c r="DI488" s="243"/>
      <c r="DJ488" s="243"/>
      <c r="DK488" s="243"/>
      <c r="DM488" s="242"/>
      <c r="DO488" s="243"/>
      <c r="DQ488" s="242"/>
      <c r="DS488" s="243"/>
      <c r="DU488" s="242"/>
      <c r="DW488" s="243"/>
      <c r="DY488" s="242"/>
      <c r="EA488" s="243"/>
    </row>
    <row r="489" spans="1:131">
      <c r="A489" s="20"/>
      <c r="B489" s="124" t="str">
        <f t="shared" si="454"/>
        <v/>
      </c>
      <c r="C489" s="235"/>
      <c r="D489" s="24">
        <f>'1% Wind'!$M$89</f>
        <v>7.6</v>
      </c>
      <c r="E489" s="90"/>
      <c r="F489" s="90"/>
      <c r="G489" s="79">
        <f ca="1">IF(I481=0.9743,$G488,MAX(G488/D488*D489,2))</f>
        <v>6.001707317073171</v>
      </c>
      <c r="H489" s="121" t="e">
        <f t="shared" ca="1" si="455"/>
        <v>#VALUE!</v>
      </c>
      <c r="J489" s="33"/>
      <c r="K489" s="242">
        <f t="shared" si="456"/>
        <v>1</v>
      </c>
      <c r="L489" s="241" t="e">
        <f t="shared" ca="1" si="457"/>
        <v>#VALUE!</v>
      </c>
      <c r="M489" s="243" t="e">
        <f ca="1">IF(AND(INDEX(FlowCalConstA,MATCH(J481,FlowCalNumber,0),1,1)*L489^INDEX(FlowCalConstB,MATCH(J481,FlowCalNumber,0),1,1)&gt;INDEX(FlowCalLowSetting,MATCH(J481,FlowCalNumber,0),1,1), (INDEX(FlowCalConstA,MATCH(J481,FlowCalNumber,0),1,1)*L489^INDEX(FlowCalConstB,MATCH(J481,FlowCalNumber,0),1,1)&lt;INDEX(FlowCalHighSetting,MATCH(J481,FlowCalNumber,0),1,1))),INDEX(FlowCalConstA,MATCH(J481,FlowCalNumber,0),1,1)*L489^INDEX(FlowCalConstB,MATCH(J481,FlowCalNumber,0),1,1)," ")</f>
        <v>#N/A</v>
      </c>
      <c r="N489" s="33"/>
      <c r="O489" s="242">
        <f t="shared" si="458"/>
        <v>1</v>
      </c>
      <c r="P489" s="241" t="e">
        <f t="shared" ca="1" si="459"/>
        <v>#VALUE!</v>
      </c>
      <c r="Q489" s="243" t="e">
        <f ca="1">IF(AND(INDEX(FlowCalConstA,MATCH(N481,FlowCalNumber,0),1,1)*P489^INDEX(FlowCalConstB,MATCH(N481,FlowCalNumber,0),1,1)&gt;INDEX(FlowCalLowSetting,MATCH(N481,FlowCalNumber,0),1,1), (INDEX(FlowCalConstA,MATCH(N481,FlowCalNumber,0),1,1)*P489^INDEX(FlowCalConstB,MATCH(N481,FlowCalNumber,0),1,1)&lt;INDEX(FlowCalHighSetting,MATCH(N481,FlowCalNumber,0),1,1))),INDEX(FlowCalConstA,MATCH(N481,FlowCalNumber,0),1,1)*P489^INDEX(FlowCalConstB,MATCH(N481,FlowCalNumber,0),1,1)," ")</f>
        <v>#N/A</v>
      </c>
      <c r="R489" s="33"/>
      <c r="S489" s="242">
        <f t="shared" si="460"/>
        <v>1</v>
      </c>
      <c r="T489" s="241" t="e">
        <f t="shared" ca="1" si="461"/>
        <v>#VALUE!</v>
      </c>
      <c r="U489" s="244" t="e">
        <f ca="1">IF(AND(INDEX(FlowCalConstA,MATCH(R481,FlowCalNumber,0),1,1)*T489^INDEX(FlowCalConstB,MATCH(R481,FlowCalNumber,0),1,1)&gt;INDEX(FlowCalLowSetting,MATCH(R481,FlowCalNumber,0),1,1), (INDEX(FlowCalConstA,MATCH(R481,FlowCalNumber,0),1,1)*T489^INDEX(FlowCalConstB,MATCH(R481,FlowCalNumber,0),1,1)&lt;INDEX(FlowCalHighSetting,MATCH(R481,FlowCalNumber,0),1,1))),INDEX(FlowCalConstA,MATCH(R481,FlowCalNumber,0),1,1)*T489^INDEX(FlowCalConstB,MATCH(R481,FlowCalNumber,0),1,1)," ")</f>
        <v>#N/A</v>
      </c>
      <c r="V489" s="33"/>
      <c r="W489" s="242">
        <f t="shared" si="462"/>
        <v>0.1</v>
      </c>
      <c r="X489" s="241" t="e">
        <f t="shared" ca="1" si="463"/>
        <v>#VALUE!</v>
      </c>
      <c r="Y489" s="243" t="e">
        <f ca="1">IF(AND(INDEX(FlowCalConstA,MATCH(V481,FlowCalNumber,0),1,1)*X489^INDEX(FlowCalConstB,MATCH(V481,FlowCalNumber,0),1,1)&gt;INDEX(FlowCalLowSetting,MATCH(V481,FlowCalNumber,0),1,1), (INDEX(FlowCalConstA,MATCH(V481,FlowCalNumber,0),1,1)*X489^INDEX(FlowCalConstB,MATCH(V481,FlowCalNumber,0),1,1)&lt;INDEX(FlowCalHighSetting,MATCH(V481,FlowCalNumber,0),1,1))),INDEX(FlowCalConstA,MATCH(V481,FlowCalNumber,0),1,1)*X489^INDEX(FlowCalConstB,MATCH(V481,FlowCalNumber,0),1,1)," ")</f>
        <v>#N/A</v>
      </c>
      <c r="Z489" s="33"/>
      <c r="AA489" s="242">
        <f t="shared" si="464"/>
        <v>0.9</v>
      </c>
      <c r="AB489" s="241" t="e">
        <f t="shared" ca="1" si="465"/>
        <v>#VALUE!</v>
      </c>
      <c r="AC489" s="243" t="e">
        <f ca="1">IF(AND(INDEX(FlowCalConstA,MATCH(Z481,FlowCalNumber,0),1,1)*AB489^INDEX(FlowCalConstB,MATCH(Z481,FlowCalNumber,0),1,1)&gt;INDEX(FlowCalLowSetting,MATCH(Z481,FlowCalNumber,0),1,1), (INDEX(FlowCalConstA,MATCH(Z481,FlowCalNumber,0),1,1)*AB489^INDEX(FlowCalConstB,MATCH(Z481,FlowCalNumber,0),1,1)&lt;INDEX(FlowCalHighSetting,MATCH(Z481,FlowCalNumber,0),1,1))),INDEX(FlowCalConstA,MATCH(Z481,FlowCalNumber,0),1,1)*AB489^INDEX(FlowCalConstB,MATCH(Z481,FlowCalNumber,0),1,1)," ")</f>
        <v>#N/A</v>
      </c>
      <c r="AD489" s="33"/>
      <c r="AE489" s="242">
        <f t="shared" si="466"/>
        <v>0.1</v>
      </c>
      <c r="AF489" s="241" t="e">
        <f t="shared" ca="1" si="467"/>
        <v>#VALUE!</v>
      </c>
      <c r="AG489" s="243" t="e">
        <f ca="1">IF(AND(INDEX(FlowCalConstA,MATCH(AD481,FlowCalNumber,0),1,1)*AF489^INDEX(FlowCalConstB,MATCH(AD481,FlowCalNumber,0),1,1)&gt;INDEX(FlowCalLowSetting,MATCH(AD481,FlowCalNumber,0),1,1), (INDEX(FlowCalConstA,MATCH(AD481,FlowCalNumber,0),1,1)*AF489^INDEX(FlowCalConstB,MATCH(AD481,FlowCalNumber,0),1,1)&lt;INDEX(FlowCalHighSetting,MATCH(AD481,FlowCalNumber,0),1,1))),INDEX(FlowCalConstA,MATCH(AD481,FlowCalNumber,0),1,1)*AF489^INDEX(FlowCalConstB,MATCH(AD481,FlowCalNumber,0),1,1)," ")</f>
        <v>#N/A</v>
      </c>
      <c r="AH489" s="33"/>
      <c r="AI489" s="242">
        <f t="shared" si="468"/>
        <v>0.9</v>
      </c>
      <c r="AJ489" s="241" t="e">
        <f t="shared" ca="1" si="469"/>
        <v>#VALUE!</v>
      </c>
      <c r="AK489" s="243" t="e">
        <f ca="1">IF(AND(INDEX(FlowCalConstA,MATCH(AH481,FlowCalNumber,0),1,1)*AJ489^INDEX(FlowCalConstB,MATCH(AH481,FlowCalNumber,0),1,1)&gt;INDEX(FlowCalLowSetting,MATCH(AH481,FlowCalNumber,0),1,1), (INDEX(FlowCalConstA,MATCH(AH481,FlowCalNumber,0),1,1)*AJ489^INDEX(FlowCalConstB,MATCH(AH481,FlowCalNumber,0),1,1)&lt;INDEX(FlowCalHighSetting,MATCH(AH481,FlowCalNumber,0),1,1))),INDEX(FlowCalConstA,MATCH(AH481,FlowCalNumber,0),1,1)*AJ489^INDEX(FlowCalConstB,MATCH(AH481,FlowCalNumber,0),1,1)," ")</f>
        <v>#N/A</v>
      </c>
      <c r="AL489" s="33"/>
      <c r="AM489" s="242"/>
      <c r="AN489" s="241"/>
      <c r="AO489" s="244"/>
      <c r="AQ489" s="242"/>
      <c r="AR489" s="241"/>
      <c r="AS489" s="244"/>
      <c r="AT489" s="33"/>
      <c r="AU489" s="242"/>
      <c r="AV489" s="241"/>
      <c r="AW489" s="244"/>
      <c r="AX489" s="33"/>
      <c r="AY489" s="242"/>
      <c r="AZ489" s="241"/>
      <c r="BA489" s="244"/>
      <c r="BB489" s="33"/>
      <c r="BC489" s="242"/>
      <c r="BD489" s="241"/>
      <c r="BE489" s="244"/>
      <c r="BF489" s="33"/>
      <c r="BG489" s="242"/>
      <c r="BH489" s="241"/>
      <c r="BI489" s="244"/>
      <c r="BJ489" s="33"/>
      <c r="BK489" s="242"/>
      <c r="BL489" s="241"/>
      <c r="BM489" s="244"/>
      <c r="BN489" s="33"/>
      <c r="BO489" s="242"/>
      <c r="BP489" s="241"/>
      <c r="BQ489" s="244"/>
      <c r="BR489" s="33"/>
      <c r="BS489" s="242"/>
      <c r="BT489" s="241"/>
      <c r="BU489" s="244"/>
      <c r="BV489" s="33"/>
      <c r="BW489" s="242"/>
      <c r="BX489" s="241"/>
      <c r="BY489" s="244"/>
      <c r="BZ489" s="33"/>
      <c r="CA489" s="242"/>
      <c r="CB489" s="241"/>
      <c r="CC489" s="244"/>
      <c r="CD489" s="243"/>
      <c r="CE489" s="243"/>
      <c r="CF489" s="243"/>
      <c r="CG489" s="243"/>
      <c r="CH489" s="243"/>
      <c r="CI489" s="243"/>
      <c r="CJ489" s="243"/>
      <c r="CK489" s="243"/>
      <c r="CL489" s="243"/>
      <c r="CM489" s="243"/>
      <c r="CN489" s="243"/>
      <c r="CO489" s="243"/>
      <c r="CP489" s="243"/>
      <c r="CQ489" s="243"/>
      <c r="CR489" s="243"/>
      <c r="CS489" s="243"/>
      <c r="CT489" s="243"/>
      <c r="CU489" s="243"/>
      <c r="CV489" s="243"/>
      <c r="CW489" s="243"/>
      <c r="CX489" s="243"/>
      <c r="CY489" s="243"/>
      <c r="CZ489" s="243"/>
      <c r="DA489" s="243"/>
      <c r="DB489" s="243"/>
      <c r="DC489" s="243"/>
      <c r="DD489" s="243"/>
      <c r="DE489" s="243"/>
      <c r="DF489" s="243"/>
      <c r="DG489" s="243"/>
      <c r="DH489" s="243"/>
      <c r="DI489" s="243"/>
      <c r="DJ489" s="243"/>
      <c r="DK489" s="243"/>
      <c r="DM489" s="242"/>
      <c r="DO489" s="243"/>
      <c r="DQ489" s="242"/>
      <c r="DS489" s="243"/>
      <c r="DU489" s="242"/>
      <c r="DW489" s="243"/>
      <c r="DY489" s="242"/>
      <c r="EA489" s="243"/>
    </row>
    <row r="490" spans="1:131">
      <c r="A490" s="20"/>
      <c r="B490" s="124" t="str">
        <f t="shared" si="454"/>
        <v/>
      </c>
      <c r="C490" s="235"/>
      <c r="D490" s="24">
        <f>'1% Wind'!$M$90</f>
        <v>5.7</v>
      </c>
      <c r="E490" s="90"/>
      <c r="F490" s="90"/>
      <c r="G490" s="79">
        <f ca="1">IF(I481=0.9743,$G489,MAX(G489/D489*D490,2))</f>
        <v>6.001707317073171</v>
      </c>
      <c r="H490" s="121" t="e">
        <f t="shared" ca="1" si="455"/>
        <v>#VALUE!</v>
      </c>
      <c r="J490" s="33"/>
      <c r="K490" s="242">
        <f t="shared" si="456"/>
        <v>1</v>
      </c>
      <c r="L490" s="241" t="e">
        <f t="shared" ca="1" si="457"/>
        <v>#VALUE!</v>
      </c>
      <c r="M490" s="243" t="e">
        <f ca="1">IF(AND(INDEX(FlowCalConstA,MATCH(J481,FlowCalNumber,0),1,1)*L490^INDEX(FlowCalConstB,MATCH(J481,FlowCalNumber,0),1,1)&gt;INDEX(FlowCalLowSetting,MATCH(J481,FlowCalNumber,0),1,1), (INDEX(FlowCalConstA,MATCH(J481,FlowCalNumber,0),1,1)*L490^INDEX(FlowCalConstB,MATCH(J481,FlowCalNumber,0),1,1)&lt;INDEX(FlowCalHighSetting,MATCH(J481,FlowCalNumber,0),1,1))),INDEX(FlowCalConstA,MATCH(J481,FlowCalNumber,0),1,1)*L490^INDEX(FlowCalConstB,MATCH(J481,FlowCalNumber,0),1,1)," ")</f>
        <v>#N/A</v>
      </c>
      <c r="N490" s="33"/>
      <c r="O490" s="242">
        <f t="shared" si="458"/>
        <v>1</v>
      </c>
      <c r="P490" s="241" t="e">
        <f t="shared" ca="1" si="459"/>
        <v>#VALUE!</v>
      </c>
      <c r="Q490" s="243" t="e">
        <f ca="1">IF(AND(INDEX(FlowCalConstA,MATCH(N481,FlowCalNumber,0),1,1)*P490^INDEX(FlowCalConstB,MATCH(N481,FlowCalNumber,0),1,1)&gt;INDEX(FlowCalLowSetting,MATCH(N481,FlowCalNumber,0),1,1), (INDEX(FlowCalConstA,MATCH(N481,FlowCalNumber,0),1,1)*P490^INDEX(FlowCalConstB,MATCH(N481,FlowCalNumber,0),1,1)&lt;INDEX(FlowCalHighSetting,MATCH(N481,FlowCalNumber,0),1,1))),INDEX(FlowCalConstA,MATCH(N481,FlowCalNumber,0),1,1)*P490^INDEX(FlowCalConstB,MATCH(N481,FlowCalNumber,0),1,1)," ")</f>
        <v>#N/A</v>
      </c>
      <c r="R490" s="33"/>
      <c r="S490" s="242">
        <f t="shared" si="460"/>
        <v>1</v>
      </c>
      <c r="T490" s="241" t="e">
        <f t="shared" ca="1" si="461"/>
        <v>#VALUE!</v>
      </c>
      <c r="U490" s="244" t="e">
        <f ca="1">IF(AND(INDEX(FlowCalConstA,MATCH(R481,FlowCalNumber,0),1,1)*T490^INDEX(FlowCalConstB,MATCH(R481,FlowCalNumber,0),1,1)&gt;INDEX(FlowCalLowSetting,MATCH(R481,FlowCalNumber,0),1,1), (INDEX(FlowCalConstA,MATCH(R481,FlowCalNumber,0),1,1)*T490^INDEX(FlowCalConstB,MATCH(R481,FlowCalNumber,0),1,1)&lt;INDEX(FlowCalHighSetting,MATCH(R481,FlowCalNumber,0),1,1))),INDEX(FlowCalConstA,MATCH(R481,FlowCalNumber,0),1,1)*T490^INDEX(FlowCalConstB,MATCH(R481,FlowCalNumber,0),1,1)," ")</f>
        <v>#N/A</v>
      </c>
      <c r="V490" s="33"/>
      <c r="W490" s="242">
        <f t="shared" si="462"/>
        <v>0.1</v>
      </c>
      <c r="X490" s="241" t="e">
        <f t="shared" ca="1" si="463"/>
        <v>#VALUE!</v>
      </c>
      <c r="Y490" s="243" t="e">
        <f ca="1">IF(AND(INDEX(FlowCalConstA,MATCH(V481,FlowCalNumber,0),1,1)*X490^INDEX(FlowCalConstB,MATCH(V481,FlowCalNumber,0),1,1)&gt;INDEX(FlowCalLowSetting,MATCH(V481,FlowCalNumber,0),1,1), (INDEX(FlowCalConstA,MATCH(V481,FlowCalNumber,0),1,1)*X490^INDEX(FlowCalConstB,MATCH(V481,FlowCalNumber,0),1,1)&lt;INDEX(FlowCalHighSetting,MATCH(V481,FlowCalNumber,0),1,1))),INDEX(FlowCalConstA,MATCH(V481,FlowCalNumber,0),1,1)*X490^INDEX(FlowCalConstB,MATCH(V481,FlowCalNumber,0),1,1)," ")</f>
        <v>#N/A</v>
      </c>
      <c r="Z490" s="33"/>
      <c r="AA490" s="242">
        <f t="shared" si="464"/>
        <v>0.9</v>
      </c>
      <c r="AB490" s="241" t="e">
        <f t="shared" ca="1" si="465"/>
        <v>#VALUE!</v>
      </c>
      <c r="AC490" s="243" t="e">
        <f ca="1">IF(AND(INDEX(FlowCalConstA,MATCH(Z481,FlowCalNumber,0),1,1)*AB490^INDEX(FlowCalConstB,MATCH(Z481,FlowCalNumber,0),1,1)&gt;INDEX(FlowCalLowSetting,MATCH(Z481,FlowCalNumber,0),1,1), (INDEX(FlowCalConstA,MATCH(Z481,FlowCalNumber,0),1,1)*AB490^INDEX(FlowCalConstB,MATCH(Z481,FlowCalNumber,0),1,1)&lt;INDEX(FlowCalHighSetting,MATCH(Z481,FlowCalNumber,0),1,1))),INDEX(FlowCalConstA,MATCH(Z481,FlowCalNumber,0),1,1)*AB490^INDEX(FlowCalConstB,MATCH(Z481,FlowCalNumber,0),1,1)," ")</f>
        <v>#N/A</v>
      </c>
      <c r="AD490" s="33"/>
      <c r="AE490" s="242">
        <f t="shared" si="466"/>
        <v>0.1</v>
      </c>
      <c r="AF490" s="241" t="e">
        <f t="shared" ca="1" si="467"/>
        <v>#VALUE!</v>
      </c>
      <c r="AG490" s="243" t="e">
        <f ca="1">IF(AND(INDEX(FlowCalConstA,MATCH(AD481,FlowCalNumber,0),1,1)*AF490^INDEX(FlowCalConstB,MATCH(AD481,FlowCalNumber,0),1,1)&gt;INDEX(FlowCalLowSetting,MATCH(AD481,FlowCalNumber,0),1,1), (INDEX(FlowCalConstA,MATCH(AD481,FlowCalNumber,0),1,1)*AF490^INDEX(FlowCalConstB,MATCH(AD481,FlowCalNumber,0),1,1)&lt;INDEX(FlowCalHighSetting,MATCH(AD481,FlowCalNumber,0),1,1))),INDEX(FlowCalConstA,MATCH(AD481,FlowCalNumber,0),1,1)*AF490^INDEX(FlowCalConstB,MATCH(AD481,FlowCalNumber,0),1,1)," ")</f>
        <v>#N/A</v>
      </c>
      <c r="AH490" s="33"/>
      <c r="AI490" s="242">
        <f t="shared" si="468"/>
        <v>0.9</v>
      </c>
      <c r="AJ490" s="241" t="e">
        <f t="shared" ca="1" si="469"/>
        <v>#VALUE!</v>
      </c>
      <c r="AK490" s="243" t="e">
        <f ca="1">IF(AND(INDEX(FlowCalConstA,MATCH(AH481,FlowCalNumber,0),1,1)*AJ490^INDEX(FlowCalConstB,MATCH(AH481,FlowCalNumber,0),1,1)&gt;INDEX(FlowCalLowSetting,MATCH(AH481,FlowCalNumber,0),1,1), (INDEX(FlowCalConstA,MATCH(AH481,FlowCalNumber,0),1,1)*AJ490^INDEX(FlowCalConstB,MATCH(AH481,FlowCalNumber,0),1,1)&lt;INDEX(FlowCalHighSetting,MATCH(AH481,FlowCalNumber,0),1,1))),INDEX(FlowCalConstA,MATCH(AH481,FlowCalNumber,0),1,1)*AJ490^INDEX(FlowCalConstB,MATCH(AH481,FlowCalNumber,0),1,1)," ")</f>
        <v>#N/A</v>
      </c>
      <c r="AL490" s="33"/>
      <c r="AM490" s="242"/>
      <c r="AN490" s="241"/>
      <c r="AO490" s="244"/>
      <c r="AQ490" s="242"/>
      <c r="AR490" s="241"/>
      <c r="AS490" s="244"/>
      <c r="AT490" s="33"/>
      <c r="AU490" s="242"/>
      <c r="AV490" s="241"/>
      <c r="AW490" s="244"/>
      <c r="AX490" s="33"/>
      <c r="AY490" s="242"/>
      <c r="AZ490" s="241"/>
      <c r="BA490" s="244"/>
      <c r="BB490" s="33"/>
      <c r="BC490" s="242"/>
      <c r="BD490" s="241"/>
      <c r="BE490" s="244"/>
      <c r="BF490" s="33"/>
      <c r="BG490" s="242"/>
      <c r="BH490" s="241"/>
      <c r="BI490" s="244"/>
      <c r="BJ490" s="33"/>
      <c r="BK490" s="242"/>
      <c r="BL490" s="241"/>
      <c r="BM490" s="244"/>
      <c r="BN490" s="33"/>
      <c r="BO490" s="242"/>
      <c r="BP490" s="241"/>
      <c r="BQ490" s="244"/>
      <c r="BR490" s="33"/>
      <c r="BS490" s="242"/>
      <c r="BT490" s="241"/>
      <c r="BU490" s="244"/>
      <c r="BV490" s="33"/>
      <c r="BW490" s="242"/>
      <c r="BX490" s="241"/>
      <c r="BY490" s="244"/>
      <c r="BZ490" s="33"/>
      <c r="CA490" s="242"/>
      <c r="CB490" s="241"/>
      <c r="CC490" s="244"/>
      <c r="CD490" s="243"/>
      <c r="CE490" s="243"/>
      <c r="CF490" s="243"/>
      <c r="CG490" s="243"/>
      <c r="CH490" s="243"/>
      <c r="CI490" s="243"/>
      <c r="CJ490" s="243"/>
      <c r="CK490" s="243"/>
      <c r="CL490" s="243"/>
      <c r="CM490" s="243"/>
      <c r="CN490" s="243"/>
      <c r="CO490" s="243"/>
      <c r="CP490" s="243"/>
      <c r="CQ490" s="243"/>
      <c r="CR490" s="243"/>
      <c r="CS490" s="243"/>
      <c r="CT490" s="243"/>
      <c r="CU490" s="243"/>
      <c r="CV490" s="243"/>
      <c r="CW490" s="243"/>
      <c r="CX490" s="243"/>
      <c r="CY490" s="243"/>
      <c r="CZ490" s="243"/>
      <c r="DA490" s="243"/>
      <c r="DB490" s="243"/>
      <c r="DC490" s="243"/>
      <c r="DD490" s="243"/>
      <c r="DE490" s="243"/>
      <c r="DF490" s="243"/>
      <c r="DG490" s="243"/>
      <c r="DH490" s="243"/>
      <c r="DI490" s="243"/>
      <c r="DJ490" s="243"/>
      <c r="DK490" s="243"/>
      <c r="DM490" s="242"/>
      <c r="DO490" s="243"/>
      <c r="DQ490" s="242"/>
      <c r="DS490" s="243"/>
      <c r="DU490" s="242"/>
      <c r="DW490" s="243"/>
      <c r="DY490" s="242"/>
      <c r="EA490" s="243"/>
    </row>
    <row r="491" spans="1:131">
      <c r="A491" s="20"/>
      <c r="B491" s="124" t="str">
        <f t="shared" si="454"/>
        <v/>
      </c>
      <c r="C491" s="235"/>
      <c r="D491" s="24">
        <f>'1% Wind'!$M$91</f>
        <v>4.2</v>
      </c>
      <c r="E491" s="90"/>
      <c r="F491" s="90"/>
      <c r="G491" s="79">
        <f ca="1">IF(I481=0.9743,$G490,MAX(G490/D490*D491,2))</f>
        <v>6.001707317073171</v>
      </c>
      <c r="H491" s="121" t="e">
        <f t="shared" ca="1" si="455"/>
        <v>#VALUE!</v>
      </c>
      <c r="J491" s="33"/>
      <c r="K491" s="242">
        <f t="shared" si="456"/>
        <v>1</v>
      </c>
      <c r="L491" s="241" t="e">
        <f t="shared" ca="1" si="457"/>
        <v>#VALUE!</v>
      </c>
      <c r="M491" s="243" t="e">
        <f ca="1">IF(AND(INDEX(FlowCalConstA,MATCH(J481,FlowCalNumber,0),1,1)*L491^INDEX(FlowCalConstB,MATCH(J481,FlowCalNumber,0),1,1)&gt;INDEX(FlowCalLowSetting,MATCH(J481,FlowCalNumber,0),1,1), (INDEX(FlowCalConstA,MATCH(J481,FlowCalNumber,0),1,1)*L491^INDEX(FlowCalConstB,MATCH(J481,FlowCalNumber,0),1,1)&lt;INDEX(FlowCalHighSetting,MATCH(J481,FlowCalNumber,0),1,1))),INDEX(FlowCalConstA,MATCH(J481,FlowCalNumber,0),1,1)*L491^INDEX(FlowCalConstB,MATCH(J481,FlowCalNumber,0),1,1)," ")</f>
        <v>#N/A</v>
      </c>
      <c r="N491" s="33"/>
      <c r="O491" s="242">
        <f t="shared" si="458"/>
        <v>1</v>
      </c>
      <c r="P491" s="241" t="e">
        <f t="shared" ca="1" si="459"/>
        <v>#VALUE!</v>
      </c>
      <c r="Q491" s="243" t="e">
        <f ca="1">IF(AND(INDEX(FlowCalConstA,MATCH(N481,FlowCalNumber,0),1,1)*P491^INDEX(FlowCalConstB,MATCH(N481,FlowCalNumber,0),1,1)&gt;INDEX(FlowCalLowSetting,MATCH(N481,FlowCalNumber,0),1,1), (INDEX(FlowCalConstA,MATCH(N481,FlowCalNumber,0),1,1)*P491^INDEX(FlowCalConstB,MATCH(N481,FlowCalNumber,0),1,1)&lt;INDEX(FlowCalHighSetting,MATCH(N481,FlowCalNumber,0),1,1))),INDEX(FlowCalConstA,MATCH(N481,FlowCalNumber,0),1,1)*P491^INDEX(FlowCalConstB,MATCH(N481,FlowCalNumber,0),1,1)," ")</f>
        <v>#N/A</v>
      </c>
      <c r="R491" s="33"/>
      <c r="S491" s="242">
        <f t="shared" si="460"/>
        <v>1</v>
      </c>
      <c r="T491" s="241" t="e">
        <f t="shared" ca="1" si="461"/>
        <v>#VALUE!</v>
      </c>
      <c r="U491" s="244" t="e">
        <f ca="1">IF(AND(INDEX(FlowCalConstA,MATCH(R481,FlowCalNumber,0),1,1)*T491^INDEX(FlowCalConstB,MATCH(R481,FlowCalNumber,0),1,1)&gt;INDEX(FlowCalLowSetting,MATCH(R481,FlowCalNumber,0),1,1), (INDEX(FlowCalConstA,MATCH(R481,FlowCalNumber,0),1,1)*T491^INDEX(FlowCalConstB,MATCH(R481,FlowCalNumber,0),1,1)&lt;INDEX(FlowCalHighSetting,MATCH(R481,FlowCalNumber,0),1,1))),INDEX(FlowCalConstA,MATCH(R481,FlowCalNumber,0),1,1)*T491^INDEX(FlowCalConstB,MATCH(R481,FlowCalNumber,0),1,1)," ")</f>
        <v>#N/A</v>
      </c>
      <c r="V491" s="33"/>
      <c r="W491" s="242">
        <f t="shared" si="462"/>
        <v>0.1</v>
      </c>
      <c r="X491" s="241" t="e">
        <f t="shared" ca="1" si="463"/>
        <v>#VALUE!</v>
      </c>
      <c r="Y491" s="243" t="e">
        <f ca="1">IF(AND(INDEX(FlowCalConstA,MATCH(V481,FlowCalNumber,0),1,1)*X491^INDEX(FlowCalConstB,MATCH(V481,FlowCalNumber,0),1,1)&gt;INDEX(FlowCalLowSetting,MATCH(V481,FlowCalNumber,0),1,1), (INDEX(FlowCalConstA,MATCH(V481,FlowCalNumber,0),1,1)*X491^INDEX(FlowCalConstB,MATCH(V481,FlowCalNumber,0),1,1)&lt;INDEX(FlowCalHighSetting,MATCH(V481,FlowCalNumber,0),1,1))),INDEX(FlowCalConstA,MATCH(V481,FlowCalNumber,0),1,1)*X491^INDEX(FlowCalConstB,MATCH(V481,FlowCalNumber,0),1,1)," ")</f>
        <v>#N/A</v>
      </c>
      <c r="Z491" s="33"/>
      <c r="AA491" s="242">
        <f t="shared" si="464"/>
        <v>0.9</v>
      </c>
      <c r="AB491" s="241" t="e">
        <f t="shared" ca="1" si="465"/>
        <v>#VALUE!</v>
      </c>
      <c r="AC491" s="243" t="e">
        <f ca="1">IF(AND(INDEX(FlowCalConstA,MATCH(Z481,FlowCalNumber,0),1,1)*AB491^INDEX(FlowCalConstB,MATCH(Z481,FlowCalNumber,0),1,1)&gt;INDEX(FlowCalLowSetting,MATCH(Z481,FlowCalNumber,0),1,1), (INDEX(FlowCalConstA,MATCH(Z481,FlowCalNumber,0),1,1)*AB491^INDEX(FlowCalConstB,MATCH(Z481,FlowCalNumber,0),1,1)&lt;INDEX(FlowCalHighSetting,MATCH(Z481,FlowCalNumber,0),1,1))),INDEX(FlowCalConstA,MATCH(Z481,FlowCalNumber,0),1,1)*AB491^INDEX(FlowCalConstB,MATCH(Z481,FlowCalNumber,0),1,1)," ")</f>
        <v>#N/A</v>
      </c>
      <c r="AD491" s="33"/>
      <c r="AE491" s="242">
        <f t="shared" si="466"/>
        <v>0.1</v>
      </c>
      <c r="AF491" s="241" t="e">
        <f t="shared" ca="1" si="467"/>
        <v>#VALUE!</v>
      </c>
      <c r="AG491" s="243" t="e">
        <f ca="1">IF(AND(INDEX(FlowCalConstA,MATCH(AD481,FlowCalNumber,0),1,1)*AF491^INDEX(FlowCalConstB,MATCH(AD481,FlowCalNumber,0),1,1)&gt;INDEX(FlowCalLowSetting,MATCH(AD481,FlowCalNumber,0),1,1), (INDEX(FlowCalConstA,MATCH(AD481,FlowCalNumber,0),1,1)*AF491^INDEX(FlowCalConstB,MATCH(AD481,FlowCalNumber,0),1,1)&lt;INDEX(FlowCalHighSetting,MATCH(AD481,FlowCalNumber,0),1,1))),INDEX(FlowCalConstA,MATCH(AD481,FlowCalNumber,0),1,1)*AF491^INDEX(FlowCalConstB,MATCH(AD481,FlowCalNumber,0),1,1)," ")</f>
        <v>#N/A</v>
      </c>
      <c r="AH491" s="33"/>
      <c r="AI491" s="242">
        <f t="shared" si="468"/>
        <v>0.9</v>
      </c>
      <c r="AJ491" s="241" t="e">
        <f t="shared" ca="1" si="469"/>
        <v>#VALUE!</v>
      </c>
      <c r="AK491" s="243" t="e">
        <f ca="1">IF(AND(INDEX(FlowCalConstA,MATCH(AH481,FlowCalNumber,0),1,1)*AJ491^INDEX(FlowCalConstB,MATCH(AH481,FlowCalNumber,0),1,1)&gt;INDEX(FlowCalLowSetting,MATCH(AH481,FlowCalNumber,0),1,1), (INDEX(FlowCalConstA,MATCH(AH481,FlowCalNumber,0),1,1)*AJ491^INDEX(FlowCalConstB,MATCH(AH481,FlowCalNumber,0),1,1)&lt;INDEX(FlowCalHighSetting,MATCH(AH481,FlowCalNumber,0),1,1))),INDEX(FlowCalConstA,MATCH(AH481,FlowCalNumber,0),1,1)*AJ491^INDEX(FlowCalConstB,MATCH(AH481,FlowCalNumber,0),1,1)," ")</f>
        <v>#N/A</v>
      </c>
      <c r="AL491" s="33"/>
      <c r="AM491" s="242"/>
      <c r="AN491" s="241"/>
      <c r="AO491" s="244"/>
      <c r="AQ491" s="242"/>
      <c r="AR491" s="241"/>
      <c r="AS491" s="244"/>
      <c r="AT491" s="33"/>
      <c r="AU491" s="242"/>
      <c r="AV491" s="241"/>
      <c r="AW491" s="244"/>
      <c r="AX491" s="33"/>
      <c r="AY491" s="242"/>
      <c r="AZ491" s="241"/>
      <c r="BA491" s="244"/>
      <c r="BB491" s="33"/>
      <c r="BC491" s="242"/>
      <c r="BD491" s="241"/>
      <c r="BE491" s="244"/>
      <c r="BF491" s="33"/>
      <c r="BG491" s="242"/>
      <c r="BH491" s="241"/>
      <c r="BI491" s="244"/>
      <c r="BJ491" s="33"/>
      <c r="BK491" s="242"/>
      <c r="BL491" s="241"/>
      <c r="BM491" s="244"/>
      <c r="BN491" s="33"/>
      <c r="BO491" s="242"/>
      <c r="BP491" s="241"/>
      <c r="BQ491" s="244"/>
      <c r="BR491" s="33"/>
      <c r="BS491" s="242"/>
      <c r="BT491" s="241"/>
      <c r="BU491" s="244"/>
      <c r="BV491" s="33"/>
      <c r="BW491" s="242"/>
      <c r="BX491" s="241"/>
      <c r="BY491" s="244"/>
      <c r="BZ491" s="33"/>
      <c r="CA491" s="242"/>
      <c r="CB491" s="241"/>
      <c r="CC491" s="244"/>
      <c r="CD491" s="243"/>
      <c r="CE491" s="243"/>
      <c r="CF491" s="243"/>
      <c r="CG491" s="243"/>
      <c r="CH491" s="243"/>
      <c r="CI491" s="243"/>
      <c r="CJ491" s="243"/>
      <c r="CK491" s="243"/>
      <c r="CL491" s="243"/>
      <c r="CM491" s="243"/>
      <c r="CN491" s="243"/>
      <c r="CO491" s="243"/>
      <c r="CP491" s="243"/>
      <c r="CQ491" s="243"/>
      <c r="CR491" s="243"/>
      <c r="CS491" s="243"/>
      <c r="CT491" s="243"/>
      <c r="CU491" s="243"/>
      <c r="CV491" s="243"/>
      <c r="CW491" s="243"/>
      <c r="CX491" s="243"/>
      <c r="CY491" s="243"/>
      <c r="CZ491" s="243"/>
      <c r="DA491" s="243"/>
      <c r="DB491" s="243"/>
      <c r="DC491" s="243"/>
      <c r="DD491" s="243"/>
      <c r="DE491" s="243"/>
      <c r="DF491" s="243"/>
      <c r="DG491" s="243"/>
      <c r="DH491" s="243"/>
      <c r="DI491" s="243"/>
      <c r="DJ491" s="243"/>
      <c r="DK491" s="243"/>
      <c r="DM491" s="242"/>
      <c r="DO491" s="243"/>
      <c r="DQ491" s="242"/>
      <c r="DS491" s="243"/>
      <c r="DU491" s="242"/>
      <c r="DW491" s="243"/>
      <c r="DY491" s="242"/>
      <c r="EA491" s="243"/>
    </row>
    <row r="492" spans="1:131">
      <c r="A492" s="20"/>
      <c r="B492" s="124" t="str">
        <f t="shared" si="454"/>
        <v/>
      </c>
      <c r="C492" s="235"/>
      <c r="D492" s="24">
        <f>'1% Wind'!$M$92</f>
        <v>3.2</v>
      </c>
      <c r="E492" s="90"/>
      <c r="F492" s="90"/>
      <c r="G492" s="79">
        <f ca="1">IF(I481=0.9743,$G491,MAX(G491/D491*D492,2))</f>
        <v>6.001707317073171</v>
      </c>
      <c r="H492" s="121" t="e">
        <f t="shared" ca="1" si="455"/>
        <v>#VALUE!</v>
      </c>
      <c r="J492" s="33"/>
      <c r="K492" s="242">
        <f t="shared" si="456"/>
        <v>1</v>
      </c>
      <c r="L492" s="241" t="e">
        <f t="shared" ca="1" si="457"/>
        <v>#VALUE!</v>
      </c>
      <c r="M492" s="243" t="e">
        <f ca="1">IF(AND(INDEX(FlowCalConstA,MATCH(J481,FlowCalNumber,0),1,1)*L492^INDEX(FlowCalConstB,MATCH(J481,FlowCalNumber,0),1,1)&gt;INDEX(FlowCalLowSetting,MATCH(J481,FlowCalNumber,0),1,1), (INDEX(FlowCalConstA,MATCH(J481,FlowCalNumber,0),1,1)*L492^INDEX(FlowCalConstB,MATCH(J481,FlowCalNumber,0),1,1)&lt;INDEX(FlowCalHighSetting,MATCH(J481,FlowCalNumber,0),1,1))),INDEX(FlowCalConstA,MATCH(J481,FlowCalNumber,0),1,1)*L492^INDEX(FlowCalConstB,MATCH(J481,FlowCalNumber,0),1,1)," ")</f>
        <v>#N/A</v>
      </c>
      <c r="N492" s="33"/>
      <c r="O492" s="242">
        <f t="shared" si="458"/>
        <v>1</v>
      </c>
      <c r="P492" s="241" t="e">
        <f t="shared" ca="1" si="459"/>
        <v>#VALUE!</v>
      </c>
      <c r="Q492" s="243" t="e">
        <f ca="1">IF(AND(INDEX(FlowCalConstA,MATCH(N481,FlowCalNumber,0),1,1)*P492^INDEX(FlowCalConstB,MATCH(N481,FlowCalNumber,0),1,1)&gt;INDEX(FlowCalLowSetting,MATCH(N481,FlowCalNumber,0),1,1), (INDEX(FlowCalConstA,MATCH(N481,FlowCalNumber,0),1,1)*P492^INDEX(FlowCalConstB,MATCH(N481,FlowCalNumber,0),1,1)&lt;INDEX(FlowCalHighSetting,MATCH(N481,FlowCalNumber,0),1,1))),INDEX(FlowCalConstA,MATCH(N481,FlowCalNumber,0),1,1)*P492^INDEX(FlowCalConstB,MATCH(N481,FlowCalNumber,0),1,1)," ")</f>
        <v>#N/A</v>
      </c>
      <c r="R492" s="33"/>
      <c r="S492" s="242">
        <f t="shared" si="460"/>
        <v>1</v>
      </c>
      <c r="T492" s="241" t="e">
        <f t="shared" ca="1" si="461"/>
        <v>#VALUE!</v>
      </c>
      <c r="U492" s="244" t="e">
        <f ca="1">IF(AND(INDEX(FlowCalConstA,MATCH(R481,FlowCalNumber,0),1,1)*T492^INDEX(FlowCalConstB,MATCH(R481,FlowCalNumber,0),1,1)&gt;INDEX(FlowCalLowSetting,MATCH(R481,FlowCalNumber,0),1,1), (INDEX(FlowCalConstA,MATCH(R481,FlowCalNumber,0),1,1)*T492^INDEX(FlowCalConstB,MATCH(R481,FlowCalNumber,0),1,1)&lt;INDEX(FlowCalHighSetting,MATCH(R481,FlowCalNumber,0),1,1))),INDEX(FlowCalConstA,MATCH(R481,FlowCalNumber,0),1,1)*T492^INDEX(FlowCalConstB,MATCH(R481,FlowCalNumber,0),1,1)," ")</f>
        <v>#N/A</v>
      </c>
      <c r="V492" s="33"/>
      <c r="W492" s="242">
        <f t="shared" si="462"/>
        <v>0.1</v>
      </c>
      <c r="X492" s="241" t="e">
        <f t="shared" ca="1" si="463"/>
        <v>#VALUE!</v>
      </c>
      <c r="Y492" s="243" t="e">
        <f ca="1">IF(AND(INDEX(FlowCalConstA,MATCH(V481,FlowCalNumber,0),1,1)*X492^INDEX(FlowCalConstB,MATCH(V481,FlowCalNumber,0),1,1)&gt;INDEX(FlowCalLowSetting,MATCH(V481,FlowCalNumber,0),1,1), (INDEX(FlowCalConstA,MATCH(V481,FlowCalNumber,0),1,1)*X492^INDEX(FlowCalConstB,MATCH(V481,FlowCalNumber,0),1,1)&lt;INDEX(FlowCalHighSetting,MATCH(V481,FlowCalNumber,0),1,1))),INDEX(FlowCalConstA,MATCH(V481,FlowCalNumber,0),1,1)*X492^INDEX(FlowCalConstB,MATCH(V481,FlowCalNumber,0),1,1)," ")</f>
        <v>#N/A</v>
      </c>
      <c r="Z492" s="33"/>
      <c r="AA492" s="242">
        <f t="shared" si="464"/>
        <v>0.9</v>
      </c>
      <c r="AB492" s="241" t="e">
        <f t="shared" ca="1" si="465"/>
        <v>#VALUE!</v>
      </c>
      <c r="AC492" s="243" t="e">
        <f ca="1">IF(AND(INDEX(FlowCalConstA,MATCH(Z481,FlowCalNumber,0),1,1)*AB492^INDEX(FlowCalConstB,MATCH(Z481,FlowCalNumber,0),1,1)&gt;INDEX(FlowCalLowSetting,MATCH(Z481,FlowCalNumber,0),1,1), (INDEX(FlowCalConstA,MATCH(Z481,FlowCalNumber,0),1,1)*AB492^INDEX(FlowCalConstB,MATCH(Z481,FlowCalNumber,0),1,1)&lt;INDEX(FlowCalHighSetting,MATCH(Z481,FlowCalNumber,0),1,1))),INDEX(FlowCalConstA,MATCH(Z481,FlowCalNumber,0),1,1)*AB492^INDEX(FlowCalConstB,MATCH(Z481,FlowCalNumber,0),1,1)," ")</f>
        <v>#N/A</v>
      </c>
      <c r="AD492" s="33"/>
      <c r="AE492" s="242">
        <f t="shared" si="466"/>
        <v>0.1</v>
      </c>
      <c r="AF492" s="241" t="e">
        <f t="shared" ca="1" si="467"/>
        <v>#VALUE!</v>
      </c>
      <c r="AG492" s="243" t="e">
        <f ca="1">IF(AND(INDEX(FlowCalConstA,MATCH(AD481,FlowCalNumber,0),1,1)*AF492^INDEX(FlowCalConstB,MATCH(AD481,FlowCalNumber,0),1,1)&gt;INDEX(FlowCalLowSetting,MATCH(AD481,FlowCalNumber,0),1,1), (INDEX(FlowCalConstA,MATCH(AD481,FlowCalNumber,0),1,1)*AF492^INDEX(FlowCalConstB,MATCH(AD481,FlowCalNumber,0),1,1)&lt;INDEX(FlowCalHighSetting,MATCH(AD481,FlowCalNumber,0),1,1))),INDEX(FlowCalConstA,MATCH(AD481,FlowCalNumber,0),1,1)*AF492^INDEX(FlowCalConstB,MATCH(AD481,FlowCalNumber,0),1,1)," ")</f>
        <v>#N/A</v>
      </c>
      <c r="AH492" s="33"/>
      <c r="AI492" s="242">
        <f t="shared" si="468"/>
        <v>0.9</v>
      </c>
      <c r="AJ492" s="241" t="e">
        <f t="shared" ca="1" si="469"/>
        <v>#VALUE!</v>
      </c>
      <c r="AK492" s="243" t="e">
        <f ca="1">IF(AND(INDEX(FlowCalConstA,MATCH(AH481,FlowCalNumber,0),1,1)*AJ492^INDEX(FlowCalConstB,MATCH(AH481,FlowCalNumber,0),1,1)&gt;INDEX(FlowCalLowSetting,MATCH(AH481,FlowCalNumber,0),1,1), (INDEX(FlowCalConstA,MATCH(AH481,FlowCalNumber,0),1,1)*AJ492^INDEX(FlowCalConstB,MATCH(AH481,FlowCalNumber,0),1,1)&lt;INDEX(FlowCalHighSetting,MATCH(AH481,FlowCalNumber,0),1,1))),INDEX(FlowCalConstA,MATCH(AH481,FlowCalNumber,0),1,1)*AJ492^INDEX(FlowCalConstB,MATCH(AH481,FlowCalNumber,0),1,1)," ")</f>
        <v>#N/A</v>
      </c>
      <c r="AL492" s="33"/>
      <c r="AM492" s="242"/>
      <c r="AN492" s="241"/>
      <c r="AO492" s="244"/>
      <c r="AQ492" s="242"/>
      <c r="AR492" s="241"/>
      <c r="AS492" s="244"/>
      <c r="AT492" s="33"/>
      <c r="AU492" s="242"/>
      <c r="AV492" s="241"/>
      <c r="AW492" s="244"/>
      <c r="AX492" s="33"/>
      <c r="AY492" s="242"/>
      <c r="AZ492" s="241"/>
      <c r="BA492" s="244"/>
      <c r="BB492" s="33"/>
      <c r="BC492" s="242"/>
      <c r="BD492" s="241"/>
      <c r="BE492" s="244"/>
      <c r="BF492" s="33"/>
      <c r="BG492" s="242"/>
      <c r="BH492" s="241"/>
      <c r="BI492" s="244"/>
      <c r="BJ492" s="33"/>
      <c r="BK492" s="242"/>
      <c r="BL492" s="241"/>
      <c r="BM492" s="244"/>
      <c r="BN492" s="33"/>
      <c r="BO492" s="242"/>
      <c r="BP492" s="241"/>
      <c r="BQ492" s="244"/>
      <c r="BR492" s="33"/>
      <c r="BS492" s="242"/>
      <c r="BT492" s="241"/>
      <c r="BU492" s="244"/>
      <c r="BV492" s="33"/>
      <c r="BW492" s="242"/>
      <c r="BX492" s="241"/>
      <c r="BY492" s="244"/>
      <c r="BZ492" s="33"/>
      <c r="CA492" s="242"/>
      <c r="CB492" s="241"/>
      <c r="CC492" s="244"/>
      <c r="CD492" s="243"/>
      <c r="CE492" s="243"/>
      <c r="CF492" s="243"/>
      <c r="CG492" s="243"/>
      <c r="CH492" s="243"/>
      <c r="CI492" s="243"/>
      <c r="CJ492" s="243"/>
      <c r="CK492" s="243"/>
      <c r="CL492" s="243"/>
      <c r="CM492" s="243"/>
      <c r="CN492" s="243"/>
      <c r="CO492" s="243"/>
      <c r="CP492" s="243"/>
      <c r="CQ492" s="243"/>
      <c r="CR492" s="243"/>
      <c r="CS492" s="243"/>
      <c r="CT492" s="243"/>
      <c r="CU492" s="243"/>
      <c r="CV492" s="243"/>
      <c r="CW492" s="243"/>
      <c r="CX492" s="243"/>
      <c r="CY492" s="243"/>
      <c r="CZ492" s="243"/>
      <c r="DA492" s="243"/>
      <c r="DB492" s="243"/>
      <c r="DC492" s="243"/>
      <c r="DD492" s="243"/>
      <c r="DE492" s="243"/>
      <c r="DF492" s="243"/>
      <c r="DG492" s="243"/>
      <c r="DH492" s="243"/>
      <c r="DI492" s="243"/>
      <c r="DJ492" s="243"/>
      <c r="DK492" s="243"/>
      <c r="DM492" s="242"/>
      <c r="DO492" s="243"/>
      <c r="DQ492" s="242"/>
      <c r="DS492" s="243"/>
      <c r="DU492" s="242"/>
      <c r="DW492" s="243"/>
      <c r="DY492" s="242"/>
      <c r="EA492" s="243"/>
    </row>
    <row r="493" spans="1:131">
      <c r="A493" s="20"/>
      <c r="B493" s="124" t="str">
        <f t="shared" si="454"/>
        <v/>
      </c>
      <c r="C493" s="235"/>
      <c r="D493" s="24">
        <f>'1% Wind'!$M$93</f>
        <v>2.4</v>
      </c>
      <c r="E493" s="90"/>
      <c r="F493" s="90"/>
      <c r="G493" s="79">
        <f ca="1">IF(I481=0.9743,$G492,MAX(G492/D492*D493,2))</f>
        <v>6.001707317073171</v>
      </c>
      <c r="H493" s="121" t="e">
        <f t="shared" ca="1" si="455"/>
        <v>#VALUE!</v>
      </c>
      <c r="J493" s="33"/>
      <c r="K493" s="242">
        <f t="shared" si="456"/>
        <v>1</v>
      </c>
      <c r="L493" s="241" t="e">
        <f t="shared" ca="1" si="457"/>
        <v>#VALUE!</v>
      </c>
      <c r="M493" s="243" t="e">
        <f ca="1">IF(AND(INDEX(FlowCalConstA,MATCH(J481,FlowCalNumber,0),1,1)*L493^INDEX(FlowCalConstB,MATCH(J481,FlowCalNumber,0),1,1)&gt;INDEX(FlowCalLowSetting,MATCH(J481,FlowCalNumber,0),1,1), (INDEX(FlowCalConstA,MATCH(J481,FlowCalNumber,0),1,1)*L493^INDEX(FlowCalConstB,MATCH(J481,FlowCalNumber,0),1,1)&lt;INDEX(FlowCalHighSetting,MATCH(J481,FlowCalNumber,0),1,1))),INDEX(FlowCalConstA,MATCH(J481,FlowCalNumber,0),1,1)*L493^INDEX(FlowCalConstB,MATCH(J481,FlowCalNumber,0),1,1)," ")</f>
        <v>#N/A</v>
      </c>
      <c r="N493" s="33"/>
      <c r="O493" s="242">
        <f t="shared" si="458"/>
        <v>1</v>
      </c>
      <c r="P493" s="241" t="e">
        <f t="shared" ca="1" si="459"/>
        <v>#VALUE!</v>
      </c>
      <c r="Q493" s="243" t="e">
        <f ca="1">IF(AND(INDEX(FlowCalConstA,MATCH(N481,FlowCalNumber,0),1,1)*P493^INDEX(FlowCalConstB,MATCH(N481,FlowCalNumber,0),1,1)&gt;INDEX(FlowCalLowSetting,MATCH(N481,FlowCalNumber,0),1,1), (INDEX(FlowCalConstA,MATCH(N481,FlowCalNumber,0),1,1)*P493^INDEX(FlowCalConstB,MATCH(N481,FlowCalNumber,0),1,1)&lt;INDEX(FlowCalHighSetting,MATCH(N481,FlowCalNumber,0),1,1))),INDEX(FlowCalConstA,MATCH(N481,FlowCalNumber,0),1,1)*P493^INDEX(FlowCalConstB,MATCH(N481,FlowCalNumber,0),1,1)," ")</f>
        <v>#N/A</v>
      </c>
      <c r="R493" s="33"/>
      <c r="S493" s="242">
        <f t="shared" si="460"/>
        <v>1</v>
      </c>
      <c r="T493" s="241" t="e">
        <f t="shared" ca="1" si="461"/>
        <v>#VALUE!</v>
      </c>
      <c r="U493" s="244" t="e">
        <f ca="1">IF(AND(INDEX(FlowCalConstA,MATCH(R481,FlowCalNumber,0),1,1)*T493^INDEX(FlowCalConstB,MATCH(R481,FlowCalNumber,0),1,1)&gt;INDEX(FlowCalLowSetting,MATCH(R481,FlowCalNumber,0),1,1), (INDEX(FlowCalConstA,MATCH(R481,FlowCalNumber,0),1,1)*T493^INDEX(FlowCalConstB,MATCH(R481,FlowCalNumber,0),1,1)&lt;INDEX(FlowCalHighSetting,MATCH(R481,FlowCalNumber,0),1,1))),INDEX(FlowCalConstA,MATCH(R481,FlowCalNumber,0),1,1)*T493^INDEX(FlowCalConstB,MATCH(R481,FlowCalNumber,0),1,1)," ")</f>
        <v>#N/A</v>
      </c>
      <c r="V493" s="33"/>
      <c r="W493" s="242">
        <f t="shared" si="462"/>
        <v>0.1</v>
      </c>
      <c r="X493" s="241" t="e">
        <f t="shared" ca="1" si="463"/>
        <v>#VALUE!</v>
      </c>
      <c r="Y493" s="243" t="e">
        <f ca="1">IF(AND(INDEX(FlowCalConstA,MATCH(V481,FlowCalNumber,0),1,1)*X493^INDEX(FlowCalConstB,MATCH(V481,FlowCalNumber,0),1,1)&gt;INDEX(FlowCalLowSetting,MATCH(V481,FlowCalNumber,0),1,1), (INDEX(FlowCalConstA,MATCH(V481,FlowCalNumber,0),1,1)*X493^INDEX(FlowCalConstB,MATCH(V481,FlowCalNumber,0),1,1)&lt;INDEX(FlowCalHighSetting,MATCH(V481,FlowCalNumber,0),1,1))),INDEX(FlowCalConstA,MATCH(V481,FlowCalNumber,0),1,1)*X493^INDEX(FlowCalConstB,MATCH(V481,FlowCalNumber,0),1,1)," ")</f>
        <v>#N/A</v>
      </c>
      <c r="Z493" s="33"/>
      <c r="AA493" s="242">
        <f t="shared" si="464"/>
        <v>0.9</v>
      </c>
      <c r="AB493" s="241" t="e">
        <f t="shared" ca="1" si="465"/>
        <v>#VALUE!</v>
      </c>
      <c r="AC493" s="243" t="e">
        <f ca="1">IF(AND(INDEX(FlowCalConstA,MATCH(Z481,FlowCalNumber,0),1,1)*AB493^INDEX(FlowCalConstB,MATCH(Z481,FlowCalNumber,0),1,1)&gt;INDEX(FlowCalLowSetting,MATCH(Z481,FlowCalNumber,0),1,1), (INDEX(FlowCalConstA,MATCH(Z481,FlowCalNumber,0),1,1)*AB493^INDEX(FlowCalConstB,MATCH(Z481,FlowCalNumber,0),1,1)&lt;INDEX(FlowCalHighSetting,MATCH(Z481,FlowCalNumber,0),1,1))),INDEX(FlowCalConstA,MATCH(Z481,FlowCalNumber,0),1,1)*AB493^INDEX(FlowCalConstB,MATCH(Z481,FlowCalNumber,0),1,1)," ")</f>
        <v>#N/A</v>
      </c>
      <c r="AD493" s="33"/>
      <c r="AE493" s="242">
        <f t="shared" si="466"/>
        <v>0.1</v>
      </c>
      <c r="AF493" s="241" t="e">
        <f t="shared" ca="1" si="467"/>
        <v>#VALUE!</v>
      </c>
      <c r="AG493" s="243" t="e">
        <f ca="1">IF(AND(INDEX(FlowCalConstA,MATCH(AD481,FlowCalNumber,0),1,1)*AF493^INDEX(FlowCalConstB,MATCH(AD481,FlowCalNumber,0),1,1)&gt;INDEX(FlowCalLowSetting,MATCH(AD481,FlowCalNumber,0),1,1), (INDEX(FlowCalConstA,MATCH(AD481,FlowCalNumber,0),1,1)*AF493^INDEX(FlowCalConstB,MATCH(AD481,FlowCalNumber,0),1,1)&lt;INDEX(FlowCalHighSetting,MATCH(AD481,FlowCalNumber,0),1,1))),INDEX(FlowCalConstA,MATCH(AD481,FlowCalNumber,0),1,1)*AF493^INDEX(FlowCalConstB,MATCH(AD481,FlowCalNumber,0),1,1)," ")</f>
        <v>#N/A</v>
      </c>
      <c r="AH493" s="33"/>
      <c r="AI493" s="242">
        <f t="shared" si="468"/>
        <v>0.9</v>
      </c>
      <c r="AJ493" s="241" t="e">
        <f t="shared" ca="1" si="469"/>
        <v>#VALUE!</v>
      </c>
      <c r="AK493" s="243" t="e">
        <f ca="1">IF(AND(INDEX(FlowCalConstA,MATCH(AH481,FlowCalNumber,0),1,1)*AJ493^INDEX(FlowCalConstB,MATCH(AH481,FlowCalNumber,0),1,1)&gt;INDEX(FlowCalLowSetting,MATCH(AH481,FlowCalNumber,0),1,1), (INDEX(FlowCalConstA,MATCH(AH481,FlowCalNumber,0),1,1)*AJ493^INDEX(FlowCalConstB,MATCH(AH481,FlowCalNumber,0),1,1)&lt;INDEX(FlowCalHighSetting,MATCH(AH481,FlowCalNumber,0),1,1))),INDEX(FlowCalConstA,MATCH(AH481,FlowCalNumber,0),1,1)*AJ493^INDEX(FlowCalConstB,MATCH(AH481,FlowCalNumber,0),1,1)," ")</f>
        <v>#N/A</v>
      </c>
      <c r="AL493" s="33"/>
      <c r="AM493" s="242"/>
      <c r="AN493" s="241"/>
      <c r="AO493" s="244"/>
      <c r="AQ493" s="242"/>
      <c r="AR493" s="241"/>
      <c r="AS493" s="244"/>
      <c r="AT493" s="33"/>
      <c r="AU493" s="242"/>
      <c r="AV493" s="241"/>
      <c r="AW493" s="244"/>
      <c r="AX493" s="33"/>
      <c r="AY493" s="242"/>
      <c r="AZ493" s="241"/>
      <c r="BA493" s="244"/>
      <c r="BB493" s="33"/>
      <c r="BC493" s="242"/>
      <c r="BD493" s="241"/>
      <c r="BE493" s="244"/>
      <c r="BF493" s="33"/>
      <c r="BG493" s="242"/>
      <c r="BH493" s="241"/>
      <c r="BI493" s="244"/>
      <c r="BJ493" s="33"/>
      <c r="BK493" s="242"/>
      <c r="BL493" s="241"/>
      <c r="BM493" s="244"/>
      <c r="BN493" s="33"/>
      <c r="BO493" s="242"/>
      <c r="BP493" s="241"/>
      <c r="BQ493" s="244"/>
      <c r="BR493" s="33"/>
      <c r="BS493" s="242"/>
      <c r="BT493" s="241"/>
      <c r="BU493" s="244"/>
      <c r="BV493" s="33"/>
      <c r="BW493" s="242"/>
      <c r="BX493" s="241"/>
      <c r="BY493" s="244"/>
      <c r="BZ493" s="33"/>
      <c r="CA493" s="242"/>
      <c r="CB493" s="241"/>
      <c r="CC493" s="244"/>
      <c r="CD493" s="243"/>
      <c r="CE493" s="243"/>
      <c r="CF493" s="243"/>
      <c r="CG493" s="243"/>
      <c r="CH493" s="243"/>
      <c r="CI493" s="243"/>
      <c r="CJ493" s="243"/>
      <c r="CK493" s="243"/>
      <c r="CL493" s="243"/>
      <c r="CM493" s="243"/>
      <c r="CN493" s="243"/>
      <c r="CO493" s="243"/>
      <c r="CP493" s="243"/>
      <c r="CQ493" s="243"/>
      <c r="CR493" s="243"/>
      <c r="CS493" s="243"/>
      <c r="CT493" s="243"/>
      <c r="CU493" s="243"/>
      <c r="CV493" s="243"/>
      <c r="CW493" s="243"/>
      <c r="CX493" s="243"/>
      <c r="CY493" s="243"/>
      <c r="CZ493" s="243"/>
      <c r="DA493" s="243"/>
      <c r="DB493" s="243"/>
      <c r="DC493" s="243"/>
      <c r="DD493" s="243"/>
      <c r="DE493" s="243"/>
      <c r="DF493" s="243"/>
      <c r="DG493" s="243"/>
      <c r="DH493" s="243"/>
      <c r="DI493" s="243"/>
      <c r="DJ493" s="243"/>
      <c r="DK493" s="243"/>
      <c r="DM493" s="242"/>
      <c r="DO493" s="243"/>
      <c r="DQ493" s="242"/>
      <c r="DS493" s="243"/>
      <c r="DU493" s="242"/>
      <c r="DW493" s="243"/>
      <c r="DY493" s="242"/>
      <c r="EA493" s="243"/>
    </row>
    <row r="494" spans="1:131">
      <c r="A494" s="20"/>
      <c r="B494" s="124" t="str">
        <f t="shared" si="454"/>
        <v/>
      </c>
      <c r="C494" s="235"/>
      <c r="D494" s="24">
        <f>'1% Wind'!$M$94</f>
        <v>1.8</v>
      </c>
      <c r="E494" s="90"/>
      <c r="F494" s="90"/>
      <c r="G494" s="79">
        <f ca="1">IF(I481=0.9743,$G493,MAX(G493/D493*D494,2))</f>
        <v>6.001707317073171</v>
      </c>
      <c r="H494" s="121" t="e">
        <f t="shared" ca="1" si="455"/>
        <v>#VALUE!</v>
      </c>
      <c r="J494" s="33"/>
      <c r="K494" s="242">
        <f t="shared" si="456"/>
        <v>1</v>
      </c>
      <c r="L494" s="241" t="e">
        <f t="shared" ca="1" si="457"/>
        <v>#VALUE!</v>
      </c>
      <c r="M494" s="243" t="e">
        <f ca="1">IF(AND(INDEX(FlowCalConstA,MATCH(J481,FlowCalNumber,0),1,1)*L494^INDEX(FlowCalConstB,MATCH(J481,FlowCalNumber,0),1,1)&gt;INDEX(FlowCalLowSetting,MATCH(J481,FlowCalNumber,0),1,1), (INDEX(FlowCalConstA,MATCH(J481,FlowCalNumber,0),1,1)*L494^INDEX(FlowCalConstB,MATCH(J481,FlowCalNumber,0),1,1)&lt;INDEX(FlowCalHighSetting,MATCH(J481,FlowCalNumber,0),1,1))),INDEX(FlowCalConstA,MATCH(J481,FlowCalNumber,0),1,1)*L494^INDEX(FlowCalConstB,MATCH(J481,FlowCalNumber,0),1,1)," ")</f>
        <v>#N/A</v>
      </c>
      <c r="N494" s="33"/>
      <c r="O494" s="242">
        <f t="shared" si="458"/>
        <v>1</v>
      </c>
      <c r="P494" s="241" t="e">
        <f t="shared" ca="1" si="459"/>
        <v>#VALUE!</v>
      </c>
      <c r="Q494" s="243" t="e">
        <f ca="1">IF(AND(INDEX(FlowCalConstA,MATCH(N481,FlowCalNumber,0),1,1)*P494^INDEX(FlowCalConstB,MATCH(N481,FlowCalNumber,0),1,1)&gt;INDEX(FlowCalLowSetting,MATCH(N481,FlowCalNumber,0),1,1), (INDEX(FlowCalConstA,MATCH(N481,FlowCalNumber,0),1,1)*P494^INDEX(FlowCalConstB,MATCH(N481,FlowCalNumber,0),1,1)&lt;INDEX(FlowCalHighSetting,MATCH(N481,FlowCalNumber,0),1,1))),INDEX(FlowCalConstA,MATCH(N481,FlowCalNumber,0),1,1)*P494^INDEX(FlowCalConstB,MATCH(N481,FlowCalNumber,0),1,1)," ")</f>
        <v>#N/A</v>
      </c>
      <c r="R494" s="33"/>
      <c r="S494" s="242">
        <f t="shared" si="460"/>
        <v>1</v>
      </c>
      <c r="T494" s="241" t="e">
        <f t="shared" ca="1" si="461"/>
        <v>#VALUE!</v>
      </c>
      <c r="U494" s="244" t="e">
        <f ca="1">IF(AND(INDEX(FlowCalConstA,MATCH(R481,FlowCalNumber,0),1,1)*T494^INDEX(FlowCalConstB,MATCH(R481,FlowCalNumber,0),1,1)&gt;INDEX(FlowCalLowSetting,MATCH(R481,FlowCalNumber,0),1,1), (INDEX(FlowCalConstA,MATCH(R481,FlowCalNumber,0),1,1)*T494^INDEX(FlowCalConstB,MATCH(R481,FlowCalNumber,0),1,1)&lt;INDEX(FlowCalHighSetting,MATCH(R481,FlowCalNumber,0),1,1))),INDEX(FlowCalConstA,MATCH(R481,FlowCalNumber,0),1,1)*T494^INDEX(FlowCalConstB,MATCH(R481,FlowCalNumber,0),1,1)," ")</f>
        <v>#N/A</v>
      </c>
      <c r="V494" s="33"/>
      <c r="W494" s="242">
        <f t="shared" si="462"/>
        <v>0.1</v>
      </c>
      <c r="X494" s="241" t="e">
        <f t="shared" ca="1" si="463"/>
        <v>#VALUE!</v>
      </c>
      <c r="Y494" s="243" t="e">
        <f ca="1">IF(AND(INDEX(FlowCalConstA,MATCH(V481,FlowCalNumber,0),1,1)*X494^INDEX(FlowCalConstB,MATCH(V481,FlowCalNumber,0),1,1)&gt;INDEX(FlowCalLowSetting,MATCH(V481,FlowCalNumber,0),1,1), (INDEX(FlowCalConstA,MATCH(V481,FlowCalNumber,0),1,1)*X494^INDEX(FlowCalConstB,MATCH(V481,FlowCalNumber,0),1,1)&lt;INDEX(FlowCalHighSetting,MATCH(V481,FlowCalNumber,0),1,1))),INDEX(FlowCalConstA,MATCH(V481,FlowCalNumber,0),1,1)*X494^INDEX(FlowCalConstB,MATCH(V481,FlowCalNumber,0),1,1)," ")</f>
        <v>#N/A</v>
      </c>
      <c r="Z494" s="33"/>
      <c r="AA494" s="242">
        <f t="shared" si="464"/>
        <v>0.9</v>
      </c>
      <c r="AB494" s="241" t="e">
        <f t="shared" ca="1" si="465"/>
        <v>#VALUE!</v>
      </c>
      <c r="AC494" s="243" t="e">
        <f ca="1">IF(AND(INDEX(FlowCalConstA,MATCH(Z481,FlowCalNumber,0),1,1)*AB494^INDEX(FlowCalConstB,MATCH(Z481,FlowCalNumber,0),1,1)&gt;INDEX(FlowCalLowSetting,MATCH(Z481,FlowCalNumber,0),1,1), (INDEX(FlowCalConstA,MATCH(Z481,FlowCalNumber,0),1,1)*AB494^INDEX(FlowCalConstB,MATCH(Z481,FlowCalNumber,0),1,1)&lt;INDEX(FlowCalHighSetting,MATCH(Z481,FlowCalNumber,0),1,1))),INDEX(FlowCalConstA,MATCH(Z481,FlowCalNumber,0),1,1)*AB494^INDEX(FlowCalConstB,MATCH(Z481,FlowCalNumber,0),1,1)," ")</f>
        <v>#N/A</v>
      </c>
      <c r="AD494" s="33"/>
      <c r="AE494" s="242">
        <f t="shared" si="466"/>
        <v>0.1</v>
      </c>
      <c r="AF494" s="241" t="e">
        <f t="shared" ca="1" si="467"/>
        <v>#VALUE!</v>
      </c>
      <c r="AG494" s="243" t="e">
        <f ca="1">IF(AND(INDEX(FlowCalConstA,MATCH(AD481,FlowCalNumber,0),1,1)*AF494^INDEX(FlowCalConstB,MATCH(AD481,FlowCalNumber,0),1,1)&gt;INDEX(FlowCalLowSetting,MATCH(AD481,FlowCalNumber,0),1,1), (INDEX(FlowCalConstA,MATCH(AD481,FlowCalNumber,0),1,1)*AF494^INDEX(FlowCalConstB,MATCH(AD481,FlowCalNumber,0),1,1)&lt;INDEX(FlowCalHighSetting,MATCH(AD481,FlowCalNumber,0),1,1))),INDEX(FlowCalConstA,MATCH(AD481,FlowCalNumber,0),1,1)*AF494^INDEX(FlowCalConstB,MATCH(AD481,FlowCalNumber,0),1,1)," ")</f>
        <v>#N/A</v>
      </c>
      <c r="AH494" s="33"/>
      <c r="AI494" s="242">
        <f t="shared" si="468"/>
        <v>0.9</v>
      </c>
      <c r="AJ494" s="241" t="e">
        <f t="shared" ca="1" si="469"/>
        <v>#VALUE!</v>
      </c>
      <c r="AK494" s="243" t="e">
        <f ca="1">IF(AND(INDEX(FlowCalConstA,MATCH(AH481,FlowCalNumber,0),1,1)*AJ494^INDEX(FlowCalConstB,MATCH(AH481,FlowCalNumber,0),1,1)&gt;INDEX(FlowCalLowSetting,MATCH(AH481,FlowCalNumber,0),1,1), (INDEX(FlowCalConstA,MATCH(AH481,FlowCalNumber,0),1,1)*AJ494^INDEX(FlowCalConstB,MATCH(AH481,FlowCalNumber,0),1,1)&lt;INDEX(FlowCalHighSetting,MATCH(AH481,FlowCalNumber,0),1,1))),INDEX(FlowCalConstA,MATCH(AH481,FlowCalNumber,0),1,1)*AJ494^INDEX(FlowCalConstB,MATCH(AH481,FlowCalNumber,0),1,1)," ")</f>
        <v>#N/A</v>
      </c>
      <c r="AL494" s="33"/>
      <c r="AM494" s="242"/>
      <c r="AN494" s="241"/>
      <c r="AO494" s="244"/>
      <c r="AQ494" s="242"/>
      <c r="AR494" s="241"/>
      <c r="AS494" s="244"/>
      <c r="AT494" s="33"/>
      <c r="AU494" s="242"/>
      <c r="AV494" s="241"/>
      <c r="AW494" s="244"/>
      <c r="AX494" s="33"/>
      <c r="AY494" s="242"/>
      <c r="AZ494" s="241"/>
      <c r="BA494" s="244"/>
      <c r="BB494" s="33"/>
      <c r="BC494" s="242"/>
      <c r="BD494" s="241"/>
      <c r="BE494" s="244"/>
      <c r="BF494" s="33"/>
      <c r="BG494" s="242"/>
      <c r="BH494" s="241"/>
      <c r="BI494" s="244"/>
      <c r="BJ494" s="33"/>
      <c r="BK494" s="242"/>
      <c r="BL494" s="241"/>
      <c r="BM494" s="244"/>
      <c r="BN494" s="33"/>
      <c r="BO494" s="242"/>
      <c r="BP494" s="241"/>
      <c r="BQ494" s="244"/>
      <c r="BR494" s="33"/>
      <c r="BS494" s="242"/>
      <c r="BT494" s="241"/>
      <c r="BU494" s="244"/>
      <c r="BV494" s="33"/>
      <c r="BW494" s="242"/>
      <c r="BX494" s="241"/>
      <c r="BY494" s="244"/>
      <c r="BZ494" s="33"/>
      <c r="CA494" s="242"/>
      <c r="CB494" s="241"/>
      <c r="CC494" s="244"/>
      <c r="CD494" s="243"/>
      <c r="CE494" s="243"/>
      <c r="CF494" s="243"/>
      <c r="CG494" s="243"/>
      <c r="CH494" s="243"/>
      <c r="CI494" s="243"/>
      <c r="CJ494" s="243"/>
      <c r="CK494" s="243"/>
      <c r="CL494" s="243"/>
      <c r="CM494" s="243"/>
      <c r="CN494" s="243"/>
      <c r="CO494" s="243"/>
      <c r="CP494" s="243"/>
      <c r="CQ494" s="243"/>
      <c r="CR494" s="243"/>
      <c r="CS494" s="243"/>
      <c r="CT494" s="243"/>
      <c r="CU494" s="243"/>
      <c r="CV494" s="243"/>
      <c r="CW494" s="243"/>
      <c r="CX494" s="243"/>
      <c r="CY494" s="243"/>
      <c r="CZ494" s="243"/>
      <c r="DA494" s="243"/>
      <c r="DB494" s="243"/>
      <c r="DC494" s="243"/>
      <c r="DD494" s="243"/>
      <c r="DE494" s="243"/>
      <c r="DF494" s="243"/>
      <c r="DG494" s="243"/>
      <c r="DH494" s="243"/>
      <c r="DI494" s="243"/>
      <c r="DJ494" s="243"/>
      <c r="DK494" s="243"/>
      <c r="DM494" s="242"/>
      <c r="DO494" s="243"/>
      <c r="DQ494" s="242"/>
      <c r="DS494" s="243"/>
      <c r="DU494" s="242"/>
      <c r="DW494" s="243"/>
      <c r="DY494" s="242"/>
      <c r="EA494" s="243"/>
    </row>
    <row r="495" spans="1:131">
      <c r="A495" s="20"/>
      <c r="B495" s="124" t="str">
        <f t="shared" si="454"/>
        <v/>
      </c>
      <c r="C495" s="235"/>
      <c r="D495" s="24">
        <f>'1% Wind'!$M$95</f>
        <v>1.3</v>
      </c>
      <c r="E495" s="90"/>
      <c r="F495" s="90"/>
      <c r="G495" s="79">
        <f ca="1">IF(I481=0.9743,$G494,MAX(G494/D494*D495,2))</f>
        <v>6.001707317073171</v>
      </c>
      <c r="H495" s="121" t="e">
        <f t="shared" ca="1" si="455"/>
        <v>#VALUE!</v>
      </c>
      <c r="J495" s="33"/>
      <c r="K495" s="242">
        <f t="shared" si="456"/>
        <v>1</v>
      </c>
      <c r="L495" s="241" t="e">
        <f t="shared" ca="1" si="457"/>
        <v>#VALUE!</v>
      </c>
      <c r="M495" s="243" t="e">
        <f ca="1">IF(AND(INDEX(FlowCalConstA,MATCH(J481,FlowCalNumber,0),1,1)*L495^INDEX(FlowCalConstB,MATCH(J481,FlowCalNumber,0),1,1)&gt;INDEX(FlowCalLowSetting,MATCH(J481,FlowCalNumber,0),1,1), (INDEX(FlowCalConstA,MATCH(J481,FlowCalNumber,0),1,1)*L495^INDEX(FlowCalConstB,MATCH(J481,FlowCalNumber,0),1,1)&lt;INDEX(FlowCalHighSetting,MATCH(J481,FlowCalNumber,0),1,1))),INDEX(FlowCalConstA,MATCH(J481,FlowCalNumber,0),1,1)*L495^INDEX(FlowCalConstB,MATCH(J481,FlowCalNumber,0),1,1)," ")</f>
        <v>#N/A</v>
      </c>
      <c r="N495" s="33"/>
      <c r="O495" s="242">
        <f t="shared" si="458"/>
        <v>1</v>
      </c>
      <c r="P495" s="241" t="e">
        <f t="shared" ca="1" si="459"/>
        <v>#VALUE!</v>
      </c>
      <c r="Q495" s="243" t="e">
        <f ca="1">IF(AND(INDEX(FlowCalConstA,MATCH(N481,FlowCalNumber,0),1,1)*P495^INDEX(FlowCalConstB,MATCH(N481,FlowCalNumber,0),1,1)&gt;INDEX(FlowCalLowSetting,MATCH(N481,FlowCalNumber,0),1,1), (INDEX(FlowCalConstA,MATCH(N481,FlowCalNumber,0),1,1)*P495^INDEX(FlowCalConstB,MATCH(N481,FlowCalNumber,0),1,1)&lt;INDEX(FlowCalHighSetting,MATCH(N481,FlowCalNumber,0),1,1))),INDEX(FlowCalConstA,MATCH(N481,FlowCalNumber,0),1,1)*P495^INDEX(FlowCalConstB,MATCH(N481,FlowCalNumber,0),1,1)," ")</f>
        <v>#N/A</v>
      </c>
      <c r="R495" s="33"/>
      <c r="S495" s="242">
        <f t="shared" si="460"/>
        <v>1</v>
      </c>
      <c r="T495" s="241" t="e">
        <f t="shared" ca="1" si="461"/>
        <v>#VALUE!</v>
      </c>
      <c r="U495" s="244" t="e">
        <f ca="1">IF(AND(INDEX(FlowCalConstA,MATCH(R481,FlowCalNumber,0),1,1)*T495^INDEX(FlowCalConstB,MATCH(R481,FlowCalNumber,0),1,1)&gt;INDEX(FlowCalLowSetting,MATCH(R481,FlowCalNumber,0),1,1), (INDEX(FlowCalConstA,MATCH(R481,FlowCalNumber,0),1,1)*T495^INDEX(FlowCalConstB,MATCH(R481,FlowCalNumber,0),1,1)&lt;INDEX(FlowCalHighSetting,MATCH(R481,FlowCalNumber,0),1,1))),INDEX(FlowCalConstA,MATCH(R481,FlowCalNumber,0),1,1)*T495^INDEX(FlowCalConstB,MATCH(R481,FlowCalNumber,0),1,1)," ")</f>
        <v>#N/A</v>
      </c>
      <c r="V495" s="33"/>
      <c r="W495" s="242">
        <f t="shared" si="462"/>
        <v>0.1</v>
      </c>
      <c r="X495" s="241" t="e">
        <f t="shared" ca="1" si="463"/>
        <v>#VALUE!</v>
      </c>
      <c r="Y495" s="243" t="e">
        <f ca="1">IF(AND(INDEX(FlowCalConstA,MATCH(V481,FlowCalNumber,0),1,1)*X495^INDEX(FlowCalConstB,MATCH(V481,FlowCalNumber,0),1,1)&gt;INDEX(FlowCalLowSetting,MATCH(V481,FlowCalNumber,0),1,1), (INDEX(FlowCalConstA,MATCH(V481,FlowCalNumber,0),1,1)*X495^INDEX(FlowCalConstB,MATCH(V481,FlowCalNumber,0),1,1)&lt;INDEX(FlowCalHighSetting,MATCH(V481,FlowCalNumber,0),1,1))),INDEX(FlowCalConstA,MATCH(V481,FlowCalNumber,0),1,1)*X495^INDEX(FlowCalConstB,MATCH(V481,FlowCalNumber,0),1,1)," ")</f>
        <v>#N/A</v>
      </c>
      <c r="Z495" s="33"/>
      <c r="AA495" s="242">
        <f t="shared" si="464"/>
        <v>0.9</v>
      </c>
      <c r="AB495" s="241" t="e">
        <f t="shared" ca="1" si="465"/>
        <v>#VALUE!</v>
      </c>
      <c r="AC495" s="243" t="e">
        <f ca="1">IF(AND(INDEX(FlowCalConstA,MATCH(Z481,FlowCalNumber,0),1,1)*AB495^INDEX(FlowCalConstB,MATCH(Z481,FlowCalNumber,0),1,1)&gt;INDEX(FlowCalLowSetting,MATCH(Z481,FlowCalNumber,0),1,1), (INDEX(FlowCalConstA,MATCH(Z481,FlowCalNumber,0),1,1)*AB495^INDEX(FlowCalConstB,MATCH(Z481,FlowCalNumber,0),1,1)&lt;INDEX(FlowCalHighSetting,MATCH(Z481,FlowCalNumber,0),1,1))),INDEX(FlowCalConstA,MATCH(Z481,FlowCalNumber,0),1,1)*AB495^INDEX(FlowCalConstB,MATCH(Z481,FlowCalNumber,0),1,1)," ")</f>
        <v>#N/A</v>
      </c>
      <c r="AD495" s="33"/>
      <c r="AE495" s="242">
        <f t="shared" si="466"/>
        <v>0.1</v>
      </c>
      <c r="AF495" s="241" t="e">
        <f t="shared" ca="1" si="467"/>
        <v>#VALUE!</v>
      </c>
      <c r="AG495" s="243" t="e">
        <f ca="1">IF(AND(INDEX(FlowCalConstA,MATCH(AD481,FlowCalNumber,0),1,1)*AF495^INDEX(FlowCalConstB,MATCH(AD481,FlowCalNumber,0),1,1)&gt;INDEX(FlowCalLowSetting,MATCH(AD481,FlowCalNumber,0),1,1), (INDEX(FlowCalConstA,MATCH(AD481,FlowCalNumber,0),1,1)*AF495^INDEX(FlowCalConstB,MATCH(AD481,FlowCalNumber,0),1,1)&lt;INDEX(FlowCalHighSetting,MATCH(AD481,FlowCalNumber,0),1,1))),INDEX(FlowCalConstA,MATCH(AD481,FlowCalNumber,0),1,1)*AF495^INDEX(FlowCalConstB,MATCH(AD481,FlowCalNumber,0),1,1)," ")</f>
        <v>#N/A</v>
      </c>
      <c r="AH495" s="33"/>
      <c r="AI495" s="242">
        <f t="shared" si="468"/>
        <v>0.9</v>
      </c>
      <c r="AJ495" s="241" t="e">
        <f t="shared" ca="1" si="469"/>
        <v>#VALUE!</v>
      </c>
      <c r="AK495" s="243" t="e">
        <f ca="1">IF(AND(INDEX(FlowCalConstA,MATCH(AH481,FlowCalNumber,0),1,1)*AJ495^INDEX(FlowCalConstB,MATCH(AH481,FlowCalNumber,0),1,1)&gt;INDEX(FlowCalLowSetting,MATCH(AH481,FlowCalNumber,0),1,1), (INDEX(FlowCalConstA,MATCH(AH481,FlowCalNumber,0),1,1)*AJ495^INDEX(FlowCalConstB,MATCH(AH481,FlowCalNumber,0),1,1)&lt;INDEX(FlowCalHighSetting,MATCH(AH481,FlowCalNumber,0),1,1))),INDEX(FlowCalConstA,MATCH(AH481,FlowCalNumber,0),1,1)*AJ495^INDEX(FlowCalConstB,MATCH(AH481,FlowCalNumber,0),1,1)," ")</f>
        <v>#N/A</v>
      </c>
      <c r="AL495" s="33"/>
      <c r="AM495" s="242"/>
      <c r="AN495" s="241"/>
      <c r="AO495" s="244"/>
      <c r="AQ495" s="242"/>
      <c r="AR495" s="241"/>
      <c r="AS495" s="244"/>
      <c r="AT495" s="33"/>
      <c r="AU495" s="242"/>
      <c r="AV495" s="241"/>
      <c r="AW495" s="244"/>
      <c r="AX495" s="33"/>
      <c r="AY495" s="242"/>
      <c r="AZ495" s="241"/>
      <c r="BA495" s="244"/>
      <c r="BB495" s="33"/>
      <c r="BC495" s="242"/>
      <c r="BD495" s="241"/>
      <c r="BE495" s="244"/>
      <c r="BF495" s="33"/>
      <c r="BG495" s="242"/>
      <c r="BH495" s="241"/>
      <c r="BI495" s="244"/>
      <c r="BJ495" s="33"/>
      <c r="BK495" s="242"/>
      <c r="BL495" s="241"/>
      <c r="BM495" s="244"/>
      <c r="BN495" s="33"/>
      <c r="BO495" s="242"/>
      <c r="BP495" s="241"/>
      <c r="BQ495" s="244"/>
      <c r="BR495" s="33"/>
      <c r="BS495" s="242"/>
      <c r="BT495" s="241"/>
      <c r="BU495" s="244"/>
      <c r="BV495" s="33"/>
      <c r="BW495" s="242"/>
      <c r="BX495" s="241"/>
      <c r="BY495" s="244"/>
      <c r="BZ495" s="33"/>
      <c r="CA495" s="242"/>
      <c r="CB495" s="241"/>
      <c r="CC495" s="244"/>
      <c r="CD495" s="243"/>
      <c r="CE495" s="243"/>
      <c r="CF495" s="243"/>
      <c r="CG495" s="243"/>
      <c r="CH495" s="243"/>
      <c r="CI495" s="243"/>
      <c r="CJ495" s="243"/>
      <c r="CK495" s="243"/>
      <c r="CL495" s="243"/>
      <c r="CM495" s="243"/>
      <c r="CN495" s="243"/>
      <c r="CO495" s="243"/>
      <c r="CP495" s="243"/>
      <c r="CQ495" s="243"/>
      <c r="CR495" s="243"/>
      <c r="CS495" s="243"/>
      <c r="CT495" s="243"/>
      <c r="CU495" s="243"/>
      <c r="CV495" s="243"/>
      <c r="CW495" s="243"/>
      <c r="CX495" s="243"/>
      <c r="CY495" s="243"/>
      <c r="CZ495" s="243"/>
      <c r="DA495" s="243"/>
      <c r="DB495" s="243"/>
      <c r="DC495" s="243"/>
      <c r="DD495" s="243"/>
      <c r="DE495" s="243"/>
      <c r="DF495" s="243"/>
      <c r="DG495" s="243"/>
      <c r="DH495" s="243"/>
      <c r="DI495" s="243"/>
      <c r="DJ495" s="243"/>
      <c r="DK495" s="243"/>
      <c r="DM495" s="242"/>
      <c r="DO495" s="243"/>
      <c r="DQ495" s="242"/>
      <c r="DS495" s="243"/>
      <c r="DU495" s="242"/>
      <c r="DW495" s="243"/>
      <c r="DY495" s="242"/>
      <c r="EA495" s="243"/>
    </row>
    <row r="496" spans="1:131">
      <c r="A496" s="20"/>
      <c r="B496" s="124" t="str">
        <f t="shared" si="454"/>
        <v/>
      </c>
      <c r="C496" s="235"/>
      <c r="D496" s="24">
        <f>'1% Wind'!$M$96</f>
        <v>1</v>
      </c>
      <c r="E496" s="90"/>
      <c r="F496" s="90"/>
      <c r="G496" s="79">
        <f ca="1">IF(I481=0.9743,$G495,MAX(G495/D495*D496,2))</f>
        <v>6.001707317073171</v>
      </c>
      <c r="H496" s="121" t="e">
        <f t="shared" ca="1" si="455"/>
        <v>#VALUE!</v>
      </c>
      <c r="J496" s="33"/>
      <c r="K496" s="242">
        <f t="shared" si="456"/>
        <v>1</v>
      </c>
      <c r="L496" s="241" t="e">
        <f t="shared" ca="1" si="457"/>
        <v>#VALUE!</v>
      </c>
      <c r="M496" s="243" t="e">
        <f ca="1">IF(AND(INDEX(FlowCalConstA,MATCH(J481,FlowCalNumber,0),1,1)*L496^INDEX(FlowCalConstB,MATCH(J481,FlowCalNumber,0),1,1)&gt;INDEX(FlowCalLowSetting,MATCH(J481,FlowCalNumber,0),1,1), (INDEX(FlowCalConstA,MATCH(J481,FlowCalNumber,0),1,1)*L496^INDEX(FlowCalConstB,MATCH(J481,FlowCalNumber,0),1,1)&lt;INDEX(FlowCalHighSetting,MATCH(J481,FlowCalNumber,0),1,1))),INDEX(FlowCalConstA,MATCH(J481,FlowCalNumber,0),1,1)*L496^INDEX(FlowCalConstB,MATCH(J481,FlowCalNumber,0),1,1)," ")</f>
        <v>#N/A</v>
      </c>
      <c r="N496" s="33"/>
      <c r="O496" s="242">
        <f t="shared" si="458"/>
        <v>1</v>
      </c>
      <c r="P496" s="241" t="e">
        <f t="shared" ca="1" si="459"/>
        <v>#VALUE!</v>
      </c>
      <c r="Q496" s="243" t="e">
        <f ca="1">IF(AND(INDEX(FlowCalConstA,MATCH(N481,FlowCalNumber,0),1,1)*P496^INDEX(FlowCalConstB,MATCH(N481,FlowCalNumber,0),1,1)&gt;INDEX(FlowCalLowSetting,MATCH(N481,FlowCalNumber,0),1,1), (INDEX(FlowCalConstA,MATCH(N481,FlowCalNumber,0),1,1)*P496^INDEX(FlowCalConstB,MATCH(N481,FlowCalNumber,0),1,1)&lt;INDEX(FlowCalHighSetting,MATCH(N481,FlowCalNumber,0),1,1))),INDEX(FlowCalConstA,MATCH(N481,FlowCalNumber,0),1,1)*P496^INDEX(FlowCalConstB,MATCH(N481,FlowCalNumber,0),1,1)," ")</f>
        <v>#N/A</v>
      </c>
      <c r="R496" s="33"/>
      <c r="S496" s="242">
        <f t="shared" si="460"/>
        <v>1</v>
      </c>
      <c r="T496" s="241" t="e">
        <f t="shared" ca="1" si="461"/>
        <v>#VALUE!</v>
      </c>
      <c r="U496" s="244" t="e">
        <f ca="1">IF(AND(INDEX(FlowCalConstA,MATCH(R481,FlowCalNumber,0),1,1)*T496^INDEX(FlowCalConstB,MATCH(R481,FlowCalNumber,0),1,1)&gt;INDEX(FlowCalLowSetting,MATCH(R481,FlowCalNumber,0),1,1), (INDEX(FlowCalConstA,MATCH(R481,FlowCalNumber,0),1,1)*T496^INDEX(FlowCalConstB,MATCH(R481,FlowCalNumber,0),1,1)&lt;INDEX(FlowCalHighSetting,MATCH(R481,FlowCalNumber,0),1,1))),INDEX(FlowCalConstA,MATCH(R481,FlowCalNumber,0),1,1)*T496^INDEX(FlowCalConstB,MATCH(R481,FlowCalNumber,0),1,1)," ")</f>
        <v>#N/A</v>
      </c>
      <c r="V496" s="33"/>
      <c r="W496" s="242">
        <f t="shared" si="462"/>
        <v>0.1</v>
      </c>
      <c r="X496" s="241" t="e">
        <f t="shared" ca="1" si="463"/>
        <v>#VALUE!</v>
      </c>
      <c r="Y496" s="243" t="e">
        <f ca="1">IF(AND(INDEX(FlowCalConstA,MATCH(V481,FlowCalNumber,0),1,1)*X496^INDEX(FlowCalConstB,MATCH(V481,FlowCalNumber,0),1,1)&gt;INDEX(FlowCalLowSetting,MATCH(V481,FlowCalNumber,0),1,1), (INDEX(FlowCalConstA,MATCH(V481,FlowCalNumber,0),1,1)*X496^INDEX(FlowCalConstB,MATCH(V481,FlowCalNumber,0),1,1)&lt;INDEX(FlowCalHighSetting,MATCH(V481,FlowCalNumber,0),1,1))),INDEX(FlowCalConstA,MATCH(V481,FlowCalNumber,0),1,1)*X496^INDEX(FlowCalConstB,MATCH(V481,FlowCalNumber,0),1,1)," ")</f>
        <v>#N/A</v>
      </c>
      <c r="Z496" s="33"/>
      <c r="AA496" s="242">
        <f t="shared" si="464"/>
        <v>0.9</v>
      </c>
      <c r="AB496" s="241" t="e">
        <f t="shared" ca="1" si="465"/>
        <v>#VALUE!</v>
      </c>
      <c r="AC496" s="243" t="e">
        <f ca="1">IF(AND(INDEX(FlowCalConstA,MATCH(Z481,FlowCalNumber,0),1,1)*AB496^INDEX(FlowCalConstB,MATCH(Z481,FlowCalNumber,0),1,1)&gt;INDEX(FlowCalLowSetting,MATCH(Z481,FlowCalNumber,0),1,1), (INDEX(FlowCalConstA,MATCH(Z481,FlowCalNumber,0),1,1)*AB496^INDEX(FlowCalConstB,MATCH(Z481,FlowCalNumber,0),1,1)&lt;INDEX(FlowCalHighSetting,MATCH(Z481,FlowCalNumber,0),1,1))),INDEX(FlowCalConstA,MATCH(Z481,FlowCalNumber,0),1,1)*AB496^INDEX(FlowCalConstB,MATCH(Z481,FlowCalNumber,0),1,1)," ")</f>
        <v>#N/A</v>
      </c>
      <c r="AD496" s="33"/>
      <c r="AE496" s="242">
        <f t="shared" si="466"/>
        <v>0.1</v>
      </c>
      <c r="AF496" s="241" t="e">
        <f t="shared" ca="1" si="467"/>
        <v>#VALUE!</v>
      </c>
      <c r="AG496" s="243" t="e">
        <f ca="1">IF(AND(INDEX(FlowCalConstA,MATCH(AD481,FlowCalNumber,0),1,1)*AF496^INDEX(FlowCalConstB,MATCH(AD481,FlowCalNumber,0),1,1)&gt;INDEX(FlowCalLowSetting,MATCH(AD481,FlowCalNumber,0),1,1), (INDEX(FlowCalConstA,MATCH(AD481,FlowCalNumber,0),1,1)*AF496^INDEX(FlowCalConstB,MATCH(AD481,FlowCalNumber,0),1,1)&lt;INDEX(FlowCalHighSetting,MATCH(AD481,FlowCalNumber,0),1,1))),INDEX(FlowCalConstA,MATCH(AD481,FlowCalNumber,0),1,1)*AF496^INDEX(FlowCalConstB,MATCH(AD481,FlowCalNumber,0),1,1)," ")</f>
        <v>#N/A</v>
      </c>
      <c r="AH496" s="33"/>
      <c r="AI496" s="242">
        <f t="shared" si="468"/>
        <v>0.9</v>
      </c>
      <c r="AJ496" s="241" t="e">
        <f t="shared" ca="1" si="469"/>
        <v>#VALUE!</v>
      </c>
      <c r="AK496" s="243" t="e">
        <f ca="1">IF(AND(INDEX(FlowCalConstA,MATCH(AH481,FlowCalNumber,0),1,1)*AJ496^INDEX(FlowCalConstB,MATCH(AH481,FlowCalNumber,0),1,1)&gt;INDEX(FlowCalLowSetting,MATCH(AH481,FlowCalNumber,0),1,1), (INDEX(FlowCalConstA,MATCH(AH481,FlowCalNumber,0),1,1)*AJ496^INDEX(FlowCalConstB,MATCH(AH481,FlowCalNumber,0),1,1)&lt;INDEX(FlowCalHighSetting,MATCH(AH481,FlowCalNumber,0),1,1))),INDEX(FlowCalConstA,MATCH(AH481,FlowCalNumber,0),1,1)*AJ496^INDEX(FlowCalConstB,MATCH(AH481,FlowCalNumber,0),1,1)," ")</f>
        <v>#N/A</v>
      </c>
      <c r="AL496" s="33"/>
      <c r="AM496" s="242"/>
      <c r="AN496" s="241"/>
      <c r="AO496" s="244"/>
      <c r="AQ496" s="242"/>
      <c r="AR496" s="241"/>
      <c r="AS496" s="244"/>
      <c r="AT496" s="33"/>
      <c r="AU496" s="242"/>
      <c r="AV496" s="241"/>
      <c r="AW496" s="244"/>
      <c r="AX496" s="33"/>
      <c r="AY496" s="242"/>
      <c r="AZ496" s="241"/>
      <c r="BA496" s="244"/>
      <c r="BB496" s="33"/>
      <c r="BC496" s="242"/>
      <c r="BD496" s="241"/>
      <c r="BE496" s="244"/>
      <c r="BF496" s="33"/>
      <c r="BG496" s="242"/>
      <c r="BH496" s="241"/>
      <c r="BI496" s="244"/>
      <c r="BJ496" s="33"/>
      <c r="BK496" s="242"/>
      <c r="BL496" s="241"/>
      <c r="BM496" s="244"/>
      <c r="BN496" s="33"/>
      <c r="BO496" s="242"/>
      <c r="BP496" s="241"/>
      <c r="BQ496" s="244"/>
      <c r="BR496" s="33"/>
      <c r="BS496" s="242"/>
      <c r="BT496" s="241"/>
      <c r="BU496" s="244"/>
      <c r="BV496" s="33"/>
      <c r="BW496" s="242"/>
      <c r="BX496" s="241"/>
      <c r="BY496" s="244"/>
      <c r="BZ496" s="33"/>
      <c r="CA496" s="242"/>
      <c r="CB496" s="241"/>
      <c r="CC496" s="244"/>
      <c r="CD496" s="243"/>
      <c r="CE496" s="243"/>
      <c r="CF496" s="243"/>
      <c r="CG496" s="243"/>
      <c r="CH496" s="243"/>
      <c r="CI496" s="243"/>
      <c r="CJ496" s="243"/>
      <c r="CK496" s="243"/>
      <c r="CL496" s="243"/>
      <c r="CM496" s="243"/>
      <c r="CN496" s="243"/>
      <c r="CO496" s="243"/>
      <c r="CP496" s="243"/>
      <c r="CQ496" s="243"/>
      <c r="CR496" s="243"/>
      <c r="CS496" s="243"/>
      <c r="CT496" s="243"/>
      <c r="CU496" s="243"/>
      <c r="CV496" s="243"/>
      <c r="CW496" s="243"/>
      <c r="CX496" s="243"/>
      <c r="CY496" s="243"/>
      <c r="CZ496" s="243"/>
      <c r="DA496" s="243"/>
      <c r="DB496" s="243"/>
      <c r="DC496" s="243"/>
      <c r="DD496" s="243"/>
      <c r="DE496" s="243"/>
      <c r="DF496" s="243"/>
      <c r="DG496" s="243"/>
      <c r="DH496" s="243"/>
      <c r="DI496" s="243"/>
      <c r="DJ496" s="243"/>
      <c r="DK496" s="243"/>
      <c r="DM496" s="242"/>
      <c r="DO496" s="243"/>
      <c r="DQ496" s="242"/>
      <c r="DS496" s="243"/>
      <c r="DU496" s="242"/>
      <c r="DW496" s="243"/>
      <c r="DY496" s="242"/>
      <c r="EA496" s="243"/>
    </row>
    <row r="497" spans="1:131">
      <c r="A497" s="33"/>
      <c r="B497" s="33"/>
      <c r="C497" s="235"/>
      <c r="E497" s="90"/>
      <c r="F497" s="90"/>
      <c r="G497" s="33"/>
      <c r="J497" s="33"/>
      <c r="M497" s="243"/>
      <c r="N497" s="33"/>
      <c r="Q497" s="243"/>
      <c r="R497" s="33"/>
      <c r="U497" s="244"/>
      <c r="V497" s="33"/>
      <c r="Y497" s="243"/>
      <c r="Z497" s="33"/>
      <c r="AC497" s="243"/>
      <c r="AD497" s="33"/>
      <c r="AG497" s="243"/>
      <c r="AH497" s="33"/>
      <c r="AK497" s="243"/>
      <c r="AL497" s="33"/>
      <c r="AO497" s="244"/>
      <c r="AS497" s="244"/>
      <c r="AT497" s="33"/>
      <c r="AW497" s="244"/>
      <c r="AX497" s="33"/>
      <c r="BA497" s="244"/>
      <c r="BB497" s="33"/>
      <c r="BE497" s="244"/>
      <c r="BF497" s="33"/>
      <c r="BI497" s="244"/>
      <c r="BJ497" s="33"/>
      <c r="BM497" s="244"/>
      <c r="BN497" s="33"/>
      <c r="BQ497" s="244"/>
      <c r="BR497" s="792"/>
      <c r="BS497" s="243"/>
      <c r="BT497" s="243"/>
      <c r="BU497" s="244"/>
      <c r="BV497" s="33"/>
      <c r="BY497" s="244"/>
      <c r="BZ497" s="33"/>
      <c r="CC497" s="244"/>
      <c r="CD497" s="243"/>
      <c r="CE497" s="243"/>
      <c r="CF497" s="243"/>
      <c r="CG497" s="243"/>
      <c r="CH497" s="243"/>
      <c r="CI497" s="243"/>
      <c r="CJ497" s="243"/>
      <c r="CK497" s="243"/>
      <c r="CL497" s="243"/>
      <c r="CM497" s="243"/>
      <c r="CN497" s="243"/>
      <c r="CO497" s="243"/>
      <c r="CP497" s="243"/>
      <c r="CQ497" s="243"/>
      <c r="CR497" s="243"/>
      <c r="CS497" s="243"/>
      <c r="CT497" s="243"/>
      <c r="CU497" s="243"/>
      <c r="CV497" s="243"/>
      <c r="CW497" s="243"/>
      <c r="CX497" s="243"/>
      <c r="CY497" s="243"/>
      <c r="CZ497" s="243"/>
      <c r="DA497" s="243"/>
      <c r="DB497" s="243"/>
      <c r="DC497" s="243"/>
      <c r="DD497" s="243"/>
      <c r="DE497" s="243"/>
      <c r="DF497" s="243"/>
      <c r="DG497" s="243"/>
      <c r="DH497" s="243"/>
      <c r="DI497" s="243"/>
      <c r="DJ497" s="243"/>
      <c r="DK497" s="243"/>
      <c r="DO497" s="243"/>
      <c r="DS497" s="243"/>
      <c r="DW497" s="243"/>
      <c r="EA497" s="243"/>
    </row>
    <row r="498" spans="1:131">
      <c r="A498" s="256" t="str">
        <f>IF((RIGHT(A481,1))&lt;&gt;"Z",CHAR(CODE(A481))&amp;CHAR(CODE(RIGHT(A481,1))+1),CHAR(CODE(A481)+1)&amp;"A")</f>
        <v>BC</v>
      </c>
      <c r="B498" s="270" t="str">
        <f>INDEX(SourceID,MATCH($A498,SourceNumber,0),1,1)</f>
        <v>B2 FE-1</v>
      </c>
      <c r="C498" s="354">
        <f>INDEX(SourceExitDiameter,MATCH($A498,SourceNumber,0),1,1)*3.28*12</f>
        <v>30.28</v>
      </c>
      <c r="D498" s="24" t="str">
        <f>UAnem1percent</f>
        <v>1% Wind</v>
      </c>
      <c r="E498" s="350" t="e">
        <f ca="1">INDIRECT(ADDRESS(53,6,1,,CONCATENATE("TA",$A498)))</f>
        <v>#REF!</v>
      </c>
      <c r="F498" s="625" t="e">
        <f ca="1">(ROUND((INDIRECT(ADDRESS(15,7,1,,CONCATENATE("TA",$A498)))*3.28*12*32),0)&amp;"/32")</f>
        <v>#REF!</v>
      </c>
      <c r="G498" s="125">
        <f ca="1">INDIRECT(ADDRESS(29,7,1,,$A498))</f>
        <v>6.001707317073171</v>
      </c>
      <c r="H498" s="24" t="e">
        <f ca="1">INDIRECT(ADDRESS(19,7,1,,$A498))*100^3</f>
        <v>#VALUE!</v>
      </c>
      <c r="I498" s="941">
        <f ca="1">INDIRECT(ADDRESS(53,7,1,,$A498))</f>
        <v>0.97430000000000005</v>
      </c>
      <c r="J498" s="20" t="str">
        <f ca="1">IF($I498=$I$6,K$16&amp;$G$6&amp;J$6,IF($I498=$I$7,K$16&amp;$G$7&amp;J$7,"Bad"))</f>
        <v>100EthPick a Tunnel</v>
      </c>
      <c r="K498" t="e">
        <f ca="1">INDEX(FlowCalGasMixture,MATCH(J498,FlowCalNumber,0),1,1)</f>
        <v>#N/A</v>
      </c>
      <c r="M498" s="944" t="e">
        <f ca="1">INDEX(FlowCalDevice,MATCH(J498,FlowCalNumber,0),1,1)</f>
        <v>#N/A</v>
      </c>
      <c r="N498" s="943" t="str">
        <f ca="1">IF($I498=$I$6,O$16&amp;$G$6&amp;"90"&amp;$H$6&amp;N$6,IF($I498=$I$7,O$16&amp;$G$7&amp;"90"&amp;$H$7&amp;N$7,"Bad"))</f>
        <v>10Eth90N2Pick a Tunnel</v>
      </c>
      <c r="O498" t="e">
        <f ca="1">INDEX(FlowCalGasMixture,MATCH(N498,FlowCalNumber,0),1,1)</f>
        <v>#N/A</v>
      </c>
      <c r="Q498" s="944" t="e">
        <f ca="1">INDEX(FlowCalDevice,MATCH(N498,FlowCalNumber,0),1,1)</f>
        <v>#N/A</v>
      </c>
      <c r="R498" s="943" t="str">
        <f ca="1">IF($I498=$I$6,S$16&amp;$G$6&amp;"90"&amp;$H$6&amp;R$6,IF($I498=$I$7,S$16&amp;$G$7&amp;"90"&amp;$H$7&amp;R$7,"Bad"))</f>
        <v>10Eth90N2Pick a Tunnel</v>
      </c>
      <c r="S498" t="e">
        <f ca="1">INDEX(FlowCalGasMixture,MATCH(R498,FlowCalNumber,0),1,1)</f>
        <v>#N/A</v>
      </c>
      <c r="U498" s="944" t="e">
        <f ca="1">INDEX(FlowCalDevice,MATCH(R498,FlowCalNumber,0),1,1)</f>
        <v>#N/A</v>
      </c>
      <c r="V498" s="20" t="str">
        <f ca="1">IF($I498=$I$6,W$16&amp;$G$6&amp;V$6,IF($I498=$I$7,W$16&amp;$G$7&amp;V$7,"Bad"))</f>
        <v>100EthPick a Tunnel</v>
      </c>
      <c r="W498" t="e">
        <f ca="1">INDEX(FlowCalGasMixture,MATCH(V498,FlowCalNumber,0),1,1)</f>
        <v>#N/A</v>
      </c>
      <c r="Y498" s="944" t="e">
        <f ca="1">INDEX(FlowCalDevice,MATCH(V498,FlowCalNumber,0),1,1)</f>
        <v>#N/A</v>
      </c>
      <c r="Z498" s="946" t="str">
        <f ca="1">IF($I498=$I$6,AA$18&amp;$H$6&amp;Z$6,IF($I498=$I$7,AA$18&amp;$H$7&amp;Z$7,"Bad"))</f>
        <v>100N2Pick a Tunnel</v>
      </c>
      <c r="AA498" t="e">
        <f ca="1">INDEX(FlowCalGasMixture,MATCH(Z498,FlowCalNumber,0),1,1)</f>
        <v>#N/A</v>
      </c>
      <c r="AC498" s="944" t="e">
        <f ca="1">INDEX(FlowCalDevice,MATCH(Z498,FlowCalNumber,0),1,1)</f>
        <v>#N/A</v>
      </c>
      <c r="AD498" s="20" t="str">
        <f ca="1">IF($I498=$I$6,AE$16&amp;$G$6&amp;AD$6,IF($I498=$I$7,AE$16&amp;$G$7&amp;AD$7,"Bad"))</f>
        <v>100EthPick a Tunnel</v>
      </c>
      <c r="AE498" t="e">
        <f ca="1">INDEX(FlowCalGasMixture,MATCH(AD498,FlowCalNumber,0),1,1)</f>
        <v>#N/A</v>
      </c>
      <c r="AG498" s="944" t="e">
        <f ca="1">INDEX(FlowCalDevice,MATCH(AD498,FlowCalNumber,0),1,1)</f>
        <v>#N/A</v>
      </c>
      <c r="AH498" s="946" t="str">
        <f ca="1">IF($I498=$I$6,AI$18&amp;$H$6&amp;AH$6,IF($I498=$I$7,AI$18&amp;$H$7&amp;AH$7,"Bad"))</f>
        <v>100N2Pick a Tunnel</v>
      </c>
      <c r="AI498" t="e">
        <f ca="1">INDEX(FlowCalGasMixture,MATCH(AH498,FlowCalNumber,0),1,1)</f>
        <v>#N/A</v>
      </c>
      <c r="AK498" s="944" t="e">
        <f ca="1">INDEX(FlowCalDevice,MATCH(AH498,FlowCalNumber,0),1,1)</f>
        <v>#N/A</v>
      </c>
      <c r="AL498" s="20"/>
      <c r="AO498" s="982"/>
      <c r="AP498" s="960"/>
      <c r="AS498" s="982"/>
      <c r="AT498" s="20"/>
      <c r="AW498" s="982"/>
      <c r="AX498" s="946"/>
      <c r="BA498" s="982"/>
      <c r="BB498" s="20"/>
      <c r="BC498" s="16"/>
      <c r="BE498" s="982"/>
      <c r="BF498" s="946"/>
      <c r="BG498" s="16"/>
      <c r="BI498" s="982"/>
      <c r="BJ498" s="946"/>
      <c r="BK498" s="16"/>
      <c r="BM498" s="982"/>
      <c r="BN498" s="20"/>
      <c r="BO498" s="16"/>
      <c r="BQ498" s="982"/>
      <c r="BR498" s="946"/>
      <c r="BS498" s="16"/>
      <c r="BU498" s="982"/>
      <c r="BV498" s="946"/>
      <c r="BW498" s="16"/>
      <c r="BY498" s="982"/>
      <c r="BZ498" s="946"/>
      <c r="CA498" s="16"/>
      <c r="CC498" s="982"/>
      <c r="CD498" s="355"/>
      <c r="CE498" s="355"/>
      <c r="CF498" s="355"/>
      <c r="CG498" s="355"/>
      <c r="CH498" s="355"/>
      <c r="CI498" s="355"/>
      <c r="CJ498" s="355"/>
      <c r="CK498" s="355"/>
      <c r="CL498" s="355"/>
      <c r="CM498" s="355"/>
      <c r="CN498" s="355"/>
      <c r="CO498" s="355"/>
      <c r="CP498" s="355"/>
      <c r="CQ498" s="355"/>
      <c r="CR498" s="355"/>
      <c r="CS498" s="355"/>
      <c r="CT498" s="355"/>
      <c r="CU498" s="355"/>
      <c r="CV498" s="355"/>
      <c r="CW498" s="355"/>
      <c r="CX498" s="355"/>
      <c r="CY498" s="355"/>
      <c r="CZ498" s="355"/>
      <c r="DA498" s="355"/>
      <c r="DB498" s="355"/>
      <c r="DC498" s="355"/>
      <c r="DD498" s="355"/>
      <c r="DE498" s="355"/>
      <c r="DF498" s="355"/>
      <c r="DG498" s="355"/>
      <c r="DH498" s="355"/>
      <c r="DI498" s="355"/>
      <c r="DJ498" s="355"/>
      <c r="DK498" s="355"/>
      <c r="DL498" s="46"/>
      <c r="DM498" s="16"/>
      <c r="DO498" s="355"/>
      <c r="DP498" s="42"/>
      <c r="DQ498" s="16"/>
      <c r="DS498" s="355"/>
      <c r="DT498" s="42"/>
      <c r="DU498" s="16"/>
      <c r="DW498" s="355"/>
      <c r="DX498" s="42"/>
      <c r="DY498" s="16"/>
      <c r="EA498" s="355"/>
    </row>
    <row r="499" spans="1:131">
      <c r="A499" s="20"/>
      <c r="B499" s="124" t="str">
        <f t="shared" ref="B499:B513" si="470">IF(D499=UAnem1percent,"1% Wind","")</f>
        <v/>
      </c>
      <c r="C499" s="235"/>
      <c r="D499" s="24">
        <f>'1% Wind'!$M$82</f>
        <v>27</v>
      </c>
      <c r="E499" s="90"/>
      <c r="F499" s="90"/>
      <c r="G499" s="79">
        <f ca="1">IF(I498=0.9743,$G498,MAX(G498/D498*D499,2))</f>
        <v>6.001707317073171</v>
      </c>
      <c r="H499" s="121" t="e">
        <f t="shared" ref="H499:H513" ca="1" si="471">H498*(D498/D499)*(G499/G498)</f>
        <v>#VALUE!</v>
      </c>
      <c r="J499" s="33"/>
      <c r="K499" s="260">
        <f>K$17/100</f>
        <v>1</v>
      </c>
      <c r="L499" s="241" t="e">
        <f ca="1">K499*$H499</f>
        <v>#VALUE!</v>
      </c>
      <c r="M499" s="243" t="e">
        <f ca="1">IF(AND(INDEX(FlowCalConstA,MATCH(J498,FlowCalNumber,0),1,1)*L499^INDEX(FlowCalConstB,MATCH(J498,FlowCalNumber,0),1,1)&gt;INDEX(FlowCalLowSetting,MATCH(J498,FlowCalNumber,0),1,1), (INDEX(FlowCalConstA,MATCH(J498,FlowCalNumber,0),1,1)*L499^INDEX(FlowCalConstB,MATCH(J498,FlowCalNumber,0),1,1)&lt;INDEX(FlowCalHighSetting,MATCH(J498,FlowCalNumber,0),1,1))),INDEX(FlowCalConstA,MATCH(J498,FlowCalNumber,0),1,1)*L499^INDEX(FlowCalConstB,MATCH(J498,FlowCalNumber,0),1,1)," ")</f>
        <v>#N/A</v>
      </c>
      <c r="N499" s="33"/>
      <c r="O499" s="260">
        <f>O$17/100</f>
        <v>1</v>
      </c>
      <c r="P499" s="241" t="e">
        <f ca="1">O499*$H499</f>
        <v>#VALUE!</v>
      </c>
      <c r="Q499" s="243" t="e">
        <f ca="1">IF(AND(INDEX(FlowCalConstA,MATCH(N498,FlowCalNumber,0),1,1)*P499^INDEX(FlowCalConstB,MATCH(N498,FlowCalNumber,0),1,1)&gt;INDEX(FlowCalLowSetting,MATCH(N498,FlowCalNumber,0),1,1), (INDEX(FlowCalConstA,MATCH(N498,FlowCalNumber,0),1,1)*P499^INDEX(FlowCalConstB,MATCH(N498,FlowCalNumber,0),1,1)&lt;INDEX(FlowCalHighSetting,MATCH(N498,FlowCalNumber,0),1,1))),INDEX(FlowCalConstA,MATCH(N498,FlowCalNumber,0),1,1)*P499^INDEX(FlowCalConstB,MATCH(N498,FlowCalNumber,0),1,1)," ")</f>
        <v>#N/A</v>
      </c>
      <c r="R499" s="33"/>
      <c r="S499" s="260">
        <f>S$17/100</f>
        <v>1</v>
      </c>
      <c r="T499" s="241" t="e">
        <f ca="1">S499*$H499</f>
        <v>#VALUE!</v>
      </c>
      <c r="U499" s="244" t="e">
        <f ca="1">IF(AND(INDEX(FlowCalConstA,MATCH(R498,FlowCalNumber,0),1,1)*T499^INDEX(FlowCalConstB,MATCH(R498,FlowCalNumber,0),1,1)&gt;INDEX(FlowCalLowSetting,MATCH(R498,FlowCalNumber,0),1,1), (INDEX(FlowCalConstA,MATCH(R498,FlowCalNumber,0),1,1)*T499^INDEX(FlowCalConstB,MATCH(R498,FlowCalNumber,0),1,1)&lt;INDEX(FlowCalHighSetting,MATCH(R498,FlowCalNumber,0),1,1))),INDEX(FlowCalConstA,MATCH(R498,FlowCalNumber,0),1,1)*T499^INDEX(FlowCalConstB,MATCH(R498,FlowCalNumber,0),1,1)," ")</f>
        <v>#N/A</v>
      </c>
      <c r="V499" s="33"/>
      <c r="W499" s="260">
        <f>W$17/100</f>
        <v>0.1</v>
      </c>
      <c r="X499" s="241" t="e">
        <f ca="1">W499*$H499</f>
        <v>#VALUE!</v>
      </c>
      <c r="Y499" s="243" t="e">
        <f ca="1">IF(AND(INDEX(FlowCalConstA,MATCH(V498,FlowCalNumber,0),1,1)*X499^INDEX(FlowCalConstB,MATCH(V498,FlowCalNumber,0),1,1)&gt;INDEX(FlowCalLowSetting,MATCH(V498,FlowCalNumber,0),1,1), (INDEX(FlowCalConstA,MATCH(V498,FlowCalNumber,0),1,1)*X499^INDEX(FlowCalConstB,MATCH(V498,FlowCalNumber,0),1,1)&lt;INDEX(FlowCalHighSetting,MATCH(V498,FlowCalNumber,0),1,1))),INDEX(FlowCalConstA,MATCH(V498,FlowCalNumber,0),1,1)*X499^INDEX(FlowCalConstB,MATCH(V498,FlowCalNumber,0),1,1)," ")</f>
        <v>#N/A</v>
      </c>
      <c r="Z499" s="33"/>
      <c r="AA499" s="260">
        <f>AA$17/100</f>
        <v>0.9</v>
      </c>
      <c r="AB499" s="241" t="e">
        <f ca="1">AA499*$H499</f>
        <v>#VALUE!</v>
      </c>
      <c r="AC499" s="243" t="e">
        <f ca="1">IF(AND(INDEX(FlowCalConstA,MATCH(Z498,FlowCalNumber,0),1,1)*AB499^INDEX(FlowCalConstB,MATCH(Z498,FlowCalNumber,0),1,1)&gt;INDEX(FlowCalLowSetting,MATCH(Z498,FlowCalNumber,0),1,1), (INDEX(FlowCalConstA,MATCH(Z498,FlowCalNumber,0),1,1)*AB499^INDEX(FlowCalConstB,MATCH(Z498,FlowCalNumber,0),1,1)&lt;INDEX(FlowCalHighSetting,MATCH(Z498,FlowCalNumber,0),1,1))),INDEX(FlowCalConstA,MATCH(Z498,FlowCalNumber,0),1,1)*AB499^INDEX(FlowCalConstB,MATCH(Z498,FlowCalNumber,0),1,1)," ")</f>
        <v>#N/A</v>
      </c>
      <c r="AD499" s="33"/>
      <c r="AE499" s="260">
        <f>AE$17/100</f>
        <v>0.1</v>
      </c>
      <c r="AF499" s="241" t="e">
        <f ca="1">AE499*$H499</f>
        <v>#VALUE!</v>
      </c>
      <c r="AG499" s="243" t="e">
        <f ca="1">IF(AND(INDEX(FlowCalConstA,MATCH(AD498,FlowCalNumber,0),1,1)*AF499^INDEX(FlowCalConstB,MATCH(AD498,FlowCalNumber,0),1,1)&gt;INDEX(FlowCalLowSetting,MATCH(AD498,FlowCalNumber,0),1,1), (INDEX(FlowCalConstA,MATCH(AD498,FlowCalNumber,0),1,1)*AF499^INDEX(FlowCalConstB,MATCH(AD498,FlowCalNumber,0),1,1)&lt;INDEX(FlowCalHighSetting,MATCH(AD498,FlowCalNumber,0),1,1))),INDEX(FlowCalConstA,MATCH(AD498,FlowCalNumber,0),1,1)*AF499^INDEX(FlowCalConstB,MATCH(AD498,FlowCalNumber,0),1,1)," ")</f>
        <v>#N/A</v>
      </c>
      <c r="AH499" s="33"/>
      <c r="AI499" s="260">
        <f>AI$17/100</f>
        <v>0.9</v>
      </c>
      <c r="AJ499" s="241" t="e">
        <f ca="1">AI499*$H499</f>
        <v>#VALUE!</v>
      </c>
      <c r="AK499" s="243" t="e">
        <f ca="1">IF(AND(INDEX(FlowCalConstA,MATCH(AH498,FlowCalNumber,0),1,1)*AJ499^INDEX(FlowCalConstB,MATCH(AH498,FlowCalNumber,0),1,1)&gt;INDEX(FlowCalLowSetting,MATCH(AH498,FlowCalNumber,0),1,1), (INDEX(FlowCalConstA,MATCH(AH498,FlowCalNumber,0),1,1)*AJ499^INDEX(FlowCalConstB,MATCH(AH498,FlowCalNumber,0),1,1)&lt;INDEX(FlowCalHighSetting,MATCH(AH498,FlowCalNumber,0),1,1))),INDEX(FlowCalConstA,MATCH(AH498,FlowCalNumber,0),1,1)*AJ499^INDEX(FlowCalConstB,MATCH(AH498,FlowCalNumber,0),1,1)," ")</f>
        <v>#N/A</v>
      </c>
      <c r="AL499" s="33"/>
      <c r="AM499" s="260"/>
      <c r="AN499" s="241"/>
      <c r="AO499" s="244"/>
      <c r="AQ499" s="260"/>
      <c r="AR499" s="241"/>
      <c r="AS499" s="244"/>
      <c r="AT499" s="33"/>
      <c r="AU499" s="260"/>
      <c r="AV499" s="241"/>
      <c r="AW499" s="244"/>
      <c r="AX499" s="33"/>
      <c r="AY499" s="260"/>
      <c r="AZ499" s="241"/>
      <c r="BA499" s="244"/>
      <c r="BB499" s="33"/>
      <c r="BC499" s="260"/>
      <c r="BD499" s="241"/>
      <c r="BE499" s="244"/>
      <c r="BF499" s="33"/>
      <c r="BG499" s="260"/>
      <c r="BH499" s="241"/>
      <c r="BI499" s="244"/>
      <c r="BJ499" s="33"/>
      <c r="BK499" s="260"/>
      <c r="BL499" s="241"/>
      <c r="BM499" s="244"/>
      <c r="BN499" s="33"/>
      <c r="BO499" s="260"/>
      <c r="BP499" s="241"/>
      <c r="BQ499" s="244"/>
      <c r="BR499" s="33"/>
      <c r="BS499" s="260"/>
      <c r="BT499" s="241"/>
      <c r="BU499" s="244"/>
      <c r="BV499" s="33"/>
      <c r="BW499" s="260"/>
      <c r="BX499" s="241"/>
      <c r="BY499" s="244"/>
      <c r="BZ499" s="33"/>
      <c r="CA499" s="260"/>
      <c r="CB499" s="241"/>
      <c r="CC499" s="244"/>
      <c r="CD499" s="243"/>
      <c r="CE499" s="243"/>
      <c r="CF499" s="243"/>
      <c r="CG499" s="243"/>
      <c r="CH499" s="243"/>
      <c r="CI499" s="243"/>
      <c r="CJ499" s="243"/>
      <c r="CK499" s="243"/>
      <c r="CL499" s="243"/>
      <c r="CM499" s="243"/>
      <c r="CN499" s="243"/>
      <c r="CO499" s="243"/>
      <c r="CP499" s="243"/>
      <c r="CQ499" s="243"/>
      <c r="CR499" s="243"/>
      <c r="CS499" s="243"/>
      <c r="CT499" s="243"/>
      <c r="CU499" s="243"/>
      <c r="CV499" s="243"/>
      <c r="CW499" s="243"/>
      <c r="CX499" s="243"/>
      <c r="CY499" s="243"/>
      <c r="CZ499" s="243"/>
      <c r="DA499" s="243"/>
      <c r="DB499" s="243"/>
      <c r="DC499" s="243"/>
      <c r="DD499" s="243"/>
      <c r="DE499" s="243"/>
      <c r="DF499" s="243"/>
      <c r="DG499" s="243"/>
      <c r="DH499" s="243"/>
      <c r="DI499" s="243"/>
      <c r="DJ499" s="243"/>
      <c r="DK499" s="243"/>
      <c r="DM499" s="259"/>
      <c r="DO499" s="243"/>
      <c r="DQ499" s="259"/>
      <c r="DS499" s="243"/>
      <c r="DU499" s="259"/>
      <c r="DW499" s="243"/>
      <c r="DY499" s="260"/>
      <c r="EA499" s="243"/>
    </row>
    <row r="500" spans="1:131">
      <c r="A500" s="20"/>
      <c r="B500" s="124" t="str">
        <f t="shared" si="470"/>
        <v/>
      </c>
      <c r="C500" s="235"/>
      <c r="D500" s="24">
        <f>'1% Wind'!$M$83</f>
        <v>23.5</v>
      </c>
      <c r="E500" s="90"/>
      <c r="F500" s="90"/>
      <c r="G500" s="79">
        <f ca="1">IF(I498=0.9743,$G499,MAX(G499/D499*D500,2))</f>
        <v>6.001707317073171</v>
      </c>
      <c r="H500" s="121" t="e">
        <f t="shared" ca="1" si="471"/>
        <v>#VALUE!</v>
      </c>
      <c r="J500" s="33"/>
      <c r="K500" s="242">
        <f t="shared" ref="K500:K513" si="472">K499</f>
        <v>1</v>
      </c>
      <c r="L500" s="241" t="e">
        <f t="shared" ref="L500:L513" ca="1" si="473">K500*$H500</f>
        <v>#VALUE!</v>
      </c>
      <c r="M500" s="243" t="e">
        <f ca="1">IF(AND(INDEX(FlowCalConstA,MATCH(J498,FlowCalNumber,0),1,1)*L500^INDEX(FlowCalConstB,MATCH(J498,FlowCalNumber,0),1,1)&gt;INDEX(FlowCalLowSetting,MATCH(J498,FlowCalNumber,0),1,1), (INDEX(FlowCalConstA,MATCH(J498,FlowCalNumber,0),1,1)*L500^INDEX(FlowCalConstB,MATCH(J498,FlowCalNumber,0),1,1)&lt;INDEX(FlowCalHighSetting,MATCH(J498,FlowCalNumber,0),1,1))),INDEX(FlowCalConstA,MATCH(J498,FlowCalNumber,0),1,1)*L500^INDEX(FlowCalConstB,MATCH(J498,FlowCalNumber,0),1,1)," ")</f>
        <v>#N/A</v>
      </c>
      <c r="N500" s="33"/>
      <c r="O500" s="242">
        <f t="shared" ref="O500:O513" si="474">O499</f>
        <v>1</v>
      </c>
      <c r="P500" s="241" t="e">
        <f t="shared" ref="P500:P513" ca="1" si="475">O500*$H500</f>
        <v>#VALUE!</v>
      </c>
      <c r="Q500" s="243" t="e">
        <f ca="1">IF(AND(INDEX(FlowCalConstA,MATCH(N498,FlowCalNumber,0),1,1)*P500^INDEX(FlowCalConstB,MATCH(N498,FlowCalNumber,0),1,1)&gt;INDEX(FlowCalLowSetting,MATCH(N498,FlowCalNumber,0),1,1), (INDEX(FlowCalConstA,MATCH(N498,FlowCalNumber,0),1,1)*P500^INDEX(FlowCalConstB,MATCH(N498,FlowCalNumber,0),1,1)&lt;INDEX(FlowCalHighSetting,MATCH(N498,FlowCalNumber,0),1,1))),INDEX(FlowCalConstA,MATCH(N498,FlowCalNumber,0),1,1)*P500^INDEX(FlowCalConstB,MATCH(N498,FlowCalNumber,0),1,1)," ")</f>
        <v>#N/A</v>
      </c>
      <c r="R500" s="33"/>
      <c r="S500" s="242">
        <f t="shared" ref="S500:S513" si="476">S499</f>
        <v>1</v>
      </c>
      <c r="T500" s="241" t="e">
        <f t="shared" ref="T500:T513" ca="1" si="477">S500*$H500</f>
        <v>#VALUE!</v>
      </c>
      <c r="U500" s="244" t="e">
        <f ca="1">IF(AND(INDEX(FlowCalConstA,MATCH(R498,FlowCalNumber,0),1,1)*T500^INDEX(FlowCalConstB,MATCH(R498,FlowCalNumber,0),1,1)&gt;INDEX(FlowCalLowSetting,MATCH(R498,FlowCalNumber,0),1,1), (INDEX(FlowCalConstA,MATCH(R498,FlowCalNumber,0),1,1)*T500^INDEX(FlowCalConstB,MATCH(R498,FlowCalNumber,0),1,1)&lt;INDEX(FlowCalHighSetting,MATCH(R498,FlowCalNumber,0),1,1))),INDEX(FlowCalConstA,MATCH(R498,FlowCalNumber,0),1,1)*T500^INDEX(FlowCalConstB,MATCH(R498,FlowCalNumber,0),1,1)," ")</f>
        <v>#N/A</v>
      </c>
      <c r="V500" s="33"/>
      <c r="W500" s="242">
        <f t="shared" ref="W500:W513" si="478">W499</f>
        <v>0.1</v>
      </c>
      <c r="X500" s="241" t="e">
        <f t="shared" ref="X500:X513" ca="1" si="479">W500*$H500</f>
        <v>#VALUE!</v>
      </c>
      <c r="Y500" s="243" t="e">
        <f ca="1">IF(AND(INDEX(FlowCalConstA,MATCH(V498,FlowCalNumber,0),1,1)*X500^INDEX(FlowCalConstB,MATCH(V498,FlowCalNumber,0),1,1)&gt;INDEX(FlowCalLowSetting,MATCH(V498,FlowCalNumber,0),1,1), (INDEX(FlowCalConstA,MATCH(V498,FlowCalNumber,0),1,1)*X500^INDEX(FlowCalConstB,MATCH(V498,FlowCalNumber,0),1,1)&lt;INDEX(FlowCalHighSetting,MATCH(V498,FlowCalNumber,0),1,1))),INDEX(FlowCalConstA,MATCH(V498,FlowCalNumber,0),1,1)*X500^INDEX(FlowCalConstB,MATCH(V498,FlowCalNumber,0),1,1)," ")</f>
        <v>#N/A</v>
      </c>
      <c r="Z500" s="33"/>
      <c r="AA500" s="242">
        <f t="shared" ref="AA500:AA513" si="480">AA499</f>
        <v>0.9</v>
      </c>
      <c r="AB500" s="241" t="e">
        <f t="shared" ref="AB500:AB513" ca="1" si="481">AA500*$H500</f>
        <v>#VALUE!</v>
      </c>
      <c r="AC500" s="243" t="e">
        <f ca="1">IF(AND(INDEX(FlowCalConstA,MATCH(Z498,FlowCalNumber,0),1,1)*AB500^INDEX(FlowCalConstB,MATCH(Z498,FlowCalNumber,0),1,1)&gt;INDEX(FlowCalLowSetting,MATCH(Z498,FlowCalNumber,0),1,1), (INDEX(FlowCalConstA,MATCH(Z498,FlowCalNumber,0),1,1)*AB500^INDEX(FlowCalConstB,MATCH(Z498,FlowCalNumber,0),1,1)&lt;INDEX(FlowCalHighSetting,MATCH(Z498,FlowCalNumber,0),1,1))),INDEX(FlowCalConstA,MATCH(Z498,FlowCalNumber,0),1,1)*AB500^INDEX(FlowCalConstB,MATCH(Z498,FlowCalNumber,0),1,1)," ")</f>
        <v>#N/A</v>
      </c>
      <c r="AD500" s="33"/>
      <c r="AE500" s="242">
        <f t="shared" ref="AE500:AE513" si="482">AE499</f>
        <v>0.1</v>
      </c>
      <c r="AF500" s="241" t="e">
        <f t="shared" ref="AF500:AF513" ca="1" si="483">AE500*$H500</f>
        <v>#VALUE!</v>
      </c>
      <c r="AG500" s="243" t="e">
        <f ca="1">IF(AND(INDEX(FlowCalConstA,MATCH(AD498,FlowCalNumber,0),1,1)*AF500^INDEX(FlowCalConstB,MATCH(AD498,FlowCalNumber,0),1,1)&gt;INDEX(FlowCalLowSetting,MATCH(AD498,FlowCalNumber,0),1,1), (INDEX(FlowCalConstA,MATCH(AD498,FlowCalNumber,0),1,1)*AF500^INDEX(FlowCalConstB,MATCH(AD498,FlowCalNumber,0),1,1)&lt;INDEX(FlowCalHighSetting,MATCH(AD498,FlowCalNumber,0),1,1))),INDEX(FlowCalConstA,MATCH(AD498,FlowCalNumber,0),1,1)*AF500^INDEX(FlowCalConstB,MATCH(AD498,FlowCalNumber,0),1,1)," ")</f>
        <v>#N/A</v>
      </c>
      <c r="AH500" s="33"/>
      <c r="AI500" s="242">
        <f t="shared" ref="AI500:AI513" si="484">AI499</f>
        <v>0.9</v>
      </c>
      <c r="AJ500" s="241" t="e">
        <f t="shared" ref="AJ500:AJ513" ca="1" si="485">AI500*$H500</f>
        <v>#VALUE!</v>
      </c>
      <c r="AK500" s="243" t="e">
        <f ca="1">IF(AND(INDEX(FlowCalConstA,MATCH(AH498,FlowCalNumber,0),1,1)*AJ500^INDEX(FlowCalConstB,MATCH(AH498,FlowCalNumber,0),1,1)&gt;INDEX(FlowCalLowSetting,MATCH(AH498,FlowCalNumber,0),1,1), (INDEX(FlowCalConstA,MATCH(AH498,FlowCalNumber,0),1,1)*AJ500^INDEX(FlowCalConstB,MATCH(AH498,FlowCalNumber,0),1,1)&lt;INDEX(FlowCalHighSetting,MATCH(AH498,FlowCalNumber,0),1,1))),INDEX(FlowCalConstA,MATCH(AH498,FlowCalNumber,0),1,1)*AJ500^INDEX(FlowCalConstB,MATCH(AH498,FlowCalNumber,0),1,1)," ")</f>
        <v>#N/A</v>
      </c>
      <c r="AL500" s="33"/>
      <c r="AM500" s="242"/>
      <c r="AN500" s="241"/>
      <c r="AO500" s="244"/>
      <c r="AQ500" s="242"/>
      <c r="AR500" s="241"/>
      <c r="AS500" s="244"/>
      <c r="AT500" s="33"/>
      <c r="AU500" s="242"/>
      <c r="AV500" s="241"/>
      <c r="AW500" s="244"/>
      <c r="AX500" s="33"/>
      <c r="AY500" s="242"/>
      <c r="AZ500" s="241"/>
      <c r="BA500" s="244"/>
      <c r="BB500" s="33"/>
      <c r="BC500" s="242"/>
      <c r="BD500" s="241"/>
      <c r="BE500" s="244"/>
      <c r="BF500" s="33"/>
      <c r="BG500" s="242"/>
      <c r="BH500" s="241"/>
      <c r="BI500" s="244"/>
      <c r="BJ500" s="33"/>
      <c r="BK500" s="242"/>
      <c r="BL500" s="241"/>
      <c r="BM500" s="244"/>
      <c r="BN500" s="33"/>
      <c r="BO500" s="242"/>
      <c r="BP500" s="241"/>
      <c r="BQ500" s="244"/>
      <c r="BR500" s="33"/>
      <c r="BS500" s="242"/>
      <c r="BT500" s="241"/>
      <c r="BU500" s="244"/>
      <c r="BV500" s="33"/>
      <c r="BW500" s="242"/>
      <c r="BX500" s="241"/>
      <c r="BY500" s="244"/>
      <c r="BZ500" s="33"/>
      <c r="CA500" s="242"/>
      <c r="CB500" s="241"/>
      <c r="CC500" s="244"/>
      <c r="CD500" s="243"/>
      <c r="CE500" s="243"/>
      <c r="CF500" s="243"/>
      <c r="CG500" s="243"/>
      <c r="CH500" s="243"/>
      <c r="CI500" s="243"/>
      <c r="CJ500" s="243"/>
      <c r="CK500" s="243"/>
      <c r="CL500" s="243"/>
      <c r="CM500" s="243"/>
      <c r="CN500" s="243"/>
      <c r="CO500" s="243"/>
      <c r="CP500" s="243"/>
      <c r="CQ500" s="243"/>
      <c r="CR500" s="243"/>
      <c r="CS500" s="243"/>
      <c r="CT500" s="243"/>
      <c r="CU500" s="243"/>
      <c r="CV500" s="243"/>
      <c r="CW500" s="243"/>
      <c r="CX500" s="243"/>
      <c r="CY500" s="243"/>
      <c r="CZ500" s="243"/>
      <c r="DA500" s="243"/>
      <c r="DB500" s="243"/>
      <c r="DC500" s="243"/>
      <c r="DD500" s="243"/>
      <c r="DE500" s="243"/>
      <c r="DF500" s="243"/>
      <c r="DG500" s="243"/>
      <c r="DH500" s="243"/>
      <c r="DI500" s="243"/>
      <c r="DJ500" s="243"/>
      <c r="DK500" s="243"/>
      <c r="DM500" s="242"/>
      <c r="DO500" s="243"/>
      <c r="DQ500" s="242"/>
      <c r="DS500" s="243"/>
      <c r="DU500" s="242"/>
      <c r="DW500" s="243"/>
      <c r="DY500" s="242"/>
      <c r="EA500" s="243"/>
    </row>
    <row r="501" spans="1:131">
      <c r="A501" s="20"/>
      <c r="B501" s="124" t="str">
        <f t="shared" si="470"/>
        <v/>
      </c>
      <c r="C501" s="235"/>
      <c r="D501" s="24">
        <f>'1% Wind'!$M$84</f>
        <v>20.5</v>
      </c>
      <c r="E501" s="90"/>
      <c r="F501" s="90"/>
      <c r="G501" s="79">
        <f ca="1">IF(I498=0.9743,$G500,MAX(G500/D500*D501,2))</f>
        <v>6.001707317073171</v>
      </c>
      <c r="H501" s="121" t="e">
        <f t="shared" ca="1" si="471"/>
        <v>#VALUE!</v>
      </c>
      <c r="J501" s="33"/>
      <c r="K501" s="242">
        <f t="shared" si="472"/>
        <v>1</v>
      </c>
      <c r="L501" s="241" t="e">
        <f t="shared" ca="1" si="473"/>
        <v>#VALUE!</v>
      </c>
      <c r="M501" s="243" t="e">
        <f ca="1">IF(AND(INDEX(FlowCalConstA,MATCH(J498,FlowCalNumber,0),1,1)*L501^INDEX(FlowCalConstB,MATCH(J498,FlowCalNumber,0),1,1)&gt;INDEX(FlowCalLowSetting,MATCH(J498,FlowCalNumber,0),1,1), (INDEX(FlowCalConstA,MATCH(J498,FlowCalNumber,0),1,1)*L501^INDEX(FlowCalConstB,MATCH(J498,FlowCalNumber,0),1,1)&lt;INDEX(FlowCalHighSetting,MATCH(J498,FlowCalNumber,0),1,1))),INDEX(FlowCalConstA,MATCH(J498,FlowCalNumber,0),1,1)*L501^INDEX(FlowCalConstB,MATCH(J498,FlowCalNumber,0),1,1)," ")</f>
        <v>#N/A</v>
      </c>
      <c r="N501" s="33"/>
      <c r="O501" s="242">
        <f t="shared" si="474"/>
        <v>1</v>
      </c>
      <c r="P501" s="241" t="e">
        <f t="shared" ca="1" si="475"/>
        <v>#VALUE!</v>
      </c>
      <c r="Q501" s="243" t="e">
        <f ca="1">IF(AND(INDEX(FlowCalConstA,MATCH(N498,FlowCalNumber,0),1,1)*P501^INDEX(FlowCalConstB,MATCH(N498,FlowCalNumber,0),1,1)&gt;INDEX(FlowCalLowSetting,MATCH(N498,FlowCalNumber,0),1,1), (INDEX(FlowCalConstA,MATCH(N498,FlowCalNumber,0),1,1)*P501^INDEX(FlowCalConstB,MATCH(N498,FlowCalNumber,0),1,1)&lt;INDEX(FlowCalHighSetting,MATCH(N498,FlowCalNumber,0),1,1))),INDEX(FlowCalConstA,MATCH(N498,FlowCalNumber,0),1,1)*P501^INDEX(FlowCalConstB,MATCH(N498,FlowCalNumber,0),1,1)," ")</f>
        <v>#N/A</v>
      </c>
      <c r="R501" s="33"/>
      <c r="S501" s="242">
        <f t="shared" si="476"/>
        <v>1</v>
      </c>
      <c r="T501" s="241" t="e">
        <f t="shared" ca="1" si="477"/>
        <v>#VALUE!</v>
      </c>
      <c r="U501" s="244" t="e">
        <f ca="1">IF(AND(INDEX(FlowCalConstA,MATCH(R498,FlowCalNumber,0),1,1)*T501^INDEX(FlowCalConstB,MATCH(R498,FlowCalNumber,0),1,1)&gt;INDEX(FlowCalLowSetting,MATCH(R498,FlowCalNumber,0),1,1), (INDEX(FlowCalConstA,MATCH(R498,FlowCalNumber,0),1,1)*T501^INDEX(FlowCalConstB,MATCH(R498,FlowCalNumber,0),1,1)&lt;INDEX(FlowCalHighSetting,MATCH(R498,FlowCalNumber,0),1,1))),INDEX(FlowCalConstA,MATCH(R498,FlowCalNumber,0),1,1)*T501^INDEX(FlowCalConstB,MATCH(R498,FlowCalNumber,0),1,1)," ")</f>
        <v>#N/A</v>
      </c>
      <c r="V501" s="33"/>
      <c r="W501" s="242">
        <f t="shared" si="478"/>
        <v>0.1</v>
      </c>
      <c r="X501" s="241" t="e">
        <f t="shared" ca="1" si="479"/>
        <v>#VALUE!</v>
      </c>
      <c r="Y501" s="243" t="e">
        <f ca="1">IF(AND(INDEX(FlowCalConstA,MATCH(V498,FlowCalNumber,0),1,1)*X501^INDEX(FlowCalConstB,MATCH(V498,FlowCalNumber,0),1,1)&gt;INDEX(FlowCalLowSetting,MATCH(V498,FlowCalNumber,0),1,1), (INDEX(FlowCalConstA,MATCH(V498,FlowCalNumber,0),1,1)*X501^INDEX(FlowCalConstB,MATCH(V498,FlowCalNumber,0),1,1)&lt;INDEX(FlowCalHighSetting,MATCH(V498,FlowCalNumber,0),1,1))),INDEX(FlowCalConstA,MATCH(V498,FlowCalNumber,0),1,1)*X501^INDEX(FlowCalConstB,MATCH(V498,FlowCalNumber,0),1,1)," ")</f>
        <v>#N/A</v>
      </c>
      <c r="Z501" s="33"/>
      <c r="AA501" s="242">
        <f t="shared" si="480"/>
        <v>0.9</v>
      </c>
      <c r="AB501" s="241" t="e">
        <f t="shared" ca="1" si="481"/>
        <v>#VALUE!</v>
      </c>
      <c r="AC501" s="243" t="e">
        <f ca="1">IF(AND(INDEX(FlowCalConstA,MATCH(Z498,FlowCalNumber,0),1,1)*AB501^INDEX(FlowCalConstB,MATCH(Z498,FlowCalNumber,0),1,1)&gt;INDEX(FlowCalLowSetting,MATCH(Z498,FlowCalNumber,0),1,1), (INDEX(FlowCalConstA,MATCH(Z498,FlowCalNumber,0),1,1)*AB501^INDEX(FlowCalConstB,MATCH(Z498,FlowCalNumber,0),1,1)&lt;INDEX(FlowCalHighSetting,MATCH(Z498,FlowCalNumber,0),1,1))),INDEX(FlowCalConstA,MATCH(Z498,FlowCalNumber,0),1,1)*AB501^INDEX(FlowCalConstB,MATCH(Z498,FlowCalNumber,0),1,1)," ")</f>
        <v>#N/A</v>
      </c>
      <c r="AD501" s="33"/>
      <c r="AE501" s="242">
        <f t="shared" si="482"/>
        <v>0.1</v>
      </c>
      <c r="AF501" s="241" t="e">
        <f t="shared" ca="1" si="483"/>
        <v>#VALUE!</v>
      </c>
      <c r="AG501" s="243" t="e">
        <f ca="1">IF(AND(INDEX(FlowCalConstA,MATCH(AD498,FlowCalNumber,0),1,1)*AF501^INDEX(FlowCalConstB,MATCH(AD498,FlowCalNumber,0),1,1)&gt;INDEX(FlowCalLowSetting,MATCH(AD498,FlowCalNumber,0),1,1), (INDEX(FlowCalConstA,MATCH(AD498,FlowCalNumber,0),1,1)*AF501^INDEX(FlowCalConstB,MATCH(AD498,FlowCalNumber,0),1,1)&lt;INDEX(FlowCalHighSetting,MATCH(AD498,FlowCalNumber,0),1,1))),INDEX(FlowCalConstA,MATCH(AD498,FlowCalNumber,0),1,1)*AF501^INDEX(FlowCalConstB,MATCH(AD498,FlowCalNumber,0),1,1)," ")</f>
        <v>#N/A</v>
      </c>
      <c r="AH501" s="33"/>
      <c r="AI501" s="242">
        <f t="shared" si="484"/>
        <v>0.9</v>
      </c>
      <c r="AJ501" s="241" t="e">
        <f t="shared" ca="1" si="485"/>
        <v>#VALUE!</v>
      </c>
      <c r="AK501" s="243" t="e">
        <f ca="1">IF(AND(INDEX(FlowCalConstA,MATCH(AH498,FlowCalNumber,0),1,1)*AJ501^INDEX(FlowCalConstB,MATCH(AH498,FlowCalNumber,0),1,1)&gt;INDEX(FlowCalLowSetting,MATCH(AH498,FlowCalNumber,0),1,1), (INDEX(FlowCalConstA,MATCH(AH498,FlowCalNumber,0),1,1)*AJ501^INDEX(FlowCalConstB,MATCH(AH498,FlowCalNumber,0),1,1)&lt;INDEX(FlowCalHighSetting,MATCH(AH498,FlowCalNumber,0),1,1))),INDEX(FlowCalConstA,MATCH(AH498,FlowCalNumber,0),1,1)*AJ501^INDEX(FlowCalConstB,MATCH(AH498,FlowCalNumber,0),1,1)," ")</f>
        <v>#N/A</v>
      </c>
      <c r="AL501" s="33"/>
      <c r="AM501" s="242"/>
      <c r="AN501" s="241"/>
      <c r="AO501" s="244"/>
      <c r="AQ501" s="242"/>
      <c r="AR501" s="241"/>
      <c r="AS501" s="244"/>
      <c r="AT501" s="33"/>
      <c r="AU501" s="242"/>
      <c r="AV501" s="241"/>
      <c r="AW501" s="244"/>
      <c r="AX501" s="33"/>
      <c r="AY501" s="242"/>
      <c r="AZ501" s="241"/>
      <c r="BA501" s="244"/>
      <c r="BB501" s="33"/>
      <c r="BC501" s="242"/>
      <c r="BD501" s="241"/>
      <c r="BE501" s="244"/>
      <c r="BF501" s="33"/>
      <c r="BG501" s="242"/>
      <c r="BH501" s="241"/>
      <c r="BI501" s="244"/>
      <c r="BJ501" s="33"/>
      <c r="BK501" s="242"/>
      <c r="BL501" s="241"/>
      <c r="BM501" s="244"/>
      <c r="BN501" s="33"/>
      <c r="BO501" s="242"/>
      <c r="BP501" s="241"/>
      <c r="BQ501" s="244"/>
      <c r="BR501" s="33"/>
      <c r="BS501" s="242"/>
      <c r="BT501" s="241"/>
      <c r="BU501" s="244"/>
      <c r="BV501" s="33"/>
      <c r="BW501" s="242"/>
      <c r="BX501" s="241"/>
      <c r="BY501" s="244"/>
      <c r="BZ501" s="33"/>
      <c r="CA501" s="242"/>
      <c r="CB501" s="241"/>
      <c r="CC501" s="244"/>
      <c r="CD501" s="243"/>
      <c r="CE501" s="243"/>
      <c r="CF501" s="243"/>
      <c r="CG501" s="243"/>
      <c r="CH501" s="243"/>
      <c r="CI501" s="243"/>
      <c r="CJ501" s="243"/>
      <c r="CK501" s="243"/>
      <c r="CL501" s="243"/>
      <c r="CM501" s="243"/>
      <c r="CN501" s="243"/>
      <c r="CO501" s="243"/>
      <c r="CP501" s="243"/>
      <c r="CQ501" s="243"/>
      <c r="CR501" s="243"/>
      <c r="CS501" s="243"/>
      <c r="CT501" s="243"/>
      <c r="CU501" s="243"/>
      <c r="CV501" s="243"/>
      <c r="CW501" s="243"/>
      <c r="CX501" s="243"/>
      <c r="CY501" s="243"/>
      <c r="CZ501" s="243"/>
      <c r="DA501" s="243"/>
      <c r="DB501" s="243"/>
      <c r="DC501" s="243"/>
      <c r="DD501" s="243"/>
      <c r="DE501" s="243"/>
      <c r="DF501" s="243"/>
      <c r="DG501" s="243"/>
      <c r="DH501" s="243"/>
      <c r="DI501" s="243"/>
      <c r="DJ501" s="243"/>
      <c r="DK501" s="243"/>
      <c r="DM501" s="242"/>
      <c r="DO501" s="243"/>
      <c r="DQ501" s="242"/>
      <c r="DS501" s="243"/>
      <c r="DU501" s="242"/>
      <c r="DW501" s="243"/>
      <c r="DY501" s="242"/>
      <c r="EA501" s="243"/>
    </row>
    <row r="502" spans="1:131">
      <c r="A502" s="20"/>
      <c r="B502" s="124" t="str">
        <f t="shared" si="470"/>
        <v/>
      </c>
      <c r="C502" s="235"/>
      <c r="D502" s="24">
        <f>'1% Wind'!$M$85</f>
        <v>17.8</v>
      </c>
      <c r="E502" s="90"/>
      <c r="F502" s="90"/>
      <c r="G502" s="79">
        <f ca="1">IF(I498=0.9743,$G501,MAX(G501/D501*D502,2))</f>
        <v>6.001707317073171</v>
      </c>
      <c r="H502" s="121" t="e">
        <f t="shared" ca="1" si="471"/>
        <v>#VALUE!</v>
      </c>
      <c r="J502" s="33"/>
      <c r="K502" s="242">
        <f t="shared" si="472"/>
        <v>1</v>
      </c>
      <c r="L502" s="241" t="e">
        <f t="shared" ca="1" si="473"/>
        <v>#VALUE!</v>
      </c>
      <c r="M502" s="243" t="e">
        <f ca="1">IF(AND(INDEX(FlowCalConstA,MATCH(J498,FlowCalNumber,0),1,1)*L502^INDEX(FlowCalConstB,MATCH(J498,FlowCalNumber,0),1,1)&gt;INDEX(FlowCalLowSetting,MATCH(J498,FlowCalNumber,0),1,1), (INDEX(FlowCalConstA,MATCH(J498,FlowCalNumber,0),1,1)*L502^INDEX(FlowCalConstB,MATCH(J498,FlowCalNumber,0),1,1)&lt;INDEX(FlowCalHighSetting,MATCH(J498,FlowCalNumber,0),1,1))),INDEX(FlowCalConstA,MATCH(J498,FlowCalNumber,0),1,1)*L502^INDEX(FlowCalConstB,MATCH(J498,FlowCalNumber,0),1,1)," ")</f>
        <v>#N/A</v>
      </c>
      <c r="N502" s="33"/>
      <c r="O502" s="242">
        <f t="shared" si="474"/>
        <v>1</v>
      </c>
      <c r="P502" s="241" t="e">
        <f t="shared" ca="1" si="475"/>
        <v>#VALUE!</v>
      </c>
      <c r="Q502" s="243" t="e">
        <f ca="1">IF(AND(INDEX(FlowCalConstA,MATCH(N498,FlowCalNumber,0),1,1)*P502^INDEX(FlowCalConstB,MATCH(N498,FlowCalNumber,0),1,1)&gt;INDEX(FlowCalLowSetting,MATCH(N498,FlowCalNumber,0),1,1), (INDEX(FlowCalConstA,MATCH(N498,FlowCalNumber,0),1,1)*P502^INDEX(FlowCalConstB,MATCH(N498,FlowCalNumber,0),1,1)&lt;INDEX(FlowCalHighSetting,MATCH(N498,FlowCalNumber,0),1,1))),INDEX(FlowCalConstA,MATCH(N498,FlowCalNumber,0),1,1)*P502^INDEX(FlowCalConstB,MATCH(N498,FlowCalNumber,0),1,1)," ")</f>
        <v>#N/A</v>
      </c>
      <c r="R502" s="33"/>
      <c r="S502" s="242">
        <f t="shared" si="476"/>
        <v>1</v>
      </c>
      <c r="T502" s="241" t="e">
        <f t="shared" ca="1" si="477"/>
        <v>#VALUE!</v>
      </c>
      <c r="U502" s="244" t="e">
        <f ca="1">IF(AND(INDEX(FlowCalConstA,MATCH(R498,FlowCalNumber,0),1,1)*T502^INDEX(FlowCalConstB,MATCH(R498,FlowCalNumber,0),1,1)&gt;INDEX(FlowCalLowSetting,MATCH(R498,FlowCalNumber,0),1,1), (INDEX(FlowCalConstA,MATCH(R498,FlowCalNumber,0),1,1)*T502^INDEX(FlowCalConstB,MATCH(R498,FlowCalNumber,0),1,1)&lt;INDEX(FlowCalHighSetting,MATCH(R498,FlowCalNumber,0),1,1))),INDEX(FlowCalConstA,MATCH(R498,FlowCalNumber,0),1,1)*T502^INDEX(FlowCalConstB,MATCH(R498,FlowCalNumber,0),1,1)," ")</f>
        <v>#N/A</v>
      </c>
      <c r="V502" s="33"/>
      <c r="W502" s="242">
        <f t="shared" si="478"/>
        <v>0.1</v>
      </c>
      <c r="X502" s="241" t="e">
        <f t="shared" ca="1" si="479"/>
        <v>#VALUE!</v>
      </c>
      <c r="Y502" s="243" t="e">
        <f ca="1">IF(AND(INDEX(FlowCalConstA,MATCH(V498,FlowCalNumber,0),1,1)*X502^INDEX(FlowCalConstB,MATCH(V498,FlowCalNumber,0),1,1)&gt;INDEX(FlowCalLowSetting,MATCH(V498,FlowCalNumber,0),1,1), (INDEX(FlowCalConstA,MATCH(V498,FlowCalNumber,0),1,1)*X502^INDEX(FlowCalConstB,MATCH(V498,FlowCalNumber,0),1,1)&lt;INDEX(FlowCalHighSetting,MATCH(V498,FlowCalNumber,0),1,1))),INDEX(FlowCalConstA,MATCH(V498,FlowCalNumber,0),1,1)*X502^INDEX(FlowCalConstB,MATCH(V498,FlowCalNumber,0),1,1)," ")</f>
        <v>#N/A</v>
      </c>
      <c r="Z502" s="33"/>
      <c r="AA502" s="242">
        <f t="shared" si="480"/>
        <v>0.9</v>
      </c>
      <c r="AB502" s="241" t="e">
        <f t="shared" ca="1" si="481"/>
        <v>#VALUE!</v>
      </c>
      <c r="AC502" s="243" t="e">
        <f ca="1">IF(AND(INDEX(FlowCalConstA,MATCH(Z498,FlowCalNumber,0),1,1)*AB502^INDEX(FlowCalConstB,MATCH(Z498,FlowCalNumber,0),1,1)&gt;INDEX(FlowCalLowSetting,MATCH(Z498,FlowCalNumber,0),1,1), (INDEX(FlowCalConstA,MATCH(Z498,FlowCalNumber,0),1,1)*AB502^INDEX(FlowCalConstB,MATCH(Z498,FlowCalNumber,0),1,1)&lt;INDEX(FlowCalHighSetting,MATCH(Z498,FlowCalNumber,0),1,1))),INDEX(FlowCalConstA,MATCH(Z498,FlowCalNumber,0),1,1)*AB502^INDEX(FlowCalConstB,MATCH(Z498,FlowCalNumber,0),1,1)," ")</f>
        <v>#N/A</v>
      </c>
      <c r="AD502" s="33"/>
      <c r="AE502" s="242">
        <f t="shared" si="482"/>
        <v>0.1</v>
      </c>
      <c r="AF502" s="241" t="e">
        <f t="shared" ca="1" si="483"/>
        <v>#VALUE!</v>
      </c>
      <c r="AG502" s="243" t="e">
        <f ca="1">IF(AND(INDEX(FlowCalConstA,MATCH(AD498,FlowCalNumber,0),1,1)*AF502^INDEX(FlowCalConstB,MATCH(AD498,FlowCalNumber,0),1,1)&gt;INDEX(FlowCalLowSetting,MATCH(AD498,FlowCalNumber,0),1,1), (INDEX(FlowCalConstA,MATCH(AD498,FlowCalNumber,0),1,1)*AF502^INDEX(FlowCalConstB,MATCH(AD498,FlowCalNumber,0),1,1)&lt;INDEX(FlowCalHighSetting,MATCH(AD498,FlowCalNumber,0),1,1))),INDEX(FlowCalConstA,MATCH(AD498,FlowCalNumber,0),1,1)*AF502^INDEX(FlowCalConstB,MATCH(AD498,FlowCalNumber,0),1,1)," ")</f>
        <v>#N/A</v>
      </c>
      <c r="AH502" s="33"/>
      <c r="AI502" s="242">
        <f t="shared" si="484"/>
        <v>0.9</v>
      </c>
      <c r="AJ502" s="241" t="e">
        <f t="shared" ca="1" si="485"/>
        <v>#VALUE!</v>
      </c>
      <c r="AK502" s="243" t="e">
        <f ca="1">IF(AND(INDEX(FlowCalConstA,MATCH(AH498,FlowCalNumber,0),1,1)*AJ502^INDEX(FlowCalConstB,MATCH(AH498,FlowCalNumber,0),1,1)&gt;INDEX(FlowCalLowSetting,MATCH(AH498,FlowCalNumber,0),1,1), (INDEX(FlowCalConstA,MATCH(AH498,FlowCalNumber,0),1,1)*AJ502^INDEX(FlowCalConstB,MATCH(AH498,FlowCalNumber,0),1,1)&lt;INDEX(FlowCalHighSetting,MATCH(AH498,FlowCalNumber,0),1,1))),INDEX(FlowCalConstA,MATCH(AH498,FlowCalNumber,0),1,1)*AJ502^INDEX(FlowCalConstB,MATCH(AH498,FlowCalNumber,0),1,1)," ")</f>
        <v>#N/A</v>
      </c>
      <c r="AL502" s="33"/>
      <c r="AM502" s="242"/>
      <c r="AN502" s="241"/>
      <c r="AO502" s="244"/>
      <c r="AQ502" s="242"/>
      <c r="AR502" s="241"/>
      <c r="AS502" s="244"/>
      <c r="AT502" s="33"/>
      <c r="AU502" s="242"/>
      <c r="AV502" s="241"/>
      <c r="AW502" s="244"/>
      <c r="AX502" s="33"/>
      <c r="AY502" s="242"/>
      <c r="AZ502" s="241"/>
      <c r="BA502" s="244"/>
      <c r="BB502" s="33"/>
      <c r="BC502" s="242"/>
      <c r="BD502" s="241"/>
      <c r="BE502" s="244"/>
      <c r="BF502" s="33"/>
      <c r="BG502" s="242"/>
      <c r="BH502" s="241"/>
      <c r="BI502" s="244"/>
      <c r="BJ502" s="33"/>
      <c r="BK502" s="242"/>
      <c r="BL502" s="241"/>
      <c r="BM502" s="244"/>
      <c r="BN502" s="33"/>
      <c r="BO502" s="242"/>
      <c r="BP502" s="241"/>
      <c r="BQ502" s="244"/>
      <c r="BR502" s="33"/>
      <c r="BS502" s="242"/>
      <c r="BT502" s="241"/>
      <c r="BU502" s="244"/>
      <c r="BV502" s="33"/>
      <c r="BW502" s="242"/>
      <c r="BX502" s="241"/>
      <c r="BY502" s="244"/>
      <c r="BZ502" s="33"/>
      <c r="CA502" s="242"/>
      <c r="CB502" s="241"/>
      <c r="CC502" s="244"/>
      <c r="CD502" s="243"/>
      <c r="CE502" s="243"/>
      <c r="CF502" s="243"/>
      <c r="CG502" s="243"/>
      <c r="CH502" s="243"/>
      <c r="CI502" s="243"/>
      <c r="CJ502" s="243"/>
      <c r="CK502" s="243"/>
      <c r="CL502" s="243"/>
      <c r="CM502" s="243"/>
      <c r="CN502" s="243"/>
      <c r="CO502" s="243"/>
      <c r="CP502" s="243"/>
      <c r="CQ502" s="243"/>
      <c r="CR502" s="243"/>
      <c r="CS502" s="243"/>
      <c r="CT502" s="243"/>
      <c r="CU502" s="243"/>
      <c r="CV502" s="243"/>
      <c r="CW502" s="243"/>
      <c r="CX502" s="243"/>
      <c r="CY502" s="243"/>
      <c r="CZ502" s="243"/>
      <c r="DA502" s="243"/>
      <c r="DB502" s="243"/>
      <c r="DC502" s="243"/>
      <c r="DD502" s="243"/>
      <c r="DE502" s="243"/>
      <c r="DF502" s="243"/>
      <c r="DG502" s="243"/>
      <c r="DH502" s="243"/>
      <c r="DI502" s="243"/>
      <c r="DJ502" s="243"/>
      <c r="DK502" s="243"/>
      <c r="DM502" s="242"/>
      <c r="DO502" s="243"/>
      <c r="DQ502" s="242"/>
      <c r="DS502" s="243"/>
      <c r="DU502" s="242"/>
      <c r="DW502" s="243"/>
      <c r="DY502" s="242"/>
      <c r="EA502" s="243"/>
    </row>
    <row r="503" spans="1:131">
      <c r="A503" s="20"/>
      <c r="B503" s="124" t="str">
        <f t="shared" si="470"/>
        <v/>
      </c>
      <c r="C503" s="235"/>
      <c r="D503" s="24">
        <f>'1% Wind'!$M$86</f>
        <v>15.5</v>
      </c>
      <c r="E503" s="90"/>
      <c r="F503" s="90"/>
      <c r="G503" s="79">
        <f ca="1">IF(I498=0.9743,$G502,MAX(G502/D502*D503,2))</f>
        <v>6.001707317073171</v>
      </c>
      <c r="H503" s="121" t="e">
        <f t="shared" ca="1" si="471"/>
        <v>#VALUE!</v>
      </c>
      <c r="J503" s="33"/>
      <c r="K503" s="242">
        <f t="shared" si="472"/>
        <v>1</v>
      </c>
      <c r="L503" s="241" t="e">
        <f t="shared" ca="1" si="473"/>
        <v>#VALUE!</v>
      </c>
      <c r="M503" s="243" t="e">
        <f ca="1">IF(AND(INDEX(FlowCalConstA,MATCH(J498,FlowCalNumber,0),1,1)*L503^INDEX(FlowCalConstB,MATCH(J498,FlowCalNumber,0),1,1)&gt;INDEX(FlowCalLowSetting,MATCH(J498,FlowCalNumber,0),1,1), (INDEX(FlowCalConstA,MATCH(J498,FlowCalNumber,0),1,1)*L503^INDEX(FlowCalConstB,MATCH(J498,FlowCalNumber,0),1,1)&lt;INDEX(FlowCalHighSetting,MATCH(J498,FlowCalNumber,0),1,1))),INDEX(FlowCalConstA,MATCH(J498,FlowCalNumber,0),1,1)*L503^INDEX(FlowCalConstB,MATCH(J498,FlowCalNumber,0),1,1)," ")</f>
        <v>#N/A</v>
      </c>
      <c r="N503" s="33"/>
      <c r="O503" s="242">
        <f t="shared" si="474"/>
        <v>1</v>
      </c>
      <c r="P503" s="241" t="e">
        <f t="shared" ca="1" si="475"/>
        <v>#VALUE!</v>
      </c>
      <c r="Q503" s="243" t="e">
        <f ca="1">IF(AND(INDEX(FlowCalConstA,MATCH(N498,FlowCalNumber,0),1,1)*P503^INDEX(FlowCalConstB,MATCH(N498,FlowCalNumber,0),1,1)&gt;INDEX(FlowCalLowSetting,MATCH(N498,FlowCalNumber,0),1,1), (INDEX(FlowCalConstA,MATCH(N498,FlowCalNumber,0),1,1)*P503^INDEX(FlowCalConstB,MATCH(N498,FlowCalNumber,0),1,1)&lt;INDEX(FlowCalHighSetting,MATCH(N498,FlowCalNumber,0),1,1))),INDEX(FlowCalConstA,MATCH(N498,FlowCalNumber,0),1,1)*P503^INDEX(FlowCalConstB,MATCH(N498,FlowCalNumber,0),1,1)," ")</f>
        <v>#N/A</v>
      </c>
      <c r="R503" s="33"/>
      <c r="S503" s="242">
        <f t="shared" si="476"/>
        <v>1</v>
      </c>
      <c r="T503" s="241" t="e">
        <f t="shared" ca="1" si="477"/>
        <v>#VALUE!</v>
      </c>
      <c r="U503" s="244" t="e">
        <f ca="1">IF(AND(INDEX(FlowCalConstA,MATCH(R498,FlowCalNumber,0),1,1)*T503^INDEX(FlowCalConstB,MATCH(R498,FlowCalNumber,0),1,1)&gt;INDEX(FlowCalLowSetting,MATCH(R498,FlowCalNumber,0),1,1), (INDEX(FlowCalConstA,MATCH(R498,FlowCalNumber,0),1,1)*T503^INDEX(FlowCalConstB,MATCH(R498,FlowCalNumber,0),1,1)&lt;INDEX(FlowCalHighSetting,MATCH(R498,FlowCalNumber,0),1,1))),INDEX(FlowCalConstA,MATCH(R498,FlowCalNumber,0),1,1)*T503^INDEX(FlowCalConstB,MATCH(R498,FlowCalNumber,0),1,1)," ")</f>
        <v>#N/A</v>
      </c>
      <c r="V503" s="33"/>
      <c r="W503" s="242">
        <f t="shared" si="478"/>
        <v>0.1</v>
      </c>
      <c r="X503" s="241" t="e">
        <f t="shared" ca="1" si="479"/>
        <v>#VALUE!</v>
      </c>
      <c r="Y503" s="243" t="e">
        <f ca="1">IF(AND(INDEX(FlowCalConstA,MATCH(V498,FlowCalNumber,0),1,1)*X503^INDEX(FlowCalConstB,MATCH(V498,FlowCalNumber,0),1,1)&gt;INDEX(FlowCalLowSetting,MATCH(V498,FlowCalNumber,0),1,1), (INDEX(FlowCalConstA,MATCH(V498,FlowCalNumber,0),1,1)*X503^INDEX(FlowCalConstB,MATCH(V498,FlowCalNumber,0),1,1)&lt;INDEX(FlowCalHighSetting,MATCH(V498,FlowCalNumber,0),1,1))),INDEX(FlowCalConstA,MATCH(V498,FlowCalNumber,0),1,1)*X503^INDEX(FlowCalConstB,MATCH(V498,FlowCalNumber,0),1,1)," ")</f>
        <v>#N/A</v>
      </c>
      <c r="Z503" s="33"/>
      <c r="AA503" s="242">
        <f t="shared" si="480"/>
        <v>0.9</v>
      </c>
      <c r="AB503" s="241" t="e">
        <f t="shared" ca="1" si="481"/>
        <v>#VALUE!</v>
      </c>
      <c r="AC503" s="243" t="e">
        <f ca="1">IF(AND(INDEX(FlowCalConstA,MATCH(Z498,FlowCalNumber,0),1,1)*AB503^INDEX(FlowCalConstB,MATCH(Z498,FlowCalNumber,0),1,1)&gt;INDEX(FlowCalLowSetting,MATCH(Z498,FlowCalNumber,0),1,1), (INDEX(FlowCalConstA,MATCH(Z498,FlowCalNumber,0),1,1)*AB503^INDEX(FlowCalConstB,MATCH(Z498,FlowCalNumber,0),1,1)&lt;INDEX(FlowCalHighSetting,MATCH(Z498,FlowCalNumber,0),1,1))),INDEX(FlowCalConstA,MATCH(Z498,FlowCalNumber,0),1,1)*AB503^INDEX(FlowCalConstB,MATCH(Z498,FlowCalNumber,0),1,1)," ")</f>
        <v>#N/A</v>
      </c>
      <c r="AD503" s="33"/>
      <c r="AE503" s="242">
        <f t="shared" si="482"/>
        <v>0.1</v>
      </c>
      <c r="AF503" s="241" t="e">
        <f t="shared" ca="1" si="483"/>
        <v>#VALUE!</v>
      </c>
      <c r="AG503" s="243" t="e">
        <f ca="1">IF(AND(INDEX(FlowCalConstA,MATCH(AD498,FlowCalNumber,0),1,1)*AF503^INDEX(FlowCalConstB,MATCH(AD498,FlowCalNumber,0),1,1)&gt;INDEX(FlowCalLowSetting,MATCH(AD498,FlowCalNumber,0),1,1), (INDEX(FlowCalConstA,MATCH(AD498,FlowCalNumber,0),1,1)*AF503^INDEX(FlowCalConstB,MATCH(AD498,FlowCalNumber,0),1,1)&lt;INDEX(FlowCalHighSetting,MATCH(AD498,FlowCalNumber,0),1,1))),INDEX(FlowCalConstA,MATCH(AD498,FlowCalNumber,0),1,1)*AF503^INDEX(FlowCalConstB,MATCH(AD498,FlowCalNumber,0),1,1)," ")</f>
        <v>#N/A</v>
      </c>
      <c r="AH503" s="33"/>
      <c r="AI503" s="242">
        <f t="shared" si="484"/>
        <v>0.9</v>
      </c>
      <c r="AJ503" s="241" t="e">
        <f t="shared" ca="1" si="485"/>
        <v>#VALUE!</v>
      </c>
      <c r="AK503" s="243" t="e">
        <f ca="1">IF(AND(INDEX(FlowCalConstA,MATCH(AH498,FlowCalNumber,0),1,1)*AJ503^INDEX(FlowCalConstB,MATCH(AH498,FlowCalNumber,0),1,1)&gt;INDEX(FlowCalLowSetting,MATCH(AH498,FlowCalNumber,0),1,1), (INDEX(FlowCalConstA,MATCH(AH498,FlowCalNumber,0),1,1)*AJ503^INDEX(FlowCalConstB,MATCH(AH498,FlowCalNumber,0),1,1)&lt;INDEX(FlowCalHighSetting,MATCH(AH498,FlowCalNumber,0),1,1))),INDEX(FlowCalConstA,MATCH(AH498,FlowCalNumber,0),1,1)*AJ503^INDEX(FlowCalConstB,MATCH(AH498,FlowCalNumber,0),1,1)," ")</f>
        <v>#N/A</v>
      </c>
      <c r="AL503" s="33"/>
      <c r="AM503" s="242"/>
      <c r="AN503" s="241"/>
      <c r="AO503" s="244"/>
      <c r="AQ503" s="242"/>
      <c r="AR503" s="241"/>
      <c r="AS503" s="244"/>
      <c r="AT503" s="33"/>
      <c r="AU503" s="242"/>
      <c r="AV503" s="241"/>
      <c r="AW503" s="244"/>
      <c r="AX503" s="33"/>
      <c r="AY503" s="242"/>
      <c r="AZ503" s="241"/>
      <c r="BA503" s="244"/>
      <c r="BB503" s="33"/>
      <c r="BC503" s="242"/>
      <c r="BD503" s="241"/>
      <c r="BE503" s="244"/>
      <c r="BF503" s="33"/>
      <c r="BG503" s="242"/>
      <c r="BH503" s="241"/>
      <c r="BI503" s="244"/>
      <c r="BJ503" s="33"/>
      <c r="BK503" s="242"/>
      <c r="BL503" s="241"/>
      <c r="BM503" s="244"/>
      <c r="BN503" s="33"/>
      <c r="BO503" s="242"/>
      <c r="BP503" s="241"/>
      <c r="BQ503" s="244"/>
      <c r="BR503" s="33"/>
      <c r="BS503" s="242"/>
      <c r="BT503" s="241"/>
      <c r="BU503" s="244"/>
      <c r="BV503" s="33"/>
      <c r="BW503" s="242"/>
      <c r="BX503" s="241"/>
      <c r="BY503" s="244"/>
      <c r="BZ503" s="33"/>
      <c r="CA503" s="242"/>
      <c r="CB503" s="241"/>
      <c r="CC503" s="244"/>
      <c r="CD503" s="243"/>
      <c r="CE503" s="243"/>
      <c r="CF503" s="243"/>
      <c r="CG503" s="243"/>
      <c r="CH503" s="243"/>
      <c r="CI503" s="243"/>
      <c r="CJ503" s="243"/>
      <c r="CK503" s="243"/>
      <c r="CL503" s="243"/>
      <c r="CM503" s="243"/>
      <c r="CN503" s="243"/>
      <c r="CO503" s="243"/>
      <c r="CP503" s="243"/>
      <c r="CQ503" s="243"/>
      <c r="CR503" s="243"/>
      <c r="CS503" s="243"/>
      <c r="CT503" s="243"/>
      <c r="CU503" s="243"/>
      <c r="CV503" s="243"/>
      <c r="CW503" s="243"/>
      <c r="CX503" s="243"/>
      <c r="CY503" s="243"/>
      <c r="CZ503" s="243"/>
      <c r="DA503" s="243"/>
      <c r="DB503" s="243"/>
      <c r="DC503" s="243"/>
      <c r="DD503" s="243"/>
      <c r="DE503" s="243"/>
      <c r="DF503" s="243"/>
      <c r="DG503" s="243"/>
      <c r="DH503" s="243"/>
      <c r="DI503" s="243"/>
      <c r="DJ503" s="243"/>
      <c r="DK503" s="243"/>
      <c r="DM503" s="242"/>
      <c r="DO503" s="243"/>
      <c r="DQ503" s="242"/>
      <c r="DS503" s="243"/>
      <c r="DU503" s="242"/>
      <c r="DW503" s="243"/>
      <c r="DY503" s="242"/>
      <c r="EA503" s="243"/>
    </row>
    <row r="504" spans="1:131">
      <c r="A504" s="20"/>
      <c r="B504" s="124" t="str">
        <f t="shared" si="470"/>
        <v/>
      </c>
      <c r="C504" s="235"/>
      <c r="D504" s="24">
        <f>'1% Wind'!$M$87</f>
        <v>13.5</v>
      </c>
      <c r="E504" s="90"/>
      <c r="F504" s="90"/>
      <c r="G504" s="79">
        <f ca="1">IF(I498=0.9743,$G503,MAX(G503/D503*D504,2))</f>
        <v>6.001707317073171</v>
      </c>
      <c r="H504" s="121" t="e">
        <f t="shared" ca="1" si="471"/>
        <v>#VALUE!</v>
      </c>
      <c r="J504" s="33"/>
      <c r="K504" s="242">
        <f t="shared" si="472"/>
        <v>1</v>
      </c>
      <c r="L504" s="241" t="e">
        <f t="shared" ca="1" si="473"/>
        <v>#VALUE!</v>
      </c>
      <c r="M504" s="243" t="e">
        <f ca="1">IF(AND(INDEX(FlowCalConstA,MATCH(J498,FlowCalNumber,0),1,1)*L504^INDEX(FlowCalConstB,MATCH(J498,FlowCalNumber,0),1,1)&gt;INDEX(FlowCalLowSetting,MATCH(J498,FlowCalNumber,0),1,1), (INDEX(FlowCalConstA,MATCH(J498,FlowCalNumber,0),1,1)*L504^INDEX(FlowCalConstB,MATCH(J498,FlowCalNumber,0),1,1)&lt;INDEX(FlowCalHighSetting,MATCH(J498,FlowCalNumber,0),1,1))),INDEX(FlowCalConstA,MATCH(J498,FlowCalNumber,0),1,1)*L504^INDEX(FlowCalConstB,MATCH(J498,FlowCalNumber,0),1,1)," ")</f>
        <v>#N/A</v>
      </c>
      <c r="N504" s="33"/>
      <c r="O504" s="242">
        <f t="shared" si="474"/>
        <v>1</v>
      </c>
      <c r="P504" s="241" t="e">
        <f t="shared" ca="1" si="475"/>
        <v>#VALUE!</v>
      </c>
      <c r="Q504" s="243" t="e">
        <f ca="1">IF(AND(INDEX(FlowCalConstA,MATCH(N498,FlowCalNumber,0),1,1)*P504^INDEX(FlowCalConstB,MATCH(N498,FlowCalNumber,0),1,1)&gt;INDEX(FlowCalLowSetting,MATCH(N498,FlowCalNumber,0),1,1), (INDEX(FlowCalConstA,MATCH(N498,FlowCalNumber,0),1,1)*P504^INDEX(FlowCalConstB,MATCH(N498,FlowCalNumber,0),1,1)&lt;INDEX(FlowCalHighSetting,MATCH(N498,FlowCalNumber,0),1,1))),INDEX(FlowCalConstA,MATCH(N498,FlowCalNumber,0),1,1)*P504^INDEX(FlowCalConstB,MATCH(N498,FlowCalNumber,0),1,1)," ")</f>
        <v>#N/A</v>
      </c>
      <c r="R504" s="33"/>
      <c r="S504" s="242">
        <f t="shared" si="476"/>
        <v>1</v>
      </c>
      <c r="T504" s="241" t="e">
        <f t="shared" ca="1" si="477"/>
        <v>#VALUE!</v>
      </c>
      <c r="U504" s="244" t="e">
        <f ca="1">IF(AND(INDEX(FlowCalConstA,MATCH(R498,FlowCalNumber,0),1,1)*T504^INDEX(FlowCalConstB,MATCH(R498,FlowCalNumber,0),1,1)&gt;INDEX(FlowCalLowSetting,MATCH(R498,FlowCalNumber,0),1,1), (INDEX(FlowCalConstA,MATCH(R498,FlowCalNumber,0),1,1)*T504^INDEX(FlowCalConstB,MATCH(R498,FlowCalNumber,0),1,1)&lt;INDEX(FlowCalHighSetting,MATCH(R498,FlowCalNumber,0),1,1))),INDEX(FlowCalConstA,MATCH(R498,FlowCalNumber,0),1,1)*T504^INDEX(FlowCalConstB,MATCH(R498,FlowCalNumber,0),1,1)," ")</f>
        <v>#N/A</v>
      </c>
      <c r="V504" s="33"/>
      <c r="W504" s="242">
        <f t="shared" si="478"/>
        <v>0.1</v>
      </c>
      <c r="X504" s="241" t="e">
        <f t="shared" ca="1" si="479"/>
        <v>#VALUE!</v>
      </c>
      <c r="Y504" s="243" t="e">
        <f ca="1">IF(AND(INDEX(FlowCalConstA,MATCH(V498,FlowCalNumber,0),1,1)*X504^INDEX(FlowCalConstB,MATCH(V498,FlowCalNumber,0),1,1)&gt;INDEX(FlowCalLowSetting,MATCH(V498,FlowCalNumber,0),1,1), (INDEX(FlowCalConstA,MATCH(V498,FlowCalNumber,0),1,1)*X504^INDEX(FlowCalConstB,MATCH(V498,FlowCalNumber,0),1,1)&lt;INDEX(FlowCalHighSetting,MATCH(V498,FlowCalNumber,0),1,1))),INDEX(FlowCalConstA,MATCH(V498,FlowCalNumber,0),1,1)*X504^INDEX(FlowCalConstB,MATCH(V498,FlowCalNumber,0),1,1)," ")</f>
        <v>#N/A</v>
      </c>
      <c r="Z504" s="33"/>
      <c r="AA504" s="242">
        <f t="shared" si="480"/>
        <v>0.9</v>
      </c>
      <c r="AB504" s="241" t="e">
        <f t="shared" ca="1" si="481"/>
        <v>#VALUE!</v>
      </c>
      <c r="AC504" s="243" t="e">
        <f ca="1">IF(AND(INDEX(FlowCalConstA,MATCH(Z498,FlowCalNumber,0),1,1)*AB504^INDEX(FlowCalConstB,MATCH(Z498,FlowCalNumber,0),1,1)&gt;INDEX(FlowCalLowSetting,MATCH(Z498,FlowCalNumber,0),1,1), (INDEX(FlowCalConstA,MATCH(Z498,FlowCalNumber,0),1,1)*AB504^INDEX(FlowCalConstB,MATCH(Z498,FlowCalNumber,0),1,1)&lt;INDEX(FlowCalHighSetting,MATCH(Z498,FlowCalNumber,0),1,1))),INDEX(FlowCalConstA,MATCH(Z498,FlowCalNumber,0),1,1)*AB504^INDEX(FlowCalConstB,MATCH(Z498,FlowCalNumber,0),1,1)," ")</f>
        <v>#N/A</v>
      </c>
      <c r="AD504" s="33"/>
      <c r="AE504" s="242">
        <f t="shared" si="482"/>
        <v>0.1</v>
      </c>
      <c r="AF504" s="241" t="e">
        <f t="shared" ca="1" si="483"/>
        <v>#VALUE!</v>
      </c>
      <c r="AG504" s="243" t="e">
        <f ca="1">IF(AND(INDEX(FlowCalConstA,MATCH(AD498,FlowCalNumber,0),1,1)*AF504^INDEX(FlowCalConstB,MATCH(AD498,FlowCalNumber,0),1,1)&gt;INDEX(FlowCalLowSetting,MATCH(AD498,FlowCalNumber,0),1,1), (INDEX(FlowCalConstA,MATCH(AD498,FlowCalNumber,0),1,1)*AF504^INDEX(FlowCalConstB,MATCH(AD498,FlowCalNumber,0),1,1)&lt;INDEX(FlowCalHighSetting,MATCH(AD498,FlowCalNumber,0),1,1))),INDEX(FlowCalConstA,MATCH(AD498,FlowCalNumber,0),1,1)*AF504^INDEX(FlowCalConstB,MATCH(AD498,FlowCalNumber,0),1,1)," ")</f>
        <v>#N/A</v>
      </c>
      <c r="AH504" s="33"/>
      <c r="AI504" s="242">
        <f t="shared" si="484"/>
        <v>0.9</v>
      </c>
      <c r="AJ504" s="241" t="e">
        <f t="shared" ca="1" si="485"/>
        <v>#VALUE!</v>
      </c>
      <c r="AK504" s="243" t="e">
        <f ca="1">IF(AND(INDEX(FlowCalConstA,MATCH(AH498,FlowCalNumber,0),1,1)*AJ504^INDEX(FlowCalConstB,MATCH(AH498,FlowCalNumber,0),1,1)&gt;INDEX(FlowCalLowSetting,MATCH(AH498,FlowCalNumber,0),1,1), (INDEX(FlowCalConstA,MATCH(AH498,FlowCalNumber,0),1,1)*AJ504^INDEX(FlowCalConstB,MATCH(AH498,FlowCalNumber,0),1,1)&lt;INDEX(FlowCalHighSetting,MATCH(AH498,FlowCalNumber,0),1,1))),INDEX(FlowCalConstA,MATCH(AH498,FlowCalNumber,0),1,1)*AJ504^INDEX(FlowCalConstB,MATCH(AH498,FlowCalNumber,0),1,1)," ")</f>
        <v>#N/A</v>
      </c>
      <c r="AL504" s="33"/>
      <c r="AM504" s="242"/>
      <c r="AN504" s="241"/>
      <c r="AO504" s="244"/>
      <c r="AQ504" s="242"/>
      <c r="AR504" s="241"/>
      <c r="AS504" s="244"/>
      <c r="AT504" s="33"/>
      <c r="AU504" s="242"/>
      <c r="AV504" s="241"/>
      <c r="AW504" s="244"/>
      <c r="AX504" s="33"/>
      <c r="AY504" s="242"/>
      <c r="AZ504" s="241"/>
      <c r="BA504" s="244"/>
      <c r="BB504" s="33"/>
      <c r="BC504" s="242"/>
      <c r="BD504" s="241"/>
      <c r="BE504" s="244"/>
      <c r="BF504" s="33"/>
      <c r="BG504" s="242"/>
      <c r="BH504" s="241"/>
      <c r="BI504" s="244"/>
      <c r="BJ504" s="33"/>
      <c r="BK504" s="242"/>
      <c r="BL504" s="241"/>
      <c r="BM504" s="244"/>
      <c r="BN504" s="33"/>
      <c r="BO504" s="242"/>
      <c r="BP504" s="241"/>
      <c r="BQ504" s="244"/>
      <c r="BR504" s="33"/>
      <c r="BS504" s="242"/>
      <c r="BT504" s="241"/>
      <c r="BU504" s="244"/>
      <c r="BV504" s="33"/>
      <c r="BW504" s="242"/>
      <c r="BX504" s="241"/>
      <c r="BY504" s="244"/>
      <c r="BZ504" s="33"/>
      <c r="CA504" s="242"/>
      <c r="CB504" s="241"/>
      <c r="CC504" s="244"/>
      <c r="CD504" s="243"/>
      <c r="CE504" s="243"/>
      <c r="CF504" s="243"/>
      <c r="CG504" s="243"/>
      <c r="CH504" s="243"/>
      <c r="CI504" s="243"/>
      <c r="CJ504" s="243"/>
      <c r="CK504" s="243"/>
      <c r="CL504" s="243"/>
      <c r="CM504" s="243"/>
      <c r="CN504" s="243"/>
      <c r="CO504" s="243"/>
      <c r="CP504" s="243"/>
      <c r="CQ504" s="243"/>
      <c r="CR504" s="243"/>
      <c r="CS504" s="243"/>
      <c r="CT504" s="243"/>
      <c r="CU504" s="243"/>
      <c r="CV504" s="243"/>
      <c r="CW504" s="243"/>
      <c r="CX504" s="243"/>
      <c r="CY504" s="243"/>
      <c r="CZ504" s="243"/>
      <c r="DA504" s="243"/>
      <c r="DB504" s="243"/>
      <c r="DC504" s="243"/>
      <c r="DD504" s="243"/>
      <c r="DE504" s="243"/>
      <c r="DF504" s="243"/>
      <c r="DG504" s="243"/>
      <c r="DH504" s="243"/>
      <c r="DI504" s="243"/>
      <c r="DJ504" s="243"/>
      <c r="DK504" s="243"/>
      <c r="DM504" s="242"/>
      <c r="DO504" s="243"/>
      <c r="DQ504" s="242"/>
      <c r="DS504" s="243"/>
      <c r="DU504" s="242"/>
      <c r="DW504" s="243"/>
      <c r="DY504" s="242"/>
      <c r="EA504" s="243"/>
    </row>
    <row r="505" spans="1:131">
      <c r="A505" s="20"/>
      <c r="B505" s="124" t="str">
        <f t="shared" si="470"/>
        <v/>
      </c>
      <c r="C505" s="235"/>
      <c r="D505" s="24">
        <f>'1% Wind'!$M$88</f>
        <v>10.1</v>
      </c>
      <c r="E505" s="90"/>
      <c r="F505" s="90"/>
      <c r="G505" s="79">
        <f ca="1">IF(I498=0.9743,$G504,MAX(G504/D504*D505,2))</f>
        <v>6.001707317073171</v>
      </c>
      <c r="H505" s="121" t="e">
        <f t="shared" ca="1" si="471"/>
        <v>#VALUE!</v>
      </c>
      <c r="J505" s="33"/>
      <c r="K505" s="242">
        <f t="shared" si="472"/>
        <v>1</v>
      </c>
      <c r="L505" s="241" t="e">
        <f t="shared" ca="1" si="473"/>
        <v>#VALUE!</v>
      </c>
      <c r="M505" s="243" t="e">
        <f ca="1">IF(AND(INDEX(FlowCalConstA,MATCH(J498,FlowCalNumber,0),1,1)*L505^INDEX(FlowCalConstB,MATCH(J498,FlowCalNumber,0),1,1)&gt;INDEX(FlowCalLowSetting,MATCH(J498,FlowCalNumber,0),1,1), (INDEX(FlowCalConstA,MATCH(J498,FlowCalNumber,0),1,1)*L505^INDEX(FlowCalConstB,MATCH(J498,FlowCalNumber,0),1,1)&lt;INDEX(FlowCalHighSetting,MATCH(J498,FlowCalNumber,0),1,1))),INDEX(FlowCalConstA,MATCH(J498,FlowCalNumber,0),1,1)*L505^INDEX(FlowCalConstB,MATCH(J498,FlowCalNumber,0),1,1)," ")</f>
        <v>#N/A</v>
      </c>
      <c r="N505" s="33"/>
      <c r="O505" s="242">
        <f t="shared" si="474"/>
        <v>1</v>
      </c>
      <c r="P505" s="241" t="e">
        <f t="shared" ca="1" si="475"/>
        <v>#VALUE!</v>
      </c>
      <c r="Q505" s="243" t="e">
        <f ca="1">IF(AND(INDEX(FlowCalConstA,MATCH(N498,FlowCalNumber,0),1,1)*P505^INDEX(FlowCalConstB,MATCH(N498,FlowCalNumber,0),1,1)&gt;INDEX(FlowCalLowSetting,MATCH(N498,FlowCalNumber,0),1,1), (INDEX(FlowCalConstA,MATCH(N498,FlowCalNumber,0),1,1)*P505^INDEX(FlowCalConstB,MATCH(N498,FlowCalNumber,0),1,1)&lt;INDEX(FlowCalHighSetting,MATCH(N498,FlowCalNumber,0),1,1))),INDEX(FlowCalConstA,MATCH(N498,FlowCalNumber,0),1,1)*P505^INDEX(FlowCalConstB,MATCH(N498,FlowCalNumber,0),1,1)," ")</f>
        <v>#N/A</v>
      </c>
      <c r="R505" s="33"/>
      <c r="S505" s="242">
        <f t="shared" si="476"/>
        <v>1</v>
      </c>
      <c r="T505" s="241" t="e">
        <f t="shared" ca="1" si="477"/>
        <v>#VALUE!</v>
      </c>
      <c r="U505" s="244" t="e">
        <f ca="1">IF(AND(INDEX(FlowCalConstA,MATCH(R498,FlowCalNumber,0),1,1)*T505^INDEX(FlowCalConstB,MATCH(R498,FlowCalNumber,0),1,1)&gt;INDEX(FlowCalLowSetting,MATCH(R498,FlowCalNumber,0),1,1), (INDEX(FlowCalConstA,MATCH(R498,FlowCalNumber,0),1,1)*T505^INDEX(FlowCalConstB,MATCH(R498,FlowCalNumber,0),1,1)&lt;INDEX(FlowCalHighSetting,MATCH(R498,FlowCalNumber,0),1,1))),INDEX(FlowCalConstA,MATCH(R498,FlowCalNumber,0),1,1)*T505^INDEX(FlowCalConstB,MATCH(R498,FlowCalNumber,0),1,1)," ")</f>
        <v>#N/A</v>
      </c>
      <c r="V505" s="33"/>
      <c r="W505" s="242">
        <f t="shared" si="478"/>
        <v>0.1</v>
      </c>
      <c r="X505" s="241" t="e">
        <f t="shared" ca="1" si="479"/>
        <v>#VALUE!</v>
      </c>
      <c r="Y505" s="243" t="e">
        <f ca="1">IF(AND(INDEX(FlowCalConstA,MATCH(V498,FlowCalNumber,0),1,1)*X505^INDEX(FlowCalConstB,MATCH(V498,FlowCalNumber,0),1,1)&gt;INDEX(FlowCalLowSetting,MATCH(V498,FlowCalNumber,0),1,1), (INDEX(FlowCalConstA,MATCH(V498,FlowCalNumber,0),1,1)*X505^INDEX(FlowCalConstB,MATCH(V498,FlowCalNumber,0),1,1)&lt;INDEX(FlowCalHighSetting,MATCH(V498,FlowCalNumber,0),1,1))),INDEX(FlowCalConstA,MATCH(V498,FlowCalNumber,0),1,1)*X505^INDEX(FlowCalConstB,MATCH(V498,FlowCalNumber,0),1,1)," ")</f>
        <v>#N/A</v>
      </c>
      <c r="Z505" s="33"/>
      <c r="AA505" s="242">
        <f t="shared" si="480"/>
        <v>0.9</v>
      </c>
      <c r="AB505" s="241" t="e">
        <f t="shared" ca="1" si="481"/>
        <v>#VALUE!</v>
      </c>
      <c r="AC505" s="243" t="e">
        <f ca="1">IF(AND(INDEX(FlowCalConstA,MATCH(Z498,FlowCalNumber,0),1,1)*AB505^INDEX(FlowCalConstB,MATCH(Z498,FlowCalNumber,0),1,1)&gt;INDEX(FlowCalLowSetting,MATCH(Z498,FlowCalNumber,0),1,1), (INDEX(FlowCalConstA,MATCH(Z498,FlowCalNumber,0),1,1)*AB505^INDEX(FlowCalConstB,MATCH(Z498,FlowCalNumber,0),1,1)&lt;INDEX(FlowCalHighSetting,MATCH(Z498,FlowCalNumber,0),1,1))),INDEX(FlowCalConstA,MATCH(Z498,FlowCalNumber,0),1,1)*AB505^INDEX(FlowCalConstB,MATCH(Z498,FlowCalNumber,0),1,1)," ")</f>
        <v>#N/A</v>
      </c>
      <c r="AD505" s="33"/>
      <c r="AE505" s="242">
        <f t="shared" si="482"/>
        <v>0.1</v>
      </c>
      <c r="AF505" s="241" t="e">
        <f t="shared" ca="1" si="483"/>
        <v>#VALUE!</v>
      </c>
      <c r="AG505" s="243" t="e">
        <f ca="1">IF(AND(INDEX(FlowCalConstA,MATCH(AD498,FlowCalNumber,0),1,1)*AF505^INDEX(FlowCalConstB,MATCH(AD498,FlowCalNumber,0),1,1)&gt;INDEX(FlowCalLowSetting,MATCH(AD498,FlowCalNumber,0),1,1), (INDEX(FlowCalConstA,MATCH(AD498,FlowCalNumber,0),1,1)*AF505^INDEX(FlowCalConstB,MATCH(AD498,FlowCalNumber,0),1,1)&lt;INDEX(FlowCalHighSetting,MATCH(AD498,FlowCalNumber,0),1,1))),INDEX(FlowCalConstA,MATCH(AD498,FlowCalNumber,0),1,1)*AF505^INDEX(FlowCalConstB,MATCH(AD498,FlowCalNumber,0),1,1)," ")</f>
        <v>#N/A</v>
      </c>
      <c r="AH505" s="33"/>
      <c r="AI505" s="242">
        <f t="shared" si="484"/>
        <v>0.9</v>
      </c>
      <c r="AJ505" s="241" t="e">
        <f t="shared" ca="1" si="485"/>
        <v>#VALUE!</v>
      </c>
      <c r="AK505" s="243" t="e">
        <f ca="1">IF(AND(INDEX(FlowCalConstA,MATCH(AH498,FlowCalNumber,0),1,1)*AJ505^INDEX(FlowCalConstB,MATCH(AH498,FlowCalNumber,0),1,1)&gt;INDEX(FlowCalLowSetting,MATCH(AH498,FlowCalNumber,0),1,1), (INDEX(FlowCalConstA,MATCH(AH498,FlowCalNumber,0),1,1)*AJ505^INDEX(FlowCalConstB,MATCH(AH498,FlowCalNumber,0),1,1)&lt;INDEX(FlowCalHighSetting,MATCH(AH498,FlowCalNumber,0),1,1))),INDEX(FlowCalConstA,MATCH(AH498,FlowCalNumber,0),1,1)*AJ505^INDEX(FlowCalConstB,MATCH(AH498,FlowCalNumber,0),1,1)," ")</f>
        <v>#N/A</v>
      </c>
      <c r="AL505" s="33"/>
      <c r="AM505" s="242"/>
      <c r="AN505" s="241"/>
      <c r="AO505" s="244"/>
      <c r="AQ505" s="242"/>
      <c r="AR505" s="241"/>
      <c r="AS505" s="244"/>
      <c r="AT505" s="33"/>
      <c r="AU505" s="242"/>
      <c r="AV505" s="241"/>
      <c r="AW505" s="244"/>
      <c r="AX505" s="33"/>
      <c r="AY505" s="242"/>
      <c r="AZ505" s="241"/>
      <c r="BA505" s="244"/>
      <c r="BB505" s="33"/>
      <c r="BC505" s="242"/>
      <c r="BD505" s="241"/>
      <c r="BE505" s="244"/>
      <c r="BF505" s="33"/>
      <c r="BG505" s="242"/>
      <c r="BH505" s="241"/>
      <c r="BI505" s="244"/>
      <c r="BJ505" s="33"/>
      <c r="BK505" s="242"/>
      <c r="BL505" s="241"/>
      <c r="BM505" s="244"/>
      <c r="BN505" s="33"/>
      <c r="BO505" s="242"/>
      <c r="BP505" s="241"/>
      <c r="BQ505" s="244"/>
      <c r="BR505" s="33"/>
      <c r="BS505" s="242"/>
      <c r="BT505" s="241"/>
      <c r="BU505" s="244"/>
      <c r="BV505" s="33"/>
      <c r="BW505" s="242"/>
      <c r="BX505" s="241"/>
      <c r="BY505" s="244"/>
      <c r="BZ505" s="33"/>
      <c r="CA505" s="242"/>
      <c r="CB505" s="241"/>
      <c r="CC505" s="244"/>
      <c r="CD505" s="243"/>
      <c r="CE505" s="243"/>
      <c r="CF505" s="243"/>
      <c r="CG505" s="243"/>
      <c r="CH505" s="243"/>
      <c r="CI505" s="243"/>
      <c r="CJ505" s="243"/>
      <c r="CK505" s="243"/>
      <c r="CL505" s="243"/>
      <c r="CM505" s="243"/>
      <c r="CN505" s="243"/>
      <c r="CO505" s="243"/>
      <c r="CP505" s="243"/>
      <c r="CQ505" s="243"/>
      <c r="CR505" s="243"/>
      <c r="CS505" s="243"/>
      <c r="CT505" s="243"/>
      <c r="CU505" s="243"/>
      <c r="CV505" s="243"/>
      <c r="CW505" s="243"/>
      <c r="CX505" s="243"/>
      <c r="CY505" s="243"/>
      <c r="CZ505" s="243"/>
      <c r="DA505" s="243"/>
      <c r="DB505" s="243"/>
      <c r="DC505" s="243"/>
      <c r="DD505" s="243"/>
      <c r="DE505" s="243"/>
      <c r="DF505" s="243"/>
      <c r="DG505" s="243"/>
      <c r="DH505" s="243"/>
      <c r="DI505" s="243"/>
      <c r="DJ505" s="243"/>
      <c r="DK505" s="243"/>
      <c r="DM505" s="242"/>
      <c r="DO505" s="243"/>
      <c r="DQ505" s="242"/>
      <c r="DS505" s="243"/>
      <c r="DU505" s="242"/>
      <c r="DW505" s="243"/>
      <c r="DY505" s="242"/>
      <c r="EA505" s="243"/>
    </row>
    <row r="506" spans="1:131">
      <c r="A506" s="20"/>
      <c r="B506" s="124" t="str">
        <f t="shared" si="470"/>
        <v/>
      </c>
      <c r="C506" s="235"/>
      <c r="D506" s="24">
        <f>'1% Wind'!$M$89</f>
        <v>7.6</v>
      </c>
      <c r="E506" s="90"/>
      <c r="F506" s="90"/>
      <c r="G506" s="79">
        <f ca="1">IF(I498=0.9743,$G505,MAX(G505/D505*D506,2))</f>
        <v>6.001707317073171</v>
      </c>
      <c r="H506" s="121" t="e">
        <f t="shared" ca="1" si="471"/>
        <v>#VALUE!</v>
      </c>
      <c r="J506" s="33"/>
      <c r="K506" s="242">
        <f t="shared" si="472"/>
        <v>1</v>
      </c>
      <c r="L506" s="241" t="e">
        <f t="shared" ca="1" si="473"/>
        <v>#VALUE!</v>
      </c>
      <c r="M506" s="243" t="e">
        <f ca="1">IF(AND(INDEX(FlowCalConstA,MATCH(J498,FlowCalNumber,0),1,1)*L506^INDEX(FlowCalConstB,MATCH(J498,FlowCalNumber,0),1,1)&gt;INDEX(FlowCalLowSetting,MATCH(J498,FlowCalNumber,0),1,1), (INDEX(FlowCalConstA,MATCH(J498,FlowCalNumber,0),1,1)*L506^INDEX(FlowCalConstB,MATCH(J498,FlowCalNumber,0),1,1)&lt;INDEX(FlowCalHighSetting,MATCH(J498,FlowCalNumber,0),1,1))),INDEX(FlowCalConstA,MATCH(J498,FlowCalNumber,0),1,1)*L506^INDEX(FlowCalConstB,MATCH(J498,FlowCalNumber,0),1,1)," ")</f>
        <v>#N/A</v>
      </c>
      <c r="N506" s="33"/>
      <c r="O506" s="242">
        <f t="shared" si="474"/>
        <v>1</v>
      </c>
      <c r="P506" s="241" t="e">
        <f t="shared" ca="1" si="475"/>
        <v>#VALUE!</v>
      </c>
      <c r="Q506" s="243" t="e">
        <f ca="1">IF(AND(INDEX(FlowCalConstA,MATCH(N498,FlowCalNumber,0),1,1)*P506^INDEX(FlowCalConstB,MATCH(N498,FlowCalNumber,0),1,1)&gt;INDEX(FlowCalLowSetting,MATCH(N498,FlowCalNumber,0),1,1), (INDEX(FlowCalConstA,MATCH(N498,FlowCalNumber,0),1,1)*P506^INDEX(FlowCalConstB,MATCH(N498,FlowCalNumber,0),1,1)&lt;INDEX(FlowCalHighSetting,MATCH(N498,FlowCalNumber,0),1,1))),INDEX(FlowCalConstA,MATCH(N498,FlowCalNumber,0),1,1)*P506^INDEX(FlowCalConstB,MATCH(N498,FlowCalNumber,0),1,1)," ")</f>
        <v>#N/A</v>
      </c>
      <c r="R506" s="33"/>
      <c r="S506" s="242">
        <f t="shared" si="476"/>
        <v>1</v>
      </c>
      <c r="T506" s="241" t="e">
        <f t="shared" ca="1" si="477"/>
        <v>#VALUE!</v>
      </c>
      <c r="U506" s="244" t="e">
        <f ca="1">IF(AND(INDEX(FlowCalConstA,MATCH(R498,FlowCalNumber,0),1,1)*T506^INDEX(FlowCalConstB,MATCH(R498,FlowCalNumber,0),1,1)&gt;INDEX(FlowCalLowSetting,MATCH(R498,FlowCalNumber,0),1,1), (INDEX(FlowCalConstA,MATCH(R498,FlowCalNumber,0),1,1)*T506^INDEX(FlowCalConstB,MATCH(R498,FlowCalNumber,0),1,1)&lt;INDEX(FlowCalHighSetting,MATCH(R498,FlowCalNumber,0),1,1))),INDEX(FlowCalConstA,MATCH(R498,FlowCalNumber,0),1,1)*T506^INDEX(FlowCalConstB,MATCH(R498,FlowCalNumber,0),1,1)," ")</f>
        <v>#N/A</v>
      </c>
      <c r="V506" s="33"/>
      <c r="W506" s="242">
        <f t="shared" si="478"/>
        <v>0.1</v>
      </c>
      <c r="X506" s="241" t="e">
        <f t="shared" ca="1" si="479"/>
        <v>#VALUE!</v>
      </c>
      <c r="Y506" s="243" t="e">
        <f ca="1">IF(AND(INDEX(FlowCalConstA,MATCH(V498,FlowCalNumber,0),1,1)*X506^INDEX(FlowCalConstB,MATCH(V498,FlowCalNumber,0),1,1)&gt;INDEX(FlowCalLowSetting,MATCH(V498,FlowCalNumber,0),1,1), (INDEX(FlowCalConstA,MATCH(V498,FlowCalNumber,0),1,1)*X506^INDEX(FlowCalConstB,MATCH(V498,FlowCalNumber,0),1,1)&lt;INDEX(FlowCalHighSetting,MATCH(V498,FlowCalNumber,0),1,1))),INDEX(FlowCalConstA,MATCH(V498,FlowCalNumber,0),1,1)*X506^INDEX(FlowCalConstB,MATCH(V498,FlowCalNumber,0),1,1)," ")</f>
        <v>#N/A</v>
      </c>
      <c r="Z506" s="33"/>
      <c r="AA506" s="242">
        <f t="shared" si="480"/>
        <v>0.9</v>
      </c>
      <c r="AB506" s="241" t="e">
        <f t="shared" ca="1" si="481"/>
        <v>#VALUE!</v>
      </c>
      <c r="AC506" s="243" t="e">
        <f ca="1">IF(AND(INDEX(FlowCalConstA,MATCH(Z498,FlowCalNumber,0),1,1)*AB506^INDEX(FlowCalConstB,MATCH(Z498,FlowCalNumber,0),1,1)&gt;INDEX(FlowCalLowSetting,MATCH(Z498,FlowCalNumber,0),1,1), (INDEX(FlowCalConstA,MATCH(Z498,FlowCalNumber,0),1,1)*AB506^INDEX(FlowCalConstB,MATCH(Z498,FlowCalNumber,0),1,1)&lt;INDEX(FlowCalHighSetting,MATCH(Z498,FlowCalNumber,0),1,1))),INDEX(FlowCalConstA,MATCH(Z498,FlowCalNumber,0),1,1)*AB506^INDEX(FlowCalConstB,MATCH(Z498,FlowCalNumber,0),1,1)," ")</f>
        <v>#N/A</v>
      </c>
      <c r="AD506" s="33"/>
      <c r="AE506" s="242">
        <f t="shared" si="482"/>
        <v>0.1</v>
      </c>
      <c r="AF506" s="241" t="e">
        <f t="shared" ca="1" si="483"/>
        <v>#VALUE!</v>
      </c>
      <c r="AG506" s="243" t="e">
        <f ca="1">IF(AND(INDEX(FlowCalConstA,MATCH(AD498,FlowCalNumber,0),1,1)*AF506^INDEX(FlowCalConstB,MATCH(AD498,FlowCalNumber,0),1,1)&gt;INDEX(FlowCalLowSetting,MATCH(AD498,FlowCalNumber,0),1,1), (INDEX(FlowCalConstA,MATCH(AD498,FlowCalNumber,0),1,1)*AF506^INDEX(FlowCalConstB,MATCH(AD498,FlowCalNumber,0),1,1)&lt;INDEX(FlowCalHighSetting,MATCH(AD498,FlowCalNumber,0),1,1))),INDEX(FlowCalConstA,MATCH(AD498,FlowCalNumber,0),1,1)*AF506^INDEX(FlowCalConstB,MATCH(AD498,FlowCalNumber,0),1,1)," ")</f>
        <v>#N/A</v>
      </c>
      <c r="AH506" s="33"/>
      <c r="AI506" s="242">
        <f t="shared" si="484"/>
        <v>0.9</v>
      </c>
      <c r="AJ506" s="241" t="e">
        <f t="shared" ca="1" si="485"/>
        <v>#VALUE!</v>
      </c>
      <c r="AK506" s="243" t="e">
        <f ca="1">IF(AND(INDEX(FlowCalConstA,MATCH(AH498,FlowCalNumber,0),1,1)*AJ506^INDEX(FlowCalConstB,MATCH(AH498,FlowCalNumber,0),1,1)&gt;INDEX(FlowCalLowSetting,MATCH(AH498,FlowCalNumber,0),1,1), (INDEX(FlowCalConstA,MATCH(AH498,FlowCalNumber,0),1,1)*AJ506^INDEX(FlowCalConstB,MATCH(AH498,FlowCalNumber,0),1,1)&lt;INDEX(FlowCalHighSetting,MATCH(AH498,FlowCalNumber,0),1,1))),INDEX(FlowCalConstA,MATCH(AH498,FlowCalNumber,0),1,1)*AJ506^INDEX(FlowCalConstB,MATCH(AH498,FlowCalNumber,0),1,1)," ")</f>
        <v>#N/A</v>
      </c>
      <c r="AL506" s="33"/>
      <c r="AM506" s="242"/>
      <c r="AN506" s="241"/>
      <c r="AO506" s="244"/>
      <c r="AQ506" s="242"/>
      <c r="AR506" s="241"/>
      <c r="AS506" s="244"/>
      <c r="AT506" s="33"/>
      <c r="AU506" s="242"/>
      <c r="AV506" s="241"/>
      <c r="AW506" s="244"/>
      <c r="AX506" s="33"/>
      <c r="AY506" s="242"/>
      <c r="AZ506" s="241"/>
      <c r="BA506" s="244"/>
      <c r="BB506" s="33"/>
      <c r="BC506" s="242"/>
      <c r="BD506" s="241"/>
      <c r="BE506" s="244"/>
      <c r="BF506" s="33"/>
      <c r="BG506" s="242"/>
      <c r="BH506" s="241"/>
      <c r="BI506" s="244"/>
      <c r="BJ506" s="33"/>
      <c r="BK506" s="242"/>
      <c r="BL506" s="241"/>
      <c r="BM506" s="244"/>
      <c r="BN506" s="33"/>
      <c r="BO506" s="242"/>
      <c r="BP506" s="241"/>
      <c r="BQ506" s="244"/>
      <c r="BR506" s="33"/>
      <c r="BS506" s="242"/>
      <c r="BT506" s="241"/>
      <c r="BU506" s="244"/>
      <c r="BV506" s="33"/>
      <c r="BW506" s="242"/>
      <c r="BX506" s="241"/>
      <c r="BY506" s="244"/>
      <c r="BZ506" s="33"/>
      <c r="CA506" s="242"/>
      <c r="CB506" s="241"/>
      <c r="CC506" s="244"/>
      <c r="CD506" s="243"/>
      <c r="CE506" s="243"/>
      <c r="CF506" s="243"/>
      <c r="CG506" s="243"/>
      <c r="CH506" s="243"/>
      <c r="CI506" s="243"/>
      <c r="CJ506" s="243"/>
      <c r="CK506" s="243"/>
      <c r="CL506" s="243"/>
      <c r="CM506" s="243"/>
      <c r="CN506" s="243"/>
      <c r="CO506" s="243"/>
      <c r="CP506" s="243"/>
      <c r="CQ506" s="243"/>
      <c r="CR506" s="243"/>
      <c r="CS506" s="243"/>
      <c r="CT506" s="243"/>
      <c r="CU506" s="243"/>
      <c r="CV506" s="243"/>
      <c r="CW506" s="243"/>
      <c r="CX506" s="243"/>
      <c r="CY506" s="243"/>
      <c r="CZ506" s="243"/>
      <c r="DA506" s="243"/>
      <c r="DB506" s="243"/>
      <c r="DC506" s="243"/>
      <c r="DD506" s="243"/>
      <c r="DE506" s="243"/>
      <c r="DF506" s="243"/>
      <c r="DG506" s="243"/>
      <c r="DH506" s="243"/>
      <c r="DI506" s="243"/>
      <c r="DJ506" s="243"/>
      <c r="DK506" s="243"/>
      <c r="DM506" s="242"/>
      <c r="DO506" s="243"/>
      <c r="DQ506" s="242"/>
      <c r="DS506" s="243"/>
      <c r="DU506" s="242"/>
      <c r="DW506" s="243"/>
      <c r="DY506" s="242"/>
      <c r="EA506" s="243"/>
    </row>
    <row r="507" spans="1:131">
      <c r="A507" s="20"/>
      <c r="B507" s="124" t="str">
        <f t="shared" si="470"/>
        <v/>
      </c>
      <c r="C507" s="235"/>
      <c r="D507" s="24">
        <f>'1% Wind'!$M$90</f>
        <v>5.7</v>
      </c>
      <c r="E507" s="90"/>
      <c r="F507" s="90"/>
      <c r="G507" s="79">
        <f ca="1">IF(I498=0.9743,$G506,MAX(G506/D506*D507,2))</f>
        <v>6.001707317073171</v>
      </c>
      <c r="H507" s="121" t="e">
        <f t="shared" ca="1" si="471"/>
        <v>#VALUE!</v>
      </c>
      <c r="J507" s="33"/>
      <c r="K507" s="242">
        <f t="shared" si="472"/>
        <v>1</v>
      </c>
      <c r="L507" s="241" t="e">
        <f t="shared" ca="1" si="473"/>
        <v>#VALUE!</v>
      </c>
      <c r="M507" s="243" t="e">
        <f ca="1">IF(AND(INDEX(FlowCalConstA,MATCH(J498,FlowCalNumber,0),1,1)*L507^INDEX(FlowCalConstB,MATCH(J498,FlowCalNumber,0),1,1)&gt;INDEX(FlowCalLowSetting,MATCH(J498,FlowCalNumber,0),1,1), (INDEX(FlowCalConstA,MATCH(J498,FlowCalNumber,0),1,1)*L507^INDEX(FlowCalConstB,MATCH(J498,FlowCalNumber,0),1,1)&lt;INDEX(FlowCalHighSetting,MATCH(J498,FlowCalNumber,0),1,1))),INDEX(FlowCalConstA,MATCH(J498,FlowCalNumber,0),1,1)*L507^INDEX(FlowCalConstB,MATCH(J498,FlowCalNumber,0),1,1)," ")</f>
        <v>#N/A</v>
      </c>
      <c r="N507" s="33"/>
      <c r="O507" s="242">
        <f t="shared" si="474"/>
        <v>1</v>
      </c>
      <c r="P507" s="241" t="e">
        <f t="shared" ca="1" si="475"/>
        <v>#VALUE!</v>
      </c>
      <c r="Q507" s="243" t="e">
        <f ca="1">IF(AND(INDEX(FlowCalConstA,MATCH(N498,FlowCalNumber,0),1,1)*P507^INDEX(FlowCalConstB,MATCH(N498,FlowCalNumber,0),1,1)&gt;INDEX(FlowCalLowSetting,MATCH(N498,FlowCalNumber,0),1,1), (INDEX(FlowCalConstA,MATCH(N498,FlowCalNumber,0),1,1)*P507^INDEX(FlowCalConstB,MATCH(N498,FlowCalNumber,0),1,1)&lt;INDEX(FlowCalHighSetting,MATCH(N498,FlowCalNumber,0),1,1))),INDEX(FlowCalConstA,MATCH(N498,FlowCalNumber,0),1,1)*P507^INDEX(FlowCalConstB,MATCH(N498,FlowCalNumber,0),1,1)," ")</f>
        <v>#N/A</v>
      </c>
      <c r="R507" s="33"/>
      <c r="S507" s="242">
        <f t="shared" si="476"/>
        <v>1</v>
      </c>
      <c r="T507" s="241" t="e">
        <f t="shared" ca="1" si="477"/>
        <v>#VALUE!</v>
      </c>
      <c r="U507" s="244" t="e">
        <f ca="1">IF(AND(INDEX(FlowCalConstA,MATCH(R498,FlowCalNumber,0),1,1)*T507^INDEX(FlowCalConstB,MATCH(R498,FlowCalNumber,0),1,1)&gt;INDEX(FlowCalLowSetting,MATCH(R498,FlowCalNumber,0),1,1), (INDEX(FlowCalConstA,MATCH(R498,FlowCalNumber,0),1,1)*T507^INDEX(FlowCalConstB,MATCH(R498,FlowCalNumber,0),1,1)&lt;INDEX(FlowCalHighSetting,MATCH(R498,FlowCalNumber,0),1,1))),INDEX(FlowCalConstA,MATCH(R498,FlowCalNumber,0),1,1)*T507^INDEX(FlowCalConstB,MATCH(R498,FlowCalNumber,0),1,1)," ")</f>
        <v>#N/A</v>
      </c>
      <c r="V507" s="33"/>
      <c r="W507" s="242">
        <f t="shared" si="478"/>
        <v>0.1</v>
      </c>
      <c r="X507" s="241" t="e">
        <f t="shared" ca="1" si="479"/>
        <v>#VALUE!</v>
      </c>
      <c r="Y507" s="243" t="e">
        <f ca="1">IF(AND(INDEX(FlowCalConstA,MATCH(V498,FlowCalNumber,0),1,1)*X507^INDEX(FlowCalConstB,MATCH(V498,FlowCalNumber,0),1,1)&gt;INDEX(FlowCalLowSetting,MATCH(V498,FlowCalNumber,0),1,1), (INDEX(FlowCalConstA,MATCH(V498,FlowCalNumber,0),1,1)*X507^INDEX(FlowCalConstB,MATCH(V498,FlowCalNumber,0),1,1)&lt;INDEX(FlowCalHighSetting,MATCH(V498,FlowCalNumber,0),1,1))),INDEX(FlowCalConstA,MATCH(V498,FlowCalNumber,0),1,1)*X507^INDEX(FlowCalConstB,MATCH(V498,FlowCalNumber,0),1,1)," ")</f>
        <v>#N/A</v>
      </c>
      <c r="Z507" s="33"/>
      <c r="AA507" s="242">
        <f t="shared" si="480"/>
        <v>0.9</v>
      </c>
      <c r="AB507" s="241" t="e">
        <f t="shared" ca="1" si="481"/>
        <v>#VALUE!</v>
      </c>
      <c r="AC507" s="243" t="e">
        <f ca="1">IF(AND(INDEX(FlowCalConstA,MATCH(Z498,FlowCalNumber,0),1,1)*AB507^INDEX(FlowCalConstB,MATCH(Z498,FlowCalNumber,0),1,1)&gt;INDEX(FlowCalLowSetting,MATCH(Z498,FlowCalNumber,0),1,1), (INDEX(FlowCalConstA,MATCH(Z498,FlowCalNumber,0),1,1)*AB507^INDEX(FlowCalConstB,MATCH(Z498,FlowCalNumber,0),1,1)&lt;INDEX(FlowCalHighSetting,MATCH(Z498,FlowCalNumber,0),1,1))),INDEX(FlowCalConstA,MATCH(Z498,FlowCalNumber,0),1,1)*AB507^INDEX(FlowCalConstB,MATCH(Z498,FlowCalNumber,0),1,1)," ")</f>
        <v>#N/A</v>
      </c>
      <c r="AD507" s="33"/>
      <c r="AE507" s="242">
        <f t="shared" si="482"/>
        <v>0.1</v>
      </c>
      <c r="AF507" s="241" t="e">
        <f t="shared" ca="1" si="483"/>
        <v>#VALUE!</v>
      </c>
      <c r="AG507" s="243" t="e">
        <f ca="1">IF(AND(INDEX(FlowCalConstA,MATCH(AD498,FlowCalNumber,0),1,1)*AF507^INDEX(FlowCalConstB,MATCH(AD498,FlowCalNumber,0),1,1)&gt;INDEX(FlowCalLowSetting,MATCH(AD498,FlowCalNumber,0),1,1), (INDEX(FlowCalConstA,MATCH(AD498,FlowCalNumber,0),1,1)*AF507^INDEX(FlowCalConstB,MATCH(AD498,FlowCalNumber,0),1,1)&lt;INDEX(FlowCalHighSetting,MATCH(AD498,FlowCalNumber,0),1,1))),INDEX(FlowCalConstA,MATCH(AD498,FlowCalNumber,0),1,1)*AF507^INDEX(FlowCalConstB,MATCH(AD498,FlowCalNumber,0),1,1)," ")</f>
        <v>#N/A</v>
      </c>
      <c r="AH507" s="33"/>
      <c r="AI507" s="242">
        <f t="shared" si="484"/>
        <v>0.9</v>
      </c>
      <c r="AJ507" s="241" t="e">
        <f t="shared" ca="1" si="485"/>
        <v>#VALUE!</v>
      </c>
      <c r="AK507" s="243" t="e">
        <f ca="1">IF(AND(INDEX(FlowCalConstA,MATCH(AH498,FlowCalNumber,0),1,1)*AJ507^INDEX(FlowCalConstB,MATCH(AH498,FlowCalNumber,0),1,1)&gt;INDEX(FlowCalLowSetting,MATCH(AH498,FlowCalNumber,0),1,1), (INDEX(FlowCalConstA,MATCH(AH498,FlowCalNumber,0),1,1)*AJ507^INDEX(FlowCalConstB,MATCH(AH498,FlowCalNumber,0),1,1)&lt;INDEX(FlowCalHighSetting,MATCH(AH498,FlowCalNumber,0),1,1))),INDEX(FlowCalConstA,MATCH(AH498,FlowCalNumber,0),1,1)*AJ507^INDEX(FlowCalConstB,MATCH(AH498,FlowCalNumber,0),1,1)," ")</f>
        <v>#N/A</v>
      </c>
      <c r="AL507" s="33"/>
      <c r="AM507" s="242"/>
      <c r="AN507" s="241"/>
      <c r="AO507" s="244"/>
      <c r="AQ507" s="242"/>
      <c r="AR507" s="241"/>
      <c r="AS507" s="244"/>
      <c r="AT507" s="33"/>
      <c r="AU507" s="242"/>
      <c r="AV507" s="241"/>
      <c r="AW507" s="244"/>
      <c r="AX507" s="33"/>
      <c r="AY507" s="242"/>
      <c r="AZ507" s="241"/>
      <c r="BA507" s="244"/>
      <c r="BB507" s="33"/>
      <c r="BC507" s="242"/>
      <c r="BD507" s="241"/>
      <c r="BE507" s="244"/>
      <c r="BF507" s="33"/>
      <c r="BG507" s="242"/>
      <c r="BH507" s="241"/>
      <c r="BI507" s="244"/>
      <c r="BJ507" s="33"/>
      <c r="BK507" s="242"/>
      <c r="BL507" s="241"/>
      <c r="BM507" s="244"/>
      <c r="BN507" s="33"/>
      <c r="BO507" s="242"/>
      <c r="BP507" s="241"/>
      <c r="BQ507" s="244"/>
      <c r="BR507" s="33"/>
      <c r="BS507" s="242"/>
      <c r="BT507" s="241"/>
      <c r="BU507" s="244"/>
      <c r="BV507" s="33"/>
      <c r="BW507" s="242"/>
      <c r="BX507" s="241"/>
      <c r="BY507" s="244"/>
      <c r="BZ507" s="33"/>
      <c r="CA507" s="242"/>
      <c r="CB507" s="241"/>
      <c r="CC507" s="244"/>
      <c r="CD507" s="243"/>
      <c r="CE507" s="243"/>
      <c r="CF507" s="243"/>
      <c r="CG507" s="243"/>
      <c r="CH507" s="243"/>
      <c r="CI507" s="243"/>
      <c r="CJ507" s="243"/>
      <c r="CK507" s="243"/>
      <c r="CL507" s="243"/>
      <c r="CM507" s="243"/>
      <c r="CN507" s="243"/>
      <c r="CO507" s="243"/>
      <c r="CP507" s="243"/>
      <c r="CQ507" s="243"/>
      <c r="CR507" s="243"/>
      <c r="CS507" s="243"/>
      <c r="CT507" s="243"/>
      <c r="CU507" s="243"/>
      <c r="CV507" s="243"/>
      <c r="CW507" s="243"/>
      <c r="CX507" s="243"/>
      <c r="CY507" s="243"/>
      <c r="CZ507" s="243"/>
      <c r="DA507" s="243"/>
      <c r="DB507" s="243"/>
      <c r="DC507" s="243"/>
      <c r="DD507" s="243"/>
      <c r="DE507" s="243"/>
      <c r="DF507" s="243"/>
      <c r="DG507" s="243"/>
      <c r="DH507" s="243"/>
      <c r="DI507" s="243"/>
      <c r="DJ507" s="243"/>
      <c r="DK507" s="243"/>
      <c r="DM507" s="242"/>
      <c r="DO507" s="243"/>
      <c r="DQ507" s="242"/>
      <c r="DS507" s="243"/>
      <c r="DU507" s="242"/>
      <c r="DW507" s="243"/>
      <c r="DY507" s="242"/>
      <c r="EA507" s="243"/>
    </row>
    <row r="508" spans="1:131">
      <c r="A508" s="20"/>
      <c r="B508" s="124" t="str">
        <f t="shared" si="470"/>
        <v/>
      </c>
      <c r="C508" s="235"/>
      <c r="D508" s="24">
        <f>'1% Wind'!$M$91</f>
        <v>4.2</v>
      </c>
      <c r="E508" s="90"/>
      <c r="F508" s="90"/>
      <c r="G508" s="79">
        <f ca="1">IF(I498=0.9743,$G507,MAX(G507/D507*D508,2))</f>
        <v>6.001707317073171</v>
      </c>
      <c r="H508" s="121" t="e">
        <f t="shared" ca="1" si="471"/>
        <v>#VALUE!</v>
      </c>
      <c r="J508" s="33"/>
      <c r="K508" s="242">
        <f t="shared" si="472"/>
        <v>1</v>
      </c>
      <c r="L508" s="241" t="e">
        <f t="shared" ca="1" si="473"/>
        <v>#VALUE!</v>
      </c>
      <c r="M508" s="243" t="e">
        <f ca="1">IF(AND(INDEX(FlowCalConstA,MATCH(J498,FlowCalNumber,0),1,1)*L508^INDEX(FlowCalConstB,MATCH(J498,FlowCalNumber,0),1,1)&gt;INDEX(FlowCalLowSetting,MATCH(J498,FlowCalNumber,0),1,1), (INDEX(FlowCalConstA,MATCH(J498,FlowCalNumber,0),1,1)*L508^INDEX(FlowCalConstB,MATCH(J498,FlowCalNumber,0),1,1)&lt;INDEX(FlowCalHighSetting,MATCH(J498,FlowCalNumber,0),1,1))),INDEX(FlowCalConstA,MATCH(J498,FlowCalNumber,0),1,1)*L508^INDEX(FlowCalConstB,MATCH(J498,FlowCalNumber,0),1,1)," ")</f>
        <v>#N/A</v>
      </c>
      <c r="N508" s="33"/>
      <c r="O508" s="242">
        <f t="shared" si="474"/>
        <v>1</v>
      </c>
      <c r="P508" s="241" t="e">
        <f t="shared" ca="1" si="475"/>
        <v>#VALUE!</v>
      </c>
      <c r="Q508" s="243" t="e">
        <f ca="1">IF(AND(INDEX(FlowCalConstA,MATCH(N498,FlowCalNumber,0),1,1)*P508^INDEX(FlowCalConstB,MATCH(N498,FlowCalNumber,0),1,1)&gt;INDEX(FlowCalLowSetting,MATCH(N498,FlowCalNumber,0),1,1), (INDEX(FlowCalConstA,MATCH(N498,FlowCalNumber,0),1,1)*P508^INDEX(FlowCalConstB,MATCH(N498,FlowCalNumber,0),1,1)&lt;INDEX(FlowCalHighSetting,MATCH(N498,FlowCalNumber,0),1,1))),INDEX(FlowCalConstA,MATCH(N498,FlowCalNumber,0),1,1)*P508^INDEX(FlowCalConstB,MATCH(N498,FlowCalNumber,0),1,1)," ")</f>
        <v>#N/A</v>
      </c>
      <c r="R508" s="33"/>
      <c r="S508" s="242">
        <f t="shared" si="476"/>
        <v>1</v>
      </c>
      <c r="T508" s="241" t="e">
        <f t="shared" ca="1" si="477"/>
        <v>#VALUE!</v>
      </c>
      <c r="U508" s="244" t="e">
        <f ca="1">IF(AND(INDEX(FlowCalConstA,MATCH(R498,FlowCalNumber,0),1,1)*T508^INDEX(FlowCalConstB,MATCH(R498,FlowCalNumber,0),1,1)&gt;INDEX(FlowCalLowSetting,MATCH(R498,FlowCalNumber,0),1,1), (INDEX(FlowCalConstA,MATCH(R498,FlowCalNumber,0),1,1)*T508^INDEX(FlowCalConstB,MATCH(R498,FlowCalNumber,0),1,1)&lt;INDEX(FlowCalHighSetting,MATCH(R498,FlowCalNumber,0),1,1))),INDEX(FlowCalConstA,MATCH(R498,FlowCalNumber,0),1,1)*T508^INDEX(FlowCalConstB,MATCH(R498,FlowCalNumber,0),1,1)," ")</f>
        <v>#N/A</v>
      </c>
      <c r="V508" s="33"/>
      <c r="W508" s="242">
        <f t="shared" si="478"/>
        <v>0.1</v>
      </c>
      <c r="X508" s="241" t="e">
        <f t="shared" ca="1" si="479"/>
        <v>#VALUE!</v>
      </c>
      <c r="Y508" s="243" t="e">
        <f ca="1">IF(AND(INDEX(FlowCalConstA,MATCH(V498,FlowCalNumber,0),1,1)*X508^INDEX(FlowCalConstB,MATCH(V498,FlowCalNumber,0),1,1)&gt;INDEX(FlowCalLowSetting,MATCH(V498,FlowCalNumber,0),1,1), (INDEX(FlowCalConstA,MATCH(V498,FlowCalNumber,0),1,1)*X508^INDEX(FlowCalConstB,MATCH(V498,FlowCalNumber,0),1,1)&lt;INDEX(FlowCalHighSetting,MATCH(V498,FlowCalNumber,0),1,1))),INDEX(FlowCalConstA,MATCH(V498,FlowCalNumber,0),1,1)*X508^INDEX(FlowCalConstB,MATCH(V498,FlowCalNumber,0),1,1)," ")</f>
        <v>#N/A</v>
      </c>
      <c r="Z508" s="33"/>
      <c r="AA508" s="242">
        <f t="shared" si="480"/>
        <v>0.9</v>
      </c>
      <c r="AB508" s="241" t="e">
        <f t="shared" ca="1" si="481"/>
        <v>#VALUE!</v>
      </c>
      <c r="AC508" s="243" t="e">
        <f ca="1">IF(AND(INDEX(FlowCalConstA,MATCH(Z498,FlowCalNumber,0),1,1)*AB508^INDEX(FlowCalConstB,MATCH(Z498,FlowCalNumber,0),1,1)&gt;INDEX(FlowCalLowSetting,MATCH(Z498,FlowCalNumber,0),1,1), (INDEX(FlowCalConstA,MATCH(Z498,FlowCalNumber,0),1,1)*AB508^INDEX(FlowCalConstB,MATCH(Z498,FlowCalNumber,0),1,1)&lt;INDEX(FlowCalHighSetting,MATCH(Z498,FlowCalNumber,0),1,1))),INDEX(FlowCalConstA,MATCH(Z498,FlowCalNumber,0),1,1)*AB508^INDEX(FlowCalConstB,MATCH(Z498,FlowCalNumber,0),1,1)," ")</f>
        <v>#N/A</v>
      </c>
      <c r="AD508" s="33"/>
      <c r="AE508" s="242">
        <f t="shared" si="482"/>
        <v>0.1</v>
      </c>
      <c r="AF508" s="241" t="e">
        <f t="shared" ca="1" si="483"/>
        <v>#VALUE!</v>
      </c>
      <c r="AG508" s="243" t="e">
        <f ca="1">IF(AND(INDEX(FlowCalConstA,MATCH(AD498,FlowCalNumber,0),1,1)*AF508^INDEX(FlowCalConstB,MATCH(AD498,FlowCalNumber,0),1,1)&gt;INDEX(FlowCalLowSetting,MATCH(AD498,FlowCalNumber,0),1,1), (INDEX(FlowCalConstA,MATCH(AD498,FlowCalNumber,0),1,1)*AF508^INDEX(FlowCalConstB,MATCH(AD498,FlowCalNumber,0),1,1)&lt;INDEX(FlowCalHighSetting,MATCH(AD498,FlowCalNumber,0),1,1))),INDEX(FlowCalConstA,MATCH(AD498,FlowCalNumber,0),1,1)*AF508^INDEX(FlowCalConstB,MATCH(AD498,FlowCalNumber,0),1,1)," ")</f>
        <v>#N/A</v>
      </c>
      <c r="AH508" s="33"/>
      <c r="AI508" s="242">
        <f t="shared" si="484"/>
        <v>0.9</v>
      </c>
      <c r="AJ508" s="241" t="e">
        <f t="shared" ca="1" si="485"/>
        <v>#VALUE!</v>
      </c>
      <c r="AK508" s="243" t="e">
        <f ca="1">IF(AND(INDEX(FlowCalConstA,MATCH(AH498,FlowCalNumber,0),1,1)*AJ508^INDEX(FlowCalConstB,MATCH(AH498,FlowCalNumber,0),1,1)&gt;INDEX(FlowCalLowSetting,MATCH(AH498,FlowCalNumber,0),1,1), (INDEX(FlowCalConstA,MATCH(AH498,FlowCalNumber,0),1,1)*AJ508^INDEX(FlowCalConstB,MATCH(AH498,FlowCalNumber,0),1,1)&lt;INDEX(FlowCalHighSetting,MATCH(AH498,FlowCalNumber,0),1,1))),INDEX(FlowCalConstA,MATCH(AH498,FlowCalNumber,0),1,1)*AJ508^INDEX(FlowCalConstB,MATCH(AH498,FlowCalNumber,0),1,1)," ")</f>
        <v>#N/A</v>
      </c>
      <c r="AL508" s="33"/>
      <c r="AM508" s="242"/>
      <c r="AN508" s="241"/>
      <c r="AO508" s="244"/>
      <c r="AQ508" s="242"/>
      <c r="AR508" s="241"/>
      <c r="AS508" s="244"/>
      <c r="AT508" s="33"/>
      <c r="AU508" s="242"/>
      <c r="AV508" s="241"/>
      <c r="AW508" s="244"/>
      <c r="AX508" s="33"/>
      <c r="AY508" s="242"/>
      <c r="AZ508" s="241"/>
      <c r="BA508" s="244"/>
      <c r="BB508" s="33"/>
      <c r="BC508" s="242"/>
      <c r="BD508" s="241"/>
      <c r="BE508" s="244"/>
      <c r="BF508" s="33"/>
      <c r="BG508" s="242"/>
      <c r="BH508" s="241"/>
      <c r="BI508" s="244"/>
      <c r="BJ508" s="33"/>
      <c r="BK508" s="242"/>
      <c r="BL508" s="241"/>
      <c r="BM508" s="244"/>
      <c r="BN508" s="33"/>
      <c r="BO508" s="242"/>
      <c r="BP508" s="241"/>
      <c r="BQ508" s="244"/>
      <c r="BR508" s="33"/>
      <c r="BS508" s="242"/>
      <c r="BT508" s="241"/>
      <c r="BU508" s="244"/>
      <c r="BV508" s="33"/>
      <c r="BW508" s="242"/>
      <c r="BX508" s="241"/>
      <c r="BY508" s="244"/>
      <c r="BZ508" s="33"/>
      <c r="CA508" s="242"/>
      <c r="CB508" s="241"/>
      <c r="CC508" s="244"/>
      <c r="CD508" s="243"/>
      <c r="CE508" s="243"/>
      <c r="CF508" s="243"/>
      <c r="CG508" s="243"/>
      <c r="CH508" s="243"/>
      <c r="CI508" s="243"/>
      <c r="CJ508" s="243"/>
      <c r="CK508" s="243"/>
      <c r="CL508" s="243"/>
      <c r="CM508" s="243"/>
      <c r="CN508" s="243"/>
      <c r="CO508" s="243"/>
      <c r="CP508" s="243"/>
      <c r="CQ508" s="243"/>
      <c r="CR508" s="243"/>
      <c r="CS508" s="243"/>
      <c r="CT508" s="243"/>
      <c r="CU508" s="243"/>
      <c r="CV508" s="243"/>
      <c r="CW508" s="243"/>
      <c r="CX508" s="243"/>
      <c r="CY508" s="243"/>
      <c r="CZ508" s="243"/>
      <c r="DA508" s="243"/>
      <c r="DB508" s="243"/>
      <c r="DC508" s="243"/>
      <c r="DD508" s="243"/>
      <c r="DE508" s="243"/>
      <c r="DF508" s="243"/>
      <c r="DG508" s="243"/>
      <c r="DH508" s="243"/>
      <c r="DI508" s="243"/>
      <c r="DJ508" s="243"/>
      <c r="DK508" s="243"/>
      <c r="DM508" s="242"/>
      <c r="DO508" s="243"/>
      <c r="DQ508" s="242"/>
      <c r="DS508" s="243"/>
      <c r="DU508" s="242"/>
      <c r="DW508" s="243"/>
      <c r="DY508" s="242"/>
      <c r="EA508" s="243"/>
    </row>
    <row r="509" spans="1:131">
      <c r="A509" s="20"/>
      <c r="B509" s="124" t="str">
        <f t="shared" si="470"/>
        <v/>
      </c>
      <c r="C509" s="235"/>
      <c r="D509" s="24">
        <f>'1% Wind'!$M$92</f>
        <v>3.2</v>
      </c>
      <c r="E509" s="90"/>
      <c r="F509" s="90"/>
      <c r="G509" s="79">
        <f ca="1">IF(I498=0.9743,$G508,MAX(G508/D508*D509,2))</f>
        <v>6.001707317073171</v>
      </c>
      <c r="H509" s="121" t="e">
        <f t="shared" ca="1" si="471"/>
        <v>#VALUE!</v>
      </c>
      <c r="J509" s="33"/>
      <c r="K509" s="242">
        <f t="shared" si="472"/>
        <v>1</v>
      </c>
      <c r="L509" s="241" t="e">
        <f t="shared" ca="1" si="473"/>
        <v>#VALUE!</v>
      </c>
      <c r="M509" s="243" t="e">
        <f ca="1">IF(AND(INDEX(FlowCalConstA,MATCH(J498,FlowCalNumber,0),1,1)*L509^INDEX(FlowCalConstB,MATCH(J498,FlowCalNumber,0),1,1)&gt;INDEX(FlowCalLowSetting,MATCH(J498,FlowCalNumber,0),1,1), (INDEX(FlowCalConstA,MATCH(J498,FlowCalNumber,0),1,1)*L509^INDEX(FlowCalConstB,MATCH(J498,FlowCalNumber,0),1,1)&lt;INDEX(FlowCalHighSetting,MATCH(J498,FlowCalNumber,0),1,1))),INDEX(FlowCalConstA,MATCH(J498,FlowCalNumber,0),1,1)*L509^INDEX(FlowCalConstB,MATCH(J498,FlowCalNumber,0),1,1)," ")</f>
        <v>#N/A</v>
      </c>
      <c r="N509" s="33"/>
      <c r="O509" s="242">
        <f t="shared" si="474"/>
        <v>1</v>
      </c>
      <c r="P509" s="241" t="e">
        <f t="shared" ca="1" si="475"/>
        <v>#VALUE!</v>
      </c>
      <c r="Q509" s="243" t="e">
        <f ca="1">IF(AND(INDEX(FlowCalConstA,MATCH(N498,FlowCalNumber,0),1,1)*P509^INDEX(FlowCalConstB,MATCH(N498,FlowCalNumber,0),1,1)&gt;INDEX(FlowCalLowSetting,MATCH(N498,FlowCalNumber,0),1,1), (INDEX(FlowCalConstA,MATCH(N498,FlowCalNumber,0),1,1)*P509^INDEX(FlowCalConstB,MATCH(N498,FlowCalNumber,0),1,1)&lt;INDEX(FlowCalHighSetting,MATCH(N498,FlowCalNumber,0),1,1))),INDEX(FlowCalConstA,MATCH(N498,FlowCalNumber,0),1,1)*P509^INDEX(FlowCalConstB,MATCH(N498,FlowCalNumber,0),1,1)," ")</f>
        <v>#N/A</v>
      </c>
      <c r="R509" s="33"/>
      <c r="S509" s="242">
        <f t="shared" si="476"/>
        <v>1</v>
      </c>
      <c r="T509" s="241" t="e">
        <f t="shared" ca="1" si="477"/>
        <v>#VALUE!</v>
      </c>
      <c r="U509" s="244" t="e">
        <f ca="1">IF(AND(INDEX(FlowCalConstA,MATCH(R498,FlowCalNumber,0),1,1)*T509^INDEX(FlowCalConstB,MATCH(R498,FlowCalNumber,0),1,1)&gt;INDEX(FlowCalLowSetting,MATCH(R498,FlowCalNumber,0),1,1), (INDEX(FlowCalConstA,MATCH(R498,FlowCalNumber,0),1,1)*T509^INDEX(FlowCalConstB,MATCH(R498,FlowCalNumber,0),1,1)&lt;INDEX(FlowCalHighSetting,MATCH(R498,FlowCalNumber,0),1,1))),INDEX(FlowCalConstA,MATCH(R498,FlowCalNumber,0),1,1)*T509^INDEX(FlowCalConstB,MATCH(R498,FlowCalNumber,0),1,1)," ")</f>
        <v>#N/A</v>
      </c>
      <c r="V509" s="33"/>
      <c r="W509" s="242">
        <f t="shared" si="478"/>
        <v>0.1</v>
      </c>
      <c r="X509" s="241" t="e">
        <f t="shared" ca="1" si="479"/>
        <v>#VALUE!</v>
      </c>
      <c r="Y509" s="243" t="e">
        <f ca="1">IF(AND(INDEX(FlowCalConstA,MATCH(V498,FlowCalNumber,0),1,1)*X509^INDEX(FlowCalConstB,MATCH(V498,FlowCalNumber,0),1,1)&gt;INDEX(FlowCalLowSetting,MATCH(V498,FlowCalNumber,0),1,1), (INDEX(FlowCalConstA,MATCH(V498,FlowCalNumber,0),1,1)*X509^INDEX(FlowCalConstB,MATCH(V498,FlowCalNumber,0),1,1)&lt;INDEX(FlowCalHighSetting,MATCH(V498,FlowCalNumber,0),1,1))),INDEX(FlowCalConstA,MATCH(V498,FlowCalNumber,0),1,1)*X509^INDEX(FlowCalConstB,MATCH(V498,FlowCalNumber,0),1,1)," ")</f>
        <v>#N/A</v>
      </c>
      <c r="Z509" s="33"/>
      <c r="AA509" s="242">
        <f t="shared" si="480"/>
        <v>0.9</v>
      </c>
      <c r="AB509" s="241" t="e">
        <f t="shared" ca="1" si="481"/>
        <v>#VALUE!</v>
      </c>
      <c r="AC509" s="243" t="e">
        <f ca="1">IF(AND(INDEX(FlowCalConstA,MATCH(Z498,FlowCalNumber,0),1,1)*AB509^INDEX(FlowCalConstB,MATCH(Z498,FlowCalNumber,0),1,1)&gt;INDEX(FlowCalLowSetting,MATCH(Z498,FlowCalNumber,0),1,1), (INDEX(FlowCalConstA,MATCH(Z498,FlowCalNumber,0),1,1)*AB509^INDEX(FlowCalConstB,MATCH(Z498,FlowCalNumber,0),1,1)&lt;INDEX(FlowCalHighSetting,MATCH(Z498,FlowCalNumber,0),1,1))),INDEX(FlowCalConstA,MATCH(Z498,FlowCalNumber,0),1,1)*AB509^INDEX(FlowCalConstB,MATCH(Z498,FlowCalNumber,0),1,1)," ")</f>
        <v>#N/A</v>
      </c>
      <c r="AD509" s="33"/>
      <c r="AE509" s="242">
        <f t="shared" si="482"/>
        <v>0.1</v>
      </c>
      <c r="AF509" s="241" t="e">
        <f t="shared" ca="1" si="483"/>
        <v>#VALUE!</v>
      </c>
      <c r="AG509" s="243" t="e">
        <f ca="1">IF(AND(INDEX(FlowCalConstA,MATCH(AD498,FlowCalNumber,0),1,1)*AF509^INDEX(FlowCalConstB,MATCH(AD498,FlowCalNumber,0),1,1)&gt;INDEX(FlowCalLowSetting,MATCH(AD498,FlowCalNumber,0),1,1), (INDEX(FlowCalConstA,MATCH(AD498,FlowCalNumber,0),1,1)*AF509^INDEX(FlowCalConstB,MATCH(AD498,FlowCalNumber,0),1,1)&lt;INDEX(FlowCalHighSetting,MATCH(AD498,FlowCalNumber,0),1,1))),INDEX(FlowCalConstA,MATCH(AD498,FlowCalNumber,0),1,1)*AF509^INDEX(FlowCalConstB,MATCH(AD498,FlowCalNumber,0),1,1)," ")</f>
        <v>#N/A</v>
      </c>
      <c r="AH509" s="33"/>
      <c r="AI509" s="242">
        <f t="shared" si="484"/>
        <v>0.9</v>
      </c>
      <c r="AJ509" s="241" t="e">
        <f t="shared" ca="1" si="485"/>
        <v>#VALUE!</v>
      </c>
      <c r="AK509" s="243" t="e">
        <f ca="1">IF(AND(INDEX(FlowCalConstA,MATCH(AH498,FlowCalNumber,0),1,1)*AJ509^INDEX(FlowCalConstB,MATCH(AH498,FlowCalNumber,0),1,1)&gt;INDEX(FlowCalLowSetting,MATCH(AH498,FlowCalNumber,0),1,1), (INDEX(FlowCalConstA,MATCH(AH498,FlowCalNumber,0),1,1)*AJ509^INDEX(FlowCalConstB,MATCH(AH498,FlowCalNumber,0),1,1)&lt;INDEX(FlowCalHighSetting,MATCH(AH498,FlowCalNumber,0),1,1))),INDEX(FlowCalConstA,MATCH(AH498,FlowCalNumber,0),1,1)*AJ509^INDEX(FlowCalConstB,MATCH(AH498,FlowCalNumber,0),1,1)," ")</f>
        <v>#N/A</v>
      </c>
      <c r="AL509" s="33"/>
      <c r="AM509" s="242"/>
      <c r="AN509" s="241"/>
      <c r="AO509" s="244"/>
      <c r="AQ509" s="242"/>
      <c r="AR509" s="241"/>
      <c r="AS509" s="244"/>
      <c r="AT509" s="33"/>
      <c r="AU509" s="242"/>
      <c r="AV509" s="241"/>
      <c r="AW509" s="244"/>
      <c r="AX509" s="33"/>
      <c r="AY509" s="242"/>
      <c r="AZ509" s="241"/>
      <c r="BA509" s="244"/>
      <c r="BB509" s="33"/>
      <c r="BC509" s="242"/>
      <c r="BD509" s="241"/>
      <c r="BE509" s="244"/>
      <c r="BF509" s="33"/>
      <c r="BG509" s="242"/>
      <c r="BH509" s="241"/>
      <c r="BI509" s="244"/>
      <c r="BJ509" s="33"/>
      <c r="BK509" s="242"/>
      <c r="BL509" s="241"/>
      <c r="BM509" s="244"/>
      <c r="BN509" s="33"/>
      <c r="BO509" s="242"/>
      <c r="BP509" s="241"/>
      <c r="BQ509" s="244"/>
      <c r="BR509" s="33"/>
      <c r="BS509" s="242"/>
      <c r="BT509" s="241"/>
      <c r="BU509" s="244"/>
      <c r="BV509" s="33"/>
      <c r="BW509" s="242"/>
      <c r="BX509" s="241"/>
      <c r="BY509" s="244"/>
      <c r="BZ509" s="33"/>
      <c r="CA509" s="242"/>
      <c r="CB509" s="241"/>
      <c r="CC509" s="244"/>
      <c r="CD509" s="243"/>
      <c r="CE509" s="243"/>
      <c r="CF509" s="243"/>
      <c r="CG509" s="243"/>
      <c r="CH509" s="243"/>
      <c r="CI509" s="243"/>
      <c r="CJ509" s="243"/>
      <c r="CK509" s="243"/>
      <c r="CL509" s="243"/>
      <c r="CM509" s="243"/>
      <c r="CN509" s="243"/>
      <c r="CO509" s="243"/>
      <c r="CP509" s="243"/>
      <c r="CQ509" s="243"/>
      <c r="CR509" s="243"/>
      <c r="CS509" s="243"/>
      <c r="CT509" s="243"/>
      <c r="CU509" s="243"/>
      <c r="CV509" s="243"/>
      <c r="CW509" s="243"/>
      <c r="CX509" s="243"/>
      <c r="CY509" s="243"/>
      <c r="CZ509" s="243"/>
      <c r="DA509" s="243"/>
      <c r="DB509" s="243"/>
      <c r="DC509" s="243"/>
      <c r="DD509" s="243"/>
      <c r="DE509" s="243"/>
      <c r="DF509" s="243"/>
      <c r="DG509" s="243"/>
      <c r="DH509" s="243"/>
      <c r="DI509" s="243"/>
      <c r="DJ509" s="243"/>
      <c r="DK509" s="243"/>
      <c r="DM509" s="242"/>
      <c r="DO509" s="243"/>
      <c r="DQ509" s="242"/>
      <c r="DS509" s="243"/>
      <c r="DU509" s="242"/>
      <c r="DW509" s="243"/>
      <c r="DY509" s="242"/>
      <c r="EA509" s="243"/>
    </row>
    <row r="510" spans="1:131">
      <c r="A510" s="20"/>
      <c r="B510" s="124" t="str">
        <f t="shared" si="470"/>
        <v/>
      </c>
      <c r="C510" s="235"/>
      <c r="D510" s="24">
        <f>'1% Wind'!$M$93</f>
        <v>2.4</v>
      </c>
      <c r="E510" s="90"/>
      <c r="F510" s="90"/>
      <c r="G510" s="79">
        <f ca="1">IF(I498=0.9743,$G509,MAX(G509/D509*D510,2))</f>
        <v>6.001707317073171</v>
      </c>
      <c r="H510" s="121" t="e">
        <f t="shared" ca="1" si="471"/>
        <v>#VALUE!</v>
      </c>
      <c r="J510" s="33"/>
      <c r="K510" s="242">
        <f t="shared" si="472"/>
        <v>1</v>
      </c>
      <c r="L510" s="241" t="e">
        <f t="shared" ca="1" si="473"/>
        <v>#VALUE!</v>
      </c>
      <c r="M510" s="243" t="e">
        <f ca="1">IF(AND(INDEX(FlowCalConstA,MATCH(J498,FlowCalNumber,0),1,1)*L510^INDEX(FlowCalConstB,MATCH(J498,FlowCalNumber,0),1,1)&gt;INDEX(FlowCalLowSetting,MATCH(J498,FlowCalNumber,0),1,1), (INDEX(FlowCalConstA,MATCH(J498,FlowCalNumber,0),1,1)*L510^INDEX(FlowCalConstB,MATCH(J498,FlowCalNumber,0),1,1)&lt;INDEX(FlowCalHighSetting,MATCH(J498,FlowCalNumber,0),1,1))),INDEX(FlowCalConstA,MATCH(J498,FlowCalNumber,0),1,1)*L510^INDEX(FlowCalConstB,MATCH(J498,FlowCalNumber,0),1,1)," ")</f>
        <v>#N/A</v>
      </c>
      <c r="N510" s="33"/>
      <c r="O510" s="242">
        <f t="shared" si="474"/>
        <v>1</v>
      </c>
      <c r="P510" s="241" t="e">
        <f t="shared" ca="1" si="475"/>
        <v>#VALUE!</v>
      </c>
      <c r="Q510" s="243" t="e">
        <f ca="1">IF(AND(INDEX(FlowCalConstA,MATCH(N498,FlowCalNumber,0),1,1)*P510^INDEX(FlowCalConstB,MATCH(N498,FlowCalNumber,0),1,1)&gt;INDEX(FlowCalLowSetting,MATCH(N498,FlowCalNumber,0),1,1), (INDEX(FlowCalConstA,MATCH(N498,FlowCalNumber,0),1,1)*P510^INDEX(FlowCalConstB,MATCH(N498,FlowCalNumber,0),1,1)&lt;INDEX(FlowCalHighSetting,MATCH(N498,FlowCalNumber,0),1,1))),INDEX(FlowCalConstA,MATCH(N498,FlowCalNumber,0),1,1)*P510^INDEX(FlowCalConstB,MATCH(N498,FlowCalNumber,0),1,1)," ")</f>
        <v>#N/A</v>
      </c>
      <c r="R510" s="33"/>
      <c r="S510" s="242">
        <f t="shared" si="476"/>
        <v>1</v>
      </c>
      <c r="T510" s="241" t="e">
        <f t="shared" ca="1" si="477"/>
        <v>#VALUE!</v>
      </c>
      <c r="U510" s="244" t="e">
        <f ca="1">IF(AND(INDEX(FlowCalConstA,MATCH(R498,FlowCalNumber,0),1,1)*T510^INDEX(FlowCalConstB,MATCH(R498,FlowCalNumber,0),1,1)&gt;INDEX(FlowCalLowSetting,MATCH(R498,FlowCalNumber,0),1,1), (INDEX(FlowCalConstA,MATCH(R498,FlowCalNumber,0),1,1)*T510^INDEX(FlowCalConstB,MATCH(R498,FlowCalNumber,0),1,1)&lt;INDEX(FlowCalHighSetting,MATCH(R498,FlowCalNumber,0),1,1))),INDEX(FlowCalConstA,MATCH(R498,FlowCalNumber,0),1,1)*T510^INDEX(FlowCalConstB,MATCH(R498,FlowCalNumber,0),1,1)," ")</f>
        <v>#N/A</v>
      </c>
      <c r="V510" s="33"/>
      <c r="W510" s="242">
        <f t="shared" si="478"/>
        <v>0.1</v>
      </c>
      <c r="X510" s="241" t="e">
        <f t="shared" ca="1" si="479"/>
        <v>#VALUE!</v>
      </c>
      <c r="Y510" s="243" t="e">
        <f ca="1">IF(AND(INDEX(FlowCalConstA,MATCH(V498,FlowCalNumber,0),1,1)*X510^INDEX(FlowCalConstB,MATCH(V498,FlowCalNumber,0),1,1)&gt;INDEX(FlowCalLowSetting,MATCH(V498,FlowCalNumber,0),1,1), (INDEX(FlowCalConstA,MATCH(V498,FlowCalNumber,0),1,1)*X510^INDEX(FlowCalConstB,MATCH(V498,FlowCalNumber,0),1,1)&lt;INDEX(FlowCalHighSetting,MATCH(V498,FlowCalNumber,0),1,1))),INDEX(FlowCalConstA,MATCH(V498,FlowCalNumber,0),1,1)*X510^INDEX(FlowCalConstB,MATCH(V498,FlowCalNumber,0),1,1)," ")</f>
        <v>#N/A</v>
      </c>
      <c r="Z510" s="33"/>
      <c r="AA510" s="242">
        <f t="shared" si="480"/>
        <v>0.9</v>
      </c>
      <c r="AB510" s="241" t="e">
        <f t="shared" ca="1" si="481"/>
        <v>#VALUE!</v>
      </c>
      <c r="AC510" s="243" t="e">
        <f ca="1">IF(AND(INDEX(FlowCalConstA,MATCH(Z498,FlowCalNumber,0),1,1)*AB510^INDEX(FlowCalConstB,MATCH(Z498,FlowCalNumber,0),1,1)&gt;INDEX(FlowCalLowSetting,MATCH(Z498,FlowCalNumber,0),1,1), (INDEX(FlowCalConstA,MATCH(Z498,FlowCalNumber,0),1,1)*AB510^INDEX(FlowCalConstB,MATCH(Z498,FlowCalNumber,0),1,1)&lt;INDEX(FlowCalHighSetting,MATCH(Z498,FlowCalNumber,0),1,1))),INDEX(FlowCalConstA,MATCH(Z498,FlowCalNumber,0),1,1)*AB510^INDEX(FlowCalConstB,MATCH(Z498,FlowCalNumber,0),1,1)," ")</f>
        <v>#N/A</v>
      </c>
      <c r="AD510" s="33"/>
      <c r="AE510" s="242">
        <f t="shared" si="482"/>
        <v>0.1</v>
      </c>
      <c r="AF510" s="241" t="e">
        <f t="shared" ca="1" si="483"/>
        <v>#VALUE!</v>
      </c>
      <c r="AG510" s="243" t="e">
        <f ca="1">IF(AND(INDEX(FlowCalConstA,MATCH(AD498,FlowCalNumber,0),1,1)*AF510^INDEX(FlowCalConstB,MATCH(AD498,FlowCalNumber,0),1,1)&gt;INDEX(FlowCalLowSetting,MATCH(AD498,FlowCalNumber,0),1,1), (INDEX(FlowCalConstA,MATCH(AD498,FlowCalNumber,0),1,1)*AF510^INDEX(FlowCalConstB,MATCH(AD498,FlowCalNumber,0),1,1)&lt;INDEX(FlowCalHighSetting,MATCH(AD498,FlowCalNumber,0),1,1))),INDEX(FlowCalConstA,MATCH(AD498,FlowCalNumber,0),1,1)*AF510^INDEX(FlowCalConstB,MATCH(AD498,FlowCalNumber,0),1,1)," ")</f>
        <v>#N/A</v>
      </c>
      <c r="AH510" s="33"/>
      <c r="AI510" s="242">
        <f t="shared" si="484"/>
        <v>0.9</v>
      </c>
      <c r="AJ510" s="241" t="e">
        <f t="shared" ca="1" si="485"/>
        <v>#VALUE!</v>
      </c>
      <c r="AK510" s="243" t="e">
        <f ca="1">IF(AND(INDEX(FlowCalConstA,MATCH(AH498,FlowCalNumber,0),1,1)*AJ510^INDEX(FlowCalConstB,MATCH(AH498,FlowCalNumber,0),1,1)&gt;INDEX(FlowCalLowSetting,MATCH(AH498,FlowCalNumber,0),1,1), (INDEX(FlowCalConstA,MATCH(AH498,FlowCalNumber,0),1,1)*AJ510^INDEX(FlowCalConstB,MATCH(AH498,FlowCalNumber,0),1,1)&lt;INDEX(FlowCalHighSetting,MATCH(AH498,FlowCalNumber,0),1,1))),INDEX(FlowCalConstA,MATCH(AH498,FlowCalNumber,0),1,1)*AJ510^INDEX(FlowCalConstB,MATCH(AH498,FlowCalNumber,0),1,1)," ")</f>
        <v>#N/A</v>
      </c>
      <c r="AL510" s="33"/>
      <c r="AM510" s="242"/>
      <c r="AN510" s="241"/>
      <c r="AO510" s="244"/>
      <c r="AQ510" s="242"/>
      <c r="AR510" s="241"/>
      <c r="AS510" s="244"/>
      <c r="AT510" s="33"/>
      <c r="AU510" s="242"/>
      <c r="AV510" s="241"/>
      <c r="AW510" s="244"/>
      <c r="AX510" s="33"/>
      <c r="AY510" s="242"/>
      <c r="AZ510" s="241"/>
      <c r="BA510" s="244"/>
      <c r="BB510" s="33"/>
      <c r="BC510" s="242"/>
      <c r="BD510" s="241"/>
      <c r="BE510" s="244"/>
      <c r="BF510" s="33"/>
      <c r="BG510" s="242"/>
      <c r="BH510" s="241"/>
      <c r="BI510" s="244"/>
      <c r="BJ510" s="33"/>
      <c r="BK510" s="242"/>
      <c r="BL510" s="241"/>
      <c r="BM510" s="244"/>
      <c r="BN510" s="33"/>
      <c r="BO510" s="242"/>
      <c r="BP510" s="241"/>
      <c r="BQ510" s="244"/>
      <c r="BR510" s="33"/>
      <c r="BS510" s="242"/>
      <c r="BT510" s="241"/>
      <c r="BU510" s="244"/>
      <c r="BV510" s="33"/>
      <c r="BW510" s="242"/>
      <c r="BX510" s="241"/>
      <c r="BY510" s="244"/>
      <c r="BZ510" s="33"/>
      <c r="CA510" s="242"/>
      <c r="CB510" s="241"/>
      <c r="CC510" s="244"/>
      <c r="CD510" s="243"/>
      <c r="CE510" s="243"/>
      <c r="CF510" s="243"/>
      <c r="CG510" s="243"/>
      <c r="CH510" s="243"/>
      <c r="CI510" s="243"/>
      <c r="CJ510" s="243"/>
      <c r="CK510" s="243"/>
      <c r="CL510" s="243"/>
      <c r="CM510" s="243"/>
      <c r="CN510" s="243"/>
      <c r="CO510" s="243"/>
      <c r="CP510" s="243"/>
      <c r="CQ510" s="243"/>
      <c r="CR510" s="243"/>
      <c r="CS510" s="243"/>
      <c r="CT510" s="243"/>
      <c r="CU510" s="243"/>
      <c r="CV510" s="243"/>
      <c r="CW510" s="243"/>
      <c r="CX510" s="243"/>
      <c r="CY510" s="243"/>
      <c r="CZ510" s="243"/>
      <c r="DA510" s="243"/>
      <c r="DB510" s="243"/>
      <c r="DC510" s="243"/>
      <c r="DD510" s="243"/>
      <c r="DE510" s="243"/>
      <c r="DF510" s="243"/>
      <c r="DG510" s="243"/>
      <c r="DH510" s="243"/>
      <c r="DI510" s="243"/>
      <c r="DJ510" s="243"/>
      <c r="DK510" s="243"/>
      <c r="DM510" s="242"/>
      <c r="DO510" s="243"/>
      <c r="DQ510" s="242"/>
      <c r="DS510" s="243"/>
      <c r="DU510" s="242"/>
      <c r="DW510" s="243"/>
      <c r="DY510" s="242"/>
      <c r="EA510" s="243"/>
    </row>
    <row r="511" spans="1:131">
      <c r="A511" s="20"/>
      <c r="B511" s="124" t="str">
        <f t="shared" si="470"/>
        <v/>
      </c>
      <c r="C511" s="235"/>
      <c r="D511" s="24">
        <f>'1% Wind'!$M$94</f>
        <v>1.8</v>
      </c>
      <c r="E511" s="90"/>
      <c r="F511" s="90"/>
      <c r="G511" s="79">
        <f ca="1">IF(I498=0.9743,$G510,MAX(G510/D510*D511,2))</f>
        <v>6.001707317073171</v>
      </c>
      <c r="H511" s="121" t="e">
        <f t="shared" ca="1" si="471"/>
        <v>#VALUE!</v>
      </c>
      <c r="J511" s="33"/>
      <c r="K511" s="242">
        <f t="shared" si="472"/>
        <v>1</v>
      </c>
      <c r="L511" s="241" t="e">
        <f t="shared" ca="1" si="473"/>
        <v>#VALUE!</v>
      </c>
      <c r="M511" s="243" t="e">
        <f ca="1">IF(AND(INDEX(FlowCalConstA,MATCH(J498,FlowCalNumber,0),1,1)*L511^INDEX(FlowCalConstB,MATCH(J498,FlowCalNumber,0),1,1)&gt;INDEX(FlowCalLowSetting,MATCH(J498,FlowCalNumber,0),1,1), (INDEX(FlowCalConstA,MATCH(J498,FlowCalNumber,0),1,1)*L511^INDEX(FlowCalConstB,MATCH(J498,FlowCalNumber,0),1,1)&lt;INDEX(FlowCalHighSetting,MATCH(J498,FlowCalNumber,0),1,1))),INDEX(FlowCalConstA,MATCH(J498,FlowCalNumber,0),1,1)*L511^INDEX(FlowCalConstB,MATCH(J498,FlowCalNumber,0),1,1)," ")</f>
        <v>#N/A</v>
      </c>
      <c r="N511" s="33"/>
      <c r="O511" s="242">
        <f t="shared" si="474"/>
        <v>1</v>
      </c>
      <c r="P511" s="241" t="e">
        <f t="shared" ca="1" si="475"/>
        <v>#VALUE!</v>
      </c>
      <c r="Q511" s="243" t="e">
        <f ca="1">IF(AND(INDEX(FlowCalConstA,MATCH(N498,FlowCalNumber,0),1,1)*P511^INDEX(FlowCalConstB,MATCH(N498,FlowCalNumber,0),1,1)&gt;INDEX(FlowCalLowSetting,MATCH(N498,FlowCalNumber,0),1,1), (INDEX(FlowCalConstA,MATCH(N498,FlowCalNumber,0),1,1)*P511^INDEX(FlowCalConstB,MATCH(N498,FlowCalNumber,0),1,1)&lt;INDEX(FlowCalHighSetting,MATCH(N498,FlowCalNumber,0),1,1))),INDEX(FlowCalConstA,MATCH(N498,FlowCalNumber,0),1,1)*P511^INDEX(FlowCalConstB,MATCH(N498,FlowCalNumber,0),1,1)," ")</f>
        <v>#N/A</v>
      </c>
      <c r="R511" s="33"/>
      <c r="S511" s="242">
        <f t="shared" si="476"/>
        <v>1</v>
      </c>
      <c r="T511" s="241" t="e">
        <f t="shared" ca="1" si="477"/>
        <v>#VALUE!</v>
      </c>
      <c r="U511" s="244" t="e">
        <f ca="1">IF(AND(INDEX(FlowCalConstA,MATCH(R498,FlowCalNumber,0),1,1)*T511^INDEX(FlowCalConstB,MATCH(R498,FlowCalNumber,0),1,1)&gt;INDEX(FlowCalLowSetting,MATCH(R498,FlowCalNumber,0),1,1), (INDEX(FlowCalConstA,MATCH(R498,FlowCalNumber,0),1,1)*T511^INDEX(FlowCalConstB,MATCH(R498,FlowCalNumber,0),1,1)&lt;INDEX(FlowCalHighSetting,MATCH(R498,FlowCalNumber,0),1,1))),INDEX(FlowCalConstA,MATCH(R498,FlowCalNumber,0),1,1)*T511^INDEX(FlowCalConstB,MATCH(R498,FlowCalNumber,0),1,1)," ")</f>
        <v>#N/A</v>
      </c>
      <c r="V511" s="33"/>
      <c r="W511" s="242">
        <f t="shared" si="478"/>
        <v>0.1</v>
      </c>
      <c r="X511" s="241" t="e">
        <f t="shared" ca="1" si="479"/>
        <v>#VALUE!</v>
      </c>
      <c r="Y511" s="243" t="e">
        <f ca="1">IF(AND(INDEX(FlowCalConstA,MATCH(V498,FlowCalNumber,0),1,1)*X511^INDEX(FlowCalConstB,MATCH(V498,FlowCalNumber,0),1,1)&gt;INDEX(FlowCalLowSetting,MATCH(V498,FlowCalNumber,0),1,1), (INDEX(FlowCalConstA,MATCH(V498,FlowCalNumber,0),1,1)*X511^INDEX(FlowCalConstB,MATCH(V498,FlowCalNumber,0),1,1)&lt;INDEX(FlowCalHighSetting,MATCH(V498,FlowCalNumber,0),1,1))),INDEX(FlowCalConstA,MATCH(V498,FlowCalNumber,0),1,1)*X511^INDEX(FlowCalConstB,MATCH(V498,FlowCalNumber,0),1,1)," ")</f>
        <v>#N/A</v>
      </c>
      <c r="Z511" s="33"/>
      <c r="AA511" s="242">
        <f t="shared" si="480"/>
        <v>0.9</v>
      </c>
      <c r="AB511" s="241" t="e">
        <f t="shared" ca="1" si="481"/>
        <v>#VALUE!</v>
      </c>
      <c r="AC511" s="243" t="e">
        <f ca="1">IF(AND(INDEX(FlowCalConstA,MATCH(Z498,FlowCalNumber,0),1,1)*AB511^INDEX(FlowCalConstB,MATCH(Z498,FlowCalNumber,0),1,1)&gt;INDEX(FlowCalLowSetting,MATCH(Z498,FlowCalNumber,0),1,1), (INDEX(FlowCalConstA,MATCH(Z498,FlowCalNumber,0),1,1)*AB511^INDEX(FlowCalConstB,MATCH(Z498,FlowCalNumber,0),1,1)&lt;INDEX(FlowCalHighSetting,MATCH(Z498,FlowCalNumber,0),1,1))),INDEX(FlowCalConstA,MATCH(Z498,FlowCalNumber,0),1,1)*AB511^INDEX(FlowCalConstB,MATCH(Z498,FlowCalNumber,0),1,1)," ")</f>
        <v>#N/A</v>
      </c>
      <c r="AD511" s="33"/>
      <c r="AE511" s="242">
        <f t="shared" si="482"/>
        <v>0.1</v>
      </c>
      <c r="AF511" s="241" t="e">
        <f t="shared" ca="1" si="483"/>
        <v>#VALUE!</v>
      </c>
      <c r="AG511" s="243" t="e">
        <f ca="1">IF(AND(INDEX(FlowCalConstA,MATCH(AD498,FlowCalNumber,0),1,1)*AF511^INDEX(FlowCalConstB,MATCH(AD498,FlowCalNumber,0),1,1)&gt;INDEX(FlowCalLowSetting,MATCH(AD498,FlowCalNumber,0),1,1), (INDEX(FlowCalConstA,MATCH(AD498,FlowCalNumber,0),1,1)*AF511^INDEX(FlowCalConstB,MATCH(AD498,FlowCalNumber,0),1,1)&lt;INDEX(FlowCalHighSetting,MATCH(AD498,FlowCalNumber,0),1,1))),INDEX(FlowCalConstA,MATCH(AD498,FlowCalNumber,0),1,1)*AF511^INDEX(FlowCalConstB,MATCH(AD498,FlowCalNumber,0),1,1)," ")</f>
        <v>#N/A</v>
      </c>
      <c r="AH511" s="33"/>
      <c r="AI511" s="242">
        <f t="shared" si="484"/>
        <v>0.9</v>
      </c>
      <c r="AJ511" s="241" t="e">
        <f t="shared" ca="1" si="485"/>
        <v>#VALUE!</v>
      </c>
      <c r="AK511" s="243" t="e">
        <f ca="1">IF(AND(INDEX(FlowCalConstA,MATCH(AH498,FlowCalNumber,0),1,1)*AJ511^INDEX(FlowCalConstB,MATCH(AH498,FlowCalNumber,0),1,1)&gt;INDEX(FlowCalLowSetting,MATCH(AH498,FlowCalNumber,0),1,1), (INDEX(FlowCalConstA,MATCH(AH498,FlowCalNumber,0),1,1)*AJ511^INDEX(FlowCalConstB,MATCH(AH498,FlowCalNumber,0),1,1)&lt;INDEX(FlowCalHighSetting,MATCH(AH498,FlowCalNumber,0),1,1))),INDEX(FlowCalConstA,MATCH(AH498,FlowCalNumber,0),1,1)*AJ511^INDEX(FlowCalConstB,MATCH(AH498,FlowCalNumber,0),1,1)," ")</f>
        <v>#N/A</v>
      </c>
      <c r="AL511" s="33"/>
      <c r="AM511" s="242"/>
      <c r="AN511" s="241"/>
      <c r="AO511" s="244"/>
      <c r="AQ511" s="242"/>
      <c r="AR511" s="241"/>
      <c r="AS511" s="244"/>
      <c r="AT511" s="33"/>
      <c r="AU511" s="242"/>
      <c r="AV511" s="241"/>
      <c r="AW511" s="244"/>
      <c r="AX511" s="33"/>
      <c r="AY511" s="242"/>
      <c r="AZ511" s="241"/>
      <c r="BA511" s="244"/>
      <c r="BB511" s="33"/>
      <c r="BC511" s="242"/>
      <c r="BD511" s="241"/>
      <c r="BE511" s="244"/>
      <c r="BF511" s="33"/>
      <c r="BG511" s="242"/>
      <c r="BH511" s="241"/>
      <c r="BI511" s="244"/>
      <c r="BJ511" s="33"/>
      <c r="BK511" s="242"/>
      <c r="BL511" s="241"/>
      <c r="BM511" s="244"/>
      <c r="BN511" s="33"/>
      <c r="BO511" s="242"/>
      <c r="BP511" s="241"/>
      <c r="BQ511" s="244"/>
      <c r="BR511" s="33"/>
      <c r="BS511" s="242"/>
      <c r="BT511" s="241"/>
      <c r="BU511" s="244"/>
      <c r="BV511" s="33"/>
      <c r="BW511" s="242"/>
      <c r="BX511" s="241"/>
      <c r="BY511" s="244"/>
      <c r="BZ511" s="33"/>
      <c r="CA511" s="242"/>
      <c r="CB511" s="241"/>
      <c r="CC511" s="244"/>
      <c r="CD511" s="243"/>
      <c r="CE511" s="243"/>
      <c r="CF511" s="243"/>
      <c r="CG511" s="243"/>
      <c r="CH511" s="243"/>
      <c r="CI511" s="243"/>
      <c r="CJ511" s="243"/>
      <c r="CK511" s="243"/>
      <c r="CL511" s="243"/>
      <c r="CM511" s="243"/>
      <c r="CN511" s="243"/>
      <c r="CO511" s="243"/>
      <c r="CP511" s="243"/>
      <c r="CQ511" s="243"/>
      <c r="CR511" s="243"/>
      <c r="CS511" s="243"/>
      <c r="CT511" s="243"/>
      <c r="CU511" s="243"/>
      <c r="CV511" s="243"/>
      <c r="CW511" s="243"/>
      <c r="CX511" s="243"/>
      <c r="CY511" s="243"/>
      <c r="CZ511" s="243"/>
      <c r="DA511" s="243"/>
      <c r="DB511" s="243"/>
      <c r="DC511" s="243"/>
      <c r="DD511" s="243"/>
      <c r="DE511" s="243"/>
      <c r="DF511" s="243"/>
      <c r="DG511" s="243"/>
      <c r="DH511" s="243"/>
      <c r="DI511" s="243"/>
      <c r="DJ511" s="243"/>
      <c r="DK511" s="243"/>
      <c r="DM511" s="242"/>
      <c r="DO511" s="243"/>
      <c r="DQ511" s="242"/>
      <c r="DS511" s="243"/>
      <c r="DU511" s="242"/>
      <c r="DW511" s="243"/>
      <c r="DY511" s="242"/>
      <c r="EA511" s="243"/>
    </row>
    <row r="512" spans="1:131">
      <c r="A512" s="20"/>
      <c r="B512" s="124" t="str">
        <f t="shared" si="470"/>
        <v/>
      </c>
      <c r="C512" s="235"/>
      <c r="D512" s="24">
        <f>'1% Wind'!$M$95</f>
        <v>1.3</v>
      </c>
      <c r="E512" s="90"/>
      <c r="F512" s="90"/>
      <c r="G512" s="79">
        <f ca="1">IF(I498=0.9743,$G511,MAX(G511/D511*D512,2))</f>
        <v>6.001707317073171</v>
      </c>
      <c r="H512" s="121" t="e">
        <f t="shared" ca="1" si="471"/>
        <v>#VALUE!</v>
      </c>
      <c r="J512" s="33"/>
      <c r="K512" s="242">
        <f t="shared" si="472"/>
        <v>1</v>
      </c>
      <c r="L512" s="241" t="e">
        <f t="shared" ca="1" si="473"/>
        <v>#VALUE!</v>
      </c>
      <c r="M512" s="243" t="e">
        <f ca="1">IF(AND(INDEX(FlowCalConstA,MATCH(J498,FlowCalNumber,0),1,1)*L512^INDEX(FlowCalConstB,MATCH(J498,FlowCalNumber,0),1,1)&gt;INDEX(FlowCalLowSetting,MATCH(J498,FlowCalNumber,0),1,1), (INDEX(FlowCalConstA,MATCH(J498,FlowCalNumber,0),1,1)*L512^INDEX(FlowCalConstB,MATCH(J498,FlowCalNumber,0),1,1)&lt;INDEX(FlowCalHighSetting,MATCH(J498,FlowCalNumber,0),1,1))),INDEX(FlowCalConstA,MATCH(J498,FlowCalNumber,0),1,1)*L512^INDEX(FlowCalConstB,MATCH(J498,FlowCalNumber,0),1,1)," ")</f>
        <v>#N/A</v>
      </c>
      <c r="N512" s="33"/>
      <c r="O512" s="242">
        <f t="shared" si="474"/>
        <v>1</v>
      </c>
      <c r="P512" s="241" t="e">
        <f t="shared" ca="1" si="475"/>
        <v>#VALUE!</v>
      </c>
      <c r="Q512" s="243" t="e">
        <f ca="1">IF(AND(INDEX(FlowCalConstA,MATCH(N498,FlowCalNumber,0),1,1)*P512^INDEX(FlowCalConstB,MATCH(N498,FlowCalNumber,0),1,1)&gt;INDEX(FlowCalLowSetting,MATCH(N498,FlowCalNumber,0),1,1), (INDEX(FlowCalConstA,MATCH(N498,FlowCalNumber,0),1,1)*P512^INDEX(FlowCalConstB,MATCH(N498,FlowCalNumber,0),1,1)&lt;INDEX(FlowCalHighSetting,MATCH(N498,FlowCalNumber,0),1,1))),INDEX(FlowCalConstA,MATCH(N498,FlowCalNumber,0),1,1)*P512^INDEX(FlowCalConstB,MATCH(N498,FlowCalNumber,0),1,1)," ")</f>
        <v>#N/A</v>
      </c>
      <c r="R512" s="33"/>
      <c r="S512" s="242">
        <f t="shared" si="476"/>
        <v>1</v>
      </c>
      <c r="T512" s="241" t="e">
        <f t="shared" ca="1" si="477"/>
        <v>#VALUE!</v>
      </c>
      <c r="U512" s="244" t="e">
        <f ca="1">IF(AND(INDEX(FlowCalConstA,MATCH(R498,FlowCalNumber,0),1,1)*T512^INDEX(FlowCalConstB,MATCH(R498,FlowCalNumber,0),1,1)&gt;INDEX(FlowCalLowSetting,MATCH(R498,FlowCalNumber,0),1,1), (INDEX(FlowCalConstA,MATCH(R498,FlowCalNumber,0),1,1)*T512^INDEX(FlowCalConstB,MATCH(R498,FlowCalNumber,0),1,1)&lt;INDEX(FlowCalHighSetting,MATCH(R498,FlowCalNumber,0),1,1))),INDEX(FlowCalConstA,MATCH(R498,FlowCalNumber,0),1,1)*T512^INDEX(FlowCalConstB,MATCH(R498,FlowCalNumber,0),1,1)," ")</f>
        <v>#N/A</v>
      </c>
      <c r="V512" s="33"/>
      <c r="W512" s="242">
        <f t="shared" si="478"/>
        <v>0.1</v>
      </c>
      <c r="X512" s="241" t="e">
        <f t="shared" ca="1" si="479"/>
        <v>#VALUE!</v>
      </c>
      <c r="Y512" s="243" t="e">
        <f ca="1">IF(AND(INDEX(FlowCalConstA,MATCH(V498,FlowCalNumber,0),1,1)*X512^INDEX(FlowCalConstB,MATCH(V498,FlowCalNumber,0),1,1)&gt;INDEX(FlowCalLowSetting,MATCH(V498,FlowCalNumber,0),1,1), (INDEX(FlowCalConstA,MATCH(V498,FlowCalNumber,0),1,1)*X512^INDEX(FlowCalConstB,MATCH(V498,FlowCalNumber,0),1,1)&lt;INDEX(FlowCalHighSetting,MATCH(V498,FlowCalNumber,0),1,1))),INDEX(FlowCalConstA,MATCH(V498,FlowCalNumber,0),1,1)*X512^INDEX(FlowCalConstB,MATCH(V498,FlowCalNumber,0),1,1)," ")</f>
        <v>#N/A</v>
      </c>
      <c r="Z512" s="33"/>
      <c r="AA512" s="242">
        <f t="shared" si="480"/>
        <v>0.9</v>
      </c>
      <c r="AB512" s="241" t="e">
        <f t="shared" ca="1" si="481"/>
        <v>#VALUE!</v>
      </c>
      <c r="AC512" s="243" t="e">
        <f ca="1">IF(AND(INDEX(FlowCalConstA,MATCH(Z498,FlowCalNumber,0),1,1)*AB512^INDEX(FlowCalConstB,MATCH(Z498,FlowCalNumber,0),1,1)&gt;INDEX(FlowCalLowSetting,MATCH(Z498,FlowCalNumber,0),1,1), (INDEX(FlowCalConstA,MATCH(Z498,FlowCalNumber,0),1,1)*AB512^INDEX(FlowCalConstB,MATCH(Z498,FlowCalNumber,0),1,1)&lt;INDEX(FlowCalHighSetting,MATCH(Z498,FlowCalNumber,0),1,1))),INDEX(FlowCalConstA,MATCH(Z498,FlowCalNumber,0),1,1)*AB512^INDEX(FlowCalConstB,MATCH(Z498,FlowCalNumber,0),1,1)," ")</f>
        <v>#N/A</v>
      </c>
      <c r="AD512" s="33"/>
      <c r="AE512" s="242">
        <f t="shared" si="482"/>
        <v>0.1</v>
      </c>
      <c r="AF512" s="241" t="e">
        <f t="shared" ca="1" si="483"/>
        <v>#VALUE!</v>
      </c>
      <c r="AG512" s="243" t="e">
        <f ca="1">IF(AND(INDEX(FlowCalConstA,MATCH(AD498,FlowCalNumber,0),1,1)*AF512^INDEX(FlowCalConstB,MATCH(AD498,FlowCalNumber,0),1,1)&gt;INDEX(FlowCalLowSetting,MATCH(AD498,FlowCalNumber,0),1,1), (INDEX(FlowCalConstA,MATCH(AD498,FlowCalNumber,0),1,1)*AF512^INDEX(FlowCalConstB,MATCH(AD498,FlowCalNumber,0),1,1)&lt;INDEX(FlowCalHighSetting,MATCH(AD498,FlowCalNumber,0),1,1))),INDEX(FlowCalConstA,MATCH(AD498,FlowCalNumber,0),1,1)*AF512^INDEX(FlowCalConstB,MATCH(AD498,FlowCalNumber,0),1,1)," ")</f>
        <v>#N/A</v>
      </c>
      <c r="AH512" s="33"/>
      <c r="AI512" s="242">
        <f t="shared" si="484"/>
        <v>0.9</v>
      </c>
      <c r="AJ512" s="241" t="e">
        <f t="shared" ca="1" si="485"/>
        <v>#VALUE!</v>
      </c>
      <c r="AK512" s="243" t="e">
        <f ca="1">IF(AND(INDEX(FlowCalConstA,MATCH(AH498,FlowCalNumber,0),1,1)*AJ512^INDEX(FlowCalConstB,MATCH(AH498,FlowCalNumber,0),1,1)&gt;INDEX(FlowCalLowSetting,MATCH(AH498,FlowCalNumber,0),1,1), (INDEX(FlowCalConstA,MATCH(AH498,FlowCalNumber,0),1,1)*AJ512^INDEX(FlowCalConstB,MATCH(AH498,FlowCalNumber,0),1,1)&lt;INDEX(FlowCalHighSetting,MATCH(AH498,FlowCalNumber,0),1,1))),INDEX(FlowCalConstA,MATCH(AH498,FlowCalNumber,0),1,1)*AJ512^INDEX(FlowCalConstB,MATCH(AH498,FlowCalNumber,0),1,1)," ")</f>
        <v>#N/A</v>
      </c>
      <c r="AL512" s="33"/>
      <c r="AM512" s="242"/>
      <c r="AN512" s="241"/>
      <c r="AO512" s="244"/>
      <c r="AQ512" s="242"/>
      <c r="AR512" s="241"/>
      <c r="AS512" s="244"/>
      <c r="AT512" s="33"/>
      <c r="AU512" s="242"/>
      <c r="AV512" s="241"/>
      <c r="AW512" s="244"/>
      <c r="AX512" s="33"/>
      <c r="AY512" s="242"/>
      <c r="AZ512" s="241"/>
      <c r="BA512" s="244"/>
      <c r="BB512" s="33"/>
      <c r="BC512" s="242"/>
      <c r="BD512" s="241"/>
      <c r="BE512" s="244"/>
      <c r="BF512" s="33"/>
      <c r="BG512" s="242"/>
      <c r="BH512" s="241"/>
      <c r="BI512" s="244"/>
      <c r="BJ512" s="33"/>
      <c r="BK512" s="242"/>
      <c r="BL512" s="241"/>
      <c r="BM512" s="244"/>
      <c r="BN512" s="33"/>
      <c r="BO512" s="242"/>
      <c r="BP512" s="241"/>
      <c r="BQ512" s="244"/>
      <c r="BR512" s="33"/>
      <c r="BS512" s="242"/>
      <c r="BT512" s="241"/>
      <c r="BU512" s="244"/>
      <c r="BV512" s="33"/>
      <c r="BW512" s="242"/>
      <c r="BX512" s="241"/>
      <c r="BY512" s="244"/>
      <c r="BZ512" s="33"/>
      <c r="CA512" s="242"/>
      <c r="CB512" s="241"/>
      <c r="CC512" s="244"/>
      <c r="CD512" s="243"/>
      <c r="CE512" s="243"/>
      <c r="CF512" s="243"/>
      <c r="CG512" s="243"/>
      <c r="CH512" s="243"/>
      <c r="CI512" s="243"/>
      <c r="CJ512" s="243"/>
      <c r="CK512" s="243"/>
      <c r="CL512" s="243"/>
      <c r="CM512" s="243"/>
      <c r="CN512" s="243"/>
      <c r="CO512" s="243"/>
      <c r="CP512" s="243"/>
      <c r="CQ512" s="243"/>
      <c r="CR512" s="243"/>
      <c r="CS512" s="243"/>
      <c r="CT512" s="243"/>
      <c r="CU512" s="243"/>
      <c r="CV512" s="243"/>
      <c r="CW512" s="243"/>
      <c r="CX512" s="243"/>
      <c r="CY512" s="243"/>
      <c r="CZ512" s="243"/>
      <c r="DA512" s="243"/>
      <c r="DB512" s="243"/>
      <c r="DC512" s="243"/>
      <c r="DD512" s="243"/>
      <c r="DE512" s="243"/>
      <c r="DF512" s="243"/>
      <c r="DG512" s="243"/>
      <c r="DH512" s="243"/>
      <c r="DI512" s="243"/>
      <c r="DJ512" s="243"/>
      <c r="DK512" s="243"/>
      <c r="DM512" s="242"/>
      <c r="DO512" s="243"/>
      <c r="DQ512" s="242"/>
      <c r="DS512" s="243"/>
      <c r="DU512" s="242"/>
      <c r="DW512" s="243"/>
      <c r="DY512" s="242"/>
      <c r="EA512" s="243"/>
    </row>
    <row r="513" spans="1:131">
      <c r="A513" s="20"/>
      <c r="B513" s="124" t="str">
        <f t="shared" si="470"/>
        <v/>
      </c>
      <c r="C513" s="235"/>
      <c r="D513" s="24">
        <f>'1% Wind'!$M$96</f>
        <v>1</v>
      </c>
      <c r="E513" s="90"/>
      <c r="F513" s="90"/>
      <c r="G513" s="79">
        <f ca="1">IF(I498=0.9743,$G512,MAX(G512/D512*D513,2))</f>
        <v>6.001707317073171</v>
      </c>
      <c r="H513" s="121" t="e">
        <f t="shared" ca="1" si="471"/>
        <v>#VALUE!</v>
      </c>
      <c r="J513" s="33"/>
      <c r="K513" s="242">
        <f t="shared" si="472"/>
        <v>1</v>
      </c>
      <c r="L513" s="241" t="e">
        <f t="shared" ca="1" si="473"/>
        <v>#VALUE!</v>
      </c>
      <c r="M513" s="243" t="e">
        <f ca="1">IF(AND(INDEX(FlowCalConstA,MATCH(J498,FlowCalNumber,0),1,1)*L513^INDEX(FlowCalConstB,MATCH(J498,FlowCalNumber,0),1,1)&gt;INDEX(FlowCalLowSetting,MATCH(J498,FlowCalNumber,0),1,1), (INDEX(FlowCalConstA,MATCH(J498,FlowCalNumber,0),1,1)*L513^INDEX(FlowCalConstB,MATCH(J498,FlowCalNumber,0),1,1)&lt;INDEX(FlowCalHighSetting,MATCH(J498,FlowCalNumber,0),1,1))),INDEX(FlowCalConstA,MATCH(J498,FlowCalNumber,0),1,1)*L513^INDEX(FlowCalConstB,MATCH(J498,FlowCalNumber,0),1,1)," ")</f>
        <v>#N/A</v>
      </c>
      <c r="N513" s="33"/>
      <c r="O513" s="242">
        <f t="shared" si="474"/>
        <v>1</v>
      </c>
      <c r="P513" s="241" t="e">
        <f t="shared" ca="1" si="475"/>
        <v>#VALUE!</v>
      </c>
      <c r="Q513" s="243" t="e">
        <f ca="1">IF(AND(INDEX(FlowCalConstA,MATCH(N498,FlowCalNumber,0),1,1)*P513^INDEX(FlowCalConstB,MATCH(N498,FlowCalNumber,0),1,1)&gt;INDEX(FlowCalLowSetting,MATCH(N498,FlowCalNumber,0),1,1), (INDEX(FlowCalConstA,MATCH(N498,FlowCalNumber,0),1,1)*P513^INDEX(FlowCalConstB,MATCH(N498,FlowCalNumber,0),1,1)&lt;INDEX(FlowCalHighSetting,MATCH(N498,FlowCalNumber,0),1,1))),INDEX(FlowCalConstA,MATCH(N498,FlowCalNumber,0),1,1)*P513^INDEX(FlowCalConstB,MATCH(N498,FlowCalNumber,0),1,1)," ")</f>
        <v>#N/A</v>
      </c>
      <c r="R513" s="33"/>
      <c r="S513" s="242">
        <f t="shared" si="476"/>
        <v>1</v>
      </c>
      <c r="T513" s="241" t="e">
        <f t="shared" ca="1" si="477"/>
        <v>#VALUE!</v>
      </c>
      <c r="U513" s="244" t="e">
        <f ca="1">IF(AND(INDEX(FlowCalConstA,MATCH(R498,FlowCalNumber,0),1,1)*T513^INDEX(FlowCalConstB,MATCH(R498,FlowCalNumber,0),1,1)&gt;INDEX(FlowCalLowSetting,MATCH(R498,FlowCalNumber,0),1,1), (INDEX(FlowCalConstA,MATCH(R498,FlowCalNumber,0),1,1)*T513^INDEX(FlowCalConstB,MATCH(R498,FlowCalNumber,0),1,1)&lt;INDEX(FlowCalHighSetting,MATCH(R498,FlowCalNumber,0),1,1))),INDEX(FlowCalConstA,MATCH(R498,FlowCalNumber,0),1,1)*T513^INDEX(FlowCalConstB,MATCH(R498,FlowCalNumber,0),1,1)," ")</f>
        <v>#N/A</v>
      </c>
      <c r="V513" s="33"/>
      <c r="W513" s="242">
        <f t="shared" si="478"/>
        <v>0.1</v>
      </c>
      <c r="X513" s="241" t="e">
        <f t="shared" ca="1" si="479"/>
        <v>#VALUE!</v>
      </c>
      <c r="Y513" s="243" t="e">
        <f ca="1">IF(AND(INDEX(FlowCalConstA,MATCH(V498,FlowCalNumber,0),1,1)*X513^INDEX(FlowCalConstB,MATCH(V498,FlowCalNumber,0),1,1)&gt;INDEX(FlowCalLowSetting,MATCH(V498,FlowCalNumber,0),1,1), (INDEX(FlowCalConstA,MATCH(V498,FlowCalNumber,0),1,1)*X513^INDEX(FlowCalConstB,MATCH(V498,FlowCalNumber,0),1,1)&lt;INDEX(FlowCalHighSetting,MATCH(V498,FlowCalNumber,0),1,1))),INDEX(FlowCalConstA,MATCH(V498,FlowCalNumber,0),1,1)*X513^INDEX(FlowCalConstB,MATCH(V498,FlowCalNumber,0),1,1)," ")</f>
        <v>#N/A</v>
      </c>
      <c r="Z513" s="33"/>
      <c r="AA513" s="242">
        <f t="shared" si="480"/>
        <v>0.9</v>
      </c>
      <c r="AB513" s="241" t="e">
        <f t="shared" ca="1" si="481"/>
        <v>#VALUE!</v>
      </c>
      <c r="AC513" s="243" t="e">
        <f ca="1">IF(AND(INDEX(FlowCalConstA,MATCH(Z498,FlowCalNumber,0),1,1)*AB513^INDEX(FlowCalConstB,MATCH(Z498,FlowCalNumber,0),1,1)&gt;INDEX(FlowCalLowSetting,MATCH(Z498,FlowCalNumber,0),1,1), (INDEX(FlowCalConstA,MATCH(Z498,FlowCalNumber,0),1,1)*AB513^INDEX(FlowCalConstB,MATCH(Z498,FlowCalNumber,0),1,1)&lt;INDEX(FlowCalHighSetting,MATCH(Z498,FlowCalNumber,0),1,1))),INDEX(FlowCalConstA,MATCH(Z498,FlowCalNumber,0),1,1)*AB513^INDEX(FlowCalConstB,MATCH(Z498,FlowCalNumber,0),1,1)," ")</f>
        <v>#N/A</v>
      </c>
      <c r="AD513" s="33"/>
      <c r="AE513" s="242">
        <f t="shared" si="482"/>
        <v>0.1</v>
      </c>
      <c r="AF513" s="241" t="e">
        <f t="shared" ca="1" si="483"/>
        <v>#VALUE!</v>
      </c>
      <c r="AG513" s="243" t="e">
        <f ca="1">IF(AND(INDEX(FlowCalConstA,MATCH(AD498,FlowCalNumber,0),1,1)*AF513^INDEX(FlowCalConstB,MATCH(AD498,FlowCalNumber,0),1,1)&gt;INDEX(FlowCalLowSetting,MATCH(AD498,FlowCalNumber,0),1,1), (INDEX(FlowCalConstA,MATCH(AD498,FlowCalNumber,0),1,1)*AF513^INDEX(FlowCalConstB,MATCH(AD498,FlowCalNumber,0),1,1)&lt;INDEX(FlowCalHighSetting,MATCH(AD498,FlowCalNumber,0),1,1))),INDEX(FlowCalConstA,MATCH(AD498,FlowCalNumber,0),1,1)*AF513^INDEX(FlowCalConstB,MATCH(AD498,FlowCalNumber,0),1,1)," ")</f>
        <v>#N/A</v>
      </c>
      <c r="AH513" s="33"/>
      <c r="AI513" s="242">
        <f t="shared" si="484"/>
        <v>0.9</v>
      </c>
      <c r="AJ513" s="241" t="e">
        <f t="shared" ca="1" si="485"/>
        <v>#VALUE!</v>
      </c>
      <c r="AK513" s="243" t="e">
        <f ca="1">IF(AND(INDEX(FlowCalConstA,MATCH(AH498,FlowCalNumber,0),1,1)*AJ513^INDEX(FlowCalConstB,MATCH(AH498,FlowCalNumber,0),1,1)&gt;INDEX(FlowCalLowSetting,MATCH(AH498,FlowCalNumber,0),1,1), (INDEX(FlowCalConstA,MATCH(AH498,FlowCalNumber,0),1,1)*AJ513^INDEX(FlowCalConstB,MATCH(AH498,FlowCalNumber,0),1,1)&lt;INDEX(FlowCalHighSetting,MATCH(AH498,FlowCalNumber,0),1,1))),INDEX(FlowCalConstA,MATCH(AH498,FlowCalNumber,0),1,1)*AJ513^INDEX(FlowCalConstB,MATCH(AH498,FlowCalNumber,0),1,1)," ")</f>
        <v>#N/A</v>
      </c>
      <c r="AL513" s="33"/>
      <c r="AM513" s="242"/>
      <c r="AN513" s="241"/>
      <c r="AO513" s="244"/>
      <c r="AQ513" s="242"/>
      <c r="AR513" s="241"/>
      <c r="AS513" s="244"/>
      <c r="AT513" s="33"/>
      <c r="AU513" s="242"/>
      <c r="AV513" s="241"/>
      <c r="AW513" s="244"/>
      <c r="AX513" s="33"/>
      <c r="AY513" s="242"/>
      <c r="AZ513" s="241"/>
      <c r="BA513" s="244"/>
      <c r="BB513" s="33"/>
      <c r="BC513" s="242"/>
      <c r="BD513" s="241"/>
      <c r="BE513" s="244"/>
      <c r="BF513" s="33"/>
      <c r="BG513" s="242"/>
      <c r="BH513" s="241"/>
      <c r="BI513" s="244"/>
      <c r="BJ513" s="33"/>
      <c r="BK513" s="242"/>
      <c r="BL513" s="241"/>
      <c r="BM513" s="244"/>
      <c r="BN513" s="33"/>
      <c r="BO513" s="242"/>
      <c r="BP513" s="241"/>
      <c r="BQ513" s="244"/>
      <c r="BR513" s="33"/>
      <c r="BS513" s="242"/>
      <c r="BT513" s="241"/>
      <c r="BU513" s="244"/>
      <c r="BV513" s="33"/>
      <c r="BW513" s="242"/>
      <c r="BX513" s="241"/>
      <c r="BY513" s="244"/>
      <c r="BZ513" s="33"/>
      <c r="CA513" s="242"/>
      <c r="CB513" s="241"/>
      <c r="CC513" s="244"/>
      <c r="CD513" s="243"/>
      <c r="CE513" s="243"/>
      <c r="CF513" s="243"/>
      <c r="CG513" s="243"/>
      <c r="CH513" s="243"/>
      <c r="CI513" s="243"/>
      <c r="CJ513" s="243"/>
      <c r="CK513" s="243"/>
      <c r="CL513" s="243"/>
      <c r="CM513" s="243"/>
      <c r="CN513" s="243"/>
      <c r="CO513" s="243"/>
      <c r="CP513" s="243"/>
      <c r="CQ513" s="243"/>
      <c r="CR513" s="243"/>
      <c r="CS513" s="243"/>
      <c r="CT513" s="243"/>
      <c r="CU513" s="243"/>
      <c r="CV513" s="243"/>
      <c r="CW513" s="243"/>
      <c r="CX513" s="243"/>
      <c r="CY513" s="243"/>
      <c r="CZ513" s="243"/>
      <c r="DA513" s="243"/>
      <c r="DB513" s="243"/>
      <c r="DC513" s="243"/>
      <c r="DD513" s="243"/>
      <c r="DE513" s="243"/>
      <c r="DF513" s="243"/>
      <c r="DG513" s="243"/>
      <c r="DH513" s="243"/>
      <c r="DI513" s="243"/>
      <c r="DJ513" s="243"/>
      <c r="DK513" s="243"/>
      <c r="DM513" s="242"/>
      <c r="DO513" s="243"/>
      <c r="DQ513" s="242"/>
      <c r="DS513" s="243"/>
      <c r="DU513" s="242"/>
      <c r="DW513" s="243"/>
      <c r="DY513" s="242"/>
      <c r="EA513" s="243"/>
    </row>
    <row r="514" spans="1:131">
      <c r="A514" s="33"/>
      <c r="B514" s="33"/>
      <c r="C514" s="235"/>
      <c r="E514" s="90"/>
      <c r="F514" s="90"/>
      <c r="G514" s="33"/>
      <c r="J514" s="33"/>
      <c r="M514" s="243"/>
      <c r="N514" s="33"/>
      <c r="Q514" s="243"/>
      <c r="R514" s="33"/>
      <c r="U514" s="244"/>
      <c r="V514" s="33"/>
      <c r="Y514" s="243"/>
      <c r="Z514" s="33"/>
      <c r="AC514" s="243"/>
      <c r="AD514" s="33"/>
      <c r="AG514" s="243"/>
      <c r="AH514" s="33"/>
      <c r="AK514" s="243"/>
      <c r="AL514" s="33"/>
      <c r="AO514" s="244"/>
      <c r="AS514" s="244"/>
      <c r="AT514" s="33"/>
      <c r="AW514" s="244"/>
      <c r="AX514" s="33"/>
      <c r="BA514" s="244"/>
      <c r="BB514" s="33"/>
      <c r="BE514" s="244"/>
      <c r="BF514" s="33"/>
      <c r="BI514" s="244"/>
      <c r="BJ514" s="33"/>
      <c r="BM514" s="244"/>
      <c r="BN514" s="33"/>
      <c r="BQ514" s="244"/>
      <c r="BR514" s="792"/>
      <c r="BS514" s="243"/>
      <c r="BT514" s="243"/>
      <c r="BU514" s="244"/>
      <c r="BV514" s="33"/>
      <c r="BY514" s="244"/>
      <c r="BZ514" s="33"/>
      <c r="CC514" s="244"/>
      <c r="CD514" s="243"/>
      <c r="CE514" s="243"/>
      <c r="CF514" s="243"/>
      <c r="CG514" s="243"/>
      <c r="CH514" s="243"/>
      <c r="CI514" s="243"/>
      <c r="CJ514" s="243"/>
      <c r="CK514" s="243"/>
      <c r="CL514" s="243"/>
      <c r="CM514" s="243"/>
      <c r="CN514" s="243"/>
      <c r="CO514" s="243"/>
      <c r="CP514" s="243"/>
      <c r="CQ514" s="243"/>
      <c r="CR514" s="243"/>
      <c r="CS514" s="243"/>
      <c r="CT514" s="243"/>
      <c r="CU514" s="243"/>
      <c r="CV514" s="243"/>
      <c r="CW514" s="243"/>
      <c r="CX514" s="243"/>
      <c r="CY514" s="243"/>
      <c r="CZ514" s="243"/>
      <c r="DA514" s="243"/>
      <c r="DB514" s="243"/>
      <c r="DC514" s="243"/>
      <c r="DD514" s="243"/>
      <c r="DE514" s="243"/>
      <c r="DF514" s="243"/>
      <c r="DG514" s="243"/>
      <c r="DH514" s="243"/>
      <c r="DI514" s="243"/>
      <c r="DJ514" s="243"/>
      <c r="DK514" s="243"/>
      <c r="DO514" s="243"/>
      <c r="DS514" s="243"/>
      <c r="DW514" s="243"/>
      <c r="EA514" s="243"/>
    </row>
    <row r="515" spans="1:131">
      <c r="A515" s="256" t="str">
        <f>IF((RIGHT(A498,1))&lt;&gt;"Z",CHAR(CODE(A498))&amp;CHAR(CODE(RIGHT(A498,1))+1),CHAR(CODE(A498)+1)&amp;"A")</f>
        <v>BD</v>
      </c>
      <c r="B515" s="270" t="str">
        <f>INDEX(SourceID,MATCH($A515,SourceNumber,0),1,1)</f>
        <v>B2 FE-2</v>
      </c>
      <c r="C515" s="354">
        <f>INDEX(SourceExitDiameter,MATCH($A515,SourceNumber,0),1,1)*3.28*12</f>
        <v>30.28</v>
      </c>
      <c r="D515" s="24" t="str">
        <f>UAnem1percent</f>
        <v>1% Wind</v>
      </c>
      <c r="E515" s="350" t="e">
        <f ca="1">INDIRECT(ADDRESS(53,6,1,,CONCATENATE("TA",$A515)))</f>
        <v>#REF!</v>
      </c>
      <c r="F515" s="625" t="e">
        <f ca="1">(ROUND((INDIRECT(ADDRESS(15,7,1,,CONCATENATE("TA",$A515)))*3.28*12*32),0)&amp;"/32")</f>
        <v>#REF!</v>
      </c>
      <c r="G515" s="125">
        <f ca="1">INDIRECT(ADDRESS(29,7,1,,$A515))</f>
        <v>6.001707317073171</v>
      </c>
      <c r="H515" s="24" t="e">
        <f ca="1">INDIRECT(ADDRESS(19,7,1,,$A515))*100^3</f>
        <v>#VALUE!</v>
      </c>
      <c r="I515" s="941">
        <f ca="1">INDIRECT(ADDRESS(53,7,1,,$A515))</f>
        <v>0.97430000000000005</v>
      </c>
      <c r="J515" s="20" t="str">
        <f ca="1">IF($I515=$I$6,K$16&amp;$G$6&amp;J$6,IF($I515=$I$7,K$16&amp;$G$7&amp;J$7,"Bad"))</f>
        <v>100EthPick a Tunnel</v>
      </c>
      <c r="K515" t="e">
        <f ca="1">INDEX(FlowCalGasMixture,MATCH(J515,FlowCalNumber,0),1,1)</f>
        <v>#N/A</v>
      </c>
      <c r="M515" s="944" t="e">
        <f ca="1">INDEX(FlowCalDevice,MATCH(J515,FlowCalNumber,0),1,1)</f>
        <v>#N/A</v>
      </c>
      <c r="N515" s="943" t="str">
        <f ca="1">IF($I515=$I$6,O$16&amp;$G$6&amp;"90"&amp;$H$6&amp;N$6,IF($I515=$I$7,O$16&amp;$G$7&amp;"90"&amp;$H$7&amp;N$7,"Bad"))</f>
        <v>10Eth90N2Pick a Tunnel</v>
      </c>
      <c r="O515" t="e">
        <f ca="1">INDEX(FlowCalGasMixture,MATCH(N515,FlowCalNumber,0),1,1)</f>
        <v>#N/A</v>
      </c>
      <c r="Q515" s="944" t="e">
        <f ca="1">INDEX(FlowCalDevice,MATCH(N515,FlowCalNumber,0),1,1)</f>
        <v>#N/A</v>
      </c>
      <c r="R515" s="943" t="str">
        <f ca="1">IF($I515=$I$6,S$16&amp;$G$6&amp;"90"&amp;$H$6&amp;R$6,IF($I515=$I$7,S$16&amp;$G$7&amp;"90"&amp;$H$7&amp;R$7,"Bad"))</f>
        <v>10Eth90N2Pick a Tunnel</v>
      </c>
      <c r="S515" t="e">
        <f ca="1">INDEX(FlowCalGasMixture,MATCH(R515,FlowCalNumber,0),1,1)</f>
        <v>#N/A</v>
      </c>
      <c r="U515" s="944" t="e">
        <f ca="1">INDEX(FlowCalDevice,MATCH(R515,FlowCalNumber,0),1,1)</f>
        <v>#N/A</v>
      </c>
      <c r="V515" s="20" t="str">
        <f ca="1">IF($I515=$I$6,W$16&amp;$G$6&amp;V$6,IF($I515=$I$7,W$16&amp;$G$7&amp;V$7,"Bad"))</f>
        <v>100EthPick a Tunnel</v>
      </c>
      <c r="W515" t="e">
        <f ca="1">INDEX(FlowCalGasMixture,MATCH(V515,FlowCalNumber,0),1,1)</f>
        <v>#N/A</v>
      </c>
      <c r="Y515" s="944" t="e">
        <f ca="1">INDEX(FlowCalDevice,MATCH(V515,FlowCalNumber,0),1,1)</f>
        <v>#N/A</v>
      </c>
      <c r="Z515" s="946" t="str">
        <f ca="1">IF($I515=$I$6,AA$18&amp;$H$6&amp;Z$6,IF($I515=$I$7,AA$18&amp;$H$7&amp;Z$7,"Bad"))</f>
        <v>100N2Pick a Tunnel</v>
      </c>
      <c r="AA515" t="e">
        <f ca="1">INDEX(FlowCalGasMixture,MATCH(Z515,FlowCalNumber,0),1,1)</f>
        <v>#N/A</v>
      </c>
      <c r="AC515" s="944" t="e">
        <f ca="1">INDEX(FlowCalDevice,MATCH(Z515,FlowCalNumber,0),1,1)</f>
        <v>#N/A</v>
      </c>
      <c r="AD515" s="20" t="str">
        <f ca="1">IF($I515=$I$6,AE$16&amp;$G$6&amp;AD$6,IF($I515=$I$7,AE$16&amp;$G$7&amp;AD$7,"Bad"))</f>
        <v>100EthPick a Tunnel</v>
      </c>
      <c r="AE515" t="e">
        <f ca="1">INDEX(FlowCalGasMixture,MATCH(AD515,FlowCalNumber,0),1,1)</f>
        <v>#N/A</v>
      </c>
      <c r="AG515" s="944" t="e">
        <f ca="1">INDEX(FlowCalDevice,MATCH(AD515,FlowCalNumber,0),1,1)</f>
        <v>#N/A</v>
      </c>
      <c r="AH515" s="946" t="str">
        <f ca="1">IF($I515=$I$6,AI$18&amp;$H$6&amp;AH$6,IF($I515=$I$7,AI$18&amp;$H$7&amp;AH$7,"Bad"))</f>
        <v>100N2Pick a Tunnel</v>
      </c>
      <c r="AI515" t="e">
        <f ca="1">INDEX(FlowCalGasMixture,MATCH(AH515,FlowCalNumber,0),1,1)</f>
        <v>#N/A</v>
      </c>
      <c r="AK515" s="944" t="e">
        <f ca="1">INDEX(FlowCalDevice,MATCH(AH515,FlowCalNumber,0),1,1)</f>
        <v>#N/A</v>
      </c>
      <c r="AL515" s="20"/>
      <c r="AO515" s="982"/>
      <c r="AP515" s="960"/>
      <c r="AS515" s="982"/>
      <c r="AT515" s="20"/>
      <c r="AW515" s="982"/>
      <c r="AX515" s="946"/>
      <c r="BA515" s="982"/>
      <c r="BB515" s="20"/>
      <c r="BC515" s="16"/>
      <c r="BE515" s="982"/>
      <c r="BF515" s="946"/>
      <c r="BG515" s="16"/>
      <c r="BI515" s="982"/>
      <c r="BJ515" s="946"/>
      <c r="BK515" s="16"/>
      <c r="BM515" s="982"/>
      <c r="BN515" s="20"/>
      <c r="BO515" s="16"/>
      <c r="BQ515" s="982"/>
      <c r="BR515" s="946"/>
      <c r="BS515" s="16"/>
      <c r="BU515" s="982"/>
      <c r="BV515" s="946"/>
      <c r="BW515" s="16"/>
      <c r="BY515" s="982"/>
      <c r="BZ515" s="946"/>
      <c r="CA515" s="16"/>
      <c r="CC515" s="982"/>
      <c r="CD515" s="355"/>
      <c r="CE515" s="355"/>
      <c r="CF515" s="355"/>
      <c r="CG515" s="355"/>
      <c r="CH515" s="355"/>
      <c r="CI515" s="355"/>
      <c r="CJ515" s="355"/>
      <c r="CK515" s="355"/>
      <c r="CL515" s="355"/>
      <c r="CM515" s="355"/>
      <c r="CN515" s="355"/>
      <c r="CO515" s="355"/>
      <c r="CP515" s="355"/>
      <c r="CQ515" s="355"/>
      <c r="CR515" s="355"/>
      <c r="CS515" s="355"/>
      <c r="CT515" s="355"/>
      <c r="CU515" s="355"/>
      <c r="CV515" s="355"/>
      <c r="CW515" s="355"/>
      <c r="CX515" s="355"/>
      <c r="CY515" s="355"/>
      <c r="CZ515" s="355"/>
      <c r="DA515" s="355"/>
      <c r="DB515" s="355"/>
      <c r="DC515" s="355"/>
      <c r="DD515" s="355"/>
      <c r="DE515" s="355"/>
      <c r="DF515" s="355"/>
      <c r="DG515" s="355"/>
      <c r="DH515" s="355"/>
      <c r="DI515" s="355"/>
      <c r="DJ515" s="355"/>
      <c r="DK515" s="355"/>
      <c r="DL515" s="46"/>
      <c r="DM515" s="16"/>
      <c r="DO515" s="355"/>
      <c r="DP515" s="42"/>
      <c r="DQ515" s="16"/>
      <c r="DS515" s="355"/>
      <c r="DT515" s="42"/>
      <c r="DU515" s="16"/>
      <c r="DW515" s="355"/>
      <c r="DX515" s="42"/>
      <c r="DY515" s="16"/>
      <c r="EA515" s="355"/>
    </row>
    <row r="516" spans="1:131">
      <c r="A516" s="20"/>
      <c r="B516" s="124" t="str">
        <f t="shared" ref="B516:B530" si="486">IF(D516=UAnem1percent,"1% Wind","")</f>
        <v/>
      </c>
      <c r="C516" s="235"/>
      <c r="D516" s="24">
        <f>'1% Wind'!$M$82</f>
        <v>27</v>
      </c>
      <c r="E516" s="90"/>
      <c r="F516" s="90"/>
      <c r="G516" s="79">
        <f ca="1">IF(I515=0.9743,$G515,MAX(G515/D515*D516,2))</f>
        <v>6.001707317073171</v>
      </c>
      <c r="H516" s="121" t="e">
        <f t="shared" ref="H516:H530" ca="1" si="487">H515*(D515/D516)*(G516/G515)</f>
        <v>#VALUE!</v>
      </c>
      <c r="J516" s="33"/>
      <c r="K516" s="260">
        <f>K$17/100</f>
        <v>1</v>
      </c>
      <c r="L516" s="241" t="e">
        <f ca="1">K516*$H516</f>
        <v>#VALUE!</v>
      </c>
      <c r="M516" s="243" t="e">
        <f ca="1">IF(AND(INDEX(FlowCalConstA,MATCH(J515,FlowCalNumber,0),1,1)*L516^INDEX(FlowCalConstB,MATCH(J515,FlowCalNumber,0),1,1)&gt;INDEX(FlowCalLowSetting,MATCH(J515,FlowCalNumber,0),1,1), (INDEX(FlowCalConstA,MATCH(J515,FlowCalNumber,0),1,1)*L516^INDEX(FlowCalConstB,MATCH(J515,FlowCalNumber,0),1,1)&lt;INDEX(FlowCalHighSetting,MATCH(J515,FlowCalNumber,0),1,1))),INDEX(FlowCalConstA,MATCH(J515,FlowCalNumber,0),1,1)*L516^INDEX(FlowCalConstB,MATCH(J515,FlowCalNumber,0),1,1)," ")</f>
        <v>#N/A</v>
      </c>
      <c r="N516" s="33"/>
      <c r="O516" s="260">
        <f>O$17/100</f>
        <v>1</v>
      </c>
      <c r="P516" s="241" t="e">
        <f ca="1">O516*$H516</f>
        <v>#VALUE!</v>
      </c>
      <c r="Q516" s="243" t="e">
        <f ca="1">IF(AND(INDEX(FlowCalConstA,MATCH(N515,FlowCalNumber,0),1,1)*P516^INDEX(FlowCalConstB,MATCH(N515,FlowCalNumber,0),1,1)&gt;INDEX(FlowCalLowSetting,MATCH(N515,FlowCalNumber,0),1,1), (INDEX(FlowCalConstA,MATCH(N515,FlowCalNumber,0),1,1)*P516^INDEX(FlowCalConstB,MATCH(N515,FlowCalNumber,0),1,1)&lt;INDEX(FlowCalHighSetting,MATCH(N515,FlowCalNumber,0),1,1))),INDEX(FlowCalConstA,MATCH(N515,FlowCalNumber,0),1,1)*P516^INDEX(FlowCalConstB,MATCH(N515,FlowCalNumber,0),1,1)," ")</f>
        <v>#N/A</v>
      </c>
      <c r="R516" s="33"/>
      <c r="S516" s="260">
        <f>S$17/100</f>
        <v>1</v>
      </c>
      <c r="T516" s="241" t="e">
        <f ca="1">S516*$H516</f>
        <v>#VALUE!</v>
      </c>
      <c r="U516" s="244" t="e">
        <f ca="1">IF(AND(INDEX(FlowCalConstA,MATCH(R515,FlowCalNumber,0),1,1)*T516^INDEX(FlowCalConstB,MATCH(R515,FlowCalNumber,0),1,1)&gt;INDEX(FlowCalLowSetting,MATCH(R515,FlowCalNumber,0),1,1), (INDEX(FlowCalConstA,MATCH(R515,FlowCalNumber,0),1,1)*T516^INDEX(FlowCalConstB,MATCH(R515,FlowCalNumber,0),1,1)&lt;INDEX(FlowCalHighSetting,MATCH(R515,FlowCalNumber,0),1,1))),INDEX(FlowCalConstA,MATCH(R515,FlowCalNumber,0),1,1)*T516^INDEX(FlowCalConstB,MATCH(R515,FlowCalNumber,0),1,1)," ")</f>
        <v>#N/A</v>
      </c>
      <c r="V516" s="33"/>
      <c r="W516" s="260">
        <f>W$17/100</f>
        <v>0.1</v>
      </c>
      <c r="X516" s="241" t="e">
        <f ca="1">W516*$H516</f>
        <v>#VALUE!</v>
      </c>
      <c r="Y516" s="243" t="e">
        <f ca="1">IF(AND(INDEX(FlowCalConstA,MATCH(V515,FlowCalNumber,0),1,1)*X516^INDEX(FlowCalConstB,MATCH(V515,FlowCalNumber,0),1,1)&gt;INDEX(FlowCalLowSetting,MATCH(V515,FlowCalNumber,0),1,1), (INDEX(FlowCalConstA,MATCH(V515,FlowCalNumber,0),1,1)*X516^INDEX(FlowCalConstB,MATCH(V515,FlowCalNumber,0),1,1)&lt;INDEX(FlowCalHighSetting,MATCH(V515,FlowCalNumber,0),1,1))),INDEX(FlowCalConstA,MATCH(V515,FlowCalNumber,0),1,1)*X516^INDEX(FlowCalConstB,MATCH(V515,FlowCalNumber,0),1,1)," ")</f>
        <v>#N/A</v>
      </c>
      <c r="Z516" s="33"/>
      <c r="AA516" s="260">
        <f>AA$17/100</f>
        <v>0.9</v>
      </c>
      <c r="AB516" s="241" t="e">
        <f ca="1">AA516*$H516</f>
        <v>#VALUE!</v>
      </c>
      <c r="AC516" s="243" t="e">
        <f ca="1">IF(AND(INDEX(FlowCalConstA,MATCH(Z515,FlowCalNumber,0),1,1)*AB516^INDEX(FlowCalConstB,MATCH(Z515,FlowCalNumber,0),1,1)&gt;INDEX(FlowCalLowSetting,MATCH(Z515,FlowCalNumber,0),1,1), (INDEX(FlowCalConstA,MATCH(Z515,FlowCalNumber,0),1,1)*AB516^INDEX(FlowCalConstB,MATCH(Z515,FlowCalNumber,0),1,1)&lt;INDEX(FlowCalHighSetting,MATCH(Z515,FlowCalNumber,0),1,1))),INDEX(FlowCalConstA,MATCH(Z515,FlowCalNumber,0),1,1)*AB516^INDEX(FlowCalConstB,MATCH(Z515,FlowCalNumber,0),1,1)," ")</f>
        <v>#N/A</v>
      </c>
      <c r="AD516" s="33"/>
      <c r="AE516" s="260">
        <f>AE$17/100</f>
        <v>0.1</v>
      </c>
      <c r="AF516" s="241" t="e">
        <f ca="1">AE516*$H516</f>
        <v>#VALUE!</v>
      </c>
      <c r="AG516" s="243" t="e">
        <f ca="1">IF(AND(INDEX(FlowCalConstA,MATCH(AD515,FlowCalNumber,0),1,1)*AF516^INDEX(FlowCalConstB,MATCH(AD515,FlowCalNumber,0),1,1)&gt;INDEX(FlowCalLowSetting,MATCH(AD515,FlowCalNumber,0),1,1), (INDEX(FlowCalConstA,MATCH(AD515,FlowCalNumber,0),1,1)*AF516^INDEX(FlowCalConstB,MATCH(AD515,FlowCalNumber,0),1,1)&lt;INDEX(FlowCalHighSetting,MATCH(AD515,FlowCalNumber,0),1,1))),INDEX(FlowCalConstA,MATCH(AD515,FlowCalNumber,0),1,1)*AF516^INDEX(FlowCalConstB,MATCH(AD515,FlowCalNumber,0),1,1)," ")</f>
        <v>#N/A</v>
      </c>
      <c r="AH516" s="33"/>
      <c r="AI516" s="260">
        <f>AI$17/100</f>
        <v>0.9</v>
      </c>
      <c r="AJ516" s="241" t="e">
        <f ca="1">AI516*$H516</f>
        <v>#VALUE!</v>
      </c>
      <c r="AK516" s="243" t="e">
        <f ca="1">IF(AND(INDEX(FlowCalConstA,MATCH(AH515,FlowCalNumber,0),1,1)*AJ516^INDEX(FlowCalConstB,MATCH(AH515,FlowCalNumber,0),1,1)&gt;INDEX(FlowCalLowSetting,MATCH(AH515,FlowCalNumber,0),1,1), (INDEX(FlowCalConstA,MATCH(AH515,FlowCalNumber,0),1,1)*AJ516^INDEX(FlowCalConstB,MATCH(AH515,FlowCalNumber,0),1,1)&lt;INDEX(FlowCalHighSetting,MATCH(AH515,FlowCalNumber,0),1,1))),INDEX(FlowCalConstA,MATCH(AH515,FlowCalNumber,0),1,1)*AJ516^INDEX(FlowCalConstB,MATCH(AH515,FlowCalNumber,0),1,1)," ")</f>
        <v>#N/A</v>
      </c>
      <c r="AL516" s="33"/>
      <c r="AM516" s="260"/>
      <c r="AN516" s="241"/>
      <c r="AO516" s="244"/>
      <c r="AQ516" s="260"/>
      <c r="AR516" s="241"/>
      <c r="AS516" s="244"/>
      <c r="AT516" s="33"/>
      <c r="AU516" s="260"/>
      <c r="AV516" s="241"/>
      <c r="AW516" s="244"/>
      <c r="AX516" s="33"/>
      <c r="AY516" s="260"/>
      <c r="AZ516" s="241"/>
      <c r="BA516" s="244"/>
      <c r="BB516" s="33"/>
      <c r="BC516" s="260"/>
      <c r="BD516" s="241"/>
      <c r="BE516" s="244"/>
      <c r="BF516" s="33"/>
      <c r="BG516" s="260"/>
      <c r="BH516" s="241"/>
      <c r="BI516" s="244"/>
      <c r="BJ516" s="33"/>
      <c r="BK516" s="260"/>
      <c r="BL516" s="241"/>
      <c r="BM516" s="244"/>
      <c r="BN516" s="33"/>
      <c r="BO516" s="260"/>
      <c r="BP516" s="241"/>
      <c r="BQ516" s="244"/>
      <c r="BR516" s="33"/>
      <c r="BS516" s="260"/>
      <c r="BT516" s="241"/>
      <c r="BU516" s="244"/>
      <c r="BV516" s="33"/>
      <c r="BW516" s="260"/>
      <c r="BX516" s="241"/>
      <c r="BY516" s="244"/>
      <c r="BZ516" s="33"/>
      <c r="CA516" s="260"/>
      <c r="CB516" s="241"/>
      <c r="CC516" s="244"/>
      <c r="CD516" s="243"/>
      <c r="CE516" s="243"/>
      <c r="CF516" s="243"/>
      <c r="CG516" s="243"/>
      <c r="CH516" s="243"/>
      <c r="CI516" s="243"/>
      <c r="CJ516" s="243"/>
      <c r="CK516" s="243"/>
      <c r="CL516" s="243"/>
      <c r="CM516" s="243"/>
      <c r="CN516" s="243"/>
      <c r="CO516" s="243"/>
      <c r="CP516" s="243"/>
      <c r="CQ516" s="243"/>
      <c r="CR516" s="243"/>
      <c r="CS516" s="243"/>
      <c r="CT516" s="243"/>
      <c r="CU516" s="243"/>
      <c r="CV516" s="243"/>
      <c r="CW516" s="243"/>
      <c r="CX516" s="243"/>
      <c r="CY516" s="243"/>
      <c r="CZ516" s="243"/>
      <c r="DA516" s="243"/>
      <c r="DB516" s="243"/>
      <c r="DC516" s="243"/>
      <c r="DD516" s="243"/>
      <c r="DE516" s="243"/>
      <c r="DF516" s="243"/>
      <c r="DG516" s="243"/>
      <c r="DH516" s="243"/>
      <c r="DI516" s="243"/>
      <c r="DJ516" s="243"/>
      <c r="DK516" s="243"/>
      <c r="DM516" s="259"/>
      <c r="DO516" s="243"/>
      <c r="DQ516" s="259"/>
      <c r="DS516" s="243"/>
      <c r="DU516" s="259"/>
      <c r="DW516" s="243"/>
      <c r="DY516" s="260"/>
      <c r="EA516" s="243"/>
    </row>
    <row r="517" spans="1:131">
      <c r="A517" s="20"/>
      <c r="B517" s="124" t="str">
        <f t="shared" si="486"/>
        <v/>
      </c>
      <c r="C517" s="235"/>
      <c r="D517" s="24">
        <f>'1% Wind'!$M$83</f>
        <v>23.5</v>
      </c>
      <c r="E517" s="90"/>
      <c r="F517" s="90"/>
      <c r="G517" s="79">
        <f ca="1">IF(I515=0.9743,$G516,MAX(G516/D516*D517,2))</f>
        <v>6.001707317073171</v>
      </c>
      <c r="H517" s="121" t="e">
        <f t="shared" ca="1" si="487"/>
        <v>#VALUE!</v>
      </c>
      <c r="J517" s="33"/>
      <c r="K517" s="242">
        <f t="shared" ref="K517:K530" si="488">K516</f>
        <v>1</v>
      </c>
      <c r="L517" s="241" t="e">
        <f t="shared" ref="L517:L530" ca="1" si="489">K517*$H517</f>
        <v>#VALUE!</v>
      </c>
      <c r="M517" s="243" t="e">
        <f ca="1">IF(AND(INDEX(FlowCalConstA,MATCH(J515,FlowCalNumber,0),1,1)*L517^INDEX(FlowCalConstB,MATCH(J515,FlowCalNumber,0),1,1)&gt;INDEX(FlowCalLowSetting,MATCH(J515,FlowCalNumber,0),1,1), (INDEX(FlowCalConstA,MATCH(J515,FlowCalNumber,0),1,1)*L517^INDEX(FlowCalConstB,MATCH(J515,FlowCalNumber,0),1,1)&lt;INDEX(FlowCalHighSetting,MATCH(J515,FlowCalNumber,0),1,1))),INDEX(FlowCalConstA,MATCH(J515,FlowCalNumber,0),1,1)*L517^INDEX(FlowCalConstB,MATCH(J515,FlowCalNumber,0),1,1)," ")</f>
        <v>#N/A</v>
      </c>
      <c r="N517" s="33"/>
      <c r="O517" s="242">
        <f t="shared" ref="O517:O530" si="490">O516</f>
        <v>1</v>
      </c>
      <c r="P517" s="241" t="e">
        <f t="shared" ref="P517:P530" ca="1" si="491">O517*$H517</f>
        <v>#VALUE!</v>
      </c>
      <c r="Q517" s="243" t="e">
        <f ca="1">IF(AND(INDEX(FlowCalConstA,MATCH(N515,FlowCalNumber,0),1,1)*P517^INDEX(FlowCalConstB,MATCH(N515,FlowCalNumber,0),1,1)&gt;INDEX(FlowCalLowSetting,MATCH(N515,FlowCalNumber,0),1,1), (INDEX(FlowCalConstA,MATCH(N515,FlowCalNumber,0),1,1)*P517^INDEX(FlowCalConstB,MATCH(N515,FlowCalNumber,0),1,1)&lt;INDEX(FlowCalHighSetting,MATCH(N515,FlowCalNumber,0),1,1))),INDEX(FlowCalConstA,MATCH(N515,FlowCalNumber,0),1,1)*P517^INDEX(FlowCalConstB,MATCH(N515,FlowCalNumber,0),1,1)," ")</f>
        <v>#N/A</v>
      </c>
      <c r="R517" s="33"/>
      <c r="S517" s="242">
        <f t="shared" ref="S517:S530" si="492">S516</f>
        <v>1</v>
      </c>
      <c r="T517" s="241" t="e">
        <f t="shared" ref="T517:T530" ca="1" si="493">S517*$H517</f>
        <v>#VALUE!</v>
      </c>
      <c r="U517" s="244" t="e">
        <f ca="1">IF(AND(INDEX(FlowCalConstA,MATCH(R515,FlowCalNumber,0),1,1)*T517^INDEX(FlowCalConstB,MATCH(R515,FlowCalNumber,0),1,1)&gt;INDEX(FlowCalLowSetting,MATCH(R515,FlowCalNumber,0),1,1), (INDEX(FlowCalConstA,MATCH(R515,FlowCalNumber,0),1,1)*T517^INDEX(FlowCalConstB,MATCH(R515,FlowCalNumber,0),1,1)&lt;INDEX(FlowCalHighSetting,MATCH(R515,FlowCalNumber,0),1,1))),INDEX(FlowCalConstA,MATCH(R515,FlowCalNumber,0),1,1)*T517^INDEX(FlowCalConstB,MATCH(R515,FlowCalNumber,0),1,1)," ")</f>
        <v>#N/A</v>
      </c>
      <c r="V517" s="33"/>
      <c r="W517" s="242">
        <f t="shared" ref="W517:W530" si="494">W516</f>
        <v>0.1</v>
      </c>
      <c r="X517" s="241" t="e">
        <f t="shared" ref="X517:X530" ca="1" si="495">W517*$H517</f>
        <v>#VALUE!</v>
      </c>
      <c r="Y517" s="243" t="e">
        <f ca="1">IF(AND(INDEX(FlowCalConstA,MATCH(V515,FlowCalNumber,0),1,1)*X517^INDEX(FlowCalConstB,MATCH(V515,FlowCalNumber,0),1,1)&gt;INDEX(FlowCalLowSetting,MATCH(V515,FlowCalNumber,0),1,1), (INDEX(FlowCalConstA,MATCH(V515,FlowCalNumber,0),1,1)*X517^INDEX(FlowCalConstB,MATCH(V515,FlowCalNumber,0),1,1)&lt;INDEX(FlowCalHighSetting,MATCH(V515,FlowCalNumber,0),1,1))),INDEX(FlowCalConstA,MATCH(V515,FlowCalNumber,0),1,1)*X517^INDEX(FlowCalConstB,MATCH(V515,FlowCalNumber,0),1,1)," ")</f>
        <v>#N/A</v>
      </c>
      <c r="Z517" s="33"/>
      <c r="AA517" s="242">
        <f t="shared" ref="AA517:AA530" si="496">AA516</f>
        <v>0.9</v>
      </c>
      <c r="AB517" s="241" t="e">
        <f t="shared" ref="AB517:AB530" ca="1" si="497">AA517*$H517</f>
        <v>#VALUE!</v>
      </c>
      <c r="AC517" s="243" t="e">
        <f ca="1">IF(AND(INDEX(FlowCalConstA,MATCH(Z515,FlowCalNumber,0),1,1)*AB517^INDEX(FlowCalConstB,MATCH(Z515,FlowCalNumber,0),1,1)&gt;INDEX(FlowCalLowSetting,MATCH(Z515,FlowCalNumber,0),1,1), (INDEX(FlowCalConstA,MATCH(Z515,FlowCalNumber,0),1,1)*AB517^INDEX(FlowCalConstB,MATCH(Z515,FlowCalNumber,0),1,1)&lt;INDEX(FlowCalHighSetting,MATCH(Z515,FlowCalNumber,0),1,1))),INDEX(FlowCalConstA,MATCH(Z515,FlowCalNumber,0),1,1)*AB517^INDEX(FlowCalConstB,MATCH(Z515,FlowCalNumber,0),1,1)," ")</f>
        <v>#N/A</v>
      </c>
      <c r="AD517" s="33"/>
      <c r="AE517" s="242">
        <f t="shared" ref="AE517:AE530" si="498">AE516</f>
        <v>0.1</v>
      </c>
      <c r="AF517" s="241" t="e">
        <f t="shared" ref="AF517:AF530" ca="1" si="499">AE517*$H517</f>
        <v>#VALUE!</v>
      </c>
      <c r="AG517" s="243" t="e">
        <f ca="1">IF(AND(INDEX(FlowCalConstA,MATCH(AD515,FlowCalNumber,0),1,1)*AF517^INDEX(FlowCalConstB,MATCH(AD515,FlowCalNumber,0),1,1)&gt;INDEX(FlowCalLowSetting,MATCH(AD515,FlowCalNumber,0),1,1), (INDEX(FlowCalConstA,MATCH(AD515,FlowCalNumber,0),1,1)*AF517^INDEX(FlowCalConstB,MATCH(AD515,FlowCalNumber,0),1,1)&lt;INDEX(FlowCalHighSetting,MATCH(AD515,FlowCalNumber,0),1,1))),INDEX(FlowCalConstA,MATCH(AD515,FlowCalNumber,0),1,1)*AF517^INDEX(FlowCalConstB,MATCH(AD515,FlowCalNumber,0),1,1)," ")</f>
        <v>#N/A</v>
      </c>
      <c r="AH517" s="33"/>
      <c r="AI517" s="242">
        <f t="shared" ref="AI517:AI530" si="500">AI516</f>
        <v>0.9</v>
      </c>
      <c r="AJ517" s="241" t="e">
        <f t="shared" ref="AJ517:AJ530" ca="1" si="501">AI517*$H517</f>
        <v>#VALUE!</v>
      </c>
      <c r="AK517" s="243" t="e">
        <f ca="1">IF(AND(INDEX(FlowCalConstA,MATCH(AH515,FlowCalNumber,0),1,1)*AJ517^INDEX(FlowCalConstB,MATCH(AH515,FlowCalNumber,0),1,1)&gt;INDEX(FlowCalLowSetting,MATCH(AH515,FlowCalNumber,0),1,1), (INDEX(FlowCalConstA,MATCH(AH515,FlowCalNumber,0),1,1)*AJ517^INDEX(FlowCalConstB,MATCH(AH515,FlowCalNumber,0),1,1)&lt;INDEX(FlowCalHighSetting,MATCH(AH515,FlowCalNumber,0),1,1))),INDEX(FlowCalConstA,MATCH(AH515,FlowCalNumber,0),1,1)*AJ517^INDEX(FlowCalConstB,MATCH(AH515,FlowCalNumber,0),1,1)," ")</f>
        <v>#N/A</v>
      </c>
      <c r="AL517" s="33"/>
      <c r="AM517" s="242"/>
      <c r="AN517" s="241"/>
      <c r="AO517" s="244"/>
      <c r="AQ517" s="242"/>
      <c r="AR517" s="241"/>
      <c r="AS517" s="244"/>
      <c r="AT517" s="33"/>
      <c r="AU517" s="242"/>
      <c r="AV517" s="241"/>
      <c r="AW517" s="244"/>
      <c r="AX517" s="33"/>
      <c r="AY517" s="242"/>
      <c r="AZ517" s="241"/>
      <c r="BA517" s="244"/>
      <c r="BB517" s="33"/>
      <c r="BC517" s="242"/>
      <c r="BD517" s="241"/>
      <c r="BE517" s="244"/>
      <c r="BF517" s="33"/>
      <c r="BG517" s="242"/>
      <c r="BH517" s="241"/>
      <c r="BI517" s="244"/>
      <c r="BJ517" s="33"/>
      <c r="BK517" s="242"/>
      <c r="BL517" s="241"/>
      <c r="BM517" s="244"/>
      <c r="BN517" s="33"/>
      <c r="BO517" s="242"/>
      <c r="BP517" s="241"/>
      <c r="BQ517" s="244"/>
      <c r="BR517" s="33"/>
      <c r="BS517" s="242"/>
      <c r="BT517" s="241"/>
      <c r="BU517" s="244"/>
      <c r="BV517" s="33"/>
      <c r="BW517" s="242"/>
      <c r="BX517" s="241"/>
      <c r="BY517" s="244"/>
      <c r="BZ517" s="33"/>
      <c r="CA517" s="242"/>
      <c r="CB517" s="241"/>
      <c r="CC517" s="244"/>
      <c r="CD517" s="243"/>
      <c r="CE517" s="243"/>
      <c r="CF517" s="243"/>
      <c r="CG517" s="243"/>
      <c r="CH517" s="243"/>
      <c r="CI517" s="243"/>
      <c r="CJ517" s="243"/>
      <c r="CK517" s="243"/>
      <c r="CL517" s="243"/>
      <c r="CM517" s="243"/>
      <c r="CN517" s="243"/>
      <c r="CO517" s="243"/>
      <c r="CP517" s="243"/>
      <c r="CQ517" s="243"/>
      <c r="CR517" s="243"/>
      <c r="CS517" s="243"/>
      <c r="CT517" s="243"/>
      <c r="CU517" s="243"/>
      <c r="CV517" s="243"/>
      <c r="CW517" s="243"/>
      <c r="CX517" s="243"/>
      <c r="CY517" s="243"/>
      <c r="CZ517" s="243"/>
      <c r="DA517" s="243"/>
      <c r="DB517" s="243"/>
      <c r="DC517" s="243"/>
      <c r="DD517" s="243"/>
      <c r="DE517" s="243"/>
      <c r="DF517" s="243"/>
      <c r="DG517" s="243"/>
      <c r="DH517" s="243"/>
      <c r="DI517" s="243"/>
      <c r="DJ517" s="243"/>
      <c r="DK517" s="243"/>
      <c r="DM517" s="242"/>
      <c r="DO517" s="243"/>
      <c r="DQ517" s="242"/>
      <c r="DS517" s="243"/>
      <c r="DU517" s="242"/>
      <c r="DW517" s="243"/>
      <c r="DY517" s="242"/>
      <c r="EA517" s="243"/>
    </row>
    <row r="518" spans="1:131">
      <c r="A518" s="20"/>
      <c r="B518" s="124" t="str">
        <f t="shared" si="486"/>
        <v/>
      </c>
      <c r="C518" s="235"/>
      <c r="D518" s="24">
        <f>'1% Wind'!$M$84</f>
        <v>20.5</v>
      </c>
      <c r="E518" s="90"/>
      <c r="F518" s="90"/>
      <c r="G518" s="79">
        <f ca="1">IF(I515=0.9743,$G517,MAX(G517/D517*D518,2))</f>
        <v>6.001707317073171</v>
      </c>
      <c r="H518" s="121" t="e">
        <f t="shared" ca="1" si="487"/>
        <v>#VALUE!</v>
      </c>
      <c r="J518" s="33"/>
      <c r="K518" s="242">
        <f t="shared" si="488"/>
        <v>1</v>
      </c>
      <c r="L518" s="241" t="e">
        <f t="shared" ca="1" si="489"/>
        <v>#VALUE!</v>
      </c>
      <c r="M518" s="243" t="e">
        <f ca="1">IF(AND(INDEX(FlowCalConstA,MATCH(J515,FlowCalNumber,0),1,1)*L518^INDEX(FlowCalConstB,MATCH(J515,FlowCalNumber,0),1,1)&gt;INDEX(FlowCalLowSetting,MATCH(J515,FlowCalNumber,0),1,1), (INDEX(FlowCalConstA,MATCH(J515,FlowCalNumber,0),1,1)*L518^INDEX(FlowCalConstB,MATCH(J515,FlowCalNumber,0),1,1)&lt;INDEX(FlowCalHighSetting,MATCH(J515,FlowCalNumber,0),1,1))),INDEX(FlowCalConstA,MATCH(J515,FlowCalNumber,0),1,1)*L518^INDEX(FlowCalConstB,MATCH(J515,FlowCalNumber,0),1,1)," ")</f>
        <v>#N/A</v>
      </c>
      <c r="N518" s="33"/>
      <c r="O518" s="242">
        <f t="shared" si="490"/>
        <v>1</v>
      </c>
      <c r="P518" s="241" t="e">
        <f t="shared" ca="1" si="491"/>
        <v>#VALUE!</v>
      </c>
      <c r="Q518" s="243" t="e">
        <f ca="1">IF(AND(INDEX(FlowCalConstA,MATCH(N515,FlowCalNumber,0),1,1)*P518^INDEX(FlowCalConstB,MATCH(N515,FlowCalNumber,0),1,1)&gt;INDEX(FlowCalLowSetting,MATCH(N515,FlowCalNumber,0),1,1), (INDEX(FlowCalConstA,MATCH(N515,FlowCalNumber,0),1,1)*P518^INDEX(FlowCalConstB,MATCH(N515,FlowCalNumber,0),1,1)&lt;INDEX(FlowCalHighSetting,MATCH(N515,FlowCalNumber,0),1,1))),INDEX(FlowCalConstA,MATCH(N515,FlowCalNumber,0),1,1)*P518^INDEX(FlowCalConstB,MATCH(N515,FlowCalNumber,0),1,1)," ")</f>
        <v>#N/A</v>
      </c>
      <c r="R518" s="33"/>
      <c r="S518" s="242">
        <f t="shared" si="492"/>
        <v>1</v>
      </c>
      <c r="T518" s="241" t="e">
        <f t="shared" ca="1" si="493"/>
        <v>#VALUE!</v>
      </c>
      <c r="U518" s="244" t="e">
        <f ca="1">IF(AND(INDEX(FlowCalConstA,MATCH(R515,FlowCalNumber,0),1,1)*T518^INDEX(FlowCalConstB,MATCH(R515,FlowCalNumber,0),1,1)&gt;INDEX(FlowCalLowSetting,MATCH(R515,FlowCalNumber,0),1,1), (INDEX(FlowCalConstA,MATCH(R515,FlowCalNumber,0),1,1)*T518^INDEX(FlowCalConstB,MATCH(R515,FlowCalNumber,0),1,1)&lt;INDEX(FlowCalHighSetting,MATCH(R515,FlowCalNumber,0),1,1))),INDEX(FlowCalConstA,MATCH(R515,FlowCalNumber,0),1,1)*T518^INDEX(FlowCalConstB,MATCH(R515,FlowCalNumber,0),1,1)," ")</f>
        <v>#N/A</v>
      </c>
      <c r="V518" s="33"/>
      <c r="W518" s="242">
        <f t="shared" si="494"/>
        <v>0.1</v>
      </c>
      <c r="X518" s="241" t="e">
        <f t="shared" ca="1" si="495"/>
        <v>#VALUE!</v>
      </c>
      <c r="Y518" s="243" t="e">
        <f ca="1">IF(AND(INDEX(FlowCalConstA,MATCH(V515,FlowCalNumber,0),1,1)*X518^INDEX(FlowCalConstB,MATCH(V515,FlowCalNumber,0),1,1)&gt;INDEX(FlowCalLowSetting,MATCH(V515,FlowCalNumber,0),1,1), (INDEX(FlowCalConstA,MATCH(V515,FlowCalNumber,0),1,1)*X518^INDEX(FlowCalConstB,MATCH(V515,FlowCalNumber,0),1,1)&lt;INDEX(FlowCalHighSetting,MATCH(V515,FlowCalNumber,0),1,1))),INDEX(FlowCalConstA,MATCH(V515,FlowCalNumber,0),1,1)*X518^INDEX(FlowCalConstB,MATCH(V515,FlowCalNumber,0),1,1)," ")</f>
        <v>#N/A</v>
      </c>
      <c r="Z518" s="33"/>
      <c r="AA518" s="242">
        <f t="shared" si="496"/>
        <v>0.9</v>
      </c>
      <c r="AB518" s="241" t="e">
        <f t="shared" ca="1" si="497"/>
        <v>#VALUE!</v>
      </c>
      <c r="AC518" s="243" t="e">
        <f ca="1">IF(AND(INDEX(FlowCalConstA,MATCH(Z515,FlowCalNumber,0),1,1)*AB518^INDEX(FlowCalConstB,MATCH(Z515,FlowCalNumber,0),1,1)&gt;INDEX(FlowCalLowSetting,MATCH(Z515,FlowCalNumber,0),1,1), (INDEX(FlowCalConstA,MATCH(Z515,FlowCalNumber,0),1,1)*AB518^INDEX(FlowCalConstB,MATCH(Z515,FlowCalNumber,0),1,1)&lt;INDEX(FlowCalHighSetting,MATCH(Z515,FlowCalNumber,0),1,1))),INDEX(FlowCalConstA,MATCH(Z515,FlowCalNumber,0),1,1)*AB518^INDEX(FlowCalConstB,MATCH(Z515,FlowCalNumber,0),1,1)," ")</f>
        <v>#N/A</v>
      </c>
      <c r="AD518" s="33"/>
      <c r="AE518" s="242">
        <f t="shared" si="498"/>
        <v>0.1</v>
      </c>
      <c r="AF518" s="241" t="e">
        <f t="shared" ca="1" si="499"/>
        <v>#VALUE!</v>
      </c>
      <c r="AG518" s="243" t="e">
        <f ca="1">IF(AND(INDEX(FlowCalConstA,MATCH(AD515,FlowCalNumber,0),1,1)*AF518^INDEX(FlowCalConstB,MATCH(AD515,FlowCalNumber,0),1,1)&gt;INDEX(FlowCalLowSetting,MATCH(AD515,FlowCalNumber,0),1,1), (INDEX(FlowCalConstA,MATCH(AD515,FlowCalNumber,0),1,1)*AF518^INDEX(FlowCalConstB,MATCH(AD515,FlowCalNumber,0),1,1)&lt;INDEX(FlowCalHighSetting,MATCH(AD515,FlowCalNumber,0),1,1))),INDEX(FlowCalConstA,MATCH(AD515,FlowCalNumber,0),1,1)*AF518^INDEX(FlowCalConstB,MATCH(AD515,FlowCalNumber,0),1,1)," ")</f>
        <v>#N/A</v>
      </c>
      <c r="AH518" s="33"/>
      <c r="AI518" s="242">
        <f t="shared" si="500"/>
        <v>0.9</v>
      </c>
      <c r="AJ518" s="241" t="e">
        <f t="shared" ca="1" si="501"/>
        <v>#VALUE!</v>
      </c>
      <c r="AK518" s="243" t="e">
        <f ca="1">IF(AND(INDEX(FlowCalConstA,MATCH(AH515,FlowCalNumber,0),1,1)*AJ518^INDEX(FlowCalConstB,MATCH(AH515,FlowCalNumber,0),1,1)&gt;INDEX(FlowCalLowSetting,MATCH(AH515,FlowCalNumber,0),1,1), (INDEX(FlowCalConstA,MATCH(AH515,FlowCalNumber,0),1,1)*AJ518^INDEX(FlowCalConstB,MATCH(AH515,FlowCalNumber,0),1,1)&lt;INDEX(FlowCalHighSetting,MATCH(AH515,FlowCalNumber,0),1,1))),INDEX(FlowCalConstA,MATCH(AH515,FlowCalNumber,0),1,1)*AJ518^INDEX(FlowCalConstB,MATCH(AH515,FlowCalNumber,0),1,1)," ")</f>
        <v>#N/A</v>
      </c>
      <c r="AL518" s="33"/>
      <c r="AM518" s="242"/>
      <c r="AN518" s="241"/>
      <c r="AO518" s="244"/>
      <c r="AQ518" s="242"/>
      <c r="AR518" s="241"/>
      <c r="AS518" s="244"/>
      <c r="AT518" s="33"/>
      <c r="AU518" s="242"/>
      <c r="AV518" s="241"/>
      <c r="AW518" s="244"/>
      <c r="AX518" s="33"/>
      <c r="AY518" s="242"/>
      <c r="AZ518" s="241"/>
      <c r="BA518" s="244"/>
      <c r="BB518" s="33"/>
      <c r="BC518" s="242"/>
      <c r="BD518" s="241"/>
      <c r="BE518" s="244"/>
      <c r="BF518" s="33"/>
      <c r="BG518" s="242"/>
      <c r="BH518" s="241"/>
      <c r="BI518" s="244"/>
      <c r="BJ518" s="33"/>
      <c r="BK518" s="242"/>
      <c r="BL518" s="241"/>
      <c r="BM518" s="244"/>
      <c r="BN518" s="33"/>
      <c r="BO518" s="242"/>
      <c r="BP518" s="241"/>
      <c r="BQ518" s="244"/>
      <c r="BR518" s="33"/>
      <c r="BS518" s="242"/>
      <c r="BT518" s="241"/>
      <c r="BU518" s="244"/>
      <c r="BV518" s="33"/>
      <c r="BW518" s="242"/>
      <c r="BX518" s="241"/>
      <c r="BY518" s="244"/>
      <c r="BZ518" s="33"/>
      <c r="CA518" s="242"/>
      <c r="CB518" s="241"/>
      <c r="CC518" s="244"/>
      <c r="CD518" s="243"/>
      <c r="CE518" s="243"/>
      <c r="CF518" s="243"/>
      <c r="CG518" s="243"/>
      <c r="CH518" s="243"/>
      <c r="CI518" s="243"/>
      <c r="CJ518" s="243"/>
      <c r="CK518" s="243"/>
      <c r="CL518" s="243"/>
      <c r="CM518" s="243"/>
      <c r="CN518" s="243"/>
      <c r="CO518" s="243"/>
      <c r="CP518" s="243"/>
      <c r="CQ518" s="243"/>
      <c r="CR518" s="243"/>
      <c r="CS518" s="243"/>
      <c r="CT518" s="243"/>
      <c r="CU518" s="243"/>
      <c r="CV518" s="243"/>
      <c r="CW518" s="243"/>
      <c r="CX518" s="243"/>
      <c r="CY518" s="243"/>
      <c r="CZ518" s="243"/>
      <c r="DA518" s="243"/>
      <c r="DB518" s="243"/>
      <c r="DC518" s="243"/>
      <c r="DD518" s="243"/>
      <c r="DE518" s="243"/>
      <c r="DF518" s="243"/>
      <c r="DG518" s="243"/>
      <c r="DH518" s="243"/>
      <c r="DI518" s="243"/>
      <c r="DJ518" s="243"/>
      <c r="DK518" s="243"/>
      <c r="DM518" s="242"/>
      <c r="DO518" s="243"/>
      <c r="DQ518" s="242"/>
      <c r="DS518" s="243"/>
      <c r="DU518" s="242"/>
      <c r="DW518" s="243"/>
      <c r="DY518" s="242"/>
      <c r="EA518" s="243"/>
    </row>
    <row r="519" spans="1:131">
      <c r="A519" s="20"/>
      <c r="B519" s="124" t="str">
        <f t="shared" si="486"/>
        <v/>
      </c>
      <c r="C519" s="235"/>
      <c r="D519" s="24">
        <f>'1% Wind'!$M$85</f>
        <v>17.8</v>
      </c>
      <c r="E519" s="90"/>
      <c r="F519" s="90"/>
      <c r="G519" s="79">
        <f ca="1">IF(I515=0.9743,$G518,MAX(G518/D518*D519,2))</f>
        <v>6.001707317073171</v>
      </c>
      <c r="H519" s="121" t="e">
        <f t="shared" ca="1" si="487"/>
        <v>#VALUE!</v>
      </c>
      <c r="J519" s="33"/>
      <c r="K519" s="242">
        <f t="shared" si="488"/>
        <v>1</v>
      </c>
      <c r="L519" s="241" t="e">
        <f t="shared" ca="1" si="489"/>
        <v>#VALUE!</v>
      </c>
      <c r="M519" s="243" t="e">
        <f ca="1">IF(AND(INDEX(FlowCalConstA,MATCH(J515,FlowCalNumber,0),1,1)*L519^INDEX(FlowCalConstB,MATCH(J515,FlowCalNumber,0),1,1)&gt;INDEX(FlowCalLowSetting,MATCH(J515,FlowCalNumber,0),1,1), (INDEX(FlowCalConstA,MATCH(J515,FlowCalNumber,0),1,1)*L519^INDEX(FlowCalConstB,MATCH(J515,FlowCalNumber,0),1,1)&lt;INDEX(FlowCalHighSetting,MATCH(J515,FlowCalNumber,0),1,1))),INDEX(FlowCalConstA,MATCH(J515,FlowCalNumber,0),1,1)*L519^INDEX(FlowCalConstB,MATCH(J515,FlowCalNumber,0),1,1)," ")</f>
        <v>#N/A</v>
      </c>
      <c r="N519" s="33"/>
      <c r="O519" s="242">
        <f t="shared" si="490"/>
        <v>1</v>
      </c>
      <c r="P519" s="241" t="e">
        <f t="shared" ca="1" si="491"/>
        <v>#VALUE!</v>
      </c>
      <c r="Q519" s="243" t="e">
        <f ca="1">IF(AND(INDEX(FlowCalConstA,MATCH(N515,FlowCalNumber,0),1,1)*P519^INDEX(FlowCalConstB,MATCH(N515,FlowCalNumber,0),1,1)&gt;INDEX(FlowCalLowSetting,MATCH(N515,FlowCalNumber,0),1,1), (INDEX(FlowCalConstA,MATCH(N515,FlowCalNumber,0),1,1)*P519^INDEX(FlowCalConstB,MATCH(N515,FlowCalNumber,0),1,1)&lt;INDEX(FlowCalHighSetting,MATCH(N515,FlowCalNumber,0),1,1))),INDEX(FlowCalConstA,MATCH(N515,FlowCalNumber,0),1,1)*P519^INDEX(FlowCalConstB,MATCH(N515,FlowCalNumber,0),1,1)," ")</f>
        <v>#N/A</v>
      </c>
      <c r="R519" s="33"/>
      <c r="S519" s="242">
        <f t="shared" si="492"/>
        <v>1</v>
      </c>
      <c r="T519" s="241" t="e">
        <f t="shared" ca="1" si="493"/>
        <v>#VALUE!</v>
      </c>
      <c r="U519" s="244" t="e">
        <f ca="1">IF(AND(INDEX(FlowCalConstA,MATCH(R515,FlowCalNumber,0),1,1)*T519^INDEX(FlowCalConstB,MATCH(R515,FlowCalNumber,0),1,1)&gt;INDEX(FlowCalLowSetting,MATCH(R515,FlowCalNumber,0),1,1), (INDEX(FlowCalConstA,MATCH(R515,FlowCalNumber,0),1,1)*T519^INDEX(FlowCalConstB,MATCH(R515,FlowCalNumber,0),1,1)&lt;INDEX(FlowCalHighSetting,MATCH(R515,FlowCalNumber,0),1,1))),INDEX(FlowCalConstA,MATCH(R515,FlowCalNumber,0),1,1)*T519^INDEX(FlowCalConstB,MATCH(R515,FlowCalNumber,0),1,1)," ")</f>
        <v>#N/A</v>
      </c>
      <c r="V519" s="33"/>
      <c r="W519" s="242">
        <f t="shared" si="494"/>
        <v>0.1</v>
      </c>
      <c r="X519" s="241" t="e">
        <f t="shared" ca="1" si="495"/>
        <v>#VALUE!</v>
      </c>
      <c r="Y519" s="243" t="e">
        <f ca="1">IF(AND(INDEX(FlowCalConstA,MATCH(V515,FlowCalNumber,0),1,1)*X519^INDEX(FlowCalConstB,MATCH(V515,FlowCalNumber,0),1,1)&gt;INDEX(FlowCalLowSetting,MATCH(V515,FlowCalNumber,0),1,1), (INDEX(FlowCalConstA,MATCH(V515,FlowCalNumber,0),1,1)*X519^INDEX(FlowCalConstB,MATCH(V515,FlowCalNumber,0),1,1)&lt;INDEX(FlowCalHighSetting,MATCH(V515,FlowCalNumber,0),1,1))),INDEX(FlowCalConstA,MATCH(V515,FlowCalNumber,0),1,1)*X519^INDEX(FlowCalConstB,MATCH(V515,FlowCalNumber,0),1,1)," ")</f>
        <v>#N/A</v>
      </c>
      <c r="Z519" s="33"/>
      <c r="AA519" s="242">
        <f t="shared" si="496"/>
        <v>0.9</v>
      </c>
      <c r="AB519" s="241" t="e">
        <f t="shared" ca="1" si="497"/>
        <v>#VALUE!</v>
      </c>
      <c r="AC519" s="243" t="e">
        <f ca="1">IF(AND(INDEX(FlowCalConstA,MATCH(Z515,FlowCalNumber,0),1,1)*AB519^INDEX(FlowCalConstB,MATCH(Z515,FlowCalNumber,0),1,1)&gt;INDEX(FlowCalLowSetting,MATCH(Z515,FlowCalNumber,0),1,1), (INDEX(FlowCalConstA,MATCH(Z515,FlowCalNumber,0),1,1)*AB519^INDEX(FlowCalConstB,MATCH(Z515,FlowCalNumber,0),1,1)&lt;INDEX(FlowCalHighSetting,MATCH(Z515,FlowCalNumber,0),1,1))),INDEX(FlowCalConstA,MATCH(Z515,FlowCalNumber,0),1,1)*AB519^INDEX(FlowCalConstB,MATCH(Z515,FlowCalNumber,0),1,1)," ")</f>
        <v>#N/A</v>
      </c>
      <c r="AD519" s="33"/>
      <c r="AE519" s="242">
        <f t="shared" si="498"/>
        <v>0.1</v>
      </c>
      <c r="AF519" s="241" t="e">
        <f t="shared" ca="1" si="499"/>
        <v>#VALUE!</v>
      </c>
      <c r="AG519" s="243" t="e">
        <f ca="1">IF(AND(INDEX(FlowCalConstA,MATCH(AD515,FlowCalNumber,0),1,1)*AF519^INDEX(FlowCalConstB,MATCH(AD515,FlowCalNumber,0),1,1)&gt;INDEX(FlowCalLowSetting,MATCH(AD515,FlowCalNumber,0),1,1), (INDEX(FlowCalConstA,MATCH(AD515,FlowCalNumber,0),1,1)*AF519^INDEX(FlowCalConstB,MATCH(AD515,FlowCalNumber,0),1,1)&lt;INDEX(FlowCalHighSetting,MATCH(AD515,FlowCalNumber,0),1,1))),INDEX(FlowCalConstA,MATCH(AD515,FlowCalNumber,0),1,1)*AF519^INDEX(FlowCalConstB,MATCH(AD515,FlowCalNumber,0),1,1)," ")</f>
        <v>#N/A</v>
      </c>
      <c r="AH519" s="33"/>
      <c r="AI519" s="242">
        <f t="shared" si="500"/>
        <v>0.9</v>
      </c>
      <c r="AJ519" s="241" t="e">
        <f t="shared" ca="1" si="501"/>
        <v>#VALUE!</v>
      </c>
      <c r="AK519" s="243" t="e">
        <f ca="1">IF(AND(INDEX(FlowCalConstA,MATCH(AH515,FlowCalNumber,0),1,1)*AJ519^INDEX(FlowCalConstB,MATCH(AH515,FlowCalNumber,0),1,1)&gt;INDEX(FlowCalLowSetting,MATCH(AH515,FlowCalNumber,0),1,1), (INDEX(FlowCalConstA,MATCH(AH515,FlowCalNumber,0),1,1)*AJ519^INDEX(FlowCalConstB,MATCH(AH515,FlowCalNumber,0),1,1)&lt;INDEX(FlowCalHighSetting,MATCH(AH515,FlowCalNumber,0),1,1))),INDEX(FlowCalConstA,MATCH(AH515,FlowCalNumber,0),1,1)*AJ519^INDEX(FlowCalConstB,MATCH(AH515,FlowCalNumber,0),1,1)," ")</f>
        <v>#N/A</v>
      </c>
      <c r="AL519" s="33"/>
      <c r="AM519" s="242"/>
      <c r="AN519" s="241"/>
      <c r="AO519" s="244"/>
      <c r="AQ519" s="242"/>
      <c r="AR519" s="241"/>
      <c r="AS519" s="244"/>
      <c r="AT519" s="33"/>
      <c r="AU519" s="242"/>
      <c r="AV519" s="241"/>
      <c r="AW519" s="244"/>
      <c r="AX519" s="33"/>
      <c r="AY519" s="242"/>
      <c r="AZ519" s="241"/>
      <c r="BA519" s="244"/>
      <c r="BB519" s="33"/>
      <c r="BC519" s="242"/>
      <c r="BD519" s="241"/>
      <c r="BE519" s="244"/>
      <c r="BF519" s="33"/>
      <c r="BG519" s="242"/>
      <c r="BH519" s="241"/>
      <c r="BI519" s="244"/>
      <c r="BJ519" s="33"/>
      <c r="BK519" s="242"/>
      <c r="BL519" s="241"/>
      <c r="BM519" s="244"/>
      <c r="BN519" s="33"/>
      <c r="BO519" s="242"/>
      <c r="BP519" s="241"/>
      <c r="BQ519" s="244"/>
      <c r="BR519" s="33"/>
      <c r="BS519" s="242"/>
      <c r="BT519" s="241"/>
      <c r="BU519" s="244"/>
      <c r="BV519" s="33"/>
      <c r="BW519" s="242"/>
      <c r="BX519" s="241"/>
      <c r="BY519" s="244"/>
      <c r="BZ519" s="33"/>
      <c r="CA519" s="242"/>
      <c r="CB519" s="241"/>
      <c r="CC519" s="244"/>
      <c r="CD519" s="243"/>
      <c r="CE519" s="243"/>
      <c r="CF519" s="243"/>
      <c r="CG519" s="243"/>
      <c r="CH519" s="243"/>
      <c r="CI519" s="243"/>
      <c r="CJ519" s="243"/>
      <c r="CK519" s="243"/>
      <c r="CL519" s="243"/>
      <c r="CM519" s="243"/>
      <c r="CN519" s="243"/>
      <c r="CO519" s="243"/>
      <c r="CP519" s="243"/>
      <c r="CQ519" s="243"/>
      <c r="CR519" s="243"/>
      <c r="CS519" s="243"/>
      <c r="CT519" s="243"/>
      <c r="CU519" s="243"/>
      <c r="CV519" s="243"/>
      <c r="CW519" s="243"/>
      <c r="CX519" s="243"/>
      <c r="CY519" s="243"/>
      <c r="CZ519" s="243"/>
      <c r="DA519" s="243"/>
      <c r="DB519" s="243"/>
      <c r="DC519" s="243"/>
      <c r="DD519" s="243"/>
      <c r="DE519" s="243"/>
      <c r="DF519" s="243"/>
      <c r="DG519" s="243"/>
      <c r="DH519" s="243"/>
      <c r="DI519" s="243"/>
      <c r="DJ519" s="243"/>
      <c r="DK519" s="243"/>
      <c r="DM519" s="242"/>
      <c r="DO519" s="243"/>
      <c r="DQ519" s="242"/>
      <c r="DS519" s="243"/>
      <c r="DU519" s="242"/>
      <c r="DW519" s="243"/>
      <c r="DY519" s="242"/>
      <c r="EA519" s="243"/>
    </row>
    <row r="520" spans="1:131">
      <c r="A520" s="20"/>
      <c r="B520" s="124" t="str">
        <f t="shared" si="486"/>
        <v/>
      </c>
      <c r="C520" s="235"/>
      <c r="D520" s="24">
        <f>'1% Wind'!$M$86</f>
        <v>15.5</v>
      </c>
      <c r="E520" s="90"/>
      <c r="F520" s="90"/>
      <c r="G520" s="79">
        <f ca="1">IF(I515=0.9743,$G519,MAX(G519/D519*D520,2))</f>
        <v>6.001707317073171</v>
      </c>
      <c r="H520" s="121" t="e">
        <f t="shared" ca="1" si="487"/>
        <v>#VALUE!</v>
      </c>
      <c r="J520" s="33"/>
      <c r="K520" s="242">
        <f t="shared" si="488"/>
        <v>1</v>
      </c>
      <c r="L520" s="241" t="e">
        <f t="shared" ca="1" si="489"/>
        <v>#VALUE!</v>
      </c>
      <c r="M520" s="243" t="e">
        <f ca="1">IF(AND(INDEX(FlowCalConstA,MATCH(J515,FlowCalNumber,0),1,1)*L520^INDEX(FlowCalConstB,MATCH(J515,FlowCalNumber,0),1,1)&gt;INDEX(FlowCalLowSetting,MATCH(J515,FlowCalNumber,0),1,1), (INDEX(FlowCalConstA,MATCH(J515,FlowCalNumber,0),1,1)*L520^INDEX(FlowCalConstB,MATCH(J515,FlowCalNumber,0),1,1)&lt;INDEX(FlowCalHighSetting,MATCH(J515,FlowCalNumber,0),1,1))),INDEX(FlowCalConstA,MATCH(J515,FlowCalNumber,0),1,1)*L520^INDEX(FlowCalConstB,MATCH(J515,FlowCalNumber,0),1,1)," ")</f>
        <v>#N/A</v>
      </c>
      <c r="N520" s="33"/>
      <c r="O520" s="242">
        <f t="shared" si="490"/>
        <v>1</v>
      </c>
      <c r="P520" s="241" t="e">
        <f t="shared" ca="1" si="491"/>
        <v>#VALUE!</v>
      </c>
      <c r="Q520" s="243" t="e">
        <f ca="1">IF(AND(INDEX(FlowCalConstA,MATCH(N515,FlowCalNumber,0),1,1)*P520^INDEX(FlowCalConstB,MATCH(N515,FlowCalNumber,0),1,1)&gt;INDEX(FlowCalLowSetting,MATCH(N515,FlowCalNumber,0),1,1), (INDEX(FlowCalConstA,MATCH(N515,FlowCalNumber,0),1,1)*P520^INDEX(FlowCalConstB,MATCH(N515,FlowCalNumber,0),1,1)&lt;INDEX(FlowCalHighSetting,MATCH(N515,FlowCalNumber,0),1,1))),INDEX(FlowCalConstA,MATCH(N515,FlowCalNumber,0),1,1)*P520^INDEX(FlowCalConstB,MATCH(N515,FlowCalNumber,0),1,1)," ")</f>
        <v>#N/A</v>
      </c>
      <c r="R520" s="33"/>
      <c r="S520" s="242">
        <f t="shared" si="492"/>
        <v>1</v>
      </c>
      <c r="T520" s="241" t="e">
        <f t="shared" ca="1" si="493"/>
        <v>#VALUE!</v>
      </c>
      <c r="U520" s="244" t="e">
        <f ca="1">IF(AND(INDEX(FlowCalConstA,MATCH(R515,FlowCalNumber,0),1,1)*T520^INDEX(FlowCalConstB,MATCH(R515,FlowCalNumber,0),1,1)&gt;INDEX(FlowCalLowSetting,MATCH(R515,FlowCalNumber,0),1,1), (INDEX(FlowCalConstA,MATCH(R515,FlowCalNumber,0),1,1)*T520^INDEX(FlowCalConstB,MATCH(R515,FlowCalNumber,0),1,1)&lt;INDEX(FlowCalHighSetting,MATCH(R515,FlowCalNumber,0),1,1))),INDEX(FlowCalConstA,MATCH(R515,FlowCalNumber,0),1,1)*T520^INDEX(FlowCalConstB,MATCH(R515,FlowCalNumber,0),1,1)," ")</f>
        <v>#N/A</v>
      </c>
      <c r="V520" s="33"/>
      <c r="W520" s="242">
        <f t="shared" si="494"/>
        <v>0.1</v>
      </c>
      <c r="X520" s="241" t="e">
        <f t="shared" ca="1" si="495"/>
        <v>#VALUE!</v>
      </c>
      <c r="Y520" s="243" t="e">
        <f ca="1">IF(AND(INDEX(FlowCalConstA,MATCH(V515,FlowCalNumber,0),1,1)*X520^INDEX(FlowCalConstB,MATCH(V515,FlowCalNumber,0),1,1)&gt;INDEX(FlowCalLowSetting,MATCH(V515,FlowCalNumber,0),1,1), (INDEX(FlowCalConstA,MATCH(V515,FlowCalNumber,0),1,1)*X520^INDEX(FlowCalConstB,MATCH(V515,FlowCalNumber,0),1,1)&lt;INDEX(FlowCalHighSetting,MATCH(V515,FlowCalNumber,0),1,1))),INDEX(FlowCalConstA,MATCH(V515,FlowCalNumber,0),1,1)*X520^INDEX(FlowCalConstB,MATCH(V515,FlowCalNumber,0),1,1)," ")</f>
        <v>#N/A</v>
      </c>
      <c r="Z520" s="33"/>
      <c r="AA520" s="242">
        <f t="shared" si="496"/>
        <v>0.9</v>
      </c>
      <c r="AB520" s="241" t="e">
        <f t="shared" ca="1" si="497"/>
        <v>#VALUE!</v>
      </c>
      <c r="AC520" s="243" t="e">
        <f ca="1">IF(AND(INDEX(FlowCalConstA,MATCH(Z515,FlowCalNumber,0),1,1)*AB520^INDEX(FlowCalConstB,MATCH(Z515,FlowCalNumber,0),1,1)&gt;INDEX(FlowCalLowSetting,MATCH(Z515,FlowCalNumber,0),1,1), (INDEX(FlowCalConstA,MATCH(Z515,FlowCalNumber,0),1,1)*AB520^INDEX(FlowCalConstB,MATCH(Z515,FlowCalNumber,0),1,1)&lt;INDEX(FlowCalHighSetting,MATCH(Z515,FlowCalNumber,0),1,1))),INDEX(FlowCalConstA,MATCH(Z515,FlowCalNumber,0),1,1)*AB520^INDEX(FlowCalConstB,MATCH(Z515,FlowCalNumber,0),1,1)," ")</f>
        <v>#N/A</v>
      </c>
      <c r="AD520" s="33"/>
      <c r="AE520" s="242">
        <f t="shared" si="498"/>
        <v>0.1</v>
      </c>
      <c r="AF520" s="241" t="e">
        <f t="shared" ca="1" si="499"/>
        <v>#VALUE!</v>
      </c>
      <c r="AG520" s="243" t="e">
        <f ca="1">IF(AND(INDEX(FlowCalConstA,MATCH(AD515,FlowCalNumber,0),1,1)*AF520^INDEX(FlowCalConstB,MATCH(AD515,FlowCalNumber,0),1,1)&gt;INDEX(FlowCalLowSetting,MATCH(AD515,FlowCalNumber,0),1,1), (INDEX(FlowCalConstA,MATCH(AD515,FlowCalNumber,0),1,1)*AF520^INDEX(FlowCalConstB,MATCH(AD515,FlowCalNumber,0),1,1)&lt;INDEX(FlowCalHighSetting,MATCH(AD515,FlowCalNumber,0),1,1))),INDEX(FlowCalConstA,MATCH(AD515,FlowCalNumber,0),1,1)*AF520^INDEX(FlowCalConstB,MATCH(AD515,FlowCalNumber,0),1,1)," ")</f>
        <v>#N/A</v>
      </c>
      <c r="AH520" s="33"/>
      <c r="AI520" s="242">
        <f t="shared" si="500"/>
        <v>0.9</v>
      </c>
      <c r="AJ520" s="241" t="e">
        <f t="shared" ca="1" si="501"/>
        <v>#VALUE!</v>
      </c>
      <c r="AK520" s="243" t="e">
        <f ca="1">IF(AND(INDEX(FlowCalConstA,MATCH(AH515,FlowCalNumber,0),1,1)*AJ520^INDEX(FlowCalConstB,MATCH(AH515,FlowCalNumber,0),1,1)&gt;INDEX(FlowCalLowSetting,MATCH(AH515,FlowCalNumber,0),1,1), (INDEX(FlowCalConstA,MATCH(AH515,FlowCalNumber,0),1,1)*AJ520^INDEX(FlowCalConstB,MATCH(AH515,FlowCalNumber,0),1,1)&lt;INDEX(FlowCalHighSetting,MATCH(AH515,FlowCalNumber,0),1,1))),INDEX(FlowCalConstA,MATCH(AH515,FlowCalNumber,0),1,1)*AJ520^INDEX(FlowCalConstB,MATCH(AH515,FlowCalNumber,0),1,1)," ")</f>
        <v>#N/A</v>
      </c>
      <c r="AL520" s="33"/>
      <c r="AM520" s="242"/>
      <c r="AN520" s="241"/>
      <c r="AO520" s="244"/>
      <c r="AQ520" s="242"/>
      <c r="AR520" s="241"/>
      <c r="AS520" s="244"/>
      <c r="AT520" s="33"/>
      <c r="AU520" s="242"/>
      <c r="AV520" s="241"/>
      <c r="AW520" s="244"/>
      <c r="AX520" s="33"/>
      <c r="AY520" s="242"/>
      <c r="AZ520" s="241"/>
      <c r="BA520" s="244"/>
      <c r="BB520" s="33"/>
      <c r="BC520" s="242"/>
      <c r="BD520" s="241"/>
      <c r="BE520" s="244"/>
      <c r="BF520" s="33"/>
      <c r="BG520" s="242"/>
      <c r="BH520" s="241"/>
      <c r="BI520" s="244"/>
      <c r="BJ520" s="33"/>
      <c r="BK520" s="242"/>
      <c r="BL520" s="241"/>
      <c r="BM520" s="244"/>
      <c r="BN520" s="33"/>
      <c r="BO520" s="242"/>
      <c r="BP520" s="241"/>
      <c r="BQ520" s="244"/>
      <c r="BR520" s="33"/>
      <c r="BS520" s="242"/>
      <c r="BT520" s="241"/>
      <c r="BU520" s="244"/>
      <c r="BV520" s="33"/>
      <c r="BW520" s="242"/>
      <c r="BX520" s="241"/>
      <c r="BY520" s="244"/>
      <c r="BZ520" s="33"/>
      <c r="CA520" s="242"/>
      <c r="CB520" s="241"/>
      <c r="CC520" s="244"/>
      <c r="CD520" s="243"/>
      <c r="CE520" s="243"/>
      <c r="CF520" s="243"/>
      <c r="CG520" s="243"/>
      <c r="CH520" s="243"/>
      <c r="CI520" s="243"/>
      <c r="CJ520" s="243"/>
      <c r="CK520" s="243"/>
      <c r="CL520" s="243"/>
      <c r="CM520" s="243"/>
      <c r="CN520" s="243"/>
      <c r="CO520" s="243"/>
      <c r="CP520" s="243"/>
      <c r="CQ520" s="243"/>
      <c r="CR520" s="243"/>
      <c r="CS520" s="243"/>
      <c r="CT520" s="243"/>
      <c r="CU520" s="243"/>
      <c r="CV520" s="243"/>
      <c r="CW520" s="243"/>
      <c r="CX520" s="243"/>
      <c r="CY520" s="243"/>
      <c r="CZ520" s="243"/>
      <c r="DA520" s="243"/>
      <c r="DB520" s="243"/>
      <c r="DC520" s="243"/>
      <c r="DD520" s="243"/>
      <c r="DE520" s="243"/>
      <c r="DF520" s="243"/>
      <c r="DG520" s="243"/>
      <c r="DH520" s="243"/>
      <c r="DI520" s="243"/>
      <c r="DJ520" s="243"/>
      <c r="DK520" s="243"/>
      <c r="DM520" s="242"/>
      <c r="DO520" s="243"/>
      <c r="DQ520" s="242"/>
      <c r="DS520" s="243"/>
      <c r="DU520" s="242"/>
      <c r="DW520" s="243"/>
      <c r="DY520" s="242"/>
      <c r="EA520" s="243"/>
    </row>
    <row r="521" spans="1:131">
      <c r="A521" s="20"/>
      <c r="B521" s="124" t="str">
        <f t="shared" si="486"/>
        <v/>
      </c>
      <c r="C521" s="235"/>
      <c r="D521" s="24">
        <f>'1% Wind'!$M$87</f>
        <v>13.5</v>
      </c>
      <c r="E521" s="90"/>
      <c r="F521" s="90"/>
      <c r="G521" s="79">
        <f ca="1">IF(I515=0.9743,$G520,MAX(G520/D520*D521,2))</f>
        <v>6.001707317073171</v>
      </c>
      <c r="H521" s="121" t="e">
        <f t="shared" ca="1" si="487"/>
        <v>#VALUE!</v>
      </c>
      <c r="J521" s="33"/>
      <c r="K521" s="242">
        <f t="shared" si="488"/>
        <v>1</v>
      </c>
      <c r="L521" s="241" t="e">
        <f t="shared" ca="1" si="489"/>
        <v>#VALUE!</v>
      </c>
      <c r="M521" s="243" t="e">
        <f ca="1">IF(AND(INDEX(FlowCalConstA,MATCH(J515,FlowCalNumber,0),1,1)*L521^INDEX(FlowCalConstB,MATCH(J515,FlowCalNumber,0),1,1)&gt;INDEX(FlowCalLowSetting,MATCH(J515,FlowCalNumber,0),1,1), (INDEX(FlowCalConstA,MATCH(J515,FlowCalNumber,0),1,1)*L521^INDEX(FlowCalConstB,MATCH(J515,FlowCalNumber,0),1,1)&lt;INDEX(FlowCalHighSetting,MATCH(J515,FlowCalNumber,0),1,1))),INDEX(FlowCalConstA,MATCH(J515,FlowCalNumber,0),1,1)*L521^INDEX(FlowCalConstB,MATCH(J515,FlowCalNumber,0),1,1)," ")</f>
        <v>#N/A</v>
      </c>
      <c r="N521" s="33"/>
      <c r="O521" s="242">
        <f t="shared" si="490"/>
        <v>1</v>
      </c>
      <c r="P521" s="241" t="e">
        <f t="shared" ca="1" si="491"/>
        <v>#VALUE!</v>
      </c>
      <c r="Q521" s="243" t="e">
        <f ca="1">IF(AND(INDEX(FlowCalConstA,MATCH(N515,FlowCalNumber,0),1,1)*P521^INDEX(FlowCalConstB,MATCH(N515,FlowCalNumber,0),1,1)&gt;INDEX(FlowCalLowSetting,MATCH(N515,FlowCalNumber,0),1,1), (INDEX(FlowCalConstA,MATCH(N515,FlowCalNumber,0),1,1)*P521^INDEX(FlowCalConstB,MATCH(N515,FlowCalNumber,0),1,1)&lt;INDEX(FlowCalHighSetting,MATCH(N515,FlowCalNumber,0),1,1))),INDEX(FlowCalConstA,MATCH(N515,FlowCalNumber,0),1,1)*P521^INDEX(FlowCalConstB,MATCH(N515,FlowCalNumber,0),1,1)," ")</f>
        <v>#N/A</v>
      </c>
      <c r="R521" s="33"/>
      <c r="S521" s="242">
        <f t="shared" si="492"/>
        <v>1</v>
      </c>
      <c r="T521" s="241" t="e">
        <f t="shared" ca="1" si="493"/>
        <v>#VALUE!</v>
      </c>
      <c r="U521" s="244" t="e">
        <f ca="1">IF(AND(INDEX(FlowCalConstA,MATCH(R515,FlowCalNumber,0),1,1)*T521^INDEX(FlowCalConstB,MATCH(R515,FlowCalNumber,0),1,1)&gt;INDEX(FlowCalLowSetting,MATCH(R515,FlowCalNumber,0),1,1), (INDEX(FlowCalConstA,MATCH(R515,FlowCalNumber,0),1,1)*T521^INDEX(FlowCalConstB,MATCH(R515,FlowCalNumber,0),1,1)&lt;INDEX(FlowCalHighSetting,MATCH(R515,FlowCalNumber,0),1,1))),INDEX(FlowCalConstA,MATCH(R515,FlowCalNumber,0),1,1)*T521^INDEX(FlowCalConstB,MATCH(R515,FlowCalNumber,0),1,1)," ")</f>
        <v>#N/A</v>
      </c>
      <c r="V521" s="33"/>
      <c r="W521" s="242">
        <f t="shared" si="494"/>
        <v>0.1</v>
      </c>
      <c r="X521" s="241" t="e">
        <f t="shared" ca="1" si="495"/>
        <v>#VALUE!</v>
      </c>
      <c r="Y521" s="243" t="e">
        <f ca="1">IF(AND(INDEX(FlowCalConstA,MATCH(V515,FlowCalNumber,0),1,1)*X521^INDEX(FlowCalConstB,MATCH(V515,FlowCalNumber,0),1,1)&gt;INDEX(FlowCalLowSetting,MATCH(V515,FlowCalNumber,0),1,1), (INDEX(FlowCalConstA,MATCH(V515,FlowCalNumber,0),1,1)*X521^INDEX(FlowCalConstB,MATCH(V515,FlowCalNumber,0),1,1)&lt;INDEX(FlowCalHighSetting,MATCH(V515,FlowCalNumber,0),1,1))),INDEX(FlowCalConstA,MATCH(V515,FlowCalNumber,0),1,1)*X521^INDEX(FlowCalConstB,MATCH(V515,FlowCalNumber,0),1,1)," ")</f>
        <v>#N/A</v>
      </c>
      <c r="Z521" s="33"/>
      <c r="AA521" s="242">
        <f t="shared" si="496"/>
        <v>0.9</v>
      </c>
      <c r="AB521" s="241" t="e">
        <f t="shared" ca="1" si="497"/>
        <v>#VALUE!</v>
      </c>
      <c r="AC521" s="243" t="e">
        <f ca="1">IF(AND(INDEX(FlowCalConstA,MATCH(Z515,FlowCalNumber,0),1,1)*AB521^INDEX(FlowCalConstB,MATCH(Z515,FlowCalNumber,0),1,1)&gt;INDEX(FlowCalLowSetting,MATCH(Z515,FlowCalNumber,0),1,1), (INDEX(FlowCalConstA,MATCH(Z515,FlowCalNumber,0),1,1)*AB521^INDEX(FlowCalConstB,MATCH(Z515,FlowCalNumber,0),1,1)&lt;INDEX(FlowCalHighSetting,MATCH(Z515,FlowCalNumber,0),1,1))),INDEX(FlowCalConstA,MATCH(Z515,FlowCalNumber,0),1,1)*AB521^INDEX(FlowCalConstB,MATCH(Z515,FlowCalNumber,0),1,1)," ")</f>
        <v>#N/A</v>
      </c>
      <c r="AD521" s="33"/>
      <c r="AE521" s="242">
        <f t="shared" si="498"/>
        <v>0.1</v>
      </c>
      <c r="AF521" s="241" t="e">
        <f t="shared" ca="1" si="499"/>
        <v>#VALUE!</v>
      </c>
      <c r="AG521" s="243" t="e">
        <f ca="1">IF(AND(INDEX(FlowCalConstA,MATCH(AD515,FlowCalNumber,0),1,1)*AF521^INDEX(FlowCalConstB,MATCH(AD515,FlowCalNumber,0),1,1)&gt;INDEX(FlowCalLowSetting,MATCH(AD515,FlowCalNumber,0),1,1), (INDEX(FlowCalConstA,MATCH(AD515,FlowCalNumber,0),1,1)*AF521^INDEX(FlowCalConstB,MATCH(AD515,FlowCalNumber,0),1,1)&lt;INDEX(FlowCalHighSetting,MATCH(AD515,FlowCalNumber,0),1,1))),INDEX(FlowCalConstA,MATCH(AD515,FlowCalNumber,0),1,1)*AF521^INDEX(FlowCalConstB,MATCH(AD515,FlowCalNumber,0),1,1)," ")</f>
        <v>#N/A</v>
      </c>
      <c r="AH521" s="33"/>
      <c r="AI521" s="242">
        <f t="shared" si="500"/>
        <v>0.9</v>
      </c>
      <c r="AJ521" s="241" t="e">
        <f t="shared" ca="1" si="501"/>
        <v>#VALUE!</v>
      </c>
      <c r="AK521" s="243" t="e">
        <f ca="1">IF(AND(INDEX(FlowCalConstA,MATCH(AH515,FlowCalNumber,0),1,1)*AJ521^INDEX(FlowCalConstB,MATCH(AH515,FlowCalNumber,0),1,1)&gt;INDEX(FlowCalLowSetting,MATCH(AH515,FlowCalNumber,0),1,1), (INDEX(FlowCalConstA,MATCH(AH515,FlowCalNumber,0),1,1)*AJ521^INDEX(FlowCalConstB,MATCH(AH515,FlowCalNumber,0),1,1)&lt;INDEX(FlowCalHighSetting,MATCH(AH515,FlowCalNumber,0),1,1))),INDEX(FlowCalConstA,MATCH(AH515,FlowCalNumber,0),1,1)*AJ521^INDEX(FlowCalConstB,MATCH(AH515,FlowCalNumber,0),1,1)," ")</f>
        <v>#N/A</v>
      </c>
      <c r="AL521" s="33"/>
      <c r="AM521" s="242"/>
      <c r="AN521" s="241"/>
      <c r="AO521" s="244"/>
      <c r="AQ521" s="242"/>
      <c r="AR521" s="241"/>
      <c r="AS521" s="244"/>
      <c r="AT521" s="33"/>
      <c r="AU521" s="242"/>
      <c r="AV521" s="241"/>
      <c r="AW521" s="244"/>
      <c r="AX521" s="33"/>
      <c r="AY521" s="242"/>
      <c r="AZ521" s="241"/>
      <c r="BA521" s="244"/>
      <c r="BB521" s="33"/>
      <c r="BC521" s="242"/>
      <c r="BD521" s="241"/>
      <c r="BE521" s="244"/>
      <c r="BF521" s="33"/>
      <c r="BG521" s="242"/>
      <c r="BH521" s="241"/>
      <c r="BI521" s="244"/>
      <c r="BJ521" s="33"/>
      <c r="BK521" s="242"/>
      <c r="BL521" s="241"/>
      <c r="BM521" s="244"/>
      <c r="BN521" s="33"/>
      <c r="BO521" s="242"/>
      <c r="BP521" s="241"/>
      <c r="BQ521" s="244"/>
      <c r="BR521" s="33"/>
      <c r="BS521" s="242"/>
      <c r="BT521" s="241"/>
      <c r="BU521" s="244"/>
      <c r="BV521" s="33"/>
      <c r="BW521" s="242"/>
      <c r="BX521" s="241"/>
      <c r="BY521" s="244"/>
      <c r="BZ521" s="33"/>
      <c r="CA521" s="242"/>
      <c r="CB521" s="241"/>
      <c r="CC521" s="244"/>
      <c r="CD521" s="243"/>
      <c r="CE521" s="243"/>
      <c r="CF521" s="243"/>
      <c r="CG521" s="243"/>
      <c r="CH521" s="243"/>
      <c r="CI521" s="243"/>
      <c r="CJ521" s="243"/>
      <c r="CK521" s="243"/>
      <c r="CL521" s="243"/>
      <c r="CM521" s="243"/>
      <c r="CN521" s="243"/>
      <c r="CO521" s="243"/>
      <c r="CP521" s="243"/>
      <c r="CQ521" s="243"/>
      <c r="CR521" s="243"/>
      <c r="CS521" s="243"/>
      <c r="CT521" s="243"/>
      <c r="CU521" s="243"/>
      <c r="CV521" s="243"/>
      <c r="CW521" s="243"/>
      <c r="CX521" s="243"/>
      <c r="CY521" s="243"/>
      <c r="CZ521" s="243"/>
      <c r="DA521" s="243"/>
      <c r="DB521" s="243"/>
      <c r="DC521" s="243"/>
      <c r="DD521" s="243"/>
      <c r="DE521" s="243"/>
      <c r="DF521" s="243"/>
      <c r="DG521" s="243"/>
      <c r="DH521" s="243"/>
      <c r="DI521" s="243"/>
      <c r="DJ521" s="243"/>
      <c r="DK521" s="243"/>
      <c r="DM521" s="242"/>
      <c r="DO521" s="243"/>
      <c r="DQ521" s="242"/>
      <c r="DS521" s="243"/>
      <c r="DU521" s="242"/>
      <c r="DW521" s="243"/>
      <c r="DY521" s="242"/>
      <c r="EA521" s="243"/>
    </row>
    <row r="522" spans="1:131">
      <c r="A522" s="20"/>
      <c r="B522" s="124" t="str">
        <f t="shared" si="486"/>
        <v/>
      </c>
      <c r="C522" s="235"/>
      <c r="D522" s="24">
        <f>'1% Wind'!$M$88</f>
        <v>10.1</v>
      </c>
      <c r="E522" s="90"/>
      <c r="F522" s="90"/>
      <c r="G522" s="79">
        <f ca="1">IF(I515=0.9743,$G521,MAX(G521/D521*D522,2))</f>
        <v>6.001707317073171</v>
      </c>
      <c r="H522" s="121" t="e">
        <f t="shared" ca="1" si="487"/>
        <v>#VALUE!</v>
      </c>
      <c r="J522" s="33"/>
      <c r="K522" s="242">
        <f t="shared" si="488"/>
        <v>1</v>
      </c>
      <c r="L522" s="241" t="e">
        <f t="shared" ca="1" si="489"/>
        <v>#VALUE!</v>
      </c>
      <c r="M522" s="243" t="e">
        <f ca="1">IF(AND(INDEX(FlowCalConstA,MATCH(J515,FlowCalNumber,0),1,1)*L522^INDEX(FlowCalConstB,MATCH(J515,FlowCalNumber,0),1,1)&gt;INDEX(FlowCalLowSetting,MATCH(J515,FlowCalNumber,0),1,1), (INDEX(FlowCalConstA,MATCH(J515,FlowCalNumber,0),1,1)*L522^INDEX(FlowCalConstB,MATCH(J515,FlowCalNumber,0),1,1)&lt;INDEX(FlowCalHighSetting,MATCH(J515,FlowCalNumber,0),1,1))),INDEX(FlowCalConstA,MATCH(J515,FlowCalNumber,0),1,1)*L522^INDEX(FlowCalConstB,MATCH(J515,FlowCalNumber,0),1,1)," ")</f>
        <v>#N/A</v>
      </c>
      <c r="N522" s="33"/>
      <c r="O522" s="242">
        <f t="shared" si="490"/>
        <v>1</v>
      </c>
      <c r="P522" s="241" t="e">
        <f t="shared" ca="1" si="491"/>
        <v>#VALUE!</v>
      </c>
      <c r="Q522" s="243" t="e">
        <f ca="1">IF(AND(INDEX(FlowCalConstA,MATCH(N515,FlowCalNumber,0),1,1)*P522^INDEX(FlowCalConstB,MATCH(N515,FlowCalNumber,0),1,1)&gt;INDEX(FlowCalLowSetting,MATCH(N515,FlowCalNumber,0),1,1), (INDEX(FlowCalConstA,MATCH(N515,FlowCalNumber,0),1,1)*P522^INDEX(FlowCalConstB,MATCH(N515,FlowCalNumber,0),1,1)&lt;INDEX(FlowCalHighSetting,MATCH(N515,FlowCalNumber,0),1,1))),INDEX(FlowCalConstA,MATCH(N515,FlowCalNumber,0),1,1)*P522^INDEX(FlowCalConstB,MATCH(N515,FlowCalNumber,0),1,1)," ")</f>
        <v>#N/A</v>
      </c>
      <c r="R522" s="33"/>
      <c r="S522" s="242">
        <f t="shared" si="492"/>
        <v>1</v>
      </c>
      <c r="T522" s="241" t="e">
        <f t="shared" ca="1" si="493"/>
        <v>#VALUE!</v>
      </c>
      <c r="U522" s="244" t="e">
        <f ca="1">IF(AND(INDEX(FlowCalConstA,MATCH(R515,FlowCalNumber,0),1,1)*T522^INDEX(FlowCalConstB,MATCH(R515,FlowCalNumber,0),1,1)&gt;INDEX(FlowCalLowSetting,MATCH(R515,FlowCalNumber,0),1,1), (INDEX(FlowCalConstA,MATCH(R515,FlowCalNumber,0),1,1)*T522^INDEX(FlowCalConstB,MATCH(R515,FlowCalNumber,0),1,1)&lt;INDEX(FlowCalHighSetting,MATCH(R515,FlowCalNumber,0),1,1))),INDEX(FlowCalConstA,MATCH(R515,FlowCalNumber,0),1,1)*T522^INDEX(FlowCalConstB,MATCH(R515,FlowCalNumber,0),1,1)," ")</f>
        <v>#N/A</v>
      </c>
      <c r="V522" s="33"/>
      <c r="W522" s="242">
        <f t="shared" si="494"/>
        <v>0.1</v>
      </c>
      <c r="X522" s="241" t="e">
        <f t="shared" ca="1" si="495"/>
        <v>#VALUE!</v>
      </c>
      <c r="Y522" s="243" t="e">
        <f ca="1">IF(AND(INDEX(FlowCalConstA,MATCH(V515,FlowCalNumber,0),1,1)*X522^INDEX(FlowCalConstB,MATCH(V515,FlowCalNumber,0),1,1)&gt;INDEX(FlowCalLowSetting,MATCH(V515,FlowCalNumber,0),1,1), (INDEX(FlowCalConstA,MATCH(V515,FlowCalNumber,0),1,1)*X522^INDEX(FlowCalConstB,MATCH(V515,FlowCalNumber,0),1,1)&lt;INDEX(FlowCalHighSetting,MATCH(V515,FlowCalNumber,0),1,1))),INDEX(FlowCalConstA,MATCH(V515,FlowCalNumber,0),1,1)*X522^INDEX(FlowCalConstB,MATCH(V515,FlowCalNumber,0),1,1)," ")</f>
        <v>#N/A</v>
      </c>
      <c r="Z522" s="33"/>
      <c r="AA522" s="242">
        <f t="shared" si="496"/>
        <v>0.9</v>
      </c>
      <c r="AB522" s="241" t="e">
        <f t="shared" ca="1" si="497"/>
        <v>#VALUE!</v>
      </c>
      <c r="AC522" s="243" t="e">
        <f ca="1">IF(AND(INDEX(FlowCalConstA,MATCH(Z515,FlowCalNumber,0),1,1)*AB522^INDEX(FlowCalConstB,MATCH(Z515,FlowCalNumber,0),1,1)&gt;INDEX(FlowCalLowSetting,MATCH(Z515,FlowCalNumber,0),1,1), (INDEX(FlowCalConstA,MATCH(Z515,FlowCalNumber,0),1,1)*AB522^INDEX(FlowCalConstB,MATCH(Z515,FlowCalNumber,0),1,1)&lt;INDEX(FlowCalHighSetting,MATCH(Z515,FlowCalNumber,0),1,1))),INDEX(FlowCalConstA,MATCH(Z515,FlowCalNumber,0),1,1)*AB522^INDEX(FlowCalConstB,MATCH(Z515,FlowCalNumber,0),1,1)," ")</f>
        <v>#N/A</v>
      </c>
      <c r="AD522" s="33"/>
      <c r="AE522" s="242">
        <f t="shared" si="498"/>
        <v>0.1</v>
      </c>
      <c r="AF522" s="241" t="e">
        <f t="shared" ca="1" si="499"/>
        <v>#VALUE!</v>
      </c>
      <c r="AG522" s="243" t="e">
        <f ca="1">IF(AND(INDEX(FlowCalConstA,MATCH(AD515,FlowCalNumber,0),1,1)*AF522^INDEX(FlowCalConstB,MATCH(AD515,FlowCalNumber,0),1,1)&gt;INDEX(FlowCalLowSetting,MATCH(AD515,FlowCalNumber,0),1,1), (INDEX(FlowCalConstA,MATCH(AD515,FlowCalNumber,0),1,1)*AF522^INDEX(FlowCalConstB,MATCH(AD515,FlowCalNumber,0),1,1)&lt;INDEX(FlowCalHighSetting,MATCH(AD515,FlowCalNumber,0),1,1))),INDEX(FlowCalConstA,MATCH(AD515,FlowCalNumber,0),1,1)*AF522^INDEX(FlowCalConstB,MATCH(AD515,FlowCalNumber,0),1,1)," ")</f>
        <v>#N/A</v>
      </c>
      <c r="AH522" s="33"/>
      <c r="AI522" s="242">
        <f t="shared" si="500"/>
        <v>0.9</v>
      </c>
      <c r="AJ522" s="241" t="e">
        <f t="shared" ca="1" si="501"/>
        <v>#VALUE!</v>
      </c>
      <c r="AK522" s="243" t="e">
        <f ca="1">IF(AND(INDEX(FlowCalConstA,MATCH(AH515,FlowCalNumber,0),1,1)*AJ522^INDEX(FlowCalConstB,MATCH(AH515,FlowCalNumber,0),1,1)&gt;INDEX(FlowCalLowSetting,MATCH(AH515,FlowCalNumber,0),1,1), (INDEX(FlowCalConstA,MATCH(AH515,FlowCalNumber,0),1,1)*AJ522^INDEX(FlowCalConstB,MATCH(AH515,FlowCalNumber,0),1,1)&lt;INDEX(FlowCalHighSetting,MATCH(AH515,FlowCalNumber,0),1,1))),INDEX(FlowCalConstA,MATCH(AH515,FlowCalNumber,0),1,1)*AJ522^INDEX(FlowCalConstB,MATCH(AH515,FlowCalNumber,0),1,1)," ")</f>
        <v>#N/A</v>
      </c>
      <c r="AL522" s="33"/>
      <c r="AM522" s="242"/>
      <c r="AN522" s="241"/>
      <c r="AO522" s="244"/>
      <c r="AQ522" s="242"/>
      <c r="AR522" s="241"/>
      <c r="AS522" s="244"/>
      <c r="AT522" s="33"/>
      <c r="AU522" s="242"/>
      <c r="AV522" s="241"/>
      <c r="AW522" s="244"/>
      <c r="AX522" s="33"/>
      <c r="AY522" s="242"/>
      <c r="AZ522" s="241"/>
      <c r="BA522" s="244"/>
      <c r="BB522" s="33"/>
      <c r="BC522" s="242"/>
      <c r="BD522" s="241"/>
      <c r="BE522" s="244"/>
      <c r="BF522" s="33"/>
      <c r="BG522" s="242"/>
      <c r="BH522" s="241"/>
      <c r="BI522" s="244"/>
      <c r="BJ522" s="33"/>
      <c r="BK522" s="242"/>
      <c r="BL522" s="241"/>
      <c r="BM522" s="244"/>
      <c r="BN522" s="33"/>
      <c r="BO522" s="242"/>
      <c r="BP522" s="241"/>
      <c r="BQ522" s="244"/>
      <c r="BR522" s="33"/>
      <c r="BS522" s="242"/>
      <c r="BT522" s="241"/>
      <c r="BU522" s="244"/>
      <c r="BV522" s="33"/>
      <c r="BW522" s="242"/>
      <c r="BX522" s="241"/>
      <c r="BY522" s="244"/>
      <c r="BZ522" s="33"/>
      <c r="CA522" s="242"/>
      <c r="CB522" s="241"/>
      <c r="CC522" s="244"/>
      <c r="CD522" s="243"/>
      <c r="CE522" s="243"/>
      <c r="CF522" s="243"/>
      <c r="CG522" s="243"/>
      <c r="CH522" s="243"/>
      <c r="CI522" s="243"/>
      <c r="CJ522" s="243"/>
      <c r="CK522" s="243"/>
      <c r="CL522" s="243"/>
      <c r="CM522" s="243"/>
      <c r="CN522" s="243"/>
      <c r="CO522" s="243"/>
      <c r="CP522" s="243"/>
      <c r="CQ522" s="243"/>
      <c r="CR522" s="243"/>
      <c r="CS522" s="243"/>
      <c r="CT522" s="243"/>
      <c r="CU522" s="243"/>
      <c r="CV522" s="243"/>
      <c r="CW522" s="243"/>
      <c r="CX522" s="243"/>
      <c r="CY522" s="243"/>
      <c r="CZ522" s="243"/>
      <c r="DA522" s="243"/>
      <c r="DB522" s="243"/>
      <c r="DC522" s="243"/>
      <c r="DD522" s="243"/>
      <c r="DE522" s="243"/>
      <c r="DF522" s="243"/>
      <c r="DG522" s="243"/>
      <c r="DH522" s="243"/>
      <c r="DI522" s="243"/>
      <c r="DJ522" s="243"/>
      <c r="DK522" s="243"/>
      <c r="DM522" s="242"/>
      <c r="DO522" s="243"/>
      <c r="DQ522" s="242"/>
      <c r="DS522" s="243"/>
      <c r="DU522" s="242"/>
      <c r="DW522" s="243"/>
      <c r="DY522" s="242"/>
      <c r="EA522" s="243"/>
    </row>
    <row r="523" spans="1:131">
      <c r="A523" s="20"/>
      <c r="B523" s="124" t="str">
        <f t="shared" si="486"/>
        <v/>
      </c>
      <c r="C523" s="235"/>
      <c r="D523" s="24">
        <f>'1% Wind'!$M$89</f>
        <v>7.6</v>
      </c>
      <c r="E523" s="90"/>
      <c r="F523" s="90"/>
      <c r="G523" s="79">
        <f ca="1">IF(I515=0.9743,$G522,MAX(G522/D522*D523,2))</f>
        <v>6.001707317073171</v>
      </c>
      <c r="H523" s="121" t="e">
        <f t="shared" ca="1" si="487"/>
        <v>#VALUE!</v>
      </c>
      <c r="J523" s="33"/>
      <c r="K523" s="242">
        <f t="shared" si="488"/>
        <v>1</v>
      </c>
      <c r="L523" s="241" t="e">
        <f t="shared" ca="1" si="489"/>
        <v>#VALUE!</v>
      </c>
      <c r="M523" s="243" t="e">
        <f ca="1">IF(AND(INDEX(FlowCalConstA,MATCH(J515,FlowCalNumber,0),1,1)*L523^INDEX(FlowCalConstB,MATCH(J515,FlowCalNumber,0),1,1)&gt;INDEX(FlowCalLowSetting,MATCH(J515,FlowCalNumber,0),1,1), (INDEX(FlowCalConstA,MATCH(J515,FlowCalNumber,0),1,1)*L523^INDEX(FlowCalConstB,MATCH(J515,FlowCalNumber,0),1,1)&lt;INDEX(FlowCalHighSetting,MATCH(J515,FlowCalNumber,0),1,1))),INDEX(FlowCalConstA,MATCH(J515,FlowCalNumber,0),1,1)*L523^INDEX(FlowCalConstB,MATCH(J515,FlowCalNumber,0),1,1)," ")</f>
        <v>#N/A</v>
      </c>
      <c r="N523" s="33"/>
      <c r="O523" s="242">
        <f t="shared" si="490"/>
        <v>1</v>
      </c>
      <c r="P523" s="241" t="e">
        <f t="shared" ca="1" si="491"/>
        <v>#VALUE!</v>
      </c>
      <c r="Q523" s="243" t="e">
        <f ca="1">IF(AND(INDEX(FlowCalConstA,MATCH(N515,FlowCalNumber,0),1,1)*P523^INDEX(FlowCalConstB,MATCH(N515,FlowCalNumber,0),1,1)&gt;INDEX(FlowCalLowSetting,MATCH(N515,FlowCalNumber,0),1,1), (INDEX(FlowCalConstA,MATCH(N515,FlowCalNumber,0),1,1)*P523^INDEX(FlowCalConstB,MATCH(N515,FlowCalNumber,0),1,1)&lt;INDEX(FlowCalHighSetting,MATCH(N515,FlowCalNumber,0),1,1))),INDEX(FlowCalConstA,MATCH(N515,FlowCalNumber,0),1,1)*P523^INDEX(FlowCalConstB,MATCH(N515,FlowCalNumber,0),1,1)," ")</f>
        <v>#N/A</v>
      </c>
      <c r="R523" s="33"/>
      <c r="S523" s="242">
        <f t="shared" si="492"/>
        <v>1</v>
      </c>
      <c r="T523" s="241" t="e">
        <f t="shared" ca="1" si="493"/>
        <v>#VALUE!</v>
      </c>
      <c r="U523" s="244" t="e">
        <f ca="1">IF(AND(INDEX(FlowCalConstA,MATCH(R515,FlowCalNumber,0),1,1)*T523^INDEX(FlowCalConstB,MATCH(R515,FlowCalNumber,0),1,1)&gt;INDEX(FlowCalLowSetting,MATCH(R515,FlowCalNumber,0),1,1), (INDEX(FlowCalConstA,MATCH(R515,FlowCalNumber,0),1,1)*T523^INDEX(FlowCalConstB,MATCH(R515,FlowCalNumber,0),1,1)&lt;INDEX(FlowCalHighSetting,MATCH(R515,FlowCalNumber,0),1,1))),INDEX(FlowCalConstA,MATCH(R515,FlowCalNumber,0),1,1)*T523^INDEX(FlowCalConstB,MATCH(R515,FlowCalNumber,0),1,1)," ")</f>
        <v>#N/A</v>
      </c>
      <c r="V523" s="33"/>
      <c r="W523" s="242">
        <f t="shared" si="494"/>
        <v>0.1</v>
      </c>
      <c r="X523" s="241" t="e">
        <f t="shared" ca="1" si="495"/>
        <v>#VALUE!</v>
      </c>
      <c r="Y523" s="243" t="e">
        <f ca="1">IF(AND(INDEX(FlowCalConstA,MATCH(V515,FlowCalNumber,0),1,1)*X523^INDEX(FlowCalConstB,MATCH(V515,FlowCalNumber,0),1,1)&gt;INDEX(FlowCalLowSetting,MATCH(V515,FlowCalNumber,0),1,1), (INDEX(FlowCalConstA,MATCH(V515,FlowCalNumber,0),1,1)*X523^INDEX(FlowCalConstB,MATCH(V515,FlowCalNumber,0),1,1)&lt;INDEX(FlowCalHighSetting,MATCH(V515,FlowCalNumber,0),1,1))),INDEX(FlowCalConstA,MATCH(V515,FlowCalNumber,0),1,1)*X523^INDEX(FlowCalConstB,MATCH(V515,FlowCalNumber,0),1,1)," ")</f>
        <v>#N/A</v>
      </c>
      <c r="Z523" s="33"/>
      <c r="AA523" s="242">
        <f t="shared" si="496"/>
        <v>0.9</v>
      </c>
      <c r="AB523" s="241" t="e">
        <f t="shared" ca="1" si="497"/>
        <v>#VALUE!</v>
      </c>
      <c r="AC523" s="243" t="e">
        <f ca="1">IF(AND(INDEX(FlowCalConstA,MATCH(Z515,FlowCalNumber,0),1,1)*AB523^INDEX(FlowCalConstB,MATCH(Z515,FlowCalNumber,0),1,1)&gt;INDEX(FlowCalLowSetting,MATCH(Z515,FlowCalNumber,0),1,1), (INDEX(FlowCalConstA,MATCH(Z515,FlowCalNumber,0),1,1)*AB523^INDEX(FlowCalConstB,MATCH(Z515,FlowCalNumber,0),1,1)&lt;INDEX(FlowCalHighSetting,MATCH(Z515,FlowCalNumber,0),1,1))),INDEX(FlowCalConstA,MATCH(Z515,FlowCalNumber,0),1,1)*AB523^INDEX(FlowCalConstB,MATCH(Z515,FlowCalNumber,0),1,1)," ")</f>
        <v>#N/A</v>
      </c>
      <c r="AD523" s="33"/>
      <c r="AE523" s="242">
        <f t="shared" si="498"/>
        <v>0.1</v>
      </c>
      <c r="AF523" s="241" t="e">
        <f t="shared" ca="1" si="499"/>
        <v>#VALUE!</v>
      </c>
      <c r="AG523" s="243" t="e">
        <f ca="1">IF(AND(INDEX(FlowCalConstA,MATCH(AD515,FlowCalNumber,0),1,1)*AF523^INDEX(FlowCalConstB,MATCH(AD515,FlowCalNumber,0),1,1)&gt;INDEX(FlowCalLowSetting,MATCH(AD515,FlowCalNumber,0),1,1), (INDEX(FlowCalConstA,MATCH(AD515,FlowCalNumber,0),1,1)*AF523^INDEX(FlowCalConstB,MATCH(AD515,FlowCalNumber,0),1,1)&lt;INDEX(FlowCalHighSetting,MATCH(AD515,FlowCalNumber,0),1,1))),INDEX(FlowCalConstA,MATCH(AD515,FlowCalNumber,0),1,1)*AF523^INDEX(FlowCalConstB,MATCH(AD515,FlowCalNumber,0),1,1)," ")</f>
        <v>#N/A</v>
      </c>
      <c r="AH523" s="33"/>
      <c r="AI523" s="242">
        <f t="shared" si="500"/>
        <v>0.9</v>
      </c>
      <c r="AJ523" s="241" t="e">
        <f t="shared" ca="1" si="501"/>
        <v>#VALUE!</v>
      </c>
      <c r="AK523" s="243" t="e">
        <f ca="1">IF(AND(INDEX(FlowCalConstA,MATCH(AH515,FlowCalNumber,0),1,1)*AJ523^INDEX(FlowCalConstB,MATCH(AH515,FlowCalNumber,0),1,1)&gt;INDEX(FlowCalLowSetting,MATCH(AH515,FlowCalNumber,0),1,1), (INDEX(FlowCalConstA,MATCH(AH515,FlowCalNumber,0),1,1)*AJ523^INDEX(FlowCalConstB,MATCH(AH515,FlowCalNumber,0),1,1)&lt;INDEX(FlowCalHighSetting,MATCH(AH515,FlowCalNumber,0),1,1))),INDEX(FlowCalConstA,MATCH(AH515,FlowCalNumber,0),1,1)*AJ523^INDEX(FlowCalConstB,MATCH(AH515,FlowCalNumber,0),1,1)," ")</f>
        <v>#N/A</v>
      </c>
      <c r="AL523" s="33"/>
      <c r="AM523" s="242"/>
      <c r="AN523" s="241"/>
      <c r="AO523" s="244"/>
      <c r="AQ523" s="242"/>
      <c r="AR523" s="241"/>
      <c r="AS523" s="244"/>
      <c r="AT523" s="33"/>
      <c r="AU523" s="242"/>
      <c r="AV523" s="241"/>
      <c r="AW523" s="244"/>
      <c r="AX523" s="33"/>
      <c r="AY523" s="242"/>
      <c r="AZ523" s="241"/>
      <c r="BA523" s="244"/>
      <c r="BB523" s="33"/>
      <c r="BC523" s="242"/>
      <c r="BD523" s="241"/>
      <c r="BE523" s="244"/>
      <c r="BF523" s="33"/>
      <c r="BG523" s="242"/>
      <c r="BH523" s="241"/>
      <c r="BI523" s="244"/>
      <c r="BJ523" s="33"/>
      <c r="BK523" s="242"/>
      <c r="BL523" s="241"/>
      <c r="BM523" s="244"/>
      <c r="BN523" s="33"/>
      <c r="BO523" s="242"/>
      <c r="BP523" s="241"/>
      <c r="BQ523" s="244"/>
      <c r="BR523" s="33"/>
      <c r="BS523" s="242"/>
      <c r="BT523" s="241"/>
      <c r="BU523" s="244"/>
      <c r="BV523" s="33"/>
      <c r="BW523" s="242"/>
      <c r="BX523" s="241"/>
      <c r="BY523" s="244"/>
      <c r="BZ523" s="33"/>
      <c r="CA523" s="242"/>
      <c r="CB523" s="241"/>
      <c r="CC523" s="244"/>
      <c r="CD523" s="243"/>
      <c r="CE523" s="243"/>
      <c r="CF523" s="243"/>
      <c r="CG523" s="243"/>
      <c r="CH523" s="243"/>
      <c r="CI523" s="243"/>
      <c r="CJ523" s="243"/>
      <c r="CK523" s="243"/>
      <c r="CL523" s="243"/>
      <c r="CM523" s="243"/>
      <c r="CN523" s="243"/>
      <c r="CO523" s="243"/>
      <c r="CP523" s="243"/>
      <c r="CQ523" s="243"/>
      <c r="CR523" s="243"/>
      <c r="CS523" s="243"/>
      <c r="CT523" s="243"/>
      <c r="CU523" s="243"/>
      <c r="CV523" s="243"/>
      <c r="CW523" s="243"/>
      <c r="CX523" s="243"/>
      <c r="CY523" s="243"/>
      <c r="CZ523" s="243"/>
      <c r="DA523" s="243"/>
      <c r="DB523" s="243"/>
      <c r="DC523" s="243"/>
      <c r="DD523" s="243"/>
      <c r="DE523" s="243"/>
      <c r="DF523" s="243"/>
      <c r="DG523" s="243"/>
      <c r="DH523" s="243"/>
      <c r="DI523" s="243"/>
      <c r="DJ523" s="243"/>
      <c r="DK523" s="243"/>
      <c r="DM523" s="242"/>
      <c r="DO523" s="243"/>
      <c r="DQ523" s="242"/>
      <c r="DS523" s="243"/>
      <c r="DU523" s="242"/>
      <c r="DW523" s="243"/>
      <c r="DY523" s="242"/>
      <c r="EA523" s="243"/>
    </row>
    <row r="524" spans="1:131">
      <c r="A524" s="20"/>
      <c r="B524" s="124" t="str">
        <f t="shared" si="486"/>
        <v/>
      </c>
      <c r="C524" s="235"/>
      <c r="D524" s="24">
        <f>'1% Wind'!$M$90</f>
        <v>5.7</v>
      </c>
      <c r="E524" s="90"/>
      <c r="F524" s="90"/>
      <c r="G524" s="79">
        <f ca="1">IF(I515=0.9743,$G523,MAX(G523/D523*D524,2))</f>
        <v>6.001707317073171</v>
      </c>
      <c r="H524" s="121" t="e">
        <f t="shared" ca="1" si="487"/>
        <v>#VALUE!</v>
      </c>
      <c r="J524" s="33"/>
      <c r="K524" s="242">
        <f t="shared" si="488"/>
        <v>1</v>
      </c>
      <c r="L524" s="241" t="e">
        <f t="shared" ca="1" si="489"/>
        <v>#VALUE!</v>
      </c>
      <c r="M524" s="243" t="e">
        <f ca="1">IF(AND(INDEX(FlowCalConstA,MATCH(J515,FlowCalNumber,0),1,1)*L524^INDEX(FlowCalConstB,MATCH(J515,FlowCalNumber,0),1,1)&gt;INDEX(FlowCalLowSetting,MATCH(J515,FlowCalNumber,0),1,1), (INDEX(FlowCalConstA,MATCH(J515,FlowCalNumber,0),1,1)*L524^INDEX(FlowCalConstB,MATCH(J515,FlowCalNumber,0),1,1)&lt;INDEX(FlowCalHighSetting,MATCH(J515,FlowCalNumber,0),1,1))),INDEX(FlowCalConstA,MATCH(J515,FlowCalNumber,0),1,1)*L524^INDEX(FlowCalConstB,MATCH(J515,FlowCalNumber,0),1,1)," ")</f>
        <v>#N/A</v>
      </c>
      <c r="N524" s="33"/>
      <c r="O524" s="242">
        <f t="shared" si="490"/>
        <v>1</v>
      </c>
      <c r="P524" s="241" t="e">
        <f t="shared" ca="1" si="491"/>
        <v>#VALUE!</v>
      </c>
      <c r="Q524" s="243" t="e">
        <f ca="1">IF(AND(INDEX(FlowCalConstA,MATCH(N515,FlowCalNumber,0),1,1)*P524^INDEX(FlowCalConstB,MATCH(N515,FlowCalNumber,0),1,1)&gt;INDEX(FlowCalLowSetting,MATCH(N515,FlowCalNumber,0),1,1), (INDEX(FlowCalConstA,MATCH(N515,FlowCalNumber,0),1,1)*P524^INDEX(FlowCalConstB,MATCH(N515,FlowCalNumber,0),1,1)&lt;INDEX(FlowCalHighSetting,MATCH(N515,FlowCalNumber,0),1,1))),INDEX(FlowCalConstA,MATCH(N515,FlowCalNumber,0),1,1)*P524^INDEX(FlowCalConstB,MATCH(N515,FlowCalNumber,0),1,1)," ")</f>
        <v>#N/A</v>
      </c>
      <c r="R524" s="33"/>
      <c r="S524" s="242">
        <f t="shared" si="492"/>
        <v>1</v>
      </c>
      <c r="T524" s="241" t="e">
        <f t="shared" ca="1" si="493"/>
        <v>#VALUE!</v>
      </c>
      <c r="U524" s="244" t="e">
        <f ca="1">IF(AND(INDEX(FlowCalConstA,MATCH(R515,FlowCalNumber,0),1,1)*T524^INDEX(FlowCalConstB,MATCH(R515,FlowCalNumber,0),1,1)&gt;INDEX(FlowCalLowSetting,MATCH(R515,FlowCalNumber,0),1,1), (INDEX(FlowCalConstA,MATCH(R515,FlowCalNumber,0),1,1)*T524^INDEX(FlowCalConstB,MATCH(R515,FlowCalNumber,0),1,1)&lt;INDEX(FlowCalHighSetting,MATCH(R515,FlowCalNumber,0),1,1))),INDEX(FlowCalConstA,MATCH(R515,FlowCalNumber,0),1,1)*T524^INDEX(FlowCalConstB,MATCH(R515,FlowCalNumber,0),1,1)," ")</f>
        <v>#N/A</v>
      </c>
      <c r="V524" s="33"/>
      <c r="W524" s="242">
        <f t="shared" si="494"/>
        <v>0.1</v>
      </c>
      <c r="X524" s="241" t="e">
        <f t="shared" ca="1" si="495"/>
        <v>#VALUE!</v>
      </c>
      <c r="Y524" s="243" t="e">
        <f ca="1">IF(AND(INDEX(FlowCalConstA,MATCH(V515,FlowCalNumber,0),1,1)*X524^INDEX(FlowCalConstB,MATCH(V515,FlowCalNumber,0),1,1)&gt;INDEX(FlowCalLowSetting,MATCH(V515,FlowCalNumber,0),1,1), (INDEX(FlowCalConstA,MATCH(V515,FlowCalNumber,0),1,1)*X524^INDEX(FlowCalConstB,MATCH(V515,FlowCalNumber,0),1,1)&lt;INDEX(FlowCalHighSetting,MATCH(V515,FlowCalNumber,0),1,1))),INDEX(FlowCalConstA,MATCH(V515,FlowCalNumber,0),1,1)*X524^INDEX(FlowCalConstB,MATCH(V515,FlowCalNumber,0),1,1)," ")</f>
        <v>#N/A</v>
      </c>
      <c r="Z524" s="33"/>
      <c r="AA524" s="242">
        <f t="shared" si="496"/>
        <v>0.9</v>
      </c>
      <c r="AB524" s="241" t="e">
        <f t="shared" ca="1" si="497"/>
        <v>#VALUE!</v>
      </c>
      <c r="AC524" s="243" t="e">
        <f ca="1">IF(AND(INDEX(FlowCalConstA,MATCH(Z515,FlowCalNumber,0),1,1)*AB524^INDEX(FlowCalConstB,MATCH(Z515,FlowCalNumber,0),1,1)&gt;INDEX(FlowCalLowSetting,MATCH(Z515,FlowCalNumber,0),1,1), (INDEX(FlowCalConstA,MATCH(Z515,FlowCalNumber,0),1,1)*AB524^INDEX(FlowCalConstB,MATCH(Z515,FlowCalNumber,0),1,1)&lt;INDEX(FlowCalHighSetting,MATCH(Z515,FlowCalNumber,0),1,1))),INDEX(FlowCalConstA,MATCH(Z515,FlowCalNumber,0),1,1)*AB524^INDEX(FlowCalConstB,MATCH(Z515,FlowCalNumber,0),1,1)," ")</f>
        <v>#N/A</v>
      </c>
      <c r="AD524" s="33"/>
      <c r="AE524" s="242">
        <f t="shared" si="498"/>
        <v>0.1</v>
      </c>
      <c r="AF524" s="241" t="e">
        <f t="shared" ca="1" si="499"/>
        <v>#VALUE!</v>
      </c>
      <c r="AG524" s="243" t="e">
        <f ca="1">IF(AND(INDEX(FlowCalConstA,MATCH(AD515,FlowCalNumber,0),1,1)*AF524^INDEX(FlowCalConstB,MATCH(AD515,FlowCalNumber,0),1,1)&gt;INDEX(FlowCalLowSetting,MATCH(AD515,FlowCalNumber,0),1,1), (INDEX(FlowCalConstA,MATCH(AD515,FlowCalNumber,0),1,1)*AF524^INDEX(FlowCalConstB,MATCH(AD515,FlowCalNumber,0),1,1)&lt;INDEX(FlowCalHighSetting,MATCH(AD515,FlowCalNumber,0),1,1))),INDEX(FlowCalConstA,MATCH(AD515,FlowCalNumber,0),1,1)*AF524^INDEX(FlowCalConstB,MATCH(AD515,FlowCalNumber,0),1,1)," ")</f>
        <v>#N/A</v>
      </c>
      <c r="AH524" s="33"/>
      <c r="AI524" s="242">
        <f t="shared" si="500"/>
        <v>0.9</v>
      </c>
      <c r="AJ524" s="241" t="e">
        <f t="shared" ca="1" si="501"/>
        <v>#VALUE!</v>
      </c>
      <c r="AK524" s="243" t="e">
        <f ca="1">IF(AND(INDEX(FlowCalConstA,MATCH(AH515,FlowCalNumber,0),1,1)*AJ524^INDEX(FlowCalConstB,MATCH(AH515,FlowCalNumber,0),1,1)&gt;INDEX(FlowCalLowSetting,MATCH(AH515,FlowCalNumber,0),1,1), (INDEX(FlowCalConstA,MATCH(AH515,FlowCalNumber,0),1,1)*AJ524^INDEX(FlowCalConstB,MATCH(AH515,FlowCalNumber,0),1,1)&lt;INDEX(FlowCalHighSetting,MATCH(AH515,FlowCalNumber,0),1,1))),INDEX(FlowCalConstA,MATCH(AH515,FlowCalNumber,0),1,1)*AJ524^INDEX(FlowCalConstB,MATCH(AH515,FlowCalNumber,0),1,1)," ")</f>
        <v>#N/A</v>
      </c>
      <c r="AL524" s="33"/>
      <c r="AM524" s="242"/>
      <c r="AN524" s="241"/>
      <c r="AO524" s="244"/>
      <c r="AQ524" s="242"/>
      <c r="AR524" s="241"/>
      <c r="AS524" s="244"/>
      <c r="AT524" s="33"/>
      <c r="AU524" s="242"/>
      <c r="AV524" s="241"/>
      <c r="AW524" s="244"/>
      <c r="AX524" s="33"/>
      <c r="AY524" s="242"/>
      <c r="AZ524" s="241"/>
      <c r="BA524" s="244"/>
      <c r="BB524" s="33"/>
      <c r="BC524" s="242"/>
      <c r="BD524" s="241"/>
      <c r="BE524" s="244"/>
      <c r="BF524" s="33"/>
      <c r="BG524" s="242"/>
      <c r="BH524" s="241"/>
      <c r="BI524" s="244"/>
      <c r="BJ524" s="33"/>
      <c r="BK524" s="242"/>
      <c r="BL524" s="241"/>
      <c r="BM524" s="244"/>
      <c r="BN524" s="33"/>
      <c r="BO524" s="242"/>
      <c r="BP524" s="241"/>
      <c r="BQ524" s="244"/>
      <c r="BR524" s="33"/>
      <c r="BS524" s="242"/>
      <c r="BT524" s="241"/>
      <c r="BU524" s="244"/>
      <c r="BV524" s="33"/>
      <c r="BW524" s="242"/>
      <c r="BX524" s="241"/>
      <c r="BY524" s="244"/>
      <c r="BZ524" s="33"/>
      <c r="CA524" s="242"/>
      <c r="CB524" s="241"/>
      <c r="CC524" s="244"/>
      <c r="CD524" s="243"/>
      <c r="CE524" s="243"/>
      <c r="CF524" s="243"/>
      <c r="CG524" s="243"/>
      <c r="CH524" s="243"/>
      <c r="CI524" s="243"/>
      <c r="CJ524" s="243"/>
      <c r="CK524" s="243"/>
      <c r="CL524" s="243"/>
      <c r="CM524" s="243"/>
      <c r="CN524" s="243"/>
      <c r="CO524" s="243"/>
      <c r="CP524" s="243"/>
      <c r="CQ524" s="243"/>
      <c r="CR524" s="243"/>
      <c r="CS524" s="243"/>
      <c r="CT524" s="243"/>
      <c r="CU524" s="243"/>
      <c r="CV524" s="243"/>
      <c r="CW524" s="243"/>
      <c r="CX524" s="243"/>
      <c r="CY524" s="243"/>
      <c r="CZ524" s="243"/>
      <c r="DA524" s="243"/>
      <c r="DB524" s="243"/>
      <c r="DC524" s="243"/>
      <c r="DD524" s="243"/>
      <c r="DE524" s="243"/>
      <c r="DF524" s="243"/>
      <c r="DG524" s="243"/>
      <c r="DH524" s="243"/>
      <c r="DI524" s="243"/>
      <c r="DJ524" s="243"/>
      <c r="DK524" s="243"/>
      <c r="DM524" s="242"/>
      <c r="DO524" s="243"/>
      <c r="DQ524" s="242"/>
      <c r="DS524" s="243"/>
      <c r="DU524" s="242"/>
      <c r="DW524" s="243"/>
      <c r="DY524" s="242"/>
      <c r="EA524" s="243"/>
    </row>
    <row r="525" spans="1:131">
      <c r="A525" s="20"/>
      <c r="B525" s="124" t="str">
        <f t="shared" si="486"/>
        <v/>
      </c>
      <c r="C525" s="235"/>
      <c r="D525" s="24">
        <f>'1% Wind'!$M$91</f>
        <v>4.2</v>
      </c>
      <c r="E525" s="90"/>
      <c r="F525" s="90"/>
      <c r="G525" s="79">
        <f ca="1">IF(I515=0.9743,$G524,MAX(G524/D524*D525,2))</f>
        <v>6.001707317073171</v>
      </c>
      <c r="H525" s="121" t="e">
        <f t="shared" ca="1" si="487"/>
        <v>#VALUE!</v>
      </c>
      <c r="J525" s="33"/>
      <c r="K525" s="242">
        <f t="shared" si="488"/>
        <v>1</v>
      </c>
      <c r="L525" s="241" t="e">
        <f t="shared" ca="1" si="489"/>
        <v>#VALUE!</v>
      </c>
      <c r="M525" s="243" t="e">
        <f ca="1">IF(AND(INDEX(FlowCalConstA,MATCH(J515,FlowCalNumber,0),1,1)*L525^INDEX(FlowCalConstB,MATCH(J515,FlowCalNumber,0),1,1)&gt;INDEX(FlowCalLowSetting,MATCH(J515,FlowCalNumber,0),1,1), (INDEX(FlowCalConstA,MATCH(J515,FlowCalNumber,0),1,1)*L525^INDEX(FlowCalConstB,MATCH(J515,FlowCalNumber,0),1,1)&lt;INDEX(FlowCalHighSetting,MATCH(J515,FlowCalNumber,0),1,1))),INDEX(FlowCalConstA,MATCH(J515,FlowCalNumber,0),1,1)*L525^INDEX(FlowCalConstB,MATCH(J515,FlowCalNumber,0),1,1)," ")</f>
        <v>#N/A</v>
      </c>
      <c r="N525" s="33"/>
      <c r="O525" s="242">
        <f t="shared" si="490"/>
        <v>1</v>
      </c>
      <c r="P525" s="241" t="e">
        <f t="shared" ca="1" si="491"/>
        <v>#VALUE!</v>
      </c>
      <c r="Q525" s="243" t="e">
        <f ca="1">IF(AND(INDEX(FlowCalConstA,MATCH(N515,FlowCalNumber,0),1,1)*P525^INDEX(FlowCalConstB,MATCH(N515,FlowCalNumber,0),1,1)&gt;INDEX(FlowCalLowSetting,MATCH(N515,FlowCalNumber,0),1,1), (INDEX(FlowCalConstA,MATCH(N515,FlowCalNumber,0),1,1)*P525^INDEX(FlowCalConstB,MATCH(N515,FlowCalNumber,0),1,1)&lt;INDEX(FlowCalHighSetting,MATCH(N515,FlowCalNumber,0),1,1))),INDEX(FlowCalConstA,MATCH(N515,FlowCalNumber,0),1,1)*P525^INDEX(FlowCalConstB,MATCH(N515,FlowCalNumber,0),1,1)," ")</f>
        <v>#N/A</v>
      </c>
      <c r="R525" s="33"/>
      <c r="S525" s="242">
        <f t="shared" si="492"/>
        <v>1</v>
      </c>
      <c r="T525" s="241" t="e">
        <f t="shared" ca="1" si="493"/>
        <v>#VALUE!</v>
      </c>
      <c r="U525" s="244" t="e">
        <f ca="1">IF(AND(INDEX(FlowCalConstA,MATCH(R515,FlowCalNumber,0),1,1)*T525^INDEX(FlowCalConstB,MATCH(R515,FlowCalNumber,0),1,1)&gt;INDEX(FlowCalLowSetting,MATCH(R515,FlowCalNumber,0),1,1), (INDEX(FlowCalConstA,MATCH(R515,FlowCalNumber,0),1,1)*T525^INDEX(FlowCalConstB,MATCH(R515,FlowCalNumber,0),1,1)&lt;INDEX(FlowCalHighSetting,MATCH(R515,FlowCalNumber,0),1,1))),INDEX(FlowCalConstA,MATCH(R515,FlowCalNumber,0),1,1)*T525^INDEX(FlowCalConstB,MATCH(R515,FlowCalNumber,0),1,1)," ")</f>
        <v>#N/A</v>
      </c>
      <c r="V525" s="33"/>
      <c r="W525" s="242">
        <f t="shared" si="494"/>
        <v>0.1</v>
      </c>
      <c r="X525" s="241" t="e">
        <f t="shared" ca="1" si="495"/>
        <v>#VALUE!</v>
      </c>
      <c r="Y525" s="243" t="e">
        <f ca="1">IF(AND(INDEX(FlowCalConstA,MATCH(V515,FlowCalNumber,0),1,1)*X525^INDEX(FlowCalConstB,MATCH(V515,FlowCalNumber,0),1,1)&gt;INDEX(FlowCalLowSetting,MATCH(V515,FlowCalNumber,0),1,1), (INDEX(FlowCalConstA,MATCH(V515,FlowCalNumber,0),1,1)*X525^INDEX(FlowCalConstB,MATCH(V515,FlowCalNumber,0),1,1)&lt;INDEX(FlowCalHighSetting,MATCH(V515,FlowCalNumber,0),1,1))),INDEX(FlowCalConstA,MATCH(V515,FlowCalNumber,0),1,1)*X525^INDEX(FlowCalConstB,MATCH(V515,FlowCalNumber,0),1,1)," ")</f>
        <v>#N/A</v>
      </c>
      <c r="Z525" s="33"/>
      <c r="AA525" s="242">
        <f t="shared" si="496"/>
        <v>0.9</v>
      </c>
      <c r="AB525" s="241" t="e">
        <f t="shared" ca="1" si="497"/>
        <v>#VALUE!</v>
      </c>
      <c r="AC525" s="243" t="e">
        <f ca="1">IF(AND(INDEX(FlowCalConstA,MATCH(Z515,FlowCalNumber,0),1,1)*AB525^INDEX(FlowCalConstB,MATCH(Z515,FlowCalNumber,0),1,1)&gt;INDEX(FlowCalLowSetting,MATCH(Z515,FlowCalNumber,0),1,1), (INDEX(FlowCalConstA,MATCH(Z515,FlowCalNumber,0),1,1)*AB525^INDEX(FlowCalConstB,MATCH(Z515,FlowCalNumber,0),1,1)&lt;INDEX(FlowCalHighSetting,MATCH(Z515,FlowCalNumber,0),1,1))),INDEX(FlowCalConstA,MATCH(Z515,FlowCalNumber,0),1,1)*AB525^INDEX(FlowCalConstB,MATCH(Z515,FlowCalNumber,0),1,1)," ")</f>
        <v>#N/A</v>
      </c>
      <c r="AD525" s="33"/>
      <c r="AE525" s="242">
        <f t="shared" si="498"/>
        <v>0.1</v>
      </c>
      <c r="AF525" s="241" t="e">
        <f t="shared" ca="1" si="499"/>
        <v>#VALUE!</v>
      </c>
      <c r="AG525" s="243" t="e">
        <f ca="1">IF(AND(INDEX(FlowCalConstA,MATCH(AD515,FlowCalNumber,0),1,1)*AF525^INDEX(FlowCalConstB,MATCH(AD515,FlowCalNumber,0),1,1)&gt;INDEX(FlowCalLowSetting,MATCH(AD515,FlowCalNumber,0),1,1), (INDEX(FlowCalConstA,MATCH(AD515,FlowCalNumber,0),1,1)*AF525^INDEX(FlowCalConstB,MATCH(AD515,FlowCalNumber,0),1,1)&lt;INDEX(FlowCalHighSetting,MATCH(AD515,FlowCalNumber,0),1,1))),INDEX(FlowCalConstA,MATCH(AD515,FlowCalNumber,0),1,1)*AF525^INDEX(FlowCalConstB,MATCH(AD515,FlowCalNumber,0),1,1)," ")</f>
        <v>#N/A</v>
      </c>
      <c r="AH525" s="33"/>
      <c r="AI525" s="242">
        <f t="shared" si="500"/>
        <v>0.9</v>
      </c>
      <c r="AJ525" s="241" t="e">
        <f t="shared" ca="1" si="501"/>
        <v>#VALUE!</v>
      </c>
      <c r="AK525" s="243" t="e">
        <f ca="1">IF(AND(INDEX(FlowCalConstA,MATCH(AH515,FlowCalNumber,0),1,1)*AJ525^INDEX(FlowCalConstB,MATCH(AH515,FlowCalNumber,0),1,1)&gt;INDEX(FlowCalLowSetting,MATCH(AH515,FlowCalNumber,0),1,1), (INDEX(FlowCalConstA,MATCH(AH515,FlowCalNumber,0),1,1)*AJ525^INDEX(FlowCalConstB,MATCH(AH515,FlowCalNumber,0),1,1)&lt;INDEX(FlowCalHighSetting,MATCH(AH515,FlowCalNumber,0),1,1))),INDEX(FlowCalConstA,MATCH(AH515,FlowCalNumber,0),1,1)*AJ525^INDEX(FlowCalConstB,MATCH(AH515,FlowCalNumber,0),1,1)," ")</f>
        <v>#N/A</v>
      </c>
      <c r="AL525" s="33"/>
      <c r="AM525" s="242"/>
      <c r="AN525" s="241"/>
      <c r="AO525" s="244"/>
      <c r="AQ525" s="242"/>
      <c r="AR525" s="241"/>
      <c r="AS525" s="244"/>
      <c r="AT525" s="33"/>
      <c r="AU525" s="242"/>
      <c r="AV525" s="241"/>
      <c r="AW525" s="244"/>
      <c r="AX525" s="33"/>
      <c r="AY525" s="242"/>
      <c r="AZ525" s="241"/>
      <c r="BA525" s="244"/>
      <c r="BB525" s="33"/>
      <c r="BC525" s="242"/>
      <c r="BD525" s="241"/>
      <c r="BE525" s="244"/>
      <c r="BF525" s="33"/>
      <c r="BG525" s="242"/>
      <c r="BH525" s="241"/>
      <c r="BI525" s="244"/>
      <c r="BJ525" s="33"/>
      <c r="BK525" s="242"/>
      <c r="BL525" s="241"/>
      <c r="BM525" s="244"/>
      <c r="BN525" s="33"/>
      <c r="BO525" s="242"/>
      <c r="BP525" s="241"/>
      <c r="BQ525" s="244"/>
      <c r="BR525" s="33"/>
      <c r="BS525" s="242"/>
      <c r="BT525" s="241"/>
      <c r="BU525" s="244"/>
      <c r="BV525" s="33"/>
      <c r="BW525" s="242"/>
      <c r="BX525" s="241"/>
      <c r="BY525" s="244"/>
      <c r="BZ525" s="33"/>
      <c r="CA525" s="242"/>
      <c r="CB525" s="241"/>
      <c r="CC525" s="244"/>
      <c r="CD525" s="243"/>
      <c r="CE525" s="243"/>
      <c r="CF525" s="243"/>
      <c r="CG525" s="243"/>
      <c r="CH525" s="243"/>
      <c r="CI525" s="243"/>
      <c r="CJ525" s="243"/>
      <c r="CK525" s="243"/>
      <c r="CL525" s="243"/>
      <c r="CM525" s="243"/>
      <c r="CN525" s="243"/>
      <c r="CO525" s="243"/>
      <c r="CP525" s="243"/>
      <c r="CQ525" s="243"/>
      <c r="CR525" s="243"/>
      <c r="CS525" s="243"/>
      <c r="CT525" s="243"/>
      <c r="CU525" s="243"/>
      <c r="CV525" s="243"/>
      <c r="CW525" s="243"/>
      <c r="CX525" s="243"/>
      <c r="CY525" s="243"/>
      <c r="CZ525" s="243"/>
      <c r="DA525" s="243"/>
      <c r="DB525" s="243"/>
      <c r="DC525" s="243"/>
      <c r="DD525" s="243"/>
      <c r="DE525" s="243"/>
      <c r="DF525" s="243"/>
      <c r="DG525" s="243"/>
      <c r="DH525" s="243"/>
      <c r="DI525" s="243"/>
      <c r="DJ525" s="243"/>
      <c r="DK525" s="243"/>
      <c r="DM525" s="242"/>
      <c r="DO525" s="243"/>
      <c r="DQ525" s="242"/>
      <c r="DS525" s="243"/>
      <c r="DU525" s="242"/>
      <c r="DW525" s="243"/>
      <c r="DY525" s="242"/>
      <c r="EA525" s="243"/>
    </row>
    <row r="526" spans="1:131">
      <c r="A526" s="20"/>
      <c r="B526" s="124" t="str">
        <f t="shared" si="486"/>
        <v/>
      </c>
      <c r="C526" s="235"/>
      <c r="D526" s="24">
        <f>'1% Wind'!$M$92</f>
        <v>3.2</v>
      </c>
      <c r="E526" s="90"/>
      <c r="F526" s="90"/>
      <c r="G526" s="79">
        <f ca="1">IF(I515=0.9743,$G525,MAX(G525/D525*D526,2))</f>
        <v>6.001707317073171</v>
      </c>
      <c r="H526" s="121" t="e">
        <f t="shared" ca="1" si="487"/>
        <v>#VALUE!</v>
      </c>
      <c r="J526" s="33"/>
      <c r="K526" s="242">
        <f t="shared" si="488"/>
        <v>1</v>
      </c>
      <c r="L526" s="241" t="e">
        <f t="shared" ca="1" si="489"/>
        <v>#VALUE!</v>
      </c>
      <c r="M526" s="243" t="e">
        <f ca="1">IF(AND(INDEX(FlowCalConstA,MATCH(J515,FlowCalNumber,0),1,1)*L526^INDEX(FlowCalConstB,MATCH(J515,FlowCalNumber,0),1,1)&gt;INDEX(FlowCalLowSetting,MATCH(J515,FlowCalNumber,0),1,1), (INDEX(FlowCalConstA,MATCH(J515,FlowCalNumber,0),1,1)*L526^INDEX(FlowCalConstB,MATCH(J515,FlowCalNumber,0),1,1)&lt;INDEX(FlowCalHighSetting,MATCH(J515,FlowCalNumber,0),1,1))),INDEX(FlowCalConstA,MATCH(J515,FlowCalNumber,0),1,1)*L526^INDEX(FlowCalConstB,MATCH(J515,FlowCalNumber,0),1,1)," ")</f>
        <v>#N/A</v>
      </c>
      <c r="N526" s="33"/>
      <c r="O526" s="242">
        <f t="shared" si="490"/>
        <v>1</v>
      </c>
      <c r="P526" s="241" t="e">
        <f t="shared" ca="1" si="491"/>
        <v>#VALUE!</v>
      </c>
      <c r="Q526" s="243" t="e">
        <f ca="1">IF(AND(INDEX(FlowCalConstA,MATCH(N515,FlowCalNumber,0),1,1)*P526^INDEX(FlowCalConstB,MATCH(N515,FlowCalNumber,0),1,1)&gt;INDEX(FlowCalLowSetting,MATCH(N515,FlowCalNumber,0),1,1), (INDEX(FlowCalConstA,MATCH(N515,FlowCalNumber,0),1,1)*P526^INDEX(FlowCalConstB,MATCH(N515,FlowCalNumber,0),1,1)&lt;INDEX(FlowCalHighSetting,MATCH(N515,FlowCalNumber,0),1,1))),INDEX(FlowCalConstA,MATCH(N515,FlowCalNumber,0),1,1)*P526^INDEX(FlowCalConstB,MATCH(N515,FlowCalNumber,0),1,1)," ")</f>
        <v>#N/A</v>
      </c>
      <c r="R526" s="33"/>
      <c r="S526" s="242">
        <f t="shared" si="492"/>
        <v>1</v>
      </c>
      <c r="T526" s="241" t="e">
        <f t="shared" ca="1" si="493"/>
        <v>#VALUE!</v>
      </c>
      <c r="U526" s="244" t="e">
        <f ca="1">IF(AND(INDEX(FlowCalConstA,MATCH(R515,FlowCalNumber,0),1,1)*T526^INDEX(FlowCalConstB,MATCH(R515,FlowCalNumber,0),1,1)&gt;INDEX(FlowCalLowSetting,MATCH(R515,FlowCalNumber,0),1,1), (INDEX(FlowCalConstA,MATCH(R515,FlowCalNumber,0),1,1)*T526^INDEX(FlowCalConstB,MATCH(R515,FlowCalNumber,0),1,1)&lt;INDEX(FlowCalHighSetting,MATCH(R515,FlowCalNumber,0),1,1))),INDEX(FlowCalConstA,MATCH(R515,FlowCalNumber,0),1,1)*T526^INDEX(FlowCalConstB,MATCH(R515,FlowCalNumber,0),1,1)," ")</f>
        <v>#N/A</v>
      </c>
      <c r="V526" s="33"/>
      <c r="W526" s="242">
        <f t="shared" si="494"/>
        <v>0.1</v>
      </c>
      <c r="X526" s="241" t="e">
        <f t="shared" ca="1" si="495"/>
        <v>#VALUE!</v>
      </c>
      <c r="Y526" s="243" t="e">
        <f ca="1">IF(AND(INDEX(FlowCalConstA,MATCH(V515,FlowCalNumber,0),1,1)*X526^INDEX(FlowCalConstB,MATCH(V515,FlowCalNumber,0),1,1)&gt;INDEX(FlowCalLowSetting,MATCH(V515,FlowCalNumber,0),1,1), (INDEX(FlowCalConstA,MATCH(V515,FlowCalNumber,0),1,1)*X526^INDEX(FlowCalConstB,MATCH(V515,FlowCalNumber,0),1,1)&lt;INDEX(FlowCalHighSetting,MATCH(V515,FlowCalNumber,0),1,1))),INDEX(FlowCalConstA,MATCH(V515,FlowCalNumber,0),1,1)*X526^INDEX(FlowCalConstB,MATCH(V515,FlowCalNumber,0),1,1)," ")</f>
        <v>#N/A</v>
      </c>
      <c r="Z526" s="33"/>
      <c r="AA526" s="242">
        <f t="shared" si="496"/>
        <v>0.9</v>
      </c>
      <c r="AB526" s="241" t="e">
        <f t="shared" ca="1" si="497"/>
        <v>#VALUE!</v>
      </c>
      <c r="AC526" s="243" t="e">
        <f ca="1">IF(AND(INDEX(FlowCalConstA,MATCH(Z515,FlowCalNumber,0),1,1)*AB526^INDEX(FlowCalConstB,MATCH(Z515,FlowCalNumber,0),1,1)&gt;INDEX(FlowCalLowSetting,MATCH(Z515,FlowCalNumber,0),1,1), (INDEX(FlowCalConstA,MATCH(Z515,FlowCalNumber,0),1,1)*AB526^INDEX(FlowCalConstB,MATCH(Z515,FlowCalNumber,0),1,1)&lt;INDEX(FlowCalHighSetting,MATCH(Z515,FlowCalNumber,0),1,1))),INDEX(FlowCalConstA,MATCH(Z515,FlowCalNumber,0),1,1)*AB526^INDEX(FlowCalConstB,MATCH(Z515,FlowCalNumber,0),1,1)," ")</f>
        <v>#N/A</v>
      </c>
      <c r="AD526" s="33"/>
      <c r="AE526" s="242">
        <f t="shared" si="498"/>
        <v>0.1</v>
      </c>
      <c r="AF526" s="241" t="e">
        <f t="shared" ca="1" si="499"/>
        <v>#VALUE!</v>
      </c>
      <c r="AG526" s="243" t="e">
        <f ca="1">IF(AND(INDEX(FlowCalConstA,MATCH(AD515,FlowCalNumber,0),1,1)*AF526^INDEX(FlowCalConstB,MATCH(AD515,FlowCalNumber,0),1,1)&gt;INDEX(FlowCalLowSetting,MATCH(AD515,FlowCalNumber,0),1,1), (INDEX(FlowCalConstA,MATCH(AD515,FlowCalNumber,0),1,1)*AF526^INDEX(FlowCalConstB,MATCH(AD515,FlowCalNumber,0),1,1)&lt;INDEX(FlowCalHighSetting,MATCH(AD515,FlowCalNumber,0),1,1))),INDEX(FlowCalConstA,MATCH(AD515,FlowCalNumber,0),1,1)*AF526^INDEX(FlowCalConstB,MATCH(AD515,FlowCalNumber,0),1,1)," ")</f>
        <v>#N/A</v>
      </c>
      <c r="AH526" s="33"/>
      <c r="AI526" s="242">
        <f t="shared" si="500"/>
        <v>0.9</v>
      </c>
      <c r="AJ526" s="241" t="e">
        <f t="shared" ca="1" si="501"/>
        <v>#VALUE!</v>
      </c>
      <c r="AK526" s="243" t="e">
        <f ca="1">IF(AND(INDEX(FlowCalConstA,MATCH(AH515,FlowCalNumber,0),1,1)*AJ526^INDEX(FlowCalConstB,MATCH(AH515,FlowCalNumber,0),1,1)&gt;INDEX(FlowCalLowSetting,MATCH(AH515,FlowCalNumber,0),1,1), (INDEX(FlowCalConstA,MATCH(AH515,FlowCalNumber,0),1,1)*AJ526^INDEX(FlowCalConstB,MATCH(AH515,FlowCalNumber,0),1,1)&lt;INDEX(FlowCalHighSetting,MATCH(AH515,FlowCalNumber,0),1,1))),INDEX(FlowCalConstA,MATCH(AH515,FlowCalNumber,0),1,1)*AJ526^INDEX(FlowCalConstB,MATCH(AH515,FlowCalNumber,0),1,1)," ")</f>
        <v>#N/A</v>
      </c>
      <c r="AL526" s="33"/>
      <c r="AM526" s="242"/>
      <c r="AN526" s="241"/>
      <c r="AO526" s="244"/>
      <c r="AQ526" s="242"/>
      <c r="AR526" s="241"/>
      <c r="AS526" s="244"/>
      <c r="AT526" s="33"/>
      <c r="AU526" s="242"/>
      <c r="AV526" s="241"/>
      <c r="AW526" s="244"/>
      <c r="AX526" s="33"/>
      <c r="AY526" s="242"/>
      <c r="AZ526" s="241"/>
      <c r="BA526" s="244"/>
      <c r="BB526" s="33"/>
      <c r="BC526" s="242"/>
      <c r="BD526" s="241"/>
      <c r="BE526" s="244"/>
      <c r="BF526" s="33"/>
      <c r="BG526" s="242"/>
      <c r="BH526" s="241"/>
      <c r="BI526" s="244"/>
      <c r="BJ526" s="33"/>
      <c r="BK526" s="242"/>
      <c r="BL526" s="241"/>
      <c r="BM526" s="244"/>
      <c r="BN526" s="33"/>
      <c r="BO526" s="242"/>
      <c r="BP526" s="241"/>
      <c r="BQ526" s="244"/>
      <c r="BR526" s="33"/>
      <c r="BS526" s="242"/>
      <c r="BT526" s="241"/>
      <c r="BU526" s="244"/>
      <c r="BV526" s="33"/>
      <c r="BW526" s="242"/>
      <c r="BX526" s="241"/>
      <c r="BY526" s="244"/>
      <c r="BZ526" s="33"/>
      <c r="CA526" s="242"/>
      <c r="CB526" s="241"/>
      <c r="CC526" s="244"/>
      <c r="CD526" s="243"/>
      <c r="CE526" s="243"/>
      <c r="CF526" s="243"/>
      <c r="CG526" s="243"/>
      <c r="CH526" s="243"/>
      <c r="CI526" s="243"/>
      <c r="CJ526" s="243"/>
      <c r="CK526" s="243"/>
      <c r="CL526" s="243"/>
      <c r="CM526" s="243"/>
      <c r="CN526" s="243"/>
      <c r="CO526" s="243"/>
      <c r="CP526" s="243"/>
      <c r="CQ526" s="243"/>
      <c r="CR526" s="243"/>
      <c r="CS526" s="243"/>
      <c r="CT526" s="243"/>
      <c r="CU526" s="243"/>
      <c r="CV526" s="243"/>
      <c r="CW526" s="243"/>
      <c r="CX526" s="243"/>
      <c r="CY526" s="243"/>
      <c r="CZ526" s="243"/>
      <c r="DA526" s="243"/>
      <c r="DB526" s="243"/>
      <c r="DC526" s="243"/>
      <c r="DD526" s="243"/>
      <c r="DE526" s="243"/>
      <c r="DF526" s="243"/>
      <c r="DG526" s="243"/>
      <c r="DH526" s="243"/>
      <c r="DI526" s="243"/>
      <c r="DJ526" s="243"/>
      <c r="DK526" s="243"/>
      <c r="DM526" s="242"/>
      <c r="DO526" s="243"/>
      <c r="DQ526" s="242"/>
      <c r="DS526" s="243"/>
      <c r="DU526" s="242"/>
      <c r="DW526" s="243"/>
      <c r="DY526" s="242"/>
      <c r="EA526" s="243"/>
    </row>
    <row r="527" spans="1:131">
      <c r="A527" s="20"/>
      <c r="B527" s="124" t="str">
        <f t="shared" si="486"/>
        <v/>
      </c>
      <c r="C527" s="235"/>
      <c r="D527" s="24">
        <f>'1% Wind'!$M$93</f>
        <v>2.4</v>
      </c>
      <c r="E527" s="90"/>
      <c r="F527" s="90"/>
      <c r="G527" s="79">
        <f ca="1">IF(I515=0.9743,$G526,MAX(G526/D526*D527,2))</f>
        <v>6.001707317073171</v>
      </c>
      <c r="H527" s="121" t="e">
        <f t="shared" ca="1" si="487"/>
        <v>#VALUE!</v>
      </c>
      <c r="J527" s="33"/>
      <c r="K527" s="242">
        <f t="shared" si="488"/>
        <v>1</v>
      </c>
      <c r="L527" s="241" t="e">
        <f t="shared" ca="1" si="489"/>
        <v>#VALUE!</v>
      </c>
      <c r="M527" s="243" t="e">
        <f ca="1">IF(AND(INDEX(FlowCalConstA,MATCH(J515,FlowCalNumber,0),1,1)*L527^INDEX(FlowCalConstB,MATCH(J515,FlowCalNumber,0),1,1)&gt;INDEX(FlowCalLowSetting,MATCH(J515,FlowCalNumber,0),1,1), (INDEX(FlowCalConstA,MATCH(J515,FlowCalNumber,0),1,1)*L527^INDEX(FlowCalConstB,MATCH(J515,FlowCalNumber,0),1,1)&lt;INDEX(FlowCalHighSetting,MATCH(J515,FlowCalNumber,0),1,1))),INDEX(FlowCalConstA,MATCH(J515,FlowCalNumber,0),1,1)*L527^INDEX(FlowCalConstB,MATCH(J515,FlowCalNumber,0),1,1)," ")</f>
        <v>#N/A</v>
      </c>
      <c r="N527" s="33"/>
      <c r="O527" s="242">
        <f t="shared" si="490"/>
        <v>1</v>
      </c>
      <c r="P527" s="241" t="e">
        <f t="shared" ca="1" si="491"/>
        <v>#VALUE!</v>
      </c>
      <c r="Q527" s="243" t="e">
        <f ca="1">IF(AND(INDEX(FlowCalConstA,MATCH(N515,FlowCalNumber,0),1,1)*P527^INDEX(FlowCalConstB,MATCH(N515,FlowCalNumber,0),1,1)&gt;INDEX(FlowCalLowSetting,MATCH(N515,FlowCalNumber,0),1,1), (INDEX(FlowCalConstA,MATCH(N515,FlowCalNumber,0),1,1)*P527^INDEX(FlowCalConstB,MATCH(N515,FlowCalNumber,0),1,1)&lt;INDEX(FlowCalHighSetting,MATCH(N515,FlowCalNumber,0),1,1))),INDEX(FlowCalConstA,MATCH(N515,FlowCalNumber,0),1,1)*P527^INDEX(FlowCalConstB,MATCH(N515,FlowCalNumber,0),1,1)," ")</f>
        <v>#N/A</v>
      </c>
      <c r="R527" s="33"/>
      <c r="S527" s="242">
        <f t="shared" si="492"/>
        <v>1</v>
      </c>
      <c r="T527" s="241" t="e">
        <f t="shared" ca="1" si="493"/>
        <v>#VALUE!</v>
      </c>
      <c r="U527" s="244" t="e">
        <f ca="1">IF(AND(INDEX(FlowCalConstA,MATCH(R515,FlowCalNumber,0),1,1)*T527^INDEX(FlowCalConstB,MATCH(R515,FlowCalNumber,0),1,1)&gt;INDEX(FlowCalLowSetting,MATCH(R515,FlowCalNumber,0),1,1), (INDEX(FlowCalConstA,MATCH(R515,FlowCalNumber,0),1,1)*T527^INDEX(FlowCalConstB,MATCH(R515,FlowCalNumber,0),1,1)&lt;INDEX(FlowCalHighSetting,MATCH(R515,FlowCalNumber,0),1,1))),INDEX(FlowCalConstA,MATCH(R515,FlowCalNumber,0),1,1)*T527^INDEX(FlowCalConstB,MATCH(R515,FlowCalNumber,0),1,1)," ")</f>
        <v>#N/A</v>
      </c>
      <c r="V527" s="33"/>
      <c r="W527" s="242">
        <f t="shared" si="494"/>
        <v>0.1</v>
      </c>
      <c r="X527" s="241" t="e">
        <f t="shared" ca="1" si="495"/>
        <v>#VALUE!</v>
      </c>
      <c r="Y527" s="243" t="e">
        <f ca="1">IF(AND(INDEX(FlowCalConstA,MATCH(V515,FlowCalNumber,0),1,1)*X527^INDEX(FlowCalConstB,MATCH(V515,FlowCalNumber,0),1,1)&gt;INDEX(FlowCalLowSetting,MATCH(V515,FlowCalNumber,0),1,1), (INDEX(FlowCalConstA,MATCH(V515,FlowCalNumber,0),1,1)*X527^INDEX(FlowCalConstB,MATCH(V515,FlowCalNumber,0),1,1)&lt;INDEX(FlowCalHighSetting,MATCH(V515,FlowCalNumber,0),1,1))),INDEX(FlowCalConstA,MATCH(V515,FlowCalNumber,0),1,1)*X527^INDEX(FlowCalConstB,MATCH(V515,FlowCalNumber,0),1,1)," ")</f>
        <v>#N/A</v>
      </c>
      <c r="Z527" s="33"/>
      <c r="AA527" s="242">
        <f t="shared" si="496"/>
        <v>0.9</v>
      </c>
      <c r="AB527" s="241" t="e">
        <f t="shared" ca="1" si="497"/>
        <v>#VALUE!</v>
      </c>
      <c r="AC527" s="243" t="e">
        <f ca="1">IF(AND(INDEX(FlowCalConstA,MATCH(Z515,FlowCalNumber,0),1,1)*AB527^INDEX(FlowCalConstB,MATCH(Z515,FlowCalNumber,0),1,1)&gt;INDEX(FlowCalLowSetting,MATCH(Z515,FlowCalNumber,0),1,1), (INDEX(FlowCalConstA,MATCH(Z515,FlowCalNumber,0),1,1)*AB527^INDEX(FlowCalConstB,MATCH(Z515,FlowCalNumber,0),1,1)&lt;INDEX(FlowCalHighSetting,MATCH(Z515,FlowCalNumber,0),1,1))),INDEX(FlowCalConstA,MATCH(Z515,FlowCalNumber,0),1,1)*AB527^INDEX(FlowCalConstB,MATCH(Z515,FlowCalNumber,0),1,1)," ")</f>
        <v>#N/A</v>
      </c>
      <c r="AD527" s="33"/>
      <c r="AE527" s="242">
        <f t="shared" si="498"/>
        <v>0.1</v>
      </c>
      <c r="AF527" s="241" t="e">
        <f t="shared" ca="1" si="499"/>
        <v>#VALUE!</v>
      </c>
      <c r="AG527" s="243" t="e">
        <f ca="1">IF(AND(INDEX(FlowCalConstA,MATCH(AD515,FlowCalNumber,0),1,1)*AF527^INDEX(FlowCalConstB,MATCH(AD515,FlowCalNumber,0),1,1)&gt;INDEX(FlowCalLowSetting,MATCH(AD515,FlowCalNumber,0),1,1), (INDEX(FlowCalConstA,MATCH(AD515,FlowCalNumber,0),1,1)*AF527^INDEX(FlowCalConstB,MATCH(AD515,FlowCalNumber,0),1,1)&lt;INDEX(FlowCalHighSetting,MATCH(AD515,FlowCalNumber,0),1,1))),INDEX(FlowCalConstA,MATCH(AD515,FlowCalNumber,0),1,1)*AF527^INDEX(FlowCalConstB,MATCH(AD515,FlowCalNumber,0),1,1)," ")</f>
        <v>#N/A</v>
      </c>
      <c r="AH527" s="33"/>
      <c r="AI527" s="242">
        <f t="shared" si="500"/>
        <v>0.9</v>
      </c>
      <c r="AJ527" s="241" t="e">
        <f t="shared" ca="1" si="501"/>
        <v>#VALUE!</v>
      </c>
      <c r="AK527" s="243" t="e">
        <f ca="1">IF(AND(INDEX(FlowCalConstA,MATCH(AH515,FlowCalNumber,0),1,1)*AJ527^INDEX(FlowCalConstB,MATCH(AH515,FlowCalNumber,0),1,1)&gt;INDEX(FlowCalLowSetting,MATCH(AH515,FlowCalNumber,0),1,1), (INDEX(FlowCalConstA,MATCH(AH515,FlowCalNumber,0),1,1)*AJ527^INDEX(FlowCalConstB,MATCH(AH515,FlowCalNumber,0),1,1)&lt;INDEX(FlowCalHighSetting,MATCH(AH515,FlowCalNumber,0),1,1))),INDEX(FlowCalConstA,MATCH(AH515,FlowCalNumber,0),1,1)*AJ527^INDEX(FlowCalConstB,MATCH(AH515,FlowCalNumber,0),1,1)," ")</f>
        <v>#N/A</v>
      </c>
      <c r="AL527" s="33"/>
      <c r="AM527" s="242"/>
      <c r="AN527" s="241"/>
      <c r="AO527" s="244"/>
      <c r="AQ527" s="242"/>
      <c r="AR527" s="241"/>
      <c r="AS527" s="244"/>
      <c r="AT527" s="33"/>
      <c r="AU527" s="242"/>
      <c r="AV527" s="241"/>
      <c r="AW527" s="244"/>
      <c r="AX527" s="33"/>
      <c r="AY527" s="242"/>
      <c r="AZ527" s="241"/>
      <c r="BA527" s="244"/>
      <c r="BB527" s="33"/>
      <c r="BC527" s="242"/>
      <c r="BD527" s="241"/>
      <c r="BE527" s="244"/>
      <c r="BF527" s="33"/>
      <c r="BG527" s="242"/>
      <c r="BH527" s="241"/>
      <c r="BI527" s="244"/>
      <c r="BJ527" s="33"/>
      <c r="BK527" s="242"/>
      <c r="BL527" s="241"/>
      <c r="BM527" s="244"/>
      <c r="BN527" s="33"/>
      <c r="BO527" s="242"/>
      <c r="BP527" s="241"/>
      <c r="BQ527" s="244"/>
      <c r="BR527" s="33"/>
      <c r="BS527" s="242"/>
      <c r="BT527" s="241"/>
      <c r="BU527" s="244"/>
      <c r="BV527" s="33"/>
      <c r="BW527" s="242"/>
      <c r="BX527" s="241"/>
      <c r="BY527" s="244"/>
      <c r="BZ527" s="33"/>
      <c r="CA527" s="242"/>
      <c r="CB527" s="241"/>
      <c r="CC527" s="244"/>
      <c r="CD527" s="243"/>
      <c r="CE527" s="243"/>
      <c r="CF527" s="243"/>
      <c r="CG527" s="243"/>
      <c r="CH527" s="243"/>
      <c r="CI527" s="243"/>
      <c r="CJ527" s="243"/>
      <c r="CK527" s="243"/>
      <c r="CL527" s="243"/>
      <c r="CM527" s="243"/>
      <c r="CN527" s="243"/>
      <c r="CO527" s="243"/>
      <c r="CP527" s="243"/>
      <c r="CQ527" s="243"/>
      <c r="CR527" s="243"/>
      <c r="CS527" s="243"/>
      <c r="CT527" s="243"/>
      <c r="CU527" s="243"/>
      <c r="CV527" s="243"/>
      <c r="CW527" s="243"/>
      <c r="CX527" s="243"/>
      <c r="CY527" s="243"/>
      <c r="CZ527" s="243"/>
      <c r="DA527" s="243"/>
      <c r="DB527" s="243"/>
      <c r="DC527" s="243"/>
      <c r="DD527" s="243"/>
      <c r="DE527" s="243"/>
      <c r="DF527" s="243"/>
      <c r="DG527" s="243"/>
      <c r="DH527" s="243"/>
      <c r="DI527" s="243"/>
      <c r="DJ527" s="243"/>
      <c r="DK527" s="243"/>
      <c r="DM527" s="242"/>
      <c r="DO527" s="243"/>
      <c r="DQ527" s="242"/>
      <c r="DS527" s="243"/>
      <c r="DU527" s="242"/>
      <c r="DW527" s="243"/>
      <c r="DY527" s="242"/>
      <c r="EA527" s="243"/>
    </row>
    <row r="528" spans="1:131">
      <c r="A528" s="20"/>
      <c r="B528" s="124" t="str">
        <f t="shared" si="486"/>
        <v/>
      </c>
      <c r="C528" s="235"/>
      <c r="D528" s="24">
        <f>'1% Wind'!$M$94</f>
        <v>1.8</v>
      </c>
      <c r="E528" s="90"/>
      <c r="F528" s="90"/>
      <c r="G528" s="79">
        <f ca="1">IF(I515=0.9743,$G527,MAX(G527/D527*D528,2))</f>
        <v>6.001707317073171</v>
      </c>
      <c r="H528" s="121" t="e">
        <f t="shared" ca="1" si="487"/>
        <v>#VALUE!</v>
      </c>
      <c r="J528" s="33"/>
      <c r="K528" s="242">
        <f t="shared" si="488"/>
        <v>1</v>
      </c>
      <c r="L528" s="241" t="e">
        <f t="shared" ca="1" si="489"/>
        <v>#VALUE!</v>
      </c>
      <c r="M528" s="243" t="e">
        <f ca="1">IF(AND(INDEX(FlowCalConstA,MATCH(J515,FlowCalNumber,0),1,1)*L528^INDEX(FlowCalConstB,MATCH(J515,FlowCalNumber,0),1,1)&gt;INDEX(FlowCalLowSetting,MATCH(J515,FlowCalNumber,0),1,1), (INDEX(FlowCalConstA,MATCH(J515,FlowCalNumber,0),1,1)*L528^INDEX(FlowCalConstB,MATCH(J515,FlowCalNumber,0),1,1)&lt;INDEX(FlowCalHighSetting,MATCH(J515,FlowCalNumber,0),1,1))),INDEX(FlowCalConstA,MATCH(J515,FlowCalNumber,0),1,1)*L528^INDEX(FlowCalConstB,MATCH(J515,FlowCalNumber,0),1,1)," ")</f>
        <v>#N/A</v>
      </c>
      <c r="N528" s="33"/>
      <c r="O528" s="242">
        <f t="shared" si="490"/>
        <v>1</v>
      </c>
      <c r="P528" s="241" t="e">
        <f t="shared" ca="1" si="491"/>
        <v>#VALUE!</v>
      </c>
      <c r="Q528" s="243" t="e">
        <f ca="1">IF(AND(INDEX(FlowCalConstA,MATCH(N515,FlowCalNumber,0),1,1)*P528^INDEX(FlowCalConstB,MATCH(N515,FlowCalNumber,0),1,1)&gt;INDEX(FlowCalLowSetting,MATCH(N515,FlowCalNumber,0),1,1), (INDEX(FlowCalConstA,MATCH(N515,FlowCalNumber,0),1,1)*P528^INDEX(FlowCalConstB,MATCH(N515,FlowCalNumber,0),1,1)&lt;INDEX(FlowCalHighSetting,MATCH(N515,FlowCalNumber,0),1,1))),INDEX(FlowCalConstA,MATCH(N515,FlowCalNumber,0),1,1)*P528^INDEX(FlowCalConstB,MATCH(N515,FlowCalNumber,0),1,1)," ")</f>
        <v>#N/A</v>
      </c>
      <c r="R528" s="33"/>
      <c r="S528" s="242">
        <f t="shared" si="492"/>
        <v>1</v>
      </c>
      <c r="T528" s="241" t="e">
        <f t="shared" ca="1" si="493"/>
        <v>#VALUE!</v>
      </c>
      <c r="U528" s="244" t="e">
        <f ca="1">IF(AND(INDEX(FlowCalConstA,MATCH(R515,FlowCalNumber,0),1,1)*T528^INDEX(FlowCalConstB,MATCH(R515,FlowCalNumber,0),1,1)&gt;INDEX(FlowCalLowSetting,MATCH(R515,FlowCalNumber,0),1,1), (INDEX(FlowCalConstA,MATCH(R515,FlowCalNumber,0),1,1)*T528^INDEX(FlowCalConstB,MATCH(R515,FlowCalNumber,0),1,1)&lt;INDEX(FlowCalHighSetting,MATCH(R515,FlowCalNumber,0),1,1))),INDEX(FlowCalConstA,MATCH(R515,FlowCalNumber,0),1,1)*T528^INDEX(FlowCalConstB,MATCH(R515,FlowCalNumber,0),1,1)," ")</f>
        <v>#N/A</v>
      </c>
      <c r="V528" s="33"/>
      <c r="W528" s="242">
        <f t="shared" si="494"/>
        <v>0.1</v>
      </c>
      <c r="X528" s="241" t="e">
        <f t="shared" ca="1" si="495"/>
        <v>#VALUE!</v>
      </c>
      <c r="Y528" s="243" t="e">
        <f ca="1">IF(AND(INDEX(FlowCalConstA,MATCH(V515,FlowCalNumber,0),1,1)*X528^INDEX(FlowCalConstB,MATCH(V515,FlowCalNumber,0),1,1)&gt;INDEX(FlowCalLowSetting,MATCH(V515,FlowCalNumber,0),1,1), (INDEX(FlowCalConstA,MATCH(V515,FlowCalNumber,0),1,1)*X528^INDEX(FlowCalConstB,MATCH(V515,FlowCalNumber,0),1,1)&lt;INDEX(FlowCalHighSetting,MATCH(V515,FlowCalNumber,0),1,1))),INDEX(FlowCalConstA,MATCH(V515,FlowCalNumber,0),1,1)*X528^INDEX(FlowCalConstB,MATCH(V515,FlowCalNumber,0),1,1)," ")</f>
        <v>#N/A</v>
      </c>
      <c r="Z528" s="33"/>
      <c r="AA528" s="242">
        <f t="shared" si="496"/>
        <v>0.9</v>
      </c>
      <c r="AB528" s="241" t="e">
        <f t="shared" ca="1" si="497"/>
        <v>#VALUE!</v>
      </c>
      <c r="AC528" s="243" t="e">
        <f ca="1">IF(AND(INDEX(FlowCalConstA,MATCH(Z515,FlowCalNumber,0),1,1)*AB528^INDEX(FlowCalConstB,MATCH(Z515,FlowCalNumber,0),1,1)&gt;INDEX(FlowCalLowSetting,MATCH(Z515,FlowCalNumber,0),1,1), (INDEX(FlowCalConstA,MATCH(Z515,FlowCalNumber,0),1,1)*AB528^INDEX(FlowCalConstB,MATCH(Z515,FlowCalNumber,0),1,1)&lt;INDEX(FlowCalHighSetting,MATCH(Z515,FlowCalNumber,0),1,1))),INDEX(FlowCalConstA,MATCH(Z515,FlowCalNumber,0),1,1)*AB528^INDEX(FlowCalConstB,MATCH(Z515,FlowCalNumber,0),1,1)," ")</f>
        <v>#N/A</v>
      </c>
      <c r="AD528" s="33"/>
      <c r="AE528" s="242">
        <f t="shared" si="498"/>
        <v>0.1</v>
      </c>
      <c r="AF528" s="241" t="e">
        <f t="shared" ca="1" si="499"/>
        <v>#VALUE!</v>
      </c>
      <c r="AG528" s="243" t="e">
        <f ca="1">IF(AND(INDEX(FlowCalConstA,MATCH(AD515,FlowCalNumber,0),1,1)*AF528^INDEX(FlowCalConstB,MATCH(AD515,FlowCalNumber,0),1,1)&gt;INDEX(FlowCalLowSetting,MATCH(AD515,FlowCalNumber,0),1,1), (INDEX(FlowCalConstA,MATCH(AD515,FlowCalNumber,0),1,1)*AF528^INDEX(FlowCalConstB,MATCH(AD515,FlowCalNumber,0),1,1)&lt;INDEX(FlowCalHighSetting,MATCH(AD515,FlowCalNumber,0),1,1))),INDEX(FlowCalConstA,MATCH(AD515,FlowCalNumber,0),1,1)*AF528^INDEX(FlowCalConstB,MATCH(AD515,FlowCalNumber,0),1,1)," ")</f>
        <v>#N/A</v>
      </c>
      <c r="AH528" s="33"/>
      <c r="AI528" s="242">
        <f t="shared" si="500"/>
        <v>0.9</v>
      </c>
      <c r="AJ528" s="241" t="e">
        <f t="shared" ca="1" si="501"/>
        <v>#VALUE!</v>
      </c>
      <c r="AK528" s="243" t="e">
        <f ca="1">IF(AND(INDEX(FlowCalConstA,MATCH(AH515,FlowCalNumber,0),1,1)*AJ528^INDEX(FlowCalConstB,MATCH(AH515,FlowCalNumber,0),1,1)&gt;INDEX(FlowCalLowSetting,MATCH(AH515,FlowCalNumber,0),1,1), (INDEX(FlowCalConstA,MATCH(AH515,FlowCalNumber,0),1,1)*AJ528^INDEX(FlowCalConstB,MATCH(AH515,FlowCalNumber,0),1,1)&lt;INDEX(FlowCalHighSetting,MATCH(AH515,FlowCalNumber,0),1,1))),INDEX(FlowCalConstA,MATCH(AH515,FlowCalNumber,0),1,1)*AJ528^INDEX(FlowCalConstB,MATCH(AH515,FlowCalNumber,0),1,1)," ")</f>
        <v>#N/A</v>
      </c>
      <c r="AL528" s="33"/>
      <c r="AM528" s="242"/>
      <c r="AN528" s="241"/>
      <c r="AO528" s="244"/>
      <c r="AQ528" s="242"/>
      <c r="AR528" s="241"/>
      <c r="AS528" s="244"/>
      <c r="AT528" s="33"/>
      <c r="AU528" s="242"/>
      <c r="AV528" s="241"/>
      <c r="AW528" s="244"/>
      <c r="AX528" s="33"/>
      <c r="AY528" s="242"/>
      <c r="AZ528" s="241"/>
      <c r="BA528" s="244"/>
      <c r="BB528" s="33"/>
      <c r="BC528" s="242"/>
      <c r="BD528" s="241"/>
      <c r="BE528" s="244"/>
      <c r="BF528" s="33"/>
      <c r="BG528" s="242"/>
      <c r="BH528" s="241"/>
      <c r="BI528" s="244"/>
      <c r="BJ528" s="33"/>
      <c r="BK528" s="242"/>
      <c r="BL528" s="241"/>
      <c r="BM528" s="244"/>
      <c r="BN528" s="33"/>
      <c r="BO528" s="242"/>
      <c r="BP528" s="241"/>
      <c r="BQ528" s="244"/>
      <c r="BR528" s="33"/>
      <c r="BS528" s="242"/>
      <c r="BT528" s="241"/>
      <c r="BU528" s="244"/>
      <c r="BV528" s="33"/>
      <c r="BW528" s="242"/>
      <c r="BX528" s="241"/>
      <c r="BY528" s="244"/>
      <c r="BZ528" s="33"/>
      <c r="CA528" s="242"/>
      <c r="CB528" s="241"/>
      <c r="CC528" s="244"/>
      <c r="CD528" s="243"/>
      <c r="CE528" s="243"/>
      <c r="CF528" s="243"/>
      <c r="CG528" s="243"/>
      <c r="CH528" s="243"/>
      <c r="CI528" s="243"/>
      <c r="CJ528" s="243"/>
      <c r="CK528" s="243"/>
      <c r="CL528" s="243"/>
      <c r="CM528" s="243"/>
      <c r="CN528" s="243"/>
      <c r="CO528" s="243"/>
      <c r="CP528" s="243"/>
      <c r="CQ528" s="243"/>
      <c r="CR528" s="243"/>
      <c r="CS528" s="243"/>
      <c r="CT528" s="243"/>
      <c r="CU528" s="243"/>
      <c r="CV528" s="243"/>
      <c r="CW528" s="243"/>
      <c r="CX528" s="243"/>
      <c r="CY528" s="243"/>
      <c r="CZ528" s="243"/>
      <c r="DA528" s="243"/>
      <c r="DB528" s="243"/>
      <c r="DC528" s="243"/>
      <c r="DD528" s="243"/>
      <c r="DE528" s="243"/>
      <c r="DF528" s="243"/>
      <c r="DG528" s="243"/>
      <c r="DH528" s="243"/>
      <c r="DI528" s="243"/>
      <c r="DJ528" s="243"/>
      <c r="DK528" s="243"/>
      <c r="DM528" s="242"/>
      <c r="DO528" s="243"/>
      <c r="DQ528" s="242"/>
      <c r="DS528" s="243"/>
      <c r="DU528" s="242"/>
      <c r="DW528" s="243"/>
      <c r="DY528" s="242"/>
      <c r="EA528" s="243"/>
    </row>
    <row r="529" spans="1:131">
      <c r="A529" s="20"/>
      <c r="B529" s="124" t="str">
        <f t="shared" si="486"/>
        <v/>
      </c>
      <c r="C529" s="235"/>
      <c r="D529" s="24">
        <f>'1% Wind'!$M$95</f>
        <v>1.3</v>
      </c>
      <c r="E529" s="90"/>
      <c r="F529" s="90"/>
      <c r="G529" s="79">
        <f ca="1">IF(I515=0.9743,$G528,MAX(G528/D528*D529,2))</f>
        <v>6.001707317073171</v>
      </c>
      <c r="H529" s="121" t="e">
        <f t="shared" ca="1" si="487"/>
        <v>#VALUE!</v>
      </c>
      <c r="J529" s="33"/>
      <c r="K529" s="242">
        <f t="shared" si="488"/>
        <v>1</v>
      </c>
      <c r="L529" s="241" t="e">
        <f t="shared" ca="1" si="489"/>
        <v>#VALUE!</v>
      </c>
      <c r="M529" s="243" t="e">
        <f ca="1">IF(AND(INDEX(FlowCalConstA,MATCH(J515,FlowCalNumber,0),1,1)*L529^INDEX(FlowCalConstB,MATCH(J515,FlowCalNumber,0),1,1)&gt;INDEX(FlowCalLowSetting,MATCH(J515,FlowCalNumber,0),1,1), (INDEX(FlowCalConstA,MATCH(J515,FlowCalNumber,0),1,1)*L529^INDEX(FlowCalConstB,MATCH(J515,FlowCalNumber,0),1,1)&lt;INDEX(FlowCalHighSetting,MATCH(J515,FlowCalNumber,0),1,1))),INDEX(FlowCalConstA,MATCH(J515,FlowCalNumber,0),1,1)*L529^INDEX(FlowCalConstB,MATCH(J515,FlowCalNumber,0),1,1)," ")</f>
        <v>#N/A</v>
      </c>
      <c r="N529" s="33"/>
      <c r="O529" s="242">
        <f t="shared" si="490"/>
        <v>1</v>
      </c>
      <c r="P529" s="241" t="e">
        <f t="shared" ca="1" si="491"/>
        <v>#VALUE!</v>
      </c>
      <c r="Q529" s="243" t="e">
        <f ca="1">IF(AND(INDEX(FlowCalConstA,MATCH(N515,FlowCalNumber,0),1,1)*P529^INDEX(FlowCalConstB,MATCH(N515,FlowCalNumber,0),1,1)&gt;INDEX(FlowCalLowSetting,MATCH(N515,FlowCalNumber,0),1,1), (INDEX(FlowCalConstA,MATCH(N515,FlowCalNumber,0),1,1)*P529^INDEX(FlowCalConstB,MATCH(N515,FlowCalNumber,0),1,1)&lt;INDEX(FlowCalHighSetting,MATCH(N515,FlowCalNumber,0),1,1))),INDEX(FlowCalConstA,MATCH(N515,FlowCalNumber,0),1,1)*P529^INDEX(FlowCalConstB,MATCH(N515,FlowCalNumber,0),1,1)," ")</f>
        <v>#N/A</v>
      </c>
      <c r="R529" s="33"/>
      <c r="S529" s="242">
        <f t="shared" si="492"/>
        <v>1</v>
      </c>
      <c r="T529" s="241" t="e">
        <f t="shared" ca="1" si="493"/>
        <v>#VALUE!</v>
      </c>
      <c r="U529" s="244" t="e">
        <f ca="1">IF(AND(INDEX(FlowCalConstA,MATCH(R515,FlowCalNumber,0),1,1)*T529^INDEX(FlowCalConstB,MATCH(R515,FlowCalNumber,0),1,1)&gt;INDEX(FlowCalLowSetting,MATCH(R515,FlowCalNumber,0),1,1), (INDEX(FlowCalConstA,MATCH(R515,FlowCalNumber,0),1,1)*T529^INDEX(FlowCalConstB,MATCH(R515,FlowCalNumber,0),1,1)&lt;INDEX(FlowCalHighSetting,MATCH(R515,FlowCalNumber,0),1,1))),INDEX(FlowCalConstA,MATCH(R515,FlowCalNumber,0),1,1)*T529^INDEX(FlowCalConstB,MATCH(R515,FlowCalNumber,0),1,1)," ")</f>
        <v>#N/A</v>
      </c>
      <c r="V529" s="33"/>
      <c r="W529" s="242">
        <f t="shared" si="494"/>
        <v>0.1</v>
      </c>
      <c r="X529" s="241" t="e">
        <f t="shared" ca="1" si="495"/>
        <v>#VALUE!</v>
      </c>
      <c r="Y529" s="243" t="e">
        <f ca="1">IF(AND(INDEX(FlowCalConstA,MATCH(V515,FlowCalNumber,0),1,1)*X529^INDEX(FlowCalConstB,MATCH(V515,FlowCalNumber,0),1,1)&gt;INDEX(FlowCalLowSetting,MATCH(V515,FlowCalNumber,0),1,1), (INDEX(FlowCalConstA,MATCH(V515,FlowCalNumber,0),1,1)*X529^INDEX(FlowCalConstB,MATCH(V515,FlowCalNumber,0),1,1)&lt;INDEX(FlowCalHighSetting,MATCH(V515,FlowCalNumber,0),1,1))),INDEX(FlowCalConstA,MATCH(V515,FlowCalNumber,0),1,1)*X529^INDEX(FlowCalConstB,MATCH(V515,FlowCalNumber,0),1,1)," ")</f>
        <v>#N/A</v>
      </c>
      <c r="Z529" s="33"/>
      <c r="AA529" s="242">
        <f t="shared" si="496"/>
        <v>0.9</v>
      </c>
      <c r="AB529" s="241" t="e">
        <f t="shared" ca="1" si="497"/>
        <v>#VALUE!</v>
      </c>
      <c r="AC529" s="243" t="e">
        <f ca="1">IF(AND(INDEX(FlowCalConstA,MATCH(Z515,FlowCalNumber,0),1,1)*AB529^INDEX(FlowCalConstB,MATCH(Z515,FlowCalNumber,0),1,1)&gt;INDEX(FlowCalLowSetting,MATCH(Z515,FlowCalNumber,0),1,1), (INDEX(FlowCalConstA,MATCH(Z515,FlowCalNumber,0),1,1)*AB529^INDEX(FlowCalConstB,MATCH(Z515,FlowCalNumber,0),1,1)&lt;INDEX(FlowCalHighSetting,MATCH(Z515,FlowCalNumber,0),1,1))),INDEX(FlowCalConstA,MATCH(Z515,FlowCalNumber,0),1,1)*AB529^INDEX(FlowCalConstB,MATCH(Z515,FlowCalNumber,0),1,1)," ")</f>
        <v>#N/A</v>
      </c>
      <c r="AD529" s="33"/>
      <c r="AE529" s="242">
        <f t="shared" si="498"/>
        <v>0.1</v>
      </c>
      <c r="AF529" s="241" t="e">
        <f t="shared" ca="1" si="499"/>
        <v>#VALUE!</v>
      </c>
      <c r="AG529" s="243" t="e">
        <f ca="1">IF(AND(INDEX(FlowCalConstA,MATCH(AD515,FlowCalNumber,0),1,1)*AF529^INDEX(FlowCalConstB,MATCH(AD515,FlowCalNumber,0),1,1)&gt;INDEX(FlowCalLowSetting,MATCH(AD515,FlowCalNumber,0),1,1), (INDEX(FlowCalConstA,MATCH(AD515,FlowCalNumber,0),1,1)*AF529^INDEX(FlowCalConstB,MATCH(AD515,FlowCalNumber,0),1,1)&lt;INDEX(FlowCalHighSetting,MATCH(AD515,FlowCalNumber,0),1,1))),INDEX(FlowCalConstA,MATCH(AD515,FlowCalNumber,0),1,1)*AF529^INDEX(FlowCalConstB,MATCH(AD515,FlowCalNumber,0),1,1)," ")</f>
        <v>#N/A</v>
      </c>
      <c r="AH529" s="33"/>
      <c r="AI529" s="242">
        <f t="shared" si="500"/>
        <v>0.9</v>
      </c>
      <c r="AJ529" s="241" t="e">
        <f t="shared" ca="1" si="501"/>
        <v>#VALUE!</v>
      </c>
      <c r="AK529" s="243" t="e">
        <f ca="1">IF(AND(INDEX(FlowCalConstA,MATCH(AH515,FlowCalNumber,0),1,1)*AJ529^INDEX(FlowCalConstB,MATCH(AH515,FlowCalNumber,0),1,1)&gt;INDEX(FlowCalLowSetting,MATCH(AH515,FlowCalNumber,0),1,1), (INDEX(FlowCalConstA,MATCH(AH515,FlowCalNumber,0),1,1)*AJ529^INDEX(FlowCalConstB,MATCH(AH515,FlowCalNumber,0),1,1)&lt;INDEX(FlowCalHighSetting,MATCH(AH515,FlowCalNumber,0),1,1))),INDEX(FlowCalConstA,MATCH(AH515,FlowCalNumber,0),1,1)*AJ529^INDEX(FlowCalConstB,MATCH(AH515,FlowCalNumber,0),1,1)," ")</f>
        <v>#N/A</v>
      </c>
      <c r="AL529" s="33"/>
      <c r="AM529" s="242"/>
      <c r="AN529" s="241"/>
      <c r="AO529" s="244"/>
      <c r="AQ529" s="242"/>
      <c r="AR529" s="241"/>
      <c r="AS529" s="244"/>
      <c r="AT529" s="33"/>
      <c r="AU529" s="242"/>
      <c r="AV529" s="241"/>
      <c r="AW529" s="244"/>
      <c r="AX529" s="33"/>
      <c r="AY529" s="242"/>
      <c r="AZ529" s="241"/>
      <c r="BA529" s="244"/>
      <c r="BB529" s="33"/>
      <c r="BC529" s="242"/>
      <c r="BD529" s="241"/>
      <c r="BE529" s="244"/>
      <c r="BF529" s="33"/>
      <c r="BG529" s="242"/>
      <c r="BH529" s="241"/>
      <c r="BI529" s="244"/>
      <c r="BJ529" s="33"/>
      <c r="BK529" s="242"/>
      <c r="BL529" s="241"/>
      <c r="BM529" s="244"/>
      <c r="BN529" s="33"/>
      <c r="BO529" s="242"/>
      <c r="BP529" s="241"/>
      <c r="BQ529" s="244"/>
      <c r="BR529" s="33"/>
      <c r="BS529" s="242"/>
      <c r="BT529" s="241"/>
      <c r="BU529" s="244"/>
      <c r="BV529" s="33"/>
      <c r="BW529" s="242"/>
      <c r="BX529" s="241"/>
      <c r="BY529" s="244"/>
      <c r="BZ529" s="33"/>
      <c r="CA529" s="242"/>
      <c r="CB529" s="241"/>
      <c r="CC529" s="244"/>
      <c r="CD529" s="243"/>
      <c r="CE529" s="243"/>
      <c r="CF529" s="243"/>
      <c r="CG529" s="243"/>
      <c r="CH529" s="243"/>
      <c r="CI529" s="243"/>
      <c r="CJ529" s="243"/>
      <c r="CK529" s="243"/>
      <c r="CL529" s="243"/>
      <c r="CM529" s="243"/>
      <c r="CN529" s="243"/>
      <c r="CO529" s="243"/>
      <c r="CP529" s="243"/>
      <c r="CQ529" s="243"/>
      <c r="CR529" s="243"/>
      <c r="CS529" s="243"/>
      <c r="CT529" s="243"/>
      <c r="CU529" s="243"/>
      <c r="CV529" s="243"/>
      <c r="CW529" s="243"/>
      <c r="CX529" s="243"/>
      <c r="CY529" s="243"/>
      <c r="CZ529" s="243"/>
      <c r="DA529" s="243"/>
      <c r="DB529" s="243"/>
      <c r="DC529" s="243"/>
      <c r="DD529" s="243"/>
      <c r="DE529" s="243"/>
      <c r="DF529" s="243"/>
      <c r="DG529" s="243"/>
      <c r="DH529" s="243"/>
      <c r="DI529" s="243"/>
      <c r="DJ529" s="243"/>
      <c r="DK529" s="243"/>
      <c r="DM529" s="242"/>
      <c r="DO529" s="243"/>
      <c r="DQ529" s="242"/>
      <c r="DS529" s="243"/>
      <c r="DU529" s="242"/>
      <c r="DW529" s="243"/>
      <c r="DY529" s="242"/>
      <c r="EA529" s="243"/>
    </row>
    <row r="530" spans="1:131">
      <c r="A530" s="20"/>
      <c r="B530" s="124" t="str">
        <f t="shared" si="486"/>
        <v/>
      </c>
      <c r="C530" s="235"/>
      <c r="D530" s="24">
        <f>'1% Wind'!$M$96</f>
        <v>1</v>
      </c>
      <c r="E530" s="90"/>
      <c r="F530" s="90"/>
      <c r="G530" s="79">
        <f ca="1">IF(I515=0.9743,$G529,MAX(G529/D529*D530,2))</f>
        <v>6.001707317073171</v>
      </c>
      <c r="H530" s="121" t="e">
        <f t="shared" ca="1" si="487"/>
        <v>#VALUE!</v>
      </c>
      <c r="J530" s="33"/>
      <c r="K530" s="242">
        <f t="shared" si="488"/>
        <v>1</v>
      </c>
      <c r="L530" s="241" t="e">
        <f t="shared" ca="1" si="489"/>
        <v>#VALUE!</v>
      </c>
      <c r="M530" s="243" t="e">
        <f ca="1">IF(AND(INDEX(FlowCalConstA,MATCH(J515,FlowCalNumber,0),1,1)*L530^INDEX(FlowCalConstB,MATCH(J515,FlowCalNumber,0),1,1)&gt;INDEX(FlowCalLowSetting,MATCH(J515,FlowCalNumber,0),1,1), (INDEX(FlowCalConstA,MATCH(J515,FlowCalNumber,0),1,1)*L530^INDEX(FlowCalConstB,MATCH(J515,FlowCalNumber,0),1,1)&lt;INDEX(FlowCalHighSetting,MATCH(J515,FlowCalNumber,0),1,1))),INDEX(FlowCalConstA,MATCH(J515,FlowCalNumber,0),1,1)*L530^INDEX(FlowCalConstB,MATCH(J515,FlowCalNumber,0),1,1)," ")</f>
        <v>#N/A</v>
      </c>
      <c r="N530" s="33"/>
      <c r="O530" s="242">
        <f t="shared" si="490"/>
        <v>1</v>
      </c>
      <c r="P530" s="241" t="e">
        <f t="shared" ca="1" si="491"/>
        <v>#VALUE!</v>
      </c>
      <c r="Q530" s="243" t="e">
        <f ca="1">IF(AND(INDEX(FlowCalConstA,MATCH(N515,FlowCalNumber,0),1,1)*P530^INDEX(FlowCalConstB,MATCH(N515,FlowCalNumber,0),1,1)&gt;INDEX(FlowCalLowSetting,MATCH(N515,FlowCalNumber,0),1,1), (INDEX(FlowCalConstA,MATCH(N515,FlowCalNumber,0),1,1)*P530^INDEX(FlowCalConstB,MATCH(N515,FlowCalNumber,0),1,1)&lt;INDEX(FlowCalHighSetting,MATCH(N515,FlowCalNumber,0),1,1))),INDEX(FlowCalConstA,MATCH(N515,FlowCalNumber,0),1,1)*P530^INDEX(FlowCalConstB,MATCH(N515,FlowCalNumber,0),1,1)," ")</f>
        <v>#N/A</v>
      </c>
      <c r="R530" s="33"/>
      <c r="S530" s="242">
        <f t="shared" si="492"/>
        <v>1</v>
      </c>
      <c r="T530" s="241" t="e">
        <f t="shared" ca="1" si="493"/>
        <v>#VALUE!</v>
      </c>
      <c r="U530" s="244" t="e">
        <f ca="1">IF(AND(INDEX(FlowCalConstA,MATCH(R515,FlowCalNumber,0),1,1)*T530^INDEX(FlowCalConstB,MATCH(R515,FlowCalNumber,0),1,1)&gt;INDEX(FlowCalLowSetting,MATCH(R515,FlowCalNumber,0),1,1), (INDEX(FlowCalConstA,MATCH(R515,FlowCalNumber,0),1,1)*T530^INDEX(FlowCalConstB,MATCH(R515,FlowCalNumber,0),1,1)&lt;INDEX(FlowCalHighSetting,MATCH(R515,FlowCalNumber,0),1,1))),INDEX(FlowCalConstA,MATCH(R515,FlowCalNumber,0),1,1)*T530^INDEX(FlowCalConstB,MATCH(R515,FlowCalNumber,0),1,1)," ")</f>
        <v>#N/A</v>
      </c>
      <c r="V530" s="33"/>
      <c r="W530" s="242">
        <f t="shared" si="494"/>
        <v>0.1</v>
      </c>
      <c r="X530" s="241" t="e">
        <f t="shared" ca="1" si="495"/>
        <v>#VALUE!</v>
      </c>
      <c r="Y530" s="243" t="e">
        <f ca="1">IF(AND(INDEX(FlowCalConstA,MATCH(V515,FlowCalNumber,0),1,1)*X530^INDEX(FlowCalConstB,MATCH(V515,FlowCalNumber,0),1,1)&gt;INDEX(FlowCalLowSetting,MATCH(V515,FlowCalNumber,0),1,1), (INDEX(FlowCalConstA,MATCH(V515,FlowCalNumber,0),1,1)*X530^INDEX(FlowCalConstB,MATCH(V515,FlowCalNumber,0),1,1)&lt;INDEX(FlowCalHighSetting,MATCH(V515,FlowCalNumber,0),1,1))),INDEX(FlowCalConstA,MATCH(V515,FlowCalNumber,0),1,1)*X530^INDEX(FlowCalConstB,MATCH(V515,FlowCalNumber,0),1,1)," ")</f>
        <v>#N/A</v>
      </c>
      <c r="Z530" s="33"/>
      <c r="AA530" s="242">
        <f t="shared" si="496"/>
        <v>0.9</v>
      </c>
      <c r="AB530" s="241" t="e">
        <f t="shared" ca="1" si="497"/>
        <v>#VALUE!</v>
      </c>
      <c r="AC530" s="243" t="e">
        <f ca="1">IF(AND(INDEX(FlowCalConstA,MATCH(Z515,FlowCalNumber,0),1,1)*AB530^INDEX(FlowCalConstB,MATCH(Z515,FlowCalNumber,0),1,1)&gt;INDEX(FlowCalLowSetting,MATCH(Z515,FlowCalNumber,0),1,1), (INDEX(FlowCalConstA,MATCH(Z515,FlowCalNumber,0),1,1)*AB530^INDEX(FlowCalConstB,MATCH(Z515,FlowCalNumber,0),1,1)&lt;INDEX(FlowCalHighSetting,MATCH(Z515,FlowCalNumber,0),1,1))),INDEX(FlowCalConstA,MATCH(Z515,FlowCalNumber,0),1,1)*AB530^INDEX(FlowCalConstB,MATCH(Z515,FlowCalNumber,0),1,1)," ")</f>
        <v>#N/A</v>
      </c>
      <c r="AD530" s="33"/>
      <c r="AE530" s="242">
        <f t="shared" si="498"/>
        <v>0.1</v>
      </c>
      <c r="AF530" s="241" t="e">
        <f t="shared" ca="1" si="499"/>
        <v>#VALUE!</v>
      </c>
      <c r="AG530" s="243" t="e">
        <f ca="1">IF(AND(INDEX(FlowCalConstA,MATCH(AD515,FlowCalNumber,0),1,1)*AF530^INDEX(FlowCalConstB,MATCH(AD515,FlowCalNumber,0),1,1)&gt;INDEX(FlowCalLowSetting,MATCH(AD515,FlowCalNumber,0),1,1), (INDEX(FlowCalConstA,MATCH(AD515,FlowCalNumber,0),1,1)*AF530^INDEX(FlowCalConstB,MATCH(AD515,FlowCalNumber,0),1,1)&lt;INDEX(FlowCalHighSetting,MATCH(AD515,FlowCalNumber,0),1,1))),INDEX(FlowCalConstA,MATCH(AD515,FlowCalNumber,0),1,1)*AF530^INDEX(FlowCalConstB,MATCH(AD515,FlowCalNumber,0),1,1)," ")</f>
        <v>#N/A</v>
      </c>
      <c r="AH530" s="33"/>
      <c r="AI530" s="242">
        <f t="shared" si="500"/>
        <v>0.9</v>
      </c>
      <c r="AJ530" s="241" t="e">
        <f t="shared" ca="1" si="501"/>
        <v>#VALUE!</v>
      </c>
      <c r="AK530" s="243" t="e">
        <f ca="1">IF(AND(INDEX(FlowCalConstA,MATCH(AH515,FlowCalNumber,0),1,1)*AJ530^INDEX(FlowCalConstB,MATCH(AH515,FlowCalNumber,0),1,1)&gt;INDEX(FlowCalLowSetting,MATCH(AH515,FlowCalNumber,0),1,1), (INDEX(FlowCalConstA,MATCH(AH515,FlowCalNumber,0),1,1)*AJ530^INDEX(FlowCalConstB,MATCH(AH515,FlowCalNumber,0),1,1)&lt;INDEX(FlowCalHighSetting,MATCH(AH515,FlowCalNumber,0),1,1))),INDEX(FlowCalConstA,MATCH(AH515,FlowCalNumber,0),1,1)*AJ530^INDEX(FlowCalConstB,MATCH(AH515,FlowCalNumber,0),1,1)," ")</f>
        <v>#N/A</v>
      </c>
      <c r="AL530" s="33"/>
      <c r="AM530" s="242"/>
      <c r="AN530" s="241"/>
      <c r="AO530" s="244"/>
      <c r="AQ530" s="242"/>
      <c r="AR530" s="241"/>
      <c r="AS530" s="244"/>
      <c r="AT530" s="33"/>
      <c r="AU530" s="242"/>
      <c r="AV530" s="241"/>
      <c r="AW530" s="244"/>
      <c r="AX530" s="33"/>
      <c r="AY530" s="242"/>
      <c r="AZ530" s="241"/>
      <c r="BA530" s="244"/>
      <c r="BB530" s="33"/>
      <c r="BC530" s="242"/>
      <c r="BD530" s="241"/>
      <c r="BE530" s="244"/>
      <c r="BF530" s="33"/>
      <c r="BG530" s="242"/>
      <c r="BH530" s="241"/>
      <c r="BI530" s="244"/>
      <c r="BJ530" s="33"/>
      <c r="BK530" s="242"/>
      <c r="BL530" s="241"/>
      <c r="BM530" s="244"/>
      <c r="BN530" s="33"/>
      <c r="BO530" s="242"/>
      <c r="BP530" s="241"/>
      <c r="BQ530" s="244"/>
      <c r="BR530" s="33"/>
      <c r="BS530" s="242"/>
      <c r="BT530" s="241"/>
      <c r="BU530" s="244"/>
      <c r="BV530" s="33"/>
      <c r="BW530" s="242"/>
      <c r="BX530" s="241"/>
      <c r="BY530" s="244"/>
      <c r="BZ530" s="33"/>
      <c r="CA530" s="242"/>
      <c r="CB530" s="241"/>
      <c r="CC530" s="244"/>
      <c r="CD530" s="243"/>
      <c r="CE530" s="243"/>
      <c r="CF530" s="243"/>
      <c r="CG530" s="243"/>
      <c r="CH530" s="243"/>
      <c r="CI530" s="243"/>
      <c r="CJ530" s="243"/>
      <c r="CK530" s="243"/>
      <c r="CL530" s="243"/>
      <c r="CM530" s="243"/>
      <c r="CN530" s="243"/>
      <c r="CO530" s="243"/>
      <c r="CP530" s="243"/>
      <c r="CQ530" s="243"/>
      <c r="CR530" s="243"/>
      <c r="CS530" s="243"/>
      <c r="CT530" s="243"/>
      <c r="CU530" s="243"/>
      <c r="CV530" s="243"/>
      <c r="CW530" s="243"/>
      <c r="CX530" s="243"/>
      <c r="CY530" s="243"/>
      <c r="CZ530" s="243"/>
      <c r="DA530" s="243"/>
      <c r="DB530" s="243"/>
      <c r="DC530" s="243"/>
      <c r="DD530" s="243"/>
      <c r="DE530" s="243"/>
      <c r="DF530" s="243"/>
      <c r="DG530" s="243"/>
      <c r="DH530" s="243"/>
      <c r="DI530" s="243"/>
      <c r="DJ530" s="243"/>
      <c r="DK530" s="243"/>
      <c r="DM530" s="242"/>
      <c r="DO530" s="243"/>
      <c r="DQ530" s="242"/>
      <c r="DS530" s="243"/>
      <c r="DU530" s="242"/>
      <c r="DW530" s="243"/>
      <c r="DY530" s="242"/>
      <c r="EA530" s="243"/>
    </row>
    <row r="531" spans="1:131">
      <c r="A531" s="33"/>
      <c r="B531" s="33"/>
      <c r="C531" s="235"/>
      <c r="E531" s="90"/>
      <c r="F531" s="90"/>
      <c r="G531" s="33"/>
      <c r="J531" s="33"/>
      <c r="N531" s="33"/>
      <c r="Q531" s="243"/>
      <c r="R531" s="33"/>
      <c r="U531" s="244"/>
      <c r="V531" s="33"/>
      <c r="Y531" s="243"/>
      <c r="Z531" s="33"/>
      <c r="AC531" s="243"/>
      <c r="AD531" s="33"/>
      <c r="AG531" s="243"/>
      <c r="AH531" s="33"/>
      <c r="AK531" s="244"/>
      <c r="AL531" s="792"/>
      <c r="AM531" s="243"/>
      <c r="AN531" s="243"/>
      <c r="AO531" s="244"/>
      <c r="AP531" s="243"/>
      <c r="AQ531" s="243"/>
      <c r="AR531" s="243"/>
      <c r="AS531" s="244"/>
      <c r="AT531" s="243"/>
      <c r="AU531" s="243"/>
      <c r="AV531" s="243"/>
      <c r="AW531" s="244"/>
      <c r="AX531" s="243"/>
      <c r="AY531" s="243"/>
      <c r="AZ531" s="243"/>
      <c r="BA531" s="244"/>
      <c r="BB531" s="33"/>
      <c r="BE531" s="244"/>
      <c r="BF531" s="33"/>
      <c r="BI531" s="244"/>
      <c r="BJ531" s="33"/>
      <c r="BM531" s="244"/>
      <c r="BN531" s="243"/>
      <c r="BO531" s="243"/>
      <c r="BP531" s="243"/>
      <c r="BQ531" s="244"/>
      <c r="BR531" s="792"/>
      <c r="BS531" s="243"/>
      <c r="BT531" s="243"/>
      <c r="BU531" s="244"/>
      <c r="BV531" s="792"/>
      <c r="BW531" s="243"/>
      <c r="BX531" s="243"/>
      <c r="BY531" s="244"/>
      <c r="BZ531" s="792"/>
      <c r="CA531" s="243"/>
      <c r="CB531" s="243"/>
      <c r="CC531" s="244"/>
      <c r="CD531" s="243"/>
      <c r="CE531" s="243"/>
      <c r="CF531" s="243"/>
      <c r="CG531" s="243"/>
      <c r="CH531" s="243"/>
      <c r="CI531" s="243"/>
      <c r="CJ531" s="243"/>
      <c r="CK531" s="243"/>
      <c r="CL531" s="243"/>
      <c r="CM531" s="243"/>
      <c r="CN531" s="243"/>
      <c r="CO531" s="243"/>
      <c r="CP531" s="243"/>
      <c r="CQ531" s="243"/>
      <c r="CR531" s="243"/>
      <c r="CS531" s="243"/>
      <c r="CT531" s="243"/>
      <c r="CU531" s="243"/>
      <c r="CV531" s="243"/>
      <c r="CW531" s="243"/>
      <c r="CX531" s="243"/>
      <c r="CY531" s="243"/>
      <c r="CZ531" s="243"/>
      <c r="DA531" s="243"/>
      <c r="DB531" s="243"/>
      <c r="DC531" s="243"/>
      <c r="DD531" s="243"/>
      <c r="DE531" s="243"/>
      <c r="DF531" s="243"/>
      <c r="DG531" s="243"/>
      <c r="DH531" s="243"/>
      <c r="DI531" s="243"/>
      <c r="DJ531" s="243"/>
      <c r="DK531" s="243"/>
      <c r="DO531" s="243"/>
      <c r="DS531" s="243"/>
      <c r="DW531" s="243"/>
      <c r="EA531" s="243"/>
    </row>
    <row r="532" spans="1:131">
      <c r="A532" s="256" t="str">
        <f>IF((RIGHT(A515,1))&lt;&gt;"Z",CHAR(CODE(A515))&amp;CHAR(CODE(RIGHT(A515,1))+1),CHAR(CODE(A515)+1)&amp;"A")</f>
        <v>BE</v>
      </c>
      <c r="B532" s="270" t="str">
        <f>INDEX(SourceID,MATCH($A532,SourceNumber,0),1,1)</f>
        <v>B2 FE-3</v>
      </c>
      <c r="C532" s="354">
        <f>INDEX(SourceExitDiameter,MATCH($A532,SourceNumber,0),1,1)*3.28*12</f>
        <v>24.72</v>
      </c>
      <c r="D532" s="24" t="str">
        <f>UAnem1percent</f>
        <v>1% Wind</v>
      </c>
      <c r="E532" s="350" t="e">
        <f ca="1">INDIRECT(ADDRESS(53,6,1,,CONCATENATE("TA",$A532)))</f>
        <v>#REF!</v>
      </c>
      <c r="F532" s="625" t="e">
        <f ca="1">(ROUND((INDIRECT(ADDRESS(15,7,1,,CONCATENATE("TA",$A532)))*3.28*12*32),0)&amp;"/32")</f>
        <v>#REF!</v>
      </c>
      <c r="G532" s="125">
        <f ca="1">INDIRECT(ADDRESS(29,7,1,,$A532))</f>
        <v>6.001707317073171</v>
      </c>
      <c r="H532" s="24" t="e">
        <f ca="1">INDIRECT(ADDRESS(19,7,1,,$A532))*100^3</f>
        <v>#VALUE!</v>
      </c>
      <c r="I532" s="941">
        <f ca="1">INDIRECT(ADDRESS(53,7,1,,$A532))</f>
        <v>0.97430000000000005</v>
      </c>
      <c r="J532" s="20" t="str">
        <f ca="1">IF($I532=$I$6,K$16&amp;$G$6&amp;J$6,IF($I532=$I$7,K$16&amp;$G$7&amp;J$7,"Bad"))</f>
        <v>100EthPick a Tunnel</v>
      </c>
      <c r="K532" t="e">
        <f ca="1">INDEX(FlowCalGasMixture,MATCH(J532,FlowCalNumber,0),1,1)</f>
        <v>#N/A</v>
      </c>
      <c r="M532" s="944" t="e">
        <f ca="1">INDEX(FlowCalDevice,MATCH(J532,FlowCalNumber,0),1,1)</f>
        <v>#N/A</v>
      </c>
      <c r="N532" s="943" t="str">
        <f ca="1">IF($I532=$I$6,O$16&amp;$G$6&amp;"90"&amp;$H$6&amp;N$6,IF($I532=$I$7,O$16&amp;$G$7&amp;"90"&amp;$H$7&amp;N$7,"Bad"))</f>
        <v>10Eth90N2Pick a Tunnel</v>
      </c>
      <c r="O532" t="e">
        <f ca="1">INDEX(FlowCalGasMixture,MATCH(N532,FlowCalNumber,0),1,1)</f>
        <v>#N/A</v>
      </c>
      <c r="Q532" s="944" t="e">
        <f ca="1">INDEX(FlowCalDevice,MATCH(N532,FlowCalNumber,0),1,1)</f>
        <v>#N/A</v>
      </c>
      <c r="R532" s="943" t="str">
        <f ca="1">IF($I532=$I$6,S$16&amp;$G$6&amp;"90"&amp;$H$6&amp;R$6,IF($I532=$I$7,S$16&amp;$G$7&amp;"90"&amp;$H$7&amp;R$7,"Bad"))</f>
        <v>10Eth90N2Pick a Tunnel</v>
      </c>
      <c r="S532" t="e">
        <f ca="1">INDEX(FlowCalGasMixture,MATCH(R532,FlowCalNumber,0),1,1)</f>
        <v>#N/A</v>
      </c>
      <c r="U532" s="944" t="e">
        <f ca="1">INDEX(FlowCalDevice,MATCH(R532,FlowCalNumber,0),1,1)</f>
        <v>#N/A</v>
      </c>
      <c r="V532" s="20" t="str">
        <f ca="1">IF($I532=$I$6,W$16&amp;$G$6&amp;V$6,IF($I532=$I$7,W$16&amp;$G$7&amp;V$7,"Bad"))</f>
        <v>100EthPick a Tunnel</v>
      </c>
      <c r="W532" t="e">
        <f ca="1">INDEX(FlowCalGasMixture,MATCH(V532,FlowCalNumber,0),1,1)</f>
        <v>#N/A</v>
      </c>
      <c r="Y532" s="944" t="e">
        <f ca="1">INDEX(FlowCalDevice,MATCH(V532,FlowCalNumber,0),1,1)</f>
        <v>#N/A</v>
      </c>
      <c r="Z532" s="946" t="str">
        <f ca="1">IF($I532=$I$6,AA$18&amp;$H$6&amp;Z$6,IF($I532=$I$7,AA$18&amp;$H$7&amp;Z$7,"Bad"))</f>
        <v>100N2Pick a Tunnel</v>
      </c>
      <c r="AA532" t="e">
        <f ca="1">INDEX(FlowCalGasMixture,MATCH(Z532,FlowCalNumber,0),1,1)</f>
        <v>#N/A</v>
      </c>
      <c r="AC532" s="944" t="e">
        <f ca="1">INDEX(FlowCalDevice,MATCH(Z532,FlowCalNumber,0),1,1)</f>
        <v>#N/A</v>
      </c>
      <c r="AD532" s="20" t="str">
        <f ca="1">IF($I532=$I$6,AE$16&amp;$G$6&amp;AD$6,IF($I532=$I$7,AE$16&amp;$G$7&amp;AD$7,"Bad"))</f>
        <v>100EthPick a Tunnel</v>
      </c>
      <c r="AE532" t="e">
        <f ca="1">INDEX(FlowCalGasMixture,MATCH(AD532,FlowCalNumber,0),1,1)</f>
        <v>#N/A</v>
      </c>
      <c r="AG532" s="944" t="e">
        <f ca="1">INDEX(FlowCalDevice,MATCH(AD532,FlowCalNumber,0),1,1)</f>
        <v>#N/A</v>
      </c>
      <c r="AH532" s="946" t="str">
        <f ca="1">IF($I532=$I$6,AI$18&amp;$H$6&amp;AH$6,IF($I532=$I$7,AI$18&amp;$H$7&amp;AH$7,"Bad"))</f>
        <v>100N2Pick a Tunnel</v>
      </c>
      <c r="AI532" t="e">
        <f ca="1">INDEX(FlowCalGasMixture,MATCH(AH532,FlowCalNumber,0),1,1)</f>
        <v>#N/A</v>
      </c>
      <c r="AK532" s="944" t="e">
        <f ca="1">INDEX(FlowCalDevice,MATCH(AH532,FlowCalNumber,0),1,1)</f>
        <v>#N/A</v>
      </c>
      <c r="AL532" s="20"/>
      <c r="AO532" s="982"/>
      <c r="AP532" s="960"/>
      <c r="AS532" s="982"/>
      <c r="AT532" s="20"/>
      <c r="AW532" s="982"/>
      <c r="AX532" s="946"/>
      <c r="BA532" s="982"/>
      <c r="BB532" s="20"/>
      <c r="BC532" s="16"/>
      <c r="BE532" s="982"/>
      <c r="BF532" s="946"/>
      <c r="BG532" s="16"/>
      <c r="BI532" s="982"/>
      <c r="BJ532" s="946"/>
      <c r="BK532" s="16"/>
      <c r="BM532" s="982"/>
      <c r="BN532" s="20"/>
      <c r="BO532" s="16"/>
      <c r="BQ532" s="982"/>
      <c r="BR532" s="946"/>
      <c r="BS532" s="16"/>
      <c r="BU532" s="982"/>
      <c r="BV532" s="946"/>
      <c r="BW532" s="16"/>
      <c r="BY532" s="982"/>
      <c r="BZ532" s="946"/>
      <c r="CA532" s="16"/>
      <c r="CC532" s="982"/>
      <c r="CD532" s="355"/>
      <c r="CE532" s="355"/>
      <c r="CF532" s="355"/>
      <c r="CG532" s="355"/>
      <c r="CH532" s="355"/>
      <c r="CI532" s="355"/>
      <c r="CJ532" s="355"/>
      <c r="CK532" s="355"/>
      <c r="CL532" s="355"/>
      <c r="CM532" s="355"/>
      <c r="CN532" s="355"/>
      <c r="CO532" s="355"/>
      <c r="CP532" s="355"/>
      <c r="CQ532" s="355"/>
      <c r="CR532" s="355"/>
      <c r="CS532" s="355"/>
      <c r="CT532" s="355"/>
      <c r="CU532" s="355"/>
      <c r="CV532" s="355"/>
      <c r="CW532" s="355"/>
      <c r="CX532" s="355"/>
      <c r="CY532" s="355"/>
      <c r="CZ532" s="355"/>
      <c r="DA532" s="355"/>
      <c r="DB532" s="355"/>
      <c r="DC532" s="355"/>
      <c r="DD532" s="355"/>
      <c r="DE532" s="355"/>
      <c r="DF532" s="355"/>
      <c r="DG532" s="355"/>
      <c r="DH532" s="355"/>
      <c r="DI532" s="355"/>
      <c r="DJ532" s="355"/>
      <c r="DK532" s="355"/>
      <c r="DL532" s="46"/>
      <c r="DM532" s="16"/>
      <c r="DO532" s="355"/>
      <c r="DP532" s="42"/>
      <c r="DQ532" s="16"/>
      <c r="DS532" s="355"/>
      <c r="DT532" s="42"/>
      <c r="DU532" s="16"/>
      <c r="DW532" s="355"/>
      <c r="DX532" s="42"/>
      <c r="DY532" s="16"/>
      <c r="EA532" s="355"/>
    </row>
    <row r="533" spans="1:131">
      <c r="A533" s="20"/>
      <c r="B533" s="124" t="str">
        <f t="shared" ref="B533:B547" si="502">IF(D533=UAnem1percent,"1% Wind","")</f>
        <v/>
      </c>
      <c r="C533" s="235"/>
      <c r="D533" s="24">
        <f>'1% Wind'!$M$82</f>
        <v>27</v>
      </c>
      <c r="E533" s="90"/>
      <c r="F533" s="90"/>
      <c r="G533" s="79">
        <f ca="1">IF(I532=0.9743,$G532,MAX(G532/D532*D533,2))</f>
        <v>6.001707317073171</v>
      </c>
      <c r="H533" s="121" t="e">
        <f t="shared" ref="H533:H547" ca="1" si="503">H532*(D532/D533)*(G533/G532)</f>
        <v>#VALUE!</v>
      </c>
      <c r="J533" s="33"/>
      <c r="K533" s="260">
        <f>K$17/100</f>
        <v>1</v>
      </c>
      <c r="L533" s="241" t="e">
        <f ca="1">K533*$H533</f>
        <v>#VALUE!</v>
      </c>
      <c r="M533" s="243" t="e">
        <f ca="1">IF(AND(INDEX(FlowCalConstA,MATCH(J532,FlowCalNumber,0),1,1)*L533^INDEX(FlowCalConstB,MATCH(J532,FlowCalNumber,0),1,1)&gt;INDEX(FlowCalLowSetting,MATCH(J532,FlowCalNumber,0),1,1), (INDEX(FlowCalConstA,MATCH(J532,FlowCalNumber,0),1,1)*L533^INDEX(FlowCalConstB,MATCH(J532,FlowCalNumber,0),1,1)&lt;INDEX(FlowCalHighSetting,MATCH(J532,FlowCalNumber,0),1,1))),INDEX(FlowCalConstA,MATCH(J532,FlowCalNumber,0),1,1)*L533^INDEX(FlowCalConstB,MATCH(J532,FlowCalNumber,0),1,1)," ")</f>
        <v>#N/A</v>
      </c>
      <c r="N533" s="33"/>
      <c r="O533" s="260">
        <f>O$17/100</f>
        <v>1</v>
      </c>
      <c r="P533" s="241" t="e">
        <f ca="1">O533*$H533</f>
        <v>#VALUE!</v>
      </c>
      <c r="Q533" s="243" t="e">
        <f ca="1">IF(AND(INDEX(FlowCalConstA,MATCH(N532,FlowCalNumber,0),1,1)*P533^INDEX(FlowCalConstB,MATCH(N532,FlowCalNumber,0),1,1)&gt;INDEX(FlowCalLowSetting,MATCH(N532,FlowCalNumber,0),1,1), (INDEX(FlowCalConstA,MATCH(N532,FlowCalNumber,0),1,1)*P533^INDEX(FlowCalConstB,MATCH(N532,FlowCalNumber,0),1,1)&lt;INDEX(FlowCalHighSetting,MATCH(N532,FlowCalNumber,0),1,1))),INDEX(FlowCalConstA,MATCH(N532,FlowCalNumber,0),1,1)*P533^INDEX(FlowCalConstB,MATCH(N532,FlowCalNumber,0),1,1)," ")</f>
        <v>#N/A</v>
      </c>
      <c r="R533" s="33"/>
      <c r="S533" s="260">
        <f>S$17/100</f>
        <v>1</v>
      </c>
      <c r="T533" s="241" t="e">
        <f ca="1">S533*$H533</f>
        <v>#VALUE!</v>
      </c>
      <c r="U533" s="244" t="e">
        <f ca="1">IF(AND(INDEX(FlowCalConstA,MATCH(R532,FlowCalNumber,0),1,1)*T533^INDEX(FlowCalConstB,MATCH(R532,FlowCalNumber,0),1,1)&gt;INDEX(FlowCalLowSetting,MATCH(R532,FlowCalNumber,0),1,1), (INDEX(FlowCalConstA,MATCH(R532,FlowCalNumber,0),1,1)*T533^INDEX(FlowCalConstB,MATCH(R532,FlowCalNumber,0),1,1)&lt;INDEX(FlowCalHighSetting,MATCH(R532,FlowCalNumber,0),1,1))),INDEX(FlowCalConstA,MATCH(R532,FlowCalNumber,0),1,1)*T533^INDEX(FlowCalConstB,MATCH(R532,FlowCalNumber,0),1,1)," ")</f>
        <v>#N/A</v>
      </c>
      <c r="V533" s="33"/>
      <c r="W533" s="260">
        <f>W$17/100</f>
        <v>0.1</v>
      </c>
      <c r="X533" s="241" t="e">
        <f ca="1">W533*$H533</f>
        <v>#VALUE!</v>
      </c>
      <c r="Y533" s="243" t="e">
        <f ca="1">IF(AND(INDEX(FlowCalConstA,MATCH(V532,FlowCalNumber,0),1,1)*X533^INDEX(FlowCalConstB,MATCH(V532,FlowCalNumber,0),1,1)&gt;INDEX(FlowCalLowSetting,MATCH(V532,FlowCalNumber,0),1,1), (INDEX(FlowCalConstA,MATCH(V532,FlowCalNumber,0),1,1)*X533^INDEX(FlowCalConstB,MATCH(V532,FlowCalNumber,0),1,1)&lt;INDEX(FlowCalHighSetting,MATCH(V532,FlowCalNumber,0),1,1))),INDEX(FlowCalConstA,MATCH(V532,FlowCalNumber,0),1,1)*X533^INDEX(FlowCalConstB,MATCH(V532,FlowCalNumber,0),1,1)," ")</f>
        <v>#N/A</v>
      </c>
      <c r="Z533" s="33"/>
      <c r="AA533" s="260">
        <f>AA$17/100</f>
        <v>0.9</v>
      </c>
      <c r="AB533" s="241" t="e">
        <f ca="1">AA533*$H533</f>
        <v>#VALUE!</v>
      </c>
      <c r="AC533" s="243" t="e">
        <f ca="1">IF(AND(INDEX(FlowCalConstA,MATCH(Z532,FlowCalNumber,0),1,1)*AB533^INDEX(FlowCalConstB,MATCH(Z532,FlowCalNumber,0),1,1)&gt;INDEX(FlowCalLowSetting,MATCH(Z532,FlowCalNumber,0),1,1), (INDEX(FlowCalConstA,MATCH(Z532,FlowCalNumber,0),1,1)*AB533^INDEX(FlowCalConstB,MATCH(Z532,FlowCalNumber,0),1,1)&lt;INDEX(FlowCalHighSetting,MATCH(Z532,FlowCalNumber,0),1,1))),INDEX(FlowCalConstA,MATCH(Z532,FlowCalNumber,0),1,1)*AB533^INDEX(FlowCalConstB,MATCH(Z532,FlowCalNumber,0),1,1)," ")</f>
        <v>#N/A</v>
      </c>
      <c r="AD533" s="33"/>
      <c r="AE533" s="260">
        <f>AE$17/100</f>
        <v>0.1</v>
      </c>
      <c r="AF533" s="241" t="e">
        <f ca="1">AE533*$H533</f>
        <v>#VALUE!</v>
      </c>
      <c r="AG533" s="243" t="e">
        <f ca="1">IF(AND(INDEX(FlowCalConstA,MATCH(AD532,FlowCalNumber,0),1,1)*AF533^INDEX(FlowCalConstB,MATCH(AD532,FlowCalNumber,0),1,1)&gt;INDEX(FlowCalLowSetting,MATCH(AD532,FlowCalNumber,0),1,1), (INDEX(FlowCalConstA,MATCH(AD532,FlowCalNumber,0),1,1)*AF533^INDEX(FlowCalConstB,MATCH(AD532,FlowCalNumber,0),1,1)&lt;INDEX(FlowCalHighSetting,MATCH(AD532,FlowCalNumber,0),1,1))),INDEX(FlowCalConstA,MATCH(AD532,FlowCalNumber,0),1,1)*AF533^INDEX(FlowCalConstB,MATCH(AD532,FlowCalNumber,0),1,1)," ")</f>
        <v>#N/A</v>
      </c>
      <c r="AH533" s="33"/>
      <c r="AI533" s="260">
        <f>AI$17/100</f>
        <v>0.9</v>
      </c>
      <c r="AJ533" s="241" t="e">
        <f ca="1">AI533*$H533</f>
        <v>#VALUE!</v>
      </c>
      <c r="AK533" s="243" t="e">
        <f ca="1">IF(AND(INDEX(FlowCalConstA,MATCH(AH532,FlowCalNumber,0),1,1)*AJ533^INDEX(FlowCalConstB,MATCH(AH532,FlowCalNumber,0),1,1)&gt;INDEX(FlowCalLowSetting,MATCH(AH532,FlowCalNumber,0),1,1), (INDEX(FlowCalConstA,MATCH(AH532,FlowCalNumber,0),1,1)*AJ533^INDEX(FlowCalConstB,MATCH(AH532,FlowCalNumber,0),1,1)&lt;INDEX(FlowCalHighSetting,MATCH(AH532,FlowCalNumber,0),1,1))),INDEX(FlowCalConstA,MATCH(AH532,FlowCalNumber,0),1,1)*AJ533^INDEX(FlowCalConstB,MATCH(AH532,FlowCalNumber,0),1,1)," ")</f>
        <v>#N/A</v>
      </c>
      <c r="AL533" s="33"/>
      <c r="AM533" s="260"/>
      <c r="AN533" s="241"/>
      <c r="AO533" s="244"/>
      <c r="AQ533" s="260"/>
      <c r="AR533" s="241"/>
      <c r="AS533" s="244"/>
      <c r="AT533" s="33"/>
      <c r="AU533" s="260"/>
      <c r="AV533" s="241"/>
      <c r="AW533" s="244"/>
      <c r="AX533" s="33"/>
      <c r="AY533" s="260"/>
      <c r="AZ533" s="241"/>
      <c r="BA533" s="244"/>
      <c r="BB533" s="33"/>
      <c r="BC533" s="260"/>
      <c r="BD533" s="241"/>
      <c r="BE533" s="244"/>
      <c r="BF533" s="33"/>
      <c r="BG533" s="260"/>
      <c r="BH533" s="241"/>
      <c r="BI533" s="244"/>
      <c r="BJ533" s="33"/>
      <c r="BK533" s="260"/>
      <c r="BL533" s="241"/>
      <c r="BM533" s="244"/>
      <c r="BN533" s="33"/>
      <c r="BO533" s="260"/>
      <c r="BP533" s="241"/>
      <c r="BQ533" s="244"/>
      <c r="BR533" s="33"/>
      <c r="BS533" s="260"/>
      <c r="BT533" s="241"/>
      <c r="BU533" s="244"/>
      <c r="BV533" s="33"/>
      <c r="BW533" s="260"/>
      <c r="BX533" s="241"/>
      <c r="BY533" s="244"/>
      <c r="BZ533" s="33"/>
      <c r="CA533" s="260"/>
      <c r="CB533" s="241"/>
      <c r="CC533" s="244"/>
      <c r="CD533" s="243"/>
      <c r="CE533" s="243"/>
      <c r="CF533" s="243"/>
      <c r="CG533" s="243"/>
      <c r="CH533" s="243"/>
      <c r="CI533" s="243"/>
      <c r="CJ533" s="243"/>
      <c r="CK533" s="243"/>
      <c r="CL533" s="243"/>
      <c r="CM533" s="243"/>
      <c r="CN533" s="243"/>
      <c r="CO533" s="243"/>
      <c r="CP533" s="243"/>
      <c r="CQ533" s="243"/>
      <c r="CR533" s="243"/>
      <c r="CS533" s="243"/>
      <c r="CT533" s="243"/>
      <c r="CU533" s="243"/>
      <c r="CV533" s="243"/>
      <c r="CW533" s="243"/>
      <c r="CX533" s="243"/>
      <c r="CY533" s="243"/>
      <c r="CZ533" s="243"/>
      <c r="DA533" s="243"/>
      <c r="DB533" s="243"/>
      <c r="DC533" s="243"/>
      <c r="DD533" s="243"/>
      <c r="DE533" s="243"/>
      <c r="DF533" s="243"/>
      <c r="DG533" s="243"/>
      <c r="DH533" s="243"/>
      <c r="DI533" s="243"/>
      <c r="DJ533" s="243"/>
      <c r="DK533" s="243"/>
      <c r="DM533" s="259"/>
      <c r="DO533" s="243"/>
      <c r="DQ533" s="259"/>
      <c r="DS533" s="243"/>
      <c r="DU533" s="259"/>
      <c r="DW533" s="243"/>
      <c r="DY533" s="260"/>
      <c r="EA533" s="243"/>
    </row>
    <row r="534" spans="1:131">
      <c r="A534" s="20"/>
      <c r="B534" s="124" t="str">
        <f t="shared" si="502"/>
        <v/>
      </c>
      <c r="C534" s="235"/>
      <c r="D534" s="24">
        <f>'1% Wind'!$M$83</f>
        <v>23.5</v>
      </c>
      <c r="E534" s="90"/>
      <c r="F534" s="90"/>
      <c r="G534" s="79">
        <f ca="1">IF(I532=0.9743,$G533,MAX(G533/D533*D534,2))</f>
        <v>6.001707317073171</v>
      </c>
      <c r="H534" s="121" t="e">
        <f t="shared" ca="1" si="503"/>
        <v>#VALUE!</v>
      </c>
      <c r="J534" s="33"/>
      <c r="K534" s="242">
        <f t="shared" ref="K534:K547" si="504">K533</f>
        <v>1</v>
      </c>
      <c r="L534" s="241" t="e">
        <f t="shared" ref="L534:L547" ca="1" si="505">K534*$H534</f>
        <v>#VALUE!</v>
      </c>
      <c r="M534" s="243" t="e">
        <f ca="1">IF(AND(INDEX(FlowCalConstA,MATCH(J532,FlowCalNumber,0),1,1)*L534^INDEX(FlowCalConstB,MATCH(J532,FlowCalNumber,0),1,1)&gt;INDEX(FlowCalLowSetting,MATCH(J532,FlowCalNumber,0),1,1), (INDEX(FlowCalConstA,MATCH(J532,FlowCalNumber,0),1,1)*L534^INDEX(FlowCalConstB,MATCH(J532,FlowCalNumber,0),1,1)&lt;INDEX(FlowCalHighSetting,MATCH(J532,FlowCalNumber,0),1,1))),INDEX(FlowCalConstA,MATCH(J532,FlowCalNumber,0),1,1)*L534^INDEX(FlowCalConstB,MATCH(J532,FlowCalNumber,0),1,1)," ")</f>
        <v>#N/A</v>
      </c>
      <c r="N534" s="33"/>
      <c r="O534" s="242">
        <f t="shared" ref="O534:O547" si="506">O533</f>
        <v>1</v>
      </c>
      <c r="P534" s="241" t="e">
        <f t="shared" ref="P534:P547" ca="1" si="507">O534*$H534</f>
        <v>#VALUE!</v>
      </c>
      <c r="Q534" s="243" t="e">
        <f ca="1">IF(AND(INDEX(FlowCalConstA,MATCH(N532,FlowCalNumber,0),1,1)*P534^INDEX(FlowCalConstB,MATCH(N532,FlowCalNumber,0),1,1)&gt;INDEX(FlowCalLowSetting,MATCH(N532,FlowCalNumber,0),1,1), (INDEX(FlowCalConstA,MATCH(N532,FlowCalNumber,0),1,1)*P534^INDEX(FlowCalConstB,MATCH(N532,FlowCalNumber,0),1,1)&lt;INDEX(FlowCalHighSetting,MATCH(N532,FlowCalNumber,0),1,1))),INDEX(FlowCalConstA,MATCH(N532,FlowCalNumber,0),1,1)*P534^INDEX(FlowCalConstB,MATCH(N532,FlowCalNumber,0),1,1)," ")</f>
        <v>#N/A</v>
      </c>
      <c r="R534" s="33"/>
      <c r="S534" s="242">
        <f t="shared" ref="S534:S547" si="508">S533</f>
        <v>1</v>
      </c>
      <c r="T534" s="241" t="e">
        <f t="shared" ref="T534:T547" ca="1" si="509">S534*$H534</f>
        <v>#VALUE!</v>
      </c>
      <c r="U534" s="244" t="e">
        <f ca="1">IF(AND(INDEX(FlowCalConstA,MATCH(R532,FlowCalNumber,0),1,1)*T534^INDEX(FlowCalConstB,MATCH(R532,FlowCalNumber,0),1,1)&gt;INDEX(FlowCalLowSetting,MATCH(R532,FlowCalNumber,0),1,1), (INDEX(FlowCalConstA,MATCH(R532,FlowCalNumber,0),1,1)*T534^INDEX(FlowCalConstB,MATCH(R532,FlowCalNumber,0),1,1)&lt;INDEX(FlowCalHighSetting,MATCH(R532,FlowCalNumber,0),1,1))),INDEX(FlowCalConstA,MATCH(R532,FlowCalNumber,0),1,1)*T534^INDEX(FlowCalConstB,MATCH(R532,FlowCalNumber,0),1,1)," ")</f>
        <v>#N/A</v>
      </c>
      <c r="V534" s="33"/>
      <c r="W534" s="242">
        <f t="shared" ref="W534:W547" si="510">W533</f>
        <v>0.1</v>
      </c>
      <c r="X534" s="241" t="e">
        <f t="shared" ref="X534:X547" ca="1" si="511">W534*$H534</f>
        <v>#VALUE!</v>
      </c>
      <c r="Y534" s="243" t="e">
        <f ca="1">IF(AND(INDEX(FlowCalConstA,MATCH(V532,FlowCalNumber,0),1,1)*X534^INDEX(FlowCalConstB,MATCH(V532,FlowCalNumber,0),1,1)&gt;INDEX(FlowCalLowSetting,MATCH(V532,FlowCalNumber,0),1,1), (INDEX(FlowCalConstA,MATCH(V532,FlowCalNumber,0),1,1)*X534^INDEX(FlowCalConstB,MATCH(V532,FlowCalNumber,0),1,1)&lt;INDEX(FlowCalHighSetting,MATCH(V532,FlowCalNumber,0),1,1))),INDEX(FlowCalConstA,MATCH(V532,FlowCalNumber,0),1,1)*X534^INDEX(FlowCalConstB,MATCH(V532,FlowCalNumber,0),1,1)," ")</f>
        <v>#N/A</v>
      </c>
      <c r="Z534" s="33"/>
      <c r="AA534" s="242">
        <f t="shared" ref="AA534:AA547" si="512">AA533</f>
        <v>0.9</v>
      </c>
      <c r="AB534" s="241" t="e">
        <f t="shared" ref="AB534:AB547" ca="1" si="513">AA534*$H534</f>
        <v>#VALUE!</v>
      </c>
      <c r="AC534" s="243" t="e">
        <f ca="1">IF(AND(INDEX(FlowCalConstA,MATCH(Z532,FlowCalNumber,0),1,1)*AB534^INDEX(FlowCalConstB,MATCH(Z532,FlowCalNumber,0),1,1)&gt;INDEX(FlowCalLowSetting,MATCH(Z532,FlowCalNumber,0),1,1), (INDEX(FlowCalConstA,MATCH(Z532,FlowCalNumber,0),1,1)*AB534^INDEX(FlowCalConstB,MATCH(Z532,FlowCalNumber,0),1,1)&lt;INDEX(FlowCalHighSetting,MATCH(Z532,FlowCalNumber,0),1,1))),INDEX(FlowCalConstA,MATCH(Z532,FlowCalNumber,0),1,1)*AB534^INDEX(FlowCalConstB,MATCH(Z532,FlowCalNumber,0),1,1)," ")</f>
        <v>#N/A</v>
      </c>
      <c r="AD534" s="33"/>
      <c r="AE534" s="242">
        <f t="shared" ref="AE534:AE547" si="514">AE533</f>
        <v>0.1</v>
      </c>
      <c r="AF534" s="241" t="e">
        <f t="shared" ref="AF534:AF547" ca="1" si="515">AE534*$H534</f>
        <v>#VALUE!</v>
      </c>
      <c r="AG534" s="243" t="e">
        <f ca="1">IF(AND(INDEX(FlowCalConstA,MATCH(AD532,FlowCalNumber,0),1,1)*AF534^INDEX(FlowCalConstB,MATCH(AD532,FlowCalNumber,0),1,1)&gt;INDEX(FlowCalLowSetting,MATCH(AD532,FlowCalNumber,0),1,1), (INDEX(FlowCalConstA,MATCH(AD532,FlowCalNumber,0),1,1)*AF534^INDEX(FlowCalConstB,MATCH(AD532,FlowCalNumber,0),1,1)&lt;INDEX(FlowCalHighSetting,MATCH(AD532,FlowCalNumber,0),1,1))),INDEX(FlowCalConstA,MATCH(AD532,FlowCalNumber,0),1,1)*AF534^INDEX(FlowCalConstB,MATCH(AD532,FlowCalNumber,0),1,1)," ")</f>
        <v>#N/A</v>
      </c>
      <c r="AH534" s="33"/>
      <c r="AI534" s="242">
        <f t="shared" ref="AI534:AI547" si="516">AI533</f>
        <v>0.9</v>
      </c>
      <c r="AJ534" s="241" t="e">
        <f t="shared" ref="AJ534:AJ547" ca="1" si="517">AI534*$H534</f>
        <v>#VALUE!</v>
      </c>
      <c r="AK534" s="243" t="e">
        <f ca="1">IF(AND(INDEX(FlowCalConstA,MATCH(AH532,FlowCalNumber,0),1,1)*AJ534^INDEX(FlowCalConstB,MATCH(AH532,FlowCalNumber,0),1,1)&gt;INDEX(FlowCalLowSetting,MATCH(AH532,FlowCalNumber,0),1,1), (INDEX(FlowCalConstA,MATCH(AH532,FlowCalNumber,0),1,1)*AJ534^INDEX(FlowCalConstB,MATCH(AH532,FlowCalNumber,0),1,1)&lt;INDEX(FlowCalHighSetting,MATCH(AH532,FlowCalNumber,0),1,1))),INDEX(FlowCalConstA,MATCH(AH532,FlowCalNumber,0),1,1)*AJ534^INDEX(FlowCalConstB,MATCH(AH532,FlowCalNumber,0),1,1)," ")</f>
        <v>#N/A</v>
      </c>
      <c r="AL534" s="33"/>
      <c r="AM534" s="242"/>
      <c r="AN534" s="241"/>
      <c r="AO534" s="244"/>
      <c r="AQ534" s="242"/>
      <c r="AR534" s="241"/>
      <c r="AS534" s="244"/>
      <c r="AT534" s="33"/>
      <c r="AU534" s="242"/>
      <c r="AV534" s="241"/>
      <c r="AW534" s="244"/>
      <c r="AX534" s="33"/>
      <c r="AY534" s="242"/>
      <c r="AZ534" s="241"/>
      <c r="BA534" s="244"/>
      <c r="BB534" s="33"/>
      <c r="BC534" s="242"/>
      <c r="BD534" s="241"/>
      <c r="BE534" s="244"/>
      <c r="BF534" s="33"/>
      <c r="BG534" s="242"/>
      <c r="BH534" s="241"/>
      <c r="BI534" s="244"/>
      <c r="BJ534" s="33"/>
      <c r="BK534" s="242"/>
      <c r="BL534" s="241"/>
      <c r="BM534" s="244"/>
      <c r="BN534" s="33"/>
      <c r="BO534" s="242"/>
      <c r="BP534" s="241"/>
      <c r="BQ534" s="244"/>
      <c r="BR534" s="33"/>
      <c r="BS534" s="242"/>
      <c r="BT534" s="241"/>
      <c r="BU534" s="244"/>
      <c r="BV534" s="33"/>
      <c r="BW534" s="242"/>
      <c r="BX534" s="241"/>
      <c r="BY534" s="244"/>
      <c r="BZ534" s="33"/>
      <c r="CA534" s="242"/>
      <c r="CB534" s="241"/>
      <c r="CC534" s="244"/>
      <c r="CD534" s="243"/>
      <c r="CE534" s="243"/>
      <c r="CF534" s="243"/>
      <c r="CG534" s="243"/>
      <c r="CH534" s="243"/>
      <c r="CI534" s="243"/>
      <c r="CJ534" s="243"/>
      <c r="CK534" s="243"/>
      <c r="CL534" s="243"/>
      <c r="CM534" s="243"/>
      <c r="CN534" s="243"/>
      <c r="CO534" s="243"/>
      <c r="CP534" s="243"/>
      <c r="CQ534" s="243"/>
      <c r="CR534" s="243"/>
      <c r="CS534" s="243"/>
      <c r="CT534" s="243"/>
      <c r="CU534" s="243"/>
      <c r="CV534" s="243"/>
      <c r="CW534" s="243"/>
      <c r="CX534" s="243"/>
      <c r="CY534" s="243"/>
      <c r="CZ534" s="243"/>
      <c r="DA534" s="243"/>
      <c r="DB534" s="243"/>
      <c r="DC534" s="243"/>
      <c r="DD534" s="243"/>
      <c r="DE534" s="243"/>
      <c r="DF534" s="243"/>
      <c r="DG534" s="243"/>
      <c r="DH534" s="243"/>
      <c r="DI534" s="243"/>
      <c r="DJ534" s="243"/>
      <c r="DK534" s="243"/>
      <c r="DM534" s="242"/>
      <c r="DO534" s="243"/>
      <c r="DQ534" s="242"/>
      <c r="DS534" s="243"/>
      <c r="DU534" s="242"/>
      <c r="DW534" s="243"/>
      <c r="DY534" s="242"/>
      <c r="EA534" s="243"/>
    </row>
    <row r="535" spans="1:131">
      <c r="A535" s="20"/>
      <c r="B535" s="124" t="str">
        <f t="shared" si="502"/>
        <v/>
      </c>
      <c r="C535" s="235"/>
      <c r="D535" s="24">
        <f>'1% Wind'!$M$84</f>
        <v>20.5</v>
      </c>
      <c r="E535" s="90"/>
      <c r="F535" s="90"/>
      <c r="G535" s="79">
        <f ca="1">IF(I532=0.9743,$G534,MAX(G534/D534*D535,2))</f>
        <v>6.001707317073171</v>
      </c>
      <c r="H535" s="121" t="e">
        <f t="shared" ca="1" si="503"/>
        <v>#VALUE!</v>
      </c>
      <c r="J535" s="33"/>
      <c r="K535" s="242">
        <f t="shared" si="504"/>
        <v>1</v>
      </c>
      <c r="L535" s="241" t="e">
        <f t="shared" ca="1" si="505"/>
        <v>#VALUE!</v>
      </c>
      <c r="M535" s="243" t="e">
        <f ca="1">IF(AND(INDEX(FlowCalConstA,MATCH(J532,FlowCalNumber,0),1,1)*L535^INDEX(FlowCalConstB,MATCH(J532,FlowCalNumber,0),1,1)&gt;INDEX(FlowCalLowSetting,MATCH(J532,FlowCalNumber,0),1,1), (INDEX(FlowCalConstA,MATCH(J532,FlowCalNumber,0),1,1)*L535^INDEX(FlowCalConstB,MATCH(J532,FlowCalNumber,0),1,1)&lt;INDEX(FlowCalHighSetting,MATCH(J532,FlowCalNumber,0),1,1))),INDEX(FlowCalConstA,MATCH(J532,FlowCalNumber,0),1,1)*L535^INDEX(FlowCalConstB,MATCH(J532,FlowCalNumber,0),1,1)," ")</f>
        <v>#N/A</v>
      </c>
      <c r="N535" s="33"/>
      <c r="O535" s="242">
        <f t="shared" si="506"/>
        <v>1</v>
      </c>
      <c r="P535" s="241" t="e">
        <f t="shared" ca="1" si="507"/>
        <v>#VALUE!</v>
      </c>
      <c r="Q535" s="243" t="e">
        <f ca="1">IF(AND(INDEX(FlowCalConstA,MATCH(N532,FlowCalNumber,0),1,1)*P535^INDEX(FlowCalConstB,MATCH(N532,FlowCalNumber,0),1,1)&gt;INDEX(FlowCalLowSetting,MATCH(N532,FlowCalNumber,0),1,1), (INDEX(FlowCalConstA,MATCH(N532,FlowCalNumber,0),1,1)*P535^INDEX(FlowCalConstB,MATCH(N532,FlowCalNumber,0),1,1)&lt;INDEX(FlowCalHighSetting,MATCH(N532,FlowCalNumber,0),1,1))),INDEX(FlowCalConstA,MATCH(N532,FlowCalNumber,0),1,1)*P535^INDEX(FlowCalConstB,MATCH(N532,FlowCalNumber,0),1,1)," ")</f>
        <v>#N/A</v>
      </c>
      <c r="R535" s="33"/>
      <c r="S535" s="242">
        <f t="shared" si="508"/>
        <v>1</v>
      </c>
      <c r="T535" s="241" t="e">
        <f t="shared" ca="1" si="509"/>
        <v>#VALUE!</v>
      </c>
      <c r="U535" s="244" t="e">
        <f ca="1">IF(AND(INDEX(FlowCalConstA,MATCH(R532,FlowCalNumber,0),1,1)*T535^INDEX(FlowCalConstB,MATCH(R532,FlowCalNumber,0),1,1)&gt;INDEX(FlowCalLowSetting,MATCH(R532,FlowCalNumber,0),1,1), (INDEX(FlowCalConstA,MATCH(R532,FlowCalNumber,0),1,1)*T535^INDEX(FlowCalConstB,MATCH(R532,FlowCalNumber,0),1,1)&lt;INDEX(FlowCalHighSetting,MATCH(R532,FlowCalNumber,0),1,1))),INDEX(FlowCalConstA,MATCH(R532,FlowCalNumber,0),1,1)*T535^INDEX(FlowCalConstB,MATCH(R532,FlowCalNumber,0),1,1)," ")</f>
        <v>#N/A</v>
      </c>
      <c r="V535" s="33"/>
      <c r="W535" s="242">
        <f t="shared" si="510"/>
        <v>0.1</v>
      </c>
      <c r="X535" s="241" t="e">
        <f t="shared" ca="1" si="511"/>
        <v>#VALUE!</v>
      </c>
      <c r="Y535" s="243" t="e">
        <f ca="1">IF(AND(INDEX(FlowCalConstA,MATCH(V532,FlowCalNumber,0),1,1)*X535^INDEX(FlowCalConstB,MATCH(V532,FlowCalNumber,0),1,1)&gt;INDEX(FlowCalLowSetting,MATCH(V532,FlowCalNumber,0),1,1), (INDEX(FlowCalConstA,MATCH(V532,FlowCalNumber,0),1,1)*X535^INDEX(FlowCalConstB,MATCH(V532,FlowCalNumber,0),1,1)&lt;INDEX(FlowCalHighSetting,MATCH(V532,FlowCalNumber,0),1,1))),INDEX(FlowCalConstA,MATCH(V532,FlowCalNumber,0),1,1)*X535^INDEX(FlowCalConstB,MATCH(V532,FlowCalNumber,0),1,1)," ")</f>
        <v>#N/A</v>
      </c>
      <c r="Z535" s="33"/>
      <c r="AA535" s="242">
        <f t="shared" si="512"/>
        <v>0.9</v>
      </c>
      <c r="AB535" s="241" t="e">
        <f t="shared" ca="1" si="513"/>
        <v>#VALUE!</v>
      </c>
      <c r="AC535" s="243" t="e">
        <f ca="1">IF(AND(INDEX(FlowCalConstA,MATCH(Z532,FlowCalNumber,0),1,1)*AB535^INDEX(FlowCalConstB,MATCH(Z532,FlowCalNumber,0),1,1)&gt;INDEX(FlowCalLowSetting,MATCH(Z532,FlowCalNumber,0),1,1), (INDEX(FlowCalConstA,MATCH(Z532,FlowCalNumber,0),1,1)*AB535^INDEX(FlowCalConstB,MATCH(Z532,FlowCalNumber,0),1,1)&lt;INDEX(FlowCalHighSetting,MATCH(Z532,FlowCalNumber,0),1,1))),INDEX(FlowCalConstA,MATCH(Z532,FlowCalNumber,0),1,1)*AB535^INDEX(FlowCalConstB,MATCH(Z532,FlowCalNumber,0),1,1)," ")</f>
        <v>#N/A</v>
      </c>
      <c r="AD535" s="33"/>
      <c r="AE535" s="242">
        <f t="shared" si="514"/>
        <v>0.1</v>
      </c>
      <c r="AF535" s="241" t="e">
        <f t="shared" ca="1" si="515"/>
        <v>#VALUE!</v>
      </c>
      <c r="AG535" s="243" t="e">
        <f ca="1">IF(AND(INDEX(FlowCalConstA,MATCH(AD532,FlowCalNumber,0),1,1)*AF535^INDEX(FlowCalConstB,MATCH(AD532,FlowCalNumber,0),1,1)&gt;INDEX(FlowCalLowSetting,MATCH(AD532,FlowCalNumber,0),1,1), (INDEX(FlowCalConstA,MATCH(AD532,FlowCalNumber,0),1,1)*AF535^INDEX(FlowCalConstB,MATCH(AD532,FlowCalNumber,0),1,1)&lt;INDEX(FlowCalHighSetting,MATCH(AD532,FlowCalNumber,0),1,1))),INDEX(FlowCalConstA,MATCH(AD532,FlowCalNumber,0),1,1)*AF535^INDEX(FlowCalConstB,MATCH(AD532,FlowCalNumber,0),1,1)," ")</f>
        <v>#N/A</v>
      </c>
      <c r="AH535" s="33"/>
      <c r="AI535" s="242">
        <f t="shared" si="516"/>
        <v>0.9</v>
      </c>
      <c r="AJ535" s="241" t="e">
        <f t="shared" ca="1" si="517"/>
        <v>#VALUE!</v>
      </c>
      <c r="AK535" s="243" t="e">
        <f ca="1">IF(AND(INDEX(FlowCalConstA,MATCH(AH532,FlowCalNumber,0),1,1)*AJ535^INDEX(FlowCalConstB,MATCH(AH532,FlowCalNumber,0),1,1)&gt;INDEX(FlowCalLowSetting,MATCH(AH532,FlowCalNumber,0),1,1), (INDEX(FlowCalConstA,MATCH(AH532,FlowCalNumber,0),1,1)*AJ535^INDEX(FlowCalConstB,MATCH(AH532,FlowCalNumber,0),1,1)&lt;INDEX(FlowCalHighSetting,MATCH(AH532,FlowCalNumber,0),1,1))),INDEX(FlowCalConstA,MATCH(AH532,FlowCalNumber,0),1,1)*AJ535^INDEX(FlowCalConstB,MATCH(AH532,FlowCalNumber,0),1,1)," ")</f>
        <v>#N/A</v>
      </c>
      <c r="AL535" s="33"/>
      <c r="AM535" s="242"/>
      <c r="AN535" s="241"/>
      <c r="AO535" s="244"/>
      <c r="AQ535" s="242"/>
      <c r="AR535" s="241"/>
      <c r="AS535" s="244"/>
      <c r="AT535" s="33"/>
      <c r="AU535" s="242"/>
      <c r="AV535" s="241"/>
      <c r="AW535" s="244"/>
      <c r="AX535" s="33"/>
      <c r="AY535" s="242"/>
      <c r="AZ535" s="241"/>
      <c r="BA535" s="244"/>
      <c r="BB535" s="33"/>
      <c r="BC535" s="242"/>
      <c r="BD535" s="241"/>
      <c r="BE535" s="244"/>
      <c r="BF535" s="33"/>
      <c r="BG535" s="242"/>
      <c r="BH535" s="241"/>
      <c r="BI535" s="244"/>
      <c r="BJ535" s="33"/>
      <c r="BK535" s="242"/>
      <c r="BL535" s="241"/>
      <c r="BM535" s="244"/>
      <c r="BN535" s="33"/>
      <c r="BO535" s="242"/>
      <c r="BP535" s="241"/>
      <c r="BQ535" s="244"/>
      <c r="BR535" s="33"/>
      <c r="BS535" s="242"/>
      <c r="BT535" s="241"/>
      <c r="BU535" s="244"/>
      <c r="BV535" s="33"/>
      <c r="BW535" s="242"/>
      <c r="BX535" s="241"/>
      <c r="BY535" s="244"/>
      <c r="BZ535" s="33"/>
      <c r="CA535" s="242"/>
      <c r="CB535" s="241"/>
      <c r="CC535" s="244"/>
      <c r="CD535" s="243"/>
      <c r="CE535" s="243"/>
      <c r="CF535" s="243"/>
      <c r="CG535" s="243"/>
      <c r="CH535" s="243"/>
      <c r="CI535" s="243"/>
      <c r="CJ535" s="243"/>
      <c r="CK535" s="243"/>
      <c r="CL535" s="243"/>
      <c r="CM535" s="243"/>
      <c r="CN535" s="243"/>
      <c r="CO535" s="243"/>
      <c r="CP535" s="243"/>
      <c r="CQ535" s="243"/>
      <c r="CR535" s="243"/>
      <c r="CS535" s="243"/>
      <c r="CT535" s="243"/>
      <c r="CU535" s="243"/>
      <c r="CV535" s="243"/>
      <c r="CW535" s="243"/>
      <c r="CX535" s="243"/>
      <c r="CY535" s="243"/>
      <c r="CZ535" s="243"/>
      <c r="DA535" s="243"/>
      <c r="DB535" s="243"/>
      <c r="DC535" s="243"/>
      <c r="DD535" s="243"/>
      <c r="DE535" s="243"/>
      <c r="DF535" s="243"/>
      <c r="DG535" s="243"/>
      <c r="DH535" s="243"/>
      <c r="DI535" s="243"/>
      <c r="DJ535" s="243"/>
      <c r="DK535" s="243"/>
      <c r="DM535" s="242"/>
      <c r="DO535" s="243"/>
      <c r="DQ535" s="242"/>
      <c r="DS535" s="243"/>
      <c r="DU535" s="242"/>
      <c r="DW535" s="243"/>
      <c r="DY535" s="242"/>
      <c r="EA535" s="243"/>
    </row>
    <row r="536" spans="1:131">
      <c r="A536" s="20"/>
      <c r="B536" s="124" t="str">
        <f t="shared" si="502"/>
        <v/>
      </c>
      <c r="C536" s="235"/>
      <c r="D536" s="24">
        <f>'1% Wind'!$M$85</f>
        <v>17.8</v>
      </c>
      <c r="E536" s="90"/>
      <c r="F536" s="90"/>
      <c r="G536" s="79">
        <f ca="1">IF(I532=0.9743,$G535,MAX(G535/D535*D536,2))</f>
        <v>6.001707317073171</v>
      </c>
      <c r="H536" s="121" t="e">
        <f t="shared" ca="1" si="503"/>
        <v>#VALUE!</v>
      </c>
      <c r="J536" s="33"/>
      <c r="K536" s="242">
        <f t="shared" si="504"/>
        <v>1</v>
      </c>
      <c r="L536" s="241" t="e">
        <f t="shared" ca="1" si="505"/>
        <v>#VALUE!</v>
      </c>
      <c r="M536" s="243" t="e">
        <f ca="1">IF(AND(INDEX(FlowCalConstA,MATCH(J532,FlowCalNumber,0),1,1)*L536^INDEX(FlowCalConstB,MATCH(J532,FlowCalNumber,0),1,1)&gt;INDEX(FlowCalLowSetting,MATCH(J532,FlowCalNumber,0),1,1), (INDEX(FlowCalConstA,MATCH(J532,FlowCalNumber,0),1,1)*L536^INDEX(FlowCalConstB,MATCH(J532,FlowCalNumber,0),1,1)&lt;INDEX(FlowCalHighSetting,MATCH(J532,FlowCalNumber,0),1,1))),INDEX(FlowCalConstA,MATCH(J532,FlowCalNumber,0),1,1)*L536^INDEX(FlowCalConstB,MATCH(J532,FlowCalNumber,0),1,1)," ")</f>
        <v>#N/A</v>
      </c>
      <c r="N536" s="33"/>
      <c r="O536" s="242">
        <f t="shared" si="506"/>
        <v>1</v>
      </c>
      <c r="P536" s="241" t="e">
        <f t="shared" ca="1" si="507"/>
        <v>#VALUE!</v>
      </c>
      <c r="Q536" s="243" t="e">
        <f ca="1">IF(AND(INDEX(FlowCalConstA,MATCH(N532,FlowCalNumber,0),1,1)*P536^INDEX(FlowCalConstB,MATCH(N532,FlowCalNumber,0),1,1)&gt;INDEX(FlowCalLowSetting,MATCH(N532,FlowCalNumber,0),1,1), (INDEX(FlowCalConstA,MATCH(N532,FlowCalNumber,0),1,1)*P536^INDEX(FlowCalConstB,MATCH(N532,FlowCalNumber,0),1,1)&lt;INDEX(FlowCalHighSetting,MATCH(N532,FlowCalNumber,0),1,1))),INDEX(FlowCalConstA,MATCH(N532,FlowCalNumber,0),1,1)*P536^INDEX(FlowCalConstB,MATCH(N532,FlowCalNumber,0),1,1)," ")</f>
        <v>#N/A</v>
      </c>
      <c r="R536" s="33"/>
      <c r="S536" s="242">
        <f t="shared" si="508"/>
        <v>1</v>
      </c>
      <c r="T536" s="241" t="e">
        <f t="shared" ca="1" si="509"/>
        <v>#VALUE!</v>
      </c>
      <c r="U536" s="244" t="e">
        <f ca="1">IF(AND(INDEX(FlowCalConstA,MATCH(R532,FlowCalNumber,0),1,1)*T536^INDEX(FlowCalConstB,MATCH(R532,FlowCalNumber,0),1,1)&gt;INDEX(FlowCalLowSetting,MATCH(R532,FlowCalNumber,0),1,1), (INDEX(FlowCalConstA,MATCH(R532,FlowCalNumber,0),1,1)*T536^INDEX(FlowCalConstB,MATCH(R532,FlowCalNumber,0),1,1)&lt;INDEX(FlowCalHighSetting,MATCH(R532,FlowCalNumber,0),1,1))),INDEX(FlowCalConstA,MATCH(R532,FlowCalNumber,0),1,1)*T536^INDEX(FlowCalConstB,MATCH(R532,FlowCalNumber,0),1,1)," ")</f>
        <v>#N/A</v>
      </c>
      <c r="V536" s="33"/>
      <c r="W536" s="242">
        <f t="shared" si="510"/>
        <v>0.1</v>
      </c>
      <c r="X536" s="241" t="e">
        <f t="shared" ca="1" si="511"/>
        <v>#VALUE!</v>
      </c>
      <c r="Y536" s="243" t="e">
        <f ca="1">IF(AND(INDEX(FlowCalConstA,MATCH(V532,FlowCalNumber,0),1,1)*X536^INDEX(FlowCalConstB,MATCH(V532,FlowCalNumber,0),1,1)&gt;INDEX(FlowCalLowSetting,MATCH(V532,FlowCalNumber,0),1,1), (INDEX(FlowCalConstA,MATCH(V532,FlowCalNumber,0),1,1)*X536^INDEX(FlowCalConstB,MATCH(V532,FlowCalNumber,0),1,1)&lt;INDEX(FlowCalHighSetting,MATCH(V532,FlowCalNumber,0),1,1))),INDEX(FlowCalConstA,MATCH(V532,FlowCalNumber,0),1,1)*X536^INDEX(FlowCalConstB,MATCH(V532,FlowCalNumber,0),1,1)," ")</f>
        <v>#N/A</v>
      </c>
      <c r="Z536" s="33"/>
      <c r="AA536" s="242">
        <f t="shared" si="512"/>
        <v>0.9</v>
      </c>
      <c r="AB536" s="241" t="e">
        <f t="shared" ca="1" si="513"/>
        <v>#VALUE!</v>
      </c>
      <c r="AC536" s="243" t="e">
        <f ca="1">IF(AND(INDEX(FlowCalConstA,MATCH(Z532,FlowCalNumber,0),1,1)*AB536^INDEX(FlowCalConstB,MATCH(Z532,FlowCalNumber,0),1,1)&gt;INDEX(FlowCalLowSetting,MATCH(Z532,FlowCalNumber,0),1,1), (INDEX(FlowCalConstA,MATCH(Z532,FlowCalNumber,0),1,1)*AB536^INDEX(FlowCalConstB,MATCH(Z532,FlowCalNumber,0),1,1)&lt;INDEX(FlowCalHighSetting,MATCH(Z532,FlowCalNumber,0),1,1))),INDEX(FlowCalConstA,MATCH(Z532,FlowCalNumber,0),1,1)*AB536^INDEX(FlowCalConstB,MATCH(Z532,FlowCalNumber,0),1,1)," ")</f>
        <v>#N/A</v>
      </c>
      <c r="AD536" s="33"/>
      <c r="AE536" s="242">
        <f t="shared" si="514"/>
        <v>0.1</v>
      </c>
      <c r="AF536" s="241" t="e">
        <f t="shared" ca="1" si="515"/>
        <v>#VALUE!</v>
      </c>
      <c r="AG536" s="243" t="e">
        <f ca="1">IF(AND(INDEX(FlowCalConstA,MATCH(AD532,FlowCalNumber,0),1,1)*AF536^INDEX(FlowCalConstB,MATCH(AD532,FlowCalNumber,0),1,1)&gt;INDEX(FlowCalLowSetting,MATCH(AD532,FlowCalNumber,0),1,1), (INDEX(FlowCalConstA,MATCH(AD532,FlowCalNumber,0),1,1)*AF536^INDEX(FlowCalConstB,MATCH(AD532,FlowCalNumber,0),1,1)&lt;INDEX(FlowCalHighSetting,MATCH(AD532,FlowCalNumber,0),1,1))),INDEX(FlowCalConstA,MATCH(AD532,FlowCalNumber,0),1,1)*AF536^INDEX(FlowCalConstB,MATCH(AD532,FlowCalNumber,0),1,1)," ")</f>
        <v>#N/A</v>
      </c>
      <c r="AH536" s="33"/>
      <c r="AI536" s="242">
        <f t="shared" si="516"/>
        <v>0.9</v>
      </c>
      <c r="AJ536" s="241" t="e">
        <f t="shared" ca="1" si="517"/>
        <v>#VALUE!</v>
      </c>
      <c r="AK536" s="243" t="e">
        <f ca="1">IF(AND(INDEX(FlowCalConstA,MATCH(AH532,FlowCalNumber,0),1,1)*AJ536^INDEX(FlowCalConstB,MATCH(AH532,FlowCalNumber,0),1,1)&gt;INDEX(FlowCalLowSetting,MATCH(AH532,FlowCalNumber,0),1,1), (INDEX(FlowCalConstA,MATCH(AH532,FlowCalNumber,0),1,1)*AJ536^INDEX(FlowCalConstB,MATCH(AH532,FlowCalNumber,0),1,1)&lt;INDEX(FlowCalHighSetting,MATCH(AH532,FlowCalNumber,0),1,1))),INDEX(FlowCalConstA,MATCH(AH532,FlowCalNumber,0),1,1)*AJ536^INDEX(FlowCalConstB,MATCH(AH532,FlowCalNumber,0),1,1)," ")</f>
        <v>#N/A</v>
      </c>
      <c r="AL536" s="33"/>
      <c r="AM536" s="242"/>
      <c r="AN536" s="241"/>
      <c r="AO536" s="244"/>
      <c r="AQ536" s="242"/>
      <c r="AR536" s="241"/>
      <c r="AS536" s="244"/>
      <c r="AT536" s="33"/>
      <c r="AU536" s="242"/>
      <c r="AV536" s="241"/>
      <c r="AW536" s="244"/>
      <c r="AX536" s="33"/>
      <c r="AY536" s="242"/>
      <c r="AZ536" s="241"/>
      <c r="BA536" s="244"/>
      <c r="BB536" s="33"/>
      <c r="BC536" s="242"/>
      <c r="BD536" s="241"/>
      <c r="BE536" s="244"/>
      <c r="BF536" s="33"/>
      <c r="BG536" s="242"/>
      <c r="BH536" s="241"/>
      <c r="BI536" s="244"/>
      <c r="BJ536" s="33"/>
      <c r="BK536" s="242"/>
      <c r="BL536" s="241"/>
      <c r="BM536" s="244"/>
      <c r="BN536" s="33"/>
      <c r="BO536" s="242"/>
      <c r="BP536" s="241"/>
      <c r="BQ536" s="244"/>
      <c r="BR536" s="33"/>
      <c r="BS536" s="242"/>
      <c r="BT536" s="241"/>
      <c r="BU536" s="244"/>
      <c r="BV536" s="33"/>
      <c r="BW536" s="242"/>
      <c r="BX536" s="241"/>
      <c r="BY536" s="244"/>
      <c r="BZ536" s="33"/>
      <c r="CA536" s="242"/>
      <c r="CB536" s="241"/>
      <c r="CC536" s="244"/>
      <c r="CD536" s="243"/>
      <c r="CE536" s="243"/>
      <c r="CF536" s="243"/>
      <c r="CG536" s="243"/>
      <c r="CH536" s="243"/>
      <c r="CI536" s="243"/>
      <c r="CJ536" s="243"/>
      <c r="CK536" s="243"/>
      <c r="CL536" s="243"/>
      <c r="CM536" s="243"/>
      <c r="CN536" s="243"/>
      <c r="CO536" s="243"/>
      <c r="CP536" s="243"/>
      <c r="CQ536" s="243"/>
      <c r="CR536" s="243"/>
      <c r="CS536" s="243"/>
      <c r="CT536" s="243"/>
      <c r="CU536" s="243"/>
      <c r="CV536" s="243"/>
      <c r="CW536" s="243"/>
      <c r="CX536" s="243"/>
      <c r="CY536" s="243"/>
      <c r="CZ536" s="243"/>
      <c r="DA536" s="243"/>
      <c r="DB536" s="243"/>
      <c r="DC536" s="243"/>
      <c r="DD536" s="243"/>
      <c r="DE536" s="243"/>
      <c r="DF536" s="243"/>
      <c r="DG536" s="243"/>
      <c r="DH536" s="243"/>
      <c r="DI536" s="243"/>
      <c r="DJ536" s="243"/>
      <c r="DK536" s="243"/>
      <c r="DM536" s="242"/>
      <c r="DO536" s="243"/>
      <c r="DQ536" s="242"/>
      <c r="DS536" s="243"/>
      <c r="DU536" s="242"/>
      <c r="DW536" s="243"/>
      <c r="DY536" s="242"/>
      <c r="EA536" s="243"/>
    </row>
    <row r="537" spans="1:131">
      <c r="A537" s="20"/>
      <c r="B537" s="124" t="str">
        <f t="shared" si="502"/>
        <v/>
      </c>
      <c r="C537" s="235"/>
      <c r="D537" s="24">
        <f>'1% Wind'!$M$86</f>
        <v>15.5</v>
      </c>
      <c r="E537" s="90"/>
      <c r="F537" s="90"/>
      <c r="G537" s="79">
        <f ca="1">IF(I532=0.9743,$G536,MAX(G536/D536*D537,2))</f>
        <v>6.001707317073171</v>
      </c>
      <c r="H537" s="121" t="e">
        <f t="shared" ca="1" si="503"/>
        <v>#VALUE!</v>
      </c>
      <c r="J537" s="33"/>
      <c r="K537" s="242">
        <f t="shared" si="504"/>
        <v>1</v>
      </c>
      <c r="L537" s="241" t="e">
        <f t="shared" ca="1" si="505"/>
        <v>#VALUE!</v>
      </c>
      <c r="M537" s="243" t="e">
        <f ca="1">IF(AND(INDEX(FlowCalConstA,MATCH(J532,FlowCalNumber,0),1,1)*L537^INDEX(FlowCalConstB,MATCH(J532,FlowCalNumber,0),1,1)&gt;INDEX(FlowCalLowSetting,MATCH(J532,FlowCalNumber,0),1,1), (INDEX(FlowCalConstA,MATCH(J532,FlowCalNumber,0),1,1)*L537^INDEX(FlowCalConstB,MATCH(J532,FlowCalNumber,0),1,1)&lt;INDEX(FlowCalHighSetting,MATCH(J532,FlowCalNumber,0),1,1))),INDEX(FlowCalConstA,MATCH(J532,FlowCalNumber,0),1,1)*L537^INDEX(FlowCalConstB,MATCH(J532,FlowCalNumber,0),1,1)," ")</f>
        <v>#N/A</v>
      </c>
      <c r="N537" s="33"/>
      <c r="O537" s="242">
        <f t="shared" si="506"/>
        <v>1</v>
      </c>
      <c r="P537" s="241" t="e">
        <f t="shared" ca="1" si="507"/>
        <v>#VALUE!</v>
      </c>
      <c r="Q537" s="243" t="e">
        <f ca="1">IF(AND(INDEX(FlowCalConstA,MATCH(N532,FlowCalNumber,0),1,1)*P537^INDEX(FlowCalConstB,MATCH(N532,FlowCalNumber,0),1,1)&gt;INDEX(FlowCalLowSetting,MATCH(N532,FlowCalNumber,0),1,1), (INDEX(FlowCalConstA,MATCH(N532,FlowCalNumber,0),1,1)*P537^INDEX(FlowCalConstB,MATCH(N532,FlowCalNumber,0),1,1)&lt;INDEX(FlowCalHighSetting,MATCH(N532,FlowCalNumber,0),1,1))),INDEX(FlowCalConstA,MATCH(N532,FlowCalNumber,0),1,1)*P537^INDEX(FlowCalConstB,MATCH(N532,FlowCalNumber,0),1,1)," ")</f>
        <v>#N/A</v>
      </c>
      <c r="R537" s="33"/>
      <c r="S537" s="242">
        <f t="shared" si="508"/>
        <v>1</v>
      </c>
      <c r="T537" s="241" t="e">
        <f t="shared" ca="1" si="509"/>
        <v>#VALUE!</v>
      </c>
      <c r="U537" s="244" t="e">
        <f ca="1">IF(AND(INDEX(FlowCalConstA,MATCH(R532,FlowCalNumber,0),1,1)*T537^INDEX(FlowCalConstB,MATCH(R532,FlowCalNumber,0),1,1)&gt;INDEX(FlowCalLowSetting,MATCH(R532,FlowCalNumber,0),1,1), (INDEX(FlowCalConstA,MATCH(R532,FlowCalNumber,0),1,1)*T537^INDEX(FlowCalConstB,MATCH(R532,FlowCalNumber,0),1,1)&lt;INDEX(FlowCalHighSetting,MATCH(R532,FlowCalNumber,0),1,1))),INDEX(FlowCalConstA,MATCH(R532,FlowCalNumber,0),1,1)*T537^INDEX(FlowCalConstB,MATCH(R532,FlowCalNumber,0),1,1)," ")</f>
        <v>#N/A</v>
      </c>
      <c r="V537" s="33"/>
      <c r="W537" s="242">
        <f t="shared" si="510"/>
        <v>0.1</v>
      </c>
      <c r="X537" s="241" t="e">
        <f t="shared" ca="1" si="511"/>
        <v>#VALUE!</v>
      </c>
      <c r="Y537" s="243" t="e">
        <f ca="1">IF(AND(INDEX(FlowCalConstA,MATCH(V532,FlowCalNumber,0),1,1)*X537^INDEX(FlowCalConstB,MATCH(V532,FlowCalNumber,0),1,1)&gt;INDEX(FlowCalLowSetting,MATCH(V532,FlowCalNumber,0),1,1), (INDEX(FlowCalConstA,MATCH(V532,FlowCalNumber,0),1,1)*X537^INDEX(FlowCalConstB,MATCH(V532,FlowCalNumber,0),1,1)&lt;INDEX(FlowCalHighSetting,MATCH(V532,FlowCalNumber,0),1,1))),INDEX(FlowCalConstA,MATCH(V532,FlowCalNumber,0),1,1)*X537^INDEX(FlowCalConstB,MATCH(V532,FlowCalNumber,0),1,1)," ")</f>
        <v>#N/A</v>
      </c>
      <c r="Z537" s="33"/>
      <c r="AA537" s="242">
        <f t="shared" si="512"/>
        <v>0.9</v>
      </c>
      <c r="AB537" s="241" t="e">
        <f t="shared" ca="1" si="513"/>
        <v>#VALUE!</v>
      </c>
      <c r="AC537" s="243" t="e">
        <f ca="1">IF(AND(INDEX(FlowCalConstA,MATCH(Z532,FlowCalNumber,0),1,1)*AB537^INDEX(FlowCalConstB,MATCH(Z532,FlowCalNumber,0),1,1)&gt;INDEX(FlowCalLowSetting,MATCH(Z532,FlowCalNumber,0),1,1), (INDEX(FlowCalConstA,MATCH(Z532,FlowCalNumber,0),1,1)*AB537^INDEX(FlowCalConstB,MATCH(Z532,FlowCalNumber,0),1,1)&lt;INDEX(FlowCalHighSetting,MATCH(Z532,FlowCalNumber,0),1,1))),INDEX(FlowCalConstA,MATCH(Z532,FlowCalNumber,0),1,1)*AB537^INDEX(FlowCalConstB,MATCH(Z532,FlowCalNumber,0),1,1)," ")</f>
        <v>#N/A</v>
      </c>
      <c r="AD537" s="33"/>
      <c r="AE537" s="242">
        <f t="shared" si="514"/>
        <v>0.1</v>
      </c>
      <c r="AF537" s="241" t="e">
        <f t="shared" ca="1" si="515"/>
        <v>#VALUE!</v>
      </c>
      <c r="AG537" s="243" t="e">
        <f ca="1">IF(AND(INDEX(FlowCalConstA,MATCH(AD532,FlowCalNumber,0),1,1)*AF537^INDEX(FlowCalConstB,MATCH(AD532,FlowCalNumber,0),1,1)&gt;INDEX(FlowCalLowSetting,MATCH(AD532,FlowCalNumber,0),1,1), (INDEX(FlowCalConstA,MATCH(AD532,FlowCalNumber,0),1,1)*AF537^INDEX(FlowCalConstB,MATCH(AD532,FlowCalNumber,0),1,1)&lt;INDEX(FlowCalHighSetting,MATCH(AD532,FlowCalNumber,0),1,1))),INDEX(FlowCalConstA,MATCH(AD532,FlowCalNumber,0),1,1)*AF537^INDEX(FlowCalConstB,MATCH(AD532,FlowCalNumber,0),1,1)," ")</f>
        <v>#N/A</v>
      </c>
      <c r="AH537" s="33"/>
      <c r="AI537" s="242">
        <f t="shared" si="516"/>
        <v>0.9</v>
      </c>
      <c r="AJ537" s="241" t="e">
        <f t="shared" ca="1" si="517"/>
        <v>#VALUE!</v>
      </c>
      <c r="AK537" s="243" t="e">
        <f ca="1">IF(AND(INDEX(FlowCalConstA,MATCH(AH532,FlowCalNumber,0),1,1)*AJ537^INDEX(FlowCalConstB,MATCH(AH532,FlowCalNumber,0),1,1)&gt;INDEX(FlowCalLowSetting,MATCH(AH532,FlowCalNumber,0),1,1), (INDEX(FlowCalConstA,MATCH(AH532,FlowCalNumber,0),1,1)*AJ537^INDEX(FlowCalConstB,MATCH(AH532,FlowCalNumber,0),1,1)&lt;INDEX(FlowCalHighSetting,MATCH(AH532,FlowCalNumber,0),1,1))),INDEX(FlowCalConstA,MATCH(AH532,FlowCalNumber,0),1,1)*AJ537^INDEX(FlowCalConstB,MATCH(AH532,FlowCalNumber,0),1,1)," ")</f>
        <v>#N/A</v>
      </c>
      <c r="AL537" s="33"/>
      <c r="AM537" s="242"/>
      <c r="AN537" s="241"/>
      <c r="AO537" s="244"/>
      <c r="AQ537" s="242"/>
      <c r="AR537" s="241"/>
      <c r="AS537" s="244"/>
      <c r="AT537" s="33"/>
      <c r="AU537" s="242"/>
      <c r="AV537" s="241"/>
      <c r="AW537" s="244"/>
      <c r="AX537" s="33"/>
      <c r="AY537" s="242"/>
      <c r="AZ537" s="241"/>
      <c r="BA537" s="244"/>
      <c r="BB537" s="33"/>
      <c r="BC537" s="242"/>
      <c r="BD537" s="241"/>
      <c r="BE537" s="244"/>
      <c r="BF537" s="33"/>
      <c r="BG537" s="242"/>
      <c r="BH537" s="241"/>
      <c r="BI537" s="244"/>
      <c r="BJ537" s="33"/>
      <c r="BK537" s="242"/>
      <c r="BL537" s="241"/>
      <c r="BM537" s="244"/>
      <c r="BN537" s="33"/>
      <c r="BO537" s="242"/>
      <c r="BP537" s="241"/>
      <c r="BQ537" s="244"/>
      <c r="BR537" s="33"/>
      <c r="BS537" s="242"/>
      <c r="BT537" s="241"/>
      <c r="BU537" s="244"/>
      <c r="BV537" s="33"/>
      <c r="BW537" s="242"/>
      <c r="BX537" s="241"/>
      <c r="BY537" s="244"/>
      <c r="BZ537" s="33"/>
      <c r="CA537" s="242"/>
      <c r="CB537" s="241"/>
      <c r="CC537" s="244"/>
      <c r="CD537" s="243"/>
      <c r="CE537" s="243"/>
      <c r="CF537" s="243"/>
      <c r="CG537" s="243"/>
      <c r="CH537" s="243"/>
      <c r="CI537" s="243"/>
      <c r="CJ537" s="243"/>
      <c r="CK537" s="243"/>
      <c r="CL537" s="243"/>
      <c r="CM537" s="243"/>
      <c r="CN537" s="243"/>
      <c r="CO537" s="243"/>
      <c r="CP537" s="243"/>
      <c r="CQ537" s="243"/>
      <c r="CR537" s="243"/>
      <c r="CS537" s="243"/>
      <c r="CT537" s="243"/>
      <c r="CU537" s="243"/>
      <c r="CV537" s="243"/>
      <c r="CW537" s="243"/>
      <c r="CX537" s="243"/>
      <c r="CY537" s="243"/>
      <c r="CZ537" s="243"/>
      <c r="DA537" s="243"/>
      <c r="DB537" s="243"/>
      <c r="DC537" s="243"/>
      <c r="DD537" s="243"/>
      <c r="DE537" s="243"/>
      <c r="DF537" s="243"/>
      <c r="DG537" s="243"/>
      <c r="DH537" s="243"/>
      <c r="DI537" s="243"/>
      <c r="DJ537" s="243"/>
      <c r="DK537" s="243"/>
      <c r="DM537" s="242"/>
      <c r="DO537" s="243"/>
      <c r="DQ537" s="242"/>
      <c r="DS537" s="243"/>
      <c r="DU537" s="242"/>
      <c r="DW537" s="243"/>
      <c r="DY537" s="242"/>
      <c r="EA537" s="243"/>
    </row>
    <row r="538" spans="1:131">
      <c r="A538" s="20"/>
      <c r="B538" s="124" t="str">
        <f t="shared" si="502"/>
        <v/>
      </c>
      <c r="C538" s="235"/>
      <c r="D538" s="24">
        <f>'1% Wind'!$M$87</f>
        <v>13.5</v>
      </c>
      <c r="E538" s="90"/>
      <c r="F538" s="90"/>
      <c r="G538" s="79">
        <f ca="1">IF(I532=0.9743,$G537,MAX(G537/D537*D538,2))</f>
        <v>6.001707317073171</v>
      </c>
      <c r="H538" s="121" t="e">
        <f t="shared" ca="1" si="503"/>
        <v>#VALUE!</v>
      </c>
      <c r="J538" s="33"/>
      <c r="K538" s="242">
        <f t="shared" si="504"/>
        <v>1</v>
      </c>
      <c r="L538" s="241" t="e">
        <f t="shared" ca="1" si="505"/>
        <v>#VALUE!</v>
      </c>
      <c r="M538" s="243" t="e">
        <f ca="1">IF(AND(INDEX(FlowCalConstA,MATCH(J532,FlowCalNumber,0),1,1)*L538^INDEX(FlowCalConstB,MATCH(J532,FlowCalNumber,0),1,1)&gt;INDEX(FlowCalLowSetting,MATCH(J532,FlowCalNumber,0),1,1), (INDEX(FlowCalConstA,MATCH(J532,FlowCalNumber,0),1,1)*L538^INDEX(FlowCalConstB,MATCH(J532,FlowCalNumber,0),1,1)&lt;INDEX(FlowCalHighSetting,MATCH(J532,FlowCalNumber,0),1,1))),INDEX(FlowCalConstA,MATCH(J532,FlowCalNumber,0),1,1)*L538^INDEX(FlowCalConstB,MATCH(J532,FlowCalNumber,0),1,1)," ")</f>
        <v>#N/A</v>
      </c>
      <c r="N538" s="33"/>
      <c r="O538" s="242">
        <f t="shared" si="506"/>
        <v>1</v>
      </c>
      <c r="P538" s="241" t="e">
        <f t="shared" ca="1" si="507"/>
        <v>#VALUE!</v>
      </c>
      <c r="Q538" s="243" t="e">
        <f ca="1">IF(AND(INDEX(FlowCalConstA,MATCH(N532,FlowCalNumber,0),1,1)*P538^INDEX(FlowCalConstB,MATCH(N532,FlowCalNumber,0),1,1)&gt;INDEX(FlowCalLowSetting,MATCH(N532,FlowCalNumber,0),1,1), (INDEX(FlowCalConstA,MATCH(N532,FlowCalNumber,0),1,1)*P538^INDEX(FlowCalConstB,MATCH(N532,FlowCalNumber,0),1,1)&lt;INDEX(FlowCalHighSetting,MATCH(N532,FlowCalNumber,0),1,1))),INDEX(FlowCalConstA,MATCH(N532,FlowCalNumber,0),1,1)*P538^INDEX(FlowCalConstB,MATCH(N532,FlowCalNumber,0),1,1)," ")</f>
        <v>#N/A</v>
      </c>
      <c r="R538" s="33"/>
      <c r="S538" s="242">
        <f t="shared" si="508"/>
        <v>1</v>
      </c>
      <c r="T538" s="241" t="e">
        <f t="shared" ca="1" si="509"/>
        <v>#VALUE!</v>
      </c>
      <c r="U538" s="244" t="e">
        <f ca="1">IF(AND(INDEX(FlowCalConstA,MATCH(R532,FlowCalNumber,0),1,1)*T538^INDEX(FlowCalConstB,MATCH(R532,FlowCalNumber,0),1,1)&gt;INDEX(FlowCalLowSetting,MATCH(R532,FlowCalNumber,0),1,1), (INDEX(FlowCalConstA,MATCH(R532,FlowCalNumber,0),1,1)*T538^INDEX(FlowCalConstB,MATCH(R532,FlowCalNumber,0),1,1)&lt;INDEX(FlowCalHighSetting,MATCH(R532,FlowCalNumber,0),1,1))),INDEX(FlowCalConstA,MATCH(R532,FlowCalNumber,0),1,1)*T538^INDEX(FlowCalConstB,MATCH(R532,FlowCalNumber,0),1,1)," ")</f>
        <v>#N/A</v>
      </c>
      <c r="V538" s="33"/>
      <c r="W538" s="242">
        <f t="shared" si="510"/>
        <v>0.1</v>
      </c>
      <c r="X538" s="241" t="e">
        <f t="shared" ca="1" si="511"/>
        <v>#VALUE!</v>
      </c>
      <c r="Y538" s="243" t="e">
        <f ca="1">IF(AND(INDEX(FlowCalConstA,MATCH(V532,FlowCalNumber,0),1,1)*X538^INDEX(FlowCalConstB,MATCH(V532,FlowCalNumber,0),1,1)&gt;INDEX(FlowCalLowSetting,MATCH(V532,FlowCalNumber,0),1,1), (INDEX(FlowCalConstA,MATCH(V532,FlowCalNumber,0),1,1)*X538^INDEX(FlowCalConstB,MATCH(V532,FlowCalNumber,0),1,1)&lt;INDEX(FlowCalHighSetting,MATCH(V532,FlowCalNumber,0),1,1))),INDEX(FlowCalConstA,MATCH(V532,FlowCalNumber,0),1,1)*X538^INDEX(FlowCalConstB,MATCH(V532,FlowCalNumber,0),1,1)," ")</f>
        <v>#N/A</v>
      </c>
      <c r="Z538" s="33"/>
      <c r="AA538" s="242">
        <f t="shared" si="512"/>
        <v>0.9</v>
      </c>
      <c r="AB538" s="241" t="e">
        <f t="shared" ca="1" si="513"/>
        <v>#VALUE!</v>
      </c>
      <c r="AC538" s="243" t="e">
        <f ca="1">IF(AND(INDEX(FlowCalConstA,MATCH(Z532,FlowCalNumber,0),1,1)*AB538^INDEX(FlowCalConstB,MATCH(Z532,FlowCalNumber,0),1,1)&gt;INDEX(FlowCalLowSetting,MATCH(Z532,FlowCalNumber,0),1,1), (INDEX(FlowCalConstA,MATCH(Z532,FlowCalNumber,0),1,1)*AB538^INDEX(FlowCalConstB,MATCH(Z532,FlowCalNumber,0),1,1)&lt;INDEX(FlowCalHighSetting,MATCH(Z532,FlowCalNumber,0),1,1))),INDEX(FlowCalConstA,MATCH(Z532,FlowCalNumber,0),1,1)*AB538^INDEX(FlowCalConstB,MATCH(Z532,FlowCalNumber,0),1,1)," ")</f>
        <v>#N/A</v>
      </c>
      <c r="AD538" s="33"/>
      <c r="AE538" s="242">
        <f t="shared" si="514"/>
        <v>0.1</v>
      </c>
      <c r="AF538" s="241" t="e">
        <f t="shared" ca="1" si="515"/>
        <v>#VALUE!</v>
      </c>
      <c r="AG538" s="243" t="e">
        <f ca="1">IF(AND(INDEX(FlowCalConstA,MATCH(AD532,FlowCalNumber,0),1,1)*AF538^INDEX(FlowCalConstB,MATCH(AD532,FlowCalNumber,0),1,1)&gt;INDEX(FlowCalLowSetting,MATCH(AD532,FlowCalNumber,0),1,1), (INDEX(FlowCalConstA,MATCH(AD532,FlowCalNumber,0),1,1)*AF538^INDEX(FlowCalConstB,MATCH(AD532,FlowCalNumber,0),1,1)&lt;INDEX(FlowCalHighSetting,MATCH(AD532,FlowCalNumber,0),1,1))),INDEX(FlowCalConstA,MATCH(AD532,FlowCalNumber,0),1,1)*AF538^INDEX(FlowCalConstB,MATCH(AD532,FlowCalNumber,0),1,1)," ")</f>
        <v>#N/A</v>
      </c>
      <c r="AH538" s="33"/>
      <c r="AI538" s="242">
        <f t="shared" si="516"/>
        <v>0.9</v>
      </c>
      <c r="AJ538" s="241" t="e">
        <f t="shared" ca="1" si="517"/>
        <v>#VALUE!</v>
      </c>
      <c r="AK538" s="243" t="e">
        <f ca="1">IF(AND(INDEX(FlowCalConstA,MATCH(AH532,FlowCalNumber,0),1,1)*AJ538^INDEX(FlowCalConstB,MATCH(AH532,FlowCalNumber,0),1,1)&gt;INDEX(FlowCalLowSetting,MATCH(AH532,FlowCalNumber,0),1,1), (INDEX(FlowCalConstA,MATCH(AH532,FlowCalNumber,0),1,1)*AJ538^INDEX(FlowCalConstB,MATCH(AH532,FlowCalNumber,0),1,1)&lt;INDEX(FlowCalHighSetting,MATCH(AH532,FlowCalNumber,0),1,1))),INDEX(FlowCalConstA,MATCH(AH532,FlowCalNumber,0),1,1)*AJ538^INDEX(FlowCalConstB,MATCH(AH532,FlowCalNumber,0),1,1)," ")</f>
        <v>#N/A</v>
      </c>
      <c r="AL538" s="33"/>
      <c r="AM538" s="242"/>
      <c r="AN538" s="241"/>
      <c r="AO538" s="244"/>
      <c r="AQ538" s="242"/>
      <c r="AR538" s="241"/>
      <c r="AS538" s="244"/>
      <c r="AT538" s="33"/>
      <c r="AU538" s="242"/>
      <c r="AV538" s="241"/>
      <c r="AW538" s="244"/>
      <c r="AX538" s="33"/>
      <c r="AY538" s="242"/>
      <c r="AZ538" s="241"/>
      <c r="BA538" s="244"/>
      <c r="BB538" s="33"/>
      <c r="BC538" s="242"/>
      <c r="BD538" s="241"/>
      <c r="BE538" s="244"/>
      <c r="BF538" s="33"/>
      <c r="BG538" s="242"/>
      <c r="BH538" s="241"/>
      <c r="BI538" s="244"/>
      <c r="BJ538" s="33"/>
      <c r="BK538" s="242"/>
      <c r="BL538" s="241"/>
      <c r="BM538" s="244"/>
      <c r="BN538" s="33"/>
      <c r="BO538" s="242"/>
      <c r="BP538" s="241"/>
      <c r="BQ538" s="244"/>
      <c r="BR538" s="33"/>
      <c r="BS538" s="242"/>
      <c r="BT538" s="241"/>
      <c r="BU538" s="244"/>
      <c r="BV538" s="33"/>
      <c r="BW538" s="242"/>
      <c r="BX538" s="241"/>
      <c r="BY538" s="244"/>
      <c r="BZ538" s="33"/>
      <c r="CA538" s="242"/>
      <c r="CB538" s="241"/>
      <c r="CC538" s="244"/>
      <c r="CD538" s="243"/>
      <c r="CE538" s="243"/>
      <c r="CF538" s="243"/>
      <c r="CG538" s="243"/>
      <c r="CH538" s="243"/>
      <c r="CI538" s="243"/>
      <c r="CJ538" s="243"/>
      <c r="CK538" s="243"/>
      <c r="CL538" s="243"/>
      <c r="CM538" s="243"/>
      <c r="CN538" s="243"/>
      <c r="CO538" s="243"/>
      <c r="CP538" s="243"/>
      <c r="CQ538" s="243"/>
      <c r="CR538" s="243"/>
      <c r="CS538" s="243"/>
      <c r="CT538" s="243"/>
      <c r="CU538" s="243"/>
      <c r="CV538" s="243"/>
      <c r="CW538" s="243"/>
      <c r="CX538" s="243"/>
      <c r="CY538" s="243"/>
      <c r="CZ538" s="243"/>
      <c r="DA538" s="243"/>
      <c r="DB538" s="243"/>
      <c r="DC538" s="243"/>
      <c r="DD538" s="243"/>
      <c r="DE538" s="243"/>
      <c r="DF538" s="243"/>
      <c r="DG538" s="243"/>
      <c r="DH538" s="243"/>
      <c r="DI538" s="243"/>
      <c r="DJ538" s="243"/>
      <c r="DK538" s="243"/>
      <c r="DM538" s="242"/>
      <c r="DO538" s="243"/>
      <c r="DQ538" s="242"/>
      <c r="DS538" s="243"/>
      <c r="DU538" s="242"/>
      <c r="DW538" s="243"/>
      <c r="DY538" s="242"/>
      <c r="EA538" s="243"/>
    </row>
    <row r="539" spans="1:131">
      <c r="A539" s="20"/>
      <c r="B539" s="124" t="str">
        <f t="shared" si="502"/>
        <v/>
      </c>
      <c r="C539" s="235"/>
      <c r="D539" s="24">
        <f>'1% Wind'!$M$88</f>
        <v>10.1</v>
      </c>
      <c r="E539" s="90"/>
      <c r="F539" s="90"/>
      <c r="G539" s="79">
        <f ca="1">IF(I532=0.9743,$G538,MAX(G538/D538*D539,2))</f>
        <v>6.001707317073171</v>
      </c>
      <c r="H539" s="121" t="e">
        <f t="shared" ca="1" si="503"/>
        <v>#VALUE!</v>
      </c>
      <c r="J539" s="33"/>
      <c r="K539" s="242">
        <f t="shared" si="504"/>
        <v>1</v>
      </c>
      <c r="L539" s="241" t="e">
        <f t="shared" ca="1" si="505"/>
        <v>#VALUE!</v>
      </c>
      <c r="M539" s="243" t="e">
        <f ca="1">IF(AND(INDEX(FlowCalConstA,MATCH(J532,FlowCalNumber,0),1,1)*L539^INDEX(FlowCalConstB,MATCH(J532,FlowCalNumber,0),1,1)&gt;INDEX(FlowCalLowSetting,MATCH(J532,FlowCalNumber,0),1,1), (INDEX(FlowCalConstA,MATCH(J532,FlowCalNumber,0),1,1)*L539^INDEX(FlowCalConstB,MATCH(J532,FlowCalNumber,0),1,1)&lt;INDEX(FlowCalHighSetting,MATCH(J532,FlowCalNumber,0),1,1))),INDEX(FlowCalConstA,MATCH(J532,FlowCalNumber,0),1,1)*L539^INDEX(FlowCalConstB,MATCH(J532,FlowCalNumber,0),1,1)," ")</f>
        <v>#N/A</v>
      </c>
      <c r="N539" s="33"/>
      <c r="O539" s="242">
        <f t="shared" si="506"/>
        <v>1</v>
      </c>
      <c r="P539" s="241" t="e">
        <f t="shared" ca="1" si="507"/>
        <v>#VALUE!</v>
      </c>
      <c r="Q539" s="243" t="e">
        <f ca="1">IF(AND(INDEX(FlowCalConstA,MATCH(N532,FlowCalNumber,0),1,1)*P539^INDEX(FlowCalConstB,MATCH(N532,FlowCalNumber,0),1,1)&gt;INDEX(FlowCalLowSetting,MATCH(N532,FlowCalNumber,0),1,1), (INDEX(FlowCalConstA,MATCH(N532,FlowCalNumber,0),1,1)*P539^INDEX(FlowCalConstB,MATCH(N532,FlowCalNumber,0),1,1)&lt;INDEX(FlowCalHighSetting,MATCH(N532,FlowCalNumber,0),1,1))),INDEX(FlowCalConstA,MATCH(N532,FlowCalNumber,0),1,1)*P539^INDEX(FlowCalConstB,MATCH(N532,FlowCalNumber,0),1,1)," ")</f>
        <v>#N/A</v>
      </c>
      <c r="R539" s="33"/>
      <c r="S539" s="242">
        <f t="shared" si="508"/>
        <v>1</v>
      </c>
      <c r="T539" s="241" t="e">
        <f t="shared" ca="1" si="509"/>
        <v>#VALUE!</v>
      </c>
      <c r="U539" s="244" t="e">
        <f ca="1">IF(AND(INDEX(FlowCalConstA,MATCH(R532,FlowCalNumber,0),1,1)*T539^INDEX(FlowCalConstB,MATCH(R532,FlowCalNumber,0),1,1)&gt;INDEX(FlowCalLowSetting,MATCH(R532,FlowCalNumber,0),1,1), (INDEX(FlowCalConstA,MATCH(R532,FlowCalNumber,0),1,1)*T539^INDEX(FlowCalConstB,MATCH(R532,FlowCalNumber,0),1,1)&lt;INDEX(FlowCalHighSetting,MATCH(R532,FlowCalNumber,0),1,1))),INDEX(FlowCalConstA,MATCH(R532,FlowCalNumber,0),1,1)*T539^INDEX(FlowCalConstB,MATCH(R532,FlowCalNumber,0),1,1)," ")</f>
        <v>#N/A</v>
      </c>
      <c r="V539" s="33"/>
      <c r="W539" s="242">
        <f t="shared" si="510"/>
        <v>0.1</v>
      </c>
      <c r="X539" s="241" t="e">
        <f t="shared" ca="1" si="511"/>
        <v>#VALUE!</v>
      </c>
      <c r="Y539" s="243" t="e">
        <f ca="1">IF(AND(INDEX(FlowCalConstA,MATCH(V532,FlowCalNumber,0),1,1)*X539^INDEX(FlowCalConstB,MATCH(V532,FlowCalNumber,0),1,1)&gt;INDEX(FlowCalLowSetting,MATCH(V532,FlowCalNumber,0),1,1), (INDEX(FlowCalConstA,MATCH(V532,FlowCalNumber,0),1,1)*X539^INDEX(FlowCalConstB,MATCH(V532,FlowCalNumber,0),1,1)&lt;INDEX(FlowCalHighSetting,MATCH(V532,FlowCalNumber,0),1,1))),INDEX(FlowCalConstA,MATCH(V532,FlowCalNumber,0),1,1)*X539^INDEX(FlowCalConstB,MATCH(V532,FlowCalNumber,0),1,1)," ")</f>
        <v>#N/A</v>
      </c>
      <c r="Z539" s="33"/>
      <c r="AA539" s="242">
        <f t="shared" si="512"/>
        <v>0.9</v>
      </c>
      <c r="AB539" s="241" t="e">
        <f t="shared" ca="1" si="513"/>
        <v>#VALUE!</v>
      </c>
      <c r="AC539" s="243" t="e">
        <f ca="1">IF(AND(INDEX(FlowCalConstA,MATCH(Z532,FlowCalNumber,0),1,1)*AB539^INDEX(FlowCalConstB,MATCH(Z532,FlowCalNumber,0),1,1)&gt;INDEX(FlowCalLowSetting,MATCH(Z532,FlowCalNumber,0),1,1), (INDEX(FlowCalConstA,MATCH(Z532,FlowCalNumber,0),1,1)*AB539^INDEX(FlowCalConstB,MATCH(Z532,FlowCalNumber,0),1,1)&lt;INDEX(FlowCalHighSetting,MATCH(Z532,FlowCalNumber,0),1,1))),INDEX(FlowCalConstA,MATCH(Z532,FlowCalNumber,0),1,1)*AB539^INDEX(FlowCalConstB,MATCH(Z532,FlowCalNumber,0),1,1)," ")</f>
        <v>#N/A</v>
      </c>
      <c r="AD539" s="33"/>
      <c r="AE539" s="242">
        <f t="shared" si="514"/>
        <v>0.1</v>
      </c>
      <c r="AF539" s="241" t="e">
        <f t="shared" ca="1" si="515"/>
        <v>#VALUE!</v>
      </c>
      <c r="AG539" s="243" t="e">
        <f ca="1">IF(AND(INDEX(FlowCalConstA,MATCH(AD532,FlowCalNumber,0),1,1)*AF539^INDEX(FlowCalConstB,MATCH(AD532,FlowCalNumber,0),1,1)&gt;INDEX(FlowCalLowSetting,MATCH(AD532,FlowCalNumber,0),1,1), (INDEX(FlowCalConstA,MATCH(AD532,FlowCalNumber,0),1,1)*AF539^INDEX(FlowCalConstB,MATCH(AD532,FlowCalNumber,0),1,1)&lt;INDEX(FlowCalHighSetting,MATCH(AD532,FlowCalNumber,0),1,1))),INDEX(FlowCalConstA,MATCH(AD532,FlowCalNumber,0),1,1)*AF539^INDEX(FlowCalConstB,MATCH(AD532,FlowCalNumber,0),1,1)," ")</f>
        <v>#N/A</v>
      </c>
      <c r="AH539" s="33"/>
      <c r="AI539" s="242">
        <f t="shared" si="516"/>
        <v>0.9</v>
      </c>
      <c r="AJ539" s="241" t="e">
        <f t="shared" ca="1" si="517"/>
        <v>#VALUE!</v>
      </c>
      <c r="AK539" s="243" t="e">
        <f ca="1">IF(AND(INDEX(FlowCalConstA,MATCH(AH532,FlowCalNumber,0),1,1)*AJ539^INDEX(FlowCalConstB,MATCH(AH532,FlowCalNumber,0),1,1)&gt;INDEX(FlowCalLowSetting,MATCH(AH532,FlowCalNumber,0),1,1), (INDEX(FlowCalConstA,MATCH(AH532,FlowCalNumber,0),1,1)*AJ539^INDEX(FlowCalConstB,MATCH(AH532,FlowCalNumber,0),1,1)&lt;INDEX(FlowCalHighSetting,MATCH(AH532,FlowCalNumber,0),1,1))),INDEX(FlowCalConstA,MATCH(AH532,FlowCalNumber,0),1,1)*AJ539^INDEX(FlowCalConstB,MATCH(AH532,FlowCalNumber,0),1,1)," ")</f>
        <v>#N/A</v>
      </c>
      <c r="AL539" s="33"/>
      <c r="AM539" s="242"/>
      <c r="AN539" s="241"/>
      <c r="AO539" s="244"/>
      <c r="AQ539" s="242"/>
      <c r="AR539" s="241"/>
      <c r="AS539" s="244"/>
      <c r="AT539" s="33"/>
      <c r="AU539" s="242"/>
      <c r="AV539" s="241"/>
      <c r="AW539" s="244"/>
      <c r="AX539" s="33"/>
      <c r="AY539" s="242"/>
      <c r="AZ539" s="241"/>
      <c r="BA539" s="244"/>
      <c r="BB539" s="33"/>
      <c r="BC539" s="242"/>
      <c r="BD539" s="241"/>
      <c r="BE539" s="244"/>
      <c r="BF539" s="33"/>
      <c r="BG539" s="242"/>
      <c r="BH539" s="241"/>
      <c r="BI539" s="244"/>
      <c r="BJ539" s="33"/>
      <c r="BK539" s="242"/>
      <c r="BL539" s="241"/>
      <c r="BM539" s="244"/>
      <c r="BN539" s="33"/>
      <c r="BO539" s="242"/>
      <c r="BP539" s="241"/>
      <c r="BQ539" s="244"/>
      <c r="BR539" s="33"/>
      <c r="BS539" s="242"/>
      <c r="BT539" s="241"/>
      <c r="BU539" s="244"/>
      <c r="BV539" s="33"/>
      <c r="BW539" s="242"/>
      <c r="BX539" s="241"/>
      <c r="BY539" s="244"/>
      <c r="BZ539" s="33"/>
      <c r="CA539" s="242"/>
      <c r="CB539" s="241"/>
      <c r="CC539" s="244"/>
      <c r="CD539" s="243"/>
      <c r="CE539" s="243"/>
      <c r="CF539" s="243"/>
      <c r="CG539" s="243"/>
      <c r="CH539" s="243"/>
      <c r="CI539" s="243"/>
      <c r="CJ539" s="243"/>
      <c r="CK539" s="243"/>
      <c r="CL539" s="243"/>
      <c r="CM539" s="243"/>
      <c r="CN539" s="243"/>
      <c r="CO539" s="243"/>
      <c r="CP539" s="243"/>
      <c r="CQ539" s="243"/>
      <c r="CR539" s="243"/>
      <c r="CS539" s="243"/>
      <c r="CT539" s="243"/>
      <c r="CU539" s="243"/>
      <c r="CV539" s="243"/>
      <c r="CW539" s="243"/>
      <c r="CX539" s="243"/>
      <c r="CY539" s="243"/>
      <c r="CZ539" s="243"/>
      <c r="DA539" s="243"/>
      <c r="DB539" s="243"/>
      <c r="DC539" s="243"/>
      <c r="DD539" s="243"/>
      <c r="DE539" s="243"/>
      <c r="DF539" s="243"/>
      <c r="DG539" s="243"/>
      <c r="DH539" s="243"/>
      <c r="DI539" s="243"/>
      <c r="DJ539" s="243"/>
      <c r="DK539" s="243"/>
      <c r="DM539" s="242"/>
      <c r="DO539" s="243"/>
      <c r="DQ539" s="242"/>
      <c r="DS539" s="243"/>
      <c r="DU539" s="242"/>
      <c r="DW539" s="243"/>
      <c r="DY539" s="242"/>
      <c r="EA539" s="243"/>
    </row>
    <row r="540" spans="1:131">
      <c r="A540" s="20"/>
      <c r="B540" s="124" t="str">
        <f t="shared" si="502"/>
        <v/>
      </c>
      <c r="C540" s="235"/>
      <c r="D540" s="24">
        <f>'1% Wind'!$M$89</f>
        <v>7.6</v>
      </c>
      <c r="E540" s="90"/>
      <c r="F540" s="90"/>
      <c r="G540" s="79">
        <f ca="1">IF(I532=0.9743,$G539,MAX(G539/D539*D540,2))</f>
        <v>6.001707317073171</v>
      </c>
      <c r="H540" s="121" t="e">
        <f t="shared" ca="1" si="503"/>
        <v>#VALUE!</v>
      </c>
      <c r="J540" s="33"/>
      <c r="K540" s="242">
        <f t="shared" si="504"/>
        <v>1</v>
      </c>
      <c r="L540" s="241" t="e">
        <f t="shared" ca="1" si="505"/>
        <v>#VALUE!</v>
      </c>
      <c r="M540" s="243" t="e">
        <f ca="1">IF(AND(INDEX(FlowCalConstA,MATCH(J532,FlowCalNumber,0),1,1)*L540^INDEX(FlowCalConstB,MATCH(J532,FlowCalNumber,0),1,1)&gt;INDEX(FlowCalLowSetting,MATCH(J532,FlowCalNumber,0),1,1), (INDEX(FlowCalConstA,MATCH(J532,FlowCalNumber,0),1,1)*L540^INDEX(FlowCalConstB,MATCH(J532,FlowCalNumber,0),1,1)&lt;INDEX(FlowCalHighSetting,MATCH(J532,FlowCalNumber,0),1,1))),INDEX(FlowCalConstA,MATCH(J532,FlowCalNumber,0),1,1)*L540^INDEX(FlowCalConstB,MATCH(J532,FlowCalNumber,0),1,1)," ")</f>
        <v>#N/A</v>
      </c>
      <c r="N540" s="33"/>
      <c r="O540" s="242">
        <f t="shared" si="506"/>
        <v>1</v>
      </c>
      <c r="P540" s="241" t="e">
        <f t="shared" ca="1" si="507"/>
        <v>#VALUE!</v>
      </c>
      <c r="Q540" s="243" t="e">
        <f ca="1">IF(AND(INDEX(FlowCalConstA,MATCH(N532,FlowCalNumber,0),1,1)*P540^INDEX(FlowCalConstB,MATCH(N532,FlowCalNumber,0),1,1)&gt;INDEX(FlowCalLowSetting,MATCH(N532,FlowCalNumber,0),1,1), (INDEX(FlowCalConstA,MATCH(N532,FlowCalNumber,0),1,1)*P540^INDEX(FlowCalConstB,MATCH(N532,FlowCalNumber,0),1,1)&lt;INDEX(FlowCalHighSetting,MATCH(N532,FlowCalNumber,0),1,1))),INDEX(FlowCalConstA,MATCH(N532,FlowCalNumber,0),1,1)*P540^INDEX(FlowCalConstB,MATCH(N532,FlowCalNumber,0),1,1)," ")</f>
        <v>#N/A</v>
      </c>
      <c r="R540" s="33"/>
      <c r="S540" s="242">
        <f t="shared" si="508"/>
        <v>1</v>
      </c>
      <c r="T540" s="241" t="e">
        <f t="shared" ca="1" si="509"/>
        <v>#VALUE!</v>
      </c>
      <c r="U540" s="244" t="e">
        <f ca="1">IF(AND(INDEX(FlowCalConstA,MATCH(R532,FlowCalNumber,0),1,1)*T540^INDEX(FlowCalConstB,MATCH(R532,FlowCalNumber,0),1,1)&gt;INDEX(FlowCalLowSetting,MATCH(R532,FlowCalNumber,0),1,1), (INDEX(FlowCalConstA,MATCH(R532,FlowCalNumber,0),1,1)*T540^INDEX(FlowCalConstB,MATCH(R532,FlowCalNumber,0),1,1)&lt;INDEX(FlowCalHighSetting,MATCH(R532,FlowCalNumber,0),1,1))),INDEX(FlowCalConstA,MATCH(R532,FlowCalNumber,0),1,1)*T540^INDEX(FlowCalConstB,MATCH(R532,FlowCalNumber,0),1,1)," ")</f>
        <v>#N/A</v>
      </c>
      <c r="V540" s="33"/>
      <c r="W540" s="242">
        <f t="shared" si="510"/>
        <v>0.1</v>
      </c>
      <c r="X540" s="241" t="e">
        <f t="shared" ca="1" si="511"/>
        <v>#VALUE!</v>
      </c>
      <c r="Y540" s="243" t="e">
        <f ca="1">IF(AND(INDEX(FlowCalConstA,MATCH(V532,FlowCalNumber,0),1,1)*X540^INDEX(FlowCalConstB,MATCH(V532,FlowCalNumber,0),1,1)&gt;INDEX(FlowCalLowSetting,MATCH(V532,FlowCalNumber,0),1,1), (INDEX(FlowCalConstA,MATCH(V532,FlowCalNumber,0),1,1)*X540^INDEX(FlowCalConstB,MATCH(V532,FlowCalNumber,0),1,1)&lt;INDEX(FlowCalHighSetting,MATCH(V532,FlowCalNumber,0),1,1))),INDEX(FlowCalConstA,MATCH(V532,FlowCalNumber,0),1,1)*X540^INDEX(FlowCalConstB,MATCH(V532,FlowCalNumber,0),1,1)," ")</f>
        <v>#N/A</v>
      </c>
      <c r="Z540" s="33"/>
      <c r="AA540" s="242">
        <f t="shared" si="512"/>
        <v>0.9</v>
      </c>
      <c r="AB540" s="241" t="e">
        <f t="shared" ca="1" si="513"/>
        <v>#VALUE!</v>
      </c>
      <c r="AC540" s="243" t="e">
        <f ca="1">IF(AND(INDEX(FlowCalConstA,MATCH(Z532,FlowCalNumber,0),1,1)*AB540^INDEX(FlowCalConstB,MATCH(Z532,FlowCalNumber,0),1,1)&gt;INDEX(FlowCalLowSetting,MATCH(Z532,FlowCalNumber,0),1,1), (INDEX(FlowCalConstA,MATCH(Z532,FlowCalNumber,0),1,1)*AB540^INDEX(FlowCalConstB,MATCH(Z532,FlowCalNumber,0),1,1)&lt;INDEX(FlowCalHighSetting,MATCH(Z532,FlowCalNumber,0),1,1))),INDEX(FlowCalConstA,MATCH(Z532,FlowCalNumber,0),1,1)*AB540^INDEX(FlowCalConstB,MATCH(Z532,FlowCalNumber,0),1,1)," ")</f>
        <v>#N/A</v>
      </c>
      <c r="AD540" s="33"/>
      <c r="AE540" s="242">
        <f t="shared" si="514"/>
        <v>0.1</v>
      </c>
      <c r="AF540" s="241" t="e">
        <f t="shared" ca="1" si="515"/>
        <v>#VALUE!</v>
      </c>
      <c r="AG540" s="243" t="e">
        <f ca="1">IF(AND(INDEX(FlowCalConstA,MATCH(AD532,FlowCalNumber,0),1,1)*AF540^INDEX(FlowCalConstB,MATCH(AD532,FlowCalNumber,0),1,1)&gt;INDEX(FlowCalLowSetting,MATCH(AD532,FlowCalNumber,0),1,1), (INDEX(FlowCalConstA,MATCH(AD532,FlowCalNumber,0),1,1)*AF540^INDEX(FlowCalConstB,MATCH(AD532,FlowCalNumber,0),1,1)&lt;INDEX(FlowCalHighSetting,MATCH(AD532,FlowCalNumber,0),1,1))),INDEX(FlowCalConstA,MATCH(AD532,FlowCalNumber,0),1,1)*AF540^INDEX(FlowCalConstB,MATCH(AD532,FlowCalNumber,0),1,1)," ")</f>
        <v>#N/A</v>
      </c>
      <c r="AH540" s="33"/>
      <c r="AI540" s="242">
        <f t="shared" si="516"/>
        <v>0.9</v>
      </c>
      <c r="AJ540" s="241" t="e">
        <f t="shared" ca="1" si="517"/>
        <v>#VALUE!</v>
      </c>
      <c r="AK540" s="243" t="e">
        <f ca="1">IF(AND(INDEX(FlowCalConstA,MATCH(AH532,FlowCalNumber,0),1,1)*AJ540^INDEX(FlowCalConstB,MATCH(AH532,FlowCalNumber,0),1,1)&gt;INDEX(FlowCalLowSetting,MATCH(AH532,FlowCalNumber,0),1,1), (INDEX(FlowCalConstA,MATCH(AH532,FlowCalNumber,0),1,1)*AJ540^INDEX(FlowCalConstB,MATCH(AH532,FlowCalNumber,0),1,1)&lt;INDEX(FlowCalHighSetting,MATCH(AH532,FlowCalNumber,0),1,1))),INDEX(FlowCalConstA,MATCH(AH532,FlowCalNumber,0),1,1)*AJ540^INDEX(FlowCalConstB,MATCH(AH532,FlowCalNumber,0),1,1)," ")</f>
        <v>#N/A</v>
      </c>
      <c r="AL540" s="33"/>
      <c r="AM540" s="242"/>
      <c r="AN540" s="241"/>
      <c r="AO540" s="244"/>
      <c r="AQ540" s="242"/>
      <c r="AR540" s="241"/>
      <c r="AS540" s="244"/>
      <c r="AT540" s="33"/>
      <c r="AU540" s="242"/>
      <c r="AV540" s="241"/>
      <c r="AW540" s="244"/>
      <c r="AX540" s="33"/>
      <c r="AY540" s="242"/>
      <c r="AZ540" s="241"/>
      <c r="BA540" s="244"/>
      <c r="BB540" s="33"/>
      <c r="BC540" s="242"/>
      <c r="BD540" s="241"/>
      <c r="BE540" s="244"/>
      <c r="BF540" s="33"/>
      <c r="BG540" s="242"/>
      <c r="BH540" s="241"/>
      <c r="BI540" s="244"/>
      <c r="BJ540" s="33"/>
      <c r="BK540" s="242"/>
      <c r="BL540" s="241"/>
      <c r="BM540" s="244"/>
      <c r="BN540" s="33"/>
      <c r="BO540" s="242"/>
      <c r="BP540" s="241"/>
      <c r="BQ540" s="244"/>
      <c r="BR540" s="33"/>
      <c r="BS540" s="242"/>
      <c r="BT540" s="241"/>
      <c r="BU540" s="244"/>
      <c r="BV540" s="33"/>
      <c r="BW540" s="242"/>
      <c r="BX540" s="241"/>
      <c r="BY540" s="244"/>
      <c r="BZ540" s="33"/>
      <c r="CA540" s="242"/>
      <c r="CB540" s="241"/>
      <c r="CC540" s="244"/>
      <c r="CD540" s="243"/>
      <c r="CE540" s="243"/>
      <c r="CF540" s="243"/>
      <c r="CG540" s="243"/>
      <c r="CH540" s="243"/>
      <c r="CI540" s="243"/>
      <c r="CJ540" s="243"/>
      <c r="CK540" s="243"/>
      <c r="CL540" s="243"/>
      <c r="CM540" s="243"/>
      <c r="CN540" s="243"/>
      <c r="CO540" s="243"/>
      <c r="CP540" s="243"/>
      <c r="CQ540" s="243"/>
      <c r="CR540" s="243"/>
      <c r="CS540" s="243"/>
      <c r="CT540" s="243"/>
      <c r="CU540" s="243"/>
      <c r="CV540" s="243"/>
      <c r="CW540" s="243"/>
      <c r="CX540" s="243"/>
      <c r="CY540" s="243"/>
      <c r="CZ540" s="243"/>
      <c r="DA540" s="243"/>
      <c r="DB540" s="243"/>
      <c r="DC540" s="243"/>
      <c r="DD540" s="243"/>
      <c r="DE540" s="243"/>
      <c r="DF540" s="243"/>
      <c r="DG540" s="243"/>
      <c r="DH540" s="243"/>
      <c r="DI540" s="243"/>
      <c r="DJ540" s="243"/>
      <c r="DK540" s="243"/>
      <c r="DM540" s="242"/>
      <c r="DO540" s="243"/>
      <c r="DQ540" s="242"/>
      <c r="DS540" s="243"/>
      <c r="DU540" s="242"/>
      <c r="DW540" s="243"/>
      <c r="DY540" s="242"/>
      <c r="EA540" s="243"/>
    </row>
    <row r="541" spans="1:131">
      <c r="A541" s="20"/>
      <c r="B541" s="124" t="str">
        <f t="shared" si="502"/>
        <v/>
      </c>
      <c r="C541" s="235"/>
      <c r="D541" s="24">
        <f>'1% Wind'!$M$90</f>
        <v>5.7</v>
      </c>
      <c r="E541" s="90"/>
      <c r="F541" s="90"/>
      <c r="G541" s="79">
        <f ca="1">IF(I532=0.9743,$G540,MAX(G540/D540*D541,2))</f>
        <v>6.001707317073171</v>
      </c>
      <c r="H541" s="121" t="e">
        <f t="shared" ca="1" si="503"/>
        <v>#VALUE!</v>
      </c>
      <c r="J541" s="33"/>
      <c r="K541" s="242">
        <f t="shared" si="504"/>
        <v>1</v>
      </c>
      <c r="L541" s="241" t="e">
        <f t="shared" ca="1" si="505"/>
        <v>#VALUE!</v>
      </c>
      <c r="M541" s="243" t="e">
        <f ca="1">IF(AND(INDEX(FlowCalConstA,MATCH(J532,FlowCalNumber,0),1,1)*L541^INDEX(FlowCalConstB,MATCH(J532,FlowCalNumber,0),1,1)&gt;INDEX(FlowCalLowSetting,MATCH(J532,FlowCalNumber,0),1,1), (INDEX(FlowCalConstA,MATCH(J532,FlowCalNumber,0),1,1)*L541^INDEX(FlowCalConstB,MATCH(J532,FlowCalNumber,0),1,1)&lt;INDEX(FlowCalHighSetting,MATCH(J532,FlowCalNumber,0),1,1))),INDEX(FlowCalConstA,MATCH(J532,FlowCalNumber,0),1,1)*L541^INDEX(FlowCalConstB,MATCH(J532,FlowCalNumber,0),1,1)," ")</f>
        <v>#N/A</v>
      </c>
      <c r="N541" s="33"/>
      <c r="O541" s="242">
        <f t="shared" si="506"/>
        <v>1</v>
      </c>
      <c r="P541" s="241" t="e">
        <f t="shared" ca="1" si="507"/>
        <v>#VALUE!</v>
      </c>
      <c r="Q541" s="243" t="e">
        <f ca="1">IF(AND(INDEX(FlowCalConstA,MATCH(N532,FlowCalNumber,0),1,1)*P541^INDEX(FlowCalConstB,MATCH(N532,FlowCalNumber,0),1,1)&gt;INDEX(FlowCalLowSetting,MATCH(N532,FlowCalNumber,0),1,1), (INDEX(FlowCalConstA,MATCH(N532,FlowCalNumber,0),1,1)*P541^INDEX(FlowCalConstB,MATCH(N532,FlowCalNumber,0),1,1)&lt;INDEX(FlowCalHighSetting,MATCH(N532,FlowCalNumber,0),1,1))),INDEX(FlowCalConstA,MATCH(N532,FlowCalNumber,0),1,1)*P541^INDEX(FlowCalConstB,MATCH(N532,FlowCalNumber,0),1,1)," ")</f>
        <v>#N/A</v>
      </c>
      <c r="R541" s="33"/>
      <c r="S541" s="242">
        <f t="shared" si="508"/>
        <v>1</v>
      </c>
      <c r="T541" s="241" t="e">
        <f t="shared" ca="1" si="509"/>
        <v>#VALUE!</v>
      </c>
      <c r="U541" s="244" t="e">
        <f ca="1">IF(AND(INDEX(FlowCalConstA,MATCH(R532,FlowCalNumber,0),1,1)*T541^INDEX(FlowCalConstB,MATCH(R532,FlowCalNumber,0),1,1)&gt;INDEX(FlowCalLowSetting,MATCH(R532,FlowCalNumber,0),1,1), (INDEX(FlowCalConstA,MATCH(R532,FlowCalNumber,0),1,1)*T541^INDEX(FlowCalConstB,MATCH(R532,FlowCalNumber,0),1,1)&lt;INDEX(FlowCalHighSetting,MATCH(R532,FlowCalNumber,0),1,1))),INDEX(FlowCalConstA,MATCH(R532,FlowCalNumber,0),1,1)*T541^INDEX(FlowCalConstB,MATCH(R532,FlowCalNumber,0),1,1)," ")</f>
        <v>#N/A</v>
      </c>
      <c r="V541" s="33"/>
      <c r="W541" s="242">
        <f t="shared" si="510"/>
        <v>0.1</v>
      </c>
      <c r="X541" s="241" t="e">
        <f t="shared" ca="1" si="511"/>
        <v>#VALUE!</v>
      </c>
      <c r="Y541" s="243" t="e">
        <f ca="1">IF(AND(INDEX(FlowCalConstA,MATCH(V532,FlowCalNumber,0),1,1)*X541^INDEX(FlowCalConstB,MATCH(V532,FlowCalNumber,0),1,1)&gt;INDEX(FlowCalLowSetting,MATCH(V532,FlowCalNumber,0),1,1), (INDEX(FlowCalConstA,MATCH(V532,FlowCalNumber,0),1,1)*X541^INDEX(FlowCalConstB,MATCH(V532,FlowCalNumber,0),1,1)&lt;INDEX(FlowCalHighSetting,MATCH(V532,FlowCalNumber,0),1,1))),INDEX(FlowCalConstA,MATCH(V532,FlowCalNumber,0),1,1)*X541^INDEX(FlowCalConstB,MATCH(V532,FlowCalNumber,0),1,1)," ")</f>
        <v>#N/A</v>
      </c>
      <c r="Z541" s="33"/>
      <c r="AA541" s="242">
        <f t="shared" si="512"/>
        <v>0.9</v>
      </c>
      <c r="AB541" s="241" t="e">
        <f t="shared" ca="1" si="513"/>
        <v>#VALUE!</v>
      </c>
      <c r="AC541" s="243" t="e">
        <f ca="1">IF(AND(INDEX(FlowCalConstA,MATCH(Z532,FlowCalNumber,0),1,1)*AB541^INDEX(FlowCalConstB,MATCH(Z532,FlowCalNumber,0),1,1)&gt;INDEX(FlowCalLowSetting,MATCH(Z532,FlowCalNumber,0),1,1), (INDEX(FlowCalConstA,MATCH(Z532,FlowCalNumber,0),1,1)*AB541^INDEX(FlowCalConstB,MATCH(Z532,FlowCalNumber,0),1,1)&lt;INDEX(FlowCalHighSetting,MATCH(Z532,FlowCalNumber,0),1,1))),INDEX(FlowCalConstA,MATCH(Z532,FlowCalNumber,0),1,1)*AB541^INDEX(FlowCalConstB,MATCH(Z532,FlowCalNumber,0),1,1)," ")</f>
        <v>#N/A</v>
      </c>
      <c r="AD541" s="33"/>
      <c r="AE541" s="242">
        <f t="shared" si="514"/>
        <v>0.1</v>
      </c>
      <c r="AF541" s="241" t="e">
        <f t="shared" ca="1" si="515"/>
        <v>#VALUE!</v>
      </c>
      <c r="AG541" s="243" t="e">
        <f ca="1">IF(AND(INDEX(FlowCalConstA,MATCH(AD532,FlowCalNumber,0),1,1)*AF541^INDEX(FlowCalConstB,MATCH(AD532,FlowCalNumber,0),1,1)&gt;INDEX(FlowCalLowSetting,MATCH(AD532,FlowCalNumber,0),1,1), (INDEX(FlowCalConstA,MATCH(AD532,FlowCalNumber,0),1,1)*AF541^INDEX(FlowCalConstB,MATCH(AD532,FlowCalNumber,0),1,1)&lt;INDEX(FlowCalHighSetting,MATCH(AD532,FlowCalNumber,0),1,1))),INDEX(FlowCalConstA,MATCH(AD532,FlowCalNumber,0),1,1)*AF541^INDEX(FlowCalConstB,MATCH(AD532,FlowCalNumber,0),1,1)," ")</f>
        <v>#N/A</v>
      </c>
      <c r="AH541" s="33"/>
      <c r="AI541" s="242">
        <f t="shared" si="516"/>
        <v>0.9</v>
      </c>
      <c r="AJ541" s="241" t="e">
        <f t="shared" ca="1" si="517"/>
        <v>#VALUE!</v>
      </c>
      <c r="AK541" s="243" t="e">
        <f ca="1">IF(AND(INDEX(FlowCalConstA,MATCH(AH532,FlowCalNumber,0),1,1)*AJ541^INDEX(FlowCalConstB,MATCH(AH532,FlowCalNumber,0),1,1)&gt;INDEX(FlowCalLowSetting,MATCH(AH532,FlowCalNumber,0),1,1), (INDEX(FlowCalConstA,MATCH(AH532,FlowCalNumber,0),1,1)*AJ541^INDEX(FlowCalConstB,MATCH(AH532,FlowCalNumber,0),1,1)&lt;INDEX(FlowCalHighSetting,MATCH(AH532,FlowCalNumber,0),1,1))),INDEX(FlowCalConstA,MATCH(AH532,FlowCalNumber,0),1,1)*AJ541^INDEX(FlowCalConstB,MATCH(AH532,FlowCalNumber,0),1,1)," ")</f>
        <v>#N/A</v>
      </c>
      <c r="AL541" s="33"/>
      <c r="AM541" s="242"/>
      <c r="AN541" s="241"/>
      <c r="AO541" s="244"/>
      <c r="AQ541" s="242"/>
      <c r="AR541" s="241"/>
      <c r="AS541" s="244"/>
      <c r="AT541" s="33"/>
      <c r="AU541" s="242"/>
      <c r="AV541" s="241"/>
      <c r="AW541" s="244"/>
      <c r="AX541" s="33"/>
      <c r="AY541" s="242"/>
      <c r="AZ541" s="241"/>
      <c r="BA541" s="244"/>
      <c r="BB541" s="33"/>
      <c r="BC541" s="242"/>
      <c r="BD541" s="241"/>
      <c r="BE541" s="244"/>
      <c r="BF541" s="33"/>
      <c r="BG541" s="242"/>
      <c r="BH541" s="241"/>
      <c r="BI541" s="244"/>
      <c r="BJ541" s="33"/>
      <c r="BK541" s="242"/>
      <c r="BL541" s="241"/>
      <c r="BM541" s="244"/>
      <c r="BN541" s="33"/>
      <c r="BO541" s="242"/>
      <c r="BP541" s="241"/>
      <c r="BQ541" s="244"/>
      <c r="BR541" s="33"/>
      <c r="BS541" s="242"/>
      <c r="BT541" s="241"/>
      <c r="BU541" s="244"/>
      <c r="BV541" s="33"/>
      <c r="BW541" s="242"/>
      <c r="BX541" s="241"/>
      <c r="BY541" s="244"/>
      <c r="BZ541" s="33"/>
      <c r="CA541" s="242"/>
      <c r="CB541" s="241"/>
      <c r="CC541" s="244"/>
      <c r="CD541" s="243"/>
      <c r="CE541" s="243"/>
      <c r="CF541" s="243"/>
      <c r="CG541" s="243"/>
      <c r="CH541" s="243"/>
      <c r="CI541" s="243"/>
      <c r="CJ541" s="243"/>
      <c r="CK541" s="243"/>
      <c r="CL541" s="243"/>
      <c r="CM541" s="243"/>
      <c r="CN541" s="243"/>
      <c r="CO541" s="243"/>
      <c r="CP541" s="243"/>
      <c r="CQ541" s="243"/>
      <c r="CR541" s="243"/>
      <c r="CS541" s="243"/>
      <c r="CT541" s="243"/>
      <c r="CU541" s="243"/>
      <c r="CV541" s="243"/>
      <c r="CW541" s="243"/>
      <c r="CX541" s="243"/>
      <c r="CY541" s="243"/>
      <c r="CZ541" s="243"/>
      <c r="DA541" s="243"/>
      <c r="DB541" s="243"/>
      <c r="DC541" s="243"/>
      <c r="DD541" s="243"/>
      <c r="DE541" s="243"/>
      <c r="DF541" s="243"/>
      <c r="DG541" s="243"/>
      <c r="DH541" s="243"/>
      <c r="DI541" s="243"/>
      <c r="DJ541" s="243"/>
      <c r="DK541" s="243"/>
      <c r="DM541" s="242"/>
      <c r="DO541" s="243"/>
      <c r="DQ541" s="242"/>
      <c r="DS541" s="243"/>
      <c r="DU541" s="242"/>
      <c r="DW541" s="243"/>
      <c r="DY541" s="242"/>
      <c r="EA541" s="243"/>
    </row>
    <row r="542" spans="1:131">
      <c r="A542" s="20"/>
      <c r="B542" s="124" t="str">
        <f t="shared" si="502"/>
        <v/>
      </c>
      <c r="C542" s="235"/>
      <c r="D542" s="24">
        <f>'1% Wind'!$M$91</f>
        <v>4.2</v>
      </c>
      <c r="E542" s="90"/>
      <c r="F542" s="90"/>
      <c r="G542" s="79">
        <f ca="1">IF(I532=0.9743,$G541,MAX(G541/D541*D542,2))</f>
        <v>6.001707317073171</v>
      </c>
      <c r="H542" s="121" t="e">
        <f t="shared" ca="1" si="503"/>
        <v>#VALUE!</v>
      </c>
      <c r="J542" s="33"/>
      <c r="K542" s="242">
        <f t="shared" si="504"/>
        <v>1</v>
      </c>
      <c r="L542" s="241" t="e">
        <f t="shared" ca="1" si="505"/>
        <v>#VALUE!</v>
      </c>
      <c r="M542" s="243" t="e">
        <f ca="1">IF(AND(INDEX(FlowCalConstA,MATCH(J532,FlowCalNumber,0),1,1)*L542^INDEX(FlowCalConstB,MATCH(J532,FlowCalNumber,0),1,1)&gt;INDEX(FlowCalLowSetting,MATCH(J532,FlowCalNumber,0),1,1), (INDEX(FlowCalConstA,MATCH(J532,FlowCalNumber,0),1,1)*L542^INDEX(FlowCalConstB,MATCH(J532,FlowCalNumber,0),1,1)&lt;INDEX(FlowCalHighSetting,MATCH(J532,FlowCalNumber,0),1,1))),INDEX(FlowCalConstA,MATCH(J532,FlowCalNumber,0),1,1)*L542^INDEX(FlowCalConstB,MATCH(J532,FlowCalNumber,0),1,1)," ")</f>
        <v>#N/A</v>
      </c>
      <c r="N542" s="33"/>
      <c r="O542" s="242">
        <f t="shared" si="506"/>
        <v>1</v>
      </c>
      <c r="P542" s="241" t="e">
        <f t="shared" ca="1" si="507"/>
        <v>#VALUE!</v>
      </c>
      <c r="Q542" s="243" t="e">
        <f ca="1">IF(AND(INDEX(FlowCalConstA,MATCH(N532,FlowCalNumber,0),1,1)*P542^INDEX(FlowCalConstB,MATCH(N532,FlowCalNumber,0),1,1)&gt;INDEX(FlowCalLowSetting,MATCH(N532,FlowCalNumber,0),1,1), (INDEX(FlowCalConstA,MATCH(N532,FlowCalNumber,0),1,1)*P542^INDEX(FlowCalConstB,MATCH(N532,FlowCalNumber,0),1,1)&lt;INDEX(FlowCalHighSetting,MATCH(N532,FlowCalNumber,0),1,1))),INDEX(FlowCalConstA,MATCH(N532,FlowCalNumber,0),1,1)*P542^INDEX(FlowCalConstB,MATCH(N532,FlowCalNumber,0),1,1)," ")</f>
        <v>#N/A</v>
      </c>
      <c r="R542" s="33"/>
      <c r="S542" s="242">
        <f t="shared" si="508"/>
        <v>1</v>
      </c>
      <c r="T542" s="241" t="e">
        <f t="shared" ca="1" si="509"/>
        <v>#VALUE!</v>
      </c>
      <c r="U542" s="244" t="e">
        <f ca="1">IF(AND(INDEX(FlowCalConstA,MATCH(R532,FlowCalNumber,0),1,1)*T542^INDEX(FlowCalConstB,MATCH(R532,FlowCalNumber,0),1,1)&gt;INDEX(FlowCalLowSetting,MATCH(R532,FlowCalNumber,0),1,1), (INDEX(FlowCalConstA,MATCH(R532,FlowCalNumber,0),1,1)*T542^INDEX(FlowCalConstB,MATCH(R532,FlowCalNumber,0),1,1)&lt;INDEX(FlowCalHighSetting,MATCH(R532,FlowCalNumber,0),1,1))),INDEX(FlowCalConstA,MATCH(R532,FlowCalNumber,0),1,1)*T542^INDEX(FlowCalConstB,MATCH(R532,FlowCalNumber,0),1,1)," ")</f>
        <v>#N/A</v>
      </c>
      <c r="V542" s="33"/>
      <c r="W542" s="242">
        <f t="shared" si="510"/>
        <v>0.1</v>
      </c>
      <c r="X542" s="241" t="e">
        <f t="shared" ca="1" si="511"/>
        <v>#VALUE!</v>
      </c>
      <c r="Y542" s="243" t="e">
        <f ca="1">IF(AND(INDEX(FlowCalConstA,MATCH(V532,FlowCalNumber,0),1,1)*X542^INDEX(FlowCalConstB,MATCH(V532,FlowCalNumber,0),1,1)&gt;INDEX(FlowCalLowSetting,MATCH(V532,FlowCalNumber,0),1,1), (INDEX(FlowCalConstA,MATCH(V532,FlowCalNumber,0),1,1)*X542^INDEX(FlowCalConstB,MATCH(V532,FlowCalNumber,0),1,1)&lt;INDEX(FlowCalHighSetting,MATCH(V532,FlowCalNumber,0),1,1))),INDEX(FlowCalConstA,MATCH(V532,FlowCalNumber,0),1,1)*X542^INDEX(FlowCalConstB,MATCH(V532,FlowCalNumber,0),1,1)," ")</f>
        <v>#N/A</v>
      </c>
      <c r="Z542" s="33"/>
      <c r="AA542" s="242">
        <f t="shared" si="512"/>
        <v>0.9</v>
      </c>
      <c r="AB542" s="241" t="e">
        <f t="shared" ca="1" si="513"/>
        <v>#VALUE!</v>
      </c>
      <c r="AC542" s="243" t="e">
        <f ca="1">IF(AND(INDEX(FlowCalConstA,MATCH(Z532,FlowCalNumber,0),1,1)*AB542^INDEX(FlowCalConstB,MATCH(Z532,FlowCalNumber,0),1,1)&gt;INDEX(FlowCalLowSetting,MATCH(Z532,FlowCalNumber,0),1,1), (INDEX(FlowCalConstA,MATCH(Z532,FlowCalNumber,0),1,1)*AB542^INDEX(FlowCalConstB,MATCH(Z532,FlowCalNumber,0),1,1)&lt;INDEX(FlowCalHighSetting,MATCH(Z532,FlowCalNumber,0),1,1))),INDEX(FlowCalConstA,MATCH(Z532,FlowCalNumber,0),1,1)*AB542^INDEX(FlowCalConstB,MATCH(Z532,FlowCalNumber,0),1,1)," ")</f>
        <v>#N/A</v>
      </c>
      <c r="AD542" s="33"/>
      <c r="AE542" s="242">
        <f t="shared" si="514"/>
        <v>0.1</v>
      </c>
      <c r="AF542" s="241" t="e">
        <f t="shared" ca="1" si="515"/>
        <v>#VALUE!</v>
      </c>
      <c r="AG542" s="243" t="e">
        <f ca="1">IF(AND(INDEX(FlowCalConstA,MATCH(AD532,FlowCalNumber,0),1,1)*AF542^INDEX(FlowCalConstB,MATCH(AD532,FlowCalNumber,0),1,1)&gt;INDEX(FlowCalLowSetting,MATCH(AD532,FlowCalNumber,0),1,1), (INDEX(FlowCalConstA,MATCH(AD532,FlowCalNumber,0),1,1)*AF542^INDEX(FlowCalConstB,MATCH(AD532,FlowCalNumber,0),1,1)&lt;INDEX(FlowCalHighSetting,MATCH(AD532,FlowCalNumber,0),1,1))),INDEX(FlowCalConstA,MATCH(AD532,FlowCalNumber,0),1,1)*AF542^INDEX(FlowCalConstB,MATCH(AD532,FlowCalNumber,0),1,1)," ")</f>
        <v>#N/A</v>
      </c>
      <c r="AH542" s="33"/>
      <c r="AI542" s="242">
        <f t="shared" si="516"/>
        <v>0.9</v>
      </c>
      <c r="AJ542" s="241" t="e">
        <f t="shared" ca="1" si="517"/>
        <v>#VALUE!</v>
      </c>
      <c r="AK542" s="243" t="e">
        <f ca="1">IF(AND(INDEX(FlowCalConstA,MATCH(AH532,FlowCalNumber,0),1,1)*AJ542^INDEX(FlowCalConstB,MATCH(AH532,FlowCalNumber,0),1,1)&gt;INDEX(FlowCalLowSetting,MATCH(AH532,FlowCalNumber,0),1,1), (INDEX(FlowCalConstA,MATCH(AH532,FlowCalNumber,0),1,1)*AJ542^INDEX(FlowCalConstB,MATCH(AH532,FlowCalNumber,0),1,1)&lt;INDEX(FlowCalHighSetting,MATCH(AH532,FlowCalNumber,0),1,1))),INDEX(FlowCalConstA,MATCH(AH532,FlowCalNumber,0),1,1)*AJ542^INDEX(FlowCalConstB,MATCH(AH532,FlowCalNumber,0),1,1)," ")</f>
        <v>#N/A</v>
      </c>
      <c r="AL542" s="33"/>
      <c r="AM542" s="242"/>
      <c r="AN542" s="241"/>
      <c r="AO542" s="244"/>
      <c r="AQ542" s="242"/>
      <c r="AR542" s="241"/>
      <c r="AS542" s="244"/>
      <c r="AT542" s="33"/>
      <c r="AU542" s="242"/>
      <c r="AV542" s="241"/>
      <c r="AW542" s="244"/>
      <c r="AX542" s="33"/>
      <c r="AY542" s="242"/>
      <c r="AZ542" s="241"/>
      <c r="BA542" s="244"/>
      <c r="BB542" s="33"/>
      <c r="BC542" s="242"/>
      <c r="BD542" s="241"/>
      <c r="BE542" s="244"/>
      <c r="BF542" s="33"/>
      <c r="BG542" s="242"/>
      <c r="BH542" s="241"/>
      <c r="BI542" s="244"/>
      <c r="BJ542" s="33"/>
      <c r="BK542" s="242"/>
      <c r="BL542" s="241"/>
      <c r="BM542" s="244"/>
      <c r="BN542" s="33"/>
      <c r="BO542" s="242"/>
      <c r="BP542" s="241"/>
      <c r="BQ542" s="244"/>
      <c r="BR542" s="33"/>
      <c r="BS542" s="242"/>
      <c r="BT542" s="241"/>
      <c r="BU542" s="244"/>
      <c r="BV542" s="33"/>
      <c r="BW542" s="242"/>
      <c r="BX542" s="241"/>
      <c r="BY542" s="244"/>
      <c r="BZ542" s="33"/>
      <c r="CA542" s="242"/>
      <c r="CB542" s="241"/>
      <c r="CC542" s="244"/>
      <c r="CD542" s="243"/>
      <c r="CE542" s="243"/>
      <c r="CF542" s="243"/>
      <c r="CG542" s="243"/>
      <c r="CH542" s="243"/>
      <c r="CI542" s="243"/>
      <c r="CJ542" s="243"/>
      <c r="CK542" s="243"/>
      <c r="CL542" s="243"/>
      <c r="CM542" s="243"/>
      <c r="CN542" s="243"/>
      <c r="CO542" s="243"/>
      <c r="CP542" s="243"/>
      <c r="CQ542" s="243"/>
      <c r="CR542" s="243"/>
      <c r="CS542" s="243"/>
      <c r="CT542" s="243"/>
      <c r="CU542" s="243"/>
      <c r="CV542" s="243"/>
      <c r="CW542" s="243"/>
      <c r="CX542" s="243"/>
      <c r="CY542" s="243"/>
      <c r="CZ542" s="243"/>
      <c r="DA542" s="243"/>
      <c r="DB542" s="243"/>
      <c r="DC542" s="243"/>
      <c r="DD542" s="243"/>
      <c r="DE542" s="243"/>
      <c r="DF542" s="243"/>
      <c r="DG542" s="243"/>
      <c r="DH542" s="243"/>
      <c r="DI542" s="243"/>
      <c r="DJ542" s="243"/>
      <c r="DK542" s="243"/>
      <c r="DM542" s="242"/>
      <c r="DO542" s="243"/>
      <c r="DQ542" s="242"/>
      <c r="DS542" s="243"/>
      <c r="DU542" s="242"/>
      <c r="DW542" s="243"/>
      <c r="DY542" s="242"/>
      <c r="EA542" s="243"/>
    </row>
    <row r="543" spans="1:131">
      <c r="A543" s="20"/>
      <c r="B543" s="124" t="str">
        <f t="shared" si="502"/>
        <v/>
      </c>
      <c r="C543" s="235"/>
      <c r="D543" s="24">
        <f>'1% Wind'!$M$92</f>
        <v>3.2</v>
      </c>
      <c r="E543" s="90"/>
      <c r="F543" s="90"/>
      <c r="G543" s="79">
        <f ca="1">IF(I532=0.9743,$G542,MAX(G542/D542*D543,2))</f>
        <v>6.001707317073171</v>
      </c>
      <c r="H543" s="121" t="e">
        <f t="shared" ca="1" si="503"/>
        <v>#VALUE!</v>
      </c>
      <c r="J543" s="33"/>
      <c r="K543" s="242">
        <f t="shared" si="504"/>
        <v>1</v>
      </c>
      <c r="L543" s="241" t="e">
        <f t="shared" ca="1" si="505"/>
        <v>#VALUE!</v>
      </c>
      <c r="M543" s="243" t="e">
        <f ca="1">IF(AND(INDEX(FlowCalConstA,MATCH(J532,FlowCalNumber,0),1,1)*L543^INDEX(FlowCalConstB,MATCH(J532,FlowCalNumber,0),1,1)&gt;INDEX(FlowCalLowSetting,MATCH(J532,FlowCalNumber,0),1,1), (INDEX(FlowCalConstA,MATCH(J532,FlowCalNumber,0),1,1)*L543^INDEX(FlowCalConstB,MATCH(J532,FlowCalNumber,0),1,1)&lt;INDEX(FlowCalHighSetting,MATCH(J532,FlowCalNumber,0),1,1))),INDEX(FlowCalConstA,MATCH(J532,FlowCalNumber,0),1,1)*L543^INDEX(FlowCalConstB,MATCH(J532,FlowCalNumber,0),1,1)," ")</f>
        <v>#N/A</v>
      </c>
      <c r="N543" s="33"/>
      <c r="O543" s="242">
        <f t="shared" si="506"/>
        <v>1</v>
      </c>
      <c r="P543" s="241" t="e">
        <f t="shared" ca="1" si="507"/>
        <v>#VALUE!</v>
      </c>
      <c r="Q543" s="243" t="e">
        <f ca="1">IF(AND(INDEX(FlowCalConstA,MATCH(N532,FlowCalNumber,0),1,1)*P543^INDEX(FlowCalConstB,MATCH(N532,FlowCalNumber,0),1,1)&gt;INDEX(FlowCalLowSetting,MATCH(N532,FlowCalNumber,0),1,1), (INDEX(FlowCalConstA,MATCH(N532,FlowCalNumber,0),1,1)*P543^INDEX(FlowCalConstB,MATCH(N532,FlowCalNumber,0),1,1)&lt;INDEX(FlowCalHighSetting,MATCH(N532,FlowCalNumber,0),1,1))),INDEX(FlowCalConstA,MATCH(N532,FlowCalNumber,0),1,1)*P543^INDEX(FlowCalConstB,MATCH(N532,FlowCalNumber,0),1,1)," ")</f>
        <v>#N/A</v>
      </c>
      <c r="R543" s="33"/>
      <c r="S543" s="242">
        <f t="shared" si="508"/>
        <v>1</v>
      </c>
      <c r="T543" s="241" t="e">
        <f t="shared" ca="1" si="509"/>
        <v>#VALUE!</v>
      </c>
      <c r="U543" s="244" t="e">
        <f ca="1">IF(AND(INDEX(FlowCalConstA,MATCH(R532,FlowCalNumber,0),1,1)*T543^INDEX(FlowCalConstB,MATCH(R532,FlowCalNumber,0),1,1)&gt;INDEX(FlowCalLowSetting,MATCH(R532,FlowCalNumber,0),1,1), (INDEX(FlowCalConstA,MATCH(R532,FlowCalNumber,0),1,1)*T543^INDEX(FlowCalConstB,MATCH(R532,FlowCalNumber,0),1,1)&lt;INDEX(FlowCalHighSetting,MATCH(R532,FlowCalNumber,0),1,1))),INDEX(FlowCalConstA,MATCH(R532,FlowCalNumber,0),1,1)*T543^INDEX(FlowCalConstB,MATCH(R532,FlowCalNumber,0),1,1)," ")</f>
        <v>#N/A</v>
      </c>
      <c r="V543" s="33"/>
      <c r="W543" s="242">
        <f t="shared" si="510"/>
        <v>0.1</v>
      </c>
      <c r="X543" s="241" t="e">
        <f t="shared" ca="1" si="511"/>
        <v>#VALUE!</v>
      </c>
      <c r="Y543" s="243" t="e">
        <f ca="1">IF(AND(INDEX(FlowCalConstA,MATCH(V532,FlowCalNumber,0),1,1)*X543^INDEX(FlowCalConstB,MATCH(V532,FlowCalNumber,0),1,1)&gt;INDEX(FlowCalLowSetting,MATCH(V532,FlowCalNumber,0),1,1), (INDEX(FlowCalConstA,MATCH(V532,FlowCalNumber,0),1,1)*X543^INDEX(FlowCalConstB,MATCH(V532,FlowCalNumber,0),1,1)&lt;INDEX(FlowCalHighSetting,MATCH(V532,FlowCalNumber,0),1,1))),INDEX(FlowCalConstA,MATCH(V532,FlowCalNumber,0),1,1)*X543^INDEX(FlowCalConstB,MATCH(V532,FlowCalNumber,0),1,1)," ")</f>
        <v>#N/A</v>
      </c>
      <c r="Z543" s="33"/>
      <c r="AA543" s="242">
        <f t="shared" si="512"/>
        <v>0.9</v>
      </c>
      <c r="AB543" s="241" t="e">
        <f t="shared" ca="1" si="513"/>
        <v>#VALUE!</v>
      </c>
      <c r="AC543" s="243" t="e">
        <f ca="1">IF(AND(INDEX(FlowCalConstA,MATCH(Z532,FlowCalNumber,0),1,1)*AB543^INDEX(FlowCalConstB,MATCH(Z532,FlowCalNumber,0),1,1)&gt;INDEX(FlowCalLowSetting,MATCH(Z532,FlowCalNumber,0),1,1), (INDEX(FlowCalConstA,MATCH(Z532,FlowCalNumber,0),1,1)*AB543^INDEX(FlowCalConstB,MATCH(Z532,FlowCalNumber,0),1,1)&lt;INDEX(FlowCalHighSetting,MATCH(Z532,FlowCalNumber,0),1,1))),INDEX(FlowCalConstA,MATCH(Z532,FlowCalNumber,0),1,1)*AB543^INDEX(FlowCalConstB,MATCH(Z532,FlowCalNumber,0),1,1)," ")</f>
        <v>#N/A</v>
      </c>
      <c r="AD543" s="33"/>
      <c r="AE543" s="242">
        <f t="shared" si="514"/>
        <v>0.1</v>
      </c>
      <c r="AF543" s="241" t="e">
        <f t="shared" ca="1" si="515"/>
        <v>#VALUE!</v>
      </c>
      <c r="AG543" s="243" t="e">
        <f ca="1">IF(AND(INDEX(FlowCalConstA,MATCH(AD532,FlowCalNumber,0),1,1)*AF543^INDEX(FlowCalConstB,MATCH(AD532,FlowCalNumber,0),1,1)&gt;INDEX(FlowCalLowSetting,MATCH(AD532,FlowCalNumber,0),1,1), (INDEX(FlowCalConstA,MATCH(AD532,FlowCalNumber,0),1,1)*AF543^INDEX(FlowCalConstB,MATCH(AD532,FlowCalNumber,0),1,1)&lt;INDEX(FlowCalHighSetting,MATCH(AD532,FlowCalNumber,0),1,1))),INDEX(FlowCalConstA,MATCH(AD532,FlowCalNumber,0),1,1)*AF543^INDEX(FlowCalConstB,MATCH(AD532,FlowCalNumber,0),1,1)," ")</f>
        <v>#N/A</v>
      </c>
      <c r="AH543" s="33"/>
      <c r="AI543" s="242">
        <f t="shared" si="516"/>
        <v>0.9</v>
      </c>
      <c r="AJ543" s="241" t="e">
        <f t="shared" ca="1" si="517"/>
        <v>#VALUE!</v>
      </c>
      <c r="AK543" s="243" t="e">
        <f ca="1">IF(AND(INDEX(FlowCalConstA,MATCH(AH532,FlowCalNumber,0),1,1)*AJ543^INDEX(FlowCalConstB,MATCH(AH532,FlowCalNumber,0),1,1)&gt;INDEX(FlowCalLowSetting,MATCH(AH532,FlowCalNumber,0),1,1), (INDEX(FlowCalConstA,MATCH(AH532,FlowCalNumber,0),1,1)*AJ543^INDEX(FlowCalConstB,MATCH(AH532,FlowCalNumber,0),1,1)&lt;INDEX(FlowCalHighSetting,MATCH(AH532,FlowCalNumber,0),1,1))),INDEX(FlowCalConstA,MATCH(AH532,FlowCalNumber,0),1,1)*AJ543^INDEX(FlowCalConstB,MATCH(AH532,FlowCalNumber,0),1,1)," ")</f>
        <v>#N/A</v>
      </c>
      <c r="AL543" s="33"/>
      <c r="AM543" s="242"/>
      <c r="AN543" s="241"/>
      <c r="AO543" s="244"/>
      <c r="AQ543" s="242"/>
      <c r="AR543" s="241"/>
      <c r="AS543" s="244"/>
      <c r="AT543" s="33"/>
      <c r="AU543" s="242"/>
      <c r="AV543" s="241"/>
      <c r="AW543" s="244"/>
      <c r="AX543" s="33"/>
      <c r="AY543" s="242"/>
      <c r="AZ543" s="241"/>
      <c r="BA543" s="244"/>
      <c r="BB543" s="33"/>
      <c r="BC543" s="242"/>
      <c r="BD543" s="241"/>
      <c r="BE543" s="244"/>
      <c r="BF543" s="33"/>
      <c r="BG543" s="242"/>
      <c r="BH543" s="241"/>
      <c r="BI543" s="244"/>
      <c r="BJ543" s="33"/>
      <c r="BK543" s="242"/>
      <c r="BL543" s="241"/>
      <c r="BM543" s="244"/>
      <c r="BN543" s="33"/>
      <c r="BO543" s="242"/>
      <c r="BP543" s="241"/>
      <c r="BQ543" s="244"/>
      <c r="BR543" s="33"/>
      <c r="BS543" s="242"/>
      <c r="BT543" s="241"/>
      <c r="BU543" s="244"/>
      <c r="BV543" s="33"/>
      <c r="BW543" s="242"/>
      <c r="BX543" s="241"/>
      <c r="BY543" s="244"/>
      <c r="BZ543" s="33"/>
      <c r="CA543" s="242"/>
      <c r="CB543" s="241"/>
      <c r="CC543" s="244"/>
      <c r="CD543" s="243"/>
      <c r="CE543" s="243"/>
      <c r="CF543" s="243"/>
      <c r="CG543" s="243"/>
      <c r="CH543" s="243"/>
      <c r="CI543" s="243"/>
      <c r="CJ543" s="243"/>
      <c r="CK543" s="243"/>
      <c r="CL543" s="243"/>
      <c r="CM543" s="243"/>
      <c r="CN543" s="243"/>
      <c r="CO543" s="243"/>
      <c r="CP543" s="243"/>
      <c r="CQ543" s="243"/>
      <c r="CR543" s="243"/>
      <c r="CS543" s="243"/>
      <c r="CT543" s="243"/>
      <c r="CU543" s="243"/>
      <c r="CV543" s="243"/>
      <c r="CW543" s="243"/>
      <c r="CX543" s="243"/>
      <c r="CY543" s="243"/>
      <c r="CZ543" s="243"/>
      <c r="DA543" s="243"/>
      <c r="DB543" s="243"/>
      <c r="DC543" s="243"/>
      <c r="DD543" s="243"/>
      <c r="DE543" s="243"/>
      <c r="DF543" s="243"/>
      <c r="DG543" s="243"/>
      <c r="DH543" s="243"/>
      <c r="DI543" s="243"/>
      <c r="DJ543" s="243"/>
      <c r="DK543" s="243"/>
      <c r="DM543" s="242"/>
      <c r="DO543" s="243"/>
      <c r="DQ543" s="242"/>
      <c r="DS543" s="243"/>
      <c r="DU543" s="242"/>
      <c r="DW543" s="243"/>
      <c r="DY543" s="242"/>
      <c r="EA543" s="243"/>
    </row>
    <row r="544" spans="1:131">
      <c r="A544" s="20"/>
      <c r="B544" s="124" t="str">
        <f t="shared" si="502"/>
        <v/>
      </c>
      <c r="C544" s="235"/>
      <c r="D544" s="24">
        <f>'1% Wind'!$M$93</f>
        <v>2.4</v>
      </c>
      <c r="E544" s="90"/>
      <c r="F544" s="90"/>
      <c r="G544" s="79">
        <f ca="1">IF(I532=0.9743,$G543,MAX(G543/D543*D544,2))</f>
        <v>6.001707317073171</v>
      </c>
      <c r="H544" s="121" t="e">
        <f t="shared" ca="1" si="503"/>
        <v>#VALUE!</v>
      </c>
      <c r="J544" s="33"/>
      <c r="K544" s="242">
        <f t="shared" si="504"/>
        <v>1</v>
      </c>
      <c r="L544" s="241" t="e">
        <f t="shared" ca="1" si="505"/>
        <v>#VALUE!</v>
      </c>
      <c r="M544" s="243" t="e">
        <f ca="1">IF(AND(INDEX(FlowCalConstA,MATCH(J532,FlowCalNumber,0),1,1)*L544^INDEX(FlowCalConstB,MATCH(J532,FlowCalNumber,0),1,1)&gt;INDEX(FlowCalLowSetting,MATCH(J532,FlowCalNumber,0),1,1), (INDEX(FlowCalConstA,MATCH(J532,FlowCalNumber,0),1,1)*L544^INDEX(FlowCalConstB,MATCH(J532,FlowCalNumber,0),1,1)&lt;INDEX(FlowCalHighSetting,MATCH(J532,FlowCalNumber,0),1,1))),INDEX(FlowCalConstA,MATCH(J532,FlowCalNumber,0),1,1)*L544^INDEX(FlowCalConstB,MATCH(J532,FlowCalNumber,0),1,1)," ")</f>
        <v>#N/A</v>
      </c>
      <c r="N544" s="33"/>
      <c r="O544" s="242">
        <f t="shared" si="506"/>
        <v>1</v>
      </c>
      <c r="P544" s="241" t="e">
        <f t="shared" ca="1" si="507"/>
        <v>#VALUE!</v>
      </c>
      <c r="Q544" s="243" t="e">
        <f ca="1">IF(AND(INDEX(FlowCalConstA,MATCH(N532,FlowCalNumber,0),1,1)*P544^INDEX(FlowCalConstB,MATCH(N532,FlowCalNumber,0),1,1)&gt;INDEX(FlowCalLowSetting,MATCH(N532,FlowCalNumber,0),1,1), (INDEX(FlowCalConstA,MATCH(N532,FlowCalNumber,0),1,1)*P544^INDEX(FlowCalConstB,MATCH(N532,FlowCalNumber,0),1,1)&lt;INDEX(FlowCalHighSetting,MATCH(N532,FlowCalNumber,0),1,1))),INDEX(FlowCalConstA,MATCH(N532,FlowCalNumber,0),1,1)*P544^INDEX(FlowCalConstB,MATCH(N532,FlowCalNumber,0),1,1)," ")</f>
        <v>#N/A</v>
      </c>
      <c r="R544" s="33"/>
      <c r="S544" s="242">
        <f t="shared" si="508"/>
        <v>1</v>
      </c>
      <c r="T544" s="241" t="e">
        <f t="shared" ca="1" si="509"/>
        <v>#VALUE!</v>
      </c>
      <c r="U544" s="244" t="e">
        <f ca="1">IF(AND(INDEX(FlowCalConstA,MATCH(R532,FlowCalNumber,0),1,1)*T544^INDEX(FlowCalConstB,MATCH(R532,FlowCalNumber,0),1,1)&gt;INDEX(FlowCalLowSetting,MATCH(R532,FlowCalNumber,0),1,1), (INDEX(FlowCalConstA,MATCH(R532,FlowCalNumber,0),1,1)*T544^INDEX(FlowCalConstB,MATCH(R532,FlowCalNumber,0),1,1)&lt;INDEX(FlowCalHighSetting,MATCH(R532,FlowCalNumber,0),1,1))),INDEX(FlowCalConstA,MATCH(R532,FlowCalNumber,0),1,1)*T544^INDEX(FlowCalConstB,MATCH(R532,FlowCalNumber,0),1,1)," ")</f>
        <v>#N/A</v>
      </c>
      <c r="V544" s="33"/>
      <c r="W544" s="242">
        <f t="shared" si="510"/>
        <v>0.1</v>
      </c>
      <c r="X544" s="241" t="e">
        <f t="shared" ca="1" si="511"/>
        <v>#VALUE!</v>
      </c>
      <c r="Y544" s="243" t="e">
        <f ca="1">IF(AND(INDEX(FlowCalConstA,MATCH(V532,FlowCalNumber,0),1,1)*X544^INDEX(FlowCalConstB,MATCH(V532,FlowCalNumber,0),1,1)&gt;INDEX(FlowCalLowSetting,MATCH(V532,FlowCalNumber,0),1,1), (INDEX(FlowCalConstA,MATCH(V532,FlowCalNumber,0),1,1)*X544^INDEX(FlowCalConstB,MATCH(V532,FlowCalNumber,0),1,1)&lt;INDEX(FlowCalHighSetting,MATCH(V532,FlowCalNumber,0),1,1))),INDEX(FlowCalConstA,MATCH(V532,FlowCalNumber,0),1,1)*X544^INDEX(FlowCalConstB,MATCH(V532,FlowCalNumber,0),1,1)," ")</f>
        <v>#N/A</v>
      </c>
      <c r="Z544" s="33"/>
      <c r="AA544" s="242">
        <f t="shared" si="512"/>
        <v>0.9</v>
      </c>
      <c r="AB544" s="241" t="e">
        <f t="shared" ca="1" si="513"/>
        <v>#VALUE!</v>
      </c>
      <c r="AC544" s="243" t="e">
        <f ca="1">IF(AND(INDEX(FlowCalConstA,MATCH(Z532,FlowCalNumber,0),1,1)*AB544^INDEX(FlowCalConstB,MATCH(Z532,FlowCalNumber,0),1,1)&gt;INDEX(FlowCalLowSetting,MATCH(Z532,FlowCalNumber,0),1,1), (INDEX(FlowCalConstA,MATCH(Z532,FlowCalNumber,0),1,1)*AB544^INDEX(FlowCalConstB,MATCH(Z532,FlowCalNumber,0),1,1)&lt;INDEX(FlowCalHighSetting,MATCH(Z532,FlowCalNumber,0),1,1))),INDEX(FlowCalConstA,MATCH(Z532,FlowCalNumber,0),1,1)*AB544^INDEX(FlowCalConstB,MATCH(Z532,FlowCalNumber,0),1,1)," ")</f>
        <v>#N/A</v>
      </c>
      <c r="AD544" s="33"/>
      <c r="AE544" s="242">
        <f t="shared" si="514"/>
        <v>0.1</v>
      </c>
      <c r="AF544" s="241" t="e">
        <f t="shared" ca="1" si="515"/>
        <v>#VALUE!</v>
      </c>
      <c r="AG544" s="243" t="e">
        <f ca="1">IF(AND(INDEX(FlowCalConstA,MATCH(AD532,FlowCalNumber,0),1,1)*AF544^INDEX(FlowCalConstB,MATCH(AD532,FlowCalNumber,0),1,1)&gt;INDEX(FlowCalLowSetting,MATCH(AD532,FlowCalNumber,0),1,1), (INDEX(FlowCalConstA,MATCH(AD532,FlowCalNumber,0),1,1)*AF544^INDEX(FlowCalConstB,MATCH(AD532,FlowCalNumber,0),1,1)&lt;INDEX(FlowCalHighSetting,MATCH(AD532,FlowCalNumber,0),1,1))),INDEX(FlowCalConstA,MATCH(AD532,FlowCalNumber,0),1,1)*AF544^INDEX(FlowCalConstB,MATCH(AD532,FlowCalNumber,0),1,1)," ")</f>
        <v>#N/A</v>
      </c>
      <c r="AH544" s="33"/>
      <c r="AI544" s="242">
        <f t="shared" si="516"/>
        <v>0.9</v>
      </c>
      <c r="AJ544" s="241" t="e">
        <f t="shared" ca="1" si="517"/>
        <v>#VALUE!</v>
      </c>
      <c r="AK544" s="243" t="e">
        <f ca="1">IF(AND(INDEX(FlowCalConstA,MATCH(AH532,FlowCalNumber,0),1,1)*AJ544^INDEX(FlowCalConstB,MATCH(AH532,FlowCalNumber,0),1,1)&gt;INDEX(FlowCalLowSetting,MATCH(AH532,FlowCalNumber,0),1,1), (INDEX(FlowCalConstA,MATCH(AH532,FlowCalNumber,0),1,1)*AJ544^INDEX(FlowCalConstB,MATCH(AH532,FlowCalNumber,0),1,1)&lt;INDEX(FlowCalHighSetting,MATCH(AH532,FlowCalNumber,0),1,1))),INDEX(FlowCalConstA,MATCH(AH532,FlowCalNumber,0),1,1)*AJ544^INDEX(FlowCalConstB,MATCH(AH532,FlowCalNumber,0),1,1)," ")</f>
        <v>#N/A</v>
      </c>
      <c r="AL544" s="33"/>
      <c r="AM544" s="242"/>
      <c r="AN544" s="241"/>
      <c r="AO544" s="244"/>
      <c r="AQ544" s="242"/>
      <c r="AR544" s="241"/>
      <c r="AS544" s="244"/>
      <c r="AT544" s="33"/>
      <c r="AU544" s="242"/>
      <c r="AV544" s="241"/>
      <c r="AW544" s="244"/>
      <c r="AX544" s="33"/>
      <c r="AY544" s="242"/>
      <c r="AZ544" s="241"/>
      <c r="BA544" s="244"/>
      <c r="BB544" s="33"/>
      <c r="BC544" s="242"/>
      <c r="BD544" s="241"/>
      <c r="BE544" s="244"/>
      <c r="BF544" s="33"/>
      <c r="BG544" s="242"/>
      <c r="BH544" s="241"/>
      <c r="BI544" s="244"/>
      <c r="BJ544" s="33"/>
      <c r="BK544" s="242"/>
      <c r="BL544" s="241"/>
      <c r="BM544" s="244"/>
      <c r="BN544" s="33"/>
      <c r="BO544" s="242"/>
      <c r="BP544" s="241"/>
      <c r="BQ544" s="244"/>
      <c r="BR544" s="33"/>
      <c r="BS544" s="242"/>
      <c r="BT544" s="241"/>
      <c r="BU544" s="244"/>
      <c r="BV544" s="33"/>
      <c r="BW544" s="242"/>
      <c r="BX544" s="241"/>
      <c r="BY544" s="244"/>
      <c r="BZ544" s="33"/>
      <c r="CA544" s="242"/>
      <c r="CB544" s="241"/>
      <c r="CC544" s="244"/>
      <c r="CD544" s="243"/>
      <c r="CE544" s="243"/>
      <c r="CF544" s="243"/>
      <c r="CG544" s="243"/>
      <c r="CH544" s="243"/>
      <c r="CI544" s="243"/>
      <c r="CJ544" s="243"/>
      <c r="CK544" s="243"/>
      <c r="CL544" s="243"/>
      <c r="CM544" s="243"/>
      <c r="CN544" s="243"/>
      <c r="CO544" s="243"/>
      <c r="CP544" s="243"/>
      <c r="CQ544" s="243"/>
      <c r="CR544" s="243"/>
      <c r="CS544" s="243"/>
      <c r="CT544" s="243"/>
      <c r="CU544" s="243"/>
      <c r="CV544" s="243"/>
      <c r="CW544" s="243"/>
      <c r="CX544" s="243"/>
      <c r="CY544" s="243"/>
      <c r="CZ544" s="243"/>
      <c r="DA544" s="243"/>
      <c r="DB544" s="243"/>
      <c r="DC544" s="243"/>
      <c r="DD544" s="243"/>
      <c r="DE544" s="243"/>
      <c r="DF544" s="243"/>
      <c r="DG544" s="243"/>
      <c r="DH544" s="243"/>
      <c r="DI544" s="243"/>
      <c r="DJ544" s="243"/>
      <c r="DK544" s="243"/>
      <c r="DM544" s="242"/>
      <c r="DO544" s="243"/>
      <c r="DQ544" s="242"/>
      <c r="DS544" s="243"/>
      <c r="DU544" s="242"/>
      <c r="DW544" s="243"/>
      <c r="DY544" s="242"/>
      <c r="EA544" s="243"/>
    </row>
    <row r="545" spans="1:131">
      <c r="A545" s="20"/>
      <c r="B545" s="124" t="str">
        <f t="shared" si="502"/>
        <v/>
      </c>
      <c r="C545" s="235"/>
      <c r="D545" s="24">
        <f>'1% Wind'!$M$94</f>
        <v>1.8</v>
      </c>
      <c r="E545" s="90"/>
      <c r="F545" s="90"/>
      <c r="G545" s="79">
        <f ca="1">IF(I532=0.9743,$G544,MAX(G544/D544*D545,2))</f>
        <v>6.001707317073171</v>
      </c>
      <c r="H545" s="121" t="e">
        <f t="shared" ca="1" si="503"/>
        <v>#VALUE!</v>
      </c>
      <c r="J545" s="33"/>
      <c r="K545" s="242">
        <f t="shared" si="504"/>
        <v>1</v>
      </c>
      <c r="L545" s="241" t="e">
        <f t="shared" ca="1" si="505"/>
        <v>#VALUE!</v>
      </c>
      <c r="M545" s="243" t="e">
        <f ca="1">IF(AND(INDEX(FlowCalConstA,MATCH(J532,FlowCalNumber,0),1,1)*L545^INDEX(FlowCalConstB,MATCH(J532,FlowCalNumber,0),1,1)&gt;INDEX(FlowCalLowSetting,MATCH(J532,FlowCalNumber,0),1,1), (INDEX(FlowCalConstA,MATCH(J532,FlowCalNumber,0),1,1)*L545^INDEX(FlowCalConstB,MATCH(J532,FlowCalNumber,0),1,1)&lt;INDEX(FlowCalHighSetting,MATCH(J532,FlowCalNumber,0),1,1))),INDEX(FlowCalConstA,MATCH(J532,FlowCalNumber,0),1,1)*L545^INDEX(FlowCalConstB,MATCH(J532,FlowCalNumber,0),1,1)," ")</f>
        <v>#N/A</v>
      </c>
      <c r="N545" s="33"/>
      <c r="O545" s="242">
        <f t="shared" si="506"/>
        <v>1</v>
      </c>
      <c r="P545" s="241" t="e">
        <f t="shared" ca="1" si="507"/>
        <v>#VALUE!</v>
      </c>
      <c r="Q545" s="243" t="e">
        <f ca="1">IF(AND(INDEX(FlowCalConstA,MATCH(N532,FlowCalNumber,0),1,1)*P545^INDEX(FlowCalConstB,MATCH(N532,FlowCalNumber,0),1,1)&gt;INDEX(FlowCalLowSetting,MATCH(N532,FlowCalNumber,0),1,1), (INDEX(FlowCalConstA,MATCH(N532,FlowCalNumber,0),1,1)*P545^INDEX(FlowCalConstB,MATCH(N532,FlowCalNumber,0),1,1)&lt;INDEX(FlowCalHighSetting,MATCH(N532,FlowCalNumber,0),1,1))),INDEX(FlowCalConstA,MATCH(N532,FlowCalNumber,0),1,1)*P545^INDEX(FlowCalConstB,MATCH(N532,FlowCalNumber,0),1,1)," ")</f>
        <v>#N/A</v>
      </c>
      <c r="R545" s="33"/>
      <c r="S545" s="242">
        <f t="shared" si="508"/>
        <v>1</v>
      </c>
      <c r="T545" s="241" t="e">
        <f t="shared" ca="1" si="509"/>
        <v>#VALUE!</v>
      </c>
      <c r="U545" s="244" t="e">
        <f ca="1">IF(AND(INDEX(FlowCalConstA,MATCH(R532,FlowCalNumber,0),1,1)*T545^INDEX(FlowCalConstB,MATCH(R532,FlowCalNumber,0),1,1)&gt;INDEX(FlowCalLowSetting,MATCH(R532,FlowCalNumber,0),1,1), (INDEX(FlowCalConstA,MATCH(R532,FlowCalNumber,0),1,1)*T545^INDEX(FlowCalConstB,MATCH(R532,FlowCalNumber,0),1,1)&lt;INDEX(FlowCalHighSetting,MATCH(R532,FlowCalNumber,0),1,1))),INDEX(FlowCalConstA,MATCH(R532,FlowCalNumber,0),1,1)*T545^INDEX(FlowCalConstB,MATCH(R532,FlowCalNumber,0),1,1)," ")</f>
        <v>#N/A</v>
      </c>
      <c r="V545" s="33"/>
      <c r="W545" s="242">
        <f t="shared" si="510"/>
        <v>0.1</v>
      </c>
      <c r="X545" s="241" t="e">
        <f t="shared" ca="1" si="511"/>
        <v>#VALUE!</v>
      </c>
      <c r="Y545" s="243" t="e">
        <f ca="1">IF(AND(INDEX(FlowCalConstA,MATCH(V532,FlowCalNumber,0),1,1)*X545^INDEX(FlowCalConstB,MATCH(V532,FlowCalNumber,0),1,1)&gt;INDEX(FlowCalLowSetting,MATCH(V532,FlowCalNumber,0),1,1), (INDEX(FlowCalConstA,MATCH(V532,FlowCalNumber,0),1,1)*X545^INDEX(FlowCalConstB,MATCH(V532,FlowCalNumber,0),1,1)&lt;INDEX(FlowCalHighSetting,MATCH(V532,FlowCalNumber,0),1,1))),INDEX(FlowCalConstA,MATCH(V532,FlowCalNumber,0),1,1)*X545^INDEX(FlowCalConstB,MATCH(V532,FlowCalNumber,0),1,1)," ")</f>
        <v>#N/A</v>
      </c>
      <c r="Z545" s="33"/>
      <c r="AA545" s="242">
        <f t="shared" si="512"/>
        <v>0.9</v>
      </c>
      <c r="AB545" s="241" t="e">
        <f t="shared" ca="1" si="513"/>
        <v>#VALUE!</v>
      </c>
      <c r="AC545" s="243" t="e">
        <f ca="1">IF(AND(INDEX(FlowCalConstA,MATCH(Z532,FlowCalNumber,0),1,1)*AB545^INDEX(FlowCalConstB,MATCH(Z532,FlowCalNumber,0),1,1)&gt;INDEX(FlowCalLowSetting,MATCH(Z532,FlowCalNumber,0),1,1), (INDEX(FlowCalConstA,MATCH(Z532,FlowCalNumber,0),1,1)*AB545^INDEX(FlowCalConstB,MATCH(Z532,FlowCalNumber,0),1,1)&lt;INDEX(FlowCalHighSetting,MATCH(Z532,FlowCalNumber,0),1,1))),INDEX(FlowCalConstA,MATCH(Z532,FlowCalNumber,0),1,1)*AB545^INDEX(FlowCalConstB,MATCH(Z532,FlowCalNumber,0),1,1)," ")</f>
        <v>#N/A</v>
      </c>
      <c r="AD545" s="33"/>
      <c r="AE545" s="242">
        <f t="shared" si="514"/>
        <v>0.1</v>
      </c>
      <c r="AF545" s="241" t="e">
        <f t="shared" ca="1" si="515"/>
        <v>#VALUE!</v>
      </c>
      <c r="AG545" s="243" t="e">
        <f ca="1">IF(AND(INDEX(FlowCalConstA,MATCH(AD532,FlowCalNumber,0),1,1)*AF545^INDEX(FlowCalConstB,MATCH(AD532,FlowCalNumber,0),1,1)&gt;INDEX(FlowCalLowSetting,MATCH(AD532,FlowCalNumber,0),1,1), (INDEX(FlowCalConstA,MATCH(AD532,FlowCalNumber,0),1,1)*AF545^INDEX(FlowCalConstB,MATCH(AD532,FlowCalNumber,0),1,1)&lt;INDEX(FlowCalHighSetting,MATCH(AD532,FlowCalNumber,0),1,1))),INDEX(FlowCalConstA,MATCH(AD532,FlowCalNumber,0),1,1)*AF545^INDEX(FlowCalConstB,MATCH(AD532,FlowCalNumber,0),1,1)," ")</f>
        <v>#N/A</v>
      </c>
      <c r="AH545" s="33"/>
      <c r="AI545" s="242">
        <f t="shared" si="516"/>
        <v>0.9</v>
      </c>
      <c r="AJ545" s="241" t="e">
        <f t="shared" ca="1" si="517"/>
        <v>#VALUE!</v>
      </c>
      <c r="AK545" s="243" t="e">
        <f ca="1">IF(AND(INDEX(FlowCalConstA,MATCH(AH532,FlowCalNumber,0),1,1)*AJ545^INDEX(FlowCalConstB,MATCH(AH532,FlowCalNumber,0),1,1)&gt;INDEX(FlowCalLowSetting,MATCH(AH532,FlowCalNumber,0),1,1), (INDEX(FlowCalConstA,MATCH(AH532,FlowCalNumber,0),1,1)*AJ545^INDEX(FlowCalConstB,MATCH(AH532,FlowCalNumber,0),1,1)&lt;INDEX(FlowCalHighSetting,MATCH(AH532,FlowCalNumber,0),1,1))),INDEX(FlowCalConstA,MATCH(AH532,FlowCalNumber,0),1,1)*AJ545^INDEX(FlowCalConstB,MATCH(AH532,FlowCalNumber,0),1,1)," ")</f>
        <v>#N/A</v>
      </c>
      <c r="AL545" s="33"/>
      <c r="AM545" s="242"/>
      <c r="AN545" s="241"/>
      <c r="AO545" s="244"/>
      <c r="AQ545" s="242"/>
      <c r="AR545" s="241"/>
      <c r="AS545" s="244"/>
      <c r="AT545" s="33"/>
      <c r="AU545" s="242"/>
      <c r="AV545" s="241"/>
      <c r="AW545" s="244"/>
      <c r="AX545" s="33"/>
      <c r="AY545" s="242"/>
      <c r="AZ545" s="241"/>
      <c r="BA545" s="244"/>
      <c r="BB545" s="33"/>
      <c r="BC545" s="242"/>
      <c r="BD545" s="241"/>
      <c r="BE545" s="244"/>
      <c r="BF545" s="33"/>
      <c r="BG545" s="242"/>
      <c r="BH545" s="241"/>
      <c r="BI545" s="244"/>
      <c r="BJ545" s="33"/>
      <c r="BK545" s="242"/>
      <c r="BL545" s="241"/>
      <c r="BM545" s="244"/>
      <c r="BN545" s="33"/>
      <c r="BO545" s="242"/>
      <c r="BP545" s="241"/>
      <c r="BQ545" s="244"/>
      <c r="BR545" s="33"/>
      <c r="BS545" s="242"/>
      <c r="BT545" s="241"/>
      <c r="BU545" s="244"/>
      <c r="BV545" s="33"/>
      <c r="BW545" s="242"/>
      <c r="BX545" s="241"/>
      <c r="BY545" s="244"/>
      <c r="BZ545" s="33"/>
      <c r="CA545" s="242"/>
      <c r="CB545" s="241"/>
      <c r="CC545" s="244"/>
      <c r="CD545" s="243"/>
      <c r="CE545" s="243"/>
      <c r="CF545" s="243"/>
      <c r="CG545" s="243"/>
      <c r="CH545" s="243"/>
      <c r="CI545" s="243"/>
      <c r="CJ545" s="243"/>
      <c r="CK545" s="243"/>
      <c r="CL545" s="243"/>
      <c r="CM545" s="243"/>
      <c r="CN545" s="243"/>
      <c r="CO545" s="243"/>
      <c r="CP545" s="243"/>
      <c r="CQ545" s="243"/>
      <c r="CR545" s="243"/>
      <c r="CS545" s="243"/>
      <c r="CT545" s="243"/>
      <c r="CU545" s="243"/>
      <c r="CV545" s="243"/>
      <c r="CW545" s="243"/>
      <c r="CX545" s="243"/>
      <c r="CY545" s="243"/>
      <c r="CZ545" s="243"/>
      <c r="DA545" s="243"/>
      <c r="DB545" s="243"/>
      <c r="DC545" s="243"/>
      <c r="DD545" s="243"/>
      <c r="DE545" s="243"/>
      <c r="DF545" s="243"/>
      <c r="DG545" s="243"/>
      <c r="DH545" s="243"/>
      <c r="DI545" s="243"/>
      <c r="DJ545" s="243"/>
      <c r="DK545" s="243"/>
      <c r="DM545" s="242"/>
      <c r="DO545" s="243"/>
      <c r="DQ545" s="242"/>
      <c r="DS545" s="243"/>
      <c r="DU545" s="242"/>
      <c r="DW545" s="243"/>
      <c r="DY545" s="242"/>
      <c r="EA545" s="243"/>
    </row>
    <row r="546" spans="1:131">
      <c r="A546" s="20"/>
      <c r="B546" s="124" t="str">
        <f t="shared" si="502"/>
        <v/>
      </c>
      <c r="C546" s="235"/>
      <c r="D546" s="24">
        <f>'1% Wind'!$M$95</f>
        <v>1.3</v>
      </c>
      <c r="E546" s="90"/>
      <c r="F546" s="90"/>
      <c r="G546" s="79">
        <f ca="1">IF(I532=0.9743,$G545,MAX(G545/D545*D546,2))</f>
        <v>6.001707317073171</v>
      </c>
      <c r="H546" s="121" t="e">
        <f t="shared" ca="1" si="503"/>
        <v>#VALUE!</v>
      </c>
      <c r="J546" s="33"/>
      <c r="K546" s="242">
        <f t="shared" si="504"/>
        <v>1</v>
      </c>
      <c r="L546" s="241" t="e">
        <f t="shared" ca="1" si="505"/>
        <v>#VALUE!</v>
      </c>
      <c r="M546" s="243" t="e">
        <f ca="1">IF(AND(INDEX(FlowCalConstA,MATCH(J532,FlowCalNumber,0),1,1)*L546^INDEX(FlowCalConstB,MATCH(J532,FlowCalNumber,0),1,1)&gt;INDEX(FlowCalLowSetting,MATCH(J532,FlowCalNumber,0),1,1), (INDEX(FlowCalConstA,MATCH(J532,FlowCalNumber,0),1,1)*L546^INDEX(FlowCalConstB,MATCH(J532,FlowCalNumber,0),1,1)&lt;INDEX(FlowCalHighSetting,MATCH(J532,FlowCalNumber,0),1,1))),INDEX(FlowCalConstA,MATCH(J532,FlowCalNumber,0),1,1)*L546^INDEX(FlowCalConstB,MATCH(J532,FlowCalNumber,0),1,1)," ")</f>
        <v>#N/A</v>
      </c>
      <c r="N546" s="33"/>
      <c r="O546" s="242">
        <f t="shared" si="506"/>
        <v>1</v>
      </c>
      <c r="P546" s="241" t="e">
        <f t="shared" ca="1" si="507"/>
        <v>#VALUE!</v>
      </c>
      <c r="Q546" s="243" t="e">
        <f ca="1">IF(AND(INDEX(FlowCalConstA,MATCH(N532,FlowCalNumber,0),1,1)*P546^INDEX(FlowCalConstB,MATCH(N532,FlowCalNumber,0),1,1)&gt;INDEX(FlowCalLowSetting,MATCH(N532,FlowCalNumber,0),1,1), (INDEX(FlowCalConstA,MATCH(N532,FlowCalNumber,0),1,1)*P546^INDEX(FlowCalConstB,MATCH(N532,FlowCalNumber,0),1,1)&lt;INDEX(FlowCalHighSetting,MATCH(N532,FlowCalNumber,0),1,1))),INDEX(FlowCalConstA,MATCH(N532,FlowCalNumber,0),1,1)*P546^INDEX(FlowCalConstB,MATCH(N532,FlowCalNumber,0),1,1)," ")</f>
        <v>#N/A</v>
      </c>
      <c r="R546" s="33"/>
      <c r="S546" s="242">
        <f t="shared" si="508"/>
        <v>1</v>
      </c>
      <c r="T546" s="241" t="e">
        <f t="shared" ca="1" si="509"/>
        <v>#VALUE!</v>
      </c>
      <c r="U546" s="244" t="e">
        <f ca="1">IF(AND(INDEX(FlowCalConstA,MATCH(R532,FlowCalNumber,0),1,1)*T546^INDEX(FlowCalConstB,MATCH(R532,FlowCalNumber,0),1,1)&gt;INDEX(FlowCalLowSetting,MATCH(R532,FlowCalNumber,0),1,1), (INDEX(FlowCalConstA,MATCH(R532,FlowCalNumber,0),1,1)*T546^INDEX(FlowCalConstB,MATCH(R532,FlowCalNumber,0),1,1)&lt;INDEX(FlowCalHighSetting,MATCH(R532,FlowCalNumber,0),1,1))),INDEX(FlowCalConstA,MATCH(R532,FlowCalNumber,0),1,1)*T546^INDEX(FlowCalConstB,MATCH(R532,FlowCalNumber,0),1,1)," ")</f>
        <v>#N/A</v>
      </c>
      <c r="V546" s="33"/>
      <c r="W546" s="242">
        <f t="shared" si="510"/>
        <v>0.1</v>
      </c>
      <c r="X546" s="241" t="e">
        <f t="shared" ca="1" si="511"/>
        <v>#VALUE!</v>
      </c>
      <c r="Y546" s="243" t="e">
        <f ca="1">IF(AND(INDEX(FlowCalConstA,MATCH(V532,FlowCalNumber,0),1,1)*X546^INDEX(FlowCalConstB,MATCH(V532,FlowCalNumber,0),1,1)&gt;INDEX(FlowCalLowSetting,MATCH(V532,FlowCalNumber,0),1,1), (INDEX(FlowCalConstA,MATCH(V532,FlowCalNumber,0),1,1)*X546^INDEX(FlowCalConstB,MATCH(V532,FlowCalNumber,0),1,1)&lt;INDEX(FlowCalHighSetting,MATCH(V532,FlowCalNumber,0),1,1))),INDEX(FlowCalConstA,MATCH(V532,FlowCalNumber,0),1,1)*X546^INDEX(FlowCalConstB,MATCH(V532,FlowCalNumber,0),1,1)," ")</f>
        <v>#N/A</v>
      </c>
      <c r="Z546" s="33"/>
      <c r="AA546" s="242">
        <f t="shared" si="512"/>
        <v>0.9</v>
      </c>
      <c r="AB546" s="241" t="e">
        <f t="shared" ca="1" si="513"/>
        <v>#VALUE!</v>
      </c>
      <c r="AC546" s="243" t="e">
        <f ca="1">IF(AND(INDEX(FlowCalConstA,MATCH(Z532,FlowCalNumber,0),1,1)*AB546^INDEX(FlowCalConstB,MATCH(Z532,FlowCalNumber,0),1,1)&gt;INDEX(FlowCalLowSetting,MATCH(Z532,FlowCalNumber,0),1,1), (INDEX(FlowCalConstA,MATCH(Z532,FlowCalNumber,0),1,1)*AB546^INDEX(FlowCalConstB,MATCH(Z532,FlowCalNumber,0),1,1)&lt;INDEX(FlowCalHighSetting,MATCH(Z532,FlowCalNumber,0),1,1))),INDEX(FlowCalConstA,MATCH(Z532,FlowCalNumber,0),1,1)*AB546^INDEX(FlowCalConstB,MATCH(Z532,FlowCalNumber,0),1,1)," ")</f>
        <v>#N/A</v>
      </c>
      <c r="AD546" s="33"/>
      <c r="AE546" s="242">
        <f t="shared" si="514"/>
        <v>0.1</v>
      </c>
      <c r="AF546" s="241" t="e">
        <f t="shared" ca="1" si="515"/>
        <v>#VALUE!</v>
      </c>
      <c r="AG546" s="243" t="e">
        <f ca="1">IF(AND(INDEX(FlowCalConstA,MATCH(AD532,FlowCalNumber,0),1,1)*AF546^INDEX(FlowCalConstB,MATCH(AD532,FlowCalNumber,0),1,1)&gt;INDEX(FlowCalLowSetting,MATCH(AD532,FlowCalNumber,0),1,1), (INDEX(FlowCalConstA,MATCH(AD532,FlowCalNumber,0),1,1)*AF546^INDEX(FlowCalConstB,MATCH(AD532,FlowCalNumber,0),1,1)&lt;INDEX(FlowCalHighSetting,MATCH(AD532,FlowCalNumber,0),1,1))),INDEX(FlowCalConstA,MATCH(AD532,FlowCalNumber,0),1,1)*AF546^INDEX(FlowCalConstB,MATCH(AD532,FlowCalNumber,0),1,1)," ")</f>
        <v>#N/A</v>
      </c>
      <c r="AH546" s="33"/>
      <c r="AI546" s="242">
        <f t="shared" si="516"/>
        <v>0.9</v>
      </c>
      <c r="AJ546" s="241" t="e">
        <f t="shared" ca="1" si="517"/>
        <v>#VALUE!</v>
      </c>
      <c r="AK546" s="243" t="e">
        <f ca="1">IF(AND(INDEX(FlowCalConstA,MATCH(AH532,FlowCalNumber,0),1,1)*AJ546^INDEX(FlowCalConstB,MATCH(AH532,FlowCalNumber,0),1,1)&gt;INDEX(FlowCalLowSetting,MATCH(AH532,FlowCalNumber,0),1,1), (INDEX(FlowCalConstA,MATCH(AH532,FlowCalNumber,0),1,1)*AJ546^INDEX(FlowCalConstB,MATCH(AH532,FlowCalNumber,0),1,1)&lt;INDEX(FlowCalHighSetting,MATCH(AH532,FlowCalNumber,0),1,1))),INDEX(FlowCalConstA,MATCH(AH532,FlowCalNumber,0),1,1)*AJ546^INDEX(FlowCalConstB,MATCH(AH532,FlowCalNumber,0),1,1)," ")</f>
        <v>#N/A</v>
      </c>
      <c r="AL546" s="33"/>
      <c r="AM546" s="242"/>
      <c r="AN546" s="241"/>
      <c r="AO546" s="244"/>
      <c r="AQ546" s="242"/>
      <c r="AR546" s="241"/>
      <c r="AS546" s="244"/>
      <c r="AT546" s="33"/>
      <c r="AU546" s="242"/>
      <c r="AV546" s="241"/>
      <c r="AW546" s="244"/>
      <c r="AX546" s="33"/>
      <c r="AY546" s="242"/>
      <c r="AZ546" s="241"/>
      <c r="BA546" s="244"/>
      <c r="BB546" s="33"/>
      <c r="BC546" s="242"/>
      <c r="BD546" s="241"/>
      <c r="BE546" s="244"/>
      <c r="BF546" s="33"/>
      <c r="BG546" s="242"/>
      <c r="BH546" s="241"/>
      <c r="BI546" s="244"/>
      <c r="BJ546" s="33"/>
      <c r="BK546" s="242"/>
      <c r="BL546" s="241"/>
      <c r="BM546" s="244"/>
      <c r="BN546" s="33"/>
      <c r="BO546" s="242"/>
      <c r="BP546" s="241"/>
      <c r="BQ546" s="244"/>
      <c r="BR546" s="33"/>
      <c r="BS546" s="242"/>
      <c r="BT546" s="241"/>
      <c r="BU546" s="244"/>
      <c r="BV546" s="33"/>
      <c r="BW546" s="242"/>
      <c r="BX546" s="241"/>
      <c r="BY546" s="244"/>
      <c r="BZ546" s="33"/>
      <c r="CA546" s="242"/>
      <c r="CB546" s="241"/>
      <c r="CC546" s="244"/>
      <c r="CD546" s="243"/>
      <c r="CE546" s="243"/>
      <c r="CF546" s="243"/>
      <c r="CG546" s="243"/>
      <c r="CH546" s="243"/>
      <c r="CI546" s="243"/>
      <c r="CJ546" s="243"/>
      <c r="CK546" s="243"/>
      <c r="CL546" s="243"/>
      <c r="CM546" s="243"/>
      <c r="CN546" s="243"/>
      <c r="CO546" s="243"/>
      <c r="CP546" s="243"/>
      <c r="CQ546" s="243"/>
      <c r="CR546" s="243"/>
      <c r="CS546" s="243"/>
      <c r="CT546" s="243"/>
      <c r="CU546" s="243"/>
      <c r="CV546" s="243"/>
      <c r="CW546" s="243"/>
      <c r="CX546" s="243"/>
      <c r="CY546" s="243"/>
      <c r="CZ546" s="243"/>
      <c r="DA546" s="243"/>
      <c r="DB546" s="243"/>
      <c r="DC546" s="243"/>
      <c r="DD546" s="243"/>
      <c r="DE546" s="243"/>
      <c r="DF546" s="243"/>
      <c r="DG546" s="243"/>
      <c r="DH546" s="243"/>
      <c r="DI546" s="243"/>
      <c r="DJ546" s="243"/>
      <c r="DK546" s="243"/>
      <c r="DM546" s="242"/>
      <c r="DO546" s="243"/>
      <c r="DQ546" s="242"/>
      <c r="DS546" s="243"/>
      <c r="DU546" s="242"/>
      <c r="DW546" s="243"/>
      <c r="DY546" s="242"/>
      <c r="EA546" s="243"/>
    </row>
    <row r="547" spans="1:131">
      <c r="A547" s="20"/>
      <c r="B547" s="124" t="str">
        <f t="shared" si="502"/>
        <v/>
      </c>
      <c r="C547" s="235"/>
      <c r="D547" s="24">
        <f>'1% Wind'!$M$96</f>
        <v>1</v>
      </c>
      <c r="E547" s="90"/>
      <c r="F547" s="90"/>
      <c r="G547" s="79">
        <f ca="1">IF(I532=0.9743,$G546,MAX(G546/D546*D547,2))</f>
        <v>6.001707317073171</v>
      </c>
      <c r="H547" s="121" t="e">
        <f t="shared" ca="1" si="503"/>
        <v>#VALUE!</v>
      </c>
      <c r="J547" s="33"/>
      <c r="K547" s="242">
        <f t="shared" si="504"/>
        <v>1</v>
      </c>
      <c r="L547" s="241" t="e">
        <f t="shared" ca="1" si="505"/>
        <v>#VALUE!</v>
      </c>
      <c r="M547" s="243" t="e">
        <f ca="1">IF(AND(INDEX(FlowCalConstA,MATCH(J532,FlowCalNumber,0),1,1)*L547^INDEX(FlowCalConstB,MATCH(J532,FlowCalNumber,0),1,1)&gt;INDEX(FlowCalLowSetting,MATCH(J532,FlowCalNumber,0),1,1), (INDEX(FlowCalConstA,MATCH(J532,FlowCalNumber,0),1,1)*L547^INDEX(FlowCalConstB,MATCH(J532,FlowCalNumber,0),1,1)&lt;INDEX(FlowCalHighSetting,MATCH(J532,FlowCalNumber,0),1,1))),INDEX(FlowCalConstA,MATCH(J532,FlowCalNumber,0),1,1)*L547^INDEX(FlowCalConstB,MATCH(J532,FlowCalNumber,0),1,1)," ")</f>
        <v>#N/A</v>
      </c>
      <c r="N547" s="33"/>
      <c r="O547" s="242">
        <f t="shared" si="506"/>
        <v>1</v>
      </c>
      <c r="P547" s="241" t="e">
        <f t="shared" ca="1" si="507"/>
        <v>#VALUE!</v>
      </c>
      <c r="Q547" s="243" t="e">
        <f ca="1">IF(AND(INDEX(FlowCalConstA,MATCH(N532,FlowCalNumber,0),1,1)*P547^INDEX(FlowCalConstB,MATCH(N532,FlowCalNumber,0),1,1)&gt;INDEX(FlowCalLowSetting,MATCH(N532,FlowCalNumber,0),1,1), (INDEX(FlowCalConstA,MATCH(N532,FlowCalNumber,0),1,1)*P547^INDEX(FlowCalConstB,MATCH(N532,FlowCalNumber,0),1,1)&lt;INDEX(FlowCalHighSetting,MATCH(N532,FlowCalNumber,0),1,1))),INDEX(FlowCalConstA,MATCH(N532,FlowCalNumber,0),1,1)*P547^INDEX(FlowCalConstB,MATCH(N532,FlowCalNumber,0),1,1)," ")</f>
        <v>#N/A</v>
      </c>
      <c r="R547" s="33"/>
      <c r="S547" s="242">
        <f t="shared" si="508"/>
        <v>1</v>
      </c>
      <c r="T547" s="241" t="e">
        <f t="shared" ca="1" si="509"/>
        <v>#VALUE!</v>
      </c>
      <c r="U547" s="244" t="e">
        <f ca="1">IF(AND(INDEX(FlowCalConstA,MATCH(R532,FlowCalNumber,0),1,1)*T547^INDEX(FlowCalConstB,MATCH(R532,FlowCalNumber,0),1,1)&gt;INDEX(FlowCalLowSetting,MATCH(R532,FlowCalNumber,0),1,1), (INDEX(FlowCalConstA,MATCH(R532,FlowCalNumber,0),1,1)*T547^INDEX(FlowCalConstB,MATCH(R532,FlowCalNumber,0),1,1)&lt;INDEX(FlowCalHighSetting,MATCH(R532,FlowCalNumber,0),1,1))),INDEX(FlowCalConstA,MATCH(R532,FlowCalNumber,0),1,1)*T547^INDEX(FlowCalConstB,MATCH(R532,FlowCalNumber,0),1,1)," ")</f>
        <v>#N/A</v>
      </c>
      <c r="V547" s="33"/>
      <c r="W547" s="242">
        <f t="shared" si="510"/>
        <v>0.1</v>
      </c>
      <c r="X547" s="241" t="e">
        <f t="shared" ca="1" si="511"/>
        <v>#VALUE!</v>
      </c>
      <c r="Y547" s="243" t="e">
        <f ca="1">IF(AND(INDEX(FlowCalConstA,MATCH(V532,FlowCalNumber,0),1,1)*X547^INDEX(FlowCalConstB,MATCH(V532,FlowCalNumber,0),1,1)&gt;INDEX(FlowCalLowSetting,MATCH(V532,FlowCalNumber,0),1,1), (INDEX(FlowCalConstA,MATCH(V532,FlowCalNumber,0),1,1)*X547^INDEX(FlowCalConstB,MATCH(V532,FlowCalNumber,0),1,1)&lt;INDEX(FlowCalHighSetting,MATCH(V532,FlowCalNumber,0),1,1))),INDEX(FlowCalConstA,MATCH(V532,FlowCalNumber,0),1,1)*X547^INDEX(FlowCalConstB,MATCH(V532,FlowCalNumber,0),1,1)," ")</f>
        <v>#N/A</v>
      </c>
      <c r="Z547" s="33"/>
      <c r="AA547" s="242">
        <f t="shared" si="512"/>
        <v>0.9</v>
      </c>
      <c r="AB547" s="241" t="e">
        <f t="shared" ca="1" si="513"/>
        <v>#VALUE!</v>
      </c>
      <c r="AC547" s="243" t="e">
        <f ca="1">IF(AND(INDEX(FlowCalConstA,MATCH(Z532,FlowCalNumber,0),1,1)*AB547^INDEX(FlowCalConstB,MATCH(Z532,FlowCalNumber,0),1,1)&gt;INDEX(FlowCalLowSetting,MATCH(Z532,FlowCalNumber,0),1,1), (INDEX(FlowCalConstA,MATCH(Z532,FlowCalNumber,0),1,1)*AB547^INDEX(FlowCalConstB,MATCH(Z532,FlowCalNumber,0),1,1)&lt;INDEX(FlowCalHighSetting,MATCH(Z532,FlowCalNumber,0),1,1))),INDEX(FlowCalConstA,MATCH(Z532,FlowCalNumber,0),1,1)*AB547^INDEX(FlowCalConstB,MATCH(Z532,FlowCalNumber,0),1,1)," ")</f>
        <v>#N/A</v>
      </c>
      <c r="AD547" s="33"/>
      <c r="AE547" s="242">
        <f t="shared" si="514"/>
        <v>0.1</v>
      </c>
      <c r="AF547" s="241" t="e">
        <f t="shared" ca="1" si="515"/>
        <v>#VALUE!</v>
      </c>
      <c r="AG547" s="243" t="e">
        <f ca="1">IF(AND(INDEX(FlowCalConstA,MATCH(AD532,FlowCalNumber,0),1,1)*AF547^INDEX(FlowCalConstB,MATCH(AD532,FlowCalNumber,0),1,1)&gt;INDEX(FlowCalLowSetting,MATCH(AD532,FlowCalNumber,0),1,1), (INDEX(FlowCalConstA,MATCH(AD532,FlowCalNumber,0),1,1)*AF547^INDEX(FlowCalConstB,MATCH(AD532,FlowCalNumber,0),1,1)&lt;INDEX(FlowCalHighSetting,MATCH(AD532,FlowCalNumber,0),1,1))),INDEX(FlowCalConstA,MATCH(AD532,FlowCalNumber,0),1,1)*AF547^INDEX(FlowCalConstB,MATCH(AD532,FlowCalNumber,0),1,1)," ")</f>
        <v>#N/A</v>
      </c>
      <c r="AH547" s="33"/>
      <c r="AI547" s="242">
        <f t="shared" si="516"/>
        <v>0.9</v>
      </c>
      <c r="AJ547" s="241" t="e">
        <f t="shared" ca="1" si="517"/>
        <v>#VALUE!</v>
      </c>
      <c r="AK547" s="243" t="e">
        <f ca="1">IF(AND(INDEX(FlowCalConstA,MATCH(AH532,FlowCalNumber,0),1,1)*AJ547^INDEX(FlowCalConstB,MATCH(AH532,FlowCalNumber,0),1,1)&gt;INDEX(FlowCalLowSetting,MATCH(AH532,FlowCalNumber,0),1,1), (INDEX(FlowCalConstA,MATCH(AH532,FlowCalNumber,0),1,1)*AJ547^INDEX(FlowCalConstB,MATCH(AH532,FlowCalNumber,0),1,1)&lt;INDEX(FlowCalHighSetting,MATCH(AH532,FlowCalNumber,0),1,1))),INDEX(FlowCalConstA,MATCH(AH532,FlowCalNumber,0),1,1)*AJ547^INDEX(FlowCalConstB,MATCH(AH532,FlowCalNumber,0),1,1)," ")</f>
        <v>#N/A</v>
      </c>
      <c r="AL547" s="33"/>
      <c r="AM547" s="242"/>
      <c r="AN547" s="241"/>
      <c r="AO547" s="244"/>
      <c r="AQ547" s="242"/>
      <c r="AR547" s="241"/>
      <c r="AS547" s="244"/>
      <c r="AT547" s="33"/>
      <c r="AU547" s="242"/>
      <c r="AV547" s="241"/>
      <c r="AW547" s="244"/>
      <c r="AX547" s="33"/>
      <c r="AY547" s="242"/>
      <c r="AZ547" s="241"/>
      <c r="BA547" s="244"/>
      <c r="BB547" s="33"/>
      <c r="BC547" s="242"/>
      <c r="BD547" s="241"/>
      <c r="BE547" s="244"/>
      <c r="BF547" s="33"/>
      <c r="BG547" s="242"/>
      <c r="BH547" s="241"/>
      <c r="BI547" s="244"/>
      <c r="BJ547" s="33"/>
      <c r="BK547" s="242"/>
      <c r="BL547" s="241"/>
      <c r="BM547" s="244"/>
      <c r="BN547" s="33"/>
      <c r="BO547" s="242"/>
      <c r="BP547" s="241"/>
      <c r="BQ547" s="244"/>
      <c r="BR547" s="33"/>
      <c r="BS547" s="242"/>
      <c r="BT547" s="241"/>
      <c r="BU547" s="244"/>
      <c r="BV547" s="33"/>
      <c r="BW547" s="242"/>
      <c r="BX547" s="241"/>
      <c r="BY547" s="244"/>
      <c r="BZ547" s="33"/>
      <c r="CA547" s="242"/>
      <c r="CB547" s="241"/>
      <c r="CC547" s="244"/>
      <c r="CD547" s="243"/>
      <c r="CE547" s="243"/>
      <c r="CF547" s="243"/>
      <c r="CG547" s="243"/>
      <c r="CH547" s="243"/>
      <c r="CI547" s="243"/>
      <c r="CJ547" s="243"/>
      <c r="CK547" s="243"/>
      <c r="CL547" s="243"/>
      <c r="CM547" s="243"/>
      <c r="CN547" s="243"/>
      <c r="CO547" s="243"/>
      <c r="CP547" s="243"/>
      <c r="CQ547" s="243"/>
      <c r="CR547" s="243"/>
      <c r="CS547" s="243"/>
      <c r="CT547" s="243"/>
      <c r="CU547" s="243"/>
      <c r="CV547" s="243"/>
      <c r="CW547" s="243"/>
      <c r="CX547" s="243"/>
      <c r="CY547" s="243"/>
      <c r="CZ547" s="243"/>
      <c r="DA547" s="243"/>
      <c r="DB547" s="243"/>
      <c r="DC547" s="243"/>
      <c r="DD547" s="243"/>
      <c r="DE547" s="243"/>
      <c r="DF547" s="243"/>
      <c r="DG547" s="243"/>
      <c r="DH547" s="243"/>
      <c r="DI547" s="243"/>
      <c r="DJ547" s="243"/>
      <c r="DK547" s="243"/>
      <c r="DM547" s="242"/>
      <c r="DO547" s="243"/>
      <c r="DQ547" s="242"/>
      <c r="DS547" s="243"/>
      <c r="DU547" s="242"/>
      <c r="DW547" s="243"/>
      <c r="DY547" s="242"/>
      <c r="EA547" s="243"/>
    </row>
    <row r="548" spans="1:131">
      <c r="A548" s="33"/>
      <c r="B548" s="33"/>
      <c r="C548" s="235"/>
      <c r="E548" s="90"/>
      <c r="F548" s="90"/>
      <c r="G548" s="33"/>
      <c r="J548" s="33"/>
      <c r="N548" s="33"/>
      <c r="Q548" s="243"/>
      <c r="R548" s="33"/>
      <c r="U548" s="244"/>
      <c r="V548" s="33"/>
      <c r="Y548" s="243"/>
      <c r="Z548" s="33"/>
      <c r="AC548" s="243"/>
      <c r="AD548" s="33"/>
      <c r="AG548" s="243"/>
      <c r="AH548" s="33"/>
      <c r="AK548" s="244"/>
      <c r="AL548" s="792"/>
      <c r="AM548" s="243"/>
      <c r="AN548" s="243"/>
      <c r="AO548" s="244"/>
      <c r="AP548" s="243"/>
      <c r="AQ548" s="243"/>
      <c r="AR548" s="243"/>
      <c r="AS548" s="244"/>
      <c r="AT548" s="243"/>
      <c r="AU548" s="243"/>
      <c r="AV548" s="243"/>
      <c r="AW548" s="244"/>
      <c r="AX548" s="243"/>
      <c r="AY548" s="243"/>
      <c r="AZ548" s="243"/>
      <c r="BA548" s="244"/>
      <c r="BB548" s="33"/>
      <c r="BE548" s="244"/>
      <c r="BF548" s="33"/>
      <c r="BI548" s="244"/>
      <c r="BJ548" s="33"/>
      <c r="BM548" s="244"/>
      <c r="BN548" s="243"/>
      <c r="BO548" s="243"/>
      <c r="BP548" s="243"/>
      <c r="BQ548" s="244"/>
      <c r="BR548" s="792"/>
      <c r="BS548" s="243"/>
      <c r="BT548" s="243"/>
      <c r="BU548" s="244"/>
      <c r="BV548" s="792"/>
      <c r="BW548" s="243"/>
      <c r="BX548" s="243"/>
      <c r="BY548" s="244"/>
      <c r="BZ548" s="792"/>
      <c r="CA548" s="243"/>
      <c r="CB548" s="243"/>
      <c r="CC548" s="244"/>
      <c r="CD548" s="243"/>
      <c r="CE548" s="243"/>
      <c r="CF548" s="243"/>
      <c r="CG548" s="243"/>
      <c r="CH548" s="243"/>
      <c r="CI548" s="243"/>
      <c r="CJ548" s="243"/>
      <c r="CK548" s="243"/>
      <c r="CL548" s="243"/>
      <c r="CM548" s="243"/>
      <c r="CN548" s="243"/>
      <c r="CO548" s="243"/>
      <c r="CP548" s="243"/>
      <c r="CQ548" s="243"/>
      <c r="CR548" s="243"/>
      <c r="CS548" s="243"/>
      <c r="CT548" s="243"/>
      <c r="CU548" s="243"/>
      <c r="CV548" s="243"/>
      <c r="CW548" s="243"/>
      <c r="CX548" s="243"/>
      <c r="CY548" s="243"/>
      <c r="CZ548" s="243"/>
      <c r="DA548" s="243"/>
      <c r="DB548" s="243"/>
      <c r="DC548" s="243"/>
      <c r="DD548" s="243"/>
      <c r="DE548" s="243"/>
      <c r="DF548" s="243"/>
      <c r="DG548" s="243"/>
      <c r="DH548" s="243"/>
      <c r="DI548" s="243"/>
      <c r="DJ548" s="243"/>
      <c r="DK548" s="243"/>
      <c r="DO548" s="243"/>
      <c r="DS548" s="243"/>
      <c r="DW548" s="243"/>
      <c r="EA548" s="243"/>
    </row>
    <row r="549" spans="1:131">
      <c r="A549" s="256" t="str">
        <f>IF((RIGHT(A532,1))&lt;&gt;"Z",CHAR(CODE(A532))&amp;CHAR(CODE(RIGHT(A532,1))+1),CHAR(CODE(A532)+1)&amp;"A")</f>
        <v>BF</v>
      </c>
      <c r="B549" s="270" t="str">
        <f>INDEX(SourceID,MATCH($A549,SourceNumber,0),1,1)</f>
        <v>B2 Viv-1</v>
      </c>
      <c r="C549" s="354">
        <f>INDEX(SourceExitDiameter,MATCH($A549,SourceNumber,0),1,1)*3.28*12</f>
        <v>57.974999999999994</v>
      </c>
      <c r="D549" s="24" t="str">
        <f>UAnem1percent</f>
        <v>1% Wind</v>
      </c>
      <c r="E549" s="350" t="e">
        <f ca="1">INDIRECT(ADDRESS(53,6,1,,CONCATENATE("TA",$A549)))</f>
        <v>#REF!</v>
      </c>
      <c r="F549" s="625" t="e">
        <f ca="1">(ROUND((INDIRECT(ADDRESS(15,7,1,,CONCATENATE("TA",$A549)))*3.28*12*32),0)&amp;"/32")</f>
        <v>#REF!</v>
      </c>
      <c r="G549" s="125">
        <f ca="1">INDIRECT(ADDRESS(29,7,1,,$A549))</f>
        <v>6.001707317073171</v>
      </c>
      <c r="H549" s="24" t="e">
        <f ca="1">INDIRECT(ADDRESS(19,7,1,,$A549))*100^3</f>
        <v>#VALUE!</v>
      </c>
      <c r="I549" s="941">
        <f ca="1">INDIRECT(ADDRESS(53,7,1,,$A549))</f>
        <v>0.97430000000000005</v>
      </c>
      <c r="J549" s="20" t="str">
        <f ca="1">IF($I549=$I$6,K$16&amp;$G$6&amp;J$6,IF($I549=$I$7,K$16&amp;$G$7&amp;J$7,"Bad"))</f>
        <v>100EthPick a Tunnel</v>
      </c>
      <c r="K549" t="e">
        <f ca="1">INDEX(FlowCalGasMixture,MATCH(J549,FlowCalNumber,0),1,1)</f>
        <v>#N/A</v>
      </c>
      <c r="M549" s="944" t="e">
        <f ca="1">INDEX(FlowCalDevice,MATCH(J549,FlowCalNumber,0),1,1)</f>
        <v>#N/A</v>
      </c>
      <c r="N549" s="943" t="str">
        <f ca="1">IF($I549=$I$6,O$16&amp;$G$6&amp;"90"&amp;$H$6&amp;N$6,IF($I549=$I$7,O$16&amp;$G$7&amp;"90"&amp;$H$7&amp;N$7,"Bad"))</f>
        <v>10Eth90N2Pick a Tunnel</v>
      </c>
      <c r="O549" t="e">
        <f ca="1">INDEX(FlowCalGasMixture,MATCH(N549,FlowCalNumber,0),1,1)</f>
        <v>#N/A</v>
      </c>
      <c r="Q549" s="944" t="e">
        <f ca="1">INDEX(FlowCalDevice,MATCH(N549,FlowCalNumber,0),1,1)</f>
        <v>#N/A</v>
      </c>
      <c r="R549" s="943" t="str">
        <f ca="1">IF($I549=$I$6,S$16&amp;$G$6&amp;"90"&amp;$H$6&amp;R$6,IF($I549=$I$7,S$16&amp;$G$7&amp;"90"&amp;$H$7&amp;R$7,"Bad"))</f>
        <v>10Eth90N2Pick a Tunnel</v>
      </c>
      <c r="S549" t="e">
        <f ca="1">INDEX(FlowCalGasMixture,MATCH(R549,FlowCalNumber,0),1,1)</f>
        <v>#N/A</v>
      </c>
      <c r="U549" s="944" t="e">
        <f ca="1">INDEX(FlowCalDevice,MATCH(R549,FlowCalNumber,0),1,1)</f>
        <v>#N/A</v>
      </c>
      <c r="V549" s="20" t="str">
        <f ca="1">IF($I549=$I$6,W$16&amp;$G$6&amp;V$6,IF($I549=$I$7,W$16&amp;$G$7&amp;V$7,"Bad"))</f>
        <v>100EthPick a Tunnel</v>
      </c>
      <c r="W549" t="e">
        <f ca="1">INDEX(FlowCalGasMixture,MATCH(V549,FlowCalNumber,0),1,1)</f>
        <v>#N/A</v>
      </c>
      <c r="Y549" s="944" t="e">
        <f ca="1">INDEX(FlowCalDevice,MATCH(V549,FlowCalNumber,0),1,1)</f>
        <v>#N/A</v>
      </c>
      <c r="Z549" s="946" t="str">
        <f ca="1">IF($I549=$I$6,AA$18&amp;$H$6&amp;Z$6,IF($I549=$I$7,AA$18&amp;$H$7&amp;Z$7,"Bad"))</f>
        <v>100N2Pick a Tunnel</v>
      </c>
      <c r="AA549" t="e">
        <f ca="1">INDEX(FlowCalGasMixture,MATCH(Z549,FlowCalNumber,0),1,1)</f>
        <v>#N/A</v>
      </c>
      <c r="AC549" s="944" t="e">
        <f ca="1">INDEX(FlowCalDevice,MATCH(Z549,FlowCalNumber,0),1,1)</f>
        <v>#N/A</v>
      </c>
      <c r="AD549" s="20" t="str">
        <f ca="1">IF($I549=$I$6,AE$16&amp;$G$6&amp;AD$6,IF($I549=$I$7,AE$16&amp;$G$7&amp;AD$7,"Bad"))</f>
        <v>100EthPick a Tunnel</v>
      </c>
      <c r="AE549" t="e">
        <f ca="1">INDEX(FlowCalGasMixture,MATCH(AD549,FlowCalNumber,0),1,1)</f>
        <v>#N/A</v>
      </c>
      <c r="AG549" s="944" t="e">
        <f ca="1">INDEX(FlowCalDevice,MATCH(AD549,FlowCalNumber,0),1,1)</f>
        <v>#N/A</v>
      </c>
      <c r="AH549" s="946" t="str">
        <f ca="1">IF($I549=$I$6,AI$18&amp;$H$6&amp;AH$6,IF($I549=$I$7,AI$18&amp;$H$7&amp;AH$7,"Bad"))</f>
        <v>100N2Pick a Tunnel</v>
      </c>
      <c r="AI549" t="e">
        <f ca="1">INDEX(FlowCalGasMixture,MATCH(AH549,FlowCalNumber,0),1,1)</f>
        <v>#N/A</v>
      </c>
      <c r="AK549" s="944" t="e">
        <f ca="1">INDEX(FlowCalDevice,MATCH(AH549,FlowCalNumber,0),1,1)</f>
        <v>#N/A</v>
      </c>
      <c r="AL549" s="20"/>
      <c r="AO549" s="982"/>
      <c r="AP549" s="960"/>
      <c r="AS549" s="982"/>
      <c r="AT549" s="20"/>
      <c r="AW549" s="982"/>
      <c r="AX549" s="946"/>
      <c r="BA549" s="982"/>
      <c r="BB549" s="20"/>
      <c r="BC549" s="16"/>
      <c r="BE549" s="982"/>
      <c r="BF549" s="946"/>
      <c r="BG549" s="16"/>
      <c r="BI549" s="982"/>
      <c r="BJ549" s="946"/>
      <c r="BK549" s="16"/>
      <c r="BM549" s="982"/>
      <c r="BN549" s="20"/>
      <c r="BO549" s="16"/>
      <c r="BQ549" s="982"/>
      <c r="BR549" s="946"/>
      <c r="BS549" s="16"/>
      <c r="BU549" s="982"/>
      <c r="BV549" s="946"/>
      <c r="BW549" s="16"/>
      <c r="BY549" s="982"/>
      <c r="BZ549" s="946"/>
      <c r="CA549" s="16"/>
      <c r="CC549" s="982"/>
      <c r="CD549" s="355"/>
      <c r="CE549" s="355"/>
      <c r="CF549" s="355"/>
      <c r="CG549" s="355"/>
      <c r="CH549" s="355"/>
      <c r="CI549" s="355"/>
      <c r="CJ549" s="355"/>
      <c r="CK549" s="355"/>
      <c r="CL549" s="355"/>
      <c r="CM549" s="355"/>
      <c r="CN549" s="355"/>
      <c r="CO549" s="355"/>
      <c r="CP549" s="355"/>
      <c r="CQ549" s="355"/>
      <c r="CR549" s="355"/>
      <c r="CS549" s="355"/>
      <c r="CT549" s="355"/>
      <c r="CU549" s="355"/>
      <c r="CV549" s="355"/>
      <c r="CW549" s="355"/>
      <c r="CX549" s="355"/>
      <c r="CY549" s="355"/>
      <c r="CZ549" s="355"/>
      <c r="DA549" s="355"/>
      <c r="DB549" s="355"/>
      <c r="DC549" s="355"/>
      <c r="DD549" s="355"/>
      <c r="DE549" s="355"/>
      <c r="DF549" s="355"/>
      <c r="DG549" s="355"/>
      <c r="DH549" s="355"/>
      <c r="DI549" s="355"/>
      <c r="DJ549" s="355"/>
      <c r="DK549" s="355"/>
      <c r="DL549" s="46"/>
      <c r="DM549" s="16"/>
      <c r="DO549" s="355"/>
      <c r="DP549" s="42"/>
      <c r="DQ549" s="16"/>
      <c r="DS549" s="355"/>
      <c r="DT549" s="42"/>
      <c r="DU549" s="16"/>
      <c r="DW549" s="355"/>
      <c r="DX549" s="42"/>
      <c r="DY549" s="16"/>
      <c r="EA549" s="355"/>
    </row>
    <row r="550" spans="1:131">
      <c r="A550" s="20"/>
      <c r="B550" s="124" t="str">
        <f t="shared" ref="B550:B564" si="518">IF(D550=UAnem1percent,"1% Wind","")</f>
        <v/>
      </c>
      <c r="C550" s="235"/>
      <c r="D550" s="24">
        <f>'1% Wind'!$M$82</f>
        <v>27</v>
      </c>
      <c r="E550" s="90"/>
      <c r="F550" s="90"/>
      <c r="G550" s="79">
        <f ca="1">IF(I549=0.9743,$G549,MAX(G549/D549*D550,2))</f>
        <v>6.001707317073171</v>
      </c>
      <c r="H550" s="121" t="e">
        <f t="shared" ref="H550:H564" ca="1" si="519">H549*(D549/D550)*(G550/G549)</f>
        <v>#VALUE!</v>
      </c>
      <c r="J550" s="33"/>
      <c r="K550" s="260">
        <f>K$17/100</f>
        <v>1</v>
      </c>
      <c r="L550" s="241" t="e">
        <f ca="1">K550*$H550</f>
        <v>#VALUE!</v>
      </c>
      <c r="M550" s="243" t="e">
        <f ca="1">IF(AND(INDEX(FlowCalConstA,MATCH(J549,FlowCalNumber,0),1,1)*L550^INDEX(FlowCalConstB,MATCH(J549,FlowCalNumber,0),1,1)&gt;INDEX(FlowCalLowSetting,MATCH(J549,FlowCalNumber,0),1,1), (INDEX(FlowCalConstA,MATCH(J549,FlowCalNumber,0),1,1)*L550^INDEX(FlowCalConstB,MATCH(J549,FlowCalNumber,0),1,1)&lt;INDEX(FlowCalHighSetting,MATCH(J549,FlowCalNumber,0),1,1))),INDEX(FlowCalConstA,MATCH(J549,FlowCalNumber,0),1,1)*L550^INDEX(FlowCalConstB,MATCH(J549,FlowCalNumber,0),1,1)," ")</f>
        <v>#N/A</v>
      </c>
      <c r="N550" s="33"/>
      <c r="O550" s="260">
        <f>O$17/100</f>
        <v>1</v>
      </c>
      <c r="P550" s="241" t="e">
        <f ca="1">O550*$H550</f>
        <v>#VALUE!</v>
      </c>
      <c r="Q550" s="243" t="e">
        <f ca="1">IF(AND(INDEX(FlowCalConstA,MATCH(N549,FlowCalNumber,0),1,1)*P550^INDEX(FlowCalConstB,MATCH(N549,FlowCalNumber,0),1,1)&gt;INDEX(FlowCalLowSetting,MATCH(N549,FlowCalNumber,0),1,1), (INDEX(FlowCalConstA,MATCH(N549,FlowCalNumber,0),1,1)*P550^INDEX(FlowCalConstB,MATCH(N549,FlowCalNumber,0),1,1)&lt;INDEX(FlowCalHighSetting,MATCH(N549,FlowCalNumber,0),1,1))),INDEX(FlowCalConstA,MATCH(N549,FlowCalNumber,0),1,1)*P550^INDEX(FlowCalConstB,MATCH(N549,FlowCalNumber,0),1,1)," ")</f>
        <v>#N/A</v>
      </c>
      <c r="R550" s="33"/>
      <c r="S550" s="260">
        <f>S$17/100</f>
        <v>1</v>
      </c>
      <c r="T550" s="241" t="e">
        <f ca="1">S550*$H550</f>
        <v>#VALUE!</v>
      </c>
      <c r="U550" s="244" t="e">
        <f ca="1">IF(AND(INDEX(FlowCalConstA,MATCH(R549,FlowCalNumber,0),1,1)*T550^INDEX(FlowCalConstB,MATCH(R549,FlowCalNumber,0),1,1)&gt;INDEX(FlowCalLowSetting,MATCH(R549,FlowCalNumber,0),1,1), (INDEX(FlowCalConstA,MATCH(R549,FlowCalNumber,0),1,1)*T550^INDEX(FlowCalConstB,MATCH(R549,FlowCalNumber,0),1,1)&lt;INDEX(FlowCalHighSetting,MATCH(R549,FlowCalNumber,0),1,1))),INDEX(FlowCalConstA,MATCH(R549,FlowCalNumber,0),1,1)*T550^INDEX(FlowCalConstB,MATCH(R549,FlowCalNumber,0),1,1)," ")</f>
        <v>#N/A</v>
      </c>
      <c r="V550" s="33"/>
      <c r="W550" s="260">
        <f>W$17/100</f>
        <v>0.1</v>
      </c>
      <c r="X550" s="241" t="e">
        <f ca="1">W550*$H550</f>
        <v>#VALUE!</v>
      </c>
      <c r="Y550" s="243" t="e">
        <f ca="1">IF(AND(INDEX(FlowCalConstA,MATCH(V549,FlowCalNumber,0),1,1)*X550^INDEX(FlowCalConstB,MATCH(V549,FlowCalNumber,0),1,1)&gt;INDEX(FlowCalLowSetting,MATCH(V549,FlowCalNumber,0),1,1), (INDEX(FlowCalConstA,MATCH(V549,FlowCalNumber,0),1,1)*X550^INDEX(FlowCalConstB,MATCH(V549,FlowCalNumber,0),1,1)&lt;INDEX(FlowCalHighSetting,MATCH(V549,FlowCalNumber,0),1,1))),INDEX(FlowCalConstA,MATCH(V549,FlowCalNumber,0),1,1)*X550^INDEX(FlowCalConstB,MATCH(V549,FlowCalNumber,0),1,1)," ")</f>
        <v>#N/A</v>
      </c>
      <c r="Z550" s="33"/>
      <c r="AA550" s="260">
        <f>AA$17/100</f>
        <v>0.9</v>
      </c>
      <c r="AB550" s="241" t="e">
        <f ca="1">AA550*$H550</f>
        <v>#VALUE!</v>
      </c>
      <c r="AC550" s="243" t="e">
        <f ca="1">IF(AND(INDEX(FlowCalConstA,MATCH(Z549,FlowCalNumber,0),1,1)*AB550^INDEX(FlowCalConstB,MATCH(Z549,FlowCalNumber,0),1,1)&gt;INDEX(FlowCalLowSetting,MATCH(Z549,FlowCalNumber,0),1,1), (INDEX(FlowCalConstA,MATCH(Z549,FlowCalNumber,0),1,1)*AB550^INDEX(FlowCalConstB,MATCH(Z549,FlowCalNumber,0),1,1)&lt;INDEX(FlowCalHighSetting,MATCH(Z549,FlowCalNumber,0),1,1))),INDEX(FlowCalConstA,MATCH(Z549,FlowCalNumber,0),1,1)*AB550^INDEX(FlowCalConstB,MATCH(Z549,FlowCalNumber,0),1,1)," ")</f>
        <v>#N/A</v>
      </c>
      <c r="AD550" s="33"/>
      <c r="AE550" s="260">
        <f>AE$17/100</f>
        <v>0.1</v>
      </c>
      <c r="AF550" s="241" t="e">
        <f ca="1">AE550*$H550</f>
        <v>#VALUE!</v>
      </c>
      <c r="AG550" s="243" t="e">
        <f ca="1">IF(AND(INDEX(FlowCalConstA,MATCH(AD549,FlowCalNumber,0),1,1)*AF550^INDEX(FlowCalConstB,MATCH(AD549,FlowCalNumber,0),1,1)&gt;INDEX(FlowCalLowSetting,MATCH(AD549,FlowCalNumber,0),1,1), (INDEX(FlowCalConstA,MATCH(AD549,FlowCalNumber,0),1,1)*AF550^INDEX(FlowCalConstB,MATCH(AD549,FlowCalNumber,0),1,1)&lt;INDEX(FlowCalHighSetting,MATCH(AD549,FlowCalNumber,0),1,1))),INDEX(FlowCalConstA,MATCH(AD549,FlowCalNumber,0),1,1)*AF550^INDEX(FlowCalConstB,MATCH(AD549,FlowCalNumber,0),1,1)," ")</f>
        <v>#N/A</v>
      </c>
      <c r="AH550" s="33"/>
      <c r="AI550" s="260">
        <f>AI$17/100</f>
        <v>0.9</v>
      </c>
      <c r="AJ550" s="241" t="e">
        <f ca="1">AI550*$H550</f>
        <v>#VALUE!</v>
      </c>
      <c r="AK550" s="243" t="e">
        <f ca="1">IF(AND(INDEX(FlowCalConstA,MATCH(AH549,FlowCalNumber,0),1,1)*AJ550^INDEX(FlowCalConstB,MATCH(AH549,FlowCalNumber,0),1,1)&gt;INDEX(FlowCalLowSetting,MATCH(AH549,FlowCalNumber,0),1,1), (INDEX(FlowCalConstA,MATCH(AH549,FlowCalNumber,0),1,1)*AJ550^INDEX(FlowCalConstB,MATCH(AH549,FlowCalNumber,0),1,1)&lt;INDEX(FlowCalHighSetting,MATCH(AH549,FlowCalNumber,0),1,1))),INDEX(FlowCalConstA,MATCH(AH549,FlowCalNumber,0),1,1)*AJ550^INDEX(FlowCalConstB,MATCH(AH549,FlowCalNumber,0),1,1)," ")</f>
        <v>#N/A</v>
      </c>
      <c r="AL550" s="33"/>
      <c r="AM550" s="260"/>
      <c r="AN550" s="241"/>
      <c r="AO550" s="244"/>
      <c r="AQ550" s="260"/>
      <c r="AR550" s="241"/>
      <c r="AS550" s="244"/>
      <c r="AT550" s="33"/>
      <c r="AU550" s="260"/>
      <c r="AV550" s="241"/>
      <c r="AW550" s="244"/>
      <c r="AX550" s="33"/>
      <c r="AY550" s="260"/>
      <c r="AZ550" s="241"/>
      <c r="BA550" s="244"/>
      <c r="BB550" s="33"/>
      <c r="BC550" s="260"/>
      <c r="BD550" s="241"/>
      <c r="BE550" s="244"/>
      <c r="BF550" s="33"/>
      <c r="BG550" s="260"/>
      <c r="BH550" s="241"/>
      <c r="BI550" s="244"/>
      <c r="BJ550" s="33"/>
      <c r="BK550" s="260"/>
      <c r="BL550" s="241"/>
      <c r="BM550" s="244"/>
      <c r="BN550" s="33"/>
      <c r="BO550" s="260"/>
      <c r="BP550" s="241"/>
      <c r="BQ550" s="244"/>
      <c r="BR550" s="33"/>
      <c r="BS550" s="260"/>
      <c r="BT550" s="241"/>
      <c r="BU550" s="244"/>
      <c r="BV550" s="33"/>
      <c r="BW550" s="260"/>
      <c r="BX550" s="241"/>
      <c r="BY550" s="244"/>
      <c r="BZ550" s="33"/>
      <c r="CA550" s="260"/>
      <c r="CB550" s="241"/>
      <c r="CC550" s="244"/>
      <c r="CD550" s="243"/>
      <c r="CE550" s="243"/>
      <c r="CF550" s="243"/>
      <c r="CG550" s="243"/>
      <c r="CH550" s="243"/>
      <c r="CI550" s="243"/>
      <c r="CJ550" s="243"/>
      <c r="CK550" s="243"/>
      <c r="CL550" s="243"/>
      <c r="CM550" s="243"/>
      <c r="CN550" s="243"/>
      <c r="CO550" s="243"/>
      <c r="CP550" s="243"/>
      <c r="CQ550" s="243"/>
      <c r="CR550" s="243"/>
      <c r="CS550" s="243"/>
      <c r="CT550" s="243"/>
      <c r="CU550" s="243"/>
      <c r="CV550" s="243"/>
      <c r="CW550" s="243"/>
      <c r="CX550" s="243"/>
      <c r="CY550" s="243"/>
      <c r="CZ550" s="243"/>
      <c r="DA550" s="243"/>
      <c r="DB550" s="243"/>
      <c r="DC550" s="243"/>
      <c r="DD550" s="243"/>
      <c r="DE550" s="243"/>
      <c r="DF550" s="243"/>
      <c r="DG550" s="243"/>
      <c r="DH550" s="243"/>
      <c r="DI550" s="243"/>
      <c r="DJ550" s="243"/>
      <c r="DK550" s="243"/>
      <c r="DM550" s="259"/>
      <c r="DO550" s="243"/>
      <c r="DQ550" s="259"/>
      <c r="DS550" s="243"/>
      <c r="DU550" s="259"/>
      <c r="DW550" s="243"/>
      <c r="DY550" s="260"/>
      <c r="EA550" s="243"/>
    </row>
    <row r="551" spans="1:131">
      <c r="A551" s="20"/>
      <c r="B551" s="124" t="str">
        <f t="shared" si="518"/>
        <v/>
      </c>
      <c r="C551" s="235"/>
      <c r="D551" s="24">
        <f>'1% Wind'!$M$83</f>
        <v>23.5</v>
      </c>
      <c r="E551" s="90"/>
      <c r="F551" s="90"/>
      <c r="G551" s="79">
        <f ca="1">IF(I549=0.9743,$G550,MAX(G550/D550*D551,2))</f>
        <v>6.001707317073171</v>
      </c>
      <c r="H551" s="121" t="e">
        <f t="shared" ca="1" si="519"/>
        <v>#VALUE!</v>
      </c>
      <c r="J551" s="33"/>
      <c r="K551" s="242">
        <f t="shared" ref="K551:K564" si="520">K550</f>
        <v>1</v>
      </c>
      <c r="L551" s="241" t="e">
        <f t="shared" ref="L551:L564" ca="1" si="521">K551*$H551</f>
        <v>#VALUE!</v>
      </c>
      <c r="M551" s="243" t="e">
        <f ca="1">IF(AND(INDEX(FlowCalConstA,MATCH(J549,FlowCalNumber,0),1,1)*L551^INDEX(FlowCalConstB,MATCH(J549,FlowCalNumber,0),1,1)&gt;INDEX(FlowCalLowSetting,MATCH(J549,FlowCalNumber,0),1,1), (INDEX(FlowCalConstA,MATCH(J549,FlowCalNumber,0),1,1)*L551^INDEX(FlowCalConstB,MATCH(J549,FlowCalNumber,0),1,1)&lt;INDEX(FlowCalHighSetting,MATCH(J549,FlowCalNumber,0),1,1))),INDEX(FlowCalConstA,MATCH(J549,FlowCalNumber,0),1,1)*L551^INDEX(FlowCalConstB,MATCH(J549,FlowCalNumber,0),1,1)," ")</f>
        <v>#N/A</v>
      </c>
      <c r="N551" s="33"/>
      <c r="O551" s="242">
        <f t="shared" ref="O551:O564" si="522">O550</f>
        <v>1</v>
      </c>
      <c r="P551" s="241" t="e">
        <f t="shared" ref="P551:P564" ca="1" si="523">O551*$H551</f>
        <v>#VALUE!</v>
      </c>
      <c r="Q551" s="243" t="e">
        <f ca="1">IF(AND(INDEX(FlowCalConstA,MATCH(N549,FlowCalNumber,0),1,1)*P551^INDEX(FlowCalConstB,MATCH(N549,FlowCalNumber,0),1,1)&gt;INDEX(FlowCalLowSetting,MATCH(N549,FlowCalNumber,0),1,1), (INDEX(FlowCalConstA,MATCH(N549,FlowCalNumber,0),1,1)*P551^INDEX(FlowCalConstB,MATCH(N549,FlowCalNumber,0),1,1)&lt;INDEX(FlowCalHighSetting,MATCH(N549,FlowCalNumber,0),1,1))),INDEX(FlowCalConstA,MATCH(N549,FlowCalNumber,0),1,1)*P551^INDEX(FlowCalConstB,MATCH(N549,FlowCalNumber,0),1,1)," ")</f>
        <v>#N/A</v>
      </c>
      <c r="R551" s="33"/>
      <c r="S551" s="242">
        <f t="shared" ref="S551:S564" si="524">S550</f>
        <v>1</v>
      </c>
      <c r="T551" s="241" t="e">
        <f t="shared" ref="T551:T564" ca="1" si="525">S551*$H551</f>
        <v>#VALUE!</v>
      </c>
      <c r="U551" s="244" t="e">
        <f ca="1">IF(AND(INDEX(FlowCalConstA,MATCH(R549,FlowCalNumber,0),1,1)*T551^INDEX(FlowCalConstB,MATCH(R549,FlowCalNumber,0),1,1)&gt;INDEX(FlowCalLowSetting,MATCH(R549,FlowCalNumber,0),1,1), (INDEX(FlowCalConstA,MATCH(R549,FlowCalNumber,0),1,1)*T551^INDEX(FlowCalConstB,MATCH(R549,FlowCalNumber,0),1,1)&lt;INDEX(FlowCalHighSetting,MATCH(R549,FlowCalNumber,0),1,1))),INDEX(FlowCalConstA,MATCH(R549,FlowCalNumber,0),1,1)*T551^INDEX(FlowCalConstB,MATCH(R549,FlowCalNumber,0),1,1)," ")</f>
        <v>#N/A</v>
      </c>
      <c r="V551" s="33"/>
      <c r="W551" s="242">
        <f t="shared" ref="W551:W564" si="526">W550</f>
        <v>0.1</v>
      </c>
      <c r="X551" s="241" t="e">
        <f t="shared" ref="X551:X564" ca="1" si="527">W551*$H551</f>
        <v>#VALUE!</v>
      </c>
      <c r="Y551" s="243" t="e">
        <f ca="1">IF(AND(INDEX(FlowCalConstA,MATCH(V549,FlowCalNumber,0),1,1)*X551^INDEX(FlowCalConstB,MATCH(V549,FlowCalNumber,0),1,1)&gt;INDEX(FlowCalLowSetting,MATCH(V549,FlowCalNumber,0),1,1), (INDEX(FlowCalConstA,MATCH(V549,FlowCalNumber,0),1,1)*X551^INDEX(FlowCalConstB,MATCH(V549,FlowCalNumber,0),1,1)&lt;INDEX(FlowCalHighSetting,MATCH(V549,FlowCalNumber,0),1,1))),INDEX(FlowCalConstA,MATCH(V549,FlowCalNumber,0),1,1)*X551^INDEX(FlowCalConstB,MATCH(V549,FlowCalNumber,0),1,1)," ")</f>
        <v>#N/A</v>
      </c>
      <c r="Z551" s="33"/>
      <c r="AA551" s="242">
        <f t="shared" ref="AA551:AA564" si="528">AA550</f>
        <v>0.9</v>
      </c>
      <c r="AB551" s="241" t="e">
        <f t="shared" ref="AB551:AB564" ca="1" si="529">AA551*$H551</f>
        <v>#VALUE!</v>
      </c>
      <c r="AC551" s="243" t="e">
        <f ca="1">IF(AND(INDEX(FlowCalConstA,MATCH(Z549,FlowCalNumber,0),1,1)*AB551^INDEX(FlowCalConstB,MATCH(Z549,FlowCalNumber,0),1,1)&gt;INDEX(FlowCalLowSetting,MATCH(Z549,FlowCalNumber,0),1,1), (INDEX(FlowCalConstA,MATCH(Z549,FlowCalNumber,0),1,1)*AB551^INDEX(FlowCalConstB,MATCH(Z549,FlowCalNumber,0),1,1)&lt;INDEX(FlowCalHighSetting,MATCH(Z549,FlowCalNumber,0),1,1))),INDEX(FlowCalConstA,MATCH(Z549,FlowCalNumber,0),1,1)*AB551^INDEX(FlowCalConstB,MATCH(Z549,FlowCalNumber,0),1,1)," ")</f>
        <v>#N/A</v>
      </c>
      <c r="AD551" s="33"/>
      <c r="AE551" s="242">
        <f t="shared" ref="AE551:AE564" si="530">AE550</f>
        <v>0.1</v>
      </c>
      <c r="AF551" s="241" t="e">
        <f t="shared" ref="AF551:AF564" ca="1" si="531">AE551*$H551</f>
        <v>#VALUE!</v>
      </c>
      <c r="AG551" s="243" t="e">
        <f ca="1">IF(AND(INDEX(FlowCalConstA,MATCH(AD549,FlowCalNumber,0),1,1)*AF551^INDEX(FlowCalConstB,MATCH(AD549,FlowCalNumber,0),1,1)&gt;INDEX(FlowCalLowSetting,MATCH(AD549,FlowCalNumber,0),1,1), (INDEX(FlowCalConstA,MATCH(AD549,FlowCalNumber,0),1,1)*AF551^INDEX(FlowCalConstB,MATCH(AD549,FlowCalNumber,0),1,1)&lt;INDEX(FlowCalHighSetting,MATCH(AD549,FlowCalNumber,0),1,1))),INDEX(FlowCalConstA,MATCH(AD549,FlowCalNumber,0),1,1)*AF551^INDEX(FlowCalConstB,MATCH(AD549,FlowCalNumber,0),1,1)," ")</f>
        <v>#N/A</v>
      </c>
      <c r="AH551" s="33"/>
      <c r="AI551" s="242">
        <f t="shared" ref="AI551:AI564" si="532">AI550</f>
        <v>0.9</v>
      </c>
      <c r="AJ551" s="241" t="e">
        <f t="shared" ref="AJ551:AJ564" ca="1" si="533">AI551*$H551</f>
        <v>#VALUE!</v>
      </c>
      <c r="AK551" s="243" t="e">
        <f ca="1">IF(AND(INDEX(FlowCalConstA,MATCH(AH549,FlowCalNumber,0),1,1)*AJ551^INDEX(FlowCalConstB,MATCH(AH549,FlowCalNumber,0),1,1)&gt;INDEX(FlowCalLowSetting,MATCH(AH549,FlowCalNumber,0),1,1), (INDEX(FlowCalConstA,MATCH(AH549,FlowCalNumber,0),1,1)*AJ551^INDEX(FlowCalConstB,MATCH(AH549,FlowCalNumber,0),1,1)&lt;INDEX(FlowCalHighSetting,MATCH(AH549,FlowCalNumber,0),1,1))),INDEX(FlowCalConstA,MATCH(AH549,FlowCalNumber,0),1,1)*AJ551^INDEX(FlowCalConstB,MATCH(AH549,FlowCalNumber,0),1,1)," ")</f>
        <v>#N/A</v>
      </c>
      <c r="AL551" s="33"/>
      <c r="AM551" s="242"/>
      <c r="AN551" s="241"/>
      <c r="AO551" s="244"/>
      <c r="AQ551" s="242"/>
      <c r="AR551" s="241"/>
      <c r="AS551" s="244"/>
      <c r="AT551" s="33"/>
      <c r="AU551" s="242"/>
      <c r="AV551" s="241"/>
      <c r="AW551" s="244"/>
      <c r="AX551" s="33"/>
      <c r="AY551" s="242"/>
      <c r="AZ551" s="241"/>
      <c r="BA551" s="244"/>
      <c r="BB551" s="33"/>
      <c r="BC551" s="242"/>
      <c r="BD551" s="241"/>
      <c r="BE551" s="244"/>
      <c r="BF551" s="33"/>
      <c r="BG551" s="242"/>
      <c r="BH551" s="241"/>
      <c r="BI551" s="244"/>
      <c r="BJ551" s="33"/>
      <c r="BK551" s="242"/>
      <c r="BL551" s="241"/>
      <c r="BM551" s="244"/>
      <c r="BN551" s="33"/>
      <c r="BO551" s="242"/>
      <c r="BP551" s="241"/>
      <c r="BQ551" s="244"/>
      <c r="BR551" s="33"/>
      <c r="BS551" s="242"/>
      <c r="BT551" s="241"/>
      <c r="BU551" s="244"/>
      <c r="BV551" s="33"/>
      <c r="BW551" s="242"/>
      <c r="BX551" s="241"/>
      <c r="BY551" s="244"/>
      <c r="BZ551" s="33"/>
      <c r="CA551" s="242"/>
      <c r="CB551" s="241"/>
      <c r="CC551" s="244"/>
      <c r="CD551" s="243"/>
      <c r="CE551" s="243"/>
      <c r="CF551" s="243"/>
      <c r="CG551" s="243"/>
      <c r="CH551" s="243"/>
      <c r="CI551" s="243"/>
      <c r="CJ551" s="243"/>
      <c r="CK551" s="243"/>
      <c r="CL551" s="243"/>
      <c r="CM551" s="243"/>
      <c r="CN551" s="243"/>
      <c r="CO551" s="243"/>
      <c r="CP551" s="243"/>
      <c r="CQ551" s="243"/>
      <c r="CR551" s="243"/>
      <c r="CS551" s="243"/>
      <c r="CT551" s="243"/>
      <c r="CU551" s="243"/>
      <c r="CV551" s="243"/>
      <c r="CW551" s="243"/>
      <c r="CX551" s="243"/>
      <c r="CY551" s="243"/>
      <c r="CZ551" s="243"/>
      <c r="DA551" s="243"/>
      <c r="DB551" s="243"/>
      <c r="DC551" s="243"/>
      <c r="DD551" s="243"/>
      <c r="DE551" s="243"/>
      <c r="DF551" s="243"/>
      <c r="DG551" s="243"/>
      <c r="DH551" s="243"/>
      <c r="DI551" s="243"/>
      <c r="DJ551" s="243"/>
      <c r="DK551" s="243"/>
      <c r="DM551" s="242"/>
      <c r="DO551" s="243"/>
      <c r="DQ551" s="242"/>
      <c r="DS551" s="243"/>
      <c r="DU551" s="242"/>
      <c r="DW551" s="243"/>
      <c r="DY551" s="242"/>
      <c r="EA551" s="243"/>
    </row>
    <row r="552" spans="1:131">
      <c r="A552" s="20"/>
      <c r="B552" s="124" t="str">
        <f t="shared" si="518"/>
        <v/>
      </c>
      <c r="C552" s="235"/>
      <c r="D552" s="24">
        <f>'1% Wind'!$M$84</f>
        <v>20.5</v>
      </c>
      <c r="E552" s="90"/>
      <c r="F552" s="90"/>
      <c r="G552" s="79">
        <f ca="1">IF(I549=0.9743,$G551,MAX(G551/D551*D552,2))</f>
        <v>6.001707317073171</v>
      </c>
      <c r="H552" s="121" t="e">
        <f t="shared" ca="1" si="519"/>
        <v>#VALUE!</v>
      </c>
      <c r="J552" s="33"/>
      <c r="K552" s="242">
        <f t="shared" si="520"/>
        <v>1</v>
      </c>
      <c r="L552" s="241" t="e">
        <f t="shared" ca="1" si="521"/>
        <v>#VALUE!</v>
      </c>
      <c r="M552" s="243" t="e">
        <f ca="1">IF(AND(INDEX(FlowCalConstA,MATCH(J549,FlowCalNumber,0),1,1)*L552^INDEX(FlowCalConstB,MATCH(J549,FlowCalNumber,0),1,1)&gt;INDEX(FlowCalLowSetting,MATCH(J549,FlowCalNumber,0),1,1), (INDEX(FlowCalConstA,MATCH(J549,FlowCalNumber,0),1,1)*L552^INDEX(FlowCalConstB,MATCH(J549,FlowCalNumber,0),1,1)&lt;INDEX(FlowCalHighSetting,MATCH(J549,FlowCalNumber,0),1,1))),INDEX(FlowCalConstA,MATCH(J549,FlowCalNumber,0),1,1)*L552^INDEX(FlowCalConstB,MATCH(J549,FlowCalNumber,0),1,1)," ")</f>
        <v>#N/A</v>
      </c>
      <c r="N552" s="33"/>
      <c r="O552" s="242">
        <f t="shared" si="522"/>
        <v>1</v>
      </c>
      <c r="P552" s="241" t="e">
        <f t="shared" ca="1" si="523"/>
        <v>#VALUE!</v>
      </c>
      <c r="Q552" s="243" t="e">
        <f ca="1">IF(AND(INDEX(FlowCalConstA,MATCH(N549,FlowCalNumber,0),1,1)*P552^INDEX(FlowCalConstB,MATCH(N549,FlowCalNumber,0),1,1)&gt;INDEX(FlowCalLowSetting,MATCH(N549,FlowCalNumber,0),1,1), (INDEX(FlowCalConstA,MATCH(N549,FlowCalNumber,0),1,1)*P552^INDEX(FlowCalConstB,MATCH(N549,FlowCalNumber,0),1,1)&lt;INDEX(FlowCalHighSetting,MATCH(N549,FlowCalNumber,0),1,1))),INDEX(FlowCalConstA,MATCH(N549,FlowCalNumber,0),1,1)*P552^INDEX(FlowCalConstB,MATCH(N549,FlowCalNumber,0),1,1)," ")</f>
        <v>#N/A</v>
      </c>
      <c r="R552" s="33"/>
      <c r="S552" s="242">
        <f t="shared" si="524"/>
        <v>1</v>
      </c>
      <c r="T552" s="241" t="e">
        <f t="shared" ca="1" si="525"/>
        <v>#VALUE!</v>
      </c>
      <c r="U552" s="244" t="e">
        <f ca="1">IF(AND(INDEX(FlowCalConstA,MATCH(R549,FlowCalNumber,0),1,1)*T552^INDEX(FlowCalConstB,MATCH(R549,FlowCalNumber,0),1,1)&gt;INDEX(FlowCalLowSetting,MATCH(R549,FlowCalNumber,0),1,1), (INDEX(FlowCalConstA,MATCH(R549,FlowCalNumber,0),1,1)*T552^INDEX(FlowCalConstB,MATCH(R549,FlowCalNumber,0),1,1)&lt;INDEX(FlowCalHighSetting,MATCH(R549,FlowCalNumber,0),1,1))),INDEX(FlowCalConstA,MATCH(R549,FlowCalNumber,0),1,1)*T552^INDEX(FlowCalConstB,MATCH(R549,FlowCalNumber,0),1,1)," ")</f>
        <v>#N/A</v>
      </c>
      <c r="V552" s="33"/>
      <c r="W552" s="242">
        <f t="shared" si="526"/>
        <v>0.1</v>
      </c>
      <c r="X552" s="241" t="e">
        <f t="shared" ca="1" si="527"/>
        <v>#VALUE!</v>
      </c>
      <c r="Y552" s="243" t="e">
        <f ca="1">IF(AND(INDEX(FlowCalConstA,MATCH(V549,FlowCalNumber,0),1,1)*X552^INDEX(FlowCalConstB,MATCH(V549,FlowCalNumber,0),1,1)&gt;INDEX(FlowCalLowSetting,MATCH(V549,FlowCalNumber,0),1,1), (INDEX(FlowCalConstA,MATCH(V549,FlowCalNumber,0),1,1)*X552^INDEX(FlowCalConstB,MATCH(V549,FlowCalNumber,0),1,1)&lt;INDEX(FlowCalHighSetting,MATCH(V549,FlowCalNumber,0),1,1))),INDEX(FlowCalConstA,MATCH(V549,FlowCalNumber,0),1,1)*X552^INDEX(FlowCalConstB,MATCH(V549,FlowCalNumber,0),1,1)," ")</f>
        <v>#N/A</v>
      </c>
      <c r="Z552" s="33"/>
      <c r="AA552" s="242">
        <f t="shared" si="528"/>
        <v>0.9</v>
      </c>
      <c r="AB552" s="241" t="e">
        <f t="shared" ca="1" si="529"/>
        <v>#VALUE!</v>
      </c>
      <c r="AC552" s="243" t="e">
        <f ca="1">IF(AND(INDEX(FlowCalConstA,MATCH(Z549,FlowCalNumber,0),1,1)*AB552^INDEX(FlowCalConstB,MATCH(Z549,FlowCalNumber,0),1,1)&gt;INDEX(FlowCalLowSetting,MATCH(Z549,FlowCalNumber,0),1,1), (INDEX(FlowCalConstA,MATCH(Z549,FlowCalNumber,0),1,1)*AB552^INDEX(FlowCalConstB,MATCH(Z549,FlowCalNumber,0),1,1)&lt;INDEX(FlowCalHighSetting,MATCH(Z549,FlowCalNumber,0),1,1))),INDEX(FlowCalConstA,MATCH(Z549,FlowCalNumber,0),1,1)*AB552^INDEX(FlowCalConstB,MATCH(Z549,FlowCalNumber,0),1,1)," ")</f>
        <v>#N/A</v>
      </c>
      <c r="AD552" s="33"/>
      <c r="AE552" s="242">
        <f t="shared" si="530"/>
        <v>0.1</v>
      </c>
      <c r="AF552" s="241" t="e">
        <f t="shared" ca="1" si="531"/>
        <v>#VALUE!</v>
      </c>
      <c r="AG552" s="243" t="e">
        <f ca="1">IF(AND(INDEX(FlowCalConstA,MATCH(AD549,FlowCalNumber,0),1,1)*AF552^INDEX(FlowCalConstB,MATCH(AD549,FlowCalNumber,0),1,1)&gt;INDEX(FlowCalLowSetting,MATCH(AD549,FlowCalNumber,0),1,1), (INDEX(FlowCalConstA,MATCH(AD549,FlowCalNumber,0),1,1)*AF552^INDEX(FlowCalConstB,MATCH(AD549,FlowCalNumber,0),1,1)&lt;INDEX(FlowCalHighSetting,MATCH(AD549,FlowCalNumber,0),1,1))),INDEX(FlowCalConstA,MATCH(AD549,FlowCalNumber,0),1,1)*AF552^INDEX(FlowCalConstB,MATCH(AD549,FlowCalNumber,0),1,1)," ")</f>
        <v>#N/A</v>
      </c>
      <c r="AH552" s="33"/>
      <c r="AI552" s="242">
        <f t="shared" si="532"/>
        <v>0.9</v>
      </c>
      <c r="AJ552" s="241" t="e">
        <f t="shared" ca="1" si="533"/>
        <v>#VALUE!</v>
      </c>
      <c r="AK552" s="243" t="e">
        <f ca="1">IF(AND(INDEX(FlowCalConstA,MATCH(AH549,FlowCalNumber,0),1,1)*AJ552^INDEX(FlowCalConstB,MATCH(AH549,FlowCalNumber,0),1,1)&gt;INDEX(FlowCalLowSetting,MATCH(AH549,FlowCalNumber,0),1,1), (INDEX(FlowCalConstA,MATCH(AH549,FlowCalNumber,0),1,1)*AJ552^INDEX(FlowCalConstB,MATCH(AH549,FlowCalNumber,0),1,1)&lt;INDEX(FlowCalHighSetting,MATCH(AH549,FlowCalNumber,0),1,1))),INDEX(FlowCalConstA,MATCH(AH549,FlowCalNumber,0),1,1)*AJ552^INDEX(FlowCalConstB,MATCH(AH549,FlowCalNumber,0),1,1)," ")</f>
        <v>#N/A</v>
      </c>
      <c r="AL552" s="33"/>
      <c r="AM552" s="242"/>
      <c r="AN552" s="241"/>
      <c r="AO552" s="244"/>
      <c r="AQ552" s="242"/>
      <c r="AR552" s="241"/>
      <c r="AS552" s="244"/>
      <c r="AT552" s="33"/>
      <c r="AU552" s="242"/>
      <c r="AV552" s="241"/>
      <c r="AW552" s="244"/>
      <c r="AX552" s="33"/>
      <c r="AY552" s="242"/>
      <c r="AZ552" s="241"/>
      <c r="BA552" s="244"/>
      <c r="BB552" s="33"/>
      <c r="BC552" s="242"/>
      <c r="BD552" s="241"/>
      <c r="BE552" s="244"/>
      <c r="BF552" s="33"/>
      <c r="BG552" s="242"/>
      <c r="BH552" s="241"/>
      <c r="BI552" s="244"/>
      <c r="BJ552" s="33"/>
      <c r="BK552" s="242"/>
      <c r="BL552" s="241"/>
      <c r="BM552" s="244"/>
      <c r="BN552" s="33"/>
      <c r="BO552" s="242"/>
      <c r="BP552" s="241"/>
      <c r="BQ552" s="244"/>
      <c r="BR552" s="33"/>
      <c r="BS552" s="242"/>
      <c r="BT552" s="241"/>
      <c r="BU552" s="244"/>
      <c r="BV552" s="33"/>
      <c r="BW552" s="242"/>
      <c r="BX552" s="241"/>
      <c r="BY552" s="244"/>
      <c r="BZ552" s="33"/>
      <c r="CA552" s="242"/>
      <c r="CB552" s="241"/>
      <c r="CC552" s="244"/>
      <c r="CD552" s="243"/>
      <c r="CE552" s="243"/>
      <c r="CF552" s="243"/>
      <c r="CG552" s="243"/>
      <c r="CH552" s="243"/>
      <c r="CI552" s="243"/>
      <c r="CJ552" s="243"/>
      <c r="CK552" s="243"/>
      <c r="CL552" s="243"/>
      <c r="CM552" s="243"/>
      <c r="CN552" s="243"/>
      <c r="CO552" s="243"/>
      <c r="CP552" s="243"/>
      <c r="CQ552" s="243"/>
      <c r="CR552" s="243"/>
      <c r="CS552" s="243"/>
      <c r="CT552" s="243"/>
      <c r="CU552" s="243"/>
      <c r="CV552" s="243"/>
      <c r="CW552" s="243"/>
      <c r="CX552" s="243"/>
      <c r="CY552" s="243"/>
      <c r="CZ552" s="243"/>
      <c r="DA552" s="243"/>
      <c r="DB552" s="243"/>
      <c r="DC552" s="243"/>
      <c r="DD552" s="243"/>
      <c r="DE552" s="243"/>
      <c r="DF552" s="243"/>
      <c r="DG552" s="243"/>
      <c r="DH552" s="243"/>
      <c r="DI552" s="243"/>
      <c r="DJ552" s="243"/>
      <c r="DK552" s="243"/>
      <c r="DM552" s="242"/>
      <c r="DO552" s="243"/>
      <c r="DQ552" s="242"/>
      <c r="DS552" s="243"/>
      <c r="DU552" s="242"/>
      <c r="DW552" s="243"/>
      <c r="DY552" s="242"/>
      <c r="EA552" s="243"/>
    </row>
    <row r="553" spans="1:131">
      <c r="A553" s="20"/>
      <c r="B553" s="124" t="str">
        <f t="shared" si="518"/>
        <v/>
      </c>
      <c r="C553" s="235"/>
      <c r="D553" s="24">
        <f>'1% Wind'!$M$85</f>
        <v>17.8</v>
      </c>
      <c r="E553" s="90"/>
      <c r="F553" s="90"/>
      <c r="G553" s="79">
        <f ca="1">IF(I549=0.9743,$G552,MAX(G552/D552*D553,2))</f>
        <v>6.001707317073171</v>
      </c>
      <c r="H553" s="121" t="e">
        <f t="shared" ca="1" si="519"/>
        <v>#VALUE!</v>
      </c>
      <c r="J553" s="33"/>
      <c r="K553" s="242">
        <f t="shared" si="520"/>
        <v>1</v>
      </c>
      <c r="L553" s="241" t="e">
        <f t="shared" ca="1" si="521"/>
        <v>#VALUE!</v>
      </c>
      <c r="M553" s="243" t="e">
        <f ca="1">IF(AND(INDEX(FlowCalConstA,MATCH(J549,FlowCalNumber,0),1,1)*L553^INDEX(FlowCalConstB,MATCH(J549,FlowCalNumber,0),1,1)&gt;INDEX(FlowCalLowSetting,MATCH(J549,FlowCalNumber,0),1,1), (INDEX(FlowCalConstA,MATCH(J549,FlowCalNumber,0),1,1)*L553^INDEX(FlowCalConstB,MATCH(J549,FlowCalNumber,0),1,1)&lt;INDEX(FlowCalHighSetting,MATCH(J549,FlowCalNumber,0),1,1))),INDEX(FlowCalConstA,MATCH(J549,FlowCalNumber,0),1,1)*L553^INDEX(FlowCalConstB,MATCH(J549,FlowCalNumber,0),1,1)," ")</f>
        <v>#N/A</v>
      </c>
      <c r="N553" s="33"/>
      <c r="O553" s="242">
        <f t="shared" si="522"/>
        <v>1</v>
      </c>
      <c r="P553" s="241" t="e">
        <f t="shared" ca="1" si="523"/>
        <v>#VALUE!</v>
      </c>
      <c r="Q553" s="243" t="e">
        <f ca="1">IF(AND(INDEX(FlowCalConstA,MATCH(N549,FlowCalNumber,0),1,1)*P553^INDEX(FlowCalConstB,MATCH(N549,FlowCalNumber,0),1,1)&gt;INDEX(FlowCalLowSetting,MATCH(N549,FlowCalNumber,0),1,1), (INDEX(FlowCalConstA,MATCH(N549,FlowCalNumber,0),1,1)*P553^INDEX(FlowCalConstB,MATCH(N549,FlowCalNumber,0),1,1)&lt;INDEX(FlowCalHighSetting,MATCH(N549,FlowCalNumber,0),1,1))),INDEX(FlowCalConstA,MATCH(N549,FlowCalNumber,0),1,1)*P553^INDEX(FlowCalConstB,MATCH(N549,FlowCalNumber,0),1,1)," ")</f>
        <v>#N/A</v>
      </c>
      <c r="R553" s="33"/>
      <c r="S553" s="242">
        <f t="shared" si="524"/>
        <v>1</v>
      </c>
      <c r="T553" s="241" t="e">
        <f t="shared" ca="1" si="525"/>
        <v>#VALUE!</v>
      </c>
      <c r="U553" s="244" t="e">
        <f ca="1">IF(AND(INDEX(FlowCalConstA,MATCH(R549,FlowCalNumber,0),1,1)*T553^INDEX(FlowCalConstB,MATCH(R549,FlowCalNumber,0),1,1)&gt;INDEX(FlowCalLowSetting,MATCH(R549,FlowCalNumber,0),1,1), (INDEX(FlowCalConstA,MATCH(R549,FlowCalNumber,0),1,1)*T553^INDEX(FlowCalConstB,MATCH(R549,FlowCalNumber,0),1,1)&lt;INDEX(FlowCalHighSetting,MATCH(R549,FlowCalNumber,0),1,1))),INDEX(FlowCalConstA,MATCH(R549,FlowCalNumber,0),1,1)*T553^INDEX(FlowCalConstB,MATCH(R549,FlowCalNumber,0),1,1)," ")</f>
        <v>#N/A</v>
      </c>
      <c r="V553" s="33"/>
      <c r="W553" s="242">
        <f t="shared" si="526"/>
        <v>0.1</v>
      </c>
      <c r="X553" s="241" t="e">
        <f t="shared" ca="1" si="527"/>
        <v>#VALUE!</v>
      </c>
      <c r="Y553" s="243" t="e">
        <f ca="1">IF(AND(INDEX(FlowCalConstA,MATCH(V549,FlowCalNumber,0),1,1)*X553^INDEX(FlowCalConstB,MATCH(V549,FlowCalNumber,0),1,1)&gt;INDEX(FlowCalLowSetting,MATCH(V549,FlowCalNumber,0),1,1), (INDEX(FlowCalConstA,MATCH(V549,FlowCalNumber,0),1,1)*X553^INDEX(FlowCalConstB,MATCH(V549,FlowCalNumber,0),1,1)&lt;INDEX(FlowCalHighSetting,MATCH(V549,FlowCalNumber,0),1,1))),INDEX(FlowCalConstA,MATCH(V549,FlowCalNumber,0),1,1)*X553^INDEX(FlowCalConstB,MATCH(V549,FlowCalNumber,0),1,1)," ")</f>
        <v>#N/A</v>
      </c>
      <c r="Z553" s="33"/>
      <c r="AA553" s="242">
        <f t="shared" si="528"/>
        <v>0.9</v>
      </c>
      <c r="AB553" s="241" t="e">
        <f t="shared" ca="1" si="529"/>
        <v>#VALUE!</v>
      </c>
      <c r="AC553" s="243" t="e">
        <f ca="1">IF(AND(INDEX(FlowCalConstA,MATCH(Z549,FlowCalNumber,0),1,1)*AB553^INDEX(FlowCalConstB,MATCH(Z549,FlowCalNumber,0),1,1)&gt;INDEX(FlowCalLowSetting,MATCH(Z549,FlowCalNumber,0),1,1), (INDEX(FlowCalConstA,MATCH(Z549,FlowCalNumber,0),1,1)*AB553^INDEX(FlowCalConstB,MATCH(Z549,FlowCalNumber,0),1,1)&lt;INDEX(FlowCalHighSetting,MATCH(Z549,FlowCalNumber,0),1,1))),INDEX(FlowCalConstA,MATCH(Z549,FlowCalNumber,0),1,1)*AB553^INDEX(FlowCalConstB,MATCH(Z549,FlowCalNumber,0),1,1)," ")</f>
        <v>#N/A</v>
      </c>
      <c r="AD553" s="33"/>
      <c r="AE553" s="242">
        <f t="shared" si="530"/>
        <v>0.1</v>
      </c>
      <c r="AF553" s="241" t="e">
        <f t="shared" ca="1" si="531"/>
        <v>#VALUE!</v>
      </c>
      <c r="AG553" s="243" t="e">
        <f ca="1">IF(AND(INDEX(FlowCalConstA,MATCH(AD549,FlowCalNumber,0),1,1)*AF553^INDEX(FlowCalConstB,MATCH(AD549,FlowCalNumber,0),1,1)&gt;INDEX(FlowCalLowSetting,MATCH(AD549,FlowCalNumber,0),1,1), (INDEX(FlowCalConstA,MATCH(AD549,FlowCalNumber,0),1,1)*AF553^INDEX(FlowCalConstB,MATCH(AD549,FlowCalNumber,0),1,1)&lt;INDEX(FlowCalHighSetting,MATCH(AD549,FlowCalNumber,0),1,1))),INDEX(FlowCalConstA,MATCH(AD549,FlowCalNumber,0),1,1)*AF553^INDEX(FlowCalConstB,MATCH(AD549,FlowCalNumber,0),1,1)," ")</f>
        <v>#N/A</v>
      </c>
      <c r="AH553" s="33"/>
      <c r="AI553" s="242">
        <f t="shared" si="532"/>
        <v>0.9</v>
      </c>
      <c r="AJ553" s="241" t="e">
        <f t="shared" ca="1" si="533"/>
        <v>#VALUE!</v>
      </c>
      <c r="AK553" s="243" t="e">
        <f ca="1">IF(AND(INDEX(FlowCalConstA,MATCH(AH549,FlowCalNumber,0),1,1)*AJ553^INDEX(FlowCalConstB,MATCH(AH549,FlowCalNumber,0),1,1)&gt;INDEX(FlowCalLowSetting,MATCH(AH549,FlowCalNumber,0),1,1), (INDEX(FlowCalConstA,MATCH(AH549,FlowCalNumber,0),1,1)*AJ553^INDEX(FlowCalConstB,MATCH(AH549,FlowCalNumber,0),1,1)&lt;INDEX(FlowCalHighSetting,MATCH(AH549,FlowCalNumber,0),1,1))),INDEX(FlowCalConstA,MATCH(AH549,FlowCalNumber,0),1,1)*AJ553^INDEX(FlowCalConstB,MATCH(AH549,FlowCalNumber,0),1,1)," ")</f>
        <v>#N/A</v>
      </c>
      <c r="AL553" s="33"/>
      <c r="AM553" s="242"/>
      <c r="AN553" s="241"/>
      <c r="AO553" s="244"/>
      <c r="AQ553" s="242"/>
      <c r="AR553" s="241"/>
      <c r="AS553" s="244"/>
      <c r="AT553" s="33"/>
      <c r="AU553" s="242"/>
      <c r="AV553" s="241"/>
      <c r="AW553" s="244"/>
      <c r="AX553" s="33"/>
      <c r="AY553" s="242"/>
      <c r="AZ553" s="241"/>
      <c r="BA553" s="244"/>
      <c r="BB553" s="33"/>
      <c r="BC553" s="242"/>
      <c r="BD553" s="241"/>
      <c r="BE553" s="244"/>
      <c r="BF553" s="33"/>
      <c r="BG553" s="242"/>
      <c r="BH553" s="241"/>
      <c r="BI553" s="244"/>
      <c r="BJ553" s="33"/>
      <c r="BK553" s="242"/>
      <c r="BL553" s="241"/>
      <c r="BM553" s="244"/>
      <c r="BN553" s="33"/>
      <c r="BO553" s="242"/>
      <c r="BP553" s="241"/>
      <c r="BQ553" s="244"/>
      <c r="BR553" s="33"/>
      <c r="BS553" s="242"/>
      <c r="BT553" s="241"/>
      <c r="BU553" s="244"/>
      <c r="BV553" s="33"/>
      <c r="BW553" s="242"/>
      <c r="BX553" s="241"/>
      <c r="BY553" s="244"/>
      <c r="BZ553" s="33"/>
      <c r="CA553" s="242"/>
      <c r="CB553" s="241"/>
      <c r="CC553" s="244"/>
      <c r="CD553" s="243"/>
      <c r="CE553" s="243"/>
      <c r="CF553" s="243"/>
      <c r="CG553" s="243"/>
      <c r="CH553" s="243"/>
      <c r="CI553" s="243"/>
      <c r="CJ553" s="243"/>
      <c r="CK553" s="243"/>
      <c r="CL553" s="243"/>
      <c r="CM553" s="243"/>
      <c r="CN553" s="243"/>
      <c r="CO553" s="243"/>
      <c r="CP553" s="243"/>
      <c r="CQ553" s="243"/>
      <c r="CR553" s="243"/>
      <c r="CS553" s="243"/>
      <c r="CT553" s="243"/>
      <c r="CU553" s="243"/>
      <c r="CV553" s="243"/>
      <c r="CW553" s="243"/>
      <c r="CX553" s="243"/>
      <c r="CY553" s="243"/>
      <c r="CZ553" s="243"/>
      <c r="DA553" s="243"/>
      <c r="DB553" s="243"/>
      <c r="DC553" s="243"/>
      <c r="DD553" s="243"/>
      <c r="DE553" s="243"/>
      <c r="DF553" s="243"/>
      <c r="DG553" s="243"/>
      <c r="DH553" s="243"/>
      <c r="DI553" s="243"/>
      <c r="DJ553" s="243"/>
      <c r="DK553" s="243"/>
      <c r="DM553" s="242"/>
      <c r="DO553" s="243"/>
      <c r="DQ553" s="242"/>
      <c r="DS553" s="243"/>
      <c r="DU553" s="242"/>
      <c r="DW553" s="243"/>
      <c r="DY553" s="242"/>
      <c r="EA553" s="243"/>
    </row>
    <row r="554" spans="1:131">
      <c r="A554" s="20"/>
      <c r="B554" s="124" t="str">
        <f t="shared" si="518"/>
        <v/>
      </c>
      <c r="C554" s="235"/>
      <c r="D554" s="24">
        <f>'1% Wind'!$M$86</f>
        <v>15.5</v>
      </c>
      <c r="E554" s="90"/>
      <c r="F554" s="90"/>
      <c r="G554" s="79">
        <f ca="1">IF(I549=0.9743,$G553,MAX(G553/D553*D554,2))</f>
        <v>6.001707317073171</v>
      </c>
      <c r="H554" s="121" t="e">
        <f t="shared" ca="1" si="519"/>
        <v>#VALUE!</v>
      </c>
      <c r="J554" s="33"/>
      <c r="K554" s="242">
        <f t="shared" si="520"/>
        <v>1</v>
      </c>
      <c r="L554" s="241" t="e">
        <f t="shared" ca="1" si="521"/>
        <v>#VALUE!</v>
      </c>
      <c r="M554" s="243" t="e">
        <f ca="1">IF(AND(INDEX(FlowCalConstA,MATCH(J549,FlowCalNumber,0),1,1)*L554^INDEX(FlowCalConstB,MATCH(J549,FlowCalNumber,0),1,1)&gt;INDEX(FlowCalLowSetting,MATCH(J549,FlowCalNumber,0),1,1), (INDEX(FlowCalConstA,MATCH(J549,FlowCalNumber,0),1,1)*L554^INDEX(FlowCalConstB,MATCH(J549,FlowCalNumber,0),1,1)&lt;INDEX(FlowCalHighSetting,MATCH(J549,FlowCalNumber,0),1,1))),INDEX(FlowCalConstA,MATCH(J549,FlowCalNumber,0),1,1)*L554^INDEX(FlowCalConstB,MATCH(J549,FlowCalNumber,0),1,1)," ")</f>
        <v>#N/A</v>
      </c>
      <c r="N554" s="33"/>
      <c r="O554" s="242">
        <f t="shared" si="522"/>
        <v>1</v>
      </c>
      <c r="P554" s="241" t="e">
        <f t="shared" ca="1" si="523"/>
        <v>#VALUE!</v>
      </c>
      <c r="Q554" s="243" t="e">
        <f ca="1">IF(AND(INDEX(FlowCalConstA,MATCH(N549,FlowCalNumber,0),1,1)*P554^INDEX(FlowCalConstB,MATCH(N549,FlowCalNumber,0),1,1)&gt;INDEX(FlowCalLowSetting,MATCH(N549,FlowCalNumber,0),1,1), (INDEX(FlowCalConstA,MATCH(N549,FlowCalNumber,0),1,1)*P554^INDEX(FlowCalConstB,MATCH(N549,FlowCalNumber,0),1,1)&lt;INDEX(FlowCalHighSetting,MATCH(N549,FlowCalNumber,0),1,1))),INDEX(FlowCalConstA,MATCH(N549,FlowCalNumber,0),1,1)*P554^INDEX(FlowCalConstB,MATCH(N549,FlowCalNumber,0),1,1)," ")</f>
        <v>#N/A</v>
      </c>
      <c r="R554" s="33"/>
      <c r="S554" s="242">
        <f t="shared" si="524"/>
        <v>1</v>
      </c>
      <c r="T554" s="241" t="e">
        <f t="shared" ca="1" si="525"/>
        <v>#VALUE!</v>
      </c>
      <c r="U554" s="244" t="e">
        <f ca="1">IF(AND(INDEX(FlowCalConstA,MATCH(R549,FlowCalNumber,0),1,1)*T554^INDEX(FlowCalConstB,MATCH(R549,FlowCalNumber,0),1,1)&gt;INDEX(FlowCalLowSetting,MATCH(R549,FlowCalNumber,0),1,1), (INDEX(FlowCalConstA,MATCH(R549,FlowCalNumber,0),1,1)*T554^INDEX(FlowCalConstB,MATCH(R549,FlowCalNumber,0),1,1)&lt;INDEX(FlowCalHighSetting,MATCH(R549,FlowCalNumber,0),1,1))),INDEX(FlowCalConstA,MATCH(R549,FlowCalNumber,0),1,1)*T554^INDEX(FlowCalConstB,MATCH(R549,FlowCalNumber,0),1,1)," ")</f>
        <v>#N/A</v>
      </c>
      <c r="V554" s="33"/>
      <c r="W554" s="242">
        <f t="shared" si="526"/>
        <v>0.1</v>
      </c>
      <c r="X554" s="241" t="e">
        <f t="shared" ca="1" si="527"/>
        <v>#VALUE!</v>
      </c>
      <c r="Y554" s="243" t="e">
        <f ca="1">IF(AND(INDEX(FlowCalConstA,MATCH(V549,FlowCalNumber,0),1,1)*X554^INDEX(FlowCalConstB,MATCH(V549,FlowCalNumber,0),1,1)&gt;INDEX(FlowCalLowSetting,MATCH(V549,FlowCalNumber,0),1,1), (INDEX(FlowCalConstA,MATCH(V549,FlowCalNumber,0),1,1)*X554^INDEX(FlowCalConstB,MATCH(V549,FlowCalNumber,0),1,1)&lt;INDEX(FlowCalHighSetting,MATCH(V549,FlowCalNumber,0),1,1))),INDEX(FlowCalConstA,MATCH(V549,FlowCalNumber,0),1,1)*X554^INDEX(FlowCalConstB,MATCH(V549,FlowCalNumber,0),1,1)," ")</f>
        <v>#N/A</v>
      </c>
      <c r="Z554" s="33"/>
      <c r="AA554" s="242">
        <f t="shared" si="528"/>
        <v>0.9</v>
      </c>
      <c r="AB554" s="241" t="e">
        <f t="shared" ca="1" si="529"/>
        <v>#VALUE!</v>
      </c>
      <c r="AC554" s="243" t="e">
        <f ca="1">IF(AND(INDEX(FlowCalConstA,MATCH(Z549,FlowCalNumber,0),1,1)*AB554^INDEX(FlowCalConstB,MATCH(Z549,FlowCalNumber,0),1,1)&gt;INDEX(FlowCalLowSetting,MATCH(Z549,FlowCalNumber,0),1,1), (INDEX(FlowCalConstA,MATCH(Z549,FlowCalNumber,0),1,1)*AB554^INDEX(FlowCalConstB,MATCH(Z549,FlowCalNumber,0),1,1)&lt;INDEX(FlowCalHighSetting,MATCH(Z549,FlowCalNumber,0),1,1))),INDEX(FlowCalConstA,MATCH(Z549,FlowCalNumber,0),1,1)*AB554^INDEX(FlowCalConstB,MATCH(Z549,FlowCalNumber,0),1,1)," ")</f>
        <v>#N/A</v>
      </c>
      <c r="AD554" s="33"/>
      <c r="AE554" s="242">
        <f t="shared" si="530"/>
        <v>0.1</v>
      </c>
      <c r="AF554" s="241" t="e">
        <f t="shared" ca="1" si="531"/>
        <v>#VALUE!</v>
      </c>
      <c r="AG554" s="243" t="e">
        <f ca="1">IF(AND(INDEX(FlowCalConstA,MATCH(AD549,FlowCalNumber,0),1,1)*AF554^INDEX(FlowCalConstB,MATCH(AD549,FlowCalNumber,0),1,1)&gt;INDEX(FlowCalLowSetting,MATCH(AD549,FlowCalNumber,0),1,1), (INDEX(FlowCalConstA,MATCH(AD549,FlowCalNumber,0),1,1)*AF554^INDEX(FlowCalConstB,MATCH(AD549,FlowCalNumber,0),1,1)&lt;INDEX(FlowCalHighSetting,MATCH(AD549,FlowCalNumber,0),1,1))),INDEX(FlowCalConstA,MATCH(AD549,FlowCalNumber,0),1,1)*AF554^INDEX(FlowCalConstB,MATCH(AD549,FlowCalNumber,0),1,1)," ")</f>
        <v>#N/A</v>
      </c>
      <c r="AH554" s="33"/>
      <c r="AI554" s="242">
        <f t="shared" si="532"/>
        <v>0.9</v>
      </c>
      <c r="AJ554" s="241" t="e">
        <f t="shared" ca="1" si="533"/>
        <v>#VALUE!</v>
      </c>
      <c r="AK554" s="243" t="e">
        <f ca="1">IF(AND(INDEX(FlowCalConstA,MATCH(AH549,FlowCalNumber,0),1,1)*AJ554^INDEX(FlowCalConstB,MATCH(AH549,FlowCalNumber,0),1,1)&gt;INDEX(FlowCalLowSetting,MATCH(AH549,FlowCalNumber,0),1,1), (INDEX(FlowCalConstA,MATCH(AH549,FlowCalNumber,0),1,1)*AJ554^INDEX(FlowCalConstB,MATCH(AH549,FlowCalNumber,0),1,1)&lt;INDEX(FlowCalHighSetting,MATCH(AH549,FlowCalNumber,0),1,1))),INDEX(FlowCalConstA,MATCH(AH549,FlowCalNumber,0),1,1)*AJ554^INDEX(FlowCalConstB,MATCH(AH549,FlowCalNumber,0),1,1)," ")</f>
        <v>#N/A</v>
      </c>
      <c r="AL554" s="33"/>
      <c r="AM554" s="242"/>
      <c r="AN554" s="241"/>
      <c r="AO554" s="244"/>
      <c r="AQ554" s="242"/>
      <c r="AR554" s="241"/>
      <c r="AS554" s="244"/>
      <c r="AT554" s="33"/>
      <c r="AU554" s="242"/>
      <c r="AV554" s="241"/>
      <c r="AW554" s="244"/>
      <c r="AX554" s="33"/>
      <c r="AY554" s="242"/>
      <c r="AZ554" s="241"/>
      <c r="BA554" s="244"/>
      <c r="BB554" s="33"/>
      <c r="BC554" s="242"/>
      <c r="BD554" s="241"/>
      <c r="BE554" s="244"/>
      <c r="BF554" s="33"/>
      <c r="BG554" s="242"/>
      <c r="BH554" s="241"/>
      <c r="BI554" s="244"/>
      <c r="BJ554" s="33"/>
      <c r="BK554" s="242"/>
      <c r="BL554" s="241"/>
      <c r="BM554" s="244"/>
      <c r="BN554" s="33"/>
      <c r="BO554" s="242"/>
      <c r="BP554" s="241"/>
      <c r="BQ554" s="244"/>
      <c r="BR554" s="33"/>
      <c r="BS554" s="242"/>
      <c r="BT554" s="241"/>
      <c r="BU554" s="244"/>
      <c r="BV554" s="33"/>
      <c r="BW554" s="242"/>
      <c r="BX554" s="241"/>
      <c r="BY554" s="244"/>
      <c r="BZ554" s="33"/>
      <c r="CA554" s="242"/>
      <c r="CB554" s="241"/>
      <c r="CC554" s="244"/>
      <c r="CD554" s="243"/>
      <c r="CE554" s="243"/>
      <c r="CF554" s="243"/>
      <c r="CG554" s="243"/>
      <c r="CH554" s="243"/>
      <c r="CI554" s="243"/>
      <c r="CJ554" s="243"/>
      <c r="CK554" s="243"/>
      <c r="CL554" s="243"/>
      <c r="CM554" s="243"/>
      <c r="CN554" s="243"/>
      <c r="CO554" s="243"/>
      <c r="CP554" s="243"/>
      <c r="CQ554" s="243"/>
      <c r="CR554" s="243"/>
      <c r="CS554" s="243"/>
      <c r="CT554" s="243"/>
      <c r="CU554" s="243"/>
      <c r="CV554" s="243"/>
      <c r="CW554" s="243"/>
      <c r="CX554" s="243"/>
      <c r="CY554" s="243"/>
      <c r="CZ554" s="243"/>
      <c r="DA554" s="243"/>
      <c r="DB554" s="243"/>
      <c r="DC554" s="243"/>
      <c r="DD554" s="243"/>
      <c r="DE554" s="243"/>
      <c r="DF554" s="243"/>
      <c r="DG554" s="243"/>
      <c r="DH554" s="243"/>
      <c r="DI554" s="243"/>
      <c r="DJ554" s="243"/>
      <c r="DK554" s="243"/>
      <c r="DM554" s="242"/>
      <c r="DO554" s="243"/>
      <c r="DQ554" s="242"/>
      <c r="DS554" s="243"/>
      <c r="DU554" s="242"/>
      <c r="DW554" s="243"/>
      <c r="DY554" s="242"/>
      <c r="EA554" s="243"/>
    </row>
    <row r="555" spans="1:131">
      <c r="A555" s="20"/>
      <c r="B555" s="124" t="str">
        <f t="shared" si="518"/>
        <v/>
      </c>
      <c r="C555" s="235"/>
      <c r="D555" s="24">
        <f>'1% Wind'!$M$87</f>
        <v>13.5</v>
      </c>
      <c r="E555" s="90"/>
      <c r="F555" s="90"/>
      <c r="G555" s="79">
        <f ca="1">IF(I549=0.9743,$G554,MAX(G554/D554*D555,2))</f>
        <v>6.001707317073171</v>
      </c>
      <c r="H555" s="121" t="e">
        <f t="shared" ca="1" si="519"/>
        <v>#VALUE!</v>
      </c>
      <c r="J555" s="33"/>
      <c r="K555" s="242">
        <f t="shared" si="520"/>
        <v>1</v>
      </c>
      <c r="L555" s="241" t="e">
        <f t="shared" ca="1" si="521"/>
        <v>#VALUE!</v>
      </c>
      <c r="M555" s="243" t="e">
        <f ca="1">IF(AND(INDEX(FlowCalConstA,MATCH(J549,FlowCalNumber,0),1,1)*L555^INDEX(FlowCalConstB,MATCH(J549,FlowCalNumber,0),1,1)&gt;INDEX(FlowCalLowSetting,MATCH(J549,FlowCalNumber,0),1,1), (INDEX(FlowCalConstA,MATCH(J549,FlowCalNumber,0),1,1)*L555^INDEX(FlowCalConstB,MATCH(J549,FlowCalNumber,0),1,1)&lt;INDEX(FlowCalHighSetting,MATCH(J549,FlowCalNumber,0),1,1))),INDEX(FlowCalConstA,MATCH(J549,FlowCalNumber,0),1,1)*L555^INDEX(FlowCalConstB,MATCH(J549,FlowCalNumber,0),1,1)," ")</f>
        <v>#N/A</v>
      </c>
      <c r="N555" s="33"/>
      <c r="O555" s="242">
        <f t="shared" si="522"/>
        <v>1</v>
      </c>
      <c r="P555" s="241" t="e">
        <f t="shared" ca="1" si="523"/>
        <v>#VALUE!</v>
      </c>
      <c r="Q555" s="243" t="e">
        <f ca="1">IF(AND(INDEX(FlowCalConstA,MATCH(N549,FlowCalNumber,0),1,1)*P555^INDEX(FlowCalConstB,MATCH(N549,FlowCalNumber,0),1,1)&gt;INDEX(FlowCalLowSetting,MATCH(N549,FlowCalNumber,0),1,1), (INDEX(FlowCalConstA,MATCH(N549,FlowCalNumber,0),1,1)*P555^INDEX(FlowCalConstB,MATCH(N549,FlowCalNumber,0),1,1)&lt;INDEX(FlowCalHighSetting,MATCH(N549,FlowCalNumber,0),1,1))),INDEX(FlowCalConstA,MATCH(N549,FlowCalNumber,0),1,1)*P555^INDEX(FlowCalConstB,MATCH(N549,FlowCalNumber,0),1,1)," ")</f>
        <v>#N/A</v>
      </c>
      <c r="R555" s="33"/>
      <c r="S555" s="242">
        <f t="shared" si="524"/>
        <v>1</v>
      </c>
      <c r="T555" s="241" t="e">
        <f t="shared" ca="1" si="525"/>
        <v>#VALUE!</v>
      </c>
      <c r="U555" s="244" t="e">
        <f ca="1">IF(AND(INDEX(FlowCalConstA,MATCH(R549,FlowCalNumber,0),1,1)*T555^INDEX(FlowCalConstB,MATCH(R549,FlowCalNumber,0),1,1)&gt;INDEX(FlowCalLowSetting,MATCH(R549,FlowCalNumber,0),1,1), (INDEX(FlowCalConstA,MATCH(R549,FlowCalNumber,0),1,1)*T555^INDEX(FlowCalConstB,MATCH(R549,FlowCalNumber,0),1,1)&lt;INDEX(FlowCalHighSetting,MATCH(R549,FlowCalNumber,0),1,1))),INDEX(FlowCalConstA,MATCH(R549,FlowCalNumber,0),1,1)*T555^INDEX(FlowCalConstB,MATCH(R549,FlowCalNumber,0),1,1)," ")</f>
        <v>#N/A</v>
      </c>
      <c r="V555" s="33"/>
      <c r="W555" s="242">
        <f t="shared" si="526"/>
        <v>0.1</v>
      </c>
      <c r="X555" s="241" t="e">
        <f t="shared" ca="1" si="527"/>
        <v>#VALUE!</v>
      </c>
      <c r="Y555" s="243" t="e">
        <f ca="1">IF(AND(INDEX(FlowCalConstA,MATCH(V549,FlowCalNumber,0),1,1)*X555^INDEX(FlowCalConstB,MATCH(V549,FlowCalNumber,0),1,1)&gt;INDEX(FlowCalLowSetting,MATCH(V549,FlowCalNumber,0),1,1), (INDEX(FlowCalConstA,MATCH(V549,FlowCalNumber,0),1,1)*X555^INDEX(FlowCalConstB,MATCH(V549,FlowCalNumber,0),1,1)&lt;INDEX(FlowCalHighSetting,MATCH(V549,FlowCalNumber,0),1,1))),INDEX(FlowCalConstA,MATCH(V549,FlowCalNumber,0),1,1)*X555^INDEX(FlowCalConstB,MATCH(V549,FlowCalNumber,0),1,1)," ")</f>
        <v>#N/A</v>
      </c>
      <c r="Z555" s="33"/>
      <c r="AA555" s="242">
        <f t="shared" si="528"/>
        <v>0.9</v>
      </c>
      <c r="AB555" s="241" t="e">
        <f t="shared" ca="1" si="529"/>
        <v>#VALUE!</v>
      </c>
      <c r="AC555" s="243" t="e">
        <f ca="1">IF(AND(INDEX(FlowCalConstA,MATCH(Z549,FlowCalNumber,0),1,1)*AB555^INDEX(FlowCalConstB,MATCH(Z549,FlowCalNumber,0),1,1)&gt;INDEX(FlowCalLowSetting,MATCH(Z549,FlowCalNumber,0),1,1), (INDEX(FlowCalConstA,MATCH(Z549,FlowCalNumber,0),1,1)*AB555^INDEX(FlowCalConstB,MATCH(Z549,FlowCalNumber,0),1,1)&lt;INDEX(FlowCalHighSetting,MATCH(Z549,FlowCalNumber,0),1,1))),INDEX(FlowCalConstA,MATCH(Z549,FlowCalNumber,0),1,1)*AB555^INDEX(FlowCalConstB,MATCH(Z549,FlowCalNumber,0),1,1)," ")</f>
        <v>#N/A</v>
      </c>
      <c r="AD555" s="33"/>
      <c r="AE555" s="242">
        <f t="shared" si="530"/>
        <v>0.1</v>
      </c>
      <c r="AF555" s="241" t="e">
        <f t="shared" ca="1" si="531"/>
        <v>#VALUE!</v>
      </c>
      <c r="AG555" s="243" t="e">
        <f ca="1">IF(AND(INDEX(FlowCalConstA,MATCH(AD549,FlowCalNumber,0),1,1)*AF555^INDEX(FlowCalConstB,MATCH(AD549,FlowCalNumber,0),1,1)&gt;INDEX(FlowCalLowSetting,MATCH(AD549,FlowCalNumber,0),1,1), (INDEX(FlowCalConstA,MATCH(AD549,FlowCalNumber,0),1,1)*AF555^INDEX(FlowCalConstB,MATCH(AD549,FlowCalNumber,0),1,1)&lt;INDEX(FlowCalHighSetting,MATCH(AD549,FlowCalNumber,0),1,1))),INDEX(FlowCalConstA,MATCH(AD549,FlowCalNumber,0),1,1)*AF555^INDEX(FlowCalConstB,MATCH(AD549,FlowCalNumber,0),1,1)," ")</f>
        <v>#N/A</v>
      </c>
      <c r="AH555" s="33"/>
      <c r="AI555" s="242">
        <f t="shared" si="532"/>
        <v>0.9</v>
      </c>
      <c r="AJ555" s="241" t="e">
        <f t="shared" ca="1" si="533"/>
        <v>#VALUE!</v>
      </c>
      <c r="AK555" s="243" t="e">
        <f ca="1">IF(AND(INDEX(FlowCalConstA,MATCH(AH549,FlowCalNumber,0),1,1)*AJ555^INDEX(FlowCalConstB,MATCH(AH549,FlowCalNumber,0),1,1)&gt;INDEX(FlowCalLowSetting,MATCH(AH549,FlowCalNumber,0),1,1), (INDEX(FlowCalConstA,MATCH(AH549,FlowCalNumber,0),1,1)*AJ555^INDEX(FlowCalConstB,MATCH(AH549,FlowCalNumber,0),1,1)&lt;INDEX(FlowCalHighSetting,MATCH(AH549,FlowCalNumber,0),1,1))),INDEX(FlowCalConstA,MATCH(AH549,FlowCalNumber,0),1,1)*AJ555^INDEX(FlowCalConstB,MATCH(AH549,FlowCalNumber,0),1,1)," ")</f>
        <v>#N/A</v>
      </c>
      <c r="AL555" s="33"/>
      <c r="AM555" s="242"/>
      <c r="AN555" s="241"/>
      <c r="AO555" s="244"/>
      <c r="AQ555" s="242"/>
      <c r="AR555" s="241"/>
      <c r="AS555" s="244"/>
      <c r="AT555" s="33"/>
      <c r="AU555" s="242"/>
      <c r="AV555" s="241"/>
      <c r="AW555" s="244"/>
      <c r="AX555" s="33"/>
      <c r="AY555" s="242"/>
      <c r="AZ555" s="241"/>
      <c r="BA555" s="244"/>
      <c r="BB555" s="33"/>
      <c r="BC555" s="242"/>
      <c r="BD555" s="241"/>
      <c r="BE555" s="244"/>
      <c r="BF555" s="33"/>
      <c r="BG555" s="242"/>
      <c r="BH555" s="241"/>
      <c r="BI555" s="244"/>
      <c r="BJ555" s="33"/>
      <c r="BK555" s="242"/>
      <c r="BL555" s="241"/>
      <c r="BM555" s="244"/>
      <c r="BN555" s="33"/>
      <c r="BO555" s="242"/>
      <c r="BP555" s="241"/>
      <c r="BQ555" s="244"/>
      <c r="BR555" s="33"/>
      <c r="BS555" s="242"/>
      <c r="BT555" s="241"/>
      <c r="BU555" s="244"/>
      <c r="BV555" s="33"/>
      <c r="BW555" s="242"/>
      <c r="BX555" s="241"/>
      <c r="BY555" s="244"/>
      <c r="BZ555" s="33"/>
      <c r="CA555" s="242"/>
      <c r="CB555" s="241"/>
      <c r="CC555" s="244"/>
      <c r="CD555" s="243"/>
      <c r="CE555" s="243"/>
      <c r="CF555" s="243"/>
      <c r="CG555" s="243"/>
      <c r="CH555" s="243"/>
      <c r="CI555" s="243"/>
      <c r="CJ555" s="243"/>
      <c r="CK555" s="243"/>
      <c r="CL555" s="243"/>
      <c r="CM555" s="243"/>
      <c r="CN555" s="243"/>
      <c r="CO555" s="243"/>
      <c r="CP555" s="243"/>
      <c r="CQ555" s="243"/>
      <c r="CR555" s="243"/>
      <c r="CS555" s="243"/>
      <c r="CT555" s="243"/>
      <c r="CU555" s="243"/>
      <c r="CV555" s="243"/>
      <c r="CW555" s="243"/>
      <c r="CX555" s="243"/>
      <c r="CY555" s="243"/>
      <c r="CZ555" s="243"/>
      <c r="DA555" s="243"/>
      <c r="DB555" s="243"/>
      <c r="DC555" s="243"/>
      <c r="DD555" s="243"/>
      <c r="DE555" s="243"/>
      <c r="DF555" s="243"/>
      <c r="DG555" s="243"/>
      <c r="DH555" s="243"/>
      <c r="DI555" s="243"/>
      <c r="DJ555" s="243"/>
      <c r="DK555" s="243"/>
      <c r="DM555" s="242"/>
      <c r="DO555" s="243"/>
      <c r="DQ555" s="242"/>
      <c r="DS555" s="243"/>
      <c r="DU555" s="242"/>
      <c r="DW555" s="243"/>
      <c r="DY555" s="242"/>
      <c r="EA555" s="243"/>
    </row>
    <row r="556" spans="1:131">
      <c r="A556" s="20"/>
      <c r="B556" s="124" t="str">
        <f t="shared" si="518"/>
        <v/>
      </c>
      <c r="C556" s="235"/>
      <c r="D556" s="24">
        <f>'1% Wind'!$M$88</f>
        <v>10.1</v>
      </c>
      <c r="E556" s="90"/>
      <c r="F556" s="90"/>
      <c r="G556" s="79">
        <f ca="1">IF(I549=0.9743,$G555,MAX(G555/D555*D556,2))</f>
        <v>6.001707317073171</v>
      </c>
      <c r="H556" s="121" t="e">
        <f t="shared" ca="1" si="519"/>
        <v>#VALUE!</v>
      </c>
      <c r="J556" s="33"/>
      <c r="K556" s="242">
        <f t="shared" si="520"/>
        <v>1</v>
      </c>
      <c r="L556" s="241" t="e">
        <f t="shared" ca="1" si="521"/>
        <v>#VALUE!</v>
      </c>
      <c r="M556" s="243" t="e">
        <f ca="1">IF(AND(INDEX(FlowCalConstA,MATCH(J549,FlowCalNumber,0),1,1)*L556^INDEX(FlowCalConstB,MATCH(J549,FlowCalNumber,0),1,1)&gt;INDEX(FlowCalLowSetting,MATCH(J549,FlowCalNumber,0),1,1), (INDEX(FlowCalConstA,MATCH(J549,FlowCalNumber,0),1,1)*L556^INDEX(FlowCalConstB,MATCH(J549,FlowCalNumber,0),1,1)&lt;INDEX(FlowCalHighSetting,MATCH(J549,FlowCalNumber,0),1,1))),INDEX(FlowCalConstA,MATCH(J549,FlowCalNumber,0),1,1)*L556^INDEX(FlowCalConstB,MATCH(J549,FlowCalNumber,0),1,1)," ")</f>
        <v>#N/A</v>
      </c>
      <c r="N556" s="33"/>
      <c r="O556" s="242">
        <f t="shared" si="522"/>
        <v>1</v>
      </c>
      <c r="P556" s="241" t="e">
        <f t="shared" ca="1" si="523"/>
        <v>#VALUE!</v>
      </c>
      <c r="Q556" s="243" t="e">
        <f ca="1">IF(AND(INDEX(FlowCalConstA,MATCH(N549,FlowCalNumber,0),1,1)*P556^INDEX(FlowCalConstB,MATCH(N549,FlowCalNumber,0),1,1)&gt;INDEX(FlowCalLowSetting,MATCH(N549,FlowCalNumber,0),1,1), (INDEX(FlowCalConstA,MATCH(N549,FlowCalNumber,0),1,1)*P556^INDEX(FlowCalConstB,MATCH(N549,FlowCalNumber,0),1,1)&lt;INDEX(FlowCalHighSetting,MATCH(N549,FlowCalNumber,0),1,1))),INDEX(FlowCalConstA,MATCH(N549,FlowCalNumber,0),1,1)*P556^INDEX(FlowCalConstB,MATCH(N549,FlowCalNumber,0),1,1)," ")</f>
        <v>#N/A</v>
      </c>
      <c r="R556" s="33"/>
      <c r="S556" s="242">
        <f t="shared" si="524"/>
        <v>1</v>
      </c>
      <c r="T556" s="241" t="e">
        <f t="shared" ca="1" si="525"/>
        <v>#VALUE!</v>
      </c>
      <c r="U556" s="244" t="e">
        <f ca="1">IF(AND(INDEX(FlowCalConstA,MATCH(R549,FlowCalNumber,0),1,1)*T556^INDEX(FlowCalConstB,MATCH(R549,FlowCalNumber,0),1,1)&gt;INDEX(FlowCalLowSetting,MATCH(R549,FlowCalNumber,0),1,1), (INDEX(FlowCalConstA,MATCH(R549,FlowCalNumber,0),1,1)*T556^INDEX(FlowCalConstB,MATCH(R549,FlowCalNumber,0),1,1)&lt;INDEX(FlowCalHighSetting,MATCH(R549,FlowCalNumber,0),1,1))),INDEX(FlowCalConstA,MATCH(R549,FlowCalNumber,0),1,1)*T556^INDEX(FlowCalConstB,MATCH(R549,FlowCalNumber,0),1,1)," ")</f>
        <v>#N/A</v>
      </c>
      <c r="V556" s="33"/>
      <c r="W556" s="242">
        <f t="shared" si="526"/>
        <v>0.1</v>
      </c>
      <c r="X556" s="241" t="e">
        <f t="shared" ca="1" si="527"/>
        <v>#VALUE!</v>
      </c>
      <c r="Y556" s="243" t="e">
        <f ca="1">IF(AND(INDEX(FlowCalConstA,MATCH(V549,FlowCalNumber,0),1,1)*X556^INDEX(FlowCalConstB,MATCH(V549,FlowCalNumber,0),1,1)&gt;INDEX(FlowCalLowSetting,MATCH(V549,FlowCalNumber,0),1,1), (INDEX(FlowCalConstA,MATCH(V549,FlowCalNumber,0),1,1)*X556^INDEX(FlowCalConstB,MATCH(V549,FlowCalNumber,0),1,1)&lt;INDEX(FlowCalHighSetting,MATCH(V549,FlowCalNumber,0),1,1))),INDEX(FlowCalConstA,MATCH(V549,FlowCalNumber,0),1,1)*X556^INDEX(FlowCalConstB,MATCH(V549,FlowCalNumber,0),1,1)," ")</f>
        <v>#N/A</v>
      </c>
      <c r="Z556" s="33"/>
      <c r="AA556" s="242">
        <f t="shared" si="528"/>
        <v>0.9</v>
      </c>
      <c r="AB556" s="241" t="e">
        <f t="shared" ca="1" si="529"/>
        <v>#VALUE!</v>
      </c>
      <c r="AC556" s="243" t="e">
        <f ca="1">IF(AND(INDEX(FlowCalConstA,MATCH(Z549,FlowCalNumber,0),1,1)*AB556^INDEX(FlowCalConstB,MATCH(Z549,FlowCalNumber,0),1,1)&gt;INDEX(FlowCalLowSetting,MATCH(Z549,FlowCalNumber,0),1,1), (INDEX(FlowCalConstA,MATCH(Z549,FlowCalNumber,0),1,1)*AB556^INDEX(FlowCalConstB,MATCH(Z549,FlowCalNumber,0),1,1)&lt;INDEX(FlowCalHighSetting,MATCH(Z549,FlowCalNumber,0),1,1))),INDEX(FlowCalConstA,MATCH(Z549,FlowCalNumber,0),1,1)*AB556^INDEX(FlowCalConstB,MATCH(Z549,FlowCalNumber,0),1,1)," ")</f>
        <v>#N/A</v>
      </c>
      <c r="AD556" s="33"/>
      <c r="AE556" s="242">
        <f t="shared" si="530"/>
        <v>0.1</v>
      </c>
      <c r="AF556" s="241" t="e">
        <f t="shared" ca="1" si="531"/>
        <v>#VALUE!</v>
      </c>
      <c r="AG556" s="243" t="e">
        <f ca="1">IF(AND(INDEX(FlowCalConstA,MATCH(AD549,FlowCalNumber,0),1,1)*AF556^INDEX(FlowCalConstB,MATCH(AD549,FlowCalNumber,0),1,1)&gt;INDEX(FlowCalLowSetting,MATCH(AD549,FlowCalNumber,0),1,1), (INDEX(FlowCalConstA,MATCH(AD549,FlowCalNumber,0),1,1)*AF556^INDEX(FlowCalConstB,MATCH(AD549,FlowCalNumber,0),1,1)&lt;INDEX(FlowCalHighSetting,MATCH(AD549,FlowCalNumber,0),1,1))),INDEX(FlowCalConstA,MATCH(AD549,FlowCalNumber,0),1,1)*AF556^INDEX(FlowCalConstB,MATCH(AD549,FlowCalNumber,0),1,1)," ")</f>
        <v>#N/A</v>
      </c>
      <c r="AH556" s="33"/>
      <c r="AI556" s="242">
        <f t="shared" si="532"/>
        <v>0.9</v>
      </c>
      <c r="AJ556" s="241" t="e">
        <f t="shared" ca="1" si="533"/>
        <v>#VALUE!</v>
      </c>
      <c r="AK556" s="243" t="e">
        <f ca="1">IF(AND(INDEX(FlowCalConstA,MATCH(AH549,FlowCalNumber,0),1,1)*AJ556^INDEX(FlowCalConstB,MATCH(AH549,FlowCalNumber,0),1,1)&gt;INDEX(FlowCalLowSetting,MATCH(AH549,FlowCalNumber,0),1,1), (INDEX(FlowCalConstA,MATCH(AH549,FlowCalNumber,0),1,1)*AJ556^INDEX(FlowCalConstB,MATCH(AH549,FlowCalNumber,0),1,1)&lt;INDEX(FlowCalHighSetting,MATCH(AH549,FlowCalNumber,0),1,1))),INDEX(FlowCalConstA,MATCH(AH549,FlowCalNumber,0),1,1)*AJ556^INDEX(FlowCalConstB,MATCH(AH549,FlowCalNumber,0),1,1)," ")</f>
        <v>#N/A</v>
      </c>
      <c r="AL556" s="33"/>
      <c r="AM556" s="242"/>
      <c r="AN556" s="241"/>
      <c r="AO556" s="244"/>
      <c r="AQ556" s="242"/>
      <c r="AR556" s="241"/>
      <c r="AS556" s="244"/>
      <c r="AT556" s="33"/>
      <c r="AU556" s="242"/>
      <c r="AV556" s="241"/>
      <c r="AW556" s="244"/>
      <c r="AX556" s="33"/>
      <c r="AY556" s="242"/>
      <c r="AZ556" s="241"/>
      <c r="BA556" s="244"/>
      <c r="BB556" s="33"/>
      <c r="BC556" s="242"/>
      <c r="BD556" s="241"/>
      <c r="BE556" s="244"/>
      <c r="BF556" s="33"/>
      <c r="BG556" s="242"/>
      <c r="BH556" s="241"/>
      <c r="BI556" s="244"/>
      <c r="BJ556" s="33"/>
      <c r="BK556" s="242"/>
      <c r="BL556" s="241"/>
      <c r="BM556" s="244"/>
      <c r="BN556" s="33"/>
      <c r="BO556" s="242"/>
      <c r="BP556" s="241"/>
      <c r="BQ556" s="244"/>
      <c r="BR556" s="33"/>
      <c r="BS556" s="242"/>
      <c r="BT556" s="241"/>
      <c r="BU556" s="244"/>
      <c r="BV556" s="33"/>
      <c r="BW556" s="242"/>
      <c r="BX556" s="241"/>
      <c r="BY556" s="244"/>
      <c r="BZ556" s="33"/>
      <c r="CA556" s="242"/>
      <c r="CB556" s="241"/>
      <c r="CC556" s="244"/>
      <c r="CD556" s="243"/>
      <c r="CE556" s="243"/>
      <c r="CF556" s="243"/>
      <c r="CG556" s="243"/>
      <c r="CH556" s="243"/>
      <c r="CI556" s="243"/>
      <c r="CJ556" s="243"/>
      <c r="CK556" s="243"/>
      <c r="CL556" s="243"/>
      <c r="CM556" s="243"/>
      <c r="CN556" s="243"/>
      <c r="CO556" s="243"/>
      <c r="CP556" s="243"/>
      <c r="CQ556" s="243"/>
      <c r="CR556" s="243"/>
      <c r="CS556" s="243"/>
      <c r="CT556" s="243"/>
      <c r="CU556" s="243"/>
      <c r="CV556" s="243"/>
      <c r="CW556" s="243"/>
      <c r="CX556" s="243"/>
      <c r="CY556" s="243"/>
      <c r="CZ556" s="243"/>
      <c r="DA556" s="243"/>
      <c r="DB556" s="243"/>
      <c r="DC556" s="243"/>
      <c r="DD556" s="243"/>
      <c r="DE556" s="243"/>
      <c r="DF556" s="243"/>
      <c r="DG556" s="243"/>
      <c r="DH556" s="243"/>
      <c r="DI556" s="243"/>
      <c r="DJ556" s="243"/>
      <c r="DK556" s="243"/>
      <c r="DM556" s="242"/>
      <c r="DO556" s="243"/>
      <c r="DQ556" s="242"/>
      <c r="DS556" s="243"/>
      <c r="DU556" s="242"/>
      <c r="DW556" s="243"/>
      <c r="DY556" s="242"/>
      <c r="EA556" s="243"/>
    </row>
    <row r="557" spans="1:131">
      <c r="A557" s="20"/>
      <c r="B557" s="124" t="str">
        <f t="shared" si="518"/>
        <v/>
      </c>
      <c r="C557" s="235"/>
      <c r="D557" s="24">
        <f>'1% Wind'!$M$89</f>
        <v>7.6</v>
      </c>
      <c r="E557" s="90"/>
      <c r="F557" s="90"/>
      <c r="G557" s="79">
        <f ca="1">IF(I549=0.9743,$G556,MAX(G556/D556*D557,2))</f>
        <v>6.001707317073171</v>
      </c>
      <c r="H557" s="121" t="e">
        <f t="shared" ca="1" si="519"/>
        <v>#VALUE!</v>
      </c>
      <c r="J557" s="33"/>
      <c r="K557" s="242">
        <f t="shared" si="520"/>
        <v>1</v>
      </c>
      <c r="L557" s="241" t="e">
        <f t="shared" ca="1" si="521"/>
        <v>#VALUE!</v>
      </c>
      <c r="M557" s="243" t="e">
        <f ca="1">IF(AND(INDEX(FlowCalConstA,MATCH(J549,FlowCalNumber,0),1,1)*L557^INDEX(FlowCalConstB,MATCH(J549,FlowCalNumber,0),1,1)&gt;INDEX(FlowCalLowSetting,MATCH(J549,FlowCalNumber,0),1,1), (INDEX(FlowCalConstA,MATCH(J549,FlowCalNumber,0),1,1)*L557^INDEX(FlowCalConstB,MATCH(J549,FlowCalNumber,0),1,1)&lt;INDEX(FlowCalHighSetting,MATCH(J549,FlowCalNumber,0),1,1))),INDEX(FlowCalConstA,MATCH(J549,FlowCalNumber,0),1,1)*L557^INDEX(FlowCalConstB,MATCH(J549,FlowCalNumber,0),1,1)," ")</f>
        <v>#N/A</v>
      </c>
      <c r="N557" s="33"/>
      <c r="O557" s="242">
        <f t="shared" si="522"/>
        <v>1</v>
      </c>
      <c r="P557" s="241" t="e">
        <f t="shared" ca="1" si="523"/>
        <v>#VALUE!</v>
      </c>
      <c r="Q557" s="243" t="e">
        <f ca="1">IF(AND(INDEX(FlowCalConstA,MATCH(N549,FlowCalNumber,0),1,1)*P557^INDEX(FlowCalConstB,MATCH(N549,FlowCalNumber,0),1,1)&gt;INDEX(FlowCalLowSetting,MATCH(N549,FlowCalNumber,0),1,1), (INDEX(FlowCalConstA,MATCH(N549,FlowCalNumber,0),1,1)*P557^INDEX(FlowCalConstB,MATCH(N549,FlowCalNumber,0),1,1)&lt;INDEX(FlowCalHighSetting,MATCH(N549,FlowCalNumber,0),1,1))),INDEX(FlowCalConstA,MATCH(N549,FlowCalNumber,0),1,1)*P557^INDEX(FlowCalConstB,MATCH(N549,FlowCalNumber,0),1,1)," ")</f>
        <v>#N/A</v>
      </c>
      <c r="R557" s="33"/>
      <c r="S557" s="242">
        <f t="shared" si="524"/>
        <v>1</v>
      </c>
      <c r="T557" s="241" t="e">
        <f t="shared" ca="1" si="525"/>
        <v>#VALUE!</v>
      </c>
      <c r="U557" s="244" t="e">
        <f ca="1">IF(AND(INDEX(FlowCalConstA,MATCH(R549,FlowCalNumber,0),1,1)*T557^INDEX(FlowCalConstB,MATCH(R549,FlowCalNumber,0),1,1)&gt;INDEX(FlowCalLowSetting,MATCH(R549,FlowCalNumber,0),1,1), (INDEX(FlowCalConstA,MATCH(R549,FlowCalNumber,0),1,1)*T557^INDEX(FlowCalConstB,MATCH(R549,FlowCalNumber,0),1,1)&lt;INDEX(FlowCalHighSetting,MATCH(R549,FlowCalNumber,0),1,1))),INDEX(FlowCalConstA,MATCH(R549,FlowCalNumber,0),1,1)*T557^INDEX(FlowCalConstB,MATCH(R549,FlowCalNumber,0),1,1)," ")</f>
        <v>#N/A</v>
      </c>
      <c r="V557" s="33"/>
      <c r="W557" s="242">
        <f t="shared" si="526"/>
        <v>0.1</v>
      </c>
      <c r="X557" s="241" t="e">
        <f t="shared" ca="1" si="527"/>
        <v>#VALUE!</v>
      </c>
      <c r="Y557" s="243" t="e">
        <f ca="1">IF(AND(INDEX(FlowCalConstA,MATCH(V549,FlowCalNumber,0),1,1)*X557^INDEX(FlowCalConstB,MATCH(V549,FlowCalNumber,0),1,1)&gt;INDEX(FlowCalLowSetting,MATCH(V549,FlowCalNumber,0),1,1), (INDEX(FlowCalConstA,MATCH(V549,FlowCalNumber,0),1,1)*X557^INDEX(FlowCalConstB,MATCH(V549,FlowCalNumber,0),1,1)&lt;INDEX(FlowCalHighSetting,MATCH(V549,FlowCalNumber,0),1,1))),INDEX(FlowCalConstA,MATCH(V549,FlowCalNumber,0),1,1)*X557^INDEX(FlowCalConstB,MATCH(V549,FlowCalNumber,0),1,1)," ")</f>
        <v>#N/A</v>
      </c>
      <c r="Z557" s="33"/>
      <c r="AA557" s="242">
        <f t="shared" si="528"/>
        <v>0.9</v>
      </c>
      <c r="AB557" s="241" t="e">
        <f t="shared" ca="1" si="529"/>
        <v>#VALUE!</v>
      </c>
      <c r="AC557" s="243" t="e">
        <f ca="1">IF(AND(INDEX(FlowCalConstA,MATCH(Z549,FlowCalNumber,0),1,1)*AB557^INDEX(FlowCalConstB,MATCH(Z549,FlowCalNumber,0),1,1)&gt;INDEX(FlowCalLowSetting,MATCH(Z549,FlowCalNumber,0),1,1), (INDEX(FlowCalConstA,MATCH(Z549,FlowCalNumber,0),1,1)*AB557^INDEX(FlowCalConstB,MATCH(Z549,FlowCalNumber,0),1,1)&lt;INDEX(FlowCalHighSetting,MATCH(Z549,FlowCalNumber,0),1,1))),INDEX(FlowCalConstA,MATCH(Z549,FlowCalNumber,0),1,1)*AB557^INDEX(FlowCalConstB,MATCH(Z549,FlowCalNumber,0),1,1)," ")</f>
        <v>#N/A</v>
      </c>
      <c r="AD557" s="33"/>
      <c r="AE557" s="242">
        <f t="shared" si="530"/>
        <v>0.1</v>
      </c>
      <c r="AF557" s="241" t="e">
        <f t="shared" ca="1" si="531"/>
        <v>#VALUE!</v>
      </c>
      <c r="AG557" s="243" t="e">
        <f ca="1">IF(AND(INDEX(FlowCalConstA,MATCH(AD549,FlowCalNumber,0),1,1)*AF557^INDEX(FlowCalConstB,MATCH(AD549,FlowCalNumber,0),1,1)&gt;INDEX(FlowCalLowSetting,MATCH(AD549,FlowCalNumber,0),1,1), (INDEX(FlowCalConstA,MATCH(AD549,FlowCalNumber,0),1,1)*AF557^INDEX(FlowCalConstB,MATCH(AD549,FlowCalNumber,0),1,1)&lt;INDEX(FlowCalHighSetting,MATCH(AD549,FlowCalNumber,0),1,1))),INDEX(FlowCalConstA,MATCH(AD549,FlowCalNumber,0),1,1)*AF557^INDEX(FlowCalConstB,MATCH(AD549,FlowCalNumber,0),1,1)," ")</f>
        <v>#N/A</v>
      </c>
      <c r="AH557" s="33"/>
      <c r="AI557" s="242">
        <f t="shared" si="532"/>
        <v>0.9</v>
      </c>
      <c r="AJ557" s="241" t="e">
        <f t="shared" ca="1" si="533"/>
        <v>#VALUE!</v>
      </c>
      <c r="AK557" s="243" t="e">
        <f ca="1">IF(AND(INDEX(FlowCalConstA,MATCH(AH549,FlowCalNumber,0),1,1)*AJ557^INDEX(FlowCalConstB,MATCH(AH549,FlowCalNumber,0),1,1)&gt;INDEX(FlowCalLowSetting,MATCH(AH549,FlowCalNumber,0),1,1), (INDEX(FlowCalConstA,MATCH(AH549,FlowCalNumber,0),1,1)*AJ557^INDEX(FlowCalConstB,MATCH(AH549,FlowCalNumber,0),1,1)&lt;INDEX(FlowCalHighSetting,MATCH(AH549,FlowCalNumber,0),1,1))),INDEX(FlowCalConstA,MATCH(AH549,FlowCalNumber,0),1,1)*AJ557^INDEX(FlowCalConstB,MATCH(AH549,FlowCalNumber,0),1,1)," ")</f>
        <v>#N/A</v>
      </c>
      <c r="AL557" s="33"/>
      <c r="AM557" s="242"/>
      <c r="AN557" s="241"/>
      <c r="AO557" s="244"/>
      <c r="AQ557" s="242"/>
      <c r="AR557" s="241"/>
      <c r="AS557" s="244"/>
      <c r="AT557" s="33"/>
      <c r="AU557" s="242"/>
      <c r="AV557" s="241"/>
      <c r="AW557" s="244"/>
      <c r="AX557" s="33"/>
      <c r="AY557" s="242"/>
      <c r="AZ557" s="241"/>
      <c r="BA557" s="244"/>
      <c r="BB557" s="33"/>
      <c r="BC557" s="242"/>
      <c r="BD557" s="241"/>
      <c r="BE557" s="244"/>
      <c r="BF557" s="33"/>
      <c r="BG557" s="242"/>
      <c r="BH557" s="241"/>
      <c r="BI557" s="244"/>
      <c r="BJ557" s="33"/>
      <c r="BK557" s="242"/>
      <c r="BL557" s="241"/>
      <c r="BM557" s="244"/>
      <c r="BN557" s="33"/>
      <c r="BO557" s="242"/>
      <c r="BP557" s="241"/>
      <c r="BQ557" s="244"/>
      <c r="BR557" s="33"/>
      <c r="BS557" s="242"/>
      <c r="BT557" s="241"/>
      <c r="BU557" s="244"/>
      <c r="BV557" s="33"/>
      <c r="BW557" s="242"/>
      <c r="BX557" s="241"/>
      <c r="BY557" s="244"/>
      <c r="BZ557" s="33"/>
      <c r="CA557" s="242"/>
      <c r="CB557" s="241"/>
      <c r="CC557" s="244"/>
      <c r="CD557" s="243"/>
      <c r="CE557" s="243"/>
      <c r="CF557" s="243"/>
      <c r="CG557" s="243"/>
      <c r="CH557" s="243"/>
      <c r="CI557" s="243"/>
      <c r="CJ557" s="243"/>
      <c r="CK557" s="243"/>
      <c r="CL557" s="243"/>
      <c r="CM557" s="243"/>
      <c r="CN557" s="243"/>
      <c r="CO557" s="243"/>
      <c r="CP557" s="243"/>
      <c r="CQ557" s="243"/>
      <c r="CR557" s="243"/>
      <c r="CS557" s="243"/>
      <c r="CT557" s="243"/>
      <c r="CU557" s="243"/>
      <c r="CV557" s="243"/>
      <c r="CW557" s="243"/>
      <c r="CX557" s="243"/>
      <c r="CY557" s="243"/>
      <c r="CZ557" s="243"/>
      <c r="DA557" s="243"/>
      <c r="DB557" s="243"/>
      <c r="DC557" s="243"/>
      <c r="DD557" s="243"/>
      <c r="DE557" s="243"/>
      <c r="DF557" s="243"/>
      <c r="DG557" s="243"/>
      <c r="DH557" s="243"/>
      <c r="DI557" s="243"/>
      <c r="DJ557" s="243"/>
      <c r="DK557" s="243"/>
      <c r="DM557" s="242"/>
      <c r="DO557" s="243"/>
      <c r="DQ557" s="242"/>
      <c r="DS557" s="243"/>
      <c r="DU557" s="242"/>
      <c r="DW557" s="243"/>
      <c r="DY557" s="242"/>
      <c r="EA557" s="243"/>
    </row>
    <row r="558" spans="1:131">
      <c r="A558" s="20"/>
      <c r="B558" s="124" t="str">
        <f t="shared" si="518"/>
        <v/>
      </c>
      <c r="C558" s="235"/>
      <c r="D558" s="24">
        <f>'1% Wind'!$M$90</f>
        <v>5.7</v>
      </c>
      <c r="E558" s="90"/>
      <c r="F558" s="90"/>
      <c r="G558" s="79">
        <f ca="1">IF(I549=0.9743,$G557,MAX(G557/D557*D558,2))</f>
        <v>6.001707317073171</v>
      </c>
      <c r="H558" s="121" t="e">
        <f t="shared" ca="1" si="519"/>
        <v>#VALUE!</v>
      </c>
      <c r="J558" s="33"/>
      <c r="K558" s="242">
        <f t="shared" si="520"/>
        <v>1</v>
      </c>
      <c r="L558" s="241" t="e">
        <f t="shared" ca="1" si="521"/>
        <v>#VALUE!</v>
      </c>
      <c r="M558" s="243" t="e">
        <f ca="1">IF(AND(INDEX(FlowCalConstA,MATCH(J549,FlowCalNumber,0),1,1)*L558^INDEX(FlowCalConstB,MATCH(J549,FlowCalNumber,0),1,1)&gt;INDEX(FlowCalLowSetting,MATCH(J549,FlowCalNumber,0),1,1), (INDEX(FlowCalConstA,MATCH(J549,FlowCalNumber,0),1,1)*L558^INDEX(FlowCalConstB,MATCH(J549,FlowCalNumber,0),1,1)&lt;INDEX(FlowCalHighSetting,MATCH(J549,FlowCalNumber,0),1,1))),INDEX(FlowCalConstA,MATCH(J549,FlowCalNumber,0),1,1)*L558^INDEX(FlowCalConstB,MATCH(J549,FlowCalNumber,0),1,1)," ")</f>
        <v>#N/A</v>
      </c>
      <c r="N558" s="33"/>
      <c r="O558" s="242">
        <f t="shared" si="522"/>
        <v>1</v>
      </c>
      <c r="P558" s="241" t="e">
        <f t="shared" ca="1" si="523"/>
        <v>#VALUE!</v>
      </c>
      <c r="Q558" s="243" t="e">
        <f ca="1">IF(AND(INDEX(FlowCalConstA,MATCH(N549,FlowCalNumber,0),1,1)*P558^INDEX(FlowCalConstB,MATCH(N549,FlowCalNumber,0),1,1)&gt;INDEX(FlowCalLowSetting,MATCH(N549,FlowCalNumber,0),1,1), (INDEX(FlowCalConstA,MATCH(N549,FlowCalNumber,0),1,1)*P558^INDEX(FlowCalConstB,MATCH(N549,FlowCalNumber,0),1,1)&lt;INDEX(FlowCalHighSetting,MATCH(N549,FlowCalNumber,0),1,1))),INDEX(FlowCalConstA,MATCH(N549,FlowCalNumber,0),1,1)*P558^INDEX(FlowCalConstB,MATCH(N549,FlowCalNumber,0),1,1)," ")</f>
        <v>#N/A</v>
      </c>
      <c r="R558" s="33"/>
      <c r="S558" s="242">
        <f t="shared" si="524"/>
        <v>1</v>
      </c>
      <c r="T558" s="241" t="e">
        <f t="shared" ca="1" si="525"/>
        <v>#VALUE!</v>
      </c>
      <c r="U558" s="244" t="e">
        <f ca="1">IF(AND(INDEX(FlowCalConstA,MATCH(R549,FlowCalNumber,0),1,1)*T558^INDEX(FlowCalConstB,MATCH(R549,FlowCalNumber,0),1,1)&gt;INDEX(FlowCalLowSetting,MATCH(R549,FlowCalNumber,0),1,1), (INDEX(FlowCalConstA,MATCH(R549,FlowCalNumber,0),1,1)*T558^INDEX(FlowCalConstB,MATCH(R549,FlowCalNumber,0),1,1)&lt;INDEX(FlowCalHighSetting,MATCH(R549,FlowCalNumber,0),1,1))),INDEX(FlowCalConstA,MATCH(R549,FlowCalNumber,0),1,1)*T558^INDEX(FlowCalConstB,MATCH(R549,FlowCalNumber,0),1,1)," ")</f>
        <v>#N/A</v>
      </c>
      <c r="V558" s="33"/>
      <c r="W558" s="242">
        <f t="shared" si="526"/>
        <v>0.1</v>
      </c>
      <c r="X558" s="241" t="e">
        <f t="shared" ca="1" si="527"/>
        <v>#VALUE!</v>
      </c>
      <c r="Y558" s="243" t="e">
        <f ca="1">IF(AND(INDEX(FlowCalConstA,MATCH(V549,FlowCalNumber,0),1,1)*X558^INDEX(FlowCalConstB,MATCH(V549,FlowCalNumber,0),1,1)&gt;INDEX(FlowCalLowSetting,MATCH(V549,FlowCalNumber,0),1,1), (INDEX(FlowCalConstA,MATCH(V549,FlowCalNumber,0),1,1)*X558^INDEX(FlowCalConstB,MATCH(V549,FlowCalNumber,0),1,1)&lt;INDEX(FlowCalHighSetting,MATCH(V549,FlowCalNumber,0),1,1))),INDEX(FlowCalConstA,MATCH(V549,FlowCalNumber,0),1,1)*X558^INDEX(FlowCalConstB,MATCH(V549,FlowCalNumber,0),1,1)," ")</f>
        <v>#N/A</v>
      </c>
      <c r="Z558" s="33"/>
      <c r="AA558" s="242">
        <f t="shared" si="528"/>
        <v>0.9</v>
      </c>
      <c r="AB558" s="241" t="e">
        <f t="shared" ca="1" si="529"/>
        <v>#VALUE!</v>
      </c>
      <c r="AC558" s="243" t="e">
        <f ca="1">IF(AND(INDEX(FlowCalConstA,MATCH(Z549,FlowCalNumber,0),1,1)*AB558^INDEX(FlowCalConstB,MATCH(Z549,FlowCalNumber,0),1,1)&gt;INDEX(FlowCalLowSetting,MATCH(Z549,FlowCalNumber,0),1,1), (INDEX(FlowCalConstA,MATCH(Z549,FlowCalNumber,0),1,1)*AB558^INDEX(FlowCalConstB,MATCH(Z549,FlowCalNumber,0),1,1)&lt;INDEX(FlowCalHighSetting,MATCH(Z549,FlowCalNumber,0),1,1))),INDEX(FlowCalConstA,MATCH(Z549,FlowCalNumber,0),1,1)*AB558^INDEX(FlowCalConstB,MATCH(Z549,FlowCalNumber,0),1,1)," ")</f>
        <v>#N/A</v>
      </c>
      <c r="AD558" s="33"/>
      <c r="AE558" s="242">
        <f t="shared" si="530"/>
        <v>0.1</v>
      </c>
      <c r="AF558" s="241" t="e">
        <f t="shared" ca="1" si="531"/>
        <v>#VALUE!</v>
      </c>
      <c r="AG558" s="243" t="e">
        <f ca="1">IF(AND(INDEX(FlowCalConstA,MATCH(AD549,FlowCalNumber,0),1,1)*AF558^INDEX(FlowCalConstB,MATCH(AD549,FlowCalNumber,0),1,1)&gt;INDEX(FlowCalLowSetting,MATCH(AD549,FlowCalNumber,0),1,1), (INDEX(FlowCalConstA,MATCH(AD549,FlowCalNumber,0),1,1)*AF558^INDEX(FlowCalConstB,MATCH(AD549,FlowCalNumber,0),1,1)&lt;INDEX(FlowCalHighSetting,MATCH(AD549,FlowCalNumber,0),1,1))),INDEX(FlowCalConstA,MATCH(AD549,FlowCalNumber,0),1,1)*AF558^INDEX(FlowCalConstB,MATCH(AD549,FlowCalNumber,0),1,1)," ")</f>
        <v>#N/A</v>
      </c>
      <c r="AH558" s="33"/>
      <c r="AI558" s="242">
        <f t="shared" si="532"/>
        <v>0.9</v>
      </c>
      <c r="AJ558" s="241" t="e">
        <f t="shared" ca="1" si="533"/>
        <v>#VALUE!</v>
      </c>
      <c r="AK558" s="243" t="e">
        <f ca="1">IF(AND(INDEX(FlowCalConstA,MATCH(AH549,FlowCalNumber,0),1,1)*AJ558^INDEX(FlowCalConstB,MATCH(AH549,FlowCalNumber,0),1,1)&gt;INDEX(FlowCalLowSetting,MATCH(AH549,FlowCalNumber,0),1,1), (INDEX(FlowCalConstA,MATCH(AH549,FlowCalNumber,0),1,1)*AJ558^INDEX(FlowCalConstB,MATCH(AH549,FlowCalNumber,0),1,1)&lt;INDEX(FlowCalHighSetting,MATCH(AH549,FlowCalNumber,0),1,1))),INDEX(FlowCalConstA,MATCH(AH549,FlowCalNumber,0),1,1)*AJ558^INDEX(FlowCalConstB,MATCH(AH549,FlowCalNumber,0),1,1)," ")</f>
        <v>#N/A</v>
      </c>
      <c r="AL558" s="33"/>
      <c r="AM558" s="242"/>
      <c r="AN558" s="241"/>
      <c r="AO558" s="244"/>
      <c r="AQ558" s="242"/>
      <c r="AR558" s="241"/>
      <c r="AS558" s="244"/>
      <c r="AT558" s="33"/>
      <c r="AU558" s="242"/>
      <c r="AV558" s="241"/>
      <c r="AW558" s="244"/>
      <c r="AX558" s="33"/>
      <c r="AY558" s="242"/>
      <c r="AZ558" s="241"/>
      <c r="BA558" s="244"/>
      <c r="BB558" s="33"/>
      <c r="BC558" s="242"/>
      <c r="BD558" s="241"/>
      <c r="BE558" s="244"/>
      <c r="BF558" s="33"/>
      <c r="BG558" s="242"/>
      <c r="BH558" s="241"/>
      <c r="BI558" s="244"/>
      <c r="BJ558" s="33"/>
      <c r="BK558" s="242"/>
      <c r="BL558" s="241"/>
      <c r="BM558" s="244"/>
      <c r="BN558" s="33"/>
      <c r="BO558" s="242"/>
      <c r="BP558" s="241"/>
      <c r="BQ558" s="244"/>
      <c r="BR558" s="33"/>
      <c r="BS558" s="242"/>
      <c r="BT558" s="241"/>
      <c r="BU558" s="244"/>
      <c r="BV558" s="33"/>
      <c r="BW558" s="242"/>
      <c r="BX558" s="241"/>
      <c r="BY558" s="244"/>
      <c r="BZ558" s="33"/>
      <c r="CA558" s="242"/>
      <c r="CB558" s="241"/>
      <c r="CC558" s="244"/>
      <c r="CD558" s="243"/>
      <c r="CE558" s="243"/>
      <c r="CF558" s="243"/>
      <c r="CG558" s="243"/>
      <c r="CH558" s="243"/>
      <c r="CI558" s="243"/>
      <c r="CJ558" s="243"/>
      <c r="CK558" s="243"/>
      <c r="CL558" s="243"/>
      <c r="CM558" s="243"/>
      <c r="CN558" s="243"/>
      <c r="CO558" s="243"/>
      <c r="CP558" s="243"/>
      <c r="CQ558" s="243"/>
      <c r="CR558" s="243"/>
      <c r="CS558" s="243"/>
      <c r="CT558" s="243"/>
      <c r="CU558" s="243"/>
      <c r="CV558" s="243"/>
      <c r="CW558" s="243"/>
      <c r="CX558" s="243"/>
      <c r="CY558" s="243"/>
      <c r="CZ558" s="243"/>
      <c r="DA558" s="243"/>
      <c r="DB558" s="243"/>
      <c r="DC558" s="243"/>
      <c r="DD558" s="243"/>
      <c r="DE558" s="243"/>
      <c r="DF558" s="243"/>
      <c r="DG558" s="243"/>
      <c r="DH558" s="243"/>
      <c r="DI558" s="243"/>
      <c r="DJ558" s="243"/>
      <c r="DK558" s="243"/>
      <c r="DM558" s="242"/>
      <c r="DO558" s="243"/>
      <c r="DQ558" s="242"/>
      <c r="DS558" s="243"/>
      <c r="DU558" s="242"/>
      <c r="DW558" s="243"/>
      <c r="DY558" s="242"/>
      <c r="EA558" s="243"/>
    </row>
    <row r="559" spans="1:131">
      <c r="A559" s="20"/>
      <c r="B559" s="124" t="str">
        <f t="shared" si="518"/>
        <v/>
      </c>
      <c r="C559" s="235"/>
      <c r="D559" s="24">
        <f>'1% Wind'!$M$91</f>
        <v>4.2</v>
      </c>
      <c r="E559" s="90"/>
      <c r="F559" s="90"/>
      <c r="G559" s="79">
        <f ca="1">IF(I549=0.9743,$G558,MAX(G558/D558*D559,2))</f>
        <v>6.001707317073171</v>
      </c>
      <c r="H559" s="121" t="e">
        <f t="shared" ca="1" si="519"/>
        <v>#VALUE!</v>
      </c>
      <c r="J559" s="33"/>
      <c r="K559" s="242">
        <f t="shared" si="520"/>
        <v>1</v>
      </c>
      <c r="L559" s="241" t="e">
        <f t="shared" ca="1" si="521"/>
        <v>#VALUE!</v>
      </c>
      <c r="M559" s="243" t="e">
        <f ca="1">IF(AND(INDEX(FlowCalConstA,MATCH(J549,FlowCalNumber,0),1,1)*L559^INDEX(FlowCalConstB,MATCH(J549,FlowCalNumber,0),1,1)&gt;INDEX(FlowCalLowSetting,MATCH(J549,FlowCalNumber,0),1,1), (INDEX(FlowCalConstA,MATCH(J549,FlowCalNumber,0),1,1)*L559^INDEX(FlowCalConstB,MATCH(J549,FlowCalNumber,0),1,1)&lt;INDEX(FlowCalHighSetting,MATCH(J549,FlowCalNumber,0),1,1))),INDEX(FlowCalConstA,MATCH(J549,FlowCalNumber,0),1,1)*L559^INDEX(FlowCalConstB,MATCH(J549,FlowCalNumber,0),1,1)," ")</f>
        <v>#N/A</v>
      </c>
      <c r="N559" s="33"/>
      <c r="O559" s="242">
        <f t="shared" si="522"/>
        <v>1</v>
      </c>
      <c r="P559" s="241" t="e">
        <f t="shared" ca="1" si="523"/>
        <v>#VALUE!</v>
      </c>
      <c r="Q559" s="243" t="e">
        <f ca="1">IF(AND(INDEX(FlowCalConstA,MATCH(N549,FlowCalNumber,0),1,1)*P559^INDEX(FlowCalConstB,MATCH(N549,FlowCalNumber,0),1,1)&gt;INDEX(FlowCalLowSetting,MATCH(N549,FlowCalNumber,0),1,1), (INDEX(FlowCalConstA,MATCH(N549,FlowCalNumber,0),1,1)*P559^INDEX(FlowCalConstB,MATCH(N549,FlowCalNumber,0),1,1)&lt;INDEX(FlowCalHighSetting,MATCH(N549,FlowCalNumber,0),1,1))),INDEX(FlowCalConstA,MATCH(N549,FlowCalNumber,0),1,1)*P559^INDEX(FlowCalConstB,MATCH(N549,FlowCalNumber,0),1,1)," ")</f>
        <v>#N/A</v>
      </c>
      <c r="R559" s="33"/>
      <c r="S559" s="242">
        <f t="shared" si="524"/>
        <v>1</v>
      </c>
      <c r="T559" s="241" t="e">
        <f t="shared" ca="1" si="525"/>
        <v>#VALUE!</v>
      </c>
      <c r="U559" s="244" t="e">
        <f ca="1">IF(AND(INDEX(FlowCalConstA,MATCH(R549,FlowCalNumber,0),1,1)*T559^INDEX(FlowCalConstB,MATCH(R549,FlowCalNumber,0),1,1)&gt;INDEX(FlowCalLowSetting,MATCH(R549,FlowCalNumber,0),1,1), (INDEX(FlowCalConstA,MATCH(R549,FlowCalNumber,0),1,1)*T559^INDEX(FlowCalConstB,MATCH(R549,FlowCalNumber,0),1,1)&lt;INDEX(FlowCalHighSetting,MATCH(R549,FlowCalNumber,0),1,1))),INDEX(FlowCalConstA,MATCH(R549,FlowCalNumber,0),1,1)*T559^INDEX(FlowCalConstB,MATCH(R549,FlowCalNumber,0),1,1)," ")</f>
        <v>#N/A</v>
      </c>
      <c r="V559" s="33"/>
      <c r="W559" s="242">
        <f t="shared" si="526"/>
        <v>0.1</v>
      </c>
      <c r="X559" s="241" t="e">
        <f t="shared" ca="1" si="527"/>
        <v>#VALUE!</v>
      </c>
      <c r="Y559" s="243" t="e">
        <f ca="1">IF(AND(INDEX(FlowCalConstA,MATCH(V549,FlowCalNumber,0),1,1)*X559^INDEX(FlowCalConstB,MATCH(V549,FlowCalNumber,0),1,1)&gt;INDEX(FlowCalLowSetting,MATCH(V549,FlowCalNumber,0),1,1), (INDEX(FlowCalConstA,MATCH(V549,FlowCalNumber,0),1,1)*X559^INDEX(FlowCalConstB,MATCH(V549,FlowCalNumber,0),1,1)&lt;INDEX(FlowCalHighSetting,MATCH(V549,FlowCalNumber,0),1,1))),INDEX(FlowCalConstA,MATCH(V549,FlowCalNumber,0),1,1)*X559^INDEX(FlowCalConstB,MATCH(V549,FlowCalNumber,0),1,1)," ")</f>
        <v>#N/A</v>
      </c>
      <c r="Z559" s="33"/>
      <c r="AA559" s="242">
        <f t="shared" si="528"/>
        <v>0.9</v>
      </c>
      <c r="AB559" s="241" t="e">
        <f t="shared" ca="1" si="529"/>
        <v>#VALUE!</v>
      </c>
      <c r="AC559" s="243" t="e">
        <f ca="1">IF(AND(INDEX(FlowCalConstA,MATCH(Z549,FlowCalNumber,0),1,1)*AB559^INDEX(FlowCalConstB,MATCH(Z549,FlowCalNumber,0),1,1)&gt;INDEX(FlowCalLowSetting,MATCH(Z549,FlowCalNumber,0),1,1), (INDEX(FlowCalConstA,MATCH(Z549,FlowCalNumber,0),1,1)*AB559^INDEX(FlowCalConstB,MATCH(Z549,FlowCalNumber,0),1,1)&lt;INDEX(FlowCalHighSetting,MATCH(Z549,FlowCalNumber,0),1,1))),INDEX(FlowCalConstA,MATCH(Z549,FlowCalNumber,0),1,1)*AB559^INDEX(FlowCalConstB,MATCH(Z549,FlowCalNumber,0),1,1)," ")</f>
        <v>#N/A</v>
      </c>
      <c r="AD559" s="33"/>
      <c r="AE559" s="242">
        <f t="shared" si="530"/>
        <v>0.1</v>
      </c>
      <c r="AF559" s="241" t="e">
        <f t="shared" ca="1" si="531"/>
        <v>#VALUE!</v>
      </c>
      <c r="AG559" s="243" t="e">
        <f ca="1">IF(AND(INDEX(FlowCalConstA,MATCH(AD549,FlowCalNumber,0),1,1)*AF559^INDEX(FlowCalConstB,MATCH(AD549,FlowCalNumber,0),1,1)&gt;INDEX(FlowCalLowSetting,MATCH(AD549,FlowCalNumber,0),1,1), (INDEX(FlowCalConstA,MATCH(AD549,FlowCalNumber,0),1,1)*AF559^INDEX(FlowCalConstB,MATCH(AD549,FlowCalNumber,0),1,1)&lt;INDEX(FlowCalHighSetting,MATCH(AD549,FlowCalNumber,0),1,1))),INDEX(FlowCalConstA,MATCH(AD549,FlowCalNumber,0),1,1)*AF559^INDEX(FlowCalConstB,MATCH(AD549,FlowCalNumber,0),1,1)," ")</f>
        <v>#N/A</v>
      </c>
      <c r="AH559" s="33"/>
      <c r="AI559" s="242">
        <f t="shared" si="532"/>
        <v>0.9</v>
      </c>
      <c r="AJ559" s="241" t="e">
        <f t="shared" ca="1" si="533"/>
        <v>#VALUE!</v>
      </c>
      <c r="AK559" s="243" t="e">
        <f ca="1">IF(AND(INDEX(FlowCalConstA,MATCH(AH549,FlowCalNumber,0),1,1)*AJ559^INDEX(FlowCalConstB,MATCH(AH549,FlowCalNumber,0),1,1)&gt;INDEX(FlowCalLowSetting,MATCH(AH549,FlowCalNumber,0),1,1), (INDEX(FlowCalConstA,MATCH(AH549,FlowCalNumber,0),1,1)*AJ559^INDEX(FlowCalConstB,MATCH(AH549,FlowCalNumber,0),1,1)&lt;INDEX(FlowCalHighSetting,MATCH(AH549,FlowCalNumber,0),1,1))),INDEX(FlowCalConstA,MATCH(AH549,FlowCalNumber,0),1,1)*AJ559^INDEX(FlowCalConstB,MATCH(AH549,FlowCalNumber,0),1,1)," ")</f>
        <v>#N/A</v>
      </c>
      <c r="AL559" s="33"/>
      <c r="AM559" s="242"/>
      <c r="AN559" s="241"/>
      <c r="AO559" s="244"/>
      <c r="AQ559" s="242"/>
      <c r="AR559" s="241"/>
      <c r="AS559" s="244"/>
      <c r="AT559" s="33"/>
      <c r="AU559" s="242"/>
      <c r="AV559" s="241"/>
      <c r="AW559" s="244"/>
      <c r="AX559" s="33"/>
      <c r="AY559" s="242"/>
      <c r="AZ559" s="241"/>
      <c r="BA559" s="244"/>
      <c r="BB559" s="33"/>
      <c r="BC559" s="242"/>
      <c r="BD559" s="241"/>
      <c r="BE559" s="244"/>
      <c r="BF559" s="33"/>
      <c r="BG559" s="242"/>
      <c r="BH559" s="241"/>
      <c r="BI559" s="244"/>
      <c r="BJ559" s="33"/>
      <c r="BK559" s="242"/>
      <c r="BL559" s="241"/>
      <c r="BM559" s="244"/>
      <c r="BN559" s="33"/>
      <c r="BO559" s="242"/>
      <c r="BP559" s="241"/>
      <c r="BQ559" s="244"/>
      <c r="BR559" s="33"/>
      <c r="BS559" s="242"/>
      <c r="BT559" s="241"/>
      <c r="BU559" s="244"/>
      <c r="BV559" s="33"/>
      <c r="BW559" s="242"/>
      <c r="BX559" s="241"/>
      <c r="BY559" s="244"/>
      <c r="BZ559" s="33"/>
      <c r="CA559" s="242"/>
      <c r="CB559" s="241"/>
      <c r="CC559" s="244"/>
      <c r="CD559" s="243"/>
      <c r="CE559" s="243"/>
      <c r="CF559" s="243"/>
      <c r="CG559" s="243"/>
      <c r="CH559" s="243"/>
      <c r="CI559" s="243"/>
      <c r="CJ559" s="243"/>
      <c r="CK559" s="243"/>
      <c r="CL559" s="243"/>
      <c r="CM559" s="243"/>
      <c r="CN559" s="243"/>
      <c r="CO559" s="243"/>
      <c r="CP559" s="243"/>
      <c r="CQ559" s="243"/>
      <c r="CR559" s="243"/>
      <c r="CS559" s="243"/>
      <c r="CT559" s="243"/>
      <c r="CU559" s="243"/>
      <c r="CV559" s="243"/>
      <c r="CW559" s="243"/>
      <c r="CX559" s="243"/>
      <c r="CY559" s="243"/>
      <c r="CZ559" s="243"/>
      <c r="DA559" s="243"/>
      <c r="DB559" s="243"/>
      <c r="DC559" s="243"/>
      <c r="DD559" s="243"/>
      <c r="DE559" s="243"/>
      <c r="DF559" s="243"/>
      <c r="DG559" s="243"/>
      <c r="DH559" s="243"/>
      <c r="DI559" s="243"/>
      <c r="DJ559" s="243"/>
      <c r="DK559" s="243"/>
      <c r="DM559" s="242"/>
      <c r="DO559" s="243"/>
      <c r="DQ559" s="242"/>
      <c r="DS559" s="243"/>
      <c r="DU559" s="242"/>
      <c r="DW559" s="243"/>
      <c r="DY559" s="242"/>
      <c r="EA559" s="243"/>
    </row>
    <row r="560" spans="1:131">
      <c r="A560" s="20"/>
      <c r="B560" s="124" t="str">
        <f t="shared" si="518"/>
        <v/>
      </c>
      <c r="C560" s="235"/>
      <c r="D560" s="24">
        <f>'1% Wind'!$M$92</f>
        <v>3.2</v>
      </c>
      <c r="E560" s="90"/>
      <c r="F560" s="90"/>
      <c r="G560" s="79">
        <f ca="1">IF(I549=0.9743,$G559,MAX(G559/D559*D560,2))</f>
        <v>6.001707317073171</v>
      </c>
      <c r="H560" s="121" t="e">
        <f t="shared" ca="1" si="519"/>
        <v>#VALUE!</v>
      </c>
      <c r="J560" s="33"/>
      <c r="K560" s="242">
        <f t="shared" si="520"/>
        <v>1</v>
      </c>
      <c r="L560" s="241" t="e">
        <f t="shared" ca="1" si="521"/>
        <v>#VALUE!</v>
      </c>
      <c r="M560" s="243" t="e">
        <f ca="1">IF(AND(INDEX(FlowCalConstA,MATCH(J549,FlowCalNumber,0),1,1)*L560^INDEX(FlowCalConstB,MATCH(J549,FlowCalNumber,0),1,1)&gt;INDEX(FlowCalLowSetting,MATCH(J549,FlowCalNumber,0),1,1), (INDEX(FlowCalConstA,MATCH(J549,FlowCalNumber,0),1,1)*L560^INDEX(FlowCalConstB,MATCH(J549,FlowCalNumber,0),1,1)&lt;INDEX(FlowCalHighSetting,MATCH(J549,FlowCalNumber,0),1,1))),INDEX(FlowCalConstA,MATCH(J549,FlowCalNumber,0),1,1)*L560^INDEX(FlowCalConstB,MATCH(J549,FlowCalNumber,0),1,1)," ")</f>
        <v>#N/A</v>
      </c>
      <c r="N560" s="33"/>
      <c r="O560" s="242">
        <f t="shared" si="522"/>
        <v>1</v>
      </c>
      <c r="P560" s="241" t="e">
        <f t="shared" ca="1" si="523"/>
        <v>#VALUE!</v>
      </c>
      <c r="Q560" s="243" t="e">
        <f ca="1">IF(AND(INDEX(FlowCalConstA,MATCH(N549,FlowCalNumber,0),1,1)*P560^INDEX(FlowCalConstB,MATCH(N549,FlowCalNumber,0),1,1)&gt;INDEX(FlowCalLowSetting,MATCH(N549,FlowCalNumber,0),1,1), (INDEX(FlowCalConstA,MATCH(N549,FlowCalNumber,0),1,1)*P560^INDEX(FlowCalConstB,MATCH(N549,FlowCalNumber,0),1,1)&lt;INDEX(FlowCalHighSetting,MATCH(N549,FlowCalNumber,0),1,1))),INDEX(FlowCalConstA,MATCH(N549,FlowCalNumber,0),1,1)*P560^INDEX(FlowCalConstB,MATCH(N549,FlowCalNumber,0),1,1)," ")</f>
        <v>#N/A</v>
      </c>
      <c r="R560" s="33"/>
      <c r="S560" s="242">
        <f t="shared" si="524"/>
        <v>1</v>
      </c>
      <c r="T560" s="241" t="e">
        <f t="shared" ca="1" si="525"/>
        <v>#VALUE!</v>
      </c>
      <c r="U560" s="244" t="e">
        <f ca="1">IF(AND(INDEX(FlowCalConstA,MATCH(R549,FlowCalNumber,0),1,1)*T560^INDEX(FlowCalConstB,MATCH(R549,FlowCalNumber,0),1,1)&gt;INDEX(FlowCalLowSetting,MATCH(R549,FlowCalNumber,0),1,1), (INDEX(FlowCalConstA,MATCH(R549,FlowCalNumber,0),1,1)*T560^INDEX(FlowCalConstB,MATCH(R549,FlowCalNumber,0),1,1)&lt;INDEX(FlowCalHighSetting,MATCH(R549,FlowCalNumber,0),1,1))),INDEX(FlowCalConstA,MATCH(R549,FlowCalNumber,0),1,1)*T560^INDEX(FlowCalConstB,MATCH(R549,FlowCalNumber,0),1,1)," ")</f>
        <v>#N/A</v>
      </c>
      <c r="V560" s="33"/>
      <c r="W560" s="242">
        <f t="shared" si="526"/>
        <v>0.1</v>
      </c>
      <c r="X560" s="241" t="e">
        <f t="shared" ca="1" si="527"/>
        <v>#VALUE!</v>
      </c>
      <c r="Y560" s="243" t="e">
        <f ca="1">IF(AND(INDEX(FlowCalConstA,MATCH(V549,FlowCalNumber,0),1,1)*X560^INDEX(FlowCalConstB,MATCH(V549,FlowCalNumber,0),1,1)&gt;INDEX(FlowCalLowSetting,MATCH(V549,FlowCalNumber,0),1,1), (INDEX(FlowCalConstA,MATCH(V549,FlowCalNumber,0),1,1)*X560^INDEX(FlowCalConstB,MATCH(V549,FlowCalNumber,0),1,1)&lt;INDEX(FlowCalHighSetting,MATCH(V549,FlowCalNumber,0),1,1))),INDEX(FlowCalConstA,MATCH(V549,FlowCalNumber,0),1,1)*X560^INDEX(FlowCalConstB,MATCH(V549,FlowCalNumber,0),1,1)," ")</f>
        <v>#N/A</v>
      </c>
      <c r="Z560" s="33"/>
      <c r="AA560" s="242">
        <f t="shared" si="528"/>
        <v>0.9</v>
      </c>
      <c r="AB560" s="241" t="e">
        <f t="shared" ca="1" si="529"/>
        <v>#VALUE!</v>
      </c>
      <c r="AC560" s="243" t="e">
        <f ca="1">IF(AND(INDEX(FlowCalConstA,MATCH(Z549,FlowCalNumber,0),1,1)*AB560^INDEX(FlowCalConstB,MATCH(Z549,FlowCalNumber,0),1,1)&gt;INDEX(FlowCalLowSetting,MATCH(Z549,FlowCalNumber,0),1,1), (INDEX(FlowCalConstA,MATCH(Z549,FlowCalNumber,0),1,1)*AB560^INDEX(FlowCalConstB,MATCH(Z549,FlowCalNumber,0),1,1)&lt;INDEX(FlowCalHighSetting,MATCH(Z549,FlowCalNumber,0),1,1))),INDEX(FlowCalConstA,MATCH(Z549,FlowCalNumber,0),1,1)*AB560^INDEX(FlowCalConstB,MATCH(Z549,FlowCalNumber,0),1,1)," ")</f>
        <v>#N/A</v>
      </c>
      <c r="AD560" s="33"/>
      <c r="AE560" s="242">
        <f t="shared" si="530"/>
        <v>0.1</v>
      </c>
      <c r="AF560" s="241" t="e">
        <f t="shared" ca="1" si="531"/>
        <v>#VALUE!</v>
      </c>
      <c r="AG560" s="243" t="e">
        <f ca="1">IF(AND(INDEX(FlowCalConstA,MATCH(AD549,FlowCalNumber,0),1,1)*AF560^INDEX(FlowCalConstB,MATCH(AD549,FlowCalNumber,0),1,1)&gt;INDEX(FlowCalLowSetting,MATCH(AD549,FlowCalNumber,0),1,1), (INDEX(FlowCalConstA,MATCH(AD549,FlowCalNumber,0),1,1)*AF560^INDEX(FlowCalConstB,MATCH(AD549,FlowCalNumber,0),1,1)&lt;INDEX(FlowCalHighSetting,MATCH(AD549,FlowCalNumber,0),1,1))),INDEX(FlowCalConstA,MATCH(AD549,FlowCalNumber,0),1,1)*AF560^INDEX(FlowCalConstB,MATCH(AD549,FlowCalNumber,0),1,1)," ")</f>
        <v>#N/A</v>
      </c>
      <c r="AH560" s="33"/>
      <c r="AI560" s="242">
        <f t="shared" si="532"/>
        <v>0.9</v>
      </c>
      <c r="AJ560" s="241" t="e">
        <f t="shared" ca="1" si="533"/>
        <v>#VALUE!</v>
      </c>
      <c r="AK560" s="243" t="e">
        <f ca="1">IF(AND(INDEX(FlowCalConstA,MATCH(AH549,FlowCalNumber,0),1,1)*AJ560^INDEX(FlowCalConstB,MATCH(AH549,FlowCalNumber,0),1,1)&gt;INDEX(FlowCalLowSetting,MATCH(AH549,FlowCalNumber,0),1,1), (INDEX(FlowCalConstA,MATCH(AH549,FlowCalNumber,0),1,1)*AJ560^INDEX(FlowCalConstB,MATCH(AH549,FlowCalNumber,0),1,1)&lt;INDEX(FlowCalHighSetting,MATCH(AH549,FlowCalNumber,0),1,1))),INDEX(FlowCalConstA,MATCH(AH549,FlowCalNumber,0),1,1)*AJ560^INDEX(FlowCalConstB,MATCH(AH549,FlowCalNumber,0),1,1)," ")</f>
        <v>#N/A</v>
      </c>
      <c r="AL560" s="33"/>
      <c r="AM560" s="242"/>
      <c r="AN560" s="241"/>
      <c r="AO560" s="244"/>
      <c r="AQ560" s="242"/>
      <c r="AR560" s="241"/>
      <c r="AS560" s="244"/>
      <c r="AT560" s="33"/>
      <c r="AU560" s="242"/>
      <c r="AV560" s="241"/>
      <c r="AW560" s="244"/>
      <c r="AX560" s="33"/>
      <c r="AY560" s="242"/>
      <c r="AZ560" s="241"/>
      <c r="BA560" s="244"/>
      <c r="BB560" s="33"/>
      <c r="BC560" s="242"/>
      <c r="BD560" s="241"/>
      <c r="BE560" s="244"/>
      <c r="BF560" s="33"/>
      <c r="BG560" s="242"/>
      <c r="BH560" s="241"/>
      <c r="BI560" s="244"/>
      <c r="BJ560" s="33"/>
      <c r="BK560" s="242"/>
      <c r="BL560" s="241"/>
      <c r="BM560" s="244"/>
      <c r="BN560" s="33"/>
      <c r="BO560" s="242"/>
      <c r="BP560" s="241"/>
      <c r="BQ560" s="244"/>
      <c r="BR560" s="33"/>
      <c r="BS560" s="242"/>
      <c r="BT560" s="241"/>
      <c r="BU560" s="244"/>
      <c r="BV560" s="33"/>
      <c r="BW560" s="242"/>
      <c r="BX560" s="241"/>
      <c r="BY560" s="244"/>
      <c r="BZ560" s="33"/>
      <c r="CA560" s="242"/>
      <c r="CB560" s="241"/>
      <c r="CC560" s="244"/>
      <c r="CD560" s="243"/>
      <c r="CE560" s="243"/>
      <c r="CF560" s="243"/>
      <c r="CG560" s="243"/>
      <c r="CH560" s="243"/>
      <c r="CI560" s="243"/>
      <c r="CJ560" s="243"/>
      <c r="CK560" s="243"/>
      <c r="CL560" s="243"/>
      <c r="CM560" s="243"/>
      <c r="CN560" s="243"/>
      <c r="CO560" s="243"/>
      <c r="CP560" s="243"/>
      <c r="CQ560" s="243"/>
      <c r="CR560" s="243"/>
      <c r="CS560" s="243"/>
      <c r="CT560" s="243"/>
      <c r="CU560" s="243"/>
      <c r="CV560" s="243"/>
      <c r="CW560" s="243"/>
      <c r="CX560" s="243"/>
      <c r="CY560" s="243"/>
      <c r="CZ560" s="243"/>
      <c r="DA560" s="243"/>
      <c r="DB560" s="243"/>
      <c r="DC560" s="243"/>
      <c r="DD560" s="243"/>
      <c r="DE560" s="243"/>
      <c r="DF560" s="243"/>
      <c r="DG560" s="243"/>
      <c r="DH560" s="243"/>
      <c r="DI560" s="243"/>
      <c r="DJ560" s="243"/>
      <c r="DK560" s="243"/>
      <c r="DM560" s="242"/>
      <c r="DO560" s="243"/>
      <c r="DQ560" s="242"/>
      <c r="DS560" s="243"/>
      <c r="DU560" s="242"/>
      <c r="DW560" s="243"/>
      <c r="DY560" s="242"/>
      <c r="EA560" s="243"/>
    </row>
    <row r="561" spans="1:131">
      <c r="A561" s="20"/>
      <c r="B561" s="124" t="str">
        <f t="shared" si="518"/>
        <v/>
      </c>
      <c r="C561" s="235"/>
      <c r="D561" s="24">
        <f>'1% Wind'!$M$93</f>
        <v>2.4</v>
      </c>
      <c r="E561" s="90"/>
      <c r="F561" s="90"/>
      <c r="G561" s="79">
        <f ca="1">IF(I549=0.9743,$G560,MAX(G560/D560*D561,2))</f>
        <v>6.001707317073171</v>
      </c>
      <c r="H561" s="121" t="e">
        <f t="shared" ca="1" si="519"/>
        <v>#VALUE!</v>
      </c>
      <c r="J561" s="33"/>
      <c r="K561" s="242">
        <f t="shared" si="520"/>
        <v>1</v>
      </c>
      <c r="L561" s="241" t="e">
        <f t="shared" ca="1" si="521"/>
        <v>#VALUE!</v>
      </c>
      <c r="M561" s="243" t="e">
        <f ca="1">IF(AND(INDEX(FlowCalConstA,MATCH(J549,FlowCalNumber,0),1,1)*L561^INDEX(FlowCalConstB,MATCH(J549,FlowCalNumber,0),1,1)&gt;INDEX(FlowCalLowSetting,MATCH(J549,FlowCalNumber,0),1,1), (INDEX(FlowCalConstA,MATCH(J549,FlowCalNumber,0),1,1)*L561^INDEX(FlowCalConstB,MATCH(J549,FlowCalNumber,0),1,1)&lt;INDEX(FlowCalHighSetting,MATCH(J549,FlowCalNumber,0),1,1))),INDEX(FlowCalConstA,MATCH(J549,FlowCalNumber,0),1,1)*L561^INDEX(FlowCalConstB,MATCH(J549,FlowCalNumber,0),1,1)," ")</f>
        <v>#N/A</v>
      </c>
      <c r="N561" s="33"/>
      <c r="O561" s="242">
        <f t="shared" si="522"/>
        <v>1</v>
      </c>
      <c r="P561" s="241" t="e">
        <f t="shared" ca="1" si="523"/>
        <v>#VALUE!</v>
      </c>
      <c r="Q561" s="243" t="e">
        <f ca="1">IF(AND(INDEX(FlowCalConstA,MATCH(N549,FlowCalNumber,0),1,1)*P561^INDEX(FlowCalConstB,MATCH(N549,FlowCalNumber,0),1,1)&gt;INDEX(FlowCalLowSetting,MATCH(N549,FlowCalNumber,0),1,1), (INDEX(FlowCalConstA,MATCH(N549,FlowCalNumber,0),1,1)*P561^INDEX(FlowCalConstB,MATCH(N549,FlowCalNumber,0),1,1)&lt;INDEX(FlowCalHighSetting,MATCH(N549,FlowCalNumber,0),1,1))),INDEX(FlowCalConstA,MATCH(N549,FlowCalNumber,0),1,1)*P561^INDEX(FlowCalConstB,MATCH(N549,FlowCalNumber,0),1,1)," ")</f>
        <v>#N/A</v>
      </c>
      <c r="R561" s="33"/>
      <c r="S561" s="242">
        <f t="shared" si="524"/>
        <v>1</v>
      </c>
      <c r="T561" s="241" t="e">
        <f t="shared" ca="1" si="525"/>
        <v>#VALUE!</v>
      </c>
      <c r="U561" s="244" t="e">
        <f ca="1">IF(AND(INDEX(FlowCalConstA,MATCH(R549,FlowCalNumber,0),1,1)*T561^INDEX(FlowCalConstB,MATCH(R549,FlowCalNumber,0),1,1)&gt;INDEX(FlowCalLowSetting,MATCH(R549,FlowCalNumber,0),1,1), (INDEX(FlowCalConstA,MATCH(R549,FlowCalNumber,0),1,1)*T561^INDEX(FlowCalConstB,MATCH(R549,FlowCalNumber,0),1,1)&lt;INDEX(FlowCalHighSetting,MATCH(R549,FlowCalNumber,0),1,1))),INDEX(FlowCalConstA,MATCH(R549,FlowCalNumber,0),1,1)*T561^INDEX(FlowCalConstB,MATCH(R549,FlowCalNumber,0),1,1)," ")</f>
        <v>#N/A</v>
      </c>
      <c r="V561" s="33"/>
      <c r="W561" s="242">
        <f t="shared" si="526"/>
        <v>0.1</v>
      </c>
      <c r="X561" s="241" t="e">
        <f t="shared" ca="1" si="527"/>
        <v>#VALUE!</v>
      </c>
      <c r="Y561" s="243" t="e">
        <f ca="1">IF(AND(INDEX(FlowCalConstA,MATCH(V549,FlowCalNumber,0),1,1)*X561^INDEX(FlowCalConstB,MATCH(V549,FlowCalNumber,0),1,1)&gt;INDEX(FlowCalLowSetting,MATCH(V549,FlowCalNumber,0),1,1), (INDEX(FlowCalConstA,MATCH(V549,FlowCalNumber,0),1,1)*X561^INDEX(FlowCalConstB,MATCH(V549,FlowCalNumber,0),1,1)&lt;INDEX(FlowCalHighSetting,MATCH(V549,FlowCalNumber,0),1,1))),INDEX(FlowCalConstA,MATCH(V549,FlowCalNumber,0),1,1)*X561^INDEX(FlowCalConstB,MATCH(V549,FlowCalNumber,0),1,1)," ")</f>
        <v>#N/A</v>
      </c>
      <c r="Z561" s="33"/>
      <c r="AA561" s="242">
        <f t="shared" si="528"/>
        <v>0.9</v>
      </c>
      <c r="AB561" s="241" t="e">
        <f t="shared" ca="1" si="529"/>
        <v>#VALUE!</v>
      </c>
      <c r="AC561" s="243" t="e">
        <f ca="1">IF(AND(INDEX(FlowCalConstA,MATCH(Z549,FlowCalNumber,0),1,1)*AB561^INDEX(FlowCalConstB,MATCH(Z549,FlowCalNumber,0),1,1)&gt;INDEX(FlowCalLowSetting,MATCH(Z549,FlowCalNumber,0),1,1), (INDEX(FlowCalConstA,MATCH(Z549,FlowCalNumber,0),1,1)*AB561^INDEX(FlowCalConstB,MATCH(Z549,FlowCalNumber,0),1,1)&lt;INDEX(FlowCalHighSetting,MATCH(Z549,FlowCalNumber,0),1,1))),INDEX(FlowCalConstA,MATCH(Z549,FlowCalNumber,0),1,1)*AB561^INDEX(FlowCalConstB,MATCH(Z549,FlowCalNumber,0),1,1)," ")</f>
        <v>#N/A</v>
      </c>
      <c r="AD561" s="33"/>
      <c r="AE561" s="242">
        <f t="shared" si="530"/>
        <v>0.1</v>
      </c>
      <c r="AF561" s="241" t="e">
        <f t="shared" ca="1" si="531"/>
        <v>#VALUE!</v>
      </c>
      <c r="AG561" s="243" t="e">
        <f ca="1">IF(AND(INDEX(FlowCalConstA,MATCH(AD549,FlowCalNumber,0),1,1)*AF561^INDEX(FlowCalConstB,MATCH(AD549,FlowCalNumber,0),1,1)&gt;INDEX(FlowCalLowSetting,MATCH(AD549,FlowCalNumber,0),1,1), (INDEX(FlowCalConstA,MATCH(AD549,FlowCalNumber,0),1,1)*AF561^INDEX(FlowCalConstB,MATCH(AD549,FlowCalNumber,0),1,1)&lt;INDEX(FlowCalHighSetting,MATCH(AD549,FlowCalNumber,0),1,1))),INDEX(FlowCalConstA,MATCH(AD549,FlowCalNumber,0),1,1)*AF561^INDEX(FlowCalConstB,MATCH(AD549,FlowCalNumber,0),1,1)," ")</f>
        <v>#N/A</v>
      </c>
      <c r="AH561" s="33"/>
      <c r="AI561" s="242">
        <f t="shared" si="532"/>
        <v>0.9</v>
      </c>
      <c r="AJ561" s="241" t="e">
        <f t="shared" ca="1" si="533"/>
        <v>#VALUE!</v>
      </c>
      <c r="AK561" s="243" t="e">
        <f ca="1">IF(AND(INDEX(FlowCalConstA,MATCH(AH549,FlowCalNumber,0),1,1)*AJ561^INDEX(FlowCalConstB,MATCH(AH549,FlowCalNumber,0),1,1)&gt;INDEX(FlowCalLowSetting,MATCH(AH549,FlowCalNumber,0),1,1), (INDEX(FlowCalConstA,MATCH(AH549,FlowCalNumber,0),1,1)*AJ561^INDEX(FlowCalConstB,MATCH(AH549,FlowCalNumber,0),1,1)&lt;INDEX(FlowCalHighSetting,MATCH(AH549,FlowCalNumber,0),1,1))),INDEX(FlowCalConstA,MATCH(AH549,FlowCalNumber,0),1,1)*AJ561^INDEX(FlowCalConstB,MATCH(AH549,FlowCalNumber,0),1,1)," ")</f>
        <v>#N/A</v>
      </c>
      <c r="AL561" s="33"/>
      <c r="AM561" s="242"/>
      <c r="AN561" s="241"/>
      <c r="AO561" s="244"/>
      <c r="AQ561" s="242"/>
      <c r="AR561" s="241"/>
      <c r="AS561" s="244"/>
      <c r="AT561" s="33"/>
      <c r="AU561" s="242"/>
      <c r="AV561" s="241"/>
      <c r="AW561" s="244"/>
      <c r="AX561" s="33"/>
      <c r="AY561" s="242"/>
      <c r="AZ561" s="241"/>
      <c r="BA561" s="244"/>
      <c r="BB561" s="33"/>
      <c r="BC561" s="242"/>
      <c r="BD561" s="241"/>
      <c r="BE561" s="244"/>
      <c r="BF561" s="33"/>
      <c r="BG561" s="242"/>
      <c r="BH561" s="241"/>
      <c r="BI561" s="244"/>
      <c r="BJ561" s="33"/>
      <c r="BK561" s="242"/>
      <c r="BL561" s="241"/>
      <c r="BM561" s="244"/>
      <c r="BN561" s="33"/>
      <c r="BO561" s="242"/>
      <c r="BP561" s="241"/>
      <c r="BQ561" s="244"/>
      <c r="BR561" s="33"/>
      <c r="BS561" s="242"/>
      <c r="BT561" s="241"/>
      <c r="BU561" s="244"/>
      <c r="BV561" s="33"/>
      <c r="BW561" s="242"/>
      <c r="BX561" s="241"/>
      <c r="BY561" s="244"/>
      <c r="BZ561" s="33"/>
      <c r="CA561" s="242"/>
      <c r="CB561" s="241"/>
      <c r="CC561" s="244"/>
      <c r="CD561" s="243"/>
      <c r="CE561" s="243"/>
      <c r="CF561" s="243"/>
      <c r="CG561" s="243"/>
      <c r="CH561" s="243"/>
      <c r="CI561" s="243"/>
      <c r="CJ561" s="243"/>
      <c r="CK561" s="243"/>
      <c r="CL561" s="243"/>
      <c r="CM561" s="243"/>
      <c r="CN561" s="243"/>
      <c r="CO561" s="243"/>
      <c r="CP561" s="243"/>
      <c r="CQ561" s="243"/>
      <c r="CR561" s="243"/>
      <c r="CS561" s="243"/>
      <c r="CT561" s="243"/>
      <c r="CU561" s="243"/>
      <c r="CV561" s="243"/>
      <c r="CW561" s="243"/>
      <c r="CX561" s="243"/>
      <c r="CY561" s="243"/>
      <c r="CZ561" s="243"/>
      <c r="DA561" s="243"/>
      <c r="DB561" s="243"/>
      <c r="DC561" s="243"/>
      <c r="DD561" s="243"/>
      <c r="DE561" s="243"/>
      <c r="DF561" s="243"/>
      <c r="DG561" s="243"/>
      <c r="DH561" s="243"/>
      <c r="DI561" s="243"/>
      <c r="DJ561" s="243"/>
      <c r="DK561" s="243"/>
      <c r="DM561" s="242"/>
      <c r="DO561" s="243"/>
      <c r="DQ561" s="242"/>
      <c r="DS561" s="243"/>
      <c r="DU561" s="242"/>
      <c r="DW561" s="243"/>
      <c r="DY561" s="242"/>
      <c r="EA561" s="243"/>
    </row>
    <row r="562" spans="1:131">
      <c r="A562" s="20"/>
      <c r="B562" s="124" t="str">
        <f t="shared" si="518"/>
        <v/>
      </c>
      <c r="C562" s="235"/>
      <c r="D562" s="24">
        <f>'1% Wind'!$M$94</f>
        <v>1.8</v>
      </c>
      <c r="E562" s="90"/>
      <c r="F562" s="90"/>
      <c r="G562" s="79">
        <f ca="1">IF(I549=0.9743,$G561,MAX(G561/D561*D562,2))</f>
        <v>6.001707317073171</v>
      </c>
      <c r="H562" s="121" t="e">
        <f t="shared" ca="1" si="519"/>
        <v>#VALUE!</v>
      </c>
      <c r="J562" s="33"/>
      <c r="K562" s="242">
        <f t="shared" si="520"/>
        <v>1</v>
      </c>
      <c r="L562" s="241" t="e">
        <f t="shared" ca="1" si="521"/>
        <v>#VALUE!</v>
      </c>
      <c r="M562" s="243" t="e">
        <f ca="1">IF(AND(INDEX(FlowCalConstA,MATCH(J549,FlowCalNumber,0),1,1)*L562^INDEX(FlowCalConstB,MATCH(J549,FlowCalNumber,0),1,1)&gt;INDEX(FlowCalLowSetting,MATCH(J549,FlowCalNumber,0),1,1), (INDEX(FlowCalConstA,MATCH(J549,FlowCalNumber,0),1,1)*L562^INDEX(FlowCalConstB,MATCH(J549,FlowCalNumber,0),1,1)&lt;INDEX(FlowCalHighSetting,MATCH(J549,FlowCalNumber,0),1,1))),INDEX(FlowCalConstA,MATCH(J549,FlowCalNumber,0),1,1)*L562^INDEX(FlowCalConstB,MATCH(J549,FlowCalNumber,0),1,1)," ")</f>
        <v>#N/A</v>
      </c>
      <c r="N562" s="33"/>
      <c r="O562" s="242">
        <f t="shared" si="522"/>
        <v>1</v>
      </c>
      <c r="P562" s="241" t="e">
        <f t="shared" ca="1" si="523"/>
        <v>#VALUE!</v>
      </c>
      <c r="Q562" s="243" t="e">
        <f ca="1">IF(AND(INDEX(FlowCalConstA,MATCH(N549,FlowCalNumber,0),1,1)*P562^INDEX(FlowCalConstB,MATCH(N549,FlowCalNumber,0),1,1)&gt;INDEX(FlowCalLowSetting,MATCH(N549,FlowCalNumber,0),1,1), (INDEX(FlowCalConstA,MATCH(N549,FlowCalNumber,0),1,1)*P562^INDEX(FlowCalConstB,MATCH(N549,FlowCalNumber,0),1,1)&lt;INDEX(FlowCalHighSetting,MATCH(N549,FlowCalNumber,0),1,1))),INDEX(FlowCalConstA,MATCH(N549,FlowCalNumber,0),1,1)*P562^INDEX(FlowCalConstB,MATCH(N549,FlowCalNumber,0),1,1)," ")</f>
        <v>#N/A</v>
      </c>
      <c r="R562" s="33"/>
      <c r="S562" s="242">
        <f t="shared" si="524"/>
        <v>1</v>
      </c>
      <c r="T562" s="241" t="e">
        <f t="shared" ca="1" si="525"/>
        <v>#VALUE!</v>
      </c>
      <c r="U562" s="244" t="e">
        <f ca="1">IF(AND(INDEX(FlowCalConstA,MATCH(R549,FlowCalNumber,0),1,1)*T562^INDEX(FlowCalConstB,MATCH(R549,FlowCalNumber,0),1,1)&gt;INDEX(FlowCalLowSetting,MATCH(R549,FlowCalNumber,0),1,1), (INDEX(FlowCalConstA,MATCH(R549,FlowCalNumber,0),1,1)*T562^INDEX(FlowCalConstB,MATCH(R549,FlowCalNumber,0),1,1)&lt;INDEX(FlowCalHighSetting,MATCH(R549,FlowCalNumber,0),1,1))),INDEX(FlowCalConstA,MATCH(R549,FlowCalNumber,0),1,1)*T562^INDEX(FlowCalConstB,MATCH(R549,FlowCalNumber,0),1,1)," ")</f>
        <v>#N/A</v>
      </c>
      <c r="V562" s="33"/>
      <c r="W562" s="242">
        <f t="shared" si="526"/>
        <v>0.1</v>
      </c>
      <c r="X562" s="241" t="e">
        <f t="shared" ca="1" si="527"/>
        <v>#VALUE!</v>
      </c>
      <c r="Y562" s="243" t="e">
        <f ca="1">IF(AND(INDEX(FlowCalConstA,MATCH(V549,FlowCalNumber,0),1,1)*X562^INDEX(FlowCalConstB,MATCH(V549,FlowCalNumber,0),1,1)&gt;INDEX(FlowCalLowSetting,MATCH(V549,FlowCalNumber,0),1,1), (INDEX(FlowCalConstA,MATCH(V549,FlowCalNumber,0),1,1)*X562^INDEX(FlowCalConstB,MATCH(V549,FlowCalNumber,0),1,1)&lt;INDEX(FlowCalHighSetting,MATCH(V549,FlowCalNumber,0),1,1))),INDEX(FlowCalConstA,MATCH(V549,FlowCalNumber,0),1,1)*X562^INDEX(FlowCalConstB,MATCH(V549,FlowCalNumber,0),1,1)," ")</f>
        <v>#N/A</v>
      </c>
      <c r="Z562" s="33"/>
      <c r="AA562" s="242">
        <f t="shared" si="528"/>
        <v>0.9</v>
      </c>
      <c r="AB562" s="241" t="e">
        <f t="shared" ca="1" si="529"/>
        <v>#VALUE!</v>
      </c>
      <c r="AC562" s="243" t="e">
        <f ca="1">IF(AND(INDEX(FlowCalConstA,MATCH(Z549,FlowCalNumber,0),1,1)*AB562^INDEX(FlowCalConstB,MATCH(Z549,FlowCalNumber,0),1,1)&gt;INDEX(FlowCalLowSetting,MATCH(Z549,FlowCalNumber,0),1,1), (INDEX(FlowCalConstA,MATCH(Z549,FlowCalNumber,0),1,1)*AB562^INDEX(FlowCalConstB,MATCH(Z549,FlowCalNumber,0),1,1)&lt;INDEX(FlowCalHighSetting,MATCH(Z549,FlowCalNumber,0),1,1))),INDEX(FlowCalConstA,MATCH(Z549,FlowCalNumber,0),1,1)*AB562^INDEX(FlowCalConstB,MATCH(Z549,FlowCalNumber,0),1,1)," ")</f>
        <v>#N/A</v>
      </c>
      <c r="AD562" s="33"/>
      <c r="AE562" s="242">
        <f t="shared" si="530"/>
        <v>0.1</v>
      </c>
      <c r="AF562" s="241" t="e">
        <f t="shared" ca="1" si="531"/>
        <v>#VALUE!</v>
      </c>
      <c r="AG562" s="243" t="e">
        <f ca="1">IF(AND(INDEX(FlowCalConstA,MATCH(AD549,FlowCalNumber,0),1,1)*AF562^INDEX(FlowCalConstB,MATCH(AD549,FlowCalNumber,0),1,1)&gt;INDEX(FlowCalLowSetting,MATCH(AD549,FlowCalNumber,0),1,1), (INDEX(FlowCalConstA,MATCH(AD549,FlowCalNumber,0),1,1)*AF562^INDEX(FlowCalConstB,MATCH(AD549,FlowCalNumber,0),1,1)&lt;INDEX(FlowCalHighSetting,MATCH(AD549,FlowCalNumber,0),1,1))),INDEX(FlowCalConstA,MATCH(AD549,FlowCalNumber,0),1,1)*AF562^INDEX(FlowCalConstB,MATCH(AD549,FlowCalNumber,0),1,1)," ")</f>
        <v>#N/A</v>
      </c>
      <c r="AH562" s="33"/>
      <c r="AI562" s="242">
        <f t="shared" si="532"/>
        <v>0.9</v>
      </c>
      <c r="AJ562" s="241" t="e">
        <f t="shared" ca="1" si="533"/>
        <v>#VALUE!</v>
      </c>
      <c r="AK562" s="243" t="e">
        <f ca="1">IF(AND(INDEX(FlowCalConstA,MATCH(AH549,FlowCalNumber,0),1,1)*AJ562^INDEX(FlowCalConstB,MATCH(AH549,FlowCalNumber,0),1,1)&gt;INDEX(FlowCalLowSetting,MATCH(AH549,FlowCalNumber,0),1,1), (INDEX(FlowCalConstA,MATCH(AH549,FlowCalNumber,0),1,1)*AJ562^INDEX(FlowCalConstB,MATCH(AH549,FlowCalNumber,0),1,1)&lt;INDEX(FlowCalHighSetting,MATCH(AH549,FlowCalNumber,0),1,1))),INDEX(FlowCalConstA,MATCH(AH549,FlowCalNumber,0),1,1)*AJ562^INDEX(FlowCalConstB,MATCH(AH549,FlowCalNumber,0),1,1)," ")</f>
        <v>#N/A</v>
      </c>
      <c r="AL562" s="33"/>
      <c r="AM562" s="242"/>
      <c r="AN562" s="241"/>
      <c r="AO562" s="244"/>
      <c r="AQ562" s="242"/>
      <c r="AR562" s="241"/>
      <c r="AS562" s="244"/>
      <c r="AT562" s="33"/>
      <c r="AU562" s="242"/>
      <c r="AV562" s="241"/>
      <c r="AW562" s="244"/>
      <c r="AX562" s="33"/>
      <c r="AY562" s="242"/>
      <c r="AZ562" s="241"/>
      <c r="BA562" s="244"/>
      <c r="BB562" s="33"/>
      <c r="BC562" s="242"/>
      <c r="BD562" s="241"/>
      <c r="BE562" s="244"/>
      <c r="BF562" s="33"/>
      <c r="BG562" s="242"/>
      <c r="BH562" s="241"/>
      <c r="BI562" s="244"/>
      <c r="BJ562" s="33"/>
      <c r="BK562" s="242"/>
      <c r="BL562" s="241"/>
      <c r="BM562" s="244"/>
      <c r="BN562" s="33"/>
      <c r="BO562" s="242"/>
      <c r="BP562" s="241"/>
      <c r="BQ562" s="244"/>
      <c r="BR562" s="33"/>
      <c r="BS562" s="242"/>
      <c r="BT562" s="241"/>
      <c r="BU562" s="244"/>
      <c r="BV562" s="33"/>
      <c r="BW562" s="242"/>
      <c r="BX562" s="241"/>
      <c r="BY562" s="244"/>
      <c r="BZ562" s="33"/>
      <c r="CA562" s="242"/>
      <c r="CB562" s="241"/>
      <c r="CC562" s="244"/>
      <c r="CD562" s="243"/>
      <c r="CE562" s="243"/>
      <c r="CF562" s="243"/>
      <c r="CG562" s="243"/>
      <c r="CH562" s="243"/>
      <c r="CI562" s="243"/>
      <c r="CJ562" s="243"/>
      <c r="CK562" s="243"/>
      <c r="CL562" s="243"/>
      <c r="CM562" s="243"/>
      <c r="CN562" s="243"/>
      <c r="CO562" s="243"/>
      <c r="CP562" s="243"/>
      <c r="CQ562" s="243"/>
      <c r="CR562" s="243"/>
      <c r="CS562" s="243"/>
      <c r="CT562" s="243"/>
      <c r="CU562" s="243"/>
      <c r="CV562" s="243"/>
      <c r="CW562" s="243"/>
      <c r="CX562" s="243"/>
      <c r="CY562" s="243"/>
      <c r="CZ562" s="243"/>
      <c r="DA562" s="243"/>
      <c r="DB562" s="243"/>
      <c r="DC562" s="243"/>
      <c r="DD562" s="243"/>
      <c r="DE562" s="243"/>
      <c r="DF562" s="243"/>
      <c r="DG562" s="243"/>
      <c r="DH562" s="243"/>
      <c r="DI562" s="243"/>
      <c r="DJ562" s="243"/>
      <c r="DK562" s="243"/>
      <c r="DM562" s="242"/>
      <c r="DO562" s="243"/>
      <c r="DQ562" s="242"/>
      <c r="DS562" s="243"/>
      <c r="DU562" s="242"/>
      <c r="DW562" s="243"/>
      <c r="DY562" s="242"/>
      <c r="EA562" s="243"/>
    </row>
    <row r="563" spans="1:131">
      <c r="A563" s="20"/>
      <c r="B563" s="124" t="str">
        <f t="shared" si="518"/>
        <v/>
      </c>
      <c r="C563" s="235"/>
      <c r="D563" s="24">
        <f>'1% Wind'!$M$95</f>
        <v>1.3</v>
      </c>
      <c r="E563" s="90"/>
      <c r="F563" s="90"/>
      <c r="G563" s="79">
        <f ca="1">IF(I549=0.9743,$G562,MAX(G562/D562*D563,2))</f>
        <v>6.001707317073171</v>
      </c>
      <c r="H563" s="121" t="e">
        <f t="shared" ca="1" si="519"/>
        <v>#VALUE!</v>
      </c>
      <c r="J563" s="33"/>
      <c r="K563" s="242">
        <f t="shared" si="520"/>
        <v>1</v>
      </c>
      <c r="L563" s="241" t="e">
        <f t="shared" ca="1" si="521"/>
        <v>#VALUE!</v>
      </c>
      <c r="M563" s="243" t="e">
        <f ca="1">IF(AND(INDEX(FlowCalConstA,MATCH(J549,FlowCalNumber,0),1,1)*L563^INDEX(FlowCalConstB,MATCH(J549,FlowCalNumber,0),1,1)&gt;INDEX(FlowCalLowSetting,MATCH(J549,FlowCalNumber,0),1,1), (INDEX(FlowCalConstA,MATCH(J549,FlowCalNumber,0),1,1)*L563^INDEX(FlowCalConstB,MATCH(J549,FlowCalNumber,0),1,1)&lt;INDEX(FlowCalHighSetting,MATCH(J549,FlowCalNumber,0),1,1))),INDEX(FlowCalConstA,MATCH(J549,FlowCalNumber,0),1,1)*L563^INDEX(FlowCalConstB,MATCH(J549,FlowCalNumber,0),1,1)," ")</f>
        <v>#N/A</v>
      </c>
      <c r="N563" s="33"/>
      <c r="O563" s="242">
        <f t="shared" si="522"/>
        <v>1</v>
      </c>
      <c r="P563" s="241" t="e">
        <f t="shared" ca="1" si="523"/>
        <v>#VALUE!</v>
      </c>
      <c r="Q563" s="243" t="e">
        <f ca="1">IF(AND(INDEX(FlowCalConstA,MATCH(N549,FlowCalNumber,0),1,1)*P563^INDEX(FlowCalConstB,MATCH(N549,FlowCalNumber,0),1,1)&gt;INDEX(FlowCalLowSetting,MATCH(N549,FlowCalNumber,0),1,1), (INDEX(FlowCalConstA,MATCH(N549,FlowCalNumber,0),1,1)*P563^INDEX(FlowCalConstB,MATCH(N549,FlowCalNumber,0),1,1)&lt;INDEX(FlowCalHighSetting,MATCH(N549,FlowCalNumber,0),1,1))),INDEX(FlowCalConstA,MATCH(N549,FlowCalNumber,0),1,1)*P563^INDEX(FlowCalConstB,MATCH(N549,FlowCalNumber,0),1,1)," ")</f>
        <v>#N/A</v>
      </c>
      <c r="R563" s="33"/>
      <c r="S563" s="242">
        <f t="shared" si="524"/>
        <v>1</v>
      </c>
      <c r="T563" s="241" t="e">
        <f t="shared" ca="1" si="525"/>
        <v>#VALUE!</v>
      </c>
      <c r="U563" s="244" t="e">
        <f ca="1">IF(AND(INDEX(FlowCalConstA,MATCH(R549,FlowCalNumber,0),1,1)*T563^INDEX(FlowCalConstB,MATCH(R549,FlowCalNumber,0),1,1)&gt;INDEX(FlowCalLowSetting,MATCH(R549,FlowCalNumber,0),1,1), (INDEX(FlowCalConstA,MATCH(R549,FlowCalNumber,0),1,1)*T563^INDEX(FlowCalConstB,MATCH(R549,FlowCalNumber,0),1,1)&lt;INDEX(FlowCalHighSetting,MATCH(R549,FlowCalNumber,0),1,1))),INDEX(FlowCalConstA,MATCH(R549,FlowCalNumber,0),1,1)*T563^INDEX(FlowCalConstB,MATCH(R549,FlowCalNumber,0),1,1)," ")</f>
        <v>#N/A</v>
      </c>
      <c r="V563" s="33"/>
      <c r="W563" s="242">
        <f t="shared" si="526"/>
        <v>0.1</v>
      </c>
      <c r="X563" s="241" t="e">
        <f t="shared" ca="1" si="527"/>
        <v>#VALUE!</v>
      </c>
      <c r="Y563" s="243" t="e">
        <f ca="1">IF(AND(INDEX(FlowCalConstA,MATCH(V549,FlowCalNumber,0),1,1)*X563^INDEX(FlowCalConstB,MATCH(V549,FlowCalNumber,0),1,1)&gt;INDEX(FlowCalLowSetting,MATCH(V549,FlowCalNumber,0),1,1), (INDEX(FlowCalConstA,MATCH(V549,FlowCalNumber,0),1,1)*X563^INDEX(FlowCalConstB,MATCH(V549,FlowCalNumber,0),1,1)&lt;INDEX(FlowCalHighSetting,MATCH(V549,FlowCalNumber,0),1,1))),INDEX(FlowCalConstA,MATCH(V549,FlowCalNumber,0),1,1)*X563^INDEX(FlowCalConstB,MATCH(V549,FlowCalNumber,0),1,1)," ")</f>
        <v>#N/A</v>
      </c>
      <c r="Z563" s="33"/>
      <c r="AA563" s="242">
        <f t="shared" si="528"/>
        <v>0.9</v>
      </c>
      <c r="AB563" s="241" t="e">
        <f t="shared" ca="1" si="529"/>
        <v>#VALUE!</v>
      </c>
      <c r="AC563" s="243" t="e">
        <f ca="1">IF(AND(INDEX(FlowCalConstA,MATCH(Z549,FlowCalNumber,0),1,1)*AB563^INDEX(FlowCalConstB,MATCH(Z549,FlowCalNumber,0),1,1)&gt;INDEX(FlowCalLowSetting,MATCH(Z549,FlowCalNumber,0),1,1), (INDEX(FlowCalConstA,MATCH(Z549,FlowCalNumber,0),1,1)*AB563^INDEX(FlowCalConstB,MATCH(Z549,FlowCalNumber,0),1,1)&lt;INDEX(FlowCalHighSetting,MATCH(Z549,FlowCalNumber,0),1,1))),INDEX(FlowCalConstA,MATCH(Z549,FlowCalNumber,0),1,1)*AB563^INDEX(FlowCalConstB,MATCH(Z549,FlowCalNumber,0),1,1)," ")</f>
        <v>#N/A</v>
      </c>
      <c r="AD563" s="33"/>
      <c r="AE563" s="242">
        <f t="shared" si="530"/>
        <v>0.1</v>
      </c>
      <c r="AF563" s="241" t="e">
        <f t="shared" ca="1" si="531"/>
        <v>#VALUE!</v>
      </c>
      <c r="AG563" s="243" t="e">
        <f ca="1">IF(AND(INDEX(FlowCalConstA,MATCH(AD549,FlowCalNumber,0),1,1)*AF563^INDEX(FlowCalConstB,MATCH(AD549,FlowCalNumber,0),1,1)&gt;INDEX(FlowCalLowSetting,MATCH(AD549,FlowCalNumber,0),1,1), (INDEX(FlowCalConstA,MATCH(AD549,FlowCalNumber,0),1,1)*AF563^INDEX(FlowCalConstB,MATCH(AD549,FlowCalNumber,0),1,1)&lt;INDEX(FlowCalHighSetting,MATCH(AD549,FlowCalNumber,0),1,1))),INDEX(FlowCalConstA,MATCH(AD549,FlowCalNumber,0),1,1)*AF563^INDEX(FlowCalConstB,MATCH(AD549,FlowCalNumber,0),1,1)," ")</f>
        <v>#N/A</v>
      </c>
      <c r="AH563" s="33"/>
      <c r="AI563" s="242">
        <f t="shared" si="532"/>
        <v>0.9</v>
      </c>
      <c r="AJ563" s="241" t="e">
        <f t="shared" ca="1" si="533"/>
        <v>#VALUE!</v>
      </c>
      <c r="AK563" s="243" t="e">
        <f ca="1">IF(AND(INDEX(FlowCalConstA,MATCH(AH549,FlowCalNumber,0),1,1)*AJ563^INDEX(FlowCalConstB,MATCH(AH549,FlowCalNumber,0),1,1)&gt;INDEX(FlowCalLowSetting,MATCH(AH549,FlowCalNumber,0),1,1), (INDEX(FlowCalConstA,MATCH(AH549,FlowCalNumber,0),1,1)*AJ563^INDEX(FlowCalConstB,MATCH(AH549,FlowCalNumber,0),1,1)&lt;INDEX(FlowCalHighSetting,MATCH(AH549,FlowCalNumber,0),1,1))),INDEX(FlowCalConstA,MATCH(AH549,FlowCalNumber,0),1,1)*AJ563^INDEX(FlowCalConstB,MATCH(AH549,FlowCalNumber,0),1,1)," ")</f>
        <v>#N/A</v>
      </c>
      <c r="AL563" s="33"/>
      <c r="AM563" s="242"/>
      <c r="AN563" s="241"/>
      <c r="AO563" s="244"/>
      <c r="AQ563" s="242"/>
      <c r="AR563" s="241"/>
      <c r="AS563" s="244"/>
      <c r="AT563" s="33"/>
      <c r="AU563" s="242"/>
      <c r="AV563" s="241"/>
      <c r="AW563" s="244"/>
      <c r="AX563" s="33"/>
      <c r="AY563" s="242"/>
      <c r="AZ563" s="241"/>
      <c r="BA563" s="244"/>
      <c r="BB563" s="33"/>
      <c r="BC563" s="242"/>
      <c r="BD563" s="241"/>
      <c r="BE563" s="244"/>
      <c r="BF563" s="33"/>
      <c r="BG563" s="242"/>
      <c r="BH563" s="241"/>
      <c r="BI563" s="244"/>
      <c r="BJ563" s="33"/>
      <c r="BK563" s="242"/>
      <c r="BL563" s="241"/>
      <c r="BM563" s="244"/>
      <c r="BN563" s="33"/>
      <c r="BO563" s="242"/>
      <c r="BP563" s="241"/>
      <c r="BQ563" s="244"/>
      <c r="BR563" s="33"/>
      <c r="BS563" s="242"/>
      <c r="BT563" s="241"/>
      <c r="BU563" s="244"/>
      <c r="BV563" s="33"/>
      <c r="BW563" s="242"/>
      <c r="BX563" s="241"/>
      <c r="BY563" s="244"/>
      <c r="BZ563" s="33"/>
      <c r="CA563" s="242"/>
      <c r="CB563" s="241"/>
      <c r="CC563" s="244"/>
      <c r="CD563" s="243"/>
      <c r="CE563" s="243"/>
      <c r="CF563" s="243"/>
      <c r="CG563" s="243"/>
      <c r="CH563" s="243"/>
      <c r="CI563" s="243"/>
      <c r="CJ563" s="243"/>
      <c r="CK563" s="243"/>
      <c r="CL563" s="243"/>
      <c r="CM563" s="243"/>
      <c r="CN563" s="243"/>
      <c r="CO563" s="243"/>
      <c r="CP563" s="243"/>
      <c r="CQ563" s="243"/>
      <c r="CR563" s="243"/>
      <c r="CS563" s="243"/>
      <c r="CT563" s="243"/>
      <c r="CU563" s="243"/>
      <c r="CV563" s="243"/>
      <c r="CW563" s="243"/>
      <c r="CX563" s="243"/>
      <c r="CY563" s="243"/>
      <c r="CZ563" s="243"/>
      <c r="DA563" s="243"/>
      <c r="DB563" s="243"/>
      <c r="DC563" s="243"/>
      <c r="DD563" s="243"/>
      <c r="DE563" s="243"/>
      <c r="DF563" s="243"/>
      <c r="DG563" s="243"/>
      <c r="DH563" s="243"/>
      <c r="DI563" s="243"/>
      <c r="DJ563" s="243"/>
      <c r="DK563" s="243"/>
      <c r="DM563" s="242"/>
      <c r="DO563" s="243"/>
      <c r="DQ563" s="242"/>
      <c r="DS563" s="243"/>
      <c r="DU563" s="242"/>
      <c r="DW563" s="243"/>
      <c r="DY563" s="242"/>
      <c r="EA563" s="243"/>
    </row>
    <row r="564" spans="1:131">
      <c r="A564" s="20"/>
      <c r="B564" s="124" t="str">
        <f t="shared" si="518"/>
        <v/>
      </c>
      <c r="C564" s="235"/>
      <c r="D564" s="24">
        <f>'1% Wind'!$M$96</f>
        <v>1</v>
      </c>
      <c r="E564" s="90"/>
      <c r="F564" s="90"/>
      <c r="G564" s="79">
        <f ca="1">IF(I549=0.9743,$G563,MAX(G563/D563*D564,2))</f>
        <v>6.001707317073171</v>
      </c>
      <c r="H564" s="121" t="e">
        <f t="shared" ca="1" si="519"/>
        <v>#VALUE!</v>
      </c>
      <c r="J564" s="33"/>
      <c r="K564" s="242">
        <f t="shared" si="520"/>
        <v>1</v>
      </c>
      <c r="L564" s="241" t="e">
        <f t="shared" ca="1" si="521"/>
        <v>#VALUE!</v>
      </c>
      <c r="M564" s="243" t="e">
        <f ca="1">IF(AND(INDEX(FlowCalConstA,MATCH(J549,FlowCalNumber,0),1,1)*L564^INDEX(FlowCalConstB,MATCH(J549,FlowCalNumber,0),1,1)&gt;INDEX(FlowCalLowSetting,MATCH(J549,FlowCalNumber,0),1,1), (INDEX(FlowCalConstA,MATCH(J549,FlowCalNumber,0),1,1)*L564^INDEX(FlowCalConstB,MATCH(J549,FlowCalNumber,0),1,1)&lt;INDEX(FlowCalHighSetting,MATCH(J549,FlowCalNumber,0),1,1))),INDEX(FlowCalConstA,MATCH(J549,FlowCalNumber,0),1,1)*L564^INDEX(FlowCalConstB,MATCH(J549,FlowCalNumber,0),1,1)," ")</f>
        <v>#N/A</v>
      </c>
      <c r="N564" s="33"/>
      <c r="O564" s="242">
        <f t="shared" si="522"/>
        <v>1</v>
      </c>
      <c r="P564" s="241" t="e">
        <f t="shared" ca="1" si="523"/>
        <v>#VALUE!</v>
      </c>
      <c r="Q564" s="243" t="e">
        <f ca="1">IF(AND(INDEX(FlowCalConstA,MATCH(N549,FlowCalNumber,0),1,1)*P564^INDEX(FlowCalConstB,MATCH(N549,FlowCalNumber,0),1,1)&gt;INDEX(FlowCalLowSetting,MATCH(N549,FlowCalNumber,0),1,1), (INDEX(FlowCalConstA,MATCH(N549,FlowCalNumber,0),1,1)*P564^INDEX(FlowCalConstB,MATCH(N549,FlowCalNumber,0),1,1)&lt;INDEX(FlowCalHighSetting,MATCH(N549,FlowCalNumber,0),1,1))),INDEX(FlowCalConstA,MATCH(N549,FlowCalNumber,0),1,1)*P564^INDEX(FlowCalConstB,MATCH(N549,FlowCalNumber,0),1,1)," ")</f>
        <v>#N/A</v>
      </c>
      <c r="R564" s="33"/>
      <c r="S564" s="242">
        <f t="shared" si="524"/>
        <v>1</v>
      </c>
      <c r="T564" s="241" t="e">
        <f t="shared" ca="1" si="525"/>
        <v>#VALUE!</v>
      </c>
      <c r="U564" s="244" t="e">
        <f ca="1">IF(AND(INDEX(FlowCalConstA,MATCH(R549,FlowCalNumber,0),1,1)*T564^INDEX(FlowCalConstB,MATCH(R549,FlowCalNumber,0),1,1)&gt;INDEX(FlowCalLowSetting,MATCH(R549,FlowCalNumber,0),1,1), (INDEX(FlowCalConstA,MATCH(R549,FlowCalNumber,0),1,1)*T564^INDEX(FlowCalConstB,MATCH(R549,FlowCalNumber,0),1,1)&lt;INDEX(FlowCalHighSetting,MATCH(R549,FlowCalNumber,0),1,1))),INDEX(FlowCalConstA,MATCH(R549,FlowCalNumber,0),1,1)*T564^INDEX(FlowCalConstB,MATCH(R549,FlowCalNumber,0),1,1)," ")</f>
        <v>#N/A</v>
      </c>
      <c r="V564" s="33"/>
      <c r="W564" s="242">
        <f t="shared" si="526"/>
        <v>0.1</v>
      </c>
      <c r="X564" s="241" t="e">
        <f t="shared" ca="1" si="527"/>
        <v>#VALUE!</v>
      </c>
      <c r="Y564" s="243" t="e">
        <f ca="1">IF(AND(INDEX(FlowCalConstA,MATCH(V549,FlowCalNumber,0),1,1)*X564^INDEX(FlowCalConstB,MATCH(V549,FlowCalNumber,0),1,1)&gt;INDEX(FlowCalLowSetting,MATCH(V549,FlowCalNumber,0),1,1), (INDEX(FlowCalConstA,MATCH(V549,FlowCalNumber,0),1,1)*X564^INDEX(FlowCalConstB,MATCH(V549,FlowCalNumber,0),1,1)&lt;INDEX(FlowCalHighSetting,MATCH(V549,FlowCalNumber,0),1,1))),INDEX(FlowCalConstA,MATCH(V549,FlowCalNumber,0),1,1)*X564^INDEX(FlowCalConstB,MATCH(V549,FlowCalNumber,0),1,1)," ")</f>
        <v>#N/A</v>
      </c>
      <c r="Z564" s="33"/>
      <c r="AA564" s="242">
        <f t="shared" si="528"/>
        <v>0.9</v>
      </c>
      <c r="AB564" s="241" t="e">
        <f t="shared" ca="1" si="529"/>
        <v>#VALUE!</v>
      </c>
      <c r="AC564" s="243" t="e">
        <f ca="1">IF(AND(INDEX(FlowCalConstA,MATCH(Z549,FlowCalNumber,0),1,1)*AB564^INDEX(FlowCalConstB,MATCH(Z549,FlowCalNumber,0),1,1)&gt;INDEX(FlowCalLowSetting,MATCH(Z549,FlowCalNumber,0),1,1), (INDEX(FlowCalConstA,MATCH(Z549,FlowCalNumber,0),1,1)*AB564^INDEX(FlowCalConstB,MATCH(Z549,FlowCalNumber,0),1,1)&lt;INDEX(FlowCalHighSetting,MATCH(Z549,FlowCalNumber,0),1,1))),INDEX(FlowCalConstA,MATCH(Z549,FlowCalNumber,0),1,1)*AB564^INDEX(FlowCalConstB,MATCH(Z549,FlowCalNumber,0),1,1)," ")</f>
        <v>#N/A</v>
      </c>
      <c r="AD564" s="33"/>
      <c r="AE564" s="242">
        <f t="shared" si="530"/>
        <v>0.1</v>
      </c>
      <c r="AF564" s="241" t="e">
        <f t="shared" ca="1" si="531"/>
        <v>#VALUE!</v>
      </c>
      <c r="AG564" s="243" t="e">
        <f ca="1">IF(AND(INDEX(FlowCalConstA,MATCH(AD549,FlowCalNumber,0),1,1)*AF564^INDEX(FlowCalConstB,MATCH(AD549,FlowCalNumber,0),1,1)&gt;INDEX(FlowCalLowSetting,MATCH(AD549,FlowCalNumber,0),1,1), (INDEX(FlowCalConstA,MATCH(AD549,FlowCalNumber,0),1,1)*AF564^INDEX(FlowCalConstB,MATCH(AD549,FlowCalNumber,0),1,1)&lt;INDEX(FlowCalHighSetting,MATCH(AD549,FlowCalNumber,0),1,1))),INDEX(FlowCalConstA,MATCH(AD549,FlowCalNumber,0),1,1)*AF564^INDEX(FlowCalConstB,MATCH(AD549,FlowCalNumber,0),1,1)," ")</f>
        <v>#N/A</v>
      </c>
      <c r="AH564" s="33"/>
      <c r="AI564" s="242">
        <f t="shared" si="532"/>
        <v>0.9</v>
      </c>
      <c r="AJ564" s="241" t="e">
        <f t="shared" ca="1" si="533"/>
        <v>#VALUE!</v>
      </c>
      <c r="AK564" s="243" t="e">
        <f ca="1">IF(AND(INDEX(FlowCalConstA,MATCH(AH549,FlowCalNumber,0),1,1)*AJ564^INDEX(FlowCalConstB,MATCH(AH549,FlowCalNumber,0),1,1)&gt;INDEX(FlowCalLowSetting,MATCH(AH549,FlowCalNumber,0),1,1), (INDEX(FlowCalConstA,MATCH(AH549,FlowCalNumber,0),1,1)*AJ564^INDEX(FlowCalConstB,MATCH(AH549,FlowCalNumber,0),1,1)&lt;INDEX(FlowCalHighSetting,MATCH(AH549,FlowCalNumber,0),1,1))),INDEX(FlowCalConstA,MATCH(AH549,FlowCalNumber,0),1,1)*AJ564^INDEX(FlowCalConstB,MATCH(AH549,FlowCalNumber,0),1,1)," ")</f>
        <v>#N/A</v>
      </c>
      <c r="AL564" s="33"/>
      <c r="AM564" s="242"/>
      <c r="AN564" s="241"/>
      <c r="AO564" s="244"/>
      <c r="AQ564" s="242"/>
      <c r="AR564" s="241"/>
      <c r="AS564" s="244"/>
      <c r="AT564" s="33"/>
      <c r="AU564" s="242"/>
      <c r="AV564" s="241"/>
      <c r="AW564" s="244"/>
      <c r="AX564" s="33"/>
      <c r="AY564" s="242"/>
      <c r="AZ564" s="241"/>
      <c r="BA564" s="244"/>
      <c r="BB564" s="33"/>
      <c r="BC564" s="242"/>
      <c r="BD564" s="241"/>
      <c r="BE564" s="244"/>
      <c r="BF564" s="33"/>
      <c r="BG564" s="242"/>
      <c r="BH564" s="241"/>
      <c r="BI564" s="244"/>
      <c r="BJ564" s="33"/>
      <c r="BK564" s="242"/>
      <c r="BL564" s="241"/>
      <c r="BM564" s="244"/>
      <c r="BN564" s="33"/>
      <c r="BO564" s="242"/>
      <c r="BP564" s="241"/>
      <c r="BQ564" s="244"/>
      <c r="BR564" s="33"/>
      <c r="BS564" s="242"/>
      <c r="BT564" s="241"/>
      <c r="BU564" s="244"/>
      <c r="BV564" s="33"/>
      <c r="BW564" s="242"/>
      <c r="BX564" s="241"/>
      <c r="BY564" s="244"/>
      <c r="BZ564" s="33"/>
      <c r="CA564" s="242"/>
      <c r="CB564" s="241"/>
      <c r="CC564" s="244"/>
      <c r="CD564" s="243"/>
      <c r="CE564" s="243"/>
      <c r="CF564" s="243"/>
      <c r="CG564" s="243"/>
      <c r="CH564" s="243"/>
      <c r="CI564" s="243"/>
      <c r="CJ564" s="243"/>
      <c r="CK564" s="243"/>
      <c r="CL564" s="243"/>
      <c r="CM564" s="243"/>
      <c r="CN564" s="243"/>
      <c r="CO564" s="243"/>
      <c r="CP564" s="243"/>
      <c r="CQ564" s="243"/>
      <c r="CR564" s="243"/>
      <c r="CS564" s="243"/>
      <c r="CT564" s="243"/>
      <c r="CU564" s="243"/>
      <c r="CV564" s="243"/>
      <c r="CW564" s="243"/>
      <c r="CX564" s="243"/>
      <c r="CY564" s="243"/>
      <c r="CZ564" s="243"/>
      <c r="DA564" s="243"/>
      <c r="DB564" s="243"/>
      <c r="DC564" s="243"/>
      <c r="DD564" s="243"/>
      <c r="DE564" s="243"/>
      <c r="DF564" s="243"/>
      <c r="DG564" s="243"/>
      <c r="DH564" s="243"/>
      <c r="DI564" s="243"/>
      <c r="DJ564" s="243"/>
      <c r="DK564" s="243"/>
      <c r="DM564" s="242"/>
      <c r="DO564" s="243"/>
      <c r="DQ564" s="242"/>
      <c r="DS564" s="243"/>
      <c r="DU564" s="242"/>
      <c r="DW564" s="243"/>
      <c r="DY564" s="242"/>
      <c r="EA564" s="243"/>
    </row>
    <row r="565" spans="1:131">
      <c r="A565" s="33"/>
      <c r="B565" s="33"/>
      <c r="C565" s="235"/>
      <c r="E565" s="90"/>
      <c r="F565" s="90"/>
      <c r="G565" s="33"/>
      <c r="J565" s="33"/>
      <c r="N565" s="33"/>
      <c r="Q565" s="243"/>
      <c r="R565" s="33"/>
      <c r="U565" s="244"/>
      <c r="V565" s="33"/>
      <c r="Y565" s="243"/>
      <c r="Z565" s="33"/>
      <c r="AC565" s="243"/>
      <c r="AD565" s="33"/>
      <c r="AG565" s="243"/>
      <c r="AH565" s="33"/>
      <c r="AK565" s="244"/>
      <c r="AL565" s="792"/>
      <c r="AM565" s="243"/>
      <c r="AN565" s="243"/>
      <c r="AO565" s="244"/>
      <c r="AP565" s="243"/>
      <c r="AQ565" s="243"/>
      <c r="AR565" s="243"/>
      <c r="AS565" s="244"/>
      <c r="AT565" s="243"/>
      <c r="AU565" s="243"/>
      <c r="AV565" s="243"/>
      <c r="AW565" s="244"/>
      <c r="AX565" s="243"/>
      <c r="AY565" s="243"/>
      <c r="AZ565" s="243"/>
      <c r="BA565" s="244"/>
      <c r="BB565" s="33"/>
      <c r="BE565" s="244"/>
      <c r="BF565" s="33"/>
      <c r="BI565" s="244"/>
      <c r="BJ565" s="33"/>
      <c r="BM565" s="244"/>
      <c r="BN565" s="243"/>
      <c r="BO565" s="243"/>
      <c r="BP565" s="243"/>
      <c r="BQ565" s="244"/>
      <c r="BR565" s="792"/>
      <c r="BS565" s="243"/>
      <c r="BT565" s="243"/>
      <c r="BU565" s="244"/>
      <c r="BV565" s="792"/>
      <c r="BW565" s="243"/>
      <c r="BX565" s="243"/>
      <c r="BY565" s="244"/>
      <c r="BZ565" s="792"/>
      <c r="CA565" s="243"/>
      <c r="CB565" s="243"/>
      <c r="CC565" s="244"/>
      <c r="CD565" s="243"/>
      <c r="CE565" s="243"/>
      <c r="CF565" s="243"/>
      <c r="CG565" s="243"/>
      <c r="CH565" s="243"/>
      <c r="CI565" s="243"/>
      <c r="CJ565" s="243"/>
      <c r="CK565" s="243"/>
      <c r="CL565" s="243"/>
      <c r="CM565" s="243"/>
      <c r="CN565" s="243"/>
      <c r="CO565" s="243"/>
      <c r="CP565" s="243"/>
      <c r="CQ565" s="243"/>
      <c r="CR565" s="243"/>
      <c r="CS565" s="243"/>
      <c r="CT565" s="243"/>
      <c r="CU565" s="243"/>
      <c r="CV565" s="243"/>
      <c r="CW565" s="243"/>
      <c r="CX565" s="243"/>
      <c r="CY565" s="243"/>
      <c r="CZ565" s="243"/>
      <c r="DA565" s="243"/>
      <c r="DB565" s="243"/>
      <c r="DC565" s="243"/>
      <c r="DD565" s="243"/>
      <c r="DE565" s="243"/>
      <c r="DF565" s="243"/>
      <c r="DG565" s="243"/>
      <c r="DH565" s="243"/>
      <c r="DI565" s="243"/>
      <c r="DJ565" s="243"/>
      <c r="DK565" s="243"/>
      <c r="DO565" s="243"/>
      <c r="DS565" s="243"/>
      <c r="DW565" s="243"/>
      <c r="EA565" s="243"/>
    </row>
    <row r="566" spans="1:131">
      <c r="A566" s="256" t="str">
        <f>IF((RIGHT(A549,1))&lt;&gt;"Z",CHAR(CODE(A549))&amp;CHAR(CODE(RIGHT(A549,1))+1),CHAR(CODE(A549)+1)&amp;"A")</f>
        <v>BG</v>
      </c>
      <c r="B566" s="270" t="str">
        <f>INDEX(SourceID,MATCH($A566,SourceNumber,0),1,1)</f>
        <v>B2 Viv-2</v>
      </c>
      <c r="C566" s="354">
        <f>INDEX(SourceExitDiameter,MATCH($A566,SourceNumber,0),1,1)*3.28*12</f>
        <v>57.974999999999994</v>
      </c>
      <c r="D566" s="24" t="str">
        <f>UAnem1percent</f>
        <v>1% Wind</v>
      </c>
      <c r="E566" s="350" t="e">
        <f ca="1">INDIRECT(ADDRESS(53,6,1,,CONCATENATE("TA",$A566)))</f>
        <v>#REF!</v>
      </c>
      <c r="F566" s="625" t="e">
        <f ca="1">(ROUND((INDIRECT(ADDRESS(15,7,1,,CONCATENATE("TA",$A566)))*3.28*12*32),0)&amp;"/32")</f>
        <v>#REF!</v>
      </c>
      <c r="G566" s="125">
        <f ca="1">INDIRECT(ADDRESS(29,7,1,,$A566))</f>
        <v>6.001707317073171</v>
      </c>
      <c r="H566" s="24" t="e">
        <f ca="1">INDIRECT(ADDRESS(19,7,1,,$A566))*100^3</f>
        <v>#VALUE!</v>
      </c>
      <c r="I566" s="941">
        <f ca="1">INDIRECT(ADDRESS(53,7,1,,$A566))</f>
        <v>0.97430000000000005</v>
      </c>
      <c r="J566" s="20" t="str">
        <f ca="1">IF($I566=$I$6,K$16&amp;$G$6&amp;J$6,IF($I566=$I$7,K$16&amp;$G$7&amp;J$7,"Bad"))</f>
        <v>100EthPick a Tunnel</v>
      </c>
      <c r="K566" t="e">
        <f ca="1">INDEX(FlowCalGasMixture,MATCH(J566,FlowCalNumber,0),1,1)</f>
        <v>#N/A</v>
      </c>
      <c r="M566" s="944" t="e">
        <f ca="1">INDEX(FlowCalDevice,MATCH(J566,FlowCalNumber,0),1,1)</f>
        <v>#N/A</v>
      </c>
      <c r="N566" s="943" t="str">
        <f ca="1">IF($I566=$I$6,O$16&amp;$G$6&amp;"90"&amp;$H$6&amp;N$6,IF($I566=$I$7,O$16&amp;$G$7&amp;"90"&amp;$H$7&amp;N$7,"Bad"))</f>
        <v>10Eth90N2Pick a Tunnel</v>
      </c>
      <c r="O566" t="e">
        <f ca="1">INDEX(FlowCalGasMixture,MATCH(N566,FlowCalNumber,0),1,1)</f>
        <v>#N/A</v>
      </c>
      <c r="Q566" s="944" t="e">
        <f ca="1">INDEX(FlowCalDevice,MATCH(N566,FlowCalNumber,0),1,1)</f>
        <v>#N/A</v>
      </c>
      <c r="R566" s="943" t="str">
        <f ca="1">IF($I566=$I$6,S$16&amp;$G$6&amp;"90"&amp;$H$6&amp;R$6,IF($I566=$I$7,S$16&amp;$G$7&amp;"90"&amp;$H$7&amp;R$7,"Bad"))</f>
        <v>10Eth90N2Pick a Tunnel</v>
      </c>
      <c r="S566" t="e">
        <f ca="1">INDEX(FlowCalGasMixture,MATCH(R566,FlowCalNumber,0),1,1)</f>
        <v>#N/A</v>
      </c>
      <c r="U566" s="944" t="e">
        <f ca="1">INDEX(FlowCalDevice,MATCH(R566,FlowCalNumber,0),1,1)</f>
        <v>#N/A</v>
      </c>
      <c r="V566" s="20" t="str">
        <f ca="1">IF($I566=$I$6,W$16&amp;$G$6&amp;V$6,IF($I566=$I$7,W$16&amp;$G$7&amp;V$7,"Bad"))</f>
        <v>100EthPick a Tunnel</v>
      </c>
      <c r="W566" t="e">
        <f ca="1">INDEX(FlowCalGasMixture,MATCH(V566,FlowCalNumber,0),1,1)</f>
        <v>#N/A</v>
      </c>
      <c r="Y566" s="944" t="e">
        <f ca="1">INDEX(FlowCalDevice,MATCH(V566,FlowCalNumber,0),1,1)</f>
        <v>#N/A</v>
      </c>
      <c r="Z566" s="946" t="str">
        <f ca="1">IF($I566=$I$6,AA$18&amp;$H$6&amp;Z$6,IF($I566=$I$7,AA$18&amp;$H$7&amp;Z$7,"Bad"))</f>
        <v>100N2Pick a Tunnel</v>
      </c>
      <c r="AA566" t="e">
        <f ca="1">INDEX(FlowCalGasMixture,MATCH(Z566,FlowCalNumber,0),1,1)</f>
        <v>#N/A</v>
      </c>
      <c r="AC566" s="944" t="e">
        <f ca="1">INDEX(FlowCalDevice,MATCH(Z566,FlowCalNumber,0),1,1)</f>
        <v>#N/A</v>
      </c>
      <c r="AD566" s="20" t="str">
        <f ca="1">IF($I566=$I$6,AE$16&amp;$G$6&amp;AD$6,IF($I566=$I$7,AE$16&amp;$G$7&amp;AD$7,"Bad"))</f>
        <v>100EthPick a Tunnel</v>
      </c>
      <c r="AE566" t="e">
        <f ca="1">INDEX(FlowCalGasMixture,MATCH(AD566,FlowCalNumber,0),1,1)</f>
        <v>#N/A</v>
      </c>
      <c r="AG566" s="944" t="e">
        <f ca="1">INDEX(FlowCalDevice,MATCH(AD566,FlowCalNumber,0),1,1)</f>
        <v>#N/A</v>
      </c>
      <c r="AH566" s="946" t="str">
        <f ca="1">IF($I566=$I$6,AI$18&amp;$H$6&amp;AH$6,IF($I566=$I$7,AI$18&amp;$H$7&amp;AH$7,"Bad"))</f>
        <v>100N2Pick a Tunnel</v>
      </c>
      <c r="AI566" t="e">
        <f ca="1">INDEX(FlowCalGasMixture,MATCH(AH566,FlowCalNumber,0),1,1)</f>
        <v>#N/A</v>
      </c>
      <c r="AK566" s="944" t="e">
        <f ca="1">INDEX(FlowCalDevice,MATCH(AH566,FlowCalNumber,0),1,1)</f>
        <v>#N/A</v>
      </c>
      <c r="AL566" s="20"/>
      <c r="AO566" s="982"/>
      <c r="AP566" s="960"/>
      <c r="AS566" s="982"/>
      <c r="AT566" s="20"/>
      <c r="AW566" s="982"/>
      <c r="AX566" s="946"/>
      <c r="BA566" s="982"/>
      <c r="BB566" s="20"/>
      <c r="BC566" s="16"/>
      <c r="BE566" s="982"/>
      <c r="BF566" s="946"/>
      <c r="BG566" s="16"/>
      <c r="BI566" s="982"/>
      <c r="BJ566" s="946"/>
      <c r="BK566" s="16"/>
      <c r="BM566" s="982"/>
      <c r="BN566" s="20"/>
      <c r="BO566" s="16"/>
      <c r="BQ566" s="982"/>
      <c r="BR566" s="946"/>
      <c r="BS566" s="16"/>
      <c r="BU566" s="982"/>
      <c r="BV566" s="946"/>
      <c r="BW566" s="16"/>
      <c r="BY566" s="982"/>
      <c r="BZ566" s="946"/>
      <c r="CA566" s="16"/>
      <c r="CC566" s="982"/>
      <c r="CD566" s="355"/>
      <c r="CE566" s="355"/>
      <c r="CF566" s="355"/>
      <c r="CG566" s="355"/>
      <c r="CH566" s="355"/>
      <c r="CI566" s="355"/>
      <c r="CJ566" s="355"/>
      <c r="CK566" s="355"/>
      <c r="CL566" s="355"/>
      <c r="CM566" s="355"/>
      <c r="CN566" s="355"/>
      <c r="CO566" s="355"/>
      <c r="CP566" s="355"/>
      <c r="CQ566" s="355"/>
      <c r="CR566" s="355"/>
      <c r="CS566" s="355"/>
      <c r="CT566" s="355"/>
      <c r="CU566" s="355"/>
      <c r="CV566" s="355"/>
      <c r="CW566" s="355"/>
      <c r="CX566" s="355"/>
      <c r="CY566" s="355"/>
      <c r="CZ566" s="355"/>
      <c r="DA566" s="355"/>
      <c r="DB566" s="355"/>
      <c r="DC566" s="355"/>
      <c r="DD566" s="355"/>
      <c r="DE566" s="355"/>
      <c r="DF566" s="355"/>
      <c r="DG566" s="355"/>
      <c r="DH566" s="355"/>
      <c r="DI566" s="355"/>
      <c r="DJ566" s="355"/>
      <c r="DK566" s="355"/>
      <c r="DL566" s="46"/>
      <c r="DM566" s="16"/>
      <c r="DO566" s="355"/>
      <c r="DP566" s="42"/>
      <c r="DQ566" s="16"/>
      <c r="DS566" s="355"/>
      <c r="DT566" s="42"/>
      <c r="DU566" s="16"/>
      <c r="DW566" s="355"/>
      <c r="DX566" s="42"/>
      <c r="DY566" s="16"/>
      <c r="EA566" s="355"/>
    </row>
    <row r="567" spans="1:131">
      <c r="A567" s="20"/>
      <c r="B567" s="124" t="str">
        <f t="shared" ref="B567:B581" si="534">IF(D567=UAnem1percent,"1% Wind","")</f>
        <v/>
      </c>
      <c r="C567" s="235"/>
      <c r="D567" s="24">
        <f>'1% Wind'!$M$82</f>
        <v>27</v>
      </c>
      <c r="E567" s="90"/>
      <c r="F567" s="90"/>
      <c r="G567" s="79">
        <f ca="1">IF(I566=0.9743,$G566,MAX(G566/D566*D567,2))</f>
        <v>6.001707317073171</v>
      </c>
      <c r="H567" s="121" t="e">
        <f t="shared" ref="H567:H581" ca="1" si="535">H566*(D566/D567)*(G567/G566)</f>
        <v>#VALUE!</v>
      </c>
      <c r="J567" s="33"/>
      <c r="K567" s="260">
        <f>K$17/100</f>
        <v>1</v>
      </c>
      <c r="L567" s="241" t="e">
        <f ca="1">K567*$H567</f>
        <v>#VALUE!</v>
      </c>
      <c r="M567" s="243" t="e">
        <f ca="1">IF(AND(INDEX(FlowCalConstA,MATCH(J566,FlowCalNumber,0),1,1)*L567^INDEX(FlowCalConstB,MATCH(J566,FlowCalNumber,0),1,1)&gt;INDEX(FlowCalLowSetting,MATCH(J566,FlowCalNumber,0),1,1), (INDEX(FlowCalConstA,MATCH(J566,FlowCalNumber,0),1,1)*L567^INDEX(FlowCalConstB,MATCH(J566,FlowCalNumber,0),1,1)&lt;INDEX(FlowCalHighSetting,MATCH(J566,FlowCalNumber,0),1,1))),INDEX(FlowCalConstA,MATCH(J566,FlowCalNumber,0),1,1)*L567^INDEX(FlowCalConstB,MATCH(J566,FlowCalNumber,0),1,1)," ")</f>
        <v>#N/A</v>
      </c>
      <c r="N567" s="33"/>
      <c r="O567" s="260">
        <f>O$17/100</f>
        <v>1</v>
      </c>
      <c r="P567" s="241" t="e">
        <f ca="1">O567*$H567</f>
        <v>#VALUE!</v>
      </c>
      <c r="Q567" s="243" t="e">
        <f ca="1">IF(AND(INDEX(FlowCalConstA,MATCH(N566,FlowCalNumber,0),1,1)*P567^INDEX(FlowCalConstB,MATCH(N566,FlowCalNumber,0),1,1)&gt;INDEX(FlowCalLowSetting,MATCH(N566,FlowCalNumber,0),1,1), (INDEX(FlowCalConstA,MATCH(N566,FlowCalNumber,0),1,1)*P567^INDEX(FlowCalConstB,MATCH(N566,FlowCalNumber,0),1,1)&lt;INDEX(FlowCalHighSetting,MATCH(N566,FlowCalNumber,0),1,1))),INDEX(FlowCalConstA,MATCH(N566,FlowCalNumber,0),1,1)*P567^INDEX(FlowCalConstB,MATCH(N566,FlowCalNumber,0),1,1)," ")</f>
        <v>#N/A</v>
      </c>
      <c r="R567" s="33"/>
      <c r="S567" s="260">
        <f>S$17/100</f>
        <v>1</v>
      </c>
      <c r="T567" s="241" t="e">
        <f ca="1">S567*$H567</f>
        <v>#VALUE!</v>
      </c>
      <c r="U567" s="244" t="e">
        <f ca="1">IF(AND(INDEX(FlowCalConstA,MATCH(R566,FlowCalNumber,0),1,1)*T567^INDEX(FlowCalConstB,MATCH(R566,FlowCalNumber,0),1,1)&gt;INDEX(FlowCalLowSetting,MATCH(R566,FlowCalNumber,0),1,1), (INDEX(FlowCalConstA,MATCH(R566,FlowCalNumber,0),1,1)*T567^INDEX(FlowCalConstB,MATCH(R566,FlowCalNumber,0),1,1)&lt;INDEX(FlowCalHighSetting,MATCH(R566,FlowCalNumber,0),1,1))),INDEX(FlowCalConstA,MATCH(R566,FlowCalNumber,0),1,1)*T567^INDEX(FlowCalConstB,MATCH(R566,FlowCalNumber,0),1,1)," ")</f>
        <v>#N/A</v>
      </c>
      <c r="V567" s="33"/>
      <c r="W567" s="260">
        <f>W$17/100</f>
        <v>0.1</v>
      </c>
      <c r="X567" s="241" t="e">
        <f ca="1">W567*$H567</f>
        <v>#VALUE!</v>
      </c>
      <c r="Y567" s="243" t="e">
        <f ca="1">IF(AND(INDEX(FlowCalConstA,MATCH(V566,FlowCalNumber,0),1,1)*X567^INDEX(FlowCalConstB,MATCH(V566,FlowCalNumber,0),1,1)&gt;INDEX(FlowCalLowSetting,MATCH(V566,FlowCalNumber,0),1,1), (INDEX(FlowCalConstA,MATCH(V566,FlowCalNumber,0),1,1)*X567^INDEX(FlowCalConstB,MATCH(V566,FlowCalNumber,0),1,1)&lt;INDEX(FlowCalHighSetting,MATCH(V566,FlowCalNumber,0),1,1))),INDEX(FlowCalConstA,MATCH(V566,FlowCalNumber,0),1,1)*X567^INDEX(FlowCalConstB,MATCH(V566,FlowCalNumber,0),1,1)," ")</f>
        <v>#N/A</v>
      </c>
      <c r="Z567" s="33"/>
      <c r="AA567" s="260">
        <f>AA$17/100</f>
        <v>0.9</v>
      </c>
      <c r="AB567" s="241" t="e">
        <f ca="1">AA567*$H567</f>
        <v>#VALUE!</v>
      </c>
      <c r="AC567" s="243" t="e">
        <f ca="1">IF(AND(INDEX(FlowCalConstA,MATCH(Z566,FlowCalNumber,0),1,1)*AB567^INDEX(FlowCalConstB,MATCH(Z566,FlowCalNumber,0),1,1)&gt;INDEX(FlowCalLowSetting,MATCH(Z566,FlowCalNumber,0),1,1), (INDEX(FlowCalConstA,MATCH(Z566,FlowCalNumber,0),1,1)*AB567^INDEX(FlowCalConstB,MATCH(Z566,FlowCalNumber,0),1,1)&lt;INDEX(FlowCalHighSetting,MATCH(Z566,FlowCalNumber,0),1,1))),INDEX(FlowCalConstA,MATCH(Z566,FlowCalNumber,0),1,1)*AB567^INDEX(FlowCalConstB,MATCH(Z566,FlowCalNumber,0),1,1)," ")</f>
        <v>#N/A</v>
      </c>
      <c r="AD567" s="33"/>
      <c r="AE567" s="260">
        <f>AE$17/100</f>
        <v>0.1</v>
      </c>
      <c r="AF567" s="241" t="e">
        <f ca="1">AE567*$H567</f>
        <v>#VALUE!</v>
      </c>
      <c r="AG567" s="243" t="e">
        <f ca="1">IF(AND(INDEX(FlowCalConstA,MATCH(AD566,FlowCalNumber,0),1,1)*AF567^INDEX(FlowCalConstB,MATCH(AD566,FlowCalNumber,0),1,1)&gt;INDEX(FlowCalLowSetting,MATCH(AD566,FlowCalNumber,0),1,1), (INDEX(FlowCalConstA,MATCH(AD566,FlowCalNumber,0),1,1)*AF567^INDEX(FlowCalConstB,MATCH(AD566,FlowCalNumber,0),1,1)&lt;INDEX(FlowCalHighSetting,MATCH(AD566,FlowCalNumber,0),1,1))),INDEX(FlowCalConstA,MATCH(AD566,FlowCalNumber,0),1,1)*AF567^INDEX(FlowCalConstB,MATCH(AD566,FlowCalNumber,0),1,1)," ")</f>
        <v>#N/A</v>
      </c>
      <c r="AH567" s="33"/>
      <c r="AI567" s="260">
        <f>AI$17/100</f>
        <v>0.9</v>
      </c>
      <c r="AJ567" s="241" t="e">
        <f ca="1">AI567*$H567</f>
        <v>#VALUE!</v>
      </c>
      <c r="AK567" s="243" t="e">
        <f ca="1">IF(AND(INDEX(FlowCalConstA,MATCH(AH566,FlowCalNumber,0),1,1)*AJ567^INDEX(FlowCalConstB,MATCH(AH566,FlowCalNumber,0),1,1)&gt;INDEX(FlowCalLowSetting,MATCH(AH566,FlowCalNumber,0),1,1), (INDEX(FlowCalConstA,MATCH(AH566,FlowCalNumber,0),1,1)*AJ567^INDEX(FlowCalConstB,MATCH(AH566,FlowCalNumber,0),1,1)&lt;INDEX(FlowCalHighSetting,MATCH(AH566,FlowCalNumber,0),1,1))),INDEX(FlowCalConstA,MATCH(AH566,FlowCalNumber,0),1,1)*AJ567^INDEX(FlowCalConstB,MATCH(AH566,FlowCalNumber,0),1,1)," ")</f>
        <v>#N/A</v>
      </c>
      <c r="AL567" s="33"/>
      <c r="AM567" s="260"/>
      <c r="AN567" s="241"/>
      <c r="AO567" s="244"/>
      <c r="AQ567" s="260"/>
      <c r="AR567" s="241"/>
      <c r="AS567" s="244"/>
      <c r="AT567" s="33"/>
      <c r="AU567" s="260"/>
      <c r="AV567" s="241"/>
      <c r="AW567" s="244"/>
      <c r="AX567" s="33"/>
      <c r="AY567" s="260"/>
      <c r="AZ567" s="241"/>
      <c r="BA567" s="244"/>
      <c r="BB567" s="33"/>
      <c r="BC567" s="260"/>
      <c r="BD567" s="241"/>
      <c r="BE567" s="244"/>
      <c r="BF567" s="33"/>
      <c r="BG567" s="260"/>
      <c r="BH567" s="241"/>
      <c r="BI567" s="244"/>
      <c r="BJ567" s="33"/>
      <c r="BK567" s="260"/>
      <c r="BL567" s="241"/>
      <c r="BM567" s="244"/>
      <c r="BN567" s="33"/>
      <c r="BO567" s="260"/>
      <c r="BP567" s="241"/>
      <c r="BQ567" s="244"/>
      <c r="BR567" s="33"/>
      <c r="BS567" s="260"/>
      <c r="BT567" s="241"/>
      <c r="BU567" s="244"/>
      <c r="BV567" s="33"/>
      <c r="BW567" s="260"/>
      <c r="BX567" s="241"/>
      <c r="BY567" s="244"/>
      <c r="BZ567" s="33"/>
      <c r="CA567" s="260"/>
      <c r="CB567" s="241"/>
      <c r="CC567" s="244"/>
      <c r="CD567" s="243"/>
      <c r="CE567" s="243"/>
      <c r="CF567" s="243"/>
      <c r="CG567" s="243"/>
      <c r="CH567" s="243"/>
      <c r="CI567" s="243"/>
      <c r="CJ567" s="243"/>
      <c r="CK567" s="243"/>
      <c r="CL567" s="243"/>
      <c r="CM567" s="243"/>
      <c r="CN567" s="243"/>
      <c r="CO567" s="243"/>
      <c r="CP567" s="243"/>
      <c r="CQ567" s="243"/>
      <c r="CR567" s="243"/>
      <c r="CS567" s="243"/>
      <c r="CT567" s="243"/>
      <c r="CU567" s="243"/>
      <c r="CV567" s="243"/>
      <c r="CW567" s="243"/>
      <c r="CX567" s="243"/>
      <c r="CY567" s="243"/>
      <c r="CZ567" s="243"/>
      <c r="DA567" s="243"/>
      <c r="DB567" s="243"/>
      <c r="DC567" s="243"/>
      <c r="DD567" s="243"/>
      <c r="DE567" s="243"/>
      <c r="DF567" s="243"/>
      <c r="DG567" s="243"/>
      <c r="DH567" s="243"/>
      <c r="DI567" s="243"/>
      <c r="DJ567" s="243"/>
      <c r="DK567" s="243"/>
      <c r="DM567" s="259"/>
      <c r="DO567" s="243"/>
      <c r="DQ567" s="259"/>
      <c r="DS567" s="243"/>
      <c r="DU567" s="259"/>
      <c r="DW567" s="243"/>
      <c r="DY567" s="260"/>
      <c r="EA567" s="243"/>
    </row>
    <row r="568" spans="1:131">
      <c r="A568" s="20"/>
      <c r="B568" s="124" t="str">
        <f t="shared" si="534"/>
        <v/>
      </c>
      <c r="C568" s="235"/>
      <c r="D568" s="24">
        <f>'1% Wind'!$M$83</f>
        <v>23.5</v>
      </c>
      <c r="E568" s="90"/>
      <c r="F568" s="90"/>
      <c r="G568" s="79">
        <f ca="1">IF(I566=0.9743,$G567,MAX(G567/D567*D568,2))</f>
        <v>6.001707317073171</v>
      </c>
      <c r="H568" s="121" t="e">
        <f t="shared" ca="1" si="535"/>
        <v>#VALUE!</v>
      </c>
      <c r="J568" s="33"/>
      <c r="K568" s="242">
        <f t="shared" ref="K568:K581" si="536">K567</f>
        <v>1</v>
      </c>
      <c r="L568" s="241" t="e">
        <f t="shared" ref="L568:L581" ca="1" si="537">K568*$H568</f>
        <v>#VALUE!</v>
      </c>
      <c r="M568" s="243" t="e">
        <f ca="1">IF(AND(INDEX(FlowCalConstA,MATCH(J566,FlowCalNumber,0),1,1)*L568^INDEX(FlowCalConstB,MATCH(J566,FlowCalNumber,0),1,1)&gt;INDEX(FlowCalLowSetting,MATCH(J566,FlowCalNumber,0),1,1), (INDEX(FlowCalConstA,MATCH(J566,FlowCalNumber,0),1,1)*L568^INDEX(FlowCalConstB,MATCH(J566,FlowCalNumber,0),1,1)&lt;INDEX(FlowCalHighSetting,MATCH(J566,FlowCalNumber,0),1,1))),INDEX(FlowCalConstA,MATCH(J566,FlowCalNumber,0),1,1)*L568^INDEX(FlowCalConstB,MATCH(J566,FlowCalNumber,0),1,1)," ")</f>
        <v>#N/A</v>
      </c>
      <c r="N568" s="33"/>
      <c r="O568" s="242">
        <f t="shared" ref="O568:O581" si="538">O567</f>
        <v>1</v>
      </c>
      <c r="P568" s="241" t="e">
        <f t="shared" ref="P568:P581" ca="1" si="539">O568*$H568</f>
        <v>#VALUE!</v>
      </c>
      <c r="Q568" s="243" t="e">
        <f ca="1">IF(AND(INDEX(FlowCalConstA,MATCH(N566,FlowCalNumber,0),1,1)*P568^INDEX(FlowCalConstB,MATCH(N566,FlowCalNumber,0),1,1)&gt;INDEX(FlowCalLowSetting,MATCH(N566,FlowCalNumber,0),1,1), (INDEX(FlowCalConstA,MATCH(N566,FlowCalNumber,0),1,1)*P568^INDEX(FlowCalConstB,MATCH(N566,FlowCalNumber,0),1,1)&lt;INDEX(FlowCalHighSetting,MATCH(N566,FlowCalNumber,0),1,1))),INDEX(FlowCalConstA,MATCH(N566,FlowCalNumber,0),1,1)*P568^INDEX(FlowCalConstB,MATCH(N566,FlowCalNumber,0),1,1)," ")</f>
        <v>#N/A</v>
      </c>
      <c r="R568" s="33"/>
      <c r="S568" s="242">
        <f t="shared" ref="S568:S581" si="540">S567</f>
        <v>1</v>
      </c>
      <c r="T568" s="241" t="e">
        <f t="shared" ref="T568:T581" ca="1" si="541">S568*$H568</f>
        <v>#VALUE!</v>
      </c>
      <c r="U568" s="244" t="e">
        <f ca="1">IF(AND(INDEX(FlowCalConstA,MATCH(R566,FlowCalNumber,0),1,1)*T568^INDEX(FlowCalConstB,MATCH(R566,FlowCalNumber,0),1,1)&gt;INDEX(FlowCalLowSetting,MATCH(R566,FlowCalNumber,0),1,1), (INDEX(FlowCalConstA,MATCH(R566,FlowCalNumber,0),1,1)*T568^INDEX(FlowCalConstB,MATCH(R566,FlowCalNumber,0),1,1)&lt;INDEX(FlowCalHighSetting,MATCH(R566,FlowCalNumber,0),1,1))),INDEX(FlowCalConstA,MATCH(R566,FlowCalNumber,0),1,1)*T568^INDEX(FlowCalConstB,MATCH(R566,FlowCalNumber,0),1,1)," ")</f>
        <v>#N/A</v>
      </c>
      <c r="V568" s="33"/>
      <c r="W568" s="242">
        <f t="shared" ref="W568:W581" si="542">W567</f>
        <v>0.1</v>
      </c>
      <c r="X568" s="241" t="e">
        <f t="shared" ref="X568:X581" ca="1" si="543">W568*$H568</f>
        <v>#VALUE!</v>
      </c>
      <c r="Y568" s="243" t="e">
        <f ca="1">IF(AND(INDEX(FlowCalConstA,MATCH(V566,FlowCalNumber,0),1,1)*X568^INDEX(FlowCalConstB,MATCH(V566,FlowCalNumber,0),1,1)&gt;INDEX(FlowCalLowSetting,MATCH(V566,FlowCalNumber,0),1,1), (INDEX(FlowCalConstA,MATCH(V566,FlowCalNumber,0),1,1)*X568^INDEX(FlowCalConstB,MATCH(V566,FlowCalNumber,0),1,1)&lt;INDEX(FlowCalHighSetting,MATCH(V566,FlowCalNumber,0),1,1))),INDEX(FlowCalConstA,MATCH(V566,FlowCalNumber,0),1,1)*X568^INDEX(FlowCalConstB,MATCH(V566,FlowCalNumber,0),1,1)," ")</f>
        <v>#N/A</v>
      </c>
      <c r="Z568" s="33"/>
      <c r="AA568" s="242">
        <f t="shared" ref="AA568:AA581" si="544">AA567</f>
        <v>0.9</v>
      </c>
      <c r="AB568" s="241" t="e">
        <f t="shared" ref="AB568:AB581" ca="1" si="545">AA568*$H568</f>
        <v>#VALUE!</v>
      </c>
      <c r="AC568" s="243" t="e">
        <f ca="1">IF(AND(INDEX(FlowCalConstA,MATCH(Z566,FlowCalNumber,0),1,1)*AB568^INDEX(FlowCalConstB,MATCH(Z566,FlowCalNumber,0),1,1)&gt;INDEX(FlowCalLowSetting,MATCH(Z566,FlowCalNumber,0),1,1), (INDEX(FlowCalConstA,MATCH(Z566,FlowCalNumber,0),1,1)*AB568^INDEX(FlowCalConstB,MATCH(Z566,FlowCalNumber,0),1,1)&lt;INDEX(FlowCalHighSetting,MATCH(Z566,FlowCalNumber,0),1,1))),INDEX(FlowCalConstA,MATCH(Z566,FlowCalNumber,0),1,1)*AB568^INDEX(FlowCalConstB,MATCH(Z566,FlowCalNumber,0),1,1)," ")</f>
        <v>#N/A</v>
      </c>
      <c r="AD568" s="33"/>
      <c r="AE568" s="242">
        <f t="shared" ref="AE568:AE581" si="546">AE567</f>
        <v>0.1</v>
      </c>
      <c r="AF568" s="241" t="e">
        <f t="shared" ref="AF568:AF581" ca="1" si="547">AE568*$H568</f>
        <v>#VALUE!</v>
      </c>
      <c r="AG568" s="243" t="e">
        <f ca="1">IF(AND(INDEX(FlowCalConstA,MATCH(AD566,FlowCalNumber,0),1,1)*AF568^INDEX(FlowCalConstB,MATCH(AD566,FlowCalNumber,0),1,1)&gt;INDEX(FlowCalLowSetting,MATCH(AD566,FlowCalNumber,0),1,1), (INDEX(FlowCalConstA,MATCH(AD566,FlowCalNumber,0),1,1)*AF568^INDEX(FlowCalConstB,MATCH(AD566,FlowCalNumber,0),1,1)&lt;INDEX(FlowCalHighSetting,MATCH(AD566,FlowCalNumber,0),1,1))),INDEX(FlowCalConstA,MATCH(AD566,FlowCalNumber,0),1,1)*AF568^INDEX(FlowCalConstB,MATCH(AD566,FlowCalNumber,0),1,1)," ")</f>
        <v>#N/A</v>
      </c>
      <c r="AH568" s="33"/>
      <c r="AI568" s="242">
        <f t="shared" ref="AI568:AI581" si="548">AI567</f>
        <v>0.9</v>
      </c>
      <c r="AJ568" s="241" t="e">
        <f t="shared" ref="AJ568:AJ581" ca="1" si="549">AI568*$H568</f>
        <v>#VALUE!</v>
      </c>
      <c r="AK568" s="243" t="e">
        <f ca="1">IF(AND(INDEX(FlowCalConstA,MATCH(AH566,FlowCalNumber,0),1,1)*AJ568^INDEX(FlowCalConstB,MATCH(AH566,FlowCalNumber,0),1,1)&gt;INDEX(FlowCalLowSetting,MATCH(AH566,FlowCalNumber,0),1,1), (INDEX(FlowCalConstA,MATCH(AH566,FlowCalNumber,0),1,1)*AJ568^INDEX(FlowCalConstB,MATCH(AH566,FlowCalNumber,0),1,1)&lt;INDEX(FlowCalHighSetting,MATCH(AH566,FlowCalNumber,0),1,1))),INDEX(FlowCalConstA,MATCH(AH566,FlowCalNumber,0),1,1)*AJ568^INDEX(FlowCalConstB,MATCH(AH566,FlowCalNumber,0),1,1)," ")</f>
        <v>#N/A</v>
      </c>
      <c r="AL568" s="33"/>
      <c r="AM568" s="242"/>
      <c r="AN568" s="241"/>
      <c r="AO568" s="244"/>
      <c r="AQ568" s="242"/>
      <c r="AR568" s="241"/>
      <c r="AS568" s="244"/>
      <c r="AT568" s="33"/>
      <c r="AU568" s="242"/>
      <c r="AV568" s="241"/>
      <c r="AW568" s="244"/>
      <c r="AX568" s="33"/>
      <c r="AY568" s="242"/>
      <c r="AZ568" s="241"/>
      <c r="BA568" s="244"/>
      <c r="BB568" s="33"/>
      <c r="BC568" s="242"/>
      <c r="BD568" s="241"/>
      <c r="BE568" s="244"/>
      <c r="BF568" s="33"/>
      <c r="BG568" s="242"/>
      <c r="BH568" s="241"/>
      <c r="BI568" s="244"/>
      <c r="BJ568" s="33"/>
      <c r="BK568" s="242"/>
      <c r="BL568" s="241"/>
      <c r="BM568" s="244"/>
      <c r="BN568" s="33"/>
      <c r="BO568" s="242"/>
      <c r="BP568" s="241"/>
      <c r="BQ568" s="244"/>
      <c r="BR568" s="33"/>
      <c r="BS568" s="242"/>
      <c r="BT568" s="241"/>
      <c r="BU568" s="244"/>
      <c r="BV568" s="33"/>
      <c r="BW568" s="242"/>
      <c r="BX568" s="241"/>
      <c r="BY568" s="244"/>
      <c r="BZ568" s="33"/>
      <c r="CA568" s="242"/>
      <c r="CB568" s="241"/>
      <c r="CC568" s="244"/>
      <c r="CD568" s="243"/>
      <c r="CE568" s="243"/>
      <c r="CF568" s="243"/>
      <c r="CG568" s="243"/>
      <c r="CH568" s="243"/>
      <c r="CI568" s="243"/>
      <c r="CJ568" s="243"/>
      <c r="CK568" s="243"/>
      <c r="CL568" s="243"/>
      <c r="CM568" s="243"/>
      <c r="CN568" s="243"/>
      <c r="CO568" s="243"/>
      <c r="CP568" s="243"/>
      <c r="CQ568" s="243"/>
      <c r="CR568" s="243"/>
      <c r="CS568" s="243"/>
      <c r="CT568" s="243"/>
      <c r="CU568" s="243"/>
      <c r="CV568" s="243"/>
      <c r="CW568" s="243"/>
      <c r="CX568" s="243"/>
      <c r="CY568" s="243"/>
      <c r="CZ568" s="243"/>
      <c r="DA568" s="243"/>
      <c r="DB568" s="243"/>
      <c r="DC568" s="243"/>
      <c r="DD568" s="243"/>
      <c r="DE568" s="243"/>
      <c r="DF568" s="243"/>
      <c r="DG568" s="243"/>
      <c r="DH568" s="243"/>
      <c r="DI568" s="243"/>
      <c r="DJ568" s="243"/>
      <c r="DK568" s="243"/>
      <c r="DM568" s="242"/>
      <c r="DO568" s="243"/>
      <c r="DQ568" s="242"/>
      <c r="DS568" s="243"/>
      <c r="DU568" s="242"/>
      <c r="DW568" s="243"/>
      <c r="DY568" s="242"/>
      <c r="EA568" s="243"/>
    </row>
    <row r="569" spans="1:131">
      <c r="A569" s="20"/>
      <c r="B569" s="124" t="str">
        <f t="shared" si="534"/>
        <v/>
      </c>
      <c r="C569" s="235"/>
      <c r="D569" s="24">
        <f>'1% Wind'!$M$84</f>
        <v>20.5</v>
      </c>
      <c r="E569" s="90"/>
      <c r="F569" s="90"/>
      <c r="G569" s="79">
        <f ca="1">IF(I566=0.9743,$G568,MAX(G568/D568*D569,2))</f>
        <v>6.001707317073171</v>
      </c>
      <c r="H569" s="121" t="e">
        <f t="shared" ca="1" si="535"/>
        <v>#VALUE!</v>
      </c>
      <c r="J569" s="33"/>
      <c r="K569" s="242">
        <f t="shared" si="536"/>
        <v>1</v>
      </c>
      <c r="L569" s="241" t="e">
        <f t="shared" ca="1" si="537"/>
        <v>#VALUE!</v>
      </c>
      <c r="M569" s="243" t="e">
        <f ca="1">IF(AND(INDEX(FlowCalConstA,MATCH(J566,FlowCalNumber,0),1,1)*L569^INDEX(FlowCalConstB,MATCH(J566,FlowCalNumber,0),1,1)&gt;INDEX(FlowCalLowSetting,MATCH(J566,FlowCalNumber,0),1,1), (INDEX(FlowCalConstA,MATCH(J566,FlowCalNumber,0),1,1)*L569^INDEX(FlowCalConstB,MATCH(J566,FlowCalNumber,0),1,1)&lt;INDEX(FlowCalHighSetting,MATCH(J566,FlowCalNumber,0),1,1))),INDEX(FlowCalConstA,MATCH(J566,FlowCalNumber,0),1,1)*L569^INDEX(FlowCalConstB,MATCH(J566,FlowCalNumber,0),1,1)," ")</f>
        <v>#N/A</v>
      </c>
      <c r="N569" s="33"/>
      <c r="O569" s="242">
        <f t="shared" si="538"/>
        <v>1</v>
      </c>
      <c r="P569" s="241" t="e">
        <f t="shared" ca="1" si="539"/>
        <v>#VALUE!</v>
      </c>
      <c r="Q569" s="243" t="e">
        <f ca="1">IF(AND(INDEX(FlowCalConstA,MATCH(N566,FlowCalNumber,0),1,1)*P569^INDEX(FlowCalConstB,MATCH(N566,FlowCalNumber,0),1,1)&gt;INDEX(FlowCalLowSetting,MATCH(N566,FlowCalNumber,0),1,1), (INDEX(FlowCalConstA,MATCH(N566,FlowCalNumber,0),1,1)*P569^INDEX(FlowCalConstB,MATCH(N566,FlowCalNumber,0),1,1)&lt;INDEX(FlowCalHighSetting,MATCH(N566,FlowCalNumber,0),1,1))),INDEX(FlowCalConstA,MATCH(N566,FlowCalNumber,0),1,1)*P569^INDEX(FlowCalConstB,MATCH(N566,FlowCalNumber,0),1,1)," ")</f>
        <v>#N/A</v>
      </c>
      <c r="R569" s="33"/>
      <c r="S569" s="242">
        <f t="shared" si="540"/>
        <v>1</v>
      </c>
      <c r="T569" s="241" t="e">
        <f t="shared" ca="1" si="541"/>
        <v>#VALUE!</v>
      </c>
      <c r="U569" s="244" t="e">
        <f ca="1">IF(AND(INDEX(FlowCalConstA,MATCH(R566,FlowCalNumber,0),1,1)*T569^INDEX(FlowCalConstB,MATCH(R566,FlowCalNumber,0),1,1)&gt;INDEX(FlowCalLowSetting,MATCH(R566,FlowCalNumber,0),1,1), (INDEX(FlowCalConstA,MATCH(R566,FlowCalNumber,0),1,1)*T569^INDEX(FlowCalConstB,MATCH(R566,FlowCalNumber,0),1,1)&lt;INDEX(FlowCalHighSetting,MATCH(R566,FlowCalNumber,0),1,1))),INDEX(FlowCalConstA,MATCH(R566,FlowCalNumber,0),1,1)*T569^INDEX(FlowCalConstB,MATCH(R566,FlowCalNumber,0),1,1)," ")</f>
        <v>#N/A</v>
      </c>
      <c r="V569" s="33"/>
      <c r="W569" s="242">
        <f t="shared" si="542"/>
        <v>0.1</v>
      </c>
      <c r="X569" s="241" t="e">
        <f t="shared" ca="1" si="543"/>
        <v>#VALUE!</v>
      </c>
      <c r="Y569" s="243" t="e">
        <f ca="1">IF(AND(INDEX(FlowCalConstA,MATCH(V566,FlowCalNumber,0),1,1)*X569^INDEX(FlowCalConstB,MATCH(V566,FlowCalNumber,0),1,1)&gt;INDEX(FlowCalLowSetting,MATCH(V566,FlowCalNumber,0),1,1), (INDEX(FlowCalConstA,MATCH(V566,FlowCalNumber,0),1,1)*X569^INDEX(FlowCalConstB,MATCH(V566,FlowCalNumber,0),1,1)&lt;INDEX(FlowCalHighSetting,MATCH(V566,FlowCalNumber,0),1,1))),INDEX(FlowCalConstA,MATCH(V566,FlowCalNumber,0),1,1)*X569^INDEX(FlowCalConstB,MATCH(V566,FlowCalNumber,0),1,1)," ")</f>
        <v>#N/A</v>
      </c>
      <c r="Z569" s="33"/>
      <c r="AA569" s="242">
        <f t="shared" si="544"/>
        <v>0.9</v>
      </c>
      <c r="AB569" s="241" t="e">
        <f t="shared" ca="1" si="545"/>
        <v>#VALUE!</v>
      </c>
      <c r="AC569" s="243" t="e">
        <f ca="1">IF(AND(INDEX(FlowCalConstA,MATCH(Z566,FlowCalNumber,0),1,1)*AB569^INDEX(FlowCalConstB,MATCH(Z566,FlowCalNumber,0),1,1)&gt;INDEX(FlowCalLowSetting,MATCH(Z566,FlowCalNumber,0),1,1), (INDEX(FlowCalConstA,MATCH(Z566,FlowCalNumber,0),1,1)*AB569^INDEX(FlowCalConstB,MATCH(Z566,FlowCalNumber,0),1,1)&lt;INDEX(FlowCalHighSetting,MATCH(Z566,FlowCalNumber,0),1,1))),INDEX(FlowCalConstA,MATCH(Z566,FlowCalNumber,0),1,1)*AB569^INDEX(FlowCalConstB,MATCH(Z566,FlowCalNumber,0),1,1)," ")</f>
        <v>#N/A</v>
      </c>
      <c r="AD569" s="33"/>
      <c r="AE569" s="242">
        <f t="shared" si="546"/>
        <v>0.1</v>
      </c>
      <c r="AF569" s="241" t="e">
        <f t="shared" ca="1" si="547"/>
        <v>#VALUE!</v>
      </c>
      <c r="AG569" s="243" t="e">
        <f ca="1">IF(AND(INDEX(FlowCalConstA,MATCH(AD566,FlowCalNumber,0),1,1)*AF569^INDEX(FlowCalConstB,MATCH(AD566,FlowCalNumber,0),1,1)&gt;INDEX(FlowCalLowSetting,MATCH(AD566,FlowCalNumber,0),1,1), (INDEX(FlowCalConstA,MATCH(AD566,FlowCalNumber,0),1,1)*AF569^INDEX(FlowCalConstB,MATCH(AD566,FlowCalNumber,0),1,1)&lt;INDEX(FlowCalHighSetting,MATCH(AD566,FlowCalNumber,0),1,1))),INDEX(FlowCalConstA,MATCH(AD566,FlowCalNumber,0),1,1)*AF569^INDEX(FlowCalConstB,MATCH(AD566,FlowCalNumber,0),1,1)," ")</f>
        <v>#N/A</v>
      </c>
      <c r="AH569" s="33"/>
      <c r="AI569" s="242">
        <f t="shared" si="548"/>
        <v>0.9</v>
      </c>
      <c r="AJ569" s="241" t="e">
        <f t="shared" ca="1" si="549"/>
        <v>#VALUE!</v>
      </c>
      <c r="AK569" s="243" t="e">
        <f ca="1">IF(AND(INDEX(FlowCalConstA,MATCH(AH566,FlowCalNumber,0),1,1)*AJ569^INDEX(FlowCalConstB,MATCH(AH566,FlowCalNumber,0),1,1)&gt;INDEX(FlowCalLowSetting,MATCH(AH566,FlowCalNumber,0),1,1), (INDEX(FlowCalConstA,MATCH(AH566,FlowCalNumber,0),1,1)*AJ569^INDEX(FlowCalConstB,MATCH(AH566,FlowCalNumber,0),1,1)&lt;INDEX(FlowCalHighSetting,MATCH(AH566,FlowCalNumber,0),1,1))),INDEX(FlowCalConstA,MATCH(AH566,FlowCalNumber,0),1,1)*AJ569^INDEX(FlowCalConstB,MATCH(AH566,FlowCalNumber,0),1,1)," ")</f>
        <v>#N/A</v>
      </c>
      <c r="AL569" s="33"/>
      <c r="AM569" s="242"/>
      <c r="AN569" s="241"/>
      <c r="AO569" s="244"/>
      <c r="AQ569" s="242"/>
      <c r="AR569" s="241"/>
      <c r="AS569" s="244"/>
      <c r="AT569" s="33"/>
      <c r="AU569" s="242"/>
      <c r="AV569" s="241"/>
      <c r="AW569" s="244"/>
      <c r="AX569" s="33"/>
      <c r="AY569" s="242"/>
      <c r="AZ569" s="241"/>
      <c r="BA569" s="244"/>
      <c r="BB569" s="33"/>
      <c r="BC569" s="242"/>
      <c r="BD569" s="241"/>
      <c r="BE569" s="244"/>
      <c r="BF569" s="33"/>
      <c r="BG569" s="242"/>
      <c r="BH569" s="241"/>
      <c r="BI569" s="244"/>
      <c r="BJ569" s="33"/>
      <c r="BK569" s="242"/>
      <c r="BL569" s="241"/>
      <c r="BM569" s="244"/>
      <c r="BN569" s="33"/>
      <c r="BO569" s="242"/>
      <c r="BP569" s="241"/>
      <c r="BQ569" s="244"/>
      <c r="BR569" s="33"/>
      <c r="BS569" s="242"/>
      <c r="BT569" s="241"/>
      <c r="BU569" s="244"/>
      <c r="BV569" s="33"/>
      <c r="BW569" s="242"/>
      <c r="BX569" s="241"/>
      <c r="BY569" s="244"/>
      <c r="BZ569" s="33"/>
      <c r="CA569" s="242"/>
      <c r="CB569" s="241"/>
      <c r="CC569" s="244"/>
      <c r="CD569" s="243"/>
      <c r="CE569" s="243"/>
      <c r="CF569" s="243"/>
      <c r="CG569" s="243"/>
      <c r="CH569" s="243"/>
      <c r="CI569" s="243"/>
      <c r="CJ569" s="243"/>
      <c r="CK569" s="243"/>
      <c r="CL569" s="243"/>
      <c r="CM569" s="243"/>
      <c r="CN569" s="243"/>
      <c r="CO569" s="243"/>
      <c r="CP569" s="243"/>
      <c r="CQ569" s="243"/>
      <c r="CR569" s="243"/>
      <c r="CS569" s="243"/>
      <c r="CT569" s="243"/>
      <c r="CU569" s="243"/>
      <c r="CV569" s="243"/>
      <c r="CW569" s="243"/>
      <c r="CX569" s="243"/>
      <c r="CY569" s="243"/>
      <c r="CZ569" s="243"/>
      <c r="DA569" s="243"/>
      <c r="DB569" s="243"/>
      <c r="DC569" s="243"/>
      <c r="DD569" s="243"/>
      <c r="DE569" s="243"/>
      <c r="DF569" s="243"/>
      <c r="DG569" s="243"/>
      <c r="DH569" s="243"/>
      <c r="DI569" s="243"/>
      <c r="DJ569" s="243"/>
      <c r="DK569" s="243"/>
      <c r="DM569" s="242"/>
      <c r="DO569" s="243"/>
      <c r="DQ569" s="242"/>
      <c r="DS569" s="243"/>
      <c r="DU569" s="242"/>
      <c r="DW569" s="243"/>
      <c r="DY569" s="242"/>
      <c r="EA569" s="243"/>
    </row>
    <row r="570" spans="1:131">
      <c r="A570" s="20"/>
      <c r="B570" s="124" t="str">
        <f t="shared" si="534"/>
        <v/>
      </c>
      <c r="C570" s="235"/>
      <c r="D570" s="24">
        <f>'1% Wind'!$M$85</f>
        <v>17.8</v>
      </c>
      <c r="E570" s="90"/>
      <c r="F570" s="90"/>
      <c r="G570" s="79">
        <f ca="1">IF(I566=0.9743,$G569,MAX(G569/D569*D570,2))</f>
        <v>6.001707317073171</v>
      </c>
      <c r="H570" s="121" t="e">
        <f t="shared" ca="1" si="535"/>
        <v>#VALUE!</v>
      </c>
      <c r="J570" s="33"/>
      <c r="K570" s="242">
        <f t="shared" si="536"/>
        <v>1</v>
      </c>
      <c r="L570" s="241" t="e">
        <f t="shared" ca="1" si="537"/>
        <v>#VALUE!</v>
      </c>
      <c r="M570" s="243" t="e">
        <f ca="1">IF(AND(INDEX(FlowCalConstA,MATCH(J566,FlowCalNumber,0),1,1)*L570^INDEX(FlowCalConstB,MATCH(J566,FlowCalNumber,0),1,1)&gt;INDEX(FlowCalLowSetting,MATCH(J566,FlowCalNumber,0),1,1), (INDEX(FlowCalConstA,MATCH(J566,FlowCalNumber,0),1,1)*L570^INDEX(FlowCalConstB,MATCH(J566,FlowCalNumber,0),1,1)&lt;INDEX(FlowCalHighSetting,MATCH(J566,FlowCalNumber,0),1,1))),INDEX(FlowCalConstA,MATCH(J566,FlowCalNumber,0),1,1)*L570^INDEX(FlowCalConstB,MATCH(J566,FlowCalNumber,0),1,1)," ")</f>
        <v>#N/A</v>
      </c>
      <c r="N570" s="33"/>
      <c r="O570" s="242">
        <f t="shared" si="538"/>
        <v>1</v>
      </c>
      <c r="P570" s="241" t="e">
        <f t="shared" ca="1" si="539"/>
        <v>#VALUE!</v>
      </c>
      <c r="Q570" s="243" t="e">
        <f ca="1">IF(AND(INDEX(FlowCalConstA,MATCH(N566,FlowCalNumber,0),1,1)*P570^INDEX(FlowCalConstB,MATCH(N566,FlowCalNumber,0),1,1)&gt;INDEX(FlowCalLowSetting,MATCH(N566,FlowCalNumber,0),1,1), (INDEX(FlowCalConstA,MATCH(N566,FlowCalNumber,0),1,1)*P570^INDEX(FlowCalConstB,MATCH(N566,FlowCalNumber,0),1,1)&lt;INDEX(FlowCalHighSetting,MATCH(N566,FlowCalNumber,0),1,1))),INDEX(FlowCalConstA,MATCH(N566,FlowCalNumber,0),1,1)*P570^INDEX(FlowCalConstB,MATCH(N566,FlowCalNumber,0),1,1)," ")</f>
        <v>#N/A</v>
      </c>
      <c r="R570" s="33"/>
      <c r="S570" s="242">
        <f t="shared" si="540"/>
        <v>1</v>
      </c>
      <c r="T570" s="241" t="e">
        <f t="shared" ca="1" si="541"/>
        <v>#VALUE!</v>
      </c>
      <c r="U570" s="244" t="e">
        <f ca="1">IF(AND(INDEX(FlowCalConstA,MATCH(R566,FlowCalNumber,0),1,1)*T570^INDEX(FlowCalConstB,MATCH(R566,FlowCalNumber,0),1,1)&gt;INDEX(FlowCalLowSetting,MATCH(R566,FlowCalNumber,0),1,1), (INDEX(FlowCalConstA,MATCH(R566,FlowCalNumber,0),1,1)*T570^INDEX(FlowCalConstB,MATCH(R566,FlowCalNumber,0),1,1)&lt;INDEX(FlowCalHighSetting,MATCH(R566,FlowCalNumber,0),1,1))),INDEX(FlowCalConstA,MATCH(R566,FlowCalNumber,0),1,1)*T570^INDEX(FlowCalConstB,MATCH(R566,FlowCalNumber,0),1,1)," ")</f>
        <v>#N/A</v>
      </c>
      <c r="V570" s="33"/>
      <c r="W570" s="242">
        <f t="shared" si="542"/>
        <v>0.1</v>
      </c>
      <c r="X570" s="241" t="e">
        <f t="shared" ca="1" si="543"/>
        <v>#VALUE!</v>
      </c>
      <c r="Y570" s="243" t="e">
        <f ca="1">IF(AND(INDEX(FlowCalConstA,MATCH(V566,FlowCalNumber,0),1,1)*X570^INDEX(FlowCalConstB,MATCH(V566,FlowCalNumber,0),1,1)&gt;INDEX(FlowCalLowSetting,MATCH(V566,FlowCalNumber,0),1,1), (INDEX(FlowCalConstA,MATCH(V566,FlowCalNumber,0),1,1)*X570^INDEX(FlowCalConstB,MATCH(V566,FlowCalNumber,0),1,1)&lt;INDEX(FlowCalHighSetting,MATCH(V566,FlowCalNumber,0),1,1))),INDEX(FlowCalConstA,MATCH(V566,FlowCalNumber,0),1,1)*X570^INDEX(FlowCalConstB,MATCH(V566,FlowCalNumber,0),1,1)," ")</f>
        <v>#N/A</v>
      </c>
      <c r="Z570" s="33"/>
      <c r="AA570" s="242">
        <f t="shared" si="544"/>
        <v>0.9</v>
      </c>
      <c r="AB570" s="241" t="e">
        <f t="shared" ca="1" si="545"/>
        <v>#VALUE!</v>
      </c>
      <c r="AC570" s="243" t="e">
        <f ca="1">IF(AND(INDEX(FlowCalConstA,MATCH(Z566,FlowCalNumber,0),1,1)*AB570^INDEX(FlowCalConstB,MATCH(Z566,FlowCalNumber,0),1,1)&gt;INDEX(FlowCalLowSetting,MATCH(Z566,FlowCalNumber,0),1,1), (INDEX(FlowCalConstA,MATCH(Z566,FlowCalNumber,0),1,1)*AB570^INDEX(FlowCalConstB,MATCH(Z566,FlowCalNumber,0),1,1)&lt;INDEX(FlowCalHighSetting,MATCH(Z566,FlowCalNumber,0),1,1))),INDEX(FlowCalConstA,MATCH(Z566,FlowCalNumber,0),1,1)*AB570^INDEX(FlowCalConstB,MATCH(Z566,FlowCalNumber,0),1,1)," ")</f>
        <v>#N/A</v>
      </c>
      <c r="AD570" s="33"/>
      <c r="AE570" s="242">
        <f t="shared" si="546"/>
        <v>0.1</v>
      </c>
      <c r="AF570" s="241" t="e">
        <f t="shared" ca="1" si="547"/>
        <v>#VALUE!</v>
      </c>
      <c r="AG570" s="243" t="e">
        <f ca="1">IF(AND(INDEX(FlowCalConstA,MATCH(AD566,FlowCalNumber,0),1,1)*AF570^INDEX(FlowCalConstB,MATCH(AD566,FlowCalNumber,0),1,1)&gt;INDEX(FlowCalLowSetting,MATCH(AD566,FlowCalNumber,0),1,1), (INDEX(FlowCalConstA,MATCH(AD566,FlowCalNumber,0),1,1)*AF570^INDEX(FlowCalConstB,MATCH(AD566,FlowCalNumber,0),1,1)&lt;INDEX(FlowCalHighSetting,MATCH(AD566,FlowCalNumber,0),1,1))),INDEX(FlowCalConstA,MATCH(AD566,FlowCalNumber,0),1,1)*AF570^INDEX(FlowCalConstB,MATCH(AD566,FlowCalNumber,0),1,1)," ")</f>
        <v>#N/A</v>
      </c>
      <c r="AH570" s="33"/>
      <c r="AI570" s="242">
        <f t="shared" si="548"/>
        <v>0.9</v>
      </c>
      <c r="AJ570" s="241" t="e">
        <f t="shared" ca="1" si="549"/>
        <v>#VALUE!</v>
      </c>
      <c r="AK570" s="243" t="e">
        <f ca="1">IF(AND(INDEX(FlowCalConstA,MATCH(AH566,FlowCalNumber,0),1,1)*AJ570^INDEX(FlowCalConstB,MATCH(AH566,FlowCalNumber,0),1,1)&gt;INDEX(FlowCalLowSetting,MATCH(AH566,FlowCalNumber,0),1,1), (INDEX(FlowCalConstA,MATCH(AH566,FlowCalNumber,0),1,1)*AJ570^INDEX(FlowCalConstB,MATCH(AH566,FlowCalNumber,0),1,1)&lt;INDEX(FlowCalHighSetting,MATCH(AH566,FlowCalNumber,0),1,1))),INDEX(FlowCalConstA,MATCH(AH566,FlowCalNumber,0),1,1)*AJ570^INDEX(FlowCalConstB,MATCH(AH566,FlowCalNumber,0),1,1)," ")</f>
        <v>#N/A</v>
      </c>
      <c r="AL570" s="33"/>
      <c r="AM570" s="242"/>
      <c r="AN570" s="241"/>
      <c r="AO570" s="244"/>
      <c r="AQ570" s="242"/>
      <c r="AR570" s="241"/>
      <c r="AS570" s="244"/>
      <c r="AT570" s="33"/>
      <c r="AU570" s="242"/>
      <c r="AV570" s="241"/>
      <c r="AW570" s="244"/>
      <c r="AX570" s="33"/>
      <c r="AY570" s="242"/>
      <c r="AZ570" s="241"/>
      <c r="BA570" s="244"/>
      <c r="BB570" s="33"/>
      <c r="BC570" s="242"/>
      <c r="BD570" s="241"/>
      <c r="BE570" s="244"/>
      <c r="BF570" s="33"/>
      <c r="BG570" s="242"/>
      <c r="BH570" s="241"/>
      <c r="BI570" s="244"/>
      <c r="BJ570" s="33"/>
      <c r="BK570" s="242"/>
      <c r="BL570" s="241"/>
      <c r="BM570" s="244"/>
      <c r="BN570" s="33"/>
      <c r="BO570" s="242"/>
      <c r="BP570" s="241"/>
      <c r="BQ570" s="244"/>
      <c r="BR570" s="33"/>
      <c r="BS570" s="242"/>
      <c r="BT570" s="241"/>
      <c r="BU570" s="244"/>
      <c r="BV570" s="33"/>
      <c r="BW570" s="242"/>
      <c r="BX570" s="241"/>
      <c r="BY570" s="244"/>
      <c r="BZ570" s="33"/>
      <c r="CA570" s="242"/>
      <c r="CB570" s="241"/>
      <c r="CC570" s="244"/>
      <c r="CD570" s="243"/>
      <c r="CE570" s="243"/>
      <c r="CF570" s="243"/>
      <c r="CG570" s="243"/>
      <c r="CH570" s="243"/>
      <c r="CI570" s="243"/>
      <c r="CJ570" s="243"/>
      <c r="CK570" s="243"/>
      <c r="CL570" s="243"/>
      <c r="CM570" s="243"/>
      <c r="CN570" s="243"/>
      <c r="CO570" s="243"/>
      <c r="CP570" s="243"/>
      <c r="CQ570" s="243"/>
      <c r="CR570" s="243"/>
      <c r="CS570" s="243"/>
      <c r="CT570" s="243"/>
      <c r="CU570" s="243"/>
      <c r="CV570" s="243"/>
      <c r="CW570" s="243"/>
      <c r="CX570" s="243"/>
      <c r="CY570" s="243"/>
      <c r="CZ570" s="243"/>
      <c r="DA570" s="243"/>
      <c r="DB570" s="243"/>
      <c r="DC570" s="243"/>
      <c r="DD570" s="243"/>
      <c r="DE570" s="243"/>
      <c r="DF570" s="243"/>
      <c r="DG570" s="243"/>
      <c r="DH570" s="243"/>
      <c r="DI570" s="243"/>
      <c r="DJ570" s="243"/>
      <c r="DK570" s="243"/>
      <c r="DM570" s="242"/>
      <c r="DO570" s="243"/>
      <c r="DQ570" s="242"/>
      <c r="DS570" s="243"/>
      <c r="DU570" s="242"/>
      <c r="DW570" s="243"/>
      <c r="DY570" s="242"/>
      <c r="EA570" s="243"/>
    </row>
    <row r="571" spans="1:131">
      <c r="A571" s="20"/>
      <c r="B571" s="124" t="str">
        <f t="shared" si="534"/>
        <v/>
      </c>
      <c r="C571" s="235"/>
      <c r="D571" s="24">
        <f>'1% Wind'!$M$86</f>
        <v>15.5</v>
      </c>
      <c r="E571" s="90"/>
      <c r="F571" s="90"/>
      <c r="G571" s="79">
        <f ca="1">IF(I566=0.9743,$G570,MAX(G570/D570*D571,2))</f>
        <v>6.001707317073171</v>
      </c>
      <c r="H571" s="121" t="e">
        <f t="shared" ca="1" si="535"/>
        <v>#VALUE!</v>
      </c>
      <c r="J571" s="33"/>
      <c r="K571" s="242">
        <f t="shared" si="536"/>
        <v>1</v>
      </c>
      <c r="L571" s="241" t="e">
        <f t="shared" ca="1" si="537"/>
        <v>#VALUE!</v>
      </c>
      <c r="M571" s="243" t="e">
        <f ca="1">IF(AND(INDEX(FlowCalConstA,MATCH(J566,FlowCalNumber,0),1,1)*L571^INDEX(FlowCalConstB,MATCH(J566,FlowCalNumber,0),1,1)&gt;INDEX(FlowCalLowSetting,MATCH(J566,FlowCalNumber,0),1,1), (INDEX(FlowCalConstA,MATCH(J566,FlowCalNumber,0),1,1)*L571^INDEX(FlowCalConstB,MATCH(J566,FlowCalNumber,0),1,1)&lt;INDEX(FlowCalHighSetting,MATCH(J566,FlowCalNumber,0),1,1))),INDEX(FlowCalConstA,MATCH(J566,FlowCalNumber,0),1,1)*L571^INDEX(FlowCalConstB,MATCH(J566,FlowCalNumber,0),1,1)," ")</f>
        <v>#N/A</v>
      </c>
      <c r="N571" s="33"/>
      <c r="O571" s="242">
        <f t="shared" si="538"/>
        <v>1</v>
      </c>
      <c r="P571" s="241" t="e">
        <f t="shared" ca="1" si="539"/>
        <v>#VALUE!</v>
      </c>
      <c r="Q571" s="243" t="e">
        <f ca="1">IF(AND(INDEX(FlowCalConstA,MATCH(N566,FlowCalNumber,0),1,1)*P571^INDEX(FlowCalConstB,MATCH(N566,FlowCalNumber,0),1,1)&gt;INDEX(FlowCalLowSetting,MATCH(N566,FlowCalNumber,0),1,1), (INDEX(FlowCalConstA,MATCH(N566,FlowCalNumber,0),1,1)*P571^INDEX(FlowCalConstB,MATCH(N566,FlowCalNumber,0),1,1)&lt;INDEX(FlowCalHighSetting,MATCH(N566,FlowCalNumber,0),1,1))),INDEX(FlowCalConstA,MATCH(N566,FlowCalNumber,0),1,1)*P571^INDEX(FlowCalConstB,MATCH(N566,FlowCalNumber,0),1,1)," ")</f>
        <v>#N/A</v>
      </c>
      <c r="R571" s="33"/>
      <c r="S571" s="242">
        <f t="shared" si="540"/>
        <v>1</v>
      </c>
      <c r="T571" s="241" t="e">
        <f t="shared" ca="1" si="541"/>
        <v>#VALUE!</v>
      </c>
      <c r="U571" s="244" t="e">
        <f ca="1">IF(AND(INDEX(FlowCalConstA,MATCH(R566,FlowCalNumber,0),1,1)*T571^INDEX(FlowCalConstB,MATCH(R566,FlowCalNumber,0),1,1)&gt;INDEX(FlowCalLowSetting,MATCH(R566,FlowCalNumber,0),1,1), (INDEX(FlowCalConstA,MATCH(R566,FlowCalNumber,0),1,1)*T571^INDEX(FlowCalConstB,MATCH(R566,FlowCalNumber,0),1,1)&lt;INDEX(FlowCalHighSetting,MATCH(R566,FlowCalNumber,0),1,1))),INDEX(FlowCalConstA,MATCH(R566,FlowCalNumber,0),1,1)*T571^INDEX(FlowCalConstB,MATCH(R566,FlowCalNumber,0),1,1)," ")</f>
        <v>#N/A</v>
      </c>
      <c r="V571" s="33"/>
      <c r="W571" s="242">
        <f t="shared" si="542"/>
        <v>0.1</v>
      </c>
      <c r="X571" s="241" t="e">
        <f t="shared" ca="1" si="543"/>
        <v>#VALUE!</v>
      </c>
      <c r="Y571" s="243" t="e">
        <f ca="1">IF(AND(INDEX(FlowCalConstA,MATCH(V566,FlowCalNumber,0),1,1)*X571^INDEX(FlowCalConstB,MATCH(V566,FlowCalNumber,0),1,1)&gt;INDEX(FlowCalLowSetting,MATCH(V566,FlowCalNumber,0),1,1), (INDEX(FlowCalConstA,MATCH(V566,FlowCalNumber,0),1,1)*X571^INDEX(FlowCalConstB,MATCH(V566,FlowCalNumber,0),1,1)&lt;INDEX(FlowCalHighSetting,MATCH(V566,FlowCalNumber,0),1,1))),INDEX(FlowCalConstA,MATCH(V566,FlowCalNumber,0),1,1)*X571^INDEX(FlowCalConstB,MATCH(V566,FlowCalNumber,0),1,1)," ")</f>
        <v>#N/A</v>
      </c>
      <c r="Z571" s="33"/>
      <c r="AA571" s="242">
        <f t="shared" si="544"/>
        <v>0.9</v>
      </c>
      <c r="AB571" s="241" t="e">
        <f t="shared" ca="1" si="545"/>
        <v>#VALUE!</v>
      </c>
      <c r="AC571" s="243" t="e">
        <f ca="1">IF(AND(INDEX(FlowCalConstA,MATCH(Z566,FlowCalNumber,0),1,1)*AB571^INDEX(FlowCalConstB,MATCH(Z566,FlowCalNumber,0),1,1)&gt;INDEX(FlowCalLowSetting,MATCH(Z566,FlowCalNumber,0),1,1), (INDEX(FlowCalConstA,MATCH(Z566,FlowCalNumber,0),1,1)*AB571^INDEX(FlowCalConstB,MATCH(Z566,FlowCalNumber,0),1,1)&lt;INDEX(FlowCalHighSetting,MATCH(Z566,FlowCalNumber,0),1,1))),INDEX(FlowCalConstA,MATCH(Z566,FlowCalNumber,0),1,1)*AB571^INDEX(FlowCalConstB,MATCH(Z566,FlowCalNumber,0),1,1)," ")</f>
        <v>#N/A</v>
      </c>
      <c r="AD571" s="33"/>
      <c r="AE571" s="242">
        <f t="shared" si="546"/>
        <v>0.1</v>
      </c>
      <c r="AF571" s="241" t="e">
        <f t="shared" ca="1" si="547"/>
        <v>#VALUE!</v>
      </c>
      <c r="AG571" s="243" t="e">
        <f ca="1">IF(AND(INDEX(FlowCalConstA,MATCH(AD566,FlowCalNumber,0),1,1)*AF571^INDEX(FlowCalConstB,MATCH(AD566,FlowCalNumber,0),1,1)&gt;INDEX(FlowCalLowSetting,MATCH(AD566,FlowCalNumber,0),1,1), (INDEX(FlowCalConstA,MATCH(AD566,FlowCalNumber,0),1,1)*AF571^INDEX(FlowCalConstB,MATCH(AD566,FlowCalNumber,0),1,1)&lt;INDEX(FlowCalHighSetting,MATCH(AD566,FlowCalNumber,0),1,1))),INDEX(FlowCalConstA,MATCH(AD566,FlowCalNumber,0),1,1)*AF571^INDEX(FlowCalConstB,MATCH(AD566,FlowCalNumber,0),1,1)," ")</f>
        <v>#N/A</v>
      </c>
      <c r="AH571" s="33"/>
      <c r="AI571" s="242">
        <f t="shared" si="548"/>
        <v>0.9</v>
      </c>
      <c r="AJ571" s="241" t="e">
        <f t="shared" ca="1" si="549"/>
        <v>#VALUE!</v>
      </c>
      <c r="AK571" s="243" t="e">
        <f ca="1">IF(AND(INDEX(FlowCalConstA,MATCH(AH566,FlowCalNumber,0),1,1)*AJ571^INDEX(FlowCalConstB,MATCH(AH566,FlowCalNumber,0),1,1)&gt;INDEX(FlowCalLowSetting,MATCH(AH566,FlowCalNumber,0),1,1), (INDEX(FlowCalConstA,MATCH(AH566,FlowCalNumber,0),1,1)*AJ571^INDEX(FlowCalConstB,MATCH(AH566,FlowCalNumber,0),1,1)&lt;INDEX(FlowCalHighSetting,MATCH(AH566,FlowCalNumber,0),1,1))),INDEX(FlowCalConstA,MATCH(AH566,FlowCalNumber,0),1,1)*AJ571^INDEX(FlowCalConstB,MATCH(AH566,FlowCalNumber,0),1,1)," ")</f>
        <v>#N/A</v>
      </c>
      <c r="AL571" s="33"/>
      <c r="AM571" s="242"/>
      <c r="AN571" s="241"/>
      <c r="AO571" s="244"/>
      <c r="AQ571" s="242"/>
      <c r="AR571" s="241"/>
      <c r="AS571" s="244"/>
      <c r="AT571" s="33"/>
      <c r="AU571" s="242"/>
      <c r="AV571" s="241"/>
      <c r="AW571" s="244"/>
      <c r="AX571" s="33"/>
      <c r="AY571" s="242"/>
      <c r="AZ571" s="241"/>
      <c r="BA571" s="244"/>
      <c r="BB571" s="33"/>
      <c r="BC571" s="242"/>
      <c r="BD571" s="241"/>
      <c r="BE571" s="244"/>
      <c r="BF571" s="33"/>
      <c r="BG571" s="242"/>
      <c r="BH571" s="241"/>
      <c r="BI571" s="244"/>
      <c r="BJ571" s="33"/>
      <c r="BK571" s="242"/>
      <c r="BL571" s="241"/>
      <c r="BM571" s="244"/>
      <c r="BN571" s="33"/>
      <c r="BO571" s="242"/>
      <c r="BP571" s="241"/>
      <c r="BQ571" s="244"/>
      <c r="BR571" s="33"/>
      <c r="BS571" s="242"/>
      <c r="BT571" s="241"/>
      <c r="BU571" s="244"/>
      <c r="BV571" s="33"/>
      <c r="BW571" s="242"/>
      <c r="BX571" s="241"/>
      <c r="BY571" s="244"/>
      <c r="BZ571" s="33"/>
      <c r="CA571" s="242"/>
      <c r="CB571" s="241"/>
      <c r="CC571" s="244"/>
      <c r="CD571" s="243"/>
      <c r="CE571" s="243"/>
      <c r="CF571" s="243"/>
      <c r="CG571" s="243"/>
      <c r="CH571" s="243"/>
      <c r="CI571" s="243"/>
      <c r="CJ571" s="243"/>
      <c r="CK571" s="243"/>
      <c r="CL571" s="243"/>
      <c r="CM571" s="243"/>
      <c r="CN571" s="243"/>
      <c r="CO571" s="243"/>
      <c r="CP571" s="243"/>
      <c r="CQ571" s="243"/>
      <c r="CR571" s="243"/>
      <c r="CS571" s="243"/>
      <c r="CT571" s="243"/>
      <c r="CU571" s="243"/>
      <c r="CV571" s="243"/>
      <c r="CW571" s="243"/>
      <c r="CX571" s="243"/>
      <c r="CY571" s="243"/>
      <c r="CZ571" s="243"/>
      <c r="DA571" s="243"/>
      <c r="DB571" s="243"/>
      <c r="DC571" s="243"/>
      <c r="DD571" s="243"/>
      <c r="DE571" s="243"/>
      <c r="DF571" s="243"/>
      <c r="DG571" s="243"/>
      <c r="DH571" s="243"/>
      <c r="DI571" s="243"/>
      <c r="DJ571" s="243"/>
      <c r="DK571" s="243"/>
      <c r="DM571" s="242"/>
      <c r="DO571" s="243"/>
      <c r="DQ571" s="242"/>
      <c r="DS571" s="243"/>
      <c r="DU571" s="242"/>
      <c r="DW571" s="243"/>
      <c r="DY571" s="242"/>
      <c r="EA571" s="243"/>
    </row>
    <row r="572" spans="1:131">
      <c r="A572" s="20"/>
      <c r="B572" s="124" t="str">
        <f t="shared" si="534"/>
        <v/>
      </c>
      <c r="C572" s="235"/>
      <c r="D572" s="24">
        <f>'1% Wind'!$M$87</f>
        <v>13.5</v>
      </c>
      <c r="E572" s="90"/>
      <c r="F572" s="90"/>
      <c r="G572" s="79">
        <f ca="1">IF(I566=0.9743,$G571,MAX(G571/D571*D572,2))</f>
        <v>6.001707317073171</v>
      </c>
      <c r="H572" s="121" t="e">
        <f t="shared" ca="1" si="535"/>
        <v>#VALUE!</v>
      </c>
      <c r="J572" s="33"/>
      <c r="K572" s="242">
        <f t="shared" si="536"/>
        <v>1</v>
      </c>
      <c r="L572" s="241" t="e">
        <f t="shared" ca="1" si="537"/>
        <v>#VALUE!</v>
      </c>
      <c r="M572" s="243" t="e">
        <f ca="1">IF(AND(INDEX(FlowCalConstA,MATCH(J566,FlowCalNumber,0),1,1)*L572^INDEX(FlowCalConstB,MATCH(J566,FlowCalNumber,0),1,1)&gt;INDEX(FlowCalLowSetting,MATCH(J566,FlowCalNumber,0),1,1), (INDEX(FlowCalConstA,MATCH(J566,FlowCalNumber,0),1,1)*L572^INDEX(FlowCalConstB,MATCH(J566,FlowCalNumber,0),1,1)&lt;INDEX(FlowCalHighSetting,MATCH(J566,FlowCalNumber,0),1,1))),INDEX(FlowCalConstA,MATCH(J566,FlowCalNumber,0),1,1)*L572^INDEX(FlowCalConstB,MATCH(J566,FlowCalNumber,0),1,1)," ")</f>
        <v>#N/A</v>
      </c>
      <c r="N572" s="33"/>
      <c r="O572" s="242">
        <f t="shared" si="538"/>
        <v>1</v>
      </c>
      <c r="P572" s="241" t="e">
        <f t="shared" ca="1" si="539"/>
        <v>#VALUE!</v>
      </c>
      <c r="Q572" s="243" t="e">
        <f ca="1">IF(AND(INDEX(FlowCalConstA,MATCH(N566,FlowCalNumber,0),1,1)*P572^INDEX(FlowCalConstB,MATCH(N566,FlowCalNumber,0),1,1)&gt;INDEX(FlowCalLowSetting,MATCH(N566,FlowCalNumber,0),1,1), (INDEX(FlowCalConstA,MATCH(N566,FlowCalNumber,0),1,1)*P572^INDEX(FlowCalConstB,MATCH(N566,FlowCalNumber,0),1,1)&lt;INDEX(FlowCalHighSetting,MATCH(N566,FlowCalNumber,0),1,1))),INDEX(FlowCalConstA,MATCH(N566,FlowCalNumber,0),1,1)*P572^INDEX(FlowCalConstB,MATCH(N566,FlowCalNumber,0),1,1)," ")</f>
        <v>#N/A</v>
      </c>
      <c r="R572" s="33"/>
      <c r="S572" s="242">
        <f t="shared" si="540"/>
        <v>1</v>
      </c>
      <c r="T572" s="241" t="e">
        <f t="shared" ca="1" si="541"/>
        <v>#VALUE!</v>
      </c>
      <c r="U572" s="244" t="e">
        <f ca="1">IF(AND(INDEX(FlowCalConstA,MATCH(R566,FlowCalNumber,0),1,1)*T572^INDEX(FlowCalConstB,MATCH(R566,FlowCalNumber,0),1,1)&gt;INDEX(FlowCalLowSetting,MATCH(R566,FlowCalNumber,0),1,1), (INDEX(FlowCalConstA,MATCH(R566,FlowCalNumber,0),1,1)*T572^INDEX(FlowCalConstB,MATCH(R566,FlowCalNumber,0),1,1)&lt;INDEX(FlowCalHighSetting,MATCH(R566,FlowCalNumber,0),1,1))),INDEX(FlowCalConstA,MATCH(R566,FlowCalNumber,0),1,1)*T572^INDEX(FlowCalConstB,MATCH(R566,FlowCalNumber,0),1,1)," ")</f>
        <v>#N/A</v>
      </c>
      <c r="V572" s="33"/>
      <c r="W572" s="242">
        <f t="shared" si="542"/>
        <v>0.1</v>
      </c>
      <c r="X572" s="241" t="e">
        <f t="shared" ca="1" si="543"/>
        <v>#VALUE!</v>
      </c>
      <c r="Y572" s="243" t="e">
        <f ca="1">IF(AND(INDEX(FlowCalConstA,MATCH(V566,FlowCalNumber,0),1,1)*X572^INDEX(FlowCalConstB,MATCH(V566,FlowCalNumber,0),1,1)&gt;INDEX(FlowCalLowSetting,MATCH(V566,FlowCalNumber,0),1,1), (INDEX(FlowCalConstA,MATCH(V566,FlowCalNumber,0),1,1)*X572^INDEX(FlowCalConstB,MATCH(V566,FlowCalNumber,0),1,1)&lt;INDEX(FlowCalHighSetting,MATCH(V566,FlowCalNumber,0),1,1))),INDEX(FlowCalConstA,MATCH(V566,FlowCalNumber,0),1,1)*X572^INDEX(FlowCalConstB,MATCH(V566,FlowCalNumber,0),1,1)," ")</f>
        <v>#N/A</v>
      </c>
      <c r="Z572" s="33"/>
      <c r="AA572" s="242">
        <f t="shared" si="544"/>
        <v>0.9</v>
      </c>
      <c r="AB572" s="241" t="e">
        <f t="shared" ca="1" si="545"/>
        <v>#VALUE!</v>
      </c>
      <c r="AC572" s="243" t="e">
        <f ca="1">IF(AND(INDEX(FlowCalConstA,MATCH(Z566,FlowCalNumber,0),1,1)*AB572^INDEX(FlowCalConstB,MATCH(Z566,FlowCalNumber,0),1,1)&gt;INDEX(FlowCalLowSetting,MATCH(Z566,FlowCalNumber,0),1,1), (INDEX(FlowCalConstA,MATCH(Z566,FlowCalNumber,0),1,1)*AB572^INDEX(FlowCalConstB,MATCH(Z566,FlowCalNumber,0),1,1)&lt;INDEX(FlowCalHighSetting,MATCH(Z566,FlowCalNumber,0),1,1))),INDEX(FlowCalConstA,MATCH(Z566,FlowCalNumber,0),1,1)*AB572^INDEX(FlowCalConstB,MATCH(Z566,FlowCalNumber,0),1,1)," ")</f>
        <v>#N/A</v>
      </c>
      <c r="AD572" s="33"/>
      <c r="AE572" s="242">
        <f t="shared" si="546"/>
        <v>0.1</v>
      </c>
      <c r="AF572" s="241" t="e">
        <f t="shared" ca="1" si="547"/>
        <v>#VALUE!</v>
      </c>
      <c r="AG572" s="243" t="e">
        <f ca="1">IF(AND(INDEX(FlowCalConstA,MATCH(AD566,FlowCalNumber,0),1,1)*AF572^INDEX(FlowCalConstB,MATCH(AD566,FlowCalNumber,0),1,1)&gt;INDEX(FlowCalLowSetting,MATCH(AD566,FlowCalNumber,0),1,1), (INDEX(FlowCalConstA,MATCH(AD566,FlowCalNumber,0),1,1)*AF572^INDEX(FlowCalConstB,MATCH(AD566,FlowCalNumber,0),1,1)&lt;INDEX(FlowCalHighSetting,MATCH(AD566,FlowCalNumber,0),1,1))),INDEX(FlowCalConstA,MATCH(AD566,FlowCalNumber,0),1,1)*AF572^INDEX(FlowCalConstB,MATCH(AD566,FlowCalNumber,0),1,1)," ")</f>
        <v>#N/A</v>
      </c>
      <c r="AH572" s="33"/>
      <c r="AI572" s="242">
        <f t="shared" si="548"/>
        <v>0.9</v>
      </c>
      <c r="AJ572" s="241" t="e">
        <f t="shared" ca="1" si="549"/>
        <v>#VALUE!</v>
      </c>
      <c r="AK572" s="243" t="e">
        <f ca="1">IF(AND(INDEX(FlowCalConstA,MATCH(AH566,FlowCalNumber,0),1,1)*AJ572^INDEX(FlowCalConstB,MATCH(AH566,FlowCalNumber,0),1,1)&gt;INDEX(FlowCalLowSetting,MATCH(AH566,FlowCalNumber,0),1,1), (INDEX(FlowCalConstA,MATCH(AH566,FlowCalNumber,0),1,1)*AJ572^INDEX(FlowCalConstB,MATCH(AH566,FlowCalNumber,0),1,1)&lt;INDEX(FlowCalHighSetting,MATCH(AH566,FlowCalNumber,0),1,1))),INDEX(FlowCalConstA,MATCH(AH566,FlowCalNumber,0),1,1)*AJ572^INDEX(FlowCalConstB,MATCH(AH566,FlowCalNumber,0),1,1)," ")</f>
        <v>#N/A</v>
      </c>
      <c r="AL572" s="33"/>
      <c r="AM572" s="242"/>
      <c r="AN572" s="241"/>
      <c r="AO572" s="244"/>
      <c r="AQ572" s="242"/>
      <c r="AR572" s="241"/>
      <c r="AS572" s="244"/>
      <c r="AT572" s="33"/>
      <c r="AU572" s="242"/>
      <c r="AV572" s="241"/>
      <c r="AW572" s="244"/>
      <c r="AX572" s="33"/>
      <c r="AY572" s="242"/>
      <c r="AZ572" s="241"/>
      <c r="BA572" s="244"/>
      <c r="BB572" s="33"/>
      <c r="BC572" s="242"/>
      <c r="BD572" s="241"/>
      <c r="BE572" s="244"/>
      <c r="BF572" s="33"/>
      <c r="BG572" s="242"/>
      <c r="BH572" s="241"/>
      <c r="BI572" s="244"/>
      <c r="BJ572" s="33"/>
      <c r="BK572" s="242"/>
      <c r="BL572" s="241"/>
      <c r="BM572" s="244"/>
      <c r="BN572" s="33"/>
      <c r="BO572" s="242"/>
      <c r="BP572" s="241"/>
      <c r="BQ572" s="244"/>
      <c r="BR572" s="33"/>
      <c r="BS572" s="242"/>
      <c r="BT572" s="241"/>
      <c r="BU572" s="244"/>
      <c r="BV572" s="33"/>
      <c r="BW572" s="242"/>
      <c r="BX572" s="241"/>
      <c r="BY572" s="244"/>
      <c r="BZ572" s="33"/>
      <c r="CA572" s="242"/>
      <c r="CB572" s="241"/>
      <c r="CC572" s="244"/>
      <c r="CD572" s="243"/>
      <c r="CE572" s="243"/>
      <c r="CF572" s="243"/>
      <c r="CG572" s="243"/>
      <c r="CH572" s="243"/>
      <c r="CI572" s="243"/>
      <c r="CJ572" s="243"/>
      <c r="CK572" s="243"/>
      <c r="CL572" s="243"/>
      <c r="CM572" s="243"/>
      <c r="CN572" s="243"/>
      <c r="CO572" s="243"/>
      <c r="CP572" s="243"/>
      <c r="CQ572" s="243"/>
      <c r="CR572" s="243"/>
      <c r="CS572" s="243"/>
      <c r="CT572" s="243"/>
      <c r="CU572" s="243"/>
      <c r="CV572" s="243"/>
      <c r="CW572" s="243"/>
      <c r="CX572" s="243"/>
      <c r="CY572" s="243"/>
      <c r="CZ572" s="243"/>
      <c r="DA572" s="243"/>
      <c r="DB572" s="243"/>
      <c r="DC572" s="243"/>
      <c r="DD572" s="243"/>
      <c r="DE572" s="243"/>
      <c r="DF572" s="243"/>
      <c r="DG572" s="243"/>
      <c r="DH572" s="243"/>
      <c r="DI572" s="243"/>
      <c r="DJ572" s="243"/>
      <c r="DK572" s="243"/>
      <c r="DM572" s="242"/>
      <c r="DO572" s="243"/>
      <c r="DQ572" s="242"/>
      <c r="DS572" s="243"/>
      <c r="DU572" s="242"/>
      <c r="DW572" s="243"/>
      <c r="DY572" s="242"/>
      <c r="EA572" s="243"/>
    </row>
    <row r="573" spans="1:131">
      <c r="A573" s="20"/>
      <c r="B573" s="124" t="str">
        <f t="shared" si="534"/>
        <v/>
      </c>
      <c r="C573" s="235"/>
      <c r="D573" s="24">
        <f>'1% Wind'!$M$88</f>
        <v>10.1</v>
      </c>
      <c r="E573" s="90"/>
      <c r="F573" s="90"/>
      <c r="G573" s="79">
        <f ca="1">IF(I566=0.9743,$G572,MAX(G572/D572*D573,2))</f>
        <v>6.001707317073171</v>
      </c>
      <c r="H573" s="121" t="e">
        <f t="shared" ca="1" si="535"/>
        <v>#VALUE!</v>
      </c>
      <c r="J573" s="33"/>
      <c r="K573" s="242">
        <f t="shared" si="536"/>
        <v>1</v>
      </c>
      <c r="L573" s="241" t="e">
        <f t="shared" ca="1" si="537"/>
        <v>#VALUE!</v>
      </c>
      <c r="M573" s="243" t="e">
        <f ca="1">IF(AND(INDEX(FlowCalConstA,MATCH(J566,FlowCalNumber,0),1,1)*L573^INDEX(FlowCalConstB,MATCH(J566,FlowCalNumber,0),1,1)&gt;INDEX(FlowCalLowSetting,MATCH(J566,FlowCalNumber,0),1,1), (INDEX(FlowCalConstA,MATCH(J566,FlowCalNumber,0),1,1)*L573^INDEX(FlowCalConstB,MATCH(J566,FlowCalNumber,0),1,1)&lt;INDEX(FlowCalHighSetting,MATCH(J566,FlowCalNumber,0),1,1))),INDEX(FlowCalConstA,MATCH(J566,FlowCalNumber,0),1,1)*L573^INDEX(FlowCalConstB,MATCH(J566,FlowCalNumber,0),1,1)," ")</f>
        <v>#N/A</v>
      </c>
      <c r="N573" s="33"/>
      <c r="O573" s="242">
        <f t="shared" si="538"/>
        <v>1</v>
      </c>
      <c r="P573" s="241" t="e">
        <f t="shared" ca="1" si="539"/>
        <v>#VALUE!</v>
      </c>
      <c r="Q573" s="243" t="e">
        <f ca="1">IF(AND(INDEX(FlowCalConstA,MATCH(N566,FlowCalNumber,0),1,1)*P573^INDEX(FlowCalConstB,MATCH(N566,FlowCalNumber,0),1,1)&gt;INDEX(FlowCalLowSetting,MATCH(N566,FlowCalNumber,0),1,1), (INDEX(FlowCalConstA,MATCH(N566,FlowCalNumber,0),1,1)*P573^INDEX(FlowCalConstB,MATCH(N566,FlowCalNumber,0),1,1)&lt;INDEX(FlowCalHighSetting,MATCH(N566,FlowCalNumber,0),1,1))),INDEX(FlowCalConstA,MATCH(N566,FlowCalNumber,0),1,1)*P573^INDEX(FlowCalConstB,MATCH(N566,FlowCalNumber,0),1,1)," ")</f>
        <v>#N/A</v>
      </c>
      <c r="R573" s="33"/>
      <c r="S573" s="242">
        <f t="shared" si="540"/>
        <v>1</v>
      </c>
      <c r="T573" s="241" t="e">
        <f t="shared" ca="1" si="541"/>
        <v>#VALUE!</v>
      </c>
      <c r="U573" s="244" t="e">
        <f ca="1">IF(AND(INDEX(FlowCalConstA,MATCH(R566,FlowCalNumber,0),1,1)*T573^INDEX(FlowCalConstB,MATCH(R566,FlowCalNumber,0),1,1)&gt;INDEX(FlowCalLowSetting,MATCH(R566,FlowCalNumber,0),1,1), (INDEX(FlowCalConstA,MATCH(R566,FlowCalNumber,0),1,1)*T573^INDEX(FlowCalConstB,MATCH(R566,FlowCalNumber,0),1,1)&lt;INDEX(FlowCalHighSetting,MATCH(R566,FlowCalNumber,0),1,1))),INDEX(FlowCalConstA,MATCH(R566,FlowCalNumber,0),1,1)*T573^INDEX(FlowCalConstB,MATCH(R566,FlowCalNumber,0),1,1)," ")</f>
        <v>#N/A</v>
      </c>
      <c r="V573" s="33"/>
      <c r="W573" s="242">
        <f t="shared" si="542"/>
        <v>0.1</v>
      </c>
      <c r="X573" s="241" t="e">
        <f t="shared" ca="1" si="543"/>
        <v>#VALUE!</v>
      </c>
      <c r="Y573" s="243" t="e">
        <f ca="1">IF(AND(INDEX(FlowCalConstA,MATCH(V566,FlowCalNumber,0),1,1)*X573^INDEX(FlowCalConstB,MATCH(V566,FlowCalNumber,0),1,1)&gt;INDEX(FlowCalLowSetting,MATCH(V566,FlowCalNumber,0),1,1), (INDEX(FlowCalConstA,MATCH(V566,FlowCalNumber,0),1,1)*X573^INDEX(FlowCalConstB,MATCH(V566,FlowCalNumber,0),1,1)&lt;INDEX(FlowCalHighSetting,MATCH(V566,FlowCalNumber,0),1,1))),INDEX(FlowCalConstA,MATCH(V566,FlowCalNumber,0),1,1)*X573^INDEX(FlowCalConstB,MATCH(V566,FlowCalNumber,0),1,1)," ")</f>
        <v>#N/A</v>
      </c>
      <c r="Z573" s="33"/>
      <c r="AA573" s="242">
        <f t="shared" si="544"/>
        <v>0.9</v>
      </c>
      <c r="AB573" s="241" t="e">
        <f t="shared" ca="1" si="545"/>
        <v>#VALUE!</v>
      </c>
      <c r="AC573" s="243" t="e">
        <f ca="1">IF(AND(INDEX(FlowCalConstA,MATCH(Z566,FlowCalNumber,0),1,1)*AB573^INDEX(FlowCalConstB,MATCH(Z566,FlowCalNumber,0),1,1)&gt;INDEX(FlowCalLowSetting,MATCH(Z566,FlowCalNumber,0),1,1), (INDEX(FlowCalConstA,MATCH(Z566,FlowCalNumber,0),1,1)*AB573^INDEX(FlowCalConstB,MATCH(Z566,FlowCalNumber,0),1,1)&lt;INDEX(FlowCalHighSetting,MATCH(Z566,FlowCalNumber,0),1,1))),INDEX(FlowCalConstA,MATCH(Z566,FlowCalNumber,0),1,1)*AB573^INDEX(FlowCalConstB,MATCH(Z566,FlowCalNumber,0),1,1)," ")</f>
        <v>#N/A</v>
      </c>
      <c r="AD573" s="33"/>
      <c r="AE573" s="242">
        <f t="shared" si="546"/>
        <v>0.1</v>
      </c>
      <c r="AF573" s="241" t="e">
        <f t="shared" ca="1" si="547"/>
        <v>#VALUE!</v>
      </c>
      <c r="AG573" s="243" t="e">
        <f ca="1">IF(AND(INDEX(FlowCalConstA,MATCH(AD566,FlowCalNumber,0),1,1)*AF573^INDEX(FlowCalConstB,MATCH(AD566,FlowCalNumber,0),1,1)&gt;INDEX(FlowCalLowSetting,MATCH(AD566,FlowCalNumber,0),1,1), (INDEX(FlowCalConstA,MATCH(AD566,FlowCalNumber,0),1,1)*AF573^INDEX(FlowCalConstB,MATCH(AD566,FlowCalNumber,0),1,1)&lt;INDEX(FlowCalHighSetting,MATCH(AD566,FlowCalNumber,0),1,1))),INDEX(FlowCalConstA,MATCH(AD566,FlowCalNumber,0),1,1)*AF573^INDEX(FlowCalConstB,MATCH(AD566,FlowCalNumber,0),1,1)," ")</f>
        <v>#N/A</v>
      </c>
      <c r="AH573" s="33"/>
      <c r="AI573" s="242">
        <f t="shared" si="548"/>
        <v>0.9</v>
      </c>
      <c r="AJ573" s="241" t="e">
        <f t="shared" ca="1" si="549"/>
        <v>#VALUE!</v>
      </c>
      <c r="AK573" s="243" t="e">
        <f ca="1">IF(AND(INDEX(FlowCalConstA,MATCH(AH566,FlowCalNumber,0),1,1)*AJ573^INDEX(FlowCalConstB,MATCH(AH566,FlowCalNumber,0),1,1)&gt;INDEX(FlowCalLowSetting,MATCH(AH566,FlowCalNumber,0),1,1), (INDEX(FlowCalConstA,MATCH(AH566,FlowCalNumber,0),1,1)*AJ573^INDEX(FlowCalConstB,MATCH(AH566,FlowCalNumber,0),1,1)&lt;INDEX(FlowCalHighSetting,MATCH(AH566,FlowCalNumber,0),1,1))),INDEX(FlowCalConstA,MATCH(AH566,FlowCalNumber,0),1,1)*AJ573^INDEX(FlowCalConstB,MATCH(AH566,FlowCalNumber,0),1,1)," ")</f>
        <v>#N/A</v>
      </c>
      <c r="AL573" s="33"/>
      <c r="AM573" s="242"/>
      <c r="AN573" s="241"/>
      <c r="AO573" s="244"/>
      <c r="AQ573" s="242"/>
      <c r="AR573" s="241"/>
      <c r="AS573" s="244"/>
      <c r="AT573" s="33"/>
      <c r="AU573" s="242"/>
      <c r="AV573" s="241"/>
      <c r="AW573" s="244"/>
      <c r="AX573" s="33"/>
      <c r="AY573" s="242"/>
      <c r="AZ573" s="241"/>
      <c r="BA573" s="244"/>
      <c r="BB573" s="33"/>
      <c r="BC573" s="242"/>
      <c r="BD573" s="241"/>
      <c r="BE573" s="244"/>
      <c r="BF573" s="33"/>
      <c r="BG573" s="242"/>
      <c r="BH573" s="241"/>
      <c r="BI573" s="244"/>
      <c r="BJ573" s="33"/>
      <c r="BK573" s="242"/>
      <c r="BL573" s="241"/>
      <c r="BM573" s="244"/>
      <c r="BN573" s="33"/>
      <c r="BO573" s="242"/>
      <c r="BP573" s="241"/>
      <c r="BQ573" s="244"/>
      <c r="BR573" s="33"/>
      <c r="BS573" s="242"/>
      <c r="BT573" s="241"/>
      <c r="BU573" s="244"/>
      <c r="BV573" s="33"/>
      <c r="BW573" s="242"/>
      <c r="BX573" s="241"/>
      <c r="BY573" s="244"/>
      <c r="BZ573" s="33"/>
      <c r="CA573" s="242"/>
      <c r="CB573" s="241"/>
      <c r="CC573" s="244"/>
      <c r="CD573" s="243"/>
      <c r="CE573" s="243"/>
      <c r="CF573" s="243"/>
      <c r="CG573" s="243"/>
      <c r="CH573" s="243"/>
      <c r="CI573" s="243"/>
      <c r="CJ573" s="243"/>
      <c r="CK573" s="243"/>
      <c r="CL573" s="243"/>
      <c r="CM573" s="243"/>
      <c r="CN573" s="243"/>
      <c r="CO573" s="243"/>
      <c r="CP573" s="243"/>
      <c r="CQ573" s="243"/>
      <c r="CR573" s="243"/>
      <c r="CS573" s="243"/>
      <c r="CT573" s="243"/>
      <c r="CU573" s="243"/>
      <c r="CV573" s="243"/>
      <c r="CW573" s="243"/>
      <c r="CX573" s="243"/>
      <c r="CY573" s="243"/>
      <c r="CZ573" s="243"/>
      <c r="DA573" s="243"/>
      <c r="DB573" s="243"/>
      <c r="DC573" s="243"/>
      <c r="DD573" s="243"/>
      <c r="DE573" s="243"/>
      <c r="DF573" s="243"/>
      <c r="DG573" s="243"/>
      <c r="DH573" s="243"/>
      <c r="DI573" s="243"/>
      <c r="DJ573" s="243"/>
      <c r="DK573" s="243"/>
      <c r="DM573" s="242"/>
      <c r="DO573" s="243"/>
      <c r="DQ573" s="242"/>
      <c r="DS573" s="243"/>
      <c r="DU573" s="242"/>
      <c r="DW573" s="243"/>
      <c r="DY573" s="242"/>
      <c r="EA573" s="243"/>
    </row>
    <row r="574" spans="1:131">
      <c r="A574" s="20"/>
      <c r="B574" s="124" t="str">
        <f t="shared" si="534"/>
        <v/>
      </c>
      <c r="C574" s="235"/>
      <c r="D574" s="24">
        <f>'1% Wind'!$M$89</f>
        <v>7.6</v>
      </c>
      <c r="E574" s="90"/>
      <c r="F574" s="90"/>
      <c r="G574" s="79">
        <f ca="1">IF(I566=0.9743,$G573,MAX(G573/D573*D574,2))</f>
        <v>6.001707317073171</v>
      </c>
      <c r="H574" s="121" t="e">
        <f t="shared" ca="1" si="535"/>
        <v>#VALUE!</v>
      </c>
      <c r="J574" s="33"/>
      <c r="K574" s="242">
        <f t="shared" si="536"/>
        <v>1</v>
      </c>
      <c r="L574" s="241" t="e">
        <f t="shared" ca="1" si="537"/>
        <v>#VALUE!</v>
      </c>
      <c r="M574" s="243" t="e">
        <f ca="1">IF(AND(INDEX(FlowCalConstA,MATCH(J566,FlowCalNumber,0),1,1)*L574^INDEX(FlowCalConstB,MATCH(J566,FlowCalNumber,0),1,1)&gt;INDEX(FlowCalLowSetting,MATCH(J566,FlowCalNumber,0),1,1), (INDEX(FlowCalConstA,MATCH(J566,FlowCalNumber,0),1,1)*L574^INDEX(FlowCalConstB,MATCH(J566,FlowCalNumber,0),1,1)&lt;INDEX(FlowCalHighSetting,MATCH(J566,FlowCalNumber,0),1,1))),INDEX(FlowCalConstA,MATCH(J566,FlowCalNumber,0),1,1)*L574^INDEX(FlowCalConstB,MATCH(J566,FlowCalNumber,0),1,1)," ")</f>
        <v>#N/A</v>
      </c>
      <c r="N574" s="33"/>
      <c r="O574" s="242">
        <f t="shared" si="538"/>
        <v>1</v>
      </c>
      <c r="P574" s="241" t="e">
        <f t="shared" ca="1" si="539"/>
        <v>#VALUE!</v>
      </c>
      <c r="Q574" s="243" t="e">
        <f ca="1">IF(AND(INDEX(FlowCalConstA,MATCH(N566,FlowCalNumber,0),1,1)*P574^INDEX(FlowCalConstB,MATCH(N566,FlowCalNumber,0),1,1)&gt;INDEX(FlowCalLowSetting,MATCH(N566,FlowCalNumber,0),1,1), (INDEX(FlowCalConstA,MATCH(N566,FlowCalNumber,0),1,1)*P574^INDEX(FlowCalConstB,MATCH(N566,FlowCalNumber,0),1,1)&lt;INDEX(FlowCalHighSetting,MATCH(N566,FlowCalNumber,0),1,1))),INDEX(FlowCalConstA,MATCH(N566,FlowCalNumber,0),1,1)*P574^INDEX(FlowCalConstB,MATCH(N566,FlowCalNumber,0),1,1)," ")</f>
        <v>#N/A</v>
      </c>
      <c r="R574" s="33"/>
      <c r="S574" s="242">
        <f t="shared" si="540"/>
        <v>1</v>
      </c>
      <c r="T574" s="241" t="e">
        <f t="shared" ca="1" si="541"/>
        <v>#VALUE!</v>
      </c>
      <c r="U574" s="244" t="e">
        <f ca="1">IF(AND(INDEX(FlowCalConstA,MATCH(R566,FlowCalNumber,0),1,1)*T574^INDEX(FlowCalConstB,MATCH(R566,FlowCalNumber,0),1,1)&gt;INDEX(FlowCalLowSetting,MATCH(R566,FlowCalNumber,0),1,1), (INDEX(FlowCalConstA,MATCH(R566,FlowCalNumber,0),1,1)*T574^INDEX(FlowCalConstB,MATCH(R566,FlowCalNumber,0),1,1)&lt;INDEX(FlowCalHighSetting,MATCH(R566,FlowCalNumber,0),1,1))),INDEX(FlowCalConstA,MATCH(R566,FlowCalNumber,0),1,1)*T574^INDEX(FlowCalConstB,MATCH(R566,FlowCalNumber,0),1,1)," ")</f>
        <v>#N/A</v>
      </c>
      <c r="V574" s="33"/>
      <c r="W574" s="242">
        <f t="shared" si="542"/>
        <v>0.1</v>
      </c>
      <c r="X574" s="241" t="e">
        <f t="shared" ca="1" si="543"/>
        <v>#VALUE!</v>
      </c>
      <c r="Y574" s="243" t="e">
        <f ca="1">IF(AND(INDEX(FlowCalConstA,MATCH(V566,FlowCalNumber,0),1,1)*X574^INDEX(FlowCalConstB,MATCH(V566,FlowCalNumber,0),1,1)&gt;INDEX(FlowCalLowSetting,MATCH(V566,FlowCalNumber,0),1,1), (INDEX(FlowCalConstA,MATCH(V566,FlowCalNumber,0),1,1)*X574^INDEX(FlowCalConstB,MATCH(V566,FlowCalNumber,0),1,1)&lt;INDEX(FlowCalHighSetting,MATCH(V566,FlowCalNumber,0),1,1))),INDEX(FlowCalConstA,MATCH(V566,FlowCalNumber,0),1,1)*X574^INDEX(FlowCalConstB,MATCH(V566,FlowCalNumber,0),1,1)," ")</f>
        <v>#N/A</v>
      </c>
      <c r="Z574" s="33"/>
      <c r="AA574" s="242">
        <f t="shared" si="544"/>
        <v>0.9</v>
      </c>
      <c r="AB574" s="241" t="e">
        <f t="shared" ca="1" si="545"/>
        <v>#VALUE!</v>
      </c>
      <c r="AC574" s="243" t="e">
        <f ca="1">IF(AND(INDEX(FlowCalConstA,MATCH(Z566,FlowCalNumber,0),1,1)*AB574^INDEX(FlowCalConstB,MATCH(Z566,FlowCalNumber,0),1,1)&gt;INDEX(FlowCalLowSetting,MATCH(Z566,FlowCalNumber,0),1,1), (INDEX(FlowCalConstA,MATCH(Z566,FlowCalNumber,0),1,1)*AB574^INDEX(FlowCalConstB,MATCH(Z566,FlowCalNumber,0),1,1)&lt;INDEX(FlowCalHighSetting,MATCH(Z566,FlowCalNumber,0),1,1))),INDEX(FlowCalConstA,MATCH(Z566,FlowCalNumber,0),1,1)*AB574^INDEX(FlowCalConstB,MATCH(Z566,FlowCalNumber,0),1,1)," ")</f>
        <v>#N/A</v>
      </c>
      <c r="AD574" s="33"/>
      <c r="AE574" s="242">
        <f t="shared" si="546"/>
        <v>0.1</v>
      </c>
      <c r="AF574" s="241" t="e">
        <f t="shared" ca="1" si="547"/>
        <v>#VALUE!</v>
      </c>
      <c r="AG574" s="243" t="e">
        <f ca="1">IF(AND(INDEX(FlowCalConstA,MATCH(AD566,FlowCalNumber,0),1,1)*AF574^INDEX(FlowCalConstB,MATCH(AD566,FlowCalNumber,0),1,1)&gt;INDEX(FlowCalLowSetting,MATCH(AD566,FlowCalNumber,0),1,1), (INDEX(FlowCalConstA,MATCH(AD566,FlowCalNumber,0),1,1)*AF574^INDEX(FlowCalConstB,MATCH(AD566,FlowCalNumber,0),1,1)&lt;INDEX(FlowCalHighSetting,MATCH(AD566,FlowCalNumber,0),1,1))),INDEX(FlowCalConstA,MATCH(AD566,FlowCalNumber,0),1,1)*AF574^INDEX(FlowCalConstB,MATCH(AD566,FlowCalNumber,0),1,1)," ")</f>
        <v>#N/A</v>
      </c>
      <c r="AH574" s="33"/>
      <c r="AI574" s="242">
        <f t="shared" si="548"/>
        <v>0.9</v>
      </c>
      <c r="AJ574" s="241" t="e">
        <f t="shared" ca="1" si="549"/>
        <v>#VALUE!</v>
      </c>
      <c r="AK574" s="243" t="e">
        <f ca="1">IF(AND(INDEX(FlowCalConstA,MATCH(AH566,FlowCalNumber,0),1,1)*AJ574^INDEX(FlowCalConstB,MATCH(AH566,FlowCalNumber,0),1,1)&gt;INDEX(FlowCalLowSetting,MATCH(AH566,FlowCalNumber,0),1,1), (INDEX(FlowCalConstA,MATCH(AH566,FlowCalNumber,0),1,1)*AJ574^INDEX(FlowCalConstB,MATCH(AH566,FlowCalNumber,0),1,1)&lt;INDEX(FlowCalHighSetting,MATCH(AH566,FlowCalNumber,0),1,1))),INDEX(FlowCalConstA,MATCH(AH566,FlowCalNumber,0),1,1)*AJ574^INDEX(FlowCalConstB,MATCH(AH566,FlowCalNumber,0),1,1)," ")</f>
        <v>#N/A</v>
      </c>
      <c r="AL574" s="33"/>
      <c r="AM574" s="242"/>
      <c r="AN574" s="241"/>
      <c r="AO574" s="244"/>
      <c r="AQ574" s="242"/>
      <c r="AR574" s="241"/>
      <c r="AS574" s="244"/>
      <c r="AT574" s="33"/>
      <c r="AU574" s="242"/>
      <c r="AV574" s="241"/>
      <c r="AW574" s="244"/>
      <c r="AX574" s="33"/>
      <c r="AY574" s="242"/>
      <c r="AZ574" s="241"/>
      <c r="BA574" s="244"/>
      <c r="BB574" s="33"/>
      <c r="BC574" s="242"/>
      <c r="BD574" s="241"/>
      <c r="BE574" s="244"/>
      <c r="BF574" s="33"/>
      <c r="BG574" s="242"/>
      <c r="BH574" s="241"/>
      <c r="BI574" s="244"/>
      <c r="BJ574" s="33"/>
      <c r="BK574" s="242"/>
      <c r="BL574" s="241"/>
      <c r="BM574" s="244"/>
      <c r="BN574" s="33"/>
      <c r="BO574" s="242"/>
      <c r="BP574" s="241"/>
      <c r="BQ574" s="244"/>
      <c r="BR574" s="33"/>
      <c r="BS574" s="242"/>
      <c r="BT574" s="241"/>
      <c r="BU574" s="244"/>
      <c r="BV574" s="33"/>
      <c r="BW574" s="242"/>
      <c r="BX574" s="241"/>
      <c r="BY574" s="244"/>
      <c r="BZ574" s="33"/>
      <c r="CA574" s="242"/>
      <c r="CB574" s="241"/>
      <c r="CC574" s="244"/>
      <c r="CD574" s="243"/>
      <c r="CE574" s="243"/>
      <c r="CF574" s="243"/>
      <c r="CG574" s="243"/>
      <c r="CH574" s="243"/>
      <c r="CI574" s="243"/>
      <c r="CJ574" s="243"/>
      <c r="CK574" s="243"/>
      <c r="CL574" s="243"/>
      <c r="CM574" s="243"/>
      <c r="CN574" s="243"/>
      <c r="CO574" s="243"/>
      <c r="CP574" s="243"/>
      <c r="CQ574" s="243"/>
      <c r="CR574" s="243"/>
      <c r="CS574" s="243"/>
      <c r="CT574" s="243"/>
      <c r="CU574" s="243"/>
      <c r="CV574" s="243"/>
      <c r="CW574" s="243"/>
      <c r="CX574" s="243"/>
      <c r="CY574" s="243"/>
      <c r="CZ574" s="243"/>
      <c r="DA574" s="243"/>
      <c r="DB574" s="243"/>
      <c r="DC574" s="243"/>
      <c r="DD574" s="243"/>
      <c r="DE574" s="243"/>
      <c r="DF574" s="243"/>
      <c r="DG574" s="243"/>
      <c r="DH574" s="243"/>
      <c r="DI574" s="243"/>
      <c r="DJ574" s="243"/>
      <c r="DK574" s="243"/>
      <c r="DM574" s="242"/>
      <c r="DO574" s="243"/>
      <c r="DQ574" s="242"/>
      <c r="DS574" s="243"/>
      <c r="DU574" s="242"/>
      <c r="DW574" s="243"/>
      <c r="DY574" s="242"/>
      <c r="EA574" s="243"/>
    </row>
    <row r="575" spans="1:131">
      <c r="A575" s="20"/>
      <c r="B575" s="124" t="str">
        <f t="shared" si="534"/>
        <v/>
      </c>
      <c r="C575" s="235"/>
      <c r="D575" s="24">
        <f>'1% Wind'!$M$90</f>
        <v>5.7</v>
      </c>
      <c r="E575" s="90"/>
      <c r="F575" s="90"/>
      <c r="G575" s="79">
        <f ca="1">IF(I566=0.9743,$G574,MAX(G574/D574*D575,2))</f>
        <v>6.001707317073171</v>
      </c>
      <c r="H575" s="121" t="e">
        <f t="shared" ca="1" si="535"/>
        <v>#VALUE!</v>
      </c>
      <c r="J575" s="33"/>
      <c r="K575" s="242">
        <f t="shared" si="536"/>
        <v>1</v>
      </c>
      <c r="L575" s="241" t="e">
        <f t="shared" ca="1" si="537"/>
        <v>#VALUE!</v>
      </c>
      <c r="M575" s="243" t="e">
        <f ca="1">IF(AND(INDEX(FlowCalConstA,MATCH(J566,FlowCalNumber,0),1,1)*L575^INDEX(FlowCalConstB,MATCH(J566,FlowCalNumber,0),1,1)&gt;INDEX(FlowCalLowSetting,MATCH(J566,FlowCalNumber,0),1,1), (INDEX(FlowCalConstA,MATCH(J566,FlowCalNumber,0),1,1)*L575^INDEX(FlowCalConstB,MATCH(J566,FlowCalNumber,0),1,1)&lt;INDEX(FlowCalHighSetting,MATCH(J566,FlowCalNumber,0),1,1))),INDEX(FlowCalConstA,MATCH(J566,FlowCalNumber,0),1,1)*L575^INDEX(FlowCalConstB,MATCH(J566,FlowCalNumber,0),1,1)," ")</f>
        <v>#N/A</v>
      </c>
      <c r="N575" s="33"/>
      <c r="O575" s="242">
        <f t="shared" si="538"/>
        <v>1</v>
      </c>
      <c r="P575" s="241" t="e">
        <f t="shared" ca="1" si="539"/>
        <v>#VALUE!</v>
      </c>
      <c r="Q575" s="243" t="e">
        <f ca="1">IF(AND(INDEX(FlowCalConstA,MATCH(N566,FlowCalNumber,0),1,1)*P575^INDEX(FlowCalConstB,MATCH(N566,FlowCalNumber,0),1,1)&gt;INDEX(FlowCalLowSetting,MATCH(N566,FlowCalNumber,0),1,1), (INDEX(FlowCalConstA,MATCH(N566,FlowCalNumber,0),1,1)*P575^INDEX(FlowCalConstB,MATCH(N566,FlowCalNumber,0),1,1)&lt;INDEX(FlowCalHighSetting,MATCH(N566,FlowCalNumber,0),1,1))),INDEX(FlowCalConstA,MATCH(N566,FlowCalNumber,0),1,1)*P575^INDEX(FlowCalConstB,MATCH(N566,FlowCalNumber,0),1,1)," ")</f>
        <v>#N/A</v>
      </c>
      <c r="R575" s="33"/>
      <c r="S575" s="242">
        <f t="shared" si="540"/>
        <v>1</v>
      </c>
      <c r="T575" s="241" t="e">
        <f t="shared" ca="1" si="541"/>
        <v>#VALUE!</v>
      </c>
      <c r="U575" s="244" t="e">
        <f ca="1">IF(AND(INDEX(FlowCalConstA,MATCH(R566,FlowCalNumber,0),1,1)*T575^INDEX(FlowCalConstB,MATCH(R566,FlowCalNumber,0),1,1)&gt;INDEX(FlowCalLowSetting,MATCH(R566,FlowCalNumber,0),1,1), (INDEX(FlowCalConstA,MATCH(R566,FlowCalNumber,0),1,1)*T575^INDEX(FlowCalConstB,MATCH(R566,FlowCalNumber,0),1,1)&lt;INDEX(FlowCalHighSetting,MATCH(R566,FlowCalNumber,0),1,1))),INDEX(FlowCalConstA,MATCH(R566,FlowCalNumber,0),1,1)*T575^INDEX(FlowCalConstB,MATCH(R566,FlowCalNumber,0),1,1)," ")</f>
        <v>#N/A</v>
      </c>
      <c r="V575" s="33"/>
      <c r="W575" s="242">
        <f t="shared" si="542"/>
        <v>0.1</v>
      </c>
      <c r="X575" s="241" t="e">
        <f t="shared" ca="1" si="543"/>
        <v>#VALUE!</v>
      </c>
      <c r="Y575" s="243" t="e">
        <f ca="1">IF(AND(INDEX(FlowCalConstA,MATCH(V566,FlowCalNumber,0),1,1)*X575^INDEX(FlowCalConstB,MATCH(V566,FlowCalNumber,0),1,1)&gt;INDEX(FlowCalLowSetting,MATCH(V566,FlowCalNumber,0),1,1), (INDEX(FlowCalConstA,MATCH(V566,FlowCalNumber,0),1,1)*X575^INDEX(FlowCalConstB,MATCH(V566,FlowCalNumber,0),1,1)&lt;INDEX(FlowCalHighSetting,MATCH(V566,FlowCalNumber,0),1,1))),INDEX(FlowCalConstA,MATCH(V566,FlowCalNumber,0),1,1)*X575^INDEX(FlowCalConstB,MATCH(V566,FlowCalNumber,0),1,1)," ")</f>
        <v>#N/A</v>
      </c>
      <c r="Z575" s="33"/>
      <c r="AA575" s="242">
        <f t="shared" si="544"/>
        <v>0.9</v>
      </c>
      <c r="AB575" s="241" t="e">
        <f t="shared" ca="1" si="545"/>
        <v>#VALUE!</v>
      </c>
      <c r="AC575" s="243" t="e">
        <f ca="1">IF(AND(INDEX(FlowCalConstA,MATCH(Z566,FlowCalNumber,0),1,1)*AB575^INDEX(FlowCalConstB,MATCH(Z566,FlowCalNumber,0),1,1)&gt;INDEX(FlowCalLowSetting,MATCH(Z566,FlowCalNumber,0),1,1), (INDEX(FlowCalConstA,MATCH(Z566,FlowCalNumber,0),1,1)*AB575^INDEX(FlowCalConstB,MATCH(Z566,FlowCalNumber,0),1,1)&lt;INDEX(FlowCalHighSetting,MATCH(Z566,FlowCalNumber,0),1,1))),INDEX(FlowCalConstA,MATCH(Z566,FlowCalNumber,0),1,1)*AB575^INDEX(FlowCalConstB,MATCH(Z566,FlowCalNumber,0),1,1)," ")</f>
        <v>#N/A</v>
      </c>
      <c r="AD575" s="33"/>
      <c r="AE575" s="242">
        <f t="shared" si="546"/>
        <v>0.1</v>
      </c>
      <c r="AF575" s="241" t="e">
        <f t="shared" ca="1" si="547"/>
        <v>#VALUE!</v>
      </c>
      <c r="AG575" s="243" t="e">
        <f ca="1">IF(AND(INDEX(FlowCalConstA,MATCH(AD566,FlowCalNumber,0),1,1)*AF575^INDEX(FlowCalConstB,MATCH(AD566,FlowCalNumber,0),1,1)&gt;INDEX(FlowCalLowSetting,MATCH(AD566,FlowCalNumber,0),1,1), (INDEX(FlowCalConstA,MATCH(AD566,FlowCalNumber,0),1,1)*AF575^INDEX(FlowCalConstB,MATCH(AD566,FlowCalNumber,0),1,1)&lt;INDEX(FlowCalHighSetting,MATCH(AD566,FlowCalNumber,0),1,1))),INDEX(FlowCalConstA,MATCH(AD566,FlowCalNumber,0),1,1)*AF575^INDEX(FlowCalConstB,MATCH(AD566,FlowCalNumber,0),1,1)," ")</f>
        <v>#N/A</v>
      </c>
      <c r="AH575" s="33"/>
      <c r="AI575" s="242">
        <f t="shared" si="548"/>
        <v>0.9</v>
      </c>
      <c r="AJ575" s="241" t="e">
        <f t="shared" ca="1" si="549"/>
        <v>#VALUE!</v>
      </c>
      <c r="AK575" s="243" t="e">
        <f ca="1">IF(AND(INDEX(FlowCalConstA,MATCH(AH566,FlowCalNumber,0),1,1)*AJ575^INDEX(FlowCalConstB,MATCH(AH566,FlowCalNumber,0),1,1)&gt;INDEX(FlowCalLowSetting,MATCH(AH566,FlowCalNumber,0),1,1), (INDEX(FlowCalConstA,MATCH(AH566,FlowCalNumber,0),1,1)*AJ575^INDEX(FlowCalConstB,MATCH(AH566,FlowCalNumber,0),1,1)&lt;INDEX(FlowCalHighSetting,MATCH(AH566,FlowCalNumber,0),1,1))),INDEX(FlowCalConstA,MATCH(AH566,FlowCalNumber,0),1,1)*AJ575^INDEX(FlowCalConstB,MATCH(AH566,FlowCalNumber,0),1,1)," ")</f>
        <v>#N/A</v>
      </c>
      <c r="AL575" s="33"/>
      <c r="AM575" s="242"/>
      <c r="AN575" s="241"/>
      <c r="AO575" s="244"/>
      <c r="AQ575" s="242"/>
      <c r="AR575" s="241"/>
      <c r="AS575" s="244"/>
      <c r="AT575" s="33"/>
      <c r="AU575" s="242"/>
      <c r="AV575" s="241"/>
      <c r="AW575" s="244"/>
      <c r="AX575" s="33"/>
      <c r="AY575" s="242"/>
      <c r="AZ575" s="241"/>
      <c r="BA575" s="244"/>
      <c r="BB575" s="33"/>
      <c r="BC575" s="242"/>
      <c r="BD575" s="241"/>
      <c r="BE575" s="244"/>
      <c r="BF575" s="33"/>
      <c r="BG575" s="242"/>
      <c r="BH575" s="241"/>
      <c r="BI575" s="244"/>
      <c r="BJ575" s="33"/>
      <c r="BK575" s="242"/>
      <c r="BL575" s="241"/>
      <c r="BM575" s="244"/>
      <c r="BN575" s="33"/>
      <c r="BO575" s="242"/>
      <c r="BP575" s="241"/>
      <c r="BQ575" s="244"/>
      <c r="BR575" s="33"/>
      <c r="BS575" s="242"/>
      <c r="BT575" s="241"/>
      <c r="BU575" s="244"/>
      <c r="BV575" s="33"/>
      <c r="BW575" s="242"/>
      <c r="BX575" s="241"/>
      <c r="BY575" s="244"/>
      <c r="BZ575" s="33"/>
      <c r="CA575" s="242"/>
      <c r="CB575" s="241"/>
      <c r="CC575" s="244"/>
      <c r="CD575" s="243"/>
      <c r="CE575" s="243"/>
      <c r="CF575" s="243"/>
      <c r="CG575" s="243"/>
      <c r="CH575" s="243"/>
      <c r="CI575" s="243"/>
      <c r="CJ575" s="243"/>
      <c r="CK575" s="243"/>
      <c r="CL575" s="243"/>
      <c r="CM575" s="243"/>
      <c r="CN575" s="243"/>
      <c r="CO575" s="243"/>
      <c r="CP575" s="243"/>
      <c r="CQ575" s="243"/>
      <c r="CR575" s="243"/>
      <c r="CS575" s="243"/>
      <c r="CT575" s="243"/>
      <c r="CU575" s="243"/>
      <c r="CV575" s="243"/>
      <c r="CW575" s="243"/>
      <c r="CX575" s="243"/>
      <c r="CY575" s="243"/>
      <c r="CZ575" s="243"/>
      <c r="DA575" s="243"/>
      <c r="DB575" s="243"/>
      <c r="DC575" s="243"/>
      <c r="DD575" s="243"/>
      <c r="DE575" s="243"/>
      <c r="DF575" s="243"/>
      <c r="DG575" s="243"/>
      <c r="DH575" s="243"/>
      <c r="DI575" s="243"/>
      <c r="DJ575" s="243"/>
      <c r="DK575" s="243"/>
      <c r="DM575" s="242"/>
      <c r="DO575" s="243"/>
      <c r="DQ575" s="242"/>
      <c r="DS575" s="243"/>
      <c r="DU575" s="242"/>
      <c r="DW575" s="243"/>
      <c r="DY575" s="242"/>
      <c r="EA575" s="243"/>
    </row>
    <row r="576" spans="1:131">
      <c r="A576" s="20"/>
      <c r="B576" s="124" t="str">
        <f t="shared" si="534"/>
        <v/>
      </c>
      <c r="C576" s="235"/>
      <c r="D576" s="24">
        <f>'1% Wind'!$M$91</f>
        <v>4.2</v>
      </c>
      <c r="E576" s="90"/>
      <c r="F576" s="90"/>
      <c r="G576" s="79">
        <f ca="1">IF(I566=0.9743,$G575,MAX(G575/D575*D576,2))</f>
        <v>6.001707317073171</v>
      </c>
      <c r="H576" s="121" t="e">
        <f t="shared" ca="1" si="535"/>
        <v>#VALUE!</v>
      </c>
      <c r="J576" s="33"/>
      <c r="K576" s="242">
        <f t="shared" si="536"/>
        <v>1</v>
      </c>
      <c r="L576" s="241" t="e">
        <f t="shared" ca="1" si="537"/>
        <v>#VALUE!</v>
      </c>
      <c r="M576" s="243" t="e">
        <f ca="1">IF(AND(INDEX(FlowCalConstA,MATCH(J566,FlowCalNumber,0),1,1)*L576^INDEX(FlowCalConstB,MATCH(J566,FlowCalNumber,0),1,1)&gt;INDEX(FlowCalLowSetting,MATCH(J566,FlowCalNumber,0),1,1), (INDEX(FlowCalConstA,MATCH(J566,FlowCalNumber,0),1,1)*L576^INDEX(FlowCalConstB,MATCH(J566,FlowCalNumber,0),1,1)&lt;INDEX(FlowCalHighSetting,MATCH(J566,FlowCalNumber,0),1,1))),INDEX(FlowCalConstA,MATCH(J566,FlowCalNumber,0),1,1)*L576^INDEX(FlowCalConstB,MATCH(J566,FlowCalNumber,0),1,1)," ")</f>
        <v>#N/A</v>
      </c>
      <c r="N576" s="33"/>
      <c r="O576" s="242">
        <f t="shared" si="538"/>
        <v>1</v>
      </c>
      <c r="P576" s="241" t="e">
        <f t="shared" ca="1" si="539"/>
        <v>#VALUE!</v>
      </c>
      <c r="Q576" s="243" t="e">
        <f ca="1">IF(AND(INDEX(FlowCalConstA,MATCH(N566,FlowCalNumber,0),1,1)*P576^INDEX(FlowCalConstB,MATCH(N566,FlowCalNumber,0),1,1)&gt;INDEX(FlowCalLowSetting,MATCH(N566,FlowCalNumber,0),1,1), (INDEX(FlowCalConstA,MATCH(N566,FlowCalNumber,0),1,1)*P576^INDEX(FlowCalConstB,MATCH(N566,FlowCalNumber,0),1,1)&lt;INDEX(FlowCalHighSetting,MATCH(N566,FlowCalNumber,0),1,1))),INDEX(FlowCalConstA,MATCH(N566,FlowCalNumber,0),1,1)*P576^INDEX(FlowCalConstB,MATCH(N566,FlowCalNumber,0),1,1)," ")</f>
        <v>#N/A</v>
      </c>
      <c r="R576" s="33"/>
      <c r="S576" s="242">
        <f t="shared" si="540"/>
        <v>1</v>
      </c>
      <c r="T576" s="241" t="e">
        <f t="shared" ca="1" si="541"/>
        <v>#VALUE!</v>
      </c>
      <c r="U576" s="244" t="e">
        <f ca="1">IF(AND(INDEX(FlowCalConstA,MATCH(R566,FlowCalNumber,0),1,1)*T576^INDEX(FlowCalConstB,MATCH(R566,FlowCalNumber,0),1,1)&gt;INDEX(FlowCalLowSetting,MATCH(R566,FlowCalNumber,0),1,1), (INDEX(FlowCalConstA,MATCH(R566,FlowCalNumber,0),1,1)*T576^INDEX(FlowCalConstB,MATCH(R566,FlowCalNumber,0),1,1)&lt;INDEX(FlowCalHighSetting,MATCH(R566,FlowCalNumber,0),1,1))),INDEX(FlowCalConstA,MATCH(R566,FlowCalNumber,0),1,1)*T576^INDEX(FlowCalConstB,MATCH(R566,FlowCalNumber,0),1,1)," ")</f>
        <v>#N/A</v>
      </c>
      <c r="V576" s="33"/>
      <c r="W576" s="242">
        <f t="shared" si="542"/>
        <v>0.1</v>
      </c>
      <c r="X576" s="241" t="e">
        <f t="shared" ca="1" si="543"/>
        <v>#VALUE!</v>
      </c>
      <c r="Y576" s="243" t="e">
        <f ca="1">IF(AND(INDEX(FlowCalConstA,MATCH(V566,FlowCalNumber,0),1,1)*X576^INDEX(FlowCalConstB,MATCH(V566,FlowCalNumber,0),1,1)&gt;INDEX(FlowCalLowSetting,MATCH(V566,FlowCalNumber,0),1,1), (INDEX(FlowCalConstA,MATCH(V566,FlowCalNumber,0),1,1)*X576^INDEX(FlowCalConstB,MATCH(V566,FlowCalNumber,0),1,1)&lt;INDEX(FlowCalHighSetting,MATCH(V566,FlowCalNumber,0),1,1))),INDEX(FlowCalConstA,MATCH(V566,FlowCalNumber,0),1,1)*X576^INDEX(FlowCalConstB,MATCH(V566,FlowCalNumber,0),1,1)," ")</f>
        <v>#N/A</v>
      </c>
      <c r="Z576" s="33"/>
      <c r="AA576" s="242">
        <f t="shared" si="544"/>
        <v>0.9</v>
      </c>
      <c r="AB576" s="241" t="e">
        <f t="shared" ca="1" si="545"/>
        <v>#VALUE!</v>
      </c>
      <c r="AC576" s="243" t="e">
        <f ca="1">IF(AND(INDEX(FlowCalConstA,MATCH(Z566,FlowCalNumber,0),1,1)*AB576^INDEX(FlowCalConstB,MATCH(Z566,FlowCalNumber,0),1,1)&gt;INDEX(FlowCalLowSetting,MATCH(Z566,FlowCalNumber,0),1,1), (INDEX(FlowCalConstA,MATCH(Z566,FlowCalNumber,0),1,1)*AB576^INDEX(FlowCalConstB,MATCH(Z566,FlowCalNumber,0),1,1)&lt;INDEX(FlowCalHighSetting,MATCH(Z566,FlowCalNumber,0),1,1))),INDEX(FlowCalConstA,MATCH(Z566,FlowCalNumber,0),1,1)*AB576^INDEX(FlowCalConstB,MATCH(Z566,FlowCalNumber,0),1,1)," ")</f>
        <v>#N/A</v>
      </c>
      <c r="AD576" s="33"/>
      <c r="AE576" s="242">
        <f t="shared" si="546"/>
        <v>0.1</v>
      </c>
      <c r="AF576" s="241" t="e">
        <f t="shared" ca="1" si="547"/>
        <v>#VALUE!</v>
      </c>
      <c r="AG576" s="243" t="e">
        <f ca="1">IF(AND(INDEX(FlowCalConstA,MATCH(AD566,FlowCalNumber,0),1,1)*AF576^INDEX(FlowCalConstB,MATCH(AD566,FlowCalNumber,0),1,1)&gt;INDEX(FlowCalLowSetting,MATCH(AD566,FlowCalNumber,0),1,1), (INDEX(FlowCalConstA,MATCH(AD566,FlowCalNumber,0),1,1)*AF576^INDEX(FlowCalConstB,MATCH(AD566,FlowCalNumber,0),1,1)&lt;INDEX(FlowCalHighSetting,MATCH(AD566,FlowCalNumber,0),1,1))),INDEX(FlowCalConstA,MATCH(AD566,FlowCalNumber,0),1,1)*AF576^INDEX(FlowCalConstB,MATCH(AD566,FlowCalNumber,0),1,1)," ")</f>
        <v>#N/A</v>
      </c>
      <c r="AH576" s="33"/>
      <c r="AI576" s="242">
        <f t="shared" si="548"/>
        <v>0.9</v>
      </c>
      <c r="AJ576" s="241" t="e">
        <f t="shared" ca="1" si="549"/>
        <v>#VALUE!</v>
      </c>
      <c r="AK576" s="243" t="e">
        <f ca="1">IF(AND(INDEX(FlowCalConstA,MATCH(AH566,FlowCalNumber,0),1,1)*AJ576^INDEX(FlowCalConstB,MATCH(AH566,FlowCalNumber,0),1,1)&gt;INDEX(FlowCalLowSetting,MATCH(AH566,FlowCalNumber,0),1,1), (INDEX(FlowCalConstA,MATCH(AH566,FlowCalNumber,0),1,1)*AJ576^INDEX(FlowCalConstB,MATCH(AH566,FlowCalNumber,0),1,1)&lt;INDEX(FlowCalHighSetting,MATCH(AH566,FlowCalNumber,0),1,1))),INDEX(FlowCalConstA,MATCH(AH566,FlowCalNumber,0),1,1)*AJ576^INDEX(FlowCalConstB,MATCH(AH566,FlowCalNumber,0),1,1)," ")</f>
        <v>#N/A</v>
      </c>
      <c r="AL576" s="33"/>
      <c r="AM576" s="242"/>
      <c r="AN576" s="241"/>
      <c r="AO576" s="244"/>
      <c r="AQ576" s="242"/>
      <c r="AR576" s="241"/>
      <c r="AS576" s="244"/>
      <c r="AT576" s="33"/>
      <c r="AU576" s="242"/>
      <c r="AV576" s="241"/>
      <c r="AW576" s="244"/>
      <c r="AX576" s="33"/>
      <c r="AY576" s="242"/>
      <c r="AZ576" s="241"/>
      <c r="BA576" s="244"/>
      <c r="BB576" s="33"/>
      <c r="BC576" s="242"/>
      <c r="BD576" s="241"/>
      <c r="BE576" s="244"/>
      <c r="BF576" s="33"/>
      <c r="BG576" s="242"/>
      <c r="BH576" s="241"/>
      <c r="BI576" s="244"/>
      <c r="BJ576" s="33"/>
      <c r="BK576" s="242"/>
      <c r="BL576" s="241"/>
      <c r="BM576" s="244"/>
      <c r="BN576" s="33"/>
      <c r="BO576" s="242"/>
      <c r="BP576" s="241"/>
      <c r="BQ576" s="244"/>
      <c r="BR576" s="33"/>
      <c r="BS576" s="242"/>
      <c r="BT576" s="241"/>
      <c r="BU576" s="244"/>
      <c r="BV576" s="33"/>
      <c r="BW576" s="242"/>
      <c r="BX576" s="241"/>
      <c r="BY576" s="244"/>
      <c r="BZ576" s="33"/>
      <c r="CA576" s="242"/>
      <c r="CB576" s="241"/>
      <c r="CC576" s="244"/>
      <c r="CD576" s="243"/>
      <c r="CE576" s="243"/>
      <c r="CF576" s="243"/>
      <c r="CG576" s="243"/>
      <c r="CH576" s="243"/>
      <c r="CI576" s="243"/>
      <c r="CJ576" s="243"/>
      <c r="CK576" s="243"/>
      <c r="CL576" s="243"/>
      <c r="CM576" s="243"/>
      <c r="CN576" s="243"/>
      <c r="CO576" s="243"/>
      <c r="CP576" s="243"/>
      <c r="CQ576" s="243"/>
      <c r="CR576" s="243"/>
      <c r="CS576" s="243"/>
      <c r="CT576" s="243"/>
      <c r="CU576" s="243"/>
      <c r="CV576" s="243"/>
      <c r="CW576" s="243"/>
      <c r="CX576" s="243"/>
      <c r="CY576" s="243"/>
      <c r="CZ576" s="243"/>
      <c r="DA576" s="243"/>
      <c r="DB576" s="243"/>
      <c r="DC576" s="243"/>
      <c r="DD576" s="243"/>
      <c r="DE576" s="243"/>
      <c r="DF576" s="243"/>
      <c r="DG576" s="243"/>
      <c r="DH576" s="243"/>
      <c r="DI576" s="243"/>
      <c r="DJ576" s="243"/>
      <c r="DK576" s="243"/>
      <c r="DM576" s="242"/>
      <c r="DO576" s="243"/>
      <c r="DQ576" s="242"/>
      <c r="DS576" s="243"/>
      <c r="DU576" s="242"/>
      <c r="DW576" s="243"/>
      <c r="DY576" s="242"/>
      <c r="EA576" s="243"/>
    </row>
    <row r="577" spans="1:131">
      <c r="A577" s="20"/>
      <c r="B577" s="124" t="str">
        <f t="shared" si="534"/>
        <v/>
      </c>
      <c r="C577" s="235"/>
      <c r="D577" s="24">
        <f>'1% Wind'!$M$92</f>
        <v>3.2</v>
      </c>
      <c r="E577" s="90"/>
      <c r="F577" s="90"/>
      <c r="G577" s="79">
        <f ca="1">IF(I566=0.9743,$G576,MAX(G576/D576*D577,2))</f>
        <v>6.001707317073171</v>
      </c>
      <c r="H577" s="121" t="e">
        <f t="shared" ca="1" si="535"/>
        <v>#VALUE!</v>
      </c>
      <c r="J577" s="33"/>
      <c r="K577" s="242">
        <f t="shared" si="536"/>
        <v>1</v>
      </c>
      <c r="L577" s="241" t="e">
        <f t="shared" ca="1" si="537"/>
        <v>#VALUE!</v>
      </c>
      <c r="M577" s="243" t="e">
        <f ca="1">IF(AND(INDEX(FlowCalConstA,MATCH(J566,FlowCalNumber,0),1,1)*L577^INDEX(FlowCalConstB,MATCH(J566,FlowCalNumber,0),1,1)&gt;INDEX(FlowCalLowSetting,MATCH(J566,FlowCalNumber,0),1,1), (INDEX(FlowCalConstA,MATCH(J566,FlowCalNumber,0),1,1)*L577^INDEX(FlowCalConstB,MATCH(J566,FlowCalNumber,0),1,1)&lt;INDEX(FlowCalHighSetting,MATCH(J566,FlowCalNumber,0),1,1))),INDEX(FlowCalConstA,MATCH(J566,FlowCalNumber,0),1,1)*L577^INDEX(FlowCalConstB,MATCH(J566,FlowCalNumber,0),1,1)," ")</f>
        <v>#N/A</v>
      </c>
      <c r="N577" s="33"/>
      <c r="O577" s="242">
        <f t="shared" si="538"/>
        <v>1</v>
      </c>
      <c r="P577" s="241" t="e">
        <f t="shared" ca="1" si="539"/>
        <v>#VALUE!</v>
      </c>
      <c r="Q577" s="243" t="e">
        <f ca="1">IF(AND(INDEX(FlowCalConstA,MATCH(N566,FlowCalNumber,0),1,1)*P577^INDEX(FlowCalConstB,MATCH(N566,FlowCalNumber,0),1,1)&gt;INDEX(FlowCalLowSetting,MATCH(N566,FlowCalNumber,0),1,1), (INDEX(FlowCalConstA,MATCH(N566,FlowCalNumber,0),1,1)*P577^INDEX(FlowCalConstB,MATCH(N566,FlowCalNumber,0),1,1)&lt;INDEX(FlowCalHighSetting,MATCH(N566,FlowCalNumber,0),1,1))),INDEX(FlowCalConstA,MATCH(N566,FlowCalNumber,0),1,1)*P577^INDEX(FlowCalConstB,MATCH(N566,FlowCalNumber,0),1,1)," ")</f>
        <v>#N/A</v>
      </c>
      <c r="R577" s="33"/>
      <c r="S577" s="242">
        <f t="shared" si="540"/>
        <v>1</v>
      </c>
      <c r="T577" s="241" t="e">
        <f t="shared" ca="1" si="541"/>
        <v>#VALUE!</v>
      </c>
      <c r="U577" s="244" t="e">
        <f ca="1">IF(AND(INDEX(FlowCalConstA,MATCH(R566,FlowCalNumber,0),1,1)*T577^INDEX(FlowCalConstB,MATCH(R566,FlowCalNumber,0),1,1)&gt;INDEX(FlowCalLowSetting,MATCH(R566,FlowCalNumber,0),1,1), (INDEX(FlowCalConstA,MATCH(R566,FlowCalNumber,0),1,1)*T577^INDEX(FlowCalConstB,MATCH(R566,FlowCalNumber,0),1,1)&lt;INDEX(FlowCalHighSetting,MATCH(R566,FlowCalNumber,0),1,1))),INDEX(FlowCalConstA,MATCH(R566,FlowCalNumber,0),1,1)*T577^INDEX(FlowCalConstB,MATCH(R566,FlowCalNumber,0),1,1)," ")</f>
        <v>#N/A</v>
      </c>
      <c r="V577" s="33"/>
      <c r="W577" s="242">
        <f t="shared" si="542"/>
        <v>0.1</v>
      </c>
      <c r="X577" s="241" t="e">
        <f t="shared" ca="1" si="543"/>
        <v>#VALUE!</v>
      </c>
      <c r="Y577" s="243" t="e">
        <f ca="1">IF(AND(INDEX(FlowCalConstA,MATCH(V566,FlowCalNumber,0),1,1)*X577^INDEX(FlowCalConstB,MATCH(V566,FlowCalNumber,0),1,1)&gt;INDEX(FlowCalLowSetting,MATCH(V566,FlowCalNumber,0),1,1), (INDEX(FlowCalConstA,MATCH(V566,FlowCalNumber,0),1,1)*X577^INDEX(FlowCalConstB,MATCH(V566,FlowCalNumber,0),1,1)&lt;INDEX(FlowCalHighSetting,MATCH(V566,FlowCalNumber,0),1,1))),INDEX(FlowCalConstA,MATCH(V566,FlowCalNumber,0),1,1)*X577^INDEX(FlowCalConstB,MATCH(V566,FlowCalNumber,0),1,1)," ")</f>
        <v>#N/A</v>
      </c>
      <c r="Z577" s="33"/>
      <c r="AA577" s="242">
        <f t="shared" si="544"/>
        <v>0.9</v>
      </c>
      <c r="AB577" s="241" t="e">
        <f t="shared" ca="1" si="545"/>
        <v>#VALUE!</v>
      </c>
      <c r="AC577" s="243" t="e">
        <f ca="1">IF(AND(INDEX(FlowCalConstA,MATCH(Z566,FlowCalNumber,0),1,1)*AB577^INDEX(FlowCalConstB,MATCH(Z566,FlowCalNumber,0),1,1)&gt;INDEX(FlowCalLowSetting,MATCH(Z566,FlowCalNumber,0),1,1), (INDEX(FlowCalConstA,MATCH(Z566,FlowCalNumber,0),1,1)*AB577^INDEX(FlowCalConstB,MATCH(Z566,FlowCalNumber,0),1,1)&lt;INDEX(FlowCalHighSetting,MATCH(Z566,FlowCalNumber,0),1,1))),INDEX(FlowCalConstA,MATCH(Z566,FlowCalNumber,0),1,1)*AB577^INDEX(FlowCalConstB,MATCH(Z566,FlowCalNumber,0),1,1)," ")</f>
        <v>#N/A</v>
      </c>
      <c r="AD577" s="33"/>
      <c r="AE577" s="242">
        <f t="shared" si="546"/>
        <v>0.1</v>
      </c>
      <c r="AF577" s="241" t="e">
        <f t="shared" ca="1" si="547"/>
        <v>#VALUE!</v>
      </c>
      <c r="AG577" s="243" t="e">
        <f ca="1">IF(AND(INDEX(FlowCalConstA,MATCH(AD566,FlowCalNumber,0),1,1)*AF577^INDEX(FlowCalConstB,MATCH(AD566,FlowCalNumber,0),1,1)&gt;INDEX(FlowCalLowSetting,MATCH(AD566,FlowCalNumber,0),1,1), (INDEX(FlowCalConstA,MATCH(AD566,FlowCalNumber,0),1,1)*AF577^INDEX(FlowCalConstB,MATCH(AD566,FlowCalNumber,0),1,1)&lt;INDEX(FlowCalHighSetting,MATCH(AD566,FlowCalNumber,0),1,1))),INDEX(FlowCalConstA,MATCH(AD566,FlowCalNumber,0),1,1)*AF577^INDEX(FlowCalConstB,MATCH(AD566,FlowCalNumber,0),1,1)," ")</f>
        <v>#N/A</v>
      </c>
      <c r="AH577" s="33"/>
      <c r="AI577" s="242">
        <f t="shared" si="548"/>
        <v>0.9</v>
      </c>
      <c r="AJ577" s="241" t="e">
        <f t="shared" ca="1" si="549"/>
        <v>#VALUE!</v>
      </c>
      <c r="AK577" s="243" t="e">
        <f ca="1">IF(AND(INDEX(FlowCalConstA,MATCH(AH566,FlowCalNumber,0),1,1)*AJ577^INDEX(FlowCalConstB,MATCH(AH566,FlowCalNumber,0),1,1)&gt;INDEX(FlowCalLowSetting,MATCH(AH566,FlowCalNumber,0),1,1), (INDEX(FlowCalConstA,MATCH(AH566,FlowCalNumber,0),1,1)*AJ577^INDEX(FlowCalConstB,MATCH(AH566,FlowCalNumber,0),1,1)&lt;INDEX(FlowCalHighSetting,MATCH(AH566,FlowCalNumber,0),1,1))),INDEX(FlowCalConstA,MATCH(AH566,FlowCalNumber,0),1,1)*AJ577^INDEX(FlowCalConstB,MATCH(AH566,FlowCalNumber,0),1,1)," ")</f>
        <v>#N/A</v>
      </c>
      <c r="AL577" s="33"/>
      <c r="AM577" s="242"/>
      <c r="AN577" s="241"/>
      <c r="AO577" s="244"/>
      <c r="AQ577" s="242"/>
      <c r="AR577" s="241"/>
      <c r="AS577" s="244"/>
      <c r="AT577" s="33"/>
      <c r="AU577" s="242"/>
      <c r="AV577" s="241"/>
      <c r="AW577" s="244"/>
      <c r="AX577" s="33"/>
      <c r="AY577" s="242"/>
      <c r="AZ577" s="241"/>
      <c r="BA577" s="244"/>
      <c r="BB577" s="33"/>
      <c r="BC577" s="242"/>
      <c r="BD577" s="241"/>
      <c r="BE577" s="244"/>
      <c r="BF577" s="33"/>
      <c r="BG577" s="242"/>
      <c r="BH577" s="241"/>
      <c r="BI577" s="244"/>
      <c r="BJ577" s="33"/>
      <c r="BK577" s="242"/>
      <c r="BL577" s="241"/>
      <c r="BM577" s="244"/>
      <c r="BN577" s="33"/>
      <c r="BO577" s="242"/>
      <c r="BP577" s="241"/>
      <c r="BQ577" s="244"/>
      <c r="BR577" s="33"/>
      <c r="BS577" s="242"/>
      <c r="BT577" s="241"/>
      <c r="BU577" s="244"/>
      <c r="BV577" s="33"/>
      <c r="BW577" s="242"/>
      <c r="BX577" s="241"/>
      <c r="BY577" s="244"/>
      <c r="BZ577" s="33"/>
      <c r="CA577" s="242"/>
      <c r="CB577" s="241"/>
      <c r="CC577" s="244"/>
      <c r="CD577" s="243"/>
      <c r="CE577" s="243"/>
      <c r="CF577" s="243"/>
      <c r="CG577" s="243"/>
      <c r="CH577" s="243"/>
      <c r="CI577" s="243"/>
      <c r="CJ577" s="243"/>
      <c r="CK577" s="243"/>
      <c r="CL577" s="243"/>
      <c r="CM577" s="243"/>
      <c r="CN577" s="243"/>
      <c r="CO577" s="243"/>
      <c r="CP577" s="243"/>
      <c r="CQ577" s="243"/>
      <c r="CR577" s="243"/>
      <c r="CS577" s="243"/>
      <c r="CT577" s="243"/>
      <c r="CU577" s="243"/>
      <c r="CV577" s="243"/>
      <c r="CW577" s="243"/>
      <c r="CX577" s="243"/>
      <c r="CY577" s="243"/>
      <c r="CZ577" s="243"/>
      <c r="DA577" s="243"/>
      <c r="DB577" s="243"/>
      <c r="DC577" s="243"/>
      <c r="DD577" s="243"/>
      <c r="DE577" s="243"/>
      <c r="DF577" s="243"/>
      <c r="DG577" s="243"/>
      <c r="DH577" s="243"/>
      <c r="DI577" s="243"/>
      <c r="DJ577" s="243"/>
      <c r="DK577" s="243"/>
      <c r="DM577" s="242"/>
      <c r="DO577" s="243"/>
      <c r="DQ577" s="242"/>
      <c r="DS577" s="243"/>
      <c r="DU577" s="242"/>
      <c r="DW577" s="243"/>
      <c r="DY577" s="242"/>
      <c r="EA577" s="243"/>
    </row>
    <row r="578" spans="1:131">
      <c r="A578" s="20"/>
      <c r="B578" s="124" t="str">
        <f t="shared" si="534"/>
        <v/>
      </c>
      <c r="C578" s="235"/>
      <c r="D578" s="24">
        <f>'1% Wind'!$M$93</f>
        <v>2.4</v>
      </c>
      <c r="E578" s="90"/>
      <c r="F578" s="90"/>
      <c r="G578" s="79">
        <f ca="1">IF(I566=0.9743,$G577,MAX(G577/D577*D578,2))</f>
        <v>6.001707317073171</v>
      </c>
      <c r="H578" s="121" t="e">
        <f t="shared" ca="1" si="535"/>
        <v>#VALUE!</v>
      </c>
      <c r="J578" s="33"/>
      <c r="K578" s="242">
        <f t="shared" si="536"/>
        <v>1</v>
      </c>
      <c r="L578" s="241" t="e">
        <f t="shared" ca="1" si="537"/>
        <v>#VALUE!</v>
      </c>
      <c r="M578" s="243" t="e">
        <f ca="1">IF(AND(INDEX(FlowCalConstA,MATCH(J566,FlowCalNumber,0),1,1)*L578^INDEX(FlowCalConstB,MATCH(J566,FlowCalNumber,0),1,1)&gt;INDEX(FlowCalLowSetting,MATCH(J566,FlowCalNumber,0),1,1), (INDEX(FlowCalConstA,MATCH(J566,FlowCalNumber,0),1,1)*L578^INDEX(FlowCalConstB,MATCH(J566,FlowCalNumber,0),1,1)&lt;INDEX(FlowCalHighSetting,MATCH(J566,FlowCalNumber,0),1,1))),INDEX(FlowCalConstA,MATCH(J566,FlowCalNumber,0),1,1)*L578^INDEX(FlowCalConstB,MATCH(J566,FlowCalNumber,0),1,1)," ")</f>
        <v>#N/A</v>
      </c>
      <c r="N578" s="33"/>
      <c r="O578" s="242">
        <f t="shared" si="538"/>
        <v>1</v>
      </c>
      <c r="P578" s="241" t="e">
        <f t="shared" ca="1" si="539"/>
        <v>#VALUE!</v>
      </c>
      <c r="Q578" s="243" t="e">
        <f ca="1">IF(AND(INDEX(FlowCalConstA,MATCH(N566,FlowCalNumber,0),1,1)*P578^INDEX(FlowCalConstB,MATCH(N566,FlowCalNumber,0),1,1)&gt;INDEX(FlowCalLowSetting,MATCH(N566,FlowCalNumber,0),1,1), (INDEX(FlowCalConstA,MATCH(N566,FlowCalNumber,0),1,1)*P578^INDEX(FlowCalConstB,MATCH(N566,FlowCalNumber,0),1,1)&lt;INDEX(FlowCalHighSetting,MATCH(N566,FlowCalNumber,0),1,1))),INDEX(FlowCalConstA,MATCH(N566,FlowCalNumber,0),1,1)*P578^INDEX(FlowCalConstB,MATCH(N566,FlowCalNumber,0),1,1)," ")</f>
        <v>#N/A</v>
      </c>
      <c r="R578" s="33"/>
      <c r="S578" s="242">
        <f t="shared" si="540"/>
        <v>1</v>
      </c>
      <c r="T578" s="241" t="e">
        <f t="shared" ca="1" si="541"/>
        <v>#VALUE!</v>
      </c>
      <c r="U578" s="244" t="e">
        <f ca="1">IF(AND(INDEX(FlowCalConstA,MATCH(R566,FlowCalNumber,0),1,1)*T578^INDEX(FlowCalConstB,MATCH(R566,FlowCalNumber,0),1,1)&gt;INDEX(FlowCalLowSetting,MATCH(R566,FlowCalNumber,0),1,1), (INDEX(FlowCalConstA,MATCH(R566,FlowCalNumber,0),1,1)*T578^INDEX(FlowCalConstB,MATCH(R566,FlowCalNumber,0),1,1)&lt;INDEX(FlowCalHighSetting,MATCH(R566,FlowCalNumber,0),1,1))),INDEX(FlowCalConstA,MATCH(R566,FlowCalNumber,0),1,1)*T578^INDEX(FlowCalConstB,MATCH(R566,FlowCalNumber,0),1,1)," ")</f>
        <v>#N/A</v>
      </c>
      <c r="V578" s="33"/>
      <c r="W578" s="242">
        <f t="shared" si="542"/>
        <v>0.1</v>
      </c>
      <c r="X578" s="241" t="e">
        <f t="shared" ca="1" si="543"/>
        <v>#VALUE!</v>
      </c>
      <c r="Y578" s="243" t="e">
        <f ca="1">IF(AND(INDEX(FlowCalConstA,MATCH(V566,FlowCalNumber,0),1,1)*X578^INDEX(FlowCalConstB,MATCH(V566,FlowCalNumber,0),1,1)&gt;INDEX(FlowCalLowSetting,MATCH(V566,FlowCalNumber,0),1,1), (INDEX(FlowCalConstA,MATCH(V566,FlowCalNumber,0),1,1)*X578^INDEX(FlowCalConstB,MATCH(V566,FlowCalNumber,0),1,1)&lt;INDEX(FlowCalHighSetting,MATCH(V566,FlowCalNumber,0),1,1))),INDEX(FlowCalConstA,MATCH(V566,FlowCalNumber,0),1,1)*X578^INDEX(FlowCalConstB,MATCH(V566,FlowCalNumber,0),1,1)," ")</f>
        <v>#N/A</v>
      </c>
      <c r="Z578" s="33"/>
      <c r="AA578" s="242">
        <f t="shared" si="544"/>
        <v>0.9</v>
      </c>
      <c r="AB578" s="241" t="e">
        <f t="shared" ca="1" si="545"/>
        <v>#VALUE!</v>
      </c>
      <c r="AC578" s="243" t="e">
        <f ca="1">IF(AND(INDEX(FlowCalConstA,MATCH(Z566,FlowCalNumber,0),1,1)*AB578^INDEX(FlowCalConstB,MATCH(Z566,FlowCalNumber,0),1,1)&gt;INDEX(FlowCalLowSetting,MATCH(Z566,FlowCalNumber,0),1,1), (INDEX(FlowCalConstA,MATCH(Z566,FlowCalNumber,0),1,1)*AB578^INDEX(FlowCalConstB,MATCH(Z566,FlowCalNumber,0),1,1)&lt;INDEX(FlowCalHighSetting,MATCH(Z566,FlowCalNumber,0),1,1))),INDEX(FlowCalConstA,MATCH(Z566,FlowCalNumber,0),1,1)*AB578^INDEX(FlowCalConstB,MATCH(Z566,FlowCalNumber,0),1,1)," ")</f>
        <v>#N/A</v>
      </c>
      <c r="AD578" s="33"/>
      <c r="AE578" s="242">
        <f t="shared" si="546"/>
        <v>0.1</v>
      </c>
      <c r="AF578" s="241" t="e">
        <f t="shared" ca="1" si="547"/>
        <v>#VALUE!</v>
      </c>
      <c r="AG578" s="243" t="e">
        <f ca="1">IF(AND(INDEX(FlowCalConstA,MATCH(AD566,FlowCalNumber,0),1,1)*AF578^INDEX(FlowCalConstB,MATCH(AD566,FlowCalNumber,0),1,1)&gt;INDEX(FlowCalLowSetting,MATCH(AD566,FlowCalNumber,0),1,1), (INDEX(FlowCalConstA,MATCH(AD566,FlowCalNumber,0),1,1)*AF578^INDEX(FlowCalConstB,MATCH(AD566,FlowCalNumber,0),1,1)&lt;INDEX(FlowCalHighSetting,MATCH(AD566,FlowCalNumber,0),1,1))),INDEX(FlowCalConstA,MATCH(AD566,FlowCalNumber,0),1,1)*AF578^INDEX(FlowCalConstB,MATCH(AD566,FlowCalNumber,0),1,1)," ")</f>
        <v>#N/A</v>
      </c>
      <c r="AH578" s="33"/>
      <c r="AI578" s="242">
        <f t="shared" si="548"/>
        <v>0.9</v>
      </c>
      <c r="AJ578" s="241" t="e">
        <f t="shared" ca="1" si="549"/>
        <v>#VALUE!</v>
      </c>
      <c r="AK578" s="243" t="e">
        <f ca="1">IF(AND(INDEX(FlowCalConstA,MATCH(AH566,FlowCalNumber,0),1,1)*AJ578^INDEX(FlowCalConstB,MATCH(AH566,FlowCalNumber,0),1,1)&gt;INDEX(FlowCalLowSetting,MATCH(AH566,FlowCalNumber,0),1,1), (INDEX(FlowCalConstA,MATCH(AH566,FlowCalNumber,0),1,1)*AJ578^INDEX(FlowCalConstB,MATCH(AH566,FlowCalNumber,0),1,1)&lt;INDEX(FlowCalHighSetting,MATCH(AH566,FlowCalNumber,0),1,1))),INDEX(FlowCalConstA,MATCH(AH566,FlowCalNumber,0),1,1)*AJ578^INDEX(FlowCalConstB,MATCH(AH566,FlowCalNumber,0),1,1)," ")</f>
        <v>#N/A</v>
      </c>
      <c r="AL578" s="33"/>
      <c r="AM578" s="242"/>
      <c r="AN578" s="241"/>
      <c r="AO578" s="244"/>
      <c r="AQ578" s="242"/>
      <c r="AR578" s="241"/>
      <c r="AS578" s="244"/>
      <c r="AT578" s="33"/>
      <c r="AU578" s="242"/>
      <c r="AV578" s="241"/>
      <c r="AW578" s="244"/>
      <c r="AX578" s="33"/>
      <c r="AY578" s="242"/>
      <c r="AZ578" s="241"/>
      <c r="BA578" s="244"/>
      <c r="BB578" s="33"/>
      <c r="BC578" s="242"/>
      <c r="BD578" s="241"/>
      <c r="BE578" s="244"/>
      <c r="BF578" s="33"/>
      <c r="BG578" s="242"/>
      <c r="BH578" s="241"/>
      <c r="BI578" s="244"/>
      <c r="BJ578" s="33"/>
      <c r="BK578" s="242"/>
      <c r="BL578" s="241"/>
      <c r="BM578" s="244"/>
      <c r="BN578" s="33"/>
      <c r="BO578" s="242"/>
      <c r="BP578" s="241"/>
      <c r="BQ578" s="244"/>
      <c r="BR578" s="33"/>
      <c r="BS578" s="242"/>
      <c r="BT578" s="241"/>
      <c r="BU578" s="244"/>
      <c r="BV578" s="33"/>
      <c r="BW578" s="242"/>
      <c r="BX578" s="241"/>
      <c r="BY578" s="244"/>
      <c r="BZ578" s="33"/>
      <c r="CA578" s="242"/>
      <c r="CB578" s="241"/>
      <c r="CC578" s="244"/>
      <c r="CD578" s="243"/>
      <c r="CE578" s="243"/>
      <c r="CF578" s="243"/>
      <c r="CG578" s="243"/>
      <c r="CH578" s="243"/>
      <c r="CI578" s="243"/>
      <c r="CJ578" s="243"/>
      <c r="CK578" s="243"/>
      <c r="CL578" s="243"/>
      <c r="CM578" s="243"/>
      <c r="CN578" s="243"/>
      <c r="CO578" s="243"/>
      <c r="CP578" s="243"/>
      <c r="CQ578" s="243"/>
      <c r="CR578" s="243"/>
      <c r="CS578" s="243"/>
      <c r="CT578" s="243"/>
      <c r="CU578" s="243"/>
      <c r="CV578" s="243"/>
      <c r="CW578" s="243"/>
      <c r="CX578" s="243"/>
      <c r="CY578" s="243"/>
      <c r="CZ578" s="243"/>
      <c r="DA578" s="243"/>
      <c r="DB578" s="243"/>
      <c r="DC578" s="243"/>
      <c r="DD578" s="243"/>
      <c r="DE578" s="243"/>
      <c r="DF578" s="243"/>
      <c r="DG578" s="243"/>
      <c r="DH578" s="243"/>
      <c r="DI578" s="243"/>
      <c r="DJ578" s="243"/>
      <c r="DK578" s="243"/>
      <c r="DM578" s="242"/>
      <c r="DO578" s="243"/>
      <c r="DQ578" s="242"/>
      <c r="DS578" s="243"/>
      <c r="DU578" s="242"/>
      <c r="DW578" s="243"/>
      <c r="DY578" s="242"/>
      <c r="EA578" s="243"/>
    </row>
    <row r="579" spans="1:131">
      <c r="A579" s="20"/>
      <c r="B579" s="124" t="str">
        <f t="shared" si="534"/>
        <v/>
      </c>
      <c r="C579" s="235"/>
      <c r="D579" s="24">
        <f>'1% Wind'!$M$94</f>
        <v>1.8</v>
      </c>
      <c r="E579" s="90"/>
      <c r="F579" s="90"/>
      <c r="G579" s="79">
        <f ca="1">IF(I566=0.9743,$G578,MAX(G578/D578*D579,2))</f>
        <v>6.001707317073171</v>
      </c>
      <c r="H579" s="121" t="e">
        <f t="shared" ca="1" si="535"/>
        <v>#VALUE!</v>
      </c>
      <c r="J579" s="33"/>
      <c r="K579" s="242">
        <f t="shared" si="536"/>
        <v>1</v>
      </c>
      <c r="L579" s="241" t="e">
        <f t="shared" ca="1" si="537"/>
        <v>#VALUE!</v>
      </c>
      <c r="M579" s="243" t="e">
        <f ca="1">IF(AND(INDEX(FlowCalConstA,MATCH(J566,FlowCalNumber,0),1,1)*L579^INDEX(FlowCalConstB,MATCH(J566,FlowCalNumber,0),1,1)&gt;INDEX(FlowCalLowSetting,MATCH(J566,FlowCalNumber,0),1,1), (INDEX(FlowCalConstA,MATCH(J566,FlowCalNumber,0),1,1)*L579^INDEX(FlowCalConstB,MATCH(J566,FlowCalNumber,0),1,1)&lt;INDEX(FlowCalHighSetting,MATCH(J566,FlowCalNumber,0),1,1))),INDEX(FlowCalConstA,MATCH(J566,FlowCalNumber,0),1,1)*L579^INDEX(FlowCalConstB,MATCH(J566,FlowCalNumber,0),1,1)," ")</f>
        <v>#N/A</v>
      </c>
      <c r="N579" s="33"/>
      <c r="O579" s="242">
        <f t="shared" si="538"/>
        <v>1</v>
      </c>
      <c r="P579" s="241" t="e">
        <f t="shared" ca="1" si="539"/>
        <v>#VALUE!</v>
      </c>
      <c r="Q579" s="243" t="e">
        <f ca="1">IF(AND(INDEX(FlowCalConstA,MATCH(N566,FlowCalNumber,0),1,1)*P579^INDEX(FlowCalConstB,MATCH(N566,FlowCalNumber,0),1,1)&gt;INDEX(FlowCalLowSetting,MATCH(N566,FlowCalNumber,0),1,1), (INDEX(FlowCalConstA,MATCH(N566,FlowCalNumber,0),1,1)*P579^INDEX(FlowCalConstB,MATCH(N566,FlowCalNumber,0),1,1)&lt;INDEX(FlowCalHighSetting,MATCH(N566,FlowCalNumber,0),1,1))),INDEX(FlowCalConstA,MATCH(N566,FlowCalNumber,0),1,1)*P579^INDEX(FlowCalConstB,MATCH(N566,FlowCalNumber,0),1,1)," ")</f>
        <v>#N/A</v>
      </c>
      <c r="R579" s="33"/>
      <c r="S579" s="242">
        <f t="shared" si="540"/>
        <v>1</v>
      </c>
      <c r="T579" s="241" t="e">
        <f t="shared" ca="1" si="541"/>
        <v>#VALUE!</v>
      </c>
      <c r="U579" s="244" t="e">
        <f ca="1">IF(AND(INDEX(FlowCalConstA,MATCH(R566,FlowCalNumber,0),1,1)*T579^INDEX(FlowCalConstB,MATCH(R566,FlowCalNumber,0),1,1)&gt;INDEX(FlowCalLowSetting,MATCH(R566,FlowCalNumber,0),1,1), (INDEX(FlowCalConstA,MATCH(R566,FlowCalNumber,0),1,1)*T579^INDEX(FlowCalConstB,MATCH(R566,FlowCalNumber,0),1,1)&lt;INDEX(FlowCalHighSetting,MATCH(R566,FlowCalNumber,0),1,1))),INDEX(FlowCalConstA,MATCH(R566,FlowCalNumber,0),1,1)*T579^INDEX(FlowCalConstB,MATCH(R566,FlowCalNumber,0),1,1)," ")</f>
        <v>#N/A</v>
      </c>
      <c r="V579" s="33"/>
      <c r="W579" s="242">
        <f t="shared" si="542"/>
        <v>0.1</v>
      </c>
      <c r="X579" s="241" t="e">
        <f t="shared" ca="1" si="543"/>
        <v>#VALUE!</v>
      </c>
      <c r="Y579" s="243" t="e">
        <f ca="1">IF(AND(INDEX(FlowCalConstA,MATCH(V566,FlowCalNumber,0),1,1)*X579^INDEX(FlowCalConstB,MATCH(V566,FlowCalNumber,0),1,1)&gt;INDEX(FlowCalLowSetting,MATCH(V566,FlowCalNumber,0),1,1), (INDEX(FlowCalConstA,MATCH(V566,FlowCalNumber,0),1,1)*X579^INDEX(FlowCalConstB,MATCH(V566,FlowCalNumber,0),1,1)&lt;INDEX(FlowCalHighSetting,MATCH(V566,FlowCalNumber,0),1,1))),INDEX(FlowCalConstA,MATCH(V566,FlowCalNumber,0),1,1)*X579^INDEX(FlowCalConstB,MATCH(V566,FlowCalNumber,0),1,1)," ")</f>
        <v>#N/A</v>
      </c>
      <c r="Z579" s="33"/>
      <c r="AA579" s="242">
        <f t="shared" si="544"/>
        <v>0.9</v>
      </c>
      <c r="AB579" s="241" t="e">
        <f t="shared" ca="1" si="545"/>
        <v>#VALUE!</v>
      </c>
      <c r="AC579" s="243" t="e">
        <f ca="1">IF(AND(INDEX(FlowCalConstA,MATCH(Z566,FlowCalNumber,0),1,1)*AB579^INDEX(FlowCalConstB,MATCH(Z566,FlowCalNumber,0),1,1)&gt;INDEX(FlowCalLowSetting,MATCH(Z566,FlowCalNumber,0),1,1), (INDEX(FlowCalConstA,MATCH(Z566,FlowCalNumber,0),1,1)*AB579^INDEX(FlowCalConstB,MATCH(Z566,FlowCalNumber,0),1,1)&lt;INDEX(FlowCalHighSetting,MATCH(Z566,FlowCalNumber,0),1,1))),INDEX(FlowCalConstA,MATCH(Z566,FlowCalNumber,0),1,1)*AB579^INDEX(FlowCalConstB,MATCH(Z566,FlowCalNumber,0),1,1)," ")</f>
        <v>#N/A</v>
      </c>
      <c r="AD579" s="33"/>
      <c r="AE579" s="242">
        <f t="shared" si="546"/>
        <v>0.1</v>
      </c>
      <c r="AF579" s="241" t="e">
        <f t="shared" ca="1" si="547"/>
        <v>#VALUE!</v>
      </c>
      <c r="AG579" s="243" t="e">
        <f ca="1">IF(AND(INDEX(FlowCalConstA,MATCH(AD566,FlowCalNumber,0),1,1)*AF579^INDEX(FlowCalConstB,MATCH(AD566,FlowCalNumber,0),1,1)&gt;INDEX(FlowCalLowSetting,MATCH(AD566,FlowCalNumber,0),1,1), (INDEX(FlowCalConstA,MATCH(AD566,FlowCalNumber,0),1,1)*AF579^INDEX(FlowCalConstB,MATCH(AD566,FlowCalNumber,0),1,1)&lt;INDEX(FlowCalHighSetting,MATCH(AD566,FlowCalNumber,0),1,1))),INDEX(FlowCalConstA,MATCH(AD566,FlowCalNumber,0),1,1)*AF579^INDEX(FlowCalConstB,MATCH(AD566,FlowCalNumber,0),1,1)," ")</f>
        <v>#N/A</v>
      </c>
      <c r="AH579" s="33"/>
      <c r="AI579" s="242">
        <f t="shared" si="548"/>
        <v>0.9</v>
      </c>
      <c r="AJ579" s="241" t="e">
        <f t="shared" ca="1" si="549"/>
        <v>#VALUE!</v>
      </c>
      <c r="AK579" s="243" t="e">
        <f ca="1">IF(AND(INDEX(FlowCalConstA,MATCH(AH566,FlowCalNumber,0),1,1)*AJ579^INDEX(FlowCalConstB,MATCH(AH566,FlowCalNumber,0),1,1)&gt;INDEX(FlowCalLowSetting,MATCH(AH566,FlowCalNumber,0),1,1), (INDEX(FlowCalConstA,MATCH(AH566,FlowCalNumber,0),1,1)*AJ579^INDEX(FlowCalConstB,MATCH(AH566,FlowCalNumber,0),1,1)&lt;INDEX(FlowCalHighSetting,MATCH(AH566,FlowCalNumber,0),1,1))),INDEX(FlowCalConstA,MATCH(AH566,FlowCalNumber,0),1,1)*AJ579^INDEX(FlowCalConstB,MATCH(AH566,FlowCalNumber,0),1,1)," ")</f>
        <v>#N/A</v>
      </c>
      <c r="AL579" s="33"/>
      <c r="AM579" s="242"/>
      <c r="AN579" s="241"/>
      <c r="AO579" s="244"/>
      <c r="AQ579" s="242"/>
      <c r="AR579" s="241"/>
      <c r="AS579" s="244"/>
      <c r="AT579" s="33"/>
      <c r="AU579" s="242"/>
      <c r="AV579" s="241"/>
      <c r="AW579" s="244"/>
      <c r="AX579" s="33"/>
      <c r="AY579" s="242"/>
      <c r="AZ579" s="241"/>
      <c r="BA579" s="244"/>
      <c r="BB579" s="33"/>
      <c r="BC579" s="242"/>
      <c r="BD579" s="241"/>
      <c r="BE579" s="244"/>
      <c r="BF579" s="33"/>
      <c r="BG579" s="242"/>
      <c r="BH579" s="241"/>
      <c r="BI579" s="244"/>
      <c r="BJ579" s="33"/>
      <c r="BK579" s="242"/>
      <c r="BL579" s="241"/>
      <c r="BM579" s="244"/>
      <c r="BN579" s="33"/>
      <c r="BO579" s="242"/>
      <c r="BP579" s="241"/>
      <c r="BQ579" s="244"/>
      <c r="BR579" s="33"/>
      <c r="BS579" s="242"/>
      <c r="BT579" s="241"/>
      <c r="BU579" s="244"/>
      <c r="BV579" s="33"/>
      <c r="BW579" s="242"/>
      <c r="BX579" s="241"/>
      <c r="BY579" s="244"/>
      <c r="BZ579" s="33"/>
      <c r="CA579" s="242"/>
      <c r="CB579" s="241"/>
      <c r="CC579" s="244"/>
      <c r="CD579" s="243"/>
      <c r="CE579" s="243"/>
      <c r="CF579" s="243"/>
      <c r="CG579" s="243"/>
      <c r="CH579" s="243"/>
      <c r="CI579" s="243"/>
      <c r="CJ579" s="243"/>
      <c r="CK579" s="243"/>
      <c r="CL579" s="243"/>
      <c r="CM579" s="243"/>
      <c r="CN579" s="243"/>
      <c r="CO579" s="243"/>
      <c r="CP579" s="243"/>
      <c r="CQ579" s="243"/>
      <c r="CR579" s="243"/>
      <c r="CS579" s="243"/>
      <c r="CT579" s="243"/>
      <c r="CU579" s="243"/>
      <c r="CV579" s="243"/>
      <c r="CW579" s="243"/>
      <c r="CX579" s="243"/>
      <c r="CY579" s="243"/>
      <c r="CZ579" s="243"/>
      <c r="DA579" s="243"/>
      <c r="DB579" s="243"/>
      <c r="DC579" s="243"/>
      <c r="DD579" s="243"/>
      <c r="DE579" s="243"/>
      <c r="DF579" s="243"/>
      <c r="DG579" s="243"/>
      <c r="DH579" s="243"/>
      <c r="DI579" s="243"/>
      <c r="DJ579" s="243"/>
      <c r="DK579" s="243"/>
      <c r="DM579" s="242"/>
      <c r="DO579" s="243"/>
      <c r="DQ579" s="242"/>
      <c r="DS579" s="243"/>
      <c r="DU579" s="242"/>
      <c r="DW579" s="243"/>
      <c r="DY579" s="242"/>
      <c r="EA579" s="243"/>
    </row>
    <row r="580" spans="1:131">
      <c r="A580" s="20"/>
      <c r="B580" s="124" t="str">
        <f t="shared" si="534"/>
        <v/>
      </c>
      <c r="C580" s="235"/>
      <c r="D580" s="24">
        <f>'1% Wind'!$M$95</f>
        <v>1.3</v>
      </c>
      <c r="E580" s="90"/>
      <c r="F580" s="90"/>
      <c r="G580" s="79">
        <f ca="1">IF(I566=0.9743,$G579,MAX(G579/D579*D580,2))</f>
        <v>6.001707317073171</v>
      </c>
      <c r="H580" s="121" t="e">
        <f t="shared" ca="1" si="535"/>
        <v>#VALUE!</v>
      </c>
      <c r="J580" s="33"/>
      <c r="K580" s="242">
        <f t="shared" si="536"/>
        <v>1</v>
      </c>
      <c r="L580" s="241" t="e">
        <f t="shared" ca="1" si="537"/>
        <v>#VALUE!</v>
      </c>
      <c r="M580" s="243" t="e">
        <f ca="1">IF(AND(INDEX(FlowCalConstA,MATCH(J566,FlowCalNumber,0),1,1)*L580^INDEX(FlowCalConstB,MATCH(J566,FlowCalNumber,0),1,1)&gt;INDEX(FlowCalLowSetting,MATCH(J566,FlowCalNumber,0),1,1), (INDEX(FlowCalConstA,MATCH(J566,FlowCalNumber,0),1,1)*L580^INDEX(FlowCalConstB,MATCH(J566,FlowCalNumber,0),1,1)&lt;INDEX(FlowCalHighSetting,MATCH(J566,FlowCalNumber,0),1,1))),INDEX(FlowCalConstA,MATCH(J566,FlowCalNumber,0),1,1)*L580^INDEX(FlowCalConstB,MATCH(J566,FlowCalNumber,0),1,1)," ")</f>
        <v>#N/A</v>
      </c>
      <c r="N580" s="33"/>
      <c r="O580" s="242">
        <f t="shared" si="538"/>
        <v>1</v>
      </c>
      <c r="P580" s="241" t="e">
        <f t="shared" ca="1" si="539"/>
        <v>#VALUE!</v>
      </c>
      <c r="Q580" s="243" t="e">
        <f ca="1">IF(AND(INDEX(FlowCalConstA,MATCH(N566,FlowCalNumber,0),1,1)*P580^INDEX(FlowCalConstB,MATCH(N566,FlowCalNumber,0),1,1)&gt;INDEX(FlowCalLowSetting,MATCH(N566,FlowCalNumber,0),1,1), (INDEX(FlowCalConstA,MATCH(N566,FlowCalNumber,0),1,1)*P580^INDEX(FlowCalConstB,MATCH(N566,FlowCalNumber,0),1,1)&lt;INDEX(FlowCalHighSetting,MATCH(N566,FlowCalNumber,0),1,1))),INDEX(FlowCalConstA,MATCH(N566,FlowCalNumber,0),1,1)*P580^INDEX(FlowCalConstB,MATCH(N566,FlowCalNumber,0),1,1)," ")</f>
        <v>#N/A</v>
      </c>
      <c r="R580" s="33"/>
      <c r="S580" s="242">
        <f t="shared" si="540"/>
        <v>1</v>
      </c>
      <c r="T580" s="241" t="e">
        <f t="shared" ca="1" si="541"/>
        <v>#VALUE!</v>
      </c>
      <c r="U580" s="244" t="e">
        <f ca="1">IF(AND(INDEX(FlowCalConstA,MATCH(R566,FlowCalNumber,0),1,1)*T580^INDEX(FlowCalConstB,MATCH(R566,FlowCalNumber,0),1,1)&gt;INDEX(FlowCalLowSetting,MATCH(R566,FlowCalNumber,0),1,1), (INDEX(FlowCalConstA,MATCH(R566,FlowCalNumber,0),1,1)*T580^INDEX(FlowCalConstB,MATCH(R566,FlowCalNumber,0),1,1)&lt;INDEX(FlowCalHighSetting,MATCH(R566,FlowCalNumber,0),1,1))),INDEX(FlowCalConstA,MATCH(R566,FlowCalNumber,0),1,1)*T580^INDEX(FlowCalConstB,MATCH(R566,FlowCalNumber,0),1,1)," ")</f>
        <v>#N/A</v>
      </c>
      <c r="V580" s="33"/>
      <c r="W580" s="242">
        <f t="shared" si="542"/>
        <v>0.1</v>
      </c>
      <c r="X580" s="241" t="e">
        <f t="shared" ca="1" si="543"/>
        <v>#VALUE!</v>
      </c>
      <c r="Y580" s="243" t="e">
        <f ca="1">IF(AND(INDEX(FlowCalConstA,MATCH(V566,FlowCalNumber,0),1,1)*X580^INDEX(FlowCalConstB,MATCH(V566,FlowCalNumber,0),1,1)&gt;INDEX(FlowCalLowSetting,MATCH(V566,FlowCalNumber,0),1,1), (INDEX(FlowCalConstA,MATCH(V566,FlowCalNumber,0),1,1)*X580^INDEX(FlowCalConstB,MATCH(V566,FlowCalNumber,0),1,1)&lt;INDEX(FlowCalHighSetting,MATCH(V566,FlowCalNumber,0),1,1))),INDEX(FlowCalConstA,MATCH(V566,FlowCalNumber,0),1,1)*X580^INDEX(FlowCalConstB,MATCH(V566,FlowCalNumber,0),1,1)," ")</f>
        <v>#N/A</v>
      </c>
      <c r="Z580" s="33"/>
      <c r="AA580" s="242">
        <f t="shared" si="544"/>
        <v>0.9</v>
      </c>
      <c r="AB580" s="241" t="e">
        <f t="shared" ca="1" si="545"/>
        <v>#VALUE!</v>
      </c>
      <c r="AC580" s="243" t="e">
        <f ca="1">IF(AND(INDEX(FlowCalConstA,MATCH(Z566,FlowCalNumber,0),1,1)*AB580^INDEX(FlowCalConstB,MATCH(Z566,FlowCalNumber,0),1,1)&gt;INDEX(FlowCalLowSetting,MATCH(Z566,FlowCalNumber,0),1,1), (INDEX(FlowCalConstA,MATCH(Z566,FlowCalNumber,0),1,1)*AB580^INDEX(FlowCalConstB,MATCH(Z566,FlowCalNumber,0),1,1)&lt;INDEX(FlowCalHighSetting,MATCH(Z566,FlowCalNumber,0),1,1))),INDEX(FlowCalConstA,MATCH(Z566,FlowCalNumber,0),1,1)*AB580^INDEX(FlowCalConstB,MATCH(Z566,FlowCalNumber,0),1,1)," ")</f>
        <v>#N/A</v>
      </c>
      <c r="AD580" s="33"/>
      <c r="AE580" s="242">
        <f t="shared" si="546"/>
        <v>0.1</v>
      </c>
      <c r="AF580" s="241" t="e">
        <f t="shared" ca="1" si="547"/>
        <v>#VALUE!</v>
      </c>
      <c r="AG580" s="243" t="e">
        <f ca="1">IF(AND(INDEX(FlowCalConstA,MATCH(AD566,FlowCalNumber,0),1,1)*AF580^INDEX(FlowCalConstB,MATCH(AD566,FlowCalNumber,0),1,1)&gt;INDEX(FlowCalLowSetting,MATCH(AD566,FlowCalNumber,0),1,1), (INDEX(FlowCalConstA,MATCH(AD566,FlowCalNumber,0),1,1)*AF580^INDEX(FlowCalConstB,MATCH(AD566,FlowCalNumber,0),1,1)&lt;INDEX(FlowCalHighSetting,MATCH(AD566,FlowCalNumber,0),1,1))),INDEX(FlowCalConstA,MATCH(AD566,FlowCalNumber,0),1,1)*AF580^INDEX(FlowCalConstB,MATCH(AD566,FlowCalNumber,0),1,1)," ")</f>
        <v>#N/A</v>
      </c>
      <c r="AH580" s="33"/>
      <c r="AI580" s="242">
        <f t="shared" si="548"/>
        <v>0.9</v>
      </c>
      <c r="AJ580" s="241" t="e">
        <f t="shared" ca="1" si="549"/>
        <v>#VALUE!</v>
      </c>
      <c r="AK580" s="243" t="e">
        <f ca="1">IF(AND(INDEX(FlowCalConstA,MATCH(AH566,FlowCalNumber,0),1,1)*AJ580^INDEX(FlowCalConstB,MATCH(AH566,FlowCalNumber,0),1,1)&gt;INDEX(FlowCalLowSetting,MATCH(AH566,FlowCalNumber,0),1,1), (INDEX(FlowCalConstA,MATCH(AH566,FlowCalNumber,0),1,1)*AJ580^INDEX(FlowCalConstB,MATCH(AH566,FlowCalNumber,0),1,1)&lt;INDEX(FlowCalHighSetting,MATCH(AH566,FlowCalNumber,0),1,1))),INDEX(FlowCalConstA,MATCH(AH566,FlowCalNumber,0),1,1)*AJ580^INDEX(FlowCalConstB,MATCH(AH566,FlowCalNumber,0),1,1)," ")</f>
        <v>#N/A</v>
      </c>
      <c r="AL580" s="33"/>
      <c r="AM580" s="242"/>
      <c r="AN580" s="241"/>
      <c r="AO580" s="244"/>
      <c r="AQ580" s="242"/>
      <c r="AR580" s="241"/>
      <c r="AS580" s="244"/>
      <c r="AT580" s="33"/>
      <c r="AU580" s="242"/>
      <c r="AV580" s="241"/>
      <c r="AW580" s="244"/>
      <c r="AX580" s="33"/>
      <c r="AY580" s="242"/>
      <c r="AZ580" s="241"/>
      <c r="BA580" s="244"/>
      <c r="BB580" s="33"/>
      <c r="BC580" s="242"/>
      <c r="BD580" s="241"/>
      <c r="BE580" s="244"/>
      <c r="BF580" s="33"/>
      <c r="BG580" s="242"/>
      <c r="BH580" s="241"/>
      <c r="BI580" s="244"/>
      <c r="BJ580" s="33"/>
      <c r="BK580" s="242"/>
      <c r="BL580" s="241"/>
      <c r="BM580" s="244"/>
      <c r="BN580" s="33"/>
      <c r="BO580" s="242"/>
      <c r="BP580" s="241"/>
      <c r="BQ580" s="244"/>
      <c r="BR580" s="33"/>
      <c r="BS580" s="242"/>
      <c r="BT580" s="241"/>
      <c r="BU580" s="244"/>
      <c r="BV580" s="33"/>
      <c r="BW580" s="242"/>
      <c r="BX580" s="241"/>
      <c r="BY580" s="244"/>
      <c r="BZ580" s="33"/>
      <c r="CA580" s="242"/>
      <c r="CB580" s="241"/>
      <c r="CC580" s="244"/>
      <c r="CD580" s="243"/>
      <c r="CE580" s="243"/>
      <c r="CF580" s="243"/>
      <c r="CG580" s="243"/>
      <c r="CH580" s="243"/>
      <c r="CI580" s="243"/>
      <c r="CJ580" s="243"/>
      <c r="CK580" s="243"/>
      <c r="CL580" s="243"/>
      <c r="CM580" s="243"/>
      <c r="CN580" s="243"/>
      <c r="CO580" s="243"/>
      <c r="CP580" s="243"/>
      <c r="CQ580" s="243"/>
      <c r="CR580" s="243"/>
      <c r="CS580" s="243"/>
      <c r="CT580" s="243"/>
      <c r="CU580" s="243"/>
      <c r="CV580" s="243"/>
      <c r="CW580" s="243"/>
      <c r="CX580" s="243"/>
      <c r="CY580" s="243"/>
      <c r="CZ580" s="243"/>
      <c r="DA580" s="243"/>
      <c r="DB580" s="243"/>
      <c r="DC580" s="243"/>
      <c r="DD580" s="243"/>
      <c r="DE580" s="243"/>
      <c r="DF580" s="243"/>
      <c r="DG580" s="243"/>
      <c r="DH580" s="243"/>
      <c r="DI580" s="243"/>
      <c r="DJ580" s="243"/>
      <c r="DK580" s="243"/>
      <c r="DM580" s="242"/>
      <c r="DO580" s="243"/>
      <c r="DQ580" s="242"/>
      <c r="DS580" s="243"/>
      <c r="DU580" s="242"/>
      <c r="DW580" s="243"/>
      <c r="DY580" s="242"/>
      <c r="EA580" s="243"/>
    </row>
    <row r="581" spans="1:131">
      <c r="A581" s="20"/>
      <c r="B581" s="124" t="str">
        <f t="shared" si="534"/>
        <v/>
      </c>
      <c r="C581" s="235"/>
      <c r="D581" s="24">
        <f>'1% Wind'!$M$96</f>
        <v>1</v>
      </c>
      <c r="E581" s="90"/>
      <c r="F581" s="90"/>
      <c r="G581" s="79">
        <f ca="1">IF(I566=0.9743,$G580,MAX(G580/D580*D581,2))</f>
        <v>6.001707317073171</v>
      </c>
      <c r="H581" s="121" t="e">
        <f t="shared" ca="1" si="535"/>
        <v>#VALUE!</v>
      </c>
      <c r="J581" s="33"/>
      <c r="K581" s="242">
        <f t="shared" si="536"/>
        <v>1</v>
      </c>
      <c r="L581" s="241" t="e">
        <f t="shared" ca="1" si="537"/>
        <v>#VALUE!</v>
      </c>
      <c r="M581" s="243" t="e">
        <f ca="1">IF(AND(INDEX(FlowCalConstA,MATCH(J566,FlowCalNumber,0),1,1)*L581^INDEX(FlowCalConstB,MATCH(J566,FlowCalNumber,0),1,1)&gt;INDEX(FlowCalLowSetting,MATCH(J566,FlowCalNumber,0),1,1), (INDEX(FlowCalConstA,MATCH(J566,FlowCalNumber,0),1,1)*L581^INDEX(FlowCalConstB,MATCH(J566,FlowCalNumber,0),1,1)&lt;INDEX(FlowCalHighSetting,MATCH(J566,FlowCalNumber,0),1,1))),INDEX(FlowCalConstA,MATCH(J566,FlowCalNumber,0),1,1)*L581^INDEX(FlowCalConstB,MATCH(J566,FlowCalNumber,0),1,1)," ")</f>
        <v>#N/A</v>
      </c>
      <c r="N581" s="33"/>
      <c r="O581" s="242">
        <f t="shared" si="538"/>
        <v>1</v>
      </c>
      <c r="P581" s="241" t="e">
        <f t="shared" ca="1" si="539"/>
        <v>#VALUE!</v>
      </c>
      <c r="Q581" s="243" t="e">
        <f ca="1">IF(AND(INDEX(FlowCalConstA,MATCH(N566,FlowCalNumber,0),1,1)*P581^INDEX(FlowCalConstB,MATCH(N566,FlowCalNumber,0),1,1)&gt;INDEX(FlowCalLowSetting,MATCH(N566,FlowCalNumber,0),1,1), (INDEX(FlowCalConstA,MATCH(N566,FlowCalNumber,0),1,1)*P581^INDEX(FlowCalConstB,MATCH(N566,FlowCalNumber,0),1,1)&lt;INDEX(FlowCalHighSetting,MATCH(N566,FlowCalNumber,0),1,1))),INDEX(FlowCalConstA,MATCH(N566,FlowCalNumber,0),1,1)*P581^INDEX(FlowCalConstB,MATCH(N566,FlowCalNumber,0),1,1)," ")</f>
        <v>#N/A</v>
      </c>
      <c r="R581" s="33"/>
      <c r="S581" s="242">
        <f t="shared" si="540"/>
        <v>1</v>
      </c>
      <c r="T581" s="241" t="e">
        <f t="shared" ca="1" si="541"/>
        <v>#VALUE!</v>
      </c>
      <c r="U581" s="244" t="e">
        <f ca="1">IF(AND(INDEX(FlowCalConstA,MATCH(R566,FlowCalNumber,0),1,1)*T581^INDEX(FlowCalConstB,MATCH(R566,FlowCalNumber,0),1,1)&gt;INDEX(FlowCalLowSetting,MATCH(R566,FlowCalNumber,0),1,1), (INDEX(FlowCalConstA,MATCH(R566,FlowCalNumber,0),1,1)*T581^INDEX(FlowCalConstB,MATCH(R566,FlowCalNumber,0),1,1)&lt;INDEX(FlowCalHighSetting,MATCH(R566,FlowCalNumber,0),1,1))),INDEX(FlowCalConstA,MATCH(R566,FlowCalNumber,0),1,1)*T581^INDEX(FlowCalConstB,MATCH(R566,FlowCalNumber,0),1,1)," ")</f>
        <v>#N/A</v>
      </c>
      <c r="V581" s="33"/>
      <c r="W581" s="242">
        <f t="shared" si="542"/>
        <v>0.1</v>
      </c>
      <c r="X581" s="241" t="e">
        <f t="shared" ca="1" si="543"/>
        <v>#VALUE!</v>
      </c>
      <c r="Y581" s="243" t="e">
        <f ca="1">IF(AND(INDEX(FlowCalConstA,MATCH(V566,FlowCalNumber,0),1,1)*X581^INDEX(FlowCalConstB,MATCH(V566,FlowCalNumber,0),1,1)&gt;INDEX(FlowCalLowSetting,MATCH(V566,FlowCalNumber,0),1,1), (INDEX(FlowCalConstA,MATCH(V566,FlowCalNumber,0),1,1)*X581^INDEX(FlowCalConstB,MATCH(V566,FlowCalNumber,0),1,1)&lt;INDEX(FlowCalHighSetting,MATCH(V566,FlowCalNumber,0),1,1))),INDEX(FlowCalConstA,MATCH(V566,FlowCalNumber,0),1,1)*X581^INDEX(FlowCalConstB,MATCH(V566,FlowCalNumber,0),1,1)," ")</f>
        <v>#N/A</v>
      </c>
      <c r="Z581" s="33"/>
      <c r="AA581" s="242">
        <f t="shared" si="544"/>
        <v>0.9</v>
      </c>
      <c r="AB581" s="241" t="e">
        <f t="shared" ca="1" si="545"/>
        <v>#VALUE!</v>
      </c>
      <c r="AC581" s="243" t="e">
        <f ca="1">IF(AND(INDEX(FlowCalConstA,MATCH(Z566,FlowCalNumber,0),1,1)*AB581^INDEX(FlowCalConstB,MATCH(Z566,FlowCalNumber,0),1,1)&gt;INDEX(FlowCalLowSetting,MATCH(Z566,FlowCalNumber,0),1,1), (INDEX(FlowCalConstA,MATCH(Z566,FlowCalNumber,0),1,1)*AB581^INDEX(FlowCalConstB,MATCH(Z566,FlowCalNumber,0),1,1)&lt;INDEX(FlowCalHighSetting,MATCH(Z566,FlowCalNumber,0),1,1))),INDEX(FlowCalConstA,MATCH(Z566,FlowCalNumber,0),1,1)*AB581^INDEX(FlowCalConstB,MATCH(Z566,FlowCalNumber,0),1,1)," ")</f>
        <v>#N/A</v>
      </c>
      <c r="AD581" s="33"/>
      <c r="AE581" s="242">
        <f t="shared" si="546"/>
        <v>0.1</v>
      </c>
      <c r="AF581" s="241" t="e">
        <f t="shared" ca="1" si="547"/>
        <v>#VALUE!</v>
      </c>
      <c r="AG581" s="243" t="e">
        <f ca="1">IF(AND(INDEX(FlowCalConstA,MATCH(AD566,FlowCalNumber,0),1,1)*AF581^INDEX(FlowCalConstB,MATCH(AD566,FlowCalNumber,0),1,1)&gt;INDEX(FlowCalLowSetting,MATCH(AD566,FlowCalNumber,0),1,1), (INDEX(FlowCalConstA,MATCH(AD566,FlowCalNumber,0),1,1)*AF581^INDEX(FlowCalConstB,MATCH(AD566,FlowCalNumber,0),1,1)&lt;INDEX(FlowCalHighSetting,MATCH(AD566,FlowCalNumber,0),1,1))),INDEX(FlowCalConstA,MATCH(AD566,FlowCalNumber,0),1,1)*AF581^INDEX(FlowCalConstB,MATCH(AD566,FlowCalNumber,0),1,1)," ")</f>
        <v>#N/A</v>
      </c>
      <c r="AH581" s="33"/>
      <c r="AI581" s="242">
        <f t="shared" si="548"/>
        <v>0.9</v>
      </c>
      <c r="AJ581" s="241" t="e">
        <f t="shared" ca="1" si="549"/>
        <v>#VALUE!</v>
      </c>
      <c r="AK581" s="243" t="e">
        <f ca="1">IF(AND(INDEX(FlowCalConstA,MATCH(AH566,FlowCalNumber,0),1,1)*AJ581^INDEX(FlowCalConstB,MATCH(AH566,FlowCalNumber,0),1,1)&gt;INDEX(FlowCalLowSetting,MATCH(AH566,FlowCalNumber,0),1,1), (INDEX(FlowCalConstA,MATCH(AH566,FlowCalNumber,0),1,1)*AJ581^INDEX(FlowCalConstB,MATCH(AH566,FlowCalNumber,0),1,1)&lt;INDEX(FlowCalHighSetting,MATCH(AH566,FlowCalNumber,0),1,1))),INDEX(FlowCalConstA,MATCH(AH566,FlowCalNumber,0),1,1)*AJ581^INDEX(FlowCalConstB,MATCH(AH566,FlowCalNumber,0),1,1)," ")</f>
        <v>#N/A</v>
      </c>
      <c r="AL581" s="33"/>
      <c r="AM581" s="242"/>
      <c r="AN581" s="241"/>
      <c r="AO581" s="244"/>
      <c r="AQ581" s="242"/>
      <c r="AR581" s="241"/>
      <c r="AS581" s="244"/>
      <c r="AT581" s="33"/>
      <c r="AU581" s="242"/>
      <c r="AV581" s="241"/>
      <c r="AW581" s="244"/>
      <c r="AX581" s="33"/>
      <c r="AY581" s="242"/>
      <c r="AZ581" s="241"/>
      <c r="BA581" s="244"/>
      <c r="BB581" s="33"/>
      <c r="BC581" s="242"/>
      <c r="BD581" s="241"/>
      <c r="BE581" s="244"/>
      <c r="BF581" s="33"/>
      <c r="BG581" s="242"/>
      <c r="BH581" s="241"/>
      <c r="BI581" s="244"/>
      <c r="BJ581" s="33"/>
      <c r="BK581" s="242"/>
      <c r="BL581" s="241"/>
      <c r="BM581" s="244"/>
      <c r="BN581" s="33"/>
      <c r="BO581" s="242"/>
      <c r="BP581" s="241"/>
      <c r="BQ581" s="244"/>
      <c r="BR581" s="33"/>
      <c r="BS581" s="242"/>
      <c r="BT581" s="241"/>
      <c r="BU581" s="244"/>
      <c r="BV581" s="33"/>
      <c r="BW581" s="242"/>
      <c r="BX581" s="241"/>
      <c r="BY581" s="244"/>
      <c r="BZ581" s="33"/>
      <c r="CA581" s="242"/>
      <c r="CB581" s="241"/>
      <c r="CC581" s="244"/>
      <c r="CD581" s="243"/>
      <c r="CE581" s="243"/>
      <c r="CF581" s="243"/>
      <c r="CG581" s="243"/>
      <c r="CH581" s="243"/>
      <c r="CI581" s="243"/>
      <c r="CJ581" s="243"/>
      <c r="CK581" s="243"/>
      <c r="CL581" s="243"/>
      <c r="CM581" s="243"/>
      <c r="CN581" s="243"/>
      <c r="CO581" s="243"/>
      <c r="CP581" s="243"/>
      <c r="CQ581" s="243"/>
      <c r="CR581" s="243"/>
      <c r="CS581" s="243"/>
      <c r="CT581" s="243"/>
      <c r="CU581" s="243"/>
      <c r="CV581" s="243"/>
      <c r="CW581" s="243"/>
      <c r="CX581" s="243"/>
      <c r="CY581" s="243"/>
      <c r="CZ581" s="243"/>
      <c r="DA581" s="243"/>
      <c r="DB581" s="243"/>
      <c r="DC581" s="243"/>
      <c r="DD581" s="243"/>
      <c r="DE581" s="243"/>
      <c r="DF581" s="243"/>
      <c r="DG581" s="243"/>
      <c r="DH581" s="243"/>
      <c r="DI581" s="243"/>
      <c r="DJ581" s="243"/>
      <c r="DK581" s="243"/>
      <c r="DM581" s="242"/>
      <c r="DO581" s="243"/>
      <c r="DQ581" s="242"/>
      <c r="DS581" s="243"/>
      <c r="DU581" s="242"/>
      <c r="DW581" s="243"/>
      <c r="DY581" s="242"/>
      <c r="EA581" s="243"/>
    </row>
    <row r="582" spans="1:131">
      <c r="A582" s="33"/>
      <c r="B582" s="33"/>
      <c r="C582" s="235"/>
      <c r="E582" s="90"/>
      <c r="F582" s="90"/>
      <c r="G582" s="33"/>
      <c r="J582" s="33"/>
      <c r="N582" s="33"/>
      <c r="Q582" s="243"/>
      <c r="R582" s="33"/>
      <c r="U582" s="244"/>
      <c r="V582" s="33"/>
      <c r="Y582" s="243"/>
      <c r="Z582" s="33"/>
      <c r="AC582" s="243"/>
      <c r="AD582" s="33"/>
      <c r="AG582" s="243"/>
      <c r="AH582" s="33"/>
      <c r="AK582" s="244"/>
      <c r="AL582" s="792"/>
      <c r="AM582" s="243"/>
      <c r="AN582" s="243"/>
      <c r="AO582" s="244"/>
      <c r="AP582" s="243"/>
      <c r="AQ582" s="243"/>
      <c r="AR582" s="243"/>
      <c r="AS582" s="244"/>
      <c r="AT582" s="243"/>
      <c r="AU582" s="243"/>
      <c r="AV582" s="243"/>
      <c r="AW582" s="244"/>
      <c r="AX582" s="243"/>
      <c r="AY582" s="243"/>
      <c r="AZ582" s="243"/>
      <c r="BA582" s="244"/>
      <c r="BB582" s="33"/>
      <c r="BE582" s="244"/>
      <c r="BF582" s="33"/>
      <c r="BI582" s="244"/>
      <c r="BJ582" s="33"/>
      <c r="BM582" s="244"/>
      <c r="BN582" s="243"/>
      <c r="BO582" s="243"/>
      <c r="BP582" s="243"/>
      <c r="BQ582" s="244"/>
      <c r="BR582" s="792"/>
      <c r="BS582" s="243"/>
      <c r="BT582" s="243"/>
      <c r="BU582" s="244"/>
      <c r="BV582" s="792"/>
      <c r="BW582" s="243"/>
      <c r="BX582" s="243"/>
      <c r="BY582" s="244"/>
      <c r="BZ582" s="792"/>
      <c r="CA582" s="243"/>
      <c r="CB582" s="243"/>
      <c r="CC582" s="244"/>
      <c r="CD582" s="243"/>
      <c r="CE582" s="243"/>
      <c r="CF582" s="243"/>
      <c r="CG582" s="243"/>
      <c r="CH582" s="243"/>
      <c r="CI582" s="243"/>
      <c r="CJ582" s="243"/>
      <c r="CK582" s="243"/>
      <c r="CL582" s="243"/>
      <c r="CM582" s="243"/>
      <c r="CN582" s="243"/>
      <c r="CO582" s="243"/>
      <c r="CP582" s="243"/>
      <c r="CQ582" s="243"/>
      <c r="CR582" s="243"/>
      <c r="CS582" s="243"/>
      <c r="CT582" s="243"/>
      <c r="CU582" s="243"/>
      <c r="CV582" s="243"/>
      <c r="CW582" s="243"/>
      <c r="CX582" s="243"/>
      <c r="CY582" s="243"/>
      <c r="CZ582" s="243"/>
      <c r="DA582" s="243"/>
      <c r="DB582" s="243"/>
      <c r="DC582" s="243"/>
      <c r="DD582" s="243"/>
      <c r="DE582" s="243"/>
      <c r="DF582" s="243"/>
      <c r="DG582" s="243"/>
      <c r="DH582" s="243"/>
      <c r="DI582" s="243"/>
      <c r="DJ582" s="243"/>
      <c r="DK582" s="243"/>
      <c r="DO582" s="243"/>
      <c r="DS582" s="243"/>
      <c r="DW582" s="243"/>
      <c r="EA582" s="243"/>
    </row>
    <row r="583" spans="1:131">
      <c r="A583" s="256" t="str">
        <f>IF((RIGHT(A566,1))&lt;&gt;"Z",CHAR(CODE(A566))&amp;CHAR(CODE(RIGHT(A566,1))+1),CHAR(CODE(A566)+1)&amp;"A")</f>
        <v>BH</v>
      </c>
      <c r="B583" s="270" t="str">
        <f>INDEX(SourceID,MATCH($A583,SourceNumber,0),1,1)</f>
        <v>B2 Viv-3</v>
      </c>
      <c r="C583" s="354">
        <f>INDEX(SourceExitDiameter,MATCH($A583,SourceNumber,0),1,1)*3.28*12</f>
        <v>57.974999999999994</v>
      </c>
      <c r="D583" s="24" t="str">
        <f>UAnem1percent</f>
        <v>1% Wind</v>
      </c>
      <c r="E583" s="350" t="e">
        <f ca="1">INDIRECT(ADDRESS(53,6,1,,CONCATENATE("TA",$A583)))</f>
        <v>#REF!</v>
      </c>
      <c r="F583" s="625" t="e">
        <f ca="1">(ROUND((INDIRECT(ADDRESS(15,7,1,,CONCATENATE("TA",$A583)))*3.28*12*32),0)&amp;"/32")</f>
        <v>#REF!</v>
      </c>
      <c r="G583" s="125">
        <f ca="1">INDIRECT(ADDRESS(29,7,1,,$A583))</f>
        <v>6.001707317073171</v>
      </c>
      <c r="H583" s="24" t="e">
        <f ca="1">INDIRECT(ADDRESS(19,7,1,,$A583))*100^3</f>
        <v>#VALUE!</v>
      </c>
      <c r="I583" s="941">
        <f ca="1">INDIRECT(ADDRESS(53,7,1,,$A583))</f>
        <v>0.97430000000000005</v>
      </c>
      <c r="J583" s="20" t="str">
        <f ca="1">IF($I583=$I$6,K$16&amp;$G$6&amp;J$6,IF($I583=$I$7,K$16&amp;$G$7&amp;J$7,"Bad"))</f>
        <v>100EthPick a Tunnel</v>
      </c>
      <c r="K583" t="e">
        <f ca="1">INDEX(FlowCalGasMixture,MATCH(J583,FlowCalNumber,0),1,1)</f>
        <v>#N/A</v>
      </c>
      <c r="M583" s="944" t="e">
        <f ca="1">INDEX(FlowCalDevice,MATCH(J583,FlowCalNumber,0),1,1)</f>
        <v>#N/A</v>
      </c>
      <c r="N583" s="943" t="str">
        <f ca="1">IF($I583=$I$6,O$16&amp;$G$6&amp;"90"&amp;$H$6&amp;N$6,IF($I583=$I$7,O$16&amp;$G$7&amp;"90"&amp;$H$7&amp;N$7,"Bad"))</f>
        <v>10Eth90N2Pick a Tunnel</v>
      </c>
      <c r="O583" t="e">
        <f ca="1">INDEX(FlowCalGasMixture,MATCH(N583,FlowCalNumber,0),1,1)</f>
        <v>#N/A</v>
      </c>
      <c r="Q583" s="944" t="e">
        <f ca="1">INDEX(FlowCalDevice,MATCH(N583,FlowCalNumber,0),1,1)</f>
        <v>#N/A</v>
      </c>
      <c r="R583" s="943" t="str">
        <f ca="1">IF($I583=$I$6,S$16&amp;$G$6&amp;"90"&amp;$H$6&amp;R$6,IF($I583=$I$7,S$16&amp;$G$7&amp;"90"&amp;$H$7&amp;R$7,"Bad"))</f>
        <v>10Eth90N2Pick a Tunnel</v>
      </c>
      <c r="S583" t="e">
        <f ca="1">INDEX(FlowCalGasMixture,MATCH(R583,FlowCalNumber,0),1,1)</f>
        <v>#N/A</v>
      </c>
      <c r="U583" s="944" t="e">
        <f ca="1">INDEX(FlowCalDevice,MATCH(R583,FlowCalNumber,0),1,1)</f>
        <v>#N/A</v>
      </c>
      <c r="V583" s="20" t="str">
        <f ca="1">IF($I583=$I$6,W$16&amp;$G$6&amp;V$6,IF($I583=$I$7,W$16&amp;$G$7&amp;V$7,"Bad"))</f>
        <v>100EthPick a Tunnel</v>
      </c>
      <c r="W583" t="e">
        <f ca="1">INDEX(FlowCalGasMixture,MATCH(V583,FlowCalNumber,0),1,1)</f>
        <v>#N/A</v>
      </c>
      <c r="Y583" s="944" t="e">
        <f ca="1">INDEX(FlowCalDevice,MATCH(V583,FlowCalNumber,0),1,1)</f>
        <v>#N/A</v>
      </c>
      <c r="Z583" s="946" t="str">
        <f ca="1">IF($I583=$I$6,AA$18&amp;$H$6&amp;Z$6,IF($I583=$I$7,AA$18&amp;$H$7&amp;Z$7,"Bad"))</f>
        <v>100N2Pick a Tunnel</v>
      </c>
      <c r="AA583" t="e">
        <f ca="1">INDEX(FlowCalGasMixture,MATCH(Z583,FlowCalNumber,0),1,1)</f>
        <v>#N/A</v>
      </c>
      <c r="AC583" s="944" t="e">
        <f ca="1">INDEX(FlowCalDevice,MATCH(Z583,FlowCalNumber,0),1,1)</f>
        <v>#N/A</v>
      </c>
      <c r="AD583" s="20" t="str">
        <f ca="1">IF($I583=$I$6,AE$16&amp;$G$6&amp;AD$6,IF($I583=$I$7,AE$16&amp;$G$7&amp;AD$7,"Bad"))</f>
        <v>100EthPick a Tunnel</v>
      </c>
      <c r="AE583" t="e">
        <f ca="1">INDEX(FlowCalGasMixture,MATCH(AD583,FlowCalNumber,0),1,1)</f>
        <v>#N/A</v>
      </c>
      <c r="AG583" s="944" t="e">
        <f ca="1">INDEX(FlowCalDevice,MATCH(AD583,FlowCalNumber,0),1,1)</f>
        <v>#N/A</v>
      </c>
      <c r="AH583" s="946" t="str">
        <f ca="1">IF($I583=$I$6,AI$18&amp;$H$6&amp;AH$6,IF($I583=$I$7,AI$18&amp;$H$7&amp;AH$7,"Bad"))</f>
        <v>100N2Pick a Tunnel</v>
      </c>
      <c r="AI583" t="e">
        <f ca="1">INDEX(FlowCalGasMixture,MATCH(AH583,FlowCalNumber,0),1,1)</f>
        <v>#N/A</v>
      </c>
      <c r="AK583" s="944" t="e">
        <f ca="1">INDEX(FlowCalDevice,MATCH(AH583,FlowCalNumber,0),1,1)</f>
        <v>#N/A</v>
      </c>
      <c r="AL583" s="20"/>
      <c r="AO583" s="982"/>
      <c r="AP583" s="960"/>
      <c r="AS583" s="982"/>
      <c r="AT583" s="20"/>
      <c r="AW583" s="982"/>
      <c r="AX583" s="946"/>
      <c r="BA583" s="982"/>
      <c r="BB583" s="20"/>
      <c r="BC583" s="16"/>
      <c r="BE583" s="982"/>
      <c r="BF583" s="946"/>
      <c r="BG583" s="16"/>
      <c r="BI583" s="982"/>
      <c r="BJ583" s="946"/>
      <c r="BK583" s="16"/>
      <c r="BM583" s="982"/>
      <c r="BN583" s="20"/>
      <c r="BO583" s="16"/>
      <c r="BQ583" s="982"/>
      <c r="BR583" s="946"/>
      <c r="BS583" s="16"/>
      <c r="BU583" s="982"/>
      <c r="BV583" s="946"/>
      <c r="BW583" s="16"/>
      <c r="BY583" s="982"/>
      <c r="BZ583" s="946"/>
      <c r="CA583" s="16"/>
      <c r="CC583" s="982"/>
      <c r="CD583" s="355"/>
      <c r="CE583" s="355"/>
      <c r="CF583" s="355"/>
      <c r="CG583" s="355"/>
      <c r="CH583" s="355"/>
      <c r="CI583" s="355"/>
      <c r="CJ583" s="355"/>
      <c r="CK583" s="355"/>
      <c r="CL583" s="355"/>
      <c r="CM583" s="355"/>
      <c r="CN583" s="355"/>
      <c r="CO583" s="355"/>
      <c r="CP583" s="355"/>
      <c r="CQ583" s="355"/>
      <c r="CR583" s="355"/>
      <c r="CS583" s="355"/>
      <c r="CT583" s="355"/>
      <c r="CU583" s="355"/>
      <c r="CV583" s="355"/>
      <c r="CW583" s="355"/>
      <c r="CX583" s="355"/>
      <c r="CY583" s="355"/>
      <c r="CZ583" s="355"/>
      <c r="DA583" s="355"/>
      <c r="DB583" s="355"/>
      <c r="DC583" s="355"/>
      <c r="DD583" s="355"/>
      <c r="DE583" s="355"/>
      <c r="DF583" s="355"/>
      <c r="DG583" s="355"/>
      <c r="DH583" s="355"/>
      <c r="DI583" s="355"/>
      <c r="DJ583" s="355"/>
      <c r="DK583" s="355"/>
      <c r="DL583" s="46"/>
      <c r="DM583" s="16"/>
      <c r="DO583" s="355"/>
      <c r="DP583" s="42"/>
      <c r="DQ583" s="16"/>
      <c r="DS583" s="355"/>
      <c r="DT583" s="42"/>
      <c r="DU583" s="16"/>
      <c r="DW583" s="355"/>
      <c r="DX583" s="42"/>
      <c r="DY583" s="16"/>
      <c r="EA583" s="355"/>
    </row>
    <row r="584" spans="1:131">
      <c r="A584" s="20"/>
      <c r="B584" s="124" t="str">
        <f t="shared" ref="B584:B598" si="550">IF(D584=UAnem1percent,"1% Wind","")</f>
        <v/>
      </c>
      <c r="C584" s="235"/>
      <c r="D584" s="24">
        <f>'1% Wind'!$M$82</f>
        <v>27</v>
      </c>
      <c r="E584" s="90"/>
      <c r="F584" s="90"/>
      <c r="G584" s="79">
        <f ca="1">IF(I583=0.9743,$G583,MAX(G583/D583*D584,2))</f>
        <v>6.001707317073171</v>
      </c>
      <c r="H584" s="121" t="e">
        <f t="shared" ref="H584:H598" ca="1" si="551">H583*(D583/D584)*(G584/G583)</f>
        <v>#VALUE!</v>
      </c>
      <c r="J584" s="33"/>
      <c r="K584" s="260">
        <f>K$17/100</f>
        <v>1</v>
      </c>
      <c r="L584" s="241" t="e">
        <f ca="1">K584*$H584</f>
        <v>#VALUE!</v>
      </c>
      <c r="M584" s="243" t="e">
        <f ca="1">IF(AND(INDEX(FlowCalConstA,MATCH(J583,FlowCalNumber,0),1,1)*L584^INDEX(FlowCalConstB,MATCH(J583,FlowCalNumber,0),1,1)&gt;INDEX(FlowCalLowSetting,MATCH(J583,FlowCalNumber,0),1,1), (INDEX(FlowCalConstA,MATCH(J583,FlowCalNumber,0),1,1)*L584^INDEX(FlowCalConstB,MATCH(J583,FlowCalNumber,0),1,1)&lt;INDEX(FlowCalHighSetting,MATCH(J583,FlowCalNumber,0),1,1))),INDEX(FlowCalConstA,MATCH(J583,FlowCalNumber,0),1,1)*L584^INDEX(FlowCalConstB,MATCH(J583,FlowCalNumber,0),1,1)," ")</f>
        <v>#N/A</v>
      </c>
      <c r="N584" s="33"/>
      <c r="O584" s="260">
        <f>O$17/100</f>
        <v>1</v>
      </c>
      <c r="P584" s="241" t="e">
        <f ca="1">O584*$H584</f>
        <v>#VALUE!</v>
      </c>
      <c r="Q584" s="243" t="e">
        <f ca="1">IF(AND(INDEX(FlowCalConstA,MATCH(N583,FlowCalNumber,0),1,1)*P584^INDEX(FlowCalConstB,MATCH(N583,FlowCalNumber,0),1,1)&gt;INDEX(FlowCalLowSetting,MATCH(N583,FlowCalNumber,0),1,1), (INDEX(FlowCalConstA,MATCH(N583,FlowCalNumber,0),1,1)*P584^INDEX(FlowCalConstB,MATCH(N583,FlowCalNumber,0),1,1)&lt;INDEX(FlowCalHighSetting,MATCH(N583,FlowCalNumber,0),1,1))),INDEX(FlowCalConstA,MATCH(N583,FlowCalNumber,0),1,1)*P584^INDEX(FlowCalConstB,MATCH(N583,FlowCalNumber,0),1,1)," ")</f>
        <v>#N/A</v>
      </c>
      <c r="R584" s="33"/>
      <c r="S584" s="260">
        <f>S$17/100</f>
        <v>1</v>
      </c>
      <c r="T584" s="241" t="e">
        <f ca="1">S584*$H584</f>
        <v>#VALUE!</v>
      </c>
      <c r="U584" s="244" t="e">
        <f ca="1">IF(AND(INDEX(FlowCalConstA,MATCH(R583,FlowCalNumber,0),1,1)*T584^INDEX(FlowCalConstB,MATCH(R583,FlowCalNumber,0),1,1)&gt;INDEX(FlowCalLowSetting,MATCH(R583,FlowCalNumber,0),1,1), (INDEX(FlowCalConstA,MATCH(R583,FlowCalNumber,0),1,1)*T584^INDEX(FlowCalConstB,MATCH(R583,FlowCalNumber,0),1,1)&lt;INDEX(FlowCalHighSetting,MATCH(R583,FlowCalNumber,0),1,1))),INDEX(FlowCalConstA,MATCH(R583,FlowCalNumber,0),1,1)*T584^INDEX(FlowCalConstB,MATCH(R583,FlowCalNumber,0),1,1)," ")</f>
        <v>#N/A</v>
      </c>
      <c r="V584" s="33"/>
      <c r="W584" s="260">
        <f>W$17/100</f>
        <v>0.1</v>
      </c>
      <c r="X584" s="241" t="e">
        <f ca="1">W584*$H584</f>
        <v>#VALUE!</v>
      </c>
      <c r="Y584" s="243" t="e">
        <f ca="1">IF(AND(INDEX(FlowCalConstA,MATCH(V583,FlowCalNumber,0),1,1)*X584^INDEX(FlowCalConstB,MATCH(V583,FlowCalNumber,0),1,1)&gt;INDEX(FlowCalLowSetting,MATCH(V583,FlowCalNumber,0),1,1), (INDEX(FlowCalConstA,MATCH(V583,FlowCalNumber,0),1,1)*X584^INDEX(FlowCalConstB,MATCH(V583,FlowCalNumber,0),1,1)&lt;INDEX(FlowCalHighSetting,MATCH(V583,FlowCalNumber,0),1,1))),INDEX(FlowCalConstA,MATCH(V583,FlowCalNumber,0),1,1)*X584^INDEX(FlowCalConstB,MATCH(V583,FlowCalNumber,0),1,1)," ")</f>
        <v>#N/A</v>
      </c>
      <c r="Z584" s="33"/>
      <c r="AA584" s="260">
        <f>AA$17/100</f>
        <v>0.9</v>
      </c>
      <c r="AB584" s="241" t="e">
        <f ca="1">AA584*$H584</f>
        <v>#VALUE!</v>
      </c>
      <c r="AC584" s="243" t="e">
        <f ca="1">IF(AND(INDEX(FlowCalConstA,MATCH(Z583,FlowCalNumber,0),1,1)*AB584^INDEX(FlowCalConstB,MATCH(Z583,FlowCalNumber,0),1,1)&gt;INDEX(FlowCalLowSetting,MATCH(Z583,FlowCalNumber,0),1,1), (INDEX(FlowCalConstA,MATCH(Z583,FlowCalNumber,0),1,1)*AB584^INDEX(FlowCalConstB,MATCH(Z583,FlowCalNumber,0),1,1)&lt;INDEX(FlowCalHighSetting,MATCH(Z583,FlowCalNumber,0),1,1))),INDEX(FlowCalConstA,MATCH(Z583,FlowCalNumber,0),1,1)*AB584^INDEX(FlowCalConstB,MATCH(Z583,FlowCalNumber,0),1,1)," ")</f>
        <v>#N/A</v>
      </c>
      <c r="AD584" s="33"/>
      <c r="AE584" s="260">
        <f>AE$17/100</f>
        <v>0.1</v>
      </c>
      <c r="AF584" s="241" t="e">
        <f ca="1">AE584*$H584</f>
        <v>#VALUE!</v>
      </c>
      <c r="AG584" s="243" t="e">
        <f ca="1">IF(AND(INDEX(FlowCalConstA,MATCH(AD583,FlowCalNumber,0),1,1)*AF584^INDEX(FlowCalConstB,MATCH(AD583,FlowCalNumber,0),1,1)&gt;INDEX(FlowCalLowSetting,MATCH(AD583,FlowCalNumber,0),1,1), (INDEX(FlowCalConstA,MATCH(AD583,FlowCalNumber,0),1,1)*AF584^INDEX(FlowCalConstB,MATCH(AD583,FlowCalNumber,0),1,1)&lt;INDEX(FlowCalHighSetting,MATCH(AD583,FlowCalNumber,0),1,1))),INDEX(FlowCalConstA,MATCH(AD583,FlowCalNumber,0),1,1)*AF584^INDEX(FlowCalConstB,MATCH(AD583,FlowCalNumber,0),1,1)," ")</f>
        <v>#N/A</v>
      </c>
      <c r="AH584" s="33"/>
      <c r="AI584" s="260">
        <f>AI$17/100</f>
        <v>0.9</v>
      </c>
      <c r="AJ584" s="241" t="e">
        <f ca="1">AI584*$H584</f>
        <v>#VALUE!</v>
      </c>
      <c r="AK584" s="243" t="e">
        <f ca="1">IF(AND(INDEX(FlowCalConstA,MATCH(AH583,FlowCalNumber,0),1,1)*AJ584^INDEX(FlowCalConstB,MATCH(AH583,FlowCalNumber,0),1,1)&gt;INDEX(FlowCalLowSetting,MATCH(AH583,FlowCalNumber,0),1,1), (INDEX(FlowCalConstA,MATCH(AH583,FlowCalNumber,0),1,1)*AJ584^INDEX(FlowCalConstB,MATCH(AH583,FlowCalNumber,0),1,1)&lt;INDEX(FlowCalHighSetting,MATCH(AH583,FlowCalNumber,0),1,1))),INDEX(FlowCalConstA,MATCH(AH583,FlowCalNumber,0),1,1)*AJ584^INDEX(FlowCalConstB,MATCH(AH583,FlowCalNumber,0),1,1)," ")</f>
        <v>#N/A</v>
      </c>
      <c r="AL584" s="33"/>
      <c r="AM584" s="260"/>
      <c r="AN584" s="241"/>
      <c r="AO584" s="244"/>
      <c r="AQ584" s="260"/>
      <c r="AR584" s="241"/>
      <c r="AS584" s="244"/>
      <c r="AT584" s="33"/>
      <c r="AU584" s="260"/>
      <c r="AV584" s="241"/>
      <c r="AW584" s="244"/>
      <c r="AX584" s="33"/>
      <c r="AY584" s="260"/>
      <c r="AZ584" s="241"/>
      <c r="BA584" s="244"/>
      <c r="BB584" s="33"/>
      <c r="BC584" s="260"/>
      <c r="BD584" s="241"/>
      <c r="BE584" s="244"/>
      <c r="BF584" s="33"/>
      <c r="BG584" s="260"/>
      <c r="BH584" s="241"/>
      <c r="BI584" s="244"/>
      <c r="BJ584" s="33"/>
      <c r="BK584" s="260"/>
      <c r="BL584" s="241"/>
      <c r="BM584" s="244"/>
      <c r="BN584" s="33"/>
      <c r="BO584" s="260"/>
      <c r="BP584" s="241"/>
      <c r="BQ584" s="244"/>
      <c r="BR584" s="33"/>
      <c r="BS584" s="260"/>
      <c r="BT584" s="241"/>
      <c r="BU584" s="244"/>
      <c r="BV584" s="33"/>
      <c r="BW584" s="260"/>
      <c r="BX584" s="241"/>
      <c r="BY584" s="244"/>
      <c r="BZ584" s="33"/>
      <c r="CA584" s="260"/>
      <c r="CB584" s="241"/>
      <c r="CC584" s="244"/>
      <c r="CD584" s="243"/>
      <c r="CE584" s="243"/>
      <c r="CF584" s="243"/>
      <c r="CG584" s="243"/>
      <c r="CH584" s="243"/>
      <c r="CI584" s="243"/>
      <c r="CJ584" s="243"/>
      <c r="CK584" s="243"/>
      <c r="CL584" s="243"/>
      <c r="CM584" s="243"/>
      <c r="CN584" s="243"/>
      <c r="CO584" s="243"/>
      <c r="CP584" s="243"/>
      <c r="CQ584" s="243"/>
      <c r="CR584" s="243"/>
      <c r="CS584" s="243"/>
      <c r="CT584" s="243"/>
      <c r="CU584" s="243"/>
      <c r="CV584" s="243"/>
      <c r="CW584" s="243"/>
      <c r="CX584" s="243"/>
      <c r="CY584" s="243"/>
      <c r="CZ584" s="243"/>
      <c r="DA584" s="243"/>
      <c r="DB584" s="243"/>
      <c r="DC584" s="243"/>
      <c r="DD584" s="243"/>
      <c r="DE584" s="243"/>
      <c r="DF584" s="243"/>
      <c r="DG584" s="243"/>
      <c r="DH584" s="243"/>
      <c r="DI584" s="243"/>
      <c r="DJ584" s="243"/>
      <c r="DK584" s="243"/>
      <c r="DM584" s="259"/>
      <c r="DO584" s="243"/>
      <c r="DQ584" s="259"/>
      <c r="DS584" s="243"/>
      <c r="DU584" s="259"/>
      <c r="DW584" s="243"/>
      <c r="DY584" s="260"/>
      <c r="EA584" s="243"/>
    </row>
    <row r="585" spans="1:131">
      <c r="A585" s="20"/>
      <c r="B585" s="124" t="str">
        <f t="shared" si="550"/>
        <v/>
      </c>
      <c r="C585" s="235"/>
      <c r="D585" s="24">
        <f>'1% Wind'!$M$83</f>
        <v>23.5</v>
      </c>
      <c r="E585" s="90"/>
      <c r="F585" s="90"/>
      <c r="G585" s="79">
        <f ca="1">IF(I583=0.9743,$G584,MAX(G584/D584*D585,2))</f>
        <v>6.001707317073171</v>
      </c>
      <c r="H585" s="121" t="e">
        <f t="shared" ca="1" si="551"/>
        <v>#VALUE!</v>
      </c>
      <c r="J585" s="33"/>
      <c r="K585" s="242">
        <f t="shared" ref="K585:K598" si="552">K584</f>
        <v>1</v>
      </c>
      <c r="L585" s="241" t="e">
        <f t="shared" ref="L585:L598" ca="1" si="553">K585*$H585</f>
        <v>#VALUE!</v>
      </c>
      <c r="M585" s="243" t="e">
        <f ca="1">IF(AND(INDEX(FlowCalConstA,MATCH(J583,FlowCalNumber,0),1,1)*L585^INDEX(FlowCalConstB,MATCH(J583,FlowCalNumber,0),1,1)&gt;INDEX(FlowCalLowSetting,MATCH(J583,FlowCalNumber,0),1,1), (INDEX(FlowCalConstA,MATCH(J583,FlowCalNumber,0),1,1)*L585^INDEX(FlowCalConstB,MATCH(J583,FlowCalNumber,0),1,1)&lt;INDEX(FlowCalHighSetting,MATCH(J583,FlowCalNumber,0),1,1))),INDEX(FlowCalConstA,MATCH(J583,FlowCalNumber,0),1,1)*L585^INDEX(FlowCalConstB,MATCH(J583,FlowCalNumber,0),1,1)," ")</f>
        <v>#N/A</v>
      </c>
      <c r="N585" s="33"/>
      <c r="O585" s="242">
        <f t="shared" ref="O585:O598" si="554">O584</f>
        <v>1</v>
      </c>
      <c r="P585" s="241" t="e">
        <f t="shared" ref="P585:P598" ca="1" si="555">O585*$H585</f>
        <v>#VALUE!</v>
      </c>
      <c r="Q585" s="243" t="e">
        <f ca="1">IF(AND(INDEX(FlowCalConstA,MATCH(N583,FlowCalNumber,0),1,1)*P585^INDEX(FlowCalConstB,MATCH(N583,FlowCalNumber,0),1,1)&gt;INDEX(FlowCalLowSetting,MATCH(N583,FlowCalNumber,0),1,1), (INDEX(FlowCalConstA,MATCH(N583,FlowCalNumber,0),1,1)*P585^INDEX(FlowCalConstB,MATCH(N583,FlowCalNumber,0),1,1)&lt;INDEX(FlowCalHighSetting,MATCH(N583,FlowCalNumber,0),1,1))),INDEX(FlowCalConstA,MATCH(N583,FlowCalNumber,0),1,1)*P585^INDEX(FlowCalConstB,MATCH(N583,FlowCalNumber,0),1,1)," ")</f>
        <v>#N/A</v>
      </c>
      <c r="R585" s="33"/>
      <c r="S585" s="242">
        <f t="shared" ref="S585:S598" si="556">S584</f>
        <v>1</v>
      </c>
      <c r="T585" s="241" t="e">
        <f t="shared" ref="T585:T598" ca="1" si="557">S585*$H585</f>
        <v>#VALUE!</v>
      </c>
      <c r="U585" s="244" t="e">
        <f ca="1">IF(AND(INDEX(FlowCalConstA,MATCH(R583,FlowCalNumber,0),1,1)*T585^INDEX(FlowCalConstB,MATCH(R583,FlowCalNumber,0),1,1)&gt;INDEX(FlowCalLowSetting,MATCH(R583,FlowCalNumber,0),1,1), (INDEX(FlowCalConstA,MATCH(R583,FlowCalNumber,0),1,1)*T585^INDEX(FlowCalConstB,MATCH(R583,FlowCalNumber,0),1,1)&lt;INDEX(FlowCalHighSetting,MATCH(R583,FlowCalNumber,0),1,1))),INDEX(FlowCalConstA,MATCH(R583,FlowCalNumber,0),1,1)*T585^INDEX(FlowCalConstB,MATCH(R583,FlowCalNumber,0),1,1)," ")</f>
        <v>#N/A</v>
      </c>
      <c r="V585" s="33"/>
      <c r="W585" s="242">
        <f t="shared" ref="W585:W598" si="558">W584</f>
        <v>0.1</v>
      </c>
      <c r="X585" s="241" t="e">
        <f t="shared" ref="X585:X598" ca="1" si="559">W585*$H585</f>
        <v>#VALUE!</v>
      </c>
      <c r="Y585" s="243" t="e">
        <f ca="1">IF(AND(INDEX(FlowCalConstA,MATCH(V583,FlowCalNumber,0),1,1)*X585^INDEX(FlowCalConstB,MATCH(V583,FlowCalNumber,0),1,1)&gt;INDEX(FlowCalLowSetting,MATCH(V583,FlowCalNumber,0),1,1), (INDEX(FlowCalConstA,MATCH(V583,FlowCalNumber,0),1,1)*X585^INDEX(FlowCalConstB,MATCH(V583,FlowCalNumber,0),1,1)&lt;INDEX(FlowCalHighSetting,MATCH(V583,FlowCalNumber,0),1,1))),INDEX(FlowCalConstA,MATCH(V583,FlowCalNumber,0),1,1)*X585^INDEX(FlowCalConstB,MATCH(V583,FlowCalNumber,0),1,1)," ")</f>
        <v>#N/A</v>
      </c>
      <c r="Z585" s="33"/>
      <c r="AA585" s="242">
        <f t="shared" ref="AA585:AA598" si="560">AA584</f>
        <v>0.9</v>
      </c>
      <c r="AB585" s="241" t="e">
        <f t="shared" ref="AB585:AB598" ca="1" si="561">AA585*$H585</f>
        <v>#VALUE!</v>
      </c>
      <c r="AC585" s="243" t="e">
        <f ca="1">IF(AND(INDEX(FlowCalConstA,MATCH(Z583,FlowCalNumber,0),1,1)*AB585^INDEX(FlowCalConstB,MATCH(Z583,FlowCalNumber,0),1,1)&gt;INDEX(FlowCalLowSetting,MATCH(Z583,FlowCalNumber,0),1,1), (INDEX(FlowCalConstA,MATCH(Z583,FlowCalNumber,0),1,1)*AB585^INDEX(FlowCalConstB,MATCH(Z583,FlowCalNumber,0),1,1)&lt;INDEX(FlowCalHighSetting,MATCH(Z583,FlowCalNumber,0),1,1))),INDEX(FlowCalConstA,MATCH(Z583,FlowCalNumber,0),1,1)*AB585^INDEX(FlowCalConstB,MATCH(Z583,FlowCalNumber,0),1,1)," ")</f>
        <v>#N/A</v>
      </c>
      <c r="AD585" s="33"/>
      <c r="AE585" s="242">
        <f t="shared" ref="AE585:AE598" si="562">AE584</f>
        <v>0.1</v>
      </c>
      <c r="AF585" s="241" t="e">
        <f t="shared" ref="AF585:AF598" ca="1" si="563">AE585*$H585</f>
        <v>#VALUE!</v>
      </c>
      <c r="AG585" s="243" t="e">
        <f ca="1">IF(AND(INDEX(FlowCalConstA,MATCH(AD583,FlowCalNumber,0),1,1)*AF585^INDEX(FlowCalConstB,MATCH(AD583,FlowCalNumber,0),1,1)&gt;INDEX(FlowCalLowSetting,MATCH(AD583,FlowCalNumber,0),1,1), (INDEX(FlowCalConstA,MATCH(AD583,FlowCalNumber,0),1,1)*AF585^INDEX(FlowCalConstB,MATCH(AD583,FlowCalNumber,0),1,1)&lt;INDEX(FlowCalHighSetting,MATCH(AD583,FlowCalNumber,0),1,1))),INDEX(FlowCalConstA,MATCH(AD583,FlowCalNumber,0),1,1)*AF585^INDEX(FlowCalConstB,MATCH(AD583,FlowCalNumber,0),1,1)," ")</f>
        <v>#N/A</v>
      </c>
      <c r="AH585" s="33"/>
      <c r="AI585" s="242">
        <f t="shared" ref="AI585:AI598" si="564">AI584</f>
        <v>0.9</v>
      </c>
      <c r="AJ585" s="241" t="e">
        <f t="shared" ref="AJ585:AJ598" ca="1" si="565">AI585*$H585</f>
        <v>#VALUE!</v>
      </c>
      <c r="AK585" s="243" t="e">
        <f ca="1">IF(AND(INDEX(FlowCalConstA,MATCH(AH583,FlowCalNumber,0),1,1)*AJ585^INDEX(FlowCalConstB,MATCH(AH583,FlowCalNumber,0),1,1)&gt;INDEX(FlowCalLowSetting,MATCH(AH583,FlowCalNumber,0),1,1), (INDEX(FlowCalConstA,MATCH(AH583,FlowCalNumber,0),1,1)*AJ585^INDEX(FlowCalConstB,MATCH(AH583,FlowCalNumber,0),1,1)&lt;INDEX(FlowCalHighSetting,MATCH(AH583,FlowCalNumber,0),1,1))),INDEX(FlowCalConstA,MATCH(AH583,FlowCalNumber,0),1,1)*AJ585^INDEX(FlowCalConstB,MATCH(AH583,FlowCalNumber,0),1,1)," ")</f>
        <v>#N/A</v>
      </c>
      <c r="AL585" s="33"/>
      <c r="AM585" s="242"/>
      <c r="AN585" s="241"/>
      <c r="AO585" s="244"/>
      <c r="AQ585" s="242"/>
      <c r="AR585" s="241"/>
      <c r="AS585" s="244"/>
      <c r="AT585" s="33"/>
      <c r="AU585" s="242"/>
      <c r="AV585" s="241"/>
      <c r="AW585" s="244"/>
      <c r="AX585" s="33"/>
      <c r="AY585" s="242"/>
      <c r="AZ585" s="241"/>
      <c r="BA585" s="244"/>
      <c r="BB585" s="33"/>
      <c r="BC585" s="242"/>
      <c r="BD585" s="241"/>
      <c r="BE585" s="244"/>
      <c r="BF585" s="33"/>
      <c r="BG585" s="242"/>
      <c r="BH585" s="241"/>
      <c r="BI585" s="244"/>
      <c r="BJ585" s="33"/>
      <c r="BK585" s="242"/>
      <c r="BL585" s="241"/>
      <c r="BM585" s="244"/>
      <c r="BN585" s="33"/>
      <c r="BO585" s="242"/>
      <c r="BP585" s="241"/>
      <c r="BQ585" s="244"/>
      <c r="BR585" s="33"/>
      <c r="BS585" s="242"/>
      <c r="BT585" s="241"/>
      <c r="BU585" s="244"/>
      <c r="BV585" s="33"/>
      <c r="BW585" s="242"/>
      <c r="BX585" s="241"/>
      <c r="BY585" s="244"/>
      <c r="BZ585" s="33"/>
      <c r="CA585" s="242"/>
      <c r="CB585" s="241"/>
      <c r="CC585" s="244"/>
      <c r="CD585" s="243"/>
      <c r="CE585" s="243"/>
      <c r="CF585" s="243"/>
      <c r="CG585" s="243"/>
      <c r="CH585" s="243"/>
      <c r="CI585" s="243"/>
      <c r="CJ585" s="243"/>
      <c r="CK585" s="243"/>
      <c r="CL585" s="243"/>
      <c r="CM585" s="243"/>
      <c r="CN585" s="243"/>
      <c r="CO585" s="243"/>
      <c r="CP585" s="243"/>
      <c r="CQ585" s="243"/>
      <c r="CR585" s="243"/>
      <c r="CS585" s="243"/>
      <c r="CT585" s="243"/>
      <c r="CU585" s="243"/>
      <c r="CV585" s="243"/>
      <c r="CW585" s="243"/>
      <c r="CX585" s="243"/>
      <c r="CY585" s="243"/>
      <c r="CZ585" s="243"/>
      <c r="DA585" s="243"/>
      <c r="DB585" s="243"/>
      <c r="DC585" s="243"/>
      <c r="DD585" s="243"/>
      <c r="DE585" s="243"/>
      <c r="DF585" s="243"/>
      <c r="DG585" s="243"/>
      <c r="DH585" s="243"/>
      <c r="DI585" s="243"/>
      <c r="DJ585" s="243"/>
      <c r="DK585" s="243"/>
      <c r="DM585" s="242"/>
      <c r="DO585" s="243"/>
      <c r="DQ585" s="242"/>
      <c r="DS585" s="243"/>
      <c r="DU585" s="242"/>
      <c r="DW585" s="243"/>
      <c r="DY585" s="242"/>
      <c r="EA585" s="243"/>
    </row>
    <row r="586" spans="1:131">
      <c r="A586" s="20"/>
      <c r="B586" s="124" t="str">
        <f t="shared" si="550"/>
        <v/>
      </c>
      <c r="C586" s="235"/>
      <c r="D586" s="24">
        <f>'1% Wind'!$M$84</f>
        <v>20.5</v>
      </c>
      <c r="E586" s="90"/>
      <c r="F586" s="90"/>
      <c r="G586" s="79">
        <f ca="1">IF(I583=0.9743,$G585,MAX(G585/D585*D586,2))</f>
        <v>6.001707317073171</v>
      </c>
      <c r="H586" s="121" t="e">
        <f t="shared" ca="1" si="551"/>
        <v>#VALUE!</v>
      </c>
      <c r="J586" s="33"/>
      <c r="K586" s="242">
        <f t="shared" si="552"/>
        <v>1</v>
      </c>
      <c r="L586" s="241" t="e">
        <f t="shared" ca="1" si="553"/>
        <v>#VALUE!</v>
      </c>
      <c r="M586" s="243" t="e">
        <f ca="1">IF(AND(INDEX(FlowCalConstA,MATCH(J583,FlowCalNumber,0),1,1)*L586^INDEX(FlowCalConstB,MATCH(J583,FlowCalNumber,0),1,1)&gt;INDEX(FlowCalLowSetting,MATCH(J583,FlowCalNumber,0),1,1), (INDEX(FlowCalConstA,MATCH(J583,FlowCalNumber,0),1,1)*L586^INDEX(FlowCalConstB,MATCH(J583,FlowCalNumber,0),1,1)&lt;INDEX(FlowCalHighSetting,MATCH(J583,FlowCalNumber,0),1,1))),INDEX(FlowCalConstA,MATCH(J583,FlowCalNumber,0),1,1)*L586^INDEX(FlowCalConstB,MATCH(J583,FlowCalNumber,0),1,1)," ")</f>
        <v>#N/A</v>
      </c>
      <c r="N586" s="33"/>
      <c r="O586" s="242">
        <f t="shared" si="554"/>
        <v>1</v>
      </c>
      <c r="P586" s="241" t="e">
        <f t="shared" ca="1" si="555"/>
        <v>#VALUE!</v>
      </c>
      <c r="Q586" s="243" t="e">
        <f ca="1">IF(AND(INDEX(FlowCalConstA,MATCH(N583,FlowCalNumber,0),1,1)*P586^INDEX(FlowCalConstB,MATCH(N583,FlowCalNumber,0),1,1)&gt;INDEX(FlowCalLowSetting,MATCH(N583,FlowCalNumber,0),1,1), (INDEX(FlowCalConstA,MATCH(N583,FlowCalNumber,0),1,1)*P586^INDEX(FlowCalConstB,MATCH(N583,FlowCalNumber,0),1,1)&lt;INDEX(FlowCalHighSetting,MATCH(N583,FlowCalNumber,0),1,1))),INDEX(FlowCalConstA,MATCH(N583,FlowCalNumber,0),1,1)*P586^INDEX(FlowCalConstB,MATCH(N583,FlowCalNumber,0),1,1)," ")</f>
        <v>#N/A</v>
      </c>
      <c r="R586" s="33"/>
      <c r="S586" s="242">
        <f t="shared" si="556"/>
        <v>1</v>
      </c>
      <c r="T586" s="241" t="e">
        <f t="shared" ca="1" si="557"/>
        <v>#VALUE!</v>
      </c>
      <c r="U586" s="244" t="e">
        <f ca="1">IF(AND(INDEX(FlowCalConstA,MATCH(R583,FlowCalNumber,0),1,1)*T586^INDEX(FlowCalConstB,MATCH(R583,FlowCalNumber,0),1,1)&gt;INDEX(FlowCalLowSetting,MATCH(R583,FlowCalNumber,0),1,1), (INDEX(FlowCalConstA,MATCH(R583,FlowCalNumber,0),1,1)*T586^INDEX(FlowCalConstB,MATCH(R583,FlowCalNumber,0),1,1)&lt;INDEX(FlowCalHighSetting,MATCH(R583,FlowCalNumber,0),1,1))),INDEX(FlowCalConstA,MATCH(R583,FlowCalNumber,0),1,1)*T586^INDEX(FlowCalConstB,MATCH(R583,FlowCalNumber,0),1,1)," ")</f>
        <v>#N/A</v>
      </c>
      <c r="V586" s="33"/>
      <c r="W586" s="242">
        <f t="shared" si="558"/>
        <v>0.1</v>
      </c>
      <c r="X586" s="241" t="e">
        <f t="shared" ca="1" si="559"/>
        <v>#VALUE!</v>
      </c>
      <c r="Y586" s="243" t="e">
        <f ca="1">IF(AND(INDEX(FlowCalConstA,MATCH(V583,FlowCalNumber,0),1,1)*X586^INDEX(FlowCalConstB,MATCH(V583,FlowCalNumber,0),1,1)&gt;INDEX(FlowCalLowSetting,MATCH(V583,FlowCalNumber,0),1,1), (INDEX(FlowCalConstA,MATCH(V583,FlowCalNumber,0),1,1)*X586^INDEX(FlowCalConstB,MATCH(V583,FlowCalNumber,0),1,1)&lt;INDEX(FlowCalHighSetting,MATCH(V583,FlowCalNumber,0),1,1))),INDEX(FlowCalConstA,MATCH(V583,FlowCalNumber,0),1,1)*X586^INDEX(FlowCalConstB,MATCH(V583,FlowCalNumber,0),1,1)," ")</f>
        <v>#N/A</v>
      </c>
      <c r="Z586" s="33"/>
      <c r="AA586" s="242">
        <f t="shared" si="560"/>
        <v>0.9</v>
      </c>
      <c r="AB586" s="241" t="e">
        <f t="shared" ca="1" si="561"/>
        <v>#VALUE!</v>
      </c>
      <c r="AC586" s="243" t="e">
        <f ca="1">IF(AND(INDEX(FlowCalConstA,MATCH(Z583,FlowCalNumber,0),1,1)*AB586^INDEX(FlowCalConstB,MATCH(Z583,FlowCalNumber,0),1,1)&gt;INDEX(FlowCalLowSetting,MATCH(Z583,FlowCalNumber,0),1,1), (INDEX(FlowCalConstA,MATCH(Z583,FlowCalNumber,0),1,1)*AB586^INDEX(FlowCalConstB,MATCH(Z583,FlowCalNumber,0),1,1)&lt;INDEX(FlowCalHighSetting,MATCH(Z583,FlowCalNumber,0),1,1))),INDEX(FlowCalConstA,MATCH(Z583,FlowCalNumber,0),1,1)*AB586^INDEX(FlowCalConstB,MATCH(Z583,FlowCalNumber,0),1,1)," ")</f>
        <v>#N/A</v>
      </c>
      <c r="AD586" s="33"/>
      <c r="AE586" s="242">
        <f t="shared" si="562"/>
        <v>0.1</v>
      </c>
      <c r="AF586" s="241" t="e">
        <f t="shared" ca="1" si="563"/>
        <v>#VALUE!</v>
      </c>
      <c r="AG586" s="243" t="e">
        <f ca="1">IF(AND(INDEX(FlowCalConstA,MATCH(AD583,FlowCalNumber,0),1,1)*AF586^INDEX(FlowCalConstB,MATCH(AD583,FlowCalNumber,0),1,1)&gt;INDEX(FlowCalLowSetting,MATCH(AD583,FlowCalNumber,0),1,1), (INDEX(FlowCalConstA,MATCH(AD583,FlowCalNumber,0),1,1)*AF586^INDEX(FlowCalConstB,MATCH(AD583,FlowCalNumber,0),1,1)&lt;INDEX(FlowCalHighSetting,MATCH(AD583,FlowCalNumber,0),1,1))),INDEX(FlowCalConstA,MATCH(AD583,FlowCalNumber,0),1,1)*AF586^INDEX(FlowCalConstB,MATCH(AD583,FlowCalNumber,0),1,1)," ")</f>
        <v>#N/A</v>
      </c>
      <c r="AH586" s="33"/>
      <c r="AI586" s="242">
        <f t="shared" si="564"/>
        <v>0.9</v>
      </c>
      <c r="AJ586" s="241" t="e">
        <f t="shared" ca="1" si="565"/>
        <v>#VALUE!</v>
      </c>
      <c r="AK586" s="243" t="e">
        <f ca="1">IF(AND(INDEX(FlowCalConstA,MATCH(AH583,FlowCalNumber,0),1,1)*AJ586^INDEX(FlowCalConstB,MATCH(AH583,FlowCalNumber,0),1,1)&gt;INDEX(FlowCalLowSetting,MATCH(AH583,FlowCalNumber,0),1,1), (INDEX(FlowCalConstA,MATCH(AH583,FlowCalNumber,0),1,1)*AJ586^INDEX(FlowCalConstB,MATCH(AH583,FlowCalNumber,0),1,1)&lt;INDEX(FlowCalHighSetting,MATCH(AH583,FlowCalNumber,0),1,1))),INDEX(FlowCalConstA,MATCH(AH583,FlowCalNumber,0),1,1)*AJ586^INDEX(FlowCalConstB,MATCH(AH583,FlowCalNumber,0),1,1)," ")</f>
        <v>#N/A</v>
      </c>
      <c r="AL586" s="33"/>
      <c r="AM586" s="242"/>
      <c r="AN586" s="241"/>
      <c r="AO586" s="244"/>
      <c r="AQ586" s="242"/>
      <c r="AR586" s="241"/>
      <c r="AS586" s="244"/>
      <c r="AT586" s="33"/>
      <c r="AU586" s="242"/>
      <c r="AV586" s="241"/>
      <c r="AW586" s="244"/>
      <c r="AX586" s="33"/>
      <c r="AY586" s="242"/>
      <c r="AZ586" s="241"/>
      <c r="BA586" s="244"/>
      <c r="BB586" s="33"/>
      <c r="BC586" s="242"/>
      <c r="BD586" s="241"/>
      <c r="BE586" s="244"/>
      <c r="BF586" s="33"/>
      <c r="BG586" s="242"/>
      <c r="BH586" s="241"/>
      <c r="BI586" s="244"/>
      <c r="BJ586" s="33"/>
      <c r="BK586" s="242"/>
      <c r="BL586" s="241"/>
      <c r="BM586" s="244"/>
      <c r="BN586" s="33"/>
      <c r="BO586" s="242"/>
      <c r="BP586" s="241"/>
      <c r="BQ586" s="244"/>
      <c r="BR586" s="33"/>
      <c r="BS586" s="242"/>
      <c r="BT586" s="241"/>
      <c r="BU586" s="244"/>
      <c r="BV586" s="33"/>
      <c r="BW586" s="242"/>
      <c r="BX586" s="241"/>
      <c r="BY586" s="244"/>
      <c r="BZ586" s="33"/>
      <c r="CA586" s="242"/>
      <c r="CB586" s="241"/>
      <c r="CC586" s="244"/>
      <c r="CD586" s="243"/>
      <c r="CE586" s="243"/>
      <c r="CF586" s="243"/>
      <c r="CG586" s="243"/>
      <c r="CH586" s="243"/>
      <c r="CI586" s="243"/>
      <c r="CJ586" s="243"/>
      <c r="CK586" s="243"/>
      <c r="CL586" s="243"/>
      <c r="CM586" s="243"/>
      <c r="CN586" s="243"/>
      <c r="CO586" s="243"/>
      <c r="CP586" s="243"/>
      <c r="CQ586" s="243"/>
      <c r="CR586" s="243"/>
      <c r="CS586" s="243"/>
      <c r="CT586" s="243"/>
      <c r="CU586" s="243"/>
      <c r="CV586" s="243"/>
      <c r="CW586" s="243"/>
      <c r="CX586" s="243"/>
      <c r="CY586" s="243"/>
      <c r="CZ586" s="243"/>
      <c r="DA586" s="243"/>
      <c r="DB586" s="243"/>
      <c r="DC586" s="243"/>
      <c r="DD586" s="243"/>
      <c r="DE586" s="243"/>
      <c r="DF586" s="243"/>
      <c r="DG586" s="243"/>
      <c r="DH586" s="243"/>
      <c r="DI586" s="243"/>
      <c r="DJ586" s="243"/>
      <c r="DK586" s="243"/>
      <c r="DM586" s="242"/>
      <c r="DO586" s="243"/>
      <c r="DQ586" s="242"/>
      <c r="DS586" s="243"/>
      <c r="DU586" s="242"/>
      <c r="DW586" s="243"/>
      <c r="DY586" s="242"/>
      <c r="EA586" s="243"/>
    </row>
    <row r="587" spans="1:131">
      <c r="A587" s="20"/>
      <c r="B587" s="124" t="str">
        <f t="shared" si="550"/>
        <v/>
      </c>
      <c r="C587" s="235"/>
      <c r="D587" s="24">
        <f>'1% Wind'!$M$85</f>
        <v>17.8</v>
      </c>
      <c r="E587" s="90"/>
      <c r="F587" s="90"/>
      <c r="G587" s="79">
        <f ca="1">IF(I583=0.9743,$G586,MAX(G586/D586*D587,2))</f>
        <v>6.001707317073171</v>
      </c>
      <c r="H587" s="121" t="e">
        <f t="shared" ca="1" si="551"/>
        <v>#VALUE!</v>
      </c>
      <c r="J587" s="33"/>
      <c r="K587" s="242">
        <f t="shared" si="552"/>
        <v>1</v>
      </c>
      <c r="L587" s="241" t="e">
        <f t="shared" ca="1" si="553"/>
        <v>#VALUE!</v>
      </c>
      <c r="M587" s="243" t="e">
        <f ca="1">IF(AND(INDEX(FlowCalConstA,MATCH(J583,FlowCalNumber,0),1,1)*L587^INDEX(FlowCalConstB,MATCH(J583,FlowCalNumber,0),1,1)&gt;INDEX(FlowCalLowSetting,MATCH(J583,FlowCalNumber,0),1,1), (INDEX(FlowCalConstA,MATCH(J583,FlowCalNumber,0),1,1)*L587^INDEX(FlowCalConstB,MATCH(J583,FlowCalNumber,0),1,1)&lt;INDEX(FlowCalHighSetting,MATCH(J583,FlowCalNumber,0),1,1))),INDEX(FlowCalConstA,MATCH(J583,FlowCalNumber,0),1,1)*L587^INDEX(FlowCalConstB,MATCH(J583,FlowCalNumber,0),1,1)," ")</f>
        <v>#N/A</v>
      </c>
      <c r="N587" s="33"/>
      <c r="O587" s="242">
        <f t="shared" si="554"/>
        <v>1</v>
      </c>
      <c r="P587" s="241" t="e">
        <f t="shared" ca="1" si="555"/>
        <v>#VALUE!</v>
      </c>
      <c r="Q587" s="243" t="e">
        <f ca="1">IF(AND(INDEX(FlowCalConstA,MATCH(N583,FlowCalNumber,0),1,1)*P587^INDEX(FlowCalConstB,MATCH(N583,FlowCalNumber,0),1,1)&gt;INDEX(FlowCalLowSetting,MATCH(N583,FlowCalNumber,0),1,1), (INDEX(FlowCalConstA,MATCH(N583,FlowCalNumber,0),1,1)*P587^INDEX(FlowCalConstB,MATCH(N583,FlowCalNumber,0),1,1)&lt;INDEX(FlowCalHighSetting,MATCH(N583,FlowCalNumber,0),1,1))),INDEX(FlowCalConstA,MATCH(N583,FlowCalNumber,0),1,1)*P587^INDEX(FlowCalConstB,MATCH(N583,FlowCalNumber,0),1,1)," ")</f>
        <v>#N/A</v>
      </c>
      <c r="R587" s="33"/>
      <c r="S587" s="242">
        <f t="shared" si="556"/>
        <v>1</v>
      </c>
      <c r="T587" s="241" t="e">
        <f t="shared" ca="1" si="557"/>
        <v>#VALUE!</v>
      </c>
      <c r="U587" s="244" t="e">
        <f ca="1">IF(AND(INDEX(FlowCalConstA,MATCH(R583,FlowCalNumber,0),1,1)*T587^INDEX(FlowCalConstB,MATCH(R583,FlowCalNumber,0),1,1)&gt;INDEX(FlowCalLowSetting,MATCH(R583,FlowCalNumber,0),1,1), (INDEX(FlowCalConstA,MATCH(R583,FlowCalNumber,0),1,1)*T587^INDEX(FlowCalConstB,MATCH(R583,FlowCalNumber,0),1,1)&lt;INDEX(FlowCalHighSetting,MATCH(R583,FlowCalNumber,0),1,1))),INDEX(FlowCalConstA,MATCH(R583,FlowCalNumber,0),1,1)*T587^INDEX(FlowCalConstB,MATCH(R583,FlowCalNumber,0),1,1)," ")</f>
        <v>#N/A</v>
      </c>
      <c r="V587" s="33"/>
      <c r="W587" s="242">
        <f t="shared" si="558"/>
        <v>0.1</v>
      </c>
      <c r="X587" s="241" t="e">
        <f t="shared" ca="1" si="559"/>
        <v>#VALUE!</v>
      </c>
      <c r="Y587" s="243" t="e">
        <f ca="1">IF(AND(INDEX(FlowCalConstA,MATCH(V583,FlowCalNumber,0),1,1)*X587^INDEX(FlowCalConstB,MATCH(V583,FlowCalNumber,0),1,1)&gt;INDEX(FlowCalLowSetting,MATCH(V583,FlowCalNumber,0),1,1), (INDEX(FlowCalConstA,MATCH(V583,FlowCalNumber,0),1,1)*X587^INDEX(FlowCalConstB,MATCH(V583,FlowCalNumber,0),1,1)&lt;INDEX(FlowCalHighSetting,MATCH(V583,FlowCalNumber,0),1,1))),INDEX(FlowCalConstA,MATCH(V583,FlowCalNumber,0),1,1)*X587^INDEX(FlowCalConstB,MATCH(V583,FlowCalNumber,0),1,1)," ")</f>
        <v>#N/A</v>
      </c>
      <c r="Z587" s="33"/>
      <c r="AA587" s="242">
        <f t="shared" si="560"/>
        <v>0.9</v>
      </c>
      <c r="AB587" s="241" t="e">
        <f t="shared" ca="1" si="561"/>
        <v>#VALUE!</v>
      </c>
      <c r="AC587" s="243" t="e">
        <f ca="1">IF(AND(INDEX(FlowCalConstA,MATCH(Z583,FlowCalNumber,0),1,1)*AB587^INDEX(FlowCalConstB,MATCH(Z583,FlowCalNumber,0),1,1)&gt;INDEX(FlowCalLowSetting,MATCH(Z583,FlowCalNumber,0),1,1), (INDEX(FlowCalConstA,MATCH(Z583,FlowCalNumber,0),1,1)*AB587^INDEX(FlowCalConstB,MATCH(Z583,FlowCalNumber,0),1,1)&lt;INDEX(FlowCalHighSetting,MATCH(Z583,FlowCalNumber,0),1,1))),INDEX(FlowCalConstA,MATCH(Z583,FlowCalNumber,0),1,1)*AB587^INDEX(FlowCalConstB,MATCH(Z583,FlowCalNumber,0),1,1)," ")</f>
        <v>#N/A</v>
      </c>
      <c r="AD587" s="33"/>
      <c r="AE587" s="242">
        <f t="shared" si="562"/>
        <v>0.1</v>
      </c>
      <c r="AF587" s="241" t="e">
        <f t="shared" ca="1" si="563"/>
        <v>#VALUE!</v>
      </c>
      <c r="AG587" s="243" t="e">
        <f ca="1">IF(AND(INDEX(FlowCalConstA,MATCH(AD583,FlowCalNumber,0),1,1)*AF587^INDEX(FlowCalConstB,MATCH(AD583,FlowCalNumber,0),1,1)&gt;INDEX(FlowCalLowSetting,MATCH(AD583,FlowCalNumber,0),1,1), (INDEX(FlowCalConstA,MATCH(AD583,FlowCalNumber,0),1,1)*AF587^INDEX(FlowCalConstB,MATCH(AD583,FlowCalNumber,0),1,1)&lt;INDEX(FlowCalHighSetting,MATCH(AD583,FlowCalNumber,0),1,1))),INDEX(FlowCalConstA,MATCH(AD583,FlowCalNumber,0),1,1)*AF587^INDEX(FlowCalConstB,MATCH(AD583,FlowCalNumber,0),1,1)," ")</f>
        <v>#N/A</v>
      </c>
      <c r="AH587" s="33"/>
      <c r="AI587" s="242">
        <f t="shared" si="564"/>
        <v>0.9</v>
      </c>
      <c r="AJ587" s="241" t="e">
        <f t="shared" ca="1" si="565"/>
        <v>#VALUE!</v>
      </c>
      <c r="AK587" s="243" t="e">
        <f ca="1">IF(AND(INDEX(FlowCalConstA,MATCH(AH583,FlowCalNumber,0),1,1)*AJ587^INDEX(FlowCalConstB,MATCH(AH583,FlowCalNumber,0),1,1)&gt;INDEX(FlowCalLowSetting,MATCH(AH583,FlowCalNumber,0),1,1), (INDEX(FlowCalConstA,MATCH(AH583,FlowCalNumber,0),1,1)*AJ587^INDEX(FlowCalConstB,MATCH(AH583,FlowCalNumber,0),1,1)&lt;INDEX(FlowCalHighSetting,MATCH(AH583,FlowCalNumber,0),1,1))),INDEX(FlowCalConstA,MATCH(AH583,FlowCalNumber,0),1,1)*AJ587^INDEX(FlowCalConstB,MATCH(AH583,FlowCalNumber,0),1,1)," ")</f>
        <v>#N/A</v>
      </c>
      <c r="AL587" s="33"/>
      <c r="AM587" s="242"/>
      <c r="AN587" s="241"/>
      <c r="AO587" s="244"/>
      <c r="AQ587" s="242"/>
      <c r="AR587" s="241"/>
      <c r="AS587" s="244"/>
      <c r="AT587" s="33"/>
      <c r="AU587" s="242"/>
      <c r="AV587" s="241"/>
      <c r="AW587" s="244"/>
      <c r="AX587" s="33"/>
      <c r="AY587" s="242"/>
      <c r="AZ587" s="241"/>
      <c r="BA587" s="244"/>
      <c r="BB587" s="33"/>
      <c r="BC587" s="242"/>
      <c r="BD587" s="241"/>
      <c r="BE587" s="244"/>
      <c r="BF587" s="33"/>
      <c r="BG587" s="242"/>
      <c r="BH587" s="241"/>
      <c r="BI587" s="244"/>
      <c r="BJ587" s="33"/>
      <c r="BK587" s="242"/>
      <c r="BL587" s="241"/>
      <c r="BM587" s="244"/>
      <c r="BN587" s="33"/>
      <c r="BO587" s="242"/>
      <c r="BP587" s="241"/>
      <c r="BQ587" s="244"/>
      <c r="BR587" s="33"/>
      <c r="BS587" s="242"/>
      <c r="BT587" s="241"/>
      <c r="BU587" s="244"/>
      <c r="BV587" s="33"/>
      <c r="BW587" s="242"/>
      <c r="BX587" s="241"/>
      <c r="BY587" s="244"/>
      <c r="BZ587" s="33"/>
      <c r="CA587" s="242"/>
      <c r="CB587" s="241"/>
      <c r="CC587" s="244"/>
      <c r="CD587" s="243"/>
      <c r="CE587" s="243"/>
      <c r="CF587" s="243"/>
      <c r="CG587" s="243"/>
      <c r="CH587" s="243"/>
      <c r="CI587" s="243"/>
      <c r="CJ587" s="243"/>
      <c r="CK587" s="243"/>
      <c r="CL587" s="243"/>
      <c r="CM587" s="243"/>
      <c r="CN587" s="243"/>
      <c r="CO587" s="243"/>
      <c r="CP587" s="243"/>
      <c r="CQ587" s="243"/>
      <c r="CR587" s="243"/>
      <c r="CS587" s="243"/>
      <c r="CT587" s="243"/>
      <c r="CU587" s="243"/>
      <c r="CV587" s="243"/>
      <c r="CW587" s="243"/>
      <c r="CX587" s="243"/>
      <c r="CY587" s="243"/>
      <c r="CZ587" s="243"/>
      <c r="DA587" s="243"/>
      <c r="DB587" s="243"/>
      <c r="DC587" s="243"/>
      <c r="DD587" s="243"/>
      <c r="DE587" s="243"/>
      <c r="DF587" s="243"/>
      <c r="DG587" s="243"/>
      <c r="DH587" s="243"/>
      <c r="DI587" s="243"/>
      <c r="DJ587" s="243"/>
      <c r="DK587" s="243"/>
      <c r="DM587" s="242"/>
      <c r="DO587" s="243"/>
      <c r="DQ587" s="242"/>
      <c r="DS587" s="243"/>
      <c r="DU587" s="242"/>
      <c r="DW587" s="243"/>
      <c r="DY587" s="242"/>
      <c r="EA587" s="243"/>
    </row>
    <row r="588" spans="1:131">
      <c r="A588" s="20"/>
      <c r="B588" s="124" t="str">
        <f t="shared" si="550"/>
        <v/>
      </c>
      <c r="C588" s="235"/>
      <c r="D588" s="24">
        <f>'1% Wind'!$M$86</f>
        <v>15.5</v>
      </c>
      <c r="E588" s="90"/>
      <c r="F588" s="90"/>
      <c r="G588" s="79">
        <f ca="1">IF(I583=0.9743,$G587,MAX(G587/D587*D588,2))</f>
        <v>6.001707317073171</v>
      </c>
      <c r="H588" s="121" t="e">
        <f t="shared" ca="1" si="551"/>
        <v>#VALUE!</v>
      </c>
      <c r="J588" s="33"/>
      <c r="K588" s="242">
        <f t="shared" si="552"/>
        <v>1</v>
      </c>
      <c r="L588" s="241" t="e">
        <f t="shared" ca="1" si="553"/>
        <v>#VALUE!</v>
      </c>
      <c r="M588" s="243" t="e">
        <f ca="1">IF(AND(INDEX(FlowCalConstA,MATCH(J583,FlowCalNumber,0),1,1)*L588^INDEX(FlowCalConstB,MATCH(J583,FlowCalNumber,0),1,1)&gt;INDEX(FlowCalLowSetting,MATCH(J583,FlowCalNumber,0),1,1), (INDEX(FlowCalConstA,MATCH(J583,FlowCalNumber,0),1,1)*L588^INDEX(FlowCalConstB,MATCH(J583,FlowCalNumber,0),1,1)&lt;INDEX(FlowCalHighSetting,MATCH(J583,FlowCalNumber,0),1,1))),INDEX(FlowCalConstA,MATCH(J583,FlowCalNumber,0),1,1)*L588^INDEX(FlowCalConstB,MATCH(J583,FlowCalNumber,0),1,1)," ")</f>
        <v>#N/A</v>
      </c>
      <c r="N588" s="33"/>
      <c r="O588" s="242">
        <f t="shared" si="554"/>
        <v>1</v>
      </c>
      <c r="P588" s="241" t="e">
        <f t="shared" ca="1" si="555"/>
        <v>#VALUE!</v>
      </c>
      <c r="Q588" s="243" t="e">
        <f ca="1">IF(AND(INDEX(FlowCalConstA,MATCH(N583,FlowCalNumber,0),1,1)*P588^INDEX(FlowCalConstB,MATCH(N583,FlowCalNumber,0),1,1)&gt;INDEX(FlowCalLowSetting,MATCH(N583,FlowCalNumber,0),1,1), (INDEX(FlowCalConstA,MATCH(N583,FlowCalNumber,0),1,1)*P588^INDEX(FlowCalConstB,MATCH(N583,FlowCalNumber,0),1,1)&lt;INDEX(FlowCalHighSetting,MATCH(N583,FlowCalNumber,0),1,1))),INDEX(FlowCalConstA,MATCH(N583,FlowCalNumber,0),1,1)*P588^INDEX(FlowCalConstB,MATCH(N583,FlowCalNumber,0),1,1)," ")</f>
        <v>#N/A</v>
      </c>
      <c r="R588" s="33"/>
      <c r="S588" s="242">
        <f t="shared" si="556"/>
        <v>1</v>
      </c>
      <c r="T588" s="241" t="e">
        <f t="shared" ca="1" si="557"/>
        <v>#VALUE!</v>
      </c>
      <c r="U588" s="244" t="e">
        <f ca="1">IF(AND(INDEX(FlowCalConstA,MATCH(R583,FlowCalNumber,0),1,1)*T588^INDEX(FlowCalConstB,MATCH(R583,FlowCalNumber,0),1,1)&gt;INDEX(FlowCalLowSetting,MATCH(R583,FlowCalNumber,0),1,1), (INDEX(FlowCalConstA,MATCH(R583,FlowCalNumber,0),1,1)*T588^INDEX(FlowCalConstB,MATCH(R583,FlowCalNumber,0),1,1)&lt;INDEX(FlowCalHighSetting,MATCH(R583,FlowCalNumber,0),1,1))),INDEX(FlowCalConstA,MATCH(R583,FlowCalNumber,0),1,1)*T588^INDEX(FlowCalConstB,MATCH(R583,FlowCalNumber,0),1,1)," ")</f>
        <v>#N/A</v>
      </c>
      <c r="V588" s="33"/>
      <c r="W588" s="242">
        <f t="shared" si="558"/>
        <v>0.1</v>
      </c>
      <c r="X588" s="241" t="e">
        <f t="shared" ca="1" si="559"/>
        <v>#VALUE!</v>
      </c>
      <c r="Y588" s="243" t="e">
        <f ca="1">IF(AND(INDEX(FlowCalConstA,MATCH(V583,FlowCalNumber,0),1,1)*X588^INDEX(FlowCalConstB,MATCH(V583,FlowCalNumber,0),1,1)&gt;INDEX(FlowCalLowSetting,MATCH(V583,FlowCalNumber,0),1,1), (INDEX(FlowCalConstA,MATCH(V583,FlowCalNumber,0),1,1)*X588^INDEX(FlowCalConstB,MATCH(V583,FlowCalNumber,0),1,1)&lt;INDEX(FlowCalHighSetting,MATCH(V583,FlowCalNumber,0),1,1))),INDEX(FlowCalConstA,MATCH(V583,FlowCalNumber,0),1,1)*X588^INDEX(FlowCalConstB,MATCH(V583,FlowCalNumber,0),1,1)," ")</f>
        <v>#N/A</v>
      </c>
      <c r="Z588" s="33"/>
      <c r="AA588" s="242">
        <f t="shared" si="560"/>
        <v>0.9</v>
      </c>
      <c r="AB588" s="241" t="e">
        <f t="shared" ca="1" si="561"/>
        <v>#VALUE!</v>
      </c>
      <c r="AC588" s="243" t="e">
        <f ca="1">IF(AND(INDEX(FlowCalConstA,MATCH(Z583,FlowCalNumber,0),1,1)*AB588^INDEX(FlowCalConstB,MATCH(Z583,FlowCalNumber,0),1,1)&gt;INDEX(FlowCalLowSetting,MATCH(Z583,FlowCalNumber,0),1,1), (INDEX(FlowCalConstA,MATCH(Z583,FlowCalNumber,0),1,1)*AB588^INDEX(FlowCalConstB,MATCH(Z583,FlowCalNumber,0),1,1)&lt;INDEX(FlowCalHighSetting,MATCH(Z583,FlowCalNumber,0),1,1))),INDEX(FlowCalConstA,MATCH(Z583,FlowCalNumber,0),1,1)*AB588^INDEX(FlowCalConstB,MATCH(Z583,FlowCalNumber,0),1,1)," ")</f>
        <v>#N/A</v>
      </c>
      <c r="AD588" s="33"/>
      <c r="AE588" s="242">
        <f t="shared" si="562"/>
        <v>0.1</v>
      </c>
      <c r="AF588" s="241" t="e">
        <f t="shared" ca="1" si="563"/>
        <v>#VALUE!</v>
      </c>
      <c r="AG588" s="243" t="e">
        <f ca="1">IF(AND(INDEX(FlowCalConstA,MATCH(AD583,FlowCalNumber,0),1,1)*AF588^INDEX(FlowCalConstB,MATCH(AD583,FlowCalNumber,0),1,1)&gt;INDEX(FlowCalLowSetting,MATCH(AD583,FlowCalNumber,0),1,1), (INDEX(FlowCalConstA,MATCH(AD583,FlowCalNumber,0),1,1)*AF588^INDEX(FlowCalConstB,MATCH(AD583,FlowCalNumber,0),1,1)&lt;INDEX(FlowCalHighSetting,MATCH(AD583,FlowCalNumber,0),1,1))),INDEX(FlowCalConstA,MATCH(AD583,FlowCalNumber,0),1,1)*AF588^INDEX(FlowCalConstB,MATCH(AD583,FlowCalNumber,0),1,1)," ")</f>
        <v>#N/A</v>
      </c>
      <c r="AH588" s="33"/>
      <c r="AI588" s="242">
        <f t="shared" si="564"/>
        <v>0.9</v>
      </c>
      <c r="AJ588" s="241" t="e">
        <f t="shared" ca="1" si="565"/>
        <v>#VALUE!</v>
      </c>
      <c r="AK588" s="243" t="e">
        <f ca="1">IF(AND(INDEX(FlowCalConstA,MATCH(AH583,FlowCalNumber,0),1,1)*AJ588^INDEX(FlowCalConstB,MATCH(AH583,FlowCalNumber,0),1,1)&gt;INDEX(FlowCalLowSetting,MATCH(AH583,FlowCalNumber,0),1,1), (INDEX(FlowCalConstA,MATCH(AH583,FlowCalNumber,0),1,1)*AJ588^INDEX(FlowCalConstB,MATCH(AH583,FlowCalNumber,0),1,1)&lt;INDEX(FlowCalHighSetting,MATCH(AH583,FlowCalNumber,0),1,1))),INDEX(FlowCalConstA,MATCH(AH583,FlowCalNumber,0),1,1)*AJ588^INDEX(FlowCalConstB,MATCH(AH583,FlowCalNumber,0),1,1)," ")</f>
        <v>#N/A</v>
      </c>
      <c r="AL588" s="33"/>
      <c r="AM588" s="242"/>
      <c r="AN588" s="241"/>
      <c r="AO588" s="244"/>
      <c r="AQ588" s="242"/>
      <c r="AR588" s="241"/>
      <c r="AS588" s="244"/>
      <c r="AT588" s="33"/>
      <c r="AU588" s="242"/>
      <c r="AV588" s="241"/>
      <c r="AW588" s="244"/>
      <c r="AX588" s="33"/>
      <c r="AY588" s="242"/>
      <c r="AZ588" s="241"/>
      <c r="BA588" s="244"/>
      <c r="BB588" s="33"/>
      <c r="BC588" s="242"/>
      <c r="BD588" s="241"/>
      <c r="BE588" s="244"/>
      <c r="BF588" s="33"/>
      <c r="BG588" s="242"/>
      <c r="BH588" s="241"/>
      <c r="BI588" s="244"/>
      <c r="BJ588" s="33"/>
      <c r="BK588" s="242"/>
      <c r="BL588" s="241"/>
      <c r="BM588" s="244"/>
      <c r="BN588" s="33"/>
      <c r="BO588" s="242"/>
      <c r="BP588" s="241"/>
      <c r="BQ588" s="244"/>
      <c r="BR588" s="33"/>
      <c r="BS588" s="242"/>
      <c r="BT588" s="241"/>
      <c r="BU588" s="244"/>
      <c r="BV588" s="33"/>
      <c r="BW588" s="242"/>
      <c r="BX588" s="241"/>
      <c r="BY588" s="244"/>
      <c r="BZ588" s="33"/>
      <c r="CA588" s="242"/>
      <c r="CB588" s="241"/>
      <c r="CC588" s="244"/>
      <c r="CD588" s="243"/>
      <c r="CE588" s="243"/>
      <c r="CF588" s="243"/>
      <c r="CG588" s="243"/>
      <c r="CH588" s="243"/>
      <c r="CI588" s="243"/>
      <c r="CJ588" s="243"/>
      <c r="CK588" s="243"/>
      <c r="CL588" s="243"/>
      <c r="CM588" s="243"/>
      <c r="CN588" s="243"/>
      <c r="CO588" s="243"/>
      <c r="CP588" s="243"/>
      <c r="CQ588" s="243"/>
      <c r="CR588" s="243"/>
      <c r="CS588" s="243"/>
      <c r="CT588" s="243"/>
      <c r="CU588" s="243"/>
      <c r="CV588" s="243"/>
      <c r="CW588" s="243"/>
      <c r="CX588" s="243"/>
      <c r="CY588" s="243"/>
      <c r="CZ588" s="243"/>
      <c r="DA588" s="243"/>
      <c r="DB588" s="243"/>
      <c r="DC588" s="243"/>
      <c r="DD588" s="243"/>
      <c r="DE588" s="243"/>
      <c r="DF588" s="243"/>
      <c r="DG588" s="243"/>
      <c r="DH588" s="243"/>
      <c r="DI588" s="243"/>
      <c r="DJ588" s="243"/>
      <c r="DK588" s="243"/>
      <c r="DM588" s="242"/>
      <c r="DO588" s="243"/>
      <c r="DQ588" s="242"/>
      <c r="DS588" s="243"/>
      <c r="DU588" s="242"/>
      <c r="DW588" s="243"/>
      <c r="DY588" s="242"/>
      <c r="EA588" s="243"/>
    </row>
    <row r="589" spans="1:131">
      <c r="A589" s="20"/>
      <c r="B589" s="124" t="str">
        <f t="shared" si="550"/>
        <v/>
      </c>
      <c r="C589" s="235"/>
      <c r="D589" s="24">
        <f>'1% Wind'!$M$87</f>
        <v>13.5</v>
      </c>
      <c r="E589" s="90"/>
      <c r="F589" s="90"/>
      <c r="G589" s="79">
        <f ca="1">IF(I583=0.9743,$G588,MAX(G588/D588*D589,2))</f>
        <v>6.001707317073171</v>
      </c>
      <c r="H589" s="121" t="e">
        <f t="shared" ca="1" si="551"/>
        <v>#VALUE!</v>
      </c>
      <c r="J589" s="33"/>
      <c r="K589" s="242">
        <f t="shared" si="552"/>
        <v>1</v>
      </c>
      <c r="L589" s="241" t="e">
        <f t="shared" ca="1" si="553"/>
        <v>#VALUE!</v>
      </c>
      <c r="M589" s="243" t="e">
        <f ca="1">IF(AND(INDEX(FlowCalConstA,MATCH(J583,FlowCalNumber,0),1,1)*L589^INDEX(FlowCalConstB,MATCH(J583,FlowCalNumber,0),1,1)&gt;INDEX(FlowCalLowSetting,MATCH(J583,FlowCalNumber,0),1,1), (INDEX(FlowCalConstA,MATCH(J583,FlowCalNumber,0),1,1)*L589^INDEX(FlowCalConstB,MATCH(J583,FlowCalNumber,0),1,1)&lt;INDEX(FlowCalHighSetting,MATCH(J583,FlowCalNumber,0),1,1))),INDEX(FlowCalConstA,MATCH(J583,FlowCalNumber,0),1,1)*L589^INDEX(FlowCalConstB,MATCH(J583,FlowCalNumber,0),1,1)," ")</f>
        <v>#N/A</v>
      </c>
      <c r="N589" s="33"/>
      <c r="O589" s="242">
        <f t="shared" si="554"/>
        <v>1</v>
      </c>
      <c r="P589" s="241" t="e">
        <f t="shared" ca="1" si="555"/>
        <v>#VALUE!</v>
      </c>
      <c r="Q589" s="243" t="e">
        <f ca="1">IF(AND(INDEX(FlowCalConstA,MATCH(N583,FlowCalNumber,0),1,1)*P589^INDEX(FlowCalConstB,MATCH(N583,FlowCalNumber,0),1,1)&gt;INDEX(FlowCalLowSetting,MATCH(N583,FlowCalNumber,0),1,1), (INDEX(FlowCalConstA,MATCH(N583,FlowCalNumber,0),1,1)*P589^INDEX(FlowCalConstB,MATCH(N583,FlowCalNumber,0),1,1)&lt;INDEX(FlowCalHighSetting,MATCH(N583,FlowCalNumber,0),1,1))),INDEX(FlowCalConstA,MATCH(N583,FlowCalNumber,0),1,1)*P589^INDEX(FlowCalConstB,MATCH(N583,FlowCalNumber,0),1,1)," ")</f>
        <v>#N/A</v>
      </c>
      <c r="R589" s="33"/>
      <c r="S589" s="242">
        <f t="shared" si="556"/>
        <v>1</v>
      </c>
      <c r="T589" s="241" t="e">
        <f t="shared" ca="1" si="557"/>
        <v>#VALUE!</v>
      </c>
      <c r="U589" s="244" t="e">
        <f ca="1">IF(AND(INDEX(FlowCalConstA,MATCH(R583,FlowCalNumber,0),1,1)*T589^INDEX(FlowCalConstB,MATCH(R583,FlowCalNumber,0),1,1)&gt;INDEX(FlowCalLowSetting,MATCH(R583,FlowCalNumber,0),1,1), (INDEX(FlowCalConstA,MATCH(R583,FlowCalNumber,0),1,1)*T589^INDEX(FlowCalConstB,MATCH(R583,FlowCalNumber,0),1,1)&lt;INDEX(FlowCalHighSetting,MATCH(R583,FlowCalNumber,0),1,1))),INDEX(FlowCalConstA,MATCH(R583,FlowCalNumber,0),1,1)*T589^INDEX(FlowCalConstB,MATCH(R583,FlowCalNumber,0),1,1)," ")</f>
        <v>#N/A</v>
      </c>
      <c r="V589" s="33"/>
      <c r="W589" s="242">
        <f t="shared" si="558"/>
        <v>0.1</v>
      </c>
      <c r="X589" s="241" t="e">
        <f t="shared" ca="1" si="559"/>
        <v>#VALUE!</v>
      </c>
      <c r="Y589" s="243" t="e">
        <f ca="1">IF(AND(INDEX(FlowCalConstA,MATCH(V583,FlowCalNumber,0),1,1)*X589^INDEX(FlowCalConstB,MATCH(V583,FlowCalNumber,0),1,1)&gt;INDEX(FlowCalLowSetting,MATCH(V583,FlowCalNumber,0),1,1), (INDEX(FlowCalConstA,MATCH(V583,FlowCalNumber,0),1,1)*X589^INDEX(FlowCalConstB,MATCH(V583,FlowCalNumber,0),1,1)&lt;INDEX(FlowCalHighSetting,MATCH(V583,FlowCalNumber,0),1,1))),INDEX(FlowCalConstA,MATCH(V583,FlowCalNumber,0),1,1)*X589^INDEX(FlowCalConstB,MATCH(V583,FlowCalNumber,0),1,1)," ")</f>
        <v>#N/A</v>
      </c>
      <c r="Z589" s="33"/>
      <c r="AA589" s="242">
        <f t="shared" si="560"/>
        <v>0.9</v>
      </c>
      <c r="AB589" s="241" t="e">
        <f t="shared" ca="1" si="561"/>
        <v>#VALUE!</v>
      </c>
      <c r="AC589" s="243" t="e">
        <f ca="1">IF(AND(INDEX(FlowCalConstA,MATCH(Z583,FlowCalNumber,0),1,1)*AB589^INDEX(FlowCalConstB,MATCH(Z583,FlowCalNumber,0),1,1)&gt;INDEX(FlowCalLowSetting,MATCH(Z583,FlowCalNumber,0),1,1), (INDEX(FlowCalConstA,MATCH(Z583,FlowCalNumber,0),1,1)*AB589^INDEX(FlowCalConstB,MATCH(Z583,FlowCalNumber,0),1,1)&lt;INDEX(FlowCalHighSetting,MATCH(Z583,FlowCalNumber,0),1,1))),INDEX(FlowCalConstA,MATCH(Z583,FlowCalNumber,0),1,1)*AB589^INDEX(FlowCalConstB,MATCH(Z583,FlowCalNumber,0),1,1)," ")</f>
        <v>#N/A</v>
      </c>
      <c r="AD589" s="33"/>
      <c r="AE589" s="242">
        <f t="shared" si="562"/>
        <v>0.1</v>
      </c>
      <c r="AF589" s="241" t="e">
        <f t="shared" ca="1" si="563"/>
        <v>#VALUE!</v>
      </c>
      <c r="AG589" s="243" t="e">
        <f ca="1">IF(AND(INDEX(FlowCalConstA,MATCH(AD583,FlowCalNumber,0),1,1)*AF589^INDEX(FlowCalConstB,MATCH(AD583,FlowCalNumber,0),1,1)&gt;INDEX(FlowCalLowSetting,MATCH(AD583,FlowCalNumber,0),1,1), (INDEX(FlowCalConstA,MATCH(AD583,FlowCalNumber,0),1,1)*AF589^INDEX(FlowCalConstB,MATCH(AD583,FlowCalNumber,0),1,1)&lt;INDEX(FlowCalHighSetting,MATCH(AD583,FlowCalNumber,0),1,1))),INDEX(FlowCalConstA,MATCH(AD583,FlowCalNumber,0),1,1)*AF589^INDEX(FlowCalConstB,MATCH(AD583,FlowCalNumber,0),1,1)," ")</f>
        <v>#N/A</v>
      </c>
      <c r="AH589" s="33"/>
      <c r="AI589" s="242">
        <f t="shared" si="564"/>
        <v>0.9</v>
      </c>
      <c r="AJ589" s="241" t="e">
        <f t="shared" ca="1" si="565"/>
        <v>#VALUE!</v>
      </c>
      <c r="AK589" s="243" t="e">
        <f ca="1">IF(AND(INDEX(FlowCalConstA,MATCH(AH583,FlowCalNumber,0),1,1)*AJ589^INDEX(FlowCalConstB,MATCH(AH583,FlowCalNumber,0),1,1)&gt;INDEX(FlowCalLowSetting,MATCH(AH583,FlowCalNumber,0),1,1), (INDEX(FlowCalConstA,MATCH(AH583,FlowCalNumber,0),1,1)*AJ589^INDEX(FlowCalConstB,MATCH(AH583,FlowCalNumber,0),1,1)&lt;INDEX(FlowCalHighSetting,MATCH(AH583,FlowCalNumber,0),1,1))),INDEX(FlowCalConstA,MATCH(AH583,FlowCalNumber,0),1,1)*AJ589^INDEX(FlowCalConstB,MATCH(AH583,FlowCalNumber,0),1,1)," ")</f>
        <v>#N/A</v>
      </c>
      <c r="AL589" s="33"/>
      <c r="AM589" s="242"/>
      <c r="AN589" s="241"/>
      <c r="AO589" s="244"/>
      <c r="AQ589" s="242"/>
      <c r="AR589" s="241"/>
      <c r="AS589" s="244"/>
      <c r="AT589" s="33"/>
      <c r="AU589" s="242"/>
      <c r="AV589" s="241"/>
      <c r="AW589" s="244"/>
      <c r="AX589" s="33"/>
      <c r="AY589" s="242"/>
      <c r="AZ589" s="241"/>
      <c r="BA589" s="244"/>
      <c r="BB589" s="33"/>
      <c r="BC589" s="242"/>
      <c r="BD589" s="241"/>
      <c r="BE589" s="244"/>
      <c r="BF589" s="33"/>
      <c r="BG589" s="242"/>
      <c r="BH589" s="241"/>
      <c r="BI589" s="244"/>
      <c r="BJ589" s="33"/>
      <c r="BK589" s="242"/>
      <c r="BL589" s="241"/>
      <c r="BM589" s="244"/>
      <c r="BN589" s="33"/>
      <c r="BO589" s="242"/>
      <c r="BP589" s="241"/>
      <c r="BQ589" s="244"/>
      <c r="BR589" s="33"/>
      <c r="BS589" s="242"/>
      <c r="BT589" s="241"/>
      <c r="BU589" s="244"/>
      <c r="BV589" s="33"/>
      <c r="BW589" s="242"/>
      <c r="BX589" s="241"/>
      <c r="BY589" s="244"/>
      <c r="BZ589" s="33"/>
      <c r="CA589" s="242"/>
      <c r="CB589" s="241"/>
      <c r="CC589" s="244"/>
      <c r="CD589" s="243"/>
      <c r="CE589" s="243"/>
      <c r="CF589" s="243"/>
      <c r="CG589" s="243"/>
      <c r="CH589" s="243"/>
      <c r="CI589" s="243"/>
      <c r="CJ589" s="243"/>
      <c r="CK589" s="243"/>
      <c r="CL589" s="243"/>
      <c r="CM589" s="243"/>
      <c r="CN589" s="243"/>
      <c r="CO589" s="243"/>
      <c r="CP589" s="243"/>
      <c r="CQ589" s="243"/>
      <c r="CR589" s="243"/>
      <c r="CS589" s="243"/>
      <c r="CT589" s="243"/>
      <c r="CU589" s="243"/>
      <c r="CV589" s="243"/>
      <c r="CW589" s="243"/>
      <c r="CX589" s="243"/>
      <c r="CY589" s="243"/>
      <c r="CZ589" s="243"/>
      <c r="DA589" s="243"/>
      <c r="DB589" s="243"/>
      <c r="DC589" s="243"/>
      <c r="DD589" s="243"/>
      <c r="DE589" s="243"/>
      <c r="DF589" s="243"/>
      <c r="DG589" s="243"/>
      <c r="DH589" s="243"/>
      <c r="DI589" s="243"/>
      <c r="DJ589" s="243"/>
      <c r="DK589" s="243"/>
      <c r="DM589" s="242"/>
      <c r="DO589" s="243"/>
      <c r="DQ589" s="242"/>
      <c r="DS589" s="243"/>
      <c r="DU589" s="242"/>
      <c r="DW589" s="243"/>
      <c r="DY589" s="242"/>
      <c r="EA589" s="243"/>
    </row>
    <row r="590" spans="1:131">
      <c r="A590" s="20"/>
      <c r="B590" s="124" t="str">
        <f t="shared" si="550"/>
        <v/>
      </c>
      <c r="C590" s="235"/>
      <c r="D590" s="24">
        <f>'1% Wind'!$M$88</f>
        <v>10.1</v>
      </c>
      <c r="E590" s="90"/>
      <c r="F590" s="90"/>
      <c r="G590" s="79">
        <f ca="1">IF(I583=0.9743,$G589,MAX(G589/D589*D590,2))</f>
        <v>6.001707317073171</v>
      </c>
      <c r="H590" s="121" t="e">
        <f t="shared" ca="1" si="551"/>
        <v>#VALUE!</v>
      </c>
      <c r="J590" s="33"/>
      <c r="K590" s="242">
        <f t="shared" si="552"/>
        <v>1</v>
      </c>
      <c r="L590" s="241" t="e">
        <f t="shared" ca="1" si="553"/>
        <v>#VALUE!</v>
      </c>
      <c r="M590" s="243" t="e">
        <f ca="1">IF(AND(INDEX(FlowCalConstA,MATCH(J583,FlowCalNumber,0),1,1)*L590^INDEX(FlowCalConstB,MATCH(J583,FlowCalNumber,0),1,1)&gt;INDEX(FlowCalLowSetting,MATCH(J583,FlowCalNumber,0),1,1), (INDEX(FlowCalConstA,MATCH(J583,FlowCalNumber,0),1,1)*L590^INDEX(FlowCalConstB,MATCH(J583,FlowCalNumber,0),1,1)&lt;INDEX(FlowCalHighSetting,MATCH(J583,FlowCalNumber,0),1,1))),INDEX(FlowCalConstA,MATCH(J583,FlowCalNumber,0),1,1)*L590^INDEX(FlowCalConstB,MATCH(J583,FlowCalNumber,0),1,1)," ")</f>
        <v>#N/A</v>
      </c>
      <c r="N590" s="33"/>
      <c r="O590" s="242">
        <f t="shared" si="554"/>
        <v>1</v>
      </c>
      <c r="P590" s="241" t="e">
        <f t="shared" ca="1" si="555"/>
        <v>#VALUE!</v>
      </c>
      <c r="Q590" s="243" t="e">
        <f ca="1">IF(AND(INDEX(FlowCalConstA,MATCH(N583,FlowCalNumber,0),1,1)*P590^INDEX(FlowCalConstB,MATCH(N583,FlowCalNumber,0),1,1)&gt;INDEX(FlowCalLowSetting,MATCH(N583,FlowCalNumber,0),1,1), (INDEX(FlowCalConstA,MATCH(N583,FlowCalNumber,0),1,1)*P590^INDEX(FlowCalConstB,MATCH(N583,FlowCalNumber,0),1,1)&lt;INDEX(FlowCalHighSetting,MATCH(N583,FlowCalNumber,0),1,1))),INDEX(FlowCalConstA,MATCH(N583,FlowCalNumber,0),1,1)*P590^INDEX(FlowCalConstB,MATCH(N583,FlowCalNumber,0),1,1)," ")</f>
        <v>#N/A</v>
      </c>
      <c r="R590" s="33"/>
      <c r="S590" s="242">
        <f t="shared" si="556"/>
        <v>1</v>
      </c>
      <c r="T590" s="241" t="e">
        <f t="shared" ca="1" si="557"/>
        <v>#VALUE!</v>
      </c>
      <c r="U590" s="244" t="e">
        <f ca="1">IF(AND(INDEX(FlowCalConstA,MATCH(R583,FlowCalNumber,0),1,1)*T590^INDEX(FlowCalConstB,MATCH(R583,FlowCalNumber,0),1,1)&gt;INDEX(FlowCalLowSetting,MATCH(R583,FlowCalNumber,0),1,1), (INDEX(FlowCalConstA,MATCH(R583,FlowCalNumber,0),1,1)*T590^INDEX(FlowCalConstB,MATCH(R583,FlowCalNumber,0),1,1)&lt;INDEX(FlowCalHighSetting,MATCH(R583,FlowCalNumber,0),1,1))),INDEX(FlowCalConstA,MATCH(R583,FlowCalNumber,0),1,1)*T590^INDEX(FlowCalConstB,MATCH(R583,FlowCalNumber,0),1,1)," ")</f>
        <v>#N/A</v>
      </c>
      <c r="V590" s="33"/>
      <c r="W590" s="242">
        <f t="shared" si="558"/>
        <v>0.1</v>
      </c>
      <c r="X590" s="241" t="e">
        <f t="shared" ca="1" si="559"/>
        <v>#VALUE!</v>
      </c>
      <c r="Y590" s="243" t="e">
        <f ca="1">IF(AND(INDEX(FlowCalConstA,MATCH(V583,FlowCalNumber,0),1,1)*X590^INDEX(FlowCalConstB,MATCH(V583,FlowCalNumber,0),1,1)&gt;INDEX(FlowCalLowSetting,MATCH(V583,FlowCalNumber,0),1,1), (INDEX(FlowCalConstA,MATCH(V583,FlowCalNumber,0),1,1)*X590^INDEX(FlowCalConstB,MATCH(V583,FlowCalNumber,0),1,1)&lt;INDEX(FlowCalHighSetting,MATCH(V583,FlowCalNumber,0),1,1))),INDEX(FlowCalConstA,MATCH(V583,FlowCalNumber,0),1,1)*X590^INDEX(FlowCalConstB,MATCH(V583,FlowCalNumber,0),1,1)," ")</f>
        <v>#N/A</v>
      </c>
      <c r="Z590" s="33"/>
      <c r="AA590" s="242">
        <f t="shared" si="560"/>
        <v>0.9</v>
      </c>
      <c r="AB590" s="241" t="e">
        <f t="shared" ca="1" si="561"/>
        <v>#VALUE!</v>
      </c>
      <c r="AC590" s="243" t="e">
        <f ca="1">IF(AND(INDEX(FlowCalConstA,MATCH(Z583,FlowCalNumber,0),1,1)*AB590^INDEX(FlowCalConstB,MATCH(Z583,FlowCalNumber,0),1,1)&gt;INDEX(FlowCalLowSetting,MATCH(Z583,FlowCalNumber,0),1,1), (INDEX(FlowCalConstA,MATCH(Z583,FlowCalNumber,0),1,1)*AB590^INDEX(FlowCalConstB,MATCH(Z583,FlowCalNumber,0),1,1)&lt;INDEX(FlowCalHighSetting,MATCH(Z583,FlowCalNumber,0),1,1))),INDEX(FlowCalConstA,MATCH(Z583,FlowCalNumber,0),1,1)*AB590^INDEX(FlowCalConstB,MATCH(Z583,FlowCalNumber,0),1,1)," ")</f>
        <v>#N/A</v>
      </c>
      <c r="AD590" s="33"/>
      <c r="AE590" s="242">
        <f t="shared" si="562"/>
        <v>0.1</v>
      </c>
      <c r="AF590" s="241" t="e">
        <f t="shared" ca="1" si="563"/>
        <v>#VALUE!</v>
      </c>
      <c r="AG590" s="243" t="e">
        <f ca="1">IF(AND(INDEX(FlowCalConstA,MATCH(AD583,FlowCalNumber,0),1,1)*AF590^INDEX(FlowCalConstB,MATCH(AD583,FlowCalNumber,0),1,1)&gt;INDEX(FlowCalLowSetting,MATCH(AD583,FlowCalNumber,0),1,1), (INDEX(FlowCalConstA,MATCH(AD583,FlowCalNumber,0),1,1)*AF590^INDEX(FlowCalConstB,MATCH(AD583,FlowCalNumber,0),1,1)&lt;INDEX(FlowCalHighSetting,MATCH(AD583,FlowCalNumber,0),1,1))),INDEX(FlowCalConstA,MATCH(AD583,FlowCalNumber,0),1,1)*AF590^INDEX(FlowCalConstB,MATCH(AD583,FlowCalNumber,0),1,1)," ")</f>
        <v>#N/A</v>
      </c>
      <c r="AH590" s="33"/>
      <c r="AI590" s="242">
        <f t="shared" si="564"/>
        <v>0.9</v>
      </c>
      <c r="AJ590" s="241" t="e">
        <f t="shared" ca="1" si="565"/>
        <v>#VALUE!</v>
      </c>
      <c r="AK590" s="243" t="e">
        <f ca="1">IF(AND(INDEX(FlowCalConstA,MATCH(AH583,FlowCalNumber,0),1,1)*AJ590^INDEX(FlowCalConstB,MATCH(AH583,FlowCalNumber,0),1,1)&gt;INDEX(FlowCalLowSetting,MATCH(AH583,FlowCalNumber,0),1,1), (INDEX(FlowCalConstA,MATCH(AH583,FlowCalNumber,0),1,1)*AJ590^INDEX(FlowCalConstB,MATCH(AH583,FlowCalNumber,0),1,1)&lt;INDEX(FlowCalHighSetting,MATCH(AH583,FlowCalNumber,0),1,1))),INDEX(FlowCalConstA,MATCH(AH583,FlowCalNumber,0),1,1)*AJ590^INDEX(FlowCalConstB,MATCH(AH583,FlowCalNumber,0),1,1)," ")</f>
        <v>#N/A</v>
      </c>
      <c r="AL590" s="33"/>
      <c r="AM590" s="242"/>
      <c r="AN590" s="241"/>
      <c r="AO590" s="244"/>
      <c r="AQ590" s="242"/>
      <c r="AR590" s="241"/>
      <c r="AS590" s="244"/>
      <c r="AT590" s="33"/>
      <c r="AU590" s="242"/>
      <c r="AV590" s="241"/>
      <c r="AW590" s="244"/>
      <c r="AX590" s="33"/>
      <c r="AY590" s="242"/>
      <c r="AZ590" s="241"/>
      <c r="BA590" s="244"/>
      <c r="BB590" s="33"/>
      <c r="BC590" s="242"/>
      <c r="BD590" s="241"/>
      <c r="BE590" s="244"/>
      <c r="BF590" s="33"/>
      <c r="BG590" s="242"/>
      <c r="BH590" s="241"/>
      <c r="BI590" s="244"/>
      <c r="BJ590" s="33"/>
      <c r="BK590" s="242"/>
      <c r="BL590" s="241"/>
      <c r="BM590" s="244"/>
      <c r="BN590" s="33"/>
      <c r="BO590" s="242"/>
      <c r="BP590" s="241"/>
      <c r="BQ590" s="244"/>
      <c r="BR590" s="33"/>
      <c r="BS590" s="242"/>
      <c r="BT590" s="241"/>
      <c r="BU590" s="244"/>
      <c r="BV590" s="33"/>
      <c r="BW590" s="242"/>
      <c r="BX590" s="241"/>
      <c r="BY590" s="244"/>
      <c r="BZ590" s="33"/>
      <c r="CA590" s="242"/>
      <c r="CB590" s="241"/>
      <c r="CC590" s="244"/>
      <c r="CD590" s="243"/>
      <c r="CE590" s="243"/>
      <c r="CF590" s="243"/>
      <c r="CG590" s="243"/>
      <c r="CH590" s="243"/>
      <c r="CI590" s="243"/>
      <c r="CJ590" s="243"/>
      <c r="CK590" s="243"/>
      <c r="CL590" s="243"/>
      <c r="CM590" s="243"/>
      <c r="CN590" s="243"/>
      <c r="CO590" s="243"/>
      <c r="CP590" s="243"/>
      <c r="CQ590" s="243"/>
      <c r="CR590" s="243"/>
      <c r="CS590" s="243"/>
      <c r="CT590" s="243"/>
      <c r="CU590" s="243"/>
      <c r="CV590" s="243"/>
      <c r="CW590" s="243"/>
      <c r="CX590" s="243"/>
      <c r="CY590" s="243"/>
      <c r="CZ590" s="243"/>
      <c r="DA590" s="243"/>
      <c r="DB590" s="243"/>
      <c r="DC590" s="243"/>
      <c r="DD590" s="243"/>
      <c r="DE590" s="243"/>
      <c r="DF590" s="243"/>
      <c r="DG590" s="243"/>
      <c r="DH590" s="243"/>
      <c r="DI590" s="243"/>
      <c r="DJ590" s="243"/>
      <c r="DK590" s="243"/>
      <c r="DM590" s="242"/>
      <c r="DO590" s="243"/>
      <c r="DQ590" s="242"/>
      <c r="DS590" s="243"/>
      <c r="DU590" s="242"/>
      <c r="DW590" s="243"/>
      <c r="DY590" s="242"/>
      <c r="EA590" s="243"/>
    </row>
    <row r="591" spans="1:131">
      <c r="A591" s="20"/>
      <c r="B591" s="124" t="str">
        <f t="shared" si="550"/>
        <v/>
      </c>
      <c r="C591" s="235"/>
      <c r="D591" s="24">
        <f>'1% Wind'!$M$89</f>
        <v>7.6</v>
      </c>
      <c r="E591" s="90"/>
      <c r="F591" s="90"/>
      <c r="G591" s="79">
        <f ca="1">IF(I583=0.9743,$G590,MAX(G590/D590*D591,2))</f>
        <v>6.001707317073171</v>
      </c>
      <c r="H591" s="121" t="e">
        <f t="shared" ca="1" si="551"/>
        <v>#VALUE!</v>
      </c>
      <c r="J591" s="33"/>
      <c r="K591" s="242">
        <f t="shared" si="552"/>
        <v>1</v>
      </c>
      <c r="L591" s="241" t="e">
        <f t="shared" ca="1" si="553"/>
        <v>#VALUE!</v>
      </c>
      <c r="M591" s="243" t="e">
        <f ca="1">IF(AND(INDEX(FlowCalConstA,MATCH(J583,FlowCalNumber,0),1,1)*L591^INDEX(FlowCalConstB,MATCH(J583,FlowCalNumber,0),1,1)&gt;INDEX(FlowCalLowSetting,MATCH(J583,FlowCalNumber,0),1,1), (INDEX(FlowCalConstA,MATCH(J583,FlowCalNumber,0),1,1)*L591^INDEX(FlowCalConstB,MATCH(J583,FlowCalNumber,0),1,1)&lt;INDEX(FlowCalHighSetting,MATCH(J583,FlowCalNumber,0),1,1))),INDEX(FlowCalConstA,MATCH(J583,FlowCalNumber,0),1,1)*L591^INDEX(FlowCalConstB,MATCH(J583,FlowCalNumber,0),1,1)," ")</f>
        <v>#N/A</v>
      </c>
      <c r="N591" s="33"/>
      <c r="O591" s="242">
        <f t="shared" si="554"/>
        <v>1</v>
      </c>
      <c r="P591" s="241" t="e">
        <f t="shared" ca="1" si="555"/>
        <v>#VALUE!</v>
      </c>
      <c r="Q591" s="243" t="e">
        <f ca="1">IF(AND(INDEX(FlowCalConstA,MATCH(N583,FlowCalNumber,0),1,1)*P591^INDEX(FlowCalConstB,MATCH(N583,FlowCalNumber,0),1,1)&gt;INDEX(FlowCalLowSetting,MATCH(N583,FlowCalNumber,0),1,1), (INDEX(FlowCalConstA,MATCH(N583,FlowCalNumber,0),1,1)*P591^INDEX(FlowCalConstB,MATCH(N583,FlowCalNumber,0),1,1)&lt;INDEX(FlowCalHighSetting,MATCH(N583,FlowCalNumber,0),1,1))),INDEX(FlowCalConstA,MATCH(N583,FlowCalNumber,0),1,1)*P591^INDEX(FlowCalConstB,MATCH(N583,FlowCalNumber,0),1,1)," ")</f>
        <v>#N/A</v>
      </c>
      <c r="R591" s="33"/>
      <c r="S591" s="242">
        <f t="shared" si="556"/>
        <v>1</v>
      </c>
      <c r="T591" s="241" t="e">
        <f t="shared" ca="1" si="557"/>
        <v>#VALUE!</v>
      </c>
      <c r="U591" s="244" t="e">
        <f ca="1">IF(AND(INDEX(FlowCalConstA,MATCH(R583,FlowCalNumber,0),1,1)*T591^INDEX(FlowCalConstB,MATCH(R583,FlowCalNumber,0),1,1)&gt;INDEX(FlowCalLowSetting,MATCH(R583,FlowCalNumber,0),1,1), (INDEX(FlowCalConstA,MATCH(R583,FlowCalNumber,0),1,1)*T591^INDEX(FlowCalConstB,MATCH(R583,FlowCalNumber,0),1,1)&lt;INDEX(FlowCalHighSetting,MATCH(R583,FlowCalNumber,0),1,1))),INDEX(FlowCalConstA,MATCH(R583,FlowCalNumber,0),1,1)*T591^INDEX(FlowCalConstB,MATCH(R583,FlowCalNumber,0),1,1)," ")</f>
        <v>#N/A</v>
      </c>
      <c r="V591" s="33"/>
      <c r="W591" s="242">
        <f t="shared" si="558"/>
        <v>0.1</v>
      </c>
      <c r="X591" s="241" t="e">
        <f t="shared" ca="1" si="559"/>
        <v>#VALUE!</v>
      </c>
      <c r="Y591" s="243" t="e">
        <f ca="1">IF(AND(INDEX(FlowCalConstA,MATCH(V583,FlowCalNumber,0),1,1)*X591^INDEX(FlowCalConstB,MATCH(V583,FlowCalNumber,0),1,1)&gt;INDEX(FlowCalLowSetting,MATCH(V583,FlowCalNumber,0),1,1), (INDEX(FlowCalConstA,MATCH(V583,FlowCalNumber,0),1,1)*X591^INDEX(FlowCalConstB,MATCH(V583,FlowCalNumber,0),1,1)&lt;INDEX(FlowCalHighSetting,MATCH(V583,FlowCalNumber,0),1,1))),INDEX(FlowCalConstA,MATCH(V583,FlowCalNumber,0),1,1)*X591^INDEX(FlowCalConstB,MATCH(V583,FlowCalNumber,0),1,1)," ")</f>
        <v>#N/A</v>
      </c>
      <c r="Z591" s="33"/>
      <c r="AA591" s="242">
        <f t="shared" si="560"/>
        <v>0.9</v>
      </c>
      <c r="AB591" s="241" t="e">
        <f t="shared" ca="1" si="561"/>
        <v>#VALUE!</v>
      </c>
      <c r="AC591" s="243" t="e">
        <f ca="1">IF(AND(INDEX(FlowCalConstA,MATCH(Z583,FlowCalNumber,0),1,1)*AB591^INDEX(FlowCalConstB,MATCH(Z583,FlowCalNumber,0),1,1)&gt;INDEX(FlowCalLowSetting,MATCH(Z583,FlowCalNumber,0),1,1), (INDEX(FlowCalConstA,MATCH(Z583,FlowCalNumber,0),1,1)*AB591^INDEX(FlowCalConstB,MATCH(Z583,FlowCalNumber,0),1,1)&lt;INDEX(FlowCalHighSetting,MATCH(Z583,FlowCalNumber,0),1,1))),INDEX(FlowCalConstA,MATCH(Z583,FlowCalNumber,0),1,1)*AB591^INDEX(FlowCalConstB,MATCH(Z583,FlowCalNumber,0),1,1)," ")</f>
        <v>#N/A</v>
      </c>
      <c r="AD591" s="33"/>
      <c r="AE591" s="242">
        <f t="shared" si="562"/>
        <v>0.1</v>
      </c>
      <c r="AF591" s="241" t="e">
        <f t="shared" ca="1" si="563"/>
        <v>#VALUE!</v>
      </c>
      <c r="AG591" s="243" t="e">
        <f ca="1">IF(AND(INDEX(FlowCalConstA,MATCH(AD583,FlowCalNumber,0),1,1)*AF591^INDEX(FlowCalConstB,MATCH(AD583,FlowCalNumber,0),1,1)&gt;INDEX(FlowCalLowSetting,MATCH(AD583,FlowCalNumber,0),1,1), (INDEX(FlowCalConstA,MATCH(AD583,FlowCalNumber,0),1,1)*AF591^INDEX(FlowCalConstB,MATCH(AD583,FlowCalNumber,0),1,1)&lt;INDEX(FlowCalHighSetting,MATCH(AD583,FlowCalNumber,0),1,1))),INDEX(FlowCalConstA,MATCH(AD583,FlowCalNumber,0),1,1)*AF591^INDEX(FlowCalConstB,MATCH(AD583,FlowCalNumber,0),1,1)," ")</f>
        <v>#N/A</v>
      </c>
      <c r="AH591" s="33"/>
      <c r="AI591" s="242">
        <f t="shared" si="564"/>
        <v>0.9</v>
      </c>
      <c r="AJ591" s="241" t="e">
        <f t="shared" ca="1" si="565"/>
        <v>#VALUE!</v>
      </c>
      <c r="AK591" s="243" t="e">
        <f ca="1">IF(AND(INDEX(FlowCalConstA,MATCH(AH583,FlowCalNumber,0),1,1)*AJ591^INDEX(FlowCalConstB,MATCH(AH583,FlowCalNumber,0),1,1)&gt;INDEX(FlowCalLowSetting,MATCH(AH583,FlowCalNumber,0),1,1), (INDEX(FlowCalConstA,MATCH(AH583,FlowCalNumber,0),1,1)*AJ591^INDEX(FlowCalConstB,MATCH(AH583,FlowCalNumber,0),1,1)&lt;INDEX(FlowCalHighSetting,MATCH(AH583,FlowCalNumber,0),1,1))),INDEX(FlowCalConstA,MATCH(AH583,FlowCalNumber,0),1,1)*AJ591^INDEX(FlowCalConstB,MATCH(AH583,FlowCalNumber,0),1,1)," ")</f>
        <v>#N/A</v>
      </c>
      <c r="AL591" s="33"/>
      <c r="AM591" s="242"/>
      <c r="AN591" s="241"/>
      <c r="AO591" s="244"/>
      <c r="AQ591" s="242"/>
      <c r="AR591" s="241"/>
      <c r="AS591" s="244"/>
      <c r="AT591" s="33"/>
      <c r="AU591" s="242"/>
      <c r="AV591" s="241"/>
      <c r="AW591" s="244"/>
      <c r="AX591" s="33"/>
      <c r="AY591" s="242"/>
      <c r="AZ591" s="241"/>
      <c r="BA591" s="244"/>
      <c r="BB591" s="33"/>
      <c r="BC591" s="242"/>
      <c r="BD591" s="241"/>
      <c r="BE591" s="244"/>
      <c r="BF591" s="33"/>
      <c r="BG591" s="242"/>
      <c r="BH591" s="241"/>
      <c r="BI591" s="244"/>
      <c r="BJ591" s="33"/>
      <c r="BK591" s="242"/>
      <c r="BL591" s="241"/>
      <c r="BM591" s="244"/>
      <c r="BN591" s="33"/>
      <c r="BO591" s="242"/>
      <c r="BP591" s="241"/>
      <c r="BQ591" s="244"/>
      <c r="BR591" s="33"/>
      <c r="BS591" s="242"/>
      <c r="BT591" s="241"/>
      <c r="BU591" s="244"/>
      <c r="BV591" s="33"/>
      <c r="BW591" s="242"/>
      <c r="BX591" s="241"/>
      <c r="BY591" s="244"/>
      <c r="BZ591" s="33"/>
      <c r="CA591" s="242"/>
      <c r="CB591" s="241"/>
      <c r="CC591" s="244"/>
      <c r="CD591" s="243"/>
      <c r="CE591" s="243"/>
      <c r="CF591" s="243"/>
      <c r="CG591" s="243"/>
      <c r="CH591" s="243"/>
      <c r="CI591" s="243"/>
      <c r="CJ591" s="243"/>
      <c r="CK591" s="243"/>
      <c r="CL591" s="243"/>
      <c r="CM591" s="243"/>
      <c r="CN591" s="243"/>
      <c r="CO591" s="243"/>
      <c r="CP591" s="243"/>
      <c r="CQ591" s="243"/>
      <c r="CR591" s="243"/>
      <c r="CS591" s="243"/>
      <c r="CT591" s="243"/>
      <c r="CU591" s="243"/>
      <c r="CV591" s="243"/>
      <c r="CW591" s="243"/>
      <c r="CX591" s="243"/>
      <c r="CY591" s="243"/>
      <c r="CZ591" s="243"/>
      <c r="DA591" s="243"/>
      <c r="DB591" s="243"/>
      <c r="DC591" s="243"/>
      <c r="DD591" s="243"/>
      <c r="DE591" s="243"/>
      <c r="DF591" s="243"/>
      <c r="DG591" s="243"/>
      <c r="DH591" s="243"/>
      <c r="DI591" s="243"/>
      <c r="DJ591" s="243"/>
      <c r="DK591" s="243"/>
      <c r="DM591" s="242"/>
      <c r="DO591" s="243"/>
      <c r="DQ591" s="242"/>
      <c r="DS591" s="243"/>
      <c r="DU591" s="242"/>
      <c r="DW591" s="243"/>
      <c r="DY591" s="242"/>
      <c r="EA591" s="243"/>
    </row>
    <row r="592" spans="1:131">
      <c r="A592" s="20"/>
      <c r="B592" s="124" t="str">
        <f t="shared" si="550"/>
        <v/>
      </c>
      <c r="C592" s="235"/>
      <c r="D592" s="24">
        <f>'1% Wind'!$M$90</f>
        <v>5.7</v>
      </c>
      <c r="E592" s="90"/>
      <c r="F592" s="90"/>
      <c r="G592" s="79">
        <f ca="1">IF(I583=0.9743,$G591,MAX(G591/D591*D592,2))</f>
        <v>6.001707317073171</v>
      </c>
      <c r="H592" s="121" t="e">
        <f t="shared" ca="1" si="551"/>
        <v>#VALUE!</v>
      </c>
      <c r="J592" s="33"/>
      <c r="K592" s="242">
        <f t="shared" si="552"/>
        <v>1</v>
      </c>
      <c r="L592" s="241" t="e">
        <f t="shared" ca="1" si="553"/>
        <v>#VALUE!</v>
      </c>
      <c r="M592" s="243" t="e">
        <f ca="1">IF(AND(INDEX(FlowCalConstA,MATCH(J583,FlowCalNumber,0),1,1)*L592^INDEX(FlowCalConstB,MATCH(J583,FlowCalNumber,0),1,1)&gt;INDEX(FlowCalLowSetting,MATCH(J583,FlowCalNumber,0),1,1), (INDEX(FlowCalConstA,MATCH(J583,FlowCalNumber,0),1,1)*L592^INDEX(FlowCalConstB,MATCH(J583,FlowCalNumber,0),1,1)&lt;INDEX(FlowCalHighSetting,MATCH(J583,FlowCalNumber,0),1,1))),INDEX(FlowCalConstA,MATCH(J583,FlowCalNumber,0),1,1)*L592^INDEX(FlowCalConstB,MATCH(J583,FlowCalNumber,0),1,1)," ")</f>
        <v>#N/A</v>
      </c>
      <c r="N592" s="33"/>
      <c r="O592" s="242">
        <f t="shared" si="554"/>
        <v>1</v>
      </c>
      <c r="P592" s="241" t="e">
        <f t="shared" ca="1" si="555"/>
        <v>#VALUE!</v>
      </c>
      <c r="Q592" s="243" t="e">
        <f ca="1">IF(AND(INDEX(FlowCalConstA,MATCH(N583,FlowCalNumber,0),1,1)*P592^INDEX(FlowCalConstB,MATCH(N583,FlowCalNumber,0),1,1)&gt;INDEX(FlowCalLowSetting,MATCH(N583,FlowCalNumber,0),1,1), (INDEX(FlowCalConstA,MATCH(N583,FlowCalNumber,0),1,1)*P592^INDEX(FlowCalConstB,MATCH(N583,FlowCalNumber,0),1,1)&lt;INDEX(FlowCalHighSetting,MATCH(N583,FlowCalNumber,0),1,1))),INDEX(FlowCalConstA,MATCH(N583,FlowCalNumber,0),1,1)*P592^INDEX(FlowCalConstB,MATCH(N583,FlowCalNumber,0),1,1)," ")</f>
        <v>#N/A</v>
      </c>
      <c r="R592" s="33"/>
      <c r="S592" s="242">
        <f t="shared" si="556"/>
        <v>1</v>
      </c>
      <c r="T592" s="241" t="e">
        <f t="shared" ca="1" si="557"/>
        <v>#VALUE!</v>
      </c>
      <c r="U592" s="244" t="e">
        <f ca="1">IF(AND(INDEX(FlowCalConstA,MATCH(R583,FlowCalNumber,0),1,1)*T592^INDEX(FlowCalConstB,MATCH(R583,FlowCalNumber,0),1,1)&gt;INDEX(FlowCalLowSetting,MATCH(R583,FlowCalNumber,0),1,1), (INDEX(FlowCalConstA,MATCH(R583,FlowCalNumber,0),1,1)*T592^INDEX(FlowCalConstB,MATCH(R583,FlowCalNumber,0),1,1)&lt;INDEX(FlowCalHighSetting,MATCH(R583,FlowCalNumber,0),1,1))),INDEX(FlowCalConstA,MATCH(R583,FlowCalNumber,0),1,1)*T592^INDEX(FlowCalConstB,MATCH(R583,FlowCalNumber,0),1,1)," ")</f>
        <v>#N/A</v>
      </c>
      <c r="V592" s="33"/>
      <c r="W592" s="242">
        <f t="shared" si="558"/>
        <v>0.1</v>
      </c>
      <c r="X592" s="241" t="e">
        <f t="shared" ca="1" si="559"/>
        <v>#VALUE!</v>
      </c>
      <c r="Y592" s="243" t="e">
        <f ca="1">IF(AND(INDEX(FlowCalConstA,MATCH(V583,FlowCalNumber,0),1,1)*X592^INDEX(FlowCalConstB,MATCH(V583,FlowCalNumber,0),1,1)&gt;INDEX(FlowCalLowSetting,MATCH(V583,FlowCalNumber,0),1,1), (INDEX(FlowCalConstA,MATCH(V583,FlowCalNumber,0),1,1)*X592^INDEX(FlowCalConstB,MATCH(V583,FlowCalNumber,0),1,1)&lt;INDEX(FlowCalHighSetting,MATCH(V583,FlowCalNumber,0),1,1))),INDEX(FlowCalConstA,MATCH(V583,FlowCalNumber,0),1,1)*X592^INDEX(FlowCalConstB,MATCH(V583,FlowCalNumber,0),1,1)," ")</f>
        <v>#N/A</v>
      </c>
      <c r="Z592" s="33"/>
      <c r="AA592" s="242">
        <f t="shared" si="560"/>
        <v>0.9</v>
      </c>
      <c r="AB592" s="241" t="e">
        <f t="shared" ca="1" si="561"/>
        <v>#VALUE!</v>
      </c>
      <c r="AC592" s="243" t="e">
        <f ca="1">IF(AND(INDEX(FlowCalConstA,MATCH(Z583,FlowCalNumber,0),1,1)*AB592^INDEX(FlowCalConstB,MATCH(Z583,FlowCalNumber,0),1,1)&gt;INDEX(FlowCalLowSetting,MATCH(Z583,FlowCalNumber,0),1,1), (INDEX(FlowCalConstA,MATCH(Z583,FlowCalNumber,0),1,1)*AB592^INDEX(FlowCalConstB,MATCH(Z583,FlowCalNumber,0),1,1)&lt;INDEX(FlowCalHighSetting,MATCH(Z583,FlowCalNumber,0),1,1))),INDEX(FlowCalConstA,MATCH(Z583,FlowCalNumber,0),1,1)*AB592^INDEX(FlowCalConstB,MATCH(Z583,FlowCalNumber,0),1,1)," ")</f>
        <v>#N/A</v>
      </c>
      <c r="AD592" s="33"/>
      <c r="AE592" s="242">
        <f t="shared" si="562"/>
        <v>0.1</v>
      </c>
      <c r="AF592" s="241" t="e">
        <f t="shared" ca="1" si="563"/>
        <v>#VALUE!</v>
      </c>
      <c r="AG592" s="243" t="e">
        <f ca="1">IF(AND(INDEX(FlowCalConstA,MATCH(AD583,FlowCalNumber,0),1,1)*AF592^INDEX(FlowCalConstB,MATCH(AD583,FlowCalNumber,0),1,1)&gt;INDEX(FlowCalLowSetting,MATCH(AD583,FlowCalNumber,0),1,1), (INDEX(FlowCalConstA,MATCH(AD583,FlowCalNumber,0),1,1)*AF592^INDEX(FlowCalConstB,MATCH(AD583,FlowCalNumber,0),1,1)&lt;INDEX(FlowCalHighSetting,MATCH(AD583,FlowCalNumber,0),1,1))),INDEX(FlowCalConstA,MATCH(AD583,FlowCalNumber,0),1,1)*AF592^INDEX(FlowCalConstB,MATCH(AD583,FlowCalNumber,0),1,1)," ")</f>
        <v>#N/A</v>
      </c>
      <c r="AH592" s="33"/>
      <c r="AI592" s="242">
        <f t="shared" si="564"/>
        <v>0.9</v>
      </c>
      <c r="AJ592" s="241" t="e">
        <f t="shared" ca="1" si="565"/>
        <v>#VALUE!</v>
      </c>
      <c r="AK592" s="243" t="e">
        <f ca="1">IF(AND(INDEX(FlowCalConstA,MATCH(AH583,FlowCalNumber,0),1,1)*AJ592^INDEX(FlowCalConstB,MATCH(AH583,FlowCalNumber,0),1,1)&gt;INDEX(FlowCalLowSetting,MATCH(AH583,FlowCalNumber,0),1,1), (INDEX(FlowCalConstA,MATCH(AH583,FlowCalNumber,0),1,1)*AJ592^INDEX(FlowCalConstB,MATCH(AH583,FlowCalNumber,0),1,1)&lt;INDEX(FlowCalHighSetting,MATCH(AH583,FlowCalNumber,0),1,1))),INDEX(FlowCalConstA,MATCH(AH583,FlowCalNumber,0),1,1)*AJ592^INDEX(FlowCalConstB,MATCH(AH583,FlowCalNumber,0),1,1)," ")</f>
        <v>#N/A</v>
      </c>
      <c r="AL592" s="33"/>
      <c r="AM592" s="242"/>
      <c r="AN592" s="241"/>
      <c r="AO592" s="244"/>
      <c r="AQ592" s="242"/>
      <c r="AR592" s="241"/>
      <c r="AS592" s="244"/>
      <c r="AT592" s="33"/>
      <c r="AU592" s="242"/>
      <c r="AV592" s="241"/>
      <c r="AW592" s="244"/>
      <c r="AX592" s="33"/>
      <c r="AY592" s="242"/>
      <c r="AZ592" s="241"/>
      <c r="BA592" s="244"/>
      <c r="BB592" s="33"/>
      <c r="BC592" s="242"/>
      <c r="BD592" s="241"/>
      <c r="BE592" s="244"/>
      <c r="BF592" s="33"/>
      <c r="BG592" s="242"/>
      <c r="BH592" s="241"/>
      <c r="BI592" s="244"/>
      <c r="BJ592" s="33"/>
      <c r="BK592" s="242"/>
      <c r="BL592" s="241"/>
      <c r="BM592" s="244"/>
      <c r="BN592" s="33"/>
      <c r="BO592" s="242"/>
      <c r="BP592" s="241"/>
      <c r="BQ592" s="244"/>
      <c r="BR592" s="33"/>
      <c r="BS592" s="242"/>
      <c r="BT592" s="241"/>
      <c r="BU592" s="244"/>
      <c r="BV592" s="33"/>
      <c r="BW592" s="242"/>
      <c r="BX592" s="241"/>
      <c r="BY592" s="244"/>
      <c r="BZ592" s="33"/>
      <c r="CA592" s="242"/>
      <c r="CB592" s="241"/>
      <c r="CC592" s="244"/>
      <c r="CD592" s="243"/>
      <c r="CE592" s="243"/>
      <c r="CF592" s="243"/>
      <c r="CG592" s="243"/>
      <c r="CH592" s="243"/>
      <c r="CI592" s="243"/>
      <c r="CJ592" s="243"/>
      <c r="CK592" s="243"/>
      <c r="CL592" s="243"/>
      <c r="CM592" s="243"/>
      <c r="CN592" s="243"/>
      <c r="CO592" s="243"/>
      <c r="CP592" s="243"/>
      <c r="CQ592" s="243"/>
      <c r="CR592" s="243"/>
      <c r="CS592" s="243"/>
      <c r="CT592" s="243"/>
      <c r="CU592" s="243"/>
      <c r="CV592" s="243"/>
      <c r="CW592" s="243"/>
      <c r="CX592" s="243"/>
      <c r="CY592" s="243"/>
      <c r="CZ592" s="243"/>
      <c r="DA592" s="243"/>
      <c r="DB592" s="243"/>
      <c r="DC592" s="243"/>
      <c r="DD592" s="243"/>
      <c r="DE592" s="243"/>
      <c r="DF592" s="243"/>
      <c r="DG592" s="243"/>
      <c r="DH592" s="243"/>
      <c r="DI592" s="243"/>
      <c r="DJ592" s="243"/>
      <c r="DK592" s="243"/>
      <c r="DM592" s="242"/>
      <c r="DO592" s="243"/>
      <c r="DQ592" s="242"/>
      <c r="DS592" s="243"/>
      <c r="DU592" s="242"/>
      <c r="DW592" s="243"/>
      <c r="DY592" s="242"/>
      <c r="EA592" s="243"/>
    </row>
    <row r="593" spans="1:131">
      <c r="A593" s="20"/>
      <c r="B593" s="124" t="str">
        <f t="shared" si="550"/>
        <v/>
      </c>
      <c r="C593" s="235"/>
      <c r="D593" s="24">
        <f>'1% Wind'!$M$91</f>
        <v>4.2</v>
      </c>
      <c r="E593" s="90"/>
      <c r="F593" s="90"/>
      <c r="G593" s="79">
        <f ca="1">IF(I583=0.9743,$G592,MAX(G592/D592*D593,2))</f>
        <v>6.001707317073171</v>
      </c>
      <c r="H593" s="121" t="e">
        <f t="shared" ca="1" si="551"/>
        <v>#VALUE!</v>
      </c>
      <c r="J593" s="33"/>
      <c r="K593" s="242">
        <f t="shared" si="552"/>
        <v>1</v>
      </c>
      <c r="L593" s="241" t="e">
        <f t="shared" ca="1" si="553"/>
        <v>#VALUE!</v>
      </c>
      <c r="M593" s="243" t="e">
        <f ca="1">IF(AND(INDEX(FlowCalConstA,MATCH(J583,FlowCalNumber,0),1,1)*L593^INDEX(FlowCalConstB,MATCH(J583,FlowCalNumber,0),1,1)&gt;INDEX(FlowCalLowSetting,MATCH(J583,FlowCalNumber,0),1,1), (INDEX(FlowCalConstA,MATCH(J583,FlowCalNumber,0),1,1)*L593^INDEX(FlowCalConstB,MATCH(J583,FlowCalNumber,0),1,1)&lt;INDEX(FlowCalHighSetting,MATCH(J583,FlowCalNumber,0),1,1))),INDEX(FlowCalConstA,MATCH(J583,FlowCalNumber,0),1,1)*L593^INDEX(FlowCalConstB,MATCH(J583,FlowCalNumber,0),1,1)," ")</f>
        <v>#N/A</v>
      </c>
      <c r="N593" s="33"/>
      <c r="O593" s="242">
        <f t="shared" si="554"/>
        <v>1</v>
      </c>
      <c r="P593" s="241" t="e">
        <f t="shared" ca="1" si="555"/>
        <v>#VALUE!</v>
      </c>
      <c r="Q593" s="243" t="e">
        <f ca="1">IF(AND(INDEX(FlowCalConstA,MATCH(N583,FlowCalNumber,0),1,1)*P593^INDEX(FlowCalConstB,MATCH(N583,FlowCalNumber,0),1,1)&gt;INDEX(FlowCalLowSetting,MATCH(N583,FlowCalNumber,0),1,1), (INDEX(FlowCalConstA,MATCH(N583,FlowCalNumber,0),1,1)*P593^INDEX(FlowCalConstB,MATCH(N583,FlowCalNumber,0),1,1)&lt;INDEX(FlowCalHighSetting,MATCH(N583,FlowCalNumber,0),1,1))),INDEX(FlowCalConstA,MATCH(N583,FlowCalNumber,0),1,1)*P593^INDEX(FlowCalConstB,MATCH(N583,FlowCalNumber,0),1,1)," ")</f>
        <v>#N/A</v>
      </c>
      <c r="R593" s="33"/>
      <c r="S593" s="242">
        <f t="shared" si="556"/>
        <v>1</v>
      </c>
      <c r="T593" s="241" t="e">
        <f t="shared" ca="1" si="557"/>
        <v>#VALUE!</v>
      </c>
      <c r="U593" s="244" t="e">
        <f ca="1">IF(AND(INDEX(FlowCalConstA,MATCH(R583,FlowCalNumber,0),1,1)*T593^INDEX(FlowCalConstB,MATCH(R583,FlowCalNumber,0),1,1)&gt;INDEX(FlowCalLowSetting,MATCH(R583,FlowCalNumber,0),1,1), (INDEX(FlowCalConstA,MATCH(R583,FlowCalNumber,0),1,1)*T593^INDEX(FlowCalConstB,MATCH(R583,FlowCalNumber,0),1,1)&lt;INDEX(FlowCalHighSetting,MATCH(R583,FlowCalNumber,0),1,1))),INDEX(FlowCalConstA,MATCH(R583,FlowCalNumber,0),1,1)*T593^INDEX(FlowCalConstB,MATCH(R583,FlowCalNumber,0),1,1)," ")</f>
        <v>#N/A</v>
      </c>
      <c r="V593" s="33"/>
      <c r="W593" s="242">
        <f t="shared" si="558"/>
        <v>0.1</v>
      </c>
      <c r="X593" s="241" t="e">
        <f t="shared" ca="1" si="559"/>
        <v>#VALUE!</v>
      </c>
      <c r="Y593" s="243" t="e">
        <f ca="1">IF(AND(INDEX(FlowCalConstA,MATCH(V583,FlowCalNumber,0),1,1)*X593^INDEX(FlowCalConstB,MATCH(V583,FlowCalNumber,0),1,1)&gt;INDEX(FlowCalLowSetting,MATCH(V583,FlowCalNumber,0),1,1), (INDEX(FlowCalConstA,MATCH(V583,FlowCalNumber,0),1,1)*X593^INDEX(FlowCalConstB,MATCH(V583,FlowCalNumber,0),1,1)&lt;INDEX(FlowCalHighSetting,MATCH(V583,FlowCalNumber,0),1,1))),INDEX(FlowCalConstA,MATCH(V583,FlowCalNumber,0),1,1)*X593^INDEX(FlowCalConstB,MATCH(V583,FlowCalNumber,0),1,1)," ")</f>
        <v>#N/A</v>
      </c>
      <c r="Z593" s="33"/>
      <c r="AA593" s="242">
        <f t="shared" si="560"/>
        <v>0.9</v>
      </c>
      <c r="AB593" s="241" t="e">
        <f t="shared" ca="1" si="561"/>
        <v>#VALUE!</v>
      </c>
      <c r="AC593" s="243" t="e">
        <f ca="1">IF(AND(INDEX(FlowCalConstA,MATCH(Z583,FlowCalNumber,0),1,1)*AB593^INDEX(FlowCalConstB,MATCH(Z583,FlowCalNumber,0),1,1)&gt;INDEX(FlowCalLowSetting,MATCH(Z583,FlowCalNumber,0),1,1), (INDEX(FlowCalConstA,MATCH(Z583,FlowCalNumber,0),1,1)*AB593^INDEX(FlowCalConstB,MATCH(Z583,FlowCalNumber,0),1,1)&lt;INDEX(FlowCalHighSetting,MATCH(Z583,FlowCalNumber,0),1,1))),INDEX(FlowCalConstA,MATCH(Z583,FlowCalNumber,0),1,1)*AB593^INDEX(FlowCalConstB,MATCH(Z583,FlowCalNumber,0),1,1)," ")</f>
        <v>#N/A</v>
      </c>
      <c r="AD593" s="33"/>
      <c r="AE593" s="242">
        <f t="shared" si="562"/>
        <v>0.1</v>
      </c>
      <c r="AF593" s="241" t="e">
        <f t="shared" ca="1" si="563"/>
        <v>#VALUE!</v>
      </c>
      <c r="AG593" s="243" t="e">
        <f ca="1">IF(AND(INDEX(FlowCalConstA,MATCH(AD583,FlowCalNumber,0),1,1)*AF593^INDEX(FlowCalConstB,MATCH(AD583,FlowCalNumber,0),1,1)&gt;INDEX(FlowCalLowSetting,MATCH(AD583,FlowCalNumber,0),1,1), (INDEX(FlowCalConstA,MATCH(AD583,FlowCalNumber,0),1,1)*AF593^INDEX(FlowCalConstB,MATCH(AD583,FlowCalNumber,0),1,1)&lt;INDEX(FlowCalHighSetting,MATCH(AD583,FlowCalNumber,0),1,1))),INDEX(FlowCalConstA,MATCH(AD583,FlowCalNumber,0),1,1)*AF593^INDEX(FlowCalConstB,MATCH(AD583,FlowCalNumber,0),1,1)," ")</f>
        <v>#N/A</v>
      </c>
      <c r="AH593" s="33"/>
      <c r="AI593" s="242">
        <f t="shared" si="564"/>
        <v>0.9</v>
      </c>
      <c r="AJ593" s="241" t="e">
        <f t="shared" ca="1" si="565"/>
        <v>#VALUE!</v>
      </c>
      <c r="AK593" s="243" t="e">
        <f ca="1">IF(AND(INDEX(FlowCalConstA,MATCH(AH583,FlowCalNumber,0),1,1)*AJ593^INDEX(FlowCalConstB,MATCH(AH583,FlowCalNumber,0),1,1)&gt;INDEX(FlowCalLowSetting,MATCH(AH583,FlowCalNumber,0),1,1), (INDEX(FlowCalConstA,MATCH(AH583,FlowCalNumber,0),1,1)*AJ593^INDEX(FlowCalConstB,MATCH(AH583,FlowCalNumber,0),1,1)&lt;INDEX(FlowCalHighSetting,MATCH(AH583,FlowCalNumber,0),1,1))),INDEX(FlowCalConstA,MATCH(AH583,FlowCalNumber,0),1,1)*AJ593^INDEX(FlowCalConstB,MATCH(AH583,FlowCalNumber,0),1,1)," ")</f>
        <v>#N/A</v>
      </c>
      <c r="AL593" s="33"/>
      <c r="AM593" s="242"/>
      <c r="AN593" s="241"/>
      <c r="AO593" s="244"/>
      <c r="AQ593" s="242"/>
      <c r="AR593" s="241"/>
      <c r="AS593" s="244"/>
      <c r="AT593" s="33"/>
      <c r="AU593" s="242"/>
      <c r="AV593" s="241"/>
      <c r="AW593" s="244"/>
      <c r="AX593" s="33"/>
      <c r="AY593" s="242"/>
      <c r="AZ593" s="241"/>
      <c r="BA593" s="244"/>
      <c r="BB593" s="33"/>
      <c r="BC593" s="242"/>
      <c r="BD593" s="241"/>
      <c r="BE593" s="244"/>
      <c r="BF593" s="33"/>
      <c r="BG593" s="242"/>
      <c r="BH593" s="241"/>
      <c r="BI593" s="244"/>
      <c r="BJ593" s="33"/>
      <c r="BK593" s="242"/>
      <c r="BL593" s="241"/>
      <c r="BM593" s="244"/>
      <c r="BN593" s="33"/>
      <c r="BO593" s="242"/>
      <c r="BP593" s="241"/>
      <c r="BQ593" s="244"/>
      <c r="BR593" s="33"/>
      <c r="BS593" s="242"/>
      <c r="BT593" s="241"/>
      <c r="BU593" s="244"/>
      <c r="BV593" s="33"/>
      <c r="BW593" s="242"/>
      <c r="BX593" s="241"/>
      <c r="BY593" s="244"/>
      <c r="BZ593" s="33"/>
      <c r="CA593" s="242"/>
      <c r="CB593" s="241"/>
      <c r="CC593" s="244"/>
      <c r="CD593" s="243"/>
      <c r="CE593" s="243"/>
      <c r="CF593" s="243"/>
      <c r="CG593" s="243"/>
      <c r="CH593" s="243"/>
      <c r="CI593" s="243"/>
      <c r="CJ593" s="243"/>
      <c r="CK593" s="243"/>
      <c r="CL593" s="243"/>
      <c r="CM593" s="243"/>
      <c r="CN593" s="243"/>
      <c r="CO593" s="243"/>
      <c r="CP593" s="243"/>
      <c r="CQ593" s="243"/>
      <c r="CR593" s="243"/>
      <c r="CS593" s="243"/>
      <c r="CT593" s="243"/>
      <c r="CU593" s="243"/>
      <c r="CV593" s="243"/>
      <c r="CW593" s="243"/>
      <c r="CX593" s="243"/>
      <c r="CY593" s="243"/>
      <c r="CZ593" s="243"/>
      <c r="DA593" s="243"/>
      <c r="DB593" s="243"/>
      <c r="DC593" s="243"/>
      <c r="DD593" s="243"/>
      <c r="DE593" s="243"/>
      <c r="DF593" s="243"/>
      <c r="DG593" s="243"/>
      <c r="DH593" s="243"/>
      <c r="DI593" s="243"/>
      <c r="DJ593" s="243"/>
      <c r="DK593" s="243"/>
      <c r="DM593" s="242"/>
      <c r="DO593" s="243"/>
      <c r="DQ593" s="242"/>
      <c r="DS593" s="243"/>
      <c r="DU593" s="242"/>
      <c r="DW593" s="243"/>
      <c r="DY593" s="242"/>
      <c r="EA593" s="243"/>
    </row>
    <row r="594" spans="1:131">
      <c r="A594" s="20"/>
      <c r="B594" s="124" t="str">
        <f t="shared" si="550"/>
        <v/>
      </c>
      <c r="C594" s="235"/>
      <c r="D594" s="24">
        <f>'1% Wind'!$M$92</f>
        <v>3.2</v>
      </c>
      <c r="E594" s="90"/>
      <c r="F594" s="90"/>
      <c r="G594" s="79">
        <f ca="1">IF(I583=0.9743,$G593,MAX(G593/D593*D594,2))</f>
        <v>6.001707317073171</v>
      </c>
      <c r="H594" s="121" t="e">
        <f t="shared" ca="1" si="551"/>
        <v>#VALUE!</v>
      </c>
      <c r="J594" s="33"/>
      <c r="K594" s="242">
        <f t="shared" si="552"/>
        <v>1</v>
      </c>
      <c r="L594" s="241" t="e">
        <f t="shared" ca="1" si="553"/>
        <v>#VALUE!</v>
      </c>
      <c r="M594" s="243" t="e">
        <f ca="1">IF(AND(INDEX(FlowCalConstA,MATCH(J583,FlowCalNumber,0),1,1)*L594^INDEX(FlowCalConstB,MATCH(J583,FlowCalNumber,0),1,1)&gt;INDEX(FlowCalLowSetting,MATCH(J583,FlowCalNumber,0),1,1), (INDEX(FlowCalConstA,MATCH(J583,FlowCalNumber,0),1,1)*L594^INDEX(FlowCalConstB,MATCH(J583,FlowCalNumber,0),1,1)&lt;INDEX(FlowCalHighSetting,MATCH(J583,FlowCalNumber,0),1,1))),INDEX(FlowCalConstA,MATCH(J583,FlowCalNumber,0),1,1)*L594^INDEX(FlowCalConstB,MATCH(J583,FlowCalNumber,0),1,1)," ")</f>
        <v>#N/A</v>
      </c>
      <c r="N594" s="33"/>
      <c r="O594" s="242">
        <f t="shared" si="554"/>
        <v>1</v>
      </c>
      <c r="P594" s="241" t="e">
        <f t="shared" ca="1" si="555"/>
        <v>#VALUE!</v>
      </c>
      <c r="Q594" s="243" t="e">
        <f ca="1">IF(AND(INDEX(FlowCalConstA,MATCH(N583,FlowCalNumber,0),1,1)*P594^INDEX(FlowCalConstB,MATCH(N583,FlowCalNumber,0),1,1)&gt;INDEX(FlowCalLowSetting,MATCH(N583,FlowCalNumber,0),1,1), (INDEX(FlowCalConstA,MATCH(N583,FlowCalNumber,0),1,1)*P594^INDEX(FlowCalConstB,MATCH(N583,FlowCalNumber,0),1,1)&lt;INDEX(FlowCalHighSetting,MATCH(N583,FlowCalNumber,0),1,1))),INDEX(FlowCalConstA,MATCH(N583,FlowCalNumber,0),1,1)*P594^INDEX(FlowCalConstB,MATCH(N583,FlowCalNumber,0),1,1)," ")</f>
        <v>#N/A</v>
      </c>
      <c r="R594" s="33"/>
      <c r="S594" s="242">
        <f t="shared" si="556"/>
        <v>1</v>
      </c>
      <c r="T594" s="241" t="e">
        <f t="shared" ca="1" si="557"/>
        <v>#VALUE!</v>
      </c>
      <c r="U594" s="244" t="e">
        <f ca="1">IF(AND(INDEX(FlowCalConstA,MATCH(R583,FlowCalNumber,0),1,1)*T594^INDEX(FlowCalConstB,MATCH(R583,FlowCalNumber,0),1,1)&gt;INDEX(FlowCalLowSetting,MATCH(R583,FlowCalNumber,0),1,1), (INDEX(FlowCalConstA,MATCH(R583,FlowCalNumber,0),1,1)*T594^INDEX(FlowCalConstB,MATCH(R583,FlowCalNumber,0),1,1)&lt;INDEX(FlowCalHighSetting,MATCH(R583,FlowCalNumber,0),1,1))),INDEX(FlowCalConstA,MATCH(R583,FlowCalNumber,0),1,1)*T594^INDEX(FlowCalConstB,MATCH(R583,FlowCalNumber,0),1,1)," ")</f>
        <v>#N/A</v>
      </c>
      <c r="V594" s="33"/>
      <c r="W594" s="242">
        <f t="shared" si="558"/>
        <v>0.1</v>
      </c>
      <c r="X594" s="241" t="e">
        <f t="shared" ca="1" si="559"/>
        <v>#VALUE!</v>
      </c>
      <c r="Y594" s="243" t="e">
        <f ca="1">IF(AND(INDEX(FlowCalConstA,MATCH(V583,FlowCalNumber,0),1,1)*X594^INDEX(FlowCalConstB,MATCH(V583,FlowCalNumber,0),1,1)&gt;INDEX(FlowCalLowSetting,MATCH(V583,FlowCalNumber,0),1,1), (INDEX(FlowCalConstA,MATCH(V583,FlowCalNumber,0),1,1)*X594^INDEX(FlowCalConstB,MATCH(V583,FlowCalNumber,0),1,1)&lt;INDEX(FlowCalHighSetting,MATCH(V583,FlowCalNumber,0),1,1))),INDEX(FlowCalConstA,MATCH(V583,FlowCalNumber,0),1,1)*X594^INDEX(FlowCalConstB,MATCH(V583,FlowCalNumber,0),1,1)," ")</f>
        <v>#N/A</v>
      </c>
      <c r="Z594" s="33"/>
      <c r="AA594" s="242">
        <f t="shared" si="560"/>
        <v>0.9</v>
      </c>
      <c r="AB594" s="241" t="e">
        <f t="shared" ca="1" si="561"/>
        <v>#VALUE!</v>
      </c>
      <c r="AC594" s="243" t="e">
        <f ca="1">IF(AND(INDEX(FlowCalConstA,MATCH(Z583,FlowCalNumber,0),1,1)*AB594^INDEX(FlowCalConstB,MATCH(Z583,FlowCalNumber,0),1,1)&gt;INDEX(FlowCalLowSetting,MATCH(Z583,FlowCalNumber,0),1,1), (INDEX(FlowCalConstA,MATCH(Z583,FlowCalNumber,0),1,1)*AB594^INDEX(FlowCalConstB,MATCH(Z583,FlowCalNumber,0),1,1)&lt;INDEX(FlowCalHighSetting,MATCH(Z583,FlowCalNumber,0),1,1))),INDEX(FlowCalConstA,MATCH(Z583,FlowCalNumber,0),1,1)*AB594^INDEX(FlowCalConstB,MATCH(Z583,FlowCalNumber,0),1,1)," ")</f>
        <v>#N/A</v>
      </c>
      <c r="AD594" s="33"/>
      <c r="AE594" s="242">
        <f t="shared" si="562"/>
        <v>0.1</v>
      </c>
      <c r="AF594" s="241" t="e">
        <f t="shared" ca="1" si="563"/>
        <v>#VALUE!</v>
      </c>
      <c r="AG594" s="243" t="e">
        <f ca="1">IF(AND(INDEX(FlowCalConstA,MATCH(AD583,FlowCalNumber,0),1,1)*AF594^INDEX(FlowCalConstB,MATCH(AD583,FlowCalNumber,0),1,1)&gt;INDEX(FlowCalLowSetting,MATCH(AD583,FlowCalNumber,0),1,1), (INDEX(FlowCalConstA,MATCH(AD583,FlowCalNumber,0),1,1)*AF594^INDEX(FlowCalConstB,MATCH(AD583,FlowCalNumber,0),1,1)&lt;INDEX(FlowCalHighSetting,MATCH(AD583,FlowCalNumber,0),1,1))),INDEX(FlowCalConstA,MATCH(AD583,FlowCalNumber,0),1,1)*AF594^INDEX(FlowCalConstB,MATCH(AD583,FlowCalNumber,0),1,1)," ")</f>
        <v>#N/A</v>
      </c>
      <c r="AH594" s="33"/>
      <c r="AI594" s="242">
        <f t="shared" si="564"/>
        <v>0.9</v>
      </c>
      <c r="AJ594" s="241" t="e">
        <f t="shared" ca="1" si="565"/>
        <v>#VALUE!</v>
      </c>
      <c r="AK594" s="243" t="e">
        <f ca="1">IF(AND(INDEX(FlowCalConstA,MATCH(AH583,FlowCalNumber,0),1,1)*AJ594^INDEX(FlowCalConstB,MATCH(AH583,FlowCalNumber,0),1,1)&gt;INDEX(FlowCalLowSetting,MATCH(AH583,FlowCalNumber,0),1,1), (INDEX(FlowCalConstA,MATCH(AH583,FlowCalNumber,0),1,1)*AJ594^INDEX(FlowCalConstB,MATCH(AH583,FlowCalNumber,0),1,1)&lt;INDEX(FlowCalHighSetting,MATCH(AH583,FlowCalNumber,0),1,1))),INDEX(FlowCalConstA,MATCH(AH583,FlowCalNumber,0),1,1)*AJ594^INDEX(FlowCalConstB,MATCH(AH583,FlowCalNumber,0),1,1)," ")</f>
        <v>#N/A</v>
      </c>
      <c r="AL594" s="33"/>
      <c r="AM594" s="242"/>
      <c r="AN594" s="241"/>
      <c r="AO594" s="244"/>
      <c r="AQ594" s="242"/>
      <c r="AR594" s="241"/>
      <c r="AS594" s="244"/>
      <c r="AT594" s="33"/>
      <c r="AU594" s="242"/>
      <c r="AV594" s="241"/>
      <c r="AW594" s="244"/>
      <c r="AX594" s="33"/>
      <c r="AY594" s="242"/>
      <c r="AZ594" s="241"/>
      <c r="BA594" s="244"/>
      <c r="BB594" s="33"/>
      <c r="BC594" s="242"/>
      <c r="BD594" s="241"/>
      <c r="BE594" s="244"/>
      <c r="BF594" s="33"/>
      <c r="BG594" s="242"/>
      <c r="BH594" s="241"/>
      <c r="BI594" s="244"/>
      <c r="BJ594" s="33"/>
      <c r="BK594" s="242"/>
      <c r="BL594" s="241"/>
      <c r="BM594" s="244"/>
      <c r="BN594" s="33"/>
      <c r="BO594" s="242"/>
      <c r="BP594" s="241"/>
      <c r="BQ594" s="244"/>
      <c r="BR594" s="33"/>
      <c r="BS594" s="242"/>
      <c r="BT594" s="241"/>
      <c r="BU594" s="244"/>
      <c r="BV594" s="33"/>
      <c r="BW594" s="242"/>
      <c r="BX594" s="241"/>
      <c r="BY594" s="244"/>
      <c r="BZ594" s="33"/>
      <c r="CA594" s="242"/>
      <c r="CB594" s="241"/>
      <c r="CC594" s="244"/>
      <c r="CD594" s="243"/>
      <c r="CE594" s="243"/>
      <c r="CF594" s="243"/>
      <c r="CG594" s="243"/>
      <c r="CH594" s="243"/>
      <c r="CI594" s="243"/>
      <c r="CJ594" s="243"/>
      <c r="CK594" s="243"/>
      <c r="CL594" s="243"/>
      <c r="CM594" s="243"/>
      <c r="CN594" s="243"/>
      <c r="CO594" s="243"/>
      <c r="CP594" s="243"/>
      <c r="CQ594" s="243"/>
      <c r="CR594" s="243"/>
      <c r="CS594" s="243"/>
      <c r="CT594" s="243"/>
      <c r="CU594" s="243"/>
      <c r="CV594" s="243"/>
      <c r="CW594" s="243"/>
      <c r="CX594" s="243"/>
      <c r="CY594" s="243"/>
      <c r="CZ594" s="243"/>
      <c r="DA594" s="243"/>
      <c r="DB594" s="243"/>
      <c r="DC594" s="243"/>
      <c r="DD594" s="243"/>
      <c r="DE594" s="243"/>
      <c r="DF594" s="243"/>
      <c r="DG594" s="243"/>
      <c r="DH594" s="243"/>
      <c r="DI594" s="243"/>
      <c r="DJ594" s="243"/>
      <c r="DK594" s="243"/>
      <c r="DM594" s="242"/>
      <c r="DO594" s="243"/>
      <c r="DQ594" s="242"/>
      <c r="DS594" s="243"/>
      <c r="DU594" s="242"/>
      <c r="DW594" s="243"/>
      <c r="DY594" s="242"/>
      <c r="EA594" s="243"/>
    </row>
    <row r="595" spans="1:131">
      <c r="A595" s="20"/>
      <c r="B595" s="124" t="str">
        <f t="shared" si="550"/>
        <v/>
      </c>
      <c r="C595" s="235"/>
      <c r="D595" s="24">
        <f>'1% Wind'!$M$93</f>
        <v>2.4</v>
      </c>
      <c r="E595" s="90"/>
      <c r="F595" s="90"/>
      <c r="G595" s="79">
        <f ca="1">IF(I583=0.9743,$G594,MAX(G594/D594*D595,2))</f>
        <v>6.001707317073171</v>
      </c>
      <c r="H595" s="121" t="e">
        <f t="shared" ca="1" si="551"/>
        <v>#VALUE!</v>
      </c>
      <c r="J595" s="33"/>
      <c r="K595" s="242">
        <f t="shared" si="552"/>
        <v>1</v>
      </c>
      <c r="L595" s="241" t="e">
        <f t="shared" ca="1" si="553"/>
        <v>#VALUE!</v>
      </c>
      <c r="M595" s="243" t="e">
        <f ca="1">IF(AND(INDEX(FlowCalConstA,MATCH(J583,FlowCalNumber,0),1,1)*L595^INDEX(FlowCalConstB,MATCH(J583,FlowCalNumber,0),1,1)&gt;INDEX(FlowCalLowSetting,MATCH(J583,FlowCalNumber,0),1,1), (INDEX(FlowCalConstA,MATCH(J583,FlowCalNumber,0),1,1)*L595^INDEX(FlowCalConstB,MATCH(J583,FlowCalNumber,0),1,1)&lt;INDEX(FlowCalHighSetting,MATCH(J583,FlowCalNumber,0),1,1))),INDEX(FlowCalConstA,MATCH(J583,FlowCalNumber,0),1,1)*L595^INDEX(FlowCalConstB,MATCH(J583,FlowCalNumber,0),1,1)," ")</f>
        <v>#N/A</v>
      </c>
      <c r="N595" s="33"/>
      <c r="O595" s="242">
        <f t="shared" si="554"/>
        <v>1</v>
      </c>
      <c r="P595" s="241" t="e">
        <f t="shared" ca="1" si="555"/>
        <v>#VALUE!</v>
      </c>
      <c r="Q595" s="243" t="e">
        <f ca="1">IF(AND(INDEX(FlowCalConstA,MATCH(N583,FlowCalNumber,0),1,1)*P595^INDEX(FlowCalConstB,MATCH(N583,FlowCalNumber,0),1,1)&gt;INDEX(FlowCalLowSetting,MATCH(N583,FlowCalNumber,0),1,1), (INDEX(FlowCalConstA,MATCH(N583,FlowCalNumber,0),1,1)*P595^INDEX(FlowCalConstB,MATCH(N583,FlowCalNumber,0),1,1)&lt;INDEX(FlowCalHighSetting,MATCH(N583,FlowCalNumber,0),1,1))),INDEX(FlowCalConstA,MATCH(N583,FlowCalNumber,0),1,1)*P595^INDEX(FlowCalConstB,MATCH(N583,FlowCalNumber,0),1,1)," ")</f>
        <v>#N/A</v>
      </c>
      <c r="R595" s="33"/>
      <c r="S595" s="242">
        <f t="shared" si="556"/>
        <v>1</v>
      </c>
      <c r="T595" s="241" t="e">
        <f t="shared" ca="1" si="557"/>
        <v>#VALUE!</v>
      </c>
      <c r="U595" s="244" t="e">
        <f ca="1">IF(AND(INDEX(FlowCalConstA,MATCH(R583,FlowCalNumber,0),1,1)*T595^INDEX(FlowCalConstB,MATCH(R583,FlowCalNumber,0),1,1)&gt;INDEX(FlowCalLowSetting,MATCH(R583,FlowCalNumber,0),1,1), (INDEX(FlowCalConstA,MATCH(R583,FlowCalNumber,0),1,1)*T595^INDEX(FlowCalConstB,MATCH(R583,FlowCalNumber,0),1,1)&lt;INDEX(FlowCalHighSetting,MATCH(R583,FlowCalNumber,0),1,1))),INDEX(FlowCalConstA,MATCH(R583,FlowCalNumber,0),1,1)*T595^INDEX(FlowCalConstB,MATCH(R583,FlowCalNumber,0),1,1)," ")</f>
        <v>#N/A</v>
      </c>
      <c r="V595" s="33"/>
      <c r="W595" s="242">
        <f t="shared" si="558"/>
        <v>0.1</v>
      </c>
      <c r="X595" s="241" t="e">
        <f t="shared" ca="1" si="559"/>
        <v>#VALUE!</v>
      </c>
      <c r="Y595" s="243" t="e">
        <f ca="1">IF(AND(INDEX(FlowCalConstA,MATCH(V583,FlowCalNumber,0),1,1)*X595^INDEX(FlowCalConstB,MATCH(V583,FlowCalNumber,0),1,1)&gt;INDEX(FlowCalLowSetting,MATCH(V583,FlowCalNumber,0),1,1), (INDEX(FlowCalConstA,MATCH(V583,FlowCalNumber,0),1,1)*X595^INDEX(FlowCalConstB,MATCH(V583,FlowCalNumber,0),1,1)&lt;INDEX(FlowCalHighSetting,MATCH(V583,FlowCalNumber,0),1,1))),INDEX(FlowCalConstA,MATCH(V583,FlowCalNumber,0),1,1)*X595^INDEX(FlowCalConstB,MATCH(V583,FlowCalNumber,0),1,1)," ")</f>
        <v>#N/A</v>
      </c>
      <c r="Z595" s="33"/>
      <c r="AA595" s="242">
        <f t="shared" si="560"/>
        <v>0.9</v>
      </c>
      <c r="AB595" s="241" t="e">
        <f t="shared" ca="1" si="561"/>
        <v>#VALUE!</v>
      </c>
      <c r="AC595" s="243" t="e">
        <f ca="1">IF(AND(INDEX(FlowCalConstA,MATCH(Z583,FlowCalNumber,0),1,1)*AB595^INDEX(FlowCalConstB,MATCH(Z583,FlowCalNumber,0),1,1)&gt;INDEX(FlowCalLowSetting,MATCH(Z583,FlowCalNumber,0),1,1), (INDEX(FlowCalConstA,MATCH(Z583,FlowCalNumber,0),1,1)*AB595^INDEX(FlowCalConstB,MATCH(Z583,FlowCalNumber,0),1,1)&lt;INDEX(FlowCalHighSetting,MATCH(Z583,FlowCalNumber,0),1,1))),INDEX(FlowCalConstA,MATCH(Z583,FlowCalNumber,0),1,1)*AB595^INDEX(FlowCalConstB,MATCH(Z583,FlowCalNumber,0),1,1)," ")</f>
        <v>#N/A</v>
      </c>
      <c r="AD595" s="33"/>
      <c r="AE595" s="242">
        <f t="shared" si="562"/>
        <v>0.1</v>
      </c>
      <c r="AF595" s="241" t="e">
        <f t="shared" ca="1" si="563"/>
        <v>#VALUE!</v>
      </c>
      <c r="AG595" s="243" t="e">
        <f ca="1">IF(AND(INDEX(FlowCalConstA,MATCH(AD583,FlowCalNumber,0),1,1)*AF595^INDEX(FlowCalConstB,MATCH(AD583,FlowCalNumber,0),1,1)&gt;INDEX(FlowCalLowSetting,MATCH(AD583,FlowCalNumber,0),1,1), (INDEX(FlowCalConstA,MATCH(AD583,FlowCalNumber,0),1,1)*AF595^INDEX(FlowCalConstB,MATCH(AD583,FlowCalNumber,0),1,1)&lt;INDEX(FlowCalHighSetting,MATCH(AD583,FlowCalNumber,0),1,1))),INDEX(FlowCalConstA,MATCH(AD583,FlowCalNumber,0),1,1)*AF595^INDEX(FlowCalConstB,MATCH(AD583,FlowCalNumber,0),1,1)," ")</f>
        <v>#N/A</v>
      </c>
      <c r="AH595" s="33"/>
      <c r="AI595" s="242">
        <f t="shared" si="564"/>
        <v>0.9</v>
      </c>
      <c r="AJ595" s="241" t="e">
        <f t="shared" ca="1" si="565"/>
        <v>#VALUE!</v>
      </c>
      <c r="AK595" s="243" t="e">
        <f ca="1">IF(AND(INDEX(FlowCalConstA,MATCH(AH583,FlowCalNumber,0),1,1)*AJ595^INDEX(FlowCalConstB,MATCH(AH583,FlowCalNumber,0),1,1)&gt;INDEX(FlowCalLowSetting,MATCH(AH583,FlowCalNumber,0),1,1), (INDEX(FlowCalConstA,MATCH(AH583,FlowCalNumber,0),1,1)*AJ595^INDEX(FlowCalConstB,MATCH(AH583,FlowCalNumber,0),1,1)&lt;INDEX(FlowCalHighSetting,MATCH(AH583,FlowCalNumber,0),1,1))),INDEX(FlowCalConstA,MATCH(AH583,FlowCalNumber,0),1,1)*AJ595^INDEX(FlowCalConstB,MATCH(AH583,FlowCalNumber,0),1,1)," ")</f>
        <v>#N/A</v>
      </c>
      <c r="AL595" s="33"/>
      <c r="AM595" s="242"/>
      <c r="AN595" s="241"/>
      <c r="AO595" s="244"/>
      <c r="AQ595" s="242"/>
      <c r="AR595" s="241"/>
      <c r="AS595" s="244"/>
      <c r="AT595" s="33"/>
      <c r="AU595" s="242"/>
      <c r="AV595" s="241"/>
      <c r="AW595" s="244"/>
      <c r="AX595" s="33"/>
      <c r="AY595" s="242"/>
      <c r="AZ595" s="241"/>
      <c r="BA595" s="244"/>
      <c r="BB595" s="33"/>
      <c r="BC595" s="242"/>
      <c r="BD595" s="241"/>
      <c r="BE595" s="244"/>
      <c r="BF595" s="33"/>
      <c r="BG595" s="242"/>
      <c r="BH595" s="241"/>
      <c r="BI595" s="244"/>
      <c r="BJ595" s="33"/>
      <c r="BK595" s="242"/>
      <c r="BL595" s="241"/>
      <c r="BM595" s="244"/>
      <c r="BN595" s="33"/>
      <c r="BO595" s="242"/>
      <c r="BP595" s="241"/>
      <c r="BQ595" s="244"/>
      <c r="BR595" s="33"/>
      <c r="BS595" s="242"/>
      <c r="BT595" s="241"/>
      <c r="BU595" s="244"/>
      <c r="BV595" s="33"/>
      <c r="BW595" s="242"/>
      <c r="BX595" s="241"/>
      <c r="BY595" s="244"/>
      <c r="BZ595" s="33"/>
      <c r="CA595" s="242"/>
      <c r="CB595" s="241"/>
      <c r="CC595" s="244"/>
      <c r="CD595" s="243"/>
      <c r="CE595" s="243"/>
      <c r="CF595" s="243"/>
      <c r="CG595" s="243"/>
      <c r="CH595" s="243"/>
      <c r="CI595" s="243"/>
      <c r="CJ595" s="243"/>
      <c r="CK595" s="243"/>
      <c r="CL595" s="243"/>
      <c r="CM595" s="243"/>
      <c r="CN595" s="243"/>
      <c r="CO595" s="243"/>
      <c r="CP595" s="243"/>
      <c r="CQ595" s="243"/>
      <c r="CR595" s="243"/>
      <c r="CS595" s="243"/>
      <c r="CT595" s="243"/>
      <c r="CU595" s="243"/>
      <c r="CV595" s="243"/>
      <c r="CW595" s="243"/>
      <c r="CX595" s="243"/>
      <c r="CY595" s="243"/>
      <c r="CZ595" s="243"/>
      <c r="DA595" s="243"/>
      <c r="DB595" s="243"/>
      <c r="DC595" s="243"/>
      <c r="DD595" s="243"/>
      <c r="DE595" s="243"/>
      <c r="DF595" s="243"/>
      <c r="DG595" s="243"/>
      <c r="DH595" s="243"/>
      <c r="DI595" s="243"/>
      <c r="DJ595" s="243"/>
      <c r="DK595" s="243"/>
      <c r="DM595" s="242"/>
      <c r="DO595" s="243"/>
      <c r="DQ595" s="242"/>
      <c r="DS595" s="243"/>
      <c r="DU595" s="242"/>
      <c r="DW595" s="243"/>
      <c r="DY595" s="242"/>
      <c r="EA595" s="243"/>
    </row>
    <row r="596" spans="1:131">
      <c r="A596" s="20"/>
      <c r="B596" s="124" t="str">
        <f t="shared" si="550"/>
        <v/>
      </c>
      <c r="C596" s="235"/>
      <c r="D596" s="24">
        <f>'1% Wind'!$M$94</f>
        <v>1.8</v>
      </c>
      <c r="E596" s="90"/>
      <c r="F596" s="90"/>
      <c r="G596" s="79">
        <f ca="1">IF(I583=0.9743,$G595,MAX(G595/D595*D596,2))</f>
        <v>6.001707317073171</v>
      </c>
      <c r="H596" s="121" t="e">
        <f t="shared" ca="1" si="551"/>
        <v>#VALUE!</v>
      </c>
      <c r="J596" s="33"/>
      <c r="K596" s="242">
        <f t="shared" si="552"/>
        <v>1</v>
      </c>
      <c r="L596" s="241" t="e">
        <f t="shared" ca="1" si="553"/>
        <v>#VALUE!</v>
      </c>
      <c r="M596" s="243" t="e">
        <f ca="1">IF(AND(INDEX(FlowCalConstA,MATCH(J583,FlowCalNumber,0),1,1)*L596^INDEX(FlowCalConstB,MATCH(J583,FlowCalNumber,0),1,1)&gt;INDEX(FlowCalLowSetting,MATCH(J583,FlowCalNumber,0),1,1), (INDEX(FlowCalConstA,MATCH(J583,FlowCalNumber,0),1,1)*L596^INDEX(FlowCalConstB,MATCH(J583,FlowCalNumber,0),1,1)&lt;INDEX(FlowCalHighSetting,MATCH(J583,FlowCalNumber,0),1,1))),INDEX(FlowCalConstA,MATCH(J583,FlowCalNumber,0),1,1)*L596^INDEX(FlowCalConstB,MATCH(J583,FlowCalNumber,0),1,1)," ")</f>
        <v>#N/A</v>
      </c>
      <c r="N596" s="33"/>
      <c r="O596" s="242">
        <f t="shared" si="554"/>
        <v>1</v>
      </c>
      <c r="P596" s="241" t="e">
        <f t="shared" ca="1" si="555"/>
        <v>#VALUE!</v>
      </c>
      <c r="Q596" s="243" t="e">
        <f ca="1">IF(AND(INDEX(FlowCalConstA,MATCH(N583,FlowCalNumber,0),1,1)*P596^INDEX(FlowCalConstB,MATCH(N583,FlowCalNumber,0),1,1)&gt;INDEX(FlowCalLowSetting,MATCH(N583,FlowCalNumber,0),1,1), (INDEX(FlowCalConstA,MATCH(N583,FlowCalNumber,0),1,1)*P596^INDEX(FlowCalConstB,MATCH(N583,FlowCalNumber,0),1,1)&lt;INDEX(FlowCalHighSetting,MATCH(N583,FlowCalNumber,0),1,1))),INDEX(FlowCalConstA,MATCH(N583,FlowCalNumber,0),1,1)*P596^INDEX(FlowCalConstB,MATCH(N583,FlowCalNumber,0),1,1)," ")</f>
        <v>#N/A</v>
      </c>
      <c r="R596" s="33"/>
      <c r="S596" s="242">
        <f t="shared" si="556"/>
        <v>1</v>
      </c>
      <c r="T596" s="241" t="e">
        <f t="shared" ca="1" si="557"/>
        <v>#VALUE!</v>
      </c>
      <c r="U596" s="244" t="e">
        <f ca="1">IF(AND(INDEX(FlowCalConstA,MATCH(R583,FlowCalNumber,0),1,1)*T596^INDEX(FlowCalConstB,MATCH(R583,FlowCalNumber,0),1,1)&gt;INDEX(FlowCalLowSetting,MATCH(R583,FlowCalNumber,0),1,1), (INDEX(FlowCalConstA,MATCH(R583,FlowCalNumber,0),1,1)*T596^INDEX(FlowCalConstB,MATCH(R583,FlowCalNumber,0),1,1)&lt;INDEX(FlowCalHighSetting,MATCH(R583,FlowCalNumber,0),1,1))),INDEX(FlowCalConstA,MATCH(R583,FlowCalNumber,0),1,1)*T596^INDEX(FlowCalConstB,MATCH(R583,FlowCalNumber,0),1,1)," ")</f>
        <v>#N/A</v>
      </c>
      <c r="V596" s="33"/>
      <c r="W596" s="242">
        <f t="shared" si="558"/>
        <v>0.1</v>
      </c>
      <c r="X596" s="241" t="e">
        <f t="shared" ca="1" si="559"/>
        <v>#VALUE!</v>
      </c>
      <c r="Y596" s="243" t="e">
        <f ca="1">IF(AND(INDEX(FlowCalConstA,MATCH(V583,FlowCalNumber,0),1,1)*X596^INDEX(FlowCalConstB,MATCH(V583,FlowCalNumber,0),1,1)&gt;INDEX(FlowCalLowSetting,MATCH(V583,FlowCalNumber,0),1,1), (INDEX(FlowCalConstA,MATCH(V583,FlowCalNumber,0),1,1)*X596^INDEX(FlowCalConstB,MATCH(V583,FlowCalNumber,0),1,1)&lt;INDEX(FlowCalHighSetting,MATCH(V583,FlowCalNumber,0),1,1))),INDEX(FlowCalConstA,MATCH(V583,FlowCalNumber,0),1,1)*X596^INDEX(FlowCalConstB,MATCH(V583,FlowCalNumber,0),1,1)," ")</f>
        <v>#N/A</v>
      </c>
      <c r="Z596" s="33"/>
      <c r="AA596" s="242">
        <f t="shared" si="560"/>
        <v>0.9</v>
      </c>
      <c r="AB596" s="241" t="e">
        <f t="shared" ca="1" si="561"/>
        <v>#VALUE!</v>
      </c>
      <c r="AC596" s="243" t="e">
        <f ca="1">IF(AND(INDEX(FlowCalConstA,MATCH(Z583,FlowCalNumber,0),1,1)*AB596^INDEX(FlowCalConstB,MATCH(Z583,FlowCalNumber,0),1,1)&gt;INDEX(FlowCalLowSetting,MATCH(Z583,FlowCalNumber,0),1,1), (INDEX(FlowCalConstA,MATCH(Z583,FlowCalNumber,0),1,1)*AB596^INDEX(FlowCalConstB,MATCH(Z583,FlowCalNumber,0),1,1)&lt;INDEX(FlowCalHighSetting,MATCH(Z583,FlowCalNumber,0),1,1))),INDEX(FlowCalConstA,MATCH(Z583,FlowCalNumber,0),1,1)*AB596^INDEX(FlowCalConstB,MATCH(Z583,FlowCalNumber,0),1,1)," ")</f>
        <v>#N/A</v>
      </c>
      <c r="AD596" s="33"/>
      <c r="AE596" s="242">
        <f t="shared" si="562"/>
        <v>0.1</v>
      </c>
      <c r="AF596" s="241" t="e">
        <f t="shared" ca="1" si="563"/>
        <v>#VALUE!</v>
      </c>
      <c r="AG596" s="243" t="e">
        <f ca="1">IF(AND(INDEX(FlowCalConstA,MATCH(AD583,FlowCalNumber,0),1,1)*AF596^INDEX(FlowCalConstB,MATCH(AD583,FlowCalNumber,0),1,1)&gt;INDEX(FlowCalLowSetting,MATCH(AD583,FlowCalNumber,0),1,1), (INDEX(FlowCalConstA,MATCH(AD583,FlowCalNumber,0),1,1)*AF596^INDEX(FlowCalConstB,MATCH(AD583,FlowCalNumber,0),1,1)&lt;INDEX(FlowCalHighSetting,MATCH(AD583,FlowCalNumber,0),1,1))),INDEX(FlowCalConstA,MATCH(AD583,FlowCalNumber,0),1,1)*AF596^INDEX(FlowCalConstB,MATCH(AD583,FlowCalNumber,0),1,1)," ")</f>
        <v>#N/A</v>
      </c>
      <c r="AH596" s="33"/>
      <c r="AI596" s="242">
        <f t="shared" si="564"/>
        <v>0.9</v>
      </c>
      <c r="AJ596" s="241" t="e">
        <f t="shared" ca="1" si="565"/>
        <v>#VALUE!</v>
      </c>
      <c r="AK596" s="243" t="e">
        <f ca="1">IF(AND(INDEX(FlowCalConstA,MATCH(AH583,FlowCalNumber,0),1,1)*AJ596^INDEX(FlowCalConstB,MATCH(AH583,FlowCalNumber,0),1,1)&gt;INDEX(FlowCalLowSetting,MATCH(AH583,FlowCalNumber,0),1,1), (INDEX(FlowCalConstA,MATCH(AH583,FlowCalNumber,0),1,1)*AJ596^INDEX(FlowCalConstB,MATCH(AH583,FlowCalNumber,0),1,1)&lt;INDEX(FlowCalHighSetting,MATCH(AH583,FlowCalNumber,0),1,1))),INDEX(FlowCalConstA,MATCH(AH583,FlowCalNumber,0),1,1)*AJ596^INDEX(FlowCalConstB,MATCH(AH583,FlowCalNumber,0),1,1)," ")</f>
        <v>#N/A</v>
      </c>
      <c r="AL596" s="33"/>
      <c r="AM596" s="242"/>
      <c r="AN596" s="241"/>
      <c r="AO596" s="244"/>
      <c r="AQ596" s="242"/>
      <c r="AR596" s="241"/>
      <c r="AS596" s="244"/>
      <c r="AT596" s="33"/>
      <c r="AU596" s="242"/>
      <c r="AV596" s="241"/>
      <c r="AW596" s="244"/>
      <c r="AX596" s="33"/>
      <c r="AY596" s="242"/>
      <c r="AZ596" s="241"/>
      <c r="BA596" s="244"/>
      <c r="BB596" s="33"/>
      <c r="BC596" s="242"/>
      <c r="BD596" s="241"/>
      <c r="BE596" s="244"/>
      <c r="BF596" s="33"/>
      <c r="BG596" s="242"/>
      <c r="BH596" s="241"/>
      <c r="BI596" s="244"/>
      <c r="BJ596" s="33"/>
      <c r="BK596" s="242"/>
      <c r="BL596" s="241"/>
      <c r="BM596" s="244"/>
      <c r="BN596" s="33"/>
      <c r="BO596" s="242"/>
      <c r="BP596" s="241"/>
      <c r="BQ596" s="244"/>
      <c r="BR596" s="33"/>
      <c r="BS596" s="242"/>
      <c r="BT596" s="241"/>
      <c r="BU596" s="244"/>
      <c r="BV596" s="33"/>
      <c r="BW596" s="242"/>
      <c r="BX596" s="241"/>
      <c r="BY596" s="244"/>
      <c r="BZ596" s="33"/>
      <c r="CA596" s="242"/>
      <c r="CB596" s="241"/>
      <c r="CC596" s="244"/>
      <c r="CD596" s="243"/>
      <c r="CE596" s="243"/>
      <c r="CF596" s="243"/>
      <c r="CG596" s="243"/>
      <c r="CH596" s="243"/>
      <c r="CI596" s="243"/>
      <c r="CJ596" s="243"/>
      <c r="CK596" s="243"/>
      <c r="CL596" s="243"/>
      <c r="CM596" s="243"/>
      <c r="CN596" s="243"/>
      <c r="CO596" s="243"/>
      <c r="CP596" s="243"/>
      <c r="CQ596" s="243"/>
      <c r="CR596" s="243"/>
      <c r="CS596" s="243"/>
      <c r="CT596" s="243"/>
      <c r="CU596" s="243"/>
      <c r="CV596" s="243"/>
      <c r="CW596" s="243"/>
      <c r="CX596" s="243"/>
      <c r="CY596" s="243"/>
      <c r="CZ596" s="243"/>
      <c r="DA596" s="243"/>
      <c r="DB596" s="243"/>
      <c r="DC596" s="243"/>
      <c r="DD596" s="243"/>
      <c r="DE596" s="243"/>
      <c r="DF596" s="243"/>
      <c r="DG596" s="243"/>
      <c r="DH596" s="243"/>
      <c r="DI596" s="243"/>
      <c r="DJ596" s="243"/>
      <c r="DK596" s="243"/>
      <c r="DM596" s="242"/>
      <c r="DO596" s="243"/>
      <c r="DQ596" s="242"/>
      <c r="DS596" s="243"/>
      <c r="DU596" s="242"/>
      <c r="DW596" s="243"/>
      <c r="DY596" s="242"/>
      <c r="EA596" s="243"/>
    </row>
    <row r="597" spans="1:131">
      <c r="A597" s="20"/>
      <c r="B597" s="124" t="str">
        <f t="shared" si="550"/>
        <v/>
      </c>
      <c r="C597" s="235"/>
      <c r="D597" s="24">
        <f>'1% Wind'!$M$95</f>
        <v>1.3</v>
      </c>
      <c r="E597" s="90"/>
      <c r="F597" s="90"/>
      <c r="G597" s="79">
        <f ca="1">IF(I583=0.9743,$G596,MAX(G596/D596*D597,2))</f>
        <v>6.001707317073171</v>
      </c>
      <c r="H597" s="121" t="e">
        <f t="shared" ca="1" si="551"/>
        <v>#VALUE!</v>
      </c>
      <c r="J597" s="33"/>
      <c r="K597" s="242">
        <f t="shared" si="552"/>
        <v>1</v>
      </c>
      <c r="L597" s="241" t="e">
        <f t="shared" ca="1" si="553"/>
        <v>#VALUE!</v>
      </c>
      <c r="M597" s="243" t="e">
        <f ca="1">IF(AND(INDEX(FlowCalConstA,MATCH(J583,FlowCalNumber,0),1,1)*L597^INDEX(FlowCalConstB,MATCH(J583,FlowCalNumber,0),1,1)&gt;INDEX(FlowCalLowSetting,MATCH(J583,FlowCalNumber,0),1,1), (INDEX(FlowCalConstA,MATCH(J583,FlowCalNumber,0),1,1)*L597^INDEX(FlowCalConstB,MATCH(J583,FlowCalNumber,0),1,1)&lt;INDEX(FlowCalHighSetting,MATCH(J583,FlowCalNumber,0),1,1))),INDEX(FlowCalConstA,MATCH(J583,FlowCalNumber,0),1,1)*L597^INDEX(FlowCalConstB,MATCH(J583,FlowCalNumber,0),1,1)," ")</f>
        <v>#N/A</v>
      </c>
      <c r="N597" s="33"/>
      <c r="O597" s="242">
        <f t="shared" si="554"/>
        <v>1</v>
      </c>
      <c r="P597" s="241" t="e">
        <f t="shared" ca="1" si="555"/>
        <v>#VALUE!</v>
      </c>
      <c r="Q597" s="243" t="e">
        <f ca="1">IF(AND(INDEX(FlowCalConstA,MATCH(N583,FlowCalNumber,0),1,1)*P597^INDEX(FlowCalConstB,MATCH(N583,FlowCalNumber,0),1,1)&gt;INDEX(FlowCalLowSetting,MATCH(N583,FlowCalNumber,0),1,1), (INDEX(FlowCalConstA,MATCH(N583,FlowCalNumber,0),1,1)*P597^INDEX(FlowCalConstB,MATCH(N583,FlowCalNumber,0),1,1)&lt;INDEX(FlowCalHighSetting,MATCH(N583,FlowCalNumber,0),1,1))),INDEX(FlowCalConstA,MATCH(N583,FlowCalNumber,0),1,1)*P597^INDEX(FlowCalConstB,MATCH(N583,FlowCalNumber,0),1,1)," ")</f>
        <v>#N/A</v>
      </c>
      <c r="R597" s="33"/>
      <c r="S597" s="242">
        <f t="shared" si="556"/>
        <v>1</v>
      </c>
      <c r="T597" s="241" t="e">
        <f t="shared" ca="1" si="557"/>
        <v>#VALUE!</v>
      </c>
      <c r="U597" s="244" t="e">
        <f ca="1">IF(AND(INDEX(FlowCalConstA,MATCH(R583,FlowCalNumber,0),1,1)*T597^INDEX(FlowCalConstB,MATCH(R583,FlowCalNumber,0),1,1)&gt;INDEX(FlowCalLowSetting,MATCH(R583,FlowCalNumber,0),1,1), (INDEX(FlowCalConstA,MATCH(R583,FlowCalNumber,0),1,1)*T597^INDEX(FlowCalConstB,MATCH(R583,FlowCalNumber,0),1,1)&lt;INDEX(FlowCalHighSetting,MATCH(R583,FlowCalNumber,0),1,1))),INDEX(FlowCalConstA,MATCH(R583,FlowCalNumber,0),1,1)*T597^INDEX(FlowCalConstB,MATCH(R583,FlowCalNumber,0),1,1)," ")</f>
        <v>#N/A</v>
      </c>
      <c r="V597" s="33"/>
      <c r="W597" s="242">
        <f t="shared" si="558"/>
        <v>0.1</v>
      </c>
      <c r="X597" s="241" t="e">
        <f t="shared" ca="1" si="559"/>
        <v>#VALUE!</v>
      </c>
      <c r="Y597" s="243" t="e">
        <f ca="1">IF(AND(INDEX(FlowCalConstA,MATCH(V583,FlowCalNumber,0),1,1)*X597^INDEX(FlowCalConstB,MATCH(V583,FlowCalNumber,0),1,1)&gt;INDEX(FlowCalLowSetting,MATCH(V583,FlowCalNumber,0),1,1), (INDEX(FlowCalConstA,MATCH(V583,FlowCalNumber,0),1,1)*X597^INDEX(FlowCalConstB,MATCH(V583,FlowCalNumber,0),1,1)&lt;INDEX(FlowCalHighSetting,MATCH(V583,FlowCalNumber,0),1,1))),INDEX(FlowCalConstA,MATCH(V583,FlowCalNumber,0),1,1)*X597^INDEX(FlowCalConstB,MATCH(V583,FlowCalNumber,0),1,1)," ")</f>
        <v>#N/A</v>
      </c>
      <c r="Z597" s="33"/>
      <c r="AA597" s="242">
        <f t="shared" si="560"/>
        <v>0.9</v>
      </c>
      <c r="AB597" s="241" t="e">
        <f t="shared" ca="1" si="561"/>
        <v>#VALUE!</v>
      </c>
      <c r="AC597" s="243" t="e">
        <f ca="1">IF(AND(INDEX(FlowCalConstA,MATCH(Z583,FlowCalNumber,0),1,1)*AB597^INDEX(FlowCalConstB,MATCH(Z583,FlowCalNumber,0),1,1)&gt;INDEX(FlowCalLowSetting,MATCH(Z583,FlowCalNumber,0),1,1), (INDEX(FlowCalConstA,MATCH(Z583,FlowCalNumber,0),1,1)*AB597^INDEX(FlowCalConstB,MATCH(Z583,FlowCalNumber,0),1,1)&lt;INDEX(FlowCalHighSetting,MATCH(Z583,FlowCalNumber,0),1,1))),INDEX(FlowCalConstA,MATCH(Z583,FlowCalNumber,0),1,1)*AB597^INDEX(FlowCalConstB,MATCH(Z583,FlowCalNumber,0),1,1)," ")</f>
        <v>#N/A</v>
      </c>
      <c r="AD597" s="33"/>
      <c r="AE597" s="242">
        <f t="shared" si="562"/>
        <v>0.1</v>
      </c>
      <c r="AF597" s="241" t="e">
        <f t="shared" ca="1" si="563"/>
        <v>#VALUE!</v>
      </c>
      <c r="AG597" s="243" t="e">
        <f ca="1">IF(AND(INDEX(FlowCalConstA,MATCH(AD583,FlowCalNumber,0),1,1)*AF597^INDEX(FlowCalConstB,MATCH(AD583,FlowCalNumber,0),1,1)&gt;INDEX(FlowCalLowSetting,MATCH(AD583,FlowCalNumber,0),1,1), (INDEX(FlowCalConstA,MATCH(AD583,FlowCalNumber,0),1,1)*AF597^INDEX(FlowCalConstB,MATCH(AD583,FlowCalNumber,0),1,1)&lt;INDEX(FlowCalHighSetting,MATCH(AD583,FlowCalNumber,0),1,1))),INDEX(FlowCalConstA,MATCH(AD583,FlowCalNumber,0),1,1)*AF597^INDEX(FlowCalConstB,MATCH(AD583,FlowCalNumber,0),1,1)," ")</f>
        <v>#N/A</v>
      </c>
      <c r="AH597" s="33"/>
      <c r="AI597" s="242">
        <f t="shared" si="564"/>
        <v>0.9</v>
      </c>
      <c r="AJ597" s="241" t="e">
        <f t="shared" ca="1" si="565"/>
        <v>#VALUE!</v>
      </c>
      <c r="AK597" s="243" t="e">
        <f ca="1">IF(AND(INDEX(FlowCalConstA,MATCH(AH583,FlowCalNumber,0),1,1)*AJ597^INDEX(FlowCalConstB,MATCH(AH583,FlowCalNumber,0),1,1)&gt;INDEX(FlowCalLowSetting,MATCH(AH583,FlowCalNumber,0),1,1), (INDEX(FlowCalConstA,MATCH(AH583,FlowCalNumber,0),1,1)*AJ597^INDEX(FlowCalConstB,MATCH(AH583,FlowCalNumber,0),1,1)&lt;INDEX(FlowCalHighSetting,MATCH(AH583,FlowCalNumber,0),1,1))),INDEX(FlowCalConstA,MATCH(AH583,FlowCalNumber,0),1,1)*AJ597^INDEX(FlowCalConstB,MATCH(AH583,FlowCalNumber,0),1,1)," ")</f>
        <v>#N/A</v>
      </c>
      <c r="AL597" s="33"/>
      <c r="AM597" s="242"/>
      <c r="AN597" s="241"/>
      <c r="AO597" s="244"/>
      <c r="AQ597" s="242"/>
      <c r="AR597" s="241"/>
      <c r="AS597" s="244"/>
      <c r="AT597" s="33"/>
      <c r="AU597" s="242"/>
      <c r="AV597" s="241"/>
      <c r="AW597" s="244"/>
      <c r="AX597" s="33"/>
      <c r="AY597" s="242"/>
      <c r="AZ597" s="241"/>
      <c r="BA597" s="244"/>
      <c r="BB597" s="33"/>
      <c r="BC597" s="242"/>
      <c r="BD597" s="241"/>
      <c r="BE597" s="244"/>
      <c r="BF597" s="33"/>
      <c r="BG597" s="242"/>
      <c r="BH597" s="241"/>
      <c r="BI597" s="244"/>
      <c r="BJ597" s="33"/>
      <c r="BK597" s="242"/>
      <c r="BL597" s="241"/>
      <c r="BM597" s="244"/>
      <c r="BN597" s="33"/>
      <c r="BO597" s="242"/>
      <c r="BP597" s="241"/>
      <c r="BQ597" s="244"/>
      <c r="BR597" s="33"/>
      <c r="BS597" s="242"/>
      <c r="BT597" s="241"/>
      <c r="BU597" s="244"/>
      <c r="BV597" s="33"/>
      <c r="BW597" s="242"/>
      <c r="BX597" s="241"/>
      <c r="BY597" s="244"/>
      <c r="BZ597" s="33"/>
      <c r="CA597" s="242"/>
      <c r="CB597" s="241"/>
      <c r="CC597" s="244"/>
      <c r="CD597" s="243"/>
      <c r="CE597" s="243"/>
      <c r="CF597" s="243"/>
      <c r="CG597" s="243"/>
      <c r="CH597" s="243"/>
      <c r="CI597" s="243"/>
      <c r="CJ597" s="243"/>
      <c r="CK597" s="243"/>
      <c r="CL597" s="243"/>
      <c r="CM597" s="243"/>
      <c r="CN597" s="243"/>
      <c r="CO597" s="243"/>
      <c r="CP597" s="243"/>
      <c r="CQ597" s="243"/>
      <c r="CR597" s="243"/>
      <c r="CS597" s="243"/>
      <c r="CT597" s="243"/>
      <c r="CU597" s="243"/>
      <c r="CV597" s="243"/>
      <c r="CW597" s="243"/>
      <c r="CX597" s="243"/>
      <c r="CY597" s="243"/>
      <c r="CZ597" s="243"/>
      <c r="DA597" s="243"/>
      <c r="DB597" s="243"/>
      <c r="DC597" s="243"/>
      <c r="DD597" s="243"/>
      <c r="DE597" s="243"/>
      <c r="DF597" s="243"/>
      <c r="DG597" s="243"/>
      <c r="DH597" s="243"/>
      <c r="DI597" s="243"/>
      <c r="DJ597" s="243"/>
      <c r="DK597" s="243"/>
      <c r="DM597" s="242"/>
      <c r="DO597" s="243"/>
      <c r="DQ597" s="242"/>
      <c r="DS597" s="243"/>
      <c r="DU597" s="242"/>
      <c r="DW597" s="243"/>
      <c r="DY597" s="242"/>
      <c r="EA597" s="243"/>
    </row>
    <row r="598" spans="1:131">
      <c r="A598" s="20"/>
      <c r="B598" s="124" t="str">
        <f t="shared" si="550"/>
        <v/>
      </c>
      <c r="C598" s="235"/>
      <c r="D598" s="24">
        <f>'1% Wind'!$M$96</f>
        <v>1</v>
      </c>
      <c r="E598" s="90"/>
      <c r="F598" s="90"/>
      <c r="G598" s="79">
        <f ca="1">IF(I583=0.9743,$G597,MAX(G597/D597*D598,2))</f>
        <v>6.001707317073171</v>
      </c>
      <c r="H598" s="121" t="e">
        <f t="shared" ca="1" si="551"/>
        <v>#VALUE!</v>
      </c>
      <c r="J598" s="33"/>
      <c r="K598" s="242">
        <f t="shared" si="552"/>
        <v>1</v>
      </c>
      <c r="L598" s="241" t="e">
        <f t="shared" ca="1" si="553"/>
        <v>#VALUE!</v>
      </c>
      <c r="M598" s="243" t="e">
        <f ca="1">IF(AND(INDEX(FlowCalConstA,MATCH(J583,FlowCalNumber,0),1,1)*L598^INDEX(FlowCalConstB,MATCH(J583,FlowCalNumber,0),1,1)&gt;INDEX(FlowCalLowSetting,MATCH(J583,FlowCalNumber,0),1,1), (INDEX(FlowCalConstA,MATCH(J583,FlowCalNumber,0),1,1)*L598^INDEX(FlowCalConstB,MATCH(J583,FlowCalNumber,0),1,1)&lt;INDEX(FlowCalHighSetting,MATCH(J583,FlowCalNumber,0),1,1))),INDEX(FlowCalConstA,MATCH(J583,FlowCalNumber,0),1,1)*L598^INDEX(FlowCalConstB,MATCH(J583,FlowCalNumber,0),1,1)," ")</f>
        <v>#N/A</v>
      </c>
      <c r="N598" s="33"/>
      <c r="O598" s="242">
        <f t="shared" si="554"/>
        <v>1</v>
      </c>
      <c r="P598" s="241" t="e">
        <f t="shared" ca="1" si="555"/>
        <v>#VALUE!</v>
      </c>
      <c r="Q598" s="243" t="e">
        <f ca="1">IF(AND(INDEX(FlowCalConstA,MATCH(N583,FlowCalNumber,0),1,1)*P598^INDEX(FlowCalConstB,MATCH(N583,FlowCalNumber,0),1,1)&gt;INDEX(FlowCalLowSetting,MATCH(N583,FlowCalNumber,0),1,1), (INDEX(FlowCalConstA,MATCH(N583,FlowCalNumber,0),1,1)*P598^INDEX(FlowCalConstB,MATCH(N583,FlowCalNumber,0),1,1)&lt;INDEX(FlowCalHighSetting,MATCH(N583,FlowCalNumber,0),1,1))),INDEX(FlowCalConstA,MATCH(N583,FlowCalNumber,0),1,1)*P598^INDEX(FlowCalConstB,MATCH(N583,FlowCalNumber,0),1,1)," ")</f>
        <v>#N/A</v>
      </c>
      <c r="R598" s="33"/>
      <c r="S598" s="242">
        <f t="shared" si="556"/>
        <v>1</v>
      </c>
      <c r="T598" s="241" t="e">
        <f t="shared" ca="1" si="557"/>
        <v>#VALUE!</v>
      </c>
      <c r="U598" s="244" t="e">
        <f ca="1">IF(AND(INDEX(FlowCalConstA,MATCH(R583,FlowCalNumber,0),1,1)*T598^INDEX(FlowCalConstB,MATCH(R583,FlowCalNumber,0),1,1)&gt;INDEX(FlowCalLowSetting,MATCH(R583,FlowCalNumber,0),1,1), (INDEX(FlowCalConstA,MATCH(R583,FlowCalNumber,0),1,1)*T598^INDEX(FlowCalConstB,MATCH(R583,FlowCalNumber,0),1,1)&lt;INDEX(FlowCalHighSetting,MATCH(R583,FlowCalNumber,0),1,1))),INDEX(FlowCalConstA,MATCH(R583,FlowCalNumber,0),1,1)*T598^INDEX(FlowCalConstB,MATCH(R583,FlowCalNumber,0),1,1)," ")</f>
        <v>#N/A</v>
      </c>
      <c r="V598" s="33"/>
      <c r="W598" s="242">
        <f t="shared" si="558"/>
        <v>0.1</v>
      </c>
      <c r="X598" s="241" t="e">
        <f t="shared" ca="1" si="559"/>
        <v>#VALUE!</v>
      </c>
      <c r="Y598" s="243" t="e">
        <f ca="1">IF(AND(INDEX(FlowCalConstA,MATCH(V583,FlowCalNumber,0),1,1)*X598^INDEX(FlowCalConstB,MATCH(V583,FlowCalNumber,0),1,1)&gt;INDEX(FlowCalLowSetting,MATCH(V583,FlowCalNumber,0),1,1), (INDEX(FlowCalConstA,MATCH(V583,FlowCalNumber,0),1,1)*X598^INDEX(FlowCalConstB,MATCH(V583,FlowCalNumber,0),1,1)&lt;INDEX(FlowCalHighSetting,MATCH(V583,FlowCalNumber,0),1,1))),INDEX(FlowCalConstA,MATCH(V583,FlowCalNumber,0),1,1)*X598^INDEX(FlowCalConstB,MATCH(V583,FlowCalNumber,0),1,1)," ")</f>
        <v>#N/A</v>
      </c>
      <c r="Z598" s="33"/>
      <c r="AA598" s="242">
        <f t="shared" si="560"/>
        <v>0.9</v>
      </c>
      <c r="AB598" s="241" t="e">
        <f t="shared" ca="1" si="561"/>
        <v>#VALUE!</v>
      </c>
      <c r="AC598" s="243" t="e">
        <f ca="1">IF(AND(INDEX(FlowCalConstA,MATCH(Z583,FlowCalNumber,0),1,1)*AB598^INDEX(FlowCalConstB,MATCH(Z583,FlowCalNumber,0),1,1)&gt;INDEX(FlowCalLowSetting,MATCH(Z583,FlowCalNumber,0),1,1), (INDEX(FlowCalConstA,MATCH(Z583,FlowCalNumber,0),1,1)*AB598^INDEX(FlowCalConstB,MATCH(Z583,FlowCalNumber,0),1,1)&lt;INDEX(FlowCalHighSetting,MATCH(Z583,FlowCalNumber,0),1,1))),INDEX(FlowCalConstA,MATCH(Z583,FlowCalNumber,0),1,1)*AB598^INDEX(FlowCalConstB,MATCH(Z583,FlowCalNumber,0),1,1)," ")</f>
        <v>#N/A</v>
      </c>
      <c r="AD598" s="33"/>
      <c r="AE598" s="242">
        <f t="shared" si="562"/>
        <v>0.1</v>
      </c>
      <c r="AF598" s="241" t="e">
        <f t="shared" ca="1" si="563"/>
        <v>#VALUE!</v>
      </c>
      <c r="AG598" s="243" t="e">
        <f ca="1">IF(AND(INDEX(FlowCalConstA,MATCH(AD583,FlowCalNumber,0),1,1)*AF598^INDEX(FlowCalConstB,MATCH(AD583,FlowCalNumber,0),1,1)&gt;INDEX(FlowCalLowSetting,MATCH(AD583,FlowCalNumber,0),1,1), (INDEX(FlowCalConstA,MATCH(AD583,FlowCalNumber,0),1,1)*AF598^INDEX(FlowCalConstB,MATCH(AD583,FlowCalNumber,0),1,1)&lt;INDEX(FlowCalHighSetting,MATCH(AD583,FlowCalNumber,0),1,1))),INDEX(FlowCalConstA,MATCH(AD583,FlowCalNumber,0),1,1)*AF598^INDEX(FlowCalConstB,MATCH(AD583,FlowCalNumber,0),1,1)," ")</f>
        <v>#N/A</v>
      </c>
      <c r="AH598" s="33"/>
      <c r="AI598" s="242">
        <f t="shared" si="564"/>
        <v>0.9</v>
      </c>
      <c r="AJ598" s="241" t="e">
        <f t="shared" ca="1" si="565"/>
        <v>#VALUE!</v>
      </c>
      <c r="AK598" s="243" t="e">
        <f ca="1">IF(AND(INDEX(FlowCalConstA,MATCH(AH583,FlowCalNumber,0),1,1)*AJ598^INDEX(FlowCalConstB,MATCH(AH583,FlowCalNumber,0),1,1)&gt;INDEX(FlowCalLowSetting,MATCH(AH583,FlowCalNumber,0),1,1), (INDEX(FlowCalConstA,MATCH(AH583,FlowCalNumber,0),1,1)*AJ598^INDEX(FlowCalConstB,MATCH(AH583,FlowCalNumber,0),1,1)&lt;INDEX(FlowCalHighSetting,MATCH(AH583,FlowCalNumber,0),1,1))),INDEX(FlowCalConstA,MATCH(AH583,FlowCalNumber,0),1,1)*AJ598^INDEX(FlowCalConstB,MATCH(AH583,FlowCalNumber,0),1,1)," ")</f>
        <v>#N/A</v>
      </c>
      <c r="AL598" s="33"/>
      <c r="AM598" s="242"/>
      <c r="AN598" s="241"/>
      <c r="AO598" s="244"/>
      <c r="AQ598" s="242"/>
      <c r="AR598" s="241"/>
      <c r="AS598" s="244"/>
      <c r="AT598" s="33"/>
      <c r="AU598" s="242"/>
      <c r="AV598" s="241"/>
      <c r="AW598" s="244"/>
      <c r="AX598" s="33"/>
      <c r="AY598" s="242"/>
      <c r="AZ598" s="241"/>
      <c r="BA598" s="244"/>
      <c r="BB598" s="33"/>
      <c r="BC598" s="242"/>
      <c r="BD598" s="241"/>
      <c r="BE598" s="244"/>
      <c r="BF598" s="33"/>
      <c r="BG598" s="242"/>
      <c r="BH598" s="241"/>
      <c r="BI598" s="244"/>
      <c r="BJ598" s="33"/>
      <c r="BK598" s="242"/>
      <c r="BL598" s="241"/>
      <c r="BM598" s="244"/>
      <c r="BN598" s="33"/>
      <c r="BO598" s="242"/>
      <c r="BP598" s="241"/>
      <c r="BQ598" s="244"/>
      <c r="BR598" s="33"/>
      <c r="BS598" s="242"/>
      <c r="BT598" s="241"/>
      <c r="BU598" s="244"/>
      <c r="BV598" s="33"/>
      <c r="BW598" s="242"/>
      <c r="BX598" s="241"/>
      <c r="BY598" s="244"/>
      <c r="BZ598" s="33"/>
      <c r="CA598" s="242"/>
      <c r="CB598" s="241"/>
      <c r="CC598" s="244"/>
      <c r="CD598" s="243"/>
      <c r="CE598" s="243"/>
      <c r="CF598" s="243"/>
      <c r="CG598" s="243"/>
      <c r="CH598" s="243"/>
      <c r="CI598" s="243"/>
      <c r="CJ598" s="243"/>
      <c r="CK598" s="243"/>
      <c r="CL598" s="243"/>
      <c r="CM598" s="243"/>
      <c r="CN598" s="243"/>
      <c r="CO598" s="243"/>
      <c r="CP598" s="243"/>
      <c r="CQ598" s="243"/>
      <c r="CR598" s="243"/>
      <c r="CS598" s="243"/>
      <c r="CT598" s="243"/>
      <c r="CU598" s="243"/>
      <c r="CV598" s="243"/>
      <c r="CW598" s="243"/>
      <c r="CX598" s="243"/>
      <c r="CY598" s="243"/>
      <c r="CZ598" s="243"/>
      <c r="DA598" s="243"/>
      <c r="DB598" s="243"/>
      <c r="DC598" s="243"/>
      <c r="DD598" s="243"/>
      <c r="DE598" s="243"/>
      <c r="DF598" s="243"/>
      <c r="DG598" s="243"/>
      <c r="DH598" s="243"/>
      <c r="DI598" s="243"/>
      <c r="DJ598" s="243"/>
      <c r="DK598" s="243"/>
      <c r="DM598" s="242"/>
      <c r="DO598" s="243"/>
      <c r="DQ598" s="242"/>
      <c r="DS598" s="243"/>
      <c r="DU598" s="242"/>
      <c r="DW598" s="243"/>
      <c r="DY598" s="242"/>
      <c r="EA598" s="243"/>
    </row>
    <row r="599" spans="1:131">
      <c r="A599" s="33"/>
      <c r="B599" s="33"/>
      <c r="C599" s="235"/>
      <c r="E599" s="90"/>
      <c r="F599" s="90"/>
      <c r="G599" s="33"/>
      <c r="J599" s="33"/>
      <c r="N599" s="33"/>
      <c r="Q599" s="243"/>
      <c r="R599" s="33"/>
      <c r="U599" s="244"/>
      <c r="V599" s="33"/>
      <c r="Y599" s="243"/>
      <c r="Z599" s="33"/>
      <c r="AC599" s="243"/>
      <c r="AD599" s="33"/>
      <c r="AG599" s="243"/>
      <c r="AH599" s="33"/>
      <c r="AK599" s="244"/>
      <c r="AL599" s="792"/>
      <c r="AM599" s="243"/>
      <c r="AN599" s="243"/>
      <c r="AO599" s="244"/>
      <c r="AP599" s="243"/>
      <c r="AQ599" s="243"/>
      <c r="AR599" s="243"/>
      <c r="AS599" s="244"/>
      <c r="AT599" s="243"/>
      <c r="AU599" s="243"/>
      <c r="AV599" s="243"/>
      <c r="AW599" s="244"/>
      <c r="AX599" s="243"/>
      <c r="AY599" s="243"/>
      <c r="AZ599" s="243"/>
      <c r="BA599" s="244"/>
      <c r="BB599" s="33"/>
      <c r="BE599" s="244"/>
      <c r="BF599" s="33"/>
      <c r="BI599" s="244"/>
      <c r="BJ599" s="33"/>
      <c r="BM599" s="244"/>
      <c r="BN599" s="243"/>
      <c r="BO599" s="243"/>
      <c r="BP599" s="243"/>
      <c r="BQ599" s="244"/>
      <c r="BR599" s="792"/>
      <c r="BS599" s="243"/>
      <c r="BT599" s="243"/>
      <c r="BU599" s="244"/>
      <c r="BV599" s="792"/>
      <c r="BW599" s="243"/>
      <c r="BX599" s="243"/>
      <c r="BY599" s="244"/>
      <c r="BZ599" s="792"/>
      <c r="CA599" s="243"/>
      <c r="CB599" s="243"/>
      <c r="CC599" s="244"/>
      <c r="CD599" s="243"/>
      <c r="CE599" s="243"/>
      <c r="CF599" s="243"/>
      <c r="CG599" s="243"/>
      <c r="CH599" s="243"/>
      <c r="CI599" s="243"/>
      <c r="CJ599" s="243"/>
      <c r="CK599" s="243"/>
      <c r="CL599" s="243"/>
      <c r="CM599" s="243"/>
      <c r="CN599" s="243"/>
      <c r="CO599" s="243"/>
      <c r="CP599" s="243"/>
      <c r="CQ599" s="243"/>
      <c r="CR599" s="243"/>
      <c r="CS599" s="243"/>
      <c r="CT599" s="243"/>
      <c r="CU599" s="243"/>
      <c r="CV599" s="243"/>
      <c r="CW599" s="243"/>
      <c r="CX599" s="243"/>
      <c r="CY599" s="243"/>
      <c r="CZ599" s="243"/>
      <c r="DA599" s="243"/>
      <c r="DB599" s="243"/>
      <c r="DC599" s="243"/>
      <c r="DD599" s="243"/>
      <c r="DE599" s="243"/>
      <c r="DF599" s="243"/>
      <c r="DG599" s="243"/>
      <c r="DH599" s="243"/>
      <c r="DI599" s="243"/>
      <c r="DJ599" s="243"/>
      <c r="DK599" s="243"/>
      <c r="DO599" s="243"/>
      <c r="DS599" s="243"/>
      <c r="DW599" s="243"/>
      <c r="EA599" s="243"/>
    </row>
    <row r="600" spans="1:131">
      <c r="A600" s="256" t="str">
        <f>IF((RIGHT(A583,1))&lt;&gt;"Z",CHAR(CODE(A583))&amp;CHAR(CODE(RIGHT(A583,1))+1),CHAR(CODE(A583)+1)&amp;"A")</f>
        <v>BI</v>
      </c>
      <c r="B600" s="270" t="str">
        <f>INDEX(SourceID,MATCH($A600,SourceNumber,0),1,1)</f>
        <v>B2 Kit-1</v>
      </c>
      <c r="C600" s="354">
        <f>INDEX(SourceExitDiameter,MATCH($A600,SourceNumber,0),1,1)*3.28*12</f>
        <v>39.084999999999994</v>
      </c>
      <c r="D600" s="24" t="str">
        <f>UAnem1percent</f>
        <v>1% Wind</v>
      </c>
      <c r="E600" s="350" t="e">
        <f ca="1">INDIRECT(ADDRESS(53,6,1,,CONCATENATE("TA",$A600)))</f>
        <v>#REF!</v>
      </c>
      <c r="F600" s="625" t="e">
        <f ca="1">(ROUND((INDIRECT(ADDRESS(15,7,1,,CONCATENATE("TA",$A600)))*3.28*12*32),0)&amp;"/32")</f>
        <v>#REF!</v>
      </c>
      <c r="G600" s="125">
        <f ca="1">INDIRECT(ADDRESS(29,7,1,,$A600))</f>
        <v>6.001707317073171</v>
      </c>
      <c r="H600" s="24" t="e">
        <f ca="1">INDIRECT(ADDRESS(19,7,1,,$A600))*100^3</f>
        <v>#VALUE!</v>
      </c>
      <c r="I600" s="941">
        <f ca="1">INDIRECT(ADDRESS(53,7,1,,$A600))</f>
        <v>0.97430000000000005</v>
      </c>
      <c r="J600" s="20" t="str">
        <f ca="1">IF($I600=$I$6,K$16&amp;$G$6&amp;J$6,IF($I600=$I$7,K$16&amp;$G$7&amp;J$7,"Bad"))</f>
        <v>100EthPick a Tunnel</v>
      </c>
      <c r="K600" t="e">
        <f ca="1">INDEX(FlowCalGasMixture,MATCH(J600,FlowCalNumber,0),1,1)</f>
        <v>#N/A</v>
      </c>
      <c r="M600" s="944" t="e">
        <f ca="1">INDEX(FlowCalDevice,MATCH(J600,FlowCalNumber,0),1,1)</f>
        <v>#N/A</v>
      </c>
      <c r="N600" s="943" t="str">
        <f ca="1">IF($I600=$I$6,O$16&amp;$G$6&amp;"90"&amp;$H$6&amp;N$6,IF($I600=$I$7,O$16&amp;$G$7&amp;"90"&amp;$H$7&amp;N$7,"Bad"))</f>
        <v>10Eth90N2Pick a Tunnel</v>
      </c>
      <c r="O600" t="e">
        <f ca="1">INDEX(FlowCalGasMixture,MATCH(N600,FlowCalNumber,0),1,1)</f>
        <v>#N/A</v>
      </c>
      <c r="Q600" s="944" t="e">
        <f ca="1">INDEX(FlowCalDevice,MATCH(N600,FlowCalNumber,0),1,1)</f>
        <v>#N/A</v>
      </c>
      <c r="R600" s="943" t="str">
        <f ca="1">IF($I600=$I$6,S$16&amp;$G$6&amp;"90"&amp;$H$6&amp;R$6,IF($I600=$I$7,S$16&amp;$G$7&amp;"90"&amp;$H$7&amp;R$7,"Bad"))</f>
        <v>10Eth90N2Pick a Tunnel</v>
      </c>
      <c r="S600" t="e">
        <f ca="1">INDEX(FlowCalGasMixture,MATCH(R600,FlowCalNumber,0),1,1)</f>
        <v>#N/A</v>
      </c>
      <c r="U600" s="944" t="e">
        <f ca="1">INDEX(FlowCalDevice,MATCH(R600,FlowCalNumber,0),1,1)</f>
        <v>#N/A</v>
      </c>
      <c r="V600" s="20" t="str">
        <f ca="1">IF($I600=$I$6,W$16&amp;$G$6&amp;V$6,IF($I600=$I$7,W$16&amp;$G$7&amp;V$7,"Bad"))</f>
        <v>100EthPick a Tunnel</v>
      </c>
      <c r="W600" t="e">
        <f ca="1">INDEX(FlowCalGasMixture,MATCH(V600,FlowCalNumber,0),1,1)</f>
        <v>#N/A</v>
      </c>
      <c r="Y600" s="944" t="e">
        <f ca="1">INDEX(FlowCalDevice,MATCH(V600,FlowCalNumber,0),1,1)</f>
        <v>#N/A</v>
      </c>
      <c r="Z600" s="946" t="str">
        <f ca="1">IF($I600=$I$6,AA$18&amp;$H$6&amp;Z$6,IF($I600=$I$7,AA$18&amp;$H$7&amp;Z$7,"Bad"))</f>
        <v>100N2Pick a Tunnel</v>
      </c>
      <c r="AA600" t="e">
        <f ca="1">INDEX(FlowCalGasMixture,MATCH(Z600,FlowCalNumber,0),1,1)</f>
        <v>#N/A</v>
      </c>
      <c r="AC600" s="944" t="e">
        <f ca="1">INDEX(FlowCalDevice,MATCH(Z600,FlowCalNumber,0),1,1)</f>
        <v>#N/A</v>
      </c>
      <c r="AD600" s="20" t="str">
        <f ca="1">IF($I600=$I$6,AE$16&amp;$G$6&amp;AD$6,IF($I600=$I$7,AE$16&amp;$G$7&amp;AD$7,"Bad"))</f>
        <v>100EthPick a Tunnel</v>
      </c>
      <c r="AE600" t="e">
        <f ca="1">INDEX(FlowCalGasMixture,MATCH(AD600,FlowCalNumber,0),1,1)</f>
        <v>#N/A</v>
      </c>
      <c r="AG600" s="944" t="e">
        <f ca="1">INDEX(FlowCalDevice,MATCH(AD600,FlowCalNumber,0),1,1)</f>
        <v>#N/A</v>
      </c>
      <c r="AH600" s="946" t="str">
        <f ca="1">IF($I600=$I$6,AI$18&amp;$H$6&amp;AH$6,IF($I600=$I$7,AI$18&amp;$H$7&amp;AH$7,"Bad"))</f>
        <v>100N2Pick a Tunnel</v>
      </c>
      <c r="AI600" t="e">
        <f ca="1">INDEX(FlowCalGasMixture,MATCH(AH600,FlowCalNumber,0),1,1)</f>
        <v>#N/A</v>
      </c>
      <c r="AK600" s="944" t="e">
        <f ca="1">INDEX(FlowCalDevice,MATCH(AH600,FlowCalNumber,0),1,1)</f>
        <v>#N/A</v>
      </c>
      <c r="AL600" s="20"/>
      <c r="AO600" s="982"/>
      <c r="AP600" s="960"/>
      <c r="AS600" s="982"/>
      <c r="AT600" s="20"/>
      <c r="AW600" s="982"/>
      <c r="AX600" s="946"/>
      <c r="BA600" s="982"/>
      <c r="BB600" s="20"/>
      <c r="BC600" s="16"/>
      <c r="BE600" s="982"/>
      <c r="BF600" s="946"/>
      <c r="BG600" s="16"/>
      <c r="BI600" s="982"/>
      <c r="BJ600" s="946"/>
      <c r="BK600" s="16"/>
      <c r="BM600" s="982"/>
      <c r="BN600" s="20"/>
      <c r="BO600" s="16"/>
      <c r="BQ600" s="982"/>
      <c r="BR600" s="946"/>
      <c r="BS600" s="16"/>
      <c r="BU600" s="982"/>
      <c r="BV600" s="946"/>
      <c r="BW600" s="16"/>
      <c r="BY600" s="982"/>
      <c r="BZ600" s="946"/>
      <c r="CA600" s="16"/>
      <c r="CC600" s="982"/>
      <c r="CD600" s="355"/>
      <c r="CE600" s="355"/>
      <c r="CF600" s="355"/>
      <c r="CG600" s="355"/>
      <c r="CH600" s="355"/>
      <c r="CI600" s="355"/>
      <c r="CJ600" s="355"/>
      <c r="CK600" s="355"/>
      <c r="CL600" s="355"/>
      <c r="CM600" s="355"/>
      <c r="CN600" s="355"/>
      <c r="CO600" s="355"/>
      <c r="CP600" s="355"/>
      <c r="CQ600" s="355"/>
      <c r="CR600" s="355"/>
      <c r="CS600" s="355"/>
      <c r="CT600" s="355"/>
      <c r="CU600" s="355"/>
      <c r="CV600" s="355"/>
      <c r="CW600" s="355"/>
      <c r="CX600" s="355"/>
      <c r="CY600" s="355"/>
      <c r="CZ600" s="355"/>
      <c r="DA600" s="355"/>
      <c r="DB600" s="355"/>
      <c r="DC600" s="355"/>
      <c r="DD600" s="355"/>
      <c r="DE600" s="355"/>
      <c r="DF600" s="355"/>
      <c r="DG600" s="355"/>
      <c r="DH600" s="355"/>
      <c r="DI600" s="355"/>
      <c r="DJ600" s="355"/>
      <c r="DK600" s="355"/>
      <c r="DL600" s="46"/>
      <c r="DM600" s="16"/>
      <c r="DO600" s="355"/>
      <c r="DP600" s="42"/>
      <c r="DQ600" s="16"/>
      <c r="DS600" s="355"/>
      <c r="DT600" s="42"/>
      <c r="DU600" s="16"/>
      <c r="DW600" s="355"/>
      <c r="DX600" s="42"/>
      <c r="DY600" s="16"/>
      <c r="EA600" s="355"/>
    </row>
    <row r="601" spans="1:131">
      <c r="A601" s="20"/>
      <c r="B601" s="124" t="str">
        <f t="shared" ref="B601:B615" si="566">IF(D601=UAnem1percent,"1% Wind","")</f>
        <v/>
      </c>
      <c r="C601" s="235"/>
      <c r="D601" s="24">
        <f>'1% Wind'!$M$82</f>
        <v>27</v>
      </c>
      <c r="E601" s="90"/>
      <c r="F601" s="90"/>
      <c r="G601" s="79">
        <f ca="1">IF(I600=0.9743,$G600,MAX(G600/D600*D601,2))</f>
        <v>6.001707317073171</v>
      </c>
      <c r="H601" s="121" t="e">
        <f t="shared" ref="H601:H615" ca="1" si="567">H600*(D600/D601)*(G601/G600)</f>
        <v>#VALUE!</v>
      </c>
      <c r="J601" s="33"/>
      <c r="K601" s="260">
        <f>K$17/100</f>
        <v>1</v>
      </c>
      <c r="L601" s="241" t="e">
        <f ca="1">K601*$H601</f>
        <v>#VALUE!</v>
      </c>
      <c r="M601" s="243" t="e">
        <f ca="1">IF(AND(INDEX(FlowCalConstA,MATCH(J600,FlowCalNumber,0),1,1)*L601^INDEX(FlowCalConstB,MATCH(J600,FlowCalNumber,0),1,1)&gt;INDEX(FlowCalLowSetting,MATCH(J600,FlowCalNumber,0),1,1), (INDEX(FlowCalConstA,MATCH(J600,FlowCalNumber,0),1,1)*L601^INDEX(FlowCalConstB,MATCH(J600,FlowCalNumber,0),1,1)&lt;INDEX(FlowCalHighSetting,MATCH(J600,FlowCalNumber,0),1,1))),INDEX(FlowCalConstA,MATCH(J600,FlowCalNumber,0),1,1)*L601^INDEX(FlowCalConstB,MATCH(J600,FlowCalNumber,0),1,1)," ")</f>
        <v>#N/A</v>
      </c>
      <c r="N601" s="33"/>
      <c r="O601" s="260">
        <f>O$17/100</f>
        <v>1</v>
      </c>
      <c r="P601" s="241" t="e">
        <f ca="1">O601*$H601</f>
        <v>#VALUE!</v>
      </c>
      <c r="Q601" s="243" t="e">
        <f ca="1">IF(AND(INDEX(FlowCalConstA,MATCH(N600,FlowCalNumber,0),1,1)*P601^INDEX(FlowCalConstB,MATCH(N600,FlowCalNumber,0),1,1)&gt;INDEX(FlowCalLowSetting,MATCH(N600,FlowCalNumber,0),1,1), (INDEX(FlowCalConstA,MATCH(N600,FlowCalNumber,0),1,1)*P601^INDEX(FlowCalConstB,MATCH(N600,FlowCalNumber,0),1,1)&lt;INDEX(FlowCalHighSetting,MATCH(N600,FlowCalNumber,0),1,1))),INDEX(FlowCalConstA,MATCH(N600,FlowCalNumber,0),1,1)*P601^INDEX(FlowCalConstB,MATCH(N600,FlowCalNumber,0),1,1)," ")</f>
        <v>#N/A</v>
      </c>
      <c r="R601" s="33"/>
      <c r="S601" s="260">
        <f>S$17/100</f>
        <v>1</v>
      </c>
      <c r="T601" s="241" t="e">
        <f ca="1">S601*$H601</f>
        <v>#VALUE!</v>
      </c>
      <c r="U601" s="244" t="e">
        <f ca="1">IF(AND(INDEX(FlowCalConstA,MATCH(R600,FlowCalNumber,0),1,1)*T601^INDEX(FlowCalConstB,MATCH(R600,FlowCalNumber,0),1,1)&gt;INDEX(FlowCalLowSetting,MATCH(R600,FlowCalNumber,0),1,1), (INDEX(FlowCalConstA,MATCH(R600,FlowCalNumber,0),1,1)*T601^INDEX(FlowCalConstB,MATCH(R600,FlowCalNumber,0),1,1)&lt;INDEX(FlowCalHighSetting,MATCH(R600,FlowCalNumber,0),1,1))),INDEX(FlowCalConstA,MATCH(R600,FlowCalNumber,0),1,1)*T601^INDEX(FlowCalConstB,MATCH(R600,FlowCalNumber,0),1,1)," ")</f>
        <v>#N/A</v>
      </c>
      <c r="V601" s="33"/>
      <c r="W601" s="260">
        <f>W$17/100</f>
        <v>0.1</v>
      </c>
      <c r="X601" s="241" t="e">
        <f ca="1">W601*$H601</f>
        <v>#VALUE!</v>
      </c>
      <c r="Y601" s="243" t="e">
        <f ca="1">IF(AND(INDEX(FlowCalConstA,MATCH(V600,FlowCalNumber,0),1,1)*X601^INDEX(FlowCalConstB,MATCH(V600,FlowCalNumber,0),1,1)&gt;INDEX(FlowCalLowSetting,MATCH(V600,FlowCalNumber,0),1,1), (INDEX(FlowCalConstA,MATCH(V600,FlowCalNumber,0),1,1)*X601^INDEX(FlowCalConstB,MATCH(V600,FlowCalNumber,0),1,1)&lt;INDEX(FlowCalHighSetting,MATCH(V600,FlowCalNumber,0),1,1))),INDEX(FlowCalConstA,MATCH(V600,FlowCalNumber,0),1,1)*X601^INDEX(FlowCalConstB,MATCH(V600,FlowCalNumber,0),1,1)," ")</f>
        <v>#N/A</v>
      </c>
      <c r="Z601" s="33"/>
      <c r="AA601" s="260">
        <f>AA$17/100</f>
        <v>0.9</v>
      </c>
      <c r="AB601" s="241" t="e">
        <f ca="1">AA601*$H601</f>
        <v>#VALUE!</v>
      </c>
      <c r="AC601" s="243" t="e">
        <f ca="1">IF(AND(INDEX(FlowCalConstA,MATCH(Z600,FlowCalNumber,0),1,1)*AB601^INDEX(FlowCalConstB,MATCH(Z600,FlowCalNumber,0),1,1)&gt;INDEX(FlowCalLowSetting,MATCH(Z600,FlowCalNumber,0),1,1), (INDEX(FlowCalConstA,MATCH(Z600,FlowCalNumber,0),1,1)*AB601^INDEX(FlowCalConstB,MATCH(Z600,FlowCalNumber,0),1,1)&lt;INDEX(FlowCalHighSetting,MATCH(Z600,FlowCalNumber,0),1,1))),INDEX(FlowCalConstA,MATCH(Z600,FlowCalNumber,0),1,1)*AB601^INDEX(FlowCalConstB,MATCH(Z600,FlowCalNumber,0),1,1)," ")</f>
        <v>#N/A</v>
      </c>
      <c r="AD601" s="33"/>
      <c r="AE601" s="260">
        <f>AE$17/100</f>
        <v>0.1</v>
      </c>
      <c r="AF601" s="241" t="e">
        <f ca="1">AE601*$H601</f>
        <v>#VALUE!</v>
      </c>
      <c r="AG601" s="243" t="e">
        <f ca="1">IF(AND(INDEX(FlowCalConstA,MATCH(AD600,FlowCalNumber,0),1,1)*AF601^INDEX(FlowCalConstB,MATCH(AD600,FlowCalNumber,0),1,1)&gt;INDEX(FlowCalLowSetting,MATCH(AD600,FlowCalNumber,0),1,1), (INDEX(FlowCalConstA,MATCH(AD600,FlowCalNumber,0),1,1)*AF601^INDEX(FlowCalConstB,MATCH(AD600,FlowCalNumber,0),1,1)&lt;INDEX(FlowCalHighSetting,MATCH(AD600,FlowCalNumber,0),1,1))),INDEX(FlowCalConstA,MATCH(AD600,FlowCalNumber,0),1,1)*AF601^INDEX(FlowCalConstB,MATCH(AD600,FlowCalNumber,0),1,1)," ")</f>
        <v>#N/A</v>
      </c>
      <c r="AH601" s="33"/>
      <c r="AI601" s="260">
        <f>AI$17/100</f>
        <v>0.9</v>
      </c>
      <c r="AJ601" s="241" t="e">
        <f ca="1">AI601*$H601</f>
        <v>#VALUE!</v>
      </c>
      <c r="AK601" s="243" t="e">
        <f ca="1">IF(AND(INDEX(FlowCalConstA,MATCH(AH600,FlowCalNumber,0),1,1)*AJ601^INDEX(FlowCalConstB,MATCH(AH600,FlowCalNumber,0),1,1)&gt;INDEX(FlowCalLowSetting,MATCH(AH600,FlowCalNumber,0),1,1), (INDEX(FlowCalConstA,MATCH(AH600,FlowCalNumber,0),1,1)*AJ601^INDEX(FlowCalConstB,MATCH(AH600,FlowCalNumber,0),1,1)&lt;INDEX(FlowCalHighSetting,MATCH(AH600,FlowCalNumber,0),1,1))),INDEX(FlowCalConstA,MATCH(AH600,FlowCalNumber,0),1,1)*AJ601^INDEX(FlowCalConstB,MATCH(AH600,FlowCalNumber,0),1,1)," ")</f>
        <v>#N/A</v>
      </c>
      <c r="AL601" s="33"/>
      <c r="AM601" s="260"/>
      <c r="AN601" s="241"/>
      <c r="AO601" s="244"/>
      <c r="AQ601" s="260"/>
      <c r="AR601" s="241"/>
      <c r="AS601" s="244"/>
      <c r="AT601" s="33"/>
      <c r="AU601" s="260"/>
      <c r="AV601" s="241"/>
      <c r="AW601" s="244"/>
      <c r="AX601" s="33"/>
      <c r="AY601" s="260"/>
      <c r="AZ601" s="241"/>
      <c r="BA601" s="244"/>
      <c r="BB601" s="33"/>
      <c r="BC601" s="260"/>
      <c r="BD601" s="241"/>
      <c r="BE601" s="244"/>
      <c r="BF601" s="33"/>
      <c r="BG601" s="260"/>
      <c r="BH601" s="241"/>
      <c r="BI601" s="244"/>
      <c r="BJ601" s="33"/>
      <c r="BK601" s="260"/>
      <c r="BL601" s="241"/>
      <c r="BM601" s="244"/>
      <c r="BN601" s="33"/>
      <c r="BO601" s="260"/>
      <c r="BP601" s="241"/>
      <c r="BQ601" s="244"/>
      <c r="BR601" s="33"/>
      <c r="BS601" s="260"/>
      <c r="BT601" s="241"/>
      <c r="BU601" s="244"/>
      <c r="BV601" s="33"/>
      <c r="BW601" s="260"/>
      <c r="BX601" s="241"/>
      <c r="BY601" s="244"/>
      <c r="BZ601" s="33"/>
      <c r="CA601" s="260"/>
      <c r="CB601" s="241"/>
      <c r="CC601" s="244"/>
      <c r="CD601" s="243"/>
      <c r="CE601" s="243"/>
      <c r="CF601" s="243"/>
      <c r="CG601" s="243"/>
      <c r="CH601" s="243"/>
      <c r="CI601" s="243"/>
      <c r="CJ601" s="243"/>
      <c r="CK601" s="243"/>
      <c r="CL601" s="243"/>
      <c r="CM601" s="243"/>
      <c r="CN601" s="243"/>
      <c r="CO601" s="243"/>
      <c r="CP601" s="243"/>
      <c r="CQ601" s="243"/>
      <c r="CR601" s="243"/>
      <c r="CS601" s="243"/>
      <c r="CT601" s="243"/>
      <c r="CU601" s="243"/>
      <c r="CV601" s="243"/>
      <c r="CW601" s="243"/>
      <c r="CX601" s="243"/>
      <c r="CY601" s="243"/>
      <c r="CZ601" s="243"/>
      <c r="DA601" s="243"/>
      <c r="DB601" s="243"/>
      <c r="DC601" s="243"/>
      <c r="DD601" s="243"/>
      <c r="DE601" s="243"/>
      <c r="DF601" s="243"/>
      <c r="DG601" s="243"/>
      <c r="DH601" s="243"/>
      <c r="DI601" s="243"/>
      <c r="DJ601" s="243"/>
      <c r="DK601" s="243"/>
      <c r="DM601" s="259"/>
      <c r="DO601" s="243"/>
      <c r="DQ601" s="259"/>
      <c r="DS601" s="243"/>
      <c r="DU601" s="259"/>
      <c r="DW601" s="243"/>
      <c r="DY601" s="260"/>
      <c r="EA601" s="243"/>
    </row>
    <row r="602" spans="1:131">
      <c r="A602" s="20"/>
      <c r="B602" s="124" t="str">
        <f t="shared" si="566"/>
        <v/>
      </c>
      <c r="C602" s="235"/>
      <c r="D602" s="24">
        <f>'1% Wind'!$M$83</f>
        <v>23.5</v>
      </c>
      <c r="E602" s="90"/>
      <c r="F602" s="90"/>
      <c r="G602" s="79">
        <f ca="1">IF(I600=0.9743,$G601,MAX(G601/D601*D602,2))</f>
        <v>6.001707317073171</v>
      </c>
      <c r="H602" s="121" t="e">
        <f t="shared" ca="1" si="567"/>
        <v>#VALUE!</v>
      </c>
      <c r="J602" s="33"/>
      <c r="K602" s="242">
        <f t="shared" ref="K602:K615" si="568">K601</f>
        <v>1</v>
      </c>
      <c r="L602" s="241" t="e">
        <f t="shared" ref="L602:L615" ca="1" si="569">K602*$H602</f>
        <v>#VALUE!</v>
      </c>
      <c r="M602" s="243" t="e">
        <f ca="1">IF(AND(INDEX(FlowCalConstA,MATCH(J600,FlowCalNumber,0),1,1)*L602^INDEX(FlowCalConstB,MATCH(J600,FlowCalNumber,0),1,1)&gt;INDEX(FlowCalLowSetting,MATCH(J600,FlowCalNumber,0),1,1), (INDEX(FlowCalConstA,MATCH(J600,FlowCalNumber,0),1,1)*L602^INDEX(FlowCalConstB,MATCH(J600,FlowCalNumber,0),1,1)&lt;INDEX(FlowCalHighSetting,MATCH(J600,FlowCalNumber,0),1,1))),INDEX(FlowCalConstA,MATCH(J600,FlowCalNumber,0),1,1)*L602^INDEX(FlowCalConstB,MATCH(J600,FlowCalNumber,0),1,1)," ")</f>
        <v>#N/A</v>
      </c>
      <c r="N602" s="33"/>
      <c r="O602" s="242">
        <f t="shared" ref="O602:O615" si="570">O601</f>
        <v>1</v>
      </c>
      <c r="P602" s="241" t="e">
        <f t="shared" ref="P602:P615" ca="1" si="571">O602*$H602</f>
        <v>#VALUE!</v>
      </c>
      <c r="Q602" s="243" t="e">
        <f ca="1">IF(AND(INDEX(FlowCalConstA,MATCH(N600,FlowCalNumber,0),1,1)*P602^INDEX(FlowCalConstB,MATCH(N600,FlowCalNumber,0),1,1)&gt;INDEX(FlowCalLowSetting,MATCH(N600,FlowCalNumber,0),1,1), (INDEX(FlowCalConstA,MATCH(N600,FlowCalNumber,0),1,1)*P602^INDEX(FlowCalConstB,MATCH(N600,FlowCalNumber,0),1,1)&lt;INDEX(FlowCalHighSetting,MATCH(N600,FlowCalNumber,0),1,1))),INDEX(FlowCalConstA,MATCH(N600,FlowCalNumber,0),1,1)*P602^INDEX(FlowCalConstB,MATCH(N600,FlowCalNumber,0),1,1)," ")</f>
        <v>#N/A</v>
      </c>
      <c r="R602" s="33"/>
      <c r="S602" s="242">
        <f t="shared" ref="S602:S615" si="572">S601</f>
        <v>1</v>
      </c>
      <c r="T602" s="241" t="e">
        <f t="shared" ref="T602:T615" ca="1" si="573">S602*$H602</f>
        <v>#VALUE!</v>
      </c>
      <c r="U602" s="244" t="e">
        <f ca="1">IF(AND(INDEX(FlowCalConstA,MATCH(R600,FlowCalNumber,0),1,1)*T602^INDEX(FlowCalConstB,MATCH(R600,FlowCalNumber,0),1,1)&gt;INDEX(FlowCalLowSetting,MATCH(R600,FlowCalNumber,0),1,1), (INDEX(FlowCalConstA,MATCH(R600,FlowCalNumber,0),1,1)*T602^INDEX(FlowCalConstB,MATCH(R600,FlowCalNumber,0),1,1)&lt;INDEX(FlowCalHighSetting,MATCH(R600,FlowCalNumber,0),1,1))),INDEX(FlowCalConstA,MATCH(R600,FlowCalNumber,0),1,1)*T602^INDEX(FlowCalConstB,MATCH(R600,FlowCalNumber,0),1,1)," ")</f>
        <v>#N/A</v>
      </c>
      <c r="V602" s="33"/>
      <c r="W602" s="242">
        <f t="shared" ref="W602:W615" si="574">W601</f>
        <v>0.1</v>
      </c>
      <c r="X602" s="241" t="e">
        <f t="shared" ref="X602:X615" ca="1" si="575">W602*$H602</f>
        <v>#VALUE!</v>
      </c>
      <c r="Y602" s="243" t="e">
        <f ca="1">IF(AND(INDEX(FlowCalConstA,MATCH(V600,FlowCalNumber,0),1,1)*X602^INDEX(FlowCalConstB,MATCH(V600,FlowCalNumber,0),1,1)&gt;INDEX(FlowCalLowSetting,MATCH(V600,FlowCalNumber,0),1,1), (INDEX(FlowCalConstA,MATCH(V600,FlowCalNumber,0),1,1)*X602^INDEX(FlowCalConstB,MATCH(V600,FlowCalNumber,0),1,1)&lt;INDEX(FlowCalHighSetting,MATCH(V600,FlowCalNumber,0),1,1))),INDEX(FlowCalConstA,MATCH(V600,FlowCalNumber,0),1,1)*X602^INDEX(FlowCalConstB,MATCH(V600,FlowCalNumber,0),1,1)," ")</f>
        <v>#N/A</v>
      </c>
      <c r="Z602" s="33"/>
      <c r="AA602" s="242">
        <f t="shared" ref="AA602:AA615" si="576">AA601</f>
        <v>0.9</v>
      </c>
      <c r="AB602" s="241" t="e">
        <f t="shared" ref="AB602:AB615" ca="1" si="577">AA602*$H602</f>
        <v>#VALUE!</v>
      </c>
      <c r="AC602" s="243" t="e">
        <f ca="1">IF(AND(INDEX(FlowCalConstA,MATCH(Z600,FlowCalNumber,0),1,1)*AB602^INDEX(FlowCalConstB,MATCH(Z600,FlowCalNumber,0),1,1)&gt;INDEX(FlowCalLowSetting,MATCH(Z600,FlowCalNumber,0),1,1), (INDEX(FlowCalConstA,MATCH(Z600,FlowCalNumber,0),1,1)*AB602^INDEX(FlowCalConstB,MATCH(Z600,FlowCalNumber,0),1,1)&lt;INDEX(FlowCalHighSetting,MATCH(Z600,FlowCalNumber,0),1,1))),INDEX(FlowCalConstA,MATCH(Z600,FlowCalNumber,0),1,1)*AB602^INDEX(FlowCalConstB,MATCH(Z600,FlowCalNumber,0),1,1)," ")</f>
        <v>#N/A</v>
      </c>
      <c r="AD602" s="33"/>
      <c r="AE602" s="242">
        <f t="shared" ref="AE602:AE615" si="578">AE601</f>
        <v>0.1</v>
      </c>
      <c r="AF602" s="241" t="e">
        <f t="shared" ref="AF602:AF615" ca="1" si="579">AE602*$H602</f>
        <v>#VALUE!</v>
      </c>
      <c r="AG602" s="243" t="e">
        <f ca="1">IF(AND(INDEX(FlowCalConstA,MATCH(AD600,FlowCalNumber,0),1,1)*AF602^INDEX(FlowCalConstB,MATCH(AD600,FlowCalNumber,0),1,1)&gt;INDEX(FlowCalLowSetting,MATCH(AD600,FlowCalNumber,0),1,1), (INDEX(FlowCalConstA,MATCH(AD600,FlowCalNumber,0),1,1)*AF602^INDEX(FlowCalConstB,MATCH(AD600,FlowCalNumber,0),1,1)&lt;INDEX(FlowCalHighSetting,MATCH(AD600,FlowCalNumber,0),1,1))),INDEX(FlowCalConstA,MATCH(AD600,FlowCalNumber,0),1,1)*AF602^INDEX(FlowCalConstB,MATCH(AD600,FlowCalNumber,0),1,1)," ")</f>
        <v>#N/A</v>
      </c>
      <c r="AH602" s="33"/>
      <c r="AI602" s="242">
        <f t="shared" ref="AI602:AI615" si="580">AI601</f>
        <v>0.9</v>
      </c>
      <c r="AJ602" s="241" t="e">
        <f t="shared" ref="AJ602:AJ615" ca="1" si="581">AI602*$H602</f>
        <v>#VALUE!</v>
      </c>
      <c r="AK602" s="243" t="e">
        <f ca="1">IF(AND(INDEX(FlowCalConstA,MATCH(AH600,FlowCalNumber,0),1,1)*AJ602^INDEX(FlowCalConstB,MATCH(AH600,FlowCalNumber,0),1,1)&gt;INDEX(FlowCalLowSetting,MATCH(AH600,FlowCalNumber,0),1,1), (INDEX(FlowCalConstA,MATCH(AH600,FlowCalNumber,0),1,1)*AJ602^INDEX(FlowCalConstB,MATCH(AH600,FlowCalNumber,0),1,1)&lt;INDEX(FlowCalHighSetting,MATCH(AH600,FlowCalNumber,0),1,1))),INDEX(FlowCalConstA,MATCH(AH600,FlowCalNumber,0),1,1)*AJ602^INDEX(FlowCalConstB,MATCH(AH600,FlowCalNumber,0),1,1)," ")</f>
        <v>#N/A</v>
      </c>
      <c r="AL602" s="33"/>
      <c r="AM602" s="242"/>
      <c r="AN602" s="241"/>
      <c r="AO602" s="244"/>
      <c r="AQ602" s="242"/>
      <c r="AR602" s="241"/>
      <c r="AS602" s="244"/>
      <c r="AT602" s="33"/>
      <c r="AU602" s="242"/>
      <c r="AV602" s="241"/>
      <c r="AW602" s="244"/>
      <c r="AX602" s="33"/>
      <c r="AY602" s="242"/>
      <c r="AZ602" s="241"/>
      <c r="BA602" s="244"/>
      <c r="BB602" s="33"/>
      <c r="BC602" s="242"/>
      <c r="BD602" s="241"/>
      <c r="BE602" s="244"/>
      <c r="BF602" s="33"/>
      <c r="BG602" s="242"/>
      <c r="BH602" s="241"/>
      <c r="BI602" s="244"/>
      <c r="BJ602" s="33"/>
      <c r="BK602" s="242"/>
      <c r="BL602" s="241"/>
      <c r="BM602" s="244"/>
      <c r="BN602" s="33"/>
      <c r="BO602" s="242"/>
      <c r="BP602" s="241"/>
      <c r="BQ602" s="244"/>
      <c r="BR602" s="33"/>
      <c r="BS602" s="242"/>
      <c r="BT602" s="241"/>
      <c r="BU602" s="244"/>
      <c r="BV602" s="33"/>
      <c r="BW602" s="242"/>
      <c r="BX602" s="241"/>
      <c r="BY602" s="244"/>
      <c r="BZ602" s="33"/>
      <c r="CA602" s="242"/>
      <c r="CB602" s="241"/>
      <c r="CC602" s="244"/>
      <c r="CD602" s="243"/>
      <c r="CE602" s="243"/>
      <c r="CF602" s="243"/>
      <c r="CG602" s="243"/>
      <c r="CH602" s="243"/>
      <c r="CI602" s="243"/>
      <c r="CJ602" s="243"/>
      <c r="CK602" s="243"/>
      <c r="CL602" s="243"/>
      <c r="CM602" s="243"/>
      <c r="CN602" s="243"/>
      <c r="CO602" s="243"/>
      <c r="CP602" s="243"/>
      <c r="CQ602" s="243"/>
      <c r="CR602" s="243"/>
      <c r="CS602" s="243"/>
      <c r="CT602" s="243"/>
      <c r="CU602" s="243"/>
      <c r="CV602" s="243"/>
      <c r="CW602" s="243"/>
      <c r="CX602" s="243"/>
      <c r="CY602" s="243"/>
      <c r="CZ602" s="243"/>
      <c r="DA602" s="243"/>
      <c r="DB602" s="243"/>
      <c r="DC602" s="243"/>
      <c r="DD602" s="243"/>
      <c r="DE602" s="243"/>
      <c r="DF602" s="243"/>
      <c r="DG602" s="243"/>
      <c r="DH602" s="243"/>
      <c r="DI602" s="243"/>
      <c r="DJ602" s="243"/>
      <c r="DK602" s="243"/>
      <c r="DM602" s="242"/>
      <c r="DO602" s="243"/>
      <c r="DQ602" s="242"/>
      <c r="DS602" s="243"/>
      <c r="DU602" s="242"/>
      <c r="DW602" s="243"/>
      <c r="DY602" s="242"/>
      <c r="EA602" s="243"/>
    </row>
    <row r="603" spans="1:131">
      <c r="A603" s="20"/>
      <c r="B603" s="124" t="str">
        <f t="shared" si="566"/>
        <v/>
      </c>
      <c r="C603" s="235"/>
      <c r="D603" s="24">
        <f>'1% Wind'!$M$84</f>
        <v>20.5</v>
      </c>
      <c r="E603" s="90"/>
      <c r="F603" s="90"/>
      <c r="G603" s="79">
        <f ca="1">IF(I600=0.9743,$G602,MAX(G602/D602*D603,2))</f>
        <v>6.001707317073171</v>
      </c>
      <c r="H603" s="121" t="e">
        <f t="shared" ca="1" si="567"/>
        <v>#VALUE!</v>
      </c>
      <c r="J603" s="33"/>
      <c r="K603" s="242">
        <f t="shared" si="568"/>
        <v>1</v>
      </c>
      <c r="L603" s="241" t="e">
        <f t="shared" ca="1" si="569"/>
        <v>#VALUE!</v>
      </c>
      <c r="M603" s="243" t="e">
        <f ca="1">IF(AND(INDEX(FlowCalConstA,MATCH(J600,FlowCalNumber,0),1,1)*L603^INDEX(FlowCalConstB,MATCH(J600,FlowCalNumber,0),1,1)&gt;INDEX(FlowCalLowSetting,MATCH(J600,FlowCalNumber,0),1,1), (INDEX(FlowCalConstA,MATCH(J600,FlowCalNumber,0),1,1)*L603^INDEX(FlowCalConstB,MATCH(J600,FlowCalNumber,0),1,1)&lt;INDEX(FlowCalHighSetting,MATCH(J600,FlowCalNumber,0),1,1))),INDEX(FlowCalConstA,MATCH(J600,FlowCalNumber,0),1,1)*L603^INDEX(FlowCalConstB,MATCH(J600,FlowCalNumber,0),1,1)," ")</f>
        <v>#N/A</v>
      </c>
      <c r="N603" s="33"/>
      <c r="O603" s="242">
        <f t="shared" si="570"/>
        <v>1</v>
      </c>
      <c r="P603" s="241" t="e">
        <f t="shared" ca="1" si="571"/>
        <v>#VALUE!</v>
      </c>
      <c r="Q603" s="243" t="e">
        <f ca="1">IF(AND(INDEX(FlowCalConstA,MATCH(N600,FlowCalNumber,0),1,1)*P603^INDEX(FlowCalConstB,MATCH(N600,FlowCalNumber,0),1,1)&gt;INDEX(FlowCalLowSetting,MATCH(N600,FlowCalNumber,0),1,1), (INDEX(FlowCalConstA,MATCH(N600,FlowCalNumber,0),1,1)*P603^INDEX(FlowCalConstB,MATCH(N600,FlowCalNumber,0),1,1)&lt;INDEX(FlowCalHighSetting,MATCH(N600,FlowCalNumber,0),1,1))),INDEX(FlowCalConstA,MATCH(N600,FlowCalNumber,0),1,1)*P603^INDEX(FlowCalConstB,MATCH(N600,FlowCalNumber,0),1,1)," ")</f>
        <v>#N/A</v>
      </c>
      <c r="R603" s="33"/>
      <c r="S603" s="242">
        <f t="shared" si="572"/>
        <v>1</v>
      </c>
      <c r="T603" s="241" t="e">
        <f t="shared" ca="1" si="573"/>
        <v>#VALUE!</v>
      </c>
      <c r="U603" s="244" t="e">
        <f ca="1">IF(AND(INDEX(FlowCalConstA,MATCH(R600,FlowCalNumber,0),1,1)*T603^INDEX(FlowCalConstB,MATCH(R600,FlowCalNumber,0),1,1)&gt;INDEX(FlowCalLowSetting,MATCH(R600,FlowCalNumber,0),1,1), (INDEX(FlowCalConstA,MATCH(R600,FlowCalNumber,0),1,1)*T603^INDEX(FlowCalConstB,MATCH(R600,FlowCalNumber,0),1,1)&lt;INDEX(FlowCalHighSetting,MATCH(R600,FlowCalNumber,0),1,1))),INDEX(FlowCalConstA,MATCH(R600,FlowCalNumber,0),1,1)*T603^INDEX(FlowCalConstB,MATCH(R600,FlowCalNumber,0),1,1)," ")</f>
        <v>#N/A</v>
      </c>
      <c r="V603" s="33"/>
      <c r="W603" s="242">
        <f t="shared" si="574"/>
        <v>0.1</v>
      </c>
      <c r="X603" s="241" t="e">
        <f t="shared" ca="1" si="575"/>
        <v>#VALUE!</v>
      </c>
      <c r="Y603" s="243" t="e">
        <f ca="1">IF(AND(INDEX(FlowCalConstA,MATCH(V600,FlowCalNumber,0),1,1)*X603^INDEX(FlowCalConstB,MATCH(V600,FlowCalNumber,0),1,1)&gt;INDEX(FlowCalLowSetting,MATCH(V600,FlowCalNumber,0),1,1), (INDEX(FlowCalConstA,MATCH(V600,FlowCalNumber,0),1,1)*X603^INDEX(FlowCalConstB,MATCH(V600,FlowCalNumber,0),1,1)&lt;INDEX(FlowCalHighSetting,MATCH(V600,FlowCalNumber,0),1,1))),INDEX(FlowCalConstA,MATCH(V600,FlowCalNumber,0),1,1)*X603^INDEX(FlowCalConstB,MATCH(V600,FlowCalNumber,0),1,1)," ")</f>
        <v>#N/A</v>
      </c>
      <c r="Z603" s="33"/>
      <c r="AA603" s="242">
        <f t="shared" si="576"/>
        <v>0.9</v>
      </c>
      <c r="AB603" s="241" t="e">
        <f t="shared" ca="1" si="577"/>
        <v>#VALUE!</v>
      </c>
      <c r="AC603" s="243" t="e">
        <f ca="1">IF(AND(INDEX(FlowCalConstA,MATCH(Z600,FlowCalNumber,0),1,1)*AB603^INDEX(FlowCalConstB,MATCH(Z600,FlowCalNumber,0),1,1)&gt;INDEX(FlowCalLowSetting,MATCH(Z600,FlowCalNumber,0),1,1), (INDEX(FlowCalConstA,MATCH(Z600,FlowCalNumber,0),1,1)*AB603^INDEX(FlowCalConstB,MATCH(Z600,FlowCalNumber,0),1,1)&lt;INDEX(FlowCalHighSetting,MATCH(Z600,FlowCalNumber,0),1,1))),INDEX(FlowCalConstA,MATCH(Z600,FlowCalNumber,0),1,1)*AB603^INDEX(FlowCalConstB,MATCH(Z600,FlowCalNumber,0),1,1)," ")</f>
        <v>#N/A</v>
      </c>
      <c r="AD603" s="33"/>
      <c r="AE603" s="242">
        <f t="shared" si="578"/>
        <v>0.1</v>
      </c>
      <c r="AF603" s="241" t="e">
        <f t="shared" ca="1" si="579"/>
        <v>#VALUE!</v>
      </c>
      <c r="AG603" s="243" t="e">
        <f ca="1">IF(AND(INDEX(FlowCalConstA,MATCH(AD600,FlowCalNumber,0),1,1)*AF603^INDEX(FlowCalConstB,MATCH(AD600,FlowCalNumber,0),1,1)&gt;INDEX(FlowCalLowSetting,MATCH(AD600,FlowCalNumber,0),1,1), (INDEX(FlowCalConstA,MATCH(AD600,FlowCalNumber,0),1,1)*AF603^INDEX(FlowCalConstB,MATCH(AD600,FlowCalNumber,0),1,1)&lt;INDEX(FlowCalHighSetting,MATCH(AD600,FlowCalNumber,0),1,1))),INDEX(FlowCalConstA,MATCH(AD600,FlowCalNumber,0),1,1)*AF603^INDEX(FlowCalConstB,MATCH(AD600,FlowCalNumber,0),1,1)," ")</f>
        <v>#N/A</v>
      </c>
      <c r="AH603" s="33"/>
      <c r="AI603" s="242">
        <f t="shared" si="580"/>
        <v>0.9</v>
      </c>
      <c r="AJ603" s="241" t="e">
        <f t="shared" ca="1" si="581"/>
        <v>#VALUE!</v>
      </c>
      <c r="AK603" s="243" t="e">
        <f ca="1">IF(AND(INDEX(FlowCalConstA,MATCH(AH600,FlowCalNumber,0),1,1)*AJ603^INDEX(FlowCalConstB,MATCH(AH600,FlowCalNumber,0),1,1)&gt;INDEX(FlowCalLowSetting,MATCH(AH600,FlowCalNumber,0),1,1), (INDEX(FlowCalConstA,MATCH(AH600,FlowCalNumber,0),1,1)*AJ603^INDEX(FlowCalConstB,MATCH(AH600,FlowCalNumber,0),1,1)&lt;INDEX(FlowCalHighSetting,MATCH(AH600,FlowCalNumber,0),1,1))),INDEX(FlowCalConstA,MATCH(AH600,FlowCalNumber,0),1,1)*AJ603^INDEX(FlowCalConstB,MATCH(AH600,FlowCalNumber,0),1,1)," ")</f>
        <v>#N/A</v>
      </c>
      <c r="AL603" s="33"/>
      <c r="AM603" s="242"/>
      <c r="AN603" s="241"/>
      <c r="AO603" s="244"/>
      <c r="AQ603" s="242"/>
      <c r="AR603" s="241"/>
      <c r="AS603" s="244"/>
      <c r="AT603" s="33"/>
      <c r="AU603" s="242"/>
      <c r="AV603" s="241"/>
      <c r="AW603" s="244"/>
      <c r="AX603" s="33"/>
      <c r="AY603" s="242"/>
      <c r="AZ603" s="241"/>
      <c r="BA603" s="244"/>
      <c r="BB603" s="33"/>
      <c r="BC603" s="242"/>
      <c r="BD603" s="241"/>
      <c r="BE603" s="244"/>
      <c r="BF603" s="33"/>
      <c r="BG603" s="242"/>
      <c r="BH603" s="241"/>
      <c r="BI603" s="244"/>
      <c r="BJ603" s="33"/>
      <c r="BK603" s="242"/>
      <c r="BL603" s="241"/>
      <c r="BM603" s="244"/>
      <c r="BN603" s="33"/>
      <c r="BO603" s="242"/>
      <c r="BP603" s="241"/>
      <c r="BQ603" s="244"/>
      <c r="BR603" s="33"/>
      <c r="BS603" s="242"/>
      <c r="BT603" s="241"/>
      <c r="BU603" s="244"/>
      <c r="BV603" s="33"/>
      <c r="BW603" s="242"/>
      <c r="BX603" s="241"/>
      <c r="BY603" s="244"/>
      <c r="BZ603" s="33"/>
      <c r="CA603" s="242"/>
      <c r="CB603" s="241"/>
      <c r="CC603" s="244"/>
      <c r="CD603" s="243"/>
      <c r="CE603" s="243"/>
      <c r="CF603" s="243"/>
      <c r="CG603" s="243"/>
      <c r="CH603" s="243"/>
      <c r="CI603" s="243"/>
      <c r="CJ603" s="243"/>
      <c r="CK603" s="243"/>
      <c r="CL603" s="243"/>
      <c r="CM603" s="243"/>
      <c r="CN603" s="243"/>
      <c r="CO603" s="243"/>
      <c r="CP603" s="243"/>
      <c r="CQ603" s="243"/>
      <c r="CR603" s="243"/>
      <c r="CS603" s="243"/>
      <c r="CT603" s="243"/>
      <c r="CU603" s="243"/>
      <c r="CV603" s="243"/>
      <c r="CW603" s="243"/>
      <c r="CX603" s="243"/>
      <c r="CY603" s="243"/>
      <c r="CZ603" s="243"/>
      <c r="DA603" s="243"/>
      <c r="DB603" s="243"/>
      <c r="DC603" s="243"/>
      <c r="DD603" s="243"/>
      <c r="DE603" s="243"/>
      <c r="DF603" s="243"/>
      <c r="DG603" s="243"/>
      <c r="DH603" s="243"/>
      <c r="DI603" s="243"/>
      <c r="DJ603" s="243"/>
      <c r="DK603" s="243"/>
      <c r="DM603" s="242"/>
      <c r="DO603" s="243"/>
      <c r="DQ603" s="242"/>
      <c r="DS603" s="243"/>
      <c r="DU603" s="242"/>
      <c r="DW603" s="243"/>
      <c r="DY603" s="242"/>
      <c r="EA603" s="243"/>
    </row>
    <row r="604" spans="1:131">
      <c r="A604" s="20"/>
      <c r="B604" s="124" t="str">
        <f t="shared" si="566"/>
        <v/>
      </c>
      <c r="C604" s="235"/>
      <c r="D604" s="24">
        <f>'1% Wind'!$M$85</f>
        <v>17.8</v>
      </c>
      <c r="E604" s="90"/>
      <c r="F604" s="90"/>
      <c r="G604" s="79">
        <f ca="1">IF(I600=0.9743,$G603,MAX(G603/D603*D604,2))</f>
        <v>6.001707317073171</v>
      </c>
      <c r="H604" s="121" t="e">
        <f t="shared" ca="1" si="567"/>
        <v>#VALUE!</v>
      </c>
      <c r="J604" s="33"/>
      <c r="K604" s="242">
        <f t="shared" si="568"/>
        <v>1</v>
      </c>
      <c r="L604" s="241" t="e">
        <f t="shared" ca="1" si="569"/>
        <v>#VALUE!</v>
      </c>
      <c r="M604" s="243" t="e">
        <f ca="1">IF(AND(INDEX(FlowCalConstA,MATCH(J600,FlowCalNumber,0),1,1)*L604^INDEX(FlowCalConstB,MATCH(J600,FlowCalNumber,0),1,1)&gt;INDEX(FlowCalLowSetting,MATCH(J600,FlowCalNumber,0),1,1), (INDEX(FlowCalConstA,MATCH(J600,FlowCalNumber,0),1,1)*L604^INDEX(FlowCalConstB,MATCH(J600,FlowCalNumber,0),1,1)&lt;INDEX(FlowCalHighSetting,MATCH(J600,FlowCalNumber,0),1,1))),INDEX(FlowCalConstA,MATCH(J600,FlowCalNumber,0),1,1)*L604^INDEX(FlowCalConstB,MATCH(J600,FlowCalNumber,0),1,1)," ")</f>
        <v>#N/A</v>
      </c>
      <c r="N604" s="33"/>
      <c r="O604" s="242">
        <f t="shared" si="570"/>
        <v>1</v>
      </c>
      <c r="P604" s="241" t="e">
        <f t="shared" ca="1" si="571"/>
        <v>#VALUE!</v>
      </c>
      <c r="Q604" s="243" t="e">
        <f ca="1">IF(AND(INDEX(FlowCalConstA,MATCH(N600,FlowCalNumber,0),1,1)*P604^INDEX(FlowCalConstB,MATCH(N600,FlowCalNumber,0),1,1)&gt;INDEX(FlowCalLowSetting,MATCH(N600,FlowCalNumber,0),1,1), (INDEX(FlowCalConstA,MATCH(N600,FlowCalNumber,0),1,1)*P604^INDEX(FlowCalConstB,MATCH(N600,FlowCalNumber,0),1,1)&lt;INDEX(FlowCalHighSetting,MATCH(N600,FlowCalNumber,0),1,1))),INDEX(FlowCalConstA,MATCH(N600,FlowCalNumber,0),1,1)*P604^INDEX(FlowCalConstB,MATCH(N600,FlowCalNumber,0),1,1)," ")</f>
        <v>#N/A</v>
      </c>
      <c r="R604" s="33"/>
      <c r="S604" s="242">
        <f t="shared" si="572"/>
        <v>1</v>
      </c>
      <c r="T604" s="241" t="e">
        <f t="shared" ca="1" si="573"/>
        <v>#VALUE!</v>
      </c>
      <c r="U604" s="244" t="e">
        <f ca="1">IF(AND(INDEX(FlowCalConstA,MATCH(R600,FlowCalNumber,0),1,1)*T604^INDEX(FlowCalConstB,MATCH(R600,FlowCalNumber,0),1,1)&gt;INDEX(FlowCalLowSetting,MATCH(R600,FlowCalNumber,0),1,1), (INDEX(FlowCalConstA,MATCH(R600,FlowCalNumber,0),1,1)*T604^INDEX(FlowCalConstB,MATCH(R600,FlowCalNumber,0),1,1)&lt;INDEX(FlowCalHighSetting,MATCH(R600,FlowCalNumber,0),1,1))),INDEX(FlowCalConstA,MATCH(R600,FlowCalNumber,0),1,1)*T604^INDEX(FlowCalConstB,MATCH(R600,FlowCalNumber,0),1,1)," ")</f>
        <v>#N/A</v>
      </c>
      <c r="V604" s="33"/>
      <c r="W604" s="242">
        <f t="shared" si="574"/>
        <v>0.1</v>
      </c>
      <c r="X604" s="241" t="e">
        <f t="shared" ca="1" si="575"/>
        <v>#VALUE!</v>
      </c>
      <c r="Y604" s="243" t="e">
        <f ca="1">IF(AND(INDEX(FlowCalConstA,MATCH(V600,FlowCalNumber,0),1,1)*X604^INDEX(FlowCalConstB,MATCH(V600,FlowCalNumber,0),1,1)&gt;INDEX(FlowCalLowSetting,MATCH(V600,FlowCalNumber,0),1,1), (INDEX(FlowCalConstA,MATCH(V600,FlowCalNumber,0),1,1)*X604^INDEX(FlowCalConstB,MATCH(V600,FlowCalNumber,0),1,1)&lt;INDEX(FlowCalHighSetting,MATCH(V600,FlowCalNumber,0),1,1))),INDEX(FlowCalConstA,MATCH(V600,FlowCalNumber,0),1,1)*X604^INDEX(FlowCalConstB,MATCH(V600,FlowCalNumber,0),1,1)," ")</f>
        <v>#N/A</v>
      </c>
      <c r="Z604" s="33"/>
      <c r="AA604" s="242">
        <f t="shared" si="576"/>
        <v>0.9</v>
      </c>
      <c r="AB604" s="241" t="e">
        <f t="shared" ca="1" si="577"/>
        <v>#VALUE!</v>
      </c>
      <c r="AC604" s="243" t="e">
        <f ca="1">IF(AND(INDEX(FlowCalConstA,MATCH(Z600,FlowCalNumber,0),1,1)*AB604^INDEX(FlowCalConstB,MATCH(Z600,FlowCalNumber,0),1,1)&gt;INDEX(FlowCalLowSetting,MATCH(Z600,FlowCalNumber,0),1,1), (INDEX(FlowCalConstA,MATCH(Z600,FlowCalNumber,0),1,1)*AB604^INDEX(FlowCalConstB,MATCH(Z600,FlowCalNumber,0),1,1)&lt;INDEX(FlowCalHighSetting,MATCH(Z600,FlowCalNumber,0),1,1))),INDEX(FlowCalConstA,MATCH(Z600,FlowCalNumber,0),1,1)*AB604^INDEX(FlowCalConstB,MATCH(Z600,FlowCalNumber,0),1,1)," ")</f>
        <v>#N/A</v>
      </c>
      <c r="AD604" s="33"/>
      <c r="AE604" s="242">
        <f t="shared" si="578"/>
        <v>0.1</v>
      </c>
      <c r="AF604" s="241" t="e">
        <f t="shared" ca="1" si="579"/>
        <v>#VALUE!</v>
      </c>
      <c r="AG604" s="243" t="e">
        <f ca="1">IF(AND(INDEX(FlowCalConstA,MATCH(AD600,FlowCalNumber,0),1,1)*AF604^INDEX(FlowCalConstB,MATCH(AD600,FlowCalNumber,0),1,1)&gt;INDEX(FlowCalLowSetting,MATCH(AD600,FlowCalNumber,0),1,1), (INDEX(FlowCalConstA,MATCH(AD600,FlowCalNumber,0),1,1)*AF604^INDEX(FlowCalConstB,MATCH(AD600,FlowCalNumber,0),1,1)&lt;INDEX(FlowCalHighSetting,MATCH(AD600,FlowCalNumber,0),1,1))),INDEX(FlowCalConstA,MATCH(AD600,FlowCalNumber,0),1,1)*AF604^INDEX(FlowCalConstB,MATCH(AD600,FlowCalNumber,0),1,1)," ")</f>
        <v>#N/A</v>
      </c>
      <c r="AH604" s="33"/>
      <c r="AI604" s="242">
        <f t="shared" si="580"/>
        <v>0.9</v>
      </c>
      <c r="AJ604" s="241" t="e">
        <f t="shared" ca="1" si="581"/>
        <v>#VALUE!</v>
      </c>
      <c r="AK604" s="243" t="e">
        <f ca="1">IF(AND(INDEX(FlowCalConstA,MATCH(AH600,FlowCalNumber,0),1,1)*AJ604^INDEX(FlowCalConstB,MATCH(AH600,FlowCalNumber,0),1,1)&gt;INDEX(FlowCalLowSetting,MATCH(AH600,FlowCalNumber,0),1,1), (INDEX(FlowCalConstA,MATCH(AH600,FlowCalNumber,0),1,1)*AJ604^INDEX(FlowCalConstB,MATCH(AH600,FlowCalNumber,0),1,1)&lt;INDEX(FlowCalHighSetting,MATCH(AH600,FlowCalNumber,0),1,1))),INDEX(FlowCalConstA,MATCH(AH600,FlowCalNumber,0),1,1)*AJ604^INDEX(FlowCalConstB,MATCH(AH600,FlowCalNumber,0),1,1)," ")</f>
        <v>#N/A</v>
      </c>
      <c r="AL604" s="33"/>
      <c r="AM604" s="242"/>
      <c r="AN604" s="241"/>
      <c r="AO604" s="244"/>
      <c r="AQ604" s="242"/>
      <c r="AR604" s="241"/>
      <c r="AS604" s="244"/>
      <c r="AT604" s="33"/>
      <c r="AU604" s="242"/>
      <c r="AV604" s="241"/>
      <c r="AW604" s="244"/>
      <c r="AX604" s="33"/>
      <c r="AY604" s="242"/>
      <c r="AZ604" s="241"/>
      <c r="BA604" s="244"/>
      <c r="BB604" s="33"/>
      <c r="BC604" s="242"/>
      <c r="BD604" s="241"/>
      <c r="BE604" s="244"/>
      <c r="BF604" s="33"/>
      <c r="BG604" s="242"/>
      <c r="BH604" s="241"/>
      <c r="BI604" s="244"/>
      <c r="BJ604" s="33"/>
      <c r="BK604" s="242"/>
      <c r="BL604" s="241"/>
      <c r="BM604" s="244"/>
      <c r="BN604" s="33"/>
      <c r="BO604" s="242"/>
      <c r="BP604" s="241"/>
      <c r="BQ604" s="244"/>
      <c r="BR604" s="33"/>
      <c r="BS604" s="242"/>
      <c r="BT604" s="241"/>
      <c r="BU604" s="244"/>
      <c r="BV604" s="33"/>
      <c r="BW604" s="242"/>
      <c r="BX604" s="241"/>
      <c r="BY604" s="244"/>
      <c r="BZ604" s="33"/>
      <c r="CA604" s="242"/>
      <c r="CB604" s="241"/>
      <c r="CC604" s="244"/>
      <c r="CD604" s="243"/>
      <c r="CE604" s="243"/>
      <c r="CF604" s="243"/>
      <c r="CG604" s="243"/>
      <c r="CH604" s="243"/>
      <c r="CI604" s="243"/>
      <c r="CJ604" s="243"/>
      <c r="CK604" s="243"/>
      <c r="CL604" s="243"/>
      <c r="CM604" s="243"/>
      <c r="CN604" s="243"/>
      <c r="CO604" s="243"/>
      <c r="CP604" s="243"/>
      <c r="CQ604" s="243"/>
      <c r="CR604" s="243"/>
      <c r="CS604" s="243"/>
      <c r="CT604" s="243"/>
      <c r="CU604" s="243"/>
      <c r="CV604" s="243"/>
      <c r="CW604" s="243"/>
      <c r="CX604" s="243"/>
      <c r="CY604" s="243"/>
      <c r="CZ604" s="243"/>
      <c r="DA604" s="243"/>
      <c r="DB604" s="243"/>
      <c r="DC604" s="243"/>
      <c r="DD604" s="243"/>
      <c r="DE604" s="243"/>
      <c r="DF604" s="243"/>
      <c r="DG604" s="243"/>
      <c r="DH604" s="243"/>
      <c r="DI604" s="243"/>
      <c r="DJ604" s="243"/>
      <c r="DK604" s="243"/>
      <c r="DM604" s="242"/>
      <c r="DO604" s="243"/>
      <c r="DQ604" s="242"/>
      <c r="DS604" s="243"/>
      <c r="DU604" s="242"/>
      <c r="DW604" s="243"/>
      <c r="DY604" s="242"/>
      <c r="EA604" s="243"/>
    </row>
    <row r="605" spans="1:131">
      <c r="A605" s="20"/>
      <c r="B605" s="124" t="str">
        <f t="shared" si="566"/>
        <v/>
      </c>
      <c r="C605" s="235"/>
      <c r="D605" s="24">
        <f>'1% Wind'!$M$86</f>
        <v>15.5</v>
      </c>
      <c r="E605" s="90"/>
      <c r="F605" s="90"/>
      <c r="G605" s="79">
        <f ca="1">IF(I600=0.9743,$G604,MAX(G604/D604*D605,2))</f>
        <v>6.001707317073171</v>
      </c>
      <c r="H605" s="121" t="e">
        <f t="shared" ca="1" si="567"/>
        <v>#VALUE!</v>
      </c>
      <c r="J605" s="33"/>
      <c r="K605" s="242">
        <f t="shared" si="568"/>
        <v>1</v>
      </c>
      <c r="L605" s="241" t="e">
        <f t="shared" ca="1" si="569"/>
        <v>#VALUE!</v>
      </c>
      <c r="M605" s="243" t="e">
        <f ca="1">IF(AND(INDEX(FlowCalConstA,MATCH(J600,FlowCalNumber,0),1,1)*L605^INDEX(FlowCalConstB,MATCH(J600,FlowCalNumber,0),1,1)&gt;INDEX(FlowCalLowSetting,MATCH(J600,FlowCalNumber,0),1,1), (INDEX(FlowCalConstA,MATCH(J600,FlowCalNumber,0),1,1)*L605^INDEX(FlowCalConstB,MATCH(J600,FlowCalNumber,0),1,1)&lt;INDEX(FlowCalHighSetting,MATCH(J600,FlowCalNumber,0),1,1))),INDEX(FlowCalConstA,MATCH(J600,FlowCalNumber,0),1,1)*L605^INDEX(FlowCalConstB,MATCH(J600,FlowCalNumber,0),1,1)," ")</f>
        <v>#N/A</v>
      </c>
      <c r="N605" s="33"/>
      <c r="O605" s="242">
        <f t="shared" si="570"/>
        <v>1</v>
      </c>
      <c r="P605" s="241" t="e">
        <f t="shared" ca="1" si="571"/>
        <v>#VALUE!</v>
      </c>
      <c r="Q605" s="243" t="e">
        <f ca="1">IF(AND(INDEX(FlowCalConstA,MATCH(N600,FlowCalNumber,0),1,1)*P605^INDEX(FlowCalConstB,MATCH(N600,FlowCalNumber,0),1,1)&gt;INDEX(FlowCalLowSetting,MATCH(N600,FlowCalNumber,0),1,1), (INDEX(FlowCalConstA,MATCH(N600,FlowCalNumber,0),1,1)*P605^INDEX(FlowCalConstB,MATCH(N600,FlowCalNumber,0),1,1)&lt;INDEX(FlowCalHighSetting,MATCH(N600,FlowCalNumber,0),1,1))),INDEX(FlowCalConstA,MATCH(N600,FlowCalNumber,0),1,1)*P605^INDEX(FlowCalConstB,MATCH(N600,FlowCalNumber,0),1,1)," ")</f>
        <v>#N/A</v>
      </c>
      <c r="R605" s="33"/>
      <c r="S605" s="242">
        <f t="shared" si="572"/>
        <v>1</v>
      </c>
      <c r="T605" s="241" t="e">
        <f t="shared" ca="1" si="573"/>
        <v>#VALUE!</v>
      </c>
      <c r="U605" s="244" t="e">
        <f ca="1">IF(AND(INDEX(FlowCalConstA,MATCH(R600,FlowCalNumber,0),1,1)*T605^INDEX(FlowCalConstB,MATCH(R600,FlowCalNumber,0),1,1)&gt;INDEX(FlowCalLowSetting,MATCH(R600,FlowCalNumber,0),1,1), (INDEX(FlowCalConstA,MATCH(R600,FlowCalNumber,0),1,1)*T605^INDEX(FlowCalConstB,MATCH(R600,FlowCalNumber,0),1,1)&lt;INDEX(FlowCalHighSetting,MATCH(R600,FlowCalNumber,0),1,1))),INDEX(FlowCalConstA,MATCH(R600,FlowCalNumber,0),1,1)*T605^INDEX(FlowCalConstB,MATCH(R600,FlowCalNumber,0),1,1)," ")</f>
        <v>#N/A</v>
      </c>
      <c r="V605" s="33"/>
      <c r="W605" s="242">
        <f t="shared" si="574"/>
        <v>0.1</v>
      </c>
      <c r="X605" s="241" t="e">
        <f t="shared" ca="1" si="575"/>
        <v>#VALUE!</v>
      </c>
      <c r="Y605" s="243" t="e">
        <f ca="1">IF(AND(INDEX(FlowCalConstA,MATCH(V600,FlowCalNumber,0),1,1)*X605^INDEX(FlowCalConstB,MATCH(V600,FlowCalNumber,0),1,1)&gt;INDEX(FlowCalLowSetting,MATCH(V600,FlowCalNumber,0),1,1), (INDEX(FlowCalConstA,MATCH(V600,FlowCalNumber,0),1,1)*X605^INDEX(FlowCalConstB,MATCH(V600,FlowCalNumber,0),1,1)&lt;INDEX(FlowCalHighSetting,MATCH(V600,FlowCalNumber,0),1,1))),INDEX(FlowCalConstA,MATCH(V600,FlowCalNumber,0),1,1)*X605^INDEX(FlowCalConstB,MATCH(V600,FlowCalNumber,0),1,1)," ")</f>
        <v>#N/A</v>
      </c>
      <c r="Z605" s="33"/>
      <c r="AA605" s="242">
        <f t="shared" si="576"/>
        <v>0.9</v>
      </c>
      <c r="AB605" s="241" t="e">
        <f t="shared" ca="1" si="577"/>
        <v>#VALUE!</v>
      </c>
      <c r="AC605" s="243" t="e">
        <f ca="1">IF(AND(INDEX(FlowCalConstA,MATCH(Z600,FlowCalNumber,0),1,1)*AB605^INDEX(FlowCalConstB,MATCH(Z600,FlowCalNumber,0),1,1)&gt;INDEX(FlowCalLowSetting,MATCH(Z600,FlowCalNumber,0),1,1), (INDEX(FlowCalConstA,MATCH(Z600,FlowCalNumber,0),1,1)*AB605^INDEX(FlowCalConstB,MATCH(Z600,FlowCalNumber,0),1,1)&lt;INDEX(FlowCalHighSetting,MATCH(Z600,FlowCalNumber,0),1,1))),INDEX(FlowCalConstA,MATCH(Z600,FlowCalNumber,0),1,1)*AB605^INDEX(FlowCalConstB,MATCH(Z600,FlowCalNumber,0),1,1)," ")</f>
        <v>#N/A</v>
      </c>
      <c r="AD605" s="33"/>
      <c r="AE605" s="242">
        <f t="shared" si="578"/>
        <v>0.1</v>
      </c>
      <c r="AF605" s="241" t="e">
        <f t="shared" ca="1" si="579"/>
        <v>#VALUE!</v>
      </c>
      <c r="AG605" s="243" t="e">
        <f ca="1">IF(AND(INDEX(FlowCalConstA,MATCH(AD600,FlowCalNumber,0),1,1)*AF605^INDEX(FlowCalConstB,MATCH(AD600,FlowCalNumber,0),1,1)&gt;INDEX(FlowCalLowSetting,MATCH(AD600,FlowCalNumber,0),1,1), (INDEX(FlowCalConstA,MATCH(AD600,FlowCalNumber,0),1,1)*AF605^INDEX(FlowCalConstB,MATCH(AD600,FlowCalNumber,0),1,1)&lt;INDEX(FlowCalHighSetting,MATCH(AD600,FlowCalNumber,0),1,1))),INDEX(FlowCalConstA,MATCH(AD600,FlowCalNumber,0),1,1)*AF605^INDEX(FlowCalConstB,MATCH(AD600,FlowCalNumber,0),1,1)," ")</f>
        <v>#N/A</v>
      </c>
      <c r="AH605" s="33"/>
      <c r="AI605" s="242">
        <f t="shared" si="580"/>
        <v>0.9</v>
      </c>
      <c r="AJ605" s="241" t="e">
        <f t="shared" ca="1" si="581"/>
        <v>#VALUE!</v>
      </c>
      <c r="AK605" s="243" t="e">
        <f ca="1">IF(AND(INDEX(FlowCalConstA,MATCH(AH600,FlowCalNumber,0),1,1)*AJ605^INDEX(FlowCalConstB,MATCH(AH600,FlowCalNumber,0),1,1)&gt;INDEX(FlowCalLowSetting,MATCH(AH600,FlowCalNumber,0),1,1), (INDEX(FlowCalConstA,MATCH(AH600,FlowCalNumber,0),1,1)*AJ605^INDEX(FlowCalConstB,MATCH(AH600,FlowCalNumber,0),1,1)&lt;INDEX(FlowCalHighSetting,MATCH(AH600,FlowCalNumber,0),1,1))),INDEX(FlowCalConstA,MATCH(AH600,FlowCalNumber,0),1,1)*AJ605^INDEX(FlowCalConstB,MATCH(AH600,FlowCalNumber,0),1,1)," ")</f>
        <v>#N/A</v>
      </c>
      <c r="AL605" s="33"/>
      <c r="AM605" s="242"/>
      <c r="AN605" s="241"/>
      <c r="AO605" s="244"/>
      <c r="AQ605" s="242"/>
      <c r="AR605" s="241"/>
      <c r="AS605" s="244"/>
      <c r="AT605" s="33"/>
      <c r="AU605" s="242"/>
      <c r="AV605" s="241"/>
      <c r="AW605" s="244"/>
      <c r="AX605" s="33"/>
      <c r="AY605" s="242"/>
      <c r="AZ605" s="241"/>
      <c r="BA605" s="244"/>
      <c r="BB605" s="33"/>
      <c r="BC605" s="242"/>
      <c r="BD605" s="241"/>
      <c r="BE605" s="244"/>
      <c r="BF605" s="33"/>
      <c r="BG605" s="242"/>
      <c r="BH605" s="241"/>
      <c r="BI605" s="244"/>
      <c r="BJ605" s="33"/>
      <c r="BK605" s="242"/>
      <c r="BL605" s="241"/>
      <c r="BM605" s="244"/>
      <c r="BN605" s="33"/>
      <c r="BO605" s="242"/>
      <c r="BP605" s="241"/>
      <c r="BQ605" s="244"/>
      <c r="BR605" s="33"/>
      <c r="BS605" s="242"/>
      <c r="BT605" s="241"/>
      <c r="BU605" s="244"/>
      <c r="BV605" s="33"/>
      <c r="BW605" s="242"/>
      <c r="BX605" s="241"/>
      <c r="BY605" s="244"/>
      <c r="BZ605" s="33"/>
      <c r="CA605" s="242"/>
      <c r="CB605" s="241"/>
      <c r="CC605" s="244"/>
      <c r="CD605" s="243"/>
      <c r="CE605" s="243"/>
      <c r="CF605" s="243"/>
      <c r="CG605" s="243"/>
      <c r="CH605" s="243"/>
      <c r="CI605" s="243"/>
      <c r="CJ605" s="243"/>
      <c r="CK605" s="243"/>
      <c r="CL605" s="243"/>
      <c r="CM605" s="243"/>
      <c r="CN605" s="243"/>
      <c r="CO605" s="243"/>
      <c r="CP605" s="243"/>
      <c r="CQ605" s="243"/>
      <c r="CR605" s="243"/>
      <c r="CS605" s="243"/>
      <c r="CT605" s="243"/>
      <c r="CU605" s="243"/>
      <c r="CV605" s="243"/>
      <c r="CW605" s="243"/>
      <c r="CX605" s="243"/>
      <c r="CY605" s="243"/>
      <c r="CZ605" s="243"/>
      <c r="DA605" s="243"/>
      <c r="DB605" s="243"/>
      <c r="DC605" s="243"/>
      <c r="DD605" s="243"/>
      <c r="DE605" s="243"/>
      <c r="DF605" s="243"/>
      <c r="DG605" s="243"/>
      <c r="DH605" s="243"/>
      <c r="DI605" s="243"/>
      <c r="DJ605" s="243"/>
      <c r="DK605" s="243"/>
      <c r="DM605" s="242"/>
      <c r="DO605" s="243"/>
      <c r="DQ605" s="242"/>
      <c r="DS605" s="243"/>
      <c r="DU605" s="242"/>
      <c r="DW605" s="243"/>
      <c r="DY605" s="242"/>
      <c r="EA605" s="243"/>
    </row>
    <row r="606" spans="1:131">
      <c r="A606" s="20"/>
      <c r="B606" s="124" t="str">
        <f t="shared" si="566"/>
        <v/>
      </c>
      <c r="C606" s="235"/>
      <c r="D606" s="24">
        <f>'1% Wind'!$M$87</f>
        <v>13.5</v>
      </c>
      <c r="E606" s="90"/>
      <c r="F606" s="90"/>
      <c r="G606" s="79">
        <f ca="1">IF(I600=0.9743,$G605,MAX(G605/D605*D606,2))</f>
        <v>6.001707317073171</v>
      </c>
      <c r="H606" s="121" t="e">
        <f t="shared" ca="1" si="567"/>
        <v>#VALUE!</v>
      </c>
      <c r="J606" s="33"/>
      <c r="K606" s="242">
        <f t="shared" si="568"/>
        <v>1</v>
      </c>
      <c r="L606" s="241" t="e">
        <f t="shared" ca="1" si="569"/>
        <v>#VALUE!</v>
      </c>
      <c r="M606" s="243" t="e">
        <f ca="1">IF(AND(INDEX(FlowCalConstA,MATCH(J600,FlowCalNumber,0),1,1)*L606^INDEX(FlowCalConstB,MATCH(J600,FlowCalNumber,0),1,1)&gt;INDEX(FlowCalLowSetting,MATCH(J600,FlowCalNumber,0),1,1), (INDEX(FlowCalConstA,MATCH(J600,FlowCalNumber,0),1,1)*L606^INDEX(FlowCalConstB,MATCH(J600,FlowCalNumber,0),1,1)&lt;INDEX(FlowCalHighSetting,MATCH(J600,FlowCalNumber,0),1,1))),INDEX(FlowCalConstA,MATCH(J600,FlowCalNumber,0),1,1)*L606^INDEX(FlowCalConstB,MATCH(J600,FlowCalNumber,0),1,1)," ")</f>
        <v>#N/A</v>
      </c>
      <c r="N606" s="33"/>
      <c r="O606" s="242">
        <f t="shared" si="570"/>
        <v>1</v>
      </c>
      <c r="P606" s="241" t="e">
        <f t="shared" ca="1" si="571"/>
        <v>#VALUE!</v>
      </c>
      <c r="Q606" s="243" t="e">
        <f ca="1">IF(AND(INDEX(FlowCalConstA,MATCH(N600,FlowCalNumber,0),1,1)*P606^INDEX(FlowCalConstB,MATCH(N600,FlowCalNumber,0),1,1)&gt;INDEX(FlowCalLowSetting,MATCH(N600,FlowCalNumber,0),1,1), (INDEX(FlowCalConstA,MATCH(N600,FlowCalNumber,0),1,1)*P606^INDEX(FlowCalConstB,MATCH(N600,FlowCalNumber,0),1,1)&lt;INDEX(FlowCalHighSetting,MATCH(N600,FlowCalNumber,0),1,1))),INDEX(FlowCalConstA,MATCH(N600,FlowCalNumber,0),1,1)*P606^INDEX(FlowCalConstB,MATCH(N600,FlowCalNumber,0),1,1)," ")</f>
        <v>#N/A</v>
      </c>
      <c r="R606" s="33"/>
      <c r="S606" s="242">
        <f t="shared" si="572"/>
        <v>1</v>
      </c>
      <c r="T606" s="241" t="e">
        <f t="shared" ca="1" si="573"/>
        <v>#VALUE!</v>
      </c>
      <c r="U606" s="244" t="e">
        <f ca="1">IF(AND(INDEX(FlowCalConstA,MATCH(R600,FlowCalNumber,0),1,1)*T606^INDEX(FlowCalConstB,MATCH(R600,FlowCalNumber,0),1,1)&gt;INDEX(FlowCalLowSetting,MATCH(R600,FlowCalNumber,0),1,1), (INDEX(FlowCalConstA,MATCH(R600,FlowCalNumber,0),1,1)*T606^INDEX(FlowCalConstB,MATCH(R600,FlowCalNumber,0),1,1)&lt;INDEX(FlowCalHighSetting,MATCH(R600,FlowCalNumber,0),1,1))),INDEX(FlowCalConstA,MATCH(R600,FlowCalNumber,0),1,1)*T606^INDEX(FlowCalConstB,MATCH(R600,FlowCalNumber,0),1,1)," ")</f>
        <v>#N/A</v>
      </c>
      <c r="V606" s="33"/>
      <c r="W606" s="242">
        <f t="shared" si="574"/>
        <v>0.1</v>
      </c>
      <c r="X606" s="241" t="e">
        <f t="shared" ca="1" si="575"/>
        <v>#VALUE!</v>
      </c>
      <c r="Y606" s="243" t="e">
        <f ca="1">IF(AND(INDEX(FlowCalConstA,MATCH(V600,FlowCalNumber,0),1,1)*X606^INDEX(FlowCalConstB,MATCH(V600,FlowCalNumber,0),1,1)&gt;INDEX(FlowCalLowSetting,MATCH(V600,FlowCalNumber,0),1,1), (INDEX(FlowCalConstA,MATCH(V600,FlowCalNumber,0),1,1)*X606^INDEX(FlowCalConstB,MATCH(V600,FlowCalNumber,0),1,1)&lt;INDEX(FlowCalHighSetting,MATCH(V600,FlowCalNumber,0),1,1))),INDEX(FlowCalConstA,MATCH(V600,FlowCalNumber,0),1,1)*X606^INDEX(FlowCalConstB,MATCH(V600,FlowCalNumber,0),1,1)," ")</f>
        <v>#N/A</v>
      </c>
      <c r="Z606" s="33"/>
      <c r="AA606" s="242">
        <f t="shared" si="576"/>
        <v>0.9</v>
      </c>
      <c r="AB606" s="241" t="e">
        <f t="shared" ca="1" si="577"/>
        <v>#VALUE!</v>
      </c>
      <c r="AC606" s="243" t="e">
        <f ca="1">IF(AND(INDEX(FlowCalConstA,MATCH(Z600,FlowCalNumber,0),1,1)*AB606^INDEX(FlowCalConstB,MATCH(Z600,FlowCalNumber,0),1,1)&gt;INDEX(FlowCalLowSetting,MATCH(Z600,FlowCalNumber,0),1,1), (INDEX(FlowCalConstA,MATCH(Z600,FlowCalNumber,0),1,1)*AB606^INDEX(FlowCalConstB,MATCH(Z600,FlowCalNumber,0),1,1)&lt;INDEX(FlowCalHighSetting,MATCH(Z600,FlowCalNumber,0),1,1))),INDEX(FlowCalConstA,MATCH(Z600,FlowCalNumber,0),1,1)*AB606^INDEX(FlowCalConstB,MATCH(Z600,FlowCalNumber,0),1,1)," ")</f>
        <v>#N/A</v>
      </c>
      <c r="AD606" s="33"/>
      <c r="AE606" s="242">
        <f t="shared" si="578"/>
        <v>0.1</v>
      </c>
      <c r="AF606" s="241" t="e">
        <f t="shared" ca="1" si="579"/>
        <v>#VALUE!</v>
      </c>
      <c r="AG606" s="243" t="e">
        <f ca="1">IF(AND(INDEX(FlowCalConstA,MATCH(AD600,FlowCalNumber,0),1,1)*AF606^INDEX(FlowCalConstB,MATCH(AD600,FlowCalNumber,0),1,1)&gt;INDEX(FlowCalLowSetting,MATCH(AD600,FlowCalNumber,0),1,1), (INDEX(FlowCalConstA,MATCH(AD600,FlowCalNumber,0),1,1)*AF606^INDEX(FlowCalConstB,MATCH(AD600,FlowCalNumber,0),1,1)&lt;INDEX(FlowCalHighSetting,MATCH(AD600,FlowCalNumber,0),1,1))),INDEX(FlowCalConstA,MATCH(AD600,FlowCalNumber,0),1,1)*AF606^INDEX(FlowCalConstB,MATCH(AD600,FlowCalNumber,0),1,1)," ")</f>
        <v>#N/A</v>
      </c>
      <c r="AH606" s="33"/>
      <c r="AI606" s="242">
        <f t="shared" si="580"/>
        <v>0.9</v>
      </c>
      <c r="AJ606" s="241" t="e">
        <f t="shared" ca="1" si="581"/>
        <v>#VALUE!</v>
      </c>
      <c r="AK606" s="243" t="e">
        <f ca="1">IF(AND(INDEX(FlowCalConstA,MATCH(AH600,FlowCalNumber,0),1,1)*AJ606^INDEX(FlowCalConstB,MATCH(AH600,FlowCalNumber,0),1,1)&gt;INDEX(FlowCalLowSetting,MATCH(AH600,FlowCalNumber,0),1,1), (INDEX(FlowCalConstA,MATCH(AH600,FlowCalNumber,0),1,1)*AJ606^INDEX(FlowCalConstB,MATCH(AH600,FlowCalNumber,0),1,1)&lt;INDEX(FlowCalHighSetting,MATCH(AH600,FlowCalNumber,0),1,1))),INDEX(FlowCalConstA,MATCH(AH600,FlowCalNumber,0),1,1)*AJ606^INDEX(FlowCalConstB,MATCH(AH600,FlowCalNumber,0),1,1)," ")</f>
        <v>#N/A</v>
      </c>
      <c r="AL606" s="33"/>
      <c r="AM606" s="242"/>
      <c r="AN606" s="241"/>
      <c r="AO606" s="244"/>
      <c r="AQ606" s="242"/>
      <c r="AR606" s="241"/>
      <c r="AS606" s="244"/>
      <c r="AT606" s="33"/>
      <c r="AU606" s="242"/>
      <c r="AV606" s="241"/>
      <c r="AW606" s="244"/>
      <c r="AX606" s="33"/>
      <c r="AY606" s="242"/>
      <c r="AZ606" s="241"/>
      <c r="BA606" s="244"/>
      <c r="BB606" s="33"/>
      <c r="BC606" s="242"/>
      <c r="BD606" s="241"/>
      <c r="BE606" s="244"/>
      <c r="BF606" s="33"/>
      <c r="BG606" s="242"/>
      <c r="BH606" s="241"/>
      <c r="BI606" s="244"/>
      <c r="BJ606" s="33"/>
      <c r="BK606" s="242"/>
      <c r="BL606" s="241"/>
      <c r="BM606" s="244"/>
      <c r="BN606" s="33"/>
      <c r="BO606" s="242"/>
      <c r="BP606" s="241"/>
      <c r="BQ606" s="244"/>
      <c r="BR606" s="33"/>
      <c r="BS606" s="242"/>
      <c r="BT606" s="241"/>
      <c r="BU606" s="244"/>
      <c r="BV606" s="33"/>
      <c r="BW606" s="242"/>
      <c r="BX606" s="241"/>
      <c r="BY606" s="244"/>
      <c r="BZ606" s="33"/>
      <c r="CA606" s="242"/>
      <c r="CB606" s="241"/>
      <c r="CC606" s="244"/>
      <c r="CD606" s="243"/>
      <c r="CE606" s="243"/>
      <c r="CF606" s="243"/>
      <c r="CG606" s="243"/>
      <c r="CH606" s="243"/>
      <c r="CI606" s="243"/>
      <c r="CJ606" s="243"/>
      <c r="CK606" s="243"/>
      <c r="CL606" s="243"/>
      <c r="CM606" s="243"/>
      <c r="CN606" s="243"/>
      <c r="CO606" s="243"/>
      <c r="CP606" s="243"/>
      <c r="CQ606" s="243"/>
      <c r="CR606" s="243"/>
      <c r="CS606" s="243"/>
      <c r="CT606" s="243"/>
      <c r="CU606" s="243"/>
      <c r="CV606" s="243"/>
      <c r="CW606" s="243"/>
      <c r="CX606" s="243"/>
      <c r="CY606" s="243"/>
      <c r="CZ606" s="243"/>
      <c r="DA606" s="243"/>
      <c r="DB606" s="243"/>
      <c r="DC606" s="243"/>
      <c r="DD606" s="243"/>
      <c r="DE606" s="243"/>
      <c r="DF606" s="243"/>
      <c r="DG606" s="243"/>
      <c r="DH606" s="243"/>
      <c r="DI606" s="243"/>
      <c r="DJ606" s="243"/>
      <c r="DK606" s="243"/>
      <c r="DM606" s="242"/>
      <c r="DO606" s="243"/>
      <c r="DQ606" s="242"/>
      <c r="DS606" s="243"/>
      <c r="DU606" s="242"/>
      <c r="DW606" s="243"/>
      <c r="DY606" s="242"/>
      <c r="EA606" s="243"/>
    </row>
    <row r="607" spans="1:131">
      <c r="A607" s="20"/>
      <c r="B607" s="124" t="str">
        <f t="shared" si="566"/>
        <v/>
      </c>
      <c r="C607" s="235"/>
      <c r="D607" s="24">
        <f>'1% Wind'!$M$88</f>
        <v>10.1</v>
      </c>
      <c r="E607" s="90"/>
      <c r="F607" s="90"/>
      <c r="G607" s="79">
        <f ca="1">IF(I600=0.9743,$G606,MAX(G606/D606*D607,2))</f>
        <v>6.001707317073171</v>
      </c>
      <c r="H607" s="121" t="e">
        <f t="shared" ca="1" si="567"/>
        <v>#VALUE!</v>
      </c>
      <c r="J607" s="33"/>
      <c r="K607" s="242">
        <f t="shared" si="568"/>
        <v>1</v>
      </c>
      <c r="L607" s="241" t="e">
        <f t="shared" ca="1" si="569"/>
        <v>#VALUE!</v>
      </c>
      <c r="M607" s="243" t="e">
        <f ca="1">IF(AND(INDEX(FlowCalConstA,MATCH(J600,FlowCalNumber,0),1,1)*L607^INDEX(FlowCalConstB,MATCH(J600,FlowCalNumber,0),1,1)&gt;INDEX(FlowCalLowSetting,MATCH(J600,FlowCalNumber,0),1,1), (INDEX(FlowCalConstA,MATCH(J600,FlowCalNumber,0),1,1)*L607^INDEX(FlowCalConstB,MATCH(J600,FlowCalNumber,0),1,1)&lt;INDEX(FlowCalHighSetting,MATCH(J600,FlowCalNumber,0),1,1))),INDEX(FlowCalConstA,MATCH(J600,FlowCalNumber,0),1,1)*L607^INDEX(FlowCalConstB,MATCH(J600,FlowCalNumber,0),1,1)," ")</f>
        <v>#N/A</v>
      </c>
      <c r="N607" s="33"/>
      <c r="O607" s="242">
        <f t="shared" si="570"/>
        <v>1</v>
      </c>
      <c r="P607" s="241" t="e">
        <f t="shared" ca="1" si="571"/>
        <v>#VALUE!</v>
      </c>
      <c r="Q607" s="243" t="e">
        <f ca="1">IF(AND(INDEX(FlowCalConstA,MATCH(N600,FlowCalNumber,0),1,1)*P607^INDEX(FlowCalConstB,MATCH(N600,FlowCalNumber,0),1,1)&gt;INDEX(FlowCalLowSetting,MATCH(N600,FlowCalNumber,0),1,1), (INDEX(FlowCalConstA,MATCH(N600,FlowCalNumber,0),1,1)*P607^INDEX(FlowCalConstB,MATCH(N600,FlowCalNumber,0),1,1)&lt;INDEX(FlowCalHighSetting,MATCH(N600,FlowCalNumber,0),1,1))),INDEX(FlowCalConstA,MATCH(N600,FlowCalNumber,0),1,1)*P607^INDEX(FlowCalConstB,MATCH(N600,FlowCalNumber,0),1,1)," ")</f>
        <v>#N/A</v>
      </c>
      <c r="R607" s="33"/>
      <c r="S607" s="242">
        <f t="shared" si="572"/>
        <v>1</v>
      </c>
      <c r="T607" s="241" t="e">
        <f t="shared" ca="1" si="573"/>
        <v>#VALUE!</v>
      </c>
      <c r="U607" s="244" t="e">
        <f ca="1">IF(AND(INDEX(FlowCalConstA,MATCH(R600,FlowCalNumber,0),1,1)*T607^INDEX(FlowCalConstB,MATCH(R600,FlowCalNumber,0),1,1)&gt;INDEX(FlowCalLowSetting,MATCH(R600,FlowCalNumber,0),1,1), (INDEX(FlowCalConstA,MATCH(R600,FlowCalNumber,0),1,1)*T607^INDEX(FlowCalConstB,MATCH(R600,FlowCalNumber,0),1,1)&lt;INDEX(FlowCalHighSetting,MATCH(R600,FlowCalNumber,0),1,1))),INDEX(FlowCalConstA,MATCH(R600,FlowCalNumber,0),1,1)*T607^INDEX(FlowCalConstB,MATCH(R600,FlowCalNumber,0),1,1)," ")</f>
        <v>#N/A</v>
      </c>
      <c r="V607" s="33"/>
      <c r="W607" s="242">
        <f t="shared" si="574"/>
        <v>0.1</v>
      </c>
      <c r="X607" s="241" t="e">
        <f t="shared" ca="1" si="575"/>
        <v>#VALUE!</v>
      </c>
      <c r="Y607" s="243" t="e">
        <f ca="1">IF(AND(INDEX(FlowCalConstA,MATCH(V600,FlowCalNumber,0),1,1)*X607^INDEX(FlowCalConstB,MATCH(V600,FlowCalNumber,0),1,1)&gt;INDEX(FlowCalLowSetting,MATCH(V600,FlowCalNumber,0),1,1), (INDEX(FlowCalConstA,MATCH(V600,FlowCalNumber,0),1,1)*X607^INDEX(FlowCalConstB,MATCH(V600,FlowCalNumber,0),1,1)&lt;INDEX(FlowCalHighSetting,MATCH(V600,FlowCalNumber,0),1,1))),INDEX(FlowCalConstA,MATCH(V600,FlowCalNumber,0),1,1)*X607^INDEX(FlowCalConstB,MATCH(V600,FlowCalNumber,0),1,1)," ")</f>
        <v>#N/A</v>
      </c>
      <c r="Z607" s="33"/>
      <c r="AA607" s="242">
        <f t="shared" si="576"/>
        <v>0.9</v>
      </c>
      <c r="AB607" s="241" t="e">
        <f t="shared" ca="1" si="577"/>
        <v>#VALUE!</v>
      </c>
      <c r="AC607" s="243" t="e">
        <f ca="1">IF(AND(INDEX(FlowCalConstA,MATCH(Z600,FlowCalNumber,0),1,1)*AB607^INDEX(FlowCalConstB,MATCH(Z600,FlowCalNumber,0),1,1)&gt;INDEX(FlowCalLowSetting,MATCH(Z600,FlowCalNumber,0),1,1), (INDEX(FlowCalConstA,MATCH(Z600,FlowCalNumber,0),1,1)*AB607^INDEX(FlowCalConstB,MATCH(Z600,FlowCalNumber,0),1,1)&lt;INDEX(FlowCalHighSetting,MATCH(Z600,FlowCalNumber,0),1,1))),INDEX(FlowCalConstA,MATCH(Z600,FlowCalNumber,0),1,1)*AB607^INDEX(FlowCalConstB,MATCH(Z600,FlowCalNumber,0),1,1)," ")</f>
        <v>#N/A</v>
      </c>
      <c r="AD607" s="33"/>
      <c r="AE607" s="242">
        <f t="shared" si="578"/>
        <v>0.1</v>
      </c>
      <c r="AF607" s="241" t="e">
        <f t="shared" ca="1" si="579"/>
        <v>#VALUE!</v>
      </c>
      <c r="AG607" s="243" t="e">
        <f ca="1">IF(AND(INDEX(FlowCalConstA,MATCH(AD600,FlowCalNumber,0),1,1)*AF607^INDEX(FlowCalConstB,MATCH(AD600,FlowCalNumber,0),1,1)&gt;INDEX(FlowCalLowSetting,MATCH(AD600,FlowCalNumber,0),1,1), (INDEX(FlowCalConstA,MATCH(AD600,FlowCalNumber,0),1,1)*AF607^INDEX(FlowCalConstB,MATCH(AD600,FlowCalNumber,0),1,1)&lt;INDEX(FlowCalHighSetting,MATCH(AD600,FlowCalNumber,0),1,1))),INDEX(FlowCalConstA,MATCH(AD600,FlowCalNumber,0),1,1)*AF607^INDEX(FlowCalConstB,MATCH(AD600,FlowCalNumber,0),1,1)," ")</f>
        <v>#N/A</v>
      </c>
      <c r="AH607" s="33"/>
      <c r="AI607" s="242">
        <f t="shared" si="580"/>
        <v>0.9</v>
      </c>
      <c r="AJ607" s="241" t="e">
        <f t="shared" ca="1" si="581"/>
        <v>#VALUE!</v>
      </c>
      <c r="AK607" s="243" t="e">
        <f ca="1">IF(AND(INDEX(FlowCalConstA,MATCH(AH600,FlowCalNumber,0),1,1)*AJ607^INDEX(FlowCalConstB,MATCH(AH600,FlowCalNumber,0),1,1)&gt;INDEX(FlowCalLowSetting,MATCH(AH600,FlowCalNumber,0),1,1), (INDEX(FlowCalConstA,MATCH(AH600,FlowCalNumber,0),1,1)*AJ607^INDEX(FlowCalConstB,MATCH(AH600,FlowCalNumber,0),1,1)&lt;INDEX(FlowCalHighSetting,MATCH(AH600,FlowCalNumber,0),1,1))),INDEX(FlowCalConstA,MATCH(AH600,FlowCalNumber,0),1,1)*AJ607^INDEX(FlowCalConstB,MATCH(AH600,FlowCalNumber,0),1,1)," ")</f>
        <v>#N/A</v>
      </c>
      <c r="AL607" s="33"/>
      <c r="AM607" s="242"/>
      <c r="AN607" s="241"/>
      <c r="AO607" s="244"/>
      <c r="AQ607" s="242"/>
      <c r="AR607" s="241"/>
      <c r="AS607" s="244"/>
      <c r="AT607" s="33"/>
      <c r="AU607" s="242"/>
      <c r="AV607" s="241"/>
      <c r="AW607" s="244"/>
      <c r="AX607" s="33"/>
      <c r="AY607" s="242"/>
      <c r="AZ607" s="241"/>
      <c r="BA607" s="244"/>
      <c r="BB607" s="33"/>
      <c r="BC607" s="242"/>
      <c r="BD607" s="241"/>
      <c r="BE607" s="244"/>
      <c r="BF607" s="33"/>
      <c r="BG607" s="242"/>
      <c r="BH607" s="241"/>
      <c r="BI607" s="244"/>
      <c r="BJ607" s="33"/>
      <c r="BK607" s="242"/>
      <c r="BL607" s="241"/>
      <c r="BM607" s="244"/>
      <c r="BN607" s="33"/>
      <c r="BO607" s="242"/>
      <c r="BP607" s="241"/>
      <c r="BQ607" s="244"/>
      <c r="BR607" s="33"/>
      <c r="BS607" s="242"/>
      <c r="BT607" s="241"/>
      <c r="BU607" s="244"/>
      <c r="BV607" s="33"/>
      <c r="BW607" s="242"/>
      <c r="BX607" s="241"/>
      <c r="BY607" s="244"/>
      <c r="BZ607" s="33"/>
      <c r="CA607" s="242"/>
      <c r="CB607" s="241"/>
      <c r="CC607" s="244"/>
      <c r="CD607" s="243"/>
      <c r="CE607" s="243"/>
      <c r="CF607" s="243"/>
      <c r="CG607" s="243"/>
      <c r="CH607" s="243"/>
      <c r="CI607" s="243"/>
      <c r="CJ607" s="243"/>
      <c r="CK607" s="243"/>
      <c r="CL607" s="243"/>
      <c r="CM607" s="243"/>
      <c r="CN607" s="243"/>
      <c r="CO607" s="243"/>
      <c r="CP607" s="243"/>
      <c r="CQ607" s="243"/>
      <c r="CR607" s="243"/>
      <c r="CS607" s="243"/>
      <c r="CT607" s="243"/>
      <c r="CU607" s="243"/>
      <c r="CV607" s="243"/>
      <c r="CW607" s="243"/>
      <c r="CX607" s="243"/>
      <c r="CY607" s="243"/>
      <c r="CZ607" s="243"/>
      <c r="DA607" s="243"/>
      <c r="DB607" s="243"/>
      <c r="DC607" s="243"/>
      <c r="DD607" s="243"/>
      <c r="DE607" s="243"/>
      <c r="DF607" s="243"/>
      <c r="DG607" s="243"/>
      <c r="DH607" s="243"/>
      <c r="DI607" s="243"/>
      <c r="DJ607" s="243"/>
      <c r="DK607" s="243"/>
      <c r="DM607" s="242"/>
      <c r="DO607" s="243"/>
      <c r="DQ607" s="242"/>
      <c r="DS607" s="243"/>
      <c r="DU607" s="242"/>
      <c r="DW607" s="243"/>
      <c r="DY607" s="242"/>
      <c r="EA607" s="243"/>
    </row>
    <row r="608" spans="1:131">
      <c r="A608" s="20"/>
      <c r="B608" s="124" t="str">
        <f t="shared" si="566"/>
        <v/>
      </c>
      <c r="C608" s="235"/>
      <c r="D608" s="24">
        <f>'1% Wind'!$M$89</f>
        <v>7.6</v>
      </c>
      <c r="E608" s="90"/>
      <c r="F608" s="90"/>
      <c r="G608" s="79">
        <f ca="1">IF(I600=0.9743,$G607,MAX(G607/D607*D608,2))</f>
        <v>6.001707317073171</v>
      </c>
      <c r="H608" s="121" t="e">
        <f t="shared" ca="1" si="567"/>
        <v>#VALUE!</v>
      </c>
      <c r="J608" s="33"/>
      <c r="K608" s="242">
        <f t="shared" si="568"/>
        <v>1</v>
      </c>
      <c r="L608" s="241" t="e">
        <f t="shared" ca="1" si="569"/>
        <v>#VALUE!</v>
      </c>
      <c r="M608" s="243" t="e">
        <f ca="1">IF(AND(INDEX(FlowCalConstA,MATCH(J600,FlowCalNumber,0),1,1)*L608^INDEX(FlowCalConstB,MATCH(J600,FlowCalNumber,0),1,1)&gt;INDEX(FlowCalLowSetting,MATCH(J600,FlowCalNumber,0),1,1), (INDEX(FlowCalConstA,MATCH(J600,FlowCalNumber,0),1,1)*L608^INDEX(FlowCalConstB,MATCH(J600,FlowCalNumber,0),1,1)&lt;INDEX(FlowCalHighSetting,MATCH(J600,FlowCalNumber,0),1,1))),INDEX(FlowCalConstA,MATCH(J600,FlowCalNumber,0),1,1)*L608^INDEX(FlowCalConstB,MATCH(J600,FlowCalNumber,0),1,1)," ")</f>
        <v>#N/A</v>
      </c>
      <c r="N608" s="33"/>
      <c r="O608" s="242">
        <f t="shared" si="570"/>
        <v>1</v>
      </c>
      <c r="P608" s="241" t="e">
        <f t="shared" ca="1" si="571"/>
        <v>#VALUE!</v>
      </c>
      <c r="Q608" s="243" t="e">
        <f ca="1">IF(AND(INDEX(FlowCalConstA,MATCH(N600,FlowCalNumber,0),1,1)*P608^INDEX(FlowCalConstB,MATCH(N600,FlowCalNumber,0),1,1)&gt;INDEX(FlowCalLowSetting,MATCH(N600,FlowCalNumber,0),1,1), (INDEX(FlowCalConstA,MATCH(N600,FlowCalNumber,0),1,1)*P608^INDEX(FlowCalConstB,MATCH(N600,FlowCalNumber,0),1,1)&lt;INDEX(FlowCalHighSetting,MATCH(N600,FlowCalNumber,0),1,1))),INDEX(FlowCalConstA,MATCH(N600,FlowCalNumber,0),1,1)*P608^INDEX(FlowCalConstB,MATCH(N600,FlowCalNumber,0),1,1)," ")</f>
        <v>#N/A</v>
      </c>
      <c r="R608" s="33"/>
      <c r="S608" s="242">
        <f t="shared" si="572"/>
        <v>1</v>
      </c>
      <c r="T608" s="241" t="e">
        <f t="shared" ca="1" si="573"/>
        <v>#VALUE!</v>
      </c>
      <c r="U608" s="244" t="e">
        <f ca="1">IF(AND(INDEX(FlowCalConstA,MATCH(R600,FlowCalNumber,0),1,1)*T608^INDEX(FlowCalConstB,MATCH(R600,FlowCalNumber,0),1,1)&gt;INDEX(FlowCalLowSetting,MATCH(R600,FlowCalNumber,0),1,1), (INDEX(FlowCalConstA,MATCH(R600,FlowCalNumber,0),1,1)*T608^INDEX(FlowCalConstB,MATCH(R600,FlowCalNumber,0),1,1)&lt;INDEX(FlowCalHighSetting,MATCH(R600,FlowCalNumber,0),1,1))),INDEX(FlowCalConstA,MATCH(R600,FlowCalNumber,0),1,1)*T608^INDEX(FlowCalConstB,MATCH(R600,FlowCalNumber,0),1,1)," ")</f>
        <v>#N/A</v>
      </c>
      <c r="V608" s="33"/>
      <c r="W608" s="242">
        <f t="shared" si="574"/>
        <v>0.1</v>
      </c>
      <c r="X608" s="241" t="e">
        <f t="shared" ca="1" si="575"/>
        <v>#VALUE!</v>
      </c>
      <c r="Y608" s="243" t="e">
        <f ca="1">IF(AND(INDEX(FlowCalConstA,MATCH(V600,FlowCalNumber,0),1,1)*X608^INDEX(FlowCalConstB,MATCH(V600,FlowCalNumber,0),1,1)&gt;INDEX(FlowCalLowSetting,MATCH(V600,FlowCalNumber,0),1,1), (INDEX(FlowCalConstA,MATCH(V600,FlowCalNumber,0),1,1)*X608^INDEX(FlowCalConstB,MATCH(V600,FlowCalNumber,0),1,1)&lt;INDEX(FlowCalHighSetting,MATCH(V600,FlowCalNumber,0),1,1))),INDEX(FlowCalConstA,MATCH(V600,FlowCalNumber,0),1,1)*X608^INDEX(FlowCalConstB,MATCH(V600,FlowCalNumber,0),1,1)," ")</f>
        <v>#N/A</v>
      </c>
      <c r="Z608" s="33"/>
      <c r="AA608" s="242">
        <f t="shared" si="576"/>
        <v>0.9</v>
      </c>
      <c r="AB608" s="241" t="e">
        <f t="shared" ca="1" si="577"/>
        <v>#VALUE!</v>
      </c>
      <c r="AC608" s="243" t="e">
        <f ca="1">IF(AND(INDEX(FlowCalConstA,MATCH(Z600,FlowCalNumber,0),1,1)*AB608^INDEX(FlowCalConstB,MATCH(Z600,FlowCalNumber,0),1,1)&gt;INDEX(FlowCalLowSetting,MATCH(Z600,FlowCalNumber,0),1,1), (INDEX(FlowCalConstA,MATCH(Z600,FlowCalNumber,0),1,1)*AB608^INDEX(FlowCalConstB,MATCH(Z600,FlowCalNumber,0),1,1)&lt;INDEX(FlowCalHighSetting,MATCH(Z600,FlowCalNumber,0),1,1))),INDEX(FlowCalConstA,MATCH(Z600,FlowCalNumber,0),1,1)*AB608^INDEX(FlowCalConstB,MATCH(Z600,FlowCalNumber,0),1,1)," ")</f>
        <v>#N/A</v>
      </c>
      <c r="AD608" s="33"/>
      <c r="AE608" s="242">
        <f t="shared" si="578"/>
        <v>0.1</v>
      </c>
      <c r="AF608" s="241" t="e">
        <f t="shared" ca="1" si="579"/>
        <v>#VALUE!</v>
      </c>
      <c r="AG608" s="243" t="e">
        <f ca="1">IF(AND(INDEX(FlowCalConstA,MATCH(AD600,FlowCalNumber,0),1,1)*AF608^INDEX(FlowCalConstB,MATCH(AD600,FlowCalNumber,0),1,1)&gt;INDEX(FlowCalLowSetting,MATCH(AD600,FlowCalNumber,0),1,1), (INDEX(FlowCalConstA,MATCH(AD600,FlowCalNumber,0),1,1)*AF608^INDEX(FlowCalConstB,MATCH(AD600,FlowCalNumber,0),1,1)&lt;INDEX(FlowCalHighSetting,MATCH(AD600,FlowCalNumber,0),1,1))),INDEX(FlowCalConstA,MATCH(AD600,FlowCalNumber,0),1,1)*AF608^INDEX(FlowCalConstB,MATCH(AD600,FlowCalNumber,0),1,1)," ")</f>
        <v>#N/A</v>
      </c>
      <c r="AH608" s="33"/>
      <c r="AI608" s="242">
        <f t="shared" si="580"/>
        <v>0.9</v>
      </c>
      <c r="AJ608" s="241" t="e">
        <f t="shared" ca="1" si="581"/>
        <v>#VALUE!</v>
      </c>
      <c r="AK608" s="243" t="e">
        <f ca="1">IF(AND(INDEX(FlowCalConstA,MATCH(AH600,FlowCalNumber,0),1,1)*AJ608^INDEX(FlowCalConstB,MATCH(AH600,FlowCalNumber,0),1,1)&gt;INDEX(FlowCalLowSetting,MATCH(AH600,FlowCalNumber,0),1,1), (INDEX(FlowCalConstA,MATCH(AH600,FlowCalNumber,0),1,1)*AJ608^INDEX(FlowCalConstB,MATCH(AH600,FlowCalNumber,0),1,1)&lt;INDEX(FlowCalHighSetting,MATCH(AH600,FlowCalNumber,0),1,1))),INDEX(FlowCalConstA,MATCH(AH600,FlowCalNumber,0),1,1)*AJ608^INDEX(FlowCalConstB,MATCH(AH600,FlowCalNumber,0),1,1)," ")</f>
        <v>#N/A</v>
      </c>
      <c r="AL608" s="33"/>
      <c r="AM608" s="242"/>
      <c r="AN608" s="241"/>
      <c r="AO608" s="244"/>
      <c r="AQ608" s="242"/>
      <c r="AR608" s="241"/>
      <c r="AS608" s="244"/>
      <c r="AT608" s="33"/>
      <c r="AU608" s="242"/>
      <c r="AV608" s="241"/>
      <c r="AW608" s="244"/>
      <c r="AX608" s="33"/>
      <c r="AY608" s="242"/>
      <c r="AZ608" s="241"/>
      <c r="BA608" s="244"/>
      <c r="BB608" s="33"/>
      <c r="BC608" s="242"/>
      <c r="BD608" s="241"/>
      <c r="BE608" s="244"/>
      <c r="BF608" s="33"/>
      <c r="BG608" s="242"/>
      <c r="BH608" s="241"/>
      <c r="BI608" s="244"/>
      <c r="BJ608" s="33"/>
      <c r="BK608" s="242"/>
      <c r="BL608" s="241"/>
      <c r="BM608" s="244"/>
      <c r="BN608" s="33"/>
      <c r="BO608" s="242"/>
      <c r="BP608" s="241"/>
      <c r="BQ608" s="244"/>
      <c r="BR608" s="33"/>
      <c r="BS608" s="242"/>
      <c r="BT608" s="241"/>
      <c r="BU608" s="244"/>
      <c r="BV608" s="33"/>
      <c r="BW608" s="242"/>
      <c r="BX608" s="241"/>
      <c r="BY608" s="244"/>
      <c r="BZ608" s="33"/>
      <c r="CA608" s="242"/>
      <c r="CB608" s="241"/>
      <c r="CC608" s="244"/>
      <c r="CD608" s="243"/>
      <c r="CE608" s="243"/>
      <c r="CF608" s="243"/>
      <c r="CG608" s="243"/>
      <c r="CH608" s="243"/>
      <c r="CI608" s="243"/>
      <c r="CJ608" s="243"/>
      <c r="CK608" s="243"/>
      <c r="CL608" s="243"/>
      <c r="CM608" s="243"/>
      <c r="CN608" s="243"/>
      <c r="CO608" s="243"/>
      <c r="CP608" s="243"/>
      <c r="CQ608" s="243"/>
      <c r="CR608" s="243"/>
      <c r="CS608" s="243"/>
      <c r="CT608" s="243"/>
      <c r="CU608" s="243"/>
      <c r="CV608" s="243"/>
      <c r="CW608" s="243"/>
      <c r="CX608" s="243"/>
      <c r="CY608" s="243"/>
      <c r="CZ608" s="243"/>
      <c r="DA608" s="243"/>
      <c r="DB608" s="243"/>
      <c r="DC608" s="243"/>
      <c r="DD608" s="243"/>
      <c r="DE608" s="243"/>
      <c r="DF608" s="243"/>
      <c r="DG608" s="243"/>
      <c r="DH608" s="243"/>
      <c r="DI608" s="243"/>
      <c r="DJ608" s="243"/>
      <c r="DK608" s="243"/>
      <c r="DM608" s="242"/>
      <c r="DO608" s="243"/>
      <c r="DQ608" s="242"/>
      <c r="DS608" s="243"/>
      <c r="DU608" s="242"/>
      <c r="DW608" s="243"/>
      <c r="DY608" s="242"/>
      <c r="EA608" s="243"/>
    </row>
    <row r="609" spans="1:131">
      <c r="A609" s="20"/>
      <c r="B609" s="124" t="str">
        <f t="shared" si="566"/>
        <v/>
      </c>
      <c r="C609" s="235"/>
      <c r="D609" s="24">
        <f>'1% Wind'!$M$90</f>
        <v>5.7</v>
      </c>
      <c r="E609" s="90"/>
      <c r="F609" s="90"/>
      <c r="G609" s="79">
        <f ca="1">IF(I600=0.9743,$G608,MAX(G608/D608*D609,2))</f>
        <v>6.001707317073171</v>
      </c>
      <c r="H609" s="121" t="e">
        <f t="shared" ca="1" si="567"/>
        <v>#VALUE!</v>
      </c>
      <c r="J609" s="33"/>
      <c r="K609" s="242">
        <f t="shared" si="568"/>
        <v>1</v>
      </c>
      <c r="L609" s="241" t="e">
        <f t="shared" ca="1" si="569"/>
        <v>#VALUE!</v>
      </c>
      <c r="M609" s="243" t="e">
        <f ca="1">IF(AND(INDEX(FlowCalConstA,MATCH(J600,FlowCalNumber,0),1,1)*L609^INDEX(FlowCalConstB,MATCH(J600,FlowCalNumber,0),1,1)&gt;INDEX(FlowCalLowSetting,MATCH(J600,FlowCalNumber,0),1,1), (INDEX(FlowCalConstA,MATCH(J600,FlowCalNumber,0),1,1)*L609^INDEX(FlowCalConstB,MATCH(J600,FlowCalNumber,0),1,1)&lt;INDEX(FlowCalHighSetting,MATCH(J600,FlowCalNumber,0),1,1))),INDEX(FlowCalConstA,MATCH(J600,FlowCalNumber,0),1,1)*L609^INDEX(FlowCalConstB,MATCH(J600,FlowCalNumber,0),1,1)," ")</f>
        <v>#N/A</v>
      </c>
      <c r="N609" s="33"/>
      <c r="O609" s="242">
        <f t="shared" si="570"/>
        <v>1</v>
      </c>
      <c r="P609" s="241" t="e">
        <f t="shared" ca="1" si="571"/>
        <v>#VALUE!</v>
      </c>
      <c r="Q609" s="243" t="e">
        <f ca="1">IF(AND(INDEX(FlowCalConstA,MATCH(N600,FlowCalNumber,0),1,1)*P609^INDEX(FlowCalConstB,MATCH(N600,FlowCalNumber,0),1,1)&gt;INDEX(FlowCalLowSetting,MATCH(N600,FlowCalNumber,0),1,1), (INDEX(FlowCalConstA,MATCH(N600,FlowCalNumber,0),1,1)*P609^INDEX(FlowCalConstB,MATCH(N600,FlowCalNumber,0),1,1)&lt;INDEX(FlowCalHighSetting,MATCH(N600,FlowCalNumber,0),1,1))),INDEX(FlowCalConstA,MATCH(N600,FlowCalNumber,0),1,1)*P609^INDEX(FlowCalConstB,MATCH(N600,FlowCalNumber,0),1,1)," ")</f>
        <v>#N/A</v>
      </c>
      <c r="R609" s="33"/>
      <c r="S609" s="242">
        <f t="shared" si="572"/>
        <v>1</v>
      </c>
      <c r="T609" s="241" t="e">
        <f t="shared" ca="1" si="573"/>
        <v>#VALUE!</v>
      </c>
      <c r="U609" s="244" t="e">
        <f ca="1">IF(AND(INDEX(FlowCalConstA,MATCH(R600,FlowCalNumber,0),1,1)*T609^INDEX(FlowCalConstB,MATCH(R600,FlowCalNumber,0),1,1)&gt;INDEX(FlowCalLowSetting,MATCH(R600,FlowCalNumber,0),1,1), (INDEX(FlowCalConstA,MATCH(R600,FlowCalNumber,0),1,1)*T609^INDEX(FlowCalConstB,MATCH(R600,FlowCalNumber,0),1,1)&lt;INDEX(FlowCalHighSetting,MATCH(R600,FlowCalNumber,0),1,1))),INDEX(FlowCalConstA,MATCH(R600,FlowCalNumber,0),1,1)*T609^INDEX(FlowCalConstB,MATCH(R600,FlowCalNumber,0),1,1)," ")</f>
        <v>#N/A</v>
      </c>
      <c r="V609" s="33"/>
      <c r="W609" s="242">
        <f t="shared" si="574"/>
        <v>0.1</v>
      </c>
      <c r="X609" s="241" t="e">
        <f t="shared" ca="1" si="575"/>
        <v>#VALUE!</v>
      </c>
      <c r="Y609" s="243" t="e">
        <f ca="1">IF(AND(INDEX(FlowCalConstA,MATCH(V600,FlowCalNumber,0),1,1)*X609^INDEX(FlowCalConstB,MATCH(V600,FlowCalNumber,0),1,1)&gt;INDEX(FlowCalLowSetting,MATCH(V600,FlowCalNumber,0),1,1), (INDEX(FlowCalConstA,MATCH(V600,FlowCalNumber,0),1,1)*X609^INDEX(FlowCalConstB,MATCH(V600,FlowCalNumber,0),1,1)&lt;INDEX(FlowCalHighSetting,MATCH(V600,FlowCalNumber,0),1,1))),INDEX(FlowCalConstA,MATCH(V600,FlowCalNumber,0),1,1)*X609^INDEX(FlowCalConstB,MATCH(V600,FlowCalNumber,0),1,1)," ")</f>
        <v>#N/A</v>
      </c>
      <c r="Z609" s="33"/>
      <c r="AA609" s="242">
        <f t="shared" si="576"/>
        <v>0.9</v>
      </c>
      <c r="AB609" s="241" t="e">
        <f t="shared" ca="1" si="577"/>
        <v>#VALUE!</v>
      </c>
      <c r="AC609" s="243" t="e">
        <f ca="1">IF(AND(INDEX(FlowCalConstA,MATCH(Z600,FlowCalNumber,0),1,1)*AB609^INDEX(FlowCalConstB,MATCH(Z600,FlowCalNumber,0),1,1)&gt;INDEX(FlowCalLowSetting,MATCH(Z600,FlowCalNumber,0),1,1), (INDEX(FlowCalConstA,MATCH(Z600,FlowCalNumber,0),1,1)*AB609^INDEX(FlowCalConstB,MATCH(Z600,FlowCalNumber,0),1,1)&lt;INDEX(FlowCalHighSetting,MATCH(Z600,FlowCalNumber,0),1,1))),INDEX(FlowCalConstA,MATCH(Z600,FlowCalNumber,0),1,1)*AB609^INDEX(FlowCalConstB,MATCH(Z600,FlowCalNumber,0),1,1)," ")</f>
        <v>#N/A</v>
      </c>
      <c r="AD609" s="33"/>
      <c r="AE609" s="242">
        <f t="shared" si="578"/>
        <v>0.1</v>
      </c>
      <c r="AF609" s="241" t="e">
        <f t="shared" ca="1" si="579"/>
        <v>#VALUE!</v>
      </c>
      <c r="AG609" s="243" t="e">
        <f ca="1">IF(AND(INDEX(FlowCalConstA,MATCH(AD600,FlowCalNumber,0),1,1)*AF609^INDEX(FlowCalConstB,MATCH(AD600,FlowCalNumber,0),1,1)&gt;INDEX(FlowCalLowSetting,MATCH(AD600,FlowCalNumber,0),1,1), (INDEX(FlowCalConstA,MATCH(AD600,FlowCalNumber,0),1,1)*AF609^INDEX(FlowCalConstB,MATCH(AD600,FlowCalNumber,0),1,1)&lt;INDEX(FlowCalHighSetting,MATCH(AD600,FlowCalNumber,0),1,1))),INDEX(FlowCalConstA,MATCH(AD600,FlowCalNumber,0),1,1)*AF609^INDEX(FlowCalConstB,MATCH(AD600,FlowCalNumber,0),1,1)," ")</f>
        <v>#N/A</v>
      </c>
      <c r="AH609" s="33"/>
      <c r="AI609" s="242">
        <f t="shared" si="580"/>
        <v>0.9</v>
      </c>
      <c r="AJ609" s="241" t="e">
        <f t="shared" ca="1" si="581"/>
        <v>#VALUE!</v>
      </c>
      <c r="AK609" s="243" t="e">
        <f ca="1">IF(AND(INDEX(FlowCalConstA,MATCH(AH600,FlowCalNumber,0),1,1)*AJ609^INDEX(FlowCalConstB,MATCH(AH600,FlowCalNumber,0),1,1)&gt;INDEX(FlowCalLowSetting,MATCH(AH600,FlowCalNumber,0),1,1), (INDEX(FlowCalConstA,MATCH(AH600,FlowCalNumber,0),1,1)*AJ609^INDEX(FlowCalConstB,MATCH(AH600,FlowCalNumber,0),1,1)&lt;INDEX(FlowCalHighSetting,MATCH(AH600,FlowCalNumber,0),1,1))),INDEX(FlowCalConstA,MATCH(AH600,FlowCalNumber,0),1,1)*AJ609^INDEX(FlowCalConstB,MATCH(AH600,FlowCalNumber,0),1,1)," ")</f>
        <v>#N/A</v>
      </c>
      <c r="AL609" s="33"/>
      <c r="AM609" s="242"/>
      <c r="AN609" s="241"/>
      <c r="AO609" s="244"/>
      <c r="AQ609" s="242"/>
      <c r="AR609" s="241"/>
      <c r="AS609" s="244"/>
      <c r="AT609" s="33"/>
      <c r="AU609" s="242"/>
      <c r="AV609" s="241"/>
      <c r="AW609" s="244"/>
      <c r="AX609" s="33"/>
      <c r="AY609" s="242"/>
      <c r="AZ609" s="241"/>
      <c r="BA609" s="244"/>
      <c r="BB609" s="33"/>
      <c r="BC609" s="242"/>
      <c r="BD609" s="241"/>
      <c r="BE609" s="244"/>
      <c r="BF609" s="33"/>
      <c r="BG609" s="242"/>
      <c r="BH609" s="241"/>
      <c r="BI609" s="244"/>
      <c r="BJ609" s="33"/>
      <c r="BK609" s="242"/>
      <c r="BL609" s="241"/>
      <c r="BM609" s="244"/>
      <c r="BN609" s="33"/>
      <c r="BO609" s="242"/>
      <c r="BP609" s="241"/>
      <c r="BQ609" s="244"/>
      <c r="BR609" s="33"/>
      <c r="BS609" s="242"/>
      <c r="BT609" s="241"/>
      <c r="BU609" s="244"/>
      <c r="BV609" s="33"/>
      <c r="BW609" s="242"/>
      <c r="BX609" s="241"/>
      <c r="BY609" s="244"/>
      <c r="BZ609" s="33"/>
      <c r="CA609" s="242"/>
      <c r="CB609" s="241"/>
      <c r="CC609" s="244"/>
      <c r="CD609" s="243"/>
      <c r="CE609" s="243"/>
      <c r="CF609" s="243"/>
      <c r="CG609" s="243"/>
      <c r="CH609" s="243"/>
      <c r="CI609" s="243"/>
      <c r="CJ609" s="243"/>
      <c r="CK609" s="243"/>
      <c r="CL609" s="243"/>
      <c r="CM609" s="243"/>
      <c r="CN609" s="243"/>
      <c r="CO609" s="243"/>
      <c r="CP609" s="243"/>
      <c r="CQ609" s="243"/>
      <c r="CR609" s="243"/>
      <c r="CS609" s="243"/>
      <c r="CT609" s="243"/>
      <c r="CU609" s="243"/>
      <c r="CV609" s="243"/>
      <c r="CW609" s="243"/>
      <c r="CX609" s="243"/>
      <c r="CY609" s="243"/>
      <c r="CZ609" s="243"/>
      <c r="DA609" s="243"/>
      <c r="DB609" s="243"/>
      <c r="DC609" s="243"/>
      <c r="DD609" s="243"/>
      <c r="DE609" s="243"/>
      <c r="DF609" s="243"/>
      <c r="DG609" s="243"/>
      <c r="DH609" s="243"/>
      <c r="DI609" s="243"/>
      <c r="DJ609" s="243"/>
      <c r="DK609" s="243"/>
      <c r="DM609" s="242"/>
      <c r="DO609" s="243"/>
      <c r="DQ609" s="242"/>
      <c r="DS609" s="243"/>
      <c r="DU609" s="242"/>
      <c r="DW609" s="243"/>
      <c r="DY609" s="242"/>
      <c r="EA609" s="243"/>
    </row>
    <row r="610" spans="1:131">
      <c r="A610" s="20"/>
      <c r="B610" s="124" t="str">
        <f t="shared" si="566"/>
        <v/>
      </c>
      <c r="C610" s="235"/>
      <c r="D610" s="24">
        <f>'1% Wind'!$M$91</f>
        <v>4.2</v>
      </c>
      <c r="E610" s="90"/>
      <c r="F610" s="90"/>
      <c r="G610" s="79">
        <f ca="1">IF(I600=0.9743,$G609,MAX(G609/D609*D610,2))</f>
        <v>6.001707317073171</v>
      </c>
      <c r="H610" s="121" t="e">
        <f t="shared" ca="1" si="567"/>
        <v>#VALUE!</v>
      </c>
      <c r="J610" s="33"/>
      <c r="K610" s="242">
        <f t="shared" si="568"/>
        <v>1</v>
      </c>
      <c r="L610" s="241" t="e">
        <f t="shared" ca="1" si="569"/>
        <v>#VALUE!</v>
      </c>
      <c r="M610" s="243" t="e">
        <f ca="1">IF(AND(INDEX(FlowCalConstA,MATCH(J600,FlowCalNumber,0),1,1)*L610^INDEX(FlowCalConstB,MATCH(J600,FlowCalNumber,0),1,1)&gt;INDEX(FlowCalLowSetting,MATCH(J600,FlowCalNumber,0),1,1), (INDEX(FlowCalConstA,MATCH(J600,FlowCalNumber,0),1,1)*L610^INDEX(FlowCalConstB,MATCH(J600,FlowCalNumber,0),1,1)&lt;INDEX(FlowCalHighSetting,MATCH(J600,FlowCalNumber,0),1,1))),INDEX(FlowCalConstA,MATCH(J600,FlowCalNumber,0),1,1)*L610^INDEX(FlowCalConstB,MATCH(J600,FlowCalNumber,0),1,1)," ")</f>
        <v>#N/A</v>
      </c>
      <c r="N610" s="33"/>
      <c r="O610" s="242">
        <f t="shared" si="570"/>
        <v>1</v>
      </c>
      <c r="P610" s="241" t="e">
        <f t="shared" ca="1" si="571"/>
        <v>#VALUE!</v>
      </c>
      <c r="Q610" s="243" t="e">
        <f ca="1">IF(AND(INDEX(FlowCalConstA,MATCH(N600,FlowCalNumber,0),1,1)*P610^INDEX(FlowCalConstB,MATCH(N600,FlowCalNumber,0),1,1)&gt;INDEX(FlowCalLowSetting,MATCH(N600,FlowCalNumber,0),1,1), (INDEX(FlowCalConstA,MATCH(N600,FlowCalNumber,0),1,1)*P610^INDEX(FlowCalConstB,MATCH(N600,FlowCalNumber,0),1,1)&lt;INDEX(FlowCalHighSetting,MATCH(N600,FlowCalNumber,0),1,1))),INDEX(FlowCalConstA,MATCH(N600,FlowCalNumber,0),1,1)*P610^INDEX(FlowCalConstB,MATCH(N600,FlowCalNumber,0),1,1)," ")</f>
        <v>#N/A</v>
      </c>
      <c r="R610" s="33"/>
      <c r="S610" s="242">
        <f t="shared" si="572"/>
        <v>1</v>
      </c>
      <c r="T610" s="241" t="e">
        <f t="shared" ca="1" si="573"/>
        <v>#VALUE!</v>
      </c>
      <c r="U610" s="244" t="e">
        <f ca="1">IF(AND(INDEX(FlowCalConstA,MATCH(R600,FlowCalNumber,0),1,1)*T610^INDEX(FlowCalConstB,MATCH(R600,FlowCalNumber,0),1,1)&gt;INDEX(FlowCalLowSetting,MATCH(R600,FlowCalNumber,0),1,1), (INDEX(FlowCalConstA,MATCH(R600,FlowCalNumber,0),1,1)*T610^INDEX(FlowCalConstB,MATCH(R600,FlowCalNumber,0),1,1)&lt;INDEX(FlowCalHighSetting,MATCH(R600,FlowCalNumber,0),1,1))),INDEX(FlowCalConstA,MATCH(R600,FlowCalNumber,0),1,1)*T610^INDEX(FlowCalConstB,MATCH(R600,FlowCalNumber,0),1,1)," ")</f>
        <v>#N/A</v>
      </c>
      <c r="V610" s="33"/>
      <c r="W610" s="242">
        <f t="shared" si="574"/>
        <v>0.1</v>
      </c>
      <c r="X610" s="241" t="e">
        <f t="shared" ca="1" si="575"/>
        <v>#VALUE!</v>
      </c>
      <c r="Y610" s="243" t="e">
        <f ca="1">IF(AND(INDEX(FlowCalConstA,MATCH(V600,FlowCalNumber,0),1,1)*X610^INDEX(FlowCalConstB,MATCH(V600,FlowCalNumber,0),1,1)&gt;INDEX(FlowCalLowSetting,MATCH(V600,FlowCalNumber,0),1,1), (INDEX(FlowCalConstA,MATCH(V600,FlowCalNumber,0),1,1)*X610^INDEX(FlowCalConstB,MATCH(V600,FlowCalNumber,0),1,1)&lt;INDEX(FlowCalHighSetting,MATCH(V600,FlowCalNumber,0),1,1))),INDEX(FlowCalConstA,MATCH(V600,FlowCalNumber,0),1,1)*X610^INDEX(FlowCalConstB,MATCH(V600,FlowCalNumber,0),1,1)," ")</f>
        <v>#N/A</v>
      </c>
      <c r="Z610" s="33"/>
      <c r="AA610" s="242">
        <f t="shared" si="576"/>
        <v>0.9</v>
      </c>
      <c r="AB610" s="241" t="e">
        <f t="shared" ca="1" si="577"/>
        <v>#VALUE!</v>
      </c>
      <c r="AC610" s="243" t="e">
        <f ca="1">IF(AND(INDEX(FlowCalConstA,MATCH(Z600,FlowCalNumber,0),1,1)*AB610^INDEX(FlowCalConstB,MATCH(Z600,FlowCalNumber,0),1,1)&gt;INDEX(FlowCalLowSetting,MATCH(Z600,FlowCalNumber,0),1,1), (INDEX(FlowCalConstA,MATCH(Z600,FlowCalNumber,0),1,1)*AB610^INDEX(FlowCalConstB,MATCH(Z600,FlowCalNumber,0),1,1)&lt;INDEX(FlowCalHighSetting,MATCH(Z600,FlowCalNumber,0),1,1))),INDEX(FlowCalConstA,MATCH(Z600,FlowCalNumber,0),1,1)*AB610^INDEX(FlowCalConstB,MATCH(Z600,FlowCalNumber,0),1,1)," ")</f>
        <v>#N/A</v>
      </c>
      <c r="AD610" s="33"/>
      <c r="AE610" s="242">
        <f t="shared" si="578"/>
        <v>0.1</v>
      </c>
      <c r="AF610" s="241" t="e">
        <f t="shared" ca="1" si="579"/>
        <v>#VALUE!</v>
      </c>
      <c r="AG610" s="243" t="e">
        <f ca="1">IF(AND(INDEX(FlowCalConstA,MATCH(AD600,FlowCalNumber,0),1,1)*AF610^INDEX(FlowCalConstB,MATCH(AD600,FlowCalNumber,0),1,1)&gt;INDEX(FlowCalLowSetting,MATCH(AD600,FlowCalNumber,0),1,1), (INDEX(FlowCalConstA,MATCH(AD600,FlowCalNumber,0),1,1)*AF610^INDEX(FlowCalConstB,MATCH(AD600,FlowCalNumber,0),1,1)&lt;INDEX(FlowCalHighSetting,MATCH(AD600,FlowCalNumber,0),1,1))),INDEX(FlowCalConstA,MATCH(AD600,FlowCalNumber,0),1,1)*AF610^INDEX(FlowCalConstB,MATCH(AD600,FlowCalNumber,0),1,1)," ")</f>
        <v>#N/A</v>
      </c>
      <c r="AH610" s="33"/>
      <c r="AI610" s="242">
        <f t="shared" si="580"/>
        <v>0.9</v>
      </c>
      <c r="AJ610" s="241" t="e">
        <f t="shared" ca="1" si="581"/>
        <v>#VALUE!</v>
      </c>
      <c r="AK610" s="243" t="e">
        <f ca="1">IF(AND(INDEX(FlowCalConstA,MATCH(AH600,FlowCalNumber,0),1,1)*AJ610^INDEX(FlowCalConstB,MATCH(AH600,FlowCalNumber,0),1,1)&gt;INDEX(FlowCalLowSetting,MATCH(AH600,FlowCalNumber,0),1,1), (INDEX(FlowCalConstA,MATCH(AH600,FlowCalNumber,0),1,1)*AJ610^INDEX(FlowCalConstB,MATCH(AH600,FlowCalNumber,0),1,1)&lt;INDEX(FlowCalHighSetting,MATCH(AH600,FlowCalNumber,0),1,1))),INDEX(FlowCalConstA,MATCH(AH600,FlowCalNumber,0),1,1)*AJ610^INDEX(FlowCalConstB,MATCH(AH600,FlowCalNumber,0),1,1)," ")</f>
        <v>#N/A</v>
      </c>
      <c r="AL610" s="33"/>
      <c r="AM610" s="242"/>
      <c r="AN610" s="241"/>
      <c r="AO610" s="244"/>
      <c r="AQ610" s="242"/>
      <c r="AR610" s="241"/>
      <c r="AS610" s="244"/>
      <c r="AT610" s="33"/>
      <c r="AU610" s="242"/>
      <c r="AV610" s="241"/>
      <c r="AW610" s="244"/>
      <c r="AX610" s="33"/>
      <c r="AY610" s="242"/>
      <c r="AZ610" s="241"/>
      <c r="BA610" s="244"/>
      <c r="BB610" s="33"/>
      <c r="BC610" s="242"/>
      <c r="BD610" s="241"/>
      <c r="BE610" s="244"/>
      <c r="BF610" s="33"/>
      <c r="BG610" s="242"/>
      <c r="BH610" s="241"/>
      <c r="BI610" s="244"/>
      <c r="BJ610" s="33"/>
      <c r="BK610" s="242"/>
      <c r="BL610" s="241"/>
      <c r="BM610" s="244"/>
      <c r="BN610" s="33"/>
      <c r="BO610" s="242"/>
      <c r="BP610" s="241"/>
      <c r="BQ610" s="244"/>
      <c r="BR610" s="33"/>
      <c r="BS610" s="242"/>
      <c r="BT610" s="241"/>
      <c r="BU610" s="244"/>
      <c r="BV610" s="33"/>
      <c r="BW610" s="242"/>
      <c r="BX610" s="241"/>
      <c r="BY610" s="244"/>
      <c r="BZ610" s="33"/>
      <c r="CA610" s="242"/>
      <c r="CB610" s="241"/>
      <c r="CC610" s="244"/>
      <c r="CD610" s="243"/>
      <c r="CE610" s="243"/>
      <c r="CF610" s="243"/>
      <c r="CG610" s="243"/>
      <c r="CH610" s="243"/>
      <c r="CI610" s="243"/>
      <c r="CJ610" s="243"/>
      <c r="CK610" s="243"/>
      <c r="CL610" s="243"/>
      <c r="CM610" s="243"/>
      <c r="CN610" s="243"/>
      <c r="CO610" s="243"/>
      <c r="CP610" s="243"/>
      <c r="CQ610" s="243"/>
      <c r="CR610" s="243"/>
      <c r="CS610" s="243"/>
      <c r="CT610" s="243"/>
      <c r="CU610" s="243"/>
      <c r="CV610" s="243"/>
      <c r="CW610" s="243"/>
      <c r="CX610" s="243"/>
      <c r="CY610" s="243"/>
      <c r="CZ610" s="243"/>
      <c r="DA610" s="243"/>
      <c r="DB610" s="243"/>
      <c r="DC610" s="243"/>
      <c r="DD610" s="243"/>
      <c r="DE610" s="243"/>
      <c r="DF610" s="243"/>
      <c r="DG610" s="243"/>
      <c r="DH610" s="243"/>
      <c r="DI610" s="243"/>
      <c r="DJ610" s="243"/>
      <c r="DK610" s="243"/>
      <c r="DM610" s="242"/>
      <c r="DO610" s="243"/>
      <c r="DQ610" s="242"/>
      <c r="DS610" s="243"/>
      <c r="DU610" s="242"/>
      <c r="DW610" s="243"/>
      <c r="DY610" s="242"/>
      <c r="EA610" s="243"/>
    </row>
    <row r="611" spans="1:131">
      <c r="A611" s="20"/>
      <c r="B611" s="124" t="str">
        <f t="shared" si="566"/>
        <v/>
      </c>
      <c r="C611" s="235"/>
      <c r="D611" s="24">
        <f>'1% Wind'!$M$92</f>
        <v>3.2</v>
      </c>
      <c r="E611" s="90"/>
      <c r="F611" s="90"/>
      <c r="G611" s="79">
        <f ca="1">IF(I600=0.9743,$G610,MAX(G610/D610*D611,2))</f>
        <v>6.001707317073171</v>
      </c>
      <c r="H611" s="121" t="e">
        <f t="shared" ca="1" si="567"/>
        <v>#VALUE!</v>
      </c>
      <c r="J611" s="33"/>
      <c r="K611" s="242">
        <f t="shared" si="568"/>
        <v>1</v>
      </c>
      <c r="L611" s="241" t="e">
        <f t="shared" ca="1" si="569"/>
        <v>#VALUE!</v>
      </c>
      <c r="M611" s="243" t="e">
        <f ca="1">IF(AND(INDEX(FlowCalConstA,MATCH(J600,FlowCalNumber,0),1,1)*L611^INDEX(FlowCalConstB,MATCH(J600,FlowCalNumber,0),1,1)&gt;INDEX(FlowCalLowSetting,MATCH(J600,FlowCalNumber,0),1,1), (INDEX(FlowCalConstA,MATCH(J600,FlowCalNumber,0),1,1)*L611^INDEX(FlowCalConstB,MATCH(J600,FlowCalNumber,0),1,1)&lt;INDEX(FlowCalHighSetting,MATCH(J600,FlowCalNumber,0),1,1))),INDEX(FlowCalConstA,MATCH(J600,FlowCalNumber,0),1,1)*L611^INDEX(FlowCalConstB,MATCH(J600,FlowCalNumber,0),1,1)," ")</f>
        <v>#N/A</v>
      </c>
      <c r="N611" s="33"/>
      <c r="O611" s="242">
        <f t="shared" si="570"/>
        <v>1</v>
      </c>
      <c r="P611" s="241" t="e">
        <f t="shared" ca="1" si="571"/>
        <v>#VALUE!</v>
      </c>
      <c r="Q611" s="243" t="e">
        <f ca="1">IF(AND(INDEX(FlowCalConstA,MATCH(N600,FlowCalNumber,0),1,1)*P611^INDEX(FlowCalConstB,MATCH(N600,FlowCalNumber,0),1,1)&gt;INDEX(FlowCalLowSetting,MATCH(N600,FlowCalNumber,0),1,1), (INDEX(FlowCalConstA,MATCH(N600,FlowCalNumber,0),1,1)*P611^INDEX(FlowCalConstB,MATCH(N600,FlowCalNumber,0),1,1)&lt;INDEX(FlowCalHighSetting,MATCH(N600,FlowCalNumber,0),1,1))),INDEX(FlowCalConstA,MATCH(N600,FlowCalNumber,0),1,1)*P611^INDEX(FlowCalConstB,MATCH(N600,FlowCalNumber,0),1,1)," ")</f>
        <v>#N/A</v>
      </c>
      <c r="R611" s="33"/>
      <c r="S611" s="242">
        <f t="shared" si="572"/>
        <v>1</v>
      </c>
      <c r="T611" s="241" t="e">
        <f t="shared" ca="1" si="573"/>
        <v>#VALUE!</v>
      </c>
      <c r="U611" s="244" t="e">
        <f ca="1">IF(AND(INDEX(FlowCalConstA,MATCH(R600,FlowCalNumber,0),1,1)*T611^INDEX(FlowCalConstB,MATCH(R600,FlowCalNumber,0),1,1)&gt;INDEX(FlowCalLowSetting,MATCH(R600,FlowCalNumber,0),1,1), (INDEX(FlowCalConstA,MATCH(R600,FlowCalNumber,0),1,1)*T611^INDEX(FlowCalConstB,MATCH(R600,FlowCalNumber,0),1,1)&lt;INDEX(FlowCalHighSetting,MATCH(R600,FlowCalNumber,0),1,1))),INDEX(FlowCalConstA,MATCH(R600,FlowCalNumber,0),1,1)*T611^INDEX(FlowCalConstB,MATCH(R600,FlowCalNumber,0),1,1)," ")</f>
        <v>#N/A</v>
      </c>
      <c r="V611" s="33"/>
      <c r="W611" s="242">
        <f t="shared" si="574"/>
        <v>0.1</v>
      </c>
      <c r="X611" s="241" t="e">
        <f t="shared" ca="1" si="575"/>
        <v>#VALUE!</v>
      </c>
      <c r="Y611" s="243" t="e">
        <f ca="1">IF(AND(INDEX(FlowCalConstA,MATCH(V600,FlowCalNumber,0),1,1)*X611^INDEX(FlowCalConstB,MATCH(V600,FlowCalNumber,0),1,1)&gt;INDEX(FlowCalLowSetting,MATCH(V600,FlowCalNumber,0),1,1), (INDEX(FlowCalConstA,MATCH(V600,FlowCalNumber,0),1,1)*X611^INDEX(FlowCalConstB,MATCH(V600,FlowCalNumber,0),1,1)&lt;INDEX(FlowCalHighSetting,MATCH(V600,FlowCalNumber,0),1,1))),INDEX(FlowCalConstA,MATCH(V600,FlowCalNumber,0),1,1)*X611^INDEX(FlowCalConstB,MATCH(V600,FlowCalNumber,0),1,1)," ")</f>
        <v>#N/A</v>
      </c>
      <c r="Z611" s="33"/>
      <c r="AA611" s="242">
        <f t="shared" si="576"/>
        <v>0.9</v>
      </c>
      <c r="AB611" s="241" t="e">
        <f t="shared" ca="1" si="577"/>
        <v>#VALUE!</v>
      </c>
      <c r="AC611" s="243" t="e">
        <f ca="1">IF(AND(INDEX(FlowCalConstA,MATCH(Z600,FlowCalNumber,0),1,1)*AB611^INDEX(FlowCalConstB,MATCH(Z600,FlowCalNumber,0),1,1)&gt;INDEX(FlowCalLowSetting,MATCH(Z600,FlowCalNumber,0),1,1), (INDEX(FlowCalConstA,MATCH(Z600,FlowCalNumber,0),1,1)*AB611^INDEX(FlowCalConstB,MATCH(Z600,FlowCalNumber,0),1,1)&lt;INDEX(FlowCalHighSetting,MATCH(Z600,FlowCalNumber,0),1,1))),INDEX(FlowCalConstA,MATCH(Z600,FlowCalNumber,0),1,1)*AB611^INDEX(FlowCalConstB,MATCH(Z600,FlowCalNumber,0),1,1)," ")</f>
        <v>#N/A</v>
      </c>
      <c r="AD611" s="33"/>
      <c r="AE611" s="242">
        <f t="shared" si="578"/>
        <v>0.1</v>
      </c>
      <c r="AF611" s="241" t="e">
        <f t="shared" ca="1" si="579"/>
        <v>#VALUE!</v>
      </c>
      <c r="AG611" s="243" t="e">
        <f ca="1">IF(AND(INDEX(FlowCalConstA,MATCH(AD600,FlowCalNumber,0),1,1)*AF611^INDEX(FlowCalConstB,MATCH(AD600,FlowCalNumber,0),1,1)&gt;INDEX(FlowCalLowSetting,MATCH(AD600,FlowCalNumber,0),1,1), (INDEX(FlowCalConstA,MATCH(AD600,FlowCalNumber,0),1,1)*AF611^INDEX(FlowCalConstB,MATCH(AD600,FlowCalNumber,0),1,1)&lt;INDEX(FlowCalHighSetting,MATCH(AD600,FlowCalNumber,0),1,1))),INDEX(FlowCalConstA,MATCH(AD600,FlowCalNumber,0),1,1)*AF611^INDEX(FlowCalConstB,MATCH(AD600,FlowCalNumber,0),1,1)," ")</f>
        <v>#N/A</v>
      </c>
      <c r="AH611" s="33"/>
      <c r="AI611" s="242">
        <f t="shared" si="580"/>
        <v>0.9</v>
      </c>
      <c r="AJ611" s="241" t="e">
        <f t="shared" ca="1" si="581"/>
        <v>#VALUE!</v>
      </c>
      <c r="AK611" s="243" t="e">
        <f ca="1">IF(AND(INDEX(FlowCalConstA,MATCH(AH600,FlowCalNumber,0),1,1)*AJ611^INDEX(FlowCalConstB,MATCH(AH600,FlowCalNumber,0),1,1)&gt;INDEX(FlowCalLowSetting,MATCH(AH600,FlowCalNumber,0),1,1), (INDEX(FlowCalConstA,MATCH(AH600,FlowCalNumber,0),1,1)*AJ611^INDEX(FlowCalConstB,MATCH(AH600,FlowCalNumber,0),1,1)&lt;INDEX(FlowCalHighSetting,MATCH(AH600,FlowCalNumber,0),1,1))),INDEX(FlowCalConstA,MATCH(AH600,FlowCalNumber,0),1,1)*AJ611^INDEX(FlowCalConstB,MATCH(AH600,FlowCalNumber,0),1,1)," ")</f>
        <v>#N/A</v>
      </c>
      <c r="AL611" s="33"/>
      <c r="AM611" s="242"/>
      <c r="AN611" s="241"/>
      <c r="AO611" s="244"/>
      <c r="AQ611" s="242"/>
      <c r="AR611" s="241"/>
      <c r="AS611" s="244"/>
      <c r="AT611" s="33"/>
      <c r="AU611" s="242"/>
      <c r="AV611" s="241"/>
      <c r="AW611" s="244"/>
      <c r="AX611" s="33"/>
      <c r="AY611" s="242"/>
      <c r="AZ611" s="241"/>
      <c r="BA611" s="244"/>
      <c r="BB611" s="33"/>
      <c r="BC611" s="242"/>
      <c r="BD611" s="241"/>
      <c r="BE611" s="244"/>
      <c r="BF611" s="33"/>
      <c r="BG611" s="242"/>
      <c r="BH611" s="241"/>
      <c r="BI611" s="244"/>
      <c r="BJ611" s="33"/>
      <c r="BK611" s="242"/>
      <c r="BL611" s="241"/>
      <c r="BM611" s="244"/>
      <c r="BN611" s="33"/>
      <c r="BO611" s="242"/>
      <c r="BP611" s="241"/>
      <c r="BQ611" s="244"/>
      <c r="BR611" s="33"/>
      <c r="BS611" s="242"/>
      <c r="BT611" s="241"/>
      <c r="BU611" s="244"/>
      <c r="BV611" s="33"/>
      <c r="BW611" s="242"/>
      <c r="BX611" s="241"/>
      <c r="BY611" s="244"/>
      <c r="BZ611" s="33"/>
      <c r="CA611" s="242"/>
      <c r="CB611" s="241"/>
      <c r="CC611" s="244"/>
      <c r="CD611" s="243"/>
      <c r="CE611" s="243"/>
      <c r="CF611" s="243"/>
      <c r="CG611" s="243"/>
      <c r="CH611" s="243"/>
      <c r="CI611" s="243"/>
      <c r="CJ611" s="243"/>
      <c r="CK611" s="243"/>
      <c r="CL611" s="243"/>
      <c r="CM611" s="243"/>
      <c r="CN611" s="243"/>
      <c r="CO611" s="243"/>
      <c r="CP611" s="243"/>
      <c r="CQ611" s="243"/>
      <c r="CR611" s="243"/>
      <c r="CS611" s="243"/>
      <c r="CT611" s="243"/>
      <c r="CU611" s="243"/>
      <c r="CV611" s="243"/>
      <c r="CW611" s="243"/>
      <c r="CX611" s="243"/>
      <c r="CY611" s="243"/>
      <c r="CZ611" s="243"/>
      <c r="DA611" s="243"/>
      <c r="DB611" s="243"/>
      <c r="DC611" s="243"/>
      <c r="DD611" s="243"/>
      <c r="DE611" s="243"/>
      <c r="DF611" s="243"/>
      <c r="DG611" s="243"/>
      <c r="DH611" s="243"/>
      <c r="DI611" s="243"/>
      <c r="DJ611" s="243"/>
      <c r="DK611" s="243"/>
      <c r="DM611" s="242"/>
      <c r="DO611" s="243"/>
      <c r="DQ611" s="242"/>
      <c r="DS611" s="243"/>
      <c r="DU611" s="242"/>
      <c r="DW611" s="243"/>
      <c r="DY611" s="242"/>
      <c r="EA611" s="243"/>
    </row>
    <row r="612" spans="1:131">
      <c r="A612" s="20"/>
      <c r="B612" s="124" t="str">
        <f t="shared" si="566"/>
        <v/>
      </c>
      <c r="C612" s="235"/>
      <c r="D612" s="24">
        <f>'1% Wind'!$M$93</f>
        <v>2.4</v>
      </c>
      <c r="E612" s="90"/>
      <c r="F612" s="90"/>
      <c r="G612" s="79">
        <f ca="1">IF(I600=0.9743,$G611,MAX(G611/D611*D612,2))</f>
        <v>6.001707317073171</v>
      </c>
      <c r="H612" s="121" t="e">
        <f t="shared" ca="1" si="567"/>
        <v>#VALUE!</v>
      </c>
      <c r="J612" s="33"/>
      <c r="K612" s="242">
        <f t="shared" si="568"/>
        <v>1</v>
      </c>
      <c r="L612" s="241" t="e">
        <f t="shared" ca="1" si="569"/>
        <v>#VALUE!</v>
      </c>
      <c r="M612" s="243" t="e">
        <f ca="1">IF(AND(INDEX(FlowCalConstA,MATCH(J600,FlowCalNumber,0),1,1)*L612^INDEX(FlowCalConstB,MATCH(J600,FlowCalNumber,0),1,1)&gt;INDEX(FlowCalLowSetting,MATCH(J600,FlowCalNumber,0),1,1), (INDEX(FlowCalConstA,MATCH(J600,FlowCalNumber,0),1,1)*L612^INDEX(FlowCalConstB,MATCH(J600,FlowCalNumber,0),1,1)&lt;INDEX(FlowCalHighSetting,MATCH(J600,FlowCalNumber,0),1,1))),INDEX(FlowCalConstA,MATCH(J600,FlowCalNumber,0),1,1)*L612^INDEX(FlowCalConstB,MATCH(J600,FlowCalNumber,0),1,1)," ")</f>
        <v>#N/A</v>
      </c>
      <c r="N612" s="33"/>
      <c r="O612" s="242">
        <f t="shared" si="570"/>
        <v>1</v>
      </c>
      <c r="P612" s="241" t="e">
        <f t="shared" ca="1" si="571"/>
        <v>#VALUE!</v>
      </c>
      <c r="Q612" s="243" t="e">
        <f ca="1">IF(AND(INDEX(FlowCalConstA,MATCH(N600,FlowCalNumber,0),1,1)*P612^INDEX(FlowCalConstB,MATCH(N600,FlowCalNumber,0),1,1)&gt;INDEX(FlowCalLowSetting,MATCH(N600,FlowCalNumber,0),1,1), (INDEX(FlowCalConstA,MATCH(N600,FlowCalNumber,0),1,1)*P612^INDEX(FlowCalConstB,MATCH(N600,FlowCalNumber,0),1,1)&lt;INDEX(FlowCalHighSetting,MATCH(N600,FlowCalNumber,0),1,1))),INDEX(FlowCalConstA,MATCH(N600,FlowCalNumber,0),1,1)*P612^INDEX(FlowCalConstB,MATCH(N600,FlowCalNumber,0),1,1)," ")</f>
        <v>#N/A</v>
      </c>
      <c r="R612" s="33"/>
      <c r="S612" s="242">
        <f t="shared" si="572"/>
        <v>1</v>
      </c>
      <c r="T612" s="241" t="e">
        <f t="shared" ca="1" si="573"/>
        <v>#VALUE!</v>
      </c>
      <c r="U612" s="244" t="e">
        <f ca="1">IF(AND(INDEX(FlowCalConstA,MATCH(R600,FlowCalNumber,0),1,1)*T612^INDEX(FlowCalConstB,MATCH(R600,FlowCalNumber,0),1,1)&gt;INDEX(FlowCalLowSetting,MATCH(R600,FlowCalNumber,0),1,1), (INDEX(FlowCalConstA,MATCH(R600,FlowCalNumber,0),1,1)*T612^INDEX(FlowCalConstB,MATCH(R600,FlowCalNumber,0),1,1)&lt;INDEX(FlowCalHighSetting,MATCH(R600,FlowCalNumber,0),1,1))),INDEX(FlowCalConstA,MATCH(R600,FlowCalNumber,0),1,1)*T612^INDEX(FlowCalConstB,MATCH(R600,FlowCalNumber,0),1,1)," ")</f>
        <v>#N/A</v>
      </c>
      <c r="V612" s="33"/>
      <c r="W612" s="242">
        <f t="shared" si="574"/>
        <v>0.1</v>
      </c>
      <c r="X612" s="241" t="e">
        <f t="shared" ca="1" si="575"/>
        <v>#VALUE!</v>
      </c>
      <c r="Y612" s="243" t="e">
        <f ca="1">IF(AND(INDEX(FlowCalConstA,MATCH(V600,FlowCalNumber,0),1,1)*X612^INDEX(FlowCalConstB,MATCH(V600,FlowCalNumber,0),1,1)&gt;INDEX(FlowCalLowSetting,MATCH(V600,FlowCalNumber,0),1,1), (INDEX(FlowCalConstA,MATCH(V600,FlowCalNumber,0),1,1)*X612^INDEX(FlowCalConstB,MATCH(V600,FlowCalNumber,0),1,1)&lt;INDEX(FlowCalHighSetting,MATCH(V600,FlowCalNumber,0),1,1))),INDEX(FlowCalConstA,MATCH(V600,FlowCalNumber,0),1,1)*X612^INDEX(FlowCalConstB,MATCH(V600,FlowCalNumber,0),1,1)," ")</f>
        <v>#N/A</v>
      </c>
      <c r="Z612" s="33"/>
      <c r="AA612" s="242">
        <f t="shared" si="576"/>
        <v>0.9</v>
      </c>
      <c r="AB612" s="241" t="e">
        <f t="shared" ca="1" si="577"/>
        <v>#VALUE!</v>
      </c>
      <c r="AC612" s="243" t="e">
        <f ca="1">IF(AND(INDEX(FlowCalConstA,MATCH(Z600,FlowCalNumber,0),1,1)*AB612^INDEX(FlowCalConstB,MATCH(Z600,FlowCalNumber,0),1,1)&gt;INDEX(FlowCalLowSetting,MATCH(Z600,FlowCalNumber,0),1,1), (INDEX(FlowCalConstA,MATCH(Z600,FlowCalNumber,0),1,1)*AB612^INDEX(FlowCalConstB,MATCH(Z600,FlowCalNumber,0),1,1)&lt;INDEX(FlowCalHighSetting,MATCH(Z600,FlowCalNumber,0),1,1))),INDEX(FlowCalConstA,MATCH(Z600,FlowCalNumber,0),1,1)*AB612^INDEX(FlowCalConstB,MATCH(Z600,FlowCalNumber,0),1,1)," ")</f>
        <v>#N/A</v>
      </c>
      <c r="AD612" s="33"/>
      <c r="AE612" s="242">
        <f t="shared" si="578"/>
        <v>0.1</v>
      </c>
      <c r="AF612" s="241" t="e">
        <f t="shared" ca="1" si="579"/>
        <v>#VALUE!</v>
      </c>
      <c r="AG612" s="243" t="e">
        <f ca="1">IF(AND(INDEX(FlowCalConstA,MATCH(AD600,FlowCalNumber,0),1,1)*AF612^INDEX(FlowCalConstB,MATCH(AD600,FlowCalNumber,0),1,1)&gt;INDEX(FlowCalLowSetting,MATCH(AD600,FlowCalNumber,0),1,1), (INDEX(FlowCalConstA,MATCH(AD600,FlowCalNumber,0),1,1)*AF612^INDEX(FlowCalConstB,MATCH(AD600,FlowCalNumber,0),1,1)&lt;INDEX(FlowCalHighSetting,MATCH(AD600,FlowCalNumber,0),1,1))),INDEX(FlowCalConstA,MATCH(AD600,FlowCalNumber,0),1,1)*AF612^INDEX(FlowCalConstB,MATCH(AD600,FlowCalNumber,0),1,1)," ")</f>
        <v>#N/A</v>
      </c>
      <c r="AH612" s="33"/>
      <c r="AI612" s="242">
        <f t="shared" si="580"/>
        <v>0.9</v>
      </c>
      <c r="AJ612" s="241" t="e">
        <f t="shared" ca="1" si="581"/>
        <v>#VALUE!</v>
      </c>
      <c r="AK612" s="243" t="e">
        <f ca="1">IF(AND(INDEX(FlowCalConstA,MATCH(AH600,FlowCalNumber,0),1,1)*AJ612^INDEX(FlowCalConstB,MATCH(AH600,FlowCalNumber,0),1,1)&gt;INDEX(FlowCalLowSetting,MATCH(AH600,FlowCalNumber,0),1,1), (INDEX(FlowCalConstA,MATCH(AH600,FlowCalNumber,0),1,1)*AJ612^INDEX(FlowCalConstB,MATCH(AH600,FlowCalNumber,0),1,1)&lt;INDEX(FlowCalHighSetting,MATCH(AH600,FlowCalNumber,0),1,1))),INDEX(FlowCalConstA,MATCH(AH600,FlowCalNumber,0),1,1)*AJ612^INDEX(FlowCalConstB,MATCH(AH600,FlowCalNumber,0),1,1)," ")</f>
        <v>#N/A</v>
      </c>
      <c r="AL612" s="33"/>
      <c r="AM612" s="242"/>
      <c r="AN612" s="241"/>
      <c r="AO612" s="244"/>
      <c r="AQ612" s="242"/>
      <c r="AR612" s="241"/>
      <c r="AS612" s="244"/>
      <c r="AT612" s="33"/>
      <c r="AU612" s="242"/>
      <c r="AV612" s="241"/>
      <c r="AW612" s="244"/>
      <c r="AX612" s="33"/>
      <c r="AY612" s="242"/>
      <c r="AZ612" s="241"/>
      <c r="BA612" s="244"/>
      <c r="BB612" s="33"/>
      <c r="BC612" s="242"/>
      <c r="BD612" s="241"/>
      <c r="BE612" s="244"/>
      <c r="BF612" s="33"/>
      <c r="BG612" s="242"/>
      <c r="BH612" s="241"/>
      <c r="BI612" s="244"/>
      <c r="BJ612" s="33"/>
      <c r="BK612" s="242"/>
      <c r="BL612" s="241"/>
      <c r="BM612" s="244"/>
      <c r="BN612" s="33"/>
      <c r="BO612" s="242"/>
      <c r="BP612" s="241"/>
      <c r="BQ612" s="244"/>
      <c r="BR612" s="33"/>
      <c r="BS612" s="242"/>
      <c r="BT612" s="241"/>
      <c r="BU612" s="244"/>
      <c r="BV612" s="33"/>
      <c r="BW612" s="242"/>
      <c r="BX612" s="241"/>
      <c r="BY612" s="244"/>
      <c r="BZ612" s="33"/>
      <c r="CA612" s="242"/>
      <c r="CB612" s="241"/>
      <c r="CC612" s="244"/>
      <c r="CD612" s="243"/>
      <c r="CE612" s="243"/>
      <c r="CF612" s="243"/>
      <c r="CG612" s="243"/>
      <c r="CH612" s="243"/>
      <c r="CI612" s="243"/>
      <c r="CJ612" s="243"/>
      <c r="CK612" s="243"/>
      <c r="CL612" s="243"/>
      <c r="CM612" s="243"/>
      <c r="CN612" s="243"/>
      <c r="CO612" s="243"/>
      <c r="CP612" s="243"/>
      <c r="CQ612" s="243"/>
      <c r="CR612" s="243"/>
      <c r="CS612" s="243"/>
      <c r="CT612" s="243"/>
      <c r="CU612" s="243"/>
      <c r="CV612" s="243"/>
      <c r="CW612" s="243"/>
      <c r="CX612" s="243"/>
      <c r="CY612" s="243"/>
      <c r="CZ612" s="243"/>
      <c r="DA612" s="243"/>
      <c r="DB612" s="243"/>
      <c r="DC612" s="243"/>
      <c r="DD612" s="243"/>
      <c r="DE612" s="243"/>
      <c r="DF612" s="243"/>
      <c r="DG612" s="243"/>
      <c r="DH612" s="243"/>
      <c r="DI612" s="243"/>
      <c r="DJ612" s="243"/>
      <c r="DK612" s="243"/>
      <c r="DM612" s="242"/>
      <c r="DO612" s="243"/>
      <c r="DQ612" s="242"/>
      <c r="DS612" s="243"/>
      <c r="DU612" s="242"/>
      <c r="DW612" s="243"/>
      <c r="DY612" s="242"/>
      <c r="EA612" s="243"/>
    </row>
    <row r="613" spans="1:131">
      <c r="A613" s="20"/>
      <c r="B613" s="124" t="str">
        <f t="shared" si="566"/>
        <v/>
      </c>
      <c r="C613" s="235"/>
      <c r="D613" s="24">
        <f>'1% Wind'!$M$94</f>
        <v>1.8</v>
      </c>
      <c r="E613" s="90"/>
      <c r="F613" s="90"/>
      <c r="G613" s="79">
        <f ca="1">IF(I600=0.9743,$G612,MAX(G612/D612*D613,2))</f>
        <v>6.001707317073171</v>
      </c>
      <c r="H613" s="121" t="e">
        <f t="shared" ca="1" si="567"/>
        <v>#VALUE!</v>
      </c>
      <c r="J613" s="33"/>
      <c r="K613" s="242">
        <f t="shared" si="568"/>
        <v>1</v>
      </c>
      <c r="L613" s="241" t="e">
        <f t="shared" ca="1" si="569"/>
        <v>#VALUE!</v>
      </c>
      <c r="M613" s="243" t="e">
        <f ca="1">IF(AND(INDEX(FlowCalConstA,MATCH(J600,FlowCalNumber,0),1,1)*L613^INDEX(FlowCalConstB,MATCH(J600,FlowCalNumber,0),1,1)&gt;INDEX(FlowCalLowSetting,MATCH(J600,FlowCalNumber,0),1,1), (INDEX(FlowCalConstA,MATCH(J600,FlowCalNumber,0),1,1)*L613^INDEX(FlowCalConstB,MATCH(J600,FlowCalNumber,0),1,1)&lt;INDEX(FlowCalHighSetting,MATCH(J600,FlowCalNumber,0),1,1))),INDEX(FlowCalConstA,MATCH(J600,FlowCalNumber,0),1,1)*L613^INDEX(FlowCalConstB,MATCH(J600,FlowCalNumber,0),1,1)," ")</f>
        <v>#N/A</v>
      </c>
      <c r="N613" s="33"/>
      <c r="O613" s="242">
        <f t="shared" si="570"/>
        <v>1</v>
      </c>
      <c r="P613" s="241" t="e">
        <f t="shared" ca="1" si="571"/>
        <v>#VALUE!</v>
      </c>
      <c r="Q613" s="243" t="e">
        <f ca="1">IF(AND(INDEX(FlowCalConstA,MATCH(N600,FlowCalNumber,0),1,1)*P613^INDEX(FlowCalConstB,MATCH(N600,FlowCalNumber,0),1,1)&gt;INDEX(FlowCalLowSetting,MATCH(N600,FlowCalNumber,0),1,1), (INDEX(FlowCalConstA,MATCH(N600,FlowCalNumber,0),1,1)*P613^INDEX(FlowCalConstB,MATCH(N600,FlowCalNumber,0),1,1)&lt;INDEX(FlowCalHighSetting,MATCH(N600,FlowCalNumber,0),1,1))),INDEX(FlowCalConstA,MATCH(N600,FlowCalNumber,0),1,1)*P613^INDEX(FlowCalConstB,MATCH(N600,FlowCalNumber,0),1,1)," ")</f>
        <v>#N/A</v>
      </c>
      <c r="R613" s="33"/>
      <c r="S613" s="242">
        <f t="shared" si="572"/>
        <v>1</v>
      </c>
      <c r="T613" s="241" t="e">
        <f t="shared" ca="1" si="573"/>
        <v>#VALUE!</v>
      </c>
      <c r="U613" s="244" t="e">
        <f ca="1">IF(AND(INDEX(FlowCalConstA,MATCH(R600,FlowCalNumber,0),1,1)*T613^INDEX(FlowCalConstB,MATCH(R600,FlowCalNumber,0),1,1)&gt;INDEX(FlowCalLowSetting,MATCH(R600,FlowCalNumber,0),1,1), (INDEX(FlowCalConstA,MATCH(R600,FlowCalNumber,0),1,1)*T613^INDEX(FlowCalConstB,MATCH(R600,FlowCalNumber,0),1,1)&lt;INDEX(FlowCalHighSetting,MATCH(R600,FlowCalNumber,0),1,1))),INDEX(FlowCalConstA,MATCH(R600,FlowCalNumber,0),1,1)*T613^INDEX(FlowCalConstB,MATCH(R600,FlowCalNumber,0),1,1)," ")</f>
        <v>#N/A</v>
      </c>
      <c r="V613" s="33"/>
      <c r="W613" s="242">
        <f t="shared" si="574"/>
        <v>0.1</v>
      </c>
      <c r="X613" s="241" t="e">
        <f t="shared" ca="1" si="575"/>
        <v>#VALUE!</v>
      </c>
      <c r="Y613" s="243" t="e">
        <f ca="1">IF(AND(INDEX(FlowCalConstA,MATCH(V600,FlowCalNumber,0),1,1)*X613^INDEX(FlowCalConstB,MATCH(V600,FlowCalNumber,0),1,1)&gt;INDEX(FlowCalLowSetting,MATCH(V600,FlowCalNumber,0),1,1), (INDEX(FlowCalConstA,MATCH(V600,FlowCalNumber,0),1,1)*X613^INDEX(FlowCalConstB,MATCH(V600,FlowCalNumber,0),1,1)&lt;INDEX(FlowCalHighSetting,MATCH(V600,FlowCalNumber,0),1,1))),INDEX(FlowCalConstA,MATCH(V600,FlowCalNumber,0),1,1)*X613^INDEX(FlowCalConstB,MATCH(V600,FlowCalNumber,0),1,1)," ")</f>
        <v>#N/A</v>
      </c>
      <c r="Z613" s="33"/>
      <c r="AA613" s="242">
        <f t="shared" si="576"/>
        <v>0.9</v>
      </c>
      <c r="AB613" s="241" t="e">
        <f t="shared" ca="1" si="577"/>
        <v>#VALUE!</v>
      </c>
      <c r="AC613" s="243" t="e">
        <f ca="1">IF(AND(INDEX(FlowCalConstA,MATCH(Z600,FlowCalNumber,0),1,1)*AB613^INDEX(FlowCalConstB,MATCH(Z600,FlowCalNumber,0),1,1)&gt;INDEX(FlowCalLowSetting,MATCH(Z600,FlowCalNumber,0),1,1), (INDEX(FlowCalConstA,MATCH(Z600,FlowCalNumber,0),1,1)*AB613^INDEX(FlowCalConstB,MATCH(Z600,FlowCalNumber,0),1,1)&lt;INDEX(FlowCalHighSetting,MATCH(Z600,FlowCalNumber,0),1,1))),INDEX(FlowCalConstA,MATCH(Z600,FlowCalNumber,0),1,1)*AB613^INDEX(FlowCalConstB,MATCH(Z600,FlowCalNumber,0),1,1)," ")</f>
        <v>#N/A</v>
      </c>
      <c r="AD613" s="33"/>
      <c r="AE613" s="242">
        <f t="shared" si="578"/>
        <v>0.1</v>
      </c>
      <c r="AF613" s="241" t="e">
        <f t="shared" ca="1" si="579"/>
        <v>#VALUE!</v>
      </c>
      <c r="AG613" s="243" t="e">
        <f ca="1">IF(AND(INDEX(FlowCalConstA,MATCH(AD600,FlowCalNumber,0),1,1)*AF613^INDEX(FlowCalConstB,MATCH(AD600,FlowCalNumber,0),1,1)&gt;INDEX(FlowCalLowSetting,MATCH(AD600,FlowCalNumber,0),1,1), (INDEX(FlowCalConstA,MATCH(AD600,FlowCalNumber,0),1,1)*AF613^INDEX(FlowCalConstB,MATCH(AD600,FlowCalNumber,0),1,1)&lt;INDEX(FlowCalHighSetting,MATCH(AD600,FlowCalNumber,0),1,1))),INDEX(FlowCalConstA,MATCH(AD600,FlowCalNumber,0),1,1)*AF613^INDEX(FlowCalConstB,MATCH(AD600,FlowCalNumber,0),1,1)," ")</f>
        <v>#N/A</v>
      </c>
      <c r="AH613" s="33"/>
      <c r="AI613" s="242">
        <f t="shared" si="580"/>
        <v>0.9</v>
      </c>
      <c r="AJ613" s="241" t="e">
        <f t="shared" ca="1" si="581"/>
        <v>#VALUE!</v>
      </c>
      <c r="AK613" s="243" t="e">
        <f ca="1">IF(AND(INDEX(FlowCalConstA,MATCH(AH600,FlowCalNumber,0),1,1)*AJ613^INDEX(FlowCalConstB,MATCH(AH600,FlowCalNumber,0),1,1)&gt;INDEX(FlowCalLowSetting,MATCH(AH600,FlowCalNumber,0),1,1), (INDEX(FlowCalConstA,MATCH(AH600,FlowCalNumber,0),1,1)*AJ613^INDEX(FlowCalConstB,MATCH(AH600,FlowCalNumber,0),1,1)&lt;INDEX(FlowCalHighSetting,MATCH(AH600,FlowCalNumber,0),1,1))),INDEX(FlowCalConstA,MATCH(AH600,FlowCalNumber,0),1,1)*AJ613^INDEX(FlowCalConstB,MATCH(AH600,FlowCalNumber,0),1,1)," ")</f>
        <v>#N/A</v>
      </c>
      <c r="AL613" s="33"/>
      <c r="AM613" s="242"/>
      <c r="AN613" s="241"/>
      <c r="AO613" s="244"/>
      <c r="AQ613" s="242"/>
      <c r="AR613" s="241"/>
      <c r="AS613" s="244"/>
      <c r="AT613" s="33"/>
      <c r="AU613" s="242"/>
      <c r="AV613" s="241"/>
      <c r="AW613" s="244"/>
      <c r="AX613" s="33"/>
      <c r="AY613" s="242"/>
      <c r="AZ613" s="241"/>
      <c r="BA613" s="244"/>
      <c r="BB613" s="33"/>
      <c r="BC613" s="242"/>
      <c r="BD613" s="241"/>
      <c r="BE613" s="244"/>
      <c r="BF613" s="33"/>
      <c r="BG613" s="242"/>
      <c r="BH613" s="241"/>
      <c r="BI613" s="244"/>
      <c r="BJ613" s="33"/>
      <c r="BK613" s="242"/>
      <c r="BL613" s="241"/>
      <c r="BM613" s="244"/>
      <c r="BN613" s="33"/>
      <c r="BO613" s="242"/>
      <c r="BP613" s="241"/>
      <c r="BQ613" s="244"/>
      <c r="BR613" s="33"/>
      <c r="BS613" s="242"/>
      <c r="BT613" s="241"/>
      <c r="BU613" s="244"/>
      <c r="BV613" s="33"/>
      <c r="BW613" s="242"/>
      <c r="BX613" s="241"/>
      <c r="BY613" s="244"/>
      <c r="BZ613" s="33"/>
      <c r="CA613" s="242"/>
      <c r="CB613" s="241"/>
      <c r="CC613" s="244"/>
      <c r="CD613" s="243"/>
      <c r="CE613" s="243"/>
      <c r="CF613" s="243"/>
      <c r="CG613" s="243"/>
      <c r="CH613" s="243"/>
      <c r="CI613" s="243"/>
      <c r="CJ613" s="243"/>
      <c r="CK613" s="243"/>
      <c r="CL613" s="243"/>
      <c r="CM613" s="243"/>
      <c r="CN613" s="243"/>
      <c r="CO613" s="243"/>
      <c r="CP613" s="243"/>
      <c r="CQ613" s="243"/>
      <c r="CR613" s="243"/>
      <c r="CS613" s="243"/>
      <c r="CT613" s="243"/>
      <c r="CU613" s="243"/>
      <c r="CV613" s="243"/>
      <c r="CW613" s="243"/>
      <c r="CX613" s="243"/>
      <c r="CY613" s="243"/>
      <c r="CZ613" s="243"/>
      <c r="DA613" s="243"/>
      <c r="DB613" s="243"/>
      <c r="DC613" s="243"/>
      <c r="DD613" s="243"/>
      <c r="DE613" s="243"/>
      <c r="DF613" s="243"/>
      <c r="DG613" s="243"/>
      <c r="DH613" s="243"/>
      <c r="DI613" s="243"/>
      <c r="DJ613" s="243"/>
      <c r="DK613" s="243"/>
      <c r="DM613" s="242"/>
      <c r="DO613" s="243"/>
      <c r="DQ613" s="242"/>
      <c r="DS613" s="243"/>
      <c r="DU613" s="242"/>
      <c r="DW613" s="243"/>
      <c r="DY613" s="242"/>
      <c r="EA613" s="243"/>
    </row>
    <row r="614" spans="1:131">
      <c r="A614" s="20"/>
      <c r="B614" s="124" t="str">
        <f t="shared" si="566"/>
        <v/>
      </c>
      <c r="C614" s="235"/>
      <c r="D614" s="24">
        <f>'1% Wind'!$M$95</f>
        <v>1.3</v>
      </c>
      <c r="E614" s="90"/>
      <c r="F614" s="90"/>
      <c r="G614" s="79">
        <f ca="1">IF(I600=0.9743,$G613,MAX(G613/D613*D614,2))</f>
        <v>6.001707317073171</v>
      </c>
      <c r="H614" s="121" t="e">
        <f t="shared" ca="1" si="567"/>
        <v>#VALUE!</v>
      </c>
      <c r="J614" s="33"/>
      <c r="K614" s="242">
        <f t="shared" si="568"/>
        <v>1</v>
      </c>
      <c r="L614" s="241" t="e">
        <f t="shared" ca="1" si="569"/>
        <v>#VALUE!</v>
      </c>
      <c r="M614" s="243" t="e">
        <f ca="1">IF(AND(INDEX(FlowCalConstA,MATCH(J600,FlowCalNumber,0),1,1)*L614^INDEX(FlowCalConstB,MATCH(J600,FlowCalNumber,0),1,1)&gt;INDEX(FlowCalLowSetting,MATCH(J600,FlowCalNumber,0),1,1), (INDEX(FlowCalConstA,MATCH(J600,FlowCalNumber,0),1,1)*L614^INDEX(FlowCalConstB,MATCH(J600,FlowCalNumber,0),1,1)&lt;INDEX(FlowCalHighSetting,MATCH(J600,FlowCalNumber,0),1,1))),INDEX(FlowCalConstA,MATCH(J600,FlowCalNumber,0),1,1)*L614^INDEX(FlowCalConstB,MATCH(J600,FlowCalNumber,0),1,1)," ")</f>
        <v>#N/A</v>
      </c>
      <c r="N614" s="33"/>
      <c r="O614" s="242">
        <f t="shared" si="570"/>
        <v>1</v>
      </c>
      <c r="P614" s="241" t="e">
        <f t="shared" ca="1" si="571"/>
        <v>#VALUE!</v>
      </c>
      <c r="Q614" s="243" t="e">
        <f ca="1">IF(AND(INDEX(FlowCalConstA,MATCH(N600,FlowCalNumber,0),1,1)*P614^INDEX(FlowCalConstB,MATCH(N600,FlowCalNumber,0),1,1)&gt;INDEX(FlowCalLowSetting,MATCH(N600,FlowCalNumber,0),1,1), (INDEX(FlowCalConstA,MATCH(N600,FlowCalNumber,0),1,1)*P614^INDEX(FlowCalConstB,MATCH(N600,FlowCalNumber,0),1,1)&lt;INDEX(FlowCalHighSetting,MATCH(N600,FlowCalNumber,0),1,1))),INDEX(FlowCalConstA,MATCH(N600,FlowCalNumber,0),1,1)*P614^INDEX(FlowCalConstB,MATCH(N600,FlowCalNumber,0),1,1)," ")</f>
        <v>#N/A</v>
      </c>
      <c r="R614" s="33"/>
      <c r="S614" s="242">
        <f t="shared" si="572"/>
        <v>1</v>
      </c>
      <c r="T614" s="241" t="e">
        <f t="shared" ca="1" si="573"/>
        <v>#VALUE!</v>
      </c>
      <c r="U614" s="244" t="e">
        <f ca="1">IF(AND(INDEX(FlowCalConstA,MATCH(R600,FlowCalNumber,0),1,1)*T614^INDEX(FlowCalConstB,MATCH(R600,FlowCalNumber,0),1,1)&gt;INDEX(FlowCalLowSetting,MATCH(R600,FlowCalNumber,0),1,1), (INDEX(FlowCalConstA,MATCH(R600,FlowCalNumber,0),1,1)*T614^INDEX(FlowCalConstB,MATCH(R600,FlowCalNumber,0),1,1)&lt;INDEX(FlowCalHighSetting,MATCH(R600,FlowCalNumber,0),1,1))),INDEX(FlowCalConstA,MATCH(R600,FlowCalNumber,0),1,1)*T614^INDEX(FlowCalConstB,MATCH(R600,FlowCalNumber,0),1,1)," ")</f>
        <v>#N/A</v>
      </c>
      <c r="V614" s="33"/>
      <c r="W614" s="242">
        <f t="shared" si="574"/>
        <v>0.1</v>
      </c>
      <c r="X614" s="241" t="e">
        <f t="shared" ca="1" si="575"/>
        <v>#VALUE!</v>
      </c>
      <c r="Y614" s="243" t="e">
        <f ca="1">IF(AND(INDEX(FlowCalConstA,MATCH(V600,FlowCalNumber,0),1,1)*X614^INDEX(FlowCalConstB,MATCH(V600,FlowCalNumber,0),1,1)&gt;INDEX(FlowCalLowSetting,MATCH(V600,FlowCalNumber,0),1,1), (INDEX(FlowCalConstA,MATCH(V600,FlowCalNumber,0),1,1)*X614^INDEX(FlowCalConstB,MATCH(V600,FlowCalNumber,0),1,1)&lt;INDEX(FlowCalHighSetting,MATCH(V600,FlowCalNumber,0),1,1))),INDEX(FlowCalConstA,MATCH(V600,FlowCalNumber,0),1,1)*X614^INDEX(FlowCalConstB,MATCH(V600,FlowCalNumber,0),1,1)," ")</f>
        <v>#N/A</v>
      </c>
      <c r="Z614" s="33"/>
      <c r="AA614" s="242">
        <f t="shared" si="576"/>
        <v>0.9</v>
      </c>
      <c r="AB614" s="241" t="e">
        <f t="shared" ca="1" si="577"/>
        <v>#VALUE!</v>
      </c>
      <c r="AC614" s="243" t="e">
        <f ca="1">IF(AND(INDEX(FlowCalConstA,MATCH(Z600,FlowCalNumber,0),1,1)*AB614^INDEX(FlowCalConstB,MATCH(Z600,FlowCalNumber,0),1,1)&gt;INDEX(FlowCalLowSetting,MATCH(Z600,FlowCalNumber,0),1,1), (INDEX(FlowCalConstA,MATCH(Z600,FlowCalNumber,0),1,1)*AB614^INDEX(FlowCalConstB,MATCH(Z600,FlowCalNumber,0),1,1)&lt;INDEX(FlowCalHighSetting,MATCH(Z600,FlowCalNumber,0),1,1))),INDEX(FlowCalConstA,MATCH(Z600,FlowCalNumber,0),1,1)*AB614^INDEX(FlowCalConstB,MATCH(Z600,FlowCalNumber,0),1,1)," ")</f>
        <v>#N/A</v>
      </c>
      <c r="AD614" s="33"/>
      <c r="AE614" s="242">
        <f t="shared" si="578"/>
        <v>0.1</v>
      </c>
      <c r="AF614" s="241" t="e">
        <f t="shared" ca="1" si="579"/>
        <v>#VALUE!</v>
      </c>
      <c r="AG614" s="243" t="e">
        <f ca="1">IF(AND(INDEX(FlowCalConstA,MATCH(AD600,FlowCalNumber,0),1,1)*AF614^INDEX(FlowCalConstB,MATCH(AD600,FlowCalNumber,0),1,1)&gt;INDEX(FlowCalLowSetting,MATCH(AD600,FlowCalNumber,0),1,1), (INDEX(FlowCalConstA,MATCH(AD600,FlowCalNumber,0),1,1)*AF614^INDEX(FlowCalConstB,MATCH(AD600,FlowCalNumber,0),1,1)&lt;INDEX(FlowCalHighSetting,MATCH(AD600,FlowCalNumber,0),1,1))),INDEX(FlowCalConstA,MATCH(AD600,FlowCalNumber,0),1,1)*AF614^INDEX(FlowCalConstB,MATCH(AD600,FlowCalNumber,0),1,1)," ")</f>
        <v>#N/A</v>
      </c>
      <c r="AH614" s="33"/>
      <c r="AI614" s="242">
        <f t="shared" si="580"/>
        <v>0.9</v>
      </c>
      <c r="AJ614" s="241" t="e">
        <f t="shared" ca="1" si="581"/>
        <v>#VALUE!</v>
      </c>
      <c r="AK614" s="243" t="e">
        <f ca="1">IF(AND(INDEX(FlowCalConstA,MATCH(AH600,FlowCalNumber,0),1,1)*AJ614^INDEX(FlowCalConstB,MATCH(AH600,FlowCalNumber,0),1,1)&gt;INDEX(FlowCalLowSetting,MATCH(AH600,FlowCalNumber,0),1,1), (INDEX(FlowCalConstA,MATCH(AH600,FlowCalNumber,0),1,1)*AJ614^INDEX(FlowCalConstB,MATCH(AH600,FlowCalNumber,0),1,1)&lt;INDEX(FlowCalHighSetting,MATCH(AH600,FlowCalNumber,0),1,1))),INDEX(FlowCalConstA,MATCH(AH600,FlowCalNumber,0),1,1)*AJ614^INDEX(FlowCalConstB,MATCH(AH600,FlowCalNumber,0),1,1)," ")</f>
        <v>#N/A</v>
      </c>
      <c r="AL614" s="33"/>
      <c r="AM614" s="242"/>
      <c r="AN614" s="241"/>
      <c r="AO614" s="244"/>
      <c r="AQ614" s="242"/>
      <c r="AR614" s="241"/>
      <c r="AS614" s="244"/>
      <c r="AT614" s="33"/>
      <c r="AU614" s="242"/>
      <c r="AV614" s="241"/>
      <c r="AW614" s="244"/>
      <c r="AX614" s="33"/>
      <c r="AY614" s="242"/>
      <c r="AZ614" s="241"/>
      <c r="BA614" s="244"/>
      <c r="BB614" s="33"/>
      <c r="BC614" s="242"/>
      <c r="BD614" s="241"/>
      <c r="BE614" s="244"/>
      <c r="BF614" s="33"/>
      <c r="BG614" s="242"/>
      <c r="BH614" s="241"/>
      <c r="BI614" s="244"/>
      <c r="BJ614" s="33"/>
      <c r="BK614" s="242"/>
      <c r="BL614" s="241"/>
      <c r="BM614" s="244"/>
      <c r="BN614" s="33"/>
      <c r="BO614" s="242"/>
      <c r="BP614" s="241"/>
      <c r="BQ614" s="244"/>
      <c r="BR614" s="33"/>
      <c r="BS614" s="242"/>
      <c r="BT614" s="241"/>
      <c r="BU614" s="244"/>
      <c r="BV614" s="33"/>
      <c r="BW614" s="242"/>
      <c r="BX614" s="241"/>
      <c r="BY614" s="244"/>
      <c r="BZ614" s="33"/>
      <c r="CA614" s="242"/>
      <c r="CB614" s="241"/>
      <c r="CC614" s="244"/>
      <c r="CD614" s="243"/>
      <c r="CE614" s="243"/>
      <c r="CF614" s="243"/>
      <c r="CG614" s="243"/>
      <c r="CH614" s="243"/>
      <c r="CI614" s="243"/>
      <c r="CJ614" s="243"/>
      <c r="CK614" s="243"/>
      <c r="CL614" s="243"/>
      <c r="CM614" s="243"/>
      <c r="CN614" s="243"/>
      <c r="CO614" s="243"/>
      <c r="CP614" s="243"/>
      <c r="CQ614" s="243"/>
      <c r="CR614" s="243"/>
      <c r="CS614" s="243"/>
      <c r="CT614" s="243"/>
      <c r="CU614" s="243"/>
      <c r="CV614" s="243"/>
      <c r="CW614" s="243"/>
      <c r="CX614" s="243"/>
      <c r="CY614" s="243"/>
      <c r="CZ614" s="243"/>
      <c r="DA614" s="243"/>
      <c r="DB614" s="243"/>
      <c r="DC614" s="243"/>
      <c r="DD614" s="243"/>
      <c r="DE614" s="243"/>
      <c r="DF614" s="243"/>
      <c r="DG614" s="243"/>
      <c r="DH614" s="243"/>
      <c r="DI614" s="243"/>
      <c r="DJ614" s="243"/>
      <c r="DK614" s="243"/>
      <c r="DM614" s="242"/>
      <c r="DO614" s="243"/>
      <c r="DQ614" s="242"/>
      <c r="DS614" s="243"/>
      <c r="DU614" s="242"/>
      <c r="DW614" s="243"/>
      <c r="DY614" s="242"/>
      <c r="EA614" s="243"/>
    </row>
    <row r="615" spans="1:131">
      <c r="A615" s="20"/>
      <c r="B615" s="124" t="str">
        <f t="shared" si="566"/>
        <v/>
      </c>
      <c r="C615" s="235"/>
      <c r="D615" s="24">
        <f>'1% Wind'!$M$96</f>
        <v>1</v>
      </c>
      <c r="E615" s="90"/>
      <c r="F615" s="90"/>
      <c r="G615" s="79">
        <f ca="1">IF(I600=0.9743,$G614,MAX(G614/D614*D615,2))</f>
        <v>6.001707317073171</v>
      </c>
      <c r="H615" s="121" t="e">
        <f t="shared" ca="1" si="567"/>
        <v>#VALUE!</v>
      </c>
      <c r="J615" s="33"/>
      <c r="K615" s="242">
        <f t="shared" si="568"/>
        <v>1</v>
      </c>
      <c r="L615" s="241" t="e">
        <f t="shared" ca="1" si="569"/>
        <v>#VALUE!</v>
      </c>
      <c r="M615" s="243" t="e">
        <f ca="1">IF(AND(INDEX(FlowCalConstA,MATCH(J600,FlowCalNumber,0),1,1)*L615^INDEX(FlowCalConstB,MATCH(J600,FlowCalNumber,0),1,1)&gt;INDEX(FlowCalLowSetting,MATCH(J600,FlowCalNumber,0),1,1), (INDEX(FlowCalConstA,MATCH(J600,FlowCalNumber,0),1,1)*L615^INDEX(FlowCalConstB,MATCH(J600,FlowCalNumber,0),1,1)&lt;INDEX(FlowCalHighSetting,MATCH(J600,FlowCalNumber,0),1,1))),INDEX(FlowCalConstA,MATCH(J600,FlowCalNumber,0),1,1)*L615^INDEX(FlowCalConstB,MATCH(J600,FlowCalNumber,0),1,1)," ")</f>
        <v>#N/A</v>
      </c>
      <c r="N615" s="33"/>
      <c r="O615" s="242">
        <f t="shared" si="570"/>
        <v>1</v>
      </c>
      <c r="P615" s="241" t="e">
        <f t="shared" ca="1" si="571"/>
        <v>#VALUE!</v>
      </c>
      <c r="Q615" s="243" t="e">
        <f ca="1">IF(AND(INDEX(FlowCalConstA,MATCH(N600,FlowCalNumber,0),1,1)*P615^INDEX(FlowCalConstB,MATCH(N600,FlowCalNumber,0),1,1)&gt;INDEX(FlowCalLowSetting,MATCH(N600,FlowCalNumber,0),1,1), (INDEX(FlowCalConstA,MATCH(N600,FlowCalNumber,0),1,1)*P615^INDEX(FlowCalConstB,MATCH(N600,FlowCalNumber,0),1,1)&lt;INDEX(FlowCalHighSetting,MATCH(N600,FlowCalNumber,0),1,1))),INDEX(FlowCalConstA,MATCH(N600,FlowCalNumber,0),1,1)*P615^INDEX(FlowCalConstB,MATCH(N600,FlowCalNumber,0),1,1)," ")</f>
        <v>#N/A</v>
      </c>
      <c r="R615" s="33"/>
      <c r="S615" s="242">
        <f t="shared" si="572"/>
        <v>1</v>
      </c>
      <c r="T615" s="241" t="e">
        <f t="shared" ca="1" si="573"/>
        <v>#VALUE!</v>
      </c>
      <c r="U615" s="244" t="e">
        <f ca="1">IF(AND(INDEX(FlowCalConstA,MATCH(R600,FlowCalNumber,0),1,1)*T615^INDEX(FlowCalConstB,MATCH(R600,FlowCalNumber,0),1,1)&gt;INDEX(FlowCalLowSetting,MATCH(R600,FlowCalNumber,0),1,1), (INDEX(FlowCalConstA,MATCH(R600,FlowCalNumber,0),1,1)*T615^INDEX(FlowCalConstB,MATCH(R600,FlowCalNumber,0),1,1)&lt;INDEX(FlowCalHighSetting,MATCH(R600,FlowCalNumber,0),1,1))),INDEX(FlowCalConstA,MATCH(R600,FlowCalNumber,0),1,1)*T615^INDEX(FlowCalConstB,MATCH(R600,FlowCalNumber,0),1,1)," ")</f>
        <v>#N/A</v>
      </c>
      <c r="V615" s="33"/>
      <c r="W615" s="242">
        <f t="shared" si="574"/>
        <v>0.1</v>
      </c>
      <c r="X615" s="241" t="e">
        <f t="shared" ca="1" si="575"/>
        <v>#VALUE!</v>
      </c>
      <c r="Y615" s="243" t="e">
        <f ca="1">IF(AND(INDEX(FlowCalConstA,MATCH(V600,FlowCalNumber,0),1,1)*X615^INDEX(FlowCalConstB,MATCH(V600,FlowCalNumber,0),1,1)&gt;INDEX(FlowCalLowSetting,MATCH(V600,FlowCalNumber,0),1,1), (INDEX(FlowCalConstA,MATCH(V600,FlowCalNumber,0),1,1)*X615^INDEX(FlowCalConstB,MATCH(V600,FlowCalNumber,0),1,1)&lt;INDEX(FlowCalHighSetting,MATCH(V600,FlowCalNumber,0),1,1))),INDEX(FlowCalConstA,MATCH(V600,FlowCalNumber,0),1,1)*X615^INDEX(FlowCalConstB,MATCH(V600,FlowCalNumber,0),1,1)," ")</f>
        <v>#N/A</v>
      </c>
      <c r="Z615" s="33"/>
      <c r="AA615" s="242">
        <f t="shared" si="576"/>
        <v>0.9</v>
      </c>
      <c r="AB615" s="241" t="e">
        <f t="shared" ca="1" si="577"/>
        <v>#VALUE!</v>
      </c>
      <c r="AC615" s="243" t="e">
        <f ca="1">IF(AND(INDEX(FlowCalConstA,MATCH(Z600,FlowCalNumber,0),1,1)*AB615^INDEX(FlowCalConstB,MATCH(Z600,FlowCalNumber,0),1,1)&gt;INDEX(FlowCalLowSetting,MATCH(Z600,FlowCalNumber,0),1,1), (INDEX(FlowCalConstA,MATCH(Z600,FlowCalNumber,0),1,1)*AB615^INDEX(FlowCalConstB,MATCH(Z600,FlowCalNumber,0),1,1)&lt;INDEX(FlowCalHighSetting,MATCH(Z600,FlowCalNumber,0),1,1))),INDEX(FlowCalConstA,MATCH(Z600,FlowCalNumber,0),1,1)*AB615^INDEX(FlowCalConstB,MATCH(Z600,FlowCalNumber,0),1,1)," ")</f>
        <v>#N/A</v>
      </c>
      <c r="AD615" s="33"/>
      <c r="AE615" s="242">
        <f t="shared" si="578"/>
        <v>0.1</v>
      </c>
      <c r="AF615" s="241" t="e">
        <f t="shared" ca="1" si="579"/>
        <v>#VALUE!</v>
      </c>
      <c r="AG615" s="243" t="e">
        <f ca="1">IF(AND(INDEX(FlowCalConstA,MATCH(AD600,FlowCalNumber,0),1,1)*AF615^INDEX(FlowCalConstB,MATCH(AD600,FlowCalNumber,0),1,1)&gt;INDEX(FlowCalLowSetting,MATCH(AD600,FlowCalNumber,0),1,1), (INDEX(FlowCalConstA,MATCH(AD600,FlowCalNumber,0),1,1)*AF615^INDEX(FlowCalConstB,MATCH(AD600,FlowCalNumber,0),1,1)&lt;INDEX(FlowCalHighSetting,MATCH(AD600,FlowCalNumber,0),1,1))),INDEX(FlowCalConstA,MATCH(AD600,FlowCalNumber,0),1,1)*AF615^INDEX(FlowCalConstB,MATCH(AD600,FlowCalNumber,0),1,1)," ")</f>
        <v>#N/A</v>
      </c>
      <c r="AH615" s="33"/>
      <c r="AI615" s="242">
        <f t="shared" si="580"/>
        <v>0.9</v>
      </c>
      <c r="AJ615" s="241" t="e">
        <f t="shared" ca="1" si="581"/>
        <v>#VALUE!</v>
      </c>
      <c r="AK615" s="243" t="e">
        <f ca="1">IF(AND(INDEX(FlowCalConstA,MATCH(AH600,FlowCalNumber,0),1,1)*AJ615^INDEX(FlowCalConstB,MATCH(AH600,FlowCalNumber,0),1,1)&gt;INDEX(FlowCalLowSetting,MATCH(AH600,FlowCalNumber,0),1,1), (INDEX(FlowCalConstA,MATCH(AH600,FlowCalNumber,0),1,1)*AJ615^INDEX(FlowCalConstB,MATCH(AH600,FlowCalNumber,0),1,1)&lt;INDEX(FlowCalHighSetting,MATCH(AH600,FlowCalNumber,0),1,1))),INDEX(FlowCalConstA,MATCH(AH600,FlowCalNumber,0),1,1)*AJ615^INDEX(FlowCalConstB,MATCH(AH600,FlowCalNumber,0),1,1)," ")</f>
        <v>#N/A</v>
      </c>
      <c r="AL615" s="33"/>
      <c r="AM615" s="242"/>
      <c r="AN615" s="241"/>
      <c r="AO615" s="244"/>
      <c r="AQ615" s="242"/>
      <c r="AR615" s="241"/>
      <c r="AS615" s="244"/>
      <c r="AT615" s="33"/>
      <c r="AU615" s="242"/>
      <c r="AV615" s="241"/>
      <c r="AW615" s="244"/>
      <c r="AX615" s="33"/>
      <c r="AY615" s="242"/>
      <c r="AZ615" s="241"/>
      <c r="BA615" s="244"/>
      <c r="BB615" s="33"/>
      <c r="BC615" s="242"/>
      <c r="BD615" s="241"/>
      <c r="BE615" s="244"/>
      <c r="BF615" s="33"/>
      <c r="BG615" s="242"/>
      <c r="BH615" s="241"/>
      <c r="BI615" s="244"/>
      <c r="BJ615" s="33"/>
      <c r="BK615" s="242"/>
      <c r="BL615" s="241"/>
      <c r="BM615" s="244"/>
      <c r="BN615" s="33"/>
      <c r="BO615" s="242"/>
      <c r="BP615" s="241"/>
      <c r="BQ615" s="244"/>
      <c r="BR615" s="33"/>
      <c r="BS615" s="242"/>
      <c r="BT615" s="241"/>
      <c r="BU615" s="244"/>
      <c r="BV615" s="33"/>
      <c r="BW615" s="242"/>
      <c r="BX615" s="241"/>
      <c r="BY615" s="244"/>
      <c r="BZ615" s="33"/>
      <c r="CA615" s="242"/>
      <c r="CB615" s="241"/>
      <c r="CC615" s="244"/>
      <c r="CD615" s="243"/>
      <c r="CE615" s="243"/>
      <c r="CF615" s="243"/>
      <c r="CG615" s="243"/>
      <c r="CH615" s="243"/>
      <c r="CI615" s="243"/>
      <c r="CJ615" s="243"/>
      <c r="CK615" s="243"/>
      <c r="CL615" s="243"/>
      <c r="CM615" s="243"/>
      <c r="CN615" s="243"/>
      <c r="CO615" s="243"/>
      <c r="CP615" s="243"/>
      <c r="CQ615" s="243"/>
      <c r="CR615" s="243"/>
      <c r="CS615" s="243"/>
      <c r="CT615" s="243"/>
      <c r="CU615" s="243"/>
      <c r="CV615" s="243"/>
      <c r="CW615" s="243"/>
      <c r="CX615" s="243"/>
      <c r="CY615" s="243"/>
      <c r="CZ615" s="243"/>
      <c r="DA615" s="243"/>
      <c r="DB615" s="243"/>
      <c r="DC615" s="243"/>
      <c r="DD615" s="243"/>
      <c r="DE615" s="243"/>
      <c r="DF615" s="243"/>
      <c r="DG615" s="243"/>
      <c r="DH615" s="243"/>
      <c r="DI615" s="243"/>
      <c r="DJ615" s="243"/>
      <c r="DK615" s="243"/>
      <c r="DM615" s="242"/>
      <c r="DO615" s="243"/>
      <c r="DQ615" s="242"/>
      <c r="DS615" s="243"/>
      <c r="DU615" s="242"/>
      <c r="DW615" s="243"/>
      <c r="DY615" s="242"/>
      <c r="EA615" s="243"/>
    </row>
    <row r="616" spans="1:131">
      <c r="A616" s="33"/>
      <c r="B616" s="33"/>
      <c r="C616" s="235"/>
      <c r="E616" s="90"/>
      <c r="F616" s="90"/>
      <c r="G616" s="33"/>
      <c r="J616" s="33"/>
      <c r="N616" s="33"/>
      <c r="Q616" s="243"/>
      <c r="R616" s="33"/>
      <c r="U616" s="244"/>
      <c r="V616" s="33"/>
      <c r="Y616" s="243"/>
      <c r="Z616" s="33"/>
      <c r="AC616" s="243"/>
      <c r="AD616" s="33"/>
      <c r="AG616" s="243"/>
      <c r="AH616" s="33"/>
      <c r="AK616" s="244"/>
      <c r="AL616" s="792"/>
      <c r="AM616" s="243"/>
      <c r="AN616" s="243"/>
      <c r="AO616" s="244"/>
      <c r="AP616" s="243"/>
      <c r="AQ616" s="243"/>
      <c r="AR616" s="243"/>
      <c r="AS616" s="244"/>
      <c r="AT616" s="243"/>
      <c r="AU616" s="243"/>
      <c r="AV616" s="243"/>
      <c r="AW616" s="244"/>
      <c r="AX616" s="243"/>
      <c r="AY616" s="243"/>
      <c r="AZ616" s="243"/>
      <c r="BA616" s="244"/>
      <c r="BB616" s="33"/>
      <c r="BE616" s="244"/>
      <c r="BF616" s="33"/>
      <c r="BI616" s="244"/>
      <c r="BJ616" s="33"/>
      <c r="BM616" s="244"/>
      <c r="BN616" s="243"/>
      <c r="BO616" s="243"/>
      <c r="BP616" s="243"/>
      <c r="BQ616" s="244"/>
      <c r="BR616" s="792"/>
      <c r="BS616" s="243"/>
      <c r="BT616" s="243"/>
      <c r="BU616" s="244"/>
      <c r="BV616" s="792"/>
      <c r="BW616" s="243"/>
      <c r="BX616" s="243"/>
      <c r="BY616" s="244"/>
      <c r="BZ616" s="792"/>
      <c r="CA616" s="243"/>
      <c r="CB616" s="243"/>
      <c r="CC616" s="244"/>
      <c r="CD616" s="243"/>
      <c r="CE616" s="243"/>
      <c r="CF616" s="243"/>
      <c r="CG616" s="243"/>
      <c r="CH616" s="243"/>
      <c r="CI616" s="243"/>
      <c r="CJ616" s="243"/>
      <c r="CK616" s="243"/>
      <c r="CL616" s="243"/>
      <c r="CM616" s="243"/>
      <c r="CN616" s="243"/>
      <c r="CO616" s="243"/>
      <c r="CP616" s="243"/>
      <c r="CQ616" s="243"/>
      <c r="CR616" s="243"/>
      <c r="CS616" s="243"/>
      <c r="CT616" s="243"/>
      <c r="CU616" s="243"/>
      <c r="CV616" s="243"/>
      <c r="CW616" s="243"/>
      <c r="CX616" s="243"/>
      <c r="CY616" s="243"/>
      <c r="CZ616" s="243"/>
      <c r="DA616" s="243"/>
      <c r="DB616" s="243"/>
      <c r="DC616" s="243"/>
      <c r="DD616" s="243"/>
      <c r="DE616" s="243"/>
      <c r="DF616" s="243"/>
      <c r="DG616" s="243"/>
      <c r="DH616" s="243"/>
      <c r="DI616" s="243"/>
      <c r="DJ616" s="243"/>
      <c r="DK616" s="243"/>
      <c r="DO616" s="243"/>
      <c r="DS616" s="243"/>
      <c r="DW616" s="243"/>
      <c r="EA616" s="243"/>
    </row>
    <row r="617" spans="1:131">
      <c r="A617" s="256" t="str">
        <f>IF((RIGHT(A600,1))&lt;&gt;"Z",CHAR(CODE(A600))&amp;CHAR(CODE(RIGHT(A600,1))+1),CHAR(CODE(A600)+1)&amp;"A")</f>
        <v>BJ</v>
      </c>
      <c r="B617" s="270" t="str">
        <f>INDEX(SourceID,MATCH($A617,SourceNumber,0),1,1)</f>
        <v>B2 Kit-2</v>
      </c>
      <c r="C617" s="354">
        <f>INDEX(SourceExitDiameter,MATCH($A617,SourceNumber,0),1,1)*3.28*12</f>
        <v>39.084999999999994</v>
      </c>
      <c r="D617" s="24" t="str">
        <f>UAnem1percent</f>
        <v>1% Wind</v>
      </c>
      <c r="E617" s="350" t="e">
        <f ca="1">INDIRECT(ADDRESS(53,6,1,,CONCATENATE("TA",$A617)))</f>
        <v>#REF!</v>
      </c>
      <c r="F617" s="625" t="e">
        <f ca="1">(ROUND((INDIRECT(ADDRESS(15,7,1,,CONCATENATE("TA",$A617)))*3.28*12*32),0)&amp;"/32")</f>
        <v>#REF!</v>
      </c>
      <c r="G617" s="125">
        <f ca="1">INDIRECT(ADDRESS(29,7,1,,$A617))</f>
        <v>6.001707317073171</v>
      </c>
      <c r="H617" s="24" t="e">
        <f ca="1">INDIRECT(ADDRESS(19,7,1,,$A617))*100^3</f>
        <v>#VALUE!</v>
      </c>
      <c r="I617" s="941">
        <f ca="1">INDIRECT(ADDRESS(53,7,1,,$A617))</f>
        <v>0.97430000000000005</v>
      </c>
      <c r="J617" s="20" t="str">
        <f ca="1">IF($I617=$I$6,K$16&amp;$G$6&amp;J$6,IF($I617=$I$7,K$16&amp;$G$7&amp;J$7,"Bad"))</f>
        <v>100EthPick a Tunnel</v>
      </c>
      <c r="K617" t="e">
        <f ca="1">INDEX(FlowCalGasMixture,MATCH(J617,FlowCalNumber,0),1,1)</f>
        <v>#N/A</v>
      </c>
      <c r="M617" s="944" t="e">
        <f ca="1">INDEX(FlowCalDevice,MATCH(J617,FlowCalNumber,0),1,1)</f>
        <v>#N/A</v>
      </c>
      <c r="N617" s="943" t="str">
        <f ca="1">IF($I617=$I$6,O$16&amp;$G$6&amp;"90"&amp;$H$6&amp;N$6,IF($I617=$I$7,O$16&amp;$G$7&amp;"90"&amp;$H$7&amp;N$7,"Bad"))</f>
        <v>10Eth90N2Pick a Tunnel</v>
      </c>
      <c r="O617" t="e">
        <f ca="1">INDEX(FlowCalGasMixture,MATCH(N617,FlowCalNumber,0),1,1)</f>
        <v>#N/A</v>
      </c>
      <c r="Q617" s="944" t="e">
        <f ca="1">INDEX(FlowCalDevice,MATCH(N617,FlowCalNumber,0),1,1)</f>
        <v>#N/A</v>
      </c>
      <c r="R617" s="943" t="str">
        <f ca="1">IF($I617=$I$6,S$16&amp;$G$6&amp;"90"&amp;$H$6&amp;R$6,IF($I617=$I$7,S$16&amp;$G$7&amp;"90"&amp;$H$7&amp;R$7,"Bad"))</f>
        <v>10Eth90N2Pick a Tunnel</v>
      </c>
      <c r="S617" t="e">
        <f ca="1">INDEX(FlowCalGasMixture,MATCH(R617,FlowCalNumber,0),1,1)</f>
        <v>#N/A</v>
      </c>
      <c r="U617" s="944" t="e">
        <f ca="1">INDEX(FlowCalDevice,MATCH(R617,FlowCalNumber,0),1,1)</f>
        <v>#N/A</v>
      </c>
      <c r="V617" s="20" t="str">
        <f ca="1">IF($I617=$I$6,W$16&amp;$G$6&amp;V$6,IF($I617=$I$7,W$16&amp;$G$7&amp;V$7,"Bad"))</f>
        <v>100EthPick a Tunnel</v>
      </c>
      <c r="W617" t="e">
        <f ca="1">INDEX(FlowCalGasMixture,MATCH(V617,FlowCalNumber,0),1,1)</f>
        <v>#N/A</v>
      </c>
      <c r="Y617" s="944" t="e">
        <f ca="1">INDEX(FlowCalDevice,MATCH(V617,FlowCalNumber,0),1,1)</f>
        <v>#N/A</v>
      </c>
      <c r="Z617" s="946" t="str">
        <f ca="1">IF($I617=$I$6,AA$18&amp;$H$6&amp;Z$6,IF($I617=$I$7,AA$18&amp;$H$7&amp;Z$7,"Bad"))</f>
        <v>100N2Pick a Tunnel</v>
      </c>
      <c r="AA617" t="e">
        <f ca="1">INDEX(FlowCalGasMixture,MATCH(Z617,FlowCalNumber,0),1,1)</f>
        <v>#N/A</v>
      </c>
      <c r="AC617" s="944" t="e">
        <f ca="1">INDEX(FlowCalDevice,MATCH(Z617,FlowCalNumber,0),1,1)</f>
        <v>#N/A</v>
      </c>
      <c r="AD617" s="20" t="str">
        <f ca="1">IF($I617=$I$6,AE$16&amp;$G$6&amp;AD$6,IF($I617=$I$7,AE$16&amp;$G$7&amp;AD$7,"Bad"))</f>
        <v>100EthPick a Tunnel</v>
      </c>
      <c r="AE617" t="e">
        <f ca="1">INDEX(FlowCalGasMixture,MATCH(AD617,FlowCalNumber,0),1,1)</f>
        <v>#N/A</v>
      </c>
      <c r="AG617" s="944" t="e">
        <f ca="1">INDEX(FlowCalDevice,MATCH(AD617,FlowCalNumber,0),1,1)</f>
        <v>#N/A</v>
      </c>
      <c r="AH617" s="946" t="str">
        <f ca="1">IF($I617=$I$6,AI$18&amp;$H$6&amp;AH$6,IF($I617=$I$7,AI$18&amp;$H$7&amp;AH$7,"Bad"))</f>
        <v>100N2Pick a Tunnel</v>
      </c>
      <c r="AI617" t="e">
        <f ca="1">INDEX(FlowCalGasMixture,MATCH(AH617,FlowCalNumber,0),1,1)</f>
        <v>#N/A</v>
      </c>
      <c r="AK617" s="944" t="e">
        <f ca="1">INDEX(FlowCalDevice,MATCH(AH617,FlowCalNumber,0),1,1)</f>
        <v>#N/A</v>
      </c>
      <c r="AL617" s="20"/>
      <c r="AO617" s="982"/>
      <c r="AP617" s="960"/>
      <c r="AS617" s="982"/>
      <c r="AT617" s="20"/>
      <c r="AW617" s="982"/>
      <c r="AX617" s="946"/>
      <c r="BA617" s="982"/>
      <c r="BB617" s="20"/>
      <c r="BC617" s="16"/>
      <c r="BE617" s="982"/>
      <c r="BF617" s="946"/>
      <c r="BG617" s="16"/>
      <c r="BI617" s="982"/>
      <c r="BJ617" s="946"/>
      <c r="BK617" s="16"/>
      <c r="BM617" s="982"/>
      <c r="BN617" s="20"/>
      <c r="BO617" s="16"/>
      <c r="BQ617" s="982"/>
      <c r="BR617" s="946"/>
      <c r="BS617" s="16"/>
      <c r="BU617" s="982"/>
      <c r="BV617" s="946"/>
      <c r="BW617" s="16"/>
      <c r="BY617" s="982"/>
      <c r="BZ617" s="946"/>
      <c r="CA617" s="16"/>
      <c r="CC617" s="982"/>
      <c r="CD617" s="355"/>
      <c r="CE617" s="355"/>
      <c r="CF617" s="355"/>
      <c r="CG617" s="355"/>
      <c r="CH617" s="355"/>
      <c r="CI617" s="355"/>
      <c r="CJ617" s="355"/>
      <c r="CK617" s="355"/>
      <c r="CL617" s="355"/>
      <c r="CM617" s="355"/>
      <c r="CN617" s="355"/>
      <c r="CO617" s="355"/>
      <c r="CP617" s="355"/>
      <c r="CQ617" s="355"/>
      <c r="CR617" s="355"/>
      <c r="CS617" s="355"/>
      <c r="CT617" s="355"/>
      <c r="CU617" s="355"/>
      <c r="CV617" s="355"/>
      <c r="CW617" s="355"/>
      <c r="CX617" s="355"/>
      <c r="CY617" s="355"/>
      <c r="CZ617" s="355"/>
      <c r="DA617" s="355"/>
      <c r="DB617" s="355"/>
      <c r="DC617" s="355"/>
      <c r="DD617" s="355"/>
      <c r="DE617" s="355"/>
      <c r="DF617" s="355"/>
      <c r="DG617" s="355"/>
      <c r="DH617" s="355"/>
      <c r="DI617" s="355"/>
      <c r="DJ617" s="355"/>
      <c r="DK617" s="355"/>
      <c r="DL617" s="46"/>
      <c r="DM617" s="16"/>
      <c r="DO617" s="355"/>
      <c r="DP617" s="42"/>
      <c r="DQ617" s="16"/>
      <c r="DS617" s="355"/>
      <c r="DT617" s="42"/>
      <c r="DU617" s="16"/>
      <c r="DW617" s="355"/>
      <c r="DX617" s="42"/>
      <c r="DY617" s="16"/>
      <c r="EA617" s="355"/>
    </row>
    <row r="618" spans="1:131">
      <c r="A618" s="20"/>
      <c r="B618" s="124" t="str">
        <f t="shared" ref="B618:B632" si="582">IF(D618=UAnem1percent,"1% Wind","")</f>
        <v/>
      </c>
      <c r="C618" s="235"/>
      <c r="D618" s="24">
        <f>'1% Wind'!$M$82</f>
        <v>27</v>
      </c>
      <c r="E618" s="90"/>
      <c r="F618" s="90"/>
      <c r="G618" s="79">
        <f ca="1">IF(I617=0.9743,$G617,MAX(G617/D617*D618,2))</f>
        <v>6.001707317073171</v>
      </c>
      <c r="H618" s="121" t="e">
        <f t="shared" ref="H618:H632" ca="1" si="583">H617*(D617/D618)*(G618/G617)</f>
        <v>#VALUE!</v>
      </c>
      <c r="J618" s="33"/>
      <c r="K618" s="260">
        <f>K$17/100</f>
        <v>1</v>
      </c>
      <c r="L618" s="241" t="e">
        <f ca="1">K618*$H618</f>
        <v>#VALUE!</v>
      </c>
      <c r="M618" s="243" t="e">
        <f ca="1">IF(AND(INDEX(FlowCalConstA,MATCH(J617,FlowCalNumber,0),1,1)*L618^INDEX(FlowCalConstB,MATCH(J617,FlowCalNumber,0),1,1)&gt;INDEX(FlowCalLowSetting,MATCH(J617,FlowCalNumber,0),1,1), (INDEX(FlowCalConstA,MATCH(J617,FlowCalNumber,0),1,1)*L618^INDEX(FlowCalConstB,MATCH(J617,FlowCalNumber,0),1,1)&lt;INDEX(FlowCalHighSetting,MATCH(J617,FlowCalNumber,0),1,1))),INDEX(FlowCalConstA,MATCH(J617,FlowCalNumber,0),1,1)*L618^INDEX(FlowCalConstB,MATCH(J617,FlowCalNumber,0),1,1)," ")</f>
        <v>#N/A</v>
      </c>
      <c r="N618" s="33"/>
      <c r="O618" s="260">
        <f>O$17/100</f>
        <v>1</v>
      </c>
      <c r="P618" s="241" t="e">
        <f ca="1">O618*$H618</f>
        <v>#VALUE!</v>
      </c>
      <c r="Q618" s="243" t="e">
        <f ca="1">IF(AND(INDEX(FlowCalConstA,MATCH(N617,FlowCalNumber,0),1,1)*P618^INDEX(FlowCalConstB,MATCH(N617,FlowCalNumber,0),1,1)&gt;INDEX(FlowCalLowSetting,MATCH(N617,FlowCalNumber,0),1,1), (INDEX(FlowCalConstA,MATCH(N617,FlowCalNumber,0),1,1)*P618^INDEX(FlowCalConstB,MATCH(N617,FlowCalNumber,0),1,1)&lt;INDEX(FlowCalHighSetting,MATCH(N617,FlowCalNumber,0),1,1))),INDEX(FlowCalConstA,MATCH(N617,FlowCalNumber,0),1,1)*P618^INDEX(FlowCalConstB,MATCH(N617,FlowCalNumber,0),1,1)," ")</f>
        <v>#N/A</v>
      </c>
      <c r="R618" s="33"/>
      <c r="S618" s="260">
        <f>S$17/100</f>
        <v>1</v>
      </c>
      <c r="T618" s="241" t="e">
        <f ca="1">S618*$H618</f>
        <v>#VALUE!</v>
      </c>
      <c r="U618" s="244" t="e">
        <f ca="1">IF(AND(INDEX(FlowCalConstA,MATCH(R617,FlowCalNumber,0),1,1)*T618^INDEX(FlowCalConstB,MATCH(R617,FlowCalNumber,0),1,1)&gt;INDEX(FlowCalLowSetting,MATCH(R617,FlowCalNumber,0),1,1), (INDEX(FlowCalConstA,MATCH(R617,FlowCalNumber,0),1,1)*T618^INDEX(FlowCalConstB,MATCH(R617,FlowCalNumber,0),1,1)&lt;INDEX(FlowCalHighSetting,MATCH(R617,FlowCalNumber,0),1,1))),INDEX(FlowCalConstA,MATCH(R617,FlowCalNumber,0),1,1)*T618^INDEX(FlowCalConstB,MATCH(R617,FlowCalNumber,0),1,1)," ")</f>
        <v>#N/A</v>
      </c>
      <c r="V618" s="33"/>
      <c r="W618" s="260">
        <f>W$17/100</f>
        <v>0.1</v>
      </c>
      <c r="X618" s="241" t="e">
        <f ca="1">W618*$H618</f>
        <v>#VALUE!</v>
      </c>
      <c r="Y618" s="243" t="e">
        <f ca="1">IF(AND(INDEX(FlowCalConstA,MATCH(V617,FlowCalNumber,0),1,1)*X618^INDEX(FlowCalConstB,MATCH(V617,FlowCalNumber,0),1,1)&gt;INDEX(FlowCalLowSetting,MATCH(V617,FlowCalNumber,0),1,1), (INDEX(FlowCalConstA,MATCH(V617,FlowCalNumber,0),1,1)*X618^INDEX(FlowCalConstB,MATCH(V617,FlowCalNumber,0),1,1)&lt;INDEX(FlowCalHighSetting,MATCH(V617,FlowCalNumber,0),1,1))),INDEX(FlowCalConstA,MATCH(V617,FlowCalNumber,0),1,1)*X618^INDEX(FlowCalConstB,MATCH(V617,FlowCalNumber,0),1,1)," ")</f>
        <v>#N/A</v>
      </c>
      <c r="Z618" s="33"/>
      <c r="AA618" s="260">
        <f>AA$17/100</f>
        <v>0.9</v>
      </c>
      <c r="AB618" s="241" t="e">
        <f ca="1">AA618*$H618</f>
        <v>#VALUE!</v>
      </c>
      <c r="AC618" s="243" t="e">
        <f ca="1">IF(AND(INDEX(FlowCalConstA,MATCH(Z617,FlowCalNumber,0),1,1)*AB618^INDEX(FlowCalConstB,MATCH(Z617,FlowCalNumber,0),1,1)&gt;INDEX(FlowCalLowSetting,MATCH(Z617,FlowCalNumber,0),1,1), (INDEX(FlowCalConstA,MATCH(Z617,FlowCalNumber,0),1,1)*AB618^INDEX(FlowCalConstB,MATCH(Z617,FlowCalNumber,0),1,1)&lt;INDEX(FlowCalHighSetting,MATCH(Z617,FlowCalNumber,0),1,1))),INDEX(FlowCalConstA,MATCH(Z617,FlowCalNumber,0),1,1)*AB618^INDEX(FlowCalConstB,MATCH(Z617,FlowCalNumber,0),1,1)," ")</f>
        <v>#N/A</v>
      </c>
      <c r="AD618" s="33"/>
      <c r="AE618" s="260">
        <f>AE$17/100</f>
        <v>0.1</v>
      </c>
      <c r="AF618" s="241" t="e">
        <f ca="1">AE618*$H618</f>
        <v>#VALUE!</v>
      </c>
      <c r="AG618" s="243" t="e">
        <f ca="1">IF(AND(INDEX(FlowCalConstA,MATCH(AD617,FlowCalNumber,0),1,1)*AF618^INDEX(FlowCalConstB,MATCH(AD617,FlowCalNumber,0),1,1)&gt;INDEX(FlowCalLowSetting,MATCH(AD617,FlowCalNumber,0),1,1), (INDEX(FlowCalConstA,MATCH(AD617,FlowCalNumber,0),1,1)*AF618^INDEX(FlowCalConstB,MATCH(AD617,FlowCalNumber,0),1,1)&lt;INDEX(FlowCalHighSetting,MATCH(AD617,FlowCalNumber,0),1,1))),INDEX(FlowCalConstA,MATCH(AD617,FlowCalNumber,0),1,1)*AF618^INDEX(FlowCalConstB,MATCH(AD617,FlowCalNumber,0),1,1)," ")</f>
        <v>#N/A</v>
      </c>
      <c r="AH618" s="33"/>
      <c r="AI618" s="260">
        <f>AI$17/100</f>
        <v>0.9</v>
      </c>
      <c r="AJ618" s="241" t="e">
        <f ca="1">AI618*$H618</f>
        <v>#VALUE!</v>
      </c>
      <c r="AK618" s="243" t="e">
        <f ca="1">IF(AND(INDEX(FlowCalConstA,MATCH(AH617,FlowCalNumber,0),1,1)*AJ618^INDEX(FlowCalConstB,MATCH(AH617,FlowCalNumber,0),1,1)&gt;INDEX(FlowCalLowSetting,MATCH(AH617,FlowCalNumber,0),1,1), (INDEX(FlowCalConstA,MATCH(AH617,FlowCalNumber,0),1,1)*AJ618^INDEX(FlowCalConstB,MATCH(AH617,FlowCalNumber,0),1,1)&lt;INDEX(FlowCalHighSetting,MATCH(AH617,FlowCalNumber,0),1,1))),INDEX(FlowCalConstA,MATCH(AH617,FlowCalNumber,0),1,1)*AJ618^INDEX(FlowCalConstB,MATCH(AH617,FlowCalNumber,0),1,1)," ")</f>
        <v>#N/A</v>
      </c>
      <c r="AL618" s="33"/>
      <c r="AM618" s="260"/>
      <c r="AN618" s="241"/>
      <c r="AO618" s="244"/>
      <c r="AQ618" s="260"/>
      <c r="AR618" s="241"/>
      <c r="AS618" s="244"/>
      <c r="AT618" s="33"/>
      <c r="AU618" s="260"/>
      <c r="AV618" s="241"/>
      <c r="AW618" s="244"/>
      <c r="AX618" s="33"/>
      <c r="AY618" s="260"/>
      <c r="AZ618" s="241"/>
      <c r="BA618" s="244"/>
      <c r="BB618" s="33"/>
      <c r="BC618" s="260"/>
      <c r="BD618" s="241"/>
      <c r="BE618" s="244"/>
      <c r="BF618" s="33"/>
      <c r="BG618" s="260"/>
      <c r="BH618" s="241"/>
      <c r="BI618" s="244"/>
      <c r="BJ618" s="33"/>
      <c r="BK618" s="260"/>
      <c r="BL618" s="241"/>
      <c r="BM618" s="244"/>
      <c r="BN618" s="33"/>
      <c r="BO618" s="260"/>
      <c r="BP618" s="241"/>
      <c r="BQ618" s="244"/>
      <c r="BR618" s="33"/>
      <c r="BS618" s="260"/>
      <c r="BT618" s="241"/>
      <c r="BU618" s="244"/>
      <c r="BV618" s="33"/>
      <c r="BW618" s="260"/>
      <c r="BX618" s="241"/>
      <c r="BY618" s="244"/>
      <c r="BZ618" s="33"/>
      <c r="CA618" s="260"/>
      <c r="CB618" s="241"/>
      <c r="CC618" s="244"/>
      <c r="CD618" s="243"/>
      <c r="CE618" s="243"/>
      <c r="CF618" s="243"/>
      <c r="CG618" s="243"/>
      <c r="CH618" s="243"/>
      <c r="CI618" s="243"/>
      <c r="CJ618" s="243"/>
      <c r="CK618" s="243"/>
      <c r="CL618" s="243"/>
      <c r="CM618" s="243"/>
      <c r="CN618" s="243"/>
      <c r="CO618" s="243"/>
      <c r="CP618" s="243"/>
      <c r="CQ618" s="243"/>
      <c r="CR618" s="243"/>
      <c r="CS618" s="243"/>
      <c r="CT618" s="243"/>
      <c r="CU618" s="243"/>
      <c r="CV618" s="243"/>
      <c r="CW618" s="243"/>
      <c r="CX618" s="243"/>
      <c r="CY618" s="243"/>
      <c r="CZ618" s="243"/>
      <c r="DA618" s="243"/>
      <c r="DB618" s="243"/>
      <c r="DC618" s="243"/>
      <c r="DD618" s="243"/>
      <c r="DE618" s="243"/>
      <c r="DF618" s="243"/>
      <c r="DG618" s="243"/>
      <c r="DH618" s="243"/>
      <c r="DI618" s="243"/>
      <c r="DJ618" s="243"/>
      <c r="DK618" s="243"/>
      <c r="DM618" s="259"/>
      <c r="DO618" s="243"/>
      <c r="DQ618" s="259"/>
      <c r="DS618" s="243"/>
      <c r="DU618" s="259"/>
      <c r="DW618" s="243"/>
      <c r="DY618" s="260"/>
      <c r="EA618" s="243"/>
    </row>
    <row r="619" spans="1:131">
      <c r="A619" s="20"/>
      <c r="B619" s="124" t="str">
        <f t="shared" si="582"/>
        <v/>
      </c>
      <c r="C619" s="235"/>
      <c r="D619" s="24">
        <f>'1% Wind'!$M$83</f>
        <v>23.5</v>
      </c>
      <c r="E619" s="90"/>
      <c r="F619" s="90"/>
      <c r="G619" s="79">
        <f ca="1">IF(I617=0.9743,$G618,MAX(G618/D618*D619,2))</f>
        <v>6.001707317073171</v>
      </c>
      <c r="H619" s="121" t="e">
        <f t="shared" ca="1" si="583"/>
        <v>#VALUE!</v>
      </c>
      <c r="J619" s="33"/>
      <c r="K619" s="242">
        <f t="shared" ref="K619:K632" si="584">K618</f>
        <v>1</v>
      </c>
      <c r="L619" s="241" t="e">
        <f t="shared" ref="L619:L632" ca="1" si="585">K619*$H619</f>
        <v>#VALUE!</v>
      </c>
      <c r="M619" s="243" t="e">
        <f ca="1">IF(AND(INDEX(FlowCalConstA,MATCH(J617,FlowCalNumber,0),1,1)*L619^INDEX(FlowCalConstB,MATCH(J617,FlowCalNumber,0),1,1)&gt;INDEX(FlowCalLowSetting,MATCH(J617,FlowCalNumber,0),1,1), (INDEX(FlowCalConstA,MATCH(J617,FlowCalNumber,0),1,1)*L619^INDEX(FlowCalConstB,MATCH(J617,FlowCalNumber,0),1,1)&lt;INDEX(FlowCalHighSetting,MATCH(J617,FlowCalNumber,0),1,1))),INDEX(FlowCalConstA,MATCH(J617,FlowCalNumber,0),1,1)*L619^INDEX(FlowCalConstB,MATCH(J617,FlowCalNumber,0),1,1)," ")</f>
        <v>#N/A</v>
      </c>
      <c r="N619" s="33"/>
      <c r="O619" s="242">
        <f t="shared" ref="O619:O632" si="586">O618</f>
        <v>1</v>
      </c>
      <c r="P619" s="241" t="e">
        <f t="shared" ref="P619:P632" ca="1" si="587">O619*$H619</f>
        <v>#VALUE!</v>
      </c>
      <c r="Q619" s="243" t="e">
        <f ca="1">IF(AND(INDEX(FlowCalConstA,MATCH(N617,FlowCalNumber,0),1,1)*P619^INDEX(FlowCalConstB,MATCH(N617,FlowCalNumber,0),1,1)&gt;INDEX(FlowCalLowSetting,MATCH(N617,FlowCalNumber,0),1,1), (INDEX(FlowCalConstA,MATCH(N617,FlowCalNumber,0),1,1)*P619^INDEX(FlowCalConstB,MATCH(N617,FlowCalNumber,0),1,1)&lt;INDEX(FlowCalHighSetting,MATCH(N617,FlowCalNumber,0),1,1))),INDEX(FlowCalConstA,MATCH(N617,FlowCalNumber,0),1,1)*P619^INDEX(FlowCalConstB,MATCH(N617,FlowCalNumber,0),1,1)," ")</f>
        <v>#N/A</v>
      </c>
      <c r="R619" s="33"/>
      <c r="S619" s="242">
        <f t="shared" ref="S619:S632" si="588">S618</f>
        <v>1</v>
      </c>
      <c r="T619" s="241" t="e">
        <f t="shared" ref="T619:T632" ca="1" si="589">S619*$H619</f>
        <v>#VALUE!</v>
      </c>
      <c r="U619" s="244" t="e">
        <f ca="1">IF(AND(INDEX(FlowCalConstA,MATCH(R617,FlowCalNumber,0),1,1)*T619^INDEX(FlowCalConstB,MATCH(R617,FlowCalNumber,0),1,1)&gt;INDEX(FlowCalLowSetting,MATCH(R617,FlowCalNumber,0),1,1), (INDEX(FlowCalConstA,MATCH(R617,FlowCalNumber,0),1,1)*T619^INDEX(FlowCalConstB,MATCH(R617,FlowCalNumber,0),1,1)&lt;INDEX(FlowCalHighSetting,MATCH(R617,FlowCalNumber,0),1,1))),INDEX(FlowCalConstA,MATCH(R617,FlowCalNumber,0),1,1)*T619^INDEX(FlowCalConstB,MATCH(R617,FlowCalNumber,0),1,1)," ")</f>
        <v>#N/A</v>
      </c>
      <c r="V619" s="33"/>
      <c r="W619" s="242">
        <f t="shared" ref="W619:W632" si="590">W618</f>
        <v>0.1</v>
      </c>
      <c r="X619" s="241" t="e">
        <f t="shared" ref="X619:X632" ca="1" si="591">W619*$H619</f>
        <v>#VALUE!</v>
      </c>
      <c r="Y619" s="243" t="e">
        <f ca="1">IF(AND(INDEX(FlowCalConstA,MATCH(V617,FlowCalNumber,0),1,1)*X619^INDEX(FlowCalConstB,MATCH(V617,FlowCalNumber,0),1,1)&gt;INDEX(FlowCalLowSetting,MATCH(V617,FlowCalNumber,0),1,1), (INDEX(FlowCalConstA,MATCH(V617,FlowCalNumber,0),1,1)*X619^INDEX(FlowCalConstB,MATCH(V617,FlowCalNumber,0),1,1)&lt;INDEX(FlowCalHighSetting,MATCH(V617,FlowCalNumber,0),1,1))),INDEX(FlowCalConstA,MATCH(V617,FlowCalNumber,0),1,1)*X619^INDEX(FlowCalConstB,MATCH(V617,FlowCalNumber,0),1,1)," ")</f>
        <v>#N/A</v>
      </c>
      <c r="Z619" s="33"/>
      <c r="AA619" s="242">
        <f t="shared" ref="AA619:AA632" si="592">AA618</f>
        <v>0.9</v>
      </c>
      <c r="AB619" s="241" t="e">
        <f t="shared" ref="AB619:AB632" ca="1" si="593">AA619*$H619</f>
        <v>#VALUE!</v>
      </c>
      <c r="AC619" s="243" t="e">
        <f ca="1">IF(AND(INDEX(FlowCalConstA,MATCH(Z617,FlowCalNumber,0),1,1)*AB619^INDEX(FlowCalConstB,MATCH(Z617,FlowCalNumber,0),1,1)&gt;INDEX(FlowCalLowSetting,MATCH(Z617,FlowCalNumber,0),1,1), (INDEX(FlowCalConstA,MATCH(Z617,FlowCalNumber,0),1,1)*AB619^INDEX(FlowCalConstB,MATCH(Z617,FlowCalNumber,0),1,1)&lt;INDEX(FlowCalHighSetting,MATCH(Z617,FlowCalNumber,0),1,1))),INDEX(FlowCalConstA,MATCH(Z617,FlowCalNumber,0),1,1)*AB619^INDEX(FlowCalConstB,MATCH(Z617,FlowCalNumber,0),1,1)," ")</f>
        <v>#N/A</v>
      </c>
      <c r="AD619" s="33"/>
      <c r="AE619" s="242">
        <f t="shared" ref="AE619:AE632" si="594">AE618</f>
        <v>0.1</v>
      </c>
      <c r="AF619" s="241" t="e">
        <f t="shared" ref="AF619:AF632" ca="1" si="595">AE619*$H619</f>
        <v>#VALUE!</v>
      </c>
      <c r="AG619" s="243" t="e">
        <f ca="1">IF(AND(INDEX(FlowCalConstA,MATCH(AD617,FlowCalNumber,0),1,1)*AF619^INDEX(FlowCalConstB,MATCH(AD617,FlowCalNumber,0),1,1)&gt;INDEX(FlowCalLowSetting,MATCH(AD617,FlowCalNumber,0),1,1), (INDEX(FlowCalConstA,MATCH(AD617,FlowCalNumber,0),1,1)*AF619^INDEX(FlowCalConstB,MATCH(AD617,FlowCalNumber,0),1,1)&lt;INDEX(FlowCalHighSetting,MATCH(AD617,FlowCalNumber,0),1,1))),INDEX(FlowCalConstA,MATCH(AD617,FlowCalNumber,0),1,1)*AF619^INDEX(FlowCalConstB,MATCH(AD617,FlowCalNumber,0),1,1)," ")</f>
        <v>#N/A</v>
      </c>
      <c r="AH619" s="33"/>
      <c r="AI619" s="242">
        <f t="shared" ref="AI619:AI632" si="596">AI618</f>
        <v>0.9</v>
      </c>
      <c r="AJ619" s="241" t="e">
        <f t="shared" ref="AJ619:AJ632" ca="1" si="597">AI619*$H619</f>
        <v>#VALUE!</v>
      </c>
      <c r="AK619" s="243" t="e">
        <f ca="1">IF(AND(INDEX(FlowCalConstA,MATCH(AH617,FlowCalNumber,0),1,1)*AJ619^INDEX(FlowCalConstB,MATCH(AH617,FlowCalNumber,0),1,1)&gt;INDEX(FlowCalLowSetting,MATCH(AH617,FlowCalNumber,0),1,1), (INDEX(FlowCalConstA,MATCH(AH617,FlowCalNumber,0),1,1)*AJ619^INDEX(FlowCalConstB,MATCH(AH617,FlowCalNumber,0),1,1)&lt;INDEX(FlowCalHighSetting,MATCH(AH617,FlowCalNumber,0),1,1))),INDEX(FlowCalConstA,MATCH(AH617,FlowCalNumber,0),1,1)*AJ619^INDEX(FlowCalConstB,MATCH(AH617,FlowCalNumber,0),1,1)," ")</f>
        <v>#N/A</v>
      </c>
      <c r="AL619" s="33"/>
      <c r="AM619" s="242"/>
      <c r="AN619" s="241"/>
      <c r="AO619" s="244"/>
      <c r="AQ619" s="242"/>
      <c r="AR619" s="241"/>
      <c r="AS619" s="244"/>
      <c r="AT619" s="33"/>
      <c r="AU619" s="242"/>
      <c r="AV619" s="241"/>
      <c r="AW619" s="244"/>
      <c r="AX619" s="33"/>
      <c r="AY619" s="242"/>
      <c r="AZ619" s="241"/>
      <c r="BA619" s="244"/>
      <c r="BB619" s="33"/>
      <c r="BC619" s="242"/>
      <c r="BD619" s="241"/>
      <c r="BE619" s="244"/>
      <c r="BF619" s="33"/>
      <c r="BG619" s="242"/>
      <c r="BH619" s="241"/>
      <c r="BI619" s="244"/>
      <c r="BJ619" s="33"/>
      <c r="BK619" s="242"/>
      <c r="BL619" s="241"/>
      <c r="BM619" s="244"/>
      <c r="BN619" s="33"/>
      <c r="BO619" s="242"/>
      <c r="BP619" s="241"/>
      <c r="BQ619" s="244"/>
      <c r="BR619" s="33"/>
      <c r="BS619" s="242"/>
      <c r="BT619" s="241"/>
      <c r="BU619" s="244"/>
      <c r="BV619" s="33"/>
      <c r="BW619" s="242"/>
      <c r="BX619" s="241"/>
      <c r="BY619" s="244"/>
      <c r="BZ619" s="33"/>
      <c r="CA619" s="242"/>
      <c r="CB619" s="241"/>
      <c r="CC619" s="244"/>
      <c r="CD619" s="243"/>
      <c r="CE619" s="243"/>
      <c r="CF619" s="243"/>
      <c r="CG619" s="243"/>
      <c r="CH619" s="243"/>
      <c r="CI619" s="243"/>
      <c r="CJ619" s="243"/>
      <c r="CK619" s="243"/>
      <c r="CL619" s="243"/>
      <c r="CM619" s="243"/>
      <c r="CN619" s="243"/>
      <c r="CO619" s="243"/>
      <c r="CP619" s="243"/>
      <c r="CQ619" s="243"/>
      <c r="CR619" s="243"/>
      <c r="CS619" s="243"/>
      <c r="CT619" s="243"/>
      <c r="CU619" s="243"/>
      <c r="CV619" s="243"/>
      <c r="CW619" s="243"/>
      <c r="CX619" s="243"/>
      <c r="CY619" s="243"/>
      <c r="CZ619" s="243"/>
      <c r="DA619" s="243"/>
      <c r="DB619" s="243"/>
      <c r="DC619" s="243"/>
      <c r="DD619" s="243"/>
      <c r="DE619" s="243"/>
      <c r="DF619" s="243"/>
      <c r="DG619" s="243"/>
      <c r="DH619" s="243"/>
      <c r="DI619" s="243"/>
      <c r="DJ619" s="243"/>
      <c r="DK619" s="243"/>
      <c r="DM619" s="242"/>
      <c r="DO619" s="243"/>
      <c r="DQ619" s="242"/>
      <c r="DS619" s="243"/>
      <c r="DU619" s="242"/>
      <c r="DW619" s="243"/>
      <c r="DY619" s="242"/>
      <c r="EA619" s="243"/>
    </row>
    <row r="620" spans="1:131">
      <c r="A620" s="20"/>
      <c r="B620" s="124" t="str">
        <f t="shared" si="582"/>
        <v/>
      </c>
      <c r="C620" s="235"/>
      <c r="D620" s="24">
        <f>'1% Wind'!$M$84</f>
        <v>20.5</v>
      </c>
      <c r="E620" s="90"/>
      <c r="F620" s="90"/>
      <c r="G620" s="79">
        <f ca="1">IF(I617=0.9743,$G619,MAX(G619/D619*D620,2))</f>
        <v>6.001707317073171</v>
      </c>
      <c r="H620" s="121" t="e">
        <f t="shared" ca="1" si="583"/>
        <v>#VALUE!</v>
      </c>
      <c r="J620" s="33"/>
      <c r="K620" s="242">
        <f t="shared" si="584"/>
        <v>1</v>
      </c>
      <c r="L620" s="241" t="e">
        <f t="shared" ca="1" si="585"/>
        <v>#VALUE!</v>
      </c>
      <c r="M620" s="243" t="e">
        <f ca="1">IF(AND(INDEX(FlowCalConstA,MATCH(J617,FlowCalNumber,0),1,1)*L620^INDEX(FlowCalConstB,MATCH(J617,FlowCalNumber,0),1,1)&gt;INDEX(FlowCalLowSetting,MATCH(J617,FlowCalNumber,0),1,1), (INDEX(FlowCalConstA,MATCH(J617,FlowCalNumber,0),1,1)*L620^INDEX(FlowCalConstB,MATCH(J617,FlowCalNumber,0),1,1)&lt;INDEX(FlowCalHighSetting,MATCH(J617,FlowCalNumber,0),1,1))),INDEX(FlowCalConstA,MATCH(J617,FlowCalNumber,0),1,1)*L620^INDEX(FlowCalConstB,MATCH(J617,FlowCalNumber,0),1,1)," ")</f>
        <v>#N/A</v>
      </c>
      <c r="N620" s="33"/>
      <c r="O620" s="242">
        <f t="shared" si="586"/>
        <v>1</v>
      </c>
      <c r="P620" s="241" t="e">
        <f t="shared" ca="1" si="587"/>
        <v>#VALUE!</v>
      </c>
      <c r="Q620" s="243" t="e">
        <f ca="1">IF(AND(INDEX(FlowCalConstA,MATCH(N617,FlowCalNumber,0),1,1)*P620^INDEX(FlowCalConstB,MATCH(N617,FlowCalNumber,0),1,1)&gt;INDEX(FlowCalLowSetting,MATCH(N617,FlowCalNumber,0),1,1), (INDEX(FlowCalConstA,MATCH(N617,FlowCalNumber,0),1,1)*P620^INDEX(FlowCalConstB,MATCH(N617,FlowCalNumber,0),1,1)&lt;INDEX(FlowCalHighSetting,MATCH(N617,FlowCalNumber,0),1,1))),INDEX(FlowCalConstA,MATCH(N617,FlowCalNumber,0),1,1)*P620^INDEX(FlowCalConstB,MATCH(N617,FlowCalNumber,0),1,1)," ")</f>
        <v>#N/A</v>
      </c>
      <c r="R620" s="33"/>
      <c r="S620" s="242">
        <f t="shared" si="588"/>
        <v>1</v>
      </c>
      <c r="T620" s="241" t="e">
        <f t="shared" ca="1" si="589"/>
        <v>#VALUE!</v>
      </c>
      <c r="U620" s="244" t="e">
        <f ca="1">IF(AND(INDEX(FlowCalConstA,MATCH(R617,FlowCalNumber,0),1,1)*T620^INDEX(FlowCalConstB,MATCH(R617,FlowCalNumber,0),1,1)&gt;INDEX(FlowCalLowSetting,MATCH(R617,FlowCalNumber,0),1,1), (INDEX(FlowCalConstA,MATCH(R617,FlowCalNumber,0),1,1)*T620^INDEX(FlowCalConstB,MATCH(R617,FlowCalNumber,0),1,1)&lt;INDEX(FlowCalHighSetting,MATCH(R617,FlowCalNumber,0),1,1))),INDEX(FlowCalConstA,MATCH(R617,FlowCalNumber,0),1,1)*T620^INDEX(FlowCalConstB,MATCH(R617,FlowCalNumber,0),1,1)," ")</f>
        <v>#N/A</v>
      </c>
      <c r="V620" s="33"/>
      <c r="W620" s="242">
        <f t="shared" si="590"/>
        <v>0.1</v>
      </c>
      <c r="X620" s="241" t="e">
        <f t="shared" ca="1" si="591"/>
        <v>#VALUE!</v>
      </c>
      <c r="Y620" s="243" t="e">
        <f ca="1">IF(AND(INDEX(FlowCalConstA,MATCH(V617,FlowCalNumber,0),1,1)*X620^INDEX(FlowCalConstB,MATCH(V617,FlowCalNumber,0),1,1)&gt;INDEX(FlowCalLowSetting,MATCH(V617,FlowCalNumber,0),1,1), (INDEX(FlowCalConstA,MATCH(V617,FlowCalNumber,0),1,1)*X620^INDEX(FlowCalConstB,MATCH(V617,FlowCalNumber,0),1,1)&lt;INDEX(FlowCalHighSetting,MATCH(V617,FlowCalNumber,0),1,1))),INDEX(FlowCalConstA,MATCH(V617,FlowCalNumber,0),1,1)*X620^INDEX(FlowCalConstB,MATCH(V617,FlowCalNumber,0),1,1)," ")</f>
        <v>#N/A</v>
      </c>
      <c r="Z620" s="33"/>
      <c r="AA620" s="242">
        <f t="shared" si="592"/>
        <v>0.9</v>
      </c>
      <c r="AB620" s="241" t="e">
        <f t="shared" ca="1" si="593"/>
        <v>#VALUE!</v>
      </c>
      <c r="AC620" s="243" t="e">
        <f ca="1">IF(AND(INDEX(FlowCalConstA,MATCH(Z617,FlowCalNumber,0),1,1)*AB620^INDEX(FlowCalConstB,MATCH(Z617,FlowCalNumber,0),1,1)&gt;INDEX(FlowCalLowSetting,MATCH(Z617,FlowCalNumber,0),1,1), (INDEX(FlowCalConstA,MATCH(Z617,FlowCalNumber,0),1,1)*AB620^INDEX(FlowCalConstB,MATCH(Z617,FlowCalNumber,0),1,1)&lt;INDEX(FlowCalHighSetting,MATCH(Z617,FlowCalNumber,0),1,1))),INDEX(FlowCalConstA,MATCH(Z617,FlowCalNumber,0),1,1)*AB620^INDEX(FlowCalConstB,MATCH(Z617,FlowCalNumber,0),1,1)," ")</f>
        <v>#N/A</v>
      </c>
      <c r="AD620" s="33"/>
      <c r="AE620" s="242">
        <f t="shared" si="594"/>
        <v>0.1</v>
      </c>
      <c r="AF620" s="241" t="e">
        <f t="shared" ca="1" si="595"/>
        <v>#VALUE!</v>
      </c>
      <c r="AG620" s="243" t="e">
        <f ca="1">IF(AND(INDEX(FlowCalConstA,MATCH(AD617,FlowCalNumber,0),1,1)*AF620^INDEX(FlowCalConstB,MATCH(AD617,FlowCalNumber,0),1,1)&gt;INDEX(FlowCalLowSetting,MATCH(AD617,FlowCalNumber,0),1,1), (INDEX(FlowCalConstA,MATCH(AD617,FlowCalNumber,0),1,1)*AF620^INDEX(FlowCalConstB,MATCH(AD617,FlowCalNumber,0),1,1)&lt;INDEX(FlowCalHighSetting,MATCH(AD617,FlowCalNumber,0),1,1))),INDEX(FlowCalConstA,MATCH(AD617,FlowCalNumber,0),1,1)*AF620^INDEX(FlowCalConstB,MATCH(AD617,FlowCalNumber,0),1,1)," ")</f>
        <v>#N/A</v>
      </c>
      <c r="AH620" s="33"/>
      <c r="AI620" s="242">
        <f t="shared" si="596"/>
        <v>0.9</v>
      </c>
      <c r="AJ620" s="241" t="e">
        <f t="shared" ca="1" si="597"/>
        <v>#VALUE!</v>
      </c>
      <c r="AK620" s="243" t="e">
        <f ca="1">IF(AND(INDEX(FlowCalConstA,MATCH(AH617,FlowCalNumber,0),1,1)*AJ620^INDEX(FlowCalConstB,MATCH(AH617,FlowCalNumber,0),1,1)&gt;INDEX(FlowCalLowSetting,MATCH(AH617,FlowCalNumber,0),1,1), (INDEX(FlowCalConstA,MATCH(AH617,FlowCalNumber,0),1,1)*AJ620^INDEX(FlowCalConstB,MATCH(AH617,FlowCalNumber,0),1,1)&lt;INDEX(FlowCalHighSetting,MATCH(AH617,FlowCalNumber,0),1,1))),INDEX(FlowCalConstA,MATCH(AH617,FlowCalNumber,0),1,1)*AJ620^INDEX(FlowCalConstB,MATCH(AH617,FlowCalNumber,0),1,1)," ")</f>
        <v>#N/A</v>
      </c>
      <c r="AL620" s="33"/>
      <c r="AM620" s="242"/>
      <c r="AN620" s="241"/>
      <c r="AO620" s="244"/>
      <c r="AQ620" s="242"/>
      <c r="AR620" s="241"/>
      <c r="AS620" s="244"/>
      <c r="AT620" s="33"/>
      <c r="AU620" s="242"/>
      <c r="AV620" s="241"/>
      <c r="AW620" s="244"/>
      <c r="AX620" s="33"/>
      <c r="AY620" s="242"/>
      <c r="AZ620" s="241"/>
      <c r="BA620" s="244"/>
      <c r="BB620" s="33"/>
      <c r="BC620" s="242"/>
      <c r="BD620" s="241"/>
      <c r="BE620" s="244"/>
      <c r="BF620" s="33"/>
      <c r="BG620" s="242"/>
      <c r="BH620" s="241"/>
      <c r="BI620" s="244"/>
      <c r="BJ620" s="33"/>
      <c r="BK620" s="242"/>
      <c r="BL620" s="241"/>
      <c r="BM620" s="244"/>
      <c r="BN620" s="33"/>
      <c r="BO620" s="242"/>
      <c r="BP620" s="241"/>
      <c r="BQ620" s="244"/>
      <c r="BR620" s="33"/>
      <c r="BS620" s="242"/>
      <c r="BT620" s="241"/>
      <c r="BU620" s="244"/>
      <c r="BV620" s="33"/>
      <c r="BW620" s="242"/>
      <c r="BX620" s="241"/>
      <c r="BY620" s="244"/>
      <c r="BZ620" s="33"/>
      <c r="CA620" s="242"/>
      <c r="CB620" s="241"/>
      <c r="CC620" s="244"/>
      <c r="CD620" s="243"/>
      <c r="CE620" s="243"/>
      <c r="CF620" s="243"/>
      <c r="CG620" s="243"/>
      <c r="CH620" s="243"/>
      <c r="CI620" s="243"/>
      <c r="CJ620" s="243"/>
      <c r="CK620" s="243"/>
      <c r="CL620" s="243"/>
      <c r="CM620" s="243"/>
      <c r="CN620" s="243"/>
      <c r="CO620" s="243"/>
      <c r="CP620" s="243"/>
      <c r="CQ620" s="243"/>
      <c r="CR620" s="243"/>
      <c r="CS620" s="243"/>
      <c r="CT620" s="243"/>
      <c r="CU620" s="243"/>
      <c r="CV620" s="243"/>
      <c r="CW620" s="243"/>
      <c r="CX620" s="243"/>
      <c r="CY620" s="243"/>
      <c r="CZ620" s="243"/>
      <c r="DA620" s="243"/>
      <c r="DB620" s="243"/>
      <c r="DC620" s="243"/>
      <c r="DD620" s="243"/>
      <c r="DE620" s="243"/>
      <c r="DF620" s="243"/>
      <c r="DG620" s="243"/>
      <c r="DH620" s="243"/>
      <c r="DI620" s="243"/>
      <c r="DJ620" s="243"/>
      <c r="DK620" s="243"/>
      <c r="DM620" s="242"/>
      <c r="DO620" s="243"/>
      <c r="DQ620" s="242"/>
      <c r="DS620" s="243"/>
      <c r="DU620" s="242"/>
      <c r="DW620" s="243"/>
      <c r="DY620" s="242"/>
      <c r="EA620" s="243"/>
    </row>
    <row r="621" spans="1:131">
      <c r="A621" s="20"/>
      <c r="B621" s="124" t="str">
        <f t="shared" si="582"/>
        <v/>
      </c>
      <c r="C621" s="235"/>
      <c r="D621" s="24">
        <f>'1% Wind'!$M$85</f>
        <v>17.8</v>
      </c>
      <c r="E621" s="90"/>
      <c r="F621" s="90"/>
      <c r="G621" s="79">
        <f ca="1">IF(I617=0.9743,$G620,MAX(G620/D620*D621,2))</f>
        <v>6.001707317073171</v>
      </c>
      <c r="H621" s="121" t="e">
        <f t="shared" ca="1" si="583"/>
        <v>#VALUE!</v>
      </c>
      <c r="J621" s="33"/>
      <c r="K621" s="242">
        <f t="shared" si="584"/>
        <v>1</v>
      </c>
      <c r="L621" s="241" t="e">
        <f t="shared" ca="1" si="585"/>
        <v>#VALUE!</v>
      </c>
      <c r="M621" s="243" t="e">
        <f ca="1">IF(AND(INDEX(FlowCalConstA,MATCH(J617,FlowCalNumber,0),1,1)*L621^INDEX(FlowCalConstB,MATCH(J617,FlowCalNumber,0),1,1)&gt;INDEX(FlowCalLowSetting,MATCH(J617,FlowCalNumber,0),1,1), (INDEX(FlowCalConstA,MATCH(J617,FlowCalNumber,0),1,1)*L621^INDEX(FlowCalConstB,MATCH(J617,FlowCalNumber,0),1,1)&lt;INDEX(FlowCalHighSetting,MATCH(J617,FlowCalNumber,0),1,1))),INDEX(FlowCalConstA,MATCH(J617,FlowCalNumber,0),1,1)*L621^INDEX(FlowCalConstB,MATCH(J617,FlowCalNumber,0),1,1)," ")</f>
        <v>#N/A</v>
      </c>
      <c r="N621" s="33"/>
      <c r="O621" s="242">
        <f t="shared" si="586"/>
        <v>1</v>
      </c>
      <c r="P621" s="241" t="e">
        <f t="shared" ca="1" si="587"/>
        <v>#VALUE!</v>
      </c>
      <c r="Q621" s="243" t="e">
        <f ca="1">IF(AND(INDEX(FlowCalConstA,MATCH(N617,FlowCalNumber,0),1,1)*P621^INDEX(FlowCalConstB,MATCH(N617,FlowCalNumber,0),1,1)&gt;INDEX(FlowCalLowSetting,MATCH(N617,FlowCalNumber,0),1,1), (INDEX(FlowCalConstA,MATCH(N617,FlowCalNumber,0),1,1)*P621^INDEX(FlowCalConstB,MATCH(N617,FlowCalNumber,0),1,1)&lt;INDEX(FlowCalHighSetting,MATCH(N617,FlowCalNumber,0),1,1))),INDEX(FlowCalConstA,MATCH(N617,FlowCalNumber,0),1,1)*P621^INDEX(FlowCalConstB,MATCH(N617,FlowCalNumber,0),1,1)," ")</f>
        <v>#N/A</v>
      </c>
      <c r="R621" s="33"/>
      <c r="S621" s="242">
        <f t="shared" si="588"/>
        <v>1</v>
      </c>
      <c r="T621" s="241" t="e">
        <f t="shared" ca="1" si="589"/>
        <v>#VALUE!</v>
      </c>
      <c r="U621" s="244" t="e">
        <f ca="1">IF(AND(INDEX(FlowCalConstA,MATCH(R617,FlowCalNumber,0),1,1)*T621^INDEX(FlowCalConstB,MATCH(R617,FlowCalNumber,0),1,1)&gt;INDEX(FlowCalLowSetting,MATCH(R617,FlowCalNumber,0),1,1), (INDEX(FlowCalConstA,MATCH(R617,FlowCalNumber,0),1,1)*T621^INDEX(FlowCalConstB,MATCH(R617,FlowCalNumber,0),1,1)&lt;INDEX(FlowCalHighSetting,MATCH(R617,FlowCalNumber,0),1,1))),INDEX(FlowCalConstA,MATCH(R617,FlowCalNumber,0),1,1)*T621^INDEX(FlowCalConstB,MATCH(R617,FlowCalNumber,0),1,1)," ")</f>
        <v>#N/A</v>
      </c>
      <c r="V621" s="33"/>
      <c r="W621" s="242">
        <f t="shared" si="590"/>
        <v>0.1</v>
      </c>
      <c r="X621" s="241" t="e">
        <f t="shared" ca="1" si="591"/>
        <v>#VALUE!</v>
      </c>
      <c r="Y621" s="243" t="e">
        <f ca="1">IF(AND(INDEX(FlowCalConstA,MATCH(V617,FlowCalNumber,0),1,1)*X621^INDEX(FlowCalConstB,MATCH(V617,FlowCalNumber,0),1,1)&gt;INDEX(FlowCalLowSetting,MATCH(V617,FlowCalNumber,0),1,1), (INDEX(FlowCalConstA,MATCH(V617,FlowCalNumber,0),1,1)*X621^INDEX(FlowCalConstB,MATCH(V617,FlowCalNumber,0),1,1)&lt;INDEX(FlowCalHighSetting,MATCH(V617,FlowCalNumber,0),1,1))),INDEX(FlowCalConstA,MATCH(V617,FlowCalNumber,0),1,1)*X621^INDEX(FlowCalConstB,MATCH(V617,FlowCalNumber,0),1,1)," ")</f>
        <v>#N/A</v>
      </c>
      <c r="Z621" s="33"/>
      <c r="AA621" s="242">
        <f t="shared" si="592"/>
        <v>0.9</v>
      </c>
      <c r="AB621" s="241" t="e">
        <f t="shared" ca="1" si="593"/>
        <v>#VALUE!</v>
      </c>
      <c r="AC621" s="243" t="e">
        <f ca="1">IF(AND(INDEX(FlowCalConstA,MATCH(Z617,FlowCalNumber,0),1,1)*AB621^INDEX(FlowCalConstB,MATCH(Z617,FlowCalNumber,0),1,1)&gt;INDEX(FlowCalLowSetting,MATCH(Z617,FlowCalNumber,0),1,1), (INDEX(FlowCalConstA,MATCH(Z617,FlowCalNumber,0),1,1)*AB621^INDEX(FlowCalConstB,MATCH(Z617,FlowCalNumber,0),1,1)&lt;INDEX(FlowCalHighSetting,MATCH(Z617,FlowCalNumber,0),1,1))),INDEX(FlowCalConstA,MATCH(Z617,FlowCalNumber,0),1,1)*AB621^INDEX(FlowCalConstB,MATCH(Z617,FlowCalNumber,0),1,1)," ")</f>
        <v>#N/A</v>
      </c>
      <c r="AD621" s="33"/>
      <c r="AE621" s="242">
        <f t="shared" si="594"/>
        <v>0.1</v>
      </c>
      <c r="AF621" s="241" t="e">
        <f t="shared" ca="1" si="595"/>
        <v>#VALUE!</v>
      </c>
      <c r="AG621" s="243" t="e">
        <f ca="1">IF(AND(INDEX(FlowCalConstA,MATCH(AD617,FlowCalNumber,0),1,1)*AF621^INDEX(FlowCalConstB,MATCH(AD617,FlowCalNumber,0),1,1)&gt;INDEX(FlowCalLowSetting,MATCH(AD617,FlowCalNumber,0),1,1), (INDEX(FlowCalConstA,MATCH(AD617,FlowCalNumber,0),1,1)*AF621^INDEX(FlowCalConstB,MATCH(AD617,FlowCalNumber,0),1,1)&lt;INDEX(FlowCalHighSetting,MATCH(AD617,FlowCalNumber,0),1,1))),INDEX(FlowCalConstA,MATCH(AD617,FlowCalNumber,0),1,1)*AF621^INDEX(FlowCalConstB,MATCH(AD617,FlowCalNumber,0),1,1)," ")</f>
        <v>#N/A</v>
      </c>
      <c r="AH621" s="33"/>
      <c r="AI621" s="242">
        <f t="shared" si="596"/>
        <v>0.9</v>
      </c>
      <c r="AJ621" s="241" t="e">
        <f t="shared" ca="1" si="597"/>
        <v>#VALUE!</v>
      </c>
      <c r="AK621" s="243" t="e">
        <f ca="1">IF(AND(INDEX(FlowCalConstA,MATCH(AH617,FlowCalNumber,0),1,1)*AJ621^INDEX(FlowCalConstB,MATCH(AH617,FlowCalNumber,0),1,1)&gt;INDEX(FlowCalLowSetting,MATCH(AH617,FlowCalNumber,0),1,1), (INDEX(FlowCalConstA,MATCH(AH617,FlowCalNumber,0),1,1)*AJ621^INDEX(FlowCalConstB,MATCH(AH617,FlowCalNumber,0),1,1)&lt;INDEX(FlowCalHighSetting,MATCH(AH617,FlowCalNumber,0),1,1))),INDEX(FlowCalConstA,MATCH(AH617,FlowCalNumber,0),1,1)*AJ621^INDEX(FlowCalConstB,MATCH(AH617,FlowCalNumber,0),1,1)," ")</f>
        <v>#N/A</v>
      </c>
      <c r="AL621" s="33"/>
      <c r="AM621" s="242"/>
      <c r="AN621" s="241"/>
      <c r="AO621" s="244"/>
      <c r="AQ621" s="242"/>
      <c r="AR621" s="241"/>
      <c r="AS621" s="244"/>
      <c r="AT621" s="33"/>
      <c r="AU621" s="242"/>
      <c r="AV621" s="241"/>
      <c r="AW621" s="244"/>
      <c r="AX621" s="33"/>
      <c r="AY621" s="242"/>
      <c r="AZ621" s="241"/>
      <c r="BA621" s="244"/>
      <c r="BB621" s="33"/>
      <c r="BC621" s="242"/>
      <c r="BD621" s="241"/>
      <c r="BE621" s="244"/>
      <c r="BF621" s="33"/>
      <c r="BG621" s="242"/>
      <c r="BH621" s="241"/>
      <c r="BI621" s="244"/>
      <c r="BJ621" s="33"/>
      <c r="BK621" s="242"/>
      <c r="BL621" s="241"/>
      <c r="BM621" s="244"/>
      <c r="BN621" s="33"/>
      <c r="BO621" s="242"/>
      <c r="BP621" s="241"/>
      <c r="BQ621" s="244"/>
      <c r="BR621" s="33"/>
      <c r="BS621" s="242"/>
      <c r="BT621" s="241"/>
      <c r="BU621" s="244"/>
      <c r="BV621" s="33"/>
      <c r="BW621" s="242"/>
      <c r="BX621" s="241"/>
      <c r="BY621" s="244"/>
      <c r="BZ621" s="33"/>
      <c r="CA621" s="242"/>
      <c r="CB621" s="241"/>
      <c r="CC621" s="244"/>
      <c r="CD621" s="243"/>
      <c r="CE621" s="243"/>
      <c r="CF621" s="243"/>
      <c r="CG621" s="243"/>
      <c r="CH621" s="243"/>
      <c r="CI621" s="243"/>
      <c r="CJ621" s="243"/>
      <c r="CK621" s="243"/>
      <c r="CL621" s="243"/>
      <c r="CM621" s="243"/>
      <c r="CN621" s="243"/>
      <c r="CO621" s="243"/>
      <c r="CP621" s="243"/>
      <c r="CQ621" s="243"/>
      <c r="CR621" s="243"/>
      <c r="CS621" s="243"/>
      <c r="CT621" s="243"/>
      <c r="CU621" s="243"/>
      <c r="CV621" s="243"/>
      <c r="CW621" s="243"/>
      <c r="CX621" s="243"/>
      <c r="CY621" s="243"/>
      <c r="CZ621" s="243"/>
      <c r="DA621" s="243"/>
      <c r="DB621" s="243"/>
      <c r="DC621" s="243"/>
      <c r="DD621" s="243"/>
      <c r="DE621" s="243"/>
      <c r="DF621" s="243"/>
      <c r="DG621" s="243"/>
      <c r="DH621" s="243"/>
      <c r="DI621" s="243"/>
      <c r="DJ621" s="243"/>
      <c r="DK621" s="243"/>
      <c r="DM621" s="242"/>
      <c r="DO621" s="243"/>
      <c r="DQ621" s="242"/>
      <c r="DS621" s="243"/>
      <c r="DU621" s="242"/>
      <c r="DW621" s="243"/>
      <c r="DY621" s="242"/>
      <c r="EA621" s="243"/>
    </row>
    <row r="622" spans="1:131">
      <c r="A622" s="20"/>
      <c r="B622" s="124" t="str">
        <f t="shared" si="582"/>
        <v/>
      </c>
      <c r="C622" s="235"/>
      <c r="D622" s="24">
        <f>'1% Wind'!$M$86</f>
        <v>15.5</v>
      </c>
      <c r="E622" s="90"/>
      <c r="F622" s="90"/>
      <c r="G622" s="79">
        <f ca="1">IF(I617=0.9743,$G621,MAX(G621/D621*D622,2))</f>
        <v>6.001707317073171</v>
      </c>
      <c r="H622" s="121" t="e">
        <f t="shared" ca="1" si="583"/>
        <v>#VALUE!</v>
      </c>
      <c r="J622" s="33"/>
      <c r="K622" s="242">
        <f t="shared" si="584"/>
        <v>1</v>
      </c>
      <c r="L622" s="241" t="e">
        <f t="shared" ca="1" si="585"/>
        <v>#VALUE!</v>
      </c>
      <c r="M622" s="243" t="e">
        <f ca="1">IF(AND(INDEX(FlowCalConstA,MATCH(J617,FlowCalNumber,0),1,1)*L622^INDEX(FlowCalConstB,MATCH(J617,FlowCalNumber,0),1,1)&gt;INDEX(FlowCalLowSetting,MATCH(J617,FlowCalNumber,0),1,1), (INDEX(FlowCalConstA,MATCH(J617,FlowCalNumber,0),1,1)*L622^INDEX(FlowCalConstB,MATCH(J617,FlowCalNumber,0),1,1)&lt;INDEX(FlowCalHighSetting,MATCH(J617,FlowCalNumber,0),1,1))),INDEX(FlowCalConstA,MATCH(J617,FlowCalNumber,0),1,1)*L622^INDEX(FlowCalConstB,MATCH(J617,FlowCalNumber,0),1,1)," ")</f>
        <v>#N/A</v>
      </c>
      <c r="N622" s="33"/>
      <c r="O622" s="242">
        <f t="shared" si="586"/>
        <v>1</v>
      </c>
      <c r="P622" s="241" t="e">
        <f t="shared" ca="1" si="587"/>
        <v>#VALUE!</v>
      </c>
      <c r="Q622" s="243" t="e">
        <f ca="1">IF(AND(INDEX(FlowCalConstA,MATCH(N617,FlowCalNumber,0),1,1)*P622^INDEX(FlowCalConstB,MATCH(N617,FlowCalNumber,0),1,1)&gt;INDEX(FlowCalLowSetting,MATCH(N617,FlowCalNumber,0),1,1), (INDEX(FlowCalConstA,MATCH(N617,FlowCalNumber,0),1,1)*P622^INDEX(FlowCalConstB,MATCH(N617,FlowCalNumber,0),1,1)&lt;INDEX(FlowCalHighSetting,MATCH(N617,FlowCalNumber,0),1,1))),INDEX(FlowCalConstA,MATCH(N617,FlowCalNumber,0),1,1)*P622^INDEX(FlowCalConstB,MATCH(N617,FlowCalNumber,0),1,1)," ")</f>
        <v>#N/A</v>
      </c>
      <c r="R622" s="33"/>
      <c r="S622" s="242">
        <f t="shared" si="588"/>
        <v>1</v>
      </c>
      <c r="T622" s="241" t="e">
        <f t="shared" ca="1" si="589"/>
        <v>#VALUE!</v>
      </c>
      <c r="U622" s="244" t="e">
        <f ca="1">IF(AND(INDEX(FlowCalConstA,MATCH(R617,FlowCalNumber,0),1,1)*T622^INDEX(FlowCalConstB,MATCH(R617,FlowCalNumber,0),1,1)&gt;INDEX(FlowCalLowSetting,MATCH(R617,FlowCalNumber,0),1,1), (INDEX(FlowCalConstA,MATCH(R617,FlowCalNumber,0),1,1)*T622^INDEX(FlowCalConstB,MATCH(R617,FlowCalNumber,0),1,1)&lt;INDEX(FlowCalHighSetting,MATCH(R617,FlowCalNumber,0),1,1))),INDEX(FlowCalConstA,MATCH(R617,FlowCalNumber,0),1,1)*T622^INDEX(FlowCalConstB,MATCH(R617,FlowCalNumber,0),1,1)," ")</f>
        <v>#N/A</v>
      </c>
      <c r="V622" s="33"/>
      <c r="W622" s="242">
        <f t="shared" si="590"/>
        <v>0.1</v>
      </c>
      <c r="X622" s="241" t="e">
        <f t="shared" ca="1" si="591"/>
        <v>#VALUE!</v>
      </c>
      <c r="Y622" s="243" t="e">
        <f ca="1">IF(AND(INDEX(FlowCalConstA,MATCH(V617,FlowCalNumber,0),1,1)*X622^INDEX(FlowCalConstB,MATCH(V617,FlowCalNumber,0),1,1)&gt;INDEX(FlowCalLowSetting,MATCH(V617,FlowCalNumber,0),1,1), (INDEX(FlowCalConstA,MATCH(V617,FlowCalNumber,0),1,1)*X622^INDEX(FlowCalConstB,MATCH(V617,FlowCalNumber,0),1,1)&lt;INDEX(FlowCalHighSetting,MATCH(V617,FlowCalNumber,0),1,1))),INDEX(FlowCalConstA,MATCH(V617,FlowCalNumber,0),1,1)*X622^INDEX(FlowCalConstB,MATCH(V617,FlowCalNumber,0),1,1)," ")</f>
        <v>#N/A</v>
      </c>
      <c r="Z622" s="33"/>
      <c r="AA622" s="242">
        <f t="shared" si="592"/>
        <v>0.9</v>
      </c>
      <c r="AB622" s="241" t="e">
        <f t="shared" ca="1" si="593"/>
        <v>#VALUE!</v>
      </c>
      <c r="AC622" s="243" t="e">
        <f ca="1">IF(AND(INDEX(FlowCalConstA,MATCH(Z617,FlowCalNumber,0),1,1)*AB622^INDEX(FlowCalConstB,MATCH(Z617,FlowCalNumber,0),1,1)&gt;INDEX(FlowCalLowSetting,MATCH(Z617,FlowCalNumber,0),1,1), (INDEX(FlowCalConstA,MATCH(Z617,FlowCalNumber,0),1,1)*AB622^INDEX(FlowCalConstB,MATCH(Z617,FlowCalNumber,0),1,1)&lt;INDEX(FlowCalHighSetting,MATCH(Z617,FlowCalNumber,0),1,1))),INDEX(FlowCalConstA,MATCH(Z617,FlowCalNumber,0),1,1)*AB622^INDEX(FlowCalConstB,MATCH(Z617,FlowCalNumber,0),1,1)," ")</f>
        <v>#N/A</v>
      </c>
      <c r="AD622" s="33"/>
      <c r="AE622" s="242">
        <f t="shared" si="594"/>
        <v>0.1</v>
      </c>
      <c r="AF622" s="241" t="e">
        <f t="shared" ca="1" si="595"/>
        <v>#VALUE!</v>
      </c>
      <c r="AG622" s="243" t="e">
        <f ca="1">IF(AND(INDEX(FlowCalConstA,MATCH(AD617,FlowCalNumber,0),1,1)*AF622^INDEX(FlowCalConstB,MATCH(AD617,FlowCalNumber,0),1,1)&gt;INDEX(FlowCalLowSetting,MATCH(AD617,FlowCalNumber,0),1,1), (INDEX(FlowCalConstA,MATCH(AD617,FlowCalNumber,0),1,1)*AF622^INDEX(FlowCalConstB,MATCH(AD617,FlowCalNumber,0),1,1)&lt;INDEX(FlowCalHighSetting,MATCH(AD617,FlowCalNumber,0),1,1))),INDEX(FlowCalConstA,MATCH(AD617,FlowCalNumber,0),1,1)*AF622^INDEX(FlowCalConstB,MATCH(AD617,FlowCalNumber,0),1,1)," ")</f>
        <v>#N/A</v>
      </c>
      <c r="AH622" s="33"/>
      <c r="AI622" s="242">
        <f t="shared" si="596"/>
        <v>0.9</v>
      </c>
      <c r="AJ622" s="241" t="e">
        <f t="shared" ca="1" si="597"/>
        <v>#VALUE!</v>
      </c>
      <c r="AK622" s="243" t="e">
        <f ca="1">IF(AND(INDEX(FlowCalConstA,MATCH(AH617,FlowCalNumber,0),1,1)*AJ622^INDEX(FlowCalConstB,MATCH(AH617,FlowCalNumber,0),1,1)&gt;INDEX(FlowCalLowSetting,MATCH(AH617,FlowCalNumber,0),1,1), (INDEX(FlowCalConstA,MATCH(AH617,FlowCalNumber,0),1,1)*AJ622^INDEX(FlowCalConstB,MATCH(AH617,FlowCalNumber,0),1,1)&lt;INDEX(FlowCalHighSetting,MATCH(AH617,FlowCalNumber,0),1,1))),INDEX(FlowCalConstA,MATCH(AH617,FlowCalNumber,0),1,1)*AJ622^INDEX(FlowCalConstB,MATCH(AH617,FlowCalNumber,0),1,1)," ")</f>
        <v>#N/A</v>
      </c>
      <c r="AL622" s="33"/>
      <c r="AM622" s="242"/>
      <c r="AN622" s="241"/>
      <c r="AO622" s="244"/>
      <c r="AQ622" s="242"/>
      <c r="AR622" s="241"/>
      <c r="AS622" s="244"/>
      <c r="AT622" s="33"/>
      <c r="AU622" s="242"/>
      <c r="AV622" s="241"/>
      <c r="AW622" s="244"/>
      <c r="AX622" s="33"/>
      <c r="AY622" s="242"/>
      <c r="AZ622" s="241"/>
      <c r="BA622" s="244"/>
      <c r="BB622" s="33"/>
      <c r="BC622" s="242"/>
      <c r="BD622" s="241"/>
      <c r="BE622" s="244"/>
      <c r="BF622" s="33"/>
      <c r="BG622" s="242"/>
      <c r="BH622" s="241"/>
      <c r="BI622" s="244"/>
      <c r="BJ622" s="33"/>
      <c r="BK622" s="242"/>
      <c r="BL622" s="241"/>
      <c r="BM622" s="244"/>
      <c r="BN622" s="33"/>
      <c r="BO622" s="242"/>
      <c r="BP622" s="241"/>
      <c r="BQ622" s="244"/>
      <c r="BR622" s="33"/>
      <c r="BS622" s="242"/>
      <c r="BT622" s="241"/>
      <c r="BU622" s="244"/>
      <c r="BV622" s="33"/>
      <c r="BW622" s="242"/>
      <c r="BX622" s="241"/>
      <c r="BY622" s="244"/>
      <c r="BZ622" s="33"/>
      <c r="CA622" s="242"/>
      <c r="CB622" s="241"/>
      <c r="CC622" s="244"/>
      <c r="CD622" s="243"/>
      <c r="CE622" s="243"/>
      <c r="CF622" s="243"/>
      <c r="CG622" s="243"/>
      <c r="CH622" s="243"/>
      <c r="CI622" s="243"/>
      <c r="CJ622" s="243"/>
      <c r="CK622" s="243"/>
      <c r="CL622" s="243"/>
      <c r="CM622" s="243"/>
      <c r="CN622" s="243"/>
      <c r="CO622" s="243"/>
      <c r="CP622" s="243"/>
      <c r="CQ622" s="243"/>
      <c r="CR622" s="243"/>
      <c r="CS622" s="243"/>
      <c r="CT622" s="243"/>
      <c r="CU622" s="243"/>
      <c r="CV622" s="243"/>
      <c r="CW622" s="243"/>
      <c r="CX622" s="243"/>
      <c r="CY622" s="243"/>
      <c r="CZ622" s="243"/>
      <c r="DA622" s="243"/>
      <c r="DB622" s="243"/>
      <c r="DC622" s="243"/>
      <c r="DD622" s="243"/>
      <c r="DE622" s="243"/>
      <c r="DF622" s="243"/>
      <c r="DG622" s="243"/>
      <c r="DH622" s="243"/>
      <c r="DI622" s="243"/>
      <c r="DJ622" s="243"/>
      <c r="DK622" s="243"/>
      <c r="DM622" s="242"/>
      <c r="DO622" s="243"/>
      <c r="DQ622" s="242"/>
      <c r="DS622" s="243"/>
      <c r="DU622" s="242"/>
      <c r="DW622" s="243"/>
      <c r="DY622" s="242"/>
      <c r="EA622" s="243"/>
    </row>
    <row r="623" spans="1:131">
      <c r="A623" s="20"/>
      <c r="B623" s="124" t="str">
        <f t="shared" si="582"/>
        <v/>
      </c>
      <c r="C623" s="235"/>
      <c r="D623" s="24">
        <f>'1% Wind'!$M$87</f>
        <v>13.5</v>
      </c>
      <c r="E623" s="90"/>
      <c r="F623" s="90"/>
      <c r="G623" s="79">
        <f ca="1">IF(I617=0.9743,$G622,MAX(G622/D622*D623,2))</f>
        <v>6.001707317073171</v>
      </c>
      <c r="H623" s="121" t="e">
        <f t="shared" ca="1" si="583"/>
        <v>#VALUE!</v>
      </c>
      <c r="J623" s="33"/>
      <c r="K623" s="242">
        <f t="shared" si="584"/>
        <v>1</v>
      </c>
      <c r="L623" s="241" t="e">
        <f t="shared" ca="1" si="585"/>
        <v>#VALUE!</v>
      </c>
      <c r="M623" s="243" t="e">
        <f ca="1">IF(AND(INDEX(FlowCalConstA,MATCH(J617,FlowCalNumber,0),1,1)*L623^INDEX(FlowCalConstB,MATCH(J617,FlowCalNumber,0),1,1)&gt;INDEX(FlowCalLowSetting,MATCH(J617,FlowCalNumber,0),1,1), (INDEX(FlowCalConstA,MATCH(J617,FlowCalNumber,0),1,1)*L623^INDEX(FlowCalConstB,MATCH(J617,FlowCalNumber,0),1,1)&lt;INDEX(FlowCalHighSetting,MATCH(J617,FlowCalNumber,0),1,1))),INDEX(FlowCalConstA,MATCH(J617,FlowCalNumber,0),1,1)*L623^INDEX(FlowCalConstB,MATCH(J617,FlowCalNumber,0),1,1)," ")</f>
        <v>#N/A</v>
      </c>
      <c r="N623" s="33"/>
      <c r="O623" s="242">
        <f t="shared" si="586"/>
        <v>1</v>
      </c>
      <c r="P623" s="241" t="e">
        <f t="shared" ca="1" si="587"/>
        <v>#VALUE!</v>
      </c>
      <c r="Q623" s="243" t="e">
        <f ca="1">IF(AND(INDEX(FlowCalConstA,MATCH(N617,FlowCalNumber,0),1,1)*P623^INDEX(FlowCalConstB,MATCH(N617,FlowCalNumber,0),1,1)&gt;INDEX(FlowCalLowSetting,MATCH(N617,FlowCalNumber,0),1,1), (INDEX(FlowCalConstA,MATCH(N617,FlowCalNumber,0),1,1)*P623^INDEX(FlowCalConstB,MATCH(N617,FlowCalNumber,0),1,1)&lt;INDEX(FlowCalHighSetting,MATCH(N617,FlowCalNumber,0),1,1))),INDEX(FlowCalConstA,MATCH(N617,FlowCalNumber,0),1,1)*P623^INDEX(FlowCalConstB,MATCH(N617,FlowCalNumber,0),1,1)," ")</f>
        <v>#N/A</v>
      </c>
      <c r="R623" s="33"/>
      <c r="S623" s="242">
        <f t="shared" si="588"/>
        <v>1</v>
      </c>
      <c r="T623" s="241" t="e">
        <f t="shared" ca="1" si="589"/>
        <v>#VALUE!</v>
      </c>
      <c r="U623" s="244" t="e">
        <f ca="1">IF(AND(INDEX(FlowCalConstA,MATCH(R617,FlowCalNumber,0),1,1)*T623^INDEX(FlowCalConstB,MATCH(R617,FlowCalNumber,0),1,1)&gt;INDEX(FlowCalLowSetting,MATCH(R617,FlowCalNumber,0),1,1), (INDEX(FlowCalConstA,MATCH(R617,FlowCalNumber,0),1,1)*T623^INDEX(FlowCalConstB,MATCH(R617,FlowCalNumber,0),1,1)&lt;INDEX(FlowCalHighSetting,MATCH(R617,FlowCalNumber,0),1,1))),INDEX(FlowCalConstA,MATCH(R617,FlowCalNumber,0),1,1)*T623^INDEX(FlowCalConstB,MATCH(R617,FlowCalNumber,0),1,1)," ")</f>
        <v>#N/A</v>
      </c>
      <c r="V623" s="33"/>
      <c r="W623" s="242">
        <f t="shared" si="590"/>
        <v>0.1</v>
      </c>
      <c r="X623" s="241" t="e">
        <f t="shared" ca="1" si="591"/>
        <v>#VALUE!</v>
      </c>
      <c r="Y623" s="243" t="e">
        <f ca="1">IF(AND(INDEX(FlowCalConstA,MATCH(V617,FlowCalNumber,0),1,1)*X623^INDEX(FlowCalConstB,MATCH(V617,FlowCalNumber,0),1,1)&gt;INDEX(FlowCalLowSetting,MATCH(V617,FlowCalNumber,0),1,1), (INDEX(FlowCalConstA,MATCH(V617,FlowCalNumber,0),1,1)*X623^INDEX(FlowCalConstB,MATCH(V617,FlowCalNumber,0),1,1)&lt;INDEX(FlowCalHighSetting,MATCH(V617,FlowCalNumber,0),1,1))),INDEX(FlowCalConstA,MATCH(V617,FlowCalNumber,0),1,1)*X623^INDEX(FlowCalConstB,MATCH(V617,FlowCalNumber,0),1,1)," ")</f>
        <v>#N/A</v>
      </c>
      <c r="Z623" s="33"/>
      <c r="AA623" s="242">
        <f t="shared" si="592"/>
        <v>0.9</v>
      </c>
      <c r="AB623" s="241" t="e">
        <f t="shared" ca="1" si="593"/>
        <v>#VALUE!</v>
      </c>
      <c r="AC623" s="243" t="e">
        <f ca="1">IF(AND(INDEX(FlowCalConstA,MATCH(Z617,FlowCalNumber,0),1,1)*AB623^INDEX(FlowCalConstB,MATCH(Z617,FlowCalNumber,0),1,1)&gt;INDEX(FlowCalLowSetting,MATCH(Z617,FlowCalNumber,0),1,1), (INDEX(FlowCalConstA,MATCH(Z617,FlowCalNumber,0),1,1)*AB623^INDEX(FlowCalConstB,MATCH(Z617,FlowCalNumber,0),1,1)&lt;INDEX(FlowCalHighSetting,MATCH(Z617,FlowCalNumber,0),1,1))),INDEX(FlowCalConstA,MATCH(Z617,FlowCalNumber,0),1,1)*AB623^INDEX(FlowCalConstB,MATCH(Z617,FlowCalNumber,0),1,1)," ")</f>
        <v>#N/A</v>
      </c>
      <c r="AD623" s="33"/>
      <c r="AE623" s="242">
        <f t="shared" si="594"/>
        <v>0.1</v>
      </c>
      <c r="AF623" s="241" t="e">
        <f t="shared" ca="1" si="595"/>
        <v>#VALUE!</v>
      </c>
      <c r="AG623" s="243" t="e">
        <f ca="1">IF(AND(INDEX(FlowCalConstA,MATCH(AD617,FlowCalNumber,0),1,1)*AF623^INDEX(FlowCalConstB,MATCH(AD617,FlowCalNumber,0),1,1)&gt;INDEX(FlowCalLowSetting,MATCH(AD617,FlowCalNumber,0),1,1), (INDEX(FlowCalConstA,MATCH(AD617,FlowCalNumber,0),1,1)*AF623^INDEX(FlowCalConstB,MATCH(AD617,FlowCalNumber,0),1,1)&lt;INDEX(FlowCalHighSetting,MATCH(AD617,FlowCalNumber,0),1,1))),INDEX(FlowCalConstA,MATCH(AD617,FlowCalNumber,0),1,1)*AF623^INDEX(FlowCalConstB,MATCH(AD617,FlowCalNumber,0),1,1)," ")</f>
        <v>#N/A</v>
      </c>
      <c r="AH623" s="33"/>
      <c r="AI623" s="242">
        <f t="shared" si="596"/>
        <v>0.9</v>
      </c>
      <c r="AJ623" s="241" t="e">
        <f t="shared" ca="1" si="597"/>
        <v>#VALUE!</v>
      </c>
      <c r="AK623" s="243" t="e">
        <f ca="1">IF(AND(INDEX(FlowCalConstA,MATCH(AH617,FlowCalNumber,0),1,1)*AJ623^INDEX(FlowCalConstB,MATCH(AH617,FlowCalNumber,0),1,1)&gt;INDEX(FlowCalLowSetting,MATCH(AH617,FlowCalNumber,0),1,1), (INDEX(FlowCalConstA,MATCH(AH617,FlowCalNumber,0),1,1)*AJ623^INDEX(FlowCalConstB,MATCH(AH617,FlowCalNumber,0),1,1)&lt;INDEX(FlowCalHighSetting,MATCH(AH617,FlowCalNumber,0),1,1))),INDEX(FlowCalConstA,MATCH(AH617,FlowCalNumber,0),1,1)*AJ623^INDEX(FlowCalConstB,MATCH(AH617,FlowCalNumber,0),1,1)," ")</f>
        <v>#N/A</v>
      </c>
      <c r="AL623" s="33"/>
      <c r="AM623" s="242"/>
      <c r="AN623" s="241"/>
      <c r="AO623" s="244"/>
      <c r="AQ623" s="242"/>
      <c r="AR623" s="241"/>
      <c r="AS623" s="244"/>
      <c r="AT623" s="33"/>
      <c r="AU623" s="242"/>
      <c r="AV623" s="241"/>
      <c r="AW623" s="244"/>
      <c r="AX623" s="33"/>
      <c r="AY623" s="242"/>
      <c r="AZ623" s="241"/>
      <c r="BA623" s="244"/>
      <c r="BB623" s="33"/>
      <c r="BC623" s="242"/>
      <c r="BD623" s="241"/>
      <c r="BE623" s="244"/>
      <c r="BF623" s="33"/>
      <c r="BG623" s="242"/>
      <c r="BH623" s="241"/>
      <c r="BI623" s="244"/>
      <c r="BJ623" s="33"/>
      <c r="BK623" s="242"/>
      <c r="BL623" s="241"/>
      <c r="BM623" s="244"/>
      <c r="BN623" s="33"/>
      <c r="BO623" s="242"/>
      <c r="BP623" s="241"/>
      <c r="BQ623" s="244"/>
      <c r="BR623" s="33"/>
      <c r="BS623" s="242"/>
      <c r="BT623" s="241"/>
      <c r="BU623" s="244"/>
      <c r="BV623" s="33"/>
      <c r="BW623" s="242"/>
      <c r="BX623" s="241"/>
      <c r="BY623" s="244"/>
      <c r="BZ623" s="33"/>
      <c r="CA623" s="242"/>
      <c r="CB623" s="241"/>
      <c r="CC623" s="244"/>
      <c r="CD623" s="243"/>
      <c r="CE623" s="243"/>
      <c r="CF623" s="243"/>
      <c r="CG623" s="243"/>
      <c r="CH623" s="243"/>
      <c r="CI623" s="243"/>
      <c r="CJ623" s="243"/>
      <c r="CK623" s="243"/>
      <c r="CL623" s="243"/>
      <c r="CM623" s="243"/>
      <c r="CN623" s="243"/>
      <c r="CO623" s="243"/>
      <c r="CP623" s="243"/>
      <c r="CQ623" s="243"/>
      <c r="CR623" s="243"/>
      <c r="CS623" s="243"/>
      <c r="CT623" s="243"/>
      <c r="CU623" s="243"/>
      <c r="CV623" s="243"/>
      <c r="CW623" s="243"/>
      <c r="CX623" s="243"/>
      <c r="CY623" s="243"/>
      <c r="CZ623" s="243"/>
      <c r="DA623" s="243"/>
      <c r="DB623" s="243"/>
      <c r="DC623" s="243"/>
      <c r="DD623" s="243"/>
      <c r="DE623" s="243"/>
      <c r="DF623" s="243"/>
      <c r="DG623" s="243"/>
      <c r="DH623" s="243"/>
      <c r="DI623" s="243"/>
      <c r="DJ623" s="243"/>
      <c r="DK623" s="243"/>
      <c r="DM623" s="242"/>
      <c r="DO623" s="243"/>
      <c r="DQ623" s="242"/>
      <c r="DS623" s="243"/>
      <c r="DU623" s="242"/>
      <c r="DW623" s="243"/>
      <c r="DY623" s="242"/>
      <c r="EA623" s="243"/>
    </row>
    <row r="624" spans="1:131">
      <c r="A624" s="20"/>
      <c r="B624" s="124" t="str">
        <f t="shared" si="582"/>
        <v/>
      </c>
      <c r="C624" s="235"/>
      <c r="D624" s="24">
        <f>'1% Wind'!$M$88</f>
        <v>10.1</v>
      </c>
      <c r="E624" s="90"/>
      <c r="F624" s="90"/>
      <c r="G624" s="79">
        <f ca="1">IF(I617=0.9743,$G623,MAX(G623/D623*D624,2))</f>
        <v>6.001707317073171</v>
      </c>
      <c r="H624" s="121" t="e">
        <f t="shared" ca="1" si="583"/>
        <v>#VALUE!</v>
      </c>
      <c r="J624" s="33"/>
      <c r="K624" s="242">
        <f t="shared" si="584"/>
        <v>1</v>
      </c>
      <c r="L624" s="241" t="e">
        <f t="shared" ca="1" si="585"/>
        <v>#VALUE!</v>
      </c>
      <c r="M624" s="243" t="e">
        <f ca="1">IF(AND(INDEX(FlowCalConstA,MATCH(J617,FlowCalNumber,0),1,1)*L624^INDEX(FlowCalConstB,MATCH(J617,FlowCalNumber,0),1,1)&gt;INDEX(FlowCalLowSetting,MATCH(J617,FlowCalNumber,0),1,1), (INDEX(FlowCalConstA,MATCH(J617,FlowCalNumber,0),1,1)*L624^INDEX(FlowCalConstB,MATCH(J617,FlowCalNumber,0),1,1)&lt;INDEX(FlowCalHighSetting,MATCH(J617,FlowCalNumber,0),1,1))),INDEX(FlowCalConstA,MATCH(J617,FlowCalNumber,0),1,1)*L624^INDEX(FlowCalConstB,MATCH(J617,FlowCalNumber,0),1,1)," ")</f>
        <v>#N/A</v>
      </c>
      <c r="N624" s="33"/>
      <c r="O624" s="242">
        <f t="shared" si="586"/>
        <v>1</v>
      </c>
      <c r="P624" s="241" t="e">
        <f t="shared" ca="1" si="587"/>
        <v>#VALUE!</v>
      </c>
      <c r="Q624" s="243" t="e">
        <f ca="1">IF(AND(INDEX(FlowCalConstA,MATCH(N617,FlowCalNumber,0),1,1)*P624^INDEX(FlowCalConstB,MATCH(N617,FlowCalNumber,0),1,1)&gt;INDEX(FlowCalLowSetting,MATCH(N617,FlowCalNumber,0),1,1), (INDEX(FlowCalConstA,MATCH(N617,FlowCalNumber,0),1,1)*P624^INDEX(FlowCalConstB,MATCH(N617,FlowCalNumber,0),1,1)&lt;INDEX(FlowCalHighSetting,MATCH(N617,FlowCalNumber,0),1,1))),INDEX(FlowCalConstA,MATCH(N617,FlowCalNumber,0),1,1)*P624^INDEX(FlowCalConstB,MATCH(N617,FlowCalNumber,0),1,1)," ")</f>
        <v>#N/A</v>
      </c>
      <c r="R624" s="33"/>
      <c r="S624" s="242">
        <f t="shared" si="588"/>
        <v>1</v>
      </c>
      <c r="T624" s="241" t="e">
        <f t="shared" ca="1" si="589"/>
        <v>#VALUE!</v>
      </c>
      <c r="U624" s="244" t="e">
        <f ca="1">IF(AND(INDEX(FlowCalConstA,MATCH(R617,FlowCalNumber,0),1,1)*T624^INDEX(FlowCalConstB,MATCH(R617,FlowCalNumber,0),1,1)&gt;INDEX(FlowCalLowSetting,MATCH(R617,FlowCalNumber,0),1,1), (INDEX(FlowCalConstA,MATCH(R617,FlowCalNumber,0),1,1)*T624^INDEX(FlowCalConstB,MATCH(R617,FlowCalNumber,0),1,1)&lt;INDEX(FlowCalHighSetting,MATCH(R617,FlowCalNumber,0),1,1))),INDEX(FlowCalConstA,MATCH(R617,FlowCalNumber,0),1,1)*T624^INDEX(FlowCalConstB,MATCH(R617,FlowCalNumber,0),1,1)," ")</f>
        <v>#N/A</v>
      </c>
      <c r="V624" s="33"/>
      <c r="W624" s="242">
        <f t="shared" si="590"/>
        <v>0.1</v>
      </c>
      <c r="X624" s="241" t="e">
        <f t="shared" ca="1" si="591"/>
        <v>#VALUE!</v>
      </c>
      <c r="Y624" s="243" t="e">
        <f ca="1">IF(AND(INDEX(FlowCalConstA,MATCH(V617,FlowCalNumber,0),1,1)*X624^INDEX(FlowCalConstB,MATCH(V617,FlowCalNumber,0),1,1)&gt;INDEX(FlowCalLowSetting,MATCH(V617,FlowCalNumber,0),1,1), (INDEX(FlowCalConstA,MATCH(V617,FlowCalNumber,0),1,1)*X624^INDEX(FlowCalConstB,MATCH(V617,FlowCalNumber,0),1,1)&lt;INDEX(FlowCalHighSetting,MATCH(V617,FlowCalNumber,0),1,1))),INDEX(FlowCalConstA,MATCH(V617,FlowCalNumber,0),1,1)*X624^INDEX(FlowCalConstB,MATCH(V617,FlowCalNumber,0),1,1)," ")</f>
        <v>#N/A</v>
      </c>
      <c r="Z624" s="33"/>
      <c r="AA624" s="242">
        <f t="shared" si="592"/>
        <v>0.9</v>
      </c>
      <c r="AB624" s="241" t="e">
        <f t="shared" ca="1" si="593"/>
        <v>#VALUE!</v>
      </c>
      <c r="AC624" s="243" t="e">
        <f ca="1">IF(AND(INDEX(FlowCalConstA,MATCH(Z617,FlowCalNumber,0),1,1)*AB624^INDEX(FlowCalConstB,MATCH(Z617,FlowCalNumber,0),1,1)&gt;INDEX(FlowCalLowSetting,MATCH(Z617,FlowCalNumber,0),1,1), (INDEX(FlowCalConstA,MATCH(Z617,FlowCalNumber,0),1,1)*AB624^INDEX(FlowCalConstB,MATCH(Z617,FlowCalNumber,0),1,1)&lt;INDEX(FlowCalHighSetting,MATCH(Z617,FlowCalNumber,0),1,1))),INDEX(FlowCalConstA,MATCH(Z617,FlowCalNumber,0),1,1)*AB624^INDEX(FlowCalConstB,MATCH(Z617,FlowCalNumber,0),1,1)," ")</f>
        <v>#N/A</v>
      </c>
      <c r="AD624" s="33"/>
      <c r="AE624" s="242">
        <f t="shared" si="594"/>
        <v>0.1</v>
      </c>
      <c r="AF624" s="241" t="e">
        <f t="shared" ca="1" si="595"/>
        <v>#VALUE!</v>
      </c>
      <c r="AG624" s="243" t="e">
        <f ca="1">IF(AND(INDEX(FlowCalConstA,MATCH(AD617,FlowCalNumber,0),1,1)*AF624^INDEX(FlowCalConstB,MATCH(AD617,FlowCalNumber,0),1,1)&gt;INDEX(FlowCalLowSetting,MATCH(AD617,FlowCalNumber,0),1,1), (INDEX(FlowCalConstA,MATCH(AD617,FlowCalNumber,0),1,1)*AF624^INDEX(FlowCalConstB,MATCH(AD617,FlowCalNumber,0),1,1)&lt;INDEX(FlowCalHighSetting,MATCH(AD617,FlowCalNumber,0),1,1))),INDEX(FlowCalConstA,MATCH(AD617,FlowCalNumber,0),1,1)*AF624^INDEX(FlowCalConstB,MATCH(AD617,FlowCalNumber,0),1,1)," ")</f>
        <v>#N/A</v>
      </c>
      <c r="AH624" s="33"/>
      <c r="AI624" s="242">
        <f t="shared" si="596"/>
        <v>0.9</v>
      </c>
      <c r="AJ624" s="241" t="e">
        <f t="shared" ca="1" si="597"/>
        <v>#VALUE!</v>
      </c>
      <c r="AK624" s="243" t="e">
        <f ca="1">IF(AND(INDEX(FlowCalConstA,MATCH(AH617,FlowCalNumber,0),1,1)*AJ624^INDEX(FlowCalConstB,MATCH(AH617,FlowCalNumber,0),1,1)&gt;INDEX(FlowCalLowSetting,MATCH(AH617,FlowCalNumber,0),1,1), (INDEX(FlowCalConstA,MATCH(AH617,FlowCalNumber,0),1,1)*AJ624^INDEX(FlowCalConstB,MATCH(AH617,FlowCalNumber,0),1,1)&lt;INDEX(FlowCalHighSetting,MATCH(AH617,FlowCalNumber,0),1,1))),INDEX(FlowCalConstA,MATCH(AH617,FlowCalNumber,0),1,1)*AJ624^INDEX(FlowCalConstB,MATCH(AH617,FlowCalNumber,0),1,1)," ")</f>
        <v>#N/A</v>
      </c>
      <c r="AL624" s="33"/>
      <c r="AM624" s="242"/>
      <c r="AN624" s="241"/>
      <c r="AO624" s="244"/>
      <c r="AQ624" s="242"/>
      <c r="AR624" s="241"/>
      <c r="AS624" s="244"/>
      <c r="AT624" s="33"/>
      <c r="AU624" s="242"/>
      <c r="AV624" s="241"/>
      <c r="AW624" s="244"/>
      <c r="AX624" s="33"/>
      <c r="AY624" s="242"/>
      <c r="AZ624" s="241"/>
      <c r="BA624" s="244"/>
      <c r="BB624" s="33"/>
      <c r="BC624" s="242"/>
      <c r="BD624" s="241"/>
      <c r="BE624" s="244"/>
      <c r="BF624" s="33"/>
      <c r="BG624" s="242"/>
      <c r="BH624" s="241"/>
      <c r="BI624" s="244"/>
      <c r="BJ624" s="33"/>
      <c r="BK624" s="242"/>
      <c r="BL624" s="241"/>
      <c r="BM624" s="244"/>
      <c r="BN624" s="33"/>
      <c r="BO624" s="242"/>
      <c r="BP624" s="241"/>
      <c r="BQ624" s="244"/>
      <c r="BR624" s="33"/>
      <c r="BS624" s="242"/>
      <c r="BT624" s="241"/>
      <c r="BU624" s="244"/>
      <c r="BV624" s="33"/>
      <c r="BW624" s="242"/>
      <c r="BX624" s="241"/>
      <c r="BY624" s="244"/>
      <c r="BZ624" s="33"/>
      <c r="CA624" s="242"/>
      <c r="CB624" s="241"/>
      <c r="CC624" s="244"/>
      <c r="CD624" s="243"/>
      <c r="CE624" s="243"/>
      <c r="CF624" s="243"/>
      <c r="CG624" s="243"/>
      <c r="CH624" s="243"/>
      <c r="CI624" s="243"/>
      <c r="CJ624" s="243"/>
      <c r="CK624" s="243"/>
      <c r="CL624" s="243"/>
      <c r="CM624" s="243"/>
      <c r="CN624" s="243"/>
      <c r="CO624" s="243"/>
      <c r="CP624" s="243"/>
      <c r="CQ624" s="243"/>
      <c r="CR624" s="243"/>
      <c r="CS624" s="243"/>
      <c r="CT624" s="243"/>
      <c r="CU624" s="243"/>
      <c r="CV624" s="243"/>
      <c r="CW624" s="243"/>
      <c r="CX624" s="243"/>
      <c r="CY624" s="243"/>
      <c r="CZ624" s="243"/>
      <c r="DA624" s="243"/>
      <c r="DB624" s="243"/>
      <c r="DC624" s="243"/>
      <c r="DD624" s="243"/>
      <c r="DE624" s="243"/>
      <c r="DF624" s="243"/>
      <c r="DG624" s="243"/>
      <c r="DH624" s="243"/>
      <c r="DI624" s="243"/>
      <c r="DJ624" s="243"/>
      <c r="DK624" s="243"/>
      <c r="DM624" s="242"/>
      <c r="DO624" s="243"/>
      <c r="DQ624" s="242"/>
      <c r="DS624" s="243"/>
      <c r="DU624" s="242"/>
      <c r="DW624" s="243"/>
      <c r="DY624" s="242"/>
      <c r="EA624" s="243"/>
    </row>
    <row r="625" spans="1:131">
      <c r="A625" s="20"/>
      <c r="B625" s="124" t="str">
        <f t="shared" si="582"/>
        <v/>
      </c>
      <c r="C625" s="235"/>
      <c r="D625" s="24">
        <f>'1% Wind'!$M$89</f>
        <v>7.6</v>
      </c>
      <c r="E625" s="90"/>
      <c r="F625" s="90"/>
      <c r="G625" s="79">
        <f ca="1">IF(I617=0.9743,$G624,MAX(G624/D624*D625,2))</f>
        <v>6.001707317073171</v>
      </c>
      <c r="H625" s="121" t="e">
        <f t="shared" ca="1" si="583"/>
        <v>#VALUE!</v>
      </c>
      <c r="J625" s="33"/>
      <c r="K625" s="242">
        <f t="shared" si="584"/>
        <v>1</v>
      </c>
      <c r="L625" s="241" t="e">
        <f t="shared" ca="1" si="585"/>
        <v>#VALUE!</v>
      </c>
      <c r="M625" s="243" t="e">
        <f ca="1">IF(AND(INDEX(FlowCalConstA,MATCH(J617,FlowCalNumber,0),1,1)*L625^INDEX(FlowCalConstB,MATCH(J617,FlowCalNumber,0),1,1)&gt;INDEX(FlowCalLowSetting,MATCH(J617,FlowCalNumber,0),1,1), (INDEX(FlowCalConstA,MATCH(J617,FlowCalNumber,0),1,1)*L625^INDEX(FlowCalConstB,MATCH(J617,FlowCalNumber,0),1,1)&lt;INDEX(FlowCalHighSetting,MATCH(J617,FlowCalNumber,0),1,1))),INDEX(FlowCalConstA,MATCH(J617,FlowCalNumber,0),1,1)*L625^INDEX(FlowCalConstB,MATCH(J617,FlowCalNumber,0),1,1)," ")</f>
        <v>#N/A</v>
      </c>
      <c r="N625" s="33"/>
      <c r="O625" s="242">
        <f t="shared" si="586"/>
        <v>1</v>
      </c>
      <c r="P625" s="241" t="e">
        <f t="shared" ca="1" si="587"/>
        <v>#VALUE!</v>
      </c>
      <c r="Q625" s="243" t="e">
        <f ca="1">IF(AND(INDEX(FlowCalConstA,MATCH(N617,FlowCalNumber,0),1,1)*P625^INDEX(FlowCalConstB,MATCH(N617,FlowCalNumber,0),1,1)&gt;INDEX(FlowCalLowSetting,MATCH(N617,FlowCalNumber,0),1,1), (INDEX(FlowCalConstA,MATCH(N617,FlowCalNumber,0),1,1)*P625^INDEX(FlowCalConstB,MATCH(N617,FlowCalNumber,0),1,1)&lt;INDEX(FlowCalHighSetting,MATCH(N617,FlowCalNumber,0),1,1))),INDEX(FlowCalConstA,MATCH(N617,FlowCalNumber,0),1,1)*P625^INDEX(FlowCalConstB,MATCH(N617,FlowCalNumber,0),1,1)," ")</f>
        <v>#N/A</v>
      </c>
      <c r="R625" s="33"/>
      <c r="S625" s="242">
        <f t="shared" si="588"/>
        <v>1</v>
      </c>
      <c r="T625" s="241" t="e">
        <f t="shared" ca="1" si="589"/>
        <v>#VALUE!</v>
      </c>
      <c r="U625" s="244" t="e">
        <f ca="1">IF(AND(INDEX(FlowCalConstA,MATCH(R617,FlowCalNumber,0),1,1)*T625^INDEX(FlowCalConstB,MATCH(R617,FlowCalNumber,0),1,1)&gt;INDEX(FlowCalLowSetting,MATCH(R617,FlowCalNumber,0),1,1), (INDEX(FlowCalConstA,MATCH(R617,FlowCalNumber,0),1,1)*T625^INDEX(FlowCalConstB,MATCH(R617,FlowCalNumber,0),1,1)&lt;INDEX(FlowCalHighSetting,MATCH(R617,FlowCalNumber,0),1,1))),INDEX(FlowCalConstA,MATCH(R617,FlowCalNumber,0),1,1)*T625^INDEX(FlowCalConstB,MATCH(R617,FlowCalNumber,0),1,1)," ")</f>
        <v>#N/A</v>
      </c>
      <c r="V625" s="33"/>
      <c r="W625" s="242">
        <f t="shared" si="590"/>
        <v>0.1</v>
      </c>
      <c r="X625" s="241" t="e">
        <f t="shared" ca="1" si="591"/>
        <v>#VALUE!</v>
      </c>
      <c r="Y625" s="243" t="e">
        <f ca="1">IF(AND(INDEX(FlowCalConstA,MATCH(V617,FlowCalNumber,0),1,1)*X625^INDEX(FlowCalConstB,MATCH(V617,FlowCalNumber,0),1,1)&gt;INDEX(FlowCalLowSetting,MATCH(V617,FlowCalNumber,0),1,1), (INDEX(FlowCalConstA,MATCH(V617,FlowCalNumber,0),1,1)*X625^INDEX(FlowCalConstB,MATCH(V617,FlowCalNumber,0),1,1)&lt;INDEX(FlowCalHighSetting,MATCH(V617,FlowCalNumber,0),1,1))),INDEX(FlowCalConstA,MATCH(V617,FlowCalNumber,0),1,1)*X625^INDEX(FlowCalConstB,MATCH(V617,FlowCalNumber,0),1,1)," ")</f>
        <v>#N/A</v>
      </c>
      <c r="Z625" s="33"/>
      <c r="AA625" s="242">
        <f t="shared" si="592"/>
        <v>0.9</v>
      </c>
      <c r="AB625" s="241" t="e">
        <f t="shared" ca="1" si="593"/>
        <v>#VALUE!</v>
      </c>
      <c r="AC625" s="243" t="e">
        <f ca="1">IF(AND(INDEX(FlowCalConstA,MATCH(Z617,FlowCalNumber,0),1,1)*AB625^INDEX(FlowCalConstB,MATCH(Z617,FlowCalNumber,0),1,1)&gt;INDEX(FlowCalLowSetting,MATCH(Z617,FlowCalNumber,0),1,1), (INDEX(FlowCalConstA,MATCH(Z617,FlowCalNumber,0),1,1)*AB625^INDEX(FlowCalConstB,MATCH(Z617,FlowCalNumber,0),1,1)&lt;INDEX(FlowCalHighSetting,MATCH(Z617,FlowCalNumber,0),1,1))),INDEX(FlowCalConstA,MATCH(Z617,FlowCalNumber,0),1,1)*AB625^INDEX(FlowCalConstB,MATCH(Z617,FlowCalNumber,0),1,1)," ")</f>
        <v>#N/A</v>
      </c>
      <c r="AD625" s="33"/>
      <c r="AE625" s="242">
        <f t="shared" si="594"/>
        <v>0.1</v>
      </c>
      <c r="AF625" s="241" t="e">
        <f t="shared" ca="1" si="595"/>
        <v>#VALUE!</v>
      </c>
      <c r="AG625" s="243" t="e">
        <f ca="1">IF(AND(INDEX(FlowCalConstA,MATCH(AD617,FlowCalNumber,0),1,1)*AF625^INDEX(FlowCalConstB,MATCH(AD617,FlowCalNumber,0),1,1)&gt;INDEX(FlowCalLowSetting,MATCH(AD617,FlowCalNumber,0),1,1), (INDEX(FlowCalConstA,MATCH(AD617,FlowCalNumber,0),1,1)*AF625^INDEX(FlowCalConstB,MATCH(AD617,FlowCalNumber,0),1,1)&lt;INDEX(FlowCalHighSetting,MATCH(AD617,FlowCalNumber,0),1,1))),INDEX(FlowCalConstA,MATCH(AD617,FlowCalNumber,0),1,1)*AF625^INDEX(FlowCalConstB,MATCH(AD617,FlowCalNumber,0),1,1)," ")</f>
        <v>#N/A</v>
      </c>
      <c r="AH625" s="33"/>
      <c r="AI625" s="242">
        <f t="shared" si="596"/>
        <v>0.9</v>
      </c>
      <c r="AJ625" s="241" t="e">
        <f t="shared" ca="1" si="597"/>
        <v>#VALUE!</v>
      </c>
      <c r="AK625" s="243" t="e">
        <f ca="1">IF(AND(INDEX(FlowCalConstA,MATCH(AH617,FlowCalNumber,0),1,1)*AJ625^INDEX(FlowCalConstB,MATCH(AH617,FlowCalNumber,0),1,1)&gt;INDEX(FlowCalLowSetting,MATCH(AH617,FlowCalNumber,0),1,1), (INDEX(FlowCalConstA,MATCH(AH617,FlowCalNumber,0),1,1)*AJ625^INDEX(FlowCalConstB,MATCH(AH617,FlowCalNumber,0),1,1)&lt;INDEX(FlowCalHighSetting,MATCH(AH617,FlowCalNumber,0),1,1))),INDEX(FlowCalConstA,MATCH(AH617,FlowCalNumber,0),1,1)*AJ625^INDEX(FlowCalConstB,MATCH(AH617,FlowCalNumber,0),1,1)," ")</f>
        <v>#N/A</v>
      </c>
      <c r="AL625" s="33"/>
      <c r="AM625" s="242"/>
      <c r="AN625" s="241"/>
      <c r="AO625" s="244"/>
      <c r="AQ625" s="242"/>
      <c r="AR625" s="241"/>
      <c r="AS625" s="244"/>
      <c r="AT625" s="33"/>
      <c r="AU625" s="242"/>
      <c r="AV625" s="241"/>
      <c r="AW625" s="244"/>
      <c r="AX625" s="33"/>
      <c r="AY625" s="242"/>
      <c r="AZ625" s="241"/>
      <c r="BA625" s="244"/>
      <c r="BB625" s="33"/>
      <c r="BC625" s="242"/>
      <c r="BD625" s="241"/>
      <c r="BE625" s="244"/>
      <c r="BF625" s="33"/>
      <c r="BG625" s="242"/>
      <c r="BH625" s="241"/>
      <c r="BI625" s="244"/>
      <c r="BJ625" s="33"/>
      <c r="BK625" s="242"/>
      <c r="BL625" s="241"/>
      <c r="BM625" s="244"/>
      <c r="BN625" s="33"/>
      <c r="BO625" s="242"/>
      <c r="BP625" s="241"/>
      <c r="BQ625" s="244"/>
      <c r="BR625" s="33"/>
      <c r="BS625" s="242"/>
      <c r="BT625" s="241"/>
      <c r="BU625" s="244"/>
      <c r="BV625" s="33"/>
      <c r="BW625" s="242"/>
      <c r="BX625" s="241"/>
      <c r="BY625" s="244"/>
      <c r="BZ625" s="33"/>
      <c r="CA625" s="242"/>
      <c r="CB625" s="241"/>
      <c r="CC625" s="244"/>
      <c r="CD625" s="243"/>
      <c r="CE625" s="243"/>
      <c r="CF625" s="243"/>
      <c r="CG625" s="243"/>
      <c r="CH625" s="243"/>
      <c r="CI625" s="243"/>
      <c r="CJ625" s="243"/>
      <c r="CK625" s="243"/>
      <c r="CL625" s="243"/>
      <c r="CM625" s="243"/>
      <c r="CN625" s="243"/>
      <c r="CO625" s="243"/>
      <c r="CP625" s="243"/>
      <c r="CQ625" s="243"/>
      <c r="CR625" s="243"/>
      <c r="CS625" s="243"/>
      <c r="CT625" s="243"/>
      <c r="CU625" s="243"/>
      <c r="CV625" s="243"/>
      <c r="CW625" s="243"/>
      <c r="CX625" s="243"/>
      <c r="CY625" s="243"/>
      <c r="CZ625" s="243"/>
      <c r="DA625" s="243"/>
      <c r="DB625" s="243"/>
      <c r="DC625" s="243"/>
      <c r="DD625" s="243"/>
      <c r="DE625" s="243"/>
      <c r="DF625" s="243"/>
      <c r="DG625" s="243"/>
      <c r="DH625" s="243"/>
      <c r="DI625" s="243"/>
      <c r="DJ625" s="243"/>
      <c r="DK625" s="243"/>
      <c r="DM625" s="242"/>
      <c r="DO625" s="243"/>
      <c r="DQ625" s="242"/>
      <c r="DS625" s="243"/>
      <c r="DU625" s="242"/>
      <c r="DW625" s="243"/>
      <c r="DY625" s="242"/>
      <c r="EA625" s="243"/>
    </row>
    <row r="626" spans="1:131">
      <c r="A626" s="20"/>
      <c r="B626" s="124" t="str">
        <f t="shared" si="582"/>
        <v/>
      </c>
      <c r="C626" s="235"/>
      <c r="D626" s="24">
        <f>'1% Wind'!$M$90</f>
        <v>5.7</v>
      </c>
      <c r="E626" s="90"/>
      <c r="F626" s="90"/>
      <c r="G626" s="79">
        <f ca="1">IF(I617=0.9743,$G625,MAX(G625/D625*D626,2))</f>
        <v>6.001707317073171</v>
      </c>
      <c r="H626" s="121" t="e">
        <f t="shared" ca="1" si="583"/>
        <v>#VALUE!</v>
      </c>
      <c r="J626" s="33"/>
      <c r="K626" s="242">
        <f t="shared" si="584"/>
        <v>1</v>
      </c>
      <c r="L626" s="241" t="e">
        <f t="shared" ca="1" si="585"/>
        <v>#VALUE!</v>
      </c>
      <c r="M626" s="243" t="e">
        <f ca="1">IF(AND(INDEX(FlowCalConstA,MATCH(J617,FlowCalNumber,0),1,1)*L626^INDEX(FlowCalConstB,MATCH(J617,FlowCalNumber,0),1,1)&gt;INDEX(FlowCalLowSetting,MATCH(J617,FlowCalNumber,0),1,1), (INDEX(FlowCalConstA,MATCH(J617,FlowCalNumber,0),1,1)*L626^INDEX(FlowCalConstB,MATCH(J617,FlowCalNumber,0),1,1)&lt;INDEX(FlowCalHighSetting,MATCH(J617,FlowCalNumber,0),1,1))),INDEX(FlowCalConstA,MATCH(J617,FlowCalNumber,0),1,1)*L626^INDEX(FlowCalConstB,MATCH(J617,FlowCalNumber,0),1,1)," ")</f>
        <v>#N/A</v>
      </c>
      <c r="N626" s="33"/>
      <c r="O626" s="242">
        <f t="shared" si="586"/>
        <v>1</v>
      </c>
      <c r="P626" s="241" t="e">
        <f t="shared" ca="1" si="587"/>
        <v>#VALUE!</v>
      </c>
      <c r="Q626" s="243" t="e">
        <f ca="1">IF(AND(INDEX(FlowCalConstA,MATCH(N617,FlowCalNumber,0),1,1)*P626^INDEX(FlowCalConstB,MATCH(N617,FlowCalNumber,0),1,1)&gt;INDEX(FlowCalLowSetting,MATCH(N617,FlowCalNumber,0),1,1), (INDEX(FlowCalConstA,MATCH(N617,FlowCalNumber,0),1,1)*P626^INDEX(FlowCalConstB,MATCH(N617,FlowCalNumber,0),1,1)&lt;INDEX(FlowCalHighSetting,MATCH(N617,FlowCalNumber,0),1,1))),INDEX(FlowCalConstA,MATCH(N617,FlowCalNumber,0),1,1)*P626^INDEX(FlowCalConstB,MATCH(N617,FlowCalNumber,0),1,1)," ")</f>
        <v>#N/A</v>
      </c>
      <c r="R626" s="33"/>
      <c r="S626" s="242">
        <f t="shared" si="588"/>
        <v>1</v>
      </c>
      <c r="T626" s="241" t="e">
        <f t="shared" ca="1" si="589"/>
        <v>#VALUE!</v>
      </c>
      <c r="U626" s="244" t="e">
        <f ca="1">IF(AND(INDEX(FlowCalConstA,MATCH(R617,FlowCalNumber,0),1,1)*T626^INDEX(FlowCalConstB,MATCH(R617,FlowCalNumber,0),1,1)&gt;INDEX(FlowCalLowSetting,MATCH(R617,FlowCalNumber,0),1,1), (INDEX(FlowCalConstA,MATCH(R617,FlowCalNumber,0),1,1)*T626^INDEX(FlowCalConstB,MATCH(R617,FlowCalNumber,0),1,1)&lt;INDEX(FlowCalHighSetting,MATCH(R617,FlowCalNumber,0),1,1))),INDEX(FlowCalConstA,MATCH(R617,FlowCalNumber,0),1,1)*T626^INDEX(FlowCalConstB,MATCH(R617,FlowCalNumber,0),1,1)," ")</f>
        <v>#N/A</v>
      </c>
      <c r="V626" s="33"/>
      <c r="W626" s="242">
        <f t="shared" si="590"/>
        <v>0.1</v>
      </c>
      <c r="X626" s="241" t="e">
        <f t="shared" ca="1" si="591"/>
        <v>#VALUE!</v>
      </c>
      <c r="Y626" s="243" t="e">
        <f ca="1">IF(AND(INDEX(FlowCalConstA,MATCH(V617,FlowCalNumber,0),1,1)*X626^INDEX(FlowCalConstB,MATCH(V617,FlowCalNumber,0),1,1)&gt;INDEX(FlowCalLowSetting,MATCH(V617,FlowCalNumber,0),1,1), (INDEX(FlowCalConstA,MATCH(V617,FlowCalNumber,0),1,1)*X626^INDEX(FlowCalConstB,MATCH(V617,FlowCalNumber,0),1,1)&lt;INDEX(FlowCalHighSetting,MATCH(V617,FlowCalNumber,0),1,1))),INDEX(FlowCalConstA,MATCH(V617,FlowCalNumber,0),1,1)*X626^INDEX(FlowCalConstB,MATCH(V617,FlowCalNumber,0),1,1)," ")</f>
        <v>#N/A</v>
      </c>
      <c r="Z626" s="33"/>
      <c r="AA626" s="242">
        <f t="shared" si="592"/>
        <v>0.9</v>
      </c>
      <c r="AB626" s="241" t="e">
        <f t="shared" ca="1" si="593"/>
        <v>#VALUE!</v>
      </c>
      <c r="AC626" s="243" t="e">
        <f ca="1">IF(AND(INDEX(FlowCalConstA,MATCH(Z617,FlowCalNumber,0),1,1)*AB626^INDEX(FlowCalConstB,MATCH(Z617,FlowCalNumber,0),1,1)&gt;INDEX(FlowCalLowSetting,MATCH(Z617,FlowCalNumber,0),1,1), (INDEX(FlowCalConstA,MATCH(Z617,FlowCalNumber,0),1,1)*AB626^INDEX(FlowCalConstB,MATCH(Z617,FlowCalNumber,0),1,1)&lt;INDEX(FlowCalHighSetting,MATCH(Z617,FlowCalNumber,0),1,1))),INDEX(FlowCalConstA,MATCH(Z617,FlowCalNumber,0),1,1)*AB626^INDEX(FlowCalConstB,MATCH(Z617,FlowCalNumber,0),1,1)," ")</f>
        <v>#N/A</v>
      </c>
      <c r="AD626" s="33"/>
      <c r="AE626" s="242">
        <f t="shared" si="594"/>
        <v>0.1</v>
      </c>
      <c r="AF626" s="241" t="e">
        <f t="shared" ca="1" si="595"/>
        <v>#VALUE!</v>
      </c>
      <c r="AG626" s="243" t="e">
        <f ca="1">IF(AND(INDEX(FlowCalConstA,MATCH(AD617,FlowCalNumber,0),1,1)*AF626^INDEX(FlowCalConstB,MATCH(AD617,FlowCalNumber,0),1,1)&gt;INDEX(FlowCalLowSetting,MATCH(AD617,FlowCalNumber,0),1,1), (INDEX(FlowCalConstA,MATCH(AD617,FlowCalNumber,0),1,1)*AF626^INDEX(FlowCalConstB,MATCH(AD617,FlowCalNumber,0),1,1)&lt;INDEX(FlowCalHighSetting,MATCH(AD617,FlowCalNumber,0),1,1))),INDEX(FlowCalConstA,MATCH(AD617,FlowCalNumber,0),1,1)*AF626^INDEX(FlowCalConstB,MATCH(AD617,FlowCalNumber,0),1,1)," ")</f>
        <v>#N/A</v>
      </c>
      <c r="AH626" s="33"/>
      <c r="AI626" s="242">
        <f t="shared" si="596"/>
        <v>0.9</v>
      </c>
      <c r="AJ626" s="241" t="e">
        <f t="shared" ca="1" si="597"/>
        <v>#VALUE!</v>
      </c>
      <c r="AK626" s="243" t="e">
        <f ca="1">IF(AND(INDEX(FlowCalConstA,MATCH(AH617,FlowCalNumber,0),1,1)*AJ626^INDEX(FlowCalConstB,MATCH(AH617,FlowCalNumber,0),1,1)&gt;INDEX(FlowCalLowSetting,MATCH(AH617,FlowCalNumber,0),1,1), (INDEX(FlowCalConstA,MATCH(AH617,FlowCalNumber,0),1,1)*AJ626^INDEX(FlowCalConstB,MATCH(AH617,FlowCalNumber,0),1,1)&lt;INDEX(FlowCalHighSetting,MATCH(AH617,FlowCalNumber,0),1,1))),INDEX(FlowCalConstA,MATCH(AH617,FlowCalNumber,0),1,1)*AJ626^INDEX(FlowCalConstB,MATCH(AH617,FlowCalNumber,0),1,1)," ")</f>
        <v>#N/A</v>
      </c>
      <c r="AL626" s="33"/>
      <c r="AM626" s="242"/>
      <c r="AN626" s="241"/>
      <c r="AO626" s="244"/>
      <c r="AQ626" s="242"/>
      <c r="AR626" s="241"/>
      <c r="AS626" s="244"/>
      <c r="AT626" s="33"/>
      <c r="AU626" s="242"/>
      <c r="AV626" s="241"/>
      <c r="AW626" s="244"/>
      <c r="AX626" s="33"/>
      <c r="AY626" s="242"/>
      <c r="AZ626" s="241"/>
      <c r="BA626" s="244"/>
      <c r="BB626" s="33"/>
      <c r="BC626" s="242"/>
      <c r="BD626" s="241"/>
      <c r="BE626" s="244"/>
      <c r="BF626" s="33"/>
      <c r="BG626" s="242"/>
      <c r="BH626" s="241"/>
      <c r="BI626" s="244"/>
      <c r="BJ626" s="33"/>
      <c r="BK626" s="242"/>
      <c r="BL626" s="241"/>
      <c r="BM626" s="244"/>
      <c r="BN626" s="33"/>
      <c r="BO626" s="242"/>
      <c r="BP626" s="241"/>
      <c r="BQ626" s="244"/>
      <c r="BR626" s="33"/>
      <c r="BS626" s="242"/>
      <c r="BT626" s="241"/>
      <c r="BU626" s="244"/>
      <c r="BV626" s="33"/>
      <c r="BW626" s="242"/>
      <c r="BX626" s="241"/>
      <c r="BY626" s="244"/>
      <c r="BZ626" s="33"/>
      <c r="CA626" s="242"/>
      <c r="CB626" s="241"/>
      <c r="CC626" s="244"/>
      <c r="CD626" s="243"/>
      <c r="CE626" s="243"/>
      <c r="CF626" s="243"/>
      <c r="CG626" s="243"/>
      <c r="CH626" s="243"/>
      <c r="CI626" s="243"/>
      <c r="CJ626" s="243"/>
      <c r="CK626" s="243"/>
      <c r="CL626" s="243"/>
      <c r="CM626" s="243"/>
      <c r="CN626" s="243"/>
      <c r="CO626" s="243"/>
      <c r="CP626" s="243"/>
      <c r="CQ626" s="243"/>
      <c r="CR626" s="243"/>
      <c r="CS626" s="243"/>
      <c r="CT626" s="243"/>
      <c r="CU626" s="243"/>
      <c r="CV626" s="243"/>
      <c r="CW626" s="243"/>
      <c r="CX626" s="243"/>
      <c r="CY626" s="243"/>
      <c r="CZ626" s="243"/>
      <c r="DA626" s="243"/>
      <c r="DB626" s="243"/>
      <c r="DC626" s="243"/>
      <c r="DD626" s="243"/>
      <c r="DE626" s="243"/>
      <c r="DF626" s="243"/>
      <c r="DG626" s="243"/>
      <c r="DH626" s="243"/>
      <c r="DI626" s="243"/>
      <c r="DJ626" s="243"/>
      <c r="DK626" s="243"/>
      <c r="DM626" s="242"/>
      <c r="DO626" s="243"/>
      <c r="DQ626" s="242"/>
      <c r="DS626" s="243"/>
      <c r="DU626" s="242"/>
      <c r="DW626" s="243"/>
      <c r="DY626" s="242"/>
      <c r="EA626" s="243"/>
    </row>
    <row r="627" spans="1:131">
      <c r="A627" s="20"/>
      <c r="B627" s="124" t="str">
        <f t="shared" si="582"/>
        <v/>
      </c>
      <c r="C627" s="235"/>
      <c r="D627" s="24">
        <f>'1% Wind'!$M$91</f>
        <v>4.2</v>
      </c>
      <c r="E627" s="90"/>
      <c r="F627" s="90"/>
      <c r="G627" s="79">
        <f ca="1">IF(I617=0.9743,$G626,MAX(G626/D626*D627,2))</f>
        <v>6.001707317073171</v>
      </c>
      <c r="H627" s="121" t="e">
        <f t="shared" ca="1" si="583"/>
        <v>#VALUE!</v>
      </c>
      <c r="J627" s="33"/>
      <c r="K627" s="242">
        <f t="shared" si="584"/>
        <v>1</v>
      </c>
      <c r="L627" s="241" t="e">
        <f t="shared" ca="1" si="585"/>
        <v>#VALUE!</v>
      </c>
      <c r="M627" s="243" t="e">
        <f ca="1">IF(AND(INDEX(FlowCalConstA,MATCH(J617,FlowCalNumber,0),1,1)*L627^INDEX(FlowCalConstB,MATCH(J617,FlowCalNumber,0),1,1)&gt;INDEX(FlowCalLowSetting,MATCH(J617,FlowCalNumber,0),1,1), (INDEX(FlowCalConstA,MATCH(J617,FlowCalNumber,0),1,1)*L627^INDEX(FlowCalConstB,MATCH(J617,FlowCalNumber,0),1,1)&lt;INDEX(FlowCalHighSetting,MATCH(J617,FlowCalNumber,0),1,1))),INDEX(FlowCalConstA,MATCH(J617,FlowCalNumber,0),1,1)*L627^INDEX(FlowCalConstB,MATCH(J617,FlowCalNumber,0),1,1)," ")</f>
        <v>#N/A</v>
      </c>
      <c r="N627" s="33"/>
      <c r="O627" s="242">
        <f t="shared" si="586"/>
        <v>1</v>
      </c>
      <c r="P627" s="241" t="e">
        <f t="shared" ca="1" si="587"/>
        <v>#VALUE!</v>
      </c>
      <c r="Q627" s="243" t="e">
        <f ca="1">IF(AND(INDEX(FlowCalConstA,MATCH(N617,FlowCalNumber,0),1,1)*P627^INDEX(FlowCalConstB,MATCH(N617,FlowCalNumber,0),1,1)&gt;INDEX(FlowCalLowSetting,MATCH(N617,FlowCalNumber,0),1,1), (INDEX(FlowCalConstA,MATCH(N617,FlowCalNumber,0),1,1)*P627^INDEX(FlowCalConstB,MATCH(N617,FlowCalNumber,0),1,1)&lt;INDEX(FlowCalHighSetting,MATCH(N617,FlowCalNumber,0),1,1))),INDEX(FlowCalConstA,MATCH(N617,FlowCalNumber,0),1,1)*P627^INDEX(FlowCalConstB,MATCH(N617,FlowCalNumber,0),1,1)," ")</f>
        <v>#N/A</v>
      </c>
      <c r="R627" s="33"/>
      <c r="S627" s="242">
        <f t="shared" si="588"/>
        <v>1</v>
      </c>
      <c r="T627" s="241" t="e">
        <f t="shared" ca="1" si="589"/>
        <v>#VALUE!</v>
      </c>
      <c r="U627" s="244" t="e">
        <f ca="1">IF(AND(INDEX(FlowCalConstA,MATCH(R617,FlowCalNumber,0),1,1)*T627^INDEX(FlowCalConstB,MATCH(R617,FlowCalNumber,0),1,1)&gt;INDEX(FlowCalLowSetting,MATCH(R617,FlowCalNumber,0),1,1), (INDEX(FlowCalConstA,MATCH(R617,FlowCalNumber,0),1,1)*T627^INDEX(FlowCalConstB,MATCH(R617,FlowCalNumber,0),1,1)&lt;INDEX(FlowCalHighSetting,MATCH(R617,FlowCalNumber,0),1,1))),INDEX(FlowCalConstA,MATCH(R617,FlowCalNumber,0),1,1)*T627^INDEX(FlowCalConstB,MATCH(R617,FlowCalNumber,0),1,1)," ")</f>
        <v>#N/A</v>
      </c>
      <c r="V627" s="33"/>
      <c r="W627" s="242">
        <f t="shared" si="590"/>
        <v>0.1</v>
      </c>
      <c r="X627" s="241" t="e">
        <f t="shared" ca="1" si="591"/>
        <v>#VALUE!</v>
      </c>
      <c r="Y627" s="243" t="e">
        <f ca="1">IF(AND(INDEX(FlowCalConstA,MATCH(V617,FlowCalNumber,0),1,1)*X627^INDEX(FlowCalConstB,MATCH(V617,FlowCalNumber,0),1,1)&gt;INDEX(FlowCalLowSetting,MATCH(V617,FlowCalNumber,0),1,1), (INDEX(FlowCalConstA,MATCH(V617,FlowCalNumber,0),1,1)*X627^INDEX(FlowCalConstB,MATCH(V617,FlowCalNumber,0),1,1)&lt;INDEX(FlowCalHighSetting,MATCH(V617,FlowCalNumber,0),1,1))),INDEX(FlowCalConstA,MATCH(V617,FlowCalNumber,0),1,1)*X627^INDEX(FlowCalConstB,MATCH(V617,FlowCalNumber,0),1,1)," ")</f>
        <v>#N/A</v>
      </c>
      <c r="Z627" s="33"/>
      <c r="AA627" s="242">
        <f t="shared" si="592"/>
        <v>0.9</v>
      </c>
      <c r="AB627" s="241" t="e">
        <f t="shared" ca="1" si="593"/>
        <v>#VALUE!</v>
      </c>
      <c r="AC627" s="243" t="e">
        <f ca="1">IF(AND(INDEX(FlowCalConstA,MATCH(Z617,FlowCalNumber,0),1,1)*AB627^INDEX(FlowCalConstB,MATCH(Z617,FlowCalNumber,0),1,1)&gt;INDEX(FlowCalLowSetting,MATCH(Z617,FlowCalNumber,0),1,1), (INDEX(FlowCalConstA,MATCH(Z617,FlowCalNumber,0),1,1)*AB627^INDEX(FlowCalConstB,MATCH(Z617,FlowCalNumber,0),1,1)&lt;INDEX(FlowCalHighSetting,MATCH(Z617,FlowCalNumber,0),1,1))),INDEX(FlowCalConstA,MATCH(Z617,FlowCalNumber,0),1,1)*AB627^INDEX(FlowCalConstB,MATCH(Z617,FlowCalNumber,0),1,1)," ")</f>
        <v>#N/A</v>
      </c>
      <c r="AD627" s="33"/>
      <c r="AE627" s="242">
        <f t="shared" si="594"/>
        <v>0.1</v>
      </c>
      <c r="AF627" s="241" t="e">
        <f t="shared" ca="1" si="595"/>
        <v>#VALUE!</v>
      </c>
      <c r="AG627" s="243" t="e">
        <f ca="1">IF(AND(INDEX(FlowCalConstA,MATCH(AD617,FlowCalNumber,0),1,1)*AF627^INDEX(FlowCalConstB,MATCH(AD617,FlowCalNumber,0),1,1)&gt;INDEX(FlowCalLowSetting,MATCH(AD617,FlowCalNumber,0),1,1), (INDEX(FlowCalConstA,MATCH(AD617,FlowCalNumber,0),1,1)*AF627^INDEX(FlowCalConstB,MATCH(AD617,FlowCalNumber,0),1,1)&lt;INDEX(FlowCalHighSetting,MATCH(AD617,FlowCalNumber,0),1,1))),INDEX(FlowCalConstA,MATCH(AD617,FlowCalNumber,0),1,1)*AF627^INDEX(FlowCalConstB,MATCH(AD617,FlowCalNumber,0),1,1)," ")</f>
        <v>#N/A</v>
      </c>
      <c r="AH627" s="33"/>
      <c r="AI627" s="242">
        <f t="shared" si="596"/>
        <v>0.9</v>
      </c>
      <c r="AJ627" s="241" t="e">
        <f t="shared" ca="1" si="597"/>
        <v>#VALUE!</v>
      </c>
      <c r="AK627" s="243" t="e">
        <f ca="1">IF(AND(INDEX(FlowCalConstA,MATCH(AH617,FlowCalNumber,0),1,1)*AJ627^INDEX(FlowCalConstB,MATCH(AH617,FlowCalNumber,0),1,1)&gt;INDEX(FlowCalLowSetting,MATCH(AH617,FlowCalNumber,0),1,1), (INDEX(FlowCalConstA,MATCH(AH617,FlowCalNumber,0),1,1)*AJ627^INDEX(FlowCalConstB,MATCH(AH617,FlowCalNumber,0),1,1)&lt;INDEX(FlowCalHighSetting,MATCH(AH617,FlowCalNumber,0),1,1))),INDEX(FlowCalConstA,MATCH(AH617,FlowCalNumber,0),1,1)*AJ627^INDEX(FlowCalConstB,MATCH(AH617,FlowCalNumber,0),1,1)," ")</f>
        <v>#N/A</v>
      </c>
      <c r="AL627" s="33"/>
      <c r="AM627" s="242"/>
      <c r="AN627" s="241"/>
      <c r="AO627" s="244"/>
      <c r="AQ627" s="242"/>
      <c r="AR627" s="241"/>
      <c r="AS627" s="244"/>
      <c r="AT627" s="33"/>
      <c r="AU627" s="242"/>
      <c r="AV627" s="241"/>
      <c r="AW627" s="244"/>
      <c r="AX627" s="33"/>
      <c r="AY627" s="242"/>
      <c r="AZ627" s="241"/>
      <c r="BA627" s="244"/>
      <c r="BB627" s="33"/>
      <c r="BC627" s="242"/>
      <c r="BD627" s="241"/>
      <c r="BE627" s="244"/>
      <c r="BF627" s="33"/>
      <c r="BG627" s="242"/>
      <c r="BH627" s="241"/>
      <c r="BI627" s="244"/>
      <c r="BJ627" s="33"/>
      <c r="BK627" s="242"/>
      <c r="BL627" s="241"/>
      <c r="BM627" s="244"/>
      <c r="BN627" s="33"/>
      <c r="BO627" s="242"/>
      <c r="BP627" s="241"/>
      <c r="BQ627" s="244"/>
      <c r="BR627" s="33"/>
      <c r="BS627" s="242"/>
      <c r="BT627" s="241"/>
      <c r="BU627" s="244"/>
      <c r="BV627" s="33"/>
      <c r="BW627" s="242"/>
      <c r="BX627" s="241"/>
      <c r="BY627" s="244"/>
      <c r="BZ627" s="33"/>
      <c r="CA627" s="242"/>
      <c r="CB627" s="241"/>
      <c r="CC627" s="244"/>
      <c r="CD627" s="243"/>
      <c r="CE627" s="243"/>
      <c r="CF627" s="243"/>
      <c r="CG627" s="243"/>
      <c r="CH627" s="243"/>
      <c r="CI627" s="243"/>
      <c r="CJ627" s="243"/>
      <c r="CK627" s="243"/>
      <c r="CL627" s="243"/>
      <c r="CM627" s="243"/>
      <c r="CN627" s="243"/>
      <c r="CO627" s="243"/>
      <c r="CP627" s="243"/>
      <c r="CQ627" s="243"/>
      <c r="CR627" s="243"/>
      <c r="CS627" s="243"/>
      <c r="CT627" s="243"/>
      <c r="CU627" s="243"/>
      <c r="CV627" s="243"/>
      <c r="CW627" s="243"/>
      <c r="CX627" s="243"/>
      <c r="CY627" s="243"/>
      <c r="CZ627" s="243"/>
      <c r="DA627" s="243"/>
      <c r="DB627" s="243"/>
      <c r="DC627" s="243"/>
      <c r="DD627" s="243"/>
      <c r="DE627" s="243"/>
      <c r="DF627" s="243"/>
      <c r="DG627" s="243"/>
      <c r="DH627" s="243"/>
      <c r="DI627" s="243"/>
      <c r="DJ627" s="243"/>
      <c r="DK627" s="243"/>
      <c r="DM627" s="242"/>
      <c r="DO627" s="243"/>
      <c r="DQ627" s="242"/>
      <c r="DS627" s="243"/>
      <c r="DU627" s="242"/>
      <c r="DW627" s="243"/>
      <c r="DY627" s="242"/>
      <c r="EA627" s="243"/>
    </row>
    <row r="628" spans="1:131">
      <c r="A628" s="20"/>
      <c r="B628" s="124" t="str">
        <f t="shared" si="582"/>
        <v/>
      </c>
      <c r="C628" s="235"/>
      <c r="D628" s="24">
        <f>'1% Wind'!$M$92</f>
        <v>3.2</v>
      </c>
      <c r="E628" s="90"/>
      <c r="F628" s="90"/>
      <c r="G628" s="79">
        <f ca="1">IF(I617=0.9743,$G627,MAX(G627/D627*D628,2))</f>
        <v>6.001707317073171</v>
      </c>
      <c r="H628" s="121" t="e">
        <f t="shared" ca="1" si="583"/>
        <v>#VALUE!</v>
      </c>
      <c r="J628" s="33"/>
      <c r="K628" s="242">
        <f t="shared" si="584"/>
        <v>1</v>
      </c>
      <c r="L628" s="241" t="e">
        <f t="shared" ca="1" si="585"/>
        <v>#VALUE!</v>
      </c>
      <c r="M628" s="243" t="e">
        <f ca="1">IF(AND(INDEX(FlowCalConstA,MATCH(J617,FlowCalNumber,0),1,1)*L628^INDEX(FlowCalConstB,MATCH(J617,FlowCalNumber,0),1,1)&gt;INDEX(FlowCalLowSetting,MATCH(J617,FlowCalNumber,0),1,1), (INDEX(FlowCalConstA,MATCH(J617,FlowCalNumber,0),1,1)*L628^INDEX(FlowCalConstB,MATCH(J617,FlowCalNumber,0),1,1)&lt;INDEX(FlowCalHighSetting,MATCH(J617,FlowCalNumber,0),1,1))),INDEX(FlowCalConstA,MATCH(J617,FlowCalNumber,0),1,1)*L628^INDEX(FlowCalConstB,MATCH(J617,FlowCalNumber,0),1,1)," ")</f>
        <v>#N/A</v>
      </c>
      <c r="N628" s="33"/>
      <c r="O628" s="242">
        <f t="shared" si="586"/>
        <v>1</v>
      </c>
      <c r="P628" s="241" t="e">
        <f t="shared" ca="1" si="587"/>
        <v>#VALUE!</v>
      </c>
      <c r="Q628" s="243" t="e">
        <f ca="1">IF(AND(INDEX(FlowCalConstA,MATCH(N617,FlowCalNumber,0),1,1)*P628^INDEX(FlowCalConstB,MATCH(N617,FlowCalNumber,0),1,1)&gt;INDEX(FlowCalLowSetting,MATCH(N617,FlowCalNumber,0),1,1), (INDEX(FlowCalConstA,MATCH(N617,FlowCalNumber,0),1,1)*P628^INDEX(FlowCalConstB,MATCH(N617,FlowCalNumber,0),1,1)&lt;INDEX(FlowCalHighSetting,MATCH(N617,FlowCalNumber,0),1,1))),INDEX(FlowCalConstA,MATCH(N617,FlowCalNumber,0),1,1)*P628^INDEX(FlowCalConstB,MATCH(N617,FlowCalNumber,0),1,1)," ")</f>
        <v>#N/A</v>
      </c>
      <c r="R628" s="33"/>
      <c r="S628" s="242">
        <f t="shared" si="588"/>
        <v>1</v>
      </c>
      <c r="T628" s="241" t="e">
        <f t="shared" ca="1" si="589"/>
        <v>#VALUE!</v>
      </c>
      <c r="U628" s="244" t="e">
        <f ca="1">IF(AND(INDEX(FlowCalConstA,MATCH(R617,FlowCalNumber,0),1,1)*T628^INDEX(FlowCalConstB,MATCH(R617,FlowCalNumber,0),1,1)&gt;INDEX(FlowCalLowSetting,MATCH(R617,FlowCalNumber,0),1,1), (INDEX(FlowCalConstA,MATCH(R617,FlowCalNumber,0),1,1)*T628^INDEX(FlowCalConstB,MATCH(R617,FlowCalNumber,0),1,1)&lt;INDEX(FlowCalHighSetting,MATCH(R617,FlowCalNumber,0),1,1))),INDEX(FlowCalConstA,MATCH(R617,FlowCalNumber,0),1,1)*T628^INDEX(FlowCalConstB,MATCH(R617,FlowCalNumber,0),1,1)," ")</f>
        <v>#N/A</v>
      </c>
      <c r="V628" s="33"/>
      <c r="W628" s="242">
        <f t="shared" si="590"/>
        <v>0.1</v>
      </c>
      <c r="X628" s="241" t="e">
        <f t="shared" ca="1" si="591"/>
        <v>#VALUE!</v>
      </c>
      <c r="Y628" s="243" t="e">
        <f ca="1">IF(AND(INDEX(FlowCalConstA,MATCH(V617,FlowCalNumber,0),1,1)*X628^INDEX(FlowCalConstB,MATCH(V617,FlowCalNumber,0),1,1)&gt;INDEX(FlowCalLowSetting,MATCH(V617,FlowCalNumber,0),1,1), (INDEX(FlowCalConstA,MATCH(V617,FlowCalNumber,0),1,1)*X628^INDEX(FlowCalConstB,MATCH(V617,FlowCalNumber,0),1,1)&lt;INDEX(FlowCalHighSetting,MATCH(V617,FlowCalNumber,0),1,1))),INDEX(FlowCalConstA,MATCH(V617,FlowCalNumber,0),1,1)*X628^INDEX(FlowCalConstB,MATCH(V617,FlowCalNumber,0),1,1)," ")</f>
        <v>#N/A</v>
      </c>
      <c r="Z628" s="33"/>
      <c r="AA628" s="242">
        <f t="shared" si="592"/>
        <v>0.9</v>
      </c>
      <c r="AB628" s="241" t="e">
        <f t="shared" ca="1" si="593"/>
        <v>#VALUE!</v>
      </c>
      <c r="AC628" s="243" t="e">
        <f ca="1">IF(AND(INDEX(FlowCalConstA,MATCH(Z617,FlowCalNumber,0),1,1)*AB628^INDEX(FlowCalConstB,MATCH(Z617,FlowCalNumber,0),1,1)&gt;INDEX(FlowCalLowSetting,MATCH(Z617,FlowCalNumber,0),1,1), (INDEX(FlowCalConstA,MATCH(Z617,FlowCalNumber,0),1,1)*AB628^INDEX(FlowCalConstB,MATCH(Z617,FlowCalNumber,0),1,1)&lt;INDEX(FlowCalHighSetting,MATCH(Z617,FlowCalNumber,0),1,1))),INDEX(FlowCalConstA,MATCH(Z617,FlowCalNumber,0),1,1)*AB628^INDEX(FlowCalConstB,MATCH(Z617,FlowCalNumber,0),1,1)," ")</f>
        <v>#N/A</v>
      </c>
      <c r="AD628" s="33"/>
      <c r="AE628" s="242">
        <f t="shared" si="594"/>
        <v>0.1</v>
      </c>
      <c r="AF628" s="241" t="e">
        <f t="shared" ca="1" si="595"/>
        <v>#VALUE!</v>
      </c>
      <c r="AG628" s="243" t="e">
        <f ca="1">IF(AND(INDEX(FlowCalConstA,MATCH(AD617,FlowCalNumber,0),1,1)*AF628^INDEX(FlowCalConstB,MATCH(AD617,FlowCalNumber,0),1,1)&gt;INDEX(FlowCalLowSetting,MATCH(AD617,FlowCalNumber,0),1,1), (INDEX(FlowCalConstA,MATCH(AD617,FlowCalNumber,0),1,1)*AF628^INDEX(FlowCalConstB,MATCH(AD617,FlowCalNumber,0),1,1)&lt;INDEX(FlowCalHighSetting,MATCH(AD617,FlowCalNumber,0),1,1))),INDEX(FlowCalConstA,MATCH(AD617,FlowCalNumber,0),1,1)*AF628^INDEX(FlowCalConstB,MATCH(AD617,FlowCalNumber,0),1,1)," ")</f>
        <v>#N/A</v>
      </c>
      <c r="AH628" s="33"/>
      <c r="AI628" s="242">
        <f t="shared" si="596"/>
        <v>0.9</v>
      </c>
      <c r="AJ628" s="241" t="e">
        <f t="shared" ca="1" si="597"/>
        <v>#VALUE!</v>
      </c>
      <c r="AK628" s="243" t="e">
        <f ca="1">IF(AND(INDEX(FlowCalConstA,MATCH(AH617,FlowCalNumber,0),1,1)*AJ628^INDEX(FlowCalConstB,MATCH(AH617,FlowCalNumber,0),1,1)&gt;INDEX(FlowCalLowSetting,MATCH(AH617,FlowCalNumber,0),1,1), (INDEX(FlowCalConstA,MATCH(AH617,FlowCalNumber,0),1,1)*AJ628^INDEX(FlowCalConstB,MATCH(AH617,FlowCalNumber,0),1,1)&lt;INDEX(FlowCalHighSetting,MATCH(AH617,FlowCalNumber,0),1,1))),INDEX(FlowCalConstA,MATCH(AH617,FlowCalNumber,0),1,1)*AJ628^INDEX(FlowCalConstB,MATCH(AH617,FlowCalNumber,0),1,1)," ")</f>
        <v>#N/A</v>
      </c>
      <c r="AL628" s="33"/>
      <c r="AM628" s="242"/>
      <c r="AN628" s="241"/>
      <c r="AO628" s="244"/>
      <c r="AQ628" s="242"/>
      <c r="AR628" s="241"/>
      <c r="AS628" s="244"/>
      <c r="AT628" s="33"/>
      <c r="AU628" s="242"/>
      <c r="AV628" s="241"/>
      <c r="AW628" s="244"/>
      <c r="AX628" s="33"/>
      <c r="AY628" s="242"/>
      <c r="AZ628" s="241"/>
      <c r="BA628" s="244"/>
      <c r="BB628" s="33"/>
      <c r="BC628" s="242"/>
      <c r="BD628" s="241"/>
      <c r="BE628" s="244"/>
      <c r="BF628" s="33"/>
      <c r="BG628" s="242"/>
      <c r="BH628" s="241"/>
      <c r="BI628" s="244"/>
      <c r="BJ628" s="33"/>
      <c r="BK628" s="242"/>
      <c r="BL628" s="241"/>
      <c r="BM628" s="244"/>
      <c r="BN628" s="33"/>
      <c r="BO628" s="242"/>
      <c r="BP628" s="241"/>
      <c r="BQ628" s="244"/>
      <c r="BR628" s="33"/>
      <c r="BS628" s="242"/>
      <c r="BT628" s="241"/>
      <c r="BU628" s="244"/>
      <c r="BV628" s="33"/>
      <c r="BW628" s="242"/>
      <c r="BX628" s="241"/>
      <c r="BY628" s="244"/>
      <c r="BZ628" s="33"/>
      <c r="CA628" s="242"/>
      <c r="CB628" s="241"/>
      <c r="CC628" s="244"/>
      <c r="CD628" s="243"/>
      <c r="CE628" s="243"/>
      <c r="CF628" s="243"/>
      <c r="CG628" s="243"/>
      <c r="CH628" s="243"/>
      <c r="CI628" s="243"/>
      <c r="CJ628" s="243"/>
      <c r="CK628" s="243"/>
      <c r="CL628" s="243"/>
      <c r="CM628" s="243"/>
      <c r="CN628" s="243"/>
      <c r="CO628" s="243"/>
      <c r="CP628" s="243"/>
      <c r="CQ628" s="243"/>
      <c r="CR628" s="243"/>
      <c r="CS628" s="243"/>
      <c r="CT628" s="243"/>
      <c r="CU628" s="243"/>
      <c r="CV628" s="243"/>
      <c r="CW628" s="243"/>
      <c r="CX628" s="243"/>
      <c r="CY628" s="243"/>
      <c r="CZ628" s="243"/>
      <c r="DA628" s="243"/>
      <c r="DB628" s="243"/>
      <c r="DC628" s="243"/>
      <c r="DD628" s="243"/>
      <c r="DE628" s="243"/>
      <c r="DF628" s="243"/>
      <c r="DG628" s="243"/>
      <c r="DH628" s="243"/>
      <c r="DI628" s="243"/>
      <c r="DJ628" s="243"/>
      <c r="DK628" s="243"/>
      <c r="DM628" s="242"/>
      <c r="DO628" s="243"/>
      <c r="DQ628" s="242"/>
      <c r="DS628" s="243"/>
      <c r="DU628" s="242"/>
      <c r="DW628" s="243"/>
      <c r="DY628" s="242"/>
      <c r="EA628" s="243"/>
    </row>
    <row r="629" spans="1:131">
      <c r="A629" s="20"/>
      <c r="B629" s="124" t="str">
        <f t="shared" si="582"/>
        <v/>
      </c>
      <c r="C629" s="235"/>
      <c r="D629" s="24">
        <f>'1% Wind'!$M$93</f>
        <v>2.4</v>
      </c>
      <c r="E629" s="90"/>
      <c r="F629" s="90"/>
      <c r="G629" s="79">
        <f ca="1">IF(I617=0.9743,$G628,MAX(G628/D628*D629,2))</f>
        <v>6.001707317073171</v>
      </c>
      <c r="H629" s="121" t="e">
        <f t="shared" ca="1" si="583"/>
        <v>#VALUE!</v>
      </c>
      <c r="J629" s="33"/>
      <c r="K629" s="242">
        <f t="shared" si="584"/>
        <v>1</v>
      </c>
      <c r="L629" s="241" t="e">
        <f t="shared" ca="1" si="585"/>
        <v>#VALUE!</v>
      </c>
      <c r="M629" s="243" t="e">
        <f ca="1">IF(AND(INDEX(FlowCalConstA,MATCH(J617,FlowCalNumber,0),1,1)*L629^INDEX(FlowCalConstB,MATCH(J617,FlowCalNumber,0),1,1)&gt;INDEX(FlowCalLowSetting,MATCH(J617,FlowCalNumber,0),1,1), (INDEX(FlowCalConstA,MATCH(J617,FlowCalNumber,0),1,1)*L629^INDEX(FlowCalConstB,MATCH(J617,FlowCalNumber,0),1,1)&lt;INDEX(FlowCalHighSetting,MATCH(J617,FlowCalNumber,0),1,1))),INDEX(FlowCalConstA,MATCH(J617,FlowCalNumber,0),1,1)*L629^INDEX(FlowCalConstB,MATCH(J617,FlowCalNumber,0),1,1)," ")</f>
        <v>#N/A</v>
      </c>
      <c r="N629" s="33"/>
      <c r="O629" s="242">
        <f t="shared" si="586"/>
        <v>1</v>
      </c>
      <c r="P629" s="241" t="e">
        <f t="shared" ca="1" si="587"/>
        <v>#VALUE!</v>
      </c>
      <c r="Q629" s="243" t="e">
        <f ca="1">IF(AND(INDEX(FlowCalConstA,MATCH(N617,FlowCalNumber,0),1,1)*P629^INDEX(FlowCalConstB,MATCH(N617,FlowCalNumber,0),1,1)&gt;INDEX(FlowCalLowSetting,MATCH(N617,FlowCalNumber,0),1,1), (INDEX(FlowCalConstA,MATCH(N617,FlowCalNumber,0),1,1)*P629^INDEX(FlowCalConstB,MATCH(N617,FlowCalNumber,0),1,1)&lt;INDEX(FlowCalHighSetting,MATCH(N617,FlowCalNumber,0),1,1))),INDEX(FlowCalConstA,MATCH(N617,FlowCalNumber,0),1,1)*P629^INDEX(FlowCalConstB,MATCH(N617,FlowCalNumber,0),1,1)," ")</f>
        <v>#N/A</v>
      </c>
      <c r="R629" s="33"/>
      <c r="S629" s="242">
        <f t="shared" si="588"/>
        <v>1</v>
      </c>
      <c r="T629" s="241" t="e">
        <f t="shared" ca="1" si="589"/>
        <v>#VALUE!</v>
      </c>
      <c r="U629" s="244" t="e">
        <f ca="1">IF(AND(INDEX(FlowCalConstA,MATCH(R617,FlowCalNumber,0),1,1)*T629^INDEX(FlowCalConstB,MATCH(R617,FlowCalNumber,0),1,1)&gt;INDEX(FlowCalLowSetting,MATCH(R617,FlowCalNumber,0),1,1), (INDEX(FlowCalConstA,MATCH(R617,FlowCalNumber,0),1,1)*T629^INDEX(FlowCalConstB,MATCH(R617,FlowCalNumber,0),1,1)&lt;INDEX(FlowCalHighSetting,MATCH(R617,FlowCalNumber,0),1,1))),INDEX(FlowCalConstA,MATCH(R617,FlowCalNumber,0),1,1)*T629^INDEX(FlowCalConstB,MATCH(R617,FlowCalNumber,0),1,1)," ")</f>
        <v>#N/A</v>
      </c>
      <c r="V629" s="33"/>
      <c r="W629" s="242">
        <f t="shared" si="590"/>
        <v>0.1</v>
      </c>
      <c r="X629" s="241" t="e">
        <f t="shared" ca="1" si="591"/>
        <v>#VALUE!</v>
      </c>
      <c r="Y629" s="243" t="e">
        <f ca="1">IF(AND(INDEX(FlowCalConstA,MATCH(V617,FlowCalNumber,0),1,1)*X629^INDEX(FlowCalConstB,MATCH(V617,FlowCalNumber,0),1,1)&gt;INDEX(FlowCalLowSetting,MATCH(V617,FlowCalNumber,0),1,1), (INDEX(FlowCalConstA,MATCH(V617,FlowCalNumber,0),1,1)*X629^INDEX(FlowCalConstB,MATCH(V617,FlowCalNumber,0),1,1)&lt;INDEX(FlowCalHighSetting,MATCH(V617,FlowCalNumber,0),1,1))),INDEX(FlowCalConstA,MATCH(V617,FlowCalNumber,0),1,1)*X629^INDEX(FlowCalConstB,MATCH(V617,FlowCalNumber,0),1,1)," ")</f>
        <v>#N/A</v>
      </c>
      <c r="Z629" s="33"/>
      <c r="AA629" s="242">
        <f t="shared" si="592"/>
        <v>0.9</v>
      </c>
      <c r="AB629" s="241" t="e">
        <f t="shared" ca="1" si="593"/>
        <v>#VALUE!</v>
      </c>
      <c r="AC629" s="243" t="e">
        <f ca="1">IF(AND(INDEX(FlowCalConstA,MATCH(Z617,FlowCalNumber,0),1,1)*AB629^INDEX(FlowCalConstB,MATCH(Z617,FlowCalNumber,0),1,1)&gt;INDEX(FlowCalLowSetting,MATCH(Z617,FlowCalNumber,0),1,1), (INDEX(FlowCalConstA,MATCH(Z617,FlowCalNumber,0),1,1)*AB629^INDEX(FlowCalConstB,MATCH(Z617,FlowCalNumber,0),1,1)&lt;INDEX(FlowCalHighSetting,MATCH(Z617,FlowCalNumber,0),1,1))),INDEX(FlowCalConstA,MATCH(Z617,FlowCalNumber,0),1,1)*AB629^INDEX(FlowCalConstB,MATCH(Z617,FlowCalNumber,0),1,1)," ")</f>
        <v>#N/A</v>
      </c>
      <c r="AD629" s="33"/>
      <c r="AE629" s="242">
        <f t="shared" si="594"/>
        <v>0.1</v>
      </c>
      <c r="AF629" s="241" t="e">
        <f t="shared" ca="1" si="595"/>
        <v>#VALUE!</v>
      </c>
      <c r="AG629" s="243" t="e">
        <f ca="1">IF(AND(INDEX(FlowCalConstA,MATCH(AD617,FlowCalNumber,0),1,1)*AF629^INDEX(FlowCalConstB,MATCH(AD617,FlowCalNumber,0),1,1)&gt;INDEX(FlowCalLowSetting,MATCH(AD617,FlowCalNumber,0),1,1), (INDEX(FlowCalConstA,MATCH(AD617,FlowCalNumber,0),1,1)*AF629^INDEX(FlowCalConstB,MATCH(AD617,FlowCalNumber,0),1,1)&lt;INDEX(FlowCalHighSetting,MATCH(AD617,FlowCalNumber,0),1,1))),INDEX(FlowCalConstA,MATCH(AD617,FlowCalNumber,0),1,1)*AF629^INDEX(FlowCalConstB,MATCH(AD617,FlowCalNumber,0),1,1)," ")</f>
        <v>#N/A</v>
      </c>
      <c r="AH629" s="33"/>
      <c r="AI629" s="242">
        <f t="shared" si="596"/>
        <v>0.9</v>
      </c>
      <c r="AJ629" s="241" t="e">
        <f t="shared" ca="1" si="597"/>
        <v>#VALUE!</v>
      </c>
      <c r="AK629" s="243" t="e">
        <f ca="1">IF(AND(INDEX(FlowCalConstA,MATCH(AH617,FlowCalNumber,0),1,1)*AJ629^INDEX(FlowCalConstB,MATCH(AH617,FlowCalNumber,0),1,1)&gt;INDEX(FlowCalLowSetting,MATCH(AH617,FlowCalNumber,0),1,1), (INDEX(FlowCalConstA,MATCH(AH617,FlowCalNumber,0),1,1)*AJ629^INDEX(FlowCalConstB,MATCH(AH617,FlowCalNumber,0),1,1)&lt;INDEX(FlowCalHighSetting,MATCH(AH617,FlowCalNumber,0),1,1))),INDEX(FlowCalConstA,MATCH(AH617,FlowCalNumber,0),1,1)*AJ629^INDEX(FlowCalConstB,MATCH(AH617,FlowCalNumber,0),1,1)," ")</f>
        <v>#N/A</v>
      </c>
      <c r="AL629" s="33"/>
      <c r="AM629" s="242"/>
      <c r="AN629" s="241"/>
      <c r="AO629" s="244"/>
      <c r="AQ629" s="242"/>
      <c r="AR629" s="241"/>
      <c r="AS629" s="244"/>
      <c r="AT629" s="33"/>
      <c r="AU629" s="242"/>
      <c r="AV629" s="241"/>
      <c r="AW629" s="244"/>
      <c r="AX629" s="33"/>
      <c r="AY629" s="242"/>
      <c r="AZ629" s="241"/>
      <c r="BA629" s="244"/>
      <c r="BB629" s="33"/>
      <c r="BC629" s="242"/>
      <c r="BD629" s="241"/>
      <c r="BE629" s="244"/>
      <c r="BF629" s="33"/>
      <c r="BG629" s="242"/>
      <c r="BH629" s="241"/>
      <c r="BI629" s="244"/>
      <c r="BJ629" s="33"/>
      <c r="BK629" s="242"/>
      <c r="BL629" s="241"/>
      <c r="BM629" s="244"/>
      <c r="BN629" s="33"/>
      <c r="BO629" s="242"/>
      <c r="BP629" s="241"/>
      <c r="BQ629" s="244"/>
      <c r="BR629" s="33"/>
      <c r="BS629" s="242"/>
      <c r="BT629" s="241"/>
      <c r="BU629" s="244"/>
      <c r="BV629" s="33"/>
      <c r="BW629" s="242"/>
      <c r="BX629" s="241"/>
      <c r="BY629" s="244"/>
      <c r="BZ629" s="33"/>
      <c r="CA629" s="242"/>
      <c r="CB629" s="241"/>
      <c r="CC629" s="244"/>
      <c r="CD629" s="243"/>
      <c r="CE629" s="243"/>
      <c r="CF629" s="243"/>
      <c r="CG629" s="243"/>
      <c r="CH629" s="243"/>
      <c r="CI629" s="243"/>
      <c r="CJ629" s="243"/>
      <c r="CK629" s="243"/>
      <c r="CL629" s="243"/>
      <c r="CM629" s="243"/>
      <c r="CN629" s="243"/>
      <c r="CO629" s="243"/>
      <c r="CP629" s="243"/>
      <c r="CQ629" s="243"/>
      <c r="CR629" s="243"/>
      <c r="CS629" s="243"/>
      <c r="CT629" s="243"/>
      <c r="CU629" s="243"/>
      <c r="CV629" s="243"/>
      <c r="CW629" s="243"/>
      <c r="CX629" s="243"/>
      <c r="CY629" s="243"/>
      <c r="CZ629" s="243"/>
      <c r="DA629" s="243"/>
      <c r="DB629" s="243"/>
      <c r="DC629" s="243"/>
      <c r="DD629" s="243"/>
      <c r="DE629" s="243"/>
      <c r="DF629" s="243"/>
      <c r="DG629" s="243"/>
      <c r="DH629" s="243"/>
      <c r="DI629" s="243"/>
      <c r="DJ629" s="243"/>
      <c r="DK629" s="243"/>
      <c r="DM629" s="242"/>
      <c r="DO629" s="243"/>
      <c r="DQ629" s="242"/>
      <c r="DS629" s="243"/>
      <c r="DU629" s="242"/>
      <c r="DW629" s="243"/>
      <c r="DY629" s="242"/>
      <c r="EA629" s="243"/>
    </row>
    <row r="630" spans="1:131">
      <c r="A630" s="20"/>
      <c r="B630" s="124" t="str">
        <f t="shared" si="582"/>
        <v/>
      </c>
      <c r="C630" s="235"/>
      <c r="D630" s="24">
        <f>'1% Wind'!$M$94</f>
        <v>1.8</v>
      </c>
      <c r="E630" s="90"/>
      <c r="F630" s="90"/>
      <c r="G630" s="79">
        <f ca="1">IF(I617=0.9743,$G629,MAX(G629/D629*D630,2))</f>
        <v>6.001707317073171</v>
      </c>
      <c r="H630" s="121" t="e">
        <f t="shared" ca="1" si="583"/>
        <v>#VALUE!</v>
      </c>
      <c r="J630" s="33"/>
      <c r="K630" s="242">
        <f t="shared" si="584"/>
        <v>1</v>
      </c>
      <c r="L630" s="241" t="e">
        <f t="shared" ca="1" si="585"/>
        <v>#VALUE!</v>
      </c>
      <c r="M630" s="243" t="e">
        <f ca="1">IF(AND(INDEX(FlowCalConstA,MATCH(J617,FlowCalNumber,0),1,1)*L630^INDEX(FlowCalConstB,MATCH(J617,FlowCalNumber,0),1,1)&gt;INDEX(FlowCalLowSetting,MATCH(J617,FlowCalNumber,0),1,1), (INDEX(FlowCalConstA,MATCH(J617,FlowCalNumber,0),1,1)*L630^INDEX(FlowCalConstB,MATCH(J617,FlowCalNumber,0),1,1)&lt;INDEX(FlowCalHighSetting,MATCH(J617,FlowCalNumber,0),1,1))),INDEX(FlowCalConstA,MATCH(J617,FlowCalNumber,0),1,1)*L630^INDEX(FlowCalConstB,MATCH(J617,FlowCalNumber,0),1,1)," ")</f>
        <v>#N/A</v>
      </c>
      <c r="N630" s="33"/>
      <c r="O630" s="242">
        <f t="shared" si="586"/>
        <v>1</v>
      </c>
      <c r="P630" s="241" t="e">
        <f t="shared" ca="1" si="587"/>
        <v>#VALUE!</v>
      </c>
      <c r="Q630" s="243" t="e">
        <f ca="1">IF(AND(INDEX(FlowCalConstA,MATCH(N617,FlowCalNumber,0),1,1)*P630^INDEX(FlowCalConstB,MATCH(N617,FlowCalNumber,0),1,1)&gt;INDEX(FlowCalLowSetting,MATCH(N617,FlowCalNumber,0),1,1), (INDEX(FlowCalConstA,MATCH(N617,FlowCalNumber,0),1,1)*P630^INDEX(FlowCalConstB,MATCH(N617,FlowCalNumber,0),1,1)&lt;INDEX(FlowCalHighSetting,MATCH(N617,FlowCalNumber,0),1,1))),INDEX(FlowCalConstA,MATCH(N617,FlowCalNumber,0),1,1)*P630^INDEX(FlowCalConstB,MATCH(N617,FlowCalNumber,0),1,1)," ")</f>
        <v>#N/A</v>
      </c>
      <c r="R630" s="33"/>
      <c r="S630" s="242">
        <f t="shared" si="588"/>
        <v>1</v>
      </c>
      <c r="T630" s="241" t="e">
        <f t="shared" ca="1" si="589"/>
        <v>#VALUE!</v>
      </c>
      <c r="U630" s="244" t="e">
        <f ca="1">IF(AND(INDEX(FlowCalConstA,MATCH(R617,FlowCalNumber,0),1,1)*T630^INDEX(FlowCalConstB,MATCH(R617,FlowCalNumber,0),1,1)&gt;INDEX(FlowCalLowSetting,MATCH(R617,FlowCalNumber,0),1,1), (INDEX(FlowCalConstA,MATCH(R617,FlowCalNumber,0),1,1)*T630^INDEX(FlowCalConstB,MATCH(R617,FlowCalNumber,0),1,1)&lt;INDEX(FlowCalHighSetting,MATCH(R617,FlowCalNumber,0),1,1))),INDEX(FlowCalConstA,MATCH(R617,FlowCalNumber,0),1,1)*T630^INDEX(FlowCalConstB,MATCH(R617,FlowCalNumber,0),1,1)," ")</f>
        <v>#N/A</v>
      </c>
      <c r="V630" s="33"/>
      <c r="W630" s="242">
        <f t="shared" si="590"/>
        <v>0.1</v>
      </c>
      <c r="X630" s="241" t="e">
        <f t="shared" ca="1" si="591"/>
        <v>#VALUE!</v>
      </c>
      <c r="Y630" s="243" t="e">
        <f ca="1">IF(AND(INDEX(FlowCalConstA,MATCH(V617,FlowCalNumber,0),1,1)*X630^INDEX(FlowCalConstB,MATCH(V617,FlowCalNumber,0),1,1)&gt;INDEX(FlowCalLowSetting,MATCH(V617,FlowCalNumber,0),1,1), (INDEX(FlowCalConstA,MATCH(V617,FlowCalNumber,0),1,1)*X630^INDEX(FlowCalConstB,MATCH(V617,FlowCalNumber,0),1,1)&lt;INDEX(FlowCalHighSetting,MATCH(V617,FlowCalNumber,0),1,1))),INDEX(FlowCalConstA,MATCH(V617,FlowCalNumber,0),1,1)*X630^INDEX(FlowCalConstB,MATCH(V617,FlowCalNumber,0),1,1)," ")</f>
        <v>#N/A</v>
      </c>
      <c r="Z630" s="33"/>
      <c r="AA630" s="242">
        <f t="shared" si="592"/>
        <v>0.9</v>
      </c>
      <c r="AB630" s="241" t="e">
        <f t="shared" ca="1" si="593"/>
        <v>#VALUE!</v>
      </c>
      <c r="AC630" s="243" t="e">
        <f ca="1">IF(AND(INDEX(FlowCalConstA,MATCH(Z617,FlowCalNumber,0),1,1)*AB630^INDEX(FlowCalConstB,MATCH(Z617,FlowCalNumber,0),1,1)&gt;INDEX(FlowCalLowSetting,MATCH(Z617,FlowCalNumber,0),1,1), (INDEX(FlowCalConstA,MATCH(Z617,FlowCalNumber,0),1,1)*AB630^INDEX(FlowCalConstB,MATCH(Z617,FlowCalNumber,0),1,1)&lt;INDEX(FlowCalHighSetting,MATCH(Z617,FlowCalNumber,0),1,1))),INDEX(FlowCalConstA,MATCH(Z617,FlowCalNumber,0),1,1)*AB630^INDEX(FlowCalConstB,MATCH(Z617,FlowCalNumber,0),1,1)," ")</f>
        <v>#N/A</v>
      </c>
      <c r="AD630" s="33"/>
      <c r="AE630" s="242">
        <f t="shared" si="594"/>
        <v>0.1</v>
      </c>
      <c r="AF630" s="241" t="e">
        <f t="shared" ca="1" si="595"/>
        <v>#VALUE!</v>
      </c>
      <c r="AG630" s="243" t="e">
        <f ca="1">IF(AND(INDEX(FlowCalConstA,MATCH(AD617,FlowCalNumber,0),1,1)*AF630^INDEX(FlowCalConstB,MATCH(AD617,FlowCalNumber,0),1,1)&gt;INDEX(FlowCalLowSetting,MATCH(AD617,FlowCalNumber,0),1,1), (INDEX(FlowCalConstA,MATCH(AD617,FlowCalNumber,0),1,1)*AF630^INDEX(FlowCalConstB,MATCH(AD617,FlowCalNumber,0),1,1)&lt;INDEX(FlowCalHighSetting,MATCH(AD617,FlowCalNumber,0),1,1))),INDEX(FlowCalConstA,MATCH(AD617,FlowCalNumber,0),1,1)*AF630^INDEX(FlowCalConstB,MATCH(AD617,FlowCalNumber,0),1,1)," ")</f>
        <v>#N/A</v>
      </c>
      <c r="AH630" s="33"/>
      <c r="AI630" s="242">
        <f t="shared" si="596"/>
        <v>0.9</v>
      </c>
      <c r="AJ630" s="241" t="e">
        <f t="shared" ca="1" si="597"/>
        <v>#VALUE!</v>
      </c>
      <c r="AK630" s="243" t="e">
        <f ca="1">IF(AND(INDEX(FlowCalConstA,MATCH(AH617,FlowCalNumber,0),1,1)*AJ630^INDEX(FlowCalConstB,MATCH(AH617,FlowCalNumber,0),1,1)&gt;INDEX(FlowCalLowSetting,MATCH(AH617,FlowCalNumber,0),1,1), (INDEX(FlowCalConstA,MATCH(AH617,FlowCalNumber,0),1,1)*AJ630^INDEX(FlowCalConstB,MATCH(AH617,FlowCalNumber,0),1,1)&lt;INDEX(FlowCalHighSetting,MATCH(AH617,FlowCalNumber,0),1,1))),INDEX(FlowCalConstA,MATCH(AH617,FlowCalNumber,0),1,1)*AJ630^INDEX(FlowCalConstB,MATCH(AH617,FlowCalNumber,0),1,1)," ")</f>
        <v>#N/A</v>
      </c>
      <c r="AL630" s="33"/>
      <c r="AM630" s="242"/>
      <c r="AN630" s="241"/>
      <c r="AO630" s="244"/>
      <c r="AQ630" s="242"/>
      <c r="AR630" s="241"/>
      <c r="AS630" s="244"/>
      <c r="AT630" s="33"/>
      <c r="AU630" s="242"/>
      <c r="AV630" s="241"/>
      <c r="AW630" s="244"/>
      <c r="AX630" s="33"/>
      <c r="AY630" s="242"/>
      <c r="AZ630" s="241"/>
      <c r="BA630" s="244"/>
      <c r="BB630" s="33"/>
      <c r="BC630" s="242"/>
      <c r="BD630" s="241"/>
      <c r="BE630" s="244"/>
      <c r="BF630" s="33"/>
      <c r="BG630" s="242"/>
      <c r="BH630" s="241"/>
      <c r="BI630" s="244"/>
      <c r="BJ630" s="33"/>
      <c r="BK630" s="242"/>
      <c r="BL630" s="241"/>
      <c r="BM630" s="244"/>
      <c r="BN630" s="33"/>
      <c r="BO630" s="242"/>
      <c r="BP630" s="241"/>
      <c r="BQ630" s="244"/>
      <c r="BR630" s="33"/>
      <c r="BS630" s="242"/>
      <c r="BT630" s="241"/>
      <c r="BU630" s="244"/>
      <c r="BV630" s="33"/>
      <c r="BW630" s="242"/>
      <c r="BX630" s="241"/>
      <c r="BY630" s="244"/>
      <c r="BZ630" s="33"/>
      <c r="CA630" s="242"/>
      <c r="CB630" s="241"/>
      <c r="CC630" s="244"/>
      <c r="CD630" s="243"/>
      <c r="CE630" s="243"/>
      <c r="CF630" s="243"/>
      <c r="CG630" s="243"/>
      <c r="CH630" s="243"/>
      <c r="CI630" s="243"/>
      <c r="CJ630" s="243"/>
      <c r="CK630" s="243"/>
      <c r="CL630" s="243"/>
      <c r="CM630" s="243"/>
      <c r="CN630" s="243"/>
      <c r="CO630" s="243"/>
      <c r="CP630" s="243"/>
      <c r="CQ630" s="243"/>
      <c r="CR630" s="243"/>
      <c r="CS630" s="243"/>
      <c r="CT630" s="243"/>
      <c r="CU630" s="243"/>
      <c r="CV630" s="243"/>
      <c r="CW630" s="243"/>
      <c r="CX630" s="243"/>
      <c r="CY630" s="243"/>
      <c r="CZ630" s="243"/>
      <c r="DA630" s="243"/>
      <c r="DB630" s="243"/>
      <c r="DC630" s="243"/>
      <c r="DD630" s="243"/>
      <c r="DE630" s="243"/>
      <c r="DF630" s="243"/>
      <c r="DG630" s="243"/>
      <c r="DH630" s="243"/>
      <c r="DI630" s="243"/>
      <c r="DJ630" s="243"/>
      <c r="DK630" s="243"/>
      <c r="DM630" s="242"/>
      <c r="DO630" s="243"/>
      <c r="DQ630" s="242"/>
      <c r="DS630" s="243"/>
      <c r="DU630" s="242"/>
      <c r="DW630" s="243"/>
      <c r="DY630" s="242"/>
      <c r="EA630" s="243"/>
    </row>
    <row r="631" spans="1:131">
      <c r="A631" s="20"/>
      <c r="B631" s="124" t="str">
        <f t="shared" si="582"/>
        <v/>
      </c>
      <c r="C631" s="235"/>
      <c r="D631" s="24">
        <f>'1% Wind'!$M$95</f>
        <v>1.3</v>
      </c>
      <c r="E631" s="90"/>
      <c r="F631" s="90"/>
      <c r="G631" s="79">
        <f ca="1">IF(I617=0.9743,$G630,MAX(G630/D630*D631,2))</f>
        <v>6.001707317073171</v>
      </c>
      <c r="H631" s="121" t="e">
        <f t="shared" ca="1" si="583"/>
        <v>#VALUE!</v>
      </c>
      <c r="J631" s="33"/>
      <c r="K631" s="242">
        <f t="shared" si="584"/>
        <v>1</v>
      </c>
      <c r="L631" s="241" t="e">
        <f t="shared" ca="1" si="585"/>
        <v>#VALUE!</v>
      </c>
      <c r="M631" s="243" t="e">
        <f ca="1">IF(AND(INDEX(FlowCalConstA,MATCH(J617,FlowCalNumber,0),1,1)*L631^INDEX(FlowCalConstB,MATCH(J617,FlowCalNumber,0),1,1)&gt;INDEX(FlowCalLowSetting,MATCH(J617,FlowCalNumber,0),1,1), (INDEX(FlowCalConstA,MATCH(J617,FlowCalNumber,0),1,1)*L631^INDEX(FlowCalConstB,MATCH(J617,FlowCalNumber,0),1,1)&lt;INDEX(FlowCalHighSetting,MATCH(J617,FlowCalNumber,0),1,1))),INDEX(FlowCalConstA,MATCH(J617,FlowCalNumber,0),1,1)*L631^INDEX(FlowCalConstB,MATCH(J617,FlowCalNumber,0),1,1)," ")</f>
        <v>#N/A</v>
      </c>
      <c r="N631" s="33"/>
      <c r="O631" s="242">
        <f t="shared" si="586"/>
        <v>1</v>
      </c>
      <c r="P631" s="241" t="e">
        <f t="shared" ca="1" si="587"/>
        <v>#VALUE!</v>
      </c>
      <c r="Q631" s="243" t="e">
        <f ca="1">IF(AND(INDEX(FlowCalConstA,MATCH(N617,FlowCalNumber,0),1,1)*P631^INDEX(FlowCalConstB,MATCH(N617,FlowCalNumber,0),1,1)&gt;INDEX(FlowCalLowSetting,MATCH(N617,FlowCalNumber,0),1,1), (INDEX(FlowCalConstA,MATCH(N617,FlowCalNumber,0),1,1)*P631^INDEX(FlowCalConstB,MATCH(N617,FlowCalNumber,0),1,1)&lt;INDEX(FlowCalHighSetting,MATCH(N617,FlowCalNumber,0),1,1))),INDEX(FlowCalConstA,MATCH(N617,FlowCalNumber,0),1,1)*P631^INDEX(FlowCalConstB,MATCH(N617,FlowCalNumber,0),1,1)," ")</f>
        <v>#N/A</v>
      </c>
      <c r="R631" s="33"/>
      <c r="S631" s="242">
        <f t="shared" si="588"/>
        <v>1</v>
      </c>
      <c r="T631" s="241" t="e">
        <f t="shared" ca="1" si="589"/>
        <v>#VALUE!</v>
      </c>
      <c r="U631" s="244" t="e">
        <f ca="1">IF(AND(INDEX(FlowCalConstA,MATCH(R617,FlowCalNumber,0),1,1)*T631^INDEX(FlowCalConstB,MATCH(R617,FlowCalNumber,0),1,1)&gt;INDEX(FlowCalLowSetting,MATCH(R617,FlowCalNumber,0),1,1), (INDEX(FlowCalConstA,MATCH(R617,FlowCalNumber,0),1,1)*T631^INDEX(FlowCalConstB,MATCH(R617,FlowCalNumber,0),1,1)&lt;INDEX(FlowCalHighSetting,MATCH(R617,FlowCalNumber,0),1,1))),INDEX(FlowCalConstA,MATCH(R617,FlowCalNumber,0),1,1)*T631^INDEX(FlowCalConstB,MATCH(R617,FlowCalNumber,0),1,1)," ")</f>
        <v>#N/A</v>
      </c>
      <c r="V631" s="33"/>
      <c r="W631" s="242">
        <f t="shared" si="590"/>
        <v>0.1</v>
      </c>
      <c r="X631" s="241" t="e">
        <f t="shared" ca="1" si="591"/>
        <v>#VALUE!</v>
      </c>
      <c r="Y631" s="243" t="e">
        <f ca="1">IF(AND(INDEX(FlowCalConstA,MATCH(V617,FlowCalNumber,0),1,1)*X631^INDEX(FlowCalConstB,MATCH(V617,FlowCalNumber,0),1,1)&gt;INDEX(FlowCalLowSetting,MATCH(V617,FlowCalNumber,0),1,1), (INDEX(FlowCalConstA,MATCH(V617,FlowCalNumber,0),1,1)*X631^INDEX(FlowCalConstB,MATCH(V617,FlowCalNumber,0),1,1)&lt;INDEX(FlowCalHighSetting,MATCH(V617,FlowCalNumber,0),1,1))),INDEX(FlowCalConstA,MATCH(V617,FlowCalNumber,0),1,1)*X631^INDEX(FlowCalConstB,MATCH(V617,FlowCalNumber,0),1,1)," ")</f>
        <v>#N/A</v>
      </c>
      <c r="Z631" s="33"/>
      <c r="AA631" s="242">
        <f t="shared" si="592"/>
        <v>0.9</v>
      </c>
      <c r="AB631" s="241" t="e">
        <f t="shared" ca="1" si="593"/>
        <v>#VALUE!</v>
      </c>
      <c r="AC631" s="243" t="e">
        <f ca="1">IF(AND(INDEX(FlowCalConstA,MATCH(Z617,FlowCalNumber,0),1,1)*AB631^INDEX(FlowCalConstB,MATCH(Z617,FlowCalNumber,0),1,1)&gt;INDEX(FlowCalLowSetting,MATCH(Z617,FlowCalNumber,0),1,1), (INDEX(FlowCalConstA,MATCH(Z617,FlowCalNumber,0),1,1)*AB631^INDEX(FlowCalConstB,MATCH(Z617,FlowCalNumber,0),1,1)&lt;INDEX(FlowCalHighSetting,MATCH(Z617,FlowCalNumber,0),1,1))),INDEX(FlowCalConstA,MATCH(Z617,FlowCalNumber,0),1,1)*AB631^INDEX(FlowCalConstB,MATCH(Z617,FlowCalNumber,0),1,1)," ")</f>
        <v>#N/A</v>
      </c>
      <c r="AD631" s="33"/>
      <c r="AE631" s="242">
        <f t="shared" si="594"/>
        <v>0.1</v>
      </c>
      <c r="AF631" s="241" t="e">
        <f t="shared" ca="1" si="595"/>
        <v>#VALUE!</v>
      </c>
      <c r="AG631" s="243" t="e">
        <f ca="1">IF(AND(INDEX(FlowCalConstA,MATCH(AD617,FlowCalNumber,0),1,1)*AF631^INDEX(FlowCalConstB,MATCH(AD617,FlowCalNumber,0),1,1)&gt;INDEX(FlowCalLowSetting,MATCH(AD617,FlowCalNumber,0),1,1), (INDEX(FlowCalConstA,MATCH(AD617,FlowCalNumber,0),1,1)*AF631^INDEX(FlowCalConstB,MATCH(AD617,FlowCalNumber,0),1,1)&lt;INDEX(FlowCalHighSetting,MATCH(AD617,FlowCalNumber,0),1,1))),INDEX(FlowCalConstA,MATCH(AD617,FlowCalNumber,0),1,1)*AF631^INDEX(FlowCalConstB,MATCH(AD617,FlowCalNumber,0),1,1)," ")</f>
        <v>#N/A</v>
      </c>
      <c r="AH631" s="33"/>
      <c r="AI631" s="242">
        <f t="shared" si="596"/>
        <v>0.9</v>
      </c>
      <c r="AJ631" s="241" t="e">
        <f t="shared" ca="1" si="597"/>
        <v>#VALUE!</v>
      </c>
      <c r="AK631" s="243" t="e">
        <f ca="1">IF(AND(INDEX(FlowCalConstA,MATCH(AH617,FlowCalNumber,0),1,1)*AJ631^INDEX(FlowCalConstB,MATCH(AH617,FlowCalNumber,0),1,1)&gt;INDEX(FlowCalLowSetting,MATCH(AH617,FlowCalNumber,0),1,1), (INDEX(FlowCalConstA,MATCH(AH617,FlowCalNumber,0),1,1)*AJ631^INDEX(FlowCalConstB,MATCH(AH617,FlowCalNumber,0),1,1)&lt;INDEX(FlowCalHighSetting,MATCH(AH617,FlowCalNumber,0),1,1))),INDEX(FlowCalConstA,MATCH(AH617,FlowCalNumber,0),1,1)*AJ631^INDEX(FlowCalConstB,MATCH(AH617,FlowCalNumber,0),1,1)," ")</f>
        <v>#N/A</v>
      </c>
      <c r="AL631" s="33"/>
      <c r="AM631" s="242"/>
      <c r="AN631" s="241"/>
      <c r="AO631" s="244"/>
      <c r="AQ631" s="242"/>
      <c r="AR631" s="241"/>
      <c r="AS631" s="244"/>
      <c r="AT631" s="33"/>
      <c r="AU631" s="242"/>
      <c r="AV631" s="241"/>
      <c r="AW631" s="244"/>
      <c r="AX631" s="33"/>
      <c r="AY631" s="242"/>
      <c r="AZ631" s="241"/>
      <c r="BA631" s="244"/>
      <c r="BB631" s="33"/>
      <c r="BC631" s="242"/>
      <c r="BD631" s="241"/>
      <c r="BE631" s="244"/>
      <c r="BF631" s="33"/>
      <c r="BG631" s="242"/>
      <c r="BH631" s="241"/>
      <c r="BI631" s="244"/>
      <c r="BJ631" s="33"/>
      <c r="BK631" s="242"/>
      <c r="BL631" s="241"/>
      <c r="BM631" s="244"/>
      <c r="BN631" s="33"/>
      <c r="BO631" s="242"/>
      <c r="BP631" s="241"/>
      <c r="BQ631" s="244"/>
      <c r="BR631" s="33"/>
      <c r="BS631" s="242"/>
      <c r="BT631" s="241"/>
      <c r="BU631" s="244"/>
      <c r="BV631" s="33"/>
      <c r="BW631" s="242"/>
      <c r="BX631" s="241"/>
      <c r="BY631" s="244"/>
      <c r="BZ631" s="33"/>
      <c r="CA631" s="242"/>
      <c r="CB631" s="241"/>
      <c r="CC631" s="244"/>
      <c r="CD631" s="243"/>
      <c r="CE631" s="243"/>
      <c r="CF631" s="243"/>
      <c r="CG631" s="243"/>
      <c r="CH631" s="243"/>
      <c r="CI631" s="243"/>
      <c r="CJ631" s="243"/>
      <c r="CK631" s="243"/>
      <c r="CL631" s="243"/>
      <c r="CM631" s="243"/>
      <c r="CN631" s="243"/>
      <c r="CO631" s="243"/>
      <c r="CP631" s="243"/>
      <c r="CQ631" s="243"/>
      <c r="CR631" s="243"/>
      <c r="CS631" s="243"/>
      <c r="CT631" s="243"/>
      <c r="CU631" s="243"/>
      <c r="CV631" s="243"/>
      <c r="CW631" s="243"/>
      <c r="CX631" s="243"/>
      <c r="CY631" s="243"/>
      <c r="CZ631" s="243"/>
      <c r="DA631" s="243"/>
      <c r="DB631" s="243"/>
      <c r="DC631" s="243"/>
      <c r="DD631" s="243"/>
      <c r="DE631" s="243"/>
      <c r="DF631" s="243"/>
      <c r="DG631" s="243"/>
      <c r="DH631" s="243"/>
      <c r="DI631" s="243"/>
      <c r="DJ631" s="243"/>
      <c r="DK631" s="243"/>
      <c r="DM631" s="242"/>
      <c r="DO631" s="243"/>
      <c r="DQ631" s="242"/>
      <c r="DS631" s="243"/>
      <c r="DU631" s="242"/>
      <c r="DW631" s="243"/>
      <c r="DY631" s="242"/>
      <c r="EA631" s="243"/>
    </row>
    <row r="632" spans="1:131">
      <c r="A632" s="20"/>
      <c r="B632" s="124" t="str">
        <f t="shared" si="582"/>
        <v/>
      </c>
      <c r="C632" s="235"/>
      <c r="D632" s="24">
        <f>'1% Wind'!$M$96</f>
        <v>1</v>
      </c>
      <c r="E632" s="90"/>
      <c r="F632" s="90"/>
      <c r="G632" s="79">
        <f ca="1">IF(I617=0.9743,$G631,MAX(G631/D631*D632,2))</f>
        <v>6.001707317073171</v>
      </c>
      <c r="H632" s="121" t="e">
        <f t="shared" ca="1" si="583"/>
        <v>#VALUE!</v>
      </c>
      <c r="J632" s="33"/>
      <c r="K632" s="242">
        <f t="shared" si="584"/>
        <v>1</v>
      </c>
      <c r="L632" s="241" t="e">
        <f t="shared" ca="1" si="585"/>
        <v>#VALUE!</v>
      </c>
      <c r="M632" s="243" t="e">
        <f ca="1">IF(AND(INDEX(FlowCalConstA,MATCH(J617,FlowCalNumber,0),1,1)*L632^INDEX(FlowCalConstB,MATCH(J617,FlowCalNumber,0),1,1)&gt;INDEX(FlowCalLowSetting,MATCH(J617,FlowCalNumber,0),1,1), (INDEX(FlowCalConstA,MATCH(J617,FlowCalNumber,0),1,1)*L632^INDEX(FlowCalConstB,MATCH(J617,FlowCalNumber,0),1,1)&lt;INDEX(FlowCalHighSetting,MATCH(J617,FlowCalNumber,0),1,1))),INDEX(FlowCalConstA,MATCH(J617,FlowCalNumber,0),1,1)*L632^INDEX(FlowCalConstB,MATCH(J617,FlowCalNumber,0),1,1)," ")</f>
        <v>#N/A</v>
      </c>
      <c r="N632" s="33"/>
      <c r="O632" s="242">
        <f t="shared" si="586"/>
        <v>1</v>
      </c>
      <c r="P632" s="241" t="e">
        <f t="shared" ca="1" si="587"/>
        <v>#VALUE!</v>
      </c>
      <c r="Q632" s="243" t="e">
        <f ca="1">IF(AND(INDEX(FlowCalConstA,MATCH(N617,FlowCalNumber,0),1,1)*P632^INDEX(FlowCalConstB,MATCH(N617,FlowCalNumber,0),1,1)&gt;INDEX(FlowCalLowSetting,MATCH(N617,FlowCalNumber,0),1,1), (INDEX(FlowCalConstA,MATCH(N617,FlowCalNumber,0),1,1)*P632^INDEX(FlowCalConstB,MATCH(N617,FlowCalNumber,0),1,1)&lt;INDEX(FlowCalHighSetting,MATCH(N617,FlowCalNumber,0),1,1))),INDEX(FlowCalConstA,MATCH(N617,FlowCalNumber,0),1,1)*P632^INDEX(FlowCalConstB,MATCH(N617,FlowCalNumber,0),1,1)," ")</f>
        <v>#N/A</v>
      </c>
      <c r="R632" s="33"/>
      <c r="S632" s="242">
        <f t="shared" si="588"/>
        <v>1</v>
      </c>
      <c r="T632" s="241" t="e">
        <f t="shared" ca="1" si="589"/>
        <v>#VALUE!</v>
      </c>
      <c r="U632" s="244" t="e">
        <f ca="1">IF(AND(INDEX(FlowCalConstA,MATCH(R617,FlowCalNumber,0),1,1)*T632^INDEX(FlowCalConstB,MATCH(R617,FlowCalNumber,0),1,1)&gt;INDEX(FlowCalLowSetting,MATCH(R617,FlowCalNumber,0),1,1), (INDEX(FlowCalConstA,MATCH(R617,FlowCalNumber,0),1,1)*T632^INDEX(FlowCalConstB,MATCH(R617,FlowCalNumber,0),1,1)&lt;INDEX(FlowCalHighSetting,MATCH(R617,FlowCalNumber,0),1,1))),INDEX(FlowCalConstA,MATCH(R617,FlowCalNumber,0),1,1)*T632^INDEX(FlowCalConstB,MATCH(R617,FlowCalNumber,0),1,1)," ")</f>
        <v>#N/A</v>
      </c>
      <c r="V632" s="33"/>
      <c r="W632" s="242">
        <f t="shared" si="590"/>
        <v>0.1</v>
      </c>
      <c r="X632" s="241" t="e">
        <f t="shared" ca="1" si="591"/>
        <v>#VALUE!</v>
      </c>
      <c r="Y632" s="243" t="e">
        <f ca="1">IF(AND(INDEX(FlowCalConstA,MATCH(V617,FlowCalNumber,0),1,1)*X632^INDEX(FlowCalConstB,MATCH(V617,FlowCalNumber,0),1,1)&gt;INDEX(FlowCalLowSetting,MATCH(V617,FlowCalNumber,0),1,1), (INDEX(FlowCalConstA,MATCH(V617,FlowCalNumber,0),1,1)*X632^INDEX(FlowCalConstB,MATCH(V617,FlowCalNumber,0),1,1)&lt;INDEX(FlowCalHighSetting,MATCH(V617,FlowCalNumber,0),1,1))),INDEX(FlowCalConstA,MATCH(V617,FlowCalNumber,0),1,1)*X632^INDEX(FlowCalConstB,MATCH(V617,FlowCalNumber,0),1,1)," ")</f>
        <v>#N/A</v>
      </c>
      <c r="Z632" s="33"/>
      <c r="AA632" s="242">
        <f t="shared" si="592"/>
        <v>0.9</v>
      </c>
      <c r="AB632" s="241" t="e">
        <f t="shared" ca="1" si="593"/>
        <v>#VALUE!</v>
      </c>
      <c r="AC632" s="243" t="e">
        <f ca="1">IF(AND(INDEX(FlowCalConstA,MATCH(Z617,FlowCalNumber,0),1,1)*AB632^INDEX(FlowCalConstB,MATCH(Z617,FlowCalNumber,0),1,1)&gt;INDEX(FlowCalLowSetting,MATCH(Z617,FlowCalNumber,0),1,1), (INDEX(FlowCalConstA,MATCH(Z617,FlowCalNumber,0),1,1)*AB632^INDEX(FlowCalConstB,MATCH(Z617,FlowCalNumber,0),1,1)&lt;INDEX(FlowCalHighSetting,MATCH(Z617,FlowCalNumber,0),1,1))),INDEX(FlowCalConstA,MATCH(Z617,FlowCalNumber,0),1,1)*AB632^INDEX(FlowCalConstB,MATCH(Z617,FlowCalNumber,0),1,1)," ")</f>
        <v>#N/A</v>
      </c>
      <c r="AD632" s="33"/>
      <c r="AE632" s="242">
        <f t="shared" si="594"/>
        <v>0.1</v>
      </c>
      <c r="AF632" s="241" t="e">
        <f t="shared" ca="1" si="595"/>
        <v>#VALUE!</v>
      </c>
      <c r="AG632" s="243" t="e">
        <f ca="1">IF(AND(INDEX(FlowCalConstA,MATCH(AD617,FlowCalNumber,0),1,1)*AF632^INDEX(FlowCalConstB,MATCH(AD617,FlowCalNumber,0),1,1)&gt;INDEX(FlowCalLowSetting,MATCH(AD617,FlowCalNumber,0),1,1), (INDEX(FlowCalConstA,MATCH(AD617,FlowCalNumber,0),1,1)*AF632^INDEX(FlowCalConstB,MATCH(AD617,FlowCalNumber,0),1,1)&lt;INDEX(FlowCalHighSetting,MATCH(AD617,FlowCalNumber,0),1,1))),INDEX(FlowCalConstA,MATCH(AD617,FlowCalNumber,0),1,1)*AF632^INDEX(FlowCalConstB,MATCH(AD617,FlowCalNumber,0),1,1)," ")</f>
        <v>#N/A</v>
      </c>
      <c r="AH632" s="33"/>
      <c r="AI632" s="242">
        <f t="shared" si="596"/>
        <v>0.9</v>
      </c>
      <c r="AJ632" s="241" t="e">
        <f t="shared" ca="1" si="597"/>
        <v>#VALUE!</v>
      </c>
      <c r="AK632" s="243" t="e">
        <f ca="1">IF(AND(INDEX(FlowCalConstA,MATCH(AH617,FlowCalNumber,0),1,1)*AJ632^INDEX(FlowCalConstB,MATCH(AH617,FlowCalNumber,0),1,1)&gt;INDEX(FlowCalLowSetting,MATCH(AH617,FlowCalNumber,0),1,1), (INDEX(FlowCalConstA,MATCH(AH617,FlowCalNumber,0),1,1)*AJ632^INDEX(FlowCalConstB,MATCH(AH617,FlowCalNumber,0),1,1)&lt;INDEX(FlowCalHighSetting,MATCH(AH617,FlowCalNumber,0),1,1))),INDEX(FlowCalConstA,MATCH(AH617,FlowCalNumber,0),1,1)*AJ632^INDEX(FlowCalConstB,MATCH(AH617,FlowCalNumber,0),1,1)," ")</f>
        <v>#N/A</v>
      </c>
      <c r="AL632" s="33"/>
      <c r="AM632" s="242"/>
      <c r="AN632" s="241"/>
      <c r="AO632" s="244"/>
      <c r="AQ632" s="242"/>
      <c r="AR632" s="241"/>
      <c r="AS632" s="244"/>
      <c r="AT632" s="33"/>
      <c r="AU632" s="242"/>
      <c r="AV632" s="241"/>
      <c r="AW632" s="244"/>
      <c r="AX632" s="33"/>
      <c r="AY632" s="242"/>
      <c r="AZ632" s="241"/>
      <c r="BA632" s="244"/>
      <c r="BB632" s="33"/>
      <c r="BC632" s="242"/>
      <c r="BD632" s="241"/>
      <c r="BE632" s="244"/>
      <c r="BF632" s="33"/>
      <c r="BG632" s="242"/>
      <c r="BH632" s="241"/>
      <c r="BI632" s="244"/>
      <c r="BJ632" s="33"/>
      <c r="BK632" s="242"/>
      <c r="BL632" s="241"/>
      <c r="BM632" s="244"/>
      <c r="BN632" s="33"/>
      <c r="BO632" s="242"/>
      <c r="BP632" s="241"/>
      <c r="BQ632" s="244"/>
      <c r="BR632" s="33"/>
      <c r="BS632" s="242"/>
      <c r="BT632" s="241"/>
      <c r="BU632" s="244"/>
      <c r="BV632" s="33"/>
      <c r="BW632" s="242"/>
      <c r="BX632" s="241"/>
      <c r="BY632" s="244"/>
      <c r="BZ632" s="33"/>
      <c r="CA632" s="242"/>
      <c r="CB632" s="241"/>
      <c r="CC632" s="244"/>
      <c r="CD632" s="243"/>
      <c r="CE632" s="243"/>
      <c r="CF632" s="243"/>
      <c r="CG632" s="243"/>
      <c r="CH632" s="243"/>
      <c r="CI632" s="243"/>
      <c r="CJ632" s="243"/>
      <c r="CK632" s="243"/>
      <c r="CL632" s="243"/>
      <c r="CM632" s="243"/>
      <c r="CN632" s="243"/>
      <c r="CO632" s="243"/>
      <c r="CP632" s="243"/>
      <c r="CQ632" s="243"/>
      <c r="CR632" s="243"/>
      <c r="CS632" s="243"/>
      <c r="CT632" s="243"/>
      <c r="CU632" s="243"/>
      <c r="CV632" s="243"/>
      <c r="CW632" s="243"/>
      <c r="CX632" s="243"/>
      <c r="CY632" s="243"/>
      <c r="CZ632" s="243"/>
      <c r="DA632" s="243"/>
      <c r="DB632" s="243"/>
      <c r="DC632" s="243"/>
      <c r="DD632" s="243"/>
      <c r="DE632" s="243"/>
      <c r="DF632" s="243"/>
      <c r="DG632" s="243"/>
      <c r="DH632" s="243"/>
      <c r="DI632" s="243"/>
      <c r="DJ632" s="243"/>
      <c r="DK632" s="243"/>
      <c r="DM632" s="242"/>
      <c r="DO632" s="243"/>
      <c r="DQ632" s="242"/>
      <c r="DS632" s="243"/>
      <c r="DU632" s="242"/>
      <c r="DW632" s="243"/>
      <c r="DY632" s="242"/>
      <c r="EA632" s="243"/>
    </row>
    <row r="633" spans="1:131">
      <c r="A633" s="33"/>
      <c r="B633" s="33"/>
      <c r="C633" s="235"/>
      <c r="E633" s="90"/>
      <c r="F633" s="90"/>
      <c r="G633" s="33"/>
      <c r="J633" s="33"/>
      <c r="N633" s="33"/>
      <c r="Q633" s="243"/>
      <c r="R633" s="33"/>
      <c r="U633" s="244"/>
      <c r="V633" s="33"/>
      <c r="Y633" s="243"/>
      <c r="Z633" s="33"/>
      <c r="AC633" s="243"/>
      <c r="AD633" s="33"/>
      <c r="AG633" s="243"/>
      <c r="AH633" s="33"/>
      <c r="AK633" s="244"/>
      <c r="AL633" s="792"/>
      <c r="AM633" s="243"/>
      <c r="AN633" s="243"/>
      <c r="AO633" s="244"/>
      <c r="AP633" s="243"/>
      <c r="AQ633" s="243"/>
      <c r="AR633" s="243"/>
      <c r="AS633" s="244"/>
      <c r="AT633" s="243"/>
      <c r="AU633" s="243"/>
      <c r="AV633" s="243"/>
      <c r="AW633" s="244"/>
      <c r="AX633" s="243"/>
      <c r="AY633" s="243"/>
      <c r="AZ633" s="243"/>
      <c r="BA633" s="244"/>
      <c r="BB633" s="33"/>
      <c r="BE633" s="244"/>
      <c r="BF633" s="33"/>
      <c r="BI633" s="244"/>
      <c r="BJ633" s="33"/>
      <c r="BM633" s="244"/>
      <c r="BN633" s="243"/>
      <c r="BO633" s="243"/>
      <c r="BP633" s="243"/>
      <c r="BQ633" s="244"/>
      <c r="BR633" s="792"/>
      <c r="BS633" s="243"/>
      <c r="BT633" s="243"/>
      <c r="BU633" s="244"/>
      <c r="BV633" s="792"/>
      <c r="BW633" s="243"/>
      <c r="BX633" s="243"/>
      <c r="BY633" s="244"/>
      <c r="BZ633" s="792"/>
      <c r="CA633" s="243"/>
      <c r="CB633" s="243"/>
      <c r="CC633" s="244"/>
      <c r="CD633" s="243"/>
      <c r="CE633" s="243"/>
      <c r="CF633" s="243"/>
      <c r="CG633" s="243"/>
      <c r="CH633" s="243"/>
      <c r="CI633" s="243"/>
      <c r="CJ633" s="243"/>
      <c r="CK633" s="243"/>
      <c r="CL633" s="243"/>
      <c r="CM633" s="243"/>
      <c r="CN633" s="243"/>
      <c r="CO633" s="243"/>
      <c r="CP633" s="243"/>
      <c r="CQ633" s="243"/>
      <c r="CR633" s="243"/>
      <c r="CS633" s="243"/>
      <c r="CT633" s="243"/>
      <c r="CU633" s="243"/>
      <c r="CV633" s="243"/>
      <c r="CW633" s="243"/>
      <c r="CX633" s="243"/>
      <c r="CY633" s="243"/>
      <c r="CZ633" s="243"/>
      <c r="DA633" s="243"/>
      <c r="DB633" s="243"/>
      <c r="DC633" s="243"/>
      <c r="DD633" s="243"/>
      <c r="DE633" s="243"/>
      <c r="DF633" s="243"/>
      <c r="DG633" s="243"/>
      <c r="DH633" s="243"/>
      <c r="DI633" s="243"/>
      <c r="DJ633" s="243"/>
      <c r="DK633" s="243"/>
      <c r="DO633" s="243"/>
      <c r="DS633" s="243"/>
      <c r="DW633" s="243"/>
      <c r="EA633" s="243"/>
    </row>
    <row r="634" spans="1:131">
      <c r="A634" s="256" t="str">
        <f>IF((RIGHT(A617,1))&lt;&gt;"Z",CHAR(CODE(A617))&amp;CHAR(CODE(RIGHT(A617,1))+1),CHAR(CODE(A617)+1)&amp;"A")</f>
        <v>BK</v>
      </c>
      <c r="B634" s="270" t="str">
        <f>INDEX(SourceID,MATCH($A634,SourceNumber,0),1,1)</f>
        <v>B2 BSL3-1</v>
      </c>
      <c r="C634" s="354">
        <f>INDEX(SourceExitDiameter,MATCH($A634,SourceNumber,0),1,1)*3.28*12</f>
        <v>24.72</v>
      </c>
      <c r="D634" s="24" t="str">
        <f>UAnem1percent</f>
        <v>1% Wind</v>
      </c>
      <c r="E634" s="350" t="e">
        <f ca="1">INDIRECT(ADDRESS(53,6,1,,CONCATENATE("TA",$A634)))</f>
        <v>#REF!</v>
      </c>
      <c r="F634" s="625" t="e">
        <f ca="1">(ROUND((INDIRECT(ADDRESS(15,7,1,,CONCATENATE("TA",$A634)))*3.28*12*32),0)&amp;"/32")</f>
        <v>#REF!</v>
      </c>
      <c r="G634" s="125">
        <f ca="1">INDIRECT(ADDRESS(29,7,1,,$A634))</f>
        <v>6.001707317073171</v>
      </c>
      <c r="H634" s="24" t="e">
        <f ca="1">INDIRECT(ADDRESS(19,7,1,,$A634))*100^3</f>
        <v>#VALUE!</v>
      </c>
      <c r="I634" s="941">
        <f ca="1">INDIRECT(ADDRESS(53,7,1,,$A634))</f>
        <v>0.97430000000000005</v>
      </c>
      <c r="J634" s="20" t="str">
        <f ca="1">IF($I634=$I$6,K$16&amp;$G$6&amp;J$6,IF($I634=$I$7,K$16&amp;$G$7&amp;J$7,"Bad"))</f>
        <v>100EthPick a Tunnel</v>
      </c>
      <c r="K634" t="e">
        <f ca="1">INDEX(FlowCalGasMixture,MATCH(J634,FlowCalNumber,0),1,1)</f>
        <v>#N/A</v>
      </c>
      <c r="M634" s="944" t="e">
        <f ca="1">INDEX(FlowCalDevice,MATCH(J634,FlowCalNumber,0),1,1)</f>
        <v>#N/A</v>
      </c>
      <c r="N634" s="943" t="str">
        <f ca="1">IF($I634=$I$6,O$16&amp;$G$6&amp;"90"&amp;$H$6&amp;N$6,IF($I634=$I$7,O$16&amp;$G$7&amp;"90"&amp;$H$7&amp;N$7,"Bad"))</f>
        <v>10Eth90N2Pick a Tunnel</v>
      </c>
      <c r="O634" t="e">
        <f ca="1">INDEX(FlowCalGasMixture,MATCH(N634,FlowCalNumber,0),1,1)</f>
        <v>#N/A</v>
      </c>
      <c r="Q634" s="944" t="e">
        <f ca="1">INDEX(FlowCalDevice,MATCH(N634,FlowCalNumber,0),1,1)</f>
        <v>#N/A</v>
      </c>
      <c r="R634" s="943" t="str">
        <f ca="1">IF($I634=$I$6,S$16&amp;$G$6&amp;"90"&amp;$H$6&amp;R$6,IF($I634=$I$7,S$16&amp;$G$7&amp;"90"&amp;$H$7&amp;R$7,"Bad"))</f>
        <v>10Eth90N2Pick a Tunnel</v>
      </c>
      <c r="S634" t="e">
        <f ca="1">INDEX(FlowCalGasMixture,MATCH(R634,FlowCalNumber,0),1,1)</f>
        <v>#N/A</v>
      </c>
      <c r="U634" s="944" t="e">
        <f ca="1">INDEX(FlowCalDevice,MATCH(R634,FlowCalNumber,0),1,1)</f>
        <v>#N/A</v>
      </c>
      <c r="V634" s="20" t="str">
        <f ca="1">IF($I634=$I$6,W$16&amp;$G$6&amp;V$6,IF($I634=$I$7,W$16&amp;$G$7&amp;V$7,"Bad"))</f>
        <v>100EthPick a Tunnel</v>
      </c>
      <c r="W634" t="e">
        <f ca="1">INDEX(FlowCalGasMixture,MATCH(V634,FlowCalNumber,0),1,1)</f>
        <v>#N/A</v>
      </c>
      <c r="Y634" s="944" t="e">
        <f ca="1">INDEX(FlowCalDevice,MATCH(V634,FlowCalNumber,0),1,1)</f>
        <v>#N/A</v>
      </c>
      <c r="Z634" s="946" t="str">
        <f ca="1">IF($I634=$I$6,AA$18&amp;$H$6&amp;Z$6,IF($I634=$I$7,AA$18&amp;$H$7&amp;Z$7,"Bad"))</f>
        <v>100N2Pick a Tunnel</v>
      </c>
      <c r="AA634" t="e">
        <f ca="1">INDEX(FlowCalGasMixture,MATCH(Z634,FlowCalNumber,0),1,1)</f>
        <v>#N/A</v>
      </c>
      <c r="AC634" s="944" t="e">
        <f ca="1">INDEX(FlowCalDevice,MATCH(Z634,FlowCalNumber,0),1,1)</f>
        <v>#N/A</v>
      </c>
      <c r="AD634" s="20" t="str">
        <f ca="1">IF($I634=$I$6,AE$16&amp;$G$6&amp;AD$6,IF($I634=$I$7,AE$16&amp;$G$7&amp;AD$7,"Bad"))</f>
        <v>100EthPick a Tunnel</v>
      </c>
      <c r="AE634" t="e">
        <f ca="1">INDEX(FlowCalGasMixture,MATCH(AD634,FlowCalNumber,0),1,1)</f>
        <v>#N/A</v>
      </c>
      <c r="AG634" s="944" t="e">
        <f ca="1">INDEX(FlowCalDevice,MATCH(AD634,FlowCalNumber,0),1,1)</f>
        <v>#N/A</v>
      </c>
      <c r="AH634" s="946" t="str">
        <f ca="1">IF($I634=$I$6,AI$18&amp;$H$6&amp;AH$6,IF($I634=$I$7,AI$18&amp;$H$7&amp;AH$7,"Bad"))</f>
        <v>100N2Pick a Tunnel</v>
      </c>
      <c r="AI634" t="e">
        <f ca="1">INDEX(FlowCalGasMixture,MATCH(AH634,FlowCalNumber,0),1,1)</f>
        <v>#N/A</v>
      </c>
      <c r="AK634" s="944" t="e">
        <f ca="1">INDEX(FlowCalDevice,MATCH(AH634,FlowCalNumber,0),1,1)</f>
        <v>#N/A</v>
      </c>
      <c r="AL634" s="20"/>
      <c r="AO634" s="982"/>
      <c r="AP634" s="960"/>
      <c r="AS634" s="982"/>
      <c r="AT634" s="20"/>
      <c r="AW634" s="982"/>
      <c r="AX634" s="946"/>
      <c r="BA634" s="982"/>
      <c r="BB634" s="20"/>
      <c r="BC634" s="16"/>
      <c r="BE634" s="982"/>
      <c r="BF634" s="946"/>
      <c r="BG634" s="16"/>
      <c r="BI634" s="982"/>
      <c r="BJ634" s="946"/>
      <c r="BK634" s="16"/>
      <c r="BM634" s="982"/>
      <c r="BN634" s="20"/>
      <c r="BO634" s="16"/>
      <c r="BQ634" s="982"/>
      <c r="BR634" s="946"/>
      <c r="BS634" s="16"/>
      <c r="BU634" s="982"/>
      <c r="BV634" s="946"/>
      <c r="BW634" s="16"/>
      <c r="BY634" s="982"/>
      <c r="BZ634" s="946"/>
      <c r="CA634" s="16"/>
      <c r="CC634" s="982"/>
      <c r="CD634" s="355"/>
      <c r="CE634" s="355"/>
      <c r="CF634" s="355"/>
      <c r="CG634" s="355"/>
      <c r="CH634" s="355"/>
      <c r="CI634" s="355"/>
      <c r="CJ634" s="355"/>
      <c r="CK634" s="355"/>
      <c r="CL634" s="355"/>
      <c r="CM634" s="355"/>
      <c r="CN634" s="355"/>
      <c r="CO634" s="355"/>
      <c r="CP634" s="355"/>
      <c r="CQ634" s="355"/>
      <c r="CR634" s="355"/>
      <c r="CS634" s="355"/>
      <c r="CT634" s="355"/>
      <c r="CU634" s="355"/>
      <c r="CV634" s="355"/>
      <c r="CW634" s="355"/>
      <c r="CX634" s="355"/>
      <c r="CY634" s="355"/>
      <c r="CZ634" s="355"/>
      <c r="DA634" s="355"/>
      <c r="DB634" s="355"/>
      <c r="DC634" s="355"/>
      <c r="DD634" s="355"/>
      <c r="DE634" s="355"/>
      <c r="DF634" s="355"/>
      <c r="DG634" s="355"/>
      <c r="DH634" s="355"/>
      <c r="DI634" s="355"/>
      <c r="DJ634" s="355"/>
      <c r="DK634" s="355"/>
      <c r="DL634" s="46"/>
      <c r="DM634" s="16"/>
      <c r="DO634" s="355"/>
      <c r="DP634" s="42"/>
      <c r="DQ634" s="16"/>
      <c r="DS634" s="355"/>
      <c r="DT634" s="42"/>
      <c r="DU634" s="16"/>
      <c r="DW634" s="355"/>
      <c r="DX634" s="42"/>
      <c r="DY634" s="16"/>
      <c r="EA634" s="355"/>
    </row>
    <row r="635" spans="1:131">
      <c r="A635" s="20"/>
      <c r="B635" s="124" t="str">
        <f t="shared" ref="B635:B649" si="598">IF(D635=UAnem1percent,"1% Wind","")</f>
        <v/>
      </c>
      <c r="C635" s="235"/>
      <c r="D635" s="24">
        <f>'1% Wind'!$M$82</f>
        <v>27</v>
      </c>
      <c r="E635" s="90"/>
      <c r="F635" s="90"/>
      <c r="G635" s="79">
        <f ca="1">IF(I634=0.9743,$G634,MAX(G634/D634*D635,2))</f>
        <v>6.001707317073171</v>
      </c>
      <c r="H635" s="121" t="e">
        <f t="shared" ref="H635:H649" ca="1" si="599">H634*(D634/D635)*(G635/G634)</f>
        <v>#VALUE!</v>
      </c>
      <c r="J635" s="33"/>
      <c r="K635" s="260">
        <f>K$17/100</f>
        <v>1</v>
      </c>
      <c r="L635" s="241" t="e">
        <f ca="1">K635*$H635</f>
        <v>#VALUE!</v>
      </c>
      <c r="M635" s="243" t="e">
        <f ca="1">IF(AND(INDEX(FlowCalConstA,MATCH(J634,FlowCalNumber,0),1,1)*L635^INDEX(FlowCalConstB,MATCH(J634,FlowCalNumber,0),1,1)&gt;INDEX(FlowCalLowSetting,MATCH(J634,FlowCalNumber,0),1,1), (INDEX(FlowCalConstA,MATCH(J634,FlowCalNumber,0),1,1)*L635^INDEX(FlowCalConstB,MATCH(J634,FlowCalNumber,0),1,1)&lt;INDEX(FlowCalHighSetting,MATCH(J634,FlowCalNumber,0),1,1))),INDEX(FlowCalConstA,MATCH(J634,FlowCalNumber,0),1,1)*L635^INDEX(FlowCalConstB,MATCH(J634,FlowCalNumber,0),1,1)," ")</f>
        <v>#N/A</v>
      </c>
      <c r="N635" s="33"/>
      <c r="O635" s="260">
        <f>O$17/100</f>
        <v>1</v>
      </c>
      <c r="P635" s="241" t="e">
        <f ca="1">O635*$H635</f>
        <v>#VALUE!</v>
      </c>
      <c r="Q635" s="243" t="e">
        <f ca="1">IF(AND(INDEX(FlowCalConstA,MATCH(N634,FlowCalNumber,0),1,1)*P635^INDEX(FlowCalConstB,MATCH(N634,FlowCalNumber,0),1,1)&gt;INDEX(FlowCalLowSetting,MATCH(N634,FlowCalNumber,0),1,1), (INDEX(FlowCalConstA,MATCH(N634,FlowCalNumber,0),1,1)*P635^INDEX(FlowCalConstB,MATCH(N634,FlowCalNumber,0),1,1)&lt;INDEX(FlowCalHighSetting,MATCH(N634,FlowCalNumber,0),1,1))),INDEX(FlowCalConstA,MATCH(N634,FlowCalNumber,0),1,1)*P635^INDEX(FlowCalConstB,MATCH(N634,FlowCalNumber,0),1,1)," ")</f>
        <v>#N/A</v>
      </c>
      <c r="R635" s="33"/>
      <c r="S635" s="260">
        <f>S$17/100</f>
        <v>1</v>
      </c>
      <c r="T635" s="241" t="e">
        <f ca="1">S635*$H635</f>
        <v>#VALUE!</v>
      </c>
      <c r="U635" s="244" t="e">
        <f ca="1">IF(AND(INDEX(FlowCalConstA,MATCH(R634,FlowCalNumber,0),1,1)*T635^INDEX(FlowCalConstB,MATCH(R634,FlowCalNumber,0),1,1)&gt;INDEX(FlowCalLowSetting,MATCH(R634,FlowCalNumber,0),1,1), (INDEX(FlowCalConstA,MATCH(R634,FlowCalNumber,0),1,1)*T635^INDEX(FlowCalConstB,MATCH(R634,FlowCalNumber,0),1,1)&lt;INDEX(FlowCalHighSetting,MATCH(R634,FlowCalNumber,0),1,1))),INDEX(FlowCalConstA,MATCH(R634,FlowCalNumber,0),1,1)*T635^INDEX(FlowCalConstB,MATCH(R634,FlowCalNumber,0),1,1)," ")</f>
        <v>#N/A</v>
      </c>
      <c r="V635" s="33"/>
      <c r="W635" s="260">
        <f>W$17/100</f>
        <v>0.1</v>
      </c>
      <c r="X635" s="241" t="e">
        <f ca="1">W635*$H635</f>
        <v>#VALUE!</v>
      </c>
      <c r="Y635" s="243" t="e">
        <f ca="1">IF(AND(INDEX(FlowCalConstA,MATCH(V634,FlowCalNumber,0),1,1)*X635^INDEX(FlowCalConstB,MATCH(V634,FlowCalNumber,0),1,1)&gt;INDEX(FlowCalLowSetting,MATCH(V634,FlowCalNumber,0),1,1), (INDEX(FlowCalConstA,MATCH(V634,FlowCalNumber,0),1,1)*X635^INDEX(FlowCalConstB,MATCH(V634,FlowCalNumber,0),1,1)&lt;INDEX(FlowCalHighSetting,MATCH(V634,FlowCalNumber,0),1,1))),INDEX(FlowCalConstA,MATCH(V634,FlowCalNumber,0),1,1)*X635^INDEX(FlowCalConstB,MATCH(V634,FlowCalNumber,0),1,1)," ")</f>
        <v>#N/A</v>
      </c>
      <c r="Z635" s="33"/>
      <c r="AA635" s="260">
        <f>AA$17/100</f>
        <v>0.9</v>
      </c>
      <c r="AB635" s="241" t="e">
        <f ca="1">AA635*$H635</f>
        <v>#VALUE!</v>
      </c>
      <c r="AC635" s="243" t="e">
        <f ca="1">IF(AND(INDEX(FlowCalConstA,MATCH(Z634,FlowCalNumber,0),1,1)*AB635^INDEX(FlowCalConstB,MATCH(Z634,FlowCalNumber,0),1,1)&gt;INDEX(FlowCalLowSetting,MATCH(Z634,FlowCalNumber,0),1,1), (INDEX(FlowCalConstA,MATCH(Z634,FlowCalNumber,0),1,1)*AB635^INDEX(FlowCalConstB,MATCH(Z634,FlowCalNumber,0),1,1)&lt;INDEX(FlowCalHighSetting,MATCH(Z634,FlowCalNumber,0),1,1))),INDEX(FlowCalConstA,MATCH(Z634,FlowCalNumber,0),1,1)*AB635^INDEX(FlowCalConstB,MATCH(Z634,FlowCalNumber,0),1,1)," ")</f>
        <v>#N/A</v>
      </c>
      <c r="AD635" s="33"/>
      <c r="AE635" s="260">
        <f>AE$17/100</f>
        <v>0.1</v>
      </c>
      <c r="AF635" s="241" t="e">
        <f ca="1">AE635*$H635</f>
        <v>#VALUE!</v>
      </c>
      <c r="AG635" s="243" t="e">
        <f ca="1">IF(AND(INDEX(FlowCalConstA,MATCH(AD634,FlowCalNumber,0),1,1)*AF635^INDEX(FlowCalConstB,MATCH(AD634,FlowCalNumber,0),1,1)&gt;INDEX(FlowCalLowSetting,MATCH(AD634,FlowCalNumber,0),1,1), (INDEX(FlowCalConstA,MATCH(AD634,FlowCalNumber,0),1,1)*AF635^INDEX(FlowCalConstB,MATCH(AD634,FlowCalNumber,0),1,1)&lt;INDEX(FlowCalHighSetting,MATCH(AD634,FlowCalNumber,0),1,1))),INDEX(FlowCalConstA,MATCH(AD634,FlowCalNumber,0),1,1)*AF635^INDEX(FlowCalConstB,MATCH(AD634,FlowCalNumber,0),1,1)," ")</f>
        <v>#N/A</v>
      </c>
      <c r="AH635" s="33"/>
      <c r="AI635" s="260">
        <f>AI$17/100</f>
        <v>0.9</v>
      </c>
      <c r="AJ635" s="241" t="e">
        <f ca="1">AI635*$H635</f>
        <v>#VALUE!</v>
      </c>
      <c r="AK635" s="243" t="e">
        <f ca="1">IF(AND(INDEX(FlowCalConstA,MATCH(AH634,FlowCalNumber,0),1,1)*AJ635^INDEX(FlowCalConstB,MATCH(AH634,FlowCalNumber,0),1,1)&gt;INDEX(FlowCalLowSetting,MATCH(AH634,FlowCalNumber,0),1,1), (INDEX(FlowCalConstA,MATCH(AH634,FlowCalNumber,0),1,1)*AJ635^INDEX(FlowCalConstB,MATCH(AH634,FlowCalNumber,0),1,1)&lt;INDEX(FlowCalHighSetting,MATCH(AH634,FlowCalNumber,0),1,1))),INDEX(FlowCalConstA,MATCH(AH634,FlowCalNumber,0),1,1)*AJ635^INDEX(FlowCalConstB,MATCH(AH634,FlowCalNumber,0),1,1)," ")</f>
        <v>#N/A</v>
      </c>
      <c r="AL635" s="33"/>
      <c r="AM635" s="260"/>
      <c r="AN635" s="241"/>
      <c r="AO635" s="244"/>
      <c r="AQ635" s="260"/>
      <c r="AR635" s="241"/>
      <c r="AS635" s="244"/>
      <c r="AT635" s="33"/>
      <c r="AU635" s="260"/>
      <c r="AV635" s="241"/>
      <c r="AW635" s="244"/>
      <c r="AX635" s="33"/>
      <c r="AY635" s="260"/>
      <c r="AZ635" s="241"/>
      <c r="BA635" s="244"/>
      <c r="BB635" s="33"/>
      <c r="BC635" s="260"/>
      <c r="BD635" s="241"/>
      <c r="BE635" s="244"/>
      <c r="BF635" s="33"/>
      <c r="BG635" s="260"/>
      <c r="BH635" s="241"/>
      <c r="BI635" s="244"/>
      <c r="BJ635" s="33"/>
      <c r="BK635" s="260"/>
      <c r="BL635" s="241"/>
      <c r="BM635" s="244"/>
      <c r="BN635" s="33"/>
      <c r="BO635" s="260"/>
      <c r="BP635" s="241"/>
      <c r="BQ635" s="244"/>
      <c r="BR635" s="33"/>
      <c r="BS635" s="260"/>
      <c r="BT635" s="241"/>
      <c r="BU635" s="244"/>
      <c r="BV635" s="33"/>
      <c r="BW635" s="260"/>
      <c r="BX635" s="241"/>
      <c r="BY635" s="244"/>
      <c r="BZ635" s="33"/>
      <c r="CA635" s="260"/>
      <c r="CB635" s="241"/>
      <c r="CC635" s="244"/>
      <c r="CD635" s="243"/>
      <c r="CE635" s="243"/>
      <c r="CF635" s="243"/>
      <c r="CG635" s="243"/>
      <c r="CH635" s="243"/>
      <c r="CI635" s="243"/>
      <c r="CJ635" s="243"/>
      <c r="CK635" s="243"/>
      <c r="CL635" s="243"/>
      <c r="CM635" s="243"/>
      <c r="CN635" s="243"/>
      <c r="CO635" s="243"/>
      <c r="CP635" s="243"/>
      <c r="CQ635" s="243"/>
      <c r="CR635" s="243"/>
      <c r="CS635" s="243"/>
      <c r="CT635" s="243"/>
      <c r="CU635" s="243"/>
      <c r="CV635" s="243"/>
      <c r="CW635" s="243"/>
      <c r="CX635" s="243"/>
      <c r="CY635" s="243"/>
      <c r="CZ635" s="243"/>
      <c r="DA635" s="243"/>
      <c r="DB635" s="243"/>
      <c r="DC635" s="243"/>
      <c r="DD635" s="243"/>
      <c r="DE635" s="243"/>
      <c r="DF635" s="243"/>
      <c r="DG635" s="243"/>
      <c r="DH635" s="243"/>
      <c r="DI635" s="243"/>
      <c r="DJ635" s="243"/>
      <c r="DK635" s="243"/>
      <c r="DM635" s="259"/>
      <c r="DO635" s="243"/>
      <c r="DQ635" s="259"/>
      <c r="DS635" s="243"/>
      <c r="DU635" s="259"/>
      <c r="DW635" s="243"/>
      <c r="DY635" s="260"/>
      <c r="EA635" s="243"/>
    </row>
    <row r="636" spans="1:131">
      <c r="A636" s="20"/>
      <c r="B636" s="124" t="str">
        <f t="shared" si="598"/>
        <v/>
      </c>
      <c r="C636" s="235"/>
      <c r="D636" s="24">
        <f>'1% Wind'!$M$83</f>
        <v>23.5</v>
      </c>
      <c r="E636" s="90"/>
      <c r="F636" s="90"/>
      <c r="G636" s="79">
        <f ca="1">IF(I634=0.9743,$G635,MAX(G635/D635*D636,2))</f>
        <v>6.001707317073171</v>
      </c>
      <c r="H636" s="121" t="e">
        <f t="shared" ca="1" si="599"/>
        <v>#VALUE!</v>
      </c>
      <c r="J636" s="33"/>
      <c r="K636" s="242">
        <f t="shared" ref="K636:K649" si="600">K635</f>
        <v>1</v>
      </c>
      <c r="L636" s="241" t="e">
        <f t="shared" ref="L636:L649" ca="1" si="601">K636*$H636</f>
        <v>#VALUE!</v>
      </c>
      <c r="M636" s="243" t="e">
        <f ca="1">IF(AND(INDEX(FlowCalConstA,MATCH(J634,FlowCalNumber,0),1,1)*L636^INDEX(FlowCalConstB,MATCH(J634,FlowCalNumber,0),1,1)&gt;INDEX(FlowCalLowSetting,MATCH(J634,FlowCalNumber,0),1,1), (INDEX(FlowCalConstA,MATCH(J634,FlowCalNumber,0),1,1)*L636^INDEX(FlowCalConstB,MATCH(J634,FlowCalNumber,0),1,1)&lt;INDEX(FlowCalHighSetting,MATCH(J634,FlowCalNumber,0),1,1))),INDEX(FlowCalConstA,MATCH(J634,FlowCalNumber,0),1,1)*L636^INDEX(FlowCalConstB,MATCH(J634,FlowCalNumber,0),1,1)," ")</f>
        <v>#N/A</v>
      </c>
      <c r="N636" s="33"/>
      <c r="O636" s="242">
        <f t="shared" ref="O636:O649" si="602">O635</f>
        <v>1</v>
      </c>
      <c r="P636" s="241" t="e">
        <f t="shared" ref="P636:P649" ca="1" si="603">O636*$H636</f>
        <v>#VALUE!</v>
      </c>
      <c r="Q636" s="243" t="e">
        <f ca="1">IF(AND(INDEX(FlowCalConstA,MATCH(N634,FlowCalNumber,0),1,1)*P636^INDEX(FlowCalConstB,MATCH(N634,FlowCalNumber,0),1,1)&gt;INDEX(FlowCalLowSetting,MATCH(N634,FlowCalNumber,0),1,1), (INDEX(FlowCalConstA,MATCH(N634,FlowCalNumber,0),1,1)*P636^INDEX(FlowCalConstB,MATCH(N634,FlowCalNumber,0),1,1)&lt;INDEX(FlowCalHighSetting,MATCH(N634,FlowCalNumber,0),1,1))),INDEX(FlowCalConstA,MATCH(N634,FlowCalNumber,0),1,1)*P636^INDEX(FlowCalConstB,MATCH(N634,FlowCalNumber,0),1,1)," ")</f>
        <v>#N/A</v>
      </c>
      <c r="R636" s="33"/>
      <c r="S636" s="242">
        <f t="shared" ref="S636:S649" si="604">S635</f>
        <v>1</v>
      </c>
      <c r="T636" s="241" t="e">
        <f t="shared" ref="T636:T649" ca="1" si="605">S636*$H636</f>
        <v>#VALUE!</v>
      </c>
      <c r="U636" s="244" t="e">
        <f ca="1">IF(AND(INDEX(FlowCalConstA,MATCH(R634,FlowCalNumber,0),1,1)*T636^INDEX(FlowCalConstB,MATCH(R634,FlowCalNumber,0),1,1)&gt;INDEX(FlowCalLowSetting,MATCH(R634,FlowCalNumber,0),1,1), (INDEX(FlowCalConstA,MATCH(R634,FlowCalNumber,0),1,1)*T636^INDEX(FlowCalConstB,MATCH(R634,FlowCalNumber,0),1,1)&lt;INDEX(FlowCalHighSetting,MATCH(R634,FlowCalNumber,0),1,1))),INDEX(FlowCalConstA,MATCH(R634,FlowCalNumber,0),1,1)*T636^INDEX(FlowCalConstB,MATCH(R634,FlowCalNumber,0),1,1)," ")</f>
        <v>#N/A</v>
      </c>
      <c r="V636" s="33"/>
      <c r="W636" s="242">
        <f t="shared" ref="W636:W649" si="606">W635</f>
        <v>0.1</v>
      </c>
      <c r="X636" s="241" t="e">
        <f t="shared" ref="X636:X649" ca="1" si="607">W636*$H636</f>
        <v>#VALUE!</v>
      </c>
      <c r="Y636" s="243" t="e">
        <f ca="1">IF(AND(INDEX(FlowCalConstA,MATCH(V634,FlowCalNumber,0),1,1)*X636^INDEX(FlowCalConstB,MATCH(V634,FlowCalNumber,0),1,1)&gt;INDEX(FlowCalLowSetting,MATCH(V634,FlowCalNumber,0),1,1), (INDEX(FlowCalConstA,MATCH(V634,FlowCalNumber,0),1,1)*X636^INDEX(FlowCalConstB,MATCH(V634,FlowCalNumber,0),1,1)&lt;INDEX(FlowCalHighSetting,MATCH(V634,FlowCalNumber,0),1,1))),INDEX(FlowCalConstA,MATCH(V634,FlowCalNumber,0),1,1)*X636^INDEX(FlowCalConstB,MATCH(V634,FlowCalNumber,0),1,1)," ")</f>
        <v>#N/A</v>
      </c>
      <c r="Z636" s="33"/>
      <c r="AA636" s="242">
        <f t="shared" ref="AA636:AA649" si="608">AA635</f>
        <v>0.9</v>
      </c>
      <c r="AB636" s="241" t="e">
        <f t="shared" ref="AB636:AB649" ca="1" si="609">AA636*$H636</f>
        <v>#VALUE!</v>
      </c>
      <c r="AC636" s="243" t="e">
        <f ca="1">IF(AND(INDEX(FlowCalConstA,MATCH(Z634,FlowCalNumber,0),1,1)*AB636^INDEX(FlowCalConstB,MATCH(Z634,FlowCalNumber,0),1,1)&gt;INDEX(FlowCalLowSetting,MATCH(Z634,FlowCalNumber,0),1,1), (INDEX(FlowCalConstA,MATCH(Z634,FlowCalNumber,0),1,1)*AB636^INDEX(FlowCalConstB,MATCH(Z634,FlowCalNumber,0),1,1)&lt;INDEX(FlowCalHighSetting,MATCH(Z634,FlowCalNumber,0),1,1))),INDEX(FlowCalConstA,MATCH(Z634,FlowCalNumber,0),1,1)*AB636^INDEX(FlowCalConstB,MATCH(Z634,FlowCalNumber,0),1,1)," ")</f>
        <v>#N/A</v>
      </c>
      <c r="AD636" s="33"/>
      <c r="AE636" s="242">
        <f t="shared" ref="AE636:AE649" si="610">AE635</f>
        <v>0.1</v>
      </c>
      <c r="AF636" s="241" t="e">
        <f t="shared" ref="AF636:AF649" ca="1" si="611">AE636*$H636</f>
        <v>#VALUE!</v>
      </c>
      <c r="AG636" s="243" t="e">
        <f ca="1">IF(AND(INDEX(FlowCalConstA,MATCH(AD634,FlowCalNumber,0),1,1)*AF636^INDEX(FlowCalConstB,MATCH(AD634,FlowCalNumber,0),1,1)&gt;INDEX(FlowCalLowSetting,MATCH(AD634,FlowCalNumber,0),1,1), (INDEX(FlowCalConstA,MATCH(AD634,FlowCalNumber,0),1,1)*AF636^INDEX(FlowCalConstB,MATCH(AD634,FlowCalNumber,0),1,1)&lt;INDEX(FlowCalHighSetting,MATCH(AD634,FlowCalNumber,0),1,1))),INDEX(FlowCalConstA,MATCH(AD634,FlowCalNumber,0),1,1)*AF636^INDEX(FlowCalConstB,MATCH(AD634,FlowCalNumber,0),1,1)," ")</f>
        <v>#N/A</v>
      </c>
      <c r="AH636" s="33"/>
      <c r="AI636" s="242">
        <f t="shared" ref="AI636:AI649" si="612">AI635</f>
        <v>0.9</v>
      </c>
      <c r="AJ636" s="241" t="e">
        <f t="shared" ref="AJ636:AJ649" ca="1" si="613">AI636*$H636</f>
        <v>#VALUE!</v>
      </c>
      <c r="AK636" s="243" t="e">
        <f ca="1">IF(AND(INDEX(FlowCalConstA,MATCH(AH634,FlowCalNumber,0),1,1)*AJ636^INDEX(FlowCalConstB,MATCH(AH634,FlowCalNumber,0),1,1)&gt;INDEX(FlowCalLowSetting,MATCH(AH634,FlowCalNumber,0),1,1), (INDEX(FlowCalConstA,MATCH(AH634,FlowCalNumber,0),1,1)*AJ636^INDEX(FlowCalConstB,MATCH(AH634,FlowCalNumber,0),1,1)&lt;INDEX(FlowCalHighSetting,MATCH(AH634,FlowCalNumber,0),1,1))),INDEX(FlowCalConstA,MATCH(AH634,FlowCalNumber,0),1,1)*AJ636^INDEX(FlowCalConstB,MATCH(AH634,FlowCalNumber,0),1,1)," ")</f>
        <v>#N/A</v>
      </c>
      <c r="AL636" s="33"/>
      <c r="AM636" s="242"/>
      <c r="AN636" s="241"/>
      <c r="AO636" s="244"/>
      <c r="AQ636" s="242"/>
      <c r="AR636" s="241"/>
      <c r="AS636" s="244"/>
      <c r="AT636" s="33"/>
      <c r="AU636" s="242"/>
      <c r="AV636" s="241"/>
      <c r="AW636" s="244"/>
      <c r="AX636" s="33"/>
      <c r="AY636" s="242"/>
      <c r="AZ636" s="241"/>
      <c r="BA636" s="244"/>
      <c r="BB636" s="33"/>
      <c r="BC636" s="242"/>
      <c r="BD636" s="241"/>
      <c r="BE636" s="244"/>
      <c r="BF636" s="33"/>
      <c r="BG636" s="242"/>
      <c r="BH636" s="241"/>
      <c r="BI636" s="244"/>
      <c r="BJ636" s="33"/>
      <c r="BK636" s="242"/>
      <c r="BL636" s="241"/>
      <c r="BM636" s="244"/>
      <c r="BN636" s="33"/>
      <c r="BO636" s="242"/>
      <c r="BP636" s="241"/>
      <c r="BQ636" s="244"/>
      <c r="BR636" s="33"/>
      <c r="BS636" s="242"/>
      <c r="BT636" s="241"/>
      <c r="BU636" s="244"/>
      <c r="BV636" s="33"/>
      <c r="BW636" s="242"/>
      <c r="BX636" s="241"/>
      <c r="BY636" s="244"/>
      <c r="BZ636" s="33"/>
      <c r="CA636" s="242"/>
      <c r="CB636" s="241"/>
      <c r="CC636" s="244"/>
      <c r="CD636" s="243"/>
      <c r="CE636" s="243"/>
      <c r="CF636" s="243"/>
      <c r="CG636" s="243"/>
      <c r="CH636" s="243"/>
      <c r="CI636" s="243"/>
      <c r="CJ636" s="243"/>
      <c r="CK636" s="243"/>
      <c r="CL636" s="243"/>
      <c r="CM636" s="243"/>
      <c r="CN636" s="243"/>
      <c r="CO636" s="243"/>
      <c r="CP636" s="243"/>
      <c r="CQ636" s="243"/>
      <c r="CR636" s="243"/>
      <c r="CS636" s="243"/>
      <c r="CT636" s="243"/>
      <c r="CU636" s="243"/>
      <c r="CV636" s="243"/>
      <c r="CW636" s="243"/>
      <c r="CX636" s="243"/>
      <c r="CY636" s="243"/>
      <c r="CZ636" s="243"/>
      <c r="DA636" s="243"/>
      <c r="DB636" s="243"/>
      <c r="DC636" s="243"/>
      <c r="DD636" s="243"/>
      <c r="DE636" s="243"/>
      <c r="DF636" s="243"/>
      <c r="DG636" s="243"/>
      <c r="DH636" s="243"/>
      <c r="DI636" s="243"/>
      <c r="DJ636" s="243"/>
      <c r="DK636" s="243"/>
      <c r="DM636" s="242"/>
      <c r="DO636" s="243"/>
      <c r="DQ636" s="242"/>
      <c r="DS636" s="243"/>
      <c r="DU636" s="242"/>
      <c r="DW636" s="243"/>
      <c r="DY636" s="242"/>
      <c r="EA636" s="243"/>
    </row>
    <row r="637" spans="1:131">
      <c r="A637" s="20"/>
      <c r="B637" s="124" t="str">
        <f t="shared" si="598"/>
        <v/>
      </c>
      <c r="C637" s="235"/>
      <c r="D637" s="24">
        <f>'1% Wind'!$M$84</f>
        <v>20.5</v>
      </c>
      <c r="E637" s="90"/>
      <c r="F637" s="90"/>
      <c r="G637" s="79">
        <f ca="1">IF(I634=0.9743,$G636,MAX(G636/D636*D637,2))</f>
        <v>6.001707317073171</v>
      </c>
      <c r="H637" s="121" t="e">
        <f t="shared" ca="1" si="599"/>
        <v>#VALUE!</v>
      </c>
      <c r="J637" s="33"/>
      <c r="K637" s="242">
        <f t="shared" si="600"/>
        <v>1</v>
      </c>
      <c r="L637" s="241" t="e">
        <f t="shared" ca="1" si="601"/>
        <v>#VALUE!</v>
      </c>
      <c r="M637" s="243" t="e">
        <f ca="1">IF(AND(INDEX(FlowCalConstA,MATCH(J634,FlowCalNumber,0),1,1)*L637^INDEX(FlowCalConstB,MATCH(J634,FlowCalNumber,0),1,1)&gt;INDEX(FlowCalLowSetting,MATCH(J634,FlowCalNumber,0),1,1), (INDEX(FlowCalConstA,MATCH(J634,FlowCalNumber,0),1,1)*L637^INDEX(FlowCalConstB,MATCH(J634,FlowCalNumber,0),1,1)&lt;INDEX(FlowCalHighSetting,MATCH(J634,FlowCalNumber,0),1,1))),INDEX(FlowCalConstA,MATCH(J634,FlowCalNumber,0),1,1)*L637^INDEX(FlowCalConstB,MATCH(J634,FlowCalNumber,0),1,1)," ")</f>
        <v>#N/A</v>
      </c>
      <c r="N637" s="33"/>
      <c r="O637" s="242">
        <f t="shared" si="602"/>
        <v>1</v>
      </c>
      <c r="P637" s="241" t="e">
        <f t="shared" ca="1" si="603"/>
        <v>#VALUE!</v>
      </c>
      <c r="Q637" s="243" t="e">
        <f ca="1">IF(AND(INDEX(FlowCalConstA,MATCH(N634,FlowCalNumber,0),1,1)*P637^INDEX(FlowCalConstB,MATCH(N634,FlowCalNumber,0),1,1)&gt;INDEX(FlowCalLowSetting,MATCH(N634,FlowCalNumber,0),1,1), (INDEX(FlowCalConstA,MATCH(N634,FlowCalNumber,0),1,1)*P637^INDEX(FlowCalConstB,MATCH(N634,FlowCalNumber,0),1,1)&lt;INDEX(FlowCalHighSetting,MATCH(N634,FlowCalNumber,0),1,1))),INDEX(FlowCalConstA,MATCH(N634,FlowCalNumber,0),1,1)*P637^INDEX(FlowCalConstB,MATCH(N634,FlowCalNumber,0),1,1)," ")</f>
        <v>#N/A</v>
      </c>
      <c r="R637" s="33"/>
      <c r="S637" s="242">
        <f t="shared" si="604"/>
        <v>1</v>
      </c>
      <c r="T637" s="241" t="e">
        <f t="shared" ca="1" si="605"/>
        <v>#VALUE!</v>
      </c>
      <c r="U637" s="244" t="e">
        <f ca="1">IF(AND(INDEX(FlowCalConstA,MATCH(R634,FlowCalNumber,0),1,1)*T637^INDEX(FlowCalConstB,MATCH(R634,FlowCalNumber,0),1,1)&gt;INDEX(FlowCalLowSetting,MATCH(R634,FlowCalNumber,0),1,1), (INDEX(FlowCalConstA,MATCH(R634,FlowCalNumber,0),1,1)*T637^INDEX(FlowCalConstB,MATCH(R634,FlowCalNumber,0),1,1)&lt;INDEX(FlowCalHighSetting,MATCH(R634,FlowCalNumber,0),1,1))),INDEX(FlowCalConstA,MATCH(R634,FlowCalNumber,0),1,1)*T637^INDEX(FlowCalConstB,MATCH(R634,FlowCalNumber,0),1,1)," ")</f>
        <v>#N/A</v>
      </c>
      <c r="V637" s="33"/>
      <c r="W637" s="242">
        <f t="shared" si="606"/>
        <v>0.1</v>
      </c>
      <c r="X637" s="241" t="e">
        <f t="shared" ca="1" si="607"/>
        <v>#VALUE!</v>
      </c>
      <c r="Y637" s="243" t="e">
        <f ca="1">IF(AND(INDEX(FlowCalConstA,MATCH(V634,FlowCalNumber,0),1,1)*X637^INDEX(FlowCalConstB,MATCH(V634,FlowCalNumber,0),1,1)&gt;INDEX(FlowCalLowSetting,MATCH(V634,FlowCalNumber,0),1,1), (INDEX(FlowCalConstA,MATCH(V634,FlowCalNumber,0),1,1)*X637^INDEX(FlowCalConstB,MATCH(V634,FlowCalNumber,0),1,1)&lt;INDEX(FlowCalHighSetting,MATCH(V634,FlowCalNumber,0),1,1))),INDEX(FlowCalConstA,MATCH(V634,FlowCalNumber,0),1,1)*X637^INDEX(FlowCalConstB,MATCH(V634,FlowCalNumber,0),1,1)," ")</f>
        <v>#N/A</v>
      </c>
      <c r="Z637" s="33"/>
      <c r="AA637" s="242">
        <f t="shared" si="608"/>
        <v>0.9</v>
      </c>
      <c r="AB637" s="241" t="e">
        <f t="shared" ca="1" si="609"/>
        <v>#VALUE!</v>
      </c>
      <c r="AC637" s="243" t="e">
        <f ca="1">IF(AND(INDEX(FlowCalConstA,MATCH(Z634,FlowCalNumber,0),1,1)*AB637^INDEX(FlowCalConstB,MATCH(Z634,FlowCalNumber,0),1,1)&gt;INDEX(FlowCalLowSetting,MATCH(Z634,FlowCalNumber,0),1,1), (INDEX(FlowCalConstA,MATCH(Z634,FlowCalNumber,0),1,1)*AB637^INDEX(FlowCalConstB,MATCH(Z634,FlowCalNumber,0),1,1)&lt;INDEX(FlowCalHighSetting,MATCH(Z634,FlowCalNumber,0),1,1))),INDEX(FlowCalConstA,MATCH(Z634,FlowCalNumber,0),1,1)*AB637^INDEX(FlowCalConstB,MATCH(Z634,FlowCalNumber,0),1,1)," ")</f>
        <v>#N/A</v>
      </c>
      <c r="AD637" s="33"/>
      <c r="AE637" s="242">
        <f t="shared" si="610"/>
        <v>0.1</v>
      </c>
      <c r="AF637" s="241" t="e">
        <f t="shared" ca="1" si="611"/>
        <v>#VALUE!</v>
      </c>
      <c r="AG637" s="243" t="e">
        <f ca="1">IF(AND(INDEX(FlowCalConstA,MATCH(AD634,FlowCalNumber,0),1,1)*AF637^INDEX(FlowCalConstB,MATCH(AD634,FlowCalNumber,0),1,1)&gt;INDEX(FlowCalLowSetting,MATCH(AD634,FlowCalNumber,0),1,1), (INDEX(FlowCalConstA,MATCH(AD634,FlowCalNumber,0),1,1)*AF637^INDEX(FlowCalConstB,MATCH(AD634,FlowCalNumber,0),1,1)&lt;INDEX(FlowCalHighSetting,MATCH(AD634,FlowCalNumber,0),1,1))),INDEX(FlowCalConstA,MATCH(AD634,FlowCalNumber,0),1,1)*AF637^INDEX(FlowCalConstB,MATCH(AD634,FlowCalNumber,0),1,1)," ")</f>
        <v>#N/A</v>
      </c>
      <c r="AH637" s="33"/>
      <c r="AI637" s="242">
        <f t="shared" si="612"/>
        <v>0.9</v>
      </c>
      <c r="AJ637" s="241" t="e">
        <f t="shared" ca="1" si="613"/>
        <v>#VALUE!</v>
      </c>
      <c r="AK637" s="243" t="e">
        <f ca="1">IF(AND(INDEX(FlowCalConstA,MATCH(AH634,FlowCalNumber,0),1,1)*AJ637^INDEX(FlowCalConstB,MATCH(AH634,FlowCalNumber,0),1,1)&gt;INDEX(FlowCalLowSetting,MATCH(AH634,FlowCalNumber,0),1,1), (INDEX(FlowCalConstA,MATCH(AH634,FlowCalNumber,0),1,1)*AJ637^INDEX(FlowCalConstB,MATCH(AH634,FlowCalNumber,0),1,1)&lt;INDEX(FlowCalHighSetting,MATCH(AH634,FlowCalNumber,0),1,1))),INDEX(FlowCalConstA,MATCH(AH634,FlowCalNumber,0),1,1)*AJ637^INDEX(FlowCalConstB,MATCH(AH634,FlowCalNumber,0),1,1)," ")</f>
        <v>#N/A</v>
      </c>
      <c r="AL637" s="33"/>
      <c r="AM637" s="242"/>
      <c r="AN637" s="241"/>
      <c r="AO637" s="244"/>
      <c r="AQ637" s="242"/>
      <c r="AR637" s="241"/>
      <c r="AS637" s="244"/>
      <c r="AT637" s="33"/>
      <c r="AU637" s="242"/>
      <c r="AV637" s="241"/>
      <c r="AW637" s="244"/>
      <c r="AX637" s="33"/>
      <c r="AY637" s="242"/>
      <c r="AZ637" s="241"/>
      <c r="BA637" s="244"/>
      <c r="BB637" s="33"/>
      <c r="BC637" s="242"/>
      <c r="BD637" s="241"/>
      <c r="BE637" s="244"/>
      <c r="BF637" s="33"/>
      <c r="BG637" s="242"/>
      <c r="BH637" s="241"/>
      <c r="BI637" s="244"/>
      <c r="BJ637" s="33"/>
      <c r="BK637" s="242"/>
      <c r="BL637" s="241"/>
      <c r="BM637" s="244"/>
      <c r="BN637" s="33"/>
      <c r="BO637" s="242"/>
      <c r="BP637" s="241"/>
      <c r="BQ637" s="244"/>
      <c r="BR637" s="33"/>
      <c r="BS637" s="242"/>
      <c r="BT637" s="241"/>
      <c r="BU637" s="244"/>
      <c r="BV637" s="33"/>
      <c r="BW637" s="242"/>
      <c r="BX637" s="241"/>
      <c r="BY637" s="244"/>
      <c r="BZ637" s="33"/>
      <c r="CA637" s="242"/>
      <c r="CB637" s="241"/>
      <c r="CC637" s="244"/>
      <c r="CD637" s="243"/>
      <c r="CE637" s="243"/>
      <c r="CF637" s="243"/>
      <c r="CG637" s="243"/>
      <c r="CH637" s="243"/>
      <c r="CI637" s="243"/>
      <c r="CJ637" s="243"/>
      <c r="CK637" s="243"/>
      <c r="CL637" s="243"/>
      <c r="CM637" s="243"/>
      <c r="CN637" s="243"/>
      <c r="CO637" s="243"/>
      <c r="CP637" s="243"/>
      <c r="CQ637" s="243"/>
      <c r="CR637" s="243"/>
      <c r="CS637" s="243"/>
      <c r="CT637" s="243"/>
      <c r="CU637" s="243"/>
      <c r="CV637" s="243"/>
      <c r="CW637" s="243"/>
      <c r="CX637" s="243"/>
      <c r="CY637" s="243"/>
      <c r="CZ637" s="243"/>
      <c r="DA637" s="243"/>
      <c r="DB637" s="243"/>
      <c r="DC637" s="243"/>
      <c r="DD637" s="243"/>
      <c r="DE637" s="243"/>
      <c r="DF637" s="243"/>
      <c r="DG637" s="243"/>
      <c r="DH637" s="243"/>
      <c r="DI637" s="243"/>
      <c r="DJ637" s="243"/>
      <c r="DK637" s="243"/>
      <c r="DM637" s="242"/>
      <c r="DO637" s="243"/>
      <c r="DQ637" s="242"/>
      <c r="DS637" s="243"/>
      <c r="DU637" s="242"/>
      <c r="DW637" s="243"/>
      <c r="DY637" s="242"/>
      <c r="EA637" s="243"/>
    </row>
    <row r="638" spans="1:131">
      <c r="A638" s="20"/>
      <c r="B638" s="124" t="str">
        <f t="shared" si="598"/>
        <v/>
      </c>
      <c r="C638" s="235"/>
      <c r="D638" s="24">
        <f>'1% Wind'!$M$85</f>
        <v>17.8</v>
      </c>
      <c r="E638" s="90"/>
      <c r="F638" s="90"/>
      <c r="G638" s="79">
        <f ca="1">IF(I634=0.9743,$G637,MAX(G637/D637*D638,2))</f>
        <v>6.001707317073171</v>
      </c>
      <c r="H638" s="121" t="e">
        <f t="shared" ca="1" si="599"/>
        <v>#VALUE!</v>
      </c>
      <c r="J638" s="33"/>
      <c r="K638" s="242">
        <f t="shared" si="600"/>
        <v>1</v>
      </c>
      <c r="L638" s="241" t="e">
        <f t="shared" ca="1" si="601"/>
        <v>#VALUE!</v>
      </c>
      <c r="M638" s="243" t="e">
        <f ca="1">IF(AND(INDEX(FlowCalConstA,MATCH(J634,FlowCalNumber,0),1,1)*L638^INDEX(FlowCalConstB,MATCH(J634,FlowCalNumber,0),1,1)&gt;INDEX(FlowCalLowSetting,MATCH(J634,FlowCalNumber,0),1,1), (INDEX(FlowCalConstA,MATCH(J634,FlowCalNumber,0),1,1)*L638^INDEX(FlowCalConstB,MATCH(J634,FlowCalNumber,0),1,1)&lt;INDEX(FlowCalHighSetting,MATCH(J634,FlowCalNumber,0),1,1))),INDEX(FlowCalConstA,MATCH(J634,FlowCalNumber,0),1,1)*L638^INDEX(FlowCalConstB,MATCH(J634,FlowCalNumber,0),1,1)," ")</f>
        <v>#N/A</v>
      </c>
      <c r="N638" s="33"/>
      <c r="O638" s="242">
        <f t="shared" si="602"/>
        <v>1</v>
      </c>
      <c r="P638" s="241" t="e">
        <f t="shared" ca="1" si="603"/>
        <v>#VALUE!</v>
      </c>
      <c r="Q638" s="243" t="e">
        <f ca="1">IF(AND(INDEX(FlowCalConstA,MATCH(N634,FlowCalNumber,0),1,1)*P638^INDEX(FlowCalConstB,MATCH(N634,FlowCalNumber,0),1,1)&gt;INDEX(FlowCalLowSetting,MATCH(N634,FlowCalNumber,0),1,1), (INDEX(FlowCalConstA,MATCH(N634,FlowCalNumber,0),1,1)*P638^INDEX(FlowCalConstB,MATCH(N634,FlowCalNumber,0),1,1)&lt;INDEX(FlowCalHighSetting,MATCH(N634,FlowCalNumber,0),1,1))),INDEX(FlowCalConstA,MATCH(N634,FlowCalNumber,0),1,1)*P638^INDEX(FlowCalConstB,MATCH(N634,FlowCalNumber,0),1,1)," ")</f>
        <v>#N/A</v>
      </c>
      <c r="R638" s="33"/>
      <c r="S638" s="242">
        <f t="shared" si="604"/>
        <v>1</v>
      </c>
      <c r="T638" s="241" t="e">
        <f t="shared" ca="1" si="605"/>
        <v>#VALUE!</v>
      </c>
      <c r="U638" s="244" t="e">
        <f ca="1">IF(AND(INDEX(FlowCalConstA,MATCH(R634,FlowCalNumber,0),1,1)*T638^INDEX(FlowCalConstB,MATCH(R634,FlowCalNumber,0),1,1)&gt;INDEX(FlowCalLowSetting,MATCH(R634,FlowCalNumber,0),1,1), (INDEX(FlowCalConstA,MATCH(R634,FlowCalNumber,0),1,1)*T638^INDEX(FlowCalConstB,MATCH(R634,FlowCalNumber,0),1,1)&lt;INDEX(FlowCalHighSetting,MATCH(R634,FlowCalNumber,0),1,1))),INDEX(FlowCalConstA,MATCH(R634,FlowCalNumber,0),1,1)*T638^INDEX(FlowCalConstB,MATCH(R634,FlowCalNumber,0),1,1)," ")</f>
        <v>#N/A</v>
      </c>
      <c r="V638" s="33"/>
      <c r="W638" s="242">
        <f t="shared" si="606"/>
        <v>0.1</v>
      </c>
      <c r="X638" s="241" t="e">
        <f t="shared" ca="1" si="607"/>
        <v>#VALUE!</v>
      </c>
      <c r="Y638" s="243" t="e">
        <f ca="1">IF(AND(INDEX(FlowCalConstA,MATCH(V634,FlowCalNumber,0),1,1)*X638^INDEX(FlowCalConstB,MATCH(V634,FlowCalNumber,0),1,1)&gt;INDEX(FlowCalLowSetting,MATCH(V634,FlowCalNumber,0),1,1), (INDEX(FlowCalConstA,MATCH(V634,FlowCalNumber,0),1,1)*X638^INDEX(FlowCalConstB,MATCH(V634,FlowCalNumber,0),1,1)&lt;INDEX(FlowCalHighSetting,MATCH(V634,FlowCalNumber,0),1,1))),INDEX(FlowCalConstA,MATCH(V634,FlowCalNumber,0),1,1)*X638^INDEX(FlowCalConstB,MATCH(V634,FlowCalNumber,0),1,1)," ")</f>
        <v>#N/A</v>
      </c>
      <c r="Z638" s="33"/>
      <c r="AA638" s="242">
        <f t="shared" si="608"/>
        <v>0.9</v>
      </c>
      <c r="AB638" s="241" t="e">
        <f t="shared" ca="1" si="609"/>
        <v>#VALUE!</v>
      </c>
      <c r="AC638" s="243" t="e">
        <f ca="1">IF(AND(INDEX(FlowCalConstA,MATCH(Z634,FlowCalNumber,0),1,1)*AB638^INDEX(FlowCalConstB,MATCH(Z634,FlowCalNumber,0),1,1)&gt;INDEX(FlowCalLowSetting,MATCH(Z634,FlowCalNumber,0),1,1), (INDEX(FlowCalConstA,MATCH(Z634,FlowCalNumber,0),1,1)*AB638^INDEX(FlowCalConstB,MATCH(Z634,FlowCalNumber,0),1,1)&lt;INDEX(FlowCalHighSetting,MATCH(Z634,FlowCalNumber,0),1,1))),INDEX(FlowCalConstA,MATCH(Z634,FlowCalNumber,0),1,1)*AB638^INDEX(FlowCalConstB,MATCH(Z634,FlowCalNumber,0),1,1)," ")</f>
        <v>#N/A</v>
      </c>
      <c r="AD638" s="33"/>
      <c r="AE638" s="242">
        <f t="shared" si="610"/>
        <v>0.1</v>
      </c>
      <c r="AF638" s="241" t="e">
        <f t="shared" ca="1" si="611"/>
        <v>#VALUE!</v>
      </c>
      <c r="AG638" s="243" t="e">
        <f ca="1">IF(AND(INDEX(FlowCalConstA,MATCH(AD634,FlowCalNumber,0),1,1)*AF638^INDEX(FlowCalConstB,MATCH(AD634,FlowCalNumber,0),1,1)&gt;INDEX(FlowCalLowSetting,MATCH(AD634,FlowCalNumber,0),1,1), (INDEX(FlowCalConstA,MATCH(AD634,FlowCalNumber,0),1,1)*AF638^INDEX(FlowCalConstB,MATCH(AD634,FlowCalNumber,0),1,1)&lt;INDEX(FlowCalHighSetting,MATCH(AD634,FlowCalNumber,0),1,1))),INDEX(FlowCalConstA,MATCH(AD634,FlowCalNumber,0),1,1)*AF638^INDEX(FlowCalConstB,MATCH(AD634,FlowCalNumber,0),1,1)," ")</f>
        <v>#N/A</v>
      </c>
      <c r="AH638" s="33"/>
      <c r="AI638" s="242">
        <f t="shared" si="612"/>
        <v>0.9</v>
      </c>
      <c r="AJ638" s="241" t="e">
        <f t="shared" ca="1" si="613"/>
        <v>#VALUE!</v>
      </c>
      <c r="AK638" s="243" t="e">
        <f ca="1">IF(AND(INDEX(FlowCalConstA,MATCH(AH634,FlowCalNumber,0),1,1)*AJ638^INDEX(FlowCalConstB,MATCH(AH634,FlowCalNumber,0),1,1)&gt;INDEX(FlowCalLowSetting,MATCH(AH634,FlowCalNumber,0),1,1), (INDEX(FlowCalConstA,MATCH(AH634,FlowCalNumber,0),1,1)*AJ638^INDEX(FlowCalConstB,MATCH(AH634,FlowCalNumber,0),1,1)&lt;INDEX(FlowCalHighSetting,MATCH(AH634,FlowCalNumber,0),1,1))),INDEX(FlowCalConstA,MATCH(AH634,FlowCalNumber,0),1,1)*AJ638^INDEX(FlowCalConstB,MATCH(AH634,FlowCalNumber,0),1,1)," ")</f>
        <v>#N/A</v>
      </c>
      <c r="AL638" s="33"/>
      <c r="AM638" s="242"/>
      <c r="AN638" s="241"/>
      <c r="AO638" s="244"/>
      <c r="AQ638" s="242"/>
      <c r="AR638" s="241"/>
      <c r="AS638" s="244"/>
      <c r="AT638" s="33"/>
      <c r="AU638" s="242"/>
      <c r="AV638" s="241"/>
      <c r="AW638" s="244"/>
      <c r="AX638" s="33"/>
      <c r="AY638" s="242"/>
      <c r="AZ638" s="241"/>
      <c r="BA638" s="244"/>
      <c r="BB638" s="33"/>
      <c r="BC638" s="242"/>
      <c r="BD638" s="241"/>
      <c r="BE638" s="244"/>
      <c r="BF638" s="33"/>
      <c r="BG638" s="242"/>
      <c r="BH638" s="241"/>
      <c r="BI638" s="244"/>
      <c r="BJ638" s="33"/>
      <c r="BK638" s="242"/>
      <c r="BL638" s="241"/>
      <c r="BM638" s="244"/>
      <c r="BN638" s="33"/>
      <c r="BO638" s="242"/>
      <c r="BP638" s="241"/>
      <c r="BQ638" s="244"/>
      <c r="BR638" s="33"/>
      <c r="BS638" s="242"/>
      <c r="BT638" s="241"/>
      <c r="BU638" s="244"/>
      <c r="BV638" s="33"/>
      <c r="BW638" s="242"/>
      <c r="BX638" s="241"/>
      <c r="BY638" s="244"/>
      <c r="BZ638" s="33"/>
      <c r="CA638" s="242"/>
      <c r="CB638" s="241"/>
      <c r="CC638" s="244"/>
      <c r="CD638" s="243"/>
      <c r="CE638" s="243"/>
      <c r="CF638" s="243"/>
      <c r="CG638" s="243"/>
      <c r="CH638" s="243"/>
      <c r="CI638" s="243"/>
      <c r="CJ638" s="243"/>
      <c r="CK638" s="243"/>
      <c r="CL638" s="243"/>
      <c r="CM638" s="243"/>
      <c r="CN638" s="243"/>
      <c r="CO638" s="243"/>
      <c r="CP638" s="243"/>
      <c r="CQ638" s="243"/>
      <c r="CR638" s="243"/>
      <c r="CS638" s="243"/>
      <c r="CT638" s="243"/>
      <c r="CU638" s="243"/>
      <c r="CV638" s="243"/>
      <c r="CW638" s="243"/>
      <c r="CX638" s="243"/>
      <c r="CY638" s="243"/>
      <c r="CZ638" s="243"/>
      <c r="DA638" s="243"/>
      <c r="DB638" s="243"/>
      <c r="DC638" s="243"/>
      <c r="DD638" s="243"/>
      <c r="DE638" s="243"/>
      <c r="DF638" s="243"/>
      <c r="DG638" s="243"/>
      <c r="DH638" s="243"/>
      <c r="DI638" s="243"/>
      <c r="DJ638" s="243"/>
      <c r="DK638" s="243"/>
      <c r="DM638" s="242"/>
      <c r="DO638" s="243"/>
      <c r="DQ638" s="242"/>
      <c r="DS638" s="243"/>
      <c r="DU638" s="242"/>
      <c r="DW638" s="243"/>
      <c r="DY638" s="242"/>
      <c r="EA638" s="243"/>
    </row>
    <row r="639" spans="1:131">
      <c r="A639" s="20"/>
      <c r="B639" s="124" t="str">
        <f t="shared" si="598"/>
        <v/>
      </c>
      <c r="C639" s="235"/>
      <c r="D639" s="24">
        <f>'1% Wind'!$M$86</f>
        <v>15.5</v>
      </c>
      <c r="E639" s="90"/>
      <c r="F639" s="90"/>
      <c r="G639" s="79">
        <f ca="1">IF(I634=0.9743,$G638,MAX(G638/D638*D639,2))</f>
        <v>6.001707317073171</v>
      </c>
      <c r="H639" s="121" t="e">
        <f t="shared" ca="1" si="599"/>
        <v>#VALUE!</v>
      </c>
      <c r="J639" s="33"/>
      <c r="K639" s="242">
        <f t="shared" si="600"/>
        <v>1</v>
      </c>
      <c r="L639" s="241" t="e">
        <f t="shared" ca="1" si="601"/>
        <v>#VALUE!</v>
      </c>
      <c r="M639" s="243" t="e">
        <f ca="1">IF(AND(INDEX(FlowCalConstA,MATCH(J634,FlowCalNumber,0),1,1)*L639^INDEX(FlowCalConstB,MATCH(J634,FlowCalNumber,0),1,1)&gt;INDEX(FlowCalLowSetting,MATCH(J634,FlowCalNumber,0),1,1), (INDEX(FlowCalConstA,MATCH(J634,FlowCalNumber,0),1,1)*L639^INDEX(FlowCalConstB,MATCH(J634,FlowCalNumber,0),1,1)&lt;INDEX(FlowCalHighSetting,MATCH(J634,FlowCalNumber,0),1,1))),INDEX(FlowCalConstA,MATCH(J634,FlowCalNumber,0),1,1)*L639^INDEX(FlowCalConstB,MATCH(J634,FlowCalNumber,0),1,1)," ")</f>
        <v>#N/A</v>
      </c>
      <c r="N639" s="33"/>
      <c r="O639" s="242">
        <f t="shared" si="602"/>
        <v>1</v>
      </c>
      <c r="P639" s="241" t="e">
        <f t="shared" ca="1" si="603"/>
        <v>#VALUE!</v>
      </c>
      <c r="Q639" s="243" t="e">
        <f ca="1">IF(AND(INDEX(FlowCalConstA,MATCH(N634,FlowCalNumber,0),1,1)*P639^INDEX(FlowCalConstB,MATCH(N634,FlowCalNumber,0),1,1)&gt;INDEX(FlowCalLowSetting,MATCH(N634,FlowCalNumber,0),1,1), (INDEX(FlowCalConstA,MATCH(N634,FlowCalNumber,0),1,1)*P639^INDEX(FlowCalConstB,MATCH(N634,FlowCalNumber,0),1,1)&lt;INDEX(FlowCalHighSetting,MATCH(N634,FlowCalNumber,0),1,1))),INDEX(FlowCalConstA,MATCH(N634,FlowCalNumber,0),1,1)*P639^INDEX(FlowCalConstB,MATCH(N634,FlowCalNumber,0),1,1)," ")</f>
        <v>#N/A</v>
      </c>
      <c r="R639" s="33"/>
      <c r="S639" s="242">
        <f t="shared" si="604"/>
        <v>1</v>
      </c>
      <c r="T639" s="241" t="e">
        <f t="shared" ca="1" si="605"/>
        <v>#VALUE!</v>
      </c>
      <c r="U639" s="244" t="e">
        <f ca="1">IF(AND(INDEX(FlowCalConstA,MATCH(R634,FlowCalNumber,0),1,1)*T639^INDEX(FlowCalConstB,MATCH(R634,FlowCalNumber,0),1,1)&gt;INDEX(FlowCalLowSetting,MATCH(R634,FlowCalNumber,0),1,1), (INDEX(FlowCalConstA,MATCH(R634,FlowCalNumber,0),1,1)*T639^INDEX(FlowCalConstB,MATCH(R634,FlowCalNumber,0),1,1)&lt;INDEX(FlowCalHighSetting,MATCH(R634,FlowCalNumber,0),1,1))),INDEX(FlowCalConstA,MATCH(R634,FlowCalNumber,0),1,1)*T639^INDEX(FlowCalConstB,MATCH(R634,FlowCalNumber,0),1,1)," ")</f>
        <v>#N/A</v>
      </c>
      <c r="V639" s="33"/>
      <c r="W639" s="242">
        <f t="shared" si="606"/>
        <v>0.1</v>
      </c>
      <c r="X639" s="241" t="e">
        <f t="shared" ca="1" si="607"/>
        <v>#VALUE!</v>
      </c>
      <c r="Y639" s="243" t="e">
        <f ca="1">IF(AND(INDEX(FlowCalConstA,MATCH(V634,FlowCalNumber,0),1,1)*X639^INDEX(FlowCalConstB,MATCH(V634,FlowCalNumber,0),1,1)&gt;INDEX(FlowCalLowSetting,MATCH(V634,FlowCalNumber,0),1,1), (INDEX(FlowCalConstA,MATCH(V634,FlowCalNumber,0),1,1)*X639^INDEX(FlowCalConstB,MATCH(V634,FlowCalNumber,0),1,1)&lt;INDEX(FlowCalHighSetting,MATCH(V634,FlowCalNumber,0),1,1))),INDEX(FlowCalConstA,MATCH(V634,FlowCalNumber,0),1,1)*X639^INDEX(FlowCalConstB,MATCH(V634,FlowCalNumber,0),1,1)," ")</f>
        <v>#N/A</v>
      </c>
      <c r="Z639" s="33"/>
      <c r="AA639" s="242">
        <f t="shared" si="608"/>
        <v>0.9</v>
      </c>
      <c r="AB639" s="241" t="e">
        <f t="shared" ca="1" si="609"/>
        <v>#VALUE!</v>
      </c>
      <c r="AC639" s="243" t="e">
        <f ca="1">IF(AND(INDEX(FlowCalConstA,MATCH(Z634,FlowCalNumber,0),1,1)*AB639^INDEX(FlowCalConstB,MATCH(Z634,FlowCalNumber,0),1,1)&gt;INDEX(FlowCalLowSetting,MATCH(Z634,FlowCalNumber,0),1,1), (INDEX(FlowCalConstA,MATCH(Z634,FlowCalNumber,0),1,1)*AB639^INDEX(FlowCalConstB,MATCH(Z634,FlowCalNumber,0),1,1)&lt;INDEX(FlowCalHighSetting,MATCH(Z634,FlowCalNumber,0),1,1))),INDEX(FlowCalConstA,MATCH(Z634,FlowCalNumber,0),1,1)*AB639^INDEX(FlowCalConstB,MATCH(Z634,FlowCalNumber,0),1,1)," ")</f>
        <v>#N/A</v>
      </c>
      <c r="AD639" s="33"/>
      <c r="AE639" s="242">
        <f t="shared" si="610"/>
        <v>0.1</v>
      </c>
      <c r="AF639" s="241" t="e">
        <f t="shared" ca="1" si="611"/>
        <v>#VALUE!</v>
      </c>
      <c r="AG639" s="243" t="e">
        <f ca="1">IF(AND(INDEX(FlowCalConstA,MATCH(AD634,FlowCalNumber,0),1,1)*AF639^INDEX(FlowCalConstB,MATCH(AD634,FlowCalNumber,0),1,1)&gt;INDEX(FlowCalLowSetting,MATCH(AD634,FlowCalNumber,0),1,1), (INDEX(FlowCalConstA,MATCH(AD634,FlowCalNumber,0),1,1)*AF639^INDEX(FlowCalConstB,MATCH(AD634,FlowCalNumber,0),1,1)&lt;INDEX(FlowCalHighSetting,MATCH(AD634,FlowCalNumber,0),1,1))),INDEX(FlowCalConstA,MATCH(AD634,FlowCalNumber,0),1,1)*AF639^INDEX(FlowCalConstB,MATCH(AD634,FlowCalNumber,0),1,1)," ")</f>
        <v>#N/A</v>
      </c>
      <c r="AH639" s="33"/>
      <c r="AI639" s="242">
        <f t="shared" si="612"/>
        <v>0.9</v>
      </c>
      <c r="AJ639" s="241" t="e">
        <f t="shared" ca="1" si="613"/>
        <v>#VALUE!</v>
      </c>
      <c r="AK639" s="243" t="e">
        <f ca="1">IF(AND(INDEX(FlowCalConstA,MATCH(AH634,FlowCalNumber,0),1,1)*AJ639^INDEX(FlowCalConstB,MATCH(AH634,FlowCalNumber,0),1,1)&gt;INDEX(FlowCalLowSetting,MATCH(AH634,FlowCalNumber,0),1,1), (INDEX(FlowCalConstA,MATCH(AH634,FlowCalNumber,0),1,1)*AJ639^INDEX(FlowCalConstB,MATCH(AH634,FlowCalNumber,0),1,1)&lt;INDEX(FlowCalHighSetting,MATCH(AH634,FlowCalNumber,0),1,1))),INDEX(FlowCalConstA,MATCH(AH634,FlowCalNumber,0),1,1)*AJ639^INDEX(FlowCalConstB,MATCH(AH634,FlowCalNumber,0),1,1)," ")</f>
        <v>#N/A</v>
      </c>
      <c r="AL639" s="33"/>
      <c r="AM639" s="242"/>
      <c r="AN639" s="241"/>
      <c r="AO639" s="244"/>
      <c r="AQ639" s="242"/>
      <c r="AR639" s="241"/>
      <c r="AS639" s="244"/>
      <c r="AT639" s="33"/>
      <c r="AU639" s="242"/>
      <c r="AV639" s="241"/>
      <c r="AW639" s="244"/>
      <c r="AX639" s="33"/>
      <c r="AY639" s="242"/>
      <c r="AZ639" s="241"/>
      <c r="BA639" s="244"/>
      <c r="BB639" s="33"/>
      <c r="BC639" s="242"/>
      <c r="BD639" s="241"/>
      <c r="BE639" s="244"/>
      <c r="BF639" s="33"/>
      <c r="BG639" s="242"/>
      <c r="BH639" s="241"/>
      <c r="BI639" s="244"/>
      <c r="BJ639" s="33"/>
      <c r="BK639" s="242"/>
      <c r="BL639" s="241"/>
      <c r="BM639" s="244"/>
      <c r="BN639" s="33"/>
      <c r="BO639" s="242"/>
      <c r="BP639" s="241"/>
      <c r="BQ639" s="244"/>
      <c r="BR639" s="33"/>
      <c r="BS639" s="242"/>
      <c r="BT639" s="241"/>
      <c r="BU639" s="244"/>
      <c r="BV639" s="33"/>
      <c r="BW639" s="242"/>
      <c r="BX639" s="241"/>
      <c r="BY639" s="244"/>
      <c r="BZ639" s="33"/>
      <c r="CA639" s="242"/>
      <c r="CB639" s="241"/>
      <c r="CC639" s="244"/>
      <c r="CD639" s="243"/>
      <c r="CE639" s="243"/>
      <c r="CF639" s="243"/>
      <c r="CG639" s="243"/>
      <c r="CH639" s="243"/>
      <c r="CI639" s="243"/>
      <c r="CJ639" s="243"/>
      <c r="CK639" s="243"/>
      <c r="CL639" s="243"/>
      <c r="CM639" s="243"/>
      <c r="CN639" s="243"/>
      <c r="CO639" s="243"/>
      <c r="CP639" s="243"/>
      <c r="CQ639" s="243"/>
      <c r="CR639" s="243"/>
      <c r="CS639" s="243"/>
      <c r="CT639" s="243"/>
      <c r="CU639" s="243"/>
      <c r="CV639" s="243"/>
      <c r="CW639" s="243"/>
      <c r="CX639" s="243"/>
      <c r="CY639" s="243"/>
      <c r="CZ639" s="243"/>
      <c r="DA639" s="243"/>
      <c r="DB639" s="243"/>
      <c r="DC639" s="243"/>
      <c r="DD639" s="243"/>
      <c r="DE639" s="243"/>
      <c r="DF639" s="243"/>
      <c r="DG639" s="243"/>
      <c r="DH639" s="243"/>
      <c r="DI639" s="243"/>
      <c r="DJ639" s="243"/>
      <c r="DK639" s="243"/>
      <c r="DM639" s="242"/>
      <c r="DO639" s="243"/>
      <c r="DQ639" s="242"/>
      <c r="DS639" s="243"/>
      <c r="DU639" s="242"/>
      <c r="DW639" s="243"/>
      <c r="DY639" s="242"/>
      <c r="EA639" s="243"/>
    </row>
    <row r="640" spans="1:131">
      <c r="A640" s="20"/>
      <c r="B640" s="124" t="str">
        <f t="shared" si="598"/>
        <v/>
      </c>
      <c r="C640" s="235"/>
      <c r="D640" s="24">
        <f>'1% Wind'!$M$87</f>
        <v>13.5</v>
      </c>
      <c r="E640" s="90"/>
      <c r="F640" s="90"/>
      <c r="G640" s="79">
        <f ca="1">IF(I634=0.9743,$G639,MAX(G639/D639*D640,2))</f>
        <v>6.001707317073171</v>
      </c>
      <c r="H640" s="121" t="e">
        <f t="shared" ca="1" si="599"/>
        <v>#VALUE!</v>
      </c>
      <c r="J640" s="33"/>
      <c r="K640" s="242">
        <f t="shared" si="600"/>
        <v>1</v>
      </c>
      <c r="L640" s="241" t="e">
        <f t="shared" ca="1" si="601"/>
        <v>#VALUE!</v>
      </c>
      <c r="M640" s="243" t="e">
        <f ca="1">IF(AND(INDEX(FlowCalConstA,MATCH(J634,FlowCalNumber,0),1,1)*L640^INDEX(FlowCalConstB,MATCH(J634,FlowCalNumber,0),1,1)&gt;INDEX(FlowCalLowSetting,MATCH(J634,FlowCalNumber,0),1,1), (INDEX(FlowCalConstA,MATCH(J634,FlowCalNumber,0),1,1)*L640^INDEX(FlowCalConstB,MATCH(J634,FlowCalNumber,0),1,1)&lt;INDEX(FlowCalHighSetting,MATCH(J634,FlowCalNumber,0),1,1))),INDEX(FlowCalConstA,MATCH(J634,FlowCalNumber,0),1,1)*L640^INDEX(FlowCalConstB,MATCH(J634,FlowCalNumber,0),1,1)," ")</f>
        <v>#N/A</v>
      </c>
      <c r="N640" s="33"/>
      <c r="O640" s="242">
        <f t="shared" si="602"/>
        <v>1</v>
      </c>
      <c r="P640" s="241" t="e">
        <f t="shared" ca="1" si="603"/>
        <v>#VALUE!</v>
      </c>
      <c r="Q640" s="243" t="e">
        <f ca="1">IF(AND(INDEX(FlowCalConstA,MATCH(N634,FlowCalNumber,0),1,1)*P640^INDEX(FlowCalConstB,MATCH(N634,FlowCalNumber,0),1,1)&gt;INDEX(FlowCalLowSetting,MATCH(N634,FlowCalNumber,0),1,1), (INDEX(FlowCalConstA,MATCH(N634,FlowCalNumber,0),1,1)*P640^INDEX(FlowCalConstB,MATCH(N634,FlowCalNumber,0),1,1)&lt;INDEX(FlowCalHighSetting,MATCH(N634,FlowCalNumber,0),1,1))),INDEX(FlowCalConstA,MATCH(N634,FlowCalNumber,0),1,1)*P640^INDEX(FlowCalConstB,MATCH(N634,FlowCalNumber,0),1,1)," ")</f>
        <v>#N/A</v>
      </c>
      <c r="R640" s="33"/>
      <c r="S640" s="242">
        <f t="shared" si="604"/>
        <v>1</v>
      </c>
      <c r="T640" s="241" t="e">
        <f t="shared" ca="1" si="605"/>
        <v>#VALUE!</v>
      </c>
      <c r="U640" s="244" t="e">
        <f ca="1">IF(AND(INDEX(FlowCalConstA,MATCH(R634,FlowCalNumber,0),1,1)*T640^INDEX(FlowCalConstB,MATCH(R634,FlowCalNumber,0),1,1)&gt;INDEX(FlowCalLowSetting,MATCH(R634,FlowCalNumber,0),1,1), (INDEX(FlowCalConstA,MATCH(R634,FlowCalNumber,0),1,1)*T640^INDEX(FlowCalConstB,MATCH(R634,FlowCalNumber,0),1,1)&lt;INDEX(FlowCalHighSetting,MATCH(R634,FlowCalNumber,0),1,1))),INDEX(FlowCalConstA,MATCH(R634,FlowCalNumber,0),1,1)*T640^INDEX(FlowCalConstB,MATCH(R634,FlowCalNumber,0),1,1)," ")</f>
        <v>#N/A</v>
      </c>
      <c r="V640" s="33"/>
      <c r="W640" s="242">
        <f t="shared" si="606"/>
        <v>0.1</v>
      </c>
      <c r="X640" s="241" t="e">
        <f t="shared" ca="1" si="607"/>
        <v>#VALUE!</v>
      </c>
      <c r="Y640" s="243" t="e">
        <f ca="1">IF(AND(INDEX(FlowCalConstA,MATCH(V634,FlowCalNumber,0),1,1)*X640^INDEX(FlowCalConstB,MATCH(V634,FlowCalNumber,0),1,1)&gt;INDEX(FlowCalLowSetting,MATCH(V634,FlowCalNumber,0),1,1), (INDEX(FlowCalConstA,MATCH(V634,FlowCalNumber,0),1,1)*X640^INDEX(FlowCalConstB,MATCH(V634,FlowCalNumber,0),1,1)&lt;INDEX(FlowCalHighSetting,MATCH(V634,FlowCalNumber,0),1,1))),INDEX(FlowCalConstA,MATCH(V634,FlowCalNumber,0),1,1)*X640^INDEX(FlowCalConstB,MATCH(V634,FlowCalNumber,0),1,1)," ")</f>
        <v>#N/A</v>
      </c>
      <c r="Z640" s="33"/>
      <c r="AA640" s="242">
        <f t="shared" si="608"/>
        <v>0.9</v>
      </c>
      <c r="AB640" s="241" t="e">
        <f t="shared" ca="1" si="609"/>
        <v>#VALUE!</v>
      </c>
      <c r="AC640" s="243" t="e">
        <f ca="1">IF(AND(INDEX(FlowCalConstA,MATCH(Z634,FlowCalNumber,0),1,1)*AB640^INDEX(FlowCalConstB,MATCH(Z634,FlowCalNumber,0),1,1)&gt;INDEX(FlowCalLowSetting,MATCH(Z634,FlowCalNumber,0),1,1), (INDEX(FlowCalConstA,MATCH(Z634,FlowCalNumber,0),1,1)*AB640^INDEX(FlowCalConstB,MATCH(Z634,FlowCalNumber,0),1,1)&lt;INDEX(FlowCalHighSetting,MATCH(Z634,FlowCalNumber,0),1,1))),INDEX(FlowCalConstA,MATCH(Z634,FlowCalNumber,0),1,1)*AB640^INDEX(FlowCalConstB,MATCH(Z634,FlowCalNumber,0),1,1)," ")</f>
        <v>#N/A</v>
      </c>
      <c r="AD640" s="33"/>
      <c r="AE640" s="242">
        <f t="shared" si="610"/>
        <v>0.1</v>
      </c>
      <c r="AF640" s="241" t="e">
        <f t="shared" ca="1" si="611"/>
        <v>#VALUE!</v>
      </c>
      <c r="AG640" s="243" t="e">
        <f ca="1">IF(AND(INDEX(FlowCalConstA,MATCH(AD634,FlowCalNumber,0),1,1)*AF640^INDEX(FlowCalConstB,MATCH(AD634,FlowCalNumber,0),1,1)&gt;INDEX(FlowCalLowSetting,MATCH(AD634,FlowCalNumber,0),1,1), (INDEX(FlowCalConstA,MATCH(AD634,FlowCalNumber,0),1,1)*AF640^INDEX(FlowCalConstB,MATCH(AD634,FlowCalNumber,0),1,1)&lt;INDEX(FlowCalHighSetting,MATCH(AD634,FlowCalNumber,0),1,1))),INDEX(FlowCalConstA,MATCH(AD634,FlowCalNumber,0),1,1)*AF640^INDEX(FlowCalConstB,MATCH(AD634,FlowCalNumber,0),1,1)," ")</f>
        <v>#N/A</v>
      </c>
      <c r="AH640" s="33"/>
      <c r="AI640" s="242">
        <f t="shared" si="612"/>
        <v>0.9</v>
      </c>
      <c r="AJ640" s="241" t="e">
        <f t="shared" ca="1" si="613"/>
        <v>#VALUE!</v>
      </c>
      <c r="AK640" s="243" t="e">
        <f ca="1">IF(AND(INDEX(FlowCalConstA,MATCH(AH634,FlowCalNumber,0),1,1)*AJ640^INDEX(FlowCalConstB,MATCH(AH634,FlowCalNumber,0),1,1)&gt;INDEX(FlowCalLowSetting,MATCH(AH634,FlowCalNumber,0),1,1), (INDEX(FlowCalConstA,MATCH(AH634,FlowCalNumber,0),1,1)*AJ640^INDEX(FlowCalConstB,MATCH(AH634,FlowCalNumber,0),1,1)&lt;INDEX(FlowCalHighSetting,MATCH(AH634,FlowCalNumber,0),1,1))),INDEX(FlowCalConstA,MATCH(AH634,FlowCalNumber,0),1,1)*AJ640^INDEX(FlowCalConstB,MATCH(AH634,FlowCalNumber,0),1,1)," ")</f>
        <v>#N/A</v>
      </c>
      <c r="AL640" s="33"/>
      <c r="AM640" s="242"/>
      <c r="AN640" s="241"/>
      <c r="AO640" s="244"/>
      <c r="AQ640" s="242"/>
      <c r="AR640" s="241"/>
      <c r="AS640" s="244"/>
      <c r="AT640" s="33"/>
      <c r="AU640" s="242"/>
      <c r="AV640" s="241"/>
      <c r="AW640" s="244"/>
      <c r="AX640" s="33"/>
      <c r="AY640" s="242"/>
      <c r="AZ640" s="241"/>
      <c r="BA640" s="244"/>
      <c r="BB640" s="33"/>
      <c r="BC640" s="242"/>
      <c r="BD640" s="241"/>
      <c r="BE640" s="244"/>
      <c r="BF640" s="33"/>
      <c r="BG640" s="242"/>
      <c r="BH640" s="241"/>
      <c r="BI640" s="244"/>
      <c r="BJ640" s="33"/>
      <c r="BK640" s="242"/>
      <c r="BL640" s="241"/>
      <c r="BM640" s="244"/>
      <c r="BN640" s="33"/>
      <c r="BO640" s="242"/>
      <c r="BP640" s="241"/>
      <c r="BQ640" s="244"/>
      <c r="BR640" s="33"/>
      <c r="BS640" s="242"/>
      <c r="BT640" s="241"/>
      <c r="BU640" s="244"/>
      <c r="BV640" s="33"/>
      <c r="BW640" s="242"/>
      <c r="BX640" s="241"/>
      <c r="BY640" s="244"/>
      <c r="BZ640" s="33"/>
      <c r="CA640" s="242"/>
      <c r="CB640" s="241"/>
      <c r="CC640" s="244"/>
      <c r="CD640" s="243"/>
      <c r="CE640" s="243"/>
      <c r="CF640" s="243"/>
      <c r="CG640" s="243"/>
      <c r="CH640" s="243"/>
      <c r="CI640" s="243"/>
      <c r="CJ640" s="243"/>
      <c r="CK640" s="243"/>
      <c r="CL640" s="243"/>
      <c r="CM640" s="243"/>
      <c r="CN640" s="243"/>
      <c r="CO640" s="243"/>
      <c r="CP640" s="243"/>
      <c r="CQ640" s="243"/>
      <c r="CR640" s="243"/>
      <c r="CS640" s="243"/>
      <c r="CT640" s="243"/>
      <c r="CU640" s="243"/>
      <c r="CV640" s="243"/>
      <c r="CW640" s="243"/>
      <c r="CX640" s="243"/>
      <c r="CY640" s="243"/>
      <c r="CZ640" s="243"/>
      <c r="DA640" s="243"/>
      <c r="DB640" s="243"/>
      <c r="DC640" s="243"/>
      <c r="DD640" s="243"/>
      <c r="DE640" s="243"/>
      <c r="DF640" s="243"/>
      <c r="DG640" s="243"/>
      <c r="DH640" s="243"/>
      <c r="DI640" s="243"/>
      <c r="DJ640" s="243"/>
      <c r="DK640" s="243"/>
      <c r="DM640" s="242"/>
      <c r="DO640" s="243"/>
      <c r="DQ640" s="242"/>
      <c r="DS640" s="243"/>
      <c r="DU640" s="242"/>
      <c r="DW640" s="243"/>
      <c r="DY640" s="242"/>
      <c r="EA640" s="243"/>
    </row>
    <row r="641" spans="1:131">
      <c r="A641" s="20"/>
      <c r="B641" s="124" t="str">
        <f t="shared" si="598"/>
        <v/>
      </c>
      <c r="C641" s="235"/>
      <c r="D641" s="24">
        <f>'1% Wind'!$M$88</f>
        <v>10.1</v>
      </c>
      <c r="E641" s="90"/>
      <c r="F641" s="90"/>
      <c r="G641" s="79">
        <f ca="1">IF(I634=0.9743,$G640,MAX(G640/D640*D641,2))</f>
        <v>6.001707317073171</v>
      </c>
      <c r="H641" s="121" t="e">
        <f t="shared" ca="1" si="599"/>
        <v>#VALUE!</v>
      </c>
      <c r="J641" s="33"/>
      <c r="K641" s="242">
        <f t="shared" si="600"/>
        <v>1</v>
      </c>
      <c r="L641" s="241" t="e">
        <f t="shared" ca="1" si="601"/>
        <v>#VALUE!</v>
      </c>
      <c r="M641" s="243" t="e">
        <f ca="1">IF(AND(INDEX(FlowCalConstA,MATCH(J634,FlowCalNumber,0),1,1)*L641^INDEX(FlowCalConstB,MATCH(J634,FlowCalNumber,0),1,1)&gt;INDEX(FlowCalLowSetting,MATCH(J634,FlowCalNumber,0),1,1), (INDEX(FlowCalConstA,MATCH(J634,FlowCalNumber,0),1,1)*L641^INDEX(FlowCalConstB,MATCH(J634,FlowCalNumber,0),1,1)&lt;INDEX(FlowCalHighSetting,MATCH(J634,FlowCalNumber,0),1,1))),INDEX(FlowCalConstA,MATCH(J634,FlowCalNumber,0),1,1)*L641^INDEX(FlowCalConstB,MATCH(J634,FlowCalNumber,0),1,1)," ")</f>
        <v>#N/A</v>
      </c>
      <c r="N641" s="33"/>
      <c r="O641" s="242">
        <f t="shared" si="602"/>
        <v>1</v>
      </c>
      <c r="P641" s="241" t="e">
        <f t="shared" ca="1" si="603"/>
        <v>#VALUE!</v>
      </c>
      <c r="Q641" s="243" t="e">
        <f ca="1">IF(AND(INDEX(FlowCalConstA,MATCH(N634,FlowCalNumber,0),1,1)*P641^INDEX(FlowCalConstB,MATCH(N634,FlowCalNumber,0),1,1)&gt;INDEX(FlowCalLowSetting,MATCH(N634,FlowCalNumber,0),1,1), (INDEX(FlowCalConstA,MATCH(N634,FlowCalNumber,0),1,1)*P641^INDEX(FlowCalConstB,MATCH(N634,FlowCalNumber,0),1,1)&lt;INDEX(FlowCalHighSetting,MATCH(N634,FlowCalNumber,0),1,1))),INDEX(FlowCalConstA,MATCH(N634,FlowCalNumber,0),1,1)*P641^INDEX(FlowCalConstB,MATCH(N634,FlowCalNumber,0),1,1)," ")</f>
        <v>#N/A</v>
      </c>
      <c r="R641" s="33"/>
      <c r="S641" s="242">
        <f t="shared" si="604"/>
        <v>1</v>
      </c>
      <c r="T641" s="241" t="e">
        <f t="shared" ca="1" si="605"/>
        <v>#VALUE!</v>
      </c>
      <c r="U641" s="244" t="e">
        <f ca="1">IF(AND(INDEX(FlowCalConstA,MATCH(R634,FlowCalNumber,0),1,1)*T641^INDEX(FlowCalConstB,MATCH(R634,FlowCalNumber,0),1,1)&gt;INDEX(FlowCalLowSetting,MATCH(R634,FlowCalNumber,0),1,1), (INDEX(FlowCalConstA,MATCH(R634,FlowCalNumber,0),1,1)*T641^INDEX(FlowCalConstB,MATCH(R634,FlowCalNumber,0),1,1)&lt;INDEX(FlowCalHighSetting,MATCH(R634,FlowCalNumber,0),1,1))),INDEX(FlowCalConstA,MATCH(R634,FlowCalNumber,0),1,1)*T641^INDEX(FlowCalConstB,MATCH(R634,FlowCalNumber,0),1,1)," ")</f>
        <v>#N/A</v>
      </c>
      <c r="V641" s="33"/>
      <c r="W641" s="242">
        <f t="shared" si="606"/>
        <v>0.1</v>
      </c>
      <c r="X641" s="241" t="e">
        <f t="shared" ca="1" si="607"/>
        <v>#VALUE!</v>
      </c>
      <c r="Y641" s="243" t="e">
        <f ca="1">IF(AND(INDEX(FlowCalConstA,MATCH(V634,FlowCalNumber,0),1,1)*X641^INDEX(FlowCalConstB,MATCH(V634,FlowCalNumber,0),1,1)&gt;INDEX(FlowCalLowSetting,MATCH(V634,FlowCalNumber,0),1,1), (INDEX(FlowCalConstA,MATCH(V634,FlowCalNumber,0),1,1)*X641^INDEX(FlowCalConstB,MATCH(V634,FlowCalNumber,0),1,1)&lt;INDEX(FlowCalHighSetting,MATCH(V634,FlowCalNumber,0),1,1))),INDEX(FlowCalConstA,MATCH(V634,FlowCalNumber,0),1,1)*X641^INDEX(FlowCalConstB,MATCH(V634,FlowCalNumber,0),1,1)," ")</f>
        <v>#N/A</v>
      </c>
      <c r="Z641" s="33"/>
      <c r="AA641" s="242">
        <f t="shared" si="608"/>
        <v>0.9</v>
      </c>
      <c r="AB641" s="241" t="e">
        <f t="shared" ca="1" si="609"/>
        <v>#VALUE!</v>
      </c>
      <c r="AC641" s="243" t="e">
        <f ca="1">IF(AND(INDEX(FlowCalConstA,MATCH(Z634,FlowCalNumber,0),1,1)*AB641^INDEX(FlowCalConstB,MATCH(Z634,FlowCalNumber,0),1,1)&gt;INDEX(FlowCalLowSetting,MATCH(Z634,FlowCalNumber,0),1,1), (INDEX(FlowCalConstA,MATCH(Z634,FlowCalNumber,0),1,1)*AB641^INDEX(FlowCalConstB,MATCH(Z634,FlowCalNumber,0),1,1)&lt;INDEX(FlowCalHighSetting,MATCH(Z634,FlowCalNumber,0),1,1))),INDEX(FlowCalConstA,MATCH(Z634,FlowCalNumber,0),1,1)*AB641^INDEX(FlowCalConstB,MATCH(Z634,FlowCalNumber,0),1,1)," ")</f>
        <v>#N/A</v>
      </c>
      <c r="AD641" s="33"/>
      <c r="AE641" s="242">
        <f t="shared" si="610"/>
        <v>0.1</v>
      </c>
      <c r="AF641" s="241" t="e">
        <f t="shared" ca="1" si="611"/>
        <v>#VALUE!</v>
      </c>
      <c r="AG641" s="243" t="e">
        <f ca="1">IF(AND(INDEX(FlowCalConstA,MATCH(AD634,FlowCalNumber,0),1,1)*AF641^INDEX(FlowCalConstB,MATCH(AD634,FlowCalNumber,0),1,1)&gt;INDEX(FlowCalLowSetting,MATCH(AD634,FlowCalNumber,0),1,1), (INDEX(FlowCalConstA,MATCH(AD634,FlowCalNumber,0),1,1)*AF641^INDEX(FlowCalConstB,MATCH(AD634,FlowCalNumber,0),1,1)&lt;INDEX(FlowCalHighSetting,MATCH(AD634,FlowCalNumber,0),1,1))),INDEX(FlowCalConstA,MATCH(AD634,FlowCalNumber,0),1,1)*AF641^INDEX(FlowCalConstB,MATCH(AD634,FlowCalNumber,0),1,1)," ")</f>
        <v>#N/A</v>
      </c>
      <c r="AH641" s="33"/>
      <c r="AI641" s="242">
        <f t="shared" si="612"/>
        <v>0.9</v>
      </c>
      <c r="AJ641" s="241" t="e">
        <f t="shared" ca="1" si="613"/>
        <v>#VALUE!</v>
      </c>
      <c r="AK641" s="243" t="e">
        <f ca="1">IF(AND(INDEX(FlowCalConstA,MATCH(AH634,FlowCalNumber,0),1,1)*AJ641^INDEX(FlowCalConstB,MATCH(AH634,FlowCalNumber,0),1,1)&gt;INDEX(FlowCalLowSetting,MATCH(AH634,FlowCalNumber,0),1,1), (INDEX(FlowCalConstA,MATCH(AH634,FlowCalNumber,0),1,1)*AJ641^INDEX(FlowCalConstB,MATCH(AH634,FlowCalNumber,0),1,1)&lt;INDEX(FlowCalHighSetting,MATCH(AH634,FlowCalNumber,0),1,1))),INDEX(FlowCalConstA,MATCH(AH634,FlowCalNumber,0),1,1)*AJ641^INDEX(FlowCalConstB,MATCH(AH634,FlowCalNumber,0),1,1)," ")</f>
        <v>#N/A</v>
      </c>
      <c r="AL641" s="33"/>
      <c r="AM641" s="242"/>
      <c r="AN641" s="241"/>
      <c r="AO641" s="244"/>
      <c r="AQ641" s="242"/>
      <c r="AR641" s="241"/>
      <c r="AS641" s="244"/>
      <c r="AT641" s="33"/>
      <c r="AU641" s="242"/>
      <c r="AV641" s="241"/>
      <c r="AW641" s="244"/>
      <c r="AX641" s="33"/>
      <c r="AY641" s="242"/>
      <c r="AZ641" s="241"/>
      <c r="BA641" s="244"/>
      <c r="BB641" s="33"/>
      <c r="BC641" s="242"/>
      <c r="BD641" s="241"/>
      <c r="BE641" s="244"/>
      <c r="BF641" s="33"/>
      <c r="BG641" s="242"/>
      <c r="BH641" s="241"/>
      <c r="BI641" s="244"/>
      <c r="BJ641" s="33"/>
      <c r="BK641" s="242"/>
      <c r="BL641" s="241"/>
      <c r="BM641" s="244"/>
      <c r="BN641" s="33"/>
      <c r="BO641" s="242"/>
      <c r="BP641" s="241"/>
      <c r="BQ641" s="244"/>
      <c r="BR641" s="33"/>
      <c r="BS641" s="242"/>
      <c r="BT641" s="241"/>
      <c r="BU641" s="244"/>
      <c r="BV641" s="33"/>
      <c r="BW641" s="242"/>
      <c r="BX641" s="241"/>
      <c r="BY641" s="244"/>
      <c r="BZ641" s="33"/>
      <c r="CA641" s="242"/>
      <c r="CB641" s="241"/>
      <c r="CC641" s="244"/>
      <c r="CD641" s="243"/>
      <c r="CE641" s="243"/>
      <c r="CF641" s="243"/>
      <c r="CG641" s="243"/>
      <c r="CH641" s="243"/>
      <c r="CI641" s="243"/>
      <c r="CJ641" s="243"/>
      <c r="CK641" s="243"/>
      <c r="CL641" s="243"/>
      <c r="CM641" s="243"/>
      <c r="CN641" s="243"/>
      <c r="CO641" s="243"/>
      <c r="CP641" s="243"/>
      <c r="CQ641" s="243"/>
      <c r="CR641" s="243"/>
      <c r="CS641" s="243"/>
      <c r="CT641" s="243"/>
      <c r="CU641" s="243"/>
      <c r="CV641" s="243"/>
      <c r="CW641" s="243"/>
      <c r="CX641" s="243"/>
      <c r="CY641" s="243"/>
      <c r="CZ641" s="243"/>
      <c r="DA641" s="243"/>
      <c r="DB641" s="243"/>
      <c r="DC641" s="243"/>
      <c r="DD641" s="243"/>
      <c r="DE641" s="243"/>
      <c r="DF641" s="243"/>
      <c r="DG641" s="243"/>
      <c r="DH641" s="243"/>
      <c r="DI641" s="243"/>
      <c r="DJ641" s="243"/>
      <c r="DK641" s="243"/>
      <c r="DM641" s="242"/>
      <c r="DO641" s="243"/>
      <c r="DQ641" s="242"/>
      <c r="DS641" s="243"/>
      <c r="DU641" s="242"/>
      <c r="DW641" s="243"/>
      <c r="DY641" s="242"/>
      <c r="EA641" s="243"/>
    </row>
    <row r="642" spans="1:131">
      <c r="A642" s="20"/>
      <c r="B642" s="124" t="str">
        <f t="shared" si="598"/>
        <v/>
      </c>
      <c r="C642" s="235"/>
      <c r="D642" s="24">
        <f>'1% Wind'!$M$89</f>
        <v>7.6</v>
      </c>
      <c r="E642" s="90"/>
      <c r="F642" s="90"/>
      <c r="G642" s="79">
        <f ca="1">IF(I634=0.9743,$G641,MAX(G641/D641*D642,2))</f>
        <v>6.001707317073171</v>
      </c>
      <c r="H642" s="121" t="e">
        <f t="shared" ca="1" si="599"/>
        <v>#VALUE!</v>
      </c>
      <c r="J642" s="33"/>
      <c r="K642" s="242">
        <f t="shared" si="600"/>
        <v>1</v>
      </c>
      <c r="L642" s="241" t="e">
        <f t="shared" ca="1" si="601"/>
        <v>#VALUE!</v>
      </c>
      <c r="M642" s="243" t="e">
        <f ca="1">IF(AND(INDEX(FlowCalConstA,MATCH(J634,FlowCalNumber,0),1,1)*L642^INDEX(FlowCalConstB,MATCH(J634,FlowCalNumber,0),1,1)&gt;INDEX(FlowCalLowSetting,MATCH(J634,FlowCalNumber,0),1,1), (INDEX(FlowCalConstA,MATCH(J634,FlowCalNumber,0),1,1)*L642^INDEX(FlowCalConstB,MATCH(J634,FlowCalNumber,0),1,1)&lt;INDEX(FlowCalHighSetting,MATCH(J634,FlowCalNumber,0),1,1))),INDEX(FlowCalConstA,MATCH(J634,FlowCalNumber,0),1,1)*L642^INDEX(FlowCalConstB,MATCH(J634,FlowCalNumber,0),1,1)," ")</f>
        <v>#N/A</v>
      </c>
      <c r="N642" s="33"/>
      <c r="O642" s="242">
        <f t="shared" si="602"/>
        <v>1</v>
      </c>
      <c r="P642" s="241" t="e">
        <f t="shared" ca="1" si="603"/>
        <v>#VALUE!</v>
      </c>
      <c r="Q642" s="243" t="e">
        <f ca="1">IF(AND(INDEX(FlowCalConstA,MATCH(N634,FlowCalNumber,0),1,1)*P642^INDEX(FlowCalConstB,MATCH(N634,FlowCalNumber,0),1,1)&gt;INDEX(FlowCalLowSetting,MATCH(N634,FlowCalNumber,0),1,1), (INDEX(FlowCalConstA,MATCH(N634,FlowCalNumber,0),1,1)*P642^INDEX(FlowCalConstB,MATCH(N634,FlowCalNumber,0),1,1)&lt;INDEX(FlowCalHighSetting,MATCH(N634,FlowCalNumber,0),1,1))),INDEX(FlowCalConstA,MATCH(N634,FlowCalNumber,0),1,1)*P642^INDEX(FlowCalConstB,MATCH(N634,FlowCalNumber,0),1,1)," ")</f>
        <v>#N/A</v>
      </c>
      <c r="R642" s="33"/>
      <c r="S642" s="242">
        <f t="shared" si="604"/>
        <v>1</v>
      </c>
      <c r="T642" s="241" t="e">
        <f t="shared" ca="1" si="605"/>
        <v>#VALUE!</v>
      </c>
      <c r="U642" s="244" t="e">
        <f ca="1">IF(AND(INDEX(FlowCalConstA,MATCH(R634,FlowCalNumber,0),1,1)*T642^INDEX(FlowCalConstB,MATCH(R634,FlowCalNumber,0),1,1)&gt;INDEX(FlowCalLowSetting,MATCH(R634,FlowCalNumber,0),1,1), (INDEX(FlowCalConstA,MATCH(R634,FlowCalNumber,0),1,1)*T642^INDEX(FlowCalConstB,MATCH(R634,FlowCalNumber,0),1,1)&lt;INDEX(FlowCalHighSetting,MATCH(R634,FlowCalNumber,0),1,1))),INDEX(FlowCalConstA,MATCH(R634,FlowCalNumber,0),1,1)*T642^INDEX(FlowCalConstB,MATCH(R634,FlowCalNumber,0),1,1)," ")</f>
        <v>#N/A</v>
      </c>
      <c r="V642" s="33"/>
      <c r="W642" s="242">
        <f t="shared" si="606"/>
        <v>0.1</v>
      </c>
      <c r="X642" s="241" t="e">
        <f t="shared" ca="1" si="607"/>
        <v>#VALUE!</v>
      </c>
      <c r="Y642" s="243" t="e">
        <f ca="1">IF(AND(INDEX(FlowCalConstA,MATCH(V634,FlowCalNumber,0),1,1)*X642^INDEX(FlowCalConstB,MATCH(V634,FlowCalNumber,0),1,1)&gt;INDEX(FlowCalLowSetting,MATCH(V634,FlowCalNumber,0),1,1), (INDEX(FlowCalConstA,MATCH(V634,FlowCalNumber,0),1,1)*X642^INDEX(FlowCalConstB,MATCH(V634,FlowCalNumber,0),1,1)&lt;INDEX(FlowCalHighSetting,MATCH(V634,FlowCalNumber,0),1,1))),INDEX(FlowCalConstA,MATCH(V634,FlowCalNumber,0),1,1)*X642^INDEX(FlowCalConstB,MATCH(V634,FlowCalNumber,0),1,1)," ")</f>
        <v>#N/A</v>
      </c>
      <c r="Z642" s="33"/>
      <c r="AA642" s="242">
        <f t="shared" si="608"/>
        <v>0.9</v>
      </c>
      <c r="AB642" s="241" t="e">
        <f t="shared" ca="1" si="609"/>
        <v>#VALUE!</v>
      </c>
      <c r="AC642" s="243" t="e">
        <f ca="1">IF(AND(INDEX(FlowCalConstA,MATCH(Z634,FlowCalNumber,0),1,1)*AB642^INDEX(FlowCalConstB,MATCH(Z634,FlowCalNumber,0),1,1)&gt;INDEX(FlowCalLowSetting,MATCH(Z634,FlowCalNumber,0),1,1), (INDEX(FlowCalConstA,MATCH(Z634,FlowCalNumber,0),1,1)*AB642^INDEX(FlowCalConstB,MATCH(Z634,FlowCalNumber,0),1,1)&lt;INDEX(FlowCalHighSetting,MATCH(Z634,FlowCalNumber,0),1,1))),INDEX(FlowCalConstA,MATCH(Z634,FlowCalNumber,0),1,1)*AB642^INDEX(FlowCalConstB,MATCH(Z634,FlowCalNumber,0),1,1)," ")</f>
        <v>#N/A</v>
      </c>
      <c r="AD642" s="33"/>
      <c r="AE642" s="242">
        <f t="shared" si="610"/>
        <v>0.1</v>
      </c>
      <c r="AF642" s="241" t="e">
        <f t="shared" ca="1" si="611"/>
        <v>#VALUE!</v>
      </c>
      <c r="AG642" s="243" t="e">
        <f ca="1">IF(AND(INDEX(FlowCalConstA,MATCH(AD634,FlowCalNumber,0),1,1)*AF642^INDEX(FlowCalConstB,MATCH(AD634,FlowCalNumber,0),1,1)&gt;INDEX(FlowCalLowSetting,MATCH(AD634,FlowCalNumber,0),1,1), (INDEX(FlowCalConstA,MATCH(AD634,FlowCalNumber,0),1,1)*AF642^INDEX(FlowCalConstB,MATCH(AD634,FlowCalNumber,0),1,1)&lt;INDEX(FlowCalHighSetting,MATCH(AD634,FlowCalNumber,0),1,1))),INDEX(FlowCalConstA,MATCH(AD634,FlowCalNumber,0),1,1)*AF642^INDEX(FlowCalConstB,MATCH(AD634,FlowCalNumber,0),1,1)," ")</f>
        <v>#N/A</v>
      </c>
      <c r="AH642" s="33"/>
      <c r="AI642" s="242">
        <f t="shared" si="612"/>
        <v>0.9</v>
      </c>
      <c r="AJ642" s="241" t="e">
        <f t="shared" ca="1" si="613"/>
        <v>#VALUE!</v>
      </c>
      <c r="AK642" s="243" t="e">
        <f ca="1">IF(AND(INDEX(FlowCalConstA,MATCH(AH634,FlowCalNumber,0),1,1)*AJ642^INDEX(FlowCalConstB,MATCH(AH634,FlowCalNumber,0),1,1)&gt;INDEX(FlowCalLowSetting,MATCH(AH634,FlowCalNumber,0),1,1), (INDEX(FlowCalConstA,MATCH(AH634,FlowCalNumber,0),1,1)*AJ642^INDEX(FlowCalConstB,MATCH(AH634,FlowCalNumber,0),1,1)&lt;INDEX(FlowCalHighSetting,MATCH(AH634,FlowCalNumber,0),1,1))),INDEX(FlowCalConstA,MATCH(AH634,FlowCalNumber,0),1,1)*AJ642^INDEX(FlowCalConstB,MATCH(AH634,FlowCalNumber,0),1,1)," ")</f>
        <v>#N/A</v>
      </c>
      <c r="AL642" s="33"/>
      <c r="AM642" s="242"/>
      <c r="AN642" s="241"/>
      <c r="AO642" s="244"/>
      <c r="AQ642" s="242"/>
      <c r="AR642" s="241"/>
      <c r="AS642" s="244"/>
      <c r="AT642" s="33"/>
      <c r="AU642" s="242"/>
      <c r="AV642" s="241"/>
      <c r="AW642" s="244"/>
      <c r="AX642" s="33"/>
      <c r="AY642" s="242"/>
      <c r="AZ642" s="241"/>
      <c r="BA642" s="244"/>
      <c r="BB642" s="33"/>
      <c r="BC642" s="242"/>
      <c r="BD642" s="241"/>
      <c r="BE642" s="244"/>
      <c r="BF642" s="33"/>
      <c r="BG642" s="242"/>
      <c r="BH642" s="241"/>
      <c r="BI642" s="244"/>
      <c r="BJ642" s="33"/>
      <c r="BK642" s="242"/>
      <c r="BL642" s="241"/>
      <c r="BM642" s="244"/>
      <c r="BN642" s="33"/>
      <c r="BO642" s="242"/>
      <c r="BP642" s="241"/>
      <c r="BQ642" s="244"/>
      <c r="BR642" s="33"/>
      <c r="BS642" s="242"/>
      <c r="BT642" s="241"/>
      <c r="BU642" s="244"/>
      <c r="BV642" s="33"/>
      <c r="BW642" s="242"/>
      <c r="BX642" s="241"/>
      <c r="BY642" s="244"/>
      <c r="BZ642" s="33"/>
      <c r="CA642" s="242"/>
      <c r="CB642" s="241"/>
      <c r="CC642" s="244"/>
      <c r="CD642" s="243"/>
      <c r="CE642" s="243"/>
      <c r="CF642" s="243"/>
      <c r="CG642" s="243"/>
      <c r="CH642" s="243"/>
      <c r="CI642" s="243"/>
      <c r="CJ642" s="243"/>
      <c r="CK642" s="243"/>
      <c r="CL642" s="243"/>
      <c r="CM642" s="243"/>
      <c r="CN642" s="243"/>
      <c r="CO642" s="243"/>
      <c r="CP642" s="243"/>
      <c r="CQ642" s="243"/>
      <c r="CR642" s="243"/>
      <c r="CS642" s="243"/>
      <c r="CT642" s="243"/>
      <c r="CU642" s="243"/>
      <c r="CV642" s="243"/>
      <c r="CW642" s="243"/>
      <c r="CX642" s="243"/>
      <c r="CY642" s="243"/>
      <c r="CZ642" s="243"/>
      <c r="DA642" s="243"/>
      <c r="DB642" s="243"/>
      <c r="DC642" s="243"/>
      <c r="DD642" s="243"/>
      <c r="DE642" s="243"/>
      <c r="DF642" s="243"/>
      <c r="DG642" s="243"/>
      <c r="DH642" s="243"/>
      <c r="DI642" s="243"/>
      <c r="DJ642" s="243"/>
      <c r="DK642" s="243"/>
      <c r="DM642" s="242"/>
      <c r="DO642" s="243"/>
      <c r="DQ642" s="242"/>
      <c r="DS642" s="243"/>
      <c r="DU642" s="242"/>
      <c r="DW642" s="243"/>
      <c r="DY642" s="242"/>
      <c r="EA642" s="243"/>
    </row>
    <row r="643" spans="1:131">
      <c r="A643" s="20"/>
      <c r="B643" s="124" t="str">
        <f t="shared" si="598"/>
        <v/>
      </c>
      <c r="C643" s="235"/>
      <c r="D643" s="24">
        <f>'1% Wind'!$M$90</f>
        <v>5.7</v>
      </c>
      <c r="E643" s="90"/>
      <c r="F643" s="90"/>
      <c r="G643" s="79">
        <f ca="1">IF(I634=0.9743,$G642,MAX(G642/D642*D643,2))</f>
        <v>6.001707317073171</v>
      </c>
      <c r="H643" s="121" t="e">
        <f t="shared" ca="1" si="599"/>
        <v>#VALUE!</v>
      </c>
      <c r="J643" s="33"/>
      <c r="K643" s="242">
        <f t="shared" si="600"/>
        <v>1</v>
      </c>
      <c r="L643" s="241" t="e">
        <f t="shared" ca="1" si="601"/>
        <v>#VALUE!</v>
      </c>
      <c r="M643" s="243" t="e">
        <f ca="1">IF(AND(INDEX(FlowCalConstA,MATCH(J634,FlowCalNumber,0),1,1)*L643^INDEX(FlowCalConstB,MATCH(J634,FlowCalNumber,0),1,1)&gt;INDEX(FlowCalLowSetting,MATCH(J634,FlowCalNumber,0),1,1), (INDEX(FlowCalConstA,MATCH(J634,FlowCalNumber,0),1,1)*L643^INDEX(FlowCalConstB,MATCH(J634,FlowCalNumber,0),1,1)&lt;INDEX(FlowCalHighSetting,MATCH(J634,FlowCalNumber,0),1,1))),INDEX(FlowCalConstA,MATCH(J634,FlowCalNumber,0),1,1)*L643^INDEX(FlowCalConstB,MATCH(J634,FlowCalNumber,0),1,1)," ")</f>
        <v>#N/A</v>
      </c>
      <c r="N643" s="33"/>
      <c r="O643" s="242">
        <f t="shared" si="602"/>
        <v>1</v>
      </c>
      <c r="P643" s="241" t="e">
        <f t="shared" ca="1" si="603"/>
        <v>#VALUE!</v>
      </c>
      <c r="Q643" s="243" t="e">
        <f ca="1">IF(AND(INDEX(FlowCalConstA,MATCH(N634,FlowCalNumber,0),1,1)*P643^INDEX(FlowCalConstB,MATCH(N634,FlowCalNumber,0),1,1)&gt;INDEX(FlowCalLowSetting,MATCH(N634,FlowCalNumber,0),1,1), (INDEX(FlowCalConstA,MATCH(N634,FlowCalNumber,0),1,1)*P643^INDEX(FlowCalConstB,MATCH(N634,FlowCalNumber,0),1,1)&lt;INDEX(FlowCalHighSetting,MATCH(N634,FlowCalNumber,0),1,1))),INDEX(FlowCalConstA,MATCH(N634,FlowCalNumber,0),1,1)*P643^INDEX(FlowCalConstB,MATCH(N634,FlowCalNumber,0),1,1)," ")</f>
        <v>#N/A</v>
      </c>
      <c r="R643" s="33"/>
      <c r="S643" s="242">
        <f t="shared" si="604"/>
        <v>1</v>
      </c>
      <c r="T643" s="241" t="e">
        <f t="shared" ca="1" si="605"/>
        <v>#VALUE!</v>
      </c>
      <c r="U643" s="244" t="e">
        <f ca="1">IF(AND(INDEX(FlowCalConstA,MATCH(R634,FlowCalNumber,0),1,1)*T643^INDEX(FlowCalConstB,MATCH(R634,FlowCalNumber,0),1,1)&gt;INDEX(FlowCalLowSetting,MATCH(R634,FlowCalNumber,0),1,1), (INDEX(FlowCalConstA,MATCH(R634,FlowCalNumber,0),1,1)*T643^INDEX(FlowCalConstB,MATCH(R634,FlowCalNumber,0),1,1)&lt;INDEX(FlowCalHighSetting,MATCH(R634,FlowCalNumber,0),1,1))),INDEX(FlowCalConstA,MATCH(R634,FlowCalNumber,0),1,1)*T643^INDEX(FlowCalConstB,MATCH(R634,FlowCalNumber,0),1,1)," ")</f>
        <v>#N/A</v>
      </c>
      <c r="V643" s="33"/>
      <c r="W643" s="242">
        <f t="shared" si="606"/>
        <v>0.1</v>
      </c>
      <c r="X643" s="241" t="e">
        <f t="shared" ca="1" si="607"/>
        <v>#VALUE!</v>
      </c>
      <c r="Y643" s="243" t="e">
        <f ca="1">IF(AND(INDEX(FlowCalConstA,MATCH(V634,FlowCalNumber,0),1,1)*X643^INDEX(FlowCalConstB,MATCH(V634,FlowCalNumber,0),1,1)&gt;INDEX(FlowCalLowSetting,MATCH(V634,FlowCalNumber,0),1,1), (INDEX(FlowCalConstA,MATCH(V634,FlowCalNumber,0),1,1)*X643^INDEX(FlowCalConstB,MATCH(V634,FlowCalNumber,0),1,1)&lt;INDEX(FlowCalHighSetting,MATCH(V634,FlowCalNumber,0),1,1))),INDEX(FlowCalConstA,MATCH(V634,FlowCalNumber,0),1,1)*X643^INDEX(FlowCalConstB,MATCH(V634,FlowCalNumber,0),1,1)," ")</f>
        <v>#N/A</v>
      </c>
      <c r="Z643" s="33"/>
      <c r="AA643" s="242">
        <f t="shared" si="608"/>
        <v>0.9</v>
      </c>
      <c r="AB643" s="241" t="e">
        <f t="shared" ca="1" si="609"/>
        <v>#VALUE!</v>
      </c>
      <c r="AC643" s="243" t="e">
        <f ca="1">IF(AND(INDEX(FlowCalConstA,MATCH(Z634,FlowCalNumber,0),1,1)*AB643^INDEX(FlowCalConstB,MATCH(Z634,FlowCalNumber,0),1,1)&gt;INDEX(FlowCalLowSetting,MATCH(Z634,FlowCalNumber,0),1,1), (INDEX(FlowCalConstA,MATCH(Z634,FlowCalNumber,0),1,1)*AB643^INDEX(FlowCalConstB,MATCH(Z634,FlowCalNumber,0),1,1)&lt;INDEX(FlowCalHighSetting,MATCH(Z634,FlowCalNumber,0),1,1))),INDEX(FlowCalConstA,MATCH(Z634,FlowCalNumber,0),1,1)*AB643^INDEX(FlowCalConstB,MATCH(Z634,FlowCalNumber,0),1,1)," ")</f>
        <v>#N/A</v>
      </c>
      <c r="AD643" s="33"/>
      <c r="AE643" s="242">
        <f t="shared" si="610"/>
        <v>0.1</v>
      </c>
      <c r="AF643" s="241" t="e">
        <f t="shared" ca="1" si="611"/>
        <v>#VALUE!</v>
      </c>
      <c r="AG643" s="243" t="e">
        <f ca="1">IF(AND(INDEX(FlowCalConstA,MATCH(AD634,FlowCalNumber,0),1,1)*AF643^INDEX(FlowCalConstB,MATCH(AD634,FlowCalNumber,0),1,1)&gt;INDEX(FlowCalLowSetting,MATCH(AD634,FlowCalNumber,0),1,1), (INDEX(FlowCalConstA,MATCH(AD634,FlowCalNumber,0),1,1)*AF643^INDEX(FlowCalConstB,MATCH(AD634,FlowCalNumber,0),1,1)&lt;INDEX(FlowCalHighSetting,MATCH(AD634,FlowCalNumber,0),1,1))),INDEX(FlowCalConstA,MATCH(AD634,FlowCalNumber,0),1,1)*AF643^INDEX(FlowCalConstB,MATCH(AD634,FlowCalNumber,0),1,1)," ")</f>
        <v>#N/A</v>
      </c>
      <c r="AH643" s="33"/>
      <c r="AI643" s="242">
        <f t="shared" si="612"/>
        <v>0.9</v>
      </c>
      <c r="AJ643" s="241" t="e">
        <f t="shared" ca="1" si="613"/>
        <v>#VALUE!</v>
      </c>
      <c r="AK643" s="243" t="e">
        <f ca="1">IF(AND(INDEX(FlowCalConstA,MATCH(AH634,FlowCalNumber,0),1,1)*AJ643^INDEX(FlowCalConstB,MATCH(AH634,FlowCalNumber,0),1,1)&gt;INDEX(FlowCalLowSetting,MATCH(AH634,FlowCalNumber,0),1,1), (INDEX(FlowCalConstA,MATCH(AH634,FlowCalNumber,0),1,1)*AJ643^INDEX(FlowCalConstB,MATCH(AH634,FlowCalNumber,0),1,1)&lt;INDEX(FlowCalHighSetting,MATCH(AH634,FlowCalNumber,0),1,1))),INDEX(FlowCalConstA,MATCH(AH634,FlowCalNumber,0),1,1)*AJ643^INDEX(FlowCalConstB,MATCH(AH634,FlowCalNumber,0),1,1)," ")</f>
        <v>#N/A</v>
      </c>
      <c r="AL643" s="33"/>
      <c r="AM643" s="242"/>
      <c r="AN643" s="241"/>
      <c r="AO643" s="244"/>
      <c r="AQ643" s="242"/>
      <c r="AR643" s="241"/>
      <c r="AS643" s="244"/>
      <c r="AT643" s="33"/>
      <c r="AU643" s="242"/>
      <c r="AV643" s="241"/>
      <c r="AW643" s="244"/>
      <c r="AX643" s="33"/>
      <c r="AY643" s="242"/>
      <c r="AZ643" s="241"/>
      <c r="BA643" s="244"/>
      <c r="BB643" s="33"/>
      <c r="BC643" s="242"/>
      <c r="BD643" s="241"/>
      <c r="BE643" s="244"/>
      <c r="BF643" s="33"/>
      <c r="BG643" s="242"/>
      <c r="BH643" s="241"/>
      <c r="BI643" s="244"/>
      <c r="BJ643" s="33"/>
      <c r="BK643" s="242"/>
      <c r="BL643" s="241"/>
      <c r="BM643" s="244"/>
      <c r="BN643" s="33"/>
      <c r="BO643" s="242"/>
      <c r="BP643" s="241"/>
      <c r="BQ643" s="244"/>
      <c r="BR643" s="33"/>
      <c r="BS643" s="242"/>
      <c r="BT643" s="241"/>
      <c r="BU643" s="244"/>
      <c r="BV643" s="33"/>
      <c r="BW643" s="242"/>
      <c r="BX643" s="241"/>
      <c r="BY643" s="244"/>
      <c r="BZ643" s="33"/>
      <c r="CA643" s="242"/>
      <c r="CB643" s="241"/>
      <c r="CC643" s="244"/>
      <c r="CD643" s="243"/>
      <c r="CE643" s="243"/>
      <c r="CF643" s="243"/>
      <c r="CG643" s="243"/>
      <c r="CH643" s="243"/>
      <c r="CI643" s="243"/>
      <c r="CJ643" s="243"/>
      <c r="CK643" s="243"/>
      <c r="CL643" s="243"/>
      <c r="CM643" s="243"/>
      <c r="CN643" s="243"/>
      <c r="CO643" s="243"/>
      <c r="CP643" s="243"/>
      <c r="CQ643" s="243"/>
      <c r="CR643" s="243"/>
      <c r="CS643" s="243"/>
      <c r="CT643" s="243"/>
      <c r="CU643" s="243"/>
      <c r="CV643" s="243"/>
      <c r="CW643" s="243"/>
      <c r="CX643" s="243"/>
      <c r="CY643" s="243"/>
      <c r="CZ643" s="243"/>
      <c r="DA643" s="243"/>
      <c r="DB643" s="243"/>
      <c r="DC643" s="243"/>
      <c r="DD643" s="243"/>
      <c r="DE643" s="243"/>
      <c r="DF643" s="243"/>
      <c r="DG643" s="243"/>
      <c r="DH643" s="243"/>
      <c r="DI643" s="243"/>
      <c r="DJ643" s="243"/>
      <c r="DK643" s="243"/>
      <c r="DM643" s="242"/>
      <c r="DO643" s="243"/>
      <c r="DQ643" s="242"/>
      <c r="DS643" s="243"/>
      <c r="DU643" s="242"/>
      <c r="DW643" s="243"/>
      <c r="DY643" s="242"/>
      <c r="EA643" s="243"/>
    </row>
    <row r="644" spans="1:131">
      <c r="A644" s="20"/>
      <c r="B644" s="124" t="str">
        <f t="shared" si="598"/>
        <v/>
      </c>
      <c r="C644" s="235"/>
      <c r="D644" s="24">
        <f>'1% Wind'!$M$91</f>
        <v>4.2</v>
      </c>
      <c r="E644" s="90"/>
      <c r="F644" s="90"/>
      <c r="G644" s="79">
        <f ca="1">IF(I634=0.9743,$G643,MAX(G643/D643*D644,2))</f>
        <v>6.001707317073171</v>
      </c>
      <c r="H644" s="121" t="e">
        <f t="shared" ca="1" si="599"/>
        <v>#VALUE!</v>
      </c>
      <c r="J644" s="33"/>
      <c r="K644" s="242">
        <f t="shared" si="600"/>
        <v>1</v>
      </c>
      <c r="L644" s="241" t="e">
        <f t="shared" ca="1" si="601"/>
        <v>#VALUE!</v>
      </c>
      <c r="M644" s="243" t="e">
        <f ca="1">IF(AND(INDEX(FlowCalConstA,MATCH(J634,FlowCalNumber,0),1,1)*L644^INDEX(FlowCalConstB,MATCH(J634,FlowCalNumber,0),1,1)&gt;INDEX(FlowCalLowSetting,MATCH(J634,FlowCalNumber,0),1,1), (INDEX(FlowCalConstA,MATCH(J634,FlowCalNumber,0),1,1)*L644^INDEX(FlowCalConstB,MATCH(J634,FlowCalNumber,0),1,1)&lt;INDEX(FlowCalHighSetting,MATCH(J634,FlowCalNumber,0),1,1))),INDEX(FlowCalConstA,MATCH(J634,FlowCalNumber,0),1,1)*L644^INDEX(FlowCalConstB,MATCH(J634,FlowCalNumber,0),1,1)," ")</f>
        <v>#N/A</v>
      </c>
      <c r="N644" s="33"/>
      <c r="O644" s="242">
        <f t="shared" si="602"/>
        <v>1</v>
      </c>
      <c r="P644" s="241" t="e">
        <f t="shared" ca="1" si="603"/>
        <v>#VALUE!</v>
      </c>
      <c r="Q644" s="243" t="e">
        <f ca="1">IF(AND(INDEX(FlowCalConstA,MATCH(N634,FlowCalNumber,0),1,1)*P644^INDEX(FlowCalConstB,MATCH(N634,FlowCalNumber,0),1,1)&gt;INDEX(FlowCalLowSetting,MATCH(N634,FlowCalNumber,0),1,1), (INDEX(FlowCalConstA,MATCH(N634,FlowCalNumber,0),1,1)*P644^INDEX(FlowCalConstB,MATCH(N634,FlowCalNumber,0),1,1)&lt;INDEX(FlowCalHighSetting,MATCH(N634,FlowCalNumber,0),1,1))),INDEX(FlowCalConstA,MATCH(N634,FlowCalNumber,0),1,1)*P644^INDEX(FlowCalConstB,MATCH(N634,FlowCalNumber,0),1,1)," ")</f>
        <v>#N/A</v>
      </c>
      <c r="R644" s="33"/>
      <c r="S644" s="242">
        <f t="shared" si="604"/>
        <v>1</v>
      </c>
      <c r="T644" s="241" t="e">
        <f t="shared" ca="1" si="605"/>
        <v>#VALUE!</v>
      </c>
      <c r="U644" s="244" t="e">
        <f ca="1">IF(AND(INDEX(FlowCalConstA,MATCH(R634,FlowCalNumber,0),1,1)*T644^INDEX(FlowCalConstB,MATCH(R634,FlowCalNumber,0),1,1)&gt;INDEX(FlowCalLowSetting,MATCH(R634,FlowCalNumber,0),1,1), (INDEX(FlowCalConstA,MATCH(R634,FlowCalNumber,0),1,1)*T644^INDEX(FlowCalConstB,MATCH(R634,FlowCalNumber,0),1,1)&lt;INDEX(FlowCalHighSetting,MATCH(R634,FlowCalNumber,0),1,1))),INDEX(FlowCalConstA,MATCH(R634,FlowCalNumber,0),1,1)*T644^INDEX(FlowCalConstB,MATCH(R634,FlowCalNumber,0),1,1)," ")</f>
        <v>#N/A</v>
      </c>
      <c r="V644" s="33"/>
      <c r="W644" s="242">
        <f t="shared" si="606"/>
        <v>0.1</v>
      </c>
      <c r="X644" s="241" t="e">
        <f t="shared" ca="1" si="607"/>
        <v>#VALUE!</v>
      </c>
      <c r="Y644" s="243" t="e">
        <f ca="1">IF(AND(INDEX(FlowCalConstA,MATCH(V634,FlowCalNumber,0),1,1)*X644^INDEX(FlowCalConstB,MATCH(V634,FlowCalNumber,0),1,1)&gt;INDEX(FlowCalLowSetting,MATCH(V634,FlowCalNumber,0),1,1), (INDEX(FlowCalConstA,MATCH(V634,FlowCalNumber,0),1,1)*X644^INDEX(FlowCalConstB,MATCH(V634,FlowCalNumber,0),1,1)&lt;INDEX(FlowCalHighSetting,MATCH(V634,FlowCalNumber,0),1,1))),INDEX(FlowCalConstA,MATCH(V634,FlowCalNumber,0),1,1)*X644^INDEX(FlowCalConstB,MATCH(V634,FlowCalNumber,0),1,1)," ")</f>
        <v>#N/A</v>
      </c>
      <c r="Z644" s="33"/>
      <c r="AA644" s="242">
        <f t="shared" si="608"/>
        <v>0.9</v>
      </c>
      <c r="AB644" s="241" t="e">
        <f t="shared" ca="1" si="609"/>
        <v>#VALUE!</v>
      </c>
      <c r="AC644" s="243" t="e">
        <f ca="1">IF(AND(INDEX(FlowCalConstA,MATCH(Z634,FlowCalNumber,0),1,1)*AB644^INDEX(FlowCalConstB,MATCH(Z634,FlowCalNumber,0),1,1)&gt;INDEX(FlowCalLowSetting,MATCH(Z634,FlowCalNumber,0),1,1), (INDEX(FlowCalConstA,MATCH(Z634,FlowCalNumber,0),1,1)*AB644^INDEX(FlowCalConstB,MATCH(Z634,FlowCalNumber,0),1,1)&lt;INDEX(FlowCalHighSetting,MATCH(Z634,FlowCalNumber,0),1,1))),INDEX(FlowCalConstA,MATCH(Z634,FlowCalNumber,0),1,1)*AB644^INDEX(FlowCalConstB,MATCH(Z634,FlowCalNumber,0),1,1)," ")</f>
        <v>#N/A</v>
      </c>
      <c r="AD644" s="33"/>
      <c r="AE644" s="242">
        <f t="shared" si="610"/>
        <v>0.1</v>
      </c>
      <c r="AF644" s="241" t="e">
        <f t="shared" ca="1" si="611"/>
        <v>#VALUE!</v>
      </c>
      <c r="AG644" s="243" t="e">
        <f ca="1">IF(AND(INDEX(FlowCalConstA,MATCH(AD634,FlowCalNumber,0),1,1)*AF644^INDEX(FlowCalConstB,MATCH(AD634,FlowCalNumber,0),1,1)&gt;INDEX(FlowCalLowSetting,MATCH(AD634,FlowCalNumber,0),1,1), (INDEX(FlowCalConstA,MATCH(AD634,FlowCalNumber,0),1,1)*AF644^INDEX(FlowCalConstB,MATCH(AD634,FlowCalNumber,0),1,1)&lt;INDEX(FlowCalHighSetting,MATCH(AD634,FlowCalNumber,0),1,1))),INDEX(FlowCalConstA,MATCH(AD634,FlowCalNumber,0),1,1)*AF644^INDEX(FlowCalConstB,MATCH(AD634,FlowCalNumber,0),1,1)," ")</f>
        <v>#N/A</v>
      </c>
      <c r="AH644" s="33"/>
      <c r="AI644" s="242">
        <f t="shared" si="612"/>
        <v>0.9</v>
      </c>
      <c r="AJ644" s="241" t="e">
        <f t="shared" ca="1" si="613"/>
        <v>#VALUE!</v>
      </c>
      <c r="AK644" s="243" t="e">
        <f ca="1">IF(AND(INDEX(FlowCalConstA,MATCH(AH634,FlowCalNumber,0),1,1)*AJ644^INDEX(FlowCalConstB,MATCH(AH634,FlowCalNumber,0),1,1)&gt;INDEX(FlowCalLowSetting,MATCH(AH634,FlowCalNumber,0),1,1), (INDEX(FlowCalConstA,MATCH(AH634,FlowCalNumber,0),1,1)*AJ644^INDEX(FlowCalConstB,MATCH(AH634,FlowCalNumber,0),1,1)&lt;INDEX(FlowCalHighSetting,MATCH(AH634,FlowCalNumber,0),1,1))),INDEX(FlowCalConstA,MATCH(AH634,FlowCalNumber,0),1,1)*AJ644^INDEX(FlowCalConstB,MATCH(AH634,FlowCalNumber,0),1,1)," ")</f>
        <v>#N/A</v>
      </c>
      <c r="AL644" s="33"/>
      <c r="AM644" s="242"/>
      <c r="AN644" s="241"/>
      <c r="AO644" s="244"/>
      <c r="AQ644" s="242"/>
      <c r="AR644" s="241"/>
      <c r="AS644" s="244"/>
      <c r="AT644" s="33"/>
      <c r="AU644" s="242"/>
      <c r="AV644" s="241"/>
      <c r="AW644" s="244"/>
      <c r="AX644" s="33"/>
      <c r="AY644" s="242"/>
      <c r="AZ644" s="241"/>
      <c r="BA644" s="244"/>
      <c r="BB644" s="33"/>
      <c r="BC644" s="242"/>
      <c r="BD644" s="241"/>
      <c r="BE644" s="244"/>
      <c r="BF644" s="33"/>
      <c r="BG644" s="242"/>
      <c r="BH644" s="241"/>
      <c r="BI644" s="244"/>
      <c r="BJ644" s="33"/>
      <c r="BK644" s="242"/>
      <c r="BL644" s="241"/>
      <c r="BM644" s="244"/>
      <c r="BN644" s="33"/>
      <c r="BO644" s="242"/>
      <c r="BP644" s="241"/>
      <c r="BQ644" s="244"/>
      <c r="BR644" s="33"/>
      <c r="BS644" s="242"/>
      <c r="BT644" s="241"/>
      <c r="BU644" s="244"/>
      <c r="BV644" s="33"/>
      <c r="BW644" s="242"/>
      <c r="BX644" s="241"/>
      <c r="BY644" s="244"/>
      <c r="BZ644" s="33"/>
      <c r="CA644" s="242"/>
      <c r="CB644" s="241"/>
      <c r="CC644" s="244"/>
      <c r="CD644" s="243"/>
      <c r="CE644" s="243"/>
      <c r="CF644" s="243"/>
      <c r="CG644" s="243"/>
      <c r="CH644" s="243"/>
      <c r="CI644" s="243"/>
      <c r="CJ644" s="243"/>
      <c r="CK644" s="243"/>
      <c r="CL644" s="243"/>
      <c r="CM644" s="243"/>
      <c r="CN644" s="243"/>
      <c r="CO644" s="243"/>
      <c r="CP644" s="243"/>
      <c r="CQ644" s="243"/>
      <c r="CR644" s="243"/>
      <c r="CS644" s="243"/>
      <c r="CT644" s="243"/>
      <c r="CU644" s="243"/>
      <c r="CV644" s="243"/>
      <c r="CW644" s="243"/>
      <c r="CX644" s="243"/>
      <c r="CY644" s="243"/>
      <c r="CZ644" s="243"/>
      <c r="DA644" s="243"/>
      <c r="DB644" s="243"/>
      <c r="DC644" s="243"/>
      <c r="DD644" s="243"/>
      <c r="DE644" s="243"/>
      <c r="DF644" s="243"/>
      <c r="DG644" s="243"/>
      <c r="DH644" s="243"/>
      <c r="DI644" s="243"/>
      <c r="DJ644" s="243"/>
      <c r="DK644" s="243"/>
      <c r="DM644" s="242"/>
      <c r="DO644" s="243"/>
      <c r="DQ644" s="242"/>
      <c r="DS644" s="243"/>
      <c r="DU644" s="242"/>
      <c r="DW644" s="243"/>
      <c r="DY644" s="242"/>
      <c r="EA644" s="243"/>
    </row>
    <row r="645" spans="1:131">
      <c r="A645" s="20"/>
      <c r="B645" s="124" t="str">
        <f t="shared" si="598"/>
        <v/>
      </c>
      <c r="C645" s="235"/>
      <c r="D645" s="24">
        <f>'1% Wind'!$M$92</f>
        <v>3.2</v>
      </c>
      <c r="E645" s="90"/>
      <c r="F645" s="90"/>
      <c r="G645" s="79">
        <f ca="1">IF(I634=0.9743,$G644,MAX(G644/D644*D645,2))</f>
        <v>6.001707317073171</v>
      </c>
      <c r="H645" s="121" t="e">
        <f t="shared" ca="1" si="599"/>
        <v>#VALUE!</v>
      </c>
      <c r="J645" s="33"/>
      <c r="K645" s="242">
        <f t="shared" si="600"/>
        <v>1</v>
      </c>
      <c r="L645" s="241" t="e">
        <f t="shared" ca="1" si="601"/>
        <v>#VALUE!</v>
      </c>
      <c r="M645" s="243" t="e">
        <f ca="1">IF(AND(INDEX(FlowCalConstA,MATCH(J634,FlowCalNumber,0),1,1)*L645^INDEX(FlowCalConstB,MATCH(J634,FlowCalNumber,0),1,1)&gt;INDEX(FlowCalLowSetting,MATCH(J634,FlowCalNumber,0),1,1), (INDEX(FlowCalConstA,MATCH(J634,FlowCalNumber,0),1,1)*L645^INDEX(FlowCalConstB,MATCH(J634,FlowCalNumber,0),1,1)&lt;INDEX(FlowCalHighSetting,MATCH(J634,FlowCalNumber,0),1,1))),INDEX(FlowCalConstA,MATCH(J634,FlowCalNumber,0),1,1)*L645^INDEX(FlowCalConstB,MATCH(J634,FlowCalNumber,0),1,1)," ")</f>
        <v>#N/A</v>
      </c>
      <c r="N645" s="33"/>
      <c r="O645" s="242">
        <f t="shared" si="602"/>
        <v>1</v>
      </c>
      <c r="P645" s="241" t="e">
        <f t="shared" ca="1" si="603"/>
        <v>#VALUE!</v>
      </c>
      <c r="Q645" s="243" t="e">
        <f ca="1">IF(AND(INDEX(FlowCalConstA,MATCH(N634,FlowCalNumber,0),1,1)*P645^INDEX(FlowCalConstB,MATCH(N634,FlowCalNumber,0),1,1)&gt;INDEX(FlowCalLowSetting,MATCH(N634,FlowCalNumber,0),1,1), (INDEX(FlowCalConstA,MATCH(N634,FlowCalNumber,0),1,1)*P645^INDEX(FlowCalConstB,MATCH(N634,FlowCalNumber,0),1,1)&lt;INDEX(FlowCalHighSetting,MATCH(N634,FlowCalNumber,0),1,1))),INDEX(FlowCalConstA,MATCH(N634,FlowCalNumber,0),1,1)*P645^INDEX(FlowCalConstB,MATCH(N634,FlowCalNumber,0),1,1)," ")</f>
        <v>#N/A</v>
      </c>
      <c r="R645" s="33"/>
      <c r="S645" s="242">
        <f t="shared" si="604"/>
        <v>1</v>
      </c>
      <c r="T645" s="241" t="e">
        <f t="shared" ca="1" si="605"/>
        <v>#VALUE!</v>
      </c>
      <c r="U645" s="244" t="e">
        <f ca="1">IF(AND(INDEX(FlowCalConstA,MATCH(R634,FlowCalNumber,0),1,1)*T645^INDEX(FlowCalConstB,MATCH(R634,FlowCalNumber,0),1,1)&gt;INDEX(FlowCalLowSetting,MATCH(R634,FlowCalNumber,0),1,1), (INDEX(FlowCalConstA,MATCH(R634,FlowCalNumber,0),1,1)*T645^INDEX(FlowCalConstB,MATCH(R634,FlowCalNumber,0),1,1)&lt;INDEX(FlowCalHighSetting,MATCH(R634,FlowCalNumber,0),1,1))),INDEX(FlowCalConstA,MATCH(R634,FlowCalNumber,0),1,1)*T645^INDEX(FlowCalConstB,MATCH(R634,FlowCalNumber,0),1,1)," ")</f>
        <v>#N/A</v>
      </c>
      <c r="V645" s="33"/>
      <c r="W645" s="242">
        <f t="shared" si="606"/>
        <v>0.1</v>
      </c>
      <c r="X645" s="241" t="e">
        <f t="shared" ca="1" si="607"/>
        <v>#VALUE!</v>
      </c>
      <c r="Y645" s="243" t="e">
        <f ca="1">IF(AND(INDEX(FlowCalConstA,MATCH(V634,FlowCalNumber,0),1,1)*X645^INDEX(FlowCalConstB,MATCH(V634,FlowCalNumber,0),1,1)&gt;INDEX(FlowCalLowSetting,MATCH(V634,FlowCalNumber,0),1,1), (INDEX(FlowCalConstA,MATCH(V634,FlowCalNumber,0),1,1)*X645^INDEX(FlowCalConstB,MATCH(V634,FlowCalNumber,0),1,1)&lt;INDEX(FlowCalHighSetting,MATCH(V634,FlowCalNumber,0),1,1))),INDEX(FlowCalConstA,MATCH(V634,FlowCalNumber,0),1,1)*X645^INDEX(FlowCalConstB,MATCH(V634,FlowCalNumber,0),1,1)," ")</f>
        <v>#N/A</v>
      </c>
      <c r="Z645" s="33"/>
      <c r="AA645" s="242">
        <f t="shared" si="608"/>
        <v>0.9</v>
      </c>
      <c r="AB645" s="241" t="e">
        <f t="shared" ca="1" si="609"/>
        <v>#VALUE!</v>
      </c>
      <c r="AC645" s="243" t="e">
        <f ca="1">IF(AND(INDEX(FlowCalConstA,MATCH(Z634,FlowCalNumber,0),1,1)*AB645^INDEX(FlowCalConstB,MATCH(Z634,FlowCalNumber,0),1,1)&gt;INDEX(FlowCalLowSetting,MATCH(Z634,FlowCalNumber,0),1,1), (INDEX(FlowCalConstA,MATCH(Z634,FlowCalNumber,0),1,1)*AB645^INDEX(FlowCalConstB,MATCH(Z634,FlowCalNumber,0),1,1)&lt;INDEX(FlowCalHighSetting,MATCH(Z634,FlowCalNumber,0),1,1))),INDEX(FlowCalConstA,MATCH(Z634,FlowCalNumber,0),1,1)*AB645^INDEX(FlowCalConstB,MATCH(Z634,FlowCalNumber,0),1,1)," ")</f>
        <v>#N/A</v>
      </c>
      <c r="AD645" s="33"/>
      <c r="AE645" s="242">
        <f t="shared" si="610"/>
        <v>0.1</v>
      </c>
      <c r="AF645" s="241" t="e">
        <f t="shared" ca="1" si="611"/>
        <v>#VALUE!</v>
      </c>
      <c r="AG645" s="243" t="e">
        <f ca="1">IF(AND(INDEX(FlowCalConstA,MATCH(AD634,FlowCalNumber,0),1,1)*AF645^INDEX(FlowCalConstB,MATCH(AD634,FlowCalNumber,0),1,1)&gt;INDEX(FlowCalLowSetting,MATCH(AD634,FlowCalNumber,0),1,1), (INDEX(FlowCalConstA,MATCH(AD634,FlowCalNumber,0),1,1)*AF645^INDEX(FlowCalConstB,MATCH(AD634,FlowCalNumber,0),1,1)&lt;INDEX(FlowCalHighSetting,MATCH(AD634,FlowCalNumber,0),1,1))),INDEX(FlowCalConstA,MATCH(AD634,FlowCalNumber,0),1,1)*AF645^INDEX(FlowCalConstB,MATCH(AD634,FlowCalNumber,0),1,1)," ")</f>
        <v>#N/A</v>
      </c>
      <c r="AH645" s="33"/>
      <c r="AI645" s="242">
        <f t="shared" si="612"/>
        <v>0.9</v>
      </c>
      <c r="AJ645" s="241" t="e">
        <f t="shared" ca="1" si="613"/>
        <v>#VALUE!</v>
      </c>
      <c r="AK645" s="243" t="e">
        <f ca="1">IF(AND(INDEX(FlowCalConstA,MATCH(AH634,FlowCalNumber,0),1,1)*AJ645^INDEX(FlowCalConstB,MATCH(AH634,FlowCalNumber,0),1,1)&gt;INDEX(FlowCalLowSetting,MATCH(AH634,FlowCalNumber,0),1,1), (INDEX(FlowCalConstA,MATCH(AH634,FlowCalNumber,0),1,1)*AJ645^INDEX(FlowCalConstB,MATCH(AH634,FlowCalNumber,0),1,1)&lt;INDEX(FlowCalHighSetting,MATCH(AH634,FlowCalNumber,0),1,1))),INDEX(FlowCalConstA,MATCH(AH634,FlowCalNumber,0),1,1)*AJ645^INDEX(FlowCalConstB,MATCH(AH634,FlowCalNumber,0),1,1)," ")</f>
        <v>#N/A</v>
      </c>
      <c r="AL645" s="33"/>
      <c r="AM645" s="242"/>
      <c r="AN645" s="241"/>
      <c r="AO645" s="244"/>
      <c r="AQ645" s="242"/>
      <c r="AR645" s="241"/>
      <c r="AS645" s="244"/>
      <c r="AT645" s="33"/>
      <c r="AU645" s="242"/>
      <c r="AV645" s="241"/>
      <c r="AW645" s="244"/>
      <c r="AX645" s="33"/>
      <c r="AY645" s="242"/>
      <c r="AZ645" s="241"/>
      <c r="BA645" s="244"/>
      <c r="BB645" s="33"/>
      <c r="BC645" s="242"/>
      <c r="BD645" s="241"/>
      <c r="BE645" s="244"/>
      <c r="BF645" s="33"/>
      <c r="BG645" s="242"/>
      <c r="BH645" s="241"/>
      <c r="BI645" s="244"/>
      <c r="BJ645" s="33"/>
      <c r="BK645" s="242"/>
      <c r="BL645" s="241"/>
      <c r="BM645" s="244"/>
      <c r="BN645" s="33"/>
      <c r="BO645" s="242"/>
      <c r="BP645" s="241"/>
      <c r="BQ645" s="244"/>
      <c r="BR645" s="33"/>
      <c r="BS645" s="242"/>
      <c r="BT645" s="241"/>
      <c r="BU645" s="244"/>
      <c r="BV645" s="33"/>
      <c r="BW645" s="242"/>
      <c r="BX645" s="241"/>
      <c r="BY645" s="244"/>
      <c r="BZ645" s="33"/>
      <c r="CA645" s="242"/>
      <c r="CB645" s="241"/>
      <c r="CC645" s="244"/>
      <c r="CD645" s="243"/>
      <c r="CE645" s="243"/>
      <c r="CF645" s="243"/>
      <c r="CG645" s="243"/>
      <c r="CH645" s="243"/>
      <c r="CI645" s="243"/>
      <c r="CJ645" s="243"/>
      <c r="CK645" s="243"/>
      <c r="CL645" s="243"/>
      <c r="CM645" s="243"/>
      <c r="CN645" s="243"/>
      <c r="CO645" s="243"/>
      <c r="CP645" s="243"/>
      <c r="CQ645" s="243"/>
      <c r="CR645" s="243"/>
      <c r="CS645" s="243"/>
      <c r="CT645" s="243"/>
      <c r="CU645" s="243"/>
      <c r="CV645" s="243"/>
      <c r="CW645" s="243"/>
      <c r="CX645" s="243"/>
      <c r="CY645" s="243"/>
      <c r="CZ645" s="243"/>
      <c r="DA645" s="243"/>
      <c r="DB645" s="243"/>
      <c r="DC645" s="243"/>
      <c r="DD645" s="243"/>
      <c r="DE645" s="243"/>
      <c r="DF645" s="243"/>
      <c r="DG645" s="243"/>
      <c r="DH645" s="243"/>
      <c r="DI645" s="243"/>
      <c r="DJ645" s="243"/>
      <c r="DK645" s="243"/>
      <c r="DM645" s="242"/>
      <c r="DO645" s="243"/>
      <c r="DQ645" s="242"/>
      <c r="DS645" s="243"/>
      <c r="DU645" s="242"/>
      <c r="DW645" s="243"/>
      <c r="DY645" s="242"/>
      <c r="EA645" s="243"/>
    </row>
    <row r="646" spans="1:131">
      <c r="A646" s="20"/>
      <c r="B646" s="124" t="str">
        <f t="shared" si="598"/>
        <v/>
      </c>
      <c r="C646" s="235"/>
      <c r="D646" s="24">
        <f>'1% Wind'!$M$93</f>
        <v>2.4</v>
      </c>
      <c r="E646" s="90"/>
      <c r="F646" s="90"/>
      <c r="G646" s="79">
        <f ca="1">IF(I634=0.9743,$G645,MAX(G645/D645*D646,2))</f>
        <v>6.001707317073171</v>
      </c>
      <c r="H646" s="121" t="e">
        <f t="shared" ca="1" si="599"/>
        <v>#VALUE!</v>
      </c>
      <c r="J646" s="33"/>
      <c r="K646" s="242">
        <f t="shared" si="600"/>
        <v>1</v>
      </c>
      <c r="L646" s="241" t="e">
        <f t="shared" ca="1" si="601"/>
        <v>#VALUE!</v>
      </c>
      <c r="M646" s="243" t="e">
        <f ca="1">IF(AND(INDEX(FlowCalConstA,MATCH(J634,FlowCalNumber,0),1,1)*L646^INDEX(FlowCalConstB,MATCH(J634,FlowCalNumber,0),1,1)&gt;INDEX(FlowCalLowSetting,MATCH(J634,FlowCalNumber,0),1,1), (INDEX(FlowCalConstA,MATCH(J634,FlowCalNumber,0),1,1)*L646^INDEX(FlowCalConstB,MATCH(J634,FlowCalNumber,0),1,1)&lt;INDEX(FlowCalHighSetting,MATCH(J634,FlowCalNumber,0),1,1))),INDEX(FlowCalConstA,MATCH(J634,FlowCalNumber,0),1,1)*L646^INDEX(FlowCalConstB,MATCH(J634,FlowCalNumber,0),1,1)," ")</f>
        <v>#N/A</v>
      </c>
      <c r="N646" s="33"/>
      <c r="O646" s="242">
        <f t="shared" si="602"/>
        <v>1</v>
      </c>
      <c r="P646" s="241" t="e">
        <f t="shared" ca="1" si="603"/>
        <v>#VALUE!</v>
      </c>
      <c r="Q646" s="243" t="e">
        <f ca="1">IF(AND(INDEX(FlowCalConstA,MATCH(N634,FlowCalNumber,0),1,1)*P646^INDEX(FlowCalConstB,MATCH(N634,FlowCalNumber,0),1,1)&gt;INDEX(FlowCalLowSetting,MATCH(N634,FlowCalNumber,0),1,1), (INDEX(FlowCalConstA,MATCH(N634,FlowCalNumber,0),1,1)*P646^INDEX(FlowCalConstB,MATCH(N634,FlowCalNumber,0),1,1)&lt;INDEX(FlowCalHighSetting,MATCH(N634,FlowCalNumber,0),1,1))),INDEX(FlowCalConstA,MATCH(N634,FlowCalNumber,0),1,1)*P646^INDEX(FlowCalConstB,MATCH(N634,FlowCalNumber,0),1,1)," ")</f>
        <v>#N/A</v>
      </c>
      <c r="R646" s="33"/>
      <c r="S646" s="242">
        <f t="shared" si="604"/>
        <v>1</v>
      </c>
      <c r="T646" s="241" t="e">
        <f t="shared" ca="1" si="605"/>
        <v>#VALUE!</v>
      </c>
      <c r="U646" s="244" t="e">
        <f ca="1">IF(AND(INDEX(FlowCalConstA,MATCH(R634,FlowCalNumber,0),1,1)*T646^INDEX(FlowCalConstB,MATCH(R634,FlowCalNumber,0),1,1)&gt;INDEX(FlowCalLowSetting,MATCH(R634,FlowCalNumber,0),1,1), (INDEX(FlowCalConstA,MATCH(R634,FlowCalNumber,0),1,1)*T646^INDEX(FlowCalConstB,MATCH(R634,FlowCalNumber,0),1,1)&lt;INDEX(FlowCalHighSetting,MATCH(R634,FlowCalNumber,0),1,1))),INDEX(FlowCalConstA,MATCH(R634,FlowCalNumber,0),1,1)*T646^INDEX(FlowCalConstB,MATCH(R634,FlowCalNumber,0),1,1)," ")</f>
        <v>#N/A</v>
      </c>
      <c r="V646" s="33"/>
      <c r="W646" s="242">
        <f t="shared" si="606"/>
        <v>0.1</v>
      </c>
      <c r="X646" s="241" t="e">
        <f t="shared" ca="1" si="607"/>
        <v>#VALUE!</v>
      </c>
      <c r="Y646" s="243" t="e">
        <f ca="1">IF(AND(INDEX(FlowCalConstA,MATCH(V634,FlowCalNumber,0),1,1)*X646^INDEX(FlowCalConstB,MATCH(V634,FlowCalNumber,0),1,1)&gt;INDEX(FlowCalLowSetting,MATCH(V634,FlowCalNumber,0),1,1), (INDEX(FlowCalConstA,MATCH(V634,FlowCalNumber,0),1,1)*X646^INDEX(FlowCalConstB,MATCH(V634,FlowCalNumber,0),1,1)&lt;INDEX(FlowCalHighSetting,MATCH(V634,FlowCalNumber,0),1,1))),INDEX(FlowCalConstA,MATCH(V634,FlowCalNumber,0),1,1)*X646^INDEX(FlowCalConstB,MATCH(V634,FlowCalNumber,0),1,1)," ")</f>
        <v>#N/A</v>
      </c>
      <c r="Z646" s="33"/>
      <c r="AA646" s="242">
        <f t="shared" si="608"/>
        <v>0.9</v>
      </c>
      <c r="AB646" s="241" t="e">
        <f t="shared" ca="1" si="609"/>
        <v>#VALUE!</v>
      </c>
      <c r="AC646" s="243" t="e">
        <f ca="1">IF(AND(INDEX(FlowCalConstA,MATCH(Z634,FlowCalNumber,0),1,1)*AB646^INDEX(FlowCalConstB,MATCH(Z634,FlowCalNumber,0),1,1)&gt;INDEX(FlowCalLowSetting,MATCH(Z634,FlowCalNumber,0),1,1), (INDEX(FlowCalConstA,MATCH(Z634,FlowCalNumber,0),1,1)*AB646^INDEX(FlowCalConstB,MATCH(Z634,FlowCalNumber,0),1,1)&lt;INDEX(FlowCalHighSetting,MATCH(Z634,FlowCalNumber,0),1,1))),INDEX(FlowCalConstA,MATCH(Z634,FlowCalNumber,0),1,1)*AB646^INDEX(FlowCalConstB,MATCH(Z634,FlowCalNumber,0),1,1)," ")</f>
        <v>#N/A</v>
      </c>
      <c r="AD646" s="33"/>
      <c r="AE646" s="242">
        <f t="shared" si="610"/>
        <v>0.1</v>
      </c>
      <c r="AF646" s="241" t="e">
        <f t="shared" ca="1" si="611"/>
        <v>#VALUE!</v>
      </c>
      <c r="AG646" s="243" t="e">
        <f ca="1">IF(AND(INDEX(FlowCalConstA,MATCH(AD634,FlowCalNumber,0),1,1)*AF646^INDEX(FlowCalConstB,MATCH(AD634,FlowCalNumber,0),1,1)&gt;INDEX(FlowCalLowSetting,MATCH(AD634,FlowCalNumber,0),1,1), (INDEX(FlowCalConstA,MATCH(AD634,FlowCalNumber,0),1,1)*AF646^INDEX(FlowCalConstB,MATCH(AD634,FlowCalNumber,0),1,1)&lt;INDEX(FlowCalHighSetting,MATCH(AD634,FlowCalNumber,0),1,1))),INDEX(FlowCalConstA,MATCH(AD634,FlowCalNumber,0),1,1)*AF646^INDEX(FlowCalConstB,MATCH(AD634,FlowCalNumber,0),1,1)," ")</f>
        <v>#N/A</v>
      </c>
      <c r="AH646" s="33"/>
      <c r="AI646" s="242">
        <f t="shared" si="612"/>
        <v>0.9</v>
      </c>
      <c r="AJ646" s="241" t="e">
        <f t="shared" ca="1" si="613"/>
        <v>#VALUE!</v>
      </c>
      <c r="AK646" s="243" t="e">
        <f ca="1">IF(AND(INDEX(FlowCalConstA,MATCH(AH634,FlowCalNumber,0),1,1)*AJ646^INDEX(FlowCalConstB,MATCH(AH634,FlowCalNumber,0),1,1)&gt;INDEX(FlowCalLowSetting,MATCH(AH634,FlowCalNumber,0),1,1), (INDEX(FlowCalConstA,MATCH(AH634,FlowCalNumber,0),1,1)*AJ646^INDEX(FlowCalConstB,MATCH(AH634,FlowCalNumber,0),1,1)&lt;INDEX(FlowCalHighSetting,MATCH(AH634,FlowCalNumber,0),1,1))),INDEX(FlowCalConstA,MATCH(AH634,FlowCalNumber,0),1,1)*AJ646^INDEX(FlowCalConstB,MATCH(AH634,FlowCalNumber,0),1,1)," ")</f>
        <v>#N/A</v>
      </c>
      <c r="AL646" s="33"/>
      <c r="AM646" s="242"/>
      <c r="AN646" s="241"/>
      <c r="AO646" s="244"/>
      <c r="AQ646" s="242"/>
      <c r="AR646" s="241"/>
      <c r="AS646" s="244"/>
      <c r="AT646" s="33"/>
      <c r="AU646" s="242"/>
      <c r="AV646" s="241"/>
      <c r="AW646" s="244"/>
      <c r="AX646" s="33"/>
      <c r="AY646" s="242"/>
      <c r="AZ646" s="241"/>
      <c r="BA646" s="244"/>
      <c r="BB646" s="33"/>
      <c r="BC646" s="242"/>
      <c r="BD646" s="241"/>
      <c r="BE646" s="244"/>
      <c r="BF646" s="33"/>
      <c r="BG646" s="242"/>
      <c r="BH646" s="241"/>
      <c r="BI646" s="244"/>
      <c r="BJ646" s="33"/>
      <c r="BK646" s="242"/>
      <c r="BL646" s="241"/>
      <c r="BM646" s="244"/>
      <c r="BN646" s="33"/>
      <c r="BO646" s="242"/>
      <c r="BP646" s="241"/>
      <c r="BQ646" s="244"/>
      <c r="BR646" s="33"/>
      <c r="BS646" s="242"/>
      <c r="BT646" s="241"/>
      <c r="BU646" s="244"/>
      <c r="BV646" s="33"/>
      <c r="BW646" s="242"/>
      <c r="BX646" s="241"/>
      <c r="BY646" s="244"/>
      <c r="BZ646" s="33"/>
      <c r="CA646" s="242"/>
      <c r="CB646" s="241"/>
      <c r="CC646" s="244"/>
      <c r="CD646" s="243"/>
      <c r="CE646" s="243"/>
      <c r="CF646" s="243"/>
      <c r="CG646" s="243"/>
      <c r="CH646" s="243"/>
      <c r="CI646" s="243"/>
      <c r="CJ646" s="243"/>
      <c r="CK646" s="243"/>
      <c r="CL646" s="243"/>
      <c r="CM646" s="243"/>
      <c r="CN646" s="243"/>
      <c r="CO646" s="243"/>
      <c r="CP646" s="243"/>
      <c r="CQ646" s="243"/>
      <c r="CR646" s="243"/>
      <c r="CS646" s="243"/>
      <c r="CT646" s="243"/>
      <c r="CU646" s="243"/>
      <c r="CV646" s="243"/>
      <c r="CW646" s="243"/>
      <c r="CX646" s="243"/>
      <c r="CY646" s="243"/>
      <c r="CZ646" s="243"/>
      <c r="DA646" s="243"/>
      <c r="DB646" s="243"/>
      <c r="DC646" s="243"/>
      <c r="DD646" s="243"/>
      <c r="DE646" s="243"/>
      <c r="DF646" s="243"/>
      <c r="DG646" s="243"/>
      <c r="DH646" s="243"/>
      <c r="DI646" s="243"/>
      <c r="DJ646" s="243"/>
      <c r="DK646" s="243"/>
      <c r="DM646" s="242"/>
      <c r="DO646" s="243"/>
      <c r="DQ646" s="242"/>
      <c r="DS646" s="243"/>
      <c r="DU646" s="242"/>
      <c r="DW646" s="243"/>
      <c r="DY646" s="242"/>
      <c r="EA646" s="243"/>
    </row>
    <row r="647" spans="1:131">
      <c r="A647" s="20"/>
      <c r="B647" s="124" t="str">
        <f t="shared" si="598"/>
        <v/>
      </c>
      <c r="C647" s="235"/>
      <c r="D647" s="24">
        <f>'1% Wind'!$M$94</f>
        <v>1.8</v>
      </c>
      <c r="E647" s="90"/>
      <c r="F647" s="90"/>
      <c r="G647" s="79">
        <f ca="1">IF(I634=0.9743,$G646,MAX(G646/D646*D647,2))</f>
        <v>6.001707317073171</v>
      </c>
      <c r="H647" s="121" t="e">
        <f t="shared" ca="1" si="599"/>
        <v>#VALUE!</v>
      </c>
      <c r="J647" s="33"/>
      <c r="K647" s="242">
        <f t="shared" si="600"/>
        <v>1</v>
      </c>
      <c r="L647" s="241" t="e">
        <f t="shared" ca="1" si="601"/>
        <v>#VALUE!</v>
      </c>
      <c r="M647" s="243" t="e">
        <f ca="1">IF(AND(INDEX(FlowCalConstA,MATCH(J634,FlowCalNumber,0),1,1)*L647^INDEX(FlowCalConstB,MATCH(J634,FlowCalNumber,0),1,1)&gt;INDEX(FlowCalLowSetting,MATCH(J634,FlowCalNumber,0),1,1), (INDEX(FlowCalConstA,MATCH(J634,FlowCalNumber,0),1,1)*L647^INDEX(FlowCalConstB,MATCH(J634,FlowCalNumber,0),1,1)&lt;INDEX(FlowCalHighSetting,MATCH(J634,FlowCalNumber,0),1,1))),INDEX(FlowCalConstA,MATCH(J634,FlowCalNumber,0),1,1)*L647^INDEX(FlowCalConstB,MATCH(J634,FlowCalNumber,0),1,1)," ")</f>
        <v>#N/A</v>
      </c>
      <c r="N647" s="33"/>
      <c r="O647" s="242">
        <f t="shared" si="602"/>
        <v>1</v>
      </c>
      <c r="P647" s="241" t="e">
        <f t="shared" ca="1" si="603"/>
        <v>#VALUE!</v>
      </c>
      <c r="Q647" s="243" t="e">
        <f ca="1">IF(AND(INDEX(FlowCalConstA,MATCH(N634,FlowCalNumber,0),1,1)*P647^INDEX(FlowCalConstB,MATCH(N634,FlowCalNumber,0),1,1)&gt;INDEX(FlowCalLowSetting,MATCH(N634,FlowCalNumber,0),1,1), (INDEX(FlowCalConstA,MATCH(N634,FlowCalNumber,0),1,1)*P647^INDEX(FlowCalConstB,MATCH(N634,FlowCalNumber,0),1,1)&lt;INDEX(FlowCalHighSetting,MATCH(N634,FlowCalNumber,0),1,1))),INDEX(FlowCalConstA,MATCH(N634,FlowCalNumber,0),1,1)*P647^INDEX(FlowCalConstB,MATCH(N634,FlowCalNumber,0),1,1)," ")</f>
        <v>#N/A</v>
      </c>
      <c r="R647" s="33"/>
      <c r="S647" s="242">
        <f t="shared" si="604"/>
        <v>1</v>
      </c>
      <c r="T647" s="241" t="e">
        <f t="shared" ca="1" si="605"/>
        <v>#VALUE!</v>
      </c>
      <c r="U647" s="244" t="e">
        <f ca="1">IF(AND(INDEX(FlowCalConstA,MATCH(R634,FlowCalNumber,0),1,1)*T647^INDEX(FlowCalConstB,MATCH(R634,FlowCalNumber,0),1,1)&gt;INDEX(FlowCalLowSetting,MATCH(R634,FlowCalNumber,0),1,1), (INDEX(FlowCalConstA,MATCH(R634,FlowCalNumber,0),1,1)*T647^INDEX(FlowCalConstB,MATCH(R634,FlowCalNumber,0),1,1)&lt;INDEX(FlowCalHighSetting,MATCH(R634,FlowCalNumber,0),1,1))),INDEX(FlowCalConstA,MATCH(R634,FlowCalNumber,0),1,1)*T647^INDEX(FlowCalConstB,MATCH(R634,FlowCalNumber,0),1,1)," ")</f>
        <v>#N/A</v>
      </c>
      <c r="V647" s="33"/>
      <c r="W647" s="242">
        <f t="shared" si="606"/>
        <v>0.1</v>
      </c>
      <c r="X647" s="241" t="e">
        <f t="shared" ca="1" si="607"/>
        <v>#VALUE!</v>
      </c>
      <c r="Y647" s="243" t="e">
        <f ca="1">IF(AND(INDEX(FlowCalConstA,MATCH(V634,FlowCalNumber,0),1,1)*X647^INDEX(FlowCalConstB,MATCH(V634,FlowCalNumber,0),1,1)&gt;INDEX(FlowCalLowSetting,MATCH(V634,FlowCalNumber,0),1,1), (INDEX(FlowCalConstA,MATCH(V634,FlowCalNumber,0),1,1)*X647^INDEX(FlowCalConstB,MATCH(V634,FlowCalNumber,0),1,1)&lt;INDEX(FlowCalHighSetting,MATCH(V634,FlowCalNumber,0),1,1))),INDEX(FlowCalConstA,MATCH(V634,FlowCalNumber,0),1,1)*X647^INDEX(FlowCalConstB,MATCH(V634,FlowCalNumber,0),1,1)," ")</f>
        <v>#N/A</v>
      </c>
      <c r="Z647" s="33"/>
      <c r="AA647" s="242">
        <f t="shared" si="608"/>
        <v>0.9</v>
      </c>
      <c r="AB647" s="241" t="e">
        <f t="shared" ca="1" si="609"/>
        <v>#VALUE!</v>
      </c>
      <c r="AC647" s="243" t="e">
        <f ca="1">IF(AND(INDEX(FlowCalConstA,MATCH(Z634,FlowCalNumber,0),1,1)*AB647^INDEX(FlowCalConstB,MATCH(Z634,FlowCalNumber,0),1,1)&gt;INDEX(FlowCalLowSetting,MATCH(Z634,FlowCalNumber,0),1,1), (INDEX(FlowCalConstA,MATCH(Z634,FlowCalNumber,0),1,1)*AB647^INDEX(FlowCalConstB,MATCH(Z634,FlowCalNumber,0),1,1)&lt;INDEX(FlowCalHighSetting,MATCH(Z634,FlowCalNumber,0),1,1))),INDEX(FlowCalConstA,MATCH(Z634,FlowCalNumber,0),1,1)*AB647^INDEX(FlowCalConstB,MATCH(Z634,FlowCalNumber,0),1,1)," ")</f>
        <v>#N/A</v>
      </c>
      <c r="AD647" s="33"/>
      <c r="AE647" s="242">
        <f t="shared" si="610"/>
        <v>0.1</v>
      </c>
      <c r="AF647" s="241" t="e">
        <f t="shared" ca="1" si="611"/>
        <v>#VALUE!</v>
      </c>
      <c r="AG647" s="243" t="e">
        <f ca="1">IF(AND(INDEX(FlowCalConstA,MATCH(AD634,FlowCalNumber,0),1,1)*AF647^INDEX(FlowCalConstB,MATCH(AD634,FlowCalNumber,0),1,1)&gt;INDEX(FlowCalLowSetting,MATCH(AD634,FlowCalNumber,0),1,1), (INDEX(FlowCalConstA,MATCH(AD634,FlowCalNumber,0),1,1)*AF647^INDEX(FlowCalConstB,MATCH(AD634,FlowCalNumber,0),1,1)&lt;INDEX(FlowCalHighSetting,MATCH(AD634,FlowCalNumber,0),1,1))),INDEX(FlowCalConstA,MATCH(AD634,FlowCalNumber,0),1,1)*AF647^INDEX(FlowCalConstB,MATCH(AD634,FlowCalNumber,0),1,1)," ")</f>
        <v>#N/A</v>
      </c>
      <c r="AH647" s="33"/>
      <c r="AI647" s="242">
        <f t="shared" si="612"/>
        <v>0.9</v>
      </c>
      <c r="AJ647" s="241" t="e">
        <f t="shared" ca="1" si="613"/>
        <v>#VALUE!</v>
      </c>
      <c r="AK647" s="243" t="e">
        <f ca="1">IF(AND(INDEX(FlowCalConstA,MATCH(AH634,FlowCalNumber,0),1,1)*AJ647^INDEX(FlowCalConstB,MATCH(AH634,FlowCalNumber,0),1,1)&gt;INDEX(FlowCalLowSetting,MATCH(AH634,FlowCalNumber,0),1,1), (INDEX(FlowCalConstA,MATCH(AH634,FlowCalNumber,0),1,1)*AJ647^INDEX(FlowCalConstB,MATCH(AH634,FlowCalNumber,0),1,1)&lt;INDEX(FlowCalHighSetting,MATCH(AH634,FlowCalNumber,0),1,1))),INDEX(FlowCalConstA,MATCH(AH634,FlowCalNumber,0),1,1)*AJ647^INDEX(FlowCalConstB,MATCH(AH634,FlowCalNumber,0),1,1)," ")</f>
        <v>#N/A</v>
      </c>
      <c r="AL647" s="33"/>
      <c r="AM647" s="242"/>
      <c r="AN647" s="241"/>
      <c r="AO647" s="244"/>
      <c r="AQ647" s="242"/>
      <c r="AR647" s="241"/>
      <c r="AS647" s="244"/>
      <c r="AT647" s="33"/>
      <c r="AU647" s="242"/>
      <c r="AV647" s="241"/>
      <c r="AW647" s="244"/>
      <c r="AX647" s="33"/>
      <c r="AY647" s="242"/>
      <c r="AZ647" s="241"/>
      <c r="BA647" s="244"/>
      <c r="BB647" s="33"/>
      <c r="BC647" s="242"/>
      <c r="BD647" s="241"/>
      <c r="BE647" s="244"/>
      <c r="BF647" s="33"/>
      <c r="BG647" s="242"/>
      <c r="BH647" s="241"/>
      <c r="BI647" s="244"/>
      <c r="BJ647" s="33"/>
      <c r="BK647" s="242"/>
      <c r="BL647" s="241"/>
      <c r="BM647" s="244"/>
      <c r="BN647" s="33"/>
      <c r="BO647" s="242"/>
      <c r="BP647" s="241"/>
      <c r="BQ647" s="244"/>
      <c r="BR647" s="33"/>
      <c r="BS647" s="242"/>
      <c r="BT647" s="241"/>
      <c r="BU647" s="244"/>
      <c r="BV647" s="33"/>
      <c r="BW647" s="242"/>
      <c r="BX647" s="241"/>
      <c r="BY647" s="244"/>
      <c r="BZ647" s="33"/>
      <c r="CA647" s="242"/>
      <c r="CB647" s="241"/>
      <c r="CC647" s="244"/>
      <c r="CD647" s="243"/>
      <c r="CE647" s="243"/>
      <c r="CF647" s="243"/>
      <c r="CG647" s="243"/>
      <c r="CH647" s="243"/>
      <c r="CI647" s="243"/>
      <c r="CJ647" s="243"/>
      <c r="CK647" s="243"/>
      <c r="CL647" s="243"/>
      <c r="CM647" s="243"/>
      <c r="CN647" s="243"/>
      <c r="CO647" s="243"/>
      <c r="CP647" s="243"/>
      <c r="CQ647" s="243"/>
      <c r="CR647" s="243"/>
      <c r="CS647" s="243"/>
      <c r="CT647" s="243"/>
      <c r="CU647" s="243"/>
      <c r="CV647" s="243"/>
      <c r="CW647" s="243"/>
      <c r="CX647" s="243"/>
      <c r="CY647" s="243"/>
      <c r="CZ647" s="243"/>
      <c r="DA647" s="243"/>
      <c r="DB647" s="243"/>
      <c r="DC647" s="243"/>
      <c r="DD647" s="243"/>
      <c r="DE647" s="243"/>
      <c r="DF647" s="243"/>
      <c r="DG647" s="243"/>
      <c r="DH647" s="243"/>
      <c r="DI647" s="243"/>
      <c r="DJ647" s="243"/>
      <c r="DK647" s="243"/>
      <c r="DM647" s="242"/>
      <c r="DO647" s="243"/>
      <c r="DQ647" s="242"/>
      <c r="DS647" s="243"/>
      <c r="DU647" s="242"/>
      <c r="DW647" s="243"/>
      <c r="DY647" s="242"/>
      <c r="EA647" s="243"/>
    </row>
    <row r="648" spans="1:131">
      <c r="A648" s="20"/>
      <c r="B648" s="124" t="str">
        <f t="shared" si="598"/>
        <v/>
      </c>
      <c r="C648" s="235"/>
      <c r="D648" s="24">
        <f>'1% Wind'!$M$95</f>
        <v>1.3</v>
      </c>
      <c r="E648" s="90"/>
      <c r="F648" s="90"/>
      <c r="G648" s="79">
        <f ca="1">IF(I634=0.9743,$G647,MAX(G647/D647*D648,2))</f>
        <v>6.001707317073171</v>
      </c>
      <c r="H648" s="121" t="e">
        <f t="shared" ca="1" si="599"/>
        <v>#VALUE!</v>
      </c>
      <c r="J648" s="33"/>
      <c r="K648" s="242">
        <f t="shared" si="600"/>
        <v>1</v>
      </c>
      <c r="L648" s="241" t="e">
        <f t="shared" ca="1" si="601"/>
        <v>#VALUE!</v>
      </c>
      <c r="M648" s="243" t="e">
        <f ca="1">IF(AND(INDEX(FlowCalConstA,MATCH(J634,FlowCalNumber,0),1,1)*L648^INDEX(FlowCalConstB,MATCH(J634,FlowCalNumber,0),1,1)&gt;INDEX(FlowCalLowSetting,MATCH(J634,FlowCalNumber,0),1,1), (INDEX(FlowCalConstA,MATCH(J634,FlowCalNumber,0),1,1)*L648^INDEX(FlowCalConstB,MATCH(J634,FlowCalNumber,0),1,1)&lt;INDEX(FlowCalHighSetting,MATCH(J634,FlowCalNumber,0),1,1))),INDEX(FlowCalConstA,MATCH(J634,FlowCalNumber,0),1,1)*L648^INDEX(FlowCalConstB,MATCH(J634,FlowCalNumber,0),1,1)," ")</f>
        <v>#N/A</v>
      </c>
      <c r="N648" s="33"/>
      <c r="O648" s="242">
        <f t="shared" si="602"/>
        <v>1</v>
      </c>
      <c r="P648" s="241" t="e">
        <f t="shared" ca="1" si="603"/>
        <v>#VALUE!</v>
      </c>
      <c r="Q648" s="243" t="e">
        <f ca="1">IF(AND(INDEX(FlowCalConstA,MATCH(N634,FlowCalNumber,0),1,1)*P648^INDEX(FlowCalConstB,MATCH(N634,FlowCalNumber,0),1,1)&gt;INDEX(FlowCalLowSetting,MATCH(N634,FlowCalNumber,0),1,1), (INDEX(FlowCalConstA,MATCH(N634,FlowCalNumber,0),1,1)*P648^INDEX(FlowCalConstB,MATCH(N634,FlowCalNumber,0),1,1)&lt;INDEX(FlowCalHighSetting,MATCH(N634,FlowCalNumber,0),1,1))),INDEX(FlowCalConstA,MATCH(N634,FlowCalNumber,0),1,1)*P648^INDEX(FlowCalConstB,MATCH(N634,FlowCalNumber,0),1,1)," ")</f>
        <v>#N/A</v>
      </c>
      <c r="R648" s="33"/>
      <c r="S648" s="242">
        <f t="shared" si="604"/>
        <v>1</v>
      </c>
      <c r="T648" s="241" t="e">
        <f t="shared" ca="1" si="605"/>
        <v>#VALUE!</v>
      </c>
      <c r="U648" s="244" t="e">
        <f ca="1">IF(AND(INDEX(FlowCalConstA,MATCH(R634,FlowCalNumber,0),1,1)*T648^INDEX(FlowCalConstB,MATCH(R634,FlowCalNumber,0),1,1)&gt;INDEX(FlowCalLowSetting,MATCH(R634,FlowCalNumber,0),1,1), (INDEX(FlowCalConstA,MATCH(R634,FlowCalNumber,0),1,1)*T648^INDEX(FlowCalConstB,MATCH(R634,FlowCalNumber,0),1,1)&lt;INDEX(FlowCalHighSetting,MATCH(R634,FlowCalNumber,0),1,1))),INDEX(FlowCalConstA,MATCH(R634,FlowCalNumber,0),1,1)*T648^INDEX(FlowCalConstB,MATCH(R634,FlowCalNumber,0),1,1)," ")</f>
        <v>#N/A</v>
      </c>
      <c r="V648" s="33"/>
      <c r="W648" s="242">
        <f t="shared" si="606"/>
        <v>0.1</v>
      </c>
      <c r="X648" s="241" t="e">
        <f t="shared" ca="1" si="607"/>
        <v>#VALUE!</v>
      </c>
      <c r="Y648" s="243" t="e">
        <f ca="1">IF(AND(INDEX(FlowCalConstA,MATCH(V634,FlowCalNumber,0),1,1)*X648^INDEX(FlowCalConstB,MATCH(V634,FlowCalNumber,0),1,1)&gt;INDEX(FlowCalLowSetting,MATCH(V634,FlowCalNumber,0),1,1), (INDEX(FlowCalConstA,MATCH(V634,FlowCalNumber,0),1,1)*X648^INDEX(FlowCalConstB,MATCH(V634,FlowCalNumber,0),1,1)&lt;INDEX(FlowCalHighSetting,MATCH(V634,FlowCalNumber,0),1,1))),INDEX(FlowCalConstA,MATCH(V634,FlowCalNumber,0),1,1)*X648^INDEX(FlowCalConstB,MATCH(V634,FlowCalNumber,0),1,1)," ")</f>
        <v>#N/A</v>
      </c>
      <c r="Z648" s="33"/>
      <c r="AA648" s="242">
        <f t="shared" si="608"/>
        <v>0.9</v>
      </c>
      <c r="AB648" s="241" t="e">
        <f t="shared" ca="1" si="609"/>
        <v>#VALUE!</v>
      </c>
      <c r="AC648" s="243" t="e">
        <f ca="1">IF(AND(INDEX(FlowCalConstA,MATCH(Z634,FlowCalNumber,0),1,1)*AB648^INDEX(FlowCalConstB,MATCH(Z634,FlowCalNumber,0),1,1)&gt;INDEX(FlowCalLowSetting,MATCH(Z634,FlowCalNumber,0),1,1), (INDEX(FlowCalConstA,MATCH(Z634,FlowCalNumber,0),1,1)*AB648^INDEX(FlowCalConstB,MATCH(Z634,FlowCalNumber,0),1,1)&lt;INDEX(FlowCalHighSetting,MATCH(Z634,FlowCalNumber,0),1,1))),INDEX(FlowCalConstA,MATCH(Z634,FlowCalNumber,0),1,1)*AB648^INDEX(FlowCalConstB,MATCH(Z634,FlowCalNumber,0),1,1)," ")</f>
        <v>#N/A</v>
      </c>
      <c r="AD648" s="33"/>
      <c r="AE648" s="242">
        <f t="shared" si="610"/>
        <v>0.1</v>
      </c>
      <c r="AF648" s="241" t="e">
        <f t="shared" ca="1" si="611"/>
        <v>#VALUE!</v>
      </c>
      <c r="AG648" s="243" t="e">
        <f ca="1">IF(AND(INDEX(FlowCalConstA,MATCH(AD634,FlowCalNumber,0),1,1)*AF648^INDEX(FlowCalConstB,MATCH(AD634,FlowCalNumber,0),1,1)&gt;INDEX(FlowCalLowSetting,MATCH(AD634,FlowCalNumber,0),1,1), (INDEX(FlowCalConstA,MATCH(AD634,FlowCalNumber,0),1,1)*AF648^INDEX(FlowCalConstB,MATCH(AD634,FlowCalNumber,0),1,1)&lt;INDEX(FlowCalHighSetting,MATCH(AD634,FlowCalNumber,0),1,1))),INDEX(FlowCalConstA,MATCH(AD634,FlowCalNumber,0),1,1)*AF648^INDEX(FlowCalConstB,MATCH(AD634,FlowCalNumber,0),1,1)," ")</f>
        <v>#N/A</v>
      </c>
      <c r="AH648" s="33"/>
      <c r="AI648" s="242">
        <f t="shared" si="612"/>
        <v>0.9</v>
      </c>
      <c r="AJ648" s="241" t="e">
        <f t="shared" ca="1" si="613"/>
        <v>#VALUE!</v>
      </c>
      <c r="AK648" s="243" t="e">
        <f ca="1">IF(AND(INDEX(FlowCalConstA,MATCH(AH634,FlowCalNumber,0),1,1)*AJ648^INDEX(FlowCalConstB,MATCH(AH634,FlowCalNumber,0),1,1)&gt;INDEX(FlowCalLowSetting,MATCH(AH634,FlowCalNumber,0),1,1), (INDEX(FlowCalConstA,MATCH(AH634,FlowCalNumber,0),1,1)*AJ648^INDEX(FlowCalConstB,MATCH(AH634,FlowCalNumber,0),1,1)&lt;INDEX(FlowCalHighSetting,MATCH(AH634,FlowCalNumber,0),1,1))),INDEX(FlowCalConstA,MATCH(AH634,FlowCalNumber,0),1,1)*AJ648^INDEX(FlowCalConstB,MATCH(AH634,FlowCalNumber,0),1,1)," ")</f>
        <v>#N/A</v>
      </c>
      <c r="AL648" s="33"/>
      <c r="AM648" s="242"/>
      <c r="AN648" s="241"/>
      <c r="AO648" s="244"/>
      <c r="AQ648" s="242"/>
      <c r="AR648" s="241"/>
      <c r="AS648" s="244"/>
      <c r="AT648" s="33"/>
      <c r="AU648" s="242"/>
      <c r="AV648" s="241"/>
      <c r="AW648" s="244"/>
      <c r="AX648" s="33"/>
      <c r="AY648" s="242"/>
      <c r="AZ648" s="241"/>
      <c r="BA648" s="244"/>
      <c r="BB648" s="33"/>
      <c r="BC648" s="242"/>
      <c r="BD648" s="241"/>
      <c r="BE648" s="244"/>
      <c r="BF648" s="33"/>
      <c r="BG648" s="242"/>
      <c r="BH648" s="241"/>
      <c r="BI648" s="244"/>
      <c r="BJ648" s="33"/>
      <c r="BK648" s="242"/>
      <c r="BL648" s="241"/>
      <c r="BM648" s="244"/>
      <c r="BN648" s="33"/>
      <c r="BO648" s="242"/>
      <c r="BP648" s="241"/>
      <c r="BQ648" s="244"/>
      <c r="BR648" s="33"/>
      <c r="BS648" s="242"/>
      <c r="BT648" s="241"/>
      <c r="BU648" s="244"/>
      <c r="BV648" s="33"/>
      <c r="BW648" s="242"/>
      <c r="BX648" s="241"/>
      <c r="BY648" s="244"/>
      <c r="BZ648" s="33"/>
      <c r="CA648" s="242"/>
      <c r="CB648" s="241"/>
      <c r="CC648" s="244"/>
      <c r="CD648" s="243"/>
      <c r="CE648" s="243"/>
      <c r="CF648" s="243"/>
      <c r="CG648" s="243"/>
      <c r="CH648" s="243"/>
      <c r="CI648" s="243"/>
      <c r="CJ648" s="243"/>
      <c r="CK648" s="243"/>
      <c r="CL648" s="243"/>
      <c r="CM648" s="243"/>
      <c r="CN648" s="243"/>
      <c r="CO648" s="243"/>
      <c r="CP648" s="243"/>
      <c r="CQ648" s="243"/>
      <c r="CR648" s="243"/>
      <c r="CS648" s="243"/>
      <c r="CT648" s="243"/>
      <c r="CU648" s="243"/>
      <c r="CV648" s="243"/>
      <c r="CW648" s="243"/>
      <c r="CX648" s="243"/>
      <c r="CY648" s="243"/>
      <c r="CZ648" s="243"/>
      <c r="DA648" s="243"/>
      <c r="DB648" s="243"/>
      <c r="DC648" s="243"/>
      <c r="DD648" s="243"/>
      <c r="DE648" s="243"/>
      <c r="DF648" s="243"/>
      <c r="DG648" s="243"/>
      <c r="DH648" s="243"/>
      <c r="DI648" s="243"/>
      <c r="DJ648" s="243"/>
      <c r="DK648" s="243"/>
      <c r="DM648" s="242"/>
      <c r="DO648" s="243"/>
      <c r="DQ648" s="242"/>
      <c r="DS648" s="243"/>
      <c r="DU648" s="242"/>
      <c r="DW648" s="243"/>
      <c r="DY648" s="242"/>
      <c r="EA648" s="243"/>
    </row>
    <row r="649" spans="1:131">
      <c r="A649" s="20"/>
      <c r="B649" s="124" t="str">
        <f t="shared" si="598"/>
        <v/>
      </c>
      <c r="C649" s="235"/>
      <c r="D649" s="24">
        <f>'1% Wind'!$M$96</f>
        <v>1</v>
      </c>
      <c r="E649" s="90"/>
      <c r="F649" s="90"/>
      <c r="G649" s="79">
        <f ca="1">IF(I634=0.9743,$G648,MAX(G648/D648*D649,2))</f>
        <v>6.001707317073171</v>
      </c>
      <c r="H649" s="121" t="e">
        <f t="shared" ca="1" si="599"/>
        <v>#VALUE!</v>
      </c>
      <c r="J649" s="33"/>
      <c r="K649" s="242">
        <f t="shared" si="600"/>
        <v>1</v>
      </c>
      <c r="L649" s="241" t="e">
        <f t="shared" ca="1" si="601"/>
        <v>#VALUE!</v>
      </c>
      <c r="M649" s="243" t="e">
        <f ca="1">IF(AND(INDEX(FlowCalConstA,MATCH(J634,FlowCalNumber,0),1,1)*L649^INDEX(FlowCalConstB,MATCH(J634,FlowCalNumber,0),1,1)&gt;INDEX(FlowCalLowSetting,MATCH(J634,FlowCalNumber,0),1,1), (INDEX(FlowCalConstA,MATCH(J634,FlowCalNumber,0),1,1)*L649^INDEX(FlowCalConstB,MATCH(J634,FlowCalNumber,0),1,1)&lt;INDEX(FlowCalHighSetting,MATCH(J634,FlowCalNumber,0),1,1))),INDEX(FlowCalConstA,MATCH(J634,FlowCalNumber,0),1,1)*L649^INDEX(FlowCalConstB,MATCH(J634,FlowCalNumber,0),1,1)," ")</f>
        <v>#N/A</v>
      </c>
      <c r="N649" s="33"/>
      <c r="O649" s="242">
        <f t="shared" si="602"/>
        <v>1</v>
      </c>
      <c r="P649" s="241" t="e">
        <f t="shared" ca="1" si="603"/>
        <v>#VALUE!</v>
      </c>
      <c r="Q649" s="243" t="e">
        <f ca="1">IF(AND(INDEX(FlowCalConstA,MATCH(N634,FlowCalNumber,0),1,1)*P649^INDEX(FlowCalConstB,MATCH(N634,FlowCalNumber,0),1,1)&gt;INDEX(FlowCalLowSetting,MATCH(N634,FlowCalNumber,0),1,1), (INDEX(FlowCalConstA,MATCH(N634,FlowCalNumber,0),1,1)*P649^INDEX(FlowCalConstB,MATCH(N634,FlowCalNumber,0),1,1)&lt;INDEX(FlowCalHighSetting,MATCH(N634,FlowCalNumber,0),1,1))),INDEX(FlowCalConstA,MATCH(N634,FlowCalNumber,0),1,1)*P649^INDEX(FlowCalConstB,MATCH(N634,FlowCalNumber,0),1,1)," ")</f>
        <v>#N/A</v>
      </c>
      <c r="R649" s="33"/>
      <c r="S649" s="242">
        <f t="shared" si="604"/>
        <v>1</v>
      </c>
      <c r="T649" s="241" t="e">
        <f t="shared" ca="1" si="605"/>
        <v>#VALUE!</v>
      </c>
      <c r="U649" s="244" t="e">
        <f ca="1">IF(AND(INDEX(FlowCalConstA,MATCH(R634,FlowCalNumber,0),1,1)*T649^INDEX(FlowCalConstB,MATCH(R634,FlowCalNumber,0),1,1)&gt;INDEX(FlowCalLowSetting,MATCH(R634,FlowCalNumber,0),1,1), (INDEX(FlowCalConstA,MATCH(R634,FlowCalNumber,0),1,1)*T649^INDEX(FlowCalConstB,MATCH(R634,FlowCalNumber,0),1,1)&lt;INDEX(FlowCalHighSetting,MATCH(R634,FlowCalNumber,0),1,1))),INDEX(FlowCalConstA,MATCH(R634,FlowCalNumber,0),1,1)*T649^INDEX(FlowCalConstB,MATCH(R634,FlowCalNumber,0),1,1)," ")</f>
        <v>#N/A</v>
      </c>
      <c r="V649" s="33"/>
      <c r="W649" s="242">
        <f t="shared" si="606"/>
        <v>0.1</v>
      </c>
      <c r="X649" s="241" t="e">
        <f t="shared" ca="1" si="607"/>
        <v>#VALUE!</v>
      </c>
      <c r="Y649" s="243" t="e">
        <f ca="1">IF(AND(INDEX(FlowCalConstA,MATCH(V634,FlowCalNumber,0),1,1)*X649^INDEX(FlowCalConstB,MATCH(V634,FlowCalNumber,0),1,1)&gt;INDEX(FlowCalLowSetting,MATCH(V634,FlowCalNumber,0),1,1), (INDEX(FlowCalConstA,MATCH(V634,FlowCalNumber,0),1,1)*X649^INDEX(FlowCalConstB,MATCH(V634,FlowCalNumber,0),1,1)&lt;INDEX(FlowCalHighSetting,MATCH(V634,FlowCalNumber,0),1,1))),INDEX(FlowCalConstA,MATCH(V634,FlowCalNumber,0),1,1)*X649^INDEX(FlowCalConstB,MATCH(V634,FlowCalNumber,0),1,1)," ")</f>
        <v>#N/A</v>
      </c>
      <c r="Z649" s="33"/>
      <c r="AA649" s="242">
        <f t="shared" si="608"/>
        <v>0.9</v>
      </c>
      <c r="AB649" s="241" t="e">
        <f t="shared" ca="1" si="609"/>
        <v>#VALUE!</v>
      </c>
      <c r="AC649" s="243" t="e">
        <f ca="1">IF(AND(INDEX(FlowCalConstA,MATCH(Z634,FlowCalNumber,0),1,1)*AB649^INDEX(FlowCalConstB,MATCH(Z634,FlowCalNumber,0),1,1)&gt;INDEX(FlowCalLowSetting,MATCH(Z634,FlowCalNumber,0),1,1), (INDEX(FlowCalConstA,MATCH(Z634,FlowCalNumber,0),1,1)*AB649^INDEX(FlowCalConstB,MATCH(Z634,FlowCalNumber,0),1,1)&lt;INDEX(FlowCalHighSetting,MATCH(Z634,FlowCalNumber,0),1,1))),INDEX(FlowCalConstA,MATCH(Z634,FlowCalNumber,0),1,1)*AB649^INDEX(FlowCalConstB,MATCH(Z634,FlowCalNumber,0),1,1)," ")</f>
        <v>#N/A</v>
      </c>
      <c r="AD649" s="33"/>
      <c r="AE649" s="242">
        <f t="shared" si="610"/>
        <v>0.1</v>
      </c>
      <c r="AF649" s="241" t="e">
        <f t="shared" ca="1" si="611"/>
        <v>#VALUE!</v>
      </c>
      <c r="AG649" s="243" t="e">
        <f ca="1">IF(AND(INDEX(FlowCalConstA,MATCH(AD634,FlowCalNumber,0),1,1)*AF649^INDEX(FlowCalConstB,MATCH(AD634,FlowCalNumber,0),1,1)&gt;INDEX(FlowCalLowSetting,MATCH(AD634,FlowCalNumber,0),1,1), (INDEX(FlowCalConstA,MATCH(AD634,FlowCalNumber,0),1,1)*AF649^INDEX(FlowCalConstB,MATCH(AD634,FlowCalNumber,0),1,1)&lt;INDEX(FlowCalHighSetting,MATCH(AD634,FlowCalNumber,0),1,1))),INDEX(FlowCalConstA,MATCH(AD634,FlowCalNumber,0),1,1)*AF649^INDEX(FlowCalConstB,MATCH(AD634,FlowCalNumber,0),1,1)," ")</f>
        <v>#N/A</v>
      </c>
      <c r="AH649" s="33"/>
      <c r="AI649" s="242">
        <f t="shared" si="612"/>
        <v>0.9</v>
      </c>
      <c r="AJ649" s="241" t="e">
        <f t="shared" ca="1" si="613"/>
        <v>#VALUE!</v>
      </c>
      <c r="AK649" s="243" t="e">
        <f ca="1">IF(AND(INDEX(FlowCalConstA,MATCH(AH634,FlowCalNumber,0),1,1)*AJ649^INDEX(FlowCalConstB,MATCH(AH634,FlowCalNumber,0),1,1)&gt;INDEX(FlowCalLowSetting,MATCH(AH634,FlowCalNumber,0),1,1), (INDEX(FlowCalConstA,MATCH(AH634,FlowCalNumber,0),1,1)*AJ649^INDEX(FlowCalConstB,MATCH(AH634,FlowCalNumber,0),1,1)&lt;INDEX(FlowCalHighSetting,MATCH(AH634,FlowCalNumber,0),1,1))),INDEX(FlowCalConstA,MATCH(AH634,FlowCalNumber,0),1,1)*AJ649^INDEX(FlowCalConstB,MATCH(AH634,FlowCalNumber,0),1,1)," ")</f>
        <v>#N/A</v>
      </c>
      <c r="AL649" s="33"/>
      <c r="AM649" s="242"/>
      <c r="AN649" s="241"/>
      <c r="AO649" s="244"/>
      <c r="AQ649" s="242"/>
      <c r="AR649" s="241"/>
      <c r="AS649" s="244"/>
      <c r="AT649" s="33"/>
      <c r="AU649" s="242"/>
      <c r="AV649" s="241"/>
      <c r="AW649" s="244"/>
      <c r="AX649" s="33"/>
      <c r="AY649" s="242"/>
      <c r="AZ649" s="241"/>
      <c r="BA649" s="244"/>
      <c r="BB649" s="33"/>
      <c r="BC649" s="242"/>
      <c r="BD649" s="241"/>
      <c r="BE649" s="244"/>
      <c r="BF649" s="33"/>
      <c r="BG649" s="242"/>
      <c r="BH649" s="241"/>
      <c r="BI649" s="244"/>
      <c r="BJ649" s="33"/>
      <c r="BK649" s="242"/>
      <c r="BL649" s="241"/>
      <c r="BM649" s="244"/>
      <c r="BN649" s="33"/>
      <c r="BO649" s="242"/>
      <c r="BP649" s="241"/>
      <c r="BQ649" s="244"/>
      <c r="BR649" s="33"/>
      <c r="BS649" s="242"/>
      <c r="BT649" s="241"/>
      <c r="BU649" s="244"/>
      <c r="BV649" s="33"/>
      <c r="BW649" s="242"/>
      <c r="BX649" s="241"/>
      <c r="BY649" s="244"/>
      <c r="BZ649" s="33"/>
      <c r="CA649" s="242"/>
      <c r="CB649" s="241"/>
      <c r="CC649" s="244"/>
      <c r="CD649" s="243"/>
      <c r="CE649" s="243"/>
      <c r="CF649" s="243"/>
      <c r="CG649" s="243"/>
      <c r="CH649" s="243"/>
      <c r="CI649" s="243"/>
      <c r="CJ649" s="243"/>
      <c r="CK649" s="243"/>
      <c r="CL649" s="243"/>
      <c r="CM649" s="243"/>
      <c r="CN649" s="243"/>
      <c r="CO649" s="243"/>
      <c r="CP649" s="243"/>
      <c r="CQ649" s="243"/>
      <c r="CR649" s="243"/>
      <c r="CS649" s="243"/>
      <c r="CT649" s="243"/>
      <c r="CU649" s="243"/>
      <c r="CV649" s="243"/>
      <c r="CW649" s="243"/>
      <c r="CX649" s="243"/>
      <c r="CY649" s="243"/>
      <c r="CZ649" s="243"/>
      <c r="DA649" s="243"/>
      <c r="DB649" s="243"/>
      <c r="DC649" s="243"/>
      <c r="DD649" s="243"/>
      <c r="DE649" s="243"/>
      <c r="DF649" s="243"/>
      <c r="DG649" s="243"/>
      <c r="DH649" s="243"/>
      <c r="DI649" s="243"/>
      <c r="DJ649" s="243"/>
      <c r="DK649" s="243"/>
      <c r="DM649" s="242"/>
      <c r="DO649" s="243"/>
      <c r="DQ649" s="242"/>
      <c r="DS649" s="243"/>
      <c r="DU649" s="242"/>
      <c r="DW649" s="243"/>
      <c r="DY649" s="242"/>
      <c r="EA649" s="243"/>
    </row>
    <row r="650" spans="1:131">
      <c r="A650" s="33"/>
      <c r="B650" s="33"/>
      <c r="C650" s="235"/>
      <c r="E650" s="90"/>
      <c r="F650" s="90"/>
      <c r="G650" s="33"/>
      <c r="J650" s="33"/>
      <c r="M650" s="243"/>
      <c r="N650" s="33"/>
      <c r="Q650" s="243"/>
      <c r="R650" s="33"/>
      <c r="U650" s="244"/>
      <c r="V650" s="33"/>
      <c r="Y650" s="243"/>
      <c r="Z650" s="33"/>
      <c r="AC650" s="243"/>
      <c r="AD650" s="33"/>
      <c r="AG650" s="243"/>
      <c r="AH650" s="33"/>
      <c r="AK650" s="243"/>
      <c r="AL650" s="33"/>
      <c r="AO650" s="244"/>
      <c r="AS650" s="244"/>
      <c r="AT650" s="33"/>
      <c r="AW650" s="244"/>
      <c r="AX650" s="33"/>
      <c r="BA650" s="244"/>
      <c r="BB650" s="33"/>
      <c r="BE650" s="244"/>
      <c r="BF650" s="33"/>
      <c r="BI650" s="244"/>
      <c r="BJ650" s="33"/>
      <c r="BM650" s="244"/>
      <c r="BN650" s="33"/>
      <c r="BQ650" s="244"/>
      <c r="BR650" s="792"/>
      <c r="BS650" s="243"/>
      <c r="BT650" s="243"/>
      <c r="BU650" s="244"/>
      <c r="BV650" s="33"/>
      <c r="BY650" s="244"/>
      <c r="BZ650" s="33"/>
      <c r="CC650" s="244"/>
      <c r="CD650" s="243"/>
      <c r="CE650" s="243"/>
      <c r="CF650" s="243"/>
      <c r="CG650" s="243"/>
      <c r="CH650" s="243"/>
      <c r="CI650" s="243"/>
      <c r="CJ650" s="243"/>
      <c r="CK650" s="243"/>
      <c r="CL650" s="243"/>
      <c r="CM650" s="243"/>
      <c r="CN650" s="243"/>
      <c r="CO650" s="243"/>
      <c r="CP650" s="243"/>
      <c r="CQ650" s="243"/>
      <c r="CR650" s="243"/>
      <c r="CS650" s="243"/>
      <c r="CT650" s="243"/>
      <c r="CU650" s="243"/>
      <c r="CV650" s="243"/>
      <c r="CW650" s="243"/>
      <c r="CX650" s="243"/>
      <c r="CY650" s="243"/>
      <c r="CZ650" s="243"/>
      <c r="DA650" s="243"/>
      <c r="DB650" s="243"/>
      <c r="DC650" s="243"/>
      <c r="DD650" s="243"/>
      <c r="DE650" s="243"/>
      <c r="DF650" s="243"/>
      <c r="DG650" s="243"/>
      <c r="DH650" s="243"/>
      <c r="DI650" s="243"/>
      <c r="DJ650" s="243"/>
      <c r="DK650" s="243"/>
      <c r="DO650" s="243"/>
      <c r="DS650" s="243"/>
      <c r="DW650" s="243"/>
      <c r="EA650" s="243"/>
    </row>
    <row r="651" spans="1:131">
      <c r="A651" s="256" t="str">
        <f>IF((RIGHT(A634,1))&lt;&gt;"Z",CHAR(CODE(A634))&amp;CHAR(CODE(RIGHT(A634,1))+1),CHAR(CODE(A634)+1)&amp;"A")</f>
        <v>BL</v>
      </c>
      <c r="B651" s="270" t="str">
        <f>INDEX(SourceID,MATCH($A651,SourceNumber,0),1,1)</f>
        <v>B2 BSL3-2</v>
      </c>
      <c r="C651" s="354">
        <f>INDEX(SourceExitDiameter,MATCH($A651,SourceNumber,0),1,1)*3.28*12</f>
        <v>24.72</v>
      </c>
      <c r="D651" s="24" t="str">
        <f>UAnem1percent</f>
        <v>1% Wind</v>
      </c>
      <c r="E651" s="350" t="e">
        <f ca="1">INDIRECT(ADDRESS(53,6,1,,CONCATENATE("TA",$A651)))</f>
        <v>#REF!</v>
      </c>
      <c r="F651" s="625" t="e">
        <f ca="1">(ROUND((INDIRECT(ADDRESS(15,7,1,,CONCATENATE("TA",$A651)))*3.28*12*32),0)&amp;"/32")</f>
        <v>#REF!</v>
      </c>
      <c r="G651" s="125">
        <f ca="1">INDIRECT(ADDRESS(29,7,1,,$A651))</f>
        <v>6.001707317073171</v>
      </c>
      <c r="H651" s="24" t="e">
        <f ca="1">INDIRECT(ADDRESS(19,7,1,,$A651))*100^3</f>
        <v>#VALUE!</v>
      </c>
      <c r="I651" s="941">
        <f ca="1">INDIRECT(ADDRESS(53,7,1,,$A651))</f>
        <v>0.97430000000000005</v>
      </c>
      <c r="J651" s="20" t="str">
        <f ca="1">IF($I651=$I$6,K$16&amp;$G$6&amp;J$6,IF($I651=$I$7,K$16&amp;$G$7&amp;J$7,"Bad"))</f>
        <v>100EthPick a Tunnel</v>
      </c>
      <c r="K651" t="e">
        <f ca="1">INDEX(FlowCalGasMixture,MATCH(J651,FlowCalNumber,0),1,1)</f>
        <v>#N/A</v>
      </c>
      <c r="M651" s="944" t="e">
        <f ca="1">INDEX(FlowCalDevice,MATCH(J651,FlowCalNumber,0),1,1)</f>
        <v>#N/A</v>
      </c>
      <c r="N651" s="943" t="str">
        <f ca="1">IF($I651=$I$6,O$16&amp;$G$6&amp;"90"&amp;$H$6&amp;N$6,IF($I651=$I$7,O$16&amp;$G$7&amp;"90"&amp;$H$7&amp;N$7,"Bad"))</f>
        <v>10Eth90N2Pick a Tunnel</v>
      </c>
      <c r="O651" t="e">
        <f ca="1">INDEX(FlowCalGasMixture,MATCH(N651,FlowCalNumber,0),1,1)</f>
        <v>#N/A</v>
      </c>
      <c r="Q651" s="944" t="e">
        <f ca="1">INDEX(FlowCalDevice,MATCH(N651,FlowCalNumber,0),1,1)</f>
        <v>#N/A</v>
      </c>
      <c r="R651" s="943" t="str">
        <f ca="1">IF($I651=$I$6,S$16&amp;$G$6&amp;"90"&amp;$H$6&amp;R$6,IF($I651=$I$7,S$16&amp;$G$7&amp;"90"&amp;$H$7&amp;R$7,"Bad"))</f>
        <v>10Eth90N2Pick a Tunnel</v>
      </c>
      <c r="S651" t="e">
        <f ca="1">INDEX(FlowCalGasMixture,MATCH(R651,FlowCalNumber,0),1,1)</f>
        <v>#N/A</v>
      </c>
      <c r="U651" s="944" t="e">
        <f ca="1">INDEX(FlowCalDevice,MATCH(R651,FlowCalNumber,0),1,1)</f>
        <v>#N/A</v>
      </c>
      <c r="V651" s="20" t="str">
        <f ca="1">IF($I651=$I$6,W$16&amp;$G$6&amp;V$6,IF($I651=$I$7,W$16&amp;$G$7&amp;V$7,"Bad"))</f>
        <v>100EthPick a Tunnel</v>
      </c>
      <c r="W651" t="e">
        <f ca="1">INDEX(FlowCalGasMixture,MATCH(V651,FlowCalNumber,0),1,1)</f>
        <v>#N/A</v>
      </c>
      <c r="Y651" s="944" t="e">
        <f ca="1">INDEX(FlowCalDevice,MATCH(V651,FlowCalNumber,0),1,1)</f>
        <v>#N/A</v>
      </c>
      <c r="Z651" s="946" t="str">
        <f ca="1">IF($I651=$I$6,AA$18&amp;$H$6&amp;Z$6,IF($I651=$I$7,AA$18&amp;$H$7&amp;Z$7,"Bad"))</f>
        <v>100N2Pick a Tunnel</v>
      </c>
      <c r="AA651" t="e">
        <f ca="1">INDEX(FlowCalGasMixture,MATCH(Z651,FlowCalNumber,0),1,1)</f>
        <v>#N/A</v>
      </c>
      <c r="AC651" s="944" t="e">
        <f ca="1">INDEX(FlowCalDevice,MATCH(Z651,FlowCalNumber,0),1,1)</f>
        <v>#N/A</v>
      </c>
      <c r="AD651" s="20" t="str">
        <f ca="1">IF($I651=$I$6,AE$16&amp;$G$6&amp;AD$6,IF($I651=$I$7,AE$16&amp;$G$7&amp;AD$7,"Bad"))</f>
        <v>100EthPick a Tunnel</v>
      </c>
      <c r="AE651" t="e">
        <f ca="1">INDEX(FlowCalGasMixture,MATCH(AD651,FlowCalNumber,0),1,1)</f>
        <v>#N/A</v>
      </c>
      <c r="AG651" s="944" t="e">
        <f ca="1">INDEX(FlowCalDevice,MATCH(AD651,FlowCalNumber,0),1,1)</f>
        <v>#N/A</v>
      </c>
      <c r="AH651" s="946" t="str">
        <f ca="1">IF($I651=$I$6,AI$18&amp;$H$6&amp;AH$6,IF($I651=$I$7,AI$18&amp;$H$7&amp;AH$7,"Bad"))</f>
        <v>100N2Pick a Tunnel</v>
      </c>
      <c r="AI651" t="e">
        <f ca="1">INDEX(FlowCalGasMixture,MATCH(AH651,FlowCalNumber,0),1,1)</f>
        <v>#N/A</v>
      </c>
      <c r="AK651" s="944" t="e">
        <f ca="1">INDEX(FlowCalDevice,MATCH(AH651,FlowCalNumber,0),1,1)</f>
        <v>#N/A</v>
      </c>
      <c r="AL651" s="20"/>
      <c r="AO651" s="982"/>
      <c r="AP651" s="960"/>
      <c r="AS651" s="982"/>
      <c r="AT651" s="20"/>
      <c r="AW651" s="982"/>
      <c r="AX651" s="946"/>
      <c r="BA651" s="982"/>
      <c r="BB651" s="20"/>
      <c r="BC651" s="16"/>
      <c r="BE651" s="982"/>
      <c r="BF651" s="946"/>
      <c r="BG651" s="16"/>
      <c r="BI651" s="982"/>
      <c r="BJ651" s="946"/>
      <c r="BK651" s="16"/>
      <c r="BM651" s="982"/>
      <c r="BN651" s="20"/>
      <c r="BO651" s="16"/>
      <c r="BQ651" s="982"/>
      <c r="BR651" s="946"/>
      <c r="BS651" s="16"/>
      <c r="BU651" s="982"/>
      <c r="BV651" s="946"/>
      <c r="BW651" s="16"/>
      <c r="BY651" s="982"/>
      <c r="BZ651" s="946"/>
      <c r="CA651" s="16"/>
      <c r="CC651" s="982"/>
      <c r="CD651" s="355"/>
      <c r="CE651" s="355"/>
      <c r="CF651" s="355"/>
      <c r="CG651" s="355"/>
      <c r="CH651" s="355"/>
      <c r="CI651" s="355"/>
      <c r="CJ651" s="355"/>
      <c r="CK651" s="355"/>
      <c r="CL651" s="355"/>
      <c r="CM651" s="355"/>
      <c r="CN651" s="355"/>
      <c r="CO651" s="355"/>
      <c r="CP651" s="355"/>
      <c r="CQ651" s="355"/>
      <c r="CR651" s="355"/>
      <c r="CS651" s="355"/>
      <c r="CT651" s="355"/>
      <c r="CU651" s="355"/>
      <c r="CV651" s="355"/>
      <c r="CW651" s="355"/>
      <c r="CX651" s="355"/>
      <c r="CY651" s="355"/>
      <c r="CZ651" s="355"/>
      <c r="DA651" s="355"/>
      <c r="DB651" s="355"/>
      <c r="DC651" s="355"/>
      <c r="DD651" s="355"/>
      <c r="DE651" s="355"/>
      <c r="DF651" s="355"/>
      <c r="DG651" s="355"/>
      <c r="DH651" s="355"/>
      <c r="DI651" s="355"/>
      <c r="DJ651" s="355"/>
      <c r="DK651" s="355"/>
      <c r="DL651" s="46"/>
      <c r="DM651" s="16"/>
      <c r="DO651" s="355"/>
      <c r="DP651" s="42"/>
      <c r="DQ651" s="16"/>
      <c r="DS651" s="355"/>
      <c r="DT651" s="42"/>
      <c r="DU651" s="16"/>
      <c r="DW651" s="355"/>
      <c r="DX651" s="42"/>
      <c r="DY651" s="16"/>
      <c r="EA651" s="355"/>
    </row>
    <row r="652" spans="1:131">
      <c r="A652" s="20"/>
      <c r="B652" s="124" t="str">
        <f t="shared" ref="B652:B666" si="614">IF(D652=UAnem1percent,"1% Wind","")</f>
        <v/>
      </c>
      <c r="C652" s="235"/>
      <c r="D652" s="24">
        <f>'1% Wind'!$M$82</f>
        <v>27</v>
      </c>
      <c r="E652" s="90"/>
      <c r="F652" s="90"/>
      <c r="G652" s="79">
        <f ca="1">IF(I651=0.9743,$G651,MAX(G651/D651*D652,2))</f>
        <v>6.001707317073171</v>
      </c>
      <c r="H652" s="121" t="e">
        <f t="shared" ref="H652:H666" ca="1" si="615">H651*(D651/D652)*(G652/G651)</f>
        <v>#VALUE!</v>
      </c>
      <c r="J652" s="33"/>
      <c r="K652" s="260">
        <f>K$17/100</f>
        <v>1</v>
      </c>
      <c r="L652" s="241" t="e">
        <f ca="1">K652*$H652</f>
        <v>#VALUE!</v>
      </c>
      <c r="M652" s="243" t="e">
        <f ca="1">IF(AND(INDEX(FlowCalConstA,MATCH(J651,FlowCalNumber,0),1,1)*L652^INDEX(FlowCalConstB,MATCH(J651,FlowCalNumber,0),1,1)&gt;INDEX(FlowCalLowSetting,MATCH(J651,FlowCalNumber,0),1,1), (INDEX(FlowCalConstA,MATCH(J651,FlowCalNumber,0),1,1)*L652^INDEX(FlowCalConstB,MATCH(J651,FlowCalNumber,0),1,1)&lt;INDEX(FlowCalHighSetting,MATCH(J651,FlowCalNumber,0),1,1))),INDEX(FlowCalConstA,MATCH(J651,FlowCalNumber,0),1,1)*L652^INDEX(FlowCalConstB,MATCH(J651,FlowCalNumber,0),1,1)," ")</f>
        <v>#N/A</v>
      </c>
      <c r="N652" s="33"/>
      <c r="O652" s="260">
        <f>O$17/100</f>
        <v>1</v>
      </c>
      <c r="P652" s="241" t="e">
        <f ca="1">O652*$H652</f>
        <v>#VALUE!</v>
      </c>
      <c r="Q652" s="243" t="e">
        <f ca="1">IF(AND(INDEX(FlowCalConstA,MATCH(N651,FlowCalNumber,0),1,1)*P652^INDEX(FlowCalConstB,MATCH(N651,FlowCalNumber,0),1,1)&gt;INDEX(FlowCalLowSetting,MATCH(N651,FlowCalNumber,0),1,1), (INDEX(FlowCalConstA,MATCH(N651,FlowCalNumber,0),1,1)*P652^INDEX(FlowCalConstB,MATCH(N651,FlowCalNumber,0),1,1)&lt;INDEX(FlowCalHighSetting,MATCH(N651,FlowCalNumber,0),1,1))),INDEX(FlowCalConstA,MATCH(N651,FlowCalNumber,0),1,1)*P652^INDEX(FlowCalConstB,MATCH(N651,FlowCalNumber,0),1,1)," ")</f>
        <v>#N/A</v>
      </c>
      <c r="R652" s="33"/>
      <c r="S652" s="260">
        <f>S$17/100</f>
        <v>1</v>
      </c>
      <c r="T652" s="241" t="e">
        <f ca="1">S652*$H652</f>
        <v>#VALUE!</v>
      </c>
      <c r="U652" s="244" t="e">
        <f ca="1">IF(AND(INDEX(FlowCalConstA,MATCH(R651,FlowCalNumber,0),1,1)*T652^INDEX(FlowCalConstB,MATCH(R651,FlowCalNumber,0),1,1)&gt;INDEX(FlowCalLowSetting,MATCH(R651,FlowCalNumber,0),1,1), (INDEX(FlowCalConstA,MATCH(R651,FlowCalNumber,0),1,1)*T652^INDEX(FlowCalConstB,MATCH(R651,FlowCalNumber,0),1,1)&lt;INDEX(FlowCalHighSetting,MATCH(R651,FlowCalNumber,0),1,1))),INDEX(FlowCalConstA,MATCH(R651,FlowCalNumber,0),1,1)*T652^INDEX(FlowCalConstB,MATCH(R651,FlowCalNumber,0),1,1)," ")</f>
        <v>#N/A</v>
      </c>
      <c r="V652" s="33"/>
      <c r="W652" s="260">
        <f>W$17/100</f>
        <v>0.1</v>
      </c>
      <c r="X652" s="241" t="e">
        <f ca="1">W652*$H652</f>
        <v>#VALUE!</v>
      </c>
      <c r="Y652" s="243" t="e">
        <f ca="1">IF(AND(INDEX(FlowCalConstA,MATCH(V651,FlowCalNumber,0),1,1)*X652^INDEX(FlowCalConstB,MATCH(V651,FlowCalNumber,0),1,1)&gt;INDEX(FlowCalLowSetting,MATCH(V651,FlowCalNumber,0),1,1), (INDEX(FlowCalConstA,MATCH(V651,FlowCalNumber,0),1,1)*X652^INDEX(FlowCalConstB,MATCH(V651,FlowCalNumber,0),1,1)&lt;INDEX(FlowCalHighSetting,MATCH(V651,FlowCalNumber,0),1,1))),INDEX(FlowCalConstA,MATCH(V651,FlowCalNumber,0),1,1)*X652^INDEX(FlowCalConstB,MATCH(V651,FlowCalNumber,0),1,1)," ")</f>
        <v>#N/A</v>
      </c>
      <c r="Z652" s="33"/>
      <c r="AA652" s="260">
        <f>AA$17/100</f>
        <v>0.9</v>
      </c>
      <c r="AB652" s="241" t="e">
        <f ca="1">AA652*$H652</f>
        <v>#VALUE!</v>
      </c>
      <c r="AC652" s="243" t="e">
        <f ca="1">IF(AND(INDEX(FlowCalConstA,MATCH(Z651,FlowCalNumber,0),1,1)*AB652^INDEX(FlowCalConstB,MATCH(Z651,FlowCalNumber,0),1,1)&gt;INDEX(FlowCalLowSetting,MATCH(Z651,FlowCalNumber,0),1,1), (INDEX(FlowCalConstA,MATCH(Z651,FlowCalNumber,0),1,1)*AB652^INDEX(FlowCalConstB,MATCH(Z651,FlowCalNumber,0),1,1)&lt;INDEX(FlowCalHighSetting,MATCH(Z651,FlowCalNumber,0),1,1))),INDEX(FlowCalConstA,MATCH(Z651,FlowCalNumber,0),1,1)*AB652^INDEX(FlowCalConstB,MATCH(Z651,FlowCalNumber,0),1,1)," ")</f>
        <v>#N/A</v>
      </c>
      <c r="AD652" s="33"/>
      <c r="AE652" s="260">
        <f>AE$17/100</f>
        <v>0.1</v>
      </c>
      <c r="AF652" s="241" t="e">
        <f ca="1">AE652*$H652</f>
        <v>#VALUE!</v>
      </c>
      <c r="AG652" s="243" t="e">
        <f ca="1">IF(AND(INDEX(FlowCalConstA,MATCH(AD651,FlowCalNumber,0),1,1)*AF652^INDEX(FlowCalConstB,MATCH(AD651,FlowCalNumber,0),1,1)&gt;INDEX(FlowCalLowSetting,MATCH(AD651,FlowCalNumber,0),1,1), (INDEX(FlowCalConstA,MATCH(AD651,FlowCalNumber,0),1,1)*AF652^INDEX(FlowCalConstB,MATCH(AD651,FlowCalNumber,0),1,1)&lt;INDEX(FlowCalHighSetting,MATCH(AD651,FlowCalNumber,0),1,1))),INDEX(FlowCalConstA,MATCH(AD651,FlowCalNumber,0),1,1)*AF652^INDEX(FlowCalConstB,MATCH(AD651,FlowCalNumber,0),1,1)," ")</f>
        <v>#N/A</v>
      </c>
      <c r="AH652" s="33"/>
      <c r="AI652" s="260">
        <f>AI$17/100</f>
        <v>0.9</v>
      </c>
      <c r="AJ652" s="241" t="e">
        <f ca="1">AI652*$H652</f>
        <v>#VALUE!</v>
      </c>
      <c r="AK652" s="243" t="e">
        <f ca="1">IF(AND(INDEX(FlowCalConstA,MATCH(AH651,FlowCalNumber,0),1,1)*AJ652^INDEX(FlowCalConstB,MATCH(AH651,FlowCalNumber,0),1,1)&gt;INDEX(FlowCalLowSetting,MATCH(AH651,FlowCalNumber,0),1,1), (INDEX(FlowCalConstA,MATCH(AH651,FlowCalNumber,0),1,1)*AJ652^INDEX(FlowCalConstB,MATCH(AH651,FlowCalNumber,0),1,1)&lt;INDEX(FlowCalHighSetting,MATCH(AH651,FlowCalNumber,0),1,1))),INDEX(FlowCalConstA,MATCH(AH651,FlowCalNumber,0),1,1)*AJ652^INDEX(FlowCalConstB,MATCH(AH651,FlowCalNumber,0),1,1)," ")</f>
        <v>#N/A</v>
      </c>
      <c r="AL652" s="33"/>
      <c r="AM652" s="260"/>
      <c r="AN652" s="241"/>
      <c r="AO652" s="244"/>
      <c r="AQ652" s="260"/>
      <c r="AR652" s="241"/>
      <c r="AS652" s="244"/>
      <c r="AT652" s="33"/>
      <c r="AU652" s="260"/>
      <c r="AV652" s="241"/>
      <c r="AW652" s="244"/>
      <c r="AX652" s="33"/>
      <c r="AY652" s="260"/>
      <c r="AZ652" s="241"/>
      <c r="BA652" s="244"/>
      <c r="BB652" s="33"/>
      <c r="BC652" s="260"/>
      <c r="BD652" s="241"/>
      <c r="BE652" s="244"/>
      <c r="BF652" s="33"/>
      <c r="BG652" s="260"/>
      <c r="BH652" s="241"/>
      <c r="BI652" s="244"/>
      <c r="BJ652" s="33"/>
      <c r="BK652" s="260"/>
      <c r="BL652" s="241"/>
      <c r="BM652" s="244"/>
      <c r="BN652" s="33"/>
      <c r="BO652" s="260"/>
      <c r="BP652" s="241"/>
      <c r="BQ652" s="244"/>
      <c r="BR652" s="33"/>
      <c r="BS652" s="260"/>
      <c r="BT652" s="241"/>
      <c r="BU652" s="244"/>
      <c r="BV652" s="33"/>
      <c r="BW652" s="260"/>
      <c r="BX652" s="241"/>
      <c r="BY652" s="244"/>
      <c r="BZ652" s="33"/>
      <c r="CA652" s="260"/>
      <c r="CB652" s="241"/>
      <c r="CC652" s="244"/>
      <c r="CD652" s="243"/>
      <c r="CE652" s="243"/>
      <c r="CF652" s="243"/>
      <c r="CG652" s="243"/>
      <c r="CH652" s="243"/>
      <c r="CI652" s="243"/>
      <c r="CJ652" s="243"/>
      <c r="CK652" s="243"/>
      <c r="CL652" s="243"/>
      <c r="CM652" s="243"/>
      <c r="CN652" s="243"/>
      <c r="CO652" s="243"/>
      <c r="CP652" s="243"/>
      <c r="CQ652" s="243"/>
      <c r="CR652" s="243"/>
      <c r="CS652" s="243"/>
      <c r="CT652" s="243"/>
      <c r="CU652" s="243"/>
      <c r="CV652" s="243"/>
      <c r="CW652" s="243"/>
      <c r="CX652" s="243"/>
      <c r="CY652" s="243"/>
      <c r="CZ652" s="243"/>
      <c r="DA652" s="243"/>
      <c r="DB652" s="243"/>
      <c r="DC652" s="243"/>
      <c r="DD652" s="243"/>
      <c r="DE652" s="243"/>
      <c r="DF652" s="243"/>
      <c r="DG652" s="243"/>
      <c r="DH652" s="243"/>
      <c r="DI652" s="243"/>
      <c r="DJ652" s="243"/>
      <c r="DK652" s="243"/>
      <c r="DM652" s="259"/>
      <c r="DO652" s="243"/>
      <c r="DQ652" s="259"/>
      <c r="DS652" s="243"/>
      <c r="DU652" s="259"/>
      <c r="DW652" s="243"/>
      <c r="DY652" s="260"/>
      <c r="EA652" s="243"/>
    </row>
    <row r="653" spans="1:131">
      <c r="A653" s="20"/>
      <c r="B653" s="124" t="str">
        <f t="shared" si="614"/>
        <v/>
      </c>
      <c r="C653" s="235"/>
      <c r="D653" s="24">
        <f>'1% Wind'!$M$83</f>
        <v>23.5</v>
      </c>
      <c r="E653" s="90"/>
      <c r="F653" s="90"/>
      <c r="G653" s="79">
        <f ca="1">IF(I651=0.9743,$G652,MAX(G652/D652*D653,2))</f>
        <v>6.001707317073171</v>
      </c>
      <c r="H653" s="121" t="e">
        <f t="shared" ca="1" si="615"/>
        <v>#VALUE!</v>
      </c>
      <c r="J653" s="33"/>
      <c r="K653" s="242">
        <f t="shared" ref="K653:K666" si="616">K652</f>
        <v>1</v>
      </c>
      <c r="L653" s="241" t="e">
        <f t="shared" ref="L653:L666" ca="1" si="617">K653*$H653</f>
        <v>#VALUE!</v>
      </c>
      <c r="M653" s="243" t="e">
        <f ca="1">IF(AND(INDEX(FlowCalConstA,MATCH(J651,FlowCalNumber,0),1,1)*L653^INDEX(FlowCalConstB,MATCH(J651,FlowCalNumber,0),1,1)&gt;INDEX(FlowCalLowSetting,MATCH(J651,FlowCalNumber,0),1,1), (INDEX(FlowCalConstA,MATCH(J651,FlowCalNumber,0),1,1)*L653^INDEX(FlowCalConstB,MATCH(J651,FlowCalNumber,0),1,1)&lt;INDEX(FlowCalHighSetting,MATCH(J651,FlowCalNumber,0),1,1))),INDEX(FlowCalConstA,MATCH(J651,FlowCalNumber,0),1,1)*L653^INDEX(FlowCalConstB,MATCH(J651,FlowCalNumber,0),1,1)," ")</f>
        <v>#N/A</v>
      </c>
      <c r="N653" s="33"/>
      <c r="O653" s="242">
        <f t="shared" ref="O653:O666" si="618">O652</f>
        <v>1</v>
      </c>
      <c r="P653" s="241" t="e">
        <f t="shared" ref="P653:P666" ca="1" si="619">O653*$H653</f>
        <v>#VALUE!</v>
      </c>
      <c r="Q653" s="243" t="e">
        <f ca="1">IF(AND(INDEX(FlowCalConstA,MATCH(N651,FlowCalNumber,0),1,1)*P653^INDEX(FlowCalConstB,MATCH(N651,FlowCalNumber,0),1,1)&gt;INDEX(FlowCalLowSetting,MATCH(N651,FlowCalNumber,0),1,1), (INDEX(FlowCalConstA,MATCH(N651,FlowCalNumber,0),1,1)*P653^INDEX(FlowCalConstB,MATCH(N651,FlowCalNumber,0),1,1)&lt;INDEX(FlowCalHighSetting,MATCH(N651,FlowCalNumber,0),1,1))),INDEX(FlowCalConstA,MATCH(N651,FlowCalNumber,0),1,1)*P653^INDEX(FlowCalConstB,MATCH(N651,FlowCalNumber,0),1,1)," ")</f>
        <v>#N/A</v>
      </c>
      <c r="R653" s="33"/>
      <c r="S653" s="242">
        <f t="shared" ref="S653:S666" si="620">S652</f>
        <v>1</v>
      </c>
      <c r="T653" s="241" t="e">
        <f t="shared" ref="T653:T666" ca="1" si="621">S653*$H653</f>
        <v>#VALUE!</v>
      </c>
      <c r="U653" s="244" t="e">
        <f ca="1">IF(AND(INDEX(FlowCalConstA,MATCH(R651,FlowCalNumber,0),1,1)*T653^INDEX(FlowCalConstB,MATCH(R651,FlowCalNumber,0),1,1)&gt;INDEX(FlowCalLowSetting,MATCH(R651,FlowCalNumber,0),1,1), (INDEX(FlowCalConstA,MATCH(R651,FlowCalNumber,0),1,1)*T653^INDEX(FlowCalConstB,MATCH(R651,FlowCalNumber,0),1,1)&lt;INDEX(FlowCalHighSetting,MATCH(R651,FlowCalNumber,0),1,1))),INDEX(FlowCalConstA,MATCH(R651,FlowCalNumber,0),1,1)*T653^INDEX(FlowCalConstB,MATCH(R651,FlowCalNumber,0),1,1)," ")</f>
        <v>#N/A</v>
      </c>
      <c r="V653" s="33"/>
      <c r="W653" s="242">
        <f t="shared" ref="W653:W666" si="622">W652</f>
        <v>0.1</v>
      </c>
      <c r="X653" s="241" t="e">
        <f t="shared" ref="X653:X666" ca="1" si="623">W653*$H653</f>
        <v>#VALUE!</v>
      </c>
      <c r="Y653" s="243" t="e">
        <f ca="1">IF(AND(INDEX(FlowCalConstA,MATCH(V651,FlowCalNumber,0),1,1)*X653^INDEX(FlowCalConstB,MATCH(V651,FlowCalNumber,0),1,1)&gt;INDEX(FlowCalLowSetting,MATCH(V651,FlowCalNumber,0),1,1), (INDEX(FlowCalConstA,MATCH(V651,FlowCalNumber,0),1,1)*X653^INDEX(FlowCalConstB,MATCH(V651,FlowCalNumber,0),1,1)&lt;INDEX(FlowCalHighSetting,MATCH(V651,FlowCalNumber,0),1,1))),INDEX(FlowCalConstA,MATCH(V651,FlowCalNumber,0),1,1)*X653^INDEX(FlowCalConstB,MATCH(V651,FlowCalNumber,0),1,1)," ")</f>
        <v>#N/A</v>
      </c>
      <c r="Z653" s="33"/>
      <c r="AA653" s="242">
        <f t="shared" ref="AA653:AA666" si="624">AA652</f>
        <v>0.9</v>
      </c>
      <c r="AB653" s="241" t="e">
        <f t="shared" ref="AB653:AB666" ca="1" si="625">AA653*$H653</f>
        <v>#VALUE!</v>
      </c>
      <c r="AC653" s="243" t="e">
        <f ca="1">IF(AND(INDEX(FlowCalConstA,MATCH(Z651,FlowCalNumber,0),1,1)*AB653^INDEX(FlowCalConstB,MATCH(Z651,FlowCalNumber,0),1,1)&gt;INDEX(FlowCalLowSetting,MATCH(Z651,FlowCalNumber,0),1,1), (INDEX(FlowCalConstA,MATCH(Z651,FlowCalNumber,0),1,1)*AB653^INDEX(FlowCalConstB,MATCH(Z651,FlowCalNumber,0),1,1)&lt;INDEX(FlowCalHighSetting,MATCH(Z651,FlowCalNumber,0),1,1))),INDEX(FlowCalConstA,MATCH(Z651,FlowCalNumber,0),1,1)*AB653^INDEX(FlowCalConstB,MATCH(Z651,FlowCalNumber,0),1,1)," ")</f>
        <v>#N/A</v>
      </c>
      <c r="AD653" s="33"/>
      <c r="AE653" s="242">
        <f t="shared" ref="AE653:AE666" si="626">AE652</f>
        <v>0.1</v>
      </c>
      <c r="AF653" s="241" t="e">
        <f t="shared" ref="AF653:AF666" ca="1" si="627">AE653*$H653</f>
        <v>#VALUE!</v>
      </c>
      <c r="AG653" s="243" t="e">
        <f ca="1">IF(AND(INDEX(FlowCalConstA,MATCH(AD651,FlowCalNumber,0),1,1)*AF653^INDEX(FlowCalConstB,MATCH(AD651,FlowCalNumber,0),1,1)&gt;INDEX(FlowCalLowSetting,MATCH(AD651,FlowCalNumber,0),1,1), (INDEX(FlowCalConstA,MATCH(AD651,FlowCalNumber,0),1,1)*AF653^INDEX(FlowCalConstB,MATCH(AD651,FlowCalNumber,0),1,1)&lt;INDEX(FlowCalHighSetting,MATCH(AD651,FlowCalNumber,0),1,1))),INDEX(FlowCalConstA,MATCH(AD651,FlowCalNumber,0),1,1)*AF653^INDEX(FlowCalConstB,MATCH(AD651,FlowCalNumber,0),1,1)," ")</f>
        <v>#N/A</v>
      </c>
      <c r="AH653" s="33"/>
      <c r="AI653" s="242">
        <f t="shared" ref="AI653:AI666" si="628">AI652</f>
        <v>0.9</v>
      </c>
      <c r="AJ653" s="241" t="e">
        <f t="shared" ref="AJ653:AJ666" ca="1" si="629">AI653*$H653</f>
        <v>#VALUE!</v>
      </c>
      <c r="AK653" s="243" t="e">
        <f ca="1">IF(AND(INDEX(FlowCalConstA,MATCH(AH651,FlowCalNumber,0),1,1)*AJ653^INDEX(FlowCalConstB,MATCH(AH651,FlowCalNumber,0),1,1)&gt;INDEX(FlowCalLowSetting,MATCH(AH651,FlowCalNumber,0),1,1), (INDEX(FlowCalConstA,MATCH(AH651,FlowCalNumber,0),1,1)*AJ653^INDEX(FlowCalConstB,MATCH(AH651,FlowCalNumber,0),1,1)&lt;INDEX(FlowCalHighSetting,MATCH(AH651,FlowCalNumber,0),1,1))),INDEX(FlowCalConstA,MATCH(AH651,FlowCalNumber,0),1,1)*AJ653^INDEX(FlowCalConstB,MATCH(AH651,FlowCalNumber,0),1,1)," ")</f>
        <v>#N/A</v>
      </c>
      <c r="AL653" s="33"/>
      <c r="AM653" s="242"/>
      <c r="AN653" s="241"/>
      <c r="AO653" s="244"/>
      <c r="AQ653" s="242"/>
      <c r="AR653" s="241"/>
      <c r="AS653" s="244"/>
      <c r="AT653" s="33"/>
      <c r="AU653" s="242"/>
      <c r="AV653" s="241"/>
      <c r="AW653" s="244"/>
      <c r="AX653" s="33"/>
      <c r="AY653" s="242"/>
      <c r="AZ653" s="241"/>
      <c r="BA653" s="244"/>
      <c r="BB653" s="33"/>
      <c r="BC653" s="242"/>
      <c r="BD653" s="241"/>
      <c r="BE653" s="244"/>
      <c r="BF653" s="33"/>
      <c r="BG653" s="242"/>
      <c r="BH653" s="241"/>
      <c r="BI653" s="244"/>
      <c r="BJ653" s="33"/>
      <c r="BK653" s="242"/>
      <c r="BL653" s="241"/>
      <c r="BM653" s="244"/>
      <c r="BN653" s="33"/>
      <c r="BO653" s="242"/>
      <c r="BP653" s="241"/>
      <c r="BQ653" s="244"/>
      <c r="BR653" s="33"/>
      <c r="BS653" s="242"/>
      <c r="BT653" s="241"/>
      <c r="BU653" s="244"/>
      <c r="BV653" s="33"/>
      <c r="BW653" s="242"/>
      <c r="BX653" s="241"/>
      <c r="BY653" s="244"/>
      <c r="BZ653" s="33"/>
      <c r="CA653" s="242"/>
      <c r="CB653" s="241"/>
      <c r="CC653" s="244"/>
      <c r="CD653" s="243"/>
      <c r="CE653" s="243"/>
      <c r="CF653" s="243"/>
      <c r="CG653" s="243"/>
      <c r="CH653" s="243"/>
      <c r="CI653" s="243"/>
      <c r="CJ653" s="243"/>
      <c r="CK653" s="243"/>
      <c r="CL653" s="243"/>
      <c r="CM653" s="243"/>
      <c r="CN653" s="243"/>
      <c r="CO653" s="243"/>
      <c r="CP653" s="243"/>
      <c r="CQ653" s="243"/>
      <c r="CR653" s="243"/>
      <c r="CS653" s="243"/>
      <c r="CT653" s="243"/>
      <c r="CU653" s="243"/>
      <c r="CV653" s="243"/>
      <c r="CW653" s="243"/>
      <c r="CX653" s="243"/>
      <c r="CY653" s="243"/>
      <c r="CZ653" s="243"/>
      <c r="DA653" s="243"/>
      <c r="DB653" s="243"/>
      <c r="DC653" s="243"/>
      <c r="DD653" s="243"/>
      <c r="DE653" s="243"/>
      <c r="DF653" s="243"/>
      <c r="DG653" s="243"/>
      <c r="DH653" s="243"/>
      <c r="DI653" s="243"/>
      <c r="DJ653" s="243"/>
      <c r="DK653" s="243"/>
      <c r="DM653" s="242"/>
      <c r="DO653" s="243"/>
      <c r="DQ653" s="242"/>
      <c r="DS653" s="243"/>
      <c r="DU653" s="242"/>
      <c r="DW653" s="243"/>
      <c r="DY653" s="242"/>
      <c r="EA653" s="243"/>
    </row>
    <row r="654" spans="1:131">
      <c r="A654" s="20"/>
      <c r="B654" s="124" t="str">
        <f t="shared" si="614"/>
        <v/>
      </c>
      <c r="C654" s="235"/>
      <c r="D654" s="24">
        <f>'1% Wind'!$M$84</f>
        <v>20.5</v>
      </c>
      <c r="E654" s="90"/>
      <c r="F654" s="90"/>
      <c r="G654" s="79">
        <f ca="1">IF(I651=0.9743,$G653,MAX(G653/D653*D654,2))</f>
        <v>6.001707317073171</v>
      </c>
      <c r="H654" s="121" t="e">
        <f t="shared" ca="1" si="615"/>
        <v>#VALUE!</v>
      </c>
      <c r="J654" s="33"/>
      <c r="K654" s="242">
        <f t="shared" si="616"/>
        <v>1</v>
      </c>
      <c r="L654" s="241" t="e">
        <f t="shared" ca="1" si="617"/>
        <v>#VALUE!</v>
      </c>
      <c r="M654" s="243" t="e">
        <f ca="1">IF(AND(INDEX(FlowCalConstA,MATCH(J651,FlowCalNumber,0),1,1)*L654^INDEX(FlowCalConstB,MATCH(J651,FlowCalNumber,0),1,1)&gt;INDEX(FlowCalLowSetting,MATCH(J651,FlowCalNumber,0),1,1), (INDEX(FlowCalConstA,MATCH(J651,FlowCalNumber,0),1,1)*L654^INDEX(FlowCalConstB,MATCH(J651,FlowCalNumber,0),1,1)&lt;INDEX(FlowCalHighSetting,MATCH(J651,FlowCalNumber,0),1,1))),INDEX(FlowCalConstA,MATCH(J651,FlowCalNumber,0),1,1)*L654^INDEX(FlowCalConstB,MATCH(J651,FlowCalNumber,0),1,1)," ")</f>
        <v>#N/A</v>
      </c>
      <c r="N654" s="33"/>
      <c r="O654" s="242">
        <f t="shared" si="618"/>
        <v>1</v>
      </c>
      <c r="P654" s="241" t="e">
        <f t="shared" ca="1" si="619"/>
        <v>#VALUE!</v>
      </c>
      <c r="Q654" s="243" t="e">
        <f ca="1">IF(AND(INDEX(FlowCalConstA,MATCH(N651,FlowCalNumber,0),1,1)*P654^INDEX(FlowCalConstB,MATCH(N651,FlowCalNumber,0),1,1)&gt;INDEX(FlowCalLowSetting,MATCH(N651,FlowCalNumber,0),1,1), (INDEX(FlowCalConstA,MATCH(N651,FlowCalNumber,0),1,1)*P654^INDEX(FlowCalConstB,MATCH(N651,FlowCalNumber,0),1,1)&lt;INDEX(FlowCalHighSetting,MATCH(N651,FlowCalNumber,0),1,1))),INDEX(FlowCalConstA,MATCH(N651,FlowCalNumber,0),1,1)*P654^INDEX(FlowCalConstB,MATCH(N651,FlowCalNumber,0),1,1)," ")</f>
        <v>#N/A</v>
      </c>
      <c r="R654" s="33"/>
      <c r="S654" s="242">
        <f t="shared" si="620"/>
        <v>1</v>
      </c>
      <c r="T654" s="241" t="e">
        <f t="shared" ca="1" si="621"/>
        <v>#VALUE!</v>
      </c>
      <c r="U654" s="244" t="e">
        <f ca="1">IF(AND(INDEX(FlowCalConstA,MATCH(R651,FlowCalNumber,0),1,1)*T654^INDEX(FlowCalConstB,MATCH(R651,FlowCalNumber,0),1,1)&gt;INDEX(FlowCalLowSetting,MATCH(R651,FlowCalNumber,0),1,1), (INDEX(FlowCalConstA,MATCH(R651,FlowCalNumber,0),1,1)*T654^INDEX(FlowCalConstB,MATCH(R651,FlowCalNumber,0),1,1)&lt;INDEX(FlowCalHighSetting,MATCH(R651,FlowCalNumber,0),1,1))),INDEX(FlowCalConstA,MATCH(R651,FlowCalNumber,0),1,1)*T654^INDEX(FlowCalConstB,MATCH(R651,FlowCalNumber,0),1,1)," ")</f>
        <v>#N/A</v>
      </c>
      <c r="V654" s="33"/>
      <c r="W654" s="242">
        <f t="shared" si="622"/>
        <v>0.1</v>
      </c>
      <c r="X654" s="241" t="e">
        <f t="shared" ca="1" si="623"/>
        <v>#VALUE!</v>
      </c>
      <c r="Y654" s="243" t="e">
        <f ca="1">IF(AND(INDEX(FlowCalConstA,MATCH(V651,FlowCalNumber,0),1,1)*X654^INDEX(FlowCalConstB,MATCH(V651,FlowCalNumber,0),1,1)&gt;INDEX(FlowCalLowSetting,MATCH(V651,FlowCalNumber,0),1,1), (INDEX(FlowCalConstA,MATCH(V651,FlowCalNumber,0),1,1)*X654^INDEX(FlowCalConstB,MATCH(V651,FlowCalNumber,0),1,1)&lt;INDEX(FlowCalHighSetting,MATCH(V651,FlowCalNumber,0),1,1))),INDEX(FlowCalConstA,MATCH(V651,FlowCalNumber,0),1,1)*X654^INDEX(FlowCalConstB,MATCH(V651,FlowCalNumber,0),1,1)," ")</f>
        <v>#N/A</v>
      </c>
      <c r="Z654" s="33"/>
      <c r="AA654" s="242">
        <f t="shared" si="624"/>
        <v>0.9</v>
      </c>
      <c r="AB654" s="241" t="e">
        <f t="shared" ca="1" si="625"/>
        <v>#VALUE!</v>
      </c>
      <c r="AC654" s="243" t="e">
        <f ca="1">IF(AND(INDEX(FlowCalConstA,MATCH(Z651,FlowCalNumber,0),1,1)*AB654^INDEX(FlowCalConstB,MATCH(Z651,FlowCalNumber,0),1,1)&gt;INDEX(FlowCalLowSetting,MATCH(Z651,FlowCalNumber,0),1,1), (INDEX(FlowCalConstA,MATCH(Z651,FlowCalNumber,0),1,1)*AB654^INDEX(FlowCalConstB,MATCH(Z651,FlowCalNumber,0),1,1)&lt;INDEX(FlowCalHighSetting,MATCH(Z651,FlowCalNumber,0),1,1))),INDEX(FlowCalConstA,MATCH(Z651,FlowCalNumber,0),1,1)*AB654^INDEX(FlowCalConstB,MATCH(Z651,FlowCalNumber,0),1,1)," ")</f>
        <v>#N/A</v>
      </c>
      <c r="AD654" s="33"/>
      <c r="AE654" s="242">
        <f t="shared" si="626"/>
        <v>0.1</v>
      </c>
      <c r="AF654" s="241" t="e">
        <f t="shared" ca="1" si="627"/>
        <v>#VALUE!</v>
      </c>
      <c r="AG654" s="243" t="e">
        <f ca="1">IF(AND(INDEX(FlowCalConstA,MATCH(AD651,FlowCalNumber,0),1,1)*AF654^INDEX(FlowCalConstB,MATCH(AD651,FlowCalNumber,0),1,1)&gt;INDEX(FlowCalLowSetting,MATCH(AD651,FlowCalNumber,0),1,1), (INDEX(FlowCalConstA,MATCH(AD651,FlowCalNumber,0),1,1)*AF654^INDEX(FlowCalConstB,MATCH(AD651,FlowCalNumber,0),1,1)&lt;INDEX(FlowCalHighSetting,MATCH(AD651,FlowCalNumber,0),1,1))),INDEX(FlowCalConstA,MATCH(AD651,FlowCalNumber,0),1,1)*AF654^INDEX(FlowCalConstB,MATCH(AD651,FlowCalNumber,0),1,1)," ")</f>
        <v>#N/A</v>
      </c>
      <c r="AH654" s="33"/>
      <c r="AI654" s="242">
        <f t="shared" si="628"/>
        <v>0.9</v>
      </c>
      <c r="AJ654" s="241" t="e">
        <f t="shared" ca="1" si="629"/>
        <v>#VALUE!</v>
      </c>
      <c r="AK654" s="243" t="e">
        <f ca="1">IF(AND(INDEX(FlowCalConstA,MATCH(AH651,FlowCalNumber,0),1,1)*AJ654^INDEX(FlowCalConstB,MATCH(AH651,FlowCalNumber,0),1,1)&gt;INDEX(FlowCalLowSetting,MATCH(AH651,FlowCalNumber,0),1,1), (INDEX(FlowCalConstA,MATCH(AH651,FlowCalNumber,0),1,1)*AJ654^INDEX(FlowCalConstB,MATCH(AH651,FlowCalNumber,0),1,1)&lt;INDEX(FlowCalHighSetting,MATCH(AH651,FlowCalNumber,0),1,1))),INDEX(FlowCalConstA,MATCH(AH651,FlowCalNumber,0),1,1)*AJ654^INDEX(FlowCalConstB,MATCH(AH651,FlowCalNumber,0),1,1)," ")</f>
        <v>#N/A</v>
      </c>
      <c r="AL654" s="33"/>
      <c r="AM654" s="242"/>
      <c r="AN654" s="241"/>
      <c r="AO654" s="244"/>
      <c r="AQ654" s="242"/>
      <c r="AR654" s="241"/>
      <c r="AS654" s="244"/>
      <c r="AT654" s="33"/>
      <c r="AU654" s="242"/>
      <c r="AV654" s="241"/>
      <c r="AW654" s="244"/>
      <c r="AX654" s="33"/>
      <c r="AY654" s="242"/>
      <c r="AZ654" s="241"/>
      <c r="BA654" s="244"/>
      <c r="BB654" s="33"/>
      <c r="BC654" s="242"/>
      <c r="BD654" s="241"/>
      <c r="BE654" s="244"/>
      <c r="BF654" s="33"/>
      <c r="BG654" s="242"/>
      <c r="BH654" s="241"/>
      <c r="BI654" s="244"/>
      <c r="BJ654" s="33"/>
      <c r="BK654" s="242"/>
      <c r="BL654" s="241"/>
      <c r="BM654" s="244"/>
      <c r="BN654" s="33"/>
      <c r="BO654" s="242"/>
      <c r="BP654" s="241"/>
      <c r="BQ654" s="244"/>
      <c r="BR654" s="33"/>
      <c r="BS654" s="242"/>
      <c r="BT654" s="241"/>
      <c r="BU654" s="244"/>
      <c r="BV654" s="33"/>
      <c r="BW654" s="242"/>
      <c r="BX654" s="241"/>
      <c r="BY654" s="244"/>
      <c r="BZ654" s="33"/>
      <c r="CA654" s="242"/>
      <c r="CB654" s="241"/>
      <c r="CC654" s="244"/>
      <c r="CD654" s="243"/>
      <c r="CE654" s="243"/>
      <c r="CF654" s="243"/>
      <c r="CG654" s="243"/>
      <c r="CH654" s="243"/>
      <c r="CI654" s="243"/>
      <c r="CJ654" s="243"/>
      <c r="CK654" s="243"/>
      <c r="CL654" s="243"/>
      <c r="CM654" s="243"/>
      <c r="CN654" s="243"/>
      <c r="CO654" s="243"/>
      <c r="CP654" s="243"/>
      <c r="CQ654" s="243"/>
      <c r="CR654" s="243"/>
      <c r="CS654" s="243"/>
      <c r="CT654" s="243"/>
      <c r="CU654" s="243"/>
      <c r="CV654" s="243"/>
      <c r="CW654" s="243"/>
      <c r="CX654" s="243"/>
      <c r="CY654" s="243"/>
      <c r="CZ654" s="243"/>
      <c r="DA654" s="243"/>
      <c r="DB654" s="243"/>
      <c r="DC654" s="243"/>
      <c r="DD654" s="243"/>
      <c r="DE654" s="243"/>
      <c r="DF654" s="243"/>
      <c r="DG654" s="243"/>
      <c r="DH654" s="243"/>
      <c r="DI654" s="243"/>
      <c r="DJ654" s="243"/>
      <c r="DK654" s="243"/>
      <c r="DM654" s="242"/>
      <c r="DO654" s="243"/>
      <c r="DQ654" s="242"/>
      <c r="DS654" s="243"/>
      <c r="DU654" s="242"/>
      <c r="DW654" s="243"/>
      <c r="DY654" s="242"/>
      <c r="EA654" s="243"/>
    </row>
    <row r="655" spans="1:131">
      <c r="A655" s="20"/>
      <c r="B655" s="124" t="str">
        <f t="shared" si="614"/>
        <v/>
      </c>
      <c r="C655" s="235"/>
      <c r="D655" s="24">
        <f>'1% Wind'!$M$85</f>
        <v>17.8</v>
      </c>
      <c r="E655" s="90"/>
      <c r="F655" s="90"/>
      <c r="G655" s="79">
        <f ca="1">IF(I651=0.9743,$G654,MAX(G654/D654*D655,2))</f>
        <v>6.001707317073171</v>
      </c>
      <c r="H655" s="121" t="e">
        <f t="shared" ca="1" si="615"/>
        <v>#VALUE!</v>
      </c>
      <c r="J655" s="33"/>
      <c r="K655" s="242">
        <f t="shared" si="616"/>
        <v>1</v>
      </c>
      <c r="L655" s="241" t="e">
        <f t="shared" ca="1" si="617"/>
        <v>#VALUE!</v>
      </c>
      <c r="M655" s="243" t="e">
        <f ca="1">IF(AND(INDEX(FlowCalConstA,MATCH(J651,FlowCalNumber,0),1,1)*L655^INDEX(FlowCalConstB,MATCH(J651,FlowCalNumber,0),1,1)&gt;INDEX(FlowCalLowSetting,MATCH(J651,FlowCalNumber,0),1,1), (INDEX(FlowCalConstA,MATCH(J651,FlowCalNumber,0),1,1)*L655^INDEX(FlowCalConstB,MATCH(J651,FlowCalNumber,0),1,1)&lt;INDEX(FlowCalHighSetting,MATCH(J651,FlowCalNumber,0),1,1))),INDEX(FlowCalConstA,MATCH(J651,FlowCalNumber,0),1,1)*L655^INDEX(FlowCalConstB,MATCH(J651,FlowCalNumber,0),1,1)," ")</f>
        <v>#N/A</v>
      </c>
      <c r="N655" s="33"/>
      <c r="O655" s="242">
        <f t="shared" si="618"/>
        <v>1</v>
      </c>
      <c r="P655" s="241" t="e">
        <f t="shared" ca="1" si="619"/>
        <v>#VALUE!</v>
      </c>
      <c r="Q655" s="243" t="e">
        <f ca="1">IF(AND(INDEX(FlowCalConstA,MATCH(N651,FlowCalNumber,0),1,1)*P655^INDEX(FlowCalConstB,MATCH(N651,FlowCalNumber,0),1,1)&gt;INDEX(FlowCalLowSetting,MATCH(N651,FlowCalNumber,0),1,1), (INDEX(FlowCalConstA,MATCH(N651,FlowCalNumber,0),1,1)*P655^INDEX(FlowCalConstB,MATCH(N651,FlowCalNumber,0),1,1)&lt;INDEX(FlowCalHighSetting,MATCH(N651,FlowCalNumber,0),1,1))),INDEX(FlowCalConstA,MATCH(N651,FlowCalNumber,0),1,1)*P655^INDEX(FlowCalConstB,MATCH(N651,FlowCalNumber,0),1,1)," ")</f>
        <v>#N/A</v>
      </c>
      <c r="R655" s="33"/>
      <c r="S655" s="242">
        <f t="shared" si="620"/>
        <v>1</v>
      </c>
      <c r="T655" s="241" t="e">
        <f t="shared" ca="1" si="621"/>
        <v>#VALUE!</v>
      </c>
      <c r="U655" s="244" t="e">
        <f ca="1">IF(AND(INDEX(FlowCalConstA,MATCH(R651,FlowCalNumber,0),1,1)*T655^INDEX(FlowCalConstB,MATCH(R651,FlowCalNumber,0),1,1)&gt;INDEX(FlowCalLowSetting,MATCH(R651,FlowCalNumber,0),1,1), (INDEX(FlowCalConstA,MATCH(R651,FlowCalNumber,0),1,1)*T655^INDEX(FlowCalConstB,MATCH(R651,FlowCalNumber,0),1,1)&lt;INDEX(FlowCalHighSetting,MATCH(R651,FlowCalNumber,0),1,1))),INDEX(FlowCalConstA,MATCH(R651,FlowCalNumber,0),1,1)*T655^INDEX(FlowCalConstB,MATCH(R651,FlowCalNumber,0),1,1)," ")</f>
        <v>#N/A</v>
      </c>
      <c r="V655" s="33"/>
      <c r="W655" s="242">
        <f t="shared" si="622"/>
        <v>0.1</v>
      </c>
      <c r="X655" s="241" t="e">
        <f t="shared" ca="1" si="623"/>
        <v>#VALUE!</v>
      </c>
      <c r="Y655" s="243" t="e">
        <f ca="1">IF(AND(INDEX(FlowCalConstA,MATCH(V651,FlowCalNumber,0),1,1)*X655^INDEX(FlowCalConstB,MATCH(V651,FlowCalNumber,0),1,1)&gt;INDEX(FlowCalLowSetting,MATCH(V651,FlowCalNumber,0),1,1), (INDEX(FlowCalConstA,MATCH(V651,FlowCalNumber,0),1,1)*X655^INDEX(FlowCalConstB,MATCH(V651,FlowCalNumber,0),1,1)&lt;INDEX(FlowCalHighSetting,MATCH(V651,FlowCalNumber,0),1,1))),INDEX(FlowCalConstA,MATCH(V651,FlowCalNumber,0),1,1)*X655^INDEX(FlowCalConstB,MATCH(V651,FlowCalNumber,0),1,1)," ")</f>
        <v>#N/A</v>
      </c>
      <c r="Z655" s="33"/>
      <c r="AA655" s="242">
        <f t="shared" si="624"/>
        <v>0.9</v>
      </c>
      <c r="AB655" s="241" t="e">
        <f t="shared" ca="1" si="625"/>
        <v>#VALUE!</v>
      </c>
      <c r="AC655" s="243" t="e">
        <f ca="1">IF(AND(INDEX(FlowCalConstA,MATCH(Z651,FlowCalNumber,0),1,1)*AB655^INDEX(FlowCalConstB,MATCH(Z651,FlowCalNumber,0),1,1)&gt;INDEX(FlowCalLowSetting,MATCH(Z651,FlowCalNumber,0),1,1), (INDEX(FlowCalConstA,MATCH(Z651,FlowCalNumber,0),1,1)*AB655^INDEX(FlowCalConstB,MATCH(Z651,FlowCalNumber,0),1,1)&lt;INDEX(FlowCalHighSetting,MATCH(Z651,FlowCalNumber,0),1,1))),INDEX(FlowCalConstA,MATCH(Z651,FlowCalNumber,0),1,1)*AB655^INDEX(FlowCalConstB,MATCH(Z651,FlowCalNumber,0),1,1)," ")</f>
        <v>#N/A</v>
      </c>
      <c r="AD655" s="33"/>
      <c r="AE655" s="242">
        <f t="shared" si="626"/>
        <v>0.1</v>
      </c>
      <c r="AF655" s="241" t="e">
        <f t="shared" ca="1" si="627"/>
        <v>#VALUE!</v>
      </c>
      <c r="AG655" s="243" t="e">
        <f ca="1">IF(AND(INDEX(FlowCalConstA,MATCH(AD651,FlowCalNumber,0),1,1)*AF655^INDEX(FlowCalConstB,MATCH(AD651,FlowCalNumber,0),1,1)&gt;INDEX(FlowCalLowSetting,MATCH(AD651,FlowCalNumber,0),1,1), (INDEX(FlowCalConstA,MATCH(AD651,FlowCalNumber,0),1,1)*AF655^INDEX(FlowCalConstB,MATCH(AD651,FlowCalNumber,0),1,1)&lt;INDEX(FlowCalHighSetting,MATCH(AD651,FlowCalNumber,0),1,1))),INDEX(FlowCalConstA,MATCH(AD651,FlowCalNumber,0),1,1)*AF655^INDEX(FlowCalConstB,MATCH(AD651,FlowCalNumber,0),1,1)," ")</f>
        <v>#N/A</v>
      </c>
      <c r="AH655" s="33"/>
      <c r="AI655" s="242">
        <f t="shared" si="628"/>
        <v>0.9</v>
      </c>
      <c r="AJ655" s="241" t="e">
        <f t="shared" ca="1" si="629"/>
        <v>#VALUE!</v>
      </c>
      <c r="AK655" s="243" t="e">
        <f ca="1">IF(AND(INDEX(FlowCalConstA,MATCH(AH651,FlowCalNumber,0),1,1)*AJ655^INDEX(FlowCalConstB,MATCH(AH651,FlowCalNumber,0),1,1)&gt;INDEX(FlowCalLowSetting,MATCH(AH651,FlowCalNumber,0),1,1), (INDEX(FlowCalConstA,MATCH(AH651,FlowCalNumber,0),1,1)*AJ655^INDEX(FlowCalConstB,MATCH(AH651,FlowCalNumber,0),1,1)&lt;INDEX(FlowCalHighSetting,MATCH(AH651,FlowCalNumber,0),1,1))),INDEX(FlowCalConstA,MATCH(AH651,FlowCalNumber,0),1,1)*AJ655^INDEX(FlowCalConstB,MATCH(AH651,FlowCalNumber,0),1,1)," ")</f>
        <v>#N/A</v>
      </c>
      <c r="AL655" s="33"/>
      <c r="AM655" s="242"/>
      <c r="AN655" s="241"/>
      <c r="AO655" s="244"/>
      <c r="AQ655" s="242"/>
      <c r="AR655" s="241"/>
      <c r="AS655" s="244"/>
      <c r="AT655" s="33"/>
      <c r="AU655" s="242"/>
      <c r="AV655" s="241"/>
      <c r="AW655" s="244"/>
      <c r="AX655" s="33"/>
      <c r="AY655" s="242"/>
      <c r="AZ655" s="241"/>
      <c r="BA655" s="244"/>
      <c r="BB655" s="33"/>
      <c r="BC655" s="242"/>
      <c r="BD655" s="241"/>
      <c r="BE655" s="244"/>
      <c r="BF655" s="33"/>
      <c r="BG655" s="242"/>
      <c r="BH655" s="241"/>
      <c r="BI655" s="244"/>
      <c r="BJ655" s="33"/>
      <c r="BK655" s="242"/>
      <c r="BL655" s="241"/>
      <c r="BM655" s="244"/>
      <c r="BN655" s="33"/>
      <c r="BO655" s="242"/>
      <c r="BP655" s="241"/>
      <c r="BQ655" s="244"/>
      <c r="BR655" s="33"/>
      <c r="BS655" s="242"/>
      <c r="BT655" s="241"/>
      <c r="BU655" s="244"/>
      <c r="BV655" s="33"/>
      <c r="BW655" s="242"/>
      <c r="BX655" s="241"/>
      <c r="BY655" s="244"/>
      <c r="BZ655" s="33"/>
      <c r="CA655" s="242"/>
      <c r="CB655" s="241"/>
      <c r="CC655" s="244"/>
      <c r="CD655" s="243"/>
      <c r="CE655" s="243"/>
      <c r="CF655" s="243"/>
      <c r="CG655" s="243"/>
      <c r="CH655" s="243"/>
      <c r="CI655" s="243"/>
      <c r="CJ655" s="243"/>
      <c r="CK655" s="243"/>
      <c r="CL655" s="243"/>
      <c r="CM655" s="243"/>
      <c r="CN655" s="243"/>
      <c r="CO655" s="243"/>
      <c r="CP655" s="243"/>
      <c r="CQ655" s="243"/>
      <c r="CR655" s="243"/>
      <c r="CS655" s="243"/>
      <c r="CT655" s="243"/>
      <c r="CU655" s="243"/>
      <c r="CV655" s="243"/>
      <c r="CW655" s="243"/>
      <c r="CX655" s="243"/>
      <c r="CY655" s="243"/>
      <c r="CZ655" s="243"/>
      <c r="DA655" s="243"/>
      <c r="DB655" s="243"/>
      <c r="DC655" s="243"/>
      <c r="DD655" s="243"/>
      <c r="DE655" s="243"/>
      <c r="DF655" s="243"/>
      <c r="DG655" s="243"/>
      <c r="DH655" s="243"/>
      <c r="DI655" s="243"/>
      <c r="DJ655" s="243"/>
      <c r="DK655" s="243"/>
      <c r="DM655" s="242"/>
      <c r="DO655" s="243"/>
      <c r="DQ655" s="242"/>
      <c r="DS655" s="243"/>
      <c r="DU655" s="242"/>
      <c r="DW655" s="243"/>
      <c r="DY655" s="242"/>
      <c r="EA655" s="243"/>
    </row>
    <row r="656" spans="1:131">
      <c r="A656" s="20"/>
      <c r="B656" s="124" t="str">
        <f t="shared" si="614"/>
        <v/>
      </c>
      <c r="C656" s="235"/>
      <c r="D656" s="24">
        <f>'1% Wind'!$M$86</f>
        <v>15.5</v>
      </c>
      <c r="E656" s="90"/>
      <c r="F656" s="90"/>
      <c r="G656" s="79">
        <f ca="1">IF(I651=0.9743,$G655,MAX(G655/D655*D656,2))</f>
        <v>6.001707317073171</v>
      </c>
      <c r="H656" s="121" t="e">
        <f t="shared" ca="1" si="615"/>
        <v>#VALUE!</v>
      </c>
      <c r="J656" s="33"/>
      <c r="K656" s="242">
        <f t="shared" si="616"/>
        <v>1</v>
      </c>
      <c r="L656" s="241" t="e">
        <f t="shared" ca="1" si="617"/>
        <v>#VALUE!</v>
      </c>
      <c r="M656" s="243" t="e">
        <f ca="1">IF(AND(INDEX(FlowCalConstA,MATCH(J651,FlowCalNumber,0),1,1)*L656^INDEX(FlowCalConstB,MATCH(J651,FlowCalNumber,0),1,1)&gt;INDEX(FlowCalLowSetting,MATCH(J651,FlowCalNumber,0),1,1), (INDEX(FlowCalConstA,MATCH(J651,FlowCalNumber,0),1,1)*L656^INDEX(FlowCalConstB,MATCH(J651,FlowCalNumber,0),1,1)&lt;INDEX(FlowCalHighSetting,MATCH(J651,FlowCalNumber,0),1,1))),INDEX(FlowCalConstA,MATCH(J651,FlowCalNumber,0),1,1)*L656^INDEX(FlowCalConstB,MATCH(J651,FlowCalNumber,0),1,1)," ")</f>
        <v>#N/A</v>
      </c>
      <c r="N656" s="33"/>
      <c r="O656" s="242">
        <f t="shared" si="618"/>
        <v>1</v>
      </c>
      <c r="P656" s="241" t="e">
        <f t="shared" ca="1" si="619"/>
        <v>#VALUE!</v>
      </c>
      <c r="Q656" s="243" t="e">
        <f ca="1">IF(AND(INDEX(FlowCalConstA,MATCH(N651,FlowCalNumber,0),1,1)*P656^INDEX(FlowCalConstB,MATCH(N651,FlowCalNumber,0),1,1)&gt;INDEX(FlowCalLowSetting,MATCH(N651,FlowCalNumber,0),1,1), (INDEX(FlowCalConstA,MATCH(N651,FlowCalNumber,0),1,1)*P656^INDEX(FlowCalConstB,MATCH(N651,FlowCalNumber,0),1,1)&lt;INDEX(FlowCalHighSetting,MATCH(N651,FlowCalNumber,0),1,1))),INDEX(FlowCalConstA,MATCH(N651,FlowCalNumber,0),1,1)*P656^INDEX(FlowCalConstB,MATCH(N651,FlowCalNumber,0),1,1)," ")</f>
        <v>#N/A</v>
      </c>
      <c r="R656" s="33"/>
      <c r="S656" s="242">
        <f t="shared" si="620"/>
        <v>1</v>
      </c>
      <c r="T656" s="241" t="e">
        <f t="shared" ca="1" si="621"/>
        <v>#VALUE!</v>
      </c>
      <c r="U656" s="244" t="e">
        <f ca="1">IF(AND(INDEX(FlowCalConstA,MATCH(R651,FlowCalNumber,0),1,1)*T656^INDEX(FlowCalConstB,MATCH(R651,FlowCalNumber,0),1,1)&gt;INDEX(FlowCalLowSetting,MATCH(R651,FlowCalNumber,0),1,1), (INDEX(FlowCalConstA,MATCH(R651,FlowCalNumber,0),1,1)*T656^INDEX(FlowCalConstB,MATCH(R651,FlowCalNumber,0),1,1)&lt;INDEX(FlowCalHighSetting,MATCH(R651,FlowCalNumber,0),1,1))),INDEX(FlowCalConstA,MATCH(R651,FlowCalNumber,0),1,1)*T656^INDEX(FlowCalConstB,MATCH(R651,FlowCalNumber,0),1,1)," ")</f>
        <v>#N/A</v>
      </c>
      <c r="V656" s="33"/>
      <c r="W656" s="242">
        <f t="shared" si="622"/>
        <v>0.1</v>
      </c>
      <c r="X656" s="241" t="e">
        <f t="shared" ca="1" si="623"/>
        <v>#VALUE!</v>
      </c>
      <c r="Y656" s="243" t="e">
        <f ca="1">IF(AND(INDEX(FlowCalConstA,MATCH(V651,FlowCalNumber,0),1,1)*X656^INDEX(FlowCalConstB,MATCH(V651,FlowCalNumber,0),1,1)&gt;INDEX(FlowCalLowSetting,MATCH(V651,FlowCalNumber,0),1,1), (INDEX(FlowCalConstA,MATCH(V651,FlowCalNumber,0),1,1)*X656^INDEX(FlowCalConstB,MATCH(V651,FlowCalNumber,0),1,1)&lt;INDEX(FlowCalHighSetting,MATCH(V651,FlowCalNumber,0),1,1))),INDEX(FlowCalConstA,MATCH(V651,FlowCalNumber,0),1,1)*X656^INDEX(FlowCalConstB,MATCH(V651,FlowCalNumber,0),1,1)," ")</f>
        <v>#N/A</v>
      </c>
      <c r="Z656" s="33"/>
      <c r="AA656" s="242">
        <f t="shared" si="624"/>
        <v>0.9</v>
      </c>
      <c r="AB656" s="241" t="e">
        <f t="shared" ca="1" si="625"/>
        <v>#VALUE!</v>
      </c>
      <c r="AC656" s="243" t="e">
        <f ca="1">IF(AND(INDEX(FlowCalConstA,MATCH(Z651,FlowCalNumber,0),1,1)*AB656^INDEX(FlowCalConstB,MATCH(Z651,FlowCalNumber,0),1,1)&gt;INDEX(FlowCalLowSetting,MATCH(Z651,FlowCalNumber,0),1,1), (INDEX(FlowCalConstA,MATCH(Z651,FlowCalNumber,0),1,1)*AB656^INDEX(FlowCalConstB,MATCH(Z651,FlowCalNumber,0),1,1)&lt;INDEX(FlowCalHighSetting,MATCH(Z651,FlowCalNumber,0),1,1))),INDEX(FlowCalConstA,MATCH(Z651,FlowCalNumber,0),1,1)*AB656^INDEX(FlowCalConstB,MATCH(Z651,FlowCalNumber,0),1,1)," ")</f>
        <v>#N/A</v>
      </c>
      <c r="AD656" s="33"/>
      <c r="AE656" s="242">
        <f t="shared" si="626"/>
        <v>0.1</v>
      </c>
      <c r="AF656" s="241" t="e">
        <f t="shared" ca="1" si="627"/>
        <v>#VALUE!</v>
      </c>
      <c r="AG656" s="243" t="e">
        <f ca="1">IF(AND(INDEX(FlowCalConstA,MATCH(AD651,FlowCalNumber,0),1,1)*AF656^INDEX(FlowCalConstB,MATCH(AD651,FlowCalNumber,0),1,1)&gt;INDEX(FlowCalLowSetting,MATCH(AD651,FlowCalNumber,0),1,1), (INDEX(FlowCalConstA,MATCH(AD651,FlowCalNumber,0),1,1)*AF656^INDEX(FlowCalConstB,MATCH(AD651,FlowCalNumber,0),1,1)&lt;INDEX(FlowCalHighSetting,MATCH(AD651,FlowCalNumber,0),1,1))),INDEX(FlowCalConstA,MATCH(AD651,FlowCalNumber,0),1,1)*AF656^INDEX(FlowCalConstB,MATCH(AD651,FlowCalNumber,0),1,1)," ")</f>
        <v>#N/A</v>
      </c>
      <c r="AH656" s="33"/>
      <c r="AI656" s="242">
        <f t="shared" si="628"/>
        <v>0.9</v>
      </c>
      <c r="AJ656" s="241" t="e">
        <f t="shared" ca="1" si="629"/>
        <v>#VALUE!</v>
      </c>
      <c r="AK656" s="243" t="e">
        <f ca="1">IF(AND(INDEX(FlowCalConstA,MATCH(AH651,FlowCalNumber,0),1,1)*AJ656^INDEX(FlowCalConstB,MATCH(AH651,FlowCalNumber,0),1,1)&gt;INDEX(FlowCalLowSetting,MATCH(AH651,FlowCalNumber,0),1,1), (INDEX(FlowCalConstA,MATCH(AH651,FlowCalNumber,0),1,1)*AJ656^INDEX(FlowCalConstB,MATCH(AH651,FlowCalNumber,0),1,1)&lt;INDEX(FlowCalHighSetting,MATCH(AH651,FlowCalNumber,0),1,1))),INDEX(FlowCalConstA,MATCH(AH651,FlowCalNumber,0),1,1)*AJ656^INDEX(FlowCalConstB,MATCH(AH651,FlowCalNumber,0),1,1)," ")</f>
        <v>#N/A</v>
      </c>
      <c r="AL656" s="33"/>
      <c r="AM656" s="242"/>
      <c r="AN656" s="241"/>
      <c r="AO656" s="244"/>
      <c r="AQ656" s="242"/>
      <c r="AR656" s="241"/>
      <c r="AS656" s="244"/>
      <c r="AT656" s="33"/>
      <c r="AU656" s="242"/>
      <c r="AV656" s="241"/>
      <c r="AW656" s="244"/>
      <c r="AX656" s="33"/>
      <c r="AY656" s="242"/>
      <c r="AZ656" s="241"/>
      <c r="BA656" s="244"/>
      <c r="BB656" s="33"/>
      <c r="BC656" s="242"/>
      <c r="BD656" s="241"/>
      <c r="BE656" s="244"/>
      <c r="BF656" s="33"/>
      <c r="BG656" s="242"/>
      <c r="BH656" s="241"/>
      <c r="BI656" s="244"/>
      <c r="BJ656" s="33"/>
      <c r="BK656" s="242"/>
      <c r="BL656" s="241"/>
      <c r="BM656" s="244"/>
      <c r="BN656" s="33"/>
      <c r="BO656" s="242"/>
      <c r="BP656" s="241"/>
      <c r="BQ656" s="244"/>
      <c r="BR656" s="33"/>
      <c r="BS656" s="242"/>
      <c r="BT656" s="241"/>
      <c r="BU656" s="244"/>
      <c r="BV656" s="33"/>
      <c r="BW656" s="242"/>
      <c r="BX656" s="241"/>
      <c r="BY656" s="244"/>
      <c r="BZ656" s="33"/>
      <c r="CA656" s="242"/>
      <c r="CB656" s="241"/>
      <c r="CC656" s="244"/>
      <c r="CD656" s="243"/>
      <c r="CE656" s="243"/>
      <c r="CF656" s="243"/>
      <c r="CG656" s="243"/>
      <c r="CH656" s="243"/>
      <c r="CI656" s="243"/>
      <c r="CJ656" s="243"/>
      <c r="CK656" s="243"/>
      <c r="CL656" s="243"/>
      <c r="CM656" s="243"/>
      <c r="CN656" s="243"/>
      <c r="CO656" s="243"/>
      <c r="CP656" s="243"/>
      <c r="CQ656" s="243"/>
      <c r="CR656" s="243"/>
      <c r="CS656" s="243"/>
      <c r="CT656" s="243"/>
      <c r="CU656" s="243"/>
      <c r="CV656" s="243"/>
      <c r="CW656" s="243"/>
      <c r="CX656" s="243"/>
      <c r="CY656" s="243"/>
      <c r="CZ656" s="243"/>
      <c r="DA656" s="243"/>
      <c r="DB656" s="243"/>
      <c r="DC656" s="243"/>
      <c r="DD656" s="243"/>
      <c r="DE656" s="243"/>
      <c r="DF656" s="243"/>
      <c r="DG656" s="243"/>
      <c r="DH656" s="243"/>
      <c r="DI656" s="243"/>
      <c r="DJ656" s="243"/>
      <c r="DK656" s="243"/>
      <c r="DM656" s="242"/>
      <c r="DO656" s="243"/>
      <c r="DQ656" s="242"/>
      <c r="DS656" s="243"/>
      <c r="DU656" s="242"/>
      <c r="DW656" s="243"/>
      <c r="DY656" s="242"/>
      <c r="EA656" s="243"/>
    </row>
    <row r="657" spans="1:131">
      <c r="A657" s="20"/>
      <c r="B657" s="124" t="str">
        <f t="shared" si="614"/>
        <v/>
      </c>
      <c r="C657" s="235"/>
      <c r="D657" s="24">
        <f>'1% Wind'!$M$87</f>
        <v>13.5</v>
      </c>
      <c r="E657" s="90"/>
      <c r="F657" s="90"/>
      <c r="G657" s="79">
        <f ca="1">IF(I651=0.9743,$G656,MAX(G656/D656*D657,2))</f>
        <v>6.001707317073171</v>
      </c>
      <c r="H657" s="121" t="e">
        <f t="shared" ca="1" si="615"/>
        <v>#VALUE!</v>
      </c>
      <c r="J657" s="33"/>
      <c r="K657" s="242">
        <f t="shared" si="616"/>
        <v>1</v>
      </c>
      <c r="L657" s="241" t="e">
        <f t="shared" ca="1" si="617"/>
        <v>#VALUE!</v>
      </c>
      <c r="M657" s="243" t="e">
        <f ca="1">IF(AND(INDEX(FlowCalConstA,MATCH(J651,FlowCalNumber,0),1,1)*L657^INDEX(FlowCalConstB,MATCH(J651,FlowCalNumber,0),1,1)&gt;INDEX(FlowCalLowSetting,MATCH(J651,FlowCalNumber,0),1,1), (INDEX(FlowCalConstA,MATCH(J651,FlowCalNumber,0),1,1)*L657^INDEX(FlowCalConstB,MATCH(J651,FlowCalNumber,0),1,1)&lt;INDEX(FlowCalHighSetting,MATCH(J651,FlowCalNumber,0),1,1))),INDEX(FlowCalConstA,MATCH(J651,FlowCalNumber,0),1,1)*L657^INDEX(FlowCalConstB,MATCH(J651,FlowCalNumber,0),1,1)," ")</f>
        <v>#N/A</v>
      </c>
      <c r="N657" s="33"/>
      <c r="O657" s="242">
        <f t="shared" si="618"/>
        <v>1</v>
      </c>
      <c r="P657" s="241" t="e">
        <f t="shared" ca="1" si="619"/>
        <v>#VALUE!</v>
      </c>
      <c r="Q657" s="243" t="e">
        <f ca="1">IF(AND(INDEX(FlowCalConstA,MATCH(N651,FlowCalNumber,0),1,1)*P657^INDEX(FlowCalConstB,MATCH(N651,FlowCalNumber,0),1,1)&gt;INDEX(FlowCalLowSetting,MATCH(N651,FlowCalNumber,0),1,1), (INDEX(FlowCalConstA,MATCH(N651,FlowCalNumber,0),1,1)*P657^INDEX(FlowCalConstB,MATCH(N651,FlowCalNumber,0),1,1)&lt;INDEX(FlowCalHighSetting,MATCH(N651,FlowCalNumber,0),1,1))),INDEX(FlowCalConstA,MATCH(N651,FlowCalNumber,0),1,1)*P657^INDEX(FlowCalConstB,MATCH(N651,FlowCalNumber,0),1,1)," ")</f>
        <v>#N/A</v>
      </c>
      <c r="R657" s="33"/>
      <c r="S657" s="242">
        <f t="shared" si="620"/>
        <v>1</v>
      </c>
      <c r="T657" s="241" t="e">
        <f t="shared" ca="1" si="621"/>
        <v>#VALUE!</v>
      </c>
      <c r="U657" s="244" t="e">
        <f ca="1">IF(AND(INDEX(FlowCalConstA,MATCH(R651,FlowCalNumber,0),1,1)*T657^INDEX(FlowCalConstB,MATCH(R651,FlowCalNumber,0),1,1)&gt;INDEX(FlowCalLowSetting,MATCH(R651,FlowCalNumber,0),1,1), (INDEX(FlowCalConstA,MATCH(R651,FlowCalNumber,0),1,1)*T657^INDEX(FlowCalConstB,MATCH(R651,FlowCalNumber,0),1,1)&lt;INDEX(FlowCalHighSetting,MATCH(R651,FlowCalNumber,0),1,1))),INDEX(FlowCalConstA,MATCH(R651,FlowCalNumber,0),1,1)*T657^INDEX(FlowCalConstB,MATCH(R651,FlowCalNumber,0),1,1)," ")</f>
        <v>#N/A</v>
      </c>
      <c r="V657" s="33"/>
      <c r="W657" s="242">
        <f t="shared" si="622"/>
        <v>0.1</v>
      </c>
      <c r="X657" s="241" t="e">
        <f t="shared" ca="1" si="623"/>
        <v>#VALUE!</v>
      </c>
      <c r="Y657" s="243" t="e">
        <f ca="1">IF(AND(INDEX(FlowCalConstA,MATCH(V651,FlowCalNumber,0),1,1)*X657^INDEX(FlowCalConstB,MATCH(V651,FlowCalNumber,0),1,1)&gt;INDEX(FlowCalLowSetting,MATCH(V651,FlowCalNumber,0),1,1), (INDEX(FlowCalConstA,MATCH(V651,FlowCalNumber,0),1,1)*X657^INDEX(FlowCalConstB,MATCH(V651,FlowCalNumber,0),1,1)&lt;INDEX(FlowCalHighSetting,MATCH(V651,FlowCalNumber,0),1,1))),INDEX(FlowCalConstA,MATCH(V651,FlowCalNumber,0),1,1)*X657^INDEX(FlowCalConstB,MATCH(V651,FlowCalNumber,0),1,1)," ")</f>
        <v>#N/A</v>
      </c>
      <c r="Z657" s="33"/>
      <c r="AA657" s="242">
        <f t="shared" si="624"/>
        <v>0.9</v>
      </c>
      <c r="AB657" s="241" t="e">
        <f t="shared" ca="1" si="625"/>
        <v>#VALUE!</v>
      </c>
      <c r="AC657" s="243" t="e">
        <f ca="1">IF(AND(INDEX(FlowCalConstA,MATCH(Z651,FlowCalNumber,0),1,1)*AB657^INDEX(FlowCalConstB,MATCH(Z651,FlowCalNumber,0),1,1)&gt;INDEX(FlowCalLowSetting,MATCH(Z651,FlowCalNumber,0),1,1), (INDEX(FlowCalConstA,MATCH(Z651,FlowCalNumber,0),1,1)*AB657^INDEX(FlowCalConstB,MATCH(Z651,FlowCalNumber,0),1,1)&lt;INDEX(FlowCalHighSetting,MATCH(Z651,FlowCalNumber,0),1,1))),INDEX(FlowCalConstA,MATCH(Z651,FlowCalNumber,0),1,1)*AB657^INDEX(FlowCalConstB,MATCH(Z651,FlowCalNumber,0),1,1)," ")</f>
        <v>#N/A</v>
      </c>
      <c r="AD657" s="33"/>
      <c r="AE657" s="242">
        <f t="shared" si="626"/>
        <v>0.1</v>
      </c>
      <c r="AF657" s="241" t="e">
        <f t="shared" ca="1" si="627"/>
        <v>#VALUE!</v>
      </c>
      <c r="AG657" s="243" t="e">
        <f ca="1">IF(AND(INDEX(FlowCalConstA,MATCH(AD651,FlowCalNumber,0),1,1)*AF657^INDEX(FlowCalConstB,MATCH(AD651,FlowCalNumber,0),1,1)&gt;INDEX(FlowCalLowSetting,MATCH(AD651,FlowCalNumber,0),1,1), (INDEX(FlowCalConstA,MATCH(AD651,FlowCalNumber,0),1,1)*AF657^INDEX(FlowCalConstB,MATCH(AD651,FlowCalNumber,0),1,1)&lt;INDEX(FlowCalHighSetting,MATCH(AD651,FlowCalNumber,0),1,1))),INDEX(FlowCalConstA,MATCH(AD651,FlowCalNumber,0),1,1)*AF657^INDEX(FlowCalConstB,MATCH(AD651,FlowCalNumber,0),1,1)," ")</f>
        <v>#N/A</v>
      </c>
      <c r="AH657" s="33"/>
      <c r="AI657" s="242">
        <f t="shared" si="628"/>
        <v>0.9</v>
      </c>
      <c r="AJ657" s="241" t="e">
        <f t="shared" ca="1" si="629"/>
        <v>#VALUE!</v>
      </c>
      <c r="AK657" s="243" t="e">
        <f ca="1">IF(AND(INDEX(FlowCalConstA,MATCH(AH651,FlowCalNumber,0),1,1)*AJ657^INDEX(FlowCalConstB,MATCH(AH651,FlowCalNumber,0),1,1)&gt;INDEX(FlowCalLowSetting,MATCH(AH651,FlowCalNumber,0),1,1), (INDEX(FlowCalConstA,MATCH(AH651,FlowCalNumber,0),1,1)*AJ657^INDEX(FlowCalConstB,MATCH(AH651,FlowCalNumber,0),1,1)&lt;INDEX(FlowCalHighSetting,MATCH(AH651,FlowCalNumber,0),1,1))),INDEX(FlowCalConstA,MATCH(AH651,FlowCalNumber,0),1,1)*AJ657^INDEX(FlowCalConstB,MATCH(AH651,FlowCalNumber,0),1,1)," ")</f>
        <v>#N/A</v>
      </c>
      <c r="AL657" s="33"/>
      <c r="AM657" s="242"/>
      <c r="AN657" s="241"/>
      <c r="AO657" s="244"/>
      <c r="AQ657" s="242"/>
      <c r="AR657" s="241"/>
      <c r="AS657" s="244"/>
      <c r="AT657" s="33"/>
      <c r="AU657" s="242"/>
      <c r="AV657" s="241"/>
      <c r="AW657" s="244"/>
      <c r="AX657" s="33"/>
      <c r="AY657" s="242"/>
      <c r="AZ657" s="241"/>
      <c r="BA657" s="244"/>
      <c r="BB657" s="33"/>
      <c r="BC657" s="242"/>
      <c r="BD657" s="241"/>
      <c r="BE657" s="244"/>
      <c r="BF657" s="33"/>
      <c r="BG657" s="242"/>
      <c r="BH657" s="241"/>
      <c r="BI657" s="244"/>
      <c r="BJ657" s="33"/>
      <c r="BK657" s="242"/>
      <c r="BL657" s="241"/>
      <c r="BM657" s="244"/>
      <c r="BN657" s="33"/>
      <c r="BO657" s="242"/>
      <c r="BP657" s="241"/>
      <c r="BQ657" s="244"/>
      <c r="BR657" s="33"/>
      <c r="BS657" s="242"/>
      <c r="BT657" s="241"/>
      <c r="BU657" s="244"/>
      <c r="BV657" s="33"/>
      <c r="BW657" s="242"/>
      <c r="BX657" s="241"/>
      <c r="BY657" s="244"/>
      <c r="BZ657" s="33"/>
      <c r="CA657" s="242"/>
      <c r="CB657" s="241"/>
      <c r="CC657" s="244"/>
      <c r="CD657" s="243"/>
      <c r="CE657" s="243"/>
      <c r="CF657" s="243"/>
      <c r="CG657" s="243"/>
      <c r="CH657" s="243"/>
      <c r="CI657" s="243"/>
      <c r="CJ657" s="243"/>
      <c r="CK657" s="243"/>
      <c r="CL657" s="243"/>
      <c r="CM657" s="243"/>
      <c r="CN657" s="243"/>
      <c r="CO657" s="243"/>
      <c r="CP657" s="243"/>
      <c r="CQ657" s="243"/>
      <c r="CR657" s="243"/>
      <c r="CS657" s="243"/>
      <c r="CT657" s="243"/>
      <c r="CU657" s="243"/>
      <c r="CV657" s="243"/>
      <c r="CW657" s="243"/>
      <c r="CX657" s="243"/>
      <c r="CY657" s="243"/>
      <c r="CZ657" s="243"/>
      <c r="DA657" s="243"/>
      <c r="DB657" s="243"/>
      <c r="DC657" s="243"/>
      <c r="DD657" s="243"/>
      <c r="DE657" s="243"/>
      <c r="DF657" s="243"/>
      <c r="DG657" s="243"/>
      <c r="DH657" s="243"/>
      <c r="DI657" s="243"/>
      <c r="DJ657" s="243"/>
      <c r="DK657" s="243"/>
      <c r="DM657" s="242"/>
      <c r="DO657" s="243"/>
      <c r="DQ657" s="242"/>
      <c r="DS657" s="243"/>
      <c r="DU657" s="242"/>
      <c r="DW657" s="243"/>
      <c r="DY657" s="242"/>
      <c r="EA657" s="243"/>
    </row>
    <row r="658" spans="1:131">
      <c r="A658" s="20"/>
      <c r="B658" s="124" t="str">
        <f t="shared" si="614"/>
        <v/>
      </c>
      <c r="C658" s="235"/>
      <c r="D658" s="24">
        <f>'1% Wind'!$M$88</f>
        <v>10.1</v>
      </c>
      <c r="E658" s="90"/>
      <c r="F658" s="90"/>
      <c r="G658" s="79">
        <f ca="1">IF(I651=0.9743,$G657,MAX(G657/D657*D658,2))</f>
        <v>6.001707317073171</v>
      </c>
      <c r="H658" s="121" t="e">
        <f t="shared" ca="1" si="615"/>
        <v>#VALUE!</v>
      </c>
      <c r="J658" s="33"/>
      <c r="K658" s="242">
        <f t="shared" si="616"/>
        <v>1</v>
      </c>
      <c r="L658" s="241" t="e">
        <f t="shared" ca="1" si="617"/>
        <v>#VALUE!</v>
      </c>
      <c r="M658" s="243" t="e">
        <f ca="1">IF(AND(INDEX(FlowCalConstA,MATCH(J651,FlowCalNumber,0),1,1)*L658^INDEX(FlowCalConstB,MATCH(J651,FlowCalNumber,0),1,1)&gt;INDEX(FlowCalLowSetting,MATCH(J651,FlowCalNumber,0),1,1), (INDEX(FlowCalConstA,MATCH(J651,FlowCalNumber,0),1,1)*L658^INDEX(FlowCalConstB,MATCH(J651,FlowCalNumber,0),1,1)&lt;INDEX(FlowCalHighSetting,MATCH(J651,FlowCalNumber,0),1,1))),INDEX(FlowCalConstA,MATCH(J651,FlowCalNumber,0),1,1)*L658^INDEX(FlowCalConstB,MATCH(J651,FlowCalNumber,0),1,1)," ")</f>
        <v>#N/A</v>
      </c>
      <c r="N658" s="33"/>
      <c r="O658" s="242">
        <f t="shared" si="618"/>
        <v>1</v>
      </c>
      <c r="P658" s="241" t="e">
        <f t="shared" ca="1" si="619"/>
        <v>#VALUE!</v>
      </c>
      <c r="Q658" s="243" t="e">
        <f ca="1">IF(AND(INDEX(FlowCalConstA,MATCH(N651,FlowCalNumber,0),1,1)*P658^INDEX(FlowCalConstB,MATCH(N651,FlowCalNumber,0),1,1)&gt;INDEX(FlowCalLowSetting,MATCH(N651,FlowCalNumber,0),1,1), (INDEX(FlowCalConstA,MATCH(N651,FlowCalNumber,0),1,1)*P658^INDEX(FlowCalConstB,MATCH(N651,FlowCalNumber,0),1,1)&lt;INDEX(FlowCalHighSetting,MATCH(N651,FlowCalNumber,0),1,1))),INDEX(FlowCalConstA,MATCH(N651,FlowCalNumber,0),1,1)*P658^INDEX(FlowCalConstB,MATCH(N651,FlowCalNumber,0),1,1)," ")</f>
        <v>#N/A</v>
      </c>
      <c r="R658" s="33"/>
      <c r="S658" s="242">
        <f t="shared" si="620"/>
        <v>1</v>
      </c>
      <c r="T658" s="241" t="e">
        <f t="shared" ca="1" si="621"/>
        <v>#VALUE!</v>
      </c>
      <c r="U658" s="244" t="e">
        <f ca="1">IF(AND(INDEX(FlowCalConstA,MATCH(R651,FlowCalNumber,0),1,1)*T658^INDEX(FlowCalConstB,MATCH(R651,FlowCalNumber,0),1,1)&gt;INDEX(FlowCalLowSetting,MATCH(R651,FlowCalNumber,0),1,1), (INDEX(FlowCalConstA,MATCH(R651,FlowCalNumber,0),1,1)*T658^INDEX(FlowCalConstB,MATCH(R651,FlowCalNumber,0),1,1)&lt;INDEX(FlowCalHighSetting,MATCH(R651,FlowCalNumber,0),1,1))),INDEX(FlowCalConstA,MATCH(R651,FlowCalNumber,0),1,1)*T658^INDEX(FlowCalConstB,MATCH(R651,FlowCalNumber,0),1,1)," ")</f>
        <v>#N/A</v>
      </c>
      <c r="V658" s="33"/>
      <c r="W658" s="242">
        <f t="shared" si="622"/>
        <v>0.1</v>
      </c>
      <c r="X658" s="241" t="e">
        <f t="shared" ca="1" si="623"/>
        <v>#VALUE!</v>
      </c>
      <c r="Y658" s="243" t="e">
        <f ca="1">IF(AND(INDEX(FlowCalConstA,MATCH(V651,FlowCalNumber,0),1,1)*X658^INDEX(FlowCalConstB,MATCH(V651,FlowCalNumber,0),1,1)&gt;INDEX(FlowCalLowSetting,MATCH(V651,FlowCalNumber,0),1,1), (INDEX(FlowCalConstA,MATCH(V651,FlowCalNumber,0),1,1)*X658^INDEX(FlowCalConstB,MATCH(V651,FlowCalNumber,0),1,1)&lt;INDEX(FlowCalHighSetting,MATCH(V651,FlowCalNumber,0),1,1))),INDEX(FlowCalConstA,MATCH(V651,FlowCalNumber,0),1,1)*X658^INDEX(FlowCalConstB,MATCH(V651,FlowCalNumber,0),1,1)," ")</f>
        <v>#N/A</v>
      </c>
      <c r="Z658" s="33"/>
      <c r="AA658" s="242">
        <f t="shared" si="624"/>
        <v>0.9</v>
      </c>
      <c r="AB658" s="241" t="e">
        <f t="shared" ca="1" si="625"/>
        <v>#VALUE!</v>
      </c>
      <c r="AC658" s="243" t="e">
        <f ca="1">IF(AND(INDEX(FlowCalConstA,MATCH(Z651,FlowCalNumber,0),1,1)*AB658^INDEX(FlowCalConstB,MATCH(Z651,FlowCalNumber,0),1,1)&gt;INDEX(FlowCalLowSetting,MATCH(Z651,FlowCalNumber,0),1,1), (INDEX(FlowCalConstA,MATCH(Z651,FlowCalNumber,0),1,1)*AB658^INDEX(FlowCalConstB,MATCH(Z651,FlowCalNumber,0),1,1)&lt;INDEX(FlowCalHighSetting,MATCH(Z651,FlowCalNumber,0),1,1))),INDEX(FlowCalConstA,MATCH(Z651,FlowCalNumber,0),1,1)*AB658^INDEX(FlowCalConstB,MATCH(Z651,FlowCalNumber,0),1,1)," ")</f>
        <v>#N/A</v>
      </c>
      <c r="AD658" s="33"/>
      <c r="AE658" s="242">
        <f t="shared" si="626"/>
        <v>0.1</v>
      </c>
      <c r="AF658" s="241" t="e">
        <f t="shared" ca="1" si="627"/>
        <v>#VALUE!</v>
      </c>
      <c r="AG658" s="243" t="e">
        <f ca="1">IF(AND(INDEX(FlowCalConstA,MATCH(AD651,FlowCalNumber,0),1,1)*AF658^INDEX(FlowCalConstB,MATCH(AD651,FlowCalNumber,0),1,1)&gt;INDEX(FlowCalLowSetting,MATCH(AD651,FlowCalNumber,0),1,1), (INDEX(FlowCalConstA,MATCH(AD651,FlowCalNumber,0),1,1)*AF658^INDEX(FlowCalConstB,MATCH(AD651,FlowCalNumber,0),1,1)&lt;INDEX(FlowCalHighSetting,MATCH(AD651,FlowCalNumber,0),1,1))),INDEX(FlowCalConstA,MATCH(AD651,FlowCalNumber,0),1,1)*AF658^INDEX(FlowCalConstB,MATCH(AD651,FlowCalNumber,0),1,1)," ")</f>
        <v>#N/A</v>
      </c>
      <c r="AH658" s="33"/>
      <c r="AI658" s="242">
        <f t="shared" si="628"/>
        <v>0.9</v>
      </c>
      <c r="AJ658" s="241" t="e">
        <f t="shared" ca="1" si="629"/>
        <v>#VALUE!</v>
      </c>
      <c r="AK658" s="243" t="e">
        <f ca="1">IF(AND(INDEX(FlowCalConstA,MATCH(AH651,FlowCalNumber,0),1,1)*AJ658^INDEX(FlowCalConstB,MATCH(AH651,FlowCalNumber,0),1,1)&gt;INDEX(FlowCalLowSetting,MATCH(AH651,FlowCalNumber,0),1,1), (INDEX(FlowCalConstA,MATCH(AH651,FlowCalNumber,0),1,1)*AJ658^INDEX(FlowCalConstB,MATCH(AH651,FlowCalNumber,0),1,1)&lt;INDEX(FlowCalHighSetting,MATCH(AH651,FlowCalNumber,0),1,1))),INDEX(FlowCalConstA,MATCH(AH651,FlowCalNumber,0),1,1)*AJ658^INDEX(FlowCalConstB,MATCH(AH651,FlowCalNumber,0),1,1)," ")</f>
        <v>#N/A</v>
      </c>
      <c r="AL658" s="33"/>
      <c r="AM658" s="242"/>
      <c r="AN658" s="241"/>
      <c r="AO658" s="244"/>
      <c r="AQ658" s="242"/>
      <c r="AR658" s="241"/>
      <c r="AS658" s="244"/>
      <c r="AT658" s="33"/>
      <c r="AU658" s="242"/>
      <c r="AV658" s="241"/>
      <c r="AW658" s="244"/>
      <c r="AX658" s="33"/>
      <c r="AY658" s="242"/>
      <c r="AZ658" s="241"/>
      <c r="BA658" s="244"/>
      <c r="BB658" s="33"/>
      <c r="BC658" s="242"/>
      <c r="BD658" s="241"/>
      <c r="BE658" s="244"/>
      <c r="BF658" s="33"/>
      <c r="BG658" s="242"/>
      <c r="BH658" s="241"/>
      <c r="BI658" s="244"/>
      <c r="BJ658" s="33"/>
      <c r="BK658" s="242"/>
      <c r="BL658" s="241"/>
      <c r="BM658" s="244"/>
      <c r="BN658" s="33"/>
      <c r="BO658" s="242"/>
      <c r="BP658" s="241"/>
      <c r="BQ658" s="244"/>
      <c r="BR658" s="33"/>
      <c r="BS658" s="242"/>
      <c r="BT658" s="241"/>
      <c r="BU658" s="244"/>
      <c r="BV658" s="33"/>
      <c r="BW658" s="242"/>
      <c r="BX658" s="241"/>
      <c r="BY658" s="244"/>
      <c r="BZ658" s="33"/>
      <c r="CA658" s="242"/>
      <c r="CB658" s="241"/>
      <c r="CC658" s="244"/>
      <c r="CD658" s="243"/>
      <c r="CE658" s="243"/>
      <c r="CF658" s="243"/>
      <c r="CG658" s="243"/>
      <c r="CH658" s="243"/>
      <c r="CI658" s="243"/>
      <c r="CJ658" s="243"/>
      <c r="CK658" s="243"/>
      <c r="CL658" s="243"/>
      <c r="CM658" s="243"/>
      <c r="CN658" s="243"/>
      <c r="CO658" s="243"/>
      <c r="CP658" s="243"/>
      <c r="CQ658" s="243"/>
      <c r="CR658" s="243"/>
      <c r="CS658" s="243"/>
      <c r="CT658" s="243"/>
      <c r="CU658" s="243"/>
      <c r="CV658" s="243"/>
      <c r="CW658" s="243"/>
      <c r="CX658" s="243"/>
      <c r="CY658" s="243"/>
      <c r="CZ658" s="243"/>
      <c r="DA658" s="243"/>
      <c r="DB658" s="243"/>
      <c r="DC658" s="243"/>
      <c r="DD658" s="243"/>
      <c r="DE658" s="243"/>
      <c r="DF658" s="243"/>
      <c r="DG658" s="243"/>
      <c r="DH658" s="243"/>
      <c r="DI658" s="243"/>
      <c r="DJ658" s="243"/>
      <c r="DK658" s="243"/>
      <c r="DM658" s="242"/>
      <c r="DO658" s="243"/>
      <c r="DQ658" s="242"/>
      <c r="DS658" s="243"/>
      <c r="DU658" s="242"/>
      <c r="DW658" s="243"/>
      <c r="DY658" s="242"/>
      <c r="EA658" s="243"/>
    </row>
    <row r="659" spans="1:131">
      <c r="A659" s="20"/>
      <c r="B659" s="124" t="str">
        <f t="shared" si="614"/>
        <v/>
      </c>
      <c r="C659" s="235"/>
      <c r="D659" s="24">
        <f>'1% Wind'!$M$89</f>
        <v>7.6</v>
      </c>
      <c r="E659" s="90"/>
      <c r="F659" s="90"/>
      <c r="G659" s="79">
        <f ca="1">IF(I651=0.9743,$G658,MAX(G658/D658*D659,2))</f>
        <v>6.001707317073171</v>
      </c>
      <c r="H659" s="121" t="e">
        <f t="shared" ca="1" si="615"/>
        <v>#VALUE!</v>
      </c>
      <c r="J659" s="33"/>
      <c r="K659" s="242">
        <f t="shared" si="616"/>
        <v>1</v>
      </c>
      <c r="L659" s="241" t="e">
        <f t="shared" ca="1" si="617"/>
        <v>#VALUE!</v>
      </c>
      <c r="M659" s="243" t="e">
        <f ca="1">IF(AND(INDEX(FlowCalConstA,MATCH(J651,FlowCalNumber,0),1,1)*L659^INDEX(FlowCalConstB,MATCH(J651,FlowCalNumber,0),1,1)&gt;INDEX(FlowCalLowSetting,MATCH(J651,FlowCalNumber,0),1,1), (INDEX(FlowCalConstA,MATCH(J651,FlowCalNumber,0),1,1)*L659^INDEX(FlowCalConstB,MATCH(J651,FlowCalNumber,0),1,1)&lt;INDEX(FlowCalHighSetting,MATCH(J651,FlowCalNumber,0),1,1))),INDEX(FlowCalConstA,MATCH(J651,FlowCalNumber,0),1,1)*L659^INDEX(FlowCalConstB,MATCH(J651,FlowCalNumber,0),1,1)," ")</f>
        <v>#N/A</v>
      </c>
      <c r="N659" s="33"/>
      <c r="O659" s="242">
        <f t="shared" si="618"/>
        <v>1</v>
      </c>
      <c r="P659" s="241" t="e">
        <f t="shared" ca="1" si="619"/>
        <v>#VALUE!</v>
      </c>
      <c r="Q659" s="243" t="e">
        <f ca="1">IF(AND(INDEX(FlowCalConstA,MATCH(N651,FlowCalNumber,0),1,1)*P659^INDEX(FlowCalConstB,MATCH(N651,FlowCalNumber,0),1,1)&gt;INDEX(FlowCalLowSetting,MATCH(N651,FlowCalNumber,0),1,1), (INDEX(FlowCalConstA,MATCH(N651,FlowCalNumber,0),1,1)*P659^INDEX(FlowCalConstB,MATCH(N651,FlowCalNumber,0),1,1)&lt;INDEX(FlowCalHighSetting,MATCH(N651,FlowCalNumber,0),1,1))),INDEX(FlowCalConstA,MATCH(N651,FlowCalNumber,0),1,1)*P659^INDEX(FlowCalConstB,MATCH(N651,FlowCalNumber,0),1,1)," ")</f>
        <v>#N/A</v>
      </c>
      <c r="R659" s="33"/>
      <c r="S659" s="242">
        <f t="shared" si="620"/>
        <v>1</v>
      </c>
      <c r="T659" s="241" t="e">
        <f t="shared" ca="1" si="621"/>
        <v>#VALUE!</v>
      </c>
      <c r="U659" s="244" t="e">
        <f ca="1">IF(AND(INDEX(FlowCalConstA,MATCH(R651,FlowCalNumber,0),1,1)*T659^INDEX(FlowCalConstB,MATCH(R651,FlowCalNumber,0),1,1)&gt;INDEX(FlowCalLowSetting,MATCH(R651,FlowCalNumber,0),1,1), (INDEX(FlowCalConstA,MATCH(R651,FlowCalNumber,0),1,1)*T659^INDEX(FlowCalConstB,MATCH(R651,FlowCalNumber,0),1,1)&lt;INDEX(FlowCalHighSetting,MATCH(R651,FlowCalNumber,0),1,1))),INDEX(FlowCalConstA,MATCH(R651,FlowCalNumber,0),1,1)*T659^INDEX(FlowCalConstB,MATCH(R651,FlowCalNumber,0),1,1)," ")</f>
        <v>#N/A</v>
      </c>
      <c r="V659" s="33"/>
      <c r="W659" s="242">
        <f t="shared" si="622"/>
        <v>0.1</v>
      </c>
      <c r="X659" s="241" t="e">
        <f t="shared" ca="1" si="623"/>
        <v>#VALUE!</v>
      </c>
      <c r="Y659" s="243" t="e">
        <f ca="1">IF(AND(INDEX(FlowCalConstA,MATCH(V651,FlowCalNumber,0),1,1)*X659^INDEX(FlowCalConstB,MATCH(V651,FlowCalNumber,0),1,1)&gt;INDEX(FlowCalLowSetting,MATCH(V651,FlowCalNumber,0),1,1), (INDEX(FlowCalConstA,MATCH(V651,FlowCalNumber,0),1,1)*X659^INDEX(FlowCalConstB,MATCH(V651,FlowCalNumber,0),1,1)&lt;INDEX(FlowCalHighSetting,MATCH(V651,FlowCalNumber,0),1,1))),INDEX(FlowCalConstA,MATCH(V651,FlowCalNumber,0),1,1)*X659^INDEX(FlowCalConstB,MATCH(V651,FlowCalNumber,0),1,1)," ")</f>
        <v>#N/A</v>
      </c>
      <c r="Z659" s="33"/>
      <c r="AA659" s="242">
        <f t="shared" si="624"/>
        <v>0.9</v>
      </c>
      <c r="AB659" s="241" t="e">
        <f t="shared" ca="1" si="625"/>
        <v>#VALUE!</v>
      </c>
      <c r="AC659" s="243" t="e">
        <f ca="1">IF(AND(INDEX(FlowCalConstA,MATCH(Z651,FlowCalNumber,0),1,1)*AB659^INDEX(FlowCalConstB,MATCH(Z651,FlowCalNumber,0),1,1)&gt;INDEX(FlowCalLowSetting,MATCH(Z651,FlowCalNumber,0),1,1), (INDEX(FlowCalConstA,MATCH(Z651,FlowCalNumber,0),1,1)*AB659^INDEX(FlowCalConstB,MATCH(Z651,FlowCalNumber,0),1,1)&lt;INDEX(FlowCalHighSetting,MATCH(Z651,FlowCalNumber,0),1,1))),INDEX(FlowCalConstA,MATCH(Z651,FlowCalNumber,0),1,1)*AB659^INDEX(FlowCalConstB,MATCH(Z651,FlowCalNumber,0),1,1)," ")</f>
        <v>#N/A</v>
      </c>
      <c r="AD659" s="33"/>
      <c r="AE659" s="242">
        <f t="shared" si="626"/>
        <v>0.1</v>
      </c>
      <c r="AF659" s="241" t="e">
        <f t="shared" ca="1" si="627"/>
        <v>#VALUE!</v>
      </c>
      <c r="AG659" s="243" t="e">
        <f ca="1">IF(AND(INDEX(FlowCalConstA,MATCH(AD651,FlowCalNumber,0),1,1)*AF659^INDEX(FlowCalConstB,MATCH(AD651,FlowCalNumber,0),1,1)&gt;INDEX(FlowCalLowSetting,MATCH(AD651,FlowCalNumber,0),1,1), (INDEX(FlowCalConstA,MATCH(AD651,FlowCalNumber,0),1,1)*AF659^INDEX(FlowCalConstB,MATCH(AD651,FlowCalNumber,0),1,1)&lt;INDEX(FlowCalHighSetting,MATCH(AD651,FlowCalNumber,0),1,1))),INDEX(FlowCalConstA,MATCH(AD651,FlowCalNumber,0),1,1)*AF659^INDEX(FlowCalConstB,MATCH(AD651,FlowCalNumber,0),1,1)," ")</f>
        <v>#N/A</v>
      </c>
      <c r="AH659" s="33"/>
      <c r="AI659" s="242">
        <f t="shared" si="628"/>
        <v>0.9</v>
      </c>
      <c r="AJ659" s="241" t="e">
        <f t="shared" ca="1" si="629"/>
        <v>#VALUE!</v>
      </c>
      <c r="AK659" s="243" t="e">
        <f ca="1">IF(AND(INDEX(FlowCalConstA,MATCH(AH651,FlowCalNumber,0),1,1)*AJ659^INDEX(FlowCalConstB,MATCH(AH651,FlowCalNumber,0),1,1)&gt;INDEX(FlowCalLowSetting,MATCH(AH651,FlowCalNumber,0),1,1), (INDEX(FlowCalConstA,MATCH(AH651,FlowCalNumber,0),1,1)*AJ659^INDEX(FlowCalConstB,MATCH(AH651,FlowCalNumber,0),1,1)&lt;INDEX(FlowCalHighSetting,MATCH(AH651,FlowCalNumber,0),1,1))),INDEX(FlowCalConstA,MATCH(AH651,FlowCalNumber,0),1,1)*AJ659^INDEX(FlowCalConstB,MATCH(AH651,FlowCalNumber,0),1,1)," ")</f>
        <v>#N/A</v>
      </c>
      <c r="AL659" s="33"/>
      <c r="AM659" s="242"/>
      <c r="AN659" s="241"/>
      <c r="AO659" s="244"/>
      <c r="AQ659" s="242"/>
      <c r="AR659" s="241"/>
      <c r="AS659" s="244"/>
      <c r="AT659" s="33"/>
      <c r="AU659" s="242"/>
      <c r="AV659" s="241"/>
      <c r="AW659" s="244"/>
      <c r="AX659" s="33"/>
      <c r="AY659" s="242"/>
      <c r="AZ659" s="241"/>
      <c r="BA659" s="244"/>
      <c r="BB659" s="33"/>
      <c r="BC659" s="242"/>
      <c r="BD659" s="241"/>
      <c r="BE659" s="244"/>
      <c r="BF659" s="33"/>
      <c r="BG659" s="242"/>
      <c r="BH659" s="241"/>
      <c r="BI659" s="244"/>
      <c r="BJ659" s="33"/>
      <c r="BK659" s="242"/>
      <c r="BL659" s="241"/>
      <c r="BM659" s="244"/>
      <c r="BN659" s="33"/>
      <c r="BO659" s="242"/>
      <c r="BP659" s="241"/>
      <c r="BQ659" s="244"/>
      <c r="BR659" s="33"/>
      <c r="BS659" s="242"/>
      <c r="BT659" s="241"/>
      <c r="BU659" s="244"/>
      <c r="BV659" s="33"/>
      <c r="BW659" s="242"/>
      <c r="BX659" s="241"/>
      <c r="BY659" s="244"/>
      <c r="BZ659" s="33"/>
      <c r="CA659" s="242"/>
      <c r="CB659" s="241"/>
      <c r="CC659" s="244"/>
      <c r="CD659" s="243"/>
      <c r="CE659" s="243"/>
      <c r="CF659" s="243"/>
      <c r="CG659" s="243"/>
      <c r="CH659" s="243"/>
      <c r="CI659" s="243"/>
      <c r="CJ659" s="243"/>
      <c r="CK659" s="243"/>
      <c r="CL659" s="243"/>
      <c r="CM659" s="243"/>
      <c r="CN659" s="243"/>
      <c r="CO659" s="243"/>
      <c r="CP659" s="243"/>
      <c r="CQ659" s="243"/>
      <c r="CR659" s="243"/>
      <c r="CS659" s="243"/>
      <c r="CT659" s="243"/>
      <c r="CU659" s="243"/>
      <c r="CV659" s="243"/>
      <c r="CW659" s="243"/>
      <c r="CX659" s="243"/>
      <c r="CY659" s="243"/>
      <c r="CZ659" s="243"/>
      <c r="DA659" s="243"/>
      <c r="DB659" s="243"/>
      <c r="DC659" s="243"/>
      <c r="DD659" s="243"/>
      <c r="DE659" s="243"/>
      <c r="DF659" s="243"/>
      <c r="DG659" s="243"/>
      <c r="DH659" s="243"/>
      <c r="DI659" s="243"/>
      <c r="DJ659" s="243"/>
      <c r="DK659" s="243"/>
      <c r="DM659" s="242"/>
      <c r="DO659" s="243"/>
      <c r="DQ659" s="242"/>
      <c r="DS659" s="243"/>
      <c r="DU659" s="242"/>
      <c r="DW659" s="243"/>
      <c r="DY659" s="242"/>
      <c r="EA659" s="243"/>
    </row>
    <row r="660" spans="1:131">
      <c r="A660" s="20"/>
      <c r="B660" s="124" t="str">
        <f t="shared" si="614"/>
        <v/>
      </c>
      <c r="C660" s="235"/>
      <c r="D660" s="24">
        <f>'1% Wind'!$M$90</f>
        <v>5.7</v>
      </c>
      <c r="E660" s="90"/>
      <c r="F660" s="90"/>
      <c r="G660" s="79">
        <f ca="1">IF(I651=0.9743,$G659,MAX(G659/D659*D660,2))</f>
        <v>6.001707317073171</v>
      </c>
      <c r="H660" s="121" t="e">
        <f t="shared" ca="1" si="615"/>
        <v>#VALUE!</v>
      </c>
      <c r="J660" s="33"/>
      <c r="K660" s="242">
        <f t="shared" si="616"/>
        <v>1</v>
      </c>
      <c r="L660" s="241" t="e">
        <f t="shared" ca="1" si="617"/>
        <v>#VALUE!</v>
      </c>
      <c r="M660" s="243" t="e">
        <f ca="1">IF(AND(INDEX(FlowCalConstA,MATCH(J651,FlowCalNumber,0),1,1)*L660^INDEX(FlowCalConstB,MATCH(J651,FlowCalNumber,0),1,1)&gt;INDEX(FlowCalLowSetting,MATCH(J651,FlowCalNumber,0),1,1), (INDEX(FlowCalConstA,MATCH(J651,FlowCalNumber,0),1,1)*L660^INDEX(FlowCalConstB,MATCH(J651,FlowCalNumber,0),1,1)&lt;INDEX(FlowCalHighSetting,MATCH(J651,FlowCalNumber,0),1,1))),INDEX(FlowCalConstA,MATCH(J651,FlowCalNumber,0),1,1)*L660^INDEX(FlowCalConstB,MATCH(J651,FlowCalNumber,0),1,1)," ")</f>
        <v>#N/A</v>
      </c>
      <c r="N660" s="33"/>
      <c r="O660" s="242">
        <f t="shared" si="618"/>
        <v>1</v>
      </c>
      <c r="P660" s="241" t="e">
        <f t="shared" ca="1" si="619"/>
        <v>#VALUE!</v>
      </c>
      <c r="Q660" s="243" t="e">
        <f ca="1">IF(AND(INDEX(FlowCalConstA,MATCH(N651,FlowCalNumber,0),1,1)*P660^INDEX(FlowCalConstB,MATCH(N651,FlowCalNumber,0),1,1)&gt;INDEX(FlowCalLowSetting,MATCH(N651,FlowCalNumber,0),1,1), (INDEX(FlowCalConstA,MATCH(N651,FlowCalNumber,0),1,1)*P660^INDEX(FlowCalConstB,MATCH(N651,FlowCalNumber,0),1,1)&lt;INDEX(FlowCalHighSetting,MATCH(N651,FlowCalNumber,0),1,1))),INDEX(FlowCalConstA,MATCH(N651,FlowCalNumber,0),1,1)*P660^INDEX(FlowCalConstB,MATCH(N651,FlowCalNumber,0),1,1)," ")</f>
        <v>#N/A</v>
      </c>
      <c r="R660" s="33"/>
      <c r="S660" s="242">
        <f t="shared" si="620"/>
        <v>1</v>
      </c>
      <c r="T660" s="241" t="e">
        <f t="shared" ca="1" si="621"/>
        <v>#VALUE!</v>
      </c>
      <c r="U660" s="244" t="e">
        <f ca="1">IF(AND(INDEX(FlowCalConstA,MATCH(R651,FlowCalNumber,0),1,1)*T660^INDEX(FlowCalConstB,MATCH(R651,FlowCalNumber,0),1,1)&gt;INDEX(FlowCalLowSetting,MATCH(R651,FlowCalNumber,0),1,1), (INDEX(FlowCalConstA,MATCH(R651,FlowCalNumber,0),1,1)*T660^INDEX(FlowCalConstB,MATCH(R651,FlowCalNumber,0),1,1)&lt;INDEX(FlowCalHighSetting,MATCH(R651,FlowCalNumber,0),1,1))),INDEX(FlowCalConstA,MATCH(R651,FlowCalNumber,0),1,1)*T660^INDEX(FlowCalConstB,MATCH(R651,FlowCalNumber,0),1,1)," ")</f>
        <v>#N/A</v>
      </c>
      <c r="V660" s="33"/>
      <c r="W660" s="242">
        <f t="shared" si="622"/>
        <v>0.1</v>
      </c>
      <c r="X660" s="241" t="e">
        <f t="shared" ca="1" si="623"/>
        <v>#VALUE!</v>
      </c>
      <c r="Y660" s="243" t="e">
        <f ca="1">IF(AND(INDEX(FlowCalConstA,MATCH(V651,FlowCalNumber,0),1,1)*X660^INDEX(FlowCalConstB,MATCH(V651,FlowCalNumber,0),1,1)&gt;INDEX(FlowCalLowSetting,MATCH(V651,FlowCalNumber,0),1,1), (INDEX(FlowCalConstA,MATCH(V651,FlowCalNumber,0),1,1)*X660^INDEX(FlowCalConstB,MATCH(V651,FlowCalNumber,0),1,1)&lt;INDEX(FlowCalHighSetting,MATCH(V651,FlowCalNumber,0),1,1))),INDEX(FlowCalConstA,MATCH(V651,FlowCalNumber,0),1,1)*X660^INDEX(FlowCalConstB,MATCH(V651,FlowCalNumber,0),1,1)," ")</f>
        <v>#N/A</v>
      </c>
      <c r="Z660" s="33"/>
      <c r="AA660" s="242">
        <f t="shared" si="624"/>
        <v>0.9</v>
      </c>
      <c r="AB660" s="241" t="e">
        <f t="shared" ca="1" si="625"/>
        <v>#VALUE!</v>
      </c>
      <c r="AC660" s="243" t="e">
        <f ca="1">IF(AND(INDEX(FlowCalConstA,MATCH(Z651,FlowCalNumber,0),1,1)*AB660^INDEX(FlowCalConstB,MATCH(Z651,FlowCalNumber,0),1,1)&gt;INDEX(FlowCalLowSetting,MATCH(Z651,FlowCalNumber,0),1,1), (INDEX(FlowCalConstA,MATCH(Z651,FlowCalNumber,0),1,1)*AB660^INDEX(FlowCalConstB,MATCH(Z651,FlowCalNumber,0),1,1)&lt;INDEX(FlowCalHighSetting,MATCH(Z651,FlowCalNumber,0),1,1))),INDEX(FlowCalConstA,MATCH(Z651,FlowCalNumber,0),1,1)*AB660^INDEX(FlowCalConstB,MATCH(Z651,FlowCalNumber,0),1,1)," ")</f>
        <v>#N/A</v>
      </c>
      <c r="AD660" s="33"/>
      <c r="AE660" s="242">
        <f t="shared" si="626"/>
        <v>0.1</v>
      </c>
      <c r="AF660" s="241" t="e">
        <f t="shared" ca="1" si="627"/>
        <v>#VALUE!</v>
      </c>
      <c r="AG660" s="243" t="e">
        <f ca="1">IF(AND(INDEX(FlowCalConstA,MATCH(AD651,FlowCalNumber,0),1,1)*AF660^INDEX(FlowCalConstB,MATCH(AD651,FlowCalNumber,0),1,1)&gt;INDEX(FlowCalLowSetting,MATCH(AD651,FlowCalNumber,0),1,1), (INDEX(FlowCalConstA,MATCH(AD651,FlowCalNumber,0),1,1)*AF660^INDEX(FlowCalConstB,MATCH(AD651,FlowCalNumber,0),1,1)&lt;INDEX(FlowCalHighSetting,MATCH(AD651,FlowCalNumber,0),1,1))),INDEX(FlowCalConstA,MATCH(AD651,FlowCalNumber,0),1,1)*AF660^INDEX(FlowCalConstB,MATCH(AD651,FlowCalNumber,0),1,1)," ")</f>
        <v>#N/A</v>
      </c>
      <c r="AH660" s="33"/>
      <c r="AI660" s="242">
        <f t="shared" si="628"/>
        <v>0.9</v>
      </c>
      <c r="AJ660" s="241" t="e">
        <f t="shared" ca="1" si="629"/>
        <v>#VALUE!</v>
      </c>
      <c r="AK660" s="243" t="e">
        <f ca="1">IF(AND(INDEX(FlowCalConstA,MATCH(AH651,FlowCalNumber,0),1,1)*AJ660^INDEX(FlowCalConstB,MATCH(AH651,FlowCalNumber,0),1,1)&gt;INDEX(FlowCalLowSetting,MATCH(AH651,FlowCalNumber,0),1,1), (INDEX(FlowCalConstA,MATCH(AH651,FlowCalNumber,0),1,1)*AJ660^INDEX(FlowCalConstB,MATCH(AH651,FlowCalNumber,0),1,1)&lt;INDEX(FlowCalHighSetting,MATCH(AH651,FlowCalNumber,0),1,1))),INDEX(FlowCalConstA,MATCH(AH651,FlowCalNumber,0),1,1)*AJ660^INDEX(FlowCalConstB,MATCH(AH651,FlowCalNumber,0),1,1)," ")</f>
        <v>#N/A</v>
      </c>
      <c r="AL660" s="33"/>
      <c r="AM660" s="242"/>
      <c r="AN660" s="241"/>
      <c r="AO660" s="244"/>
      <c r="AQ660" s="242"/>
      <c r="AR660" s="241"/>
      <c r="AS660" s="244"/>
      <c r="AT660" s="33"/>
      <c r="AU660" s="242"/>
      <c r="AV660" s="241"/>
      <c r="AW660" s="244"/>
      <c r="AX660" s="33"/>
      <c r="AY660" s="242"/>
      <c r="AZ660" s="241"/>
      <c r="BA660" s="244"/>
      <c r="BB660" s="33"/>
      <c r="BC660" s="242"/>
      <c r="BD660" s="241"/>
      <c r="BE660" s="244"/>
      <c r="BF660" s="33"/>
      <c r="BG660" s="242"/>
      <c r="BH660" s="241"/>
      <c r="BI660" s="244"/>
      <c r="BJ660" s="33"/>
      <c r="BK660" s="242"/>
      <c r="BL660" s="241"/>
      <c r="BM660" s="244"/>
      <c r="BN660" s="33"/>
      <c r="BO660" s="242"/>
      <c r="BP660" s="241"/>
      <c r="BQ660" s="244"/>
      <c r="BR660" s="33"/>
      <c r="BS660" s="242"/>
      <c r="BT660" s="241"/>
      <c r="BU660" s="244"/>
      <c r="BV660" s="33"/>
      <c r="BW660" s="242"/>
      <c r="BX660" s="241"/>
      <c r="BY660" s="244"/>
      <c r="BZ660" s="33"/>
      <c r="CA660" s="242"/>
      <c r="CB660" s="241"/>
      <c r="CC660" s="244"/>
      <c r="CD660" s="243"/>
      <c r="CE660" s="243"/>
      <c r="CF660" s="243"/>
      <c r="CG660" s="243"/>
      <c r="CH660" s="243"/>
      <c r="CI660" s="243"/>
      <c r="CJ660" s="243"/>
      <c r="CK660" s="243"/>
      <c r="CL660" s="243"/>
      <c r="CM660" s="243"/>
      <c r="CN660" s="243"/>
      <c r="CO660" s="243"/>
      <c r="CP660" s="243"/>
      <c r="CQ660" s="243"/>
      <c r="CR660" s="243"/>
      <c r="CS660" s="243"/>
      <c r="CT660" s="243"/>
      <c r="CU660" s="243"/>
      <c r="CV660" s="243"/>
      <c r="CW660" s="243"/>
      <c r="CX660" s="243"/>
      <c r="CY660" s="243"/>
      <c r="CZ660" s="243"/>
      <c r="DA660" s="243"/>
      <c r="DB660" s="243"/>
      <c r="DC660" s="243"/>
      <c r="DD660" s="243"/>
      <c r="DE660" s="243"/>
      <c r="DF660" s="243"/>
      <c r="DG660" s="243"/>
      <c r="DH660" s="243"/>
      <c r="DI660" s="243"/>
      <c r="DJ660" s="243"/>
      <c r="DK660" s="243"/>
      <c r="DM660" s="242"/>
      <c r="DO660" s="243"/>
      <c r="DQ660" s="242"/>
      <c r="DS660" s="243"/>
      <c r="DU660" s="242"/>
      <c r="DW660" s="243"/>
      <c r="DY660" s="242"/>
      <c r="EA660" s="243"/>
    </row>
    <row r="661" spans="1:131">
      <c r="A661" s="20"/>
      <c r="B661" s="124" t="str">
        <f t="shared" si="614"/>
        <v/>
      </c>
      <c r="C661" s="235"/>
      <c r="D661" s="24">
        <f>'1% Wind'!$M$91</f>
        <v>4.2</v>
      </c>
      <c r="E661" s="90"/>
      <c r="F661" s="90"/>
      <c r="G661" s="79">
        <f ca="1">IF(I651=0.9743,$G660,MAX(G660/D660*D661,2))</f>
        <v>6.001707317073171</v>
      </c>
      <c r="H661" s="121" t="e">
        <f t="shared" ca="1" si="615"/>
        <v>#VALUE!</v>
      </c>
      <c r="J661" s="33"/>
      <c r="K661" s="242">
        <f t="shared" si="616"/>
        <v>1</v>
      </c>
      <c r="L661" s="241" t="e">
        <f t="shared" ca="1" si="617"/>
        <v>#VALUE!</v>
      </c>
      <c r="M661" s="243" t="e">
        <f ca="1">IF(AND(INDEX(FlowCalConstA,MATCH(J651,FlowCalNumber,0),1,1)*L661^INDEX(FlowCalConstB,MATCH(J651,FlowCalNumber,0),1,1)&gt;INDEX(FlowCalLowSetting,MATCH(J651,FlowCalNumber,0),1,1), (INDEX(FlowCalConstA,MATCH(J651,FlowCalNumber,0),1,1)*L661^INDEX(FlowCalConstB,MATCH(J651,FlowCalNumber,0),1,1)&lt;INDEX(FlowCalHighSetting,MATCH(J651,FlowCalNumber,0),1,1))),INDEX(FlowCalConstA,MATCH(J651,FlowCalNumber,0),1,1)*L661^INDEX(FlowCalConstB,MATCH(J651,FlowCalNumber,0),1,1)," ")</f>
        <v>#N/A</v>
      </c>
      <c r="N661" s="33"/>
      <c r="O661" s="242">
        <f t="shared" si="618"/>
        <v>1</v>
      </c>
      <c r="P661" s="241" t="e">
        <f t="shared" ca="1" si="619"/>
        <v>#VALUE!</v>
      </c>
      <c r="Q661" s="243" t="e">
        <f ca="1">IF(AND(INDEX(FlowCalConstA,MATCH(N651,FlowCalNumber,0),1,1)*P661^INDEX(FlowCalConstB,MATCH(N651,FlowCalNumber,0),1,1)&gt;INDEX(FlowCalLowSetting,MATCH(N651,FlowCalNumber,0),1,1), (INDEX(FlowCalConstA,MATCH(N651,FlowCalNumber,0),1,1)*P661^INDEX(FlowCalConstB,MATCH(N651,FlowCalNumber,0),1,1)&lt;INDEX(FlowCalHighSetting,MATCH(N651,FlowCalNumber,0),1,1))),INDEX(FlowCalConstA,MATCH(N651,FlowCalNumber,0),1,1)*P661^INDEX(FlowCalConstB,MATCH(N651,FlowCalNumber,0),1,1)," ")</f>
        <v>#N/A</v>
      </c>
      <c r="R661" s="33"/>
      <c r="S661" s="242">
        <f t="shared" si="620"/>
        <v>1</v>
      </c>
      <c r="T661" s="241" t="e">
        <f t="shared" ca="1" si="621"/>
        <v>#VALUE!</v>
      </c>
      <c r="U661" s="244" t="e">
        <f ca="1">IF(AND(INDEX(FlowCalConstA,MATCH(R651,FlowCalNumber,0),1,1)*T661^INDEX(FlowCalConstB,MATCH(R651,FlowCalNumber,0),1,1)&gt;INDEX(FlowCalLowSetting,MATCH(R651,FlowCalNumber,0),1,1), (INDEX(FlowCalConstA,MATCH(R651,FlowCalNumber,0),1,1)*T661^INDEX(FlowCalConstB,MATCH(R651,FlowCalNumber,0),1,1)&lt;INDEX(FlowCalHighSetting,MATCH(R651,FlowCalNumber,0),1,1))),INDEX(FlowCalConstA,MATCH(R651,FlowCalNumber,0),1,1)*T661^INDEX(FlowCalConstB,MATCH(R651,FlowCalNumber,0),1,1)," ")</f>
        <v>#N/A</v>
      </c>
      <c r="V661" s="33"/>
      <c r="W661" s="242">
        <f t="shared" si="622"/>
        <v>0.1</v>
      </c>
      <c r="X661" s="241" t="e">
        <f t="shared" ca="1" si="623"/>
        <v>#VALUE!</v>
      </c>
      <c r="Y661" s="243" t="e">
        <f ca="1">IF(AND(INDEX(FlowCalConstA,MATCH(V651,FlowCalNumber,0),1,1)*X661^INDEX(FlowCalConstB,MATCH(V651,FlowCalNumber,0),1,1)&gt;INDEX(FlowCalLowSetting,MATCH(V651,FlowCalNumber,0),1,1), (INDEX(FlowCalConstA,MATCH(V651,FlowCalNumber,0),1,1)*X661^INDEX(FlowCalConstB,MATCH(V651,FlowCalNumber,0),1,1)&lt;INDEX(FlowCalHighSetting,MATCH(V651,FlowCalNumber,0),1,1))),INDEX(FlowCalConstA,MATCH(V651,FlowCalNumber,0),1,1)*X661^INDEX(FlowCalConstB,MATCH(V651,FlowCalNumber,0),1,1)," ")</f>
        <v>#N/A</v>
      </c>
      <c r="Z661" s="33"/>
      <c r="AA661" s="242">
        <f t="shared" si="624"/>
        <v>0.9</v>
      </c>
      <c r="AB661" s="241" t="e">
        <f t="shared" ca="1" si="625"/>
        <v>#VALUE!</v>
      </c>
      <c r="AC661" s="243" t="e">
        <f ca="1">IF(AND(INDEX(FlowCalConstA,MATCH(Z651,FlowCalNumber,0),1,1)*AB661^INDEX(FlowCalConstB,MATCH(Z651,FlowCalNumber,0),1,1)&gt;INDEX(FlowCalLowSetting,MATCH(Z651,FlowCalNumber,0),1,1), (INDEX(FlowCalConstA,MATCH(Z651,FlowCalNumber,0),1,1)*AB661^INDEX(FlowCalConstB,MATCH(Z651,FlowCalNumber,0),1,1)&lt;INDEX(FlowCalHighSetting,MATCH(Z651,FlowCalNumber,0),1,1))),INDEX(FlowCalConstA,MATCH(Z651,FlowCalNumber,0),1,1)*AB661^INDEX(FlowCalConstB,MATCH(Z651,FlowCalNumber,0),1,1)," ")</f>
        <v>#N/A</v>
      </c>
      <c r="AD661" s="33"/>
      <c r="AE661" s="242">
        <f t="shared" si="626"/>
        <v>0.1</v>
      </c>
      <c r="AF661" s="241" t="e">
        <f t="shared" ca="1" si="627"/>
        <v>#VALUE!</v>
      </c>
      <c r="AG661" s="243" t="e">
        <f ca="1">IF(AND(INDEX(FlowCalConstA,MATCH(AD651,FlowCalNumber,0),1,1)*AF661^INDEX(FlowCalConstB,MATCH(AD651,FlowCalNumber,0),1,1)&gt;INDEX(FlowCalLowSetting,MATCH(AD651,FlowCalNumber,0),1,1), (INDEX(FlowCalConstA,MATCH(AD651,FlowCalNumber,0),1,1)*AF661^INDEX(FlowCalConstB,MATCH(AD651,FlowCalNumber,0),1,1)&lt;INDEX(FlowCalHighSetting,MATCH(AD651,FlowCalNumber,0),1,1))),INDEX(FlowCalConstA,MATCH(AD651,FlowCalNumber,0),1,1)*AF661^INDEX(FlowCalConstB,MATCH(AD651,FlowCalNumber,0),1,1)," ")</f>
        <v>#N/A</v>
      </c>
      <c r="AH661" s="33"/>
      <c r="AI661" s="242">
        <f t="shared" si="628"/>
        <v>0.9</v>
      </c>
      <c r="AJ661" s="241" t="e">
        <f t="shared" ca="1" si="629"/>
        <v>#VALUE!</v>
      </c>
      <c r="AK661" s="243" t="e">
        <f ca="1">IF(AND(INDEX(FlowCalConstA,MATCH(AH651,FlowCalNumber,0),1,1)*AJ661^INDEX(FlowCalConstB,MATCH(AH651,FlowCalNumber,0),1,1)&gt;INDEX(FlowCalLowSetting,MATCH(AH651,FlowCalNumber,0),1,1), (INDEX(FlowCalConstA,MATCH(AH651,FlowCalNumber,0),1,1)*AJ661^INDEX(FlowCalConstB,MATCH(AH651,FlowCalNumber,0),1,1)&lt;INDEX(FlowCalHighSetting,MATCH(AH651,FlowCalNumber,0),1,1))),INDEX(FlowCalConstA,MATCH(AH651,FlowCalNumber,0),1,1)*AJ661^INDEX(FlowCalConstB,MATCH(AH651,FlowCalNumber,0),1,1)," ")</f>
        <v>#N/A</v>
      </c>
      <c r="AL661" s="33"/>
      <c r="AM661" s="242"/>
      <c r="AN661" s="241"/>
      <c r="AO661" s="244"/>
      <c r="AQ661" s="242"/>
      <c r="AR661" s="241"/>
      <c r="AS661" s="244"/>
      <c r="AT661" s="33"/>
      <c r="AU661" s="242"/>
      <c r="AV661" s="241"/>
      <c r="AW661" s="244"/>
      <c r="AX661" s="33"/>
      <c r="AY661" s="242"/>
      <c r="AZ661" s="241"/>
      <c r="BA661" s="244"/>
      <c r="BB661" s="33"/>
      <c r="BC661" s="242"/>
      <c r="BD661" s="241"/>
      <c r="BE661" s="244"/>
      <c r="BF661" s="33"/>
      <c r="BG661" s="242"/>
      <c r="BH661" s="241"/>
      <c r="BI661" s="244"/>
      <c r="BJ661" s="33"/>
      <c r="BK661" s="242"/>
      <c r="BL661" s="241"/>
      <c r="BM661" s="244"/>
      <c r="BN661" s="33"/>
      <c r="BO661" s="242"/>
      <c r="BP661" s="241"/>
      <c r="BQ661" s="244"/>
      <c r="BR661" s="33"/>
      <c r="BS661" s="242"/>
      <c r="BT661" s="241"/>
      <c r="BU661" s="244"/>
      <c r="BV661" s="33"/>
      <c r="BW661" s="242"/>
      <c r="BX661" s="241"/>
      <c r="BY661" s="244"/>
      <c r="BZ661" s="33"/>
      <c r="CA661" s="242"/>
      <c r="CB661" s="241"/>
      <c r="CC661" s="244"/>
      <c r="CD661" s="243"/>
      <c r="CE661" s="243"/>
      <c r="CF661" s="243"/>
      <c r="CG661" s="243"/>
      <c r="CH661" s="243"/>
      <c r="CI661" s="243"/>
      <c r="CJ661" s="243"/>
      <c r="CK661" s="243"/>
      <c r="CL661" s="243"/>
      <c r="CM661" s="243"/>
      <c r="CN661" s="243"/>
      <c r="CO661" s="243"/>
      <c r="CP661" s="243"/>
      <c r="CQ661" s="243"/>
      <c r="CR661" s="243"/>
      <c r="CS661" s="243"/>
      <c r="CT661" s="243"/>
      <c r="CU661" s="243"/>
      <c r="CV661" s="243"/>
      <c r="CW661" s="243"/>
      <c r="CX661" s="243"/>
      <c r="CY661" s="243"/>
      <c r="CZ661" s="243"/>
      <c r="DA661" s="243"/>
      <c r="DB661" s="243"/>
      <c r="DC661" s="243"/>
      <c r="DD661" s="243"/>
      <c r="DE661" s="243"/>
      <c r="DF661" s="243"/>
      <c r="DG661" s="243"/>
      <c r="DH661" s="243"/>
      <c r="DI661" s="243"/>
      <c r="DJ661" s="243"/>
      <c r="DK661" s="243"/>
      <c r="DM661" s="242"/>
      <c r="DO661" s="243"/>
      <c r="DQ661" s="242"/>
      <c r="DS661" s="243"/>
      <c r="DU661" s="242"/>
      <c r="DW661" s="243"/>
      <c r="DY661" s="242"/>
      <c r="EA661" s="243"/>
    </row>
    <row r="662" spans="1:131">
      <c r="A662" s="20"/>
      <c r="B662" s="124" t="str">
        <f t="shared" si="614"/>
        <v/>
      </c>
      <c r="C662" s="235"/>
      <c r="D662" s="24">
        <f>'1% Wind'!$M$92</f>
        <v>3.2</v>
      </c>
      <c r="E662" s="90"/>
      <c r="F662" s="90"/>
      <c r="G662" s="79">
        <f ca="1">IF(I651=0.9743,$G661,MAX(G661/D661*D662,2))</f>
        <v>6.001707317073171</v>
      </c>
      <c r="H662" s="121" t="e">
        <f t="shared" ca="1" si="615"/>
        <v>#VALUE!</v>
      </c>
      <c r="J662" s="33"/>
      <c r="K662" s="242">
        <f t="shared" si="616"/>
        <v>1</v>
      </c>
      <c r="L662" s="241" t="e">
        <f t="shared" ca="1" si="617"/>
        <v>#VALUE!</v>
      </c>
      <c r="M662" s="243" t="e">
        <f ca="1">IF(AND(INDEX(FlowCalConstA,MATCH(J651,FlowCalNumber,0),1,1)*L662^INDEX(FlowCalConstB,MATCH(J651,FlowCalNumber,0),1,1)&gt;INDEX(FlowCalLowSetting,MATCH(J651,FlowCalNumber,0),1,1), (INDEX(FlowCalConstA,MATCH(J651,FlowCalNumber,0),1,1)*L662^INDEX(FlowCalConstB,MATCH(J651,FlowCalNumber,0),1,1)&lt;INDEX(FlowCalHighSetting,MATCH(J651,FlowCalNumber,0),1,1))),INDEX(FlowCalConstA,MATCH(J651,FlowCalNumber,0),1,1)*L662^INDEX(FlowCalConstB,MATCH(J651,FlowCalNumber,0),1,1)," ")</f>
        <v>#N/A</v>
      </c>
      <c r="N662" s="33"/>
      <c r="O662" s="242">
        <f t="shared" si="618"/>
        <v>1</v>
      </c>
      <c r="P662" s="241" t="e">
        <f t="shared" ca="1" si="619"/>
        <v>#VALUE!</v>
      </c>
      <c r="Q662" s="243" t="e">
        <f ca="1">IF(AND(INDEX(FlowCalConstA,MATCH(N651,FlowCalNumber,0),1,1)*P662^INDEX(FlowCalConstB,MATCH(N651,FlowCalNumber,0),1,1)&gt;INDEX(FlowCalLowSetting,MATCH(N651,FlowCalNumber,0),1,1), (INDEX(FlowCalConstA,MATCH(N651,FlowCalNumber,0),1,1)*P662^INDEX(FlowCalConstB,MATCH(N651,FlowCalNumber,0),1,1)&lt;INDEX(FlowCalHighSetting,MATCH(N651,FlowCalNumber,0),1,1))),INDEX(FlowCalConstA,MATCH(N651,FlowCalNumber,0),1,1)*P662^INDEX(FlowCalConstB,MATCH(N651,FlowCalNumber,0),1,1)," ")</f>
        <v>#N/A</v>
      </c>
      <c r="R662" s="33"/>
      <c r="S662" s="242">
        <f t="shared" si="620"/>
        <v>1</v>
      </c>
      <c r="T662" s="241" t="e">
        <f t="shared" ca="1" si="621"/>
        <v>#VALUE!</v>
      </c>
      <c r="U662" s="244" t="e">
        <f ca="1">IF(AND(INDEX(FlowCalConstA,MATCH(R651,FlowCalNumber,0),1,1)*T662^INDEX(FlowCalConstB,MATCH(R651,FlowCalNumber,0),1,1)&gt;INDEX(FlowCalLowSetting,MATCH(R651,FlowCalNumber,0),1,1), (INDEX(FlowCalConstA,MATCH(R651,FlowCalNumber,0),1,1)*T662^INDEX(FlowCalConstB,MATCH(R651,FlowCalNumber,0),1,1)&lt;INDEX(FlowCalHighSetting,MATCH(R651,FlowCalNumber,0),1,1))),INDEX(FlowCalConstA,MATCH(R651,FlowCalNumber,0),1,1)*T662^INDEX(FlowCalConstB,MATCH(R651,FlowCalNumber,0),1,1)," ")</f>
        <v>#N/A</v>
      </c>
      <c r="V662" s="33"/>
      <c r="W662" s="242">
        <f t="shared" si="622"/>
        <v>0.1</v>
      </c>
      <c r="X662" s="241" t="e">
        <f t="shared" ca="1" si="623"/>
        <v>#VALUE!</v>
      </c>
      <c r="Y662" s="243" t="e">
        <f ca="1">IF(AND(INDEX(FlowCalConstA,MATCH(V651,FlowCalNumber,0),1,1)*X662^INDEX(FlowCalConstB,MATCH(V651,FlowCalNumber,0),1,1)&gt;INDEX(FlowCalLowSetting,MATCH(V651,FlowCalNumber,0),1,1), (INDEX(FlowCalConstA,MATCH(V651,FlowCalNumber,0),1,1)*X662^INDEX(FlowCalConstB,MATCH(V651,FlowCalNumber,0),1,1)&lt;INDEX(FlowCalHighSetting,MATCH(V651,FlowCalNumber,0),1,1))),INDEX(FlowCalConstA,MATCH(V651,FlowCalNumber,0),1,1)*X662^INDEX(FlowCalConstB,MATCH(V651,FlowCalNumber,0),1,1)," ")</f>
        <v>#N/A</v>
      </c>
      <c r="Z662" s="33"/>
      <c r="AA662" s="242">
        <f t="shared" si="624"/>
        <v>0.9</v>
      </c>
      <c r="AB662" s="241" t="e">
        <f t="shared" ca="1" si="625"/>
        <v>#VALUE!</v>
      </c>
      <c r="AC662" s="243" t="e">
        <f ca="1">IF(AND(INDEX(FlowCalConstA,MATCH(Z651,FlowCalNumber,0),1,1)*AB662^INDEX(FlowCalConstB,MATCH(Z651,FlowCalNumber,0),1,1)&gt;INDEX(FlowCalLowSetting,MATCH(Z651,FlowCalNumber,0),1,1), (INDEX(FlowCalConstA,MATCH(Z651,FlowCalNumber,0),1,1)*AB662^INDEX(FlowCalConstB,MATCH(Z651,FlowCalNumber,0),1,1)&lt;INDEX(FlowCalHighSetting,MATCH(Z651,FlowCalNumber,0),1,1))),INDEX(FlowCalConstA,MATCH(Z651,FlowCalNumber,0),1,1)*AB662^INDEX(FlowCalConstB,MATCH(Z651,FlowCalNumber,0),1,1)," ")</f>
        <v>#N/A</v>
      </c>
      <c r="AD662" s="33"/>
      <c r="AE662" s="242">
        <f t="shared" si="626"/>
        <v>0.1</v>
      </c>
      <c r="AF662" s="241" t="e">
        <f t="shared" ca="1" si="627"/>
        <v>#VALUE!</v>
      </c>
      <c r="AG662" s="243" t="e">
        <f ca="1">IF(AND(INDEX(FlowCalConstA,MATCH(AD651,FlowCalNumber,0),1,1)*AF662^INDEX(FlowCalConstB,MATCH(AD651,FlowCalNumber,0),1,1)&gt;INDEX(FlowCalLowSetting,MATCH(AD651,FlowCalNumber,0),1,1), (INDEX(FlowCalConstA,MATCH(AD651,FlowCalNumber,0),1,1)*AF662^INDEX(FlowCalConstB,MATCH(AD651,FlowCalNumber,0),1,1)&lt;INDEX(FlowCalHighSetting,MATCH(AD651,FlowCalNumber,0),1,1))),INDEX(FlowCalConstA,MATCH(AD651,FlowCalNumber,0),1,1)*AF662^INDEX(FlowCalConstB,MATCH(AD651,FlowCalNumber,0),1,1)," ")</f>
        <v>#N/A</v>
      </c>
      <c r="AH662" s="33"/>
      <c r="AI662" s="242">
        <f t="shared" si="628"/>
        <v>0.9</v>
      </c>
      <c r="AJ662" s="241" t="e">
        <f t="shared" ca="1" si="629"/>
        <v>#VALUE!</v>
      </c>
      <c r="AK662" s="243" t="e">
        <f ca="1">IF(AND(INDEX(FlowCalConstA,MATCH(AH651,FlowCalNumber,0),1,1)*AJ662^INDEX(FlowCalConstB,MATCH(AH651,FlowCalNumber,0),1,1)&gt;INDEX(FlowCalLowSetting,MATCH(AH651,FlowCalNumber,0),1,1), (INDEX(FlowCalConstA,MATCH(AH651,FlowCalNumber,0),1,1)*AJ662^INDEX(FlowCalConstB,MATCH(AH651,FlowCalNumber,0),1,1)&lt;INDEX(FlowCalHighSetting,MATCH(AH651,FlowCalNumber,0),1,1))),INDEX(FlowCalConstA,MATCH(AH651,FlowCalNumber,0),1,1)*AJ662^INDEX(FlowCalConstB,MATCH(AH651,FlowCalNumber,0),1,1)," ")</f>
        <v>#N/A</v>
      </c>
      <c r="AL662" s="33"/>
      <c r="AM662" s="242"/>
      <c r="AN662" s="241"/>
      <c r="AO662" s="244"/>
      <c r="AQ662" s="242"/>
      <c r="AR662" s="241"/>
      <c r="AS662" s="244"/>
      <c r="AT662" s="33"/>
      <c r="AU662" s="242"/>
      <c r="AV662" s="241"/>
      <c r="AW662" s="244"/>
      <c r="AX662" s="33"/>
      <c r="AY662" s="242"/>
      <c r="AZ662" s="241"/>
      <c r="BA662" s="244"/>
      <c r="BB662" s="33"/>
      <c r="BC662" s="242"/>
      <c r="BD662" s="241"/>
      <c r="BE662" s="244"/>
      <c r="BF662" s="33"/>
      <c r="BG662" s="242"/>
      <c r="BH662" s="241"/>
      <c r="BI662" s="244"/>
      <c r="BJ662" s="33"/>
      <c r="BK662" s="242"/>
      <c r="BL662" s="241"/>
      <c r="BM662" s="244"/>
      <c r="BN662" s="33"/>
      <c r="BO662" s="242"/>
      <c r="BP662" s="241"/>
      <c r="BQ662" s="244"/>
      <c r="BR662" s="33"/>
      <c r="BS662" s="242"/>
      <c r="BT662" s="241"/>
      <c r="BU662" s="244"/>
      <c r="BV662" s="33"/>
      <c r="BW662" s="242"/>
      <c r="BX662" s="241"/>
      <c r="BY662" s="244"/>
      <c r="BZ662" s="33"/>
      <c r="CA662" s="242"/>
      <c r="CB662" s="241"/>
      <c r="CC662" s="244"/>
      <c r="CD662" s="243"/>
      <c r="CE662" s="243"/>
      <c r="CF662" s="243"/>
      <c r="CG662" s="243"/>
      <c r="CH662" s="243"/>
      <c r="CI662" s="243"/>
      <c r="CJ662" s="243"/>
      <c r="CK662" s="243"/>
      <c r="CL662" s="243"/>
      <c r="CM662" s="243"/>
      <c r="CN662" s="243"/>
      <c r="CO662" s="243"/>
      <c r="CP662" s="243"/>
      <c r="CQ662" s="243"/>
      <c r="CR662" s="243"/>
      <c r="CS662" s="243"/>
      <c r="CT662" s="243"/>
      <c r="CU662" s="243"/>
      <c r="CV662" s="243"/>
      <c r="CW662" s="243"/>
      <c r="CX662" s="243"/>
      <c r="CY662" s="243"/>
      <c r="CZ662" s="243"/>
      <c r="DA662" s="243"/>
      <c r="DB662" s="243"/>
      <c r="DC662" s="243"/>
      <c r="DD662" s="243"/>
      <c r="DE662" s="243"/>
      <c r="DF662" s="243"/>
      <c r="DG662" s="243"/>
      <c r="DH662" s="243"/>
      <c r="DI662" s="243"/>
      <c r="DJ662" s="243"/>
      <c r="DK662" s="243"/>
      <c r="DM662" s="242"/>
      <c r="DO662" s="243"/>
      <c r="DQ662" s="242"/>
      <c r="DS662" s="243"/>
      <c r="DU662" s="242"/>
      <c r="DW662" s="243"/>
      <c r="DY662" s="242"/>
      <c r="EA662" s="243"/>
    </row>
    <row r="663" spans="1:131">
      <c r="A663" s="20"/>
      <c r="B663" s="124" t="str">
        <f t="shared" si="614"/>
        <v/>
      </c>
      <c r="C663" s="235"/>
      <c r="D663" s="24">
        <f>'1% Wind'!$M$93</f>
        <v>2.4</v>
      </c>
      <c r="E663" s="90"/>
      <c r="F663" s="90"/>
      <c r="G663" s="79">
        <f ca="1">IF(I651=0.9743,$G662,MAX(G662/D662*D663,2))</f>
        <v>6.001707317073171</v>
      </c>
      <c r="H663" s="121" t="e">
        <f t="shared" ca="1" si="615"/>
        <v>#VALUE!</v>
      </c>
      <c r="J663" s="33"/>
      <c r="K663" s="242">
        <f t="shared" si="616"/>
        <v>1</v>
      </c>
      <c r="L663" s="241" t="e">
        <f t="shared" ca="1" si="617"/>
        <v>#VALUE!</v>
      </c>
      <c r="M663" s="243" t="e">
        <f ca="1">IF(AND(INDEX(FlowCalConstA,MATCH(J651,FlowCalNumber,0),1,1)*L663^INDEX(FlowCalConstB,MATCH(J651,FlowCalNumber,0),1,1)&gt;INDEX(FlowCalLowSetting,MATCH(J651,FlowCalNumber,0),1,1), (INDEX(FlowCalConstA,MATCH(J651,FlowCalNumber,0),1,1)*L663^INDEX(FlowCalConstB,MATCH(J651,FlowCalNumber,0),1,1)&lt;INDEX(FlowCalHighSetting,MATCH(J651,FlowCalNumber,0),1,1))),INDEX(FlowCalConstA,MATCH(J651,FlowCalNumber,0),1,1)*L663^INDEX(FlowCalConstB,MATCH(J651,FlowCalNumber,0),1,1)," ")</f>
        <v>#N/A</v>
      </c>
      <c r="N663" s="33"/>
      <c r="O663" s="242">
        <f t="shared" si="618"/>
        <v>1</v>
      </c>
      <c r="P663" s="241" t="e">
        <f t="shared" ca="1" si="619"/>
        <v>#VALUE!</v>
      </c>
      <c r="Q663" s="243" t="e">
        <f ca="1">IF(AND(INDEX(FlowCalConstA,MATCH(N651,FlowCalNumber,0),1,1)*P663^INDEX(FlowCalConstB,MATCH(N651,FlowCalNumber,0),1,1)&gt;INDEX(FlowCalLowSetting,MATCH(N651,FlowCalNumber,0),1,1), (INDEX(FlowCalConstA,MATCH(N651,FlowCalNumber,0),1,1)*P663^INDEX(FlowCalConstB,MATCH(N651,FlowCalNumber,0),1,1)&lt;INDEX(FlowCalHighSetting,MATCH(N651,FlowCalNumber,0),1,1))),INDEX(FlowCalConstA,MATCH(N651,FlowCalNumber,0),1,1)*P663^INDEX(FlowCalConstB,MATCH(N651,FlowCalNumber,0),1,1)," ")</f>
        <v>#N/A</v>
      </c>
      <c r="R663" s="33"/>
      <c r="S663" s="242">
        <f t="shared" si="620"/>
        <v>1</v>
      </c>
      <c r="T663" s="241" t="e">
        <f t="shared" ca="1" si="621"/>
        <v>#VALUE!</v>
      </c>
      <c r="U663" s="244" t="e">
        <f ca="1">IF(AND(INDEX(FlowCalConstA,MATCH(R651,FlowCalNumber,0),1,1)*T663^INDEX(FlowCalConstB,MATCH(R651,FlowCalNumber,0),1,1)&gt;INDEX(FlowCalLowSetting,MATCH(R651,FlowCalNumber,0),1,1), (INDEX(FlowCalConstA,MATCH(R651,FlowCalNumber,0),1,1)*T663^INDEX(FlowCalConstB,MATCH(R651,FlowCalNumber,0),1,1)&lt;INDEX(FlowCalHighSetting,MATCH(R651,FlowCalNumber,0),1,1))),INDEX(FlowCalConstA,MATCH(R651,FlowCalNumber,0),1,1)*T663^INDEX(FlowCalConstB,MATCH(R651,FlowCalNumber,0),1,1)," ")</f>
        <v>#N/A</v>
      </c>
      <c r="V663" s="33"/>
      <c r="W663" s="242">
        <f t="shared" si="622"/>
        <v>0.1</v>
      </c>
      <c r="X663" s="241" t="e">
        <f t="shared" ca="1" si="623"/>
        <v>#VALUE!</v>
      </c>
      <c r="Y663" s="243" t="e">
        <f ca="1">IF(AND(INDEX(FlowCalConstA,MATCH(V651,FlowCalNumber,0),1,1)*X663^INDEX(FlowCalConstB,MATCH(V651,FlowCalNumber,0),1,1)&gt;INDEX(FlowCalLowSetting,MATCH(V651,FlowCalNumber,0),1,1), (INDEX(FlowCalConstA,MATCH(V651,FlowCalNumber,0),1,1)*X663^INDEX(FlowCalConstB,MATCH(V651,FlowCalNumber,0),1,1)&lt;INDEX(FlowCalHighSetting,MATCH(V651,FlowCalNumber,0),1,1))),INDEX(FlowCalConstA,MATCH(V651,FlowCalNumber,0),1,1)*X663^INDEX(FlowCalConstB,MATCH(V651,FlowCalNumber,0),1,1)," ")</f>
        <v>#N/A</v>
      </c>
      <c r="Z663" s="33"/>
      <c r="AA663" s="242">
        <f t="shared" si="624"/>
        <v>0.9</v>
      </c>
      <c r="AB663" s="241" t="e">
        <f t="shared" ca="1" si="625"/>
        <v>#VALUE!</v>
      </c>
      <c r="AC663" s="243" t="e">
        <f ca="1">IF(AND(INDEX(FlowCalConstA,MATCH(Z651,FlowCalNumber,0),1,1)*AB663^INDEX(FlowCalConstB,MATCH(Z651,FlowCalNumber,0),1,1)&gt;INDEX(FlowCalLowSetting,MATCH(Z651,FlowCalNumber,0),1,1), (INDEX(FlowCalConstA,MATCH(Z651,FlowCalNumber,0),1,1)*AB663^INDEX(FlowCalConstB,MATCH(Z651,FlowCalNumber,0),1,1)&lt;INDEX(FlowCalHighSetting,MATCH(Z651,FlowCalNumber,0),1,1))),INDEX(FlowCalConstA,MATCH(Z651,FlowCalNumber,0),1,1)*AB663^INDEX(FlowCalConstB,MATCH(Z651,FlowCalNumber,0),1,1)," ")</f>
        <v>#N/A</v>
      </c>
      <c r="AD663" s="33"/>
      <c r="AE663" s="242">
        <f t="shared" si="626"/>
        <v>0.1</v>
      </c>
      <c r="AF663" s="241" t="e">
        <f t="shared" ca="1" si="627"/>
        <v>#VALUE!</v>
      </c>
      <c r="AG663" s="243" t="e">
        <f ca="1">IF(AND(INDEX(FlowCalConstA,MATCH(AD651,FlowCalNumber,0),1,1)*AF663^INDEX(FlowCalConstB,MATCH(AD651,FlowCalNumber,0),1,1)&gt;INDEX(FlowCalLowSetting,MATCH(AD651,FlowCalNumber,0),1,1), (INDEX(FlowCalConstA,MATCH(AD651,FlowCalNumber,0),1,1)*AF663^INDEX(FlowCalConstB,MATCH(AD651,FlowCalNumber,0),1,1)&lt;INDEX(FlowCalHighSetting,MATCH(AD651,FlowCalNumber,0),1,1))),INDEX(FlowCalConstA,MATCH(AD651,FlowCalNumber,0),1,1)*AF663^INDEX(FlowCalConstB,MATCH(AD651,FlowCalNumber,0),1,1)," ")</f>
        <v>#N/A</v>
      </c>
      <c r="AH663" s="33"/>
      <c r="AI663" s="242">
        <f t="shared" si="628"/>
        <v>0.9</v>
      </c>
      <c r="AJ663" s="241" t="e">
        <f t="shared" ca="1" si="629"/>
        <v>#VALUE!</v>
      </c>
      <c r="AK663" s="243" t="e">
        <f ca="1">IF(AND(INDEX(FlowCalConstA,MATCH(AH651,FlowCalNumber,0),1,1)*AJ663^INDEX(FlowCalConstB,MATCH(AH651,FlowCalNumber,0),1,1)&gt;INDEX(FlowCalLowSetting,MATCH(AH651,FlowCalNumber,0),1,1), (INDEX(FlowCalConstA,MATCH(AH651,FlowCalNumber,0),1,1)*AJ663^INDEX(FlowCalConstB,MATCH(AH651,FlowCalNumber,0),1,1)&lt;INDEX(FlowCalHighSetting,MATCH(AH651,FlowCalNumber,0),1,1))),INDEX(FlowCalConstA,MATCH(AH651,FlowCalNumber,0),1,1)*AJ663^INDEX(FlowCalConstB,MATCH(AH651,FlowCalNumber,0),1,1)," ")</f>
        <v>#N/A</v>
      </c>
      <c r="AL663" s="33"/>
      <c r="AM663" s="242"/>
      <c r="AN663" s="241"/>
      <c r="AO663" s="244"/>
      <c r="AQ663" s="242"/>
      <c r="AR663" s="241"/>
      <c r="AS663" s="244"/>
      <c r="AT663" s="33"/>
      <c r="AU663" s="242"/>
      <c r="AV663" s="241"/>
      <c r="AW663" s="244"/>
      <c r="AX663" s="33"/>
      <c r="AY663" s="242"/>
      <c r="AZ663" s="241"/>
      <c r="BA663" s="244"/>
      <c r="BB663" s="33"/>
      <c r="BC663" s="242"/>
      <c r="BD663" s="241"/>
      <c r="BE663" s="244"/>
      <c r="BF663" s="33"/>
      <c r="BG663" s="242"/>
      <c r="BH663" s="241"/>
      <c r="BI663" s="244"/>
      <c r="BJ663" s="33"/>
      <c r="BK663" s="242"/>
      <c r="BL663" s="241"/>
      <c r="BM663" s="244"/>
      <c r="BN663" s="33"/>
      <c r="BO663" s="242"/>
      <c r="BP663" s="241"/>
      <c r="BQ663" s="244"/>
      <c r="BR663" s="33"/>
      <c r="BS663" s="242"/>
      <c r="BT663" s="241"/>
      <c r="BU663" s="244"/>
      <c r="BV663" s="33"/>
      <c r="BW663" s="242"/>
      <c r="BX663" s="241"/>
      <c r="BY663" s="244"/>
      <c r="BZ663" s="33"/>
      <c r="CA663" s="242"/>
      <c r="CB663" s="241"/>
      <c r="CC663" s="244"/>
      <c r="CD663" s="243"/>
      <c r="CE663" s="243"/>
      <c r="CF663" s="243"/>
      <c r="CG663" s="243"/>
      <c r="CH663" s="243"/>
      <c r="CI663" s="243"/>
      <c r="CJ663" s="243"/>
      <c r="CK663" s="243"/>
      <c r="CL663" s="243"/>
      <c r="CM663" s="243"/>
      <c r="CN663" s="243"/>
      <c r="CO663" s="243"/>
      <c r="CP663" s="243"/>
      <c r="CQ663" s="243"/>
      <c r="CR663" s="243"/>
      <c r="CS663" s="243"/>
      <c r="CT663" s="243"/>
      <c r="CU663" s="243"/>
      <c r="CV663" s="243"/>
      <c r="CW663" s="243"/>
      <c r="CX663" s="243"/>
      <c r="CY663" s="243"/>
      <c r="CZ663" s="243"/>
      <c r="DA663" s="243"/>
      <c r="DB663" s="243"/>
      <c r="DC663" s="243"/>
      <c r="DD663" s="243"/>
      <c r="DE663" s="243"/>
      <c r="DF663" s="243"/>
      <c r="DG663" s="243"/>
      <c r="DH663" s="243"/>
      <c r="DI663" s="243"/>
      <c r="DJ663" s="243"/>
      <c r="DK663" s="243"/>
      <c r="DM663" s="242"/>
      <c r="DO663" s="243"/>
      <c r="DQ663" s="242"/>
      <c r="DS663" s="243"/>
      <c r="DU663" s="242"/>
      <c r="DW663" s="243"/>
      <c r="DY663" s="242"/>
      <c r="EA663" s="243"/>
    </row>
    <row r="664" spans="1:131">
      <c r="A664" s="20"/>
      <c r="B664" s="124" t="str">
        <f t="shared" si="614"/>
        <v/>
      </c>
      <c r="C664" s="235"/>
      <c r="D664" s="24">
        <f>'1% Wind'!$M$94</f>
        <v>1.8</v>
      </c>
      <c r="E664" s="90"/>
      <c r="F664" s="90"/>
      <c r="G664" s="79">
        <f ca="1">IF(I651=0.9743,$G663,MAX(G663/D663*D664,2))</f>
        <v>6.001707317073171</v>
      </c>
      <c r="H664" s="121" t="e">
        <f t="shared" ca="1" si="615"/>
        <v>#VALUE!</v>
      </c>
      <c r="J664" s="33"/>
      <c r="K664" s="242">
        <f t="shared" si="616"/>
        <v>1</v>
      </c>
      <c r="L664" s="241" t="e">
        <f t="shared" ca="1" si="617"/>
        <v>#VALUE!</v>
      </c>
      <c r="M664" s="243" t="e">
        <f ca="1">IF(AND(INDEX(FlowCalConstA,MATCH(J651,FlowCalNumber,0),1,1)*L664^INDEX(FlowCalConstB,MATCH(J651,FlowCalNumber,0),1,1)&gt;INDEX(FlowCalLowSetting,MATCH(J651,FlowCalNumber,0),1,1), (INDEX(FlowCalConstA,MATCH(J651,FlowCalNumber,0),1,1)*L664^INDEX(FlowCalConstB,MATCH(J651,FlowCalNumber,0),1,1)&lt;INDEX(FlowCalHighSetting,MATCH(J651,FlowCalNumber,0),1,1))),INDEX(FlowCalConstA,MATCH(J651,FlowCalNumber,0),1,1)*L664^INDEX(FlowCalConstB,MATCH(J651,FlowCalNumber,0),1,1)," ")</f>
        <v>#N/A</v>
      </c>
      <c r="N664" s="33"/>
      <c r="O664" s="242">
        <f t="shared" si="618"/>
        <v>1</v>
      </c>
      <c r="P664" s="241" t="e">
        <f t="shared" ca="1" si="619"/>
        <v>#VALUE!</v>
      </c>
      <c r="Q664" s="243" t="e">
        <f ca="1">IF(AND(INDEX(FlowCalConstA,MATCH(N651,FlowCalNumber,0),1,1)*P664^INDEX(FlowCalConstB,MATCH(N651,FlowCalNumber,0),1,1)&gt;INDEX(FlowCalLowSetting,MATCH(N651,FlowCalNumber,0),1,1), (INDEX(FlowCalConstA,MATCH(N651,FlowCalNumber,0),1,1)*P664^INDEX(FlowCalConstB,MATCH(N651,FlowCalNumber,0),1,1)&lt;INDEX(FlowCalHighSetting,MATCH(N651,FlowCalNumber,0),1,1))),INDEX(FlowCalConstA,MATCH(N651,FlowCalNumber,0),1,1)*P664^INDEX(FlowCalConstB,MATCH(N651,FlowCalNumber,0),1,1)," ")</f>
        <v>#N/A</v>
      </c>
      <c r="R664" s="33"/>
      <c r="S664" s="242">
        <f t="shared" si="620"/>
        <v>1</v>
      </c>
      <c r="T664" s="241" t="e">
        <f t="shared" ca="1" si="621"/>
        <v>#VALUE!</v>
      </c>
      <c r="U664" s="244" t="e">
        <f ca="1">IF(AND(INDEX(FlowCalConstA,MATCH(R651,FlowCalNumber,0),1,1)*T664^INDEX(FlowCalConstB,MATCH(R651,FlowCalNumber,0),1,1)&gt;INDEX(FlowCalLowSetting,MATCH(R651,FlowCalNumber,0),1,1), (INDEX(FlowCalConstA,MATCH(R651,FlowCalNumber,0),1,1)*T664^INDEX(FlowCalConstB,MATCH(R651,FlowCalNumber,0),1,1)&lt;INDEX(FlowCalHighSetting,MATCH(R651,FlowCalNumber,0),1,1))),INDEX(FlowCalConstA,MATCH(R651,FlowCalNumber,0),1,1)*T664^INDEX(FlowCalConstB,MATCH(R651,FlowCalNumber,0),1,1)," ")</f>
        <v>#N/A</v>
      </c>
      <c r="V664" s="33"/>
      <c r="W664" s="242">
        <f t="shared" si="622"/>
        <v>0.1</v>
      </c>
      <c r="X664" s="241" t="e">
        <f t="shared" ca="1" si="623"/>
        <v>#VALUE!</v>
      </c>
      <c r="Y664" s="243" t="e">
        <f ca="1">IF(AND(INDEX(FlowCalConstA,MATCH(V651,FlowCalNumber,0),1,1)*X664^INDEX(FlowCalConstB,MATCH(V651,FlowCalNumber,0),1,1)&gt;INDEX(FlowCalLowSetting,MATCH(V651,FlowCalNumber,0),1,1), (INDEX(FlowCalConstA,MATCH(V651,FlowCalNumber,0),1,1)*X664^INDEX(FlowCalConstB,MATCH(V651,FlowCalNumber,0),1,1)&lt;INDEX(FlowCalHighSetting,MATCH(V651,FlowCalNumber,0),1,1))),INDEX(FlowCalConstA,MATCH(V651,FlowCalNumber,0),1,1)*X664^INDEX(FlowCalConstB,MATCH(V651,FlowCalNumber,0),1,1)," ")</f>
        <v>#N/A</v>
      </c>
      <c r="Z664" s="33"/>
      <c r="AA664" s="242">
        <f t="shared" si="624"/>
        <v>0.9</v>
      </c>
      <c r="AB664" s="241" t="e">
        <f t="shared" ca="1" si="625"/>
        <v>#VALUE!</v>
      </c>
      <c r="AC664" s="243" t="e">
        <f ca="1">IF(AND(INDEX(FlowCalConstA,MATCH(Z651,FlowCalNumber,0),1,1)*AB664^INDEX(FlowCalConstB,MATCH(Z651,FlowCalNumber,0),1,1)&gt;INDEX(FlowCalLowSetting,MATCH(Z651,FlowCalNumber,0),1,1), (INDEX(FlowCalConstA,MATCH(Z651,FlowCalNumber,0),1,1)*AB664^INDEX(FlowCalConstB,MATCH(Z651,FlowCalNumber,0),1,1)&lt;INDEX(FlowCalHighSetting,MATCH(Z651,FlowCalNumber,0),1,1))),INDEX(FlowCalConstA,MATCH(Z651,FlowCalNumber,0),1,1)*AB664^INDEX(FlowCalConstB,MATCH(Z651,FlowCalNumber,0),1,1)," ")</f>
        <v>#N/A</v>
      </c>
      <c r="AD664" s="33"/>
      <c r="AE664" s="242">
        <f t="shared" si="626"/>
        <v>0.1</v>
      </c>
      <c r="AF664" s="241" t="e">
        <f t="shared" ca="1" si="627"/>
        <v>#VALUE!</v>
      </c>
      <c r="AG664" s="243" t="e">
        <f ca="1">IF(AND(INDEX(FlowCalConstA,MATCH(AD651,FlowCalNumber,0),1,1)*AF664^INDEX(FlowCalConstB,MATCH(AD651,FlowCalNumber,0),1,1)&gt;INDEX(FlowCalLowSetting,MATCH(AD651,FlowCalNumber,0),1,1), (INDEX(FlowCalConstA,MATCH(AD651,FlowCalNumber,0),1,1)*AF664^INDEX(FlowCalConstB,MATCH(AD651,FlowCalNumber,0),1,1)&lt;INDEX(FlowCalHighSetting,MATCH(AD651,FlowCalNumber,0),1,1))),INDEX(FlowCalConstA,MATCH(AD651,FlowCalNumber,0),1,1)*AF664^INDEX(FlowCalConstB,MATCH(AD651,FlowCalNumber,0),1,1)," ")</f>
        <v>#N/A</v>
      </c>
      <c r="AH664" s="33"/>
      <c r="AI664" s="242">
        <f t="shared" si="628"/>
        <v>0.9</v>
      </c>
      <c r="AJ664" s="241" t="e">
        <f t="shared" ca="1" si="629"/>
        <v>#VALUE!</v>
      </c>
      <c r="AK664" s="243" t="e">
        <f ca="1">IF(AND(INDEX(FlowCalConstA,MATCH(AH651,FlowCalNumber,0),1,1)*AJ664^INDEX(FlowCalConstB,MATCH(AH651,FlowCalNumber,0),1,1)&gt;INDEX(FlowCalLowSetting,MATCH(AH651,FlowCalNumber,0),1,1), (INDEX(FlowCalConstA,MATCH(AH651,FlowCalNumber,0),1,1)*AJ664^INDEX(FlowCalConstB,MATCH(AH651,FlowCalNumber,0),1,1)&lt;INDEX(FlowCalHighSetting,MATCH(AH651,FlowCalNumber,0),1,1))),INDEX(FlowCalConstA,MATCH(AH651,FlowCalNumber,0),1,1)*AJ664^INDEX(FlowCalConstB,MATCH(AH651,FlowCalNumber,0),1,1)," ")</f>
        <v>#N/A</v>
      </c>
      <c r="AL664" s="33"/>
      <c r="AM664" s="242"/>
      <c r="AN664" s="241"/>
      <c r="AO664" s="244"/>
      <c r="AQ664" s="242"/>
      <c r="AR664" s="241"/>
      <c r="AS664" s="244"/>
      <c r="AT664" s="33"/>
      <c r="AU664" s="242"/>
      <c r="AV664" s="241"/>
      <c r="AW664" s="244"/>
      <c r="AX664" s="33"/>
      <c r="AY664" s="242"/>
      <c r="AZ664" s="241"/>
      <c r="BA664" s="244"/>
      <c r="BB664" s="33"/>
      <c r="BC664" s="242"/>
      <c r="BD664" s="241"/>
      <c r="BE664" s="244"/>
      <c r="BF664" s="33"/>
      <c r="BG664" s="242"/>
      <c r="BH664" s="241"/>
      <c r="BI664" s="244"/>
      <c r="BJ664" s="33"/>
      <c r="BK664" s="242"/>
      <c r="BL664" s="241"/>
      <c r="BM664" s="244"/>
      <c r="BN664" s="33"/>
      <c r="BO664" s="242"/>
      <c r="BP664" s="241"/>
      <c r="BQ664" s="244"/>
      <c r="BR664" s="33"/>
      <c r="BS664" s="242"/>
      <c r="BT664" s="241"/>
      <c r="BU664" s="244"/>
      <c r="BV664" s="33"/>
      <c r="BW664" s="242"/>
      <c r="BX664" s="241"/>
      <c r="BY664" s="244"/>
      <c r="BZ664" s="33"/>
      <c r="CA664" s="242"/>
      <c r="CB664" s="241"/>
      <c r="CC664" s="244"/>
      <c r="CD664" s="243"/>
      <c r="CE664" s="243"/>
      <c r="CF664" s="243"/>
      <c r="CG664" s="243"/>
      <c r="CH664" s="243"/>
      <c r="CI664" s="243"/>
      <c r="CJ664" s="243"/>
      <c r="CK664" s="243"/>
      <c r="CL664" s="243"/>
      <c r="CM664" s="243"/>
      <c r="CN664" s="243"/>
      <c r="CO664" s="243"/>
      <c r="CP664" s="243"/>
      <c r="CQ664" s="243"/>
      <c r="CR664" s="243"/>
      <c r="CS664" s="243"/>
      <c r="CT664" s="243"/>
      <c r="CU664" s="243"/>
      <c r="CV664" s="243"/>
      <c r="CW664" s="243"/>
      <c r="CX664" s="243"/>
      <c r="CY664" s="243"/>
      <c r="CZ664" s="243"/>
      <c r="DA664" s="243"/>
      <c r="DB664" s="243"/>
      <c r="DC664" s="243"/>
      <c r="DD664" s="243"/>
      <c r="DE664" s="243"/>
      <c r="DF664" s="243"/>
      <c r="DG664" s="243"/>
      <c r="DH664" s="243"/>
      <c r="DI664" s="243"/>
      <c r="DJ664" s="243"/>
      <c r="DK664" s="243"/>
      <c r="DM664" s="242"/>
      <c r="DO664" s="243"/>
      <c r="DQ664" s="242"/>
      <c r="DS664" s="243"/>
      <c r="DU664" s="242"/>
      <c r="DW664" s="243"/>
      <c r="DY664" s="242"/>
      <c r="EA664" s="243"/>
    </row>
    <row r="665" spans="1:131">
      <c r="A665" s="20"/>
      <c r="B665" s="124" t="str">
        <f t="shared" si="614"/>
        <v/>
      </c>
      <c r="C665" s="235"/>
      <c r="D665" s="24">
        <f>'1% Wind'!$M$95</f>
        <v>1.3</v>
      </c>
      <c r="E665" s="90"/>
      <c r="F665" s="90"/>
      <c r="G665" s="79">
        <f ca="1">IF(I651=0.9743,$G664,MAX(G664/D664*D665,2))</f>
        <v>6.001707317073171</v>
      </c>
      <c r="H665" s="121" t="e">
        <f t="shared" ca="1" si="615"/>
        <v>#VALUE!</v>
      </c>
      <c r="J665" s="33"/>
      <c r="K665" s="242">
        <f t="shared" si="616"/>
        <v>1</v>
      </c>
      <c r="L665" s="241" t="e">
        <f t="shared" ca="1" si="617"/>
        <v>#VALUE!</v>
      </c>
      <c r="M665" s="243" t="e">
        <f ca="1">IF(AND(INDEX(FlowCalConstA,MATCH(J651,FlowCalNumber,0),1,1)*L665^INDEX(FlowCalConstB,MATCH(J651,FlowCalNumber,0),1,1)&gt;INDEX(FlowCalLowSetting,MATCH(J651,FlowCalNumber,0),1,1), (INDEX(FlowCalConstA,MATCH(J651,FlowCalNumber,0),1,1)*L665^INDEX(FlowCalConstB,MATCH(J651,FlowCalNumber,0),1,1)&lt;INDEX(FlowCalHighSetting,MATCH(J651,FlowCalNumber,0),1,1))),INDEX(FlowCalConstA,MATCH(J651,FlowCalNumber,0),1,1)*L665^INDEX(FlowCalConstB,MATCH(J651,FlowCalNumber,0),1,1)," ")</f>
        <v>#N/A</v>
      </c>
      <c r="N665" s="33"/>
      <c r="O665" s="242">
        <f t="shared" si="618"/>
        <v>1</v>
      </c>
      <c r="P665" s="241" t="e">
        <f t="shared" ca="1" si="619"/>
        <v>#VALUE!</v>
      </c>
      <c r="Q665" s="243" t="e">
        <f ca="1">IF(AND(INDEX(FlowCalConstA,MATCH(N651,FlowCalNumber,0),1,1)*P665^INDEX(FlowCalConstB,MATCH(N651,FlowCalNumber,0),1,1)&gt;INDEX(FlowCalLowSetting,MATCH(N651,FlowCalNumber,0),1,1), (INDEX(FlowCalConstA,MATCH(N651,FlowCalNumber,0),1,1)*P665^INDEX(FlowCalConstB,MATCH(N651,FlowCalNumber,0),1,1)&lt;INDEX(FlowCalHighSetting,MATCH(N651,FlowCalNumber,0),1,1))),INDEX(FlowCalConstA,MATCH(N651,FlowCalNumber,0),1,1)*P665^INDEX(FlowCalConstB,MATCH(N651,FlowCalNumber,0),1,1)," ")</f>
        <v>#N/A</v>
      </c>
      <c r="R665" s="33"/>
      <c r="S665" s="242">
        <f t="shared" si="620"/>
        <v>1</v>
      </c>
      <c r="T665" s="241" t="e">
        <f t="shared" ca="1" si="621"/>
        <v>#VALUE!</v>
      </c>
      <c r="U665" s="244" t="e">
        <f ca="1">IF(AND(INDEX(FlowCalConstA,MATCH(R651,FlowCalNumber,0),1,1)*T665^INDEX(FlowCalConstB,MATCH(R651,FlowCalNumber,0),1,1)&gt;INDEX(FlowCalLowSetting,MATCH(R651,FlowCalNumber,0),1,1), (INDEX(FlowCalConstA,MATCH(R651,FlowCalNumber,0),1,1)*T665^INDEX(FlowCalConstB,MATCH(R651,FlowCalNumber,0),1,1)&lt;INDEX(FlowCalHighSetting,MATCH(R651,FlowCalNumber,0),1,1))),INDEX(FlowCalConstA,MATCH(R651,FlowCalNumber,0),1,1)*T665^INDEX(FlowCalConstB,MATCH(R651,FlowCalNumber,0),1,1)," ")</f>
        <v>#N/A</v>
      </c>
      <c r="V665" s="33"/>
      <c r="W665" s="242">
        <f t="shared" si="622"/>
        <v>0.1</v>
      </c>
      <c r="X665" s="241" t="e">
        <f t="shared" ca="1" si="623"/>
        <v>#VALUE!</v>
      </c>
      <c r="Y665" s="243" t="e">
        <f ca="1">IF(AND(INDEX(FlowCalConstA,MATCH(V651,FlowCalNumber,0),1,1)*X665^INDEX(FlowCalConstB,MATCH(V651,FlowCalNumber,0),1,1)&gt;INDEX(FlowCalLowSetting,MATCH(V651,FlowCalNumber,0),1,1), (INDEX(FlowCalConstA,MATCH(V651,FlowCalNumber,0),1,1)*X665^INDEX(FlowCalConstB,MATCH(V651,FlowCalNumber,0),1,1)&lt;INDEX(FlowCalHighSetting,MATCH(V651,FlowCalNumber,0),1,1))),INDEX(FlowCalConstA,MATCH(V651,FlowCalNumber,0),1,1)*X665^INDEX(FlowCalConstB,MATCH(V651,FlowCalNumber,0),1,1)," ")</f>
        <v>#N/A</v>
      </c>
      <c r="Z665" s="33"/>
      <c r="AA665" s="242">
        <f t="shared" si="624"/>
        <v>0.9</v>
      </c>
      <c r="AB665" s="241" t="e">
        <f t="shared" ca="1" si="625"/>
        <v>#VALUE!</v>
      </c>
      <c r="AC665" s="243" t="e">
        <f ca="1">IF(AND(INDEX(FlowCalConstA,MATCH(Z651,FlowCalNumber,0),1,1)*AB665^INDEX(FlowCalConstB,MATCH(Z651,FlowCalNumber,0),1,1)&gt;INDEX(FlowCalLowSetting,MATCH(Z651,FlowCalNumber,0),1,1), (INDEX(FlowCalConstA,MATCH(Z651,FlowCalNumber,0),1,1)*AB665^INDEX(FlowCalConstB,MATCH(Z651,FlowCalNumber,0),1,1)&lt;INDEX(FlowCalHighSetting,MATCH(Z651,FlowCalNumber,0),1,1))),INDEX(FlowCalConstA,MATCH(Z651,FlowCalNumber,0),1,1)*AB665^INDEX(FlowCalConstB,MATCH(Z651,FlowCalNumber,0),1,1)," ")</f>
        <v>#N/A</v>
      </c>
      <c r="AD665" s="33"/>
      <c r="AE665" s="242">
        <f t="shared" si="626"/>
        <v>0.1</v>
      </c>
      <c r="AF665" s="241" t="e">
        <f t="shared" ca="1" si="627"/>
        <v>#VALUE!</v>
      </c>
      <c r="AG665" s="243" t="e">
        <f ca="1">IF(AND(INDEX(FlowCalConstA,MATCH(AD651,FlowCalNumber,0),1,1)*AF665^INDEX(FlowCalConstB,MATCH(AD651,FlowCalNumber,0),1,1)&gt;INDEX(FlowCalLowSetting,MATCH(AD651,FlowCalNumber,0),1,1), (INDEX(FlowCalConstA,MATCH(AD651,FlowCalNumber,0),1,1)*AF665^INDEX(FlowCalConstB,MATCH(AD651,FlowCalNumber,0),1,1)&lt;INDEX(FlowCalHighSetting,MATCH(AD651,FlowCalNumber,0),1,1))),INDEX(FlowCalConstA,MATCH(AD651,FlowCalNumber,0),1,1)*AF665^INDEX(FlowCalConstB,MATCH(AD651,FlowCalNumber,0),1,1)," ")</f>
        <v>#N/A</v>
      </c>
      <c r="AH665" s="33"/>
      <c r="AI665" s="242">
        <f t="shared" si="628"/>
        <v>0.9</v>
      </c>
      <c r="AJ665" s="241" t="e">
        <f t="shared" ca="1" si="629"/>
        <v>#VALUE!</v>
      </c>
      <c r="AK665" s="243" t="e">
        <f ca="1">IF(AND(INDEX(FlowCalConstA,MATCH(AH651,FlowCalNumber,0),1,1)*AJ665^INDEX(FlowCalConstB,MATCH(AH651,FlowCalNumber,0),1,1)&gt;INDEX(FlowCalLowSetting,MATCH(AH651,FlowCalNumber,0),1,1), (INDEX(FlowCalConstA,MATCH(AH651,FlowCalNumber,0),1,1)*AJ665^INDEX(FlowCalConstB,MATCH(AH651,FlowCalNumber,0),1,1)&lt;INDEX(FlowCalHighSetting,MATCH(AH651,FlowCalNumber,0),1,1))),INDEX(FlowCalConstA,MATCH(AH651,FlowCalNumber,0),1,1)*AJ665^INDEX(FlowCalConstB,MATCH(AH651,FlowCalNumber,0),1,1)," ")</f>
        <v>#N/A</v>
      </c>
      <c r="AL665" s="33"/>
      <c r="AM665" s="242"/>
      <c r="AN665" s="241"/>
      <c r="AO665" s="244"/>
      <c r="AQ665" s="242"/>
      <c r="AR665" s="241"/>
      <c r="AS665" s="244"/>
      <c r="AT665" s="33"/>
      <c r="AU665" s="242"/>
      <c r="AV665" s="241"/>
      <c r="AW665" s="244"/>
      <c r="AX665" s="33"/>
      <c r="AY665" s="242"/>
      <c r="AZ665" s="241"/>
      <c r="BA665" s="244"/>
      <c r="BB665" s="33"/>
      <c r="BC665" s="242"/>
      <c r="BD665" s="241"/>
      <c r="BE665" s="244"/>
      <c r="BF665" s="33"/>
      <c r="BG665" s="242"/>
      <c r="BH665" s="241"/>
      <c r="BI665" s="244"/>
      <c r="BJ665" s="33"/>
      <c r="BK665" s="242"/>
      <c r="BL665" s="241"/>
      <c r="BM665" s="244"/>
      <c r="BN665" s="33"/>
      <c r="BO665" s="242"/>
      <c r="BP665" s="241"/>
      <c r="BQ665" s="244"/>
      <c r="BR665" s="33"/>
      <c r="BS665" s="242"/>
      <c r="BT665" s="241"/>
      <c r="BU665" s="244"/>
      <c r="BV665" s="33"/>
      <c r="BW665" s="242"/>
      <c r="BX665" s="241"/>
      <c r="BY665" s="244"/>
      <c r="BZ665" s="33"/>
      <c r="CA665" s="242"/>
      <c r="CB665" s="241"/>
      <c r="CC665" s="244"/>
      <c r="CD665" s="243"/>
      <c r="CE665" s="243"/>
      <c r="CF665" s="243"/>
      <c r="CG665" s="243"/>
      <c r="CH665" s="243"/>
      <c r="CI665" s="243"/>
      <c r="CJ665" s="243"/>
      <c r="CK665" s="243"/>
      <c r="CL665" s="243"/>
      <c r="CM665" s="243"/>
      <c r="CN665" s="243"/>
      <c r="CO665" s="243"/>
      <c r="CP665" s="243"/>
      <c r="CQ665" s="243"/>
      <c r="CR665" s="243"/>
      <c r="CS665" s="243"/>
      <c r="CT665" s="243"/>
      <c r="CU665" s="243"/>
      <c r="CV665" s="243"/>
      <c r="CW665" s="243"/>
      <c r="CX665" s="243"/>
      <c r="CY665" s="243"/>
      <c r="CZ665" s="243"/>
      <c r="DA665" s="243"/>
      <c r="DB665" s="243"/>
      <c r="DC665" s="243"/>
      <c r="DD665" s="243"/>
      <c r="DE665" s="243"/>
      <c r="DF665" s="243"/>
      <c r="DG665" s="243"/>
      <c r="DH665" s="243"/>
      <c r="DI665" s="243"/>
      <c r="DJ665" s="243"/>
      <c r="DK665" s="243"/>
      <c r="DM665" s="242"/>
      <c r="DO665" s="243"/>
      <c r="DQ665" s="242"/>
      <c r="DS665" s="243"/>
      <c r="DU665" s="242"/>
      <c r="DW665" s="243"/>
      <c r="DY665" s="242"/>
      <c r="EA665" s="243"/>
    </row>
    <row r="666" spans="1:131">
      <c r="A666" s="20"/>
      <c r="B666" s="124" t="str">
        <f t="shared" si="614"/>
        <v/>
      </c>
      <c r="C666" s="235"/>
      <c r="D666" s="24">
        <f>'1% Wind'!$M$96</f>
        <v>1</v>
      </c>
      <c r="E666" s="90"/>
      <c r="F666" s="90"/>
      <c r="G666" s="79">
        <f ca="1">IF(I651=0.9743,$G665,MAX(G665/D665*D666,2))</f>
        <v>6.001707317073171</v>
      </c>
      <c r="H666" s="121" t="e">
        <f t="shared" ca="1" si="615"/>
        <v>#VALUE!</v>
      </c>
      <c r="J666" s="33"/>
      <c r="K666" s="242">
        <f t="shared" si="616"/>
        <v>1</v>
      </c>
      <c r="L666" s="241" t="e">
        <f t="shared" ca="1" si="617"/>
        <v>#VALUE!</v>
      </c>
      <c r="M666" s="243" t="e">
        <f ca="1">IF(AND(INDEX(FlowCalConstA,MATCH(J651,FlowCalNumber,0),1,1)*L666^INDEX(FlowCalConstB,MATCH(J651,FlowCalNumber,0),1,1)&gt;INDEX(FlowCalLowSetting,MATCH(J651,FlowCalNumber,0),1,1), (INDEX(FlowCalConstA,MATCH(J651,FlowCalNumber,0),1,1)*L666^INDEX(FlowCalConstB,MATCH(J651,FlowCalNumber,0),1,1)&lt;INDEX(FlowCalHighSetting,MATCH(J651,FlowCalNumber,0),1,1))),INDEX(FlowCalConstA,MATCH(J651,FlowCalNumber,0),1,1)*L666^INDEX(FlowCalConstB,MATCH(J651,FlowCalNumber,0),1,1)," ")</f>
        <v>#N/A</v>
      </c>
      <c r="N666" s="33"/>
      <c r="O666" s="242">
        <f t="shared" si="618"/>
        <v>1</v>
      </c>
      <c r="P666" s="241" t="e">
        <f t="shared" ca="1" si="619"/>
        <v>#VALUE!</v>
      </c>
      <c r="Q666" s="243" t="e">
        <f ca="1">IF(AND(INDEX(FlowCalConstA,MATCH(N651,FlowCalNumber,0),1,1)*P666^INDEX(FlowCalConstB,MATCH(N651,FlowCalNumber,0),1,1)&gt;INDEX(FlowCalLowSetting,MATCH(N651,FlowCalNumber,0),1,1), (INDEX(FlowCalConstA,MATCH(N651,FlowCalNumber,0),1,1)*P666^INDEX(FlowCalConstB,MATCH(N651,FlowCalNumber,0),1,1)&lt;INDEX(FlowCalHighSetting,MATCH(N651,FlowCalNumber,0),1,1))),INDEX(FlowCalConstA,MATCH(N651,FlowCalNumber,0),1,1)*P666^INDEX(FlowCalConstB,MATCH(N651,FlowCalNumber,0),1,1)," ")</f>
        <v>#N/A</v>
      </c>
      <c r="R666" s="33"/>
      <c r="S666" s="242">
        <f t="shared" si="620"/>
        <v>1</v>
      </c>
      <c r="T666" s="241" t="e">
        <f t="shared" ca="1" si="621"/>
        <v>#VALUE!</v>
      </c>
      <c r="U666" s="244" t="e">
        <f ca="1">IF(AND(INDEX(FlowCalConstA,MATCH(R651,FlowCalNumber,0),1,1)*T666^INDEX(FlowCalConstB,MATCH(R651,FlowCalNumber,0),1,1)&gt;INDEX(FlowCalLowSetting,MATCH(R651,FlowCalNumber,0),1,1), (INDEX(FlowCalConstA,MATCH(R651,FlowCalNumber,0),1,1)*T666^INDEX(FlowCalConstB,MATCH(R651,FlowCalNumber,0),1,1)&lt;INDEX(FlowCalHighSetting,MATCH(R651,FlowCalNumber,0),1,1))),INDEX(FlowCalConstA,MATCH(R651,FlowCalNumber,0),1,1)*T666^INDEX(FlowCalConstB,MATCH(R651,FlowCalNumber,0),1,1)," ")</f>
        <v>#N/A</v>
      </c>
      <c r="V666" s="33"/>
      <c r="W666" s="242">
        <f t="shared" si="622"/>
        <v>0.1</v>
      </c>
      <c r="X666" s="241" t="e">
        <f t="shared" ca="1" si="623"/>
        <v>#VALUE!</v>
      </c>
      <c r="Y666" s="243" t="e">
        <f ca="1">IF(AND(INDEX(FlowCalConstA,MATCH(V651,FlowCalNumber,0),1,1)*X666^INDEX(FlowCalConstB,MATCH(V651,FlowCalNumber,0),1,1)&gt;INDEX(FlowCalLowSetting,MATCH(V651,FlowCalNumber,0),1,1), (INDEX(FlowCalConstA,MATCH(V651,FlowCalNumber,0),1,1)*X666^INDEX(FlowCalConstB,MATCH(V651,FlowCalNumber,0),1,1)&lt;INDEX(FlowCalHighSetting,MATCH(V651,FlowCalNumber,0),1,1))),INDEX(FlowCalConstA,MATCH(V651,FlowCalNumber,0),1,1)*X666^INDEX(FlowCalConstB,MATCH(V651,FlowCalNumber,0),1,1)," ")</f>
        <v>#N/A</v>
      </c>
      <c r="Z666" s="33"/>
      <c r="AA666" s="242">
        <f t="shared" si="624"/>
        <v>0.9</v>
      </c>
      <c r="AB666" s="241" t="e">
        <f t="shared" ca="1" si="625"/>
        <v>#VALUE!</v>
      </c>
      <c r="AC666" s="243" t="e">
        <f ca="1">IF(AND(INDEX(FlowCalConstA,MATCH(Z651,FlowCalNumber,0),1,1)*AB666^INDEX(FlowCalConstB,MATCH(Z651,FlowCalNumber,0),1,1)&gt;INDEX(FlowCalLowSetting,MATCH(Z651,FlowCalNumber,0),1,1), (INDEX(FlowCalConstA,MATCH(Z651,FlowCalNumber,0),1,1)*AB666^INDEX(FlowCalConstB,MATCH(Z651,FlowCalNumber,0),1,1)&lt;INDEX(FlowCalHighSetting,MATCH(Z651,FlowCalNumber,0),1,1))),INDEX(FlowCalConstA,MATCH(Z651,FlowCalNumber,0),1,1)*AB666^INDEX(FlowCalConstB,MATCH(Z651,FlowCalNumber,0),1,1)," ")</f>
        <v>#N/A</v>
      </c>
      <c r="AD666" s="33"/>
      <c r="AE666" s="242">
        <f t="shared" si="626"/>
        <v>0.1</v>
      </c>
      <c r="AF666" s="241" t="e">
        <f t="shared" ca="1" si="627"/>
        <v>#VALUE!</v>
      </c>
      <c r="AG666" s="243" t="e">
        <f ca="1">IF(AND(INDEX(FlowCalConstA,MATCH(AD651,FlowCalNumber,0),1,1)*AF666^INDEX(FlowCalConstB,MATCH(AD651,FlowCalNumber,0),1,1)&gt;INDEX(FlowCalLowSetting,MATCH(AD651,FlowCalNumber,0),1,1), (INDEX(FlowCalConstA,MATCH(AD651,FlowCalNumber,0),1,1)*AF666^INDEX(FlowCalConstB,MATCH(AD651,FlowCalNumber,0),1,1)&lt;INDEX(FlowCalHighSetting,MATCH(AD651,FlowCalNumber,0),1,1))),INDEX(FlowCalConstA,MATCH(AD651,FlowCalNumber,0),1,1)*AF666^INDEX(FlowCalConstB,MATCH(AD651,FlowCalNumber,0),1,1)," ")</f>
        <v>#N/A</v>
      </c>
      <c r="AH666" s="33"/>
      <c r="AI666" s="242">
        <f t="shared" si="628"/>
        <v>0.9</v>
      </c>
      <c r="AJ666" s="241" t="e">
        <f t="shared" ca="1" si="629"/>
        <v>#VALUE!</v>
      </c>
      <c r="AK666" s="243" t="e">
        <f ca="1">IF(AND(INDEX(FlowCalConstA,MATCH(AH651,FlowCalNumber,0),1,1)*AJ666^INDEX(FlowCalConstB,MATCH(AH651,FlowCalNumber,0),1,1)&gt;INDEX(FlowCalLowSetting,MATCH(AH651,FlowCalNumber,0),1,1), (INDEX(FlowCalConstA,MATCH(AH651,FlowCalNumber,0),1,1)*AJ666^INDEX(FlowCalConstB,MATCH(AH651,FlowCalNumber,0),1,1)&lt;INDEX(FlowCalHighSetting,MATCH(AH651,FlowCalNumber,0),1,1))),INDEX(FlowCalConstA,MATCH(AH651,FlowCalNumber,0),1,1)*AJ666^INDEX(FlowCalConstB,MATCH(AH651,FlowCalNumber,0),1,1)," ")</f>
        <v>#N/A</v>
      </c>
      <c r="AL666" s="33"/>
      <c r="AM666" s="242"/>
      <c r="AN666" s="241"/>
      <c r="AO666" s="244"/>
      <c r="AQ666" s="242"/>
      <c r="AR666" s="241"/>
      <c r="AS666" s="244"/>
      <c r="AT666" s="33"/>
      <c r="AU666" s="242"/>
      <c r="AV666" s="241"/>
      <c r="AW666" s="244"/>
      <c r="AX666" s="33"/>
      <c r="AY666" s="242"/>
      <c r="AZ666" s="241"/>
      <c r="BA666" s="244"/>
      <c r="BB666" s="33"/>
      <c r="BC666" s="242"/>
      <c r="BD666" s="241"/>
      <c r="BE666" s="244"/>
      <c r="BF666" s="33"/>
      <c r="BG666" s="242"/>
      <c r="BH666" s="241"/>
      <c r="BI666" s="244"/>
      <c r="BJ666" s="33"/>
      <c r="BK666" s="242"/>
      <c r="BL666" s="241"/>
      <c r="BM666" s="244"/>
      <c r="BN666" s="33"/>
      <c r="BO666" s="242"/>
      <c r="BP666" s="241"/>
      <c r="BQ666" s="244"/>
      <c r="BR666" s="33"/>
      <c r="BS666" s="242"/>
      <c r="BT666" s="241"/>
      <c r="BU666" s="244"/>
      <c r="BV666" s="33"/>
      <c r="BW666" s="242"/>
      <c r="BX666" s="241"/>
      <c r="BY666" s="244"/>
      <c r="BZ666" s="33"/>
      <c r="CA666" s="242"/>
      <c r="CB666" s="241"/>
      <c r="CC666" s="244"/>
      <c r="CD666" s="243"/>
      <c r="CE666" s="243"/>
      <c r="CF666" s="243"/>
      <c r="CG666" s="243"/>
      <c r="CH666" s="243"/>
      <c r="CI666" s="243"/>
      <c r="CJ666" s="243"/>
      <c r="CK666" s="243"/>
      <c r="CL666" s="243"/>
      <c r="CM666" s="243"/>
      <c r="CN666" s="243"/>
      <c r="CO666" s="243"/>
      <c r="CP666" s="243"/>
      <c r="CQ666" s="243"/>
      <c r="CR666" s="243"/>
      <c r="CS666" s="243"/>
      <c r="CT666" s="243"/>
      <c r="CU666" s="243"/>
      <c r="CV666" s="243"/>
      <c r="CW666" s="243"/>
      <c r="CX666" s="243"/>
      <c r="CY666" s="243"/>
      <c r="CZ666" s="243"/>
      <c r="DA666" s="243"/>
      <c r="DB666" s="243"/>
      <c r="DC666" s="243"/>
      <c r="DD666" s="243"/>
      <c r="DE666" s="243"/>
      <c r="DF666" s="243"/>
      <c r="DG666" s="243"/>
      <c r="DH666" s="243"/>
      <c r="DI666" s="243"/>
      <c r="DJ666" s="243"/>
      <c r="DK666" s="243"/>
      <c r="DM666" s="242"/>
      <c r="DO666" s="243"/>
      <c r="DQ666" s="242"/>
      <c r="DS666" s="243"/>
      <c r="DU666" s="242"/>
      <c r="DW666" s="243"/>
      <c r="DY666" s="242"/>
      <c r="EA666" s="243"/>
    </row>
    <row r="667" spans="1:131">
      <c r="A667" s="33"/>
      <c r="B667" s="33"/>
      <c r="C667" s="235"/>
      <c r="E667" s="90"/>
      <c r="F667" s="90"/>
      <c r="G667" s="33"/>
      <c r="J667" s="33"/>
      <c r="M667" s="243"/>
      <c r="N667" s="33"/>
      <c r="Q667" s="243"/>
      <c r="R667" s="33"/>
      <c r="U667" s="244"/>
      <c r="V667" s="33"/>
      <c r="Y667" s="243"/>
      <c r="Z667" s="33"/>
      <c r="AC667" s="243"/>
      <c r="AD667" s="33"/>
      <c r="AG667" s="243"/>
      <c r="AH667" s="33"/>
      <c r="AK667" s="243"/>
      <c r="AL667" s="33"/>
      <c r="AO667" s="244"/>
      <c r="AS667" s="244"/>
      <c r="AT667" s="33"/>
      <c r="AW667" s="244"/>
      <c r="AX667" s="33"/>
      <c r="BA667" s="244"/>
      <c r="BB667" s="33"/>
      <c r="BE667" s="244"/>
      <c r="BF667" s="33"/>
      <c r="BI667" s="244"/>
      <c r="BJ667" s="33"/>
      <c r="BM667" s="244"/>
      <c r="BN667" s="33"/>
      <c r="BQ667" s="244"/>
      <c r="BR667" s="792"/>
      <c r="BS667" s="243"/>
      <c r="BT667" s="243"/>
      <c r="BU667" s="244"/>
      <c r="BV667" s="33"/>
      <c r="BY667" s="244"/>
      <c r="BZ667" s="33"/>
      <c r="CC667" s="244"/>
      <c r="CD667" s="243"/>
      <c r="CE667" s="243"/>
      <c r="CF667" s="243"/>
      <c r="CG667" s="243"/>
      <c r="CH667" s="243"/>
      <c r="CI667" s="243"/>
      <c r="CJ667" s="243"/>
      <c r="CK667" s="243"/>
      <c r="CL667" s="243"/>
      <c r="CM667" s="243"/>
      <c r="CN667" s="243"/>
      <c r="CO667" s="243"/>
      <c r="CP667" s="243"/>
      <c r="CQ667" s="243"/>
      <c r="CR667" s="243"/>
      <c r="CS667" s="243"/>
      <c r="CT667" s="243"/>
      <c r="CU667" s="243"/>
      <c r="CV667" s="243"/>
      <c r="CW667" s="243"/>
      <c r="CX667" s="243"/>
      <c r="CY667" s="243"/>
      <c r="CZ667" s="243"/>
      <c r="DA667" s="243"/>
      <c r="DB667" s="243"/>
      <c r="DC667" s="243"/>
      <c r="DD667" s="243"/>
      <c r="DE667" s="243"/>
      <c r="DF667" s="243"/>
      <c r="DG667" s="243"/>
      <c r="DH667" s="243"/>
      <c r="DI667" s="243"/>
      <c r="DJ667" s="243"/>
      <c r="DK667" s="243"/>
      <c r="DO667" s="243"/>
      <c r="DS667" s="243"/>
      <c r="DW667" s="243"/>
      <c r="EA667" s="243"/>
    </row>
    <row r="668" spans="1:131">
      <c r="A668" s="256" t="str">
        <f>IF((RIGHT(A651,1))&lt;&gt;"Z",CHAR(CODE(A651))&amp;CHAR(CODE(RIGHT(A651,1))+1),CHAR(CODE(A651)+1)&amp;"A")</f>
        <v>BM</v>
      </c>
      <c r="B668" s="270" t="str">
        <f>INDEX(SourceID,MATCH($A668,SourceNumber,0),1,1)</f>
        <v>B2 DT</v>
      </c>
      <c r="C668" s="354">
        <f>INDEX(SourceExitDiameter,MATCH($A668,SourceNumber,0),1,1)*3.28*12</f>
        <v>5.9999999999999991</v>
      </c>
      <c r="D668" s="24" t="str">
        <f>UAnem1percent</f>
        <v>1% Wind</v>
      </c>
      <c r="E668" s="350" t="e">
        <f ca="1">INDIRECT(ADDRESS(53,6,1,,CONCATENATE("TA",$A668)))</f>
        <v>#REF!</v>
      </c>
      <c r="F668" s="625" t="e">
        <f ca="1">(ROUND((INDIRECT(ADDRESS(15,7,1,,CONCATENATE("TA",$A668)))*3.28*12*32),0)&amp;"/32")</f>
        <v>#REF!</v>
      </c>
      <c r="G668" s="125">
        <f ca="1">INDIRECT(ADDRESS(29,7,1,,$A668))</f>
        <v>6.001707317073171</v>
      </c>
      <c r="H668" s="24" t="e">
        <f ca="1">INDIRECT(ADDRESS(19,7,1,,$A668))*100^3</f>
        <v>#VALUE!</v>
      </c>
      <c r="I668" s="941">
        <f ca="1">INDIRECT(ADDRESS(53,7,1,,$A668))</f>
        <v>0.97430000000000005</v>
      </c>
      <c r="J668" s="20" t="str">
        <f ca="1">IF($I668=$I$6,K$16&amp;$G$6&amp;J$6,IF($I668=$I$7,K$16&amp;$G$7&amp;J$7,"Bad"))</f>
        <v>100EthPick a Tunnel</v>
      </c>
      <c r="K668" t="e">
        <f ca="1">INDEX(FlowCalGasMixture,MATCH(J668,FlowCalNumber,0),1,1)</f>
        <v>#N/A</v>
      </c>
      <c r="M668" s="944" t="e">
        <f ca="1">INDEX(FlowCalDevice,MATCH(J668,FlowCalNumber,0),1,1)</f>
        <v>#N/A</v>
      </c>
      <c r="N668" s="943" t="str">
        <f ca="1">IF($I668=$I$6,O$16&amp;$G$6&amp;"90"&amp;$H$6&amp;N$6,IF($I668=$I$7,O$16&amp;$G$7&amp;"90"&amp;$H$7&amp;N$7,"Bad"))</f>
        <v>10Eth90N2Pick a Tunnel</v>
      </c>
      <c r="O668" t="e">
        <f ca="1">INDEX(FlowCalGasMixture,MATCH(N668,FlowCalNumber,0),1,1)</f>
        <v>#N/A</v>
      </c>
      <c r="Q668" s="944" t="e">
        <f ca="1">INDEX(FlowCalDevice,MATCH(N668,FlowCalNumber,0),1,1)</f>
        <v>#N/A</v>
      </c>
      <c r="R668" s="943" t="str">
        <f ca="1">IF($I668=$I$6,S$16&amp;$G$6&amp;"90"&amp;$H$6&amp;R$6,IF($I668=$I$7,S$16&amp;$G$7&amp;"90"&amp;$H$7&amp;R$7,"Bad"))</f>
        <v>10Eth90N2Pick a Tunnel</v>
      </c>
      <c r="S668" t="e">
        <f ca="1">INDEX(FlowCalGasMixture,MATCH(R668,FlowCalNumber,0),1,1)</f>
        <v>#N/A</v>
      </c>
      <c r="U668" s="944" t="e">
        <f ca="1">INDEX(FlowCalDevice,MATCH(R668,FlowCalNumber,0),1,1)</f>
        <v>#N/A</v>
      </c>
      <c r="V668" s="20" t="str">
        <f ca="1">IF($I668=$I$6,W$16&amp;$G$6&amp;V$6,IF($I668=$I$7,W$16&amp;$G$7&amp;V$7,"Bad"))</f>
        <v>100EthPick a Tunnel</v>
      </c>
      <c r="W668" t="e">
        <f ca="1">INDEX(FlowCalGasMixture,MATCH(V668,FlowCalNumber,0),1,1)</f>
        <v>#N/A</v>
      </c>
      <c r="Y668" s="944" t="e">
        <f ca="1">INDEX(FlowCalDevice,MATCH(V668,FlowCalNumber,0),1,1)</f>
        <v>#N/A</v>
      </c>
      <c r="Z668" s="946" t="str">
        <f ca="1">IF($I668=$I$6,AA$18&amp;$H$6&amp;Z$6,IF($I668=$I$7,AA$18&amp;$H$7&amp;Z$7,"Bad"))</f>
        <v>100N2Pick a Tunnel</v>
      </c>
      <c r="AA668" t="e">
        <f ca="1">INDEX(FlowCalGasMixture,MATCH(Z668,FlowCalNumber,0),1,1)</f>
        <v>#N/A</v>
      </c>
      <c r="AC668" s="944" t="e">
        <f ca="1">INDEX(FlowCalDevice,MATCH(Z668,FlowCalNumber,0),1,1)</f>
        <v>#N/A</v>
      </c>
      <c r="AD668" s="20" t="str">
        <f ca="1">IF($I668=$I$6,AE$16&amp;$G$6&amp;AD$6,IF($I668=$I$7,AE$16&amp;$G$7&amp;AD$7,"Bad"))</f>
        <v>100EthPick a Tunnel</v>
      </c>
      <c r="AE668" t="e">
        <f ca="1">INDEX(FlowCalGasMixture,MATCH(AD668,FlowCalNumber,0),1,1)</f>
        <v>#N/A</v>
      </c>
      <c r="AG668" s="944" t="e">
        <f ca="1">INDEX(FlowCalDevice,MATCH(AD668,FlowCalNumber,0),1,1)</f>
        <v>#N/A</v>
      </c>
      <c r="AH668" s="946" t="str">
        <f ca="1">IF($I668=$I$6,AI$18&amp;$H$6&amp;AH$6,IF($I668=$I$7,AI$18&amp;$H$7&amp;AH$7,"Bad"))</f>
        <v>100N2Pick a Tunnel</v>
      </c>
      <c r="AI668" t="e">
        <f ca="1">INDEX(FlowCalGasMixture,MATCH(AH668,FlowCalNumber,0),1,1)</f>
        <v>#N/A</v>
      </c>
      <c r="AK668" s="944" t="e">
        <f ca="1">INDEX(FlowCalDevice,MATCH(AH668,FlowCalNumber,0),1,1)</f>
        <v>#N/A</v>
      </c>
      <c r="AL668" s="20"/>
      <c r="AO668" s="982"/>
      <c r="AP668" s="960"/>
      <c r="AS668" s="982"/>
      <c r="AT668" s="20"/>
      <c r="AW668" s="982"/>
      <c r="AX668" s="946"/>
      <c r="BA668" s="982"/>
      <c r="BB668" s="20"/>
      <c r="BC668" s="16"/>
      <c r="BE668" s="982"/>
      <c r="BF668" s="946"/>
      <c r="BG668" s="16"/>
      <c r="BI668" s="982"/>
      <c r="BJ668" s="946"/>
      <c r="BK668" s="16"/>
      <c r="BM668" s="982"/>
      <c r="BN668" s="20"/>
      <c r="BO668" s="16"/>
      <c r="BQ668" s="982"/>
      <c r="BR668" s="946"/>
      <c r="BS668" s="16"/>
      <c r="BU668" s="982"/>
      <c r="BV668" s="946"/>
      <c r="BW668" s="16"/>
      <c r="BY668" s="982"/>
      <c r="BZ668" s="946"/>
      <c r="CA668" s="16"/>
      <c r="CC668" s="982"/>
      <c r="CD668" s="355"/>
      <c r="CE668" s="355"/>
      <c r="CF668" s="355"/>
      <c r="CG668" s="355"/>
      <c r="CH668" s="355"/>
      <c r="CI668" s="355"/>
      <c r="CJ668" s="355"/>
      <c r="CK668" s="355"/>
      <c r="CL668" s="355"/>
      <c r="CM668" s="355"/>
      <c r="CN668" s="355"/>
      <c r="CO668" s="355"/>
      <c r="CP668" s="355"/>
      <c r="CQ668" s="355"/>
      <c r="CR668" s="355"/>
      <c r="CS668" s="355"/>
      <c r="CT668" s="355"/>
      <c r="CU668" s="355"/>
      <c r="CV668" s="355"/>
      <c r="CW668" s="355"/>
      <c r="CX668" s="355"/>
      <c r="CY668" s="355"/>
      <c r="CZ668" s="355"/>
      <c r="DA668" s="355"/>
      <c r="DB668" s="355"/>
      <c r="DC668" s="355"/>
      <c r="DD668" s="355"/>
      <c r="DE668" s="355"/>
      <c r="DF668" s="355"/>
      <c r="DG668" s="355"/>
      <c r="DH668" s="355"/>
      <c r="DI668" s="355"/>
      <c r="DJ668" s="355"/>
      <c r="DK668" s="355"/>
      <c r="DL668" s="46"/>
      <c r="DM668" s="16"/>
      <c r="DO668" s="355"/>
      <c r="DP668" s="42"/>
      <c r="DQ668" s="16"/>
      <c r="DS668" s="355"/>
      <c r="DT668" s="42"/>
      <c r="DU668" s="16"/>
      <c r="DW668" s="355"/>
      <c r="DX668" s="42"/>
      <c r="DY668" s="16"/>
      <c r="EA668" s="355"/>
    </row>
    <row r="669" spans="1:131">
      <c r="A669" s="20"/>
      <c r="B669" s="124" t="str">
        <f t="shared" ref="B669:B683" si="630">IF(D669=UAnem1percent,"1% Wind","")</f>
        <v/>
      </c>
      <c r="C669" s="235"/>
      <c r="D669" s="24">
        <f>'1% Wind'!$M$82</f>
        <v>27</v>
      </c>
      <c r="E669" s="90"/>
      <c r="F669" s="90"/>
      <c r="G669" s="79">
        <f ca="1">IF(I668=0.9743,$G668,MAX(G668/D668*D669,2))</f>
        <v>6.001707317073171</v>
      </c>
      <c r="H669" s="121" t="e">
        <f t="shared" ref="H669:H683" ca="1" si="631">H668*(D668/D669)*(G669/G668)</f>
        <v>#VALUE!</v>
      </c>
      <c r="J669" s="33"/>
      <c r="K669" s="260">
        <f>K$17/100</f>
        <v>1</v>
      </c>
      <c r="L669" s="241" t="e">
        <f ca="1">K669*$H669</f>
        <v>#VALUE!</v>
      </c>
      <c r="M669" s="243" t="e">
        <f ca="1">IF(AND(INDEX(FlowCalConstA,MATCH(J668,FlowCalNumber,0),1,1)*L669^INDEX(FlowCalConstB,MATCH(J668,FlowCalNumber,0),1,1)&gt;INDEX(FlowCalLowSetting,MATCH(J668,FlowCalNumber,0),1,1), (INDEX(FlowCalConstA,MATCH(J668,FlowCalNumber,0),1,1)*L669^INDEX(FlowCalConstB,MATCH(J668,FlowCalNumber,0),1,1)&lt;INDEX(FlowCalHighSetting,MATCH(J668,FlowCalNumber,0),1,1))),INDEX(FlowCalConstA,MATCH(J668,FlowCalNumber,0),1,1)*L669^INDEX(FlowCalConstB,MATCH(J668,FlowCalNumber,0),1,1)," ")</f>
        <v>#N/A</v>
      </c>
      <c r="N669" s="33"/>
      <c r="O669" s="260">
        <f>O$17/100</f>
        <v>1</v>
      </c>
      <c r="P669" s="241" t="e">
        <f ca="1">O669*$H669</f>
        <v>#VALUE!</v>
      </c>
      <c r="Q669" s="243" t="e">
        <f ca="1">IF(AND(INDEX(FlowCalConstA,MATCH(N668,FlowCalNumber,0),1,1)*P669^INDEX(FlowCalConstB,MATCH(N668,FlowCalNumber,0),1,1)&gt;INDEX(FlowCalLowSetting,MATCH(N668,FlowCalNumber,0),1,1), (INDEX(FlowCalConstA,MATCH(N668,FlowCalNumber,0),1,1)*P669^INDEX(FlowCalConstB,MATCH(N668,FlowCalNumber,0),1,1)&lt;INDEX(FlowCalHighSetting,MATCH(N668,FlowCalNumber,0),1,1))),INDEX(FlowCalConstA,MATCH(N668,FlowCalNumber,0),1,1)*P669^INDEX(FlowCalConstB,MATCH(N668,FlowCalNumber,0),1,1)," ")</f>
        <v>#N/A</v>
      </c>
      <c r="R669" s="33"/>
      <c r="S669" s="260">
        <f>S$17/100</f>
        <v>1</v>
      </c>
      <c r="T669" s="241" t="e">
        <f ca="1">S669*$H669</f>
        <v>#VALUE!</v>
      </c>
      <c r="U669" s="244" t="e">
        <f ca="1">IF(AND(INDEX(FlowCalConstA,MATCH(R668,FlowCalNumber,0),1,1)*T669^INDEX(FlowCalConstB,MATCH(R668,FlowCalNumber,0),1,1)&gt;INDEX(FlowCalLowSetting,MATCH(R668,FlowCalNumber,0),1,1), (INDEX(FlowCalConstA,MATCH(R668,FlowCalNumber,0),1,1)*T669^INDEX(FlowCalConstB,MATCH(R668,FlowCalNumber,0),1,1)&lt;INDEX(FlowCalHighSetting,MATCH(R668,FlowCalNumber,0),1,1))),INDEX(FlowCalConstA,MATCH(R668,FlowCalNumber,0),1,1)*T669^INDEX(FlowCalConstB,MATCH(R668,FlowCalNumber,0),1,1)," ")</f>
        <v>#N/A</v>
      </c>
      <c r="V669" s="33"/>
      <c r="W669" s="260">
        <f>W$17/100</f>
        <v>0.1</v>
      </c>
      <c r="X669" s="241" t="e">
        <f ca="1">W669*$H669</f>
        <v>#VALUE!</v>
      </c>
      <c r="Y669" s="243" t="e">
        <f ca="1">IF(AND(INDEX(FlowCalConstA,MATCH(V668,FlowCalNumber,0),1,1)*X669^INDEX(FlowCalConstB,MATCH(V668,FlowCalNumber,0),1,1)&gt;INDEX(FlowCalLowSetting,MATCH(V668,FlowCalNumber,0),1,1), (INDEX(FlowCalConstA,MATCH(V668,FlowCalNumber,0),1,1)*X669^INDEX(FlowCalConstB,MATCH(V668,FlowCalNumber,0),1,1)&lt;INDEX(FlowCalHighSetting,MATCH(V668,FlowCalNumber,0),1,1))),INDEX(FlowCalConstA,MATCH(V668,FlowCalNumber,0),1,1)*X669^INDEX(FlowCalConstB,MATCH(V668,FlowCalNumber,0),1,1)," ")</f>
        <v>#N/A</v>
      </c>
      <c r="Z669" s="33"/>
      <c r="AA669" s="260">
        <f>AA$17/100</f>
        <v>0.9</v>
      </c>
      <c r="AB669" s="241" t="e">
        <f ca="1">AA669*$H669</f>
        <v>#VALUE!</v>
      </c>
      <c r="AC669" s="243" t="e">
        <f ca="1">IF(AND(INDEX(FlowCalConstA,MATCH(Z668,FlowCalNumber,0),1,1)*AB669^INDEX(FlowCalConstB,MATCH(Z668,FlowCalNumber,0),1,1)&gt;INDEX(FlowCalLowSetting,MATCH(Z668,FlowCalNumber,0),1,1), (INDEX(FlowCalConstA,MATCH(Z668,FlowCalNumber,0),1,1)*AB669^INDEX(FlowCalConstB,MATCH(Z668,FlowCalNumber,0),1,1)&lt;INDEX(FlowCalHighSetting,MATCH(Z668,FlowCalNumber,0),1,1))),INDEX(FlowCalConstA,MATCH(Z668,FlowCalNumber,0),1,1)*AB669^INDEX(FlowCalConstB,MATCH(Z668,FlowCalNumber,0),1,1)," ")</f>
        <v>#N/A</v>
      </c>
      <c r="AD669" s="33"/>
      <c r="AE669" s="260">
        <f>AE$17/100</f>
        <v>0.1</v>
      </c>
      <c r="AF669" s="241" t="e">
        <f ca="1">AE669*$H669</f>
        <v>#VALUE!</v>
      </c>
      <c r="AG669" s="243" t="e">
        <f ca="1">IF(AND(INDEX(FlowCalConstA,MATCH(AD668,FlowCalNumber,0),1,1)*AF669^INDEX(FlowCalConstB,MATCH(AD668,FlowCalNumber,0),1,1)&gt;INDEX(FlowCalLowSetting,MATCH(AD668,FlowCalNumber,0),1,1), (INDEX(FlowCalConstA,MATCH(AD668,FlowCalNumber,0),1,1)*AF669^INDEX(FlowCalConstB,MATCH(AD668,FlowCalNumber,0),1,1)&lt;INDEX(FlowCalHighSetting,MATCH(AD668,FlowCalNumber,0),1,1))),INDEX(FlowCalConstA,MATCH(AD668,FlowCalNumber,0),1,1)*AF669^INDEX(FlowCalConstB,MATCH(AD668,FlowCalNumber,0),1,1)," ")</f>
        <v>#N/A</v>
      </c>
      <c r="AH669" s="33"/>
      <c r="AI669" s="260">
        <f>AI$17/100</f>
        <v>0.9</v>
      </c>
      <c r="AJ669" s="241" t="e">
        <f ca="1">AI669*$H669</f>
        <v>#VALUE!</v>
      </c>
      <c r="AK669" s="243" t="e">
        <f ca="1">IF(AND(INDEX(FlowCalConstA,MATCH(AH668,FlowCalNumber,0),1,1)*AJ669^INDEX(FlowCalConstB,MATCH(AH668,FlowCalNumber,0),1,1)&gt;INDEX(FlowCalLowSetting,MATCH(AH668,FlowCalNumber,0),1,1), (INDEX(FlowCalConstA,MATCH(AH668,FlowCalNumber,0),1,1)*AJ669^INDEX(FlowCalConstB,MATCH(AH668,FlowCalNumber,0),1,1)&lt;INDEX(FlowCalHighSetting,MATCH(AH668,FlowCalNumber,0),1,1))),INDEX(FlowCalConstA,MATCH(AH668,FlowCalNumber,0),1,1)*AJ669^INDEX(FlowCalConstB,MATCH(AH668,FlowCalNumber,0),1,1)," ")</f>
        <v>#N/A</v>
      </c>
      <c r="AL669" s="33"/>
      <c r="AM669" s="260"/>
      <c r="AN669" s="241"/>
      <c r="AO669" s="244"/>
      <c r="AQ669" s="260"/>
      <c r="AR669" s="241"/>
      <c r="AS669" s="244"/>
      <c r="AT669" s="33"/>
      <c r="AU669" s="260"/>
      <c r="AV669" s="241"/>
      <c r="AW669" s="244"/>
      <c r="AX669" s="33"/>
      <c r="AY669" s="260"/>
      <c r="AZ669" s="241"/>
      <c r="BA669" s="244"/>
      <c r="BB669" s="33"/>
      <c r="BC669" s="260"/>
      <c r="BD669" s="241"/>
      <c r="BE669" s="244"/>
      <c r="BF669" s="33"/>
      <c r="BG669" s="260"/>
      <c r="BH669" s="241"/>
      <c r="BI669" s="244"/>
      <c r="BJ669" s="33"/>
      <c r="BK669" s="260"/>
      <c r="BL669" s="241"/>
      <c r="BM669" s="244"/>
      <c r="BN669" s="33"/>
      <c r="BO669" s="260"/>
      <c r="BP669" s="241"/>
      <c r="BQ669" s="244"/>
      <c r="BR669" s="33"/>
      <c r="BS669" s="260"/>
      <c r="BT669" s="241"/>
      <c r="BU669" s="244"/>
      <c r="BV669" s="33"/>
      <c r="BW669" s="260"/>
      <c r="BX669" s="241"/>
      <c r="BY669" s="244"/>
      <c r="BZ669" s="33"/>
      <c r="CA669" s="260"/>
      <c r="CB669" s="241"/>
      <c r="CC669" s="244"/>
      <c r="CD669" s="243"/>
      <c r="CE669" s="243"/>
      <c r="CF669" s="243"/>
      <c r="CG669" s="243"/>
      <c r="CH669" s="243"/>
      <c r="CI669" s="243"/>
      <c r="CJ669" s="243"/>
      <c r="CK669" s="243"/>
      <c r="CL669" s="243"/>
      <c r="CM669" s="243"/>
      <c r="CN669" s="243"/>
      <c r="CO669" s="243"/>
      <c r="CP669" s="243"/>
      <c r="CQ669" s="243"/>
      <c r="CR669" s="243"/>
      <c r="CS669" s="243"/>
      <c r="CT669" s="243"/>
      <c r="CU669" s="243"/>
      <c r="CV669" s="243"/>
      <c r="CW669" s="243"/>
      <c r="CX669" s="243"/>
      <c r="CY669" s="243"/>
      <c r="CZ669" s="243"/>
      <c r="DA669" s="243"/>
      <c r="DB669" s="243"/>
      <c r="DC669" s="243"/>
      <c r="DD669" s="243"/>
      <c r="DE669" s="243"/>
      <c r="DF669" s="243"/>
      <c r="DG669" s="243"/>
      <c r="DH669" s="243"/>
      <c r="DI669" s="243"/>
      <c r="DJ669" s="243"/>
      <c r="DK669" s="243"/>
      <c r="DM669" s="259"/>
      <c r="DO669" s="243"/>
      <c r="DQ669" s="259"/>
      <c r="DS669" s="243"/>
      <c r="DU669" s="259"/>
      <c r="DW669" s="243"/>
      <c r="DY669" s="260"/>
      <c r="EA669" s="243"/>
    </row>
    <row r="670" spans="1:131">
      <c r="A670" s="20"/>
      <c r="B670" s="124" t="str">
        <f t="shared" si="630"/>
        <v/>
      </c>
      <c r="C670" s="235"/>
      <c r="D670" s="24">
        <f>'1% Wind'!$M$83</f>
        <v>23.5</v>
      </c>
      <c r="E670" s="90"/>
      <c r="F670" s="90"/>
      <c r="G670" s="79">
        <f ca="1">IF(I668=0.9743,$G669,MAX(G669/D669*D670,2))</f>
        <v>6.001707317073171</v>
      </c>
      <c r="H670" s="121" t="e">
        <f t="shared" ca="1" si="631"/>
        <v>#VALUE!</v>
      </c>
      <c r="J670" s="33"/>
      <c r="K670" s="242">
        <f t="shared" ref="K670:K683" si="632">K669</f>
        <v>1</v>
      </c>
      <c r="L670" s="241" t="e">
        <f t="shared" ref="L670:L683" ca="1" si="633">K670*$H670</f>
        <v>#VALUE!</v>
      </c>
      <c r="M670" s="243" t="e">
        <f ca="1">IF(AND(INDEX(FlowCalConstA,MATCH(J668,FlowCalNumber,0),1,1)*L670^INDEX(FlowCalConstB,MATCH(J668,FlowCalNumber,0),1,1)&gt;INDEX(FlowCalLowSetting,MATCH(J668,FlowCalNumber,0),1,1), (INDEX(FlowCalConstA,MATCH(J668,FlowCalNumber,0),1,1)*L670^INDEX(FlowCalConstB,MATCH(J668,FlowCalNumber,0),1,1)&lt;INDEX(FlowCalHighSetting,MATCH(J668,FlowCalNumber,0),1,1))),INDEX(FlowCalConstA,MATCH(J668,FlowCalNumber,0),1,1)*L670^INDEX(FlowCalConstB,MATCH(J668,FlowCalNumber,0),1,1)," ")</f>
        <v>#N/A</v>
      </c>
      <c r="N670" s="33"/>
      <c r="O670" s="242">
        <f t="shared" ref="O670:O683" si="634">O669</f>
        <v>1</v>
      </c>
      <c r="P670" s="241" t="e">
        <f t="shared" ref="P670:P683" ca="1" si="635">O670*$H670</f>
        <v>#VALUE!</v>
      </c>
      <c r="Q670" s="243" t="e">
        <f ca="1">IF(AND(INDEX(FlowCalConstA,MATCH(N668,FlowCalNumber,0),1,1)*P670^INDEX(FlowCalConstB,MATCH(N668,FlowCalNumber,0),1,1)&gt;INDEX(FlowCalLowSetting,MATCH(N668,FlowCalNumber,0),1,1), (INDEX(FlowCalConstA,MATCH(N668,FlowCalNumber,0),1,1)*P670^INDEX(FlowCalConstB,MATCH(N668,FlowCalNumber,0),1,1)&lt;INDEX(FlowCalHighSetting,MATCH(N668,FlowCalNumber,0),1,1))),INDEX(FlowCalConstA,MATCH(N668,FlowCalNumber,0),1,1)*P670^INDEX(FlowCalConstB,MATCH(N668,FlowCalNumber,0),1,1)," ")</f>
        <v>#N/A</v>
      </c>
      <c r="R670" s="33"/>
      <c r="S670" s="242">
        <f t="shared" ref="S670:S683" si="636">S669</f>
        <v>1</v>
      </c>
      <c r="T670" s="241" t="e">
        <f t="shared" ref="T670:T683" ca="1" si="637">S670*$H670</f>
        <v>#VALUE!</v>
      </c>
      <c r="U670" s="244" t="e">
        <f ca="1">IF(AND(INDEX(FlowCalConstA,MATCH(R668,FlowCalNumber,0),1,1)*T670^INDEX(FlowCalConstB,MATCH(R668,FlowCalNumber,0),1,1)&gt;INDEX(FlowCalLowSetting,MATCH(R668,FlowCalNumber,0),1,1), (INDEX(FlowCalConstA,MATCH(R668,FlowCalNumber,0),1,1)*T670^INDEX(FlowCalConstB,MATCH(R668,FlowCalNumber,0),1,1)&lt;INDEX(FlowCalHighSetting,MATCH(R668,FlowCalNumber,0),1,1))),INDEX(FlowCalConstA,MATCH(R668,FlowCalNumber,0),1,1)*T670^INDEX(FlowCalConstB,MATCH(R668,FlowCalNumber,0),1,1)," ")</f>
        <v>#N/A</v>
      </c>
      <c r="V670" s="33"/>
      <c r="W670" s="242">
        <f t="shared" ref="W670:W683" si="638">W669</f>
        <v>0.1</v>
      </c>
      <c r="X670" s="241" t="e">
        <f t="shared" ref="X670:X683" ca="1" si="639">W670*$H670</f>
        <v>#VALUE!</v>
      </c>
      <c r="Y670" s="243" t="e">
        <f ca="1">IF(AND(INDEX(FlowCalConstA,MATCH(V668,FlowCalNumber,0),1,1)*X670^INDEX(FlowCalConstB,MATCH(V668,FlowCalNumber,0),1,1)&gt;INDEX(FlowCalLowSetting,MATCH(V668,FlowCalNumber,0),1,1), (INDEX(FlowCalConstA,MATCH(V668,FlowCalNumber,0),1,1)*X670^INDEX(FlowCalConstB,MATCH(V668,FlowCalNumber,0),1,1)&lt;INDEX(FlowCalHighSetting,MATCH(V668,FlowCalNumber,0),1,1))),INDEX(FlowCalConstA,MATCH(V668,FlowCalNumber,0),1,1)*X670^INDEX(FlowCalConstB,MATCH(V668,FlowCalNumber,0),1,1)," ")</f>
        <v>#N/A</v>
      </c>
      <c r="Z670" s="33"/>
      <c r="AA670" s="242">
        <f t="shared" ref="AA670:AA683" si="640">AA669</f>
        <v>0.9</v>
      </c>
      <c r="AB670" s="241" t="e">
        <f t="shared" ref="AB670:AB683" ca="1" si="641">AA670*$H670</f>
        <v>#VALUE!</v>
      </c>
      <c r="AC670" s="243" t="e">
        <f ca="1">IF(AND(INDEX(FlowCalConstA,MATCH(Z668,FlowCalNumber,0),1,1)*AB670^INDEX(FlowCalConstB,MATCH(Z668,FlowCalNumber,0),1,1)&gt;INDEX(FlowCalLowSetting,MATCH(Z668,FlowCalNumber,0),1,1), (INDEX(FlowCalConstA,MATCH(Z668,FlowCalNumber,0),1,1)*AB670^INDEX(FlowCalConstB,MATCH(Z668,FlowCalNumber,0),1,1)&lt;INDEX(FlowCalHighSetting,MATCH(Z668,FlowCalNumber,0),1,1))),INDEX(FlowCalConstA,MATCH(Z668,FlowCalNumber,0),1,1)*AB670^INDEX(FlowCalConstB,MATCH(Z668,FlowCalNumber,0),1,1)," ")</f>
        <v>#N/A</v>
      </c>
      <c r="AD670" s="33"/>
      <c r="AE670" s="242">
        <f t="shared" ref="AE670:AE683" si="642">AE669</f>
        <v>0.1</v>
      </c>
      <c r="AF670" s="241" t="e">
        <f t="shared" ref="AF670:AF683" ca="1" si="643">AE670*$H670</f>
        <v>#VALUE!</v>
      </c>
      <c r="AG670" s="243" t="e">
        <f ca="1">IF(AND(INDEX(FlowCalConstA,MATCH(AD668,FlowCalNumber,0),1,1)*AF670^INDEX(FlowCalConstB,MATCH(AD668,FlowCalNumber,0),1,1)&gt;INDEX(FlowCalLowSetting,MATCH(AD668,FlowCalNumber,0),1,1), (INDEX(FlowCalConstA,MATCH(AD668,FlowCalNumber,0),1,1)*AF670^INDEX(FlowCalConstB,MATCH(AD668,FlowCalNumber,0),1,1)&lt;INDEX(FlowCalHighSetting,MATCH(AD668,FlowCalNumber,0),1,1))),INDEX(FlowCalConstA,MATCH(AD668,FlowCalNumber,0),1,1)*AF670^INDEX(FlowCalConstB,MATCH(AD668,FlowCalNumber,0),1,1)," ")</f>
        <v>#N/A</v>
      </c>
      <c r="AH670" s="33"/>
      <c r="AI670" s="242">
        <f t="shared" ref="AI670:AI683" si="644">AI669</f>
        <v>0.9</v>
      </c>
      <c r="AJ670" s="241" t="e">
        <f t="shared" ref="AJ670:AJ683" ca="1" si="645">AI670*$H670</f>
        <v>#VALUE!</v>
      </c>
      <c r="AK670" s="243" t="e">
        <f ca="1">IF(AND(INDEX(FlowCalConstA,MATCH(AH668,FlowCalNumber,0),1,1)*AJ670^INDEX(FlowCalConstB,MATCH(AH668,FlowCalNumber,0),1,1)&gt;INDEX(FlowCalLowSetting,MATCH(AH668,FlowCalNumber,0),1,1), (INDEX(FlowCalConstA,MATCH(AH668,FlowCalNumber,0),1,1)*AJ670^INDEX(FlowCalConstB,MATCH(AH668,FlowCalNumber,0),1,1)&lt;INDEX(FlowCalHighSetting,MATCH(AH668,FlowCalNumber,0),1,1))),INDEX(FlowCalConstA,MATCH(AH668,FlowCalNumber,0),1,1)*AJ670^INDEX(FlowCalConstB,MATCH(AH668,FlowCalNumber,0),1,1)," ")</f>
        <v>#N/A</v>
      </c>
      <c r="AL670" s="33"/>
      <c r="AM670" s="242"/>
      <c r="AN670" s="241"/>
      <c r="AO670" s="244"/>
      <c r="AQ670" s="242"/>
      <c r="AR670" s="241"/>
      <c r="AS670" s="244"/>
      <c r="AT670" s="33"/>
      <c r="AU670" s="242"/>
      <c r="AV670" s="241"/>
      <c r="AW670" s="244"/>
      <c r="AX670" s="33"/>
      <c r="AY670" s="242"/>
      <c r="AZ670" s="241"/>
      <c r="BA670" s="244"/>
      <c r="BB670" s="33"/>
      <c r="BC670" s="242"/>
      <c r="BD670" s="241"/>
      <c r="BE670" s="244"/>
      <c r="BF670" s="33"/>
      <c r="BG670" s="242"/>
      <c r="BH670" s="241"/>
      <c r="BI670" s="244"/>
      <c r="BJ670" s="33"/>
      <c r="BK670" s="242"/>
      <c r="BL670" s="241"/>
      <c r="BM670" s="244"/>
      <c r="BN670" s="33"/>
      <c r="BO670" s="242"/>
      <c r="BP670" s="241"/>
      <c r="BQ670" s="244"/>
      <c r="BR670" s="33"/>
      <c r="BS670" s="242"/>
      <c r="BT670" s="241"/>
      <c r="BU670" s="244"/>
      <c r="BV670" s="33"/>
      <c r="BW670" s="242"/>
      <c r="BX670" s="241"/>
      <c r="BY670" s="244"/>
      <c r="BZ670" s="33"/>
      <c r="CA670" s="242"/>
      <c r="CB670" s="241"/>
      <c r="CC670" s="244"/>
      <c r="CD670" s="243"/>
      <c r="CE670" s="243"/>
      <c r="CF670" s="243"/>
      <c r="CG670" s="243"/>
      <c r="CH670" s="243"/>
      <c r="CI670" s="243"/>
      <c r="CJ670" s="243"/>
      <c r="CK670" s="243"/>
      <c r="CL670" s="243"/>
      <c r="CM670" s="243"/>
      <c r="CN670" s="243"/>
      <c r="CO670" s="243"/>
      <c r="CP670" s="243"/>
      <c r="CQ670" s="243"/>
      <c r="CR670" s="243"/>
      <c r="CS670" s="243"/>
      <c r="CT670" s="243"/>
      <c r="CU670" s="243"/>
      <c r="CV670" s="243"/>
      <c r="CW670" s="243"/>
      <c r="CX670" s="243"/>
      <c r="CY670" s="243"/>
      <c r="CZ670" s="243"/>
      <c r="DA670" s="243"/>
      <c r="DB670" s="243"/>
      <c r="DC670" s="243"/>
      <c r="DD670" s="243"/>
      <c r="DE670" s="243"/>
      <c r="DF670" s="243"/>
      <c r="DG670" s="243"/>
      <c r="DH670" s="243"/>
      <c r="DI670" s="243"/>
      <c r="DJ670" s="243"/>
      <c r="DK670" s="243"/>
      <c r="DM670" s="242"/>
      <c r="DO670" s="243"/>
      <c r="DQ670" s="242"/>
      <c r="DS670" s="243"/>
      <c r="DU670" s="242"/>
      <c r="DW670" s="243"/>
      <c r="DY670" s="242"/>
      <c r="EA670" s="243"/>
    </row>
    <row r="671" spans="1:131">
      <c r="A671" s="20"/>
      <c r="B671" s="124" t="str">
        <f t="shared" si="630"/>
        <v/>
      </c>
      <c r="C671" s="235"/>
      <c r="D671" s="24">
        <f>'1% Wind'!$M$84</f>
        <v>20.5</v>
      </c>
      <c r="E671" s="90"/>
      <c r="F671" s="90"/>
      <c r="G671" s="79">
        <f ca="1">IF(I668=0.9743,$G670,MAX(G670/D670*D671,2))</f>
        <v>6.001707317073171</v>
      </c>
      <c r="H671" s="121" t="e">
        <f t="shared" ca="1" si="631"/>
        <v>#VALUE!</v>
      </c>
      <c r="J671" s="33"/>
      <c r="K671" s="242">
        <f t="shared" si="632"/>
        <v>1</v>
      </c>
      <c r="L671" s="241" t="e">
        <f t="shared" ca="1" si="633"/>
        <v>#VALUE!</v>
      </c>
      <c r="M671" s="243" t="e">
        <f ca="1">IF(AND(INDEX(FlowCalConstA,MATCH(J668,FlowCalNumber,0),1,1)*L671^INDEX(FlowCalConstB,MATCH(J668,FlowCalNumber,0),1,1)&gt;INDEX(FlowCalLowSetting,MATCH(J668,FlowCalNumber,0),1,1), (INDEX(FlowCalConstA,MATCH(J668,FlowCalNumber,0),1,1)*L671^INDEX(FlowCalConstB,MATCH(J668,FlowCalNumber,0),1,1)&lt;INDEX(FlowCalHighSetting,MATCH(J668,FlowCalNumber,0),1,1))),INDEX(FlowCalConstA,MATCH(J668,FlowCalNumber,0),1,1)*L671^INDEX(FlowCalConstB,MATCH(J668,FlowCalNumber,0),1,1)," ")</f>
        <v>#N/A</v>
      </c>
      <c r="N671" s="33"/>
      <c r="O671" s="242">
        <f t="shared" si="634"/>
        <v>1</v>
      </c>
      <c r="P671" s="241" t="e">
        <f t="shared" ca="1" si="635"/>
        <v>#VALUE!</v>
      </c>
      <c r="Q671" s="243" t="e">
        <f ca="1">IF(AND(INDEX(FlowCalConstA,MATCH(N668,FlowCalNumber,0),1,1)*P671^INDEX(FlowCalConstB,MATCH(N668,FlowCalNumber,0),1,1)&gt;INDEX(FlowCalLowSetting,MATCH(N668,FlowCalNumber,0),1,1), (INDEX(FlowCalConstA,MATCH(N668,FlowCalNumber,0),1,1)*P671^INDEX(FlowCalConstB,MATCH(N668,FlowCalNumber,0),1,1)&lt;INDEX(FlowCalHighSetting,MATCH(N668,FlowCalNumber,0),1,1))),INDEX(FlowCalConstA,MATCH(N668,FlowCalNumber,0),1,1)*P671^INDEX(FlowCalConstB,MATCH(N668,FlowCalNumber,0),1,1)," ")</f>
        <v>#N/A</v>
      </c>
      <c r="R671" s="33"/>
      <c r="S671" s="242">
        <f t="shared" si="636"/>
        <v>1</v>
      </c>
      <c r="T671" s="241" t="e">
        <f t="shared" ca="1" si="637"/>
        <v>#VALUE!</v>
      </c>
      <c r="U671" s="244" t="e">
        <f ca="1">IF(AND(INDEX(FlowCalConstA,MATCH(R668,FlowCalNumber,0),1,1)*T671^INDEX(FlowCalConstB,MATCH(R668,FlowCalNumber,0),1,1)&gt;INDEX(FlowCalLowSetting,MATCH(R668,FlowCalNumber,0),1,1), (INDEX(FlowCalConstA,MATCH(R668,FlowCalNumber,0),1,1)*T671^INDEX(FlowCalConstB,MATCH(R668,FlowCalNumber,0),1,1)&lt;INDEX(FlowCalHighSetting,MATCH(R668,FlowCalNumber,0),1,1))),INDEX(FlowCalConstA,MATCH(R668,FlowCalNumber,0),1,1)*T671^INDEX(FlowCalConstB,MATCH(R668,FlowCalNumber,0),1,1)," ")</f>
        <v>#N/A</v>
      </c>
      <c r="V671" s="33"/>
      <c r="W671" s="242">
        <f t="shared" si="638"/>
        <v>0.1</v>
      </c>
      <c r="X671" s="241" t="e">
        <f t="shared" ca="1" si="639"/>
        <v>#VALUE!</v>
      </c>
      <c r="Y671" s="243" t="e">
        <f ca="1">IF(AND(INDEX(FlowCalConstA,MATCH(V668,FlowCalNumber,0),1,1)*X671^INDEX(FlowCalConstB,MATCH(V668,FlowCalNumber,0),1,1)&gt;INDEX(FlowCalLowSetting,MATCH(V668,FlowCalNumber,0),1,1), (INDEX(FlowCalConstA,MATCH(V668,FlowCalNumber,0),1,1)*X671^INDEX(FlowCalConstB,MATCH(V668,FlowCalNumber,0),1,1)&lt;INDEX(FlowCalHighSetting,MATCH(V668,FlowCalNumber,0),1,1))),INDEX(FlowCalConstA,MATCH(V668,FlowCalNumber,0),1,1)*X671^INDEX(FlowCalConstB,MATCH(V668,FlowCalNumber,0),1,1)," ")</f>
        <v>#N/A</v>
      </c>
      <c r="Z671" s="33"/>
      <c r="AA671" s="242">
        <f t="shared" si="640"/>
        <v>0.9</v>
      </c>
      <c r="AB671" s="241" t="e">
        <f t="shared" ca="1" si="641"/>
        <v>#VALUE!</v>
      </c>
      <c r="AC671" s="243" t="e">
        <f ca="1">IF(AND(INDEX(FlowCalConstA,MATCH(Z668,FlowCalNumber,0),1,1)*AB671^INDEX(FlowCalConstB,MATCH(Z668,FlowCalNumber,0),1,1)&gt;INDEX(FlowCalLowSetting,MATCH(Z668,FlowCalNumber,0),1,1), (INDEX(FlowCalConstA,MATCH(Z668,FlowCalNumber,0),1,1)*AB671^INDEX(FlowCalConstB,MATCH(Z668,FlowCalNumber,0),1,1)&lt;INDEX(FlowCalHighSetting,MATCH(Z668,FlowCalNumber,0),1,1))),INDEX(FlowCalConstA,MATCH(Z668,FlowCalNumber,0),1,1)*AB671^INDEX(FlowCalConstB,MATCH(Z668,FlowCalNumber,0),1,1)," ")</f>
        <v>#N/A</v>
      </c>
      <c r="AD671" s="33"/>
      <c r="AE671" s="242">
        <f t="shared" si="642"/>
        <v>0.1</v>
      </c>
      <c r="AF671" s="241" t="e">
        <f t="shared" ca="1" si="643"/>
        <v>#VALUE!</v>
      </c>
      <c r="AG671" s="243" t="e">
        <f ca="1">IF(AND(INDEX(FlowCalConstA,MATCH(AD668,FlowCalNumber,0),1,1)*AF671^INDEX(FlowCalConstB,MATCH(AD668,FlowCalNumber,0),1,1)&gt;INDEX(FlowCalLowSetting,MATCH(AD668,FlowCalNumber,0),1,1), (INDEX(FlowCalConstA,MATCH(AD668,FlowCalNumber,0),1,1)*AF671^INDEX(FlowCalConstB,MATCH(AD668,FlowCalNumber,0),1,1)&lt;INDEX(FlowCalHighSetting,MATCH(AD668,FlowCalNumber,0),1,1))),INDEX(FlowCalConstA,MATCH(AD668,FlowCalNumber,0),1,1)*AF671^INDEX(FlowCalConstB,MATCH(AD668,FlowCalNumber,0),1,1)," ")</f>
        <v>#N/A</v>
      </c>
      <c r="AH671" s="33"/>
      <c r="AI671" s="242">
        <f t="shared" si="644"/>
        <v>0.9</v>
      </c>
      <c r="AJ671" s="241" t="e">
        <f t="shared" ca="1" si="645"/>
        <v>#VALUE!</v>
      </c>
      <c r="AK671" s="243" t="e">
        <f ca="1">IF(AND(INDEX(FlowCalConstA,MATCH(AH668,FlowCalNumber,0),1,1)*AJ671^INDEX(FlowCalConstB,MATCH(AH668,FlowCalNumber,0),1,1)&gt;INDEX(FlowCalLowSetting,MATCH(AH668,FlowCalNumber,0),1,1), (INDEX(FlowCalConstA,MATCH(AH668,FlowCalNumber,0),1,1)*AJ671^INDEX(FlowCalConstB,MATCH(AH668,FlowCalNumber,0),1,1)&lt;INDEX(FlowCalHighSetting,MATCH(AH668,FlowCalNumber,0),1,1))),INDEX(FlowCalConstA,MATCH(AH668,FlowCalNumber,0),1,1)*AJ671^INDEX(FlowCalConstB,MATCH(AH668,FlowCalNumber,0),1,1)," ")</f>
        <v>#N/A</v>
      </c>
      <c r="AL671" s="33"/>
      <c r="AM671" s="242"/>
      <c r="AN671" s="241"/>
      <c r="AO671" s="244"/>
      <c r="AQ671" s="242"/>
      <c r="AR671" s="241"/>
      <c r="AS671" s="244"/>
      <c r="AT671" s="33"/>
      <c r="AU671" s="242"/>
      <c r="AV671" s="241"/>
      <c r="AW671" s="244"/>
      <c r="AX671" s="33"/>
      <c r="AY671" s="242"/>
      <c r="AZ671" s="241"/>
      <c r="BA671" s="244"/>
      <c r="BB671" s="33"/>
      <c r="BC671" s="242"/>
      <c r="BD671" s="241"/>
      <c r="BE671" s="244"/>
      <c r="BF671" s="33"/>
      <c r="BG671" s="242"/>
      <c r="BH671" s="241"/>
      <c r="BI671" s="244"/>
      <c r="BJ671" s="33"/>
      <c r="BK671" s="242"/>
      <c r="BL671" s="241"/>
      <c r="BM671" s="244"/>
      <c r="BN671" s="33"/>
      <c r="BO671" s="242"/>
      <c r="BP671" s="241"/>
      <c r="BQ671" s="244"/>
      <c r="BR671" s="33"/>
      <c r="BS671" s="242"/>
      <c r="BT671" s="241"/>
      <c r="BU671" s="244"/>
      <c r="BV671" s="33"/>
      <c r="BW671" s="242"/>
      <c r="BX671" s="241"/>
      <c r="BY671" s="244"/>
      <c r="BZ671" s="33"/>
      <c r="CA671" s="242"/>
      <c r="CB671" s="241"/>
      <c r="CC671" s="244"/>
      <c r="CD671" s="243"/>
      <c r="CE671" s="243"/>
      <c r="CF671" s="243"/>
      <c r="CG671" s="243"/>
      <c r="CH671" s="243"/>
      <c r="CI671" s="243"/>
      <c r="CJ671" s="243"/>
      <c r="CK671" s="243"/>
      <c r="CL671" s="243"/>
      <c r="CM671" s="243"/>
      <c r="CN671" s="243"/>
      <c r="CO671" s="243"/>
      <c r="CP671" s="243"/>
      <c r="CQ671" s="243"/>
      <c r="CR671" s="243"/>
      <c r="CS671" s="243"/>
      <c r="CT671" s="243"/>
      <c r="CU671" s="243"/>
      <c r="CV671" s="243"/>
      <c r="CW671" s="243"/>
      <c r="CX671" s="243"/>
      <c r="CY671" s="243"/>
      <c r="CZ671" s="243"/>
      <c r="DA671" s="243"/>
      <c r="DB671" s="243"/>
      <c r="DC671" s="243"/>
      <c r="DD671" s="243"/>
      <c r="DE671" s="243"/>
      <c r="DF671" s="243"/>
      <c r="DG671" s="243"/>
      <c r="DH671" s="243"/>
      <c r="DI671" s="243"/>
      <c r="DJ671" s="243"/>
      <c r="DK671" s="243"/>
      <c r="DM671" s="242"/>
      <c r="DO671" s="243"/>
      <c r="DQ671" s="242"/>
      <c r="DS671" s="243"/>
      <c r="DU671" s="242"/>
      <c r="DW671" s="243"/>
      <c r="DY671" s="242"/>
      <c r="EA671" s="243"/>
    </row>
    <row r="672" spans="1:131">
      <c r="A672" s="20"/>
      <c r="B672" s="124" t="str">
        <f t="shared" si="630"/>
        <v/>
      </c>
      <c r="C672" s="235"/>
      <c r="D672" s="24">
        <f>'1% Wind'!$M$85</f>
        <v>17.8</v>
      </c>
      <c r="E672" s="90"/>
      <c r="F672" s="90"/>
      <c r="G672" s="79">
        <f ca="1">IF(I668=0.9743,$G671,MAX(G671/D671*D672,2))</f>
        <v>6.001707317073171</v>
      </c>
      <c r="H672" s="121" t="e">
        <f t="shared" ca="1" si="631"/>
        <v>#VALUE!</v>
      </c>
      <c r="J672" s="33"/>
      <c r="K672" s="242">
        <f t="shared" si="632"/>
        <v>1</v>
      </c>
      <c r="L672" s="241" t="e">
        <f t="shared" ca="1" si="633"/>
        <v>#VALUE!</v>
      </c>
      <c r="M672" s="243" t="e">
        <f ca="1">IF(AND(INDEX(FlowCalConstA,MATCH(J668,FlowCalNumber,0),1,1)*L672^INDEX(FlowCalConstB,MATCH(J668,FlowCalNumber,0),1,1)&gt;INDEX(FlowCalLowSetting,MATCH(J668,FlowCalNumber,0),1,1), (INDEX(FlowCalConstA,MATCH(J668,FlowCalNumber,0),1,1)*L672^INDEX(FlowCalConstB,MATCH(J668,FlowCalNumber,0),1,1)&lt;INDEX(FlowCalHighSetting,MATCH(J668,FlowCalNumber,0),1,1))),INDEX(FlowCalConstA,MATCH(J668,FlowCalNumber,0),1,1)*L672^INDEX(FlowCalConstB,MATCH(J668,FlowCalNumber,0),1,1)," ")</f>
        <v>#N/A</v>
      </c>
      <c r="N672" s="33"/>
      <c r="O672" s="242">
        <f t="shared" si="634"/>
        <v>1</v>
      </c>
      <c r="P672" s="241" t="e">
        <f t="shared" ca="1" si="635"/>
        <v>#VALUE!</v>
      </c>
      <c r="Q672" s="243" t="e">
        <f ca="1">IF(AND(INDEX(FlowCalConstA,MATCH(N668,FlowCalNumber,0),1,1)*P672^INDEX(FlowCalConstB,MATCH(N668,FlowCalNumber,0),1,1)&gt;INDEX(FlowCalLowSetting,MATCH(N668,FlowCalNumber,0),1,1), (INDEX(FlowCalConstA,MATCH(N668,FlowCalNumber,0),1,1)*P672^INDEX(FlowCalConstB,MATCH(N668,FlowCalNumber,0),1,1)&lt;INDEX(FlowCalHighSetting,MATCH(N668,FlowCalNumber,0),1,1))),INDEX(FlowCalConstA,MATCH(N668,FlowCalNumber,0),1,1)*P672^INDEX(FlowCalConstB,MATCH(N668,FlowCalNumber,0),1,1)," ")</f>
        <v>#N/A</v>
      </c>
      <c r="R672" s="33"/>
      <c r="S672" s="242">
        <f t="shared" si="636"/>
        <v>1</v>
      </c>
      <c r="T672" s="241" t="e">
        <f t="shared" ca="1" si="637"/>
        <v>#VALUE!</v>
      </c>
      <c r="U672" s="244" t="e">
        <f ca="1">IF(AND(INDEX(FlowCalConstA,MATCH(R668,FlowCalNumber,0),1,1)*T672^INDEX(FlowCalConstB,MATCH(R668,FlowCalNumber,0),1,1)&gt;INDEX(FlowCalLowSetting,MATCH(R668,FlowCalNumber,0),1,1), (INDEX(FlowCalConstA,MATCH(R668,FlowCalNumber,0),1,1)*T672^INDEX(FlowCalConstB,MATCH(R668,FlowCalNumber,0),1,1)&lt;INDEX(FlowCalHighSetting,MATCH(R668,FlowCalNumber,0),1,1))),INDEX(FlowCalConstA,MATCH(R668,FlowCalNumber,0),1,1)*T672^INDEX(FlowCalConstB,MATCH(R668,FlowCalNumber,0),1,1)," ")</f>
        <v>#N/A</v>
      </c>
      <c r="V672" s="33"/>
      <c r="W672" s="242">
        <f t="shared" si="638"/>
        <v>0.1</v>
      </c>
      <c r="X672" s="241" t="e">
        <f t="shared" ca="1" si="639"/>
        <v>#VALUE!</v>
      </c>
      <c r="Y672" s="243" t="e">
        <f ca="1">IF(AND(INDEX(FlowCalConstA,MATCH(V668,FlowCalNumber,0),1,1)*X672^INDEX(FlowCalConstB,MATCH(V668,FlowCalNumber,0),1,1)&gt;INDEX(FlowCalLowSetting,MATCH(V668,FlowCalNumber,0),1,1), (INDEX(FlowCalConstA,MATCH(V668,FlowCalNumber,0),1,1)*X672^INDEX(FlowCalConstB,MATCH(V668,FlowCalNumber,0),1,1)&lt;INDEX(FlowCalHighSetting,MATCH(V668,FlowCalNumber,0),1,1))),INDEX(FlowCalConstA,MATCH(V668,FlowCalNumber,0),1,1)*X672^INDEX(FlowCalConstB,MATCH(V668,FlowCalNumber,0),1,1)," ")</f>
        <v>#N/A</v>
      </c>
      <c r="Z672" s="33"/>
      <c r="AA672" s="242">
        <f t="shared" si="640"/>
        <v>0.9</v>
      </c>
      <c r="AB672" s="241" t="e">
        <f t="shared" ca="1" si="641"/>
        <v>#VALUE!</v>
      </c>
      <c r="AC672" s="243" t="e">
        <f ca="1">IF(AND(INDEX(FlowCalConstA,MATCH(Z668,FlowCalNumber,0),1,1)*AB672^INDEX(FlowCalConstB,MATCH(Z668,FlowCalNumber,0),1,1)&gt;INDEX(FlowCalLowSetting,MATCH(Z668,FlowCalNumber,0),1,1), (INDEX(FlowCalConstA,MATCH(Z668,FlowCalNumber,0),1,1)*AB672^INDEX(FlowCalConstB,MATCH(Z668,FlowCalNumber,0),1,1)&lt;INDEX(FlowCalHighSetting,MATCH(Z668,FlowCalNumber,0),1,1))),INDEX(FlowCalConstA,MATCH(Z668,FlowCalNumber,0),1,1)*AB672^INDEX(FlowCalConstB,MATCH(Z668,FlowCalNumber,0),1,1)," ")</f>
        <v>#N/A</v>
      </c>
      <c r="AD672" s="33"/>
      <c r="AE672" s="242">
        <f t="shared" si="642"/>
        <v>0.1</v>
      </c>
      <c r="AF672" s="241" t="e">
        <f t="shared" ca="1" si="643"/>
        <v>#VALUE!</v>
      </c>
      <c r="AG672" s="243" t="e">
        <f ca="1">IF(AND(INDEX(FlowCalConstA,MATCH(AD668,FlowCalNumber,0),1,1)*AF672^INDEX(FlowCalConstB,MATCH(AD668,FlowCalNumber,0),1,1)&gt;INDEX(FlowCalLowSetting,MATCH(AD668,FlowCalNumber,0),1,1), (INDEX(FlowCalConstA,MATCH(AD668,FlowCalNumber,0),1,1)*AF672^INDEX(FlowCalConstB,MATCH(AD668,FlowCalNumber,0),1,1)&lt;INDEX(FlowCalHighSetting,MATCH(AD668,FlowCalNumber,0),1,1))),INDEX(FlowCalConstA,MATCH(AD668,FlowCalNumber,0),1,1)*AF672^INDEX(FlowCalConstB,MATCH(AD668,FlowCalNumber,0),1,1)," ")</f>
        <v>#N/A</v>
      </c>
      <c r="AH672" s="33"/>
      <c r="AI672" s="242">
        <f t="shared" si="644"/>
        <v>0.9</v>
      </c>
      <c r="AJ672" s="241" t="e">
        <f t="shared" ca="1" si="645"/>
        <v>#VALUE!</v>
      </c>
      <c r="AK672" s="243" t="e">
        <f ca="1">IF(AND(INDEX(FlowCalConstA,MATCH(AH668,FlowCalNumber,0),1,1)*AJ672^INDEX(FlowCalConstB,MATCH(AH668,FlowCalNumber,0),1,1)&gt;INDEX(FlowCalLowSetting,MATCH(AH668,FlowCalNumber,0),1,1), (INDEX(FlowCalConstA,MATCH(AH668,FlowCalNumber,0),1,1)*AJ672^INDEX(FlowCalConstB,MATCH(AH668,FlowCalNumber,0),1,1)&lt;INDEX(FlowCalHighSetting,MATCH(AH668,FlowCalNumber,0),1,1))),INDEX(FlowCalConstA,MATCH(AH668,FlowCalNumber,0),1,1)*AJ672^INDEX(FlowCalConstB,MATCH(AH668,FlowCalNumber,0),1,1)," ")</f>
        <v>#N/A</v>
      </c>
      <c r="AL672" s="33"/>
      <c r="AM672" s="242"/>
      <c r="AN672" s="241"/>
      <c r="AO672" s="244"/>
      <c r="AQ672" s="242"/>
      <c r="AR672" s="241"/>
      <c r="AS672" s="244"/>
      <c r="AT672" s="33"/>
      <c r="AU672" s="242"/>
      <c r="AV672" s="241"/>
      <c r="AW672" s="244"/>
      <c r="AX672" s="33"/>
      <c r="AY672" s="242"/>
      <c r="AZ672" s="241"/>
      <c r="BA672" s="244"/>
      <c r="BB672" s="33"/>
      <c r="BC672" s="242"/>
      <c r="BD672" s="241"/>
      <c r="BE672" s="244"/>
      <c r="BF672" s="33"/>
      <c r="BG672" s="242"/>
      <c r="BH672" s="241"/>
      <c r="BI672" s="244"/>
      <c r="BJ672" s="33"/>
      <c r="BK672" s="242"/>
      <c r="BL672" s="241"/>
      <c r="BM672" s="244"/>
      <c r="BN672" s="33"/>
      <c r="BO672" s="242"/>
      <c r="BP672" s="241"/>
      <c r="BQ672" s="244"/>
      <c r="BR672" s="33"/>
      <c r="BS672" s="242"/>
      <c r="BT672" s="241"/>
      <c r="BU672" s="244"/>
      <c r="BV672" s="33"/>
      <c r="BW672" s="242"/>
      <c r="BX672" s="241"/>
      <c r="BY672" s="244"/>
      <c r="BZ672" s="33"/>
      <c r="CA672" s="242"/>
      <c r="CB672" s="241"/>
      <c r="CC672" s="244"/>
      <c r="CD672" s="243"/>
      <c r="CE672" s="243"/>
      <c r="CF672" s="243"/>
      <c r="CG672" s="243"/>
      <c r="CH672" s="243"/>
      <c r="CI672" s="243"/>
      <c r="CJ672" s="243"/>
      <c r="CK672" s="243"/>
      <c r="CL672" s="243"/>
      <c r="CM672" s="243"/>
      <c r="CN672" s="243"/>
      <c r="CO672" s="243"/>
      <c r="CP672" s="243"/>
      <c r="CQ672" s="243"/>
      <c r="CR672" s="243"/>
      <c r="CS672" s="243"/>
      <c r="CT672" s="243"/>
      <c r="CU672" s="243"/>
      <c r="CV672" s="243"/>
      <c r="CW672" s="243"/>
      <c r="CX672" s="243"/>
      <c r="CY672" s="243"/>
      <c r="CZ672" s="243"/>
      <c r="DA672" s="243"/>
      <c r="DB672" s="243"/>
      <c r="DC672" s="243"/>
      <c r="DD672" s="243"/>
      <c r="DE672" s="243"/>
      <c r="DF672" s="243"/>
      <c r="DG672" s="243"/>
      <c r="DH672" s="243"/>
      <c r="DI672" s="243"/>
      <c r="DJ672" s="243"/>
      <c r="DK672" s="243"/>
      <c r="DM672" s="242"/>
      <c r="DO672" s="243"/>
      <c r="DQ672" s="242"/>
      <c r="DS672" s="243"/>
      <c r="DU672" s="242"/>
      <c r="DW672" s="243"/>
      <c r="DY672" s="242"/>
      <c r="EA672" s="243"/>
    </row>
    <row r="673" spans="1:131">
      <c r="A673" s="20"/>
      <c r="B673" s="124" t="str">
        <f t="shared" si="630"/>
        <v/>
      </c>
      <c r="C673" s="235"/>
      <c r="D673" s="24">
        <f>'1% Wind'!$M$86</f>
        <v>15.5</v>
      </c>
      <c r="E673" s="90"/>
      <c r="F673" s="90"/>
      <c r="G673" s="79">
        <f ca="1">IF(I668=0.9743,$G672,MAX(G672/D672*D673,2))</f>
        <v>6.001707317073171</v>
      </c>
      <c r="H673" s="121" t="e">
        <f t="shared" ca="1" si="631"/>
        <v>#VALUE!</v>
      </c>
      <c r="J673" s="33"/>
      <c r="K673" s="242">
        <f t="shared" si="632"/>
        <v>1</v>
      </c>
      <c r="L673" s="241" t="e">
        <f t="shared" ca="1" si="633"/>
        <v>#VALUE!</v>
      </c>
      <c r="M673" s="243" t="e">
        <f ca="1">IF(AND(INDEX(FlowCalConstA,MATCH(J668,FlowCalNumber,0),1,1)*L673^INDEX(FlowCalConstB,MATCH(J668,FlowCalNumber,0),1,1)&gt;INDEX(FlowCalLowSetting,MATCH(J668,FlowCalNumber,0),1,1), (INDEX(FlowCalConstA,MATCH(J668,FlowCalNumber,0),1,1)*L673^INDEX(FlowCalConstB,MATCH(J668,FlowCalNumber,0),1,1)&lt;INDEX(FlowCalHighSetting,MATCH(J668,FlowCalNumber,0),1,1))),INDEX(FlowCalConstA,MATCH(J668,FlowCalNumber,0),1,1)*L673^INDEX(FlowCalConstB,MATCH(J668,FlowCalNumber,0),1,1)," ")</f>
        <v>#N/A</v>
      </c>
      <c r="N673" s="33"/>
      <c r="O673" s="242">
        <f t="shared" si="634"/>
        <v>1</v>
      </c>
      <c r="P673" s="241" t="e">
        <f t="shared" ca="1" si="635"/>
        <v>#VALUE!</v>
      </c>
      <c r="Q673" s="243" t="e">
        <f ca="1">IF(AND(INDEX(FlowCalConstA,MATCH(N668,FlowCalNumber,0),1,1)*P673^INDEX(FlowCalConstB,MATCH(N668,FlowCalNumber,0),1,1)&gt;INDEX(FlowCalLowSetting,MATCH(N668,FlowCalNumber,0),1,1), (INDEX(FlowCalConstA,MATCH(N668,FlowCalNumber,0),1,1)*P673^INDEX(FlowCalConstB,MATCH(N668,FlowCalNumber,0),1,1)&lt;INDEX(FlowCalHighSetting,MATCH(N668,FlowCalNumber,0),1,1))),INDEX(FlowCalConstA,MATCH(N668,FlowCalNumber,0),1,1)*P673^INDEX(FlowCalConstB,MATCH(N668,FlowCalNumber,0),1,1)," ")</f>
        <v>#N/A</v>
      </c>
      <c r="R673" s="33"/>
      <c r="S673" s="242">
        <f t="shared" si="636"/>
        <v>1</v>
      </c>
      <c r="T673" s="241" t="e">
        <f t="shared" ca="1" si="637"/>
        <v>#VALUE!</v>
      </c>
      <c r="U673" s="244" t="e">
        <f ca="1">IF(AND(INDEX(FlowCalConstA,MATCH(R668,FlowCalNumber,0),1,1)*T673^INDEX(FlowCalConstB,MATCH(R668,FlowCalNumber,0),1,1)&gt;INDEX(FlowCalLowSetting,MATCH(R668,FlowCalNumber,0),1,1), (INDEX(FlowCalConstA,MATCH(R668,FlowCalNumber,0),1,1)*T673^INDEX(FlowCalConstB,MATCH(R668,FlowCalNumber,0),1,1)&lt;INDEX(FlowCalHighSetting,MATCH(R668,FlowCalNumber,0),1,1))),INDEX(FlowCalConstA,MATCH(R668,FlowCalNumber,0),1,1)*T673^INDEX(FlowCalConstB,MATCH(R668,FlowCalNumber,0),1,1)," ")</f>
        <v>#N/A</v>
      </c>
      <c r="V673" s="33"/>
      <c r="W673" s="242">
        <f t="shared" si="638"/>
        <v>0.1</v>
      </c>
      <c r="X673" s="241" t="e">
        <f t="shared" ca="1" si="639"/>
        <v>#VALUE!</v>
      </c>
      <c r="Y673" s="243" t="e">
        <f ca="1">IF(AND(INDEX(FlowCalConstA,MATCH(V668,FlowCalNumber,0),1,1)*X673^INDEX(FlowCalConstB,MATCH(V668,FlowCalNumber,0),1,1)&gt;INDEX(FlowCalLowSetting,MATCH(V668,FlowCalNumber,0),1,1), (INDEX(FlowCalConstA,MATCH(V668,FlowCalNumber,0),1,1)*X673^INDEX(FlowCalConstB,MATCH(V668,FlowCalNumber,0),1,1)&lt;INDEX(FlowCalHighSetting,MATCH(V668,FlowCalNumber,0),1,1))),INDEX(FlowCalConstA,MATCH(V668,FlowCalNumber,0),1,1)*X673^INDEX(FlowCalConstB,MATCH(V668,FlowCalNumber,0),1,1)," ")</f>
        <v>#N/A</v>
      </c>
      <c r="Z673" s="33"/>
      <c r="AA673" s="242">
        <f t="shared" si="640"/>
        <v>0.9</v>
      </c>
      <c r="AB673" s="241" t="e">
        <f t="shared" ca="1" si="641"/>
        <v>#VALUE!</v>
      </c>
      <c r="AC673" s="243" t="e">
        <f ca="1">IF(AND(INDEX(FlowCalConstA,MATCH(Z668,FlowCalNumber,0),1,1)*AB673^INDEX(FlowCalConstB,MATCH(Z668,FlowCalNumber,0),1,1)&gt;INDEX(FlowCalLowSetting,MATCH(Z668,FlowCalNumber,0),1,1), (INDEX(FlowCalConstA,MATCH(Z668,FlowCalNumber,0),1,1)*AB673^INDEX(FlowCalConstB,MATCH(Z668,FlowCalNumber,0),1,1)&lt;INDEX(FlowCalHighSetting,MATCH(Z668,FlowCalNumber,0),1,1))),INDEX(FlowCalConstA,MATCH(Z668,FlowCalNumber,0),1,1)*AB673^INDEX(FlowCalConstB,MATCH(Z668,FlowCalNumber,0),1,1)," ")</f>
        <v>#N/A</v>
      </c>
      <c r="AD673" s="33"/>
      <c r="AE673" s="242">
        <f t="shared" si="642"/>
        <v>0.1</v>
      </c>
      <c r="AF673" s="241" t="e">
        <f t="shared" ca="1" si="643"/>
        <v>#VALUE!</v>
      </c>
      <c r="AG673" s="243" t="e">
        <f ca="1">IF(AND(INDEX(FlowCalConstA,MATCH(AD668,FlowCalNumber,0),1,1)*AF673^INDEX(FlowCalConstB,MATCH(AD668,FlowCalNumber,0),1,1)&gt;INDEX(FlowCalLowSetting,MATCH(AD668,FlowCalNumber,0),1,1), (INDEX(FlowCalConstA,MATCH(AD668,FlowCalNumber,0),1,1)*AF673^INDEX(FlowCalConstB,MATCH(AD668,FlowCalNumber,0),1,1)&lt;INDEX(FlowCalHighSetting,MATCH(AD668,FlowCalNumber,0),1,1))),INDEX(FlowCalConstA,MATCH(AD668,FlowCalNumber,0),1,1)*AF673^INDEX(FlowCalConstB,MATCH(AD668,FlowCalNumber,0),1,1)," ")</f>
        <v>#N/A</v>
      </c>
      <c r="AH673" s="33"/>
      <c r="AI673" s="242">
        <f t="shared" si="644"/>
        <v>0.9</v>
      </c>
      <c r="AJ673" s="241" t="e">
        <f t="shared" ca="1" si="645"/>
        <v>#VALUE!</v>
      </c>
      <c r="AK673" s="243" t="e">
        <f ca="1">IF(AND(INDEX(FlowCalConstA,MATCH(AH668,FlowCalNumber,0),1,1)*AJ673^INDEX(FlowCalConstB,MATCH(AH668,FlowCalNumber,0),1,1)&gt;INDEX(FlowCalLowSetting,MATCH(AH668,FlowCalNumber,0),1,1), (INDEX(FlowCalConstA,MATCH(AH668,FlowCalNumber,0),1,1)*AJ673^INDEX(FlowCalConstB,MATCH(AH668,FlowCalNumber,0),1,1)&lt;INDEX(FlowCalHighSetting,MATCH(AH668,FlowCalNumber,0),1,1))),INDEX(FlowCalConstA,MATCH(AH668,FlowCalNumber,0),1,1)*AJ673^INDEX(FlowCalConstB,MATCH(AH668,FlowCalNumber,0),1,1)," ")</f>
        <v>#N/A</v>
      </c>
      <c r="AL673" s="33"/>
      <c r="AM673" s="242"/>
      <c r="AN673" s="241"/>
      <c r="AO673" s="244"/>
      <c r="AQ673" s="242"/>
      <c r="AR673" s="241"/>
      <c r="AS673" s="244"/>
      <c r="AT673" s="33"/>
      <c r="AU673" s="242"/>
      <c r="AV673" s="241"/>
      <c r="AW673" s="244"/>
      <c r="AX673" s="33"/>
      <c r="AY673" s="242"/>
      <c r="AZ673" s="241"/>
      <c r="BA673" s="244"/>
      <c r="BB673" s="33"/>
      <c r="BC673" s="242"/>
      <c r="BD673" s="241"/>
      <c r="BE673" s="244"/>
      <c r="BF673" s="33"/>
      <c r="BG673" s="242"/>
      <c r="BH673" s="241"/>
      <c r="BI673" s="244"/>
      <c r="BJ673" s="33"/>
      <c r="BK673" s="242"/>
      <c r="BL673" s="241"/>
      <c r="BM673" s="244"/>
      <c r="BN673" s="33"/>
      <c r="BO673" s="242"/>
      <c r="BP673" s="241"/>
      <c r="BQ673" s="244"/>
      <c r="BR673" s="33"/>
      <c r="BS673" s="242"/>
      <c r="BT673" s="241"/>
      <c r="BU673" s="244"/>
      <c r="BV673" s="33"/>
      <c r="BW673" s="242"/>
      <c r="BX673" s="241"/>
      <c r="BY673" s="244"/>
      <c r="BZ673" s="33"/>
      <c r="CA673" s="242"/>
      <c r="CB673" s="241"/>
      <c r="CC673" s="244"/>
      <c r="CD673" s="243"/>
      <c r="CE673" s="243"/>
      <c r="CF673" s="243"/>
      <c r="CG673" s="243"/>
      <c r="CH673" s="243"/>
      <c r="CI673" s="243"/>
      <c r="CJ673" s="243"/>
      <c r="CK673" s="243"/>
      <c r="CL673" s="243"/>
      <c r="CM673" s="243"/>
      <c r="CN673" s="243"/>
      <c r="CO673" s="243"/>
      <c r="CP673" s="243"/>
      <c r="CQ673" s="243"/>
      <c r="CR673" s="243"/>
      <c r="CS673" s="243"/>
      <c r="CT673" s="243"/>
      <c r="CU673" s="243"/>
      <c r="CV673" s="243"/>
      <c r="CW673" s="243"/>
      <c r="CX673" s="243"/>
      <c r="CY673" s="243"/>
      <c r="CZ673" s="243"/>
      <c r="DA673" s="243"/>
      <c r="DB673" s="243"/>
      <c r="DC673" s="243"/>
      <c r="DD673" s="243"/>
      <c r="DE673" s="243"/>
      <c r="DF673" s="243"/>
      <c r="DG673" s="243"/>
      <c r="DH673" s="243"/>
      <c r="DI673" s="243"/>
      <c r="DJ673" s="243"/>
      <c r="DK673" s="243"/>
      <c r="DM673" s="242"/>
      <c r="DO673" s="243"/>
      <c r="DQ673" s="242"/>
      <c r="DS673" s="243"/>
      <c r="DU673" s="242"/>
      <c r="DW673" s="243"/>
      <c r="DY673" s="242"/>
      <c r="EA673" s="243"/>
    </row>
    <row r="674" spans="1:131">
      <c r="A674" s="20"/>
      <c r="B674" s="124" t="str">
        <f t="shared" si="630"/>
        <v/>
      </c>
      <c r="C674" s="235"/>
      <c r="D674" s="24">
        <f>'1% Wind'!$M$87</f>
        <v>13.5</v>
      </c>
      <c r="E674" s="90"/>
      <c r="F674" s="90"/>
      <c r="G674" s="79">
        <f ca="1">IF(I668=0.9743,$G673,MAX(G673/D673*D674,2))</f>
        <v>6.001707317073171</v>
      </c>
      <c r="H674" s="121" t="e">
        <f t="shared" ca="1" si="631"/>
        <v>#VALUE!</v>
      </c>
      <c r="J674" s="33"/>
      <c r="K674" s="242">
        <f t="shared" si="632"/>
        <v>1</v>
      </c>
      <c r="L674" s="241" t="e">
        <f t="shared" ca="1" si="633"/>
        <v>#VALUE!</v>
      </c>
      <c r="M674" s="243" t="e">
        <f ca="1">IF(AND(INDEX(FlowCalConstA,MATCH(J668,FlowCalNumber,0),1,1)*L674^INDEX(FlowCalConstB,MATCH(J668,FlowCalNumber,0),1,1)&gt;INDEX(FlowCalLowSetting,MATCH(J668,FlowCalNumber,0),1,1), (INDEX(FlowCalConstA,MATCH(J668,FlowCalNumber,0),1,1)*L674^INDEX(FlowCalConstB,MATCH(J668,FlowCalNumber,0),1,1)&lt;INDEX(FlowCalHighSetting,MATCH(J668,FlowCalNumber,0),1,1))),INDEX(FlowCalConstA,MATCH(J668,FlowCalNumber,0),1,1)*L674^INDEX(FlowCalConstB,MATCH(J668,FlowCalNumber,0),1,1)," ")</f>
        <v>#N/A</v>
      </c>
      <c r="N674" s="33"/>
      <c r="O674" s="242">
        <f t="shared" si="634"/>
        <v>1</v>
      </c>
      <c r="P674" s="241" t="e">
        <f t="shared" ca="1" si="635"/>
        <v>#VALUE!</v>
      </c>
      <c r="Q674" s="243" t="e">
        <f ca="1">IF(AND(INDEX(FlowCalConstA,MATCH(N668,FlowCalNumber,0),1,1)*P674^INDEX(FlowCalConstB,MATCH(N668,FlowCalNumber,0),1,1)&gt;INDEX(FlowCalLowSetting,MATCH(N668,FlowCalNumber,0),1,1), (INDEX(FlowCalConstA,MATCH(N668,FlowCalNumber,0),1,1)*P674^INDEX(FlowCalConstB,MATCH(N668,FlowCalNumber,0),1,1)&lt;INDEX(FlowCalHighSetting,MATCH(N668,FlowCalNumber,0),1,1))),INDEX(FlowCalConstA,MATCH(N668,FlowCalNumber,0),1,1)*P674^INDEX(FlowCalConstB,MATCH(N668,FlowCalNumber,0),1,1)," ")</f>
        <v>#N/A</v>
      </c>
      <c r="R674" s="33"/>
      <c r="S674" s="242">
        <f t="shared" si="636"/>
        <v>1</v>
      </c>
      <c r="T674" s="241" t="e">
        <f t="shared" ca="1" si="637"/>
        <v>#VALUE!</v>
      </c>
      <c r="U674" s="244" t="e">
        <f ca="1">IF(AND(INDEX(FlowCalConstA,MATCH(R668,FlowCalNumber,0),1,1)*T674^INDEX(FlowCalConstB,MATCH(R668,FlowCalNumber,0),1,1)&gt;INDEX(FlowCalLowSetting,MATCH(R668,FlowCalNumber,0),1,1), (INDEX(FlowCalConstA,MATCH(R668,FlowCalNumber,0),1,1)*T674^INDEX(FlowCalConstB,MATCH(R668,FlowCalNumber,0),1,1)&lt;INDEX(FlowCalHighSetting,MATCH(R668,FlowCalNumber,0),1,1))),INDEX(FlowCalConstA,MATCH(R668,FlowCalNumber,0),1,1)*T674^INDEX(FlowCalConstB,MATCH(R668,FlowCalNumber,0),1,1)," ")</f>
        <v>#N/A</v>
      </c>
      <c r="V674" s="33"/>
      <c r="W674" s="242">
        <f t="shared" si="638"/>
        <v>0.1</v>
      </c>
      <c r="X674" s="241" t="e">
        <f t="shared" ca="1" si="639"/>
        <v>#VALUE!</v>
      </c>
      <c r="Y674" s="243" t="e">
        <f ca="1">IF(AND(INDEX(FlowCalConstA,MATCH(V668,FlowCalNumber,0),1,1)*X674^INDEX(FlowCalConstB,MATCH(V668,FlowCalNumber,0),1,1)&gt;INDEX(FlowCalLowSetting,MATCH(V668,FlowCalNumber,0),1,1), (INDEX(FlowCalConstA,MATCH(V668,FlowCalNumber,0),1,1)*X674^INDEX(FlowCalConstB,MATCH(V668,FlowCalNumber,0),1,1)&lt;INDEX(FlowCalHighSetting,MATCH(V668,FlowCalNumber,0),1,1))),INDEX(FlowCalConstA,MATCH(V668,FlowCalNumber,0),1,1)*X674^INDEX(FlowCalConstB,MATCH(V668,FlowCalNumber,0),1,1)," ")</f>
        <v>#N/A</v>
      </c>
      <c r="Z674" s="33"/>
      <c r="AA674" s="242">
        <f t="shared" si="640"/>
        <v>0.9</v>
      </c>
      <c r="AB674" s="241" t="e">
        <f t="shared" ca="1" si="641"/>
        <v>#VALUE!</v>
      </c>
      <c r="AC674" s="243" t="e">
        <f ca="1">IF(AND(INDEX(FlowCalConstA,MATCH(Z668,FlowCalNumber,0),1,1)*AB674^INDEX(FlowCalConstB,MATCH(Z668,FlowCalNumber,0),1,1)&gt;INDEX(FlowCalLowSetting,MATCH(Z668,FlowCalNumber,0),1,1), (INDEX(FlowCalConstA,MATCH(Z668,FlowCalNumber,0),1,1)*AB674^INDEX(FlowCalConstB,MATCH(Z668,FlowCalNumber,0),1,1)&lt;INDEX(FlowCalHighSetting,MATCH(Z668,FlowCalNumber,0),1,1))),INDEX(FlowCalConstA,MATCH(Z668,FlowCalNumber,0),1,1)*AB674^INDEX(FlowCalConstB,MATCH(Z668,FlowCalNumber,0),1,1)," ")</f>
        <v>#N/A</v>
      </c>
      <c r="AD674" s="33"/>
      <c r="AE674" s="242">
        <f t="shared" si="642"/>
        <v>0.1</v>
      </c>
      <c r="AF674" s="241" t="e">
        <f t="shared" ca="1" si="643"/>
        <v>#VALUE!</v>
      </c>
      <c r="AG674" s="243" t="e">
        <f ca="1">IF(AND(INDEX(FlowCalConstA,MATCH(AD668,FlowCalNumber,0),1,1)*AF674^INDEX(FlowCalConstB,MATCH(AD668,FlowCalNumber,0),1,1)&gt;INDEX(FlowCalLowSetting,MATCH(AD668,FlowCalNumber,0),1,1), (INDEX(FlowCalConstA,MATCH(AD668,FlowCalNumber,0),1,1)*AF674^INDEX(FlowCalConstB,MATCH(AD668,FlowCalNumber,0),1,1)&lt;INDEX(FlowCalHighSetting,MATCH(AD668,FlowCalNumber,0),1,1))),INDEX(FlowCalConstA,MATCH(AD668,FlowCalNumber,0),1,1)*AF674^INDEX(FlowCalConstB,MATCH(AD668,FlowCalNumber,0),1,1)," ")</f>
        <v>#N/A</v>
      </c>
      <c r="AH674" s="33"/>
      <c r="AI674" s="242">
        <f t="shared" si="644"/>
        <v>0.9</v>
      </c>
      <c r="AJ674" s="241" t="e">
        <f t="shared" ca="1" si="645"/>
        <v>#VALUE!</v>
      </c>
      <c r="AK674" s="243" t="e">
        <f ca="1">IF(AND(INDEX(FlowCalConstA,MATCH(AH668,FlowCalNumber,0),1,1)*AJ674^INDEX(FlowCalConstB,MATCH(AH668,FlowCalNumber,0),1,1)&gt;INDEX(FlowCalLowSetting,MATCH(AH668,FlowCalNumber,0),1,1), (INDEX(FlowCalConstA,MATCH(AH668,FlowCalNumber,0),1,1)*AJ674^INDEX(FlowCalConstB,MATCH(AH668,FlowCalNumber,0),1,1)&lt;INDEX(FlowCalHighSetting,MATCH(AH668,FlowCalNumber,0),1,1))),INDEX(FlowCalConstA,MATCH(AH668,FlowCalNumber,0),1,1)*AJ674^INDEX(FlowCalConstB,MATCH(AH668,FlowCalNumber,0),1,1)," ")</f>
        <v>#N/A</v>
      </c>
      <c r="AL674" s="33"/>
      <c r="AM674" s="242"/>
      <c r="AN674" s="241"/>
      <c r="AO674" s="244"/>
      <c r="AQ674" s="242"/>
      <c r="AR674" s="241"/>
      <c r="AS674" s="244"/>
      <c r="AT674" s="33"/>
      <c r="AU674" s="242"/>
      <c r="AV674" s="241"/>
      <c r="AW674" s="244"/>
      <c r="AX674" s="33"/>
      <c r="AY674" s="242"/>
      <c r="AZ674" s="241"/>
      <c r="BA674" s="244"/>
      <c r="BB674" s="33"/>
      <c r="BC674" s="242"/>
      <c r="BD674" s="241"/>
      <c r="BE674" s="244"/>
      <c r="BF674" s="33"/>
      <c r="BG674" s="242"/>
      <c r="BH674" s="241"/>
      <c r="BI674" s="244"/>
      <c r="BJ674" s="33"/>
      <c r="BK674" s="242"/>
      <c r="BL674" s="241"/>
      <c r="BM674" s="244"/>
      <c r="BN674" s="33"/>
      <c r="BO674" s="242"/>
      <c r="BP674" s="241"/>
      <c r="BQ674" s="244"/>
      <c r="BR674" s="33"/>
      <c r="BS674" s="242"/>
      <c r="BT674" s="241"/>
      <c r="BU674" s="244"/>
      <c r="BV674" s="33"/>
      <c r="BW674" s="242"/>
      <c r="BX674" s="241"/>
      <c r="BY674" s="244"/>
      <c r="BZ674" s="33"/>
      <c r="CA674" s="242"/>
      <c r="CB674" s="241"/>
      <c r="CC674" s="244"/>
      <c r="CD674" s="243"/>
      <c r="CE674" s="243"/>
      <c r="CF674" s="243"/>
      <c r="CG674" s="243"/>
      <c r="CH674" s="243"/>
      <c r="CI674" s="243"/>
      <c r="CJ674" s="243"/>
      <c r="CK674" s="243"/>
      <c r="CL674" s="243"/>
      <c r="CM674" s="243"/>
      <c r="CN674" s="243"/>
      <c r="CO674" s="243"/>
      <c r="CP674" s="243"/>
      <c r="CQ674" s="243"/>
      <c r="CR674" s="243"/>
      <c r="CS674" s="243"/>
      <c r="CT674" s="243"/>
      <c r="CU674" s="243"/>
      <c r="CV674" s="243"/>
      <c r="CW674" s="243"/>
      <c r="CX674" s="243"/>
      <c r="CY674" s="243"/>
      <c r="CZ674" s="243"/>
      <c r="DA674" s="243"/>
      <c r="DB674" s="243"/>
      <c r="DC674" s="243"/>
      <c r="DD674" s="243"/>
      <c r="DE674" s="243"/>
      <c r="DF674" s="243"/>
      <c r="DG674" s="243"/>
      <c r="DH674" s="243"/>
      <c r="DI674" s="243"/>
      <c r="DJ674" s="243"/>
      <c r="DK674" s="243"/>
      <c r="DM674" s="242"/>
      <c r="DO674" s="243"/>
      <c r="DQ674" s="242"/>
      <c r="DS674" s="243"/>
      <c r="DU674" s="242"/>
      <c r="DW674" s="243"/>
      <c r="DY674" s="242"/>
      <c r="EA674" s="243"/>
    </row>
    <row r="675" spans="1:131">
      <c r="A675" s="20"/>
      <c r="B675" s="124" t="str">
        <f t="shared" si="630"/>
        <v/>
      </c>
      <c r="C675" s="235"/>
      <c r="D675" s="24">
        <f>'1% Wind'!$M$88</f>
        <v>10.1</v>
      </c>
      <c r="E675" s="90"/>
      <c r="F675" s="90"/>
      <c r="G675" s="79">
        <f ca="1">IF(I668=0.9743,$G674,MAX(G674/D674*D675,2))</f>
        <v>6.001707317073171</v>
      </c>
      <c r="H675" s="121" t="e">
        <f t="shared" ca="1" si="631"/>
        <v>#VALUE!</v>
      </c>
      <c r="J675" s="33"/>
      <c r="K675" s="242">
        <f t="shared" si="632"/>
        <v>1</v>
      </c>
      <c r="L675" s="241" t="e">
        <f t="shared" ca="1" si="633"/>
        <v>#VALUE!</v>
      </c>
      <c r="M675" s="243" t="e">
        <f ca="1">IF(AND(INDEX(FlowCalConstA,MATCH(J668,FlowCalNumber,0),1,1)*L675^INDEX(FlowCalConstB,MATCH(J668,FlowCalNumber,0),1,1)&gt;INDEX(FlowCalLowSetting,MATCH(J668,FlowCalNumber,0),1,1), (INDEX(FlowCalConstA,MATCH(J668,FlowCalNumber,0),1,1)*L675^INDEX(FlowCalConstB,MATCH(J668,FlowCalNumber,0),1,1)&lt;INDEX(FlowCalHighSetting,MATCH(J668,FlowCalNumber,0),1,1))),INDEX(FlowCalConstA,MATCH(J668,FlowCalNumber,0),1,1)*L675^INDEX(FlowCalConstB,MATCH(J668,FlowCalNumber,0),1,1)," ")</f>
        <v>#N/A</v>
      </c>
      <c r="N675" s="33"/>
      <c r="O675" s="242">
        <f t="shared" si="634"/>
        <v>1</v>
      </c>
      <c r="P675" s="241" t="e">
        <f t="shared" ca="1" si="635"/>
        <v>#VALUE!</v>
      </c>
      <c r="Q675" s="243" t="e">
        <f ca="1">IF(AND(INDEX(FlowCalConstA,MATCH(N668,FlowCalNumber,0),1,1)*P675^INDEX(FlowCalConstB,MATCH(N668,FlowCalNumber,0),1,1)&gt;INDEX(FlowCalLowSetting,MATCH(N668,FlowCalNumber,0),1,1), (INDEX(FlowCalConstA,MATCH(N668,FlowCalNumber,0),1,1)*P675^INDEX(FlowCalConstB,MATCH(N668,FlowCalNumber,0),1,1)&lt;INDEX(FlowCalHighSetting,MATCH(N668,FlowCalNumber,0),1,1))),INDEX(FlowCalConstA,MATCH(N668,FlowCalNumber,0),1,1)*P675^INDEX(FlowCalConstB,MATCH(N668,FlowCalNumber,0),1,1)," ")</f>
        <v>#N/A</v>
      </c>
      <c r="R675" s="33"/>
      <c r="S675" s="242">
        <f t="shared" si="636"/>
        <v>1</v>
      </c>
      <c r="T675" s="241" t="e">
        <f t="shared" ca="1" si="637"/>
        <v>#VALUE!</v>
      </c>
      <c r="U675" s="244" t="e">
        <f ca="1">IF(AND(INDEX(FlowCalConstA,MATCH(R668,FlowCalNumber,0),1,1)*T675^INDEX(FlowCalConstB,MATCH(R668,FlowCalNumber,0),1,1)&gt;INDEX(FlowCalLowSetting,MATCH(R668,FlowCalNumber,0),1,1), (INDEX(FlowCalConstA,MATCH(R668,FlowCalNumber,0),1,1)*T675^INDEX(FlowCalConstB,MATCH(R668,FlowCalNumber,0),1,1)&lt;INDEX(FlowCalHighSetting,MATCH(R668,FlowCalNumber,0),1,1))),INDEX(FlowCalConstA,MATCH(R668,FlowCalNumber,0),1,1)*T675^INDEX(FlowCalConstB,MATCH(R668,FlowCalNumber,0),1,1)," ")</f>
        <v>#N/A</v>
      </c>
      <c r="V675" s="33"/>
      <c r="W675" s="242">
        <f t="shared" si="638"/>
        <v>0.1</v>
      </c>
      <c r="X675" s="241" t="e">
        <f t="shared" ca="1" si="639"/>
        <v>#VALUE!</v>
      </c>
      <c r="Y675" s="243" t="e">
        <f ca="1">IF(AND(INDEX(FlowCalConstA,MATCH(V668,FlowCalNumber,0),1,1)*X675^INDEX(FlowCalConstB,MATCH(V668,FlowCalNumber,0),1,1)&gt;INDEX(FlowCalLowSetting,MATCH(V668,FlowCalNumber,0),1,1), (INDEX(FlowCalConstA,MATCH(V668,FlowCalNumber,0),1,1)*X675^INDEX(FlowCalConstB,MATCH(V668,FlowCalNumber,0),1,1)&lt;INDEX(FlowCalHighSetting,MATCH(V668,FlowCalNumber,0),1,1))),INDEX(FlowCalConstA,MATCH(V668,FlowCalNumber,0),1,1)*X675^INDEX(FlowCalConstB,MATCH(V668,FlowCalNumber,0),1,1)," ")</f>
        <v>#N/A</v>
      </c>
      <c r="Z675" s="33"/>
      <c r="AA675" s="242">
        <f t="shared" si="640"/>
        <v>0.9</v>
      </c>
      <c r="AB675" s="241" t="e">
        <f t="shared" ca="1" si="641"/>
        <v>#VALUE!</v>
      </c>
      <c r="AC675" s="243" t="e">
        <f ca="1">IF(AND(INDEX(FlowCalConstA,MATCH(Z668,FlowCalNumber,0),1,1)*AB675^INDEX(FlowCalConstB,MATCH(Z668,FlowCalNumber,0),1,1)&gt;INDEX(FlowCalLowSetting,MATCH(Z668,FlowCalNumber,0),1,1), (INDEX(FlowCalConstA,MATCH(Z668,FlowCalNumber,0),1,1)*AB675^INDEX(FlowCalConstB,MATCH(Z668,FlowCalNumber,0),1,1)&lt;INDEX(FlowCalHighSetting,MATCH(Z668,FlowCalNumber,0),1,1))),INDEX(FlowCalConstA,MATCH(Z668,FlowCalNumber,0),1,1)*AB675^INDEX(FlowCalConstB,MATCH(Z668,FlowCalNumber,0),1,1)," ")</f>
        <v>#N/A</v>
      </c>
      <c r="AD675" s="33"/>
      <c r="AE675" s="242">
        <f t="shared" si="642"/>
        <v>0.1</v>
      </c>
      <c r="AF675" s="241" t="e">
        <f t="shared" ca="1" si="643"/>
        <v>#VALUE!</v>
      </c>
      <c r="AG675" s="243" t="e">
        <f ca="1">IF(AND(INDEX(FlowCalConstA,MATCH(AD668,FlowCalNumber,0),1,1)*AF675^INDEX(FlowCalConstB,MATCH(AD668,FlowCalNumber,0),1,1)&gt;INDEX(FlowCalLowSetting,MATCH(AD668,FlowCalNumber,0),1,1), (INDEX(FlowCalConstA,MATCH(AD668,FlowCalNumber,0),1,1)*AF675^INDEX(FlowCalConstB,MATCH(AD668,FlowCalNumber,0),1,1)&lt;INDEX(FlowCalHighSetting,MATCH(AD668,FlowCalNumber,0),1,1))),INDEX(FlowCalConstA,MATCH(AD668,FlowCalNumber,0),1,1)*AF675^INDEX(FlowCalConstB,MATCH(AD668,FlowCalNumber,0),1,1)," ")</f>
        <v>#N/A</v>
      </c>
      <c r="AH675" s="33"/>
      <c r="AI675" s="242">
        <f t="shared" si="644"/>
        <v>0.9</v>
      </c>
      <c r="AJ675" s="241" t="e">
        <f t="shared" ca="1" si="645"/>
        <v>#VALUE!</v>
      </c>
      <c r="AK675" s="243" t="e">
        <f ca="1">IF(AND(INDEX(FlowCalConstA,MATCH(AH668,FlowCalNumber,0),1,1)*AJ675^INDEX(FlowCalConstB,MATCH(AH668,FlowCalNumber,0),1,1)&gt;INDEX(FlowCalLowSetting,MATCH(AH668,FlowCalNumber,0),1,1), (INDEX(FlowCalConstA,MATCH(AH668,FlowCalNumber,0),1,1)*AJ675^INDEX(FlowCalConstB,MATCH(AH668,FlowCalNumber,0),1,1)&lt;INDEX(FlowCalHighSetting,MATCH(AH668,FlowCalNumber,0),1,1))),INDEX(FlowCalConstA,MATCH(AH668,FlowCalNumber,0),1,1)*AJ675^INDEX(FlowCalConstB,MATCH(AH668,FlowCalNumber,0),1,1)," ")</f>
        <v>#N/A</v>
      </c>
      <c r="AL675" s="33"/>
      <c r="AM675" s="242"/>
      <c r="AN675" s="241"/>
      <c r="AO675" s="244"/>
      <c r="AQ675" s="242"/>
      <c r="AR675" s="241"/>
      <c r="AS675" s="244"/>
      <c r="AT675" s="33"/>
      <c r="AU675" s="242"/>
      <c r="AV675" s="241"/>
      <c r="AW675" s="244"/>
      <c r="AX675" s="33"/>
      <c r="AY675" s="242"/>
      <c r="AZ675" s="241"/>
      <c r="BA675" s="244"/>
      <c r="BB675" s="33"/>
      <c r="BC675" s="242"/>
      <c r="BD675" s="241"/>
      <c r="BE675" s="244"/>
      <c r="BF675" s="33"/>
      <c r="BG675" s="242"/>
      <c r="BH675" s="241"/>
      <c r="BI675" s="244"/>
      <c r="BJ675" s="33"/>
      <c r="BK675" s="242"/>
      <c r="BL675" s="241"/>
      <c r="BM675" s="244"/>
      <c r="BN675" s="33"/>
      <c r="BO675" s="242"/>
      <c r="BP675" s="241"/>
      <c r="BQ675" s="244"/>
      <c r="BR675" s="33"/>
      <c r="BS675" s="242"/>
      <c r="BT675" s="241"/>
      <c r="BU675" s="244"/>
      <c r="BV675" s="33"/>
      <c r="BW675" s="242"/>
      <c r="BX675" s="241"/>
      <c r="BY675" s="244"/>
      <c r="BZ675" s="33"/>
      <c r="CA675" s="242"/>
      <c r="CB675" s="241"/>
      <c r="CC675" s="244"/>
      <c r="CD675" s="243"/>
      <c r="CE675" s="243"/>
      <c r="CF675" s="243"/>
      <c r="CG675" s="243"/>
      <c r="CH675" s="243"/>
      <c r="CI675" s="243"/>
      <c r="CJ675" s="243"/>
      <c r="CK675" s="243"/>
      <c r="CL675" s="243"/>
      <c r="CM675" s="243"/>
      <c r="CN675" s="243"/>
      <c r="CO675" s="243"/>
      <c r="CP675" s="243"/>
      <c r="CQ675" s="243"/>
      <c r="CR675" s="243"/>
      <c r="CS675" s="243"/>
      <c r="CT675" s="243"/>
      <c r="CU675" s="243"/>
      <c r="CV675" s="243"/>
      <c r="CW675" s="243"/>
      <c r="CX675" s="243"/>
      <c r="CY675" s="243"/>
      <c r="CZ675" s="243"/>
      <c r="DA675" s="243"/>
      <c r="DB675" s="243"/>
      <c r="DC675" s="243"/>
      <c r="DD675" s="243"/>
      <c r="DE675" s="243"/>
      <c r="DF675" s="243"/>
      <c r="DG675" s="243"/>
      <c r="DH675" s="243"/>
      <c r="DI675" s="243"/>
      <c r="DJ675" s="243"/>
      <c r="DK675" s="243"/>
      <c r="DM675" s="242"/>
      <c r="DO675" s="243"/>
      <c r="DQ675" s="242"/>
      <c r="DS675" s="243"/>
      <c r="DU675" s="242"/>
      <c r="DW675" s="243"/>
      <c r="DY675" s="242"/>
      <c r="EA675" s="243"/>
    </row>
    <row r="676" spans="1:131">
      <c r="A676" s="20"/>
      <c r="B676" s="124" t="str">
        <f t="shared" si="630"/>
        <v/>
      </c>
      <c r="C676" s="235"/>
      <c r="D676" s="24">
        <f>'1% Wind'!$M$89</f>
        <v>7.6</v>
      </c>
      <c r="E676" s="90"/>
      <c r="F676" s="90"/>
      <c r="G676" s="79">
        <f ca="1">IF(I668=0.9743,$G675,MAX(G675/D675*D676,2))</f>
        <v>6.001707317073171</v>
      </c>
      <c r="H676" s="121" t="e">
        <f t="shared" ca="1" si="631"/>
        <v>#VALUE!</v>
      </c>
      <c r="J676" s="33"/>
      <c r="K676" s="242">
        <f t="shared" si="632"/>
        <v>1</v>
      </c>
      <c r="L676" s="241" t="e">
        <f t="shared" ca="1" si="633"/>
        <v>#VALUE!</v>
      </c>
      <c r="M676" s="243" t="e">
        <f ca="1">IF(AND(INDEX(FlowCalConstA,MATCH(J668,FlowCalNumber,0),1,1)*L676^INDEX(FlowCalConstB,MATCH(J668,FlowCalNumber,0),1,1)&gt;INDEX(FlowCalLowSetting,MATCH(J668,FlowCalNumber,0),1,1), (INDEX(FlowCalConstA,MATCH(J668,FlowCalNumber,0),1,1)*L676^INDEX(FlowCalConstB,MATCH(J668,FlowCalNumber,0),1,1)&lt;INDEX(FlowCalHighSetting,MATCH(J668,FlowCalNumber,0),1,1))),INDEX(FlowCalConstA,MATCH(J668,FlowCalNumber,0),1,1)*L676^INDEX(FlowCalConstB,MATCH(J668,FlowCalNumber,0),1,1)," ")</f>
        <v>#N/A</v>
      </c>
      <c r="N676" s="33"/>
      <c r="O676" s="242">
        <f t="shared" si="634"/>
        <v>1</v>
      </c>
      <c r="P676" s="241" t="e">
        <f t="shared" ca="1" si="635"/>
        <v>#VALUE!</v>
      </c>
      <c r="Q676" s="243" t="e">
        <f ca="1">IF(AND(INDEX(FlowCalConstA,MATCH(N668,FlowCalNumber,0),1,1)*P676^INDEX(FlowCalConstB,MATCH(N668,FlowCalNumber,0),1,1)&gt;INDEX(FlowCalLowSetting,MATCH(N668,FlowCalNumber,0),1,1), (INDEX(FlowCalConstA,MATCH(N668,FlowCalNumber,0),1,1)*P676^INDEX(FlowCalConstB,MATCH(N668,FlowCalNumber,0),1,1)&lt;INDEX(FlowCalHighSetting,MATCH(N668,FlowCalNumber,0),1,1))),INDEX(FlowCalConstA,MATCH(N668,FlowCalNumber,0),1,1)*P676^INDEX(FlowCalConstB,MATCH(N668,FlowCalNumber,0),1,1)," ")</f>
        <v>#N/A</v>
      </c>
      <c r="R676" s="33"/>
      <c r="S676" s="242">
        <f t="shared" si="636"/>
        <v>1</v>
      </c>
      <c r="T676" s="241" t="e">
        <f t="shared" ca="1" si="637"/>
        <v>#VALUE!</v>
      </c>
      <c r="U676" s="244" t="e">
        <f ca="1">IF(AND(INDEX(FlowCalConstA,MATCH(R668,FlowCalNumber,0),1,1)*T676^INDEX(FlowCalConstB,MATCH(R668,FlowCalNumber,0),1,1)&gt;INDEX(FlowCalLowSetting,MATCH(R668,FlowCalNumber,0),1,1), (INDEX(FlowCalConstA,MATCH(R668,FlowCalNumber,0),1,1)*T676^INDEX(FlowCalConstB,MATCH(R668,FlowCalNumber,0),1,1)&lt;INDEX(FlowCalHighSetting,MATCH(R668,FlowCalNumber,0),1,1))),INDEX(FlowCalConstA,MATCH(R668,FlowCalNumber,0),1,1)*T676^INDEX(FlowCalConstB,MATCH(R668,FlowCalNumber,0),1,1)," ")</f>
        <v>#N/A</v>
      </c>
      <c r="V676" s="33"/>
      <c r="W676" s="242">
        <f t="shared" si="638"/>
        <v>0.1</v>
      </c>
      <c r="X676" s="241" t="e">
        <f t="shared" ca="1" si="639"/>
        <v>#VALUE!</v>
      </c>
      <c r="Y676" s="243" t="e">
        <f ca="1">IF(AND(INDEX(FlowCalConstA,MATCH(V668,FlowCalNumber,0),1,1)*X676^INDEX(FlowCalConstB,MATCH(V668,FlowCalNumber,0),1,1)&gt;INDEX(FlowCalLowSetting,MATCH(V668,FlowCalNumber,0),1,1), (INDEX(FlowCalConstA,MATCH(V668,FlowCalNumber,0),1,1)*X676^INDEX(FlowCalConstB,MATCH(V668,FlowCalNumber,0),1,1)&lt;INDEX(FlowCalHighSetting,MATCH(V668,FlowCalNumber,0),1,1))),INDEX(FlowCalConstA,MATCH(V668,FlowCalNumber,0),1,1)*X676^INDEX(FlowCalConstB,MATCH(V668,FlowCalNumber,0),1,1)," ")</f>
        <v>#N/A</v>
      </c>
      <c r="Z676" s="33"/>
      <c r="AA676" s="242">
        <f t="shared" si="640"/>
        <v>0.9</v>
      </c>
      <c r="AB676" s="241" t="e">
        <f t="shared" ca="1" si="641"/>
        <v>#VALUE!</v>
      </c>
      <c r="AC676" s="243" t="e">
        <f ca="1">IF(AND(INDEX(FlowCalConstA,MATCH(Z668,FlowCalNumber,0),1,1)*AB676^INDEX(FlowCalConstB,MATCH(Z668,FlowCalNumber,0),1,1)&gt;INDEX(FlowCalLowSetting,MATCH(Z668,FlowCalNumber,0),1,1), (INDEX(FlowCalConstA,MATCH(Z668,FlowCalNumber,0),1,1)*AB676^INDEX(FlowCalConstB,MATCH(Z668,FlowCalNumber,0),1,1)&lt;INDEX(FlowCalHighSetting,MATCH(Z668,FlowCalNumber,0),1,1))),INDEX(FlowCalConstA,MATCH(Z668,FlowCalNumber,0),1,1)*AB676^INDEX(FlowCalConstB,MATCH(Z668,FlowCalNumber,0),1,1)," ")</f>
        <v>#N/A</v>
      </c>
      <c r="AD676" s="33"/>
      <c r="AE676" s="242">
        <f t="shared" si="642"/>
        <v>0.1</v>
      </c>
      <c r="AF676" s="241" t="e">
        <f t="shared" ca="1" si="643"/>
        <v>#VALUE!</v>
      </c>
      <c r="AG676" s="243" t="e">
        <f ca="1">IF(AND(INDEX(FlowCalConstA,MATCH(AD668,FlowCalNumber,0),1,1)*AF676^INDEX(FlowCalConstB,MATCH(AD668,FlowCalNumber,0),1,1)&gt;INDEX(FlowCalLowSetting,MATCH(AD668,FlowCalNumber,0),1,1), (INDEX(FlowCalConstA,MATCH(AD668,FlowCalNumber,0),1,1)*AF676^INDEX(FlowCalConstB,MATCH(AD668,FlowCalNumber,0),1,1)&lt;INDEX(FlowCalHighSetting,MATCH(AD668,FlowCalNumber,0),1,1))),INDEX(FlowCalConstA,MATCH(AD668,FlowCalNumber,0),1,1)*AF676^INDEX(FlowCalConstB,MATCH(AD668,FlowCalNumber,0),1,1)," ")</f>
        <v>#N/A</v>
      </c>
      <c r="AH676" s="33"/>
      <c r="AI676" s="242">
        <f t="shared" si="644"/>
        <v>0.9</v>
      </c>
      <c r="AJ676" s="241" t="e">
        <f t="shared" ca="1" si="645"/>
        <v>#VALUE!</v>
      </c>
      <c r="AK676" s="243" t="e">
        <f ca="1">IF(AND(INDEX(FlowCalConstA,MATCH(AH668,FlowCalNumber,0),1,1)*AJ676^INDEX(FlowCalConstB,MATCH(AH668,FlowCalNumber,0),1,1)&gt;INDEX(FlowCalLowSetting,MATCH(AH668,FlowCalNumber,0),1,1), (INDEX(FlowCalConstA,MATCH(AH668,FlowCalNumber,0),1,1)*AJ676^INDEX(FlowCalConstB,MATCH(AH668,FlowCalNumber,0),1,1)&lt;INDEX(FlowCalHighSetting,MATCH(AH668,FlowCalNumber,0),1,1))),INDEX(FlowCalConstA,MATCH(AH668,FlowCalNumber,0),1,1)*AJ676^INDEX(FlowCalConstB,MATCH(AH668,FlowCalNumber,0),1,1)," ")</f>
        <v>#N/A</v>
      </c>
      <c r="AL676" s="33"/>
      <c r="AM676" s="242"/>
      <c r="AN676" s="241"/>
      <c r="AO676" s="244"/>
      <c r="AQ676" s="242"/>
      <c r="AR676" s="241"/>
      <c r="AS676" s="244"/>
      <c r="AT676" s="33"/>
      <c r="AU676" s="242"/>
      <c r="AV676" s="241"/>
      <c r="AW676" s="244"/>
      <c r="AX676" s="33"/>
      <c r="AY676" s="242"/>
      <c r="AZ676" s="241"/>
      <c r="BA676" s="244"/>
      <c r="BB676" s="33"/>
      <c r="BC676" s="242"/>
      <c r="BD676" s="241"/>
      <c r="BE676" s="244"/>
      <c r="BF676" s="33"/>
      <c r="BG676" s="242"/>
      <c r="BH676" s="241"/>
      <c r="BI676" s="244"/>
      <c r="BJ676" s="33"/>
      <c r="BK676" s="242"/>
      <c r="BL676" s="241"/>
      <c r="BM676" s="244"/>
      <c r="BN676" s="33"/>
      <c r="BO676" s="242"/>
      <c r="BP676" s="241"/>
      <c r="BQ676" s="244"/>
      <c r="BR676" s="33"/>
      <c r="BS676" s="242"/>
      <c r="BT676" s="241"/>
      <c r="BU676" s="244"/>
      <c r="BV676" s="33"/>
      <c r="BW676" s="242"/>
      <c r="BX676" s="241"/>
      <c r="BY676" s="244"/>
      <c r="BZ676" s="33"/>
      <c r="CA676" s="242"/>
      <c r="CB676" s="241"/>
      <c r="CC676" s="244"/>
      <c r="CD676" s="243"/>
      <c r="CE676" s="243"/>
      <c r="CF676" s="243"/>
      <c r="CG676" s="243"/>
      <c r="CH676" s="243"/>
      <c r="CI676" s="243"/>
      <c r="CJ676" s="243"/>
      <c r="CK676" s="243"/>
      <c r="CL676" s="243"/>
      <c r="CM676" s="243"/>
      <c r="CN676" s="243"/>
      <c r="CO676" s="243"/>
      <c r="CP676" s="243"/>
      <c r="CQ676" s="243"/>
      <c r="CR676" s="243"/>
      <c r="CS676" s="243"/>
      <c r="CT676" s="243"/>
      <c r="CU676" s="243"/>
      <c r="CV676" s="243"/>
      <c r="CW676" s="243"/>
      <c r="CX676" s="243"/>
      <c r="CY676" s="243"/>
      <c r="CZ676" s="243"/>
      <c r="DA676" s="243"/>
      <c r="DB676" s="243"/>
      <c r="DC676" s="243"/>
      <c r="DD676" s="243"/>
      <c r="DE676" s="243"/>
      <c r="DF676" s="243"/>
      <c r="DG676" s="243"/>
      <c r="DH676" s="243"/>
      <c r="DI676" s="243"/>
      <c r="DJ676" s="243"/>
      <c r="DK676" s="243"/>
      <c r="DM676" s="242"/>
      <c r="DO676" s="243"/>
      <c r="DQ676" s="242"/>
      <c r="DS676" s="243"/>
      <c r="DU676" s="242"/>
      <c r="DW676" s="243"/>
      <c r="DY676" s="242"/>
      <c r="EA676" s="243"/>
    </row>
    <row r="677" spans="1:131">
      <c r="A677" s="20"/>
      <c r="B677" s="124" t="str">
        <f t="shared" si="630"/>
        <v/>
      </c>
      <c r="C677" s="235"/>
      <c r="D677" s="24">
        <f>'1% Wind'!$M$90</f>
        <v>5.7</v>
      </c>
      <c r="E677" s="90"/>
      <c r="F677" s="90"/>
      <c r="G677" s="79">
        <f ca="1">IF(I668=0.9743,$G676,MAX(G676/D676*D677,2))</f>
        <v>6.001707317073171</v>
      </c>
      <c r="H677" s="121" t="e">
        <f t="shared" ca="1" si="631"/>
        <v>#VALUE!</v>
      </c>
      <c r="J677" s="33"/>
      <c r="K677" s="242">
        <f t="shared" si="632"/>
        <v>1</v>
      </c>
      <c r="L677" s="241" t="e">
        <f t="shared" ca="1" si="633"/>
        <v>#VALUE!</v>
      </c>
      <c r="M677" s="243" t="e">
        <f ca="1">IF(AND(INDEX(FlowCalConstA,MATCH(J668,FlowCalNumber,0),1,1)*L677^INDEX(FlowCalConstB,MATCH(J668,FlowCalNumber,0),1,1)&gt;INDEX(FlowCalLowSetting,MATCH(J668,FlowCalNumber,0),1,1), (INDEX(FlowCalConstA,MATCH(J668,FlowCalNumber,0),1,1)*L677^INDEX(FlowCalConstB,MATCH(J668,FlowCalNumber,0),1,1)&lt;INDEX(FlowCalHighSetting,MATCH(J668,FlowCalNumber,0),1,1))),INDEX(FlowCalConstA,MATCH(J668,FlowCalNumber,0),1,1)*L677^INDEX(FlowCalConstB,MATCH(J668,FlowCalNumber,0),1,1)," ")</f>
        <v>#N/A</v>
      </c>
      <c r="N677" s="33"/>
      <c r="O677" s="242">
        <f t="shared" si="634"/>
        <v>1</v>
      </c>
      <c r="P677" s="241" t="e">
        <f t="shared" ca="1" si="635"/>
        <v>#VALUE!</v>
      </c>
      <c r="Q677" s="243" t="e">
        <f ca="1">IF(AND(INDEX(FlowCalConstA,MATCH(N668,FlowCalNumber,0),1,1)*P677^INDEX(FlowCalConstB,MATCH(N668,FlowCalNumber,0),1,1)&gt;INDEX(FlowCalLowSetting,MATCH(N668,FlowCalNumber,0),1,1), (INDEX(FlowCalConstA,MATCH(N668,FlowCalNumber,0),1,1)*P677^INDEX(FlowCalConstB,MATCH(N668,FlowCalNumber,0),1,1)&lt;INDEX(FlowCalHighSetting,MATCH(N668,FlowCalNumber,0),1,1))),INDEX(FlowCalConstA,MATCH(N668,FlowCalNumber,0),1,1)*P677^INDEX(FlowCalConstB,MATCH(N668,FlowCalNumber,0),1,1)," ")</f>
        <v>#N/A</v>
      </c>
      <c r="R677" s="33"/>
      <c r="S677" s="242">
        <f t="shared" si="636"/>
        <v>1</v>
      </c>
      <c r="T677" s="241" t="e">
        <f t="shared" ca="1" si="637"/>
        <v>#VALUE!</v>
      </c>
      <c r="U677" s="244" t="e">
        <f ca="1">IF(AND(INDEX(FlowCalConstA,MATCH(R668,FlowCalNumber,0),1,1)*T677^INDEX(FlowCalConstB,MATCH(R668,FlowCalNumber,0),1,1)&gt;INDEX(FlowCalLowSetting,MATCH(R668,FlowCalNumber,0),1,1), (INDEX(FlowCalConstA,MATCH(R668,FlowCalNumber,0),1,1)*T677^INDEX(FlowCalConstB,MATCH(R668,FlowCalNumber,0),1,1)&lt;INDEX(FlowCalHighSetting,MATCH(R668,FlowCalNumber,0),1,1))),INDEX(FlowCalConstA,MATCH(R668,FlowCalNumber,0),1,1)*T677^INDEX(FlowCalConstB,MATCH(R668,FlowCalNumber,0),1,1)," ")</f>
        <v>#N/A</v>
      </c>
      <c r="V677" s="33"/>
      <c r="W677" s="242">
        <f t="shared" si="638"/>
        <v>0.1</v>
      </c>
      <c r="X677" s="241" t="e">
        <f t="shared" ca="1" si="639"/>
        <v>#VALUE!</v>
      </c>
      <c r="Y677" s="243" t="e">
        <f ca="1">IF(AND(INDEX(FlowCalConstA,MATCH(V668,FlowCalNumber,0),1,1)*X677^INDEX(FlowCalConstB,MATCH(V668,FlowCalNumber,0),1,1)&gt;INDEX(FlowCalLowSetting,MATCH(V668,FlowCalNumber,0),1,1), (INDEX(FlowCalConstA,MATCH(V668,FlowCalNumber,0),1,1)*X677^INDEX(FlowCalConstB,MATCH(V668,FlowCalNumber,0),1,1)&lt;INDEX(FlowCalHighSetting,MATCH(V668,FlowCalNumber,0),1,1))),INDEX(FlowCalConstA,MATCH(V668,FlowCalNumber,0),1,1)*X677^INDEX(FlowCalConstB,MATCH(V668,FlowCalNumber,0),1,1)," ")</f>
        <v>#N/A</v>
      </c>
      <c r="Z677" s="33"/>
      <c r="AA677" s="242">
        <f t="shared" si="640"/>
        <v>0.9</v>
      </c>
      <c r="AB677" s="241" t="e">
        <f t="shared" ca="1" si="641"/>
        <v>#VALUE!</v>
      </c>
      <c r="AC677" s="243" t="e">
        <f ca="1">IF(AND(INDEX(FlowCalConstA,MATCH(Z668,FlowCalNumber,0),1,1)*AB677^INDEX(FlowCalConstB,MATCH(Z668,FlowCalNumber,0),1,1)&gt;INDEX(FlowCalLowSetting,MATCH(Z668,FlowCalNumber,0),1,1), (INDEX(FlowCalConstA,MATCH(Z668,FlowCalNumber,0),1,1)*AB677^INDEX(FlowCalConstB,MATCH(Z668,FlowCalNumber,0),1,1)&lt;INDEX(FlowCalHighSetting,MATCH(Z668,FlowCalNumber,0),1,1))),INDEX(FlowCalConstA,MATCH(Z668,FlowCalNumber,0),1,1)*AB677^INDEX(FlowCalConstB,MATCH(Z668,FlowCalNumber,0),1,1)," ")</f>
        <v>#N/A</v>
      </c>
      <c r="AD677" s="33"/>
      <c r="AE677" s="242">
        <f t="shared" si="642"/>
        <v>0.1</v>
      </c>
      <c r="AF677" s="241" t="e">
        <f t="shared" ca="1" si="643"/>
        <v>#VALUE!</v>
      </c>
      <c r="AG677" s="243" t="e">
        <f ca="1">IF(AND(INDEX(FlowCalConstA,MATCH(AD668,FlowCalNumber,0),1,1)*AF677^INDEX(FlowCalConstB,MATCH(AD668,FlowCalNumber,0),1,1)&gt;INDEX(FlowCalLowSetting,MATCH(AD668,FlowCalNumber,0),1,1), (INDEX(FlowCalConstA,MATCH(AD668,FlowCalNumber,0),1,1)*AF677^INDEX(FlowCalConstB,MATCH(AD668,FlowCalNumber,0),1,1)&lt;INDEX(FlowCalHighSetting,MATCH(AD668,FlowCalNumber,0),1,1))),INDEX(FlowCalConstA,MATCH(AD668,FlowCalNumber,0),1,1)*AF677^INDEX(FlowCalConstB,MATCH(AD668,FlowCalNumber,0),1,1)," ")</f>
        <v>#N/A</v>
      </c>
      <c r="AH677" s="33"/>
      <c r="AI677" s="242">
        <f t="shared" si="644"/>
        <v>0.9</v>
      </c>
      <c r="AJ677" s="241" t="e">
        <f t="shared" ca="1" si="645"/>
        <v>#VALUE!</v>
      </c>
      <c r="AK677" s="243" t="e">
        <f ca="1">IF(AND(INDEX(FlowCalConstA,MATCH(AH668,FlowCalNumber,0),1,1)*AJ677^INDEX(FlowCalConstB,MATCH(AH668,FlowCalNumber,0),1,1)&gt;INDEX(FlowCalLowSetting,MATCH(AH668,FlowCalNumber,0),1,1), (INDEX(FlowCalConstA,MATCH(AH668,FlowCalNumber,0),1,1)*AJ677^INDEX(FlowCalConstB,MATCH(AH668,FlowCalNumber,0),1,1)&lt;INDEX(FlowCalHighSetting,MATCH(AH668,FlowCalNumber,0),1,1))),INDEX(FlowCalConstA,MATCH(AH668,FlowCalNumber,0),1,1)*AJ677^INDEX(FlowCalConstB,MATCH(AH668,FlowCalNumber,0),1,1)," ")</f>
        <v>#N/A</v>
      </c>
      <c r="AL677" s="33"/>
      <c r="AM677" s="242"/>
      <c r="AN677" s="241"/>
      <c r="AO677" s="244"/>
      <c r="AQ677" s="242"/>
      <c r="AR677" s="241"/>
      <c r="AS677" s="244"/>
      <c r="AT677" s="33"/>
      <c r="AU677" s="242"/>
      <c r="AV677" s="241"/>
      <c r="AW677" s="244"/>
      <c r="AX677" s="33"/>
      <c r="AY677" s="242"/>
      <c r="AZ677" s="241"/>
      <c r="BA677" s="244"/>
      <c r="BB677" s="33"/>
      <c r="BC677" s="242"/>
      <c r="BD677" s="241"/>
      <c r="BE677" s="244"/>
      <c r="BF677" s="33"/>
      <c r="BG677" s="242"/>
      <c r="BH677" s="241"/>
      <c r="BI677" s="244"/>
      <c r="BJ677" s="33"/>
      <c r="BK677" s="242"/>
      <c r="BL677" s="241"/>
      <c r="BM677" s="244"/>
      <c r="BN677" s="33"/>
      <c r="BO677" s="242"/>
      <c r="BP677" s="241"/>
      <c r="BQ677" s="244"/>
      <c r="BR677" s="33"/>
      <c r="BS677" s="242"/>
      <c r="BT677" s="241"/>
      <c r="BU677" s="244"/>
      <c r="BV677" s="33"/>
      <c r="BW677" s="242"/>
      <c r="BX677" s="241"/>
      <c r="BY677" s="244"/>
      <c r="BZ677" s="33"/>
      <c r="CA677" s="242"/>
      <c r="CB677" s="241"/>
      <c r="CC677" s="244"/>
      <c r="CD677" s="243"/>
      <c r="CE677" s="243"/>
      <c r="CF677" s="243"/>
      <c r="CG677" s="243"/>
      <c r="CH677" s="243"/>
      <c r="CI677" s="243"/>
      <c r="CJ677" s="243"/>
      <c r="CK677" s="243"/>
      <c r="CL677" s="243"/>
      <c r="CM677" s="243"/>
      <c r="CN677" s="243"/>
      <c r="CO677" s="243"/>
      <c r="CP677" s="243"/>
      <c r="CQ677" s="243"/>
      <c r="CR677" s="243"/>
      <c r="CS677" s="243"/>
      <c r="CT677" s="243"/>
      <c r="CU677" s="243"/>
      <c r="CV677" s="243"/>
      <c r="CW677" s="243"/>
      <c r="CX677" s="243"/>
      <c r="CY677" s="243"/>
      <c r="CZ677" s="243"/>
      <c r="DA677" s="243"/>
      <c r="DB677" s="243"/>
      <c r="DC677" s="243"/>
      <c r="DD677" s="243"/>
      <c r="DE677" s="243"/>
      <c r="DF677" s="243"/>
      <c r="DG677" s="243"/>
      <c r="DH677" s="243"/>
      <c r="DI677" s="243"/>
      <c r="DJ677" s="243"/>
      <c r="DK677" s="243"/>
      <c r="DM677" s="242"/>
      <c r="DO677" s="243"/>
      <c r="DQ677" s="242"/>
      <c r="DS677" s="243"/>
      <c r="DU677" s="242"/>
      <c r="DW677" s="243"/>
      <c r="DY677" s="242"/>
      <c r="EA677" s="243"/>
    </row>
    <row r="678" spans="1:131">
      <c r="A678" s="20"/>
      <c r="B678" s="124" t="str">
        <f t="shared" si="630"/>
        <v/>
      </c>
      <c r="C678" s="235"/>
      <c r="D678" s="24">
        <f>'1% Wind'!$M$91</f>
        <v>4.2</v>
      </c>
      <c r="E678" s="90"/>
      <c r="F678" s="90"/>
      <c r="G678" s="79">
        <f ca="1">IF(I668=0.9743,$G677,MAX(G677/D677*D678,2))</f>
        <v>6.001707317073171</v>
      </c>
      <c r="H678" s="121" t="e">
        <f t="shared" ca="1" si="631"/>
        <v>#VALUE!</v>
      </c>
      <c r="J678" s="33"/>
      <c r="K678" s="242">
        <f t="shared" si="632"/>
        <v>1</v>
      </c>
      <c r="L678" s="241" t="e">
        <f t="shared" ca="1" si="633"/>
        <v>#VALUE!</v>
      </c>
      <c r="M678" s="243" t="e">
        <f ca="1">IF(AND(INDEX(FlowCalConstA,MATCH(J668,FlowCalNumber,0),1,1)*L678^INDEX(FlowCalConstB,MATCH(J668,FlowCalNumber,0),1,1)&gt;INDEX(FlowCalLowSetting,MATCH(J668,FlowCalNumber,0),1,1), (INDEX(FlowCalConstA,MATCH(J668,FlowCalNumber,0),1,1)*L678^INDEX(FlowCalConstB,MATCH(J668,FlowCalNumber,0),1,1)&lt;INDEX(FlowCalHighSetting,MATCH(J668,FlowCalNumber,0),1,1))),INDEX(FlowCalConstA,MATCH(J668,FlowCalNumber,0),1,1)*L678^INDEX(FlowCalConstB,MATCH(J668,FlowCalNumber,0),1,1)," ")</f>
        <v>#N/A</v>
      </c>
      <c r="N678" s="33"/>
      <c r="O678" s="242">
        <f t="shared" si="634"/>
        <v>1</v>
      </c>
      <c r="P678" s="241" t="e">
        <f t="shared" ca="1" si="635"/>
        <v>#VALUE!</v>
      </c>
      <c r="Q678" s="243" t="e">
        <f ca="1">IF(AND(INDEX(FlowCalConstA,MATCH(N668,FlowCalNumber,0),1,1)*P678^INDEX(FlowCalConstB,MATCH(N668,FlowCalNumber,0),1,1)&gt;INDEX(FlowCalLowSetting,MATCH(N668,FlowCalNumber,0),1,1), (INDEX(FlowCalConstA,MATCH(N668,FlowCalNumber,0),1,1)*P678^INDEX(FlowCalConstB,MATCH(N668,FlowCalNumber,0),1,1)&lt;INDEX(FlowCalHighSetting,MATCH(N668,FlowCalNumber,0),1,1))),INDEX(FlowCalConstA,MATCH(N668,FlowCalNumber,0),1,1)*P678^INDEX(FlowCalConstB,MATCH(N668,FlowCalNumber,0),1,1)," ")</f>
        <v>#N/A</v>
      </c>
      <c r="R678" s="33"/>
      <c r="S678" s="242">
        <f t="shared" si="636"/>
        <v>1</v>
      </c>
      <c r="T678" s="241" t="e">
        <f t="shared" ca="1" si="637"/>
        <v>#VALUE!</v>
      </c>
      <c r="U678" s="244" t="e">
        <f ca="1">IF(AND(INDEX(FlowCalConstA,MATCH(R668,FlowCalNumber,0),1,1)*T678^INDEX(FlowCalConstB,MATCH(R668,FlowCalNumber,0),1,1)&gt;INDEX(FlowCalLowSetting,MATCH(R668,FlowCalNumber,0),1,1), (INDEX(FlowCalConstA,MATCH(R668,FlowCalNumber,0),1,1)*T678^INDEX(FlowCalConstB,MATCH(R668,FlowCalNumber,0),1,1)&lt;INDEX(FlowCalHighSetting,MATCH(R668,FlowCalNumber,0),1,1))),INDEX(FlowCalConstA,MATCH(R668,FlowCalNumber,0),1,1)*T678^INDEX(FlowCalConstB,MATCH(R668,FlowCalNumber,0),1,1)," ")</f>
        <v>#N/A</v>
      </c>
      <c r="V678" s="33"/>
      <c r="W678" s="242">
        <f t="shared" si="638"/>
        <v>0.1</v>
      </c>
      <c r="X678" s="241" t="e">
        <f t="shared" ca="1" si="639"/>
        <v>#VALUE!</v>
      </c>
      <c r="Y678" s="243" t="e">
        <f ca="1">IF(AND(INDEX(FlowCalConstA,MATCH(V668,FlowCalNumber,0),1,1)*X678^INDEX(FlowCalConstB,MATCH(V668,FlowCalNumber,0),1,1)&gt;INDEX(FlowCalLowSetting,MATCH(V668,FlowCalNumber,0),1,1), (INDEX(FlowCalConstA,MATCH(V668,FlowCalNumber,0),1,1)*X678^INDEX(FlowCalConstB,MATCH(V668,FlowCalNumber,0),1,1)&lt;INDEX(FlowCalHighSetting,MATCH(V668,FlowCalNumber,0),1,1))),INDEX(FlowCalConstA,MATCH(V668,FlowCalNumber,0),1,1)*X678^INDEX(FlowCalConstB,MATCH(V668,FlowCalNumber,0),1,1)," ")</f>
        <v>#N/A</v>
      </c>
      <c r="Z678" s="33"/>
      <c r="AA678" s="242">
        <f t="shared" si="640"/>
        <v>0.9</v>
      </c>
      <c r="AB678" s="241" t="e">
        <f t="shared" ca="1" si="641"/>
        <v>#VALUE!</v>
      </c>
      <c r="AC678" s="243" t="e">
        <f ca="1">IF(AND(INDEX(FlowCalConstA,MATCH(Z668,FlowCalNumber,0),1,1)*AB678^INDEX(FlowCalConstB,MATCH(Z668,FlowCalNumber,0),1,1)&gt;INDEX(FlowCalLowSetting,MATCH(Z668,FlowCalNumber,0),1,1), (INDEX(FlowCalConstA,MATCH(Z668,FlowCalNumber,0),1,1)*AB678^INDEX(FlowCalConstB,MATCH(Z668,FlowCalNumber,0),1,1)&lt;INDEX(FlowCalHighSetting,MATCH(Z668,FlowCalNumber,0),1,1))),INDEX(FlowCalConstA,MATCH(Z668,FlowCalNumber,0),1,1)*AB678^INDEX(FlowCalConstB,MATCH(Z668,FlowCalNumber,0),1,1)," ")</f>
        <v>#N/A</v>
      </c>
      <c r="AD678" s="33"/>
      <c r="AE678" s="242">
        <f t="shared" si="642"/>
        <v>0.1</v>
      </c>
      <c r="AF678" s="241" t="e">
        <f t="shared" ca="1" si="643"/>
        <v>#VALUE!</v>
      </c>
      <c r="AG678" s="243" t="e">
        <f ca="1">IF(AND(INDEX(FlowCalConstA,MATCH(AD668,FlowCalNumber,0),1,1)*AF678^INDEX(FlowCalConstB,MATCH(AD668,FlowCalNumber,0),1,1)&gt;INDEX(FlowCalLowSetting,MATCH(AD668,FlowCalNumber,0),1,1), (INDEX(FlowCalConstA,MATCH(AD668,FlowCalNumber,0),1,1)*AF678^INDEX(FlowCalConstB,MATCH(AD668,FlowCalNumber,0),1,1)&lt;INDEX(FlowCalHighSetting,MATCH(AD668,FlowCalNumber,0),1,1))),INDEX(FlowCalConstA,MATCH(AD668,FlowCalNumber,0),1,1)*AF678^INDEX(FlowCalConstB,MATCH(AD668,FlowCalNumber,0),1,1)," ")</f>
        <v>#N/A</v>
      </c>
      <c r="AH678" s="33"/>
      <c r="AI678" s="242">
        <f t="shared" si="644"/>
        <v>0.9</v>
      </c>
      <c r="AJ678" s="241" t="e">
        <f t="shared" ca="1" si="645"/>
        <v>#VALUE!</v>
      </c>
      <c r="AK678" s="243" t="e">
        <f ca="1">IF(AND(INDEX(FlowCalConstA,MATCH(AH668,FlowCalNumber,0),1,1)*AJ678^INDEX(FlowCalConstB,MATCH(AH668,FlowCalNumber,0),1,1)&gt;INDEX(FlowCalLowSetting,MATCH(AH668,FlowCalNumber,0),1,1), (INDEX(FlowCalConstA,MATCH(AH668,FlowCalNumber,0),1,1)*AJ678^INDEX(FlowCalConstB,MATCH(AH668,FlowCalNumber,0),1,1)&lt;INDEX(FlowCalHighSetting,MATCH(AH668,FlowCalNumber,0),1,1))),INDEX(FlowCalConstA,MATCH(AH668,FlowCalNumber,0),1,1)*AJ678^INDEX(FlowCalConstB,MATCH(AH668,FlowCalNumber,0),1,1)," ")</f>
        <v>#N/A</v>
      </c>
      <c r="AL678" s="33"/>
      <c r="AM678" s="242"/>
      <c r="AN678" s="241"/>
      <c r="AO678" s="244"/>
      <c r="AQ678" s="242"/>
      <c r="AR678" s="241"/>
      <c r="AS678" s="244"/>
      <c r="AT678" s="33"/>
      <c r="AU678" s="242"/>
      <c r="AV678" s="241"/>
      <c r="AW678" s="244"/>
      <c r="AX678" s="33"/>
      <c r="AY678" s="242"/>
      <c r="AZ678" s="241"/>
      <c r="BA678" s="244"/>
      <c r="BB678" s="33"/>
      <c r="BC678" s="242"/>
      <c r="BD678" s="241"/>
      <c r="BE678" s="244"/>
      <c r="BF678" s="33"/>
      <c r="BG678" s="242"/>
      <c r="BH678" s="241"/>
      <c r="BI678" s="244"/>
      <c r="BJ678" s="33"/>
      <c r="BK678" s="242"/>
      <c r="BL678" s="241"/>
      <c r="BM678" s="244"/>
      <c r="BN678" s="33"/>
      <c r="BO678" s="242"/>
      <c r="BP678" s="241"/>
      <c r="BQ678" s="244"/>
      <c r="BR678" s="33"/>
      <c r="BS678" s="242"/>
      <c r="BT678" s="241"/>
      <c r="BU678" s="244"/>
      <c r="BV678" s="33"/>
      <c r="BW678" s="242"/>
      <c r="BX678" s="241"/>
      <c r="BY678" s="244"/>
      <c r="BZ678" s="33"/>
      <c r="CA678" s="242"/>
      <c r="CB678" s="241"/>
      <c r="CC678" s="244"/>
      <c r="CD678" s="243"/>
      <c r="CE678" s="243"/>
      <c r="CF678" s="243"/>
      <c r="CG678" s="243"/>
      <c r="CH678" s="243"/>
      <c r="CI678" s="243"/>
      <c r="CJ678" s="243"/>
      <c r="CK678" s="243"/>
      <c r="CL678" s="243"/>
      <c r="CM678" s="243"/>
      <c r="CN678" s="243"/>
      <c r="CO678" s="243"/>
      <c r="CP678" s="243"/>
      <c r="CQ678" s="243"/>
      <c r="CR678" s="243"/>
      <c r="CS678" s="243"/>
      <c r="CT678" s="243"/>
      <c r="CU678" s="243"/>
      <c r="CV678" s="243"/>
      <c r="CW678" s="243"/>
      <c r="CX678" s="243"/>
      <c r="CY678" s="243"/>
      <c r="CZ678" s="243"/>
      <c r="DA678" s="243"/>
      <c r="DB678" s="243"/>
      <c r="DC678" s="243"/>
      <c r="DD678" s="243"/>
      <c r="DE678" s="243"/>
      <c r="DF678" s="243"/>
      <c r="DG678" s="243"/>
      <c r="DH678" s="243"/>
      <c r="DI678" s="243"/>
      <c r="DJ678" s="243"/>
      <c r="DK678" s="243"/>
      <c r="DM678" s="242"/>
      <c r="DO678" s="243"/>
      <c r="DQ678" s="242"/>
      <c r="DS678" s="243"/>
      <c r="DU678" s="242"/>
      <c r="DW678" s="243"/>
      <c r="DY678" s="242"/>
      <c r="EA678" s="243"/>
    </row>
    <row r="679" spans="1:131">
      <c r="A679" s="20"/>
      <c r="B679" s="124" t="str">
        <f t="shared" si="630"/>
        <v/>
      </c>
      <c r="C679" s="235"/>
      <c r="D679" s="24">
        <f>'1% Wind'!$M$92</f>
        <v>3.2</v>
      </c>
      <c r="E679" s="90"/>
      <c r="F679" s="90"/>
      <c r="G679" s="79">
        <f ca="1">IF(I668=0.9743,$G678,MAX(G678/D678*D679,2))</f>
        <v>6.001707317073171</v>
      </c>
      <c r="H679" s="121" t="e">
        <f t="shared" ca="1" si="631"/>
        <v>#VALUE!</v>
      </c>
      <c r="J679" s="33"/>
      <c r="K679" s="242">
        <f t="shared" si="632"/>
        <v>1</v>
      </c>
      <c r="L679" s="241" t="e">
        <f t="shared" ca="1" si="633"/>
        <v>#VALUE!</v>
      </c>
      <c r="M679" s="243" t="e">
        <f ca="1">IF(AND(INDEX(FlowCalConstA,MATCH(J668,FlowCalNumber,0),1,1)*L679^INDEX(FlowCalConstB,MATCH(J668,FlowCalNumber,0),1,1)&gt;INDEX(FlowCalLowSetting,MATCH(J668,FlowCalNumber,0),1,1), (INDEX(FlowCalConstA,MATCH(J668,FlowCalNumber,0),1,1)*L679^INDEX(FlowCalConstB,MATCH(J668,FlowCalNumber,0),1,1)&lt;INDEX(FlowCalHighSetting,MATCH(J668,FlowCalNumber,0),1,1))),INDEX(FlowCalConstA,MATCH(J668,FlowCalNumber,0),1,1)*L679^INDEX(FlowCalConstB,MATCH(J668,FlowCalNumber,0),1,1)," ")</f>
        <v>#N/A</v>
      </c>
      <c r="N679" s="33"/>
      <c r="O679" s="242">
        <f t="shared" si="634"/>
        <v>1</v>
      </c>
      <c r="P679" s="241" t="e">
        <f t="shared" ca="1" si="635"/>
        <v>#VALUE!</v>
      </c>
      <c r="Q679" s="243" t="e">
        <f ca="1">IF(AND(INDEX(FlowCalConstA,MATCH(N668,FlowCalNumber,0),1,1)*P679^INDEX(FlowCalConstB,MATCH(N668,FlowCalNumber,0),1,1)&gt;INDEX(FlowCalLowSetting,MATCH(N668,FlowCalNumber,0),1,1), (INDEX(FlowCalConstA,MATCH(N668,FlowCalNumber,0),1,1)*P679^INDEX(FlowCalConstB,MATCH(N668,FlowCalNumber,0),1,1)&lt;INDEX(FlowCalHighSetting,MATCH(N668,FlowCalNumber,0),1,1))),INDEX(FlowCalConstA,MATCH(N668,FlowCalNumber,0),1,1)*P679^INDEX(FlowCalConstB,MATCH(N668,FlowCalNumber,0),1,1)," ")</f>
        <v>#N/A</v>
      </c>
      <c r="R679" s="33"/>
      <c r="S679" s="242">
        <f t="shared" si="636"/>
        <v>1</v>
      </c>
      <c r="T679" s="241" t="e">
        <f t="shared" ca="1" si="637"/>
        <v>#VALUE!</v>
      </c>
      <c r="U679" s="244" t="e">
        <f ca="1">IF(AND(INDEX(FlowCalConstA,MATCH(R668,FlowCalNumber,0),1,1)*T679^INDEX(FlowCalConstB,MATCH(R668,FlowCalNumber,0),1,1)&gt;INDEX(FlowCalLowSetting,MATCH(R668,FlowCalNumber,0),1,1), (INDEX(FlowCalConstA,MATCH(R668,FlowCalNumber,0),1,1)*T679^INDEX(FlowCalConstB,MATCH(R668,FlowCalNumber,0),1,1)&lt;INDEX(FlowCalHighSetting,MATCH(R668,FlowCalNumber,0),1,1))),INDEX(FlowCalConstA,MATCH(R668,FlowCalNumber,0),1,1)*T679^INDEX(FlowCalConstB,MATCH(R668,FlowCalNumber,0),1,1)," ")</f>
        <v>#N/A</v>
      </c>
      <c r="V679" s="33"/>
      <c r="W679" s="242">
        <f t="shared" si="638"/>
        <v>0.1</v>
      </c>
      <c r="X679" s="241" t="e">
        <f t="shared" ca="1" si="639"/>
        <v>#VALUE!</v>
      </c>
      <c r="Y679" s="243" t="e">
        <f ca="1">IF(AND(INDEX(FlowCalConstA,MATCH(V668,FlowCalNumber,0),1,1)*X679^INDEX(FlowCalConstB,MATCH(V668,FlowCalNumber,0),1,1)&gt;INDEX(FlowCalLowSetting,MATCH(V668,FlowCalNumber,0),1,1), (INDEX(FlowCalConstA,MATCH(V668,FlowCalNumber,0),1,1)*X679^INDEX(FlowCalConstB,MATCH(V668,FlowCalNumber,0),1,1)&lt;INDEX(FlowCalHighSetting,MATCH(V668,FlowCalNumber,0),1,1))),INDEX(FlowCalConstA,MATCH(V668,FlowCalNumber,0),1,1)*X679^INDEX(FlowCalConstB,MATCH(V668,FlowCalNumber,0),1,1)," ")</f>
        <v>#N/A</v>
      </c>
      <c r="Z679" s="33"/>
      <c r="AA679" s="242">
        <f t="shared" si="640"/>
        <v>0.9</v>
      </c>
      <c r="AB679" s="241" t="e">
        <f t="shared" ca="1" si="641"/>
        <v>#VALUE!</v>
      </c>
      <c r="AC679" s="243" t="e">
        <f ca="1">IF(AND(INDEX(FlowCalConstA,MATCH(Z668,FlowCalNumber,0),1,1)*AB679^INDEX(FlowCalConstB,MATCH(Z668,FlowCalNumber,0),1,1)&gt;INDEX(FlowCalLowSetting,MATCH(Z668,FlowCalNumber,0),1,1), (INDEX(FlowCalConstA,MATCH(Z668,FlowCalNumber,0),1,1)*AB679^INDEX(FlowCalConstB,MATCH(Z668,FlowCalNumber,0),1,1)&lt;INDEX(FlowCalHighSetting,MATCH(Z668,FlowCalNumber,0),1,1))),INDEX(FlowCalConstA,MATCH(Z668,FlowCalNumber,0),1,1)*AB679^INDEX(FlowCalConstB,MATCH(Z668,FlowCalNumber,0),1,1)," ")</f>
        <v>#N/A</v>
      </c>
      <c r="AD679" s="33"/>
      <c r="AE679" s="242">
        <f t="shared" si="642"/>
        <v>0.1</v>
      </c>
      <c r="AF679" s="241" t="e">
        <f t="shared" ca="1" si="643"/>
        <v>#VALUE!</v>
      </c>
      <c r="AG679" s="243" t="e">
        <f ca="1">IF(AND(INDEX(FlowCalConstA,MATCH(AD668,FlowCalNumber,0),1,1)*AF679^INDEX(FlowCalConstB,MATCH(AD668,FlowCalNumber,0),1,1)&gt;INDEX(FlowCalLowSetting,MATCH(AD668,FlowCalNumber,0),1,1), (INDEX(FlowCalConstA,MATCH(AD668,FlowCalNumber,0),1,1)*AF679^INDEX(FlowCalConstB,MATCH(AD668,FlowCalNumber,0),1,1)&lt;INDEX(FlowCalHighSetting,MATCH(AD668,FlowCalNumber,0),1,1))),INDEX(FlowCalConstA,MATCH(AD668,FlowCalNumber,0),1,1)*AF679^INDEX(FlowCalConstB,MATCH(AD668,FlowCalNumber,0),1,1)," ")</f>
        <v>#N/A</v>
      </c>
      <c r="AH679" s="33"/>
      <c r="AI679" s="242">
        <f t="shared" si="644"/>
        <v>0.9</v>
      </c>
      <c r="AJ679" s="241" t="e">
        <f t="shared" ca="1" si="645"/>
        <v>#VALUE!</v>
      </c>
      <c r="AK679" s="243" t="e">
        <f ca="1">IF(AND(INDEX(FlowCalConstA,MATCH(AH668,FlowCalNumber,0),1,1)*AJ679^INDEX(FlowCalConstB,MATCH(AH668,FlowCalNumber,0),1,1)&gt;INDEX(FlowCalLowSetting,MATCH(AH668,FlowCalNumber,0),1,1), (INDEX(FlowCalConstA,MATCH(AH668,FlowCalNumber,0),1,1)*AJ679^INDEX(FlowCalConstB,MATCH(AH668,FlowCalNumber,0),1,1)&lt;INDEX(FlowCalHighSetting,MATCH(AH668,FlowCalNumber,0),1,1))),INDEX(FlowCalConstA,MATCH(AH668,FlowCalNumber,0),1,1)*AJ679^INDEX(FlowCalConstB,MATCH(AH668,FlowCalNumber,0),1,1)," ")</f>
        <v>#N/A</v>
      </c>
      <c r="AL679" s="33"/>
      <c r="AM679" s="242"/>
      <c r="AN679" s="241"/>
      <c r="AO679" s="244"/>
      <c r="AQ679" s="242"/>
      <c r="AR679" s="241"/>
      <c r="AS679" s="244"/>
      <c r="AT679" s="33"/>
      <c r="AU679" s="242"/>
      <c r="AV679" s="241"/>
      <c r="AW679" s="244"/>
      <c r="AX679" s="33"/>
      <c r="AY679" s="242"/>
      <c r="AZ679" s="241"/>
      <c r="BA679" s="244"/>
      <c r="BB679" s="33"/>
      <c r="BC679" s="242"/>
      <c r="BD679" s="241"/>
      <c r="BE679" s="244"/>
      <c r="BF679" s="33"/>
      <c r="BG679" s="242"/>
      <c r="BH679" s="241"/>
      <c r="BI679" s="244"/>
      <c r="BJ679" s="33"/>
      <c r="BK679" s="242"/>
      <c r="BL679" s="241"/>
      <c r="BM679" s="244"/>
      <c r="BN679" s="33"/>
      <c r="BO679" s="242"/>
      <c r="BP679" s="241"/>
      <c r="BQ679" s="244"/>
      <c r="BR679" s="33"/>
      <c r="BS679" s="242"/>
      <c r="BT679" s="241"/>
      <c r="BU679" s="244"/>
      <c r="BV679" s="33"/>
      <c r="BW679" s="242"/>
      <c r="BX679" s="241"/>
      <c r="BY679" s="244"/>
      <c r="BZ679" s="33"/>
      <c r="CA679" s="242"/>
      <c r="CB679" s="241"/>
      <c r="CC679" s="244"/>
      <c r="CD679" s="243"/>
      <c r="CE679" s="243"/>
      <c r="CF679" s="243"/>
      <c r="CG679" s="243"/>
      <c r="CH679" s="243"/>
      <c r="CI679" s="243"/>
      <c r="CJ679" s="243"/>
      <c r="CK679" s="243"/>
      <c r="CL679" s="243"/>
      <c r="CM679" s="243"/>
      <c r="CN679" s="243"/>
      <c r="CO679" s="243"/>
      <c r="CP679" s="243"/>
      <c r="CQ679" s="243"/>
      <c r="CR679" s="243"/>
      <c r="CS679" s="243"/>
      <c r="CT679" s="243"/>
      <c r="CU679" s="243"/>
      <c r="CV679" s="243"/>
      <c r="CW679" s="243"/>
      <c r="CX679" s="243"/>
      <c r="CY679" s="243"/>
      <c r="CZ679" s="243"/>
      <c r="DA679" s="243"/>
      <c r="DB679" s="243"/>
      <c r="DC679" s="243"/>
      <c r="DD679" s="243"/>
      <c r="DE679" s="243"/>
      <c r="DF679" s="243"/>
      <c r="DG679" s="243"/>
      <c r="DH679" s="243"/>
      <c r="DI679" s="243"/>
      <c r="DJ679" s="243"/>
      <c r="DK679" s="243"/>
      <c r="DM679" s="242"/>
      <c r="DO679" s="243"/>
      <c r="DQ679" s="242"/>
      <c r="DS679" s="243"/>
      <c r="DU679" s="242"/>
      <c r="DW679" s="243"/>
      <c r="DY679" s="242"/>
      <c r="EA679" s="243"/>
    </row>
    <row r="680" spans="1:131">
      <c r="A680" s="20"/>
      <c r="B680" s="124" t="str">
        <f t="shared" si="630"/>
        <v/>
      </c>
      <c r="C680" s="235"/>
      <c r="D680" s="24">
        <f>'1% Wind'!$M$93</f>
        <v>2.4</v>
      </c>
      <c r="E680" s="90"/>
      <c r="F680" s="90"/>
      <c r="G680" s="79">
        <f ca="1">IF(I668=0.9743,$G679,MAX(G679/D679*D680,2))</f>
        <v>6.001707317073171</v>
      </c>
      <c r="H680" s="121" t="e">
        <f t="shared" ca="1" si="631"/>
        <v>#VALUE!</v>
      </c>
      <c r="J680" s="33"/>
      <c r="K680" s="242">
        <f t="shared" si="632"/>
        <v>1</v>
      </c>
      <c r="L680" s="241" t="e">
        <f t="shared" ca="1" si="633"/>
        <v>#VALUE!</v>
      </c>
      <c r="M680" s="243" t="e">
        <f ca="1">IF(AND(INDEX(FlowCalConstA,MATCH(J668,FlowCalNumber,0),1,1)*L680^INDEX(FlowCalConstB,MATCH(J668,FlowCalNumber,0),1,1)&gt;INDEX(FlowCalLowSetting,MATCH(J668,FlowCalNumber,0),1,1), (INDEX(FlowCalConstA,MATCH(J668,FlowCalNumber,0),1,1)*L680^INDEX(FlowCalConstB,MATCH(J668,FlowCalNumber,0),1,1)&lt;INDEX(FlowCalHighSetting,MATCH(J668,FlowCalNumber,0),1,1))),INDEX(FlowCalConstA,MATCH(J668,FlowCalNumber,0),1,1)*L680^INDEX(FlowCalConstB,MATCH(J668,FlowCalNumber,0),1,1)," ")</f>
        <v>#N/A</v>
      </c>
      <c r="N680" s="33"/>
      <c r="O680" s="242">
        <f t="shared" si="634"/>
        <v>1</v>
      </c>
      <c r="P680" s="241" t="e">
        <f t="shared" ca="1" si="635"/>
        <v>#VALUE!</v>
      </c>
      <c r="Q680" s="243" t="e">
        <f ca="1">IF(AND(INDEX(FlowCalConstA,MATCH(N668,FlowCalNumber,0),1,1)*P680^INDEX(FlowCalConstB,MATCH(N668,FlowCalNumber,0),1,1)&gt;INDEX(FlowCalLowSetting,MATCH(N668,FlowCalNumber,0),1,1), (INDEX(FlowCalConstA,MATCH(N668,FlowCalNumber,0),1,1)*P680^INDEX(FlowCalConstB,MATCH(N668,FlowCalNumber,0),1,1)&lt;INDEX(FlowCalHighSetting,MATCH(N668,FlowCalNumber,0),1,1))),INDEX(FlowCalConstA,MATCH(N668,FlowCalNumber,0),1,1)*P680^INDEX(FlowCalConstB,MATCH(N668,FlowCalNumber,0),1,1)," ")</f>
        <v>#N/A</v>
      </c>
      <c r="R680" s="33"/>
      <c r="S680" s="242">
        <f t="shared" si="636"/>
        <v>1</v>
      </c>
      <c r="T680" s="241" t="e">
        <f t="shared" ca="1" si="637"/>
        <v>#VALUE!</v>
      </c>
      <c r="U680" s="244" t="e">
        <f ca="1">IF(AND(INDEX(FlowCalConstA,MATCH(R668,FlowCalNumber,0),1,1)*T680^INDEX(FlowCalConstB,MATCH(R668,FlowCalNumber,0),1,1)&gt;INDEX(FlowCalLowSetting,MATCH(R668,FlowCalNumber,0),1,1), (INDEX(FlowCalConstA,MATCH(R668,FlowCalNumber,0),1,1)*T680^INDEX(FlowCalConstB,MATCH(R668,FlowCalNumber,0),1,1)&lt;INDEX(FlowCalHighSetting,MATCH(R668,FlowCalNumber,0),1,1))),INDEX(FlowCalConstA,MATCH(R668,FlowCalNumber,0),1,1)*T680^INDEX(FlowCalConstB,MATCH(R668,FlowCalNumber,0),1,1)," ")</f>
        <v>#N/A</v>
      </c>
      <c r="V680" s="33"/>
      <c r="W680" s="242">
        <f t="shared" si="638"/>
        <v>0.1</v>
      </c>
      <c r="X680" s="241" t="e">
        <f t="shared" ca="1" si="639"/>
        <v>#VALUE!</v>
      </c>
      <c r="Y680" s="243" t="e">
        <f ca="1">IF(AND(INDEX(FlowCalConstA,MATCH(V668,FlowCalNumber,0),1,1)*X680^INDEX(FlowCalConstB,MATCH(V668,FlowCalNumber,0),1,1)&gt;INDEX(FlowCalLowSetting,MATCH(V668,FlowCalNumber,0),1,1), (INDEX(FlowCalConstA,MATCH(V668,FlowCalNumber,0),1,1)*X680^INDEX(FlowCalConstB,MATCH(V668,FlowCalNumber,0),1,1)&lt;INDEX(FlowCalHighSetting,MATCH(V668,FlowCalNumber,0),1,1))),INDEX(FlowCalConstA,MATCH(V668,FlowCalNumber,0),1,1)*X680^INDEX(FlowCalConstB,MATCH(V668,FlowCalNumber,0),1,1)," ")</f>
        <v>#N/A</v>
      </c>
      <c r="Z680" s="33"/>
      <c r="AA680" s="242">
        <f t="shared" si="640"/>
        <v>0.9</v>
      </c>
      <c r="AB680" s="241" t="e">
        <f t="shared" ca="1" si="641"/>
        <v>#VALUE!</v>
      </c>
      <c r="AC680" s="243" t="e">
        <f ca="1">IF(AND(INDEX(FlowCalConstA,MATCH(Z668,FlowCalNumber,0),1,1)*AB680^INDEX(FlowCalConstB,MATCH(Z668,FlowCalNumber,0),1,1)&gt;INDEX(FlowCalLowSetting,MATCH(Z668,FlowCalNumber,0),1,1), (INDEX(FlowCalConstA,MATCH(Z668,FlowCalNumber,0),1,1)*AB680^INDEX(FlowCalConstB,MATCH(Z668,FlowCalNumber,0),1,1)&lt;INDEX(FlowCalHighSetting,MATCH(Z668,FlowCalNumber,0),1,1))),INDEX(FlowCalConstA,MATCH(Z668,FlowCalNumber,0),1,1)*AB680^INDEX(FlowCalConstB,MATCH(Z668,FlowCalNumber,0),1,1)," ")</f>
        <v>#N/A</v>
      </c>
      <c r="AD680" s="33"/>
      <c r="AE680" s="242">
        <f t="shared" si="642"/>
        <v>0.1</v>
      </c>
      <c r="AF680" s="241" t="e">
        <f t="shared" ca="1" si="643"/>
        <v>#VALUE!</v>
      </c>
      <c r="AG680" s="243" t="e">
        <f ca="1">IF(AND(INDEX(FlowCalConstA,MATCH(AD668,FlowCalNumber,0),1,1)*AF680^INDEX(FlowCalConstB,MATCH(AD668,FlowCalNumber,0),1,1)&gt;INDEX(FlowCalLowSetting,MATCH(AD668,FlowCalNumber,0),1,1), (INDEX(FlowCalConstA,MATCH(AD668,FlowCalNumber,0),1,1)*AF680^INDEX(FlowCalConstB,MATCH(AD668,FlowCalNumber,0),1,1)&lt;INDEX(FlowCalHighSetting,MATCH(AD668,FlowCalNumber,0),1,1))),INDEX(FlowCalConstA,MATCH(AD668,FlowCalNumber,0),1,1)*AF680^INDEX(FlowCalConstB,MATCH(AD668,FlowCalNumber,0),1,1)," ")</f>
        <v>#N/A</v>
      </c>
      <c r="AH680" s="33"/>
      <c r="AI680" s="242">
        <f t="shared" si="644"/>
        <v>0.9</v>
      </c>
      <c r="AJ680" s="241" t="e">
        <f t="shared" ca="1" si="645"/>
        <v>#VALUE!</v>
      </c>
      <c r="AK680" s="243" t="e">
        <f ca="1">IF(AND(INDEX(FlowCalConstA,MATCH(AH668,FlowCalNumber,0),1,1)*AJ680^INDEX(FlowCalConstB,MATCH(AH668,FlowCalNumber,0),1,1)&gt;INDEX(FlowCalLowSetting,MATCH(AH668,FlowCalNumber,0),1,1), (INDEX(FlowCalConstA,MATCH(AH668,FlowCalNumber,0),1,1)*AJ680^INDEX(FlowCalConstB,MATCH(AH668,FlowCalNumber,0),1,1)&lt;INDEX(FlowCalHighSetting,MATCH(AH668,FlowCalNumber,0),1,1))),INDEX(FlowCalConstA,MATCH(AH668,FlowCalNumber,0),1,1)*AJ680^INDEX(FlowCalConstB,MATCH(AH668,FlowCalNumber,0),1,1)," ")</f>
        <v>#N/A</v>
      </c>
      <c r="AL680" s="33"/>
      <c r="AM680" s="242"/>
      <c r="AN680" s="241"/>
      <c r="AO680" s="244"/>
      <c r="AQ680" s="242"/>
      <c r="AR680" s="241"/>
      <c r="AS680" s="244"/>
      <c r="AT680" s="33"/>
      <c r="AU680" s="242"/>
      <c r="AV680" s="241"/>
      <c r="AW680" s="244"/>
      <c r="AX680" s="33"/>
      <c r="AY680" s="242"/>
      <c r="AZ680" s="241"/>
      <c r="BA680" s="244"/>
      <c r="BB680" s="33"/>
      <c r="BC680" s="242"/>
      <c r="BD680" s="241"/>
      <c r="BE680" s="244"/>
      <c r="BF680" s="33"/>
      <c r="BG680" s="242"/>
      <c r="BH680" s="241"/>
      <c r="BI680" s="244"/>
      <c r="BJ680" s="33"/>
      <c r="BK680" s="242"/>
      <c r="BL680" s="241"/>
      <c r="BM680" s="244"/>
      <c r="BN680" s="33"/>
      <c r="BO680" s="242"/>
      <c r="BP680" s="241"/>
      <c r="BQ680" s="244"/>
      <c r="BR680" s="33"/>
      <c r="BS680" s="242"/>
      <c r="BT680" s="241"/>
      <c r="BU680" s="244"/>
      <c r="BV680" s="33"/>
      <c r="BW680" s="242"/>
      <c r="BX680" s="241"/>
      <c r="BY680" s="244"/>
      <c r="BZ680" s="33"/>
      <c r="CA680" s="242"/>
      <c r="CB680" s="241"/>
      <c r="CC680" s="244"/>
      <c r="CD680" s="243"/>
      <c r="CE680" s="243"/>
      <c r="CF680" s="243"/>
      <c r="CG680" s="243"/>
      <c r="CH680" s="243"/>
      <c r="CI680" s="243"/>
      <c r="CJ680" s="243"/>
      <c r="CK680" s="243"/>
      <c r="CL680" s="243"/>
      <c r="CM680" s="243"/>
      <c r="CN680" s="243"/>
      <c r="CO680" s="243"/>
      <c r="CP680" s="243"/>
      <c r="CQ680" s="243"/>
      <c r="CR680" s="243"/>
      <c r="CS680" s="243"/>
      <c r="CT680" s="243"/>
      <c r="CU680" s="243"/>
      <c r="CV680" s="243"/>
      <c r="CW680" s="243"/>
      <c r="CX680" s="243"/>
      <c r="CY680" s="243"/>
      <c r="CZ680" s="243"/>
      <c r="DA680" s="243"/>
      <c r="DB680" s="243"/>
      <c r="DC680" s="243"/>
      <c r="DD680" s="243"/>
      <c r="DE680" s="243"/>
      <c r="DF680" s="243"/>
      <c r="DG680" s="243"/>
      <c r="DH680" s="243"/>
      <c r="DI680" s="243"/>
      <c r="DJ680" s="243"/>
      <c r="DK680" s="243"/>
      <c r="DM680" s="242"/>
      <c r="DO680" s="243"/>
      <c r="DQ680" s="242"/>
      <c r="DS680" s="243"/>
      <c r="DU680" s="242"/>
      <c r="DW680" s="243"/>
      <c r="DY680" s="242"/>
      <c r="EA680" s="243"/>
    </row>
    <row r="681" spans="1:131">
      <c r="A681" s="20"/>
      <c r="B681" s="124" t="str">
        <f t="shared" si="630"/>
        <v/>
      </c>
      <c r="C681" s="235"/>
      <c r="D681" s="24">
        <f>'1% Wind'!$M$94</f>
        <v>1.8</v>
      </c>
      <c r="E681" s="90"/>
      <c r="F681" s="90"/>
      <c r="G681" s="79">
        <f ca="1">IF(I668=0.9743,$G680,MAX(G680/D680*D681,2))</f>
        <v>6.001707317073171</v>
      </c>
      <c r="H681" s="121" t="e">
        <f t="shared" ca="1" si="631"/>
        <v>#VALUE!</v>
      </c>
      <c r="J681" s="33"/>
      <c r="K681" s="242">
        <f t="shared" si="632"/>
        <v>1</v>
      </c>
      <c r="L681" s="241" t="e">
        <f t="shared" ca="1" si="633"/>
        <v>#VALUE!</v>
      </c>
      <c r="M681" s="243" t="e">
        <f ca="1">IF(AND(INDEX(FlowCalConstA,MATCH(J668,FlowCalNumber,0),1,1)*L681^INDEX(FlowCalConstB,MATCH(J668,FlowCalNumber,0),1,1)&gt;INDEX(FlowCalLowSetting,MATCH(J668,FlowCalNumber,0),1,1), (INDEX(FlowCalConstA,MATCH(J668,FlowCalNumber,0),1,1)*L681^INDEX(FlowCalConstB,MATCH(J668,FlowCalNumber,0),1,1)&lt;INDEX(FlowCalHighSetting,MATCH(J668,FlowCalNumber,0),1,1))),INDEX(FlowCalConstA,MATCH(J668,FlowCalNumber,0),1,1)*L681^INDEX(FlowCalConstB,MATCH(J668,FlowCalNumber,0),1,1)," ")</f>
        <v>#N/A</v>
      </c>
      <c r="N681" s="33"/>
      <c r="O681" s="242">
        <f t="shared" si="634"/>
        <v>1</v>
      </c>
      <c r="P681" s="241" t="e">
        <f t="shared" ca="1" si="635"/>
        <v>#VALUE!</v>
      </c>
      <c r="Q681" s="243" t="e">
        <f ca="1">IF(AND(INDEX(FlowCalConstA,MATCH(N668,FlowCalNumber,0),1,1)*P681^INDEX(FlowCalConstB,MATCH(N668,FlowCalNumber,0),1,1)&gt;INDEX(FlowCalLowSetting,MATCH(N668,FlowCalNumber,0),1,1), (INDEX(FlowCalConstA,MATCH(N668,FlowCalNumber,0),1,1)*P681^INDEX(FlowCalConstB,MATCH(N668,FlowCalNumber,0),1,1)&lt;INDEX(FlowCalHighSetting,MATCH(N668,FlowCalNumber,0),1,1))),INDEX(FlowCalConstA,MATCH(N668,FlowCalNumber,0),1,1)*P681^INDEX(FlowCalConstB,MATCH(N668,FlowCalNumber,0),1,1)," ")</f>
        <v>#N/A</v>
      </c>
      <c r="R681" s="33"/>
      <c r="S681" s="242">
        <f t="shared" si="636"/>
        <v>1</v>
      </c>
      <c r="T681" s="241" t="e">
        <f t="shared" ca="1" si="637"/>
        <v>#VALUE!</v>
      </c>
      <c r="U681" s="244" t="e">
        <f ca="1">IF(AND(INDEX(FlowCalConstA,MATCH(R668,FlowCalNumber,0),1,1)*T681^INDEX(FlowCalConstB,MATCH(R668,FlowCalNumber,0),1,1)&gt;INDEX(FlowCalLowSetting,MATCH(R668,FlowCalNumber,0),1,1), (INDEX(FlowCalConstA,MATCH(R668,FlowCalNumber,0),1,1)*T681^INDEX(FlowCalConstB,MATCH(R668,FlowCalNumber,0),1,1)&lt;INDEX(FlowCalHighSetting,MATCH(R668,FlowCalNumber,0),1,1))),INDEX(FlowCalConstA,MATCH(R668,FlowCalNumber,0),1,1)*T681^INDEX(FlowCalConstB,MATCH(R668,FlowCalNumber,0),1,1)," ")</f>
        <v>#N/A</v>
      </c>
      <c r="V681" s="33"/>
      <c r="W681" s="242">
        <f t="shared" si="638"/>
        <v>0.1</v>
      </c>
      <c r="X681" s="241" t="e">
        <f t="shared" ca="1" si="639"/>
        <v>#VALUE!</v>
      </c>
      <c r="Y681" s="243" t="e">
        <f ca="1">IF(AND(INDEX(FlowCalConstA,MATCH(V668,FlowCalNumber,0),1,1)*X681^INDEX(FlowCalConstB,MATCH(V668,FlowCalNumber,0),1,1)&gt;INDEX(FlowCalLowSetting,MATCH(V668,FlowCalNumber,0),1,1), (INDEX(FlowCalConstA,MATCH(V668,FlowCalNumber,0),1,1)*X681^INDEX(FlowCalConstB,MATCH(V668,FlowCalNumber,0),1,1)&lt;INDEX(FlowCalHighSetting,MATCH(V668,FlowCalNumber,0),1,1))),INDEX(FlowCalConstA,MATCH(V668,FlowCalNumber,0),1,1)*X681^INDEX(FlowCalConstB,MATCH(V668,FlowCalNumber,0),1,1)," ")</f>
        <v>#N/A</v>
      </c>
      <c r="Z681" s="33"/>
      <c r="AA681" s="242">
        <f t="shared" si="640"/>
        <v>0.9</v>
      </c>
      <c r="AB681" s="241" t="e">
        <f t="shared" ca="1" si="641"/>
        <v>#VALUE!</v>
      </c>
      <c r="AC681" s="243" t="e">
        <f ca="1">IF(AND(INDEX(FlowCalConstA,MATCH(Z668,FlowCalNumber,0),1,1)*AB681^INDEX(FlowCalConstB,MATCH(Z668,FlowCalNumber,0),1,1)&gt;INDEX(FlowCalLowSetting,MATCH(Z668,FlowCalNumber,0),1,1), (INDEX(FlowCalConstA,MATCH(Z668,FlowCalNumber,0),1,1)*AB681^INDEX(FlowCalConstB,MATCH(Z668,FlowCalNumber,0),1,1)&lt;INDEX(FlowCalHighSetting,MATCH(Z668,FlowCalNumber,0),1,1))),INDEX(FlowCalConstA,MATCH(Z668,FlowCalNumber,0),1,1)*AB681^INDEX(FlowCalConstB,MATCH(Z668,FlowCalNumber,0),1,1)," ")</f>
        <v>#N/A</v>
      </c>
      <c r="AD681" s="33"/>
      <c r="AE681" s="242">
        <f t="shared" si="642"/>
        <v>0.1</v>
      </c>
      <c r="AF681" s="241" t="e">
        <f t="shared" ca="1" si="643"/>
        <v>#VALUE!</v>
      </c>
      <c r="AG681" s="243" t="e">
        <f ca="1">IF(AND(INDEX(FlowCalConstA,MATCH(AD668,FlowCalNumber,0),1,1)*AF681^INDEX(FlowCalConstB,MATCH(AD668,FlowCalNumber,0),1,1)&gt;INDEX(FlowCalLowSetting,MATCH(AD668,FlowCalNumber,0),1,1), (INDEX(FlowCalConstA,MATCH(AD668,FlowCalNumber,0),1,1)*AF681^INDEX(FlowCalConstB,MATCH(AD668,FlowCalNumber,0),1,1)&lt;INDEX(FlowCalHighSetting,MATCH(AD668,FlowCalNumber,0),1,1))),INDEX(FlowCalConstA,MATCH(AD668,FlowCalNumber,0),1,1)*AF681^INDEX(FlowCalConstB,MATCH(AD668,FlowCalNumber,0),1,1)," ")</f>
        <v>#N/A</v>
      </c>
      <c r="AH681" s="33"/>
      <c r="AI681" s="242">
        <f t="shared" si="644"/>
        <v>0.9</v>
      </c>
      <c r="AJ681" s="241" t="e">
        <f t="shared" ca="1" si="645"/>
        <v>#VALUE!</v>
      </c>
      <c r="AK681" s="243" t="e">
        <f ca="1">IF(AND(INDEX(FlowCalConstA,MATCH(AH668,FlowCalNumber,0),1,1)*AJ681^INDEX(FlowCalConstB,MATCH(AH668,FlowCalNumber,0),1,1)&gt;INDEX(FlowCalLowSetting,MATCH(AH668,FlowCalNumber,0),1,1), (INDEX(FlowCalConstA,MATCH(AH668,FlowCalNumber,0),1,1)*AJ681^INDEX(FlowCalConstB,MATCH(AH668,FlowCalNumber,0),1,1)&lt;INDEX(FlowCalHighSetting,MATCH(AH668,FlowCalNumber,0),1,1))),INDEX(FlowCalConstA,MATCH(AH668,FlowCalNumber,0),1,1)*AJ681^INDEX(FlowCalConstB,MATCH(AH668,FlowCalNumber,0),1,1)," ")</f>
        <v>#N/A</v>
      </c>
      <c r="AL681" s="33"/>
      <c r="AM681" s="242"/>
      <c r="AN681" s="241"/>
      <c r="AO681" s="244"/>
      <c r="AQ681" s="242"/>
      <c r="AR681" s="241"/>
      <c r="AS681" s="244"/>
      <c r="AT681" s="33"/>
      <c r="AU681" s="242"/>
      <c r="AV681" s="241"/>
      <c r="AW681" s="244"/>
      <c r="AX681" s="33"/>
      <c r="AY681" s="242"/>
      <c r="AZ681" s="241"/>
      <c r="BA681" s="244"/>
      <c r="BB681" s="33"/>
      <c r="BC681" s="242"/>
      <c r="BD681" s="241"/>
      <c r="BE681" s="244"/>
      <c r="BF681" s="33"/>
      <c r="BG681" s="242"/>
      <c r="BH681" s="241"/>
      <c r="BI681" s="244"/>
      <c r="BJ681" s="33"/>
      <c r="BK681" s="242"/>
      <c r="BL681" s="241"/>
      <c r="BM681" s="244"/>
      <c r="BN681" s="33"/>
      <c r="BO681" s="242"/>
      <c r="BP681" s="241"/>
      <c r="BQ681" s="244"/>
      <c r="BR681" s="33"/>
      <c r="BS681" s="242"/>
      <c r="BT681" s="241"/>
      <c r="BU681" s="244"/>
      <c r="BV681" s="33"/>
      <c r="BW681" s="242"/>
      <c r="BX681" s="241"/>
      <c r="BY681" s="244"/>
      <c r="BZ681" s="33"/>
      <c r="CA681" s="242"/>
      <c r="CB681" s="241"/>
      <c r="CC681" s="244"/>
      <c r="CD681" s="243"/>
      <c r="CE681" s="243"/>
      <c r="CF681" s="243"/>
      <c r="CG681" s="243"/>
      <c r="CH681" s="243"/>
      <c r="CI681" s="243"/>
      <c r="CJ681" s="243"/>
      <c r="CK681" s="243"/>
      <c r="CL681" s="243"/>
      <c r="CM681" s="243"/>
      <c r="CN681" s="243"/>
      <c r="CO681" s="243"/>
      <c r="CP681" s="243"/>
      <c r="CQ681" s="243"/>
      <c r="CR681" s="243"/>
      <c r="CS681" s="243"/>
      <c r="CT681" s="243"/>
      <c r="CU681" s="243"/>
      <c r="CV681" s="243"/>
      <c r="CW681" s="243"/>
      <c r="CX681" s="243"/>
      <c r="CY681" s="243"/>
      <c r="CZ681" s="243"/>
      <c r="DA681" s="243"/>
      <c r="DB681" s="243"/>
      <c r="DC681" s="243"/>
      <c r="DD681" s="243"/>
      <c r="DE681" s="243"/>
      <c r="DF681" s="243"/>
      <c r="DG681" s="243"/>
      <c r="DH681" s="243"/>
      <c r="DI681" s="243"/>
      <c r="DJ681" s="243"/>
      <c r="DK681" s="243"/>
      <c r="DM681" s="242"/>
      <c r="DO681" s="243"/>
      <c r="DQ681" s="242"/>
      <c r="DS681" s="243"/>
      <c r="DU681" s="242"/>
      <c r="DW681" s="243"/>
      <c r="DY681" s="242"/>
      <c r="EA681" s="243"/>
    </row>
    <row r="682" spans="1:131">
      <c r="A682" s="20"/>
      <c r="B682" s="124" t="str">
        <f t="shared" si="630"/>
        <v/>
      </c>
      <c r="C682" s="235"/>
      <c r="D682" s="24">
        <f>'1% Wind'!$M$95</f>
        <v>1.3</v>
      </c>
      <c r="E682" s="90"/>
      <c r="F682" s="90"/>
      <c r="G682" s="79">
        <f ca="1">IF(I668=0.9743,$G681,MAX(G681/D681*D682,2))</f>
        <v>6.001707317073171</v>
      </c>
      <c r="H682" s="121" t="e">
        <f t="shared" ca="1" si="631"/>
        <v>#VALUE!</v>
      </c>
      <c r="J682" s="33"/>
      <c r="K682" s="242">
        <f t="shared" si="632"/>
        <v>1</v>
      </c>
      <c r="L682" s="241" t="e">
        <f t="shared" ca="1" si="633"/>
        <v>#VALUE!</v>
      </c>
      <c r="M682" s="243" t="e">
        <f ca="1">IF(AND(INDEX(FlowCalConstA,MATCH(J668,FlowCalNumber,0),1,1)*L682^INDEX(FlowCalConstB,MATCH(J668,FlowCalNumber,0),1,1)&gt;INDEX(FlowCalLowSetting,MATCH(J668,FlowCalNumber,0),1,1), (INDEX(FlowCalConstA,MATCH(J668,FlowCalNumber,0),1,1)*L682^INDEX(FlowCalConstB,MATCH(J668,FlowCalNumber,0),1,1)&lt;INDEX(FlowCalHighSetting,MATCH(J668,FlowCalNumber,0),1,1))),INDEX(FlowCalConstA,MATCH(J668,FlowCalNumber,0),1,1)*L682^INDEX(FlowCalConstB,MATCH(J668,FlowCalNumber,0),1,1)," ")</f>
        <v>#N/A</v>
      </c>
      <c r="N682" s="33"/>
      <c r="O682" s="242">
        <f t="shared" si="634"/>
        <v>1</v>
      </c>
      <c r="P682" s="241" t="e">
        <f t="shared" ca="1" si="635"/>
        <v>#VALUE!</v>
      </c>
      <c r="Q682" s="243" t="e">
        <f ca="1">IF(AND(INDEX(FlowCalConstA,MATCH(N668,FlowCalNumber,0),1,1)*P682^INDEX(FlowCalConstB,MATCH(N668,FlowCalNumber,0),1,1)&gt;INDEX(FlowCalLowSetting,MATCH(N668,FlowCalNumber,0),1,1), (INDEX(FlowCalConstA,MATCH(N668,FlowCalNumber,0),1,1)*P682^INDEX(FlowCalConstB,MATCH(N668,FlowCalNumber,0),1,1)&lt;INDEX(FlowCalHighSetting,MATCH(N668,FlowCalNumber,0),1,1))),INDEX(FlowCalConstA,MATCH(N668,FlowCalNumber,0),1,1)*P682^INDEX(FlowCalConstB,MATCH(N668,FlowCalNumber,0),1,1)," ")</f>
        <v>#N/A</v>
      </c>
      <c r="R682" s="33"/>
      <c r="S682" s="242">
        <f t="shared" si="636"/>
        <v>1</v>
      </c>
      <c r="T682" s="241" t="e">
        <f t="shared" ca="1" si="637"/>
        <v>#VALUE!</v>
      </c>
      <c r="U682" s="244" t="e">
        <f ca="1">IF(AND(INDEX(FlowCalConstA,MATCH(R668,FlowCalNumber,0),1,1)*T682^INDEX(FlowCalConstB,MATCH(R668,FlowCalNumber,0),1,1)&gt;INDEX(FlowCalLowSetting,MATCH(R668,FlowCalNumber,0),1,1), (INDEX(FlowCalConstA,MATCH(R668,FlowCalNumber,0),1,1)*T682^INDEX(FlowCalConstB,MATCH(R668,FlowCalNumber,0),1,1)&lt;INDEX(FlowCalHighSetting,MATCH(R668,FlowCalNumber,0),1,1))),INDEX(FlowCalConstA,MATCH(R668,FlowCalNumber,0),1,1)*T682^INDEX(FlowCalConstB,MATCH(R668,FlowCalNumber,0),1,1)," ")</f>
        <v>#N/A</v>
      </c>
      <c r="V682" s="33"/>
      <c r="W682" s="242">
        <f t="shared" si="638"/>
        <v>0.1</v>
      </c>
      <c r="X682" s="241" t="e">
        <f t="shared" ca="1" si="639"/>
        <v>#VALUE!</v>
      </c>
      <c r="Y682" s="243" t="e">
        <f ca="1">IF(AND(INDEX(FlowCalConstA,MATCH(V668,FlowCalNumber,0),1,1)*X682^INDEX(FlowCalConstB,MATCH(V668,FlowCalNumber,0),1,1)&gt;INDEX(FlowCalLowSetting,MATCH(V668,FlowCalNumber,0),1,1), (INDEX(FlowCalConstA,MATCH(V668,FlowCalNumber,0),1,1)*X682^INDEX(FlowCalConstB,MATCH(V668,FlowCalNumber,0),1,1)&lt;INDEX(FlowCalHighSetting,MATCH(V668,FlowCalNumber,0),1,1))),INDEX(FlowCalConstA,MATCH(V668,FlowCalNumber,0),1,1)*X682^INDEX(FlowCalConstB,MATCH(V668,FlowCalNumber,0),1,1)," ")</f>
        <v>#N/A</v>
      </c>
      <c r="Z682" s="33"/>
      <c r="AA682" s="242">
        <f t="shared" si="640"/>
        <v>0.9</v>
      </c>
      <c r="AB682" s="241" t="e">
        <f t="shared" ca="1" si="641"/>
        <v>#VALUE!</v>
      </c>
      <c r="AC682" s="243" t="e">
        <f ca="1">IF(AND(INDEX(FlowCalConstA,MATCH(Z668,FlowCalNumber,0),1,1)*AB682^INDEX(FlowCalConstB,MATCH(Z668,FlowCalNumber,0),1,1)&gt;INDEX(FlowCalLowSetting,MATCH(Z668,FlowCalNumber,0),1,1), (INDEX(FlowCalConstA,MATCH(Z668,FlowCalNumber,0),1,1)*AB682^INDEX(FlowCalConstB,MATCH(Z668,FlowCalNumber,0),1,1)&lt;INDEX(FlowCalHighSetting,MATCH(Z668,FlowCalNumber,0),1,1))),INDEX(FlowCalConstA,MATCH(Z668,FlowCalNumber,0),1,1)*AB682^INDEX(FlowCalConstB,MATCH(Z668,FlowCalNumber,0),1,1)," ")</f>
        <v>#N/A</v>
      </c>
      <c r="AD682" s="33"/>
      <c r="AE682" s="242">
        <f t="shared" si="642"/>
        <v>0.1</v>
      </c>
      <c r="AF682" s="241" t="e">
        <f t="shared" ca="1" si="643"/>
        <v>#VALUE!</v>
      </c>
      <c r="AG682" s="243" t="e">
        <f ca="1">IF(AND(INDEX(FlowCalConstA,MATCH(AD668,FlowCalNumber,0),1,1)*AF682^INDEX(FlowCalConstB,MATCH(AD668,FlowCalNumber,0),1,1)&gt;INDEX(FlowCalLowSetting,MATCH(AD668,FlowCalNumber,0),1,1), (INDEX(FlowCalConstA,MATCH(AD668,FlowCalNumber,0),1,1)*AF682^INDEX(FlowCalConstB,MATCH(AD668,FlowCalNumber,0),1,1)&lt;INDEX(FlowCalHighSetting,MATCH(AD668,FlowCalNumber,0),1,1))),INDEX(FlowCalConstA,MATCH(AD668,FlowCalNumber,0),1,1)*AF682^INDEX(FlowCalConstB,MATCH(AD668,FlowCalNumber,0),1,1)," ")</f>
        <v>#N/A</v>
      </c>
      <c r="AH682" s="33"/>
      <c r="AI682" s="242">
        <f t="shared" si="644"/>
        <v>0.9</v>
      </c>
      <c r="AJ682" s="241" t="e">
        <f t="shared" ca="1" si="645"/>
        <v>#VALUE!</v>
      </c>
      <c r="AK682" s="243" t="e">
        <f ca="1">IF(AND(INDEX(FlowCalConstA,MATCH(AH668,FlowCalNumber,0),1,1)*AJ682^INDEX(FlowCalConstB,MATCH(AH668,FlowCalNumber,0),1,1)&gt;INDEX(FlowCalLowSetting,MATCH(AH668,FlowCalNumber,0),1,1), (INDEX(FlowCalConstA,MATCH(AH668,FlowCalNumber,0),1,1)*AJ682^INDEX(FlowCalConstB,MATCH(AH668,FlowCalNumber,0),1,1)&lt;INDEX(FlowCalHighSetting,MATCH(AH668,FlowCalNumber,0),1,1))),INDEX(FlowCalConstA,MATCH(AH668,FlowCalNumber,0),1,1)*AJ682^INDEX(FlowCalConstB,MATCH(AH668,FlowCalNumber,0),1,1)," ")</f>
        <v>#N/A</v>
      </c>
      <c r="AL682" s="33"/>
      <c r="AM682" s="242"/>
      <c r="AN682" s="241"/>
      <c r="AO682" s="244"/>
      <c r="AQ682" s="242"/>
      <c r="AR682" s="241"/>
      <c r="AS682" s="244"/>
      <c r="AT682" s="33"/>
      <c r="AU682" s="242"/>
      <c r="AV682" s="241"/>
      <c r="AW682" s="244"/>
      <c r="AX682" s="33"/>
      <c r="AY682" s="242"/>
      <c r="AZ682" s="241"/>
      <c r="BA682" s="244"/>
      <c r="BB682" s="33"/>
      <c r="BC682" s="242"/>
      <c r="BD682" s="241"/>
      <c r="BE682" s="244"/>
      <c r="BF682" s="33"/>
      <c r="BG682" s="242"/>
      <c r="BH682" s="241"/>
      <c r="BI682" s="244"/>
      <c r="BJ682" s="33"/>
      <c r="BK682" s="242"/>
      <c r="BL682" s="241"/>
      <c r="BM682" s="244"/>
      <c r="BN682" s="33"/>
      <c r="BO682" s="242"/>
      <c r="BP682" s="241"/>
      <c r="BQ682" s="244"/>
      <c r="BR682" s="33"/>
      <c r="BS682" s="242"/>
      <c r="BT682" s="241"/>
      <c r="BU682" s="244"/>
      <c r="BV682" s="33"/>
      <c r="BW682" s="242"/>
      <c r="BX682" s="241"/>
      <c r="BY682" s="244"/>
      <c r="BZ682" s="33"/>
      <c r="CA682" s="242"/>
      <c r="CB682" s="241"/>
      <c r="CC682" s="244"/>
      <c r="CD682" s="243"/>
      <c r="CE682" s="243"/>
      <c r="CF682" s="243"/>
      <c r="CG682" s="243"/>
      <c r="CH682" s="243"/>
      <c r="CI682" s="243"/>
      <c r="CJ682" s="243"/>
      <c r="CK682" s="243"/>
      <c r="CL682" s="243"/>
      <c r="CM682" s="243"/>
      <c r="CN682" s="243"/>
      <c r="CO682" s="243"/>
      <c r="CP682" s="243"/>
      <c r="CQ682" s="243"/>
      <c r="CR682" s="243"/>
      <c r="CS682" s="243"/>
      <c r="CT682" s="243"/>
      <c r="CU682" s="243"/>
      <c r="CV682" s="243"/>
      <c r="CW682" s="243"/>
      <c r="CX682" s="243"/>
      <c r="CY682" s="243"/>
      <c r="CZ682" s="243"/>
      <c r="DA682" s="243"/>
      <c r="DB682" s="243"/>
      <c r="DC682" s="243"/>
      <c r="DD682" s="243"/>
      <c r="DE682" s="243"/>
      <c r="DF682" s="243"/>
      <c r="DG682" s="243"/>
      <c r="DH682" s="243"/>
      <c r="DI682" s="243"/>
      <c r="DJ682" s="243"/>
      <c r="DK682" s="243"/>
      <c r="DM682" s="242"/>
      <c r="DO682" s="243"/>
      <c r="DQ682" s="242"/>
      <c r="DS682" s="243"/>
      <c r="DU682" s="242"/>
      <c r="DW682" s="243"/>
      <c r="DY682" s="242"/>
      <c r="EA682" s="243"/>
    </row>
    <row r="683" spans="1:131">
      <c r="A683" s="20"/>
      <c r="B683" s="124" t="str">
        <f t="shared" si="630"/>
        <v/>
      </c>
      <c r="C683" s="235"/>
      <c r="D683" s="24">
        <f>'1% Wind'!$M$96</f>
        <v>1</v>
      </c>
      <c r="E683" s="90"/>
      <c r="F683" s="90"/>
      <c r="G683" s="79">
        <f ca="1">IF(I668=0.9743,$G682,MAX(G682/D682*D683,2))</f>
        <v>6.001707317073171</v>
      </c>
      <c r="H683" s="121" t="e">
        <f t="shared" ca="1" si="631"/>
        <v>#VALUE!</v>
      </c>
      <c r="J683" s="33"/>
      <c r="K683" s="242">
        <f t="shared" si="632"/>
        <v>1</v>
      </c>
      <c r="L683" s="241" t="e">
        <f t="shared" ca="1" si="633"/>
        <v>#VALUE!</v>
      </c>
      <c r="M683" s="243" t="e">
        <f ca="1">IF(AND(INDEX(FlowCalConstA,MATCH(J668,FlowCalNumber,0),1,1)*L683^INDEX(FlowCalConstB,MATCH(J668,FlowCalNumber,0),1,1)&gt;INDEX(FlowCalLowSetting,MATCH(J668,FlowCalNumber,0),1,1), (INDEX(FlowCalConstA,MATCH(J668,FlowCalNumber,0),1,1)*L683^INDEX(FlowCalConstB,MATCH(J668,FlowCalNumber,0),1,1)&lt;INDEX(FlowCalHighSetting,MATCH(J668,FlowCalNumber,0),1,1))),INDEX(FlowCalConstA,MATCH(J668,FlowCalNumber,0),1,1)*L683^INDEX(FlowCalConstB,MATCH(J668,FlowCalNumber,0),1,1)," ")</f>
        <v>#N/A</v>
      </c>
      <c r="N683" s="33"/>
      <c r="O683" s="242">
        <f t="shared" si="634"/>
        <v>1</v>
      </c>
      <c r="P683" s="241" t="e">
        <f t="shared" ca="1" si="635"/>
        <v>#VALUE!</v>
      </c>
      <c r="Q683" s="243" t="e">
        <f ca="1">IF(AND(INDEX(FlowCalConstA,MATCH(N668,FlowCalNumber,0),1,1)*P683^INDEX(FlowCalConstB,MATCH(N668,FlowCalNumber,0),1,1)&gt;INDEX(FlowCalLowSetting,MATCH(N668,FlowCalNumber,0),1,1), (INDEX(FlowCalConstA,MATCH(N668,FlowCalNumber,0),1,1)*P683^INDEX(FlowCalConstB,MATCH(N668,FlowCalNumber,0),1,1)&lt;INDEX(FlowCalHighSetting,MATCH(N668,FlowCalNumber,0),1,1))),INDEX(FlowCalConstA,MATCH(N668,FlowCalNumber,0),1,1)*P683^INDEX(FlowCalConstB,MATCH(N668,FlowCalNumber,0),1,1)," ")</f>
        <v>#N/A</v>
      </c>
      <c r="R683" s="33"/>
      <c r="S683" s="242">
        <f t="shared" si="636"/>
        <v>1</v>
      </c>
      <c r="T683" s="241" t="e">
        <f t="shared" ca="1" si="637"/>
        <v>#VALUE!</v>
      </c>
      <c r="U683" s="244" t="e">
        <f ca="1">IF(AND(INDEX(FlowCalConstA,MATCH(R668,FlowCalNumber,0),1,1)*T683^INDEX(FlowCalConstB,MATCH(R668,FlowCalNumber,0),1,1)&gt;INDEX(FlowCalLowSetting,MATCH(R668,FlowCalNumber,0),1,1), (INDEX(FlowCalConstA,MATCH(R668,FlowCalNumber,0),1,1)*T683^INDEX(FlowCalConstB,MATCH(R668,FlowCalNumber,0),1,1)&lt;INDEX(FlowCalHighSetting,MATCH(R668,FlowCalNumber,0),1,1))),INDEX(FlowCalConstA,MATCH(R668,FlowCalNumber,0),1,1)*T683^INDEX(FlowCalConstB,MATCH(R668,FlowCalNumber,0),1,1)," ")</f>
        <v>#N/A</v>
      </c>
      <c r="V683" s="33"/>
      <c r="W683" s="242">
        <f t="shared" si="638"/>
        <v>0.1</v>
      </c>
      <c r="X683" s="241" t="e">
        <f t="shared" ca="1" si="639"/>
        <v>#VALUE!</v>
      </c>
      <c r="Y683" s="243" t="e">
        <f ca="1">IF(AND(INDEX(FlowCalConstA,MATCH(V668,FlowCalNumber,0),1,1)*X683^INDEX(FlowCalConstB,MATCH(V668,FlowCalNumber,0),1,1)&gt;INDEX(FlowCalLowSetting,MATCH(V668,FlowCalNumber,0),1,1), (INDEX(FlowCalConstA,MATCH(V668,FlowCalNumber,0),1,1)*X683^INDEX(FlowCalConstB,MATCH(V668,FlowCalNumber,0),1,1)&lt;INDEX(FlowCalHighSetting,MATCH(V668,FlowCalNumber,0),1,1))),INDEX(FlowCalConstA,MATCH(V668,FlowCalNumber,0),1,1)*X683^INDEX(FlowCalConstB,MATCH(V668,FlowCalNumber,0),1,1)," ")</f>
        <v>#N/A</v>
      </c>
      <c r="Z683" s="33"/>
      <c r="AA683" s="242">
        <f t="shared" si="640"/>
        <v>0.9</v>
      </c>
      <c r="AB683" s="241" t="e">
        <f t="shared" ca="1" si="641"/>
        <v>#VALUE!</v>
      </c>
      <c r="AC683" s="243" t="e">
        <f ca="1">IF(AND(INDEX(FlowCalConstA,MATCH(Z668,FlowCalNumber,0),1,1)*AB683^INDEX(FlowCalConstB,MATCH(Z668,FlowCalNumber,0),1,1)&gt;INDEX(FlowCalLowSetting,MATCH(Z668,FlowCalNumber,0),1,1), (INDEX(FlowCalConstA,MATCH(Z668,FlowCalNumber,0),1,1)*AB683^INDEX(FlowCalConstB,MATCH(Z668,FlowCalNumber,0),1,1)&lt;INDEX(FlowCalHighSetting,MATCH(Z668,FlowCalNumber,0),1,1))),INDEX(FlowCalConstA,MATCH(Z668,FlowCalNumber,0),1,1)*AB683^INDEX(FlowCalConstB,MATCH(Z668,FlowCalNumber,0),1,1)," ")</f>
        <v>#N/A</v>
      </c>
      <c r="AD683" s="33"/>
      <c r="AE683" s="242">
        <f t="shared" si="642"/>
        <v>0.1</v>
      </c>
      <c r="AF683" s="241" t="e">
        <f t="shared" ca="1" si="643"/>
        <v>#VALUE!</v>
      </c>
      <c r="AG683" s="243" t="e">
        <f ca="1">IF(AND(INDEX(FlowCalConstA,MATCH(AD668,FlowCalNumber,0),1,1)*AF683^INDEX(FlowCalConstB,MATCH(AD668,FlowCalNumber,0),1,1)&gt;INDEX(FlowCalLowSetting,MATCH(AD668,FlowCalNumber,0),1,1), (INDEX(FlowCalConstA,MATCH(AD668,FlowCalNumber,0),1,1)*AF683^INDEX(FlowCalConstB,MATCH(AD668,FlowCalNumber,0),1,1)&lt;INDEX(FlowCalHighSetting,MATCH(AD668,FlowCalNumber,0),1,1))),INDEX(FlowCalConstA,MATCH(AD668,FlowCalNumber,0),1,1)*AF683^INDEX(FlowCalConstB,MATCH(AD668,FlowCalNumber,0),1,1)," ")</f>
        <v>#N/A</v>
      </c>
      <c r="AH683" s="33"/>
      <c r="AI683" s="242">
        <f t="shared" si="644"/>
        <v>0.9</v>
      </c>
      <c r="AJ683" s="241" t="e">
        <f t="shared" ca="1" si="645"/>
        <v>#VALUE!</v>
      </c>
      <c r="AK683" s="243" t="e">
        <f ca="1">IF(AND(INDEX(FlowCalConstA,MATCH(AH668,FlowCalNumber,0),1,1)*AJ683^INDEX(FlowCalConstB,MATCH(AH668,FlowCalNumber,0),1,1)&gt;INDEX(FlowCalLowSetting,MATCH(AH668,FlowCalNumber,0),1,1), (INDEX(FlowCalConstA,MATCH(AH668,FlowCalNumber,0),1,1)*AJ683^INDEX(FlowCalConstB,MATCH(AH668,FlowCalNumber,0),1,1)&lt;INDEX(FlowCalHighSetting,MATCH(AH668,FlowCalNumber,0),1,1))),INDEX(FlowCalConstA,MATCH(AH668,FlowCalNumber,0),1,1)*AJ683^INDEX(FlowCalConstB,MATCH(AH668,FlowCalNumber,0),1,1)," ")</f>
        <v>#N/A</v>
      </c>
      <c r="AL683" s="33"/>
      <c r="AM683" s="242"/>
      <c r="AN683" s="241"/>
      <c r="AO683" s="244"/>
      <c r="AQ683" s="242"/>
      <c r="AR683" s="241"/>
      <c r="AS683" s="244"/>
      <c r="AT683" s="33"/>
      <c r="AU683" s="242"/>
      <c r="AV683" s="241"/>
      <c r="AW683" s="244"/>
      <c r="AX683" s="33"/>
      <c r="AY683" s="242"/>
      <c r="AZ683" s="241"/>
      <c r="BA683" s="244"/>
      <c r="BB683" s="33"/>
      <c r="BC683" s="242"/>
      <c r="BD683" s="241"/>
      <c r="BE683" s="244"/>
      <c r="BF683" s="33"/>
      <c r="BG683" s="242"/>
      <c r="BH683" s="241"/>
      <c r="BI683" s="244"/>
      <c r="BJ683" s="33"/>
      <c r="BK683" s="242"/>
      <c r="BL683" s="241"/>
      <c r="BM683" s="244"/>
      <c r="BN683" s="33"/>
      <c r="BO683" s="242"/>
      <c r="BP683" s="241"/>
      <c r="BQ683" s="244"/>
      <c r="BR683" s="33"/>
      <c r="BS683" s="242"/>
      <c r="BT683" s="241"/>
      <c r="BU683" s="244"/>
      <c r="BV683" s="33"/>
      <c r="BW683" s="242"/>
      <c r="BX683" s="241"/>
      <c r="BY683" s="244"/>
      <c r="BZ683" s="33"/>
      <c r="CA683" s="242"/>
      <c r="CB683" s="241"/>
      <c r="CC683" s="244"/>
      <c r="CD683" s="243"/>
      <c r="CE683" s="243"/>
      <c r="CF683" s="243"/>
      <c r="CG683" s="243"/>
      <c r="CH683" s="243"/>
      <c r="CI683" s="243"/>
      <c r="CJ683" s="243"/>
      <c r="CK683" s="243"/>
      <c r="CL683" s="243"/>
      <c r="CM683" s="243"/>
      <c r="CN683" s="243"/>
      <c r="CO683" s="243"/>
      <c r="CP683" s="243"/>
      <c r="CQ683" s="243"/>
      <c r="CR683" s="243"/>
      <c r="CS683" s="243"/>
      <c r="CT683" s="243"/>
      <c r="CU683" s="243"/>
      <c r="CV683" s="243"/>
      <c r="CW683" s="243"/>
      <c r="CX683" s="243"/>
      <c r="CY683" s="243"/>
      <c r="CZ683" s="243"/>
      <c r="DA683" s="243"/>
      <c r="DB683" s="243"/>
      <c r="DC683" s="243"/>
      <c r="DD683" s="243"/>
      <c r="DE683" s="243"/>
      <c r="DF683" s="243"/>
      <c r="DG683" s="243"/>
      <c r="DH683" s="243"/>
      <c r="DI683" s="243"/>
      <c r="DJ683" s="243"/>
      <c r="DK683" s="243"/>
      <c r="DM683" s="242"/>
      <c r="DO683" s="243"/>
      <c r="DQ683" s="242"/>
      <c r="DS683" s="243"/>
      <c r="DU683" s="242"/>
      <c r="DW683" s="243"/>
      <c r="DY683" s="242"/>
      <c r="EA683" s="243"/>
    </row>
    <row r="684" spans="1:131">
      <c r="A684" s="33"/>
      <c r="B684" s="33"/>
      <c r="C684" s="235"/>
      <c r="E684" s="90"/>
      <c r="F684" s="90"/>
      <c r="G684" s="33"/>
      <c r="J684" s="33"/>
      <c r="N684" s="33"/>
      <c r="Q684" s="243"/>
      <c r="R684" s="33"/>
      <c r="U684" s="244"/>
      <c r="V684" s="33"/>
      <c r="Y684" s="243"/>
      <c r="Z684" s="33"/>
      <c r="AC684" s="243"/>
      <c r="AD684" s="33"/>
      <c r="AG684" s="243"/>
      <c r="AH684" s="33"/>
      <c r="AK684" s="244"/>
      <c r="AL684" s="792"/>
      <c r="AM684" s="243"/>
      <c r="AN684" s="243"/>
      <c r="AO684" s="244"/>
      <c r="AP684" s="243"/>
      <c r="AQ684" s="243"/>
      <c r="AR684" s="243"/>
      <c r="AS684" s="244"/>
      <c r="AT684" s="243"/>
      <c r="AU684" s="243"/>
      <c r="AV684" s="243"/>
      <c r="AW684" s="244"/>
      <c r="AX684" s="243"/>
      <c r="AY684" s="243"/>
      <c r="AZ684" s="243"/>
      <c r="BA684" s="244"/>
      <c r="BB684" s="33"/>
      <c r="BE684" s="244"/>
      <c r="BF684" s="33"/>
      <c r="BI684" s="244"/>
      <c r="BJ684" s="33"/>
      <c r="BM684" s="244"/>
      <c r="BN684" s="243"/>
      <c r="BO684" s="243"/>
      <c r="BP684" s="243"/>
      <c r="BQ684" s="244"/>
      <c r="BR684" s="792"/>
      <c r="BS684" s="243"/>
      <c r="BT684" s="243"/>
      <c r="BU684" s="244"/>
      <c r="BV684" s="792"/>
      <c r="BW684" s="243"/>
      <c r="BX684" s="243"/>
      <c r="BY684" s="244"/>
      <c r="BZ684" s="792"/>
      <c r="CA684" s="243"/>
      <c r="CB684" s="243"/>
      <c r="CC684" s="244"/>
      <c r="CD684" s="243"/>
      <c r="CE684" s="243"/>
      <c r="CF684" s="243"/>
      <c r="CG684" s="243"/>
      <c r="CH684" s="243"/>
      <c r="CI684" s="243"/>
      <c r="CJ684" s="243"/>
      <c r="CK684" s="243"/>
      <c r="CL684" s="243"/>
      <c r="CM684" s="243"/>
      <c r="CN684" s="243"/>
      <c r="CO684" s="243"/>
      <c r="CP684" s="243"/>
      <c r="CQ684" s="243"/>
      <c r="CR684" s="243"/>
      <c r="CS684" s="243"/>
      <c r="CT684" s="243"/>
      <c r="CU684" s="243"/>
      <c r="CV684" s="243"/>
      <c r="CW684" s="243"/>
      <c r="CX684" s="243"/>
      <c r="CY684" s="243"/>
      <c r="CZ684" s="243"/>
      <c r="DA684" s="243"/>
      <c r="DB684" s="243"/>
      <c r="DC684" s="243"/>
      <c r="DD684" s="243"/>
      <c r="DE684" s="243"/>
      <c r="DF684" s="243"/>
      <c r="DG684" s="243"/>
      <c r="DH684" s="243"/>
      <c r="DI684" s="243"/>
      <c r="DJ684" s="243"/>
      <c r="DK684" s="243"/>
      <c r="DO684" s="243"/>
      <c r="DS684" s="243"/>
      <c r="DW684" s="243"/>
      <c r="EA684" s="243"/>
    </row>
    <row r="685" spans="1:131">
      <c r="A685" s="256" t="str">
        <f>IF((RIGHT(A668,1))&lt;&gt;"Z",CHAR(CODE(A668))&amp;CHAR(CODE(RIGHT(A668,1))+1),CHAR(CODE(A668)+1)&amp;"A")</f>
        <v>BN</v>
      </c>
      <c r="B685" s="270" t="str">
        <f>INDEX(SourceID,MATCH($A685,SourceNumber,0),1,1)</f>
        <v>B2 DG</v>
      </c>
      <c r="C685" s="354">
        <f>INDEX(SourceExitDiameter,MATCH($A685,SourceNumber,0),1,1)*3.28*12</f>
        <v>14</v>
      </c>
      <c r="D685" s="24" t="str">
        <f>UAnem1percent</f>
        <v>1% Wind</v>
      </c>
      <c r="E685" s="350" t="e">
        <f ca="1">INDIRECT(ADDRESS(53,6,1,,CONCATENATE("TA",$A685)))</f>
        <v>#REF!</v>
      </c>
      <c r="F685" s="625" t="e">
        <f ca="1">(ROUND((INDIRECT(ADDRESS(15,7,1,,CONCATENATE("TA",$A685)))*3.28*12*32),0)&amp;"/32")</f>
        <v>#REF!</v>
      </c>
      <c r="G685" s="125">
        <f ca="1">INDIRECT(ADDRESS(29,7,1,,$A685))</f>
        <v>6.001707317073171</v>
      </c>
      <c r="H685" s="24" t="e">
        <f ca="1">INDIRECT(ADDRESS(19,7,1,,$A685))*100^3</f>
        <v>#VALUE!</v>
      </c>
      <c r="I685" s="941">
        <f ca="1">INDIRECT(ADDRESS(53,7,1,,$A685))</f>
        <v>0.97430000000000005</v>
      </c>
      <c r="J685" s="20" t="str">
        <f ca="1">IF($I685=$I$6,K$16&amp;$G$6&amp;J$6,IF($I685=$I$7,K$16&amp;$G$7&amp;J$7,"Bad"))</f>
        <v>100EthPick a Tunnel</v>
      </c>
      <c r="K685" t="e">
        <f ca="1">INDEX(FlowCalGasMixture,MATCH(J685,FlowCalNumber,0),1,1)</f>
        <v>#N/A</v>
      </c>
      <c r="M685" s="944" t="e">
        <f ca="1">INDEX(FlowCalDevice,MATCH(J685,FlowCalNumber,0),1,1)</f>
        <v>#N/A</v>
      </c>
      <c r="N685" s="943" t="str">
        <f ca="1">IF($I685=$I$6,O$16&amp;$G$6&amp;"90"&amp;$H$6&amp;N$6,IF($I685=$I$7,O$16&amp;$G$7&amp;"90"&amp;$H$7&amp;N$7,"Bad"))</f>
        <v>10Eth90N2Pick a Tunnel</v>
      </c>
      <c r="O685" t="e">
        <f ca="1">INDEX(FlowCalGasMixture,MATCH(N685,FlowCalNumber,0),1,1)</f>
        <v>#N/A</v>
      </c>
      <c r="Q685" s="944" t="e">
        <f ca="1">INDEX(FlowCalDevice,MATCH(N685,FlowCalNumber,0),1,1)</f>
        <v>#N/A</v>
      </c>
      <c r="R685" s="943" t="str">
        <f ca="1">IF($I685=$I$6,S$16&amp;$G$6&amp;"90"&amp;$H$6&amp;R$6,IF($I685=$I$7,S$16&amp;$G$7&amp;"90"&amp;$H$7&amp;R$7,"Bad"))</f>
        <v>10Eth90N2Pick a Tunnel</v>
      </c>
      <c r="S685" t="e">
        <f ca="1">INDEX(FlowCalGasMixture,MATCH(R685,FlowCalNumber,0),1,1)</f>
        <v>#N/A</v>
      </c>
      <c r="U685" s="944" t="e">
        <f ca="1">INDEX(FlowCalDevice,MATCH(R685,FlowCalNumber,0),1,1)</f>
        <v>#N/A</v>
      </c>
      <c r="V685" s="20" t="str">
        <f ca="1">IF($I685=$I$6,W$16&amp;$G$6&amp;V$6,IF($I685=$I$7,W$16&amp;$G$7&amp;V$7,"Bad"))</f>
        <v>100EthPick a Tunnel</v>
      </c>
      <c r="W685" t="e">
        <f ca="1">INDEX(FlowCalGasMixture,MATCH(V685,FlowCalNumber,0),1,1)</f>
        <v>#N/A</v>
      </c>
      <c r="Y685" s="944" t="e">
        <f ca="1">INDEX(FlowCalDevice,MATCH(V685,FlowCalNumber,0),1,1)</f>
        <v>#N/A</v>
      </c>
      <c r="Z685" s="946" t="str">
        <f ca="1">IF($I685=$I$6,AA$18&amp;$H$6&amp;Z$6,IF($I685=$I$7,AA$18&amp;$H$7&amp;Z$7,"Bad"))</f>
        <v>100N2Pick a Tunnel</v>
      </c>
      <c r="AA685" t="e">
        <f ca="1">INDEX(FlowCalGasMixture,MATCH(Z685,FlowCalNumber,0),1,1)</f>
        <v>#N/A</v>
      </c>
      <c r="AC685" s="944" t="e">
        <f ca="1">INDEX(FlowCalDevice,MATCH(Z685,FlowCalNumber,0),1,1)</f>
        <v>#N/A</v>
      </c>
      <c r="AD685" s="20" t="str">
        <f ca="1">IF($I685=$I$6,AE$16&amp;$G$6&amp;AD$6,IF($I685=$I$7,AE$16&amp;$G$7&amp;AD$7,"Bad"))</f>
        <v>100EthPick a Tunnel</v>
      </c>
      <c r="AE685" t="e">
        <f ca="1">INDEX(FlowCalGasMixture,MATCH(AD685,FlowCalNumber,0),1,1)</f>
        <v>#N/A</v>
      </c>
      <c r="AG685" s="944" t="e">
        <f ca="1">INDEX(FlowCalDevice,MATCH(AD685,FlowCalNumber,0),1,1)</f>
        <v>#N/A</v>
      </c>
      <c r="AH685" s="946" t="str">
        <f ca="1">IF($I685=$I$6,AI$18&amp;$H$6&amp;AH$6,IF($I685=$I$7,AI$18&amp;$H$7&amp;AH$7,"Bad"))</f>
        <v>100N2Pick a Tunnel</v>
      </c>
      <c r="AI685" t="e">
        <f ca="1">INDEX(FlowCalGasMixture,MATCH(AH685,FlowCalNumber,0),1,1)</f>
        <v>#N/A</v>
      </c>
      <c r="AK685" s="944" t="e">
        <f ca="1">INDEX(FlowCalDevice,MATCH(AH685,FlowCalNumber,0),1,1)</f>
        <v>#N/A</v>
      </c>
      <c r="AL685" s="20"/>
      <c r="AO685" s="982"/>
      <c r="AP685" s="960"/>
      <c r="AS685" s="982"/>
      <c r="AT685" s="20"/>
      <c r="AW685" s="982"/>
      <c r="AX685" s="946"/>
      <c r="BA685" s="982"/>
      <c r="BB685" s="20"/>
      <c r="BC685" s="16"/>
      <c r="BE685" s="982"/>
      <c r="BF685" s="946"/>
      <c r="BG685" s="16"/>
      <c r="BI685" s="982"/>
      <c r="BJ685" s="946"/>
      <c r="BK685" s="16"/>
      <c r="BM685" s="982"/>
      <c r="BN685" s="20"/>
      <c r="BO685" s="16"/>
      <c r="BQ685" s="982"/>
      <c r="BR685" s="946"/>
      <c r="BS685" s="16"/>
      <c r="BU685" s="982"/>
      <c r="BV685" s="946"/>
      <c r="BW685" s="16"/>
      <c r="BY685" s="982"/>
      <c r="BZ685" s="946"/>
      <c r="CA685" s="16"/>
      <c r="CC685" s="982"/>
      <c r="CD685" s="355"/>
      <c r="CE685" s="355"/>
      <c r="CF685" s="355"/>
      <c r="CG685" s="355"/>
      <c r="CH685" s="355"/>
      <c r="CI685" s="355"/>
      <c r="CJ685" s="355"/>
      <c r="CK685" s="355"/>
      <c r="CL685" s="355"/>
      <c r="CM685" s="355"/>
      <c r="CN685" s="355"/>
      <c r="CO685" s="355"/>
      <c r="CP685" s="355"/>
      <c r="CQ685" s="355"/>
      <c r="CR685" s="355"/>
      <c r="CS685" s="355"/>
      <c r="CT685" s="355"/>
      <c r="CU685" s="355"/>
      <c r="CV685" s="355"/>
      <c r="CW685" s="355"/>
      <c r="CX685" s="355"/>
      <c r="CY685" s="355"/>
      <c r="CZ685" s="355"/>
      <c r="DA685" s="355"/>
      <c r="DB685" s="355"/>
      <c r="DC685" s="355"/>
      <c r="DD685" s="355"/>
      <c r="DE685" s="355"/>
      <c r="DF685" s="355"/>
      <c r="DG685" s="355"/>
      <c r="DH685" s="355"/>
      <c r="DI685" s="355"/>
      <c r="DJ685" s="355"/>
      <c r="DK685" s="355"/>
      <c r="DL685" s="46"/>
      <c r="DM685" s="16"/>
      <c r="DO685" s="355"/>
      <c r="DP685" s="42"/>
      <c r="DQ685" s="16"/>
      <c r="DS685" s="355"/>
      <c r="DT685" s="42"/>
      <c r="DU685" s="16"/>
      <c r="DW685" s="355"/>
      <c r="DX685" s="42"/>
      <c r="DY685" s="16"/>
      <c r="EA685" s="355"/>
    </row>
    <row r="686" spans="1:131">
      <c r="A686" s="20"/>
      <c r="B686" s="124" t="str">
        <f t="shared" ref="B686:B700" si="646">IF(D686=UAnem1percent,"1% Wind","")</f>
        <v/>
      </c>
      <c r="C686" s="235"/>
      <c r="D686" s="24">
        <f>'1% Wind'!$M$82</f>
        <v>27</v>
      </c>
      <c r="E686" s="90"/>
      <c r="F686" s="90"/>
      <c r="G686" s="79">
        <f ca="1">IF(I685=0.9743,$G685,MAX(G685/D685*D686,2))</f>
        <v>6.001707317073171</v>
      </c>
      <c r="H686" s="121" t="e">
        <f t="shared" ref="H686:H700" ca="1" si="647">H685*(D685/D686)*(G686/G685)</f>
        <v>#VALUE!</v>
      </c>
      <c r="J686" s="33"/>
      <c r="K686" s="260">
        <f>K$17/100</f>
        <v>1</v>
      </c>
      <c r="L686" s="241" t="e">
        <f ca="1">K686*$H686</f>
        <v>#VALUE!</v>
      </c>
      <c r="M686" s="243" t="e">
        <f ca="1">IF(AND(INDEX(FlowCalConstA,MATCH(J685,FlowCalNumber,0),1,1)*L686^INDEX(FlowCalConstB,MATCH(J685,FlowCalNumber,0),1,1)&gt;INDEX(FlowCalLowSetting,MATCH(J685,FlowCalNumber,0),1,1), (INDEX(FlowCalConstA,MATCH(J685,FlowCalNumber,0),1,1)*L686^INDEX(FlowCalConstB,MATCH(J685,FlowCalNumber,0),1,1)&lt;INDEX(FlowCalHighSetting,MATCH(J685,FlowCalNumber,0),1,1))),INDEX(FlowCalConstA,MATCH(J685,FlowCalNumber,0),1,1)*L686^INDEX(FlowCalConstB,MATCH(J685,FlowCalNumber,0),1,1)," ")</f>
        <v>#N/A</v>
      </c>
      <c r="N686" s="33"/>
      <c r="O686" s="260">
        <f>O$17/100</f>
        <v>1</v>
      </c>
      <c r="P686" s="241" t="e">
        <f ca="1">O686*$H686</f>
        <v>#VALUE!</v>
      </c>
      <c r="Q686" s="243" t="e">
        <f ca="1">IF(AND(INDEX(FlowCalConstA,MATCH(N685,FlowCalNumber,0),1,1)*P686^INDEX(FlowCalConstB,MATCH(N685,FlowCalNumber,0),1,1)&gt;INDEX(FlowCalLowSetting,MATCH(N685,FlowCalNumber,0),1,1), (INDEX(FlowCalConstA,MATCH(N685,FlowCalNumber,0),1,1)*P686^INDEX(FlowCalConstB,MATCH(N685,FlowCalNumber,0),1,1)&lt;INDEX(FlowCalHighSetting,MATCH(N685,FlowCalNumber,0),1,1))),INDEX(FlowCalConstA,MATCH(N685,FlowCalNumber,0),1,1)*P686^INDEX(FlowCalConstB,MATCH(N685,FlowCalNumber,0),1,1)," ")</f>
        <v>#N/A</v>
      </c>
      <c r="R686" s="33"/>
      <c r="S686" s="260">
        <f>S$17/100</f>
        <v>1</v>
      </c>
      <c r="T686" s="241" t="e">
        <f ca="1">S686*$H686</f>
        <v>#VALUE!</v>
      </c>
      <c r="U686" s="244" t="e">
        <f ca="1">IF(AND(INDEX(FlowCalConstA,MATCH(R685,FlowCalNumber,0),1,1)*T686^INDEX(FlowCalConstB,MATCH(R685,FlowCalNumber,0),1,1)&gt;INDEX(FlowCalLowSetting,MATCH(R685,FlowCalNumber,0),1,1), (INDEX(FlowCalConstA,MATCH(R685,FlowCalNumber,0),1,1)*T686^INDEX(FlowCalConstB,MATCH(R685,FlowCalNumber,0),1,1)&lt;INDEX(FlowCalHighSetting,MATCH(R685,FlowCalNumber,0),1,1))),INDEX(FlowCalConstA,MATCH(R685,FlowCalNumber,0),1,1)*T686^INDEX(FlowCalConstB,MATCH(R685,FlowCalNumber,0),1,1)," ")</f>
        <v>#N/A</v>
      </c>
      <c r="V686" s="33"/>
      <c r="W686" s="260">
        <f>W$17/100</f>
        <v>0.1</v>
      </c>
      <c r="X686" s="241" t="e">
        <f ca="1">W686*$H686</f>
        <v>#VALUE!</v>
      </c>
      <c r="Y686" s="243" t="e">
        <f ca="1">IF(AND(INDEX(FlowCalConstA,MATCH(V685,FlowCalNumber,0),1,1)*X686^INDEX(FlowCalConstB,MATCH(V685,FlowCalNumber,0),1,1)&gt;INDEX(FlowCalLowSetting,MATCH(V685,FlowCalNumber,0),1,1), (INDEX(FlowCalConstA,MATCH(V685,FlowCalNumber,0),1,1)*X686^INDEX(FlowCalConstB,MATCH(V685,FlowCalNumber,0),1,1)&lt;INDEX(FlowCalHighSetting,MATCH(V685,FlowCalNumber,0),1,1))),INDEX(FlowCalConstA,MATCH(V685,FlowCalNumber,0),1,1)*X686^INDEX(FlowCalConstB,MATCH(V685,FlowCalNumber,0),1,1)," ")</f>
        <v>#N/A</v>
      </c>
      <c r="Z686" s="33"/>
      <c r="AA686" s="260">
        <f>AA$17/100</f>
        <v>0.9</v>
      </c>
      <c r="AB686" s="241" t="e">
        <f ca="1">AA686*$H686</f>
        <v>#VALUE!</v>
      </c>
      <c r="AC686" s="243" t="e">
        <f ca="1">IF(AND(INDEX(FlowCalConstA,MATCH(Z685,FlowCalNumber,0),1,1)*AB686^INDEX(FlowCalConstB,MATCH(Z685,FlowCalNumber,0),1,1)&gt;INDEX(FlowCalLowSetting,MATCH(Z685,FlowCalNumber,0),1,1), (INDEX(FlowCalConstA,MATCH(Z685,FlowCalNumber,0),1,1)*AB686^INDEX(FlowCalConstB,MATCH(Z685,FlowCalNumber,0),1,1)&lt;INDEX(FlowCalHighSetting,MATCH(Z685,FlowCalNumber,0),1,1))),INDEX(FlowCalConstA,MATCH(Z685,FlowCalNumber,0),1,1)*AB686^INDEX(FlowCalConstB,MATCH(Z685,FlowCalNumber,0),1,1)," ")</f>
        <v>#N/A</v>
      </c>
      <c r="AD686" s="33"/>
      <c r="AE686" s="260">
        <f>AE$17/100</f>
        <v>0.1</v>
      </c>
      <c r="AF686" s="241" t="e">
        <f ca="1">AE686*$H686</f>
        <v>#VALUE!</v>
      </c>
      <c r="AG686" s="243" t="e">
        <f ca="1">IF(AND(INDEX(FlowCalConstA,MATCH(AD685,FlowCalNumber,0),1,1)*AF686^INDEX(FlowCalConstB,MATCH(AD685,FlowCalNumber,0),1,1)&gt;INDEX(FlowCalLowSetting,MATCH(AD685,FlowCalNumber,0),1,1), (INDEX(FlowCalConstA,MATCH(AD685,FlowCalNumber,0),1,1)*AF686^INDEX(FlowCalConstB,MATCH(AD685,FlowCalNumber,0),1,1)&lt;INDEX(FlowCalHighSetting,MATCH(AD685,FlowCalNumber,0),1,1))),INDEX(FlowCalConstA,MATCH(AD685,FlowCalNumber,0),1,1)*AF686^INDEX(FlowCalConstB,MATCH(AD685,FlowCalNumber,0),1,1)," ")</f>
        <v>#N/A</v>
      </c>
      <c r="AH686" s="33"/>
      <c r="AI686" s="260">
        <f>AI$17/100</f>
        <v>0.9</v>
      </c>
      <c r="AJ686" s="241" t="e">
        <f ca="1">AI686*$H686</f>
        <v>#VALUE!</v>
      </c>
      <c r="AK686" s="243" t="e">
        <f ca="1">IF(AND(INDEX(FlowCalConstA,MATCH(AH685,FlowCalNumber,0),1,1)*AJ686^INDEX(FlowCalConstB,MATCH(AH685,FlowCalNumber,0),1,1)&gt;INDEX(FlowCalLowSetting,MATCH(AH685,FlowCalNumber,0),1,1), (INDEX(FlowCalConstA,MATCH(AH685,FlowCalNumber,0),1,1)*AJ686^INDEX(FlowCalConstB,MATCH(AH685,FlowCalNumber,0),1,1)&lt;INDEX(FlowCalHighSetting,MATCH(AH685,FlowCalNumber,0),1,1))),INDEX(FlowCalConstA,MATCH(AH685,FlowCalNumber,0),1,1)*AJ686^INDEX(FlowCalConstB,MATCH(AH685,FlowCalNumber,0),1,1)," ")</f>
        <v>#N/A</v>
      </c>
      <c r="AL686" s="33"/>
      <c r="AM686" s="260"/>
      <c r="AN686" s="241"/>
      <c r="AO686" s="244"/>
      <c r="AQ686" s="260"/>
      <c r="AR686" s="241"/>
      <c r="AS686" s="244"/>
      <c r="AT686" s="33"/>
      <c r="AU686" s="260"/>
      <c r="AV686" s="241"/>
      <c r="AW686" s="244"/>
      <c r="AX686" s="33"/>
      <c r="AY686" s="260"/>
      <c r="AZ686" s="241"/>
      <c r="BA686" s="244"/>
      <c r="BB686" s="33"/>
      <c r="BC686" s="260"/>
      <c r="BD686" s="241"/>
      <c r="BE686" s="244"/>
      <c r="BF686" s="33"/>
      <c r="BG686" s="260"/>
      <c r="BH686" s="241"/>
      <c r="BI686" s="244"/>
      <c r="BJ686" s="33"/>
      <c r="BK686" s="260"/>
      <c r="BL686" s="241"/>
      <c r="BM686" s="244"/>
      <c r="BN686" s="33"/>
      <c r="BO686" s="260"/>
      <c r="BP686" s="241"/>
      <c r="BQ686" s="244"/>
      <c r="BR686" s="33"/>
      <c r="BS686" s="260"/>
      <c r="BT686" s="241"/>
      <c r="BU686" s="244"/>
      <c r="BV686" s="33"/>
      <c r="BW686" s="260"/>
      <c r="BX686" s="241"/>
      <c r="BY686" s="244"/>
      <c r="BZ686" s="33"/>
      <c r="CA686" s="260"/>
      <c r="CB686" s="241"/>
      <c r="CC686" s="244"/>
      <c r="CD686" s="243"/>
      <c r="CE686" s="243"/>
      <c r="CF686" s="243"/>
      <c r="CG686" s="243"/>
      <c r="CH686" s="243"/>
      <c r="CI686" s="243"/>
      <c r="CJ686" s="243"/>
      <c r="CK686" s="243"/>
      <c r="CL686" s="243"/>
      <c r="CM686" s="243"/>
      <c r="CN686" s="243"/>
      <c r="CO686" s="243"/>
      <c r="CP686" s="243"/>
      <c r="CQ686" s="243"/>
      <c r="CR686" s="243"/>
      <c r="CS686" s="243"/>
      <c r="CT686" s="243"/>
      <c r="CU686" s="243"/>
      <c r="CV686" s="243"/>
      <c r="CW686" s="243"/>
      <c r="CX686" s="243"/>
      <c r="CY686" s="243"/>
      <c r="CZ686" s="243"/>
      <c r="DA686" s="243"/>
      <c r="DB686" s="243"/>
      <c r="DC686" s="243"/>
      <c r="DD686" s="243"/>
      <c r="DE686" s="243"/>
      <c r="DF686" s="243"/>
      <c r="DG686" s="243"/>
      <c r="DH686" s="243"/>
      <c r="DI686" s="243"/>
      <c r="DJ686" s="243"/>
      <c r="DK686" s="243"/>
      <c r="DM686" s="259"/>
      <c r="DO686" s="243"/>
      <c r="DQ686" s="259"/>
      <c r="DS686" s="243"/>
      <c r="DU686" s="259"/>
      <c r="DW686" s="243"/>
      <c r="DY686" s="260"/>
      <c r="EA686" s="243"/>
    </row>
    <row r="687" spans="1:131">
      <c r="A687" s="20"/>
      <c r="B687" s="124" t="str">
        <f t="shared" si="646"/>
        <v/>
      </c>
      <c r="C687" s="235"/>
      <c r="D687" s="24">
        <f>'1% Wind'!$M$83</f>
        <v>23.5</v>
      </c>
      <c r="E687" s="90"/>
      <c r="F687" s="90"/>
      <c r="G687" s="79">
        <f ca="1">IF(I685=0.9743,$G686,MAX(G686/D686*D687,2))</f>
        <v>6.001707317073171</v>
      </c>
      <c r="H687" s="121" t="e">
        <f t="shared" ca="1" si="647"/>
        <v>#VALUE!</v>
      </c>
      <c r="J687" s="33"/>
      <c r="K687" s="242">
        <f t="shared" ref="K687:K700" si="648">K686</f>
        <v>1</v>
      </c>
      <c r="L687" s="241" t="e">
        <f t="shared" ref="L687:L700" ca="1" si="649">K687*$H687</f>
        <v>#VALUE!</v>
      </c>
      <c r="M687" s="243" t="e">
        <f ca="1">IF(AND(INDEX(FlowCalConstA,MATCH(J685,FlowCalNumber,0),1,1)*L687^INDEX(FlowCalConstB,MATCH(J685,FlowCalNumber,0),1,1)&gt;INDEX(FlowCalLowSetting,MATCH(J685,FlowCalNumber,0),1,1), (INDEX(FlowCalConstA,MATCH(J685,FlowCalNumber,0),1,1)*L687^INDEX(FlowCalConstB,MATCH(J685,FlowCalNumber,0),1,1)&lt;INDEX(FlowCalHighSetting,MATCH(J685,FlowCalNumber,0),1,1))),INDEX(FlowCalConstA,MATCH(J685,FlowCalNumber,0),1,1)*L687^INDEX(FlowCalConstB,MATCH(J685,FlowCalNumber,0),1,1)," ")</f>
        <v>#N/A</v>
      </c>
      <c r="N687" s="33"/>
      <c r="O687" s="242">
        <f t="shared" ref="O687:O700" si="650">O686</f>
        <v>1</v>
      </c>
      <c r="P687" s="241" t="e">
        <f t="shared" ref="P687:P700" ca="1" si="651">O687*$H687</f>
        <v>#VALUE!</v>
      </c>
      <c r="Q687" s="243" t="e">
        <f ca="1">IF(AND(INDEX(FlowCalConstA,MATCH(N685,FlowCalNumber,0),1,1)*P687^INDEX(FlowCalConstB,MATCH(N685,FlowCalNumber,0),1,1)&gt;INDEX(FlowCalLowSetting,MATCH(N685,FlowCalNumber,0),1,1), (INDEX(FlowCalConstA,MATCH(N685,FlowCalNumber,0),1,1)*P687^INDEX(FlowCalConstB,MATCH(N685,FlowCalNumber,0),1,1)&lt;INDEX(FlowCalHighSetting,MATCH(N685,FlowCalNumber,0),1,1))),INDEX(FlowCalConstA,MATCH(N685,FlowCalNumber,0),1,1)*P687^INDEX(FlowCalConstB,MATCH(N685,FlowCalNumber,0),1,1)," ")</f>
        <v>#N/A</v>
      </c>
      <c r="R687" s="33"/>
      <c r="S687" s="242">
        <f t="shared" ref="S687:S700" si="652">S686</f>
        <v>1</v>
      </c>
      <c r="T687" s="241" t="e">
        <f t="shared" ref="T687:T700" ca="1" si="653">S687*$H687</f>
        <v>#VALUE!</v>
      </c>
      <c r="U687" s="244" t="e">
        <f ca="1">IF(AND(INDEX(FlowCalConstA,MATCH(R685,FlowCalNumber,0),1,1)*T687^INDEX(FlowCalConstB,MATCH(R685,FlowCalNumber,0),1,1)&gt;INDEX(FlowCalLowSetting,MATCH(R685,FlowCalNumber,0),1,1), (INDEX(FlowCalConstA,MATCH(R685,FlowCalNumber,0),1,1)*T687^INDEX(FlowCalConstB,MATCH(R685,FlowCalNumber,0),1,1)&lt;INDEX(FlowCalHighSetting,MATCH(R685,FlowCalNumber,0),1,1))),INDEX(FlowCalConstA,MATCH(R685,FlowCalNumber,0),1,1)*T687^INDEX(FlowCalConstB,MATCH(R685,FlowCalNumber,0),1,1)," ")</f>
        <v>#N/A</v>
      </c>
      <c r="V687" s="33"/>
      <c r="W687" s="242">
        <f t="shared" ref="W687:W700" si="654">W686</f>
        <v>0.1</v>
      </c>
      <c r="X687" s="241" t="e">
        <f t="shared" ref="X687:X700" ca="1" si="655">W687*$H687</f>
        <v>#VALUE!</v>
      </c>
      <c r="Y687" s="243" t="e">
        <f ca="1">IF(AND(INDEX(FlowCalConstA,MATCH(V685,FlowCalNumber,0),1,1)*X687^INDEX(FlowCalConstB,MATCH(V685,FlowCalNumber,0),1,1)&gt;INDEX(FlowCalLowSetting,MATCH(V685,FlowCalNumber,0),1,1), (INDEX(FlowCalConstA,MATCH(V685,FlowCalNumber,0),1,1)*X687^INDEX(FlowCalConstB,MATCH(V685,FlowCalNumber,0),1,1)&lt;INDEX(FlowCalHighSetting,MATCH(V685,FlowCalNumber,0),1,1))),INDEX(FlowCalConstA,MATCH(V685,FlowCalNumber,0),1,1)*X687^INDEX(FlowCalConstB,MATCH(V685,FlowCalNumber,0),1,1)," ")</f>
        <v>#N/A</v>
      </c>
      <c r="Z687" s="33"/>
      <c r="AA687" s="242">
        <f t="shared" ref="AA687:AA700" si="656">AA686</f>
        <v>0.9</v>
      </c>
      <c r="AB687" s="241" t="e">
        <f t="shared" ref="AB687:AB700" ca="1" si="657">AA687*$H687</f>
        <v>#VALUE!</v>
      </c>
      <c r="AC687" s="243" t="e">
        <f ca="1">IF(AND(INDEX(FlowCalConstA,MATCH(Z685,FlowCalNumber,0),1,1)*AB687^INDEX(FlowCalConstB,MATCH(Z685,FlowCalNumber,0),1,1)&gt;INDEX(FlowCalLowSetting,MATCH(Z685,FlowCalNumber,0),1,1), (INDEX(FlowCalConstA,MATCH(Z685,FlowCalNumber,0),1,1)*AB687^INDEX(FlowCalConstB,MATCH(Z685,FlowCalNumber,0),1,1)&lt;INDEX(FlowCalHighSetting,MATCH(Z685,FlowCalNumber,0),1,1))),INDEX(FlowCalConstA,MATCH(Z685,FlowCalNumber,0),1,1)*AB687^INDEX(FlowCalConstB,MATCH(Z685,FlowCalNumber,0),1,1)," ")</f>
        <v>#N/A</v>
      </c>
      <c r="AD687" s="33"/>
      <c r="AE687" s="242">
        <f t="shared" ref="AE687:AE700" si="658">AE686</f>
        <v>0.1</v>
      </c>
      <c r="AF687" s="241" t="e">
        <f t="shared" ref="AF687:AF700" ca="1" si="659">AE687*$H687</f>
        <v>#VALUE!</v>
      </c>
      <c r="AG687" s="243" t="e">
        <f ca="1">IF(AND(INDEX(FlowCalConstA,MATCH(AD685,FlowCalNumber,0),1,1)*AF687^INDEX(FlowCalConstB,MATCH(AD685,FlowCalNumber,0),1,1)&gt;INDEX(FlowCalLowSetting,MATCH(AD685,FlowCalNumber,0),1,1), (INDEX(FlowCalConstA,MATCH(AD685,FlowCalNumber,0),1,1)*AF687^INDEX(FlowCalConstB,MATCH(AD685,FlowCalNumber,0),1,1)&lt;INDEX(FlowCalHighSetting,MATCH(AD685,FlowCalNumber,0),1,1))),INDEX(FlowCalConstA,MATCH(AD685,FlowCalNumber,0),1,1)*AF687^INDEX(FlowCalConstB,MATCH(AD685,FlowCalNumber,0),1,1)," ")</f>
        <v>#N/A</v>
      </c>
      <c r="AH687" s="33"/>
      <c r="AI687" s="242">
        <f t="shared" ref="AI687:AI700" si="660">AI686</f>
        <v>0.9</v>
      </c>
      <c r="AJ687" s="241" t="e">
        <f t="shared" ref="AJ687:AJ700" ca="1" si="661">AI687*$H687</f>
        <v>#VALUE!</v>
      </c>
      <c r="AK687" s="243" t="e">
        <f ca="1">IF(AND(INDEX(FlowCalConstA,MATCH(AH685,FlowCalNumber,0),1,1)*AJ687^INDEX(FlowCalConstB,MATCH(AH685,FlowCalNumber,0),1,1)&gt;INDEX(FlowCalLowSetting,MATCH(AH685,FlowCalNumber,0),1,1), (INDEX(FlowCalConstA,MATCH(AH685,FlowCalNumber,0),1,1)*AJ687^INDEX(FlowCalConstB,MATCH(AH685,FlowCalNumber,0),1,1)&lt;INDEX(FlowCalHighSetting,MATCH(AH685,FlowCalNumber,0),1,1))),INDEX(FlowCalConstA,MATCH(AH685,FlowCalNumber,0),1,1)*AJ687^INDEX(FlowCalConstB,MATCH(AH685,FlowCalNumber,0),1,1)," ")</f>
        <v>#N/A</v>
      </c>
      <c r="AL687" s="33"/>
      <c r="AM687" s="242"/>
      <c r="AN687" s="241"/>
      <c r="AO687" s="244"/>
      <c r="AQ687" s="242"/>
      <c r="AR687" s="241"/>
      <c r="AS687" s="244"/>
      <c r="AT687" s="33"/>
      <c r="AU687" s="242"/>
      <c r="AV687" s="241"/>
      <c r="AW687" s="244"/>
      <c r="AX687" s="33"/>
      <c r="AY687" s="242"/>
      <c r="AZ687" s="241"/>
      <c r="BA687" s="244"/>
      <c r="BB687" s="33"/>
      <c r="BC687" s="242"/>
      <c r="BD687" s="241"/>
      <c r="BE687" s="244"/>
      <c r="BF687" s="33"/>
      <c r="BG687" s="242"/>
      <c r="BH687" s="241"/>
      <c r="BI687" s="244"/>
      <c r="BJ687" s="33"/>
      <c r="BK687" s="242"/>
      <c r="BL687" s="241"/>
      <c r="BM687" s="244"/>
      <c r="BN687" s="33"/>
      <c r="BO687" s="242"/>
      <c r="BP687" s="241"/>
      <c r="BQ687" s="244"/>
      <c r="BR687" s="33"/>
      <c r="BS687" s="242"/>
      <c r="BT687" s="241"/>
      <c r="BU687" s="244"/>
      <c r="BV687" s="33"/>
      <c r="BW687" s="242"/>
      <c r="BX687" s="241"/>
      <c r="BY687" s="244"/>
      <c r="BZ687" s="33"/>
      <c r="CA687" s="242"/>
      <c r="CB687" s="241"/>
      <c r="CC687" s="244"/>
      <c r="CD687" s="243"/>
      <c r="CE687" s="243"/>
      <c r="CF687" s="243"/>
      <c r="CG687" s="243"/>
      <c r="CH687" s="243"/>
      <c r="CI687" s="243"/>
      <c r="CJ687" s="243"/>
      <c r="CK687" s="243"/>
      <c r="CL687" s="243"/>
      <c r="CM687" s="243"/>
      <c r="CN687" s="243"/>
      <c r="CO687" s="243"/>
      <c r="CP687" s="243"/>
      <c r="CQ687" s="243"/>
      <c r="CR687" s="243"/>
      <c r="CS687" s="243"/>
      <c r="CT687" s="243"/>
      <c r="CU687" s="243"/>
      <c r="CV687" s="243"/>
      <c r="CW687" s="243"/>
      <c r="CX687" s="243"/>
      <c r="CY687" s="243"/>
      <c r="CZ687" s="243"/>
      <c r="DA687" s="243"/>
      <c r="DB687" s="243"/>
      <c r="DC687" s="243"/>
      <c r="DD687" s="243"/>
      <c r="DE687" s="243"/>
      <c r="DF687" s="243"/>
      <c r="DG687" s="243"/>
      <c r="DH687" s="243"/>
      <c r="DI687" s="243"/>
      <c r="DJ687" s="243"/>
      <c r="DK687" s="243"/>
      <c r="DM687" s="242"/>
      <c r="DO687" s="243"/>
      <c r="DQ687" s="242"/>
      <c r="DS687" s="243"/>
      <c r="DU687" s="242"/>
      <c r="DW687" s="243"/>
      <c r="DY687" s="242"/>
      <c r="EA687" s="243"/>
    </row>
    <row r="688" spans="1:131">
      <c r="A688" s="20"/>
      <c r="B688" s="124" t="str">
        <f t="shared" si="646"/>
        <v/>
      </c>
      <c r="C688" s="235"/>
      <c r="D688" s="24">
        <f>'1% Wind'!$M$84</f>
        <v>20.5</v>
      </c>
      <c r="E688" s="90"/>
      <c r="F688" s="90"/>
      <c r="G688" s="79">
        <f ca="1">IF(I685=0.9743,$G687,MAX(G687/D687*D688,2))</f>
        <v>6.001707317073171</v>
      </c>
      <c r="H688" s="121" t="e">
        <f t="shared" ca="1" si="647"/>
        <v>#VALUE!</v>
      </c>
      <c r="J688" s="33"/>
      <c r="K688" s="242">
        <f t="shared" si="648"/>
        <v>1</v>
      </c>
      <c r="L688" s="241" t="e">
        <f t="shared" ca="1" si="649"/>
        <v>#VALUE!</v>
      </c>
      <c r="M688" s="243" t="e">
        <f ca="1">IF(AND(INDEX(FlowCalConstA,MATCH(J685,FlowCalNumber,0),1,1)*L688^INDEX(FlowCalConstB,MATCH(J685,FlowCalNumber,0),1,1)&gt;INDEX(FlowCalLowSetting,MATCH(J685,FlowCalNumber,0),1,1), (INDEX(FlowCalConstA,MATCH(J685,FlowCalNumber,0),1,1)*L688^INDEX(FlowCalConstB,MATCH(J685,FlowCalNumber,0),1,1)&lt;INDEX(FlowCalHighSetting,MATCH(J685,FlowCalNumber,0),1,1))),INDEX(FlowCalConstA,MATCH(J685,FlowCalNumber,0),1,1)*L688^INDEX(FlowCalConstB,MATCH(J685,FlowCalNumber,0),1,1)," ")</f>
        <v>#N/A</v>
      </c>
      <c r="N688" s="33"/>
      <c r="O688" s="242">
        <f t="shared" si="650"/>
        <v>1</v>
      </c>
      <c r="P688" s="241" t="e">
        <f t="shared" ca="1" si="651"/>
        <v>#VALUE!</v>
      </c>
      <c r="Q688" s="243" t="e">
        <f ca="1">IF(AND(INDEX(FlowCalConstA,MATCH(N685,FlowCalNumber,0),1,1)*P688^INDEX(FlowCalConstB,MATCH(N685,FlowCalNumber,0),1,1)&gt;INDEX(FlowCalLowSetting,MATCH(N685,FlowCalNumber,0),1,1), (INDEX(FlowCalConstA,MATCH(N685,FlowCalNumber,0),1,1)*P688^INDEX(FlowCalConstB,MATCH(N685,FlowCalNumber,0),1,1)&lt;INDEX(FlowCalHighSetting,MATCH(N685,FlowCalNumber,0),1,1))),INDEX(FlowCalConstA,MATCH(N685,FlowCalNumber,0),1,1)*P688^INDEX(FlowCalConstB,MATCH(N685,FlowCalNumber,0),1,1)," ")</f>
        <v>#N/A</v>
      </c>
      <c r="R688" s="33"/>
      <c r="S688" s="242">
        <f t="shared" si="652"/>
        <v>1</v>
      </c>
      <c r="T688" s="241" t="e">
        <f t="shared" ca="1" si="653"/>
        <v>#VALUE!</v>
      </c>
      <c r="U688" s="244" t="e">
        <f ca="1">IF(AND(INDEX(FlowCalConstA,MATCH(R685,FlowCalNumber,0),1,1)*T688^INDEX(FlowCalConstB,MATCH(R685,FlowCalNumber,0),1,1)&gt;INDEX(FlowCalLowSetting,MATCH(R685,FlowCalNumber,0),1,1), (INDEX(FlowCalConstA,MATCH(R685,FlowCalNumber,0),1,1)*T688^INDEX(FlowCalConstB,MATCH(R685,FlowCalNumber,0),1,1)&lt;INDEX(FlowCalHighSetting,MATCH(R685,FlowCalNumber,0),1,1))),INDEX(FlowCalConstA,MATCH(R685,FlowCalNumber,0),1,1)*T688^INDEX(FlowCalConstB,MATCH(R685,FlowCalNumber,0),1,1)," ")</f>
        <v>#N/A</v>
      </c>
      <c r="V688" s="33"/>
      <c r="W688" s="242">
        <f t="shared" si="654"/>
        <v>0.1</v>
      </c>
      <c r="X688" s="241" t="e">
        <f t="shared" ca="1" si="655"/>
        <v>#VALUE!</v>
      </c>
      <c r="Y688" s="243" t="e">
        <f ca="1">IF(AND(INDEX(FlowCalConstA,MATCH(V685,FlowCalNumber,0),1,1)*X688^INDEX(FlowCalConstB,MATCH(V685,FlowCalNumber,0),1,1)&gt;INDEX(FlowCalLowSetting,MATCH(V685,FlowCalNumber,0),1,1), (INDEX(FlowCalConstA,MATCH(V685,FlowCalNumber,0),1,1)*X688^INDEX(FlowCalConstB,MATCH(V685,FlowCalNumber,0),1,1)&lt;INDEX(FlowCalHighSetting,MATCH(V685,FlowCalNumber,0),1,1))),INDEX(FlowCalConstA,MATCH(V685,FlowCalNumber,0),1,1)*X688^INDEX(FlowCalConstB,MATCH(V685,FlowCalNumber,0),1,1)," ")</f>
        <v>#N/A</v>
      </c>
      <c r="Z688" s="33"/>
      <c r="AA688" s="242">
        <f t="shared" si="656"/>
        <v>0.9</v>
      </c>
      <c r="AB688" s="241" t="e">
        <f t="shared" ca="1" si="657"/>
        <v>#VALUE!</v>
      </c>
      <c r="AC688" s="243" t="e">
        <f ca="1">IF(AND(INDEX(FlowCalConstA,MATCH(Z685,FlowCalNumber,0),1,1)*AB688^INDEX(FlowCalConstB,MATCH(Z685,FlowCalNumber,0),1,1)&gt;INDEX(FlowCalLowSetting,MATCH(Z685,FlowCalNumber,0),1,1), (INDEX(FlowCalConstA,MATCH(Z685,FlowCalNumber,0),1,1)*AB688^INDEX(FlowCalConstB,MATCH(Z685,FlowCalNumber,0),1,1)&lt;INDEX(FlowCalHighSetting,MATCH(Z685,FlowCalNumber,0),1,1))),INDEX(FlowCalConstA,MATCH(Z685,FlowCalNumber,0),1,1)*AB688^INDEX(FlowCalConstB,MATCH(Z685,FlowCalNumber,0),1,1)," ")</f>
        <v>#N/A</v>
      </c>
      <c r="AD688" s="33"/>
      <c r="AE688" s="242">
        <f t="shared" si="658"/>
        <v>0.1</v>
      </c>
      <c r="AF688" s="241" t="e">
        <f t="shared" ca="1" si="659"/>
        <v>#VALUE!</v>
      </c>
      <c r="AG688" s="243" t="e">
        <f ca="1">IF(AND(INDEX(FlowCalConstA,MATCH(AD685,FlowCalNumber,0),1,1)*AF688^INDEX(FlowCalConstB,MATCH(AD685,FlowCalNumber,0),1,1)&gt;INDEX(FlowCalLowSetting,MATCH(AD685,FlowCalNumber,0),1,1), (INDEX(FlowCalConstA,MATCH(AD685,FlowCalNumber,0),1,1)*AF688^INDEX(FlowCalConstB,MATCH(AD685,FlowCalNumber,0),1,1)&lt;INDEX(FlowCalHighSetting,MATCH(AD685,FlowCalNumber,0),1,1))),INDEX(FlowCalConstA,MATCH(AD685,FlowCalNumber,0),1,1)*AF688^INDEX(FlowCalConstB,MATCH(AD685,FlowCalNumber,0),1,1)," ")</f>
        <v>#N/A</v>
      </c>
      <c r="AH688" s="33"/>
      <c r="AI688" s="242">
        <f t="shared" si="660"/>
        <v>0.9</v>
      </c>
      <c r="AJ688" s="241" t="e">
        <f t="shared" ca="1" si="661"/>
        <v>#VALUE!</v>
      </c>
      <c r="AK688" s="243" t="e">
        <f ca="1">IF(AND(INDEX(FlowCalConstA,MATCH(AH685,FlowCalNumber,0),1,1)*AJ688^INDEX(FlowCalConstB,MATCH(AH685,FlowCalNumber,0),1,1)&gt;INDEX(FlowCalLowSetting,MATCH(AH685,FlowCalNumber,0),1,1), (INDEX(FlowCalConstA,MATCH(AH685,FlowCalNumber,0),1,1)*AJ688^INDEX(FlowCalConstB,MATCH(AH685,FlowCalNumber,0),1,1)&lt;INDEX(FlowCalHighSetting,MATCH(AH685,FlowCalNumber,0),1,1))),INDEX(FlowCalConstA,MATCH(AH685,FlowCalNumber,0),1,1)*AJ688^INDEX(FlowCalConstB,MATCH(AH685,FlowCalNumber,0),1,1)," ")</f>
        <v>#N/A</v>
      </c>
      <c r="AL688" s="33"/>
      <c r="AM688" s="242"/>
      <c r="AN688" s="241"/>
      <c r="AO688" s="244"/>
      <c r="AQ688" s="242"/>
      <c r="AR688" s="241"/>
      <c r="AS688" s="244"/>
      <c r="AT688" s="33"/>
      <c r="AU688" s="242"/>
      <c r="AV688" s="241"/>
      <c r="AW688" s="244"/>
      <c r="AX688" s="33"/>
      <c r="AY688" s="242"/>
      <c r="AZ688" s="241"/>
      <c r="BA688" s="244"/>
      <c r="BB688" s="33"/>
      <c r="BC688" s="242"/>
      <c r="BD688" s="241"/>
      <c r="BE688" s="244"/>
      <c r="BF688" s="33"/>
      <c r="BG688" s="242"/>
      <c r="BH688" s="241"/>
      <c r="BI688" s="244"/>
      <c r="BJ688" s="33"/>
      <c r="BK688" s="242"/>
      <c r="BL688" s="241"/>
      <c r="BM688" s="244"/>
      <c r="BN688" s="33"/>
      <c r="BO688" s="242"/>
      <c r="BP688" s="241"/>
      <c r="BQ688" s="244"/>
      <c r="BR688" s="33"/>
      <c r="BS688" s="242"/>
      <c r="BT688" s="241"/>
      <c r="BU688" s="244"/>
      <c r="BV688" s="33"/>
      <c r="BW688" s="242"/>
      <c r="BX688" s="241"/>
      <c r="BY688" s="244"/>
      <c r="BZ688" s="33"/>
      <c r="CA688" s="242"/>
      <c r="CB688" s="241"/>
      <c r="CC688" s="244"/>
      <c r="CD688" s="243"/>
      <c r="CE688" s="243"/>
      <c r="CF688" s="243"/>
      <c r="CG688" s="243"/>
      <c r="CH688" s="243"/>
      <c r="CI688" s="243"/>
      <c r="CJ688" s="243"/>
      <c r="CK688" s="243"/>
      <c r="CL688" s="243"/>
      <c r="CM688" s="243"/>
      <c r="CN688" s="243"/>
      <c r="CO688" s="243"/>
      <c r="CP688" s="243"/>
      <c r="CQ688" s="243"/>
      <c r="CR688" s="243"/>
      <c r="CS688" s="243"/>
      <c r="CT688" s="243"/>
      <c r="CU688" s="243"/>
      <c r="CV688" s="243"/>
      <c r="CW688" s="243"/>
      <c r="CX688" s="243"/>
      <c r="CY688" s="243"/>
      <c r="CZ688" s="243"/>
      <c r="DA688" s="243"/>
      <c r="DB688" s="243"/>
      <c r="DC688" s="243"/>
      <c r="DD688" s="243"/>
      <c r="DE688" s="243"/>
      <c r="DF688" s="243"/>
      <c r="DG688" s="243"/>
      <c r="DH688" s="243"/>
      <c r="DI688" s="243"/>
      <c r="DJ688" s="243"/>
      <c r="DK688" s="243"/>
      <c r="DM688" s="242"/>
      <c r="DO688" s="243"/>
      <c r="DQ688" s="242"/>
      <c r="DS688" s="243"/>
      <c r="DU688" s="242"/>
      <c r="DW688" s="243"/>
      <c r="DY688" s="242"/>
      <c r="EA688" s="243"/>
    </row>
    <row r="689" spans="1:131">
      <c r="A689" s="20"/>
      <c r="B689" s="124" t="str">
        <f t="shared" si="646"/>
        <v/>
      </c>
      <c r="C689" s="235"/>
      <c r="D689" s="24">
        <f>'1% Wind'!$M$85</f>
        <v>17.8</v>
      </c>
      <c r="E689" s="90"/>
      <c r="F689" s="90"/>
      <c r="G689" s="79">
        <f ca="1">IF(I685=0.9743,$G688,MAX(G688/D688*D689,2))</f>
        <v>6.001707317073171</v>
      </c>
      <c r="H689" s="121" t="e">
        <f t="shared" ca="1" si="647"/>
        <v>#VALUE!</v>
      </c>
      <c r="J689" s="33"/>
      <c r="K689" s="242">
        <f t="shared" si="648"/>
        <v>1</v>
      </c>
      <c r="L689" s="241" t="e">
        <f t="shared" ca="1" si="649"/>
        <v>#VALUE!</v>
      </c>
      <c r="M689" s="243" t="e">
        <f ca="1">IF(AND(INDEX(FlowCalConstA,MATCH(J685,FlowCalNumber,0),1,1)*L689^INDEX(FlowCalConstB,MATCH(J685,FlowCalNumber,0),1,1)&gt;INDEX(FlowCalLowSetting,MATCH(J685,FlowCalNumber,0),1,1), (INDEX(FlowCalConstA,MATCH(J685,FlowCalNumber,0),1,1)*L689^INDEX(FlowCalConstB,MATCH(J685,FlowCalNumber,0),1,1)&lt;INDEX(FlowCalHighSetting,MATCH(J685,FlowCalNumber,0),1,1))),INDEX(FlowCalConstA,MATCH(J685,FlowCalNumber,0),1,1)*L689^INDEX(FlowCalConstB,MATCH(J685,FlowCalNumber,0),1,1)," ")</f>
        <v>#N/A</v>
      </c>
      <c r="N689" s="33"/>
      <c r="O689" s="242">
        <f t="shared" si="650"/>
        <v>1</v>
      </c>
      <c r="P689" s="241" t="e">
        <f t="shared" ca="1" si="651"/>
        <v>#VALUE!</v>
      </c>
      <c r="Q689" s="243" t="e">
        <f ca="1">IF(AND(INDEX(FlowCalConstA,MATCH(N685,FlowCalNumber,0),1,1)*P689^INDEX(FlowCalConstB,MATCH(N685,FlowCalNumber,0),1,1)&gt;INDEX(FlowCalLowSetting,MATCH(N685,FlowCalNumber,0),1,1), (INDEX(FlowCalConstA,MATCH(N685,FlowCalNumber,0),1,1)*P689^INDEX(FlowCalConstB,MATCH(N685,FlowCalNumber,0),1,1)&lt;INDEX(FlowCalHighSetting,MATCH(N685,FlowCalNumber,0),1,1))),INDEX(FlowCalConstA,MATCH(N685,FlowCalNumber,0),1,1)*P689^INDEX(FlowCalConstB,MATCH(N685,FlowCalNumber,0),1,1)," ")</f>
        <v>#N/A</v>
      </c>
      <c r="R689" s="33"/>
      <c r="S689" s="242">
        <f t="shared" si="652"/>
        <v>1</v>
      </c>
      <c r="T689" s="241" t="e">
        <f t="shared" ca="1" si="653"/>
        <v>#VALUE!</v>
      </c>
      <c r="U689" s="244" t="e">
        <f ca="1">IF(AND(INDEX(FlowCalConstA,MATCH(R685,FlowCalNumber,0),1,1)*T689^INDEX(FlowCalConstB,MATCH(R685,FlowCalNumber,0),1,1)&gt;INDEX(FlowCalLowSetting,MATCH(R685,FlowCalNumber,0),1,1), (INDEX(FlowCalConstA,MATCH(R685,FlowCalNumber,0),1,1)*T689^INDEX(FlowCalConstB,MATCH(R685,FlowCalNumber,0),1,1)&lt;INDEX(FlowCalHighSetting,MATCH(R685,FlowCalNumber,0),1,1))),INDEX(FlowCalConstA,MATCH(R685,FlowCalNumber,0),1,1)*T689^INDEX(FlowCalConstB,MATCH(R685,FlowCalNumber,0),1,1)," ")</f>
        <v>#N/A</v>
      </c>
      <c r="V689" s="33"/>
      <c r="W689" s="242">
        <f t="shared" si="654"/>
        <v>0.1</v>
      </c>
      <c r="X689" s="241" t="e">
        <f t="shared" ca="1" si="655"/>
        <v>#VALUE!</v>
      </c>
      <c r="Y689" s="243" t="e">
        <f ca="1">IF(AND(INDEX(FlowCalConstA,MATCH(V685,FlowCalNumber,0),1,1)*X689^INDEX(FlowCalConstB,MATCH(V685,FlowCalNumber,0),1,1)&gt;INDEX(FlowCalLowSetting,MATCH(V685,FlowCalNumber,0),1,1), (INDEX(FlowCalConstA,MATCH(V685,FlowCalNumber,0),1,1)*X689^INDEX(FlowCalConstB,MATCH(V685,FlowCalNumber,0),1,1)&lt;INDEX(FlowCalHighSetting,MATCH(V685,FlowCalNumber,0),1,1))),INDEX(FlowCalConstA,MATCH(V685,FlowCalNumber,0),1,1)*X689^INDEX(FlowCalConstB,MATCH(V685,FlowCalNumber,0),1,1)," ")</f>
        <v>#N/A</v>
      </c>
      <c r="Z689" s="33"/>
      <c r="AA689" s="242">
        <f t="shared" si="656"/>
        <v>0.9</v>
      </c>
      <c r="AB689" s="241" t="e">
        <f t="shared" ca="1" si="657"/>
        <v>#VALUE!</v>
      </c>
      <c r="AC689" s="243" t="e">
        <f ca="1">IF(AND(INDEX(FlowCalConstA,MATCH(Z685,FlowCalNumber,0),1,1)*AB689^INDEX(FlowCalConstB,MATCH(Z685,FlowCalNumber,0),1,1)&gt;INDEX(FlowCalLowSetting,MATCH(Z685,FlowCalNumber,0),1,1), (INDEX(FlowCalConstA,MATCH(Z685,FlowCalNumber,0),1,1)*AB689^INDEX(FlowCalConstB,MATCH(Z685,FlowCalNumber,0),1,1)&lt;INDEX(FlowCalHighSetting,MATCH(Z685,FlowCalNumber,0),1,1))),INDEX(FlowCalConstA,MATCH(Z685,FlowCalNumber,0),1,1)*AB689^INDEX(FlowCalConstB,MATCH(Z685,FlowCalNumber,0),1,1)," ")</f>
        <v>#N/A</v>
      </c>
      <c r="AD689" s="33"/>
      <c r="AE689" s="242">
        <f t="shared" si="658"/>
        <v>0.1</v>
      </c>
      <c r="AF689" s="241" t="e">
        <f t="shared" ca="1" si="659"/>
        <v>#VALUE!</v>
      </c>
      <c r="AG689" s="243" t="e">
        <f ca="1">IF(AND(INDEX(FlowCalConstA,MATCH(AD685,FlowCalNumber,0),1,1)*AF689^INDEX(FlowCalConstB,MATCH(AD685,FlowCalNumber,0),1,1)&gt;INDEX(FlowCalLowSetting,MATCH(AD685,FlowCalNumber,0),1,1), (INDEX(FlowCalConstA,MATCH(AD685,FlowCalNumber,0),1,1)*AF689^INDEX(FlowCalConstB,MATCH(AD685,FlowCalNumber,0),1,1)&lt;INDEX(FlowCalHighSetting,MATCH(AD685,FlowCalNumber,0),1,1))),INDEX(FlowCalConstA,MATCH(AD685,FlowCalNumber,0),1,1)*AF689^INDEX(FlowCalConstB,MATCH(AD685,FlowCalNumber,0),1,1)," ")</f>
        <v>#N/A</v>
      </c>
      <c r="AH689" s="33"/>
      <c r="AI689" s="242">
        <f t="shared" si="660"/>
        <v>0.9</v>
      </c>
      <c r="AJ689" s="241" t="e">
        <f t="shared" ca="1" si="661"/>
        <v>#VALUE!</v>
      </c>
      <c r="AK689" s="243" t="e">
        <f ca="1">IF(AND(INDEX(FlowCalConstA,MATCH(AH685,FlowCalNumber,0),1,1)*AJ689^INDEX(FlowCalConstB,MATCH(AH685,FlowCalNumber,0),1,1)&gt;INDEX(FlowCalLowSetting,MATCH(AH685,FlowCalNumber,0),1,1), (INDEX(FlowCalConstA,MATCH(AH685,FlowCalNumber,0),1,1)*AJ689^INDEX(FlowCalConstB,MATCH(AH685,FlowCalNumber,0),1,1)&lt;INDEX(FlowCalHighSetting,MATCH(AH685,FlowCalNumber,0),1,1))),INDEX(FlowCalConstA,MATCH(AH685,FlowCalNumber,0),1,1)*AJ689^INDEX(FlowCalConstB,MATCH(AH685,FlowCalNumber,0),1,1)," ")</f>
        <v>#N/A</v>
      </c>
      <c r="AL689" s="33"/>
      <c r="AM689" s="242"/>
      <c r="AN689" s="241"/>
      <c r="AO689" s="244"/>
      <c r="AQ689" s="242"/>
      <c r="AR689" s="241"/>
      <c r="AS689" s="244"/>
      <c r="AT689" s="33"/>
      <c r="AU689" s="242"/>
      <c r="AV689" s="241"/>
      <c r="AW689" s="244"/>
      <c r="AX689" s="33"/>
      <c r="AY689" s="242"/>
      <c r="AZ689" s="241"/>
      <c r="BA689" s="244"/>
      <c r="BB689" s="33"/>
      <c r="BC689" s="242"/>
      <c r="BD689" s="241"/>
      <c r="BE689" s="244"/>
      <c r="BF689" s="33"/>
      <c r="BG689" s="242"/>
      <c r="BH689" s="241"/>
      <c r="BI689" s="244"/>
      <c r="BJ689" s="33"/>
      <c r="BK689" s="242"/>
      <c r="BL689" s="241"/>
      <c r="BM689" s="244"/>
      <c r="BN689" s="33"/>
      <c r="BO689" s="242"/>
      <c r="BP689" s="241"/>
      <c r="BQ689" s="244"/>
      <c r="BR689" s="33"/>
      <c r="BS689" s="242"/>
      <c r="BT689" s="241"/>
      <c r="BU689" s="244"/>
      <c r="BV689" s="33"/>
      <c r="BW689" s="242"/>
      <c r="BX689" s="241"/>
      <c r="BY689" s="244"/>
      <c r="BZ689" s="33"/>
      <c r="CA689" s="242"/>
      <c r="CB689" s="241"/>
      <c r="CC689" s="244"/>
      <c r="CD689" s="243"/>
      <c r="CE689" s="243"/>
      <c r="CF689" s="243"/>
      <c r="CG689" s="243"/>
      <c r="CH689" s="243"/>
      <c r="CI689" s="243"/>
      <c r="CJ689" s="243"/>
      <c r="CK689" s="243"/>
      <c r="CL689" s="243"/>
      <c r="CM689" s="243"/>
      <c r="CN689" s="243"/>
      <c r="CO689" s="243"/>
      <c r="CP689" s="243"/>
      <c r="CQ689" s="243"/>
      <c r="CR689" s="243"/>
      <c r="CS689" s="243"/>
      <c r="CT689" s="243"/>
      <c r="CU689" s="243"/>
      <c r="CV689" s="243"/>
      <c r="CW689" s="243"/>
      <c r="CX689" s="243"/>
      <c r="CY689" s="243"/>
      <c r="CZ689" s="243"/>
      <c r="DA689" s="243"/>
      <c r="DB689" s="243"/>
      <c r="DC689" s="243"/>
      <c r="DD689" s="243"/>
      <c r="DE689" s="243"/>
      <c r="DF689" s="243"/>
      <c r="DG689" s="243"/>
      <c r="DH689" s="243"/>
      <c r="DI689" s="243"/>
      <c r="DJ689" s="243"/>
      <c r="DK689" s="243"/>
      <c r="DM689" s="242"/>
      <c r="DO689" s="243"/>
      <c r="DQ689" s="242"/>
      <c r="DS689" s="243"/>
      <c r="DU689" s="242"/>
      <c r="DW689" s="243"/>
      <c r="DY689" s="242"/>
      <c r="EA689" s="243"/>
    </row>
    <row r="690" spans="1:131">
      <c r="A690" s="20"/>
      <c r="B690" s="124" t="str">
        <f t="shared" si="646"/>
        <v/>
      </c>
      <c r="C690" s="235"/>
      <c r="D690" s="24">
        <f>'1% Wind'!$M$86</f>
        <v>15.5</v>
      </c>
      <c r="E690" s="90"/>
      <c r="F690" s="90"/>
      <c r="G690" s="79">
        <f ca="1">IF(I685=0.9743,$G689,MAX(G689/D689*D690,2))</f>
        <v>6.001707317073171</v>
      </c>
      <c r="H690" s="121" t="e">
        <f t="shared" ca="1" si="647"/>
        <v>#VALUE!</v>
      </c>
      <c r="J690" s="33"/>
      <c r="K690" s="242">
        <f t="shared" si="648"/>
        <v>1</v>
      </c>
      <c r="L690" s="241" t="e">
        <f t="shared" ca="1" si="649"/>
        <v>#VALUE!</v>
      </c>
      <c r="M690" s="243" t="e">
        <f ca="1">IF(AND(INDEX(FlowCalConstA,MATCH(J685,FlowCalNumber,0),1,1)*L690^INDEX(FlowCalConstB,MATCH(J685,FlowCalNumber,0),1,1)&gt;INDEX(FlowCalLowSetting,MATCH(J685,FlowCalNumber,0),1,1), (INDEX(FlowCalConstA,MATCH(J685,FlowCalNumber,0),1,1)*L690^INDEX(FlowCalConstB,MATCH(J685,FlowCalNumber,0),1,1)&lt;INDEX(FlowCalHighSetting,MATCH(J685,FlowCalNumber,0),1,1))),INDEX(FlowCalConstA,MATCH(J685,FlowCalNumber,0),1,1)*L690^INDEX(FlowCalConstB,MATCH(J685,FlowCalNumber,0),1,1)," ")</f>
        <v>#N/A</v>
      </c>
      <c r="N690" s="33"/>
      <c r="O690" s="242">
        <f t="shared" si="650"/>
        <v>1</v>
      </c>
      <c r="P690" s="241" t="e">
        <f t="shared" ca="1" si="651"/>
        <v>#VALUE!</v>
      </c>
      <c r="Q690" s="243" t="e">
        <f ca="1">IF(AND(INDEX(FlowCalConstA,MATCH(N685,FlowCalNumber,0),1,1)*P690^INDEX(FlowCalConstB,MATCH(N685,FlowCalNumber,0),1,1)&gt;INDEX(FlowCalLowSetting,MATCH(N685,FlowCalNumber,0),1,1), (INDEX(FlowCalConstA,MATCH(N685,FlowCalNumber,0),1,1)*P690^INDEX(FlowCalConstB,MATCH(N685,FlowCalNumber,0),1,1)&lt;INDEX(FlowCalHighSetting,MATCH(N685,FlowCalNumber,0),1,1))),INDEX(FlowCalConstA,MATCH(N685,FlowCalNumber,0),1,1)*P690^INDEX(FlowCalConstB,MATCH(N685,FlowCalNumber,0),1,1)," ")</f>
        <v>#N/A</v>
      </c>
      <c r="R690" s="33"/>
      <c r="S690" s="242">
        <f t="shared" si="652"/>
        <v>1</v>
      </c>
      <c r="T690" s="241" t="e">
        <f t="shared" ca="1" si="653"/>
        <v>#VALUE!</v>
      </c>
      <c r="U690" s="244" t="e">
        <f ca="1">IF(AND(INDEX(FlowCalConstA,MATCH(R685,FlowCalNumber,0),1,1)*T690^INDEX(FlowCalConstB,MATCH(R685,FlowCalNumber,0),1,1)&gt;INDEX(FlowCalLowSetting,MATCH(R685,FlowCalNumber,0),1,1), (INDEX(FlowCalConstA,MATCH(R685,FlowCalNumber,0),1,1)*T690^INDEX(FlowCalConstB,MATCH(R685,FlowCalNumber,0),1,1)&lt;INDEX(FlowCalHighSetting,MATCH(R685,FlowCalNumber,0),1,1))),INDEX(FlowCalConstA,MATCH(R685,FlowCalNumber,0),1,1)*T690^INDEX(FlowCalConstB,MATCH(R685,FlowCalNumber,0),1,1)," ")</f>
        <v>#N/A</v>
      </c>
      <c r="V690" s="33"/>
      <c r="W690" s="242">
        <f t="shared" si="654"/>
        <v>0.1</v>
      </c>
      <c r="X690" s="241" t="e">
        <f t="shared" ca="1" si="655"/>
        <v>#VALUE!</v>
      </c>
      <c r="Y690" s="243" t="e">
        <f ca="1">IF(AND(INDEX(FlowCalConstA,MATCH(V685,FlowCalNumber,0),1,1)*X690^INDEX(FlowCalConstB,MATCH(V685,FlowCalNumber,0),1,1)&gt;INDEX(FlowCalLowSetting,MATCH(V685,FlowCalNumber,0),1,1), (INDEX(FlowCalConstA,MATCH(V685,FlowCalNumber,0),1,1)*X690^INDEX(FlowCalConstB,MATCH(V685,FlowCalNumber,0),1,1)&lt;INDEX(FlowCalHighSetting,MATCH(V685,FlowCalNumber,0),1,1))),INDEX(FlowCalConstA,MATCH(V685,FlowCalNumber,0),1,1)*X690^INDEX(FlowCalConstB,MATCH(V685,FlowCalNumber,0),1,1)," ")</f>
        <v>#N/A</v>
      </c>
      <c r="Z690" s="33"/>
      <c r="AA690" s="242">
        <f t="shared" si="656"/>
        <v>0.9</v>
      </c>
      <c r="AB690" s="241" t="e">
        <f t="shared" ca="1" si="657"/>
        <v>#VALUE!</v>
      </c>
      <c r="AC690" s="243" t="e">
        <f ca="1">IF(AND(INDEX(FlowCalConstA,MATCH(Z685,FlowCalNumber,0),1,1)*AB690^INDEX(FlowCalConstB,MATCH(Z685,FlowCalNumber,0),1,1)&gt;INDEX(FlowCalLowSetting,MATCH(Z685,FlowCalNumber,0),1,1), (INDEX(FlowCalConstA,MATCH(Z685,FlowCalNumber,0),1,1)*AB690^INDEX(FlowCalConstB,MATCH(Z685,FlowCalNumber,0),1,1)&lt;INDEX(FlowCalHighSetting,MATCH(Z685,FlowCalNumber,0),1,1))),INDEX(FlowCalConstA,MATCH(Z685,FlowCalNumber,0),1,1)*AB690^INDEX(FlowCalConstB,MATCH(Z685,FlowCalNumber,0),1,1)," ")</f>
        <v>#N/A</v>
      </c>
      <c r="AD690" s="33"/>
      <c r="AE690" s="242">
        <f t="shared" si="658"/>
        <v>0.1</v>
      </c>
      <c r="AF690" s="241" t="e">
        <f t="shared" ca="1" si="659"/>
        <v>#VALUE!</v>
      </c>
      <c r="AG690" s="243" t="e">
        <f ca="1">IF(AND(INDEX(FlowCalConstA,MATCH(AD685,FlowCalNumber,0),1,1)*AF690^INDEX(FlowCalConstB,MATCH(AD685,FlowCalNumber,0),1,1)&gt;INDEX(FlowCalLowSetting,MATCH(AD685,FlowCalNumber,0),1,1), (INDEX(FlowCalConstA,MATCH(AD685,FlowCalNumber,0),1,1)*AF690^INDEX(FlowCalConstB,MATCH(AD685,FlowCalNumber,0),1,1)&lt;INDEX(FlowCalHighSetting,MATCH(AD685,FlowCalNumber,0),1,1))),INDEX(FlowCalConstA,MATCH(AD685,FlowCalNumber,0),1,1)*AF690^INDEX(FlowCalConstB,MATCH(AD685,FlowCalNumber,0),1,1)," ")</f>
        <v>#N/A</v>
      </c>
      <c r="AH690" s="33"/>
      <c r="AI690" s="242">
        <f t="shared" si="660"/>
        <v>0.9</v>
      </c>
      <c r="AJ690" s="241" t="e">
        <f t="shared" ca="1" si="661"/>
        <v>#VALUE!</v>
      </c>
      <c r="AK690" s="243" t="e">
        <f ca="1">IF(AND(INDEX(FlowCalConstA,MATCH(AH685,FlowCalNumber,0),1,1)*AJ690^INDEX(FlowCalConstB,MATCH(AH685,FlowCalNumber,0),1,1)&gt;INDEX(FlowCalLowSetting,MATCH(AH685,FlowCalNumber,0),1,1), (INDEX(FlowCalConstA,MATCH(AH685,FlowCalNumber,0),1,1)*AJ690^INDEX(FlowCalConstB,MATCH(AH685,FlowCalNumber,0),1,1)&lt;INDEX(FlowCalHighSetting,MATCH(AH685,FlowCalNumber,0),1,1))),INDEX(FlowCalConstA,MATCH(AH685,FlowCalNumber,0),1,1)*AJ690^INDEX(FlowCalConstB,MATCH(AH685,FlowCalNumber,0),1,1)," ")</f>
        <v>#N/A</v>
      </c>
      <c r="AL690" s="33"/>
      <c r="AM690" s="242"/>
      <c r="AN690" s="241"/>
      <c r="AO690" s="244"/>
      <c r="AQ690" s="242"/>
      <c r="AR690" s="241"/>
      <c r="AS690" s="244"/>
      <c r="AT690" s="33"/>
      <c r="AU690" s="242"/>
      <c r="AV690" s="241"/>
      <c r="AW690" s="244"/>
      <c r="AX690" s="33"/>
      <c r="AY690" s="242"/>
      <c r="AZ690" s="241"/>
      <c r="BA690" s="244"/>
      <c r="BB690" s="33"/>
      <c r="BC690" s="242"/>
      <c r="BD690" s="241"/>
      <c r="BE690" s="244"/>
      <c r="BF690" s="33"/>
      <c r="BG690" s="242"/>
      <c r="BH690" s="241"/>
      <c r="BI690" s="244"/>
      <c r="BJ690" s="33"/>
      <c r="BK690" s="242"/>
      <c r="BL690" s="241"/>
      <c r="BM690" s="244"/>
      <c r="BN690" s="33"/>
      <c r="BO690" s="242"/>
      <c r="BP690" s="241"/>
      <c r="BQ690" s="244"/>
      <c r="BR690" s="33"/>
      <c r="BS690" s="242"/>
      <c r="BT690" s="241"/>
      <c r="BU690" s="244"/>
      <c r="BV690" s="33"/>
      <c r="BW690" s="242"/>
      <c r="BX690" s="241"/>
      <c r="BY690" s="244"/>
      <c r="BZ690" s="33"/>
      <c r="CA690" s="242"/>
      <c r="CB690" s="241"/>
      <c r="CC690" s="244"/>
      <c r="CD690" s="243"/>
      <c r="CE690" s="243"/>
      <c r="CF690" s="243"/>
      <c r="CG690" s="243"/>
      <c r="CH690" s="243"/>
      <c r="CI690" s="243"/>
      <c r="CJ690" s="243"/>
      <c r="CK690" s="243"/>
      <c r="CL690" s="243"/>
      <c r="CM690" s="243"/>
      <c r="CN690" s="243"/>
      <c r="CO690" s="243"/>
      <c r="CP690" s="243"/>
      <c r="CQ690" s="243"/>
      <c r="CR690" s="243"/>
      <c r="CS690" s="243"/>
      <c r="CT690" s="243"/>
      <c r="CU690" s="243"/>
      <c r="CV690" s="243"/>
      <c r="CW690" s="243"/>
      <c r="CX690" s="243"/>
      <c r="CY690" s="243"/>
      <c r="CZ690" s="243"/>
      <c r="DA690" s="243"/>
      <c r="DB690" s="243"/>
      <c r="DC690" s="243"/>
      <c r="DD690" s="243"/>
      <c r="DE690" s="243"/>
      <c r="DF690" s="243"/>
      <c r="DG690" s="243"/>
      <c r="DH690" s="243"/>
      <c r="DI690" s="243"/>
      <c r="DJ690" s="243"/>
      <c r="DK690" s="243"/>
      <c r="DM690" s="242"/>
      <c r="DO690" s="243"/>
      <c r="DQ690" s="242"/>
      <c r="DS690" s="243"/>
      <c r="DU690" s="242"/>
      <c r="DW690" s="243"/>
      <c r="DY690" s="242"/>
      <c r="EA690" s="243"/>
    </row>
    <row r="691" spans="1:131">
      <c r="A691" s="20"/>
      <c r="B691" s="124" t="str">
        <f t="shared" si="646"/>
        <v/>
      </c>
      <c r="C691" s="235"/>
      <c r="D691" s="24">
        <f>'1% Wind'!$M$87</f>
        <v>13.5</v>
      </c>
      <c r="E691" s="90"/>
      <c r="F691" s="90"/>
      <c r="G691" s="79">
        <f ca="1">IF(I685=0.9743,$G690,MAX(G690/D690*D691,2))</f>
        <v>6.001707317073171</v>
      </c>
      <c r="H691" s="121" t="e">
        <f t="shared" ca="1" si="647"/>
        <v>#VALUE!</v>
      </c>
      <c r="J691" s="33"/>
      <c r="K691" s="242">
        <f t="shared" si="648"/>
        <v>1</v>
      </c>
      <c r="L691" s="241" t="e">
        <f t="shared" ca="1" si="649"/>
        <v>#VALUE!</v>
      </c>
      <c r="M691" s="243" t="e">
        <f ca="1">IF(AND(INDEX(FlowCalConstA,MATCH(J685,FlowCalNumber,0),1,1)*L691^INDEX(FlowCalConstB,MATCH(J685,FlowCalNumber,0),1,1)&gt;INDEX(FlowCalLowSetting,MATCH(J685,FlowCalNumber,0),1,1), (INDEX(FlowCalConstA,MATCH(J685,FlowCalNumber,0),1,1)*L691^INDEX(FlowCalConstB,MATCH(J685,FlowCalNumber,0),1,1)&lt;INDEX(FlowCalHighSetting,MATCH(J685,FlowCalNumber,0),1,1))),INDEX(FlowCalConstA,MATCH(J685,FlowCalNumber,0),1,1)*L691^INDEX(FlowCalConstB,MATCH(J685,FlowCalNumber,0),1,1)," ")</f>
        <v>#N/A</v>
      </c>
      <c r="N691" s="33"/>
      <c r="O691" s="242">
        <f t="shared" si="650"/>
        <v>1</v>
      </c>
      <c r="P691" s="241" t="e">
        <f t="shared" ca="1" si="651"/>
        <v>#VALUE!</v>
      </c>
      <c r="Q691" s="243" t="e">
        <f ca="1">IF(AND(INDEX(FlowCalConstA,MATCH(N685,FlowCalNumber,0),1,1)*P691^INDEX(FlowCalConstB,MATCH(N685,FlowCalNumber,0),1,1)&gt;INDEX(FlowCalLowSetting,MATCH(N685,FlowCalNumber,0),1,1), (INDEX(FlowCalConstA,MATCH(N685,FlowCalNumber,0),1,1)*P691^INDEX(FlowCalConstB,MATCH(N685,FlowCalNumber,0),1,1)&lt;INDEX(FlowCalHighSetting,MATCH(N685,FlowCalNumber,0),1,1))),INDEX(FlowCalConstA,MATCH(N685,FlowCalNumber,0),1,1)*P691^INDEX(FlowCalConstB,MATCH(N685,FlowCalNumber,0),1,1)," ")</f>
        <v>#N/A</v>
      </c>
      <c r="R691" s="33"/>
      <c r="S691" s="242">
        <f t="shared" si="652"/>
        <v>1</v>
      </c>
      <c r="T691" s="241" t="e">
        <f t="shared" ca="1" si="653"/>
        <v>#VALUE!</v>
      </c>
      <c r="U691" s="244" t="e">
        <f ca="1">IF(AND(INDEX(FlowCalConstA,MATCH(R685,FlowCalNumber,0),1,1)*T691^INDEX(FlowCalConstB,MATCH(R685,FlowCalNumber,0),1,1)&gt;INDEX(FlowCalLowSetting,MATCH(R685,FlowCalNumber,0),1,1), (INDEX(FlowCalConstA,MATCH(R685,FlowCalNumber,0),1,1)*T691^INDEX(FlowCalConstB,MATCH(R685,FlowCalNumber,0),1,1)&lt;INDEX(FlowCalHighSetting,MATCH(R685,FlowCalNumber,0),1,1))),INDEX(FlowCalConstA,MATCH(R685,FlowCalNumber,0),1,1)*T691^INDEX(FlowCalConstB,MATCH(R685,FlowCalNumber,0),1,1)," ")</f>
        <v>#N/A</v>
      </c>
      <c r="V691" s="33"/>
      <c r="W691" s="242">
        <f t="shared" si="654"/>
        <v>0.1</v>
      </c>
      <c r="X691" s="241" t="e">
        <f t="shared" ca="1" si="655"/>
        <v>#VALUE!</v>
      </c>
      <c r="Y691" s="243" t="e">
        <f ca="1">IF(AND(INDEX(FlowCalConstA,MATCH(V685,FlowCalNumber,0),1,1)*X691^INDEX(FlowCalConstB,MATCH(V685,FlowCalNumber,0),1,1)&gt;INDEX(FlowCalLowSetting,MATCH(V685,FlowCalNumber,0),1,1), (INDEX(FlowCalConstA,MATCH(V685,FlowCalNumber,0),1,1)*X691^INDEX(FlowCalConstB,MATCH(V685,FlowCalNumber,0),1,1)&lt;INDEX(FlowCalHighSetting,MATCH(V685,FlowCalNumber,0),1,1))),INDEX(FlowCalConstA,MATCH(V685,FlowCalNumber,0),1,1)*X691^INDEX(FlowCalConstB,MATCH(V685,FlowCalNumber,0),1,1)," ")</f>
        <v>#N/A</v>
      </c>
      <c r="Z691" s="33"/>
      <c r="AA691" s="242">
        <f t="shared" si="656"/>
        <v>0.9</v>
      </c>
      <c r="AB691" s="241" t="e">
        <f t="shared" ca="1" si="657"/>
        <v>#VALUE!</v>
      </c>
      <c r="AC691" s="243" t="e">
        <f ca="1">IF(AND(INDEX(FlowCalConstA,MATCH(Z685,FlowCalNumber,0),1,1)*AB691^INDEX(FlowCalConstB,MATCH(Z685,FlowCalNumber,0),1,1)&gt;INDEX(FlowCalLowSetting,MATCH(Z685,FlowCalNumber,0),1,1), (INDEX(FlowCalConstA,MATCH(Z685,FlowCalNumber,0),1,1)*AB691^INDEX(FlowCalConstB,MATCH(Z685,FlowCalNumber,0),1,1)&lt;INDEX(FlowCalHighSetting,MATCH(Z685,FlowCalNumber,0),1,1))),INDEX(FlowCalConstA,MATCH(Z685,FlowCalNumber,0),1,1)*AB691^INDEX(FlowCalConstB,MATCH(Z685,FlowCalNumber,0),1,1)," ")</f>
        <v>#N/A</v>
      </c>
      <c r="AD691" s="33"/>
      <c r="AE691" s="242">
        <f t="shared" si="658"/>
        <v>0.1</v>
      </c>
      <c r="AF691" s="241" t="e">
        <f t="shared" ca="1" si="659"/>
        <v>#VALUE!</v>
      </c>
      <c r="AG691" s="243" t="e">
        <f ca="1">IF(AND(INDEX(FlowCalConstA,MATCH(AD685,FlowCalNumber,0),1,1)*AF691^INDEX(FlowCalConstB,MATCH(AD685,FlowCalNumber,0),1,1)&gt;INDEX(FlowCalLowSetting,MATCH(AD685,FlowCalNumber,0),1,1), (INDEX(FlowCalConstA,MATCH(AD685,FlowCalNumber,0),1,1)*AF691^INDEX(FlowCalConstB,MATCH(AD685,FlowCalNumber,0),1,1)&lt;INDEX(FlowCalHighSetting,MATCH(AD685,FlowCalNumber,0),1,1))),INDEX(FlowCalConstA,MATCH(AD685,FlowCalNumber,0),1,1)*AF691^INDEX(FlowCalConstB,MATCH(AD685,FlowCalNumber,0),1,1)," ")</f>
        <v>#N/A</v>
      </c>
      <c r="AH691" s="33"/>
      <c r="AI691" s="242">
        <f t="shared" si="660"/>
        <v>0.9</v>
      </c>
      <c r="AJ691" s="241" t="e">
        <f t="shared" ca="1" si="661"/>
        <v>#VALUE!</v>
      </c>
      <c r="AK691" s="243" t="e">
        <f ca="1">IF(AND(INDEX(FlowCalConstA,MATCH(AH685,FlowCalNumber,0),1,1)*AJ691^INDEX(FlowCalConstB,MATCH(AH685,FlowCalNumber,0),1,1)&gt;INDEX(FlowCalLowSetting,MATCH(AH685,FlowCalNumber,0),1,1), (INDEX(FlowCalConstA,MATCH(AH685,FlowCalNumber,0),1,1)*AJ691^INDEX(FlowCalConstB,MATCH(AH685,FlowCalNumber,0),1,1)&lt;INDEX(FlowCalHighSetting,MATCH(AH685,FlowCalNumber,0),1,1))),INDEX(FlowCalConstA,MATCH(AH685,FlowCalNumber,0),1,1)*AJ691^INDEX(FlowCalConstB,MATCH(AH685,FlowCalNumber,0),1,1)," ")</f>
        <v>#N/A</v>
      </c>
      <c r="AL691" s="33"/>
      <c r="AM691" s="242"/>
      <c r="AN691" s="241"/>
      <c r="AO691" s="244"/>
      <c r="AQ691" s="242"/>
      <c r="AR691" s="241"/>
      <c r="AS691" s="244"/>
      <c r="AT691" s="33"/>
      <c r="AU691" s="242"/>
      <c r="AV691" s="241"/>
      <c r="AW691" s="244"/>
      <c r="AX691" s="33"/>
      <c r="AY691" s="242"/>
      <c r="AZ691" s="241"/>
      <c r="BA691" s="244"/>
      <c r="BB691" s="33"/>
      <c r="BC691" s="242"/>
      <c r="BD691" s="241"/>
      <c r="BE691" s="244"/>
      <c r="BF691" s="33"/>
      <c r="BG691" s="242"/>
      <c r="BH691" s="241"/>
      <c r="BI691" s="244"/>
      <c r="BJ691" s="33"/>
      <c r="BK691" s="242"/>
      <c r="BL691" s="241"/>
      <c r="BM691" s="244"/>
      <c r="BN691" s="33"/>
      <c r="BO691" s="242"/>
      <c r="BP691" s="241"/>
      <c r="BQ691" s="244"/>
      <c r="BR691" s="33"/>
      <c r="BS691" s="242"/>
      <c r="BT691" s="241"/>
      <c r="BU691" s="244"/>
      <c r="BV691" s="33"/>
      <c r="BW691" s="242"/>
      <c r="BX691" s="241"/>
      <c r="BY691" s="244"/>
      <c r="BZ691" s="33"/>
      <c r="CA691" s="242"/>
      <c r="CB691" s="241"/>
      <c r="CC691" s="244"/>
      <c r="CD691" s="243"/>
      <c r="CE691" s="243"/>
      <c r="CF691" s="243"/>
      <c r="CG691" s="243"/>
      <c r="CH691" s="243"/>
      <c r="CI691" s="243"/>
      <c r="CJ691" s="243"/>
      <c r="CK691" s="243"/>
      <c r="CL691" s="243"/>
      <c r="CM691" s="243"/>
      <c r="CN691" s="243"/>
      <c r="CO691" s="243"/>
      <c r="CP691" s="243"/>
      <c r="CQ691" s="243"/>
      <c r="CR691" s="243"/>
      <c r="CS691" s="243"/>
      <c r="CT691" s="243"/>
      <c r="CU691" s="243"/>
      <c r="CV691" s="243"/>
      <c r="CW691" s="243"/>
      <c r="CX691" s="243"/>
      <c r="CY691" s="243"/>
      <c r="CZ691" s="243"/>
      <c r="DA691" s="243"/>
      <c r="DB691" s="243"/>
      <c r="DC691" s="243"/>
      <c r="DD691" s="243"/>
      <c r="DE691" s="243"/>
      <c r="DF691" s="243"/>
      <c r="DG691" s="243"/>
      <c r="DH691" s="243"/>
      <c r="DI691" s="243"/>
      <c r="DJ691" s="243"/>
      <c r="DK691" s="243"/>
      <c r="DM691" s="242"/>
      <c r="DO691" s="243"/>
      <c r="DQ691" s="242"/>
      <c r="DS691" s="243"/>
      <c r="DU691" s="242"/>
      <c r="DW691" s="243"/>
      <c r="DY691" s="242"/>
      <c r="EA691" s="243"/>
    </row>
    <row r="692" spans="1:131">
      <c r="A692" s="20"/>
      <c r="B692" s="124" t="str">
        <f t="shared" si="646"/>
        <v/>
      </c>
      <c r="C692" s="235"/>
      <c r="D692" s="24">
        <f>'1% Wind'!$M$88</f>
        <v>10.1</v>
      </c>
      <c r="E692" s="90"/>
      <c r="F692" s="90"/>
      <c r="G692" s="79">
        <f ca="1">IF(I685=0.9743,$G691,MAX(G691/D691*D692,2))</f>
        <v>6.001707317073171</v>
      </c>
      <c r="H692" s="121" t="e">
        <f t="shared" ca="1" si="647"/>
        <v>#VALUE!</v>
      </c>
      <c r="J692" s="33"/>
      <c r="K692" s="242">
        <f t="shared" si="648"/>
        <v>1</v>
      </c>
      <c r="L692" s="241" t="e">
        <f t="shared" ca="1" si="649"/>
        <v>#VALUE!</v>
      </c>
      <c r="M692" s="243" t="e">
        <f ca="1">IF(AND(INDEX(FlowCalConstA,MATCH(J685,FlowCalNumber,0),1,1)*L692^INDEX(FlowCalConstB,MATCH(J685,FlowCalNumber,0),1,1)&gt;INDEX(FlowCalLowSetting,MATCH(J685,FlowCalNumber,0),1,1), (INDEX(FlowCalConstA,MATCH(J685,FlowCalNumber,0),1,1)*L692^INDEX(FlowCalConstB,MATCH(J685,FlowCalNumber,0),1,1)&lt;INDEX(FlowCalHighSetting,MATCH(J685,FlowCalNumber,0),1,1))),INDEX(FlowCalConstA,MATCH(J685,FlowCalNumber,0),1,1)*L692^INDEX(FlowCalConstB,MATCH(J685,FlowCalNumber,0),1,1)," ")</f>
        <v>#N/A</v>
      </c>
      <c r="N692" s="33"/>
      <c r="O692" s="242">
        <f t="shared" si="650"/>
        <v>1</v>
      </c>
      <c r="P692" s="241" t="e">
        <f t="shared" ca="1" si="651"/>
        <v>#VALUE!</v>
      </c>
      <c r="Q692" s="243" t="e">
        <f ca="1">IF(AND(INDEX(FlowCalConstA,MATCH(N685,FlowCalNumber,0),1,1)*P692^INDEX(FlowCalConstB,MATCH(N685,FlowCalNumber,0),1,1)&gt;INDEX(FlowCalLowSetting,MATCH(N685,FlowCalNumber,0),1,1), (INDEX(FlowCalConstA,MATCH(N685,FlowCalNumber,0),1,1)*P692^INDEX(FlowCalConstB,MATCH(N685,FlowCalNumber,0),1,1)&lt;INDEX(FlowCalHighSetting,MATCH(N685,FlowCalNumber,0),1,1))),INDEX(FlowCalConstA,MATCH(N685,FlowCalNumber,0),1,1)*P692^INDEX(FlowCalConstB,MATCH(N685,FlowCalNumber,0),1,1)," ")</f>
        <v>#N/A</v>
      </c>
      <c r="R692" s="33"/>
      <c r="S692" s="242">
        <f t="shared" si="652"/>
        <v>1</v>
      </c>
      <c r="T692" s="241" t="e">
        <f t="shared" ca="1" si="653"/>
        <v>#VALUE!</v>
      </c>
      <c r="U692" s="244" t="e">
        <f ca="1">IF(AND(INDEX(FlowCalConstA,MATCH(R685,FlowCalNumber,0),1,1)*T692^INDEX(FlowCalConstB,MATCH(R685,FlowCalNumber,0),1,1)&gt;INDEX(FlowCalLowSetting,MATCH(R685,FlowCalNumber,0),1,1), (INDEX(FlowCalConstA,MATCH(R685,FlowCalNumber,0),1,1)*T692^INDEX(FlowCalConstB,MATCH(R685,FlowCalNumber,0),1,1)&lt;INDEX(FlowCalHighSetting,MATCH(R685,FlowCalNumber,0),1,1))),INDEX(FlowCalConstA,MATCH(R685,FlowCalNumber,0),1,1)*T692^INDEX(FlowCalConstB,MATCH(R685,FlowCalNumber,0),1,1)," ")</f>
        <v>#N/A</v>
      </c>
      <c r="V692" s="33"/>
      <c r="W692" s="242">
        <f t="shared" si="654"/>
        <v>0.1</v>
      </c>
      <c r="X692" s="241" t="e">
        <f t="shared" ca="1" si="655"/>
        <v>#VALUE!</v>
      </c>
      <c r="Y692" s="243" t="e">
        <f ca="1">IF(AND(INDEX(FlowCalConstA,MATCH(V685,FlowCalNumber,0),1,1)*X692^INDEX(FlowCalConstB,MATCH(V685,FlowCalNumber,0),1,1)&gt;INDEX(FlowCalLowSetting,MATCH(V685,FlowCalNumber,0),1,1), (INDEX(FlowCalConstA,MATCH(V685,FlowCalNumber,0),1,1)*X692^INDEX(FlowCalConstB,MATCH(V685,FlowCalNumber,0),1,1)&lt;INDEX(FlowCalHighSetting,MATCH(V685,FlowCalNumber,0),1,1))),INDEX(FlowCalConstA,MATCH(V685,FlowCalNumber,0),1,1)*X692^INDEX(FlowCalConstB,MATCH(V685,FlowCalNumber,0),1,1)," ")</f>
        <v>#N/A</v>
      </c>
      <c r="Z692" s="33"/>
      <c r="AA692" s="242">
        <f t="shared" si="656"/>
        <v>0.9</v>
      </c>
      <c r="AB692" s="241" t="e">
        <f t="shared" ca="1" si="657"/>
        <v>#VALUE!</v>
      </c>
      <c r="AC692" s="243" t="e">
        <f ca="1">IF(AND(INDEX(FlowCalConstA,MATCH(Z685,FlowCalNumber,0),1,1)*AB692^INDEX(FlowCalConstB,MATCH(Z685,FlowCalNumber,0),1,1)&gt;INDEX(FlowCalLowSetting,MATCH(Z685,FlowCalNumber,0),1,1), (INDEX(FlowCalConstA,MATCH(Z685,FlowCalNumber,0),1,1)*AB692^INDEX(FlowCalConstB,MATCH(Z685,FlowCalNumber,0),1,1)&lt;INDEX(FlowCalHighSetting,MATCH(Z685,FlowCalNumber,0),1,1))),INDEX(FlowCalConstA,MATCH(Z685,FlowCalNumber,0),1,1)*AB692^INDEX(FlowCalConstB,MATCH(Z685,FlowCalNumber,0),1,1)," ")</f>
        <v>#N/A</v>
      </c>
      <c r="AD692" s="33"/>
      <c r="AE692" s="242">
        <f t="shared" si="658"/>
        <v>0.1</v>
      </c>
      <c r="AF692" s="241" t="e">
        <f t="shared" ca="1" si="659"/>
        <v>#VALUE!</v>
      </c>
      <c r="AG692" s="243" t="e">
        <f ca="1">IF(AND(INDEX(FlowCalConstA,MATCH(AD685,FlowCalNumber,0),1,1)*AF692^INDEX(FlowCalConstB,MATCH(AD685,FlowCalNumber,0),1,1)&gt;INDEX(FlowCalLowSetting,MATCH(AD685,FlowCalNumber,0),1,1), (INDEX(FlowCalConstA,MATCH(AD685,FlowCalNumber,0),1,1)*AF692^INDEX(FlowCalConstB,MATCH(AD685,FlowCalNumber,0),1,1)&lt;INDEX(FlowCalHighSetting,MATCH(AD685,FlowCalNumber,0),1,1))),INDEX(FlowCalConstA,MATCH(AD685,FlowCalNumber,0),1,1)*AF692^INDEX(FlowCalConstB,MATCH(AD685,FlowCalNumber,0),1,1)," ")</f>
        <v>#N/A</v>
      </c>
      <c r="AH692" s="33"/>
      <c r="AI692" s="242">
        <f t="shared" si="660"/>
        <v>0.9</v>
      </c>
      <c r="AJ692" s="241" t="e">
        <f t="shared" ca="1" si="661"/>
        <v>#VALUE!</v>
      </c>
      <c r="AK692" s="243" t="e">
        <f ca="1">IF(AND(INDEX(FlowCalConstA,MATCH(AH685,FlowCalNumber,0),1,1)*AJ692^INDEX(FlowCalConstB,MATCH(AH685,FlowCalNumber,0),1,1)&gt;INDEX(FlowCalLowSetting,MATCH(AH685,FlowCalNumber,0),1,1), (INDEX(FlowCalConstA,MATCH(AH685,FlowCalNumber,0),1,1)*AJ692^INDEX(FlowCalConstB,MATCH(AH685,FlowCalNumber,0),1,1)&lt;INDEX(FlowCalHighSetting,MATCH(AH685,FlowCalNumber,0),1,1))),INDEX(FlowCalConstA,MATCH(AH685,FlowCalNumber,0),1,1)*AJ692^INDEX(FlowCalConstB,MATCH(AH685,FlowCalNumber,0),1,1)," ")</f>
        <v>#N/A</v>
      </c>
      <c r="AL692" s="33"/>
      <c r="AM692" s="242"/>
      <c r="AN692" s="241"/>
      <c r="AO692" s="244"/>
      <c r="AQ692" s="242"/>
      <c r="AR692" s="241"/>
      <c r="AS692" s="244"/>
      <c r="AT692" s="33"/>
      <c r="AU692" s="242"/>
      <c r="AV692" s="241"/>
      <c r="AW692" s="244"/>
      <c r="AX692" s="33"/>
      <c r="AY692" s="242"/>
      <c r="AZ692" s="241"/>
      <c r="BA692" s="244"/>
      <c r="BB692" s="33"/>
      <c r="BC692" s="242"/>
      <c r="BD692" s="241"/>
      <c r="BE692" s="244"/>
      <c r="BF692" s="33"/>
      <c r="BG692" s="242"/>
      <c r="BH692" s="241"/>
      <c r="BI692" s="244"/>
      <c r="BJ692" s="33"/>
      <c r="BK692" s="242"/>
      <c r="BL692" s="241"/>
      <c r="BM692" s="244"/>
      <c r="BN692" s="33"/>
      <c r="BO692" s="242"/>
      <c r="BP692" s="241"/>
      <c r="BQ692" s="244"/>
      <c r="BR692" s="33"/>
      <c r="BS692" s="242"/>
      <c r="BT692" s="241"/>
      <c r="BU692" s="244"/>
      <c r="BV692" s="33"/>
      <c r="BW692" s="242"/>
      <c r="BX692" s="241"/>
      <c r="BY692" s="244"/>
      <c r="BZ692" s="33"/>
      <c r="CA692" s="242"/>
      <c r="CB692" s="241"/>
      <c r="CC692" s="244"/>
      <c r="CD692" s="243"/>
      <c r="CE692" s="243"/>
      <c r="CF692" s="243"/>
      <c r="CG692" s="243"/>
      <c r="CH692" s="243"/>
      <c r="CI692" s="243"/>
      <c r="CJ692" s="243"/>
      <c r="CK692" s="243"/>
      <c r="CL692" s="243"/>
      <c r="CM692" s="243"/>
      <c r="CN692" s="243"/>
      <c r="CO692" s="243"/>
      <c r="CP692" s="243"/>
      <c r="CQ692" s="243"/>
      <c r="CR692" s="243"/>
      <c r="CS692" s="243"/>
      <c r="CT692" s="243"/>
      <c r="CU692" s="243"/>
      <c r="CV692" s="243"/>
      <c r="CW692" s="243"/>
      <c r="CX692" s="243"/>
      <c r="CY692" s="243"/>
      <c r="CZ692" s="243"/>
      <c r="DA692" s="243"/>
      <c r="DB692" s="243"/>
      <c r="DC692" s="243"/>
      <c r="DD692" s="243"/>
      <c r="DE692" s="243"/>
      <c r="DF692" s="243"/>
      <c r="DG692" s="243"/>
      <c r="DH692" s="243"/>
      <c r="DI692" s="243"/>
      <c r="DJ692" s="243"/>
      <c r="DK692" s="243"/>
      <c r="DM692" s="242"/>
      <c r="DO692" s="243"/>
      <c r="DQ692" s="242"/>
      <c r="DS692" s="243"/>
      <c r="DU692" s="242"/>
      <c r="DW692" s="243"/>
      <c r="DY692" s="242"/>
      <c r="EA692" s="243"/>
    </row>
    <row r="693" spans="1:131">
      <c r="A693" s="20"/>
      <c r="B693" s="124" t="str">
        <f t="shared" si="646"/>
        <v/>
      </c>
      <c r="C693" s="235"/>
      <c r="D693" s="24">
        <f>'1% Wind'!$M$89</f>
        <v>7.6</v>
      </c>
      <c r="E693" s="90"/>
      <c r="F693" s="90"/>
      <c r="G693" s="79">
        <f ca="1">IF(I685=0.9743,$G692,MAX(G692/D692*D693,2))</f>
        <v>6.001707317073171</v>
      </c>
      <c r="H693" s="121" t="e">
        <f t="shared" ca="1" si="647"/>
        <v>#VALUE!</v>
      </c>
      <c r="J693" s="33"/>
      <c r="K693" s="242">
        <f t="shared" si="648"/>
        <v>1</v>
      </c>
      <c r="L693" s="241" t="e">
        <f t="shared" ca="1" si="649"/>
        <v>#VALUE!</v>
      </c>
      <c r="M693" s="243" t="e">
        <f ca="1">IF(AND(INDEX(FlowCalConstA,MATCH(J685,FlowCalNumber,0),1,1)*L693^INDEX(FlowCalConstB,MATCH(J685,FlowCalNumber,0),1,1)&gt;INDEX(FlowCalLowSetting,MATCH(J685,FlowCalNumber,0),1,1), (INDEX(FlowCalConstA,MATCH(J685,FlowCalNumber,0),1,1)*L693^INDEX(FlowCalConstB,MATCH(J685,FlowCalNumber,0),1,1)&lt;INDEX(FlowCalHighSetting,MATCH(J685,FlowCalNumber,0),1,1))),INDEX(FlowCalConstA,MATCH(J685,FlowCalNumber,0),1,1)*L693^INDEX(FlowCalConstB,MATCH(J685,FlowCalNumber,0),1,1)," ")</f>
        <v>#N/A</v>
      </c>
      <c r="N693" s="33"/>
      <c r="O693" s="242">
        <f t="shared" si="650"/>
        <v>1</v>
      </c>
      <c r="P693" s="241" t="e">
        <f t="shared" ca="1" si="651"/>
        <v>#VALUE!</v>
      </c>
      <c r="Q693" s="243" t="e">
        <f ca="1">IF(AND(INDEX(FlowCalConstA,MATCH(N685,FlowCalNumber,0),1,1)*P693^INDEX(FlowCalConstB,MATCH(N685,FlowCalNumber,0),1,1)&gt;INDEX(FlowCalLowSetting,MATCH(N685,FlowCalNumber,0),1,1), (INDEX(FlowCalConstA,MATCH(N685,FlowCalNumber,0),1,1)*P693^INDEX(FlowCalConstB,MATCH(N685,FlowCalNumber,0),1,1)&lt;INDEX(FlowCalHighSetting,MATCH(N685,FlowCalNumber,0),1,1))),INDEX(FlowCalConstA,MATCH(N685,FlowCalNumber,0),1,1)*P693^INDEX(FlowCalConstB,MATCH(N685,FlowCalNumber,0),1,1)," ")</f>
        <v>#N/A</v>
      </c>
      <c r="R693" s="33"/>
      <c r="S693" s="242">
        <f t="shared" si="652"/>
        <v>1</v>
      </c>
      <c r="T693" s="241" t="e">
        <f t="shared" ca="1" si="653"/>
        <v>#VALUE!</v>
      </c>
      <c r="U693" s="244" t="e">
        <f ca="1">IF(AND(INDEX(FlowCalConstA,MATCH(R685,FlowCalNumber,0),1,1)*T693^INDEX(FlowCalConstB,MATCH(R685,FlowCalNumber,0),1,1)&gt;INDEX(FlowCalLowSetting,MATCH(R685,FlowCalNumber,0),1,1), (INDEX(FlowCalConstA,MATCH(R685,FlowCalNumber,0),1,1)*T693^INDEX(FlowCalConstB,MATCH(R685,FlowCalNumber,0),1,1)&lt;INDEX(FlowCalHighSetting,MATCH(R685,FlowCalNumber,0),1,1))),INDEX(FlowCalConstA,MATCH(R685,FlowCalNumber,0),1,1)*T693^INDEX(FlowCalConstB,MATCH(R685,FlowCalNumber,0),1,1)," ")</f>
        <v>#N/A</v>
      </c>
      <c r="V693" s="33"/>
      <c r="W693" s="242">
        <f t="shared" si="654"/>
        <v>0.1</v>
      </c>
      <c r="X693" s="241" t="e">
        <f t="shared" ca="1" si="655"/>
        <v>#VALUE!</v>
      </c>
      <c r="Y693" s="243" t="e">
        <f ca="1">IF(AND(INDEX(FlowCalConstA,MATCH(V685,FlowCalNumber,0),1,1)*X693^INDEX(FlowCalConstB,MATCH(V685,FlowCalNumber,0),1,1)&gt;INDEX(FlowCalLowSetting,MATCH(V685,FlowCalNumber,0),1,1), (INDEX(FlowCalConstA,MATCH(V685,FlowCalNumber,0),1,1)*X693^INDEX(FlowCalConstB,MATCH(V685,FlowCalNumber,0),1,1)&lt;INDEX(FlowCalHighSetting,MATCH(V685,FlowCalNumber,0),1,1))),INDEX(FlowCalConstA,MATCH(V685,FlowCalNumber,0),1,1)*X693^INDEX(FlowCalConstB,MATCH(V685,FlowCalNumber,0),1,1)," ")</f>
        <v>#N/A</v>
      </c>
      <c r="Z693" s="33"/>
      <c r="AA693" s="242">
        <f t="shared" si="656"/>
        <v>0.9</v>
      </c>
      <c r="AB693" s="241" t="e">
        <f t="shared" ca="1" si="657"/>
        <v>#VALUE!</v>
      </c>
      <c r="AC693" s="243" t="e">
        <f ca="1">IF(AND(INDEX(FlowCalConstA,MATCH(Z685,FlowCalNumber,0),1,1)*AB693^INDEX(FlowCalConstB,MATCH(Z685,FlowCalNumber,0),1,1)&gt;INDEX(FlowCalLowSetting,MATCH(Z685,FlowCalNumber,0),1,1), (INDEX(FlowCalConstA,MATCH(Z685,FlowCalNumber,0),1,1)*AB693^INDEX(FlowCalConstB,MATCH(Z685,FlowCalNumber,0),1,1)&lt;INDEX(FlowCalHighSetting,MATCH(Z685,FlowCalNumber,0),1,1))),INDEX(FlowCalConstA,MATCH(Z685,FlowCalNumber,0),1,1)*AB693^INDEX(FlowCalConstB,MATCH(Z685,FlowCalNumber,0),1,1)," ")</f>
        <v>#N/A</v>
      </c>
      <c r="AD693" s="33"/>
      <c r="AE693" s="242">
        <f t="shared" si="658"/>
        <v>0.1</v>
      </c>
      <c r="AF693" s="241" t="e">
        <f t="shared" ca="1" si="659"/>
        <v>#VALUE!</v>
      </c>
      <c r="AG693" s="243" t="e">
        <f ca="1">IF(AND(INDEX(FlowCalConstA,MATCH(AD685,FlowCalNumber,0),1,1)*AF693^INDEX(FlowCalConstB,MATCH(AD685,FlowCalNumber,0),1,1)&gt;INDEX(FlowCalLowSetting,MATCH(AD685,FlowCalNumber,0),1,1), (INDEX(FlowCalConstA,MATCH(AD685,FlowCalNumber,0),1,1)*AF693^INDEX(FlowCalConstB,MATCH(AD685,FlowCalNumber,0),1,1)&lt;INDEX(FlowCalHighSetting,MATCH(AD685,FlowCalNumber,0),1,1))),INDEX(FlowCalConstA,MATCH(AD685,FlowCalNumber,0),1,1)*AF693^INDEX(FlowCalConstB,MATCH(AD685,FlowCalNumber,0),1,1)," ")</f>
        <v>#N/A</v>
      </c>
      <c r="AH693" s="33"/>
      <c r="AI693" s="242">
        <f t="shared" si="660"/>
        <v>0.9</v>
      </c>
      <c r="AJ693" s="241" t="e">
        <f t="shared" ca="1" si="661"/>
        <v>#VALUE!</v>
      </c>
      <c r="AK693" s="243" t="e">
        <f ca="1">IF(AND(INDEX(FlowCalConstA,MATCH(AH685,FlowCalNumber,0),1,1)*AJ693^INDEX(FlowCalConstB,MATCH(AH685,FlowCalNumber,0),1,1)&gt;INDEX(FlowCalLowSetting,MATCH(AH685,FlowCalNumber,0),1,1), (INDEX(FlowCalConstA,MATCH(AH685,FlowCalNumber,0),1,1)*AJ693^INDEX(FlowCalConstB,MATCH(AH685,FlowCalNumber,0),1,1)&lt;INDEX(FlowCalHighSetting,MATCH(AH685,FlowCalNumber,0),1,1))),INDEX(FlowCalConstA,MATCH(AH685,FlowCalNumber,0),1,1)*AJ693^INDEX(FlowCalConstB,MATCH(AH685,FlowCalNumber,0),1,1)," ")</f>
        <v>#N/A</v>
      </c>
      <c r="AL693" s="33"/>
      <c r="AM693" s="242"/>
      <c r="AN693" s="241"/>
      <c r="AO693" s="244"/>
      <c r="AQ693" s="242"/>
      <c r="AR693" s="241"/>
      <c r="AS693" s="244"/>
      <c r="AT693" s="33"/>
      <c r="AU693" s="242"/>
      <c r="AV693" s="241"/>
      <c r="AW693" s="244"/>
      <c r="AX693" s="33"/>
      <c r="AY693" s="242"/>
      <c r="AZ693" s="241"/>
      <c r="BA693" s="244"/>
      <c r="BB693" s="33"/>
      <c r="BC693" s="242"/>
      <c r="BD693" s="241"/>
      <c r="BE693" s="244"/>
      <c r="BF693" s="33"/>
      <c r="BG693" s="242"/>
      <c r="BH693" s="241"/>
      <c r="BI693" s="244"/>
      <c r="BJ693" s="33"/>
      <c r="BK693" s="242"/>
      <c r="BL693" s="241"/>
      <c r="BM693" s="244"/>
      <c r="BN693" s="33"/>
      <c r="BO693" s="242"/>
      <c r="BP693" s="241"/>
      <c r="BQ693" s="244"/>
      <c r="BR693" s="33"/>
      <c r="BS693" s="242"/>
      <c r="BT693" s="241"/>
      <c r="BU693" s="244"/>
      <c r="BV693" s="33"/>
      <c r="BW693" s="242"/>
      <c r="BX693" s="241"/>
      <c r="BY693" s="244"/>
      <c r="BZ693" s="33"/>
      <c r="CA693" s="242"/>
      <c r="CB693" s="241"/>
      <c r="CC693" s="244"/>
      <c r="CD693" s="243"/>
      <c r="CE693" s="243"/>
      <c r="CF693" s="243"/>
      <c r="CG693" s="243"/>
      <c r="CH693" s="243"/>
      <c r="CI693" s="243"/>
      <c r="CJ693" s="243"/>
      <c r="CK693" s="243"/>
      <c r="CL693" s="243"/>
      <c r="CM693" s="243"/>
      <c r="CN693" s="243"/>
      <c r="CO693" s="243"/>
      <c r="CP693" s="243"/>
      <c r="CQ693" s="243"/>
      <c r="CR693" s="243"/>
      <c r="CS693" s="243"/>
      <c r="CT693" s="243"/>
      <c r="CU693" s="243"/>
      <c r="CV693" s="243"/>
      <c r="CW693" s="243"/>
      <c r="CX693" s="243"/>
      <c r="CY693" s="243"/>
      <c r="CZ693" s="243"/>
      <c r="DA693" s="243"/>
      <c r="DB693" s="243"/>
      <c r="DC693" s="243"/>
      <c r="DD693" s="243"/>
      <c r="DE693" s="243"/>
      <c r="DF693" s="243"/>
      <c r="DG693" s="243"/>
      <c r="DH693" s="243"/>
      <c r="DI693" s="243"/>
      <c r="DJ693" s="243"/>
      <c r="DK693" s="243"/>
      <c r="DM693" s="242"/>
      <c r="DO693" s="243"/>
      <c r="DQ693" s="242"/>
      <c r="DS693" s="243"/>
      <c r="DU693" s="242"/>
      <c r="DW693" s="243"/>
      <c r="DY693" s="242"/>
      <c r="EA693" s="243"/>
    </row>
    <row r="694" spans="1:131">
      <c r="A694" s="20"/>
      <c r="B694" s="124" t="str">
        <f t="shared" si="646"/>
        <v/>
      </c>
      <c r="C694" s="235"/>
      <c r="D694" s="24">
        <f>'1% Wind'!$M$90</f>
        <v>5.7</v>
      </c>
      <c r="E694" s="90"/>
      <c r="F694" s="90"/>
      <c r="G694" s="79">
        <f ca="1">IF(I685=0.9743,$G693,MAX(G693/D693*D694,2))</f>
        <v>6.001707317073171</v>
      </c>
      <c r="H694" s="121" t="e">
        <f t="shared" ca="1" si="647"/>
        <v>#VALUE!</v>
      </c>
      <c r="J694" s="33"/>
      <c r="K694" s="242">
        <f t="shared" si="648"/>
        <v>1</v>
      </c>
      <c r="L694" s="241" t="e">
        <f t="shared" ca="1" si="649"/>
        <v>#VALUE!</v>
      </c>
      <c r="M694" s="243" t="e">
        <f ca="1">IF(AND(INDEX(FlowCalConstA,MATCH(J685,FlowCalNumber,0),1,1)*L694^INDEX(FlowCalConstB,MATCH(J685,FlowCalNumber,0),1,1)&gt;INDEX(FlowCalLowSetting,MATCH(J685,FlowCalNumber,0),1,1), (INDEX(FlowCalConstA,MATCH(J685,FlowCalNumber,0),1,1)*L694^INDEX(FlowCalConstB,MATCH(J685,FlowCalNumber,0),1,1)&lt;INDEX(FlowCalHighSetting,MATCH(J685,FlowCalNumber,0),1,1))),INDEX(FlowCalConstA,MATCH(J685,FlowCalNumber,0),1,1)*L694^INDEX(FlowCalConstB,MATCH(J685,FlowCalNumber,0),1,1)," ")</f>
        <v>#N/A</v>
      </c>
      <c r="N694" s="33"/>
      <c r="O694" s="242">
        <f t="shared" si="650"/>
        <v>1</v>
      </c>
      <c r="P694" s="241" t="e">
        <f t="shared" ca="1" si="651"/>
        <v>#VALUE!</v>
      </c>
      <c r="Q694" s="243" t="e">
        <f ca="1">IF(AND(INDEX(FlowCalConstA,MATCH(N685,FlowCalNumber,0),1,1)*P694^INDEX(FlowCalConstB,MATCH(N685,FlowCalNumber,0),1,1)&gt;INDEX(FlowCalLowSetting,MATCH(N685,FlowCalNumber,0),1,1), (INDEX(FlowCalConstA,MATCH(N685,FlowCalNumber,0),1,1)*P694^INDEX(FlowCalConstB,MATCH(N685,FlowCalNumber,0),1,1)&lt;INDEX(FlowCalHighSetting,MATCH(N685,FlowCalNumber,0),1,1))),INDEX(FlowCalConstA,MATCH(N685,FlowCalNumber,0),1,1)*P694^INDEX(FlowCalConstB,MATCH(N685,FlowCalNumber,0),1,1)," ")</f>
        <v>#N/A</v>
      </c>
      <c r="R694" s="33"/>
      <c r="S694" s="242">
        <f t="shared" si="652"/>
        <v>1</v>
      </c>
      <c r="T694" s="241" t="e">
        <f t="shared" ca="1" si="653"/>
        <v>#VALUE!</v>
      </c>
      <c r="U694" s="244" t="e">
        <f ca="1">IF(AND(INDEX(FlowCalConstA,MATCH(R685,FlowCalNumber,0),1,1)*T694^INDEX(FlowCalConstB,MATCH(R685,FlowCalNumber,0),1,1)&gt;INDEX(FlowCalLowSetting,MATCH(R685,FlowCalNumber,0),1,1), (INDEX(FlowCalConstA,MATCH(R685,FlowCalNumber,0),1,1)*T694^INDEX(FlowCalConstB,MATCH(R685,FlowCalNumber,0),1,1)&lt;INDEX(FlowCalHighSetting,MATCH(R685,FlowCalNumber,0),1,1))),INDEX(FlowCalConstA,MATCH(R685,FlowCalNumber,0),1,1)*T694^INDEX(FlowCalConstB,MATCH(R685,FlowCalNumber,0),1,1)," ")</f>
        <v>#N/A</v>
      </c>
      <c r="V694" s="33"/>
      <c r="W694" s="242">
        <f t="shared" si="654"/>
        <v>0.1</v>
      </c>
      <c r="X694" s="241" t="e">
        <f t="shared" ca="1" si="655"/>
        <v>#VALUE!</v>
      </c>
      <c r="Y694" s="243" t="e">
        <f ca="1">IF(AND(INDEX(FlowCalConstA,MATCH(V685,FlowCalNumber,0),1,1)*X694^INDEX(FlowCalConstB,MATCH(V685,FlowCalNumber,0),1,1)&gt;INDEX(FlowCalLowSetting,MATCH(V685,FlowCalNumber,0),1,1), (INDEX(FlowCalConstA,MATCH(V685,FlowCalNumber,0),1,1)*X694^INDEX(FlowCalConstB,MATCH(V685,FlowCalNumber,0),1,1)&lt;INDEX(FlowCalHighSetting,MATCH(V685,FlowCalNumber,0),1,1))),INDEX(FlowCalConstA,MATCH(V685,FlowCalNumber,0),1,1)*X694^INDEX(FlowCalConstB,MATCH(V685,FlowCalNumber,0),1,1)," ")</f>
        <v>#N/A</v>
      </c>
      <c r="Z694" s="33"/>
      <c r="AA694" s="242">
        <f t="shared" si="656"/>
        <v>0.9</v>
      </c>
      <c r="AB694" s="241" t="e">
        <f t="shared" ca="1" si="657"/>
        <v>#VALUE!</v>
      </c>
      <c r="AC694" s="243" t="e">
        <f ca="1">IF(AND(INDEX(FlowCalConstA,MATCH(Z685,FlowCalNumber,0),1,1)*AB694^INDEX(FlowCalConstB,MATCH(Z685,FlowCalNumber,0),1,1)&gt;INDEX(FlowCalLowSetting,MATCH(Z685,FlowCalNumber,0),1,1), (INDEX(FlowCalConstA,MATCH(Z685,FlowCalNumber,0),1,1)*AB694^INDEX(FlowCalConstB,MATCH(Z685,FlowCalNumber,0),1,1)&lt;INDEX(FlowCalHighSetting,MATCH(Z685,FlowCalNumber,0),1,1))),INDEX(FlowCalConstA,MATCH(Z685,FlowCalNumber,0),1,1)*AB694^INDEX(FlowCalConstB,MATCH(Z685,FlowCalNumber,0),1,1)," ")</f>
        <v>#N/A</v>
      </c>
      <c r="AD694" s="33"/>
      <c r="AE694" s="242">
        <f t="shared" si="658"/>
        <v>0.1</v>
      </c>
      <c r="AF694" s="241" t="e">
        <f t="shared" ca="1" si="659"/>
        <v>#VALUE!</v>
      </c>
      <c r="AG694" s="243" t="e">
        <f ca="1">IF(AND(INDEX(FlowCalConstA,MATCH(AD685,FlowCalNumber,0),1,1)*AF694^INDEX(FlowCalConstB,MATCH(AD685,FlowCalNumber,0),1,1)&gt;INDEX(FlowCalLowSetting,MATCH(AD685,FlowCalNumber,0),1,1), (INDEX(FlowCalConstA,MATCH(AD685,FlowCalNumber,0),1,1)*AF694^INDEX(FlowCalConstB,MATCH(AD685,FlowCalNumber,0),1,1)&lt;INDEX(FlowCalHighSetting,MATCH(AD685,FlowCalNumber,0),1,1))),INDEX(FlowCalConstA,MATCH(AD685,FlowCalNumber,0),1,1)*AF694^INDEX(FlowCalConstB,MATCH(AD685,FlowCalNumber,0),1,1)," ")</f>
        <v>#N/A</v>
      </c>
      <c r="AH694" s="33"/>
      <c r="AI694" s="242">
        <f t="shared" si="660"/>
        <v>0.9</v>
      </c>
      <c r="AJ694" s="241" t="e">
        <f t="shared" ca="1" si="661"/>
        <v>#VALUE!</v>
      </c>
      <c r="AK694" s="243" t="e">
        <f ca="1">IF(AND(INDEX(FlowCalConstA,MATCH(AH685,FlowCalNumber,0),1,1)*AJ694^INDEX(FlowCalConstB,MATCH(AH685,FlowCalNumber,0),1,1)&gt;INDEX(FlowCalLowSetting,MATCH(AH685,FlowCalNumber,0),1,1), (INDEX(FlowCalConstA,MATCH(AH685,FlowCalNumber,0),1,1)*AJ694^INDEX(FlowCalConstB,MATCH(AH685,FlowCalNumber,0),1,1)&lt;INDEX(FlowCalHighSetting,MATCH(AH685,FlowCalNumber,0),1,1))),INDEX(FlowCalConstA,MATCH(AH685,FlowCalNumber,0),1,1)*AJ694^INDEX(FlowCalConstB,MATCH(AH685,FlowCalNumber,0),1,1)," ")</f>
        <v>#N/A</v>
      </c>
      <c r="AL694" s="33"/>
      <c r="AM694" s="242"/>
      <c r="AN694" s="241"/>
      <c r="AO694" s="244"/>
      <c r="AQ694" s="242"/>
      <c r="AR694" s="241"/>
      <c r="AS694" s="244"/>
      <c r="AT694" s="33"/>
      <c r="AU694" s="242"/>
      <c r="AV694" s="241"/>
      <c r="AW694" s="244"/>
      <c r="AX694" s="33"/>
      <c r="AY694" s="242"/>
      <c r="AZ694" s="241"/>
      <c r="BA694" s="244"/>
      <c r="BB694" s="33"/>
      <c r="BC694" s="242"/>
      <c r="BD694" s="241"/>
      <c r="BE694" s="244"/>
      <c r="BF694" s="33"/>
      <c r="BG694" s="242"/>
      <c r="BH694" s="241"/>
      <c r="BI694" s="244"/>
      <c r="BJ694" s="33"/>
      <c r="BK694" s="242"/>
      <c r="BL694" s="241"/>
      <c r="BM694" s="244"/>
      <c r="BN694" s="33"/>
      <c r="BO694" s="242"/>
      <c r="BP694" s="241"/>
      <c r="BQ694" s="244"/>
      <c r="BR694" s="33"/>
      <c r="BS694" s="242"/>
      <c r="BT694" s="241"/>
      <c r="BU694" s="244"/>
      <c r="BV694" s="33"/>
      <c r="BW694" s="242"/>
      <c r="BX694" s="241"/>
      <c r="BY694" s="244"/>
      <c r="BZ694" s="33"/>
      <c r="CA694" s="242"/>
      <c r="CB694" s="241"/>
      <c r="CC694" s="244"/>
      <c r="CD694" s="243"/>
      <c r="CE694" s="243"/>
      <c r="CF694" s="243"/>
      <c r="CG694" s="243"/>
      <c r="CH694" s="243"/>
      <c r="CI694" s="243"/>
      <c r="CJ694" s="243"/>
      <c r="CK694" s="243"/>
      <c r="CL694" s="243"/>
      <c r="CM694" s="243"/>
      <c r="CN694" s="243"/>
      <c r="CO694" s="243"/>
      <c r="CP694" s="243"/>
      <c r="CQ694" s="243"/>
      <c r="CR694" s="243"/>
      <c r="CS694" s="243"/>
      <c r="CT694" s="243"/>
      <c r="CU694" s="243"/>
      <c r="CV694" s="243"/>
      <c r="CW694" s="243"/>
      <c r="CX694" s="243"/>
      <c r="CY694" s="243"/>
      <c r="CZ694" s="243"/>
      <c r="DA694" s="243"/>
      <c r="DB694" s="243"/>
      <c r="DC694" s="243"/>
      <c r="DD694" s="243"/>
      <c r="DE694" s="243"/>
      <c r="DF694" s="243"/>
      <c r="DG694" s="243"/>
      <c r="DH694" s="243"/>
      <c r="DI694" s="243"/>
      <c r="DJ694" s="243"/>
      <c r="DK694" s="243"/>
      <c r="DM694" s="242"/>
      <c r="DO694" s="243"/>
      <c r="DQ694" s="242"/>
      <c r="DS694" s="243"/>
      <c r="DU694" s="242"/>
      <c r="DW694" s="243"/>
      <c r="DY694" s="242"/>
      <c r="EA694" s="243"/>
    </row>
    <row r="695" spans="1:131">
      <c r="A695" s="20"/>
      <c r="B695" s="124" t="str">
        <f t="shared" si="646"/>
        <v/>
      </c>
      <c r="C695" s="235"/>
      <c r="D695" s="24">
        <f>'1% Wind'!$M$91</f>
        <v>4.2</v>
      </c>
      <c r="E695" s="90"/>
      <c r="F695" s="90"/>
      <c r="G695" s="79">
        <f ca="1">IF(I685=0.9743,$G694,MAX(G694/D694*D695,2))</f>
        <v>6.001707317073171</v>
      </c>
      <c r="H695" s="121" t="e">
        <f t="shared" ca="1" si="647"/>
        <v>#VALUE!</v>
      </c>
      <c r="J695" s="33"/>
      <c r="K695" s="242">
        <f t="shared" si="648"/>
        <v>1</v>
      </c>
      <c r="L695" s="241" t="e">
        <f t="shared" ca="1" si="649"/>
        <v>#VALUE!</v>
      </c>
      <c r="M695" s="243" t="e">
        <f ca="1">IF(AND(INDEX(FlowCalConstA,MATCH(J685,FlowCalNumber,0),1,1)*L695^INDEX(FlowCalConstB,MATCH(J685,FlowCalNumber,0),1,1)&gt;INDEX(FlowCalLowSetting,MATCH(J685,FlowCalNumber,0),1,1), (INDEX(FlowCalConstA,MATCH(J685,FlowCalNumber,0),1,1)*L695^INDEX(FlowCalConstB,MATCH(J685,FlowCalNumber,0),1,1)&lt;INDEX(FlowCalHighSetting,MATCH(J685,FlowCalNumber,0),1,1))),INDEX(FlowCalConstA,MATCH(J685,FlowCalNumber,0),1,1)*L695^INDEX(FlowCalConstB,MATCH(J685,FlowCalNumber,0),1,1)," ")</f>
        <v>#N/A</v>
      </c>
      <c r="N695" s="33"/>
      <c r="O695" s="242">
        <f t="shared" si="650"/>
        <v>1</v>
      </c>
      <c r="P695" s="241" t="e">
        <f t="shared" ca="1" si="651"/>
        <v>#VALUE!</v>
      </c>
      <c r="Q695" s="243" t="e">
        <f ca="1">IF(AND(INDEX(FlowCalConstA,MATCH(N685,FlowCalNumber,0),1,1)*P695^INDEX(FlowCalConstB,MATCH(N685,FlowCalNumber,0),1,1)&gt;INDEX(FlowCalLowSetting,MATCH(N685,FlowCalNumber,0),1,1), (INDEX(FlowCalConstA,MATCH(N685,FlowCalNumber,0),1,1)*P695^INDEX(FlowCalConstB,MATCH(N685,FlowCalNumber,0),1,1)&lt;INDEX(FlowCalHighSetting,MATCH(N685,FlowCalNumber,0),1,1))),INDEX(FlowCalConstA,MATCH(N685,FlowCalNumber,0),1,1)*P695^INDEX(FlowCalConstB,MATCH(N685,FlowCalNumber,0),1,1)," ")</f>
        <v>#N/A</v>
      </c>
      <c r="R695" s="33"/>
      <c r="S695" s="242">
        <f t="shared" si="652"/>
        <v>1</v>
      </c>
      <c r="T695" s="241" t="e">
        <f t="shared" ca="1" si="653"/>
        <v>#VALUE!</v>
      </c>
      <c r="U695" s="244" t="e">
        <f ca="1">IF(AND(INDEX(FlowCalConstA,MATCH(R685,FlowCalNumber,0),1,1)*T695^INDEX(FlowCalConstB,MATCH(R685,FlowCalNumber,0),1,1)&gt;INDEX(FlowCalLowSetting,MATCH(R685,FlowCalNumber,0),1,1), (INDEX(FlowCalConstA,MATCH(R685,FlowCalNumber,0),1,1)*T695^INDEX(FlowCalConstB,MATCH(R685,FlowCalNumber,0),1,1)&lt;INDEX(FlowCalHighSetting,MATCH(R685,FlowCalNumber,0),1,1))),INDEX(FlowCalConstA,MATCH(R685,FlowCalNumber,0),1,1)*T695^INDEX(FlowCalConstB,MATCH(R685,FlowCalNumber,0),1,1)," ")</f>
        <v>#N/A</v>
      </c>
      <c r="V695" s="33"/>
      <c r="W695" s="242">
        <f t="shared" si="654"/>
        <v>0.1</v>
      </c>
      <c r="X695" s="241" t="e">
        <f t="shared" ca="1" si="655"/>
        <v>#VALUE!</v>
      </c>
      <c r="Y695" s="243" t="e">
        <f ca="1">IF(AND(INDEX(FlowCalConstA,MATCH(V685,FlowCalNumber,0),1,1)*X695^INDEX(FlowCalConstB,MATCH(V685,FlowCalNumber,0),1,1)&gt;INDEX(FlowCalLowSetting,MATCH(V685,FlowCalNumber,0),1,1), (INDEX(FlowCalConstA,MATCH(V685,FlowCalNumber,0),1,1)*X695^INDEX(FlowCalConstB,MATCH(V685,FlowCalNumber,0),1,1)&lt;INDEX(FlowCalHighSetting,MATCH(V685,FlowCalNumber,0),1,1))),INDEX(FlowCalConstA,MATCH(V685,FlowCalNumber,0),1,1)*X695^INDEX(FlowCalConstB,MATCH(V685,FlowCalNumber,0),1,1)," ")</f>
        <v>#N/A</v>
      </c>
      <c r="Z695" s="33"/>
      <c r="AA695" s="242">
        <f t="shared" si="656"/>
        <v>0.9</v>
      </c>
      <c r="AB695" s="241" t="e">
        <f t="shared" ca="1" si="657"/>
        <v>#VALUE!</v>
      </c>
      <c r="AC695" s="243" t="e">
        <f ca="1">IF(AND(INDEX(FlowCalConstA,MATCH(Z685,FlowCalNumber,0),1,1)*AB695^INDEX(FlowCalConstB,MATCH(Z685,FlowCalNumber,0),1,1)&gt;INDEX(FlowCalLowSetting,MATCH(Z685,FlowCalNumber,0),1,1), (INDEX(FlowCalConstA,MATCH(Z685,FlowCalNumber,0),1,1)*AB695^INDEX(FlowCalConstB,MATCH(Z685,FlowCalNumber,0),1,1)&lt;INDEX(FlowCalHighSetting,MATCH(Z685,FlowCalNumber,0),1,1))),INDEX(FlowCalConstA,MATCH(Z685,FlowCalNumber,0),1,1)*AB695^INDEX(FlowCalConstB,MATCH(Z685,FlowCalNumber,0),1,1)," ")</f>
        <v>#N/A</v>
      </c>
      <c r="AD695" s="33"/>
      <c r="AE695" s="242">
        <f t="shared" si="658"/>
        <v>0.1</v>
      </c>
      <c r="AF695" s="241" t="e">
        <f t="shared" ca="1" si="659"/>
        <v>#VALUE!</v>
      </c>
      <c r="AG695" s="243" t="e">
        <f ca="1">IF(AND(INDEX(FlowCalConstA,MATCH(AD685,FlowCalNumber,0),1,1)*AF695^INDEX(FlowCalConstB,MATCH(AD685,FlowCalNumber,0),1,1)&gt;INDEX(FlowCalLowSetting,MATCH(AD685,FlowCalNumber,0),1,1), (INDEX(FlowCalConstA,MATCH(AD685,FlowCalNumber,0),1,1)*AF695^INDEX(FlowCalConstB,MATCH(AD685,FlowCalNumber,0),1,1)&lt;INDEX(FlowCalHighSetting,MATCH(AD685,FlowCalNumber,0),1,1))),INDEX(FlowCalConstA,MATCH(AD685,FlowCalNumber,0),1,1)*AF695^INDEX(FlowCalConstB,MATCH(AD685,FlowCalNumber,0),1,1)," ")</f>
        <v>#N/A</v>
      </c>
      <c r="AH695" s="33"/>
      <c r="AI695" s="242">
        <f t="shared" si="660"/>
        <v>0.9</v>
      </c>
      <c r="AJ695" s="241" t="e">
        <f t="shared" ca="1" si="661"/>
        <v>#VALUE!</v>
      </c>
      <c r="AK695" s="243" t="e">
        <f ca="1">IF(AND(INDEX(FlowCalConstA,MATCH(AH685,FlowCalNumber,0),1,1)*AJ695^INDEX(FlowCalConstB,MATCH(AH685,FlowCalNumber,0),1,1)&gt;INDEX(FlowCalLowSetting,MATCH(AH685,FlowCalNumber,0),1,1), (INDEX(FlowCalConstA,MATCH(AH685,FlowCalNumber,0),1,1)*AJ695^INDEX(FlowCalConstB,MATCH(AH685,FlowCalNumber,0),1,1)&lt;INDEX(FlowCalHighSetting,MATCH(AH685,FlowCalNumber,0),1,1))),INDEX(FlowCalConstA,MATCH(AH685,FlowCalNumber,0),1,1)*AJ695^INDEX(FlowCalConstB,MATCH(AH685,FlowCalNumber,0),1,1)," ")</f>
        <v>#N/A</v>
      </c>
      <c r="AL695" s="33"/>
      <c r="AM695" s="242"/>
      <c r="AN695" s="241"/>
      <c r="AO695" s="244"/>
      <c r="AQ695" s="242"/>
      <c r="AR695" s="241"/>
      <c r="AS695" s="244"/>
      <c r="AT695" s="33"/>
      <c r="AU695" s="242"/>
      <c r="AV695" s="241"/>
      <c r="AW695" s="244"/>
      <c r="AX695" s="33"/>
      <c r="AY695" s="242"/>
      <c r="AZ695" s="241"/>
      <c r="BA695" s="244"/>
      <c r="BB695" s="33"/>
      <c r="BC695" s="242"/>
      <c r="BD695" s="241"/>
      <c r="BE695" s="244"/>
      <c r="BF695" s="33"/>
      <c r="BG695" s="242"/>
      <c r="BH695" s="241"/>
      <c r="BI695" s="244"/>
      <c r="BJ695" s="33"/>
      <c r="BK695" s="242"/>
      <c r="BL695" s="241"/>
      <c r="BM695" s="244"/>
      <c r="BN695" s="33"/>
      <c r="BO695" s="242"/>
      <c r="BP695" s="241"/>
      <c r="BQ695" s="244"/>
      <c r="BR695" s="33"/>
      <c r="BS695" s="242"/>
      <c r="BT695" s="241"/>
      <c r="BU695" s="244"/>
      <c r="BV695" s="33"/>
      <c r="BW695" s="242"/>
      <c r="BX695" s="241"/>
      <c r="BY695" s="244"/>
      <c r="BZ695" s="33"/>
      <c r="CA695" s="242"/>
      <c r="CB695" s="241"/>
      <c r="CC695" s="244"/>
      <c r="CD695" s="243"/>
      <c r="CE695" s="243"/>
      <c r="CF695" s="243"/>
      <c r="CG695" s="243"/>
      <c r="CH695" s="243"/>
      <c r="CI695" s="243"/>
      <c r="CJ695" s="243"/>
      <c r="CK695" s="243"/>
      <c r="CL695" s="243"/>
      <c r="CM695" s="243"/>
      <c r="CN695" s="243"/>
      <c r="CO695" s="243"/>
      <c r="CP695" s="243"/>
      <c r="CQ695" s="243"/>
      <c r="CR695" s="243"/>
      <c r="CS695" s="243"/>
      <c r="CT695" s="243"/>
      <c r="CU695" s="243"/>
      <c r="CV695" s="243"/>
      <c r="CW695" s="243"/>
      <c r="CX695" s="243"/>
      <c r="CY695" s="243"/>
      <c r="CZ695" s="243"/>
      <c r="DA695" s="243"/>
      <c r="DB695" s="243"/>
      <c r="DC695" s="243"/>
      <c r="DD695" s="243"/>
      <c r="DE695" s="243"/>
      <c r="DF695" s="243"/>
      <c r="DG695" s="243"/>
      <c r="DH695" s="243"/>
      <c r="DI695" s="243"/>
      <c r="DJ695" s="243"/>
      <c r="DK695" s="243"/>
      <c r="DM695" s="242"/>
      <c r="DO695" s="243"/>
      <c r="DQ695" s="242"/>
      <c r="DS695" s="243"/>
      <c r="DU695" s="242"/>
      <c r="DW695" s="243"/>
      <c r="DY695" s="242"/>
      <c r="EA695" s="243"/>
    </row>
    <row r="696" spans="1:131">
      <c r="A696" s="20"/>
      <c r="B696" s="124" t="str">
        <f t="shared" si="646"/>
        <v/>
      </c>
      <c r="C696" s="235"/>
      <c r="D696" s="24">
        <f>'1% Wind'!$M$92</f>
        <v>3.2</v>
      </c>
      <c r="E696" s="90"/>
      <c r="F696" s="90"/>
      <c r="G696" s="79">
        <f ca="1">IF(I685=0.9743,$G695,MAX(G695/D695*D696,2))</f>
        <v>6.001707317073171</v>
      </c>
      <c r="H696" s="121" t="e">
        <f t="shared" ca="1" si="647"/>
        <v>#VALUE!</v>
      </c>
      <c r="J696" s="33"/>
      <c r="K696" s="242">
        <f t="shared" si="648"/>
        <v>1</v>
      </c>
      <c r="L696" s="241" t="e">
        <f t="shared" ca="1" si="649"/>
        <v>#VALUE!</v>
      </c>
      <c r="M696" s="243" t="e">
        <f ca="1">IF(AND(INDEX(FlowCalConstA,MATCH(J685,FlowCalNumber,0),1,1)*L696^INDEX(FlowCalConstB,MATCH(J685,FlowCalNumber,0),1,1)&gt;INDEX(FlowCalLowSetting,MATCH(J685,FlowCalNumber,0),1,1), (INDEX(FlowCalConstA,MATCH(J685,FlowCalNumber,0),1,1)*L696^INDEX(FlowCalConstB,MATCH(J685,FlowCalNumber,0),1,1)&lt;INDEX(FlowCalHighSetting,MATCH(J685,FlowCalNumber,0),1,1))),INDEX(FlowCalConstA,MATCH(J685,FlowCalNumber,0),1,1)*L696^INDEX(FlowCalConstB,MATCH(J685,FlowCalNumber,0),1,1)," ")</f>
        <v>#N/A</v>
      </c>
      <c r="N696" s="33"/>
      <c r="O696" s="242">
        <f t="shared" si="650"/>
        <v>1</v>
      </c>
      <c r="P696" s="241" t="e">
        <f t="shared" ca="1" si="651"/>
        <v>#VALUE!</v>
      </c>
      <c r="Q696" s="243" t="e">
        <f ca="1">IF(AND(INDEX(FlowCalConstA,MATCH(N685,FlowCalNumber,0),1,1)*P696^INDEX(FlowCalConstB,MATCH(N685,FlowCalNumber,0),1,1)&gt;INDEX(FlowCalLowSetting,MATCH(N685,FlowCalNumber,0),1,1), (INDEX(FlowCalConstA,MATCH(N685,FlowCalNumber,0),1,1)*P696^INDEX(FlowCalConstB,MATCH(N685,FlowCalNumber,0),1,1)&lt;INDEX(FlowCalHighSetting,MATCH(N685,FlowCalNumber,0),1,1))),INDEX(FlowCalConstA,MATCH(N685,FlowCalNumber,0),1,1)*P696^INDEX(FlowCalConstB,MATCH(N685,FlowCalNumber,0),1,1)," ")</f>
        <v>#N/A</v>
      </c>
      <c r="R696" s="33"/>
      <c r="S696" s="242">
        <f t="shared" si="652"/>
        <v>1</v>
      </c>
      <c r="T696" s="241" t="e">
        <f t="shared" ca="1" si="653"/>
        <v>#VALUE!</v>
      </c>
      <c r="U696" s="244" t="e">
        <f ca="1">IF(AND(INDEX(FlowCalConstA,MATCH(R685,FlowCalNumber,0),1,1)*T696^INDEX(FlowCalConstB,MATCH(R685,FlowCalNumber,0),1,1)&gt;INDEX(FlowCalLowSetting,MATCH(R685,FlowCalNumber,0),1,1), (INDEX(FlowCalConstA,MATCH(R685,FlowCalNumber,0),1,1)*T696^INDEX(FlowCalConstB,MATCH(R685,FlowCalNumber,0),1,1)&lt;INDEX(FlowCalHighSetting,MATCH(R685,FlowCalNumber,0),1,1))),INDEX(FlowCalConstA,MATCH(R685,FlowCalNumber,0),1,1)*T696^INDEX(FlowCalConstB,MATCH(R685,FlowCalNumber,0),1,1)," ")</f>
        <v>#N/A</v>
      </c>
      <c r="V696" s="33"/>
      <c r="W696" s="242">
        <f t="shared" si="654"/>
        <v>0.1</v>
      </c>
      <c r="X696" s="241" t="e">
        <f t="shared" ca="1" si="655"/>
        <v>#VALUE!</v>
      </c>
      <c r="Y696" s="243" t="e">
        <f ca="1">IF(AND(INDEX(FlowCalConstA,MATCH(V685,FlowCalNumber,0),1,1)*X696^INDEX(FlowCalConstB,MATCH(V685,FlowCalNumber,0),1,1)&gt;INDEX(FlowCalLowSetting,MATCH(V685,FlowCalNumber,0),1,1), (INDEX(FlowCalConstA,MATCH(V685,FlowCalNumber,0),1,1)*X696^INDEX(FlowCalConstB,MATCH(V685,FlowCalNumber,0),1,1)&lt;INDEX(FlowCalHighSetting,MATCH(V685,FlowCalNumber,0),1,1))),INDEX(FlowCalConstA,MATCH(V685,FlowCalNumber,0),1,1)*X696^INDEX(FlowCalConstB,MATCH(V685,FlowCalNumber,0),1,1)," ")</f>
        <v>#N/A</v>
      </c>
      <c r="Z696" s="33"/>
      <c r="AA696" s="242">
        <f t="shared" si="656"/>
        <v>0.9</v>
      </c>
      <c r="AB696" s="241" t="e">
        <f t="shared" ca="1" si="657"/>
        <v>#VALUE!</v>
      </c>
      <c r="AC696" s="243" t="e">
        <f ca="1">IF(AND(INDEX(FlowCalConstA,MATCH(Z685,FlowCalNumber,0),1,1)*AB696^INDEX(FlowCalConstB,MATCH(Z685,FlowCalNumber,0),1,1)&gt;INDEX(FlowCalLowSetting,MATCH(Z685,FlowCalNumber,0),1,1), (INDEX(FlowCalConstA,MATCH(Z685,FlowCalNumber,0),1,1)*AB696^INDEX(FlowCalConstB,MATCH(Z685,FlowCalNumber,0),1,1)&lt;INDEX(FlowCalHighSetting,MATCH(Z685,FlowCalNumber,0),1,1))),INDEX(FlowCalConstA,MATCH(Z685,FlowCalNumber,0),1,1)*AB696^INDEX(FlowCalConstB,MATCH(Z685,FlowCalNumber,0),1,1)," ")</f>
        <v>#N/A</v>
      </c>
      <c r="AD696" s="33"/>
      <c r="AE696" s="242">
        <f t="shared" si="658"/>
        <v>0.1</v>
      </c>
      <c r="AF696" s="241" t="e">
        <f t="shared" ca="1" si="659"/>
        <v>#VALUE!</v>
      </c>
      <c r="AG696" s="243" t="e">
        <f ca="1">IF(AND(INDEX(FlowCalConstA,MATCH(AD685,FlowCalNumber,0),1,1)*AF696^INDEX(FlowCalConstB,MATCH(AD685,FlowCalNumber,0),1,1)&gt;INDEX(FlowCalLowSetting,MATCH(AD685,FlowCalNumber,0),1,1), (INDEX(FlowCalConstA,MATCH(AD685,FlowCalNumber,0),1,1)*AF696^INDEX(FlowCalConstB,MATCH(AD685,FlowCalNumber,0),1,1)&lt;INDEX(FlowCalHighSetting,MATCH(AD685,FlowCalNumber,0),1,1))),INDEX(FlowCalConstA,MATCH(AD685,FlowCalNumber,0),1,1)*AF696^INDEX(FlowCalConstB,MATCH(AD685,FlowCalNumber,0),1,1)," ")</f>
        <v>#N/A</v>
      </c>
      <c r="AH696" s="33"/>
      <c r="AI696" s="242">
        <f t="shared" si="660"/>
        <v>0.9</v>
      </c>
      <c r="AJ696" s="241" t="e">
        <f t="shared" ca="1" si="661"/>
        <v>#VALUE!</v>
      </c>
      <c r="AK696" s="243" t="e">
        <f ca="1">IF(AND(INDEX(FlowCalConstA,MATCH(AH685,FlowCalNumber,0),1,1)*AJ696^INDEX(FlowCalConstB,MATCH(AH685,FlowCalNumber,0),1,1)&gt;INDEX(FlowCalLowSetting,MATCH(AH685,FlowCalNumber,0),1,1), (INDEX(FlowCalConstA,MATCH(AH685,FlowCalNumber,0),1,1)*AJ696^INDEX(FlowCalConstB,MATCH(AH685,FlowCalNumber,0),1,1)&lt;INDEX(FlowCalHighSetting,MATCH(AH685,FlowCalNumber,0),1,1))),INDEX(FlowCalConstA,MATCH(AH685,FlowCalNumber,0),1,1)*AJ696^INDEX(FlowCalConstB,MATCH(AH685,FlowCalNumber,0),1,1)," ")</f>
        <v>#N/A</v>
      </c>
      <c r="AL696" s="33"/>
      <c r="AM696" s="242"/>
      <c r="AN696" s="241"/>
      <c r="AO696" s="244"/>
      <c r="AQ696" s="242"/>
      <c r="AR696" s="241"/>
      <c r="AS696" s="244"/>
      <c r="AT696" s="33"/>
      <c r="AU696" s="242"/>
      <c r="AV696" s="241"/>
      <c r="AW696" s="244"/>
      <c r="AX696" s="33"/>
      <c r="AY696" s="242"/>
      <c r="AZ696" s="241"/>
      <c r="BA696" s="244"/>
      <c r="BB696" s="33"/>
      <c r="BC696" s="242"/>
      <c r="BD696" s="241"/>
      <c r="BE696" s="244"/>
      <c r="BF696" s="33"/>
      <c r="BG696" s="242"/>
      <c r="BH696" s="241"/>
      <c r="BI696" s="244"/>
      <c r="BJ696" s="33"/>
      <c r="BK696" s="242"/>
      <c r="BL696" s="241"/>
      <c r="BM696" s="244"/>
      <c r="BN696" s="33"/>
      <c r="BO696" s="242"/>
      <c r="BP696" s="241"/>
      <c r="BQ696" s="244"/>
      <c r="BR696" s="33"/>
      <c r="BS696" s="242"/>
      <c r="BT696" s="241"/>
      <c r="BU696" s="244"/>
      <c r="BV696" s="33"/>
      <c r="BW696" s="242"/>
      <c r="BX696" s="241"/>
      <c r="BY696" s="244"/>
      <c r="BZ696" s="33"/>
      <c r="CA696" s="242"/>
      <c r="CB696" s="241"/>
      <c r="CC696" s="244"/>
      <c r="CD696" s="243"/>
      <c r="CE696" s="243"/>
      <c r="CF696" s="243"/>
      <c r="CG696" s="243"/>
      <c r="CH696" s="243"/>
      <c r="CI696" s="243"/>
      <c r="CJ696" s="243"/>
      <c r="CK696" s="243"/>
      <c r="CL696" s="243"/>
      <c r="CM696" s="243"/>
      <c r="CN696" s="243"/>
      <c r="CO696" s="243"/>
      <c r="CP696" s="243"/>
      <c r="CQ696" s="243"/>
      <c r="CR696" s="243"/>
      <c r="CS696" s="243"/>
      <c r="CT696" s="243"/>
      <c r="CU696" s="243"/>
      <c r="CV696" s="243"/>
      <c r="CW696" s="243"/>
      <c r="CX696" s="243"/>
      <c r="CY696" s="243"/>
      <c r="CZ696" s="243"/>
      <c r="DA696" s="243"/>
      <c r="DB696" s="243"/>
      <c r="DC696" s="243"/>
      <c r="DD696" s="243"/>
      <c r="DE696" s="243"/>
      <c r="DF696" s="243"/>
      <c r="DG696" s="243"/>
      <c r="DH696" s="243"/>
      <c r="DI696" s="243"/>
      <c r="DJ696" s="243"/>
      <c r="DK696" s="243"/>
      <c r="DM696" s="242"/>
      <c r="DO696" s="243"/>
      <c r="DQ696" s="242"/>
      <c r="DS696" s="243"/>
      <c r="DU696" s="242"/>
      <c r="DW696" s="243"/>
      <c r="DY696" s="242"/>
      <c r="EA696" s="243"/>
    </row>
    <row r="697" spans="1:131">
      <c r="A697" s="20"/>
      <c r="B697" s="124" t="str">
        <f t="shared" si="646"/>
        <v/>
      </c>
      <c r="C697" s="235"/>
      <c r="D697" s="24">
        <f>'1% Wind'!$M$93</f>
        <v>2.4</v>
      </c>
      <c r="E697" s="90"/>
      <c r="F697" s="90"/>
      <c r="G697" s="79">
        <f ca="1">IF(I685=0.9743,$G696,MAX(G696/D696*D697,2))</f>
        <v>6.001707317073171</v>
      </c>
      <c r="H697" s="121" t="e">
        <f t="shared" ca="1" si="647"/>
        <v>#VALUE!</v>
      </c>
      <c r="J697" s="33"/>
      <c r="K697" s="242">
        <f t="shared" si="648"/>
        <v>1</v>
      </c>
      <c r="L697" s="241" t="e">
        <f t="shared" ca="1" si="649"/>
        <v>#VALUE!</v>
      </c>
      <c r="M697" s="243" t="e">
        <f ca="1">IF(AND(INDEX(FlowCalConstA,MATCH(J685,FlowCalNumber,0),1,1)*L697^INDEX(FlowCalConstB,MATCH(J685,FlowCalNumber,0),1,1)&gt;INDEX(FlowCalLowSetting,MATCH(J685,FlowCalNumber,0),1,1), (INDEX(FlowCalConstA,MATCH(J685,FlowCalNumber,0),1,1)*L697^INDEX(FlowCalConstB,MATCH(J685,FlowCalNumber,0),1,1)&lt;INDEX(FlowCalHighSetting,MATCH(J685,FlowCalNumber,0),1,1))),INDEX(FlowCalConstA,MATCH(J685,FlowCalNumber,0),1,1)*L697^INDEX(FlowCalConstB,MATCH(J685,FlowCalNumber,0),1,1)," ")</f>
        <v>#N/A</v>
      </c>
      <c r="N697" s="33"/>
      <c r="O697" s="242">
        <f t="shared" si="650"/>
        <v>1</v>
      </c>
      <c r="P697" s="241" t="e">
        <f t="shared" ca="1" si="651"/>
        <v>#VALUE!</v>
      </c>
      <c r="Q697" s="243" t="e">
        <f ca="1">IF(AND(INDEX(FlowCalConstA,MATCH(N685,FlowCalNumber,0),1,1)*P697^INDEX(FlowCalConstB,MATCH(N685,FlowCalNumber,0),1,1)&gt;INDEX(FlowCalLowSetting,MATCH(N685,FlowCalNumber,0),1,1), (INDEX(FlowCalConstA,MATCH(N685,FlowCalNumber,0),1,1)*P697^INDEX(FlowCalConstB,MATCH(N685,FlowCalNumber,0),1,1)&lt;INDEX(FlowCalHighSetting,MATCH(N685,FlowCalNumber,0),1,1))),INDEX(FlowCalConstA,MATCH(N685,FlowCalNumber,0),1,1)*P697^INDEX(FlowCalConstB,MATCH(N685,FlowCalNumber,0),1,1)," ")</f>
        <v>#N/A</v>
      </c>
      <c r="R697" s="33"/>
      <c r="S697" s="242">
        <f t="shared" si="652"/>
        <v>1</v>
      </c>
      <c r="T697" s="241" t="e">
        <f t="shared" ca="1" si="653"/>
        <v>#VALUE!</v>
      </c>
      <c r="U697" s="244" t="e">
        <f ca="1">IF(AND(INDEX(FlowCalConstA,MATCH(R685,FlowCalNumber,0),1,1)*T697^INDEX(FlowCalConstB,MATCH(R685,FlowCalNumber,0),1,1)&gt;INDEX(FlowCalLowSetting,MATCH(R685,FlowCalNumber,0),1,1), (INDEX(FlowCalConstA,MATCH(R685,FlowCalNumber,0),1,1)*T697^INDEX(FlowCalConstB,MATCH(R685,FlowCalNumber,0),1,1)&lt;INDEX(FlowCalHighSetting,MATCH(R685,FlowCalNumber,0),1,1))),INDEX(FlowCalConstA,MATCH(R685,FlowCalNumber,0),1,1)*T697^INDEX(FlowCalConstB,MATCH(R685,FlowCalNumber,0),1,1)," ")</f>
        <v>#N/A</v>
      </c>
      <c r="V697" s="33"/>
      <c r="W697" s="242">
        <f t="shared" si="654"/>
        <v>0.1</v>
      </c>
      <c r="X697" s="241" t="e">
        <f t="shared" ca="1" si="655"/>
        <v>#VALUE!</v>
      </c>
      <c r="Y697" s="243" t="e">
        <f ca="1">IF(AND(INDEX(FlowCalConstA,MATCH(V685,FlowCalNumber,0),1,1)*X697^INDEX(FlowCalConstB,MATCH(V685,FlowCalNumber,0),1,1)&gt;INDEX(FlowCalLowSetting,MATCH(V685,FlowCalNumber,0),1,1), (INDEX(FlowCalConstA,MATCH(V685,FlowCalNumber,0),1,1)*X697^INDEX(FlowCalConstB,MATCH(V685,FlowCalNumber,0),1,1)&lt;INDEX(FlowCalHighSetting,MATCH(V685,FlowCalNumber,0),1,1))),INDEX(FlowCalConstA,MATCH(V685,FlowCalNumber,0),1,1)*X697^INDEX(FlowCalConstB,MATCH(V685,FlowCalNumber,0),1,1)," ")</f>
        <v>#N/A</v>
      </c>
      <c r="Z697" s="33"/>
      <c r="AA697" s="242">
        <f t="shared" si="656"/>
        <v>0.9</v>
      </c>
      <c r="AB697" s="241" t="e">
        <f t="shared" ca="1" si="657"/>
        <v>#VALUE!</v>
      </c>
      <c r="AC697" s="243" t="e">
        <f ca="1">IF(AND(INDEX(FlowCalConstA,MATCH(Z685,FlowCalNumber,0),1,1)*AB697^INDEX(FlowCalConstB,MATCH(Z685,FlowCalNumber,0),1,1)&gt;INDEX(FlowCalLowSetting,MATCH(Z685,FlowCalNumber,0),1,1), (INDEX(FlowCalConstA,MATCH(Z685,FlowCalNumber,0),1,1)*AB697^INDEX(FlowCalConstB,MATCH(Z685,FlowCalNumber,0),1,1)&lt;INDEX(FlowCalHighSetting,MATCH(Z685,FlowCalNumber,0),1,1))),INDEX(FlowCalConstA,MATCH(Z685,FlowCalNumber,0),1,1)*AB697^INDEX(FlowCalConstB,MATCH(Z685,FlowCalNumber,0),1,1)," ")</f>
        <v>#N/A</v>
      </c>
      <c r="AD697" s="33"/>
      <c r="AE697" s="242">
        <f t="shared" si="658"/>
        <v>0.1</v>
      </c>
      <c r="AF697" s="241" t="e">
        <f t="shared" ca="1" si="659"/>
        <v>#VALUE!</v>
      </c>
      <c r="AG697" s="243" t="e">
        <f ca="1">IF(AND(INDEX(FlowCalConstA,MATCH(AD685,FlowCalNumber,0),1,1)*AF697^INDEX(FlowCalConstB,MATCH(AD685,FlowCalNumber,0),1,1)&gt;INDEX(FlowCalLowSetting,MATCH(AD685,FlowCalNumber,0),1,1), (INDEX(FlowCalConstA,MATCH(AD685,FlowCalNumber,0),1,1)*AF697^INDEX(FlowCalConstB,MATCH(AD685,FlowCalNumber,0),1,1)&lt;INDEX(FlowCalHighSetting,MATCH(AD685,FlowCalNumber,0),1,1))),INDEX(FlowCalConstA,MATCH(AD685,FlowCalNumber,0),1,1)*AF697^INDEX(FlowCalConstB,MATCH(AD685,FlowCalNumber,0),1,1)," ")</f>
        <v>#N/A</v>
      </c>
      <c r="AH697" s="33"/>
      <c r="AI697" s="242">
        <f t="shared" si="660"/>
        <v>0.9</v>
      </c>
      <c r="AJ697" s="241" t="e">
        <f t="shared" ca="1" si="661"/>
        <v>#VALUE!</v>
      </c>
      <c r="AK697" s="243" t="e">
        <f ca="1">IF(AND(INDEX(FlowCalConstA,MATCH(AH685,FlowCalNumber,0),1,1)*AJ697^INDEX(FlowCalConstB,MATCH(AH685,FlowCalNumber,0),1,1)&gt;INDEX(FlowCalLowSetting,MATCH(AH685,FlowCalNumber,0),1,1), (INDEX(FlowCalConstA,MATCH(AH685,FlowCalNumber,0),1,1)*AJ697^INDEX(FlowCalConstB,MATCH(AH685,FlowCalNumber,0),1,1)&lt;INDEX(FlowCalHighSetting,MATCH(AH685,FlowCalNumber,0),1,1))),INDEX(FlowCalConstA,MATCH(AH685,FlowCalNumber,0),1,1)*AJ697^INDEX(FlowCalConstB,MATCH(AH685,FlowCalNumber,0),1,1)," ")</f>
        <v>#N/A</v>
      </c>
      <c r="AL697" s="33"/>
      <c r="AM697" s="242"/>
      <c r="AN697" s="241"/>
      <c r="AO697" s="244"/>
      <c r="AQ697" s="242"/>
      <c r="AR697" s="241"/>
      <c r="AS697" s="244"/>
      <c r="AT697" s="33"/>
      <c r="AU697" s="242"/>
      <c r="AV697" s="241"/>
      <c r="AW697" s="244"/>
      <c r="AX697" s="33"/>
      <c r="AY697" s="242"/>
      <c r="AZ697" s="241"/>
      <c r="BA697" s="244"/>
      <c r="BB697" s="33"/>
      <c r="BC697" s="242"/>
      <c r="BD697" s="241"/>
      <c r="BE697" s="244"/>
      <c r="BF697" s="33"/>
      <c r="BG697" s="242"/>
      <c r="BH697" s="241"/>
      <c r="BI697" s="244"/>
      <c r="BJ697" s="33"/>
      <c r="BK697" s="242"/>
      <c r="BL697" s="241"/>
      <c r="BM697" s="244"/>
      <c r="BN697" s="33"/>
      <c r="BO697" s="242"/>
      <c r="BP697" s="241"/>
      <c r="BQ697" s="244"/>
      <c r="BR697" s="33"/>
      <c r="BS697" s="242"/>
      <c r="BT697" s="241"/>
      <c r="BU697" s="244"/>
      <c r="BV697" s="33"/>
      <c r="BW697" s="242"/>
      <c r="BX697" s="241"/>
      <c r="BY697" s="244"/>
      <c r="BZ697" s="33"/>
      <c r="CA697" s="242"/>
      <c r="CB697" s="241"/>
      <c r="CC697" s="244"/>
      <c r="CD697" s="243"/>
      <c r="CE697" s="243"/>
      <c r="CF697" s="243"/>
      <c r="CG697" s="243"/>
      <c r="CH697" s="243"/>
      <c r="CI697" s="243"/>
      <c r="CJ697" s="243"/>
      <c r="CK697" s="243"/>
      <c r="CL697" s="243"/>
      <c r="CM697" s="243"/>
      <c r="CN697" s="243"/>
      <c r="CO697" s="243"/>
      <c r="CP697" s="243"/>
      <c r="CQ697" s="243"/>
      <c r="CR697" s="243"/>
      <c r="CS697" s="243"/>
      <c r="CT697" s="243"/>
      <c r="CU697" s="243"/>
      <c r="CV697" s="243"/>
      <c r="CW697" s="243"/>
      <c r="CX697" s="243"/>
      <c r="CY697" s="243"/>
      <c r="CZ697" s="243"/>
      <c r="DA697" s="243"/>
      <c r="DB697" s="243"/>
      <c r="DC697" s="243"/>
      <c r="DD697" s="243"/>
      <c r="DE697" s="243"/>
      <c r="DF697" s="243"/>
      <c r="DG697" s="243"/>
      <c r="DH697" s="243"/>
      <c r="DI697" s="243"/>
      <c r="DJ697" s="243"/>
      <c r="DK697" s="243"/>
      <c r="DM697" s="242"/>
      <c r="DO697" s="243"/>
      <c r="DQ697" s="242"/>
      <c r="DS697" s="243"/>
      <c r="DU697" s="242"/>
      <c r="DW697" s="243"/>
      <c r="DY697" s="242"/>
      <c r="EA697" s="243"/>
    </row>
    <row r="698" spans="1:131">
      <c r="A698" s="20"/>
      <c r="B698" s="124" t="str">
        <f t="shared" si="646"/>
        <v/>
      </c>
      <c r="C698" s="235"/>
      <c r="D698" s="24">
        <f>'1% Wind'!$M$94</f>
        <v>1.8</v>
      </c>
      <c r="E698" s="90"/>
      <c r="F698" s="90"/>
      <c r="G698" s="79">
        <f ca="1">IF(I685=0.9743,$G697,MAX(G697/D697*D698,2))</f>
        <v>6.001707317073171</v>
      </c>
      <c r="H698" s="121" t="e">
        <f t="shared" ca="1" si="647"/>
        <v>#VALUE!</v>
      </c>
      <c r="J698" s="33"/>
      <c r="K698" s="242">
        <f t="shared" si="648"/>
        <v>1</v>
      </c>
      <c r="L698" s="241" t="e">
        <f t="shared" ca="1" si="649"/>
        <v>#VALUE!</v>
      </c>
      <c r="M698" s="243" t="e">
        <f ca="1">IF(AND(INDEX(FlowCalConstA,MATCH(J685,FlowCalNumber,0),1,1)*L698^INDEX(FlowCalConstB,MATCH(J685,FlowCalNumber,0),1,1)&gt;INDEX(FlowCalLowSetting,MATCH(J685,FlowCalNumber,0),1,1), (INDEX(FlowCalConstA,MATCH(J685,FlowCalNumber,0),1,1)*L698^INDEX(FlowCalConstB,MATCH(J685,FlowCalNumber,0),1,1)&lt;INDEX(FlowCalHighSetting,MATCH(J685,FlowCalNumber,0),1,1))),INDEX(FlowCalConstA,MATCH(J685,FlowCalNumber,0),1,1)*L698^INDEX(FlowCalConstB,MATCH(J685,FlowCalNumber,0),1,1)," ")</f>
        <v>#N/A</v>
      </c>
      <c r="N698" s="33"/>
      <c r="O698" s="242">
        <f t="shared" si="650"/>
        <v>1</v>
      </c>
      <c r="P698" s="241" t="e">
        <f t="shared" ca="1" si="651"/>
        <v>#VALUE!</v>
      </c>
      <c r="Q698" s="243" t="e">
        <f ca="1">IF(AND(INDEX(FlowCalConstA,MATCH(N685,FlowCalNumber,0),1,1)*P698^INDEX(FlowCalConstB,MATCH(N685,FlowCalNumber,0),1,1)&gt;INDEX(FlowCalLowSetting,MATCH(N685,FlowCalNumber,0),1,1), (INDEX(FlowCalConstA,MATCH(N685,FlowCalNumber,0),1,1)*P698^INDEX(FlowCalConstB,MATCH(N685,FlowCalNumber,0),1,1)&lt;INDEX(FlowCalHighSetting,MATCH(N685,FlowCalNumber,0),1,1))),INDEX(FlowCalConstA,MATCH(N685,FlowCalNumber,0),1,1)*P698^INDEX(FlowCalConstB,MATCH(N685,FlowCalNumber,0),1,1)," ")</f>
        <v>#N/A</v>
      </c>
      <c r="R698" s="33"/>
      <c r="S698" s="242">
        <f t="shared" si="652"/>
        <v>1</v>
      </c>
      <c r="T698" s="241" t="e">
        <f t="shared" ca="1" si="653"/>
        <v>#VALUE!</v>
      </c>
      <c r="U698" s="244" t="e">
        <f ca="1">IF(AND(INDEX(FlowCalConstA,MATCH(R685,FlowCalNumber,0),1,1)*T698^INDEX(FlowCalConstB,MATCH(R685,FlowCalNumber,0),1,1)&gt;INDEX(FlowCalLowSetting,MATCH(R685,FlowCalNumber,0),1,1), (INDEX(FlowCalConstA,MATCH(R685,FlowCalNumber,0),1,1)*T698^INDEX(FlowCalConstB,MATCH(R685,FlowCalNumber,0),1,1)&lt;INDEX(FlowCalHighSetting,MATCH(R685,FlowCalNumber,0),1,1))),INDEX(FlowCalConstA,MATCH(R685,FlowCalNumber,0),1,1)*T698^INDEX(FlowCalConstB,MATCH(R685,FlowCalNumber,0),1,1)," ")</f>
        <v>#N/A</v>
      </c>
      <c r="V698" s="33"/>
      <c r="W698" s="242">
        <f t="shared" si="654"/>
        <v>0.1</v>
      </c>
      <c r="X698" s="241" t="e">
        <f t="shared" ca="1" si="655"/>
        <v>#VALUE!</v>
      </c>
      <c r="Y698" s="243" t="e">
        <f ca="1">IF(AND(INDEX(FlowCalConstA,MATCH(V685,FlowCalNumber,0),1,1)*X698^INDEX(FlowCalConstB,MATCH(V685,FlowCalNumber,0),1,1)&gt;INDEX(FlowCalLowSetting,MATCH(V685,FlowCalNumber,0),1,1), (INDEX(FlowCalConstA,MATCH(V685,FlowCalNumber,0),1,1)*X698^INDEX(FlowCalConstB,MATCH(V685,FlowCalNumber,0),1,1)&lt;INDEX(FlowCalHighSetting,MATCH(V685,FlowCalNumber,0),1,1))),INDEX(FlowCalConstA,MATCH(V685,FlowCalNumber,0),1,1)*X698^INDEX(FlowCalConstB,MATCH(V685,FlowCalNumber,0),1,1)," ")</f>
        <v>#N/A</v>
      </c>
      <c r="Z698" s="33"/>
      <c r="AA698" s="242">
        <f t="shared" si="656"/>
        <v>0.9</v>
      </c>
      <c r="AB698" s="241" t="e">
        <f t="shared" ca="1" si="657"/>
        <v>#VALUE!</v>
      </c>
      <c r="AC698" s="243" t="e">
        <f ca="1">IF(AND(INDEX(FlowCalConstA,MATCH(Z685,FlowCalNumber,0),1,1)*AB698^INDEX(FlowCalConstB,MATCH(Z685,FlowCalNumber,0),1,1)&gt;INDEX(FlowCalLowSetting,MATCH(Z685,FlowCalNumber,0),1,1), (INDEX(FlowCalConstA,MATCH(Z685,FlowCalNumber,0),1,1)*AB698^INDEX(FlowCalConstB,MATCH(Z685,FlowCalNumber,0),1,1)&lt;INDEX(FlowCalHighSetting,MATCH(Z685,FlowCalNumber,0),1,1))),INDEX(FlowCalConstA,MATCH(Z685,FlowCalNumber,0),1,1)*AB698^INDEX(FlowCalConstB,MATCH(Z685,FlowCalNumber,0),1,1)," ")</f>
        <v>#N/A</v>
      </c>
      <c r="AD698" s="33"/>
      <c r="AE698" s="242">
        <f t="shared" si="658"/>
        <v>0.1</v>
      </c>
      <c r="AF698" s="241" t="e">
        <f t="shared" ca="1" si="659"/>
        <v>#VALUE!</v>
      </c>
      <c r="AG698" s="243" t="e">
        <f ca="1">IF(AND(INDEX(FlowCalConstA,MATCH(AD685,FlowCalNumber,0),1,1)*AF698^INDEX(FlowCalConstB,MATCH(AD685,FlowCalNumber,0),1,1)&gt;INDEX(FlowCalLowSetting,MATCH(AD685,FlowCalNumber,0),1,1), (INDEX(FlowCalConstA,MATCH(AD685,FlowCalNumber,0),1,1)*AF698^INDEX(FlowCalConstB,MATCH(AD685,FlowCalNumber,0),1,1)&lt;INDEX(FlowCalHighSetting,MATCH(AD685,FlowCalNumber,0),1,1))),INDEX(FlowCalConstA,MATCH(AD685,FlowCalNumber,0),1,1)*AF698^INDEX(FlowCalConstB,MATCH(AD685,FlowCalNumber,0),1,1)," ")</f>
        <v>#N/A</v>
      </c>
      <c r="AH698" s="33"/>
      <c r="AI698" s="242">
        <f t="shared" si="660"/>
        <v>0.9</v>
      </c>
      <c r="AJ698" s="241" t="e">
        <f t="shared" ca="1" si="661"/>
        <v>#VALUE!</v>
      </c>
      <c r="AK698" s="243" t="e">
        <f ca="1">IF(AND(INDEX(FlowCalConstA,MATCH(AH685,FlowCalNumber,0),1,1)*AJ698^INDEX(FlowCalConstB,MATCH(AH685,FlowCalNumber,0),1,1)&gt;INDEX(FlowCalLowSetting,MATCH(AH685,FlowCalNumber,0),1,1), (INDEX(FlowCalConstA,MATCH(AH685,FlowCalNumber,0),1,1)*AJ698^INDEX(FlowCalConstB,MATCH(AH685,FlowCalNumber,0),1,1)&lt;INDEX(FlowCalHighSetting,MATCH(AH685,FlowCalNumber,0),1,1))),INDEX(FlowCalConstA,MATCH(AH685,FlowCalNumber,0),1,1)*AJ698^INDEX(FlowCalConstB,MATCH(AH685,FlowCalNumber,0),1,1)," ")</f>
        <v>#N/A</v>
      </c>
      <c r="AL698" s="33"/>
      <c r="AM698" s="242"/>
      <c r="AN698" s="241"/>
      <c r="AO698" s="244"/>
      <c r="AQ698" s="242"/>
      <c r="AR698" s="241"/>
      <c r="AS698" s="244"/>
      <c r="AT698" s="33"/>
      <c r="AU698" s="242"/>
      <c r="AV698" s="241"/>
      <c r="AW698" s="244"/>
      <c r="AX698" s="33"/>
      <c r="AY698" s="242"/>
      <c r="AZ698" s="241"/>
      <c r="BA698" s="244"/>
      <c r="BB698" s="33"/>
      <c r="BC698" s="242"/>
      <c r="BD698" s="241"/>
      <c r="BE698" s="244"/>
      <c r="BF698" s="33"/>
      <c r="BG698" s="242"/>
      <c r="BH698" s="241"/>
      <c r="BI698" s="244"/>
      <c r="BJ698" s="33"/>
      <c r="BK698" s="242"/>
      <c r="BL698" s="241"/>
      <c r="BM698" s="244"/>
      <c r="BN698" s="33"/>
      <c r="BO698" s="242"/>
      <c r="BP698" s="241"/>
      <c r="BQ698" s="244"/>
      <c r="BR698" s="33"/>
      <c r="BS698" s="242"/>
      <c r="BT698" s="241"/>
      <c r="BU698" s="244"/>
      <c r="BV698" s="33"/>
      <c r="BW698" s="242"/>
      <c r="BX698" s="241"/>
      <c r="BY698" s="244"/>
      <c r="BZ698" s="33"/>
      <c r="CA698" s="242"/>
      <c r="CB698" s="241"/>
      <c r="CC698" s="244"/>
      <c r="CD698" s="243"/>
      <c r="CE698" s="243"/>
      <c r="CF698" s="243"/>
      <c r="CG698" s="243"/>
      <c r="CH698" s="243"/>
      <c r="CI698" s="243"/>
      <c r="CJ698" s="243"/>
      <c r="CK698" s="243"/>
      <c r="CL698" s="243"/>
      <c r="CM698" s="243"/>
      <c r="CN698" s="243"/>
      <c r="CO698" s="243"/>
      <c r="CP698" s="243"/>
      <c r="CQ698" s="243"/>
      <c r="CR698" s="243"/>
      <c r="CS698" s="243"/>
      <c r="CT698" s="243"/>
      <c r="CU698" s="243"/>
      <c r="CV698" s="243"/>
      <c r="CW698" s="243"/>
      <c r="CX698" s="243"/>
      <c r="CY698" s="243"/>
      <c r="CZ698" s="243"/>
      <c r="DA698" s="243"/>
      <c r="DB698" s="243"/>
      <c r="DC698" s="243"/>
      <c r="DD698" s="243"/>
      <c r="DE698" s="243"/>
      <c r="DF698" s="243"/>
      <c r="DG698" s="243"/>
      <c r="DH698" s="243"/>
      <c r="DI698" s="243"/>
      <c r="DJ698" s="243"/>
      <c r="DK698" s="243"/>
      <c r="DM698" s="242"/>
      <c r="DO698" s="243"/>
      <c r="DQ698" s="242"/>
      <c r="DS698" s="243"/>
      <c r="DU698" s="242"/>
      <c r="DW698" s="243"/>
      <c r="DY698" s="242"/>
      <c r="EA698" s="243"/>
    </row>
    <row r="699" spans="1:131">
      <c r="A699" s="20"/>
      <c r="B699" s="124" t="str">
        <f t="shared" si="646"/>
        <v/>
      </c>
      <c r="C699" s="235"/>
      <c r="D699" s="24">
        <f>'1% Wind'!$M$95</f>
        <v>1.3</v>
      </c>
      <c r="E699" s="90"/>
      <c r="F699" s="90"/>
      <c r="G699" s="79">
        <f ca="1">IF(I685=0.9743,$G698,MAX(G698/D698*D699,2))</f>
        <v>6.001707317073171</v>
      </c>
      <c r="H699" s="121" t="e">
        <f t="shared" ca="1" si="647"/>
        <v>#VALUE!</v>
      </c>
      <c r="J699" s="33"/>
      <c r="K699" s="242">
        <f t="shared" si="648"/>
        <v>1</v>
      </c>
      <c r="L699" s="241" t="e">
        <f t="shared" ca="1" si="649"/>
        <v>#VALUE!</v>
      </c>
      <c r="M699" s="243" t="e">
        <f ca="1">IF(AND(INDEX(FlowCalConstA,MATCH(J685,FlowCalNumber,0),1,1)*L699^INDEX(FlowCalConstB,MATCH(J685,FlowCalNumber,0),1,1)&gt;INDEX(FlowCalLowSetting,MATCH(J685,FlowCalNumber,0),1,1), (INDEX(FlowCalConstA,MATCH(J685,FlowCalNumber,0),1,1)*L699^INDEX(FlowCalConstB,MATCH(J685,FlowCalNumber,0),1,1)&lt;INDEX(FlowCalHighSetting,MATCH(J685,FlowCalNumber,0),1,1))),INDEX(FlowCalConstA,MATCH(J685,FlowCalNumber,0),1,1)*L699^INDEX(FlowCalConstB,MATCH(J685,FlowCalNumber,0),1,1)," ")</f>
        <v>#N/A</v>
      </c>
      <c r="N699" s="33"/>
      <c r="O699" s="242">
        <f t="shared" si="650"/>
        <v>1</v>
      </c>
      <c r="P699" s="241" t="e">
        <f t="shared" ca="1" si="651"/>
        <v>#VALUE!</v>
      </c>
      <c r="Q699" s="243" t="e">
        <f ca="1">IF(AND(INDEX(FlowCalConstA,MATCH(N685,FlowCalNumber,0),1,1)*P699^INDEX(FlowCalConstB,MATCH(N685,FlowCalNumber,0),1,1)&gt;INDEX(FlowCalLowSetting,MATCH(N685,FlowCalNumber,0),1,1), (INDEX(FlowCalConstA,MATCH(N685,FlowCalNumber,0),1,1)*P699^INDEX(FlowCalConstB,MATCH(N685,FlowCalNumber,0),1,1)&lt;INDEX(FlowCalHighSetting,MATCH(N685,FlowCalNumber,0),1,1))),INDEX(FlowCalConstA,MATCH(N685,FlowCalNumber,0),1,1)*P699^INDEX(FlowCalConstB,MATCH(N685,FlowCalNumber,0),1,1)," ")</f>
        <v>#N/A</v>
      </c>
      <c r="R699" s="33"/>
      <c r="S699" s="242">
        <f t="shared" si="652"/>
        <v>1</v>
      </c>
      <c r="T699" s="241" t="e">
        <f t="shared" ca="1" si="653"/>
        <v>#VALUE!</v>
      </c>
      <c r="U699" s="244" t="e">
        <f ca="1">IF(AND(INDEX(FlowCalConstA,MATCH(R685,FlowCalNumber,0),1,1)*T699^INDEX(FlowCalConstB,MATCH(R685,FlowCalNumber,0),1,1)&gt;INDEX(FlowCalLowSetting,MATCH(R685,FlowCalNumber,0),1,1), (INDEX(FlowCalConstA,MATCH(R685,FlowCalNumber,0),1,1)*T699^INDEX(FlowCalConstB,MATCH(R685,FlowCalNumber,0),1,1)&lt;INDEX(FlowCalHighSetting,MATCH(R685,FlowCalNumber,0),1,1))),INDEX(FlowCalConstA,MATCH(R685,FlowCalNumber,0),1,1)*T699^INDEX(FlowCalConstB,MATCH(R685,FlowCalNumber,0),1,1)," ")</f>
        <v>#N/A</v>
      </c>
      <c r="V699" s="33"/>
      <c r="W699" s="242">
        <f t="shared" si="654"/>
        <v>0.1</v>
      </c>
      <c r="X699" s="241" t="e">
        <f t="shared" ca="1" si="655"/>
        <v>#VALUE!</v>
      </c>
      <c r="Y699" s="243" t="e">
        <f ca="1">IF(AND(INDEX(FlowCalConstA,MATCH(V685,FlowCalNumber,0),1,1)*X699^INDEX(FlowCalConstB,MATCH(V685,FlowCalNumber,0),1,1)&gt;INDEX(FlowCalLowSetting,MATCH(V685,FlowCalNumber,0),1,1), (INDEX(FlowCalConstA,MATCH(V685,FlowCalNumber,0),1,1)*X699^INDEX(FlowCalConstB,MATCH(V685,FlowCalNumber,0),1,1)&lt;INDEX(FlowCalHighSetting,MATCH(V685,FlowCalNumber,0),1,1))),INDEX(FlowCalConstA,MATCH(V685,FlowCalNumber,0),1,1)*X699^INDEX(FlowCalConstB,MATCH(V685,FlowCalNumber,0),1,1)," ")</f>
        <v>#N/A</v>
      </c>
      <c r="Z699" s="33"/>
      <c r="AA699" s="242">
        <f t="shared" si="656"/>
        <v>0.9</v>
      </c>
      <c r="AB699" s="241" t="e">
        <f t="shared" ca="1" si="657"/>
        <v>#VALUE!</v>
      </c>
      <c r="AC699" s="243" t="e">
        <f ca="1">IF(AND(INDEX(FlowCalConstA,MATCH(Z685,FlowCalNumber,0),1,1)*AB699^INDEX(FlowCalConstB,MATCH(Z685,FlowCalNumber,0),1,1)&gt;INDEX(FlowCalLowSetting,MATCH(Z685,FlowCalNumber,0),1,1), (INDEX(FlowCalConstA,MATCH(Z685,FlowCalNumber,0),1,1)*AB699^INDEX(FlowCalConstB,MATCH(Z685,FlowCalNumber,0),1,1)&lt;INDEX(FlowCalHighSetting,MATCH(Z685,FlowCalNumber,0),1,1))),INDEX(FlowCalConstA,MATCH(Z685,FlowCalNumber,0),1,1)*AB699^INDEX(FlowCalConstB,MATCH(Z685,FlowCalNumber,0),1,1)," ")</f>
        <v>#N/A</v>
      </c>
      <c r="AD699" s="33"/>
      <c r="AE699" s="242">
        <f t="shared" si="658"/>
        <v>0.1</v>
      </c>
      <c r="AF699" s="241" t="e">
        <f t="shared" ca="1" si="659"/>
        <v>#VALUE!</v>
      </c>
      <c r="AG699" s="243" t="e">
        <f ca="1">IF(AND(INDEX(FlowCalConstA,MATCH(AD685,FlowCalNumber,0),1,1)*AF699^INDEX(FlowCalConstB,MATCH(AD685,FlowCalNumber,0),1,1)&gt;INDEX(FlowCalLowSetting,MATCH(AD685,FlowCalNumber,0),1,1), (INDEX(FlowCalConstA,MATCH(AD685,FlowCalNumber,0),1,1)*AF699^INDEX(FlowCalConstB,MATCH(AD685,FlowCalNumber,0),1,1)&lt;INDEX(FlowCalHighSetting,MATCH(AD685,FlowCalNumber,0),1,1))),INDEX(FlowCalConstA,MATCH(AD685,FlowCalNumber,0),1,1)*AF699^INDEX(FlowCalConstB,MATCH(AD685,FlowCalNumber,0),1,1)," ")</f>
        <v>#N/A</v>
      </c>
      <c r="AH699" s="33"/>
      <c r="AI699" s="242">
        <f t="shared" si="660"/>
        <v>0.9</v>
      </c>
      <c r="AJ699" s="241" t="e">
        <f t="shared" ca="1" si="661"/>
        <v>#VALUE!</v>
      </c>
      <c r="AK699" s="243" t="e">
        <f ca="1">IF(AND(INDEX(FlowCalConstA,MATCH(AH685,FlowCalNumber,0),1,1)*AJ699^INDEX(FlowCalConstB,MATCH(AH685,FlowCalNumber,0),1,1)&gt;INDEX(FlowCalLowSetting,MATCH(AH685,FlowCalNumber,0),1,1), (INDEX(FlowCalConstA,MATCH(AH685,FlowCalNumber,0),1,1)*AJ699^INDEX(FlowCalConstB,MATCH(AH685,FlowCalNumber,0),1,1)&lt;INDEX(FlowCalHighSetting,MATCH(AH685,FlowCalNumber,0),1,1))),INDEX(FlowCalConstA,MATCH(AH685,FlowCalNumber,0),1,1)*AJ699^INDEX(FlowCalConstB,MATCH(AH685,FlowCalNumber,0),1,1)," ")</f>
        <v>#N/A</v>
      </c>
      <c r="AL699" s="33"/>
      <c r="AM699" s="242"/>
      <c r="AN699" s="241"/>
      <c r="AO699" s="244"/>
      <c r="AQ699" s="242"/>
      <c r="AR699" s="241"/>
      <c r="AS699" s="244"/>
      <c r="AT699" s="33"/>
      <c r="AU699" s="242"/>
      <c r="AV699" s="241"/>
      <c r="AW699" s="244"/>
      <c r="AX699" s="33"/>
      <c r="AY699" s="242"/>
      <c r="AZ699" s="241"/>
      <c r="BA699" s="244"/>
      <c r="BB699" s="33"/>
      <c r="BC699" s="242"/>
      <c r="BD699" s="241"/>
      <c r="BE699" s="244"/>
      <c r="BF699" s="33"/>
      <c r="BG699" s="242"/>
      <c r="BH699" s="241"/>
      <c r="BI699" s="244"/>
      <c r="BJ699" s="33"/>
      <c r="BK699" s="242"/>
      <c r="BL699" s="241"/>
      <c r="BM699" s="244"/>
      <c r="BN699" s="33"/>
      <c r="BO699" s="242"/>
      <c r="BP699" s="241"/>
      <c r="BQ699" s="244"/>
      <c r="BR699" s="33"/>
      <c r="BS699" s="242"/>
      <c r="BT699" s="241"/>
      <c r="BU699" s="244"/>
      <c r="BV699" s="33"/>
      <c r="BW699" s="242"/>
      <c r="BX699" s="241"/>
      <c r="BY699" s="244"/>
      <c r="BZ699" s="33"/>
      <c r="CA699" s="242"/>
      <c r="CB699" s="241"/>
      <c r="CC699" s="244"/>
      <c r="CD699" s="243"/>
      <c r="CE699" s="243"/>
      <c r="CF699" s="243"/>
      <c r="CG699" s="243"/>
      <c r="CH699" s="243"/>
      <c r="CI699" s="243"/>
      <c r="CJ699" s="243"/>
      <c r="CK699" s="243"/>
      <c r="CL699" s="243"/>
      <c r="CM699" s="243"/>
      <c r="CN699" s="243"/>
      <c r="CO699" s="243"/>
      <c r="CP699" s="243"/>
      <c r="CQ699" s="243"/>
      <c r="CR699" s="243"/>
      <c r="CS699" s="243"/>
      <c r="CT699" s="243"/>
      <c r="CU699" s="243"/>
      <c r="CV699" s="243"/>
      <c r="CW699" s="243"/>
      <c r="CX699" s="243"/>
      <c r="CY699" s="243"/>
      <c r="CZ699" s="243"/>
      <c r="DA699" s="243"/>
      <c r="DB699" s="243"/>
      <c r="DC699" s="243"/>
      <c r="DD699" s="243"/>
      <c r="DE699" s="243"/>
      <c r="DF699" s="243"/>
      <c r="DG699" s="243"/>
      <c r="DH699" s="243"/>
      <c r="DI699" s="243"/>
      <c r="DJ699" s="243"/>
      <c r="DK699" s="243"/>
      <c r="DM699" s="242"/>
      <c r="DO699" s="243"/>
      <c r="DQ699" s="242"/>
      <c r="DS699" s="243"/>
      <c r="DU699" s="242"/>
      <c r="DW699" s="243"/>
      <c r="DY699" s="242"/>
      <c r="EA699" s="243"/>
    </row>
    <row r="700" spans="1:131">
      <c r="A700" s="20"/>
      <c r="B700" s="124" t="str">
        <f t="shared" si="646"/>
        <v/>
      </c>
      <c r="C700" s="235"/>
      <c r="D700" s="24">
        <f>'1% Wind'!$M$96</f>
        <v>1</v>
      </c>
      <c r="E700" s="90"/>
      <c r="F700" s="90"/>
      <c r="G700" s="79">
        <f ca="1">IF(I685=0.9743,$G699,MAX(G699/D699*D700,2))</f>
        <v>6.001707317073171</v>
      </c>
      <c r="H700" s="121" t="e">
        <f t="shared" ca="1" si="647"/>
        <v>#VALUE!</v>
      </c>
      <c r="J700" s="33"/>
      <c r="K700" s="242">
        <f t="shared" si="648"/>
        <v>1</v>
      </c>
      <c r="L700" s="241" t="e">
        <f t="shared" ca="1" si="649"/>
        <v>#VALUE!</v>
      </c>
      <c r="M700" s="243" t="e">
        <f ca="1">IF(AND(INDEX(FlowCalConstA,MATCH(J685,FlowCalNumber,0),1,1)*L700^INDEX(FlowCalConstB,MATCH(J685,FlowCalNumber,0),1,1)&gt;INDEX(FlowCalLowSetting,MATCH(J685,FlowCalNumber,0),1,1), (INDEX(FlowCalConstA,MATCH(J685,FlowCalNumber,0),1,1)*L700^INDEX(FlowCalConstB,MATCH(J685,FlowCalNumber,0),1,1)&lt;INDEX(FlowCalHighSetting,MATCH(J685,FlowCalNumber,0),1,1))),INDEX(FlowCalConstA,MATCH(J685,FlowCalNumber,0),1,1)*L700^INDEX(FlowCalConstB,MATCH(J685,FlowCalNumber,0),1,1)," ")</f>
        <v>#N/A</v>
      </c>
      <c r="N700" s="33"/>
      <c r="O700" s="242">
        <f t="shared" si="650"/>
        <v>1</v>
      </c>
      <c r="P700" s="241" t="e">
        <f t="shared" ca="1" si="651"/>
        <v>#VALUE!</v>
      </c>
      <c r="Q700" s="243" t="e">
        <f ca="1">IF(AND(INDEX(FlowCalConstA,MATCH(N685,FlowCalNumber,0),1,1)*P700^INDEX(FlowCalConstB,MATCH(N685,FlowCalNumber,0),1,1)&gt;INDEX(FlowCalLowSetting,MATCH(N685,FlowCalNumber,0),1,1), (INDEX(FlowCalConstA,MATCH(N685,FlowCalNumber,0),1,1)*P700^INDEX(FlowCalConstB,MATCH(N685,FlowCalNumber,0),1,1)&lt;INDEX(FlowCalHighSetting,MATCH(N685,FlowCalNumber,0),1,1))),INDEX(FlowCalConstA,MATCH(N685,FlowCalNumber,0),1,1)*P700^INDEX(FlowCalConstB,MATCH(N685,FlowCalNumber,0),1,1)," ")</f>
        <v>#N/A</v>
      </c>
      <c r="R700" s="33"/>
      <c r="S700" s="242">
        <f t="shared" si="652"/>
        <v>1</v>
      </c>
      <c r="T700" s="241" t="e">
        <f t="shared" ca="1" si="653"/>
        <v>#VALUE!</v>
      </c>
      <c r="U700" s="244" t="e">
        <f ca="1">IF(AND(INDEX(FlowCalConstA,MATCH(R685,FlowCalNumber,0),1,1)*T700^INDEX(FlowCalConstB,MATCH(R685,FlowCalNumber,0),1,1)&gt;INDEX(FlowCalLowSetting,MATCH(R685,FlowCalNumber,0),1,1), (INDEX(FlowCalConstA,MATCH(R685,FlowCalNumber,0),1,1)*T700^INDEX(FlowCalConstB,MATCH(R685,FlowCalNumber,0),1,1)&lt;INDEX(FlowCalHighSetting,MATCH(R685,FlowCalNumber,0),1,1))),INDEX(FlowCalConstA,MATCH(R685,FlowCalNumber,0),1,1)*T700^INDEX(FlowCalConstB,MATCH(R685,FlowCalNumber,0),1,1)," ")</f>
        <v>#N/A</v>
      </c>
      <c r="V700" s="33"/>
      <c r="W700" s="242">
        <f t="shared" si="654"/>
        <v>0.1</v>
      </c>
      <c r="X700" s="241" t="e">
        <f t="shared" ca="1" si="655"/>
        <v>#VALUE!</v>
      </c>
      <c r="Y700" s="243" t="e">
        <f ca="1">IF(AND(INDEX(FlowCalConstA,MATCH(V685,FlowCalNumber,0),1,1)*X700^INDEX(FlowCalConstB,MATCH(V685,FlowCalNumber,0),1,1)&gt;INDEX(FlowCalLowSetting,MATCH(V685,FlowCalNumber,0),1,1), (INDEX(FlowCalConstA,MATCH(V685,FlowCalNumber,0),1,1)*X700^INDEX(FlowCalConstB,MATCH(V685,FlowCalNumber,0),1,1)&lt;INDEX(FlowCalHighSetting,MATCH(V685,FlowCalNumber,0),1,1))),INDEX(FlowCalConstA,MATCH(V685,FlowCalNumber,0),1,1)*X700^INDEX(FlowCalConstB,MATCH(V685,FlowCalNumber,0),1,1)," ")</f>
        <v>#N/A</v>
      </c>
      <c r="Z700" s="33"/>
      <c r="AA700" s="242">
        <f t="shared" si="656"/>
        <v>0.9</v>
      </c>
      <c r="AB700" s="241" t="e">
        <f t="shared" ca="1" si="657"/>
        <v>#VALUE!</v>
      </c>
      <c r="AC700" s="243" t="e">
        <f ca="1">IF(AND(INDEX(FlowCalConstA,MATCH(Z685,FlowCalNumber,0),1,1)*AB700^INDEX(FlowCalConstB,MATCH(Z685,FlowCalNumber,0),1,1)&gt;INDEX(FlowCalLowSetting,MATCH(Z685,FlowCalNumber,0),1,1), (INDEX(FlowCalConstA,MATCH(Z685,FlowCalNumber,0),1,1)*AB700^INDEX(FlowCalConstB,MATCH(Z685,FlowCalNumber,0),1,1)&lt;INDEX(FlowCalHighSetting,MATCH(Z685,FlowCalNumber,0),1,1))),INDEX(FlowCalConstA,MATCH(Z685,FlowCalNumber,0),1,1)*AB700^INDEX(FlowCalConstB,MATCH(Z685,FlowCalNumber,0),1,1)," ")</f>
        <v>#N/A</v>
      </c>
      <c r="AD700" s="33"/>
      <c r="AE700" s="242">
        <f t="shared" si="658"/>
        <v>0.1</v>
      </c>
      <c r="AF700" s="241" t="e">
        <f t="shared" ca="1" si="659"/>
        <v>#VALUE!</v>
      </c>
      <c r="AG700" s="243" t="e">
        <f ca="1">IF(AND(INDEX(FlowCalConstA,MATCH(AD685,FlowCalNumber,0),1,1)*AF700^INDEX(FlowCalConstB,MATCH(AD685,FlowCalNumber,0),1,1)&gt;INDEX(FlowCalLowSetting,MATCH(AD685,FlowCalNumber,0),1,1), (INDEX(FlowCalConstA,MATCH(AD685,FlowCalNumber,0),1,1)*AF700^INDEX(FlowCalConstB,MATCH(AD685,FlowCalNumber,0),1,1)&lt;INDEX(FlowCalHighSetting,MATCH(AD685,FlowCalNumber,0),1,1))),INDEX(FlowCalConstA,MATCH(AD685,FlowCalNumber,0),1,1)*AF700^INDEX(FlowCalConstB,MATCH(AD685,FlowCalNumber,0),1,1)," ")</f>
        <v>#N/A</v>
      </c>
      <c r="AH700" s="33"/>
      <c r="AI700" s="242">
        <f t="shared" si="660"/>
        <v>0.9</v>
      </c>
      <c r="AJ700" s="241" t="e">
        <f t="shared" ca="1" si="661"/>
        <v>#VALUE!</v>
      </c>
      <c r="AK700" s="243" t="e">
        <f ca="1">IF(AND(INDEX(FlowCalConstA,MATCH(AH685,FlowCalNumber,0),1,1)*AJ700^INDEX(FlowCalConstB,MATCH(AH685,FlowCalNumber,0),1,1)&gt;INDEX(FlowCalLowSetting,MATCH(AH685,FlowCalNumber,0),1,1), (INDEX(FlowCalConstA,MATCH(AH685,FlowCalNumber,0),1,1)*AJ700^INDEX(FlowCalConstB,MATCH(AH685,FlowCalNumber,0),1,1)&lt;INDEX(FlowCalHighSetting,MATCH(AH685,FlowCalNumber,0),1,1))),INDEX(FlowCalConstA,MATCH(AH685,FlowCalNumber,0),1,1)*AJ700^INDEX(FlowCalConstB,MATCH(AH685,FlowCalNumber,0),1,1)," ")</f>
        <v>#N/A</v>
      </c>
      <c r="AL700" s="33"/>
      <c r="AM700" s="242"/>
      <c r="AN700" s="241"/>
      <c r="AO700" s="244"/>
      <c r="AQ700" s="242"/>
      <c r="AR700" s="241"/>
      <c r="AS700" s="244"/>
      <c r="AT700" s="33"/>
      <c r="AU700" s="242"/>
      <c r="AV700" s="241"/>
      <c r="AW700" s="244"/>
      <c r="AX700" s="33"/>
      <c r="AY700" s="242"/>
      <c r="AZ700" s="241"/>
      <c r="BA700" s="244"/>
      <c r="BB700" s="33"/>
      <c r="BC700" s="242"/>
      <c r="BD700" s="241"/>
      <c r="BE700" s="244"/>
      <c r="BF700" s="33"/>
      <c r="BG700" s="242"/>
      <c r="BH700" s="241"/>
      <c r="BI700" s="244"/>
      <c r="BJ700" s="33"/>
      <c r="BK700" s="242"/>
      <c r="BL700" s="241"/>
      <c r="BM700" s="244"/>
      <c r="BN700" s="33"/>
      <c r="BO700" s="242"/>
      <c r="BP700" s="241"/>
      <c r="BQ700" s="244"/>
      <c r="BR700" s="33"/>
      <c r="BS700" s="242"/>
      <c r="BT700" s="241"/>
      <c r="BU700" s="244"/>
      <c r="BV700" s="33"/>
      <c r="BW700" s="242"/>
      <c r="BX700" s="241"/>
      <c r="BY700" s="244"/>
      <c r="BZ700" s="33"/>
      <c r="CA700" s="242"/>
      <c r="CB700" s="241"/>
      <c r="CC700" s="244"/>
      <c r="CD700" s="243"/>
      <c r="CE700" s="243"/>
      <c r="CF700" s="243"/>
      <c r="CG700" s="243"/>
      <c r="CH700" s="243"/>
      <c r="CI700" s="243"/>
      <c r="CJ700" s="243"/>
      <c r="CK700" s="243"/>
      <c r="CL700" s="243"/>
      <c r="CM700" s="243"/>
      <c r="CN700" s="243"/>
      <c r="CO700" s="243"/>
      <c r="CP700" s="243"/>
      <c r="CQ700" s="243"/>
      <c r="CR700" s="243"/>
      <c r="CS700" s="243"/>
      <c r="CT700" s="243"/>
      <c r="CU700" s="243"/>
      <c r="CV700" s="243"/>
      <c r="CW700" s="243"/>
      <c r="CX700" s="243"/>
      <c r="CY700" s="243"/>
      <c r="CZ700" s="243"/>
      <c r="DA700" s="243"/>
      <c r="DB700" s="243"/>
      <c r="DC700" s="243"/>
      <c r="DD700" s="243"/>
      <c r="DE700" s="243"/>
      <c r="DF700" s="243"/>
      <c r="DG700" s="243"/>
      <c r="DH700" s="243"/>
      <c r="DI700" s="243"/>
      <c r="DJ700" s="243"/>
      <c r="DK700" s="243"/>
      <c r="DM700" s="242"/>
      <c r="DO700" s="243"/>
      <c r="DQ700" s="242"/>
      <c r="DS700" s="243"/>
      <c r="DU700" s="242"/>
      <c r="DW700" s="243"/>
      <c r="DY700" s="242"/>
      <c r="EA700" s="243"/>
    </row>
    <row r="701" spans="1:131">
      <c r="A701" s="33"/>
      <c r="B701" s="33"/>
      <c r="C701" s="235"/>
      <c r="E701" s="90"/>
      <c r="F701" s="90"/>
      <c r="G701" s="33"/>
      <c r="J701" s="33"/>
      <c r="N701" s="33"/>
      <c r="Q701" s="243"/>
      <c r="R701" s="33"/>
      <c r="U701" s="244"/>
      <c r="V701" s="33"/>
      <c r="Y701" s="243"/>
      <c r="Z701" s="33"/>
      <c r="AC701" s="243"/>
      <c r="AD701" s="33"/>
      <c r="AG701" s="243"/>
      <c r="AH701" s="33"/>
      <c r="AK701" s="244"/>
      <c r="AL701" s="792"/>
      <c r="AM701" s="243"/>
      <c r="AN701" s="243"/>
      <c r="AO701" s="244"/>
      <c r="AP701" s="243"/>
      <c r="AQ701" s="243"/>
      <c r="AR701" s="243"/>
      <c r="AS701" s="244"/>
      <c r="AT701" s="243"/>
      <c r="AU701" s="243"/>
      <c r="AV701" s="243"/>
      <c r="AW701" s="244"/>
      <c r="AX701" s="243"/>
      <c r="AY701" s="243"/>
      <c r="AZ701" s="243"/>
      <c r="BA701" s="244"/>
      <c r="BB701" s="33"/>
      <c r="BE701" s="244"/>
      <c r="BF701" s="33"/>
      <c r="BI701" s="244"/>
      <c r="BJ701" s="33"/>
      <c r="BM701" s="244"/>
      <c r="BN701" s="243"/>
      <c r="BO701" s="243"/>
      <c r="BP701" s="243"/>
      <c r="BQ701" s="244"/>
      <c r="BR701" s="792"/>
      <c r="BS701" s="243"/>
      <c r="BT701" s="243"/>
      <c r="BU701" s="244"/>
      <c r="BV701" s="792"/>
      <c r="BW701" s="243"/>
      <c r="BX701" s="243"/>
      <c r="BY701" s="244"/>
      <c r="BZ701" s="792"/>
      <c r="CA701" s="243"/>
      <c r="CB701" s="243"/>
      <c r="CC701" s="244"/>
      <c r="CD701" s="243"/>
      <c r="CE701" s="243"/>
      <c r="CF701" s="243"/>
      <c r="CG701" s="243"/>
      <c r="CH701" s="243"/>
      <c r="CI701" s="243"/>
      <c r="CJ701" s="243"/>
      <c r="CK701" s="243"/>
      <c r="CL701" s="243"/>
      <c r="CM701" s="243"/>
      <c r="CN701" s="243"/>
      <c r="CO701" s="243"/>
      <c r="CP701" s="243"/>
      <c r="CQ701" s="243"/>
      <c r="CR701" s="243"/>
      <c r="CS701" s="243"/>
      <c r="CT701" s="243"/>
      <c r="CU701" s="243"/>
      <c r="CV701" s="243"/>
      <c r="CW701" s="243"/>
      <c r="CX701" s="243"/>
      <c r="CY701" s="243"/>
      <c r="CZ701" s="243"/>
      <c r="DA701" s="243"/>
      <c r="DB701" s="243"/>
      <c r="DC701" s="243"/>
      <c r="DD701" s="243"/>
      <c r="DE701" s="243"/>
      <c r="DF701" s="243"/>
      <c r="DG701" s="243"/>
      <c r="DH701" s="243"/>
      <c r="DI701" s="243"/>
      <c r="DJ701" s="243"/>
      <c r="DK701" s="243"/>
      <c r="DO701" s="243"/>
      <c r="DS701" s="243"/>
      <c r="DW701" s="243"/>
      <c r="EA701" s="243"/>
    </row>
    <row r="702" spans="1:131">
      <c r="A702" s="256" t="str">
        <f>IF((RIGHT(A685,1))&lt;&gt;"Z",CHAR(CODE(A685))&amp;CHAR(CODE(RIGHT(A685,1))+1),CHAR(CODE(A685)+1)&amp;"A")</f>
        <v>BO</v>
      </c>
      <c r="B702" s="270" t="e">
        <f>INDEX(SourceID,MATCH($A702,SourceNumber,0),1,1)</f>
        <v>#N/A</v>
      </c>
      <c r="C702" s="354" t="e">
        <f>INDEX(SourceExitDiameter,MATCH($A702,SourceNumber,0),1,1)*3.28*12</f>
        <v>#N/A</v>
      </c>
      <c r="D702" s="24" t="str">
        <f>UAnem1percent</f>
        <v>1% Wind</v>
      </c>
      <c r="E702" s="350" t="e">
        <f ca="1">INDIRECT(ADDRESS(53,6,1,,CONCATENATE("TA",$A702)))</f>
        <v>#REF!</v>
      </c>
      <c r="F702" s="625" t="e">
        <f ca="1">(ROUND((INDIRECT(ADDRESS(15,7,1,,CONCATENATE("TA",$A702)))*3.28*12*32),0)&amp;"/32")</f>
        <v>#REF!</v>
      </c>
      <c r="G702" s="125" t="e">
        <f ca="1">INDIRECT(ADDRESS(29,7,1,,$A702))</f>
        <v>#N/A</v>
      </c>
      <c r="H702" s="24" t="e">
        <f ca="1">INDIRECT(ADDRESS(19,7,1,,$A702))*100^3</f>
        <v>#N/A</v>
      </c>
      <c r="I702" s="941" t="e">
        <f ca="1">INDIRECT(ADDRESS(53,7,1,,$A702))</f>
        <v>#N/A</v>
      </c>
      <c r="J702" s="20" t="e">
        <f ca="1">IF($I702=$I$6,K$16&amp;$G$6&amp;J$6,IF($I702=$I$7,K$16&amp;$G$7&amp;J$7,"Bad"))</f>
        <v>#N/A</v>
      </c>
      <c r="K702" t="e">
        <f ca="1">INDEX(FlowCalGasMixture,MATCH(J702,FlowCalNumber,0),1,1)</f>
        <v>#N/A</v>
      </c>
      <c r="M702" s="944" t="e">
        <f ca="1">INDEX(FlowCalDevice,MATCH(J702,FlowCalNumber,0),1,1)</f>
        <v>#N/A</v>
      </c>
      <c r="N702" s="943" t="e">
        <f ca="1">IF($I702=$I$6,O$16&amp;$G$6&amp;"90"&amp;$H$6&amp;N$6,IF($I702=$I$7,O$16&amp;$G$7&amp;"90"&amp;$H$7&amp;N$7,"Bad"))</f>
        <v>#N/A</v>
      </c>
      <c r="O702" t="e">
        <f ca="1">INDEX(FlowCalGasMixture,MATCH(N702,FlowCalNumber,0),1,1)</f>
        <v>#N/A</v>
      </c>
      <c r="Q702" s="944" t="e">
        <f ca="1">INDEX(FlowCalDevice,MATCH(N702,FlowCalNumber,0),1,1)</f>
        <v>#N/A</v>
      </c>
      <c r="R702" s="943" t="e">
        <f ca="1">IF($I702=$I$6,S$16&amp;$G$6&amp;"90"&amp;$H$6&amp;R$6,IF($I702=$I$7,S$16&amp;$G$7&amp;"90"&amp;$H$7&amp;R$7,"Bad"))</f>
        <v>#N/A</v>
      </c>
      <c r="S702" t="e">
        <f ca="1">INDEX(FlowCalGasMixture,MATCH(R702,FlowCalNumber,0),1,1)</f>
        <v>#N/A</v>
      </c>
      <c r="U702" s="944" t="e">
        <f ca="1">INDEX(FlowCalDevice,MATCH(R702,FlowCalNumber,0),1,1)</f>
        <v>#N/A</v>
      </c>
      <c r="V702" s="20" t="e">
        <f ca="1">IF($I702=$I$6,W$16&amp;$G$6&amp;V$6,IF($I702=$I$7,W$16&amp;$G$7&amp;V$7,"Bad"))</f>
        <v>#N/A</v>
      </c>
      <c r="W702" t="e">
        <f ca="1">INDEX(FlowCalGasMixture,MATCH(V702,FlowCalNumber,0),1,1)</f>
        <v>#N/A</v>
      </c>
      <c r="Y702" s="944" t="e">
        <f ca="1">INDEX(FlowCalDevice,MATCH(V702,FlowCalNumber,0),1,1)</f>
        <v>#N/A</v>
      </c>
      <c r="Z702" s="946" t="e">
        <f ca="1">IF($I702=$I$6,AA$18&amp;$H$6&amp;Z$6,IF($I702=$I$7,AA$18&amp;$H$7&amp;Z$7,"Bad"))</f>
        <v>#N/A</v>
      </c>
      <c r="AA702" t="e">
        <f ca="1">INDEX(FlowCalGasMixture,MATCH(Z702,FlowCalNumber,0),1,1)</f>
        <v>#N/A</v>
      </c>
      <c r="AC702" s="944" t="e">
        <f ca="1">INDEX(FlowCalDevice,MATCH(Z702,FlowCalNumber,0),1,1)</f>
        <v>#N/A</v>
      </c>
      <c r="AD702" s="20" t="e">
        <f ca="1">IF($I702=$I$6,AE$16&amp;$G$6&amp;AD$6,IF($I702=$I$7,AE$16&amp;$G$7&amp;AD$7,"Bad"))</f>
        <v>#N/A</v>
      </c>
      <c r="AE702" t="e">
        <f ca="1">INDEX(FlowCalGasMixture,MATCH(AD702,FlowCalNumber,0),1,1)</f>
        <v>#N/A</v>
      </c>
      <c r="AG702" s="944" t="e">
        <f ca="1">INDEX(FlowCalDevice,MATCH(AD702,FlowCalNumber,0),1,1)</f>
        <v>#N/A</v>
      </c>
      <c r="AH702" s="946" t="e">
        <f ca="1">IF($I702=$I$6,AI$18&amp;$H$6&amp;AH$6,IF($I702=$I$7,AI$18&amp;$H$7&amp;AH$7,"Bad"))</f>
        <v>#N/A</v>
      </c>
      <c r="AI702" t="e">
        <f ca="1">INDEX(FlowCalGasMixture,MATCH(AH702,FlowCalNumber,0),1,1)</f>
        <v>#N/A</v>
      </c>
      <c r="AK702" s="944" t="e">
        <f ca="1">INDEX(FlowCalDevice,MATCH(AH702,FlowCalNumber,0),1,1)</f>
        <v>#N/A</v>
      </c>
      <c r="AL702" s="20"/>
      <c r="AO702" s="982"/>
      <c r="AP702" s="960"/>
      <c r="AS702" s="982"/>
      <c r="AT702" s="20"/>
      <c r="AW702" s="982"/>
      <c r="AX702" s="946"/>
      <c r="BA702" s="982"/>
      <c r="BB702" s="20"/>
      <c r="BC702" s="16"/>
      <c r="BE702" s="982"/>
      <c r="BF702" s="946"/>
      <c r="BG702" s="16"/>
      <c r="BI702" s="982"/>
      <c r="BJ702" s="946"/>
      <c r="BK702" s="16"/>
      <c r="BM702" s="982"/>
      <c r="BN702" s="20"/>
      <c r="BO702" s="16"/>
      <c r="BQ702" s="982"/>
      <c r="BR702" s="946"/>
      <c r="BS702" s="16"/>
      <c r="BU702" s="982"/>
      <c r="BV702" s="946"/>
      <c r="BW702" s="16"/>
      <c r="BY702" s="982"/>
      <c r="BZ702" s="946"/>
      <c r="CA702" s="16"/>
      <c r="CC702" s="982"/>
      <c r="CD702" s="355"/>
      <c r="CE702" s="355"/>
      <c r="CF702" s="355"/>
      <c r="CG702" s="355"/>
      <c r="CH702" s="355"/>
      <c r="CI702" s="355"/>
      <c r="CJ702" s="355"/>
      <c r="CK702" s="355"/>
      <c r="CL702" s="355"/>
      <c r="CM702" s="355"/>
      <c r="CN702" s="355"/>
      <c r="CO702" s="355"/>
      <c r="CP702" s="355"/>
      <c r="CQ702" s="355"/>
      <c r="CR702" s="355"/>
      <c r="CS702" s="355"/>
      <c r="CT702" s="355"/>
      <c r="CU702" s="355"/>
      <c r="CV702" s="355"/>
      <c r="CW702" s="355"/>
      <c r="CX702" s="355"/>
      <c r="CY702" s="355"/>
      <c r="CZ702" s="355"/>
      <c r="DA702" s="355"/>
      <c r="DB702" s="355"/>
      <c r="DC702" s="355"/>
      <c r="DD702" s="355"/>
      <c r="DE702" s="355"/>
      <c r="DF702" s="355"/>
      <c r="DG702" s="355"/>
      <c r="DH702" s="355"/>
      <c r="DI702" s="355"/>
      <c r="DJ702" s="355"/>
      <c r="DK702" s="355"/>
      <c r="DL702" s="46"/>
      <c r="DM702" s="16"/>
      <c r="DO702" s="355"/>
      <c r="DP702" s="42"/>
      <c r="DQ702" s="16"/>
      <c r="DS702" s="355"/>
      <c r="DT702" s="42"/>
      <c r="DU702" s="16"/>
      <c r="DW702" s="355"/>
      <c r="DX702" s="42"/>
      <c r="DY702" s="16"/>
      <c r="EA702" s="355"/>
    </row>
    <row r="703" spans="1:131">
      <c r="A703" s="20"/>
      <c r="B703" s="124" t="str">
        <f t="shared" ref="B703:B717" si="662">IF(D703=UAnem1percent,"1% Wind","")</f>
        <v/>
      </c>
      <c r="C703" s="235"/>
      <c r="D703" s="24">
        <f>'1% Wind'!$M$82</f>
        <v>27</v>
      </c>
      <c r="E703" s="90"/>
      <c r="F703" s="90"/>
      <c r="G703" s="79" t="e">
        <f ca="1">IF(I702=0.9743,$G702,MAX(G702/D702*D703,2))</f>
        <v>#N/A</v>
      </c>
      <c r="H703" s="121" t="e">
        <f t="shared" ref="H703:H717" ca="1" si="663">H702*(D702/D703)*(G703/G702)</f>
        <v>#N/A</v>
      </c>
      <c r="J703" s="33"/>
      <c r="K703" s="260">
        <f>K$17/100</f>
        <v>1</v>
      </c>
      <c r="L703" s="241" t="e">
        <f ca="1">K703*$H703</f>
        <v>#N/A</v>
      </c>
      <c r="M703" s="243" t="e">
        <f ca="1">IF(AND(INDEX(FlowCalConstA,MATCH(J702,FlowCalNumber,0),1,1)*L703^INDEX(FlowCalConstB,MATCH(J702,FlowCalNumber,0),1,1)&gt;INDEX(FlowCalLowSetting,MATCH(J702,FlowCalNumber,0),1,1), (INDEX(FlowCalConstA,MATCH(J702,FlowCalNumber,0),1,1)*L703^INDEX(FlowCalConstB,MATCH(J702,FlowCalNumber,0),1,1)&lt;INDEX(FlowCalHighSetting,MATCH(J702,FlowCalNumber,0),1,1))),INDEX(FlowCalConstA,MATCH(J702,FlowCalNumber,0),1,1)*L703^INDEX(FlowCalConstB,MATCH(J702,FlowCalNumber,0),1,1)," ")</f>
        <v>#N/A</v>
      </c>
      <c r="N703" s="33"/>
      <c r="O703" s="260">
        <f>O$17/100</f>
        <v>1</v>
      </c>
      <c r="P703" s="241" t="e">
        <f ca="1">O703*$H703</f>
        <v>#N/A</v>
      </c>
      <c r="Q703" s="243" t="e">
        <f ca="1">IF(AND(INDEX(FlowCalConstA,MATCH(N702,FlowCalNumber,0),1,1)*P703^INDEX(FlowCalConstB,MATCH(N702,FlowCalNumber,0),1,1)&gt;INDEX(FlowCalLowSetting,MATCH(N702,FlowCalNumber,0),1,1), (INDEX(FlowCalConstA,MATCH(N702,FlowCalNumber,0),1,1)*P703^INDEX(FlowCalConstB,MATCH(N702,FlowCalNumber,0),1,1)&lt;INDEX(FlowCalHighSetting,MATCH(N702,FlowCalNumber,0),1,1))),INDEX(FlowCalConstA,MATCH(N702,FlowCalNumber,0),1,1)*P703^INDEX(FlowCalConstB,MATCH(N702,FlowCalNumber,0),1,1)," ")</f>
        <v>#N/A</v>
      </c>
      <c r="R703" s="33"/>
      <c r="S703" s="260">
        <f>S$17/100</f>
        <v>1</v>
      </c>
      <c r="T703" s="241" t="e">
        <f ca="1">S703*$H703</f>
        <v>#N/A</v>
      </c>
      <c r="U703" s="244" t="e">
        <f ca="1">IF(AND(INDEX(FlowCalConstA,MATCH(R702,FlowCalNumber,0),1,1)*T703^INDEX(FlowCalConstB,MATCH(R702,FlowCalNumber,0),1,1)&gt;INDEX(FlowCalLowSetting,MATCH(R702,FlowCalNumber,0),1,1), (INDEX(FlowCalConstA,MATCH(R702,FlowCalNumber,0),1,1)*T703^INDEX(FlowCalConstB,MATCH(R702,FlowCalNumber,0),1,1)&lt;INDEX(FlowCalHighSetting,MATCH(R702,FlowCalNumber,0),1,1))),INDEX(FlowCalConstA,MATCH(R702,FlowCalNumber,0),1,1)*T703^INDEX(FlowCalConstB,MATCH(R702,FlowCalNumber,0),1,1)," ")</f>
        <v>#N/A</v>
      </c>
      <c r="V703" s="33"/>
      <c r="W703" s="260">
        <f>W$17/100</f>
        <v>0.1</v>
      </c>
      <c r="X703" s="241" t="e">
        <f ca="1">W703*$H703</f>
        <v>#N/A</v>
      </c>
      <c r="Y703" s="243" t="e">
        <f ca="1">IF(AND(INDEX(FlowCalConstA,MATCH(V702,FlowCalNumber,0),1,1)*X703^INDEX(FlowCalConstB,MATCH(V702,FlowCalNumber,0),1,1)&gt;INDEX(FlowCalLowSetting,MATCH(V702,FlowCalNumber,0),1,1), (INDEX(FlowCalConstA,MATCH(V702,FlowCalNumber,0),1,1)*X703^INDEX(FlowCalConstB,MATCH(V702,FlowCalNumber,0),1,1)&lt;INDEX(FlowCalHighSetting,MATCH(V702,FlowCalNumber,0),1,1))),INDEX(FlowCalConstA,MATCH(V702,FlowCalNumber,0),1,1)*X703^INDEX(FlowCalConstB,MATCH(V702,FlowCalNumber,0),1,1)," ")</f>
        <v>#N/A</v>
      </c>
      <c r="Z703" s="33"/>
      <c r="AA703" s="260">
        <f>AA$17/100</f>
        <v>0.9</v>
      </c>
      <c r="AB703" s="241" t="e">
        <f ca="1">AA703*$H703</f>
        <v>#N/A</v>
      </c>
      <c r="AC703" s="243" t="e">
        <f ca="1">IF(AND(INDEX(FlowCalConstA,MATCH(Z702,FlowCalNumber,0),1,1)*AB703^INDEX(FlowCalConstB,MATCH(Z702,FlowCalNumber,0),1,1)&gt;INDEX(FlowCalLowSetting,MATCH(Z702,FlowCalNumber,0),1,1), (INDEX(FlowCalConstA,MATCH(Z702,FlowCalNumber,0),1,1)*AB703^INDEX(FlowCalConstB,MATCH(Z702,FlowCalNumber,0),1,1)&lt;INDEX(FlowCalHighSetting,MATCH(Z702,FlowCalNumber,0),1,1))),INDEX(FlowCalConstA,MATCH(Z702,FlowCalNumber,0),1,1)*AB703^INDEX(FlowCalConstB,MATCH(Z702,FlowCalNumber,0),1,1)," ")</f>
        <v>#N/A</v>
      </c>
      <c r="AD703" s="33"/>
      <c r="AE703" s="260">
        <f>AE$17/100</f>
        <v>0.1</v>
      </c>
      <c r="AF703" s="241" t="e">
        <f ca="1">AE703*$H703</f>
        <v>#N/A</v>
      </c>
      <c r="AG703" s="243" t="e">
        <f ca="1">IF(AND(INDEX(FlowCalConstA,MATCH(AD702,FlowCalNumber,0),1,1)*AF703^INDEX(FlowCalConstB,MATCH(AD702,FlowCalNumber,0),1,1)&gt;INDEX(FlowCalLowSetting,MATCH(AD702,FlowCalNumber,0),1,1), (INDEX(FlowCalConstA,MATCH(AD702,FlowCalNumber,0),1,1)*AF703^INDEX(FlowCalConstB,MATCH(AD702,FlowCalNumber,0),1,1)&lt;INDEX(FlowCalHighSetting,MATCH(AD702,FlowCalNumber,0),1,1))),INDEX(FlowCalConstA,MATCH(AD702,FlowCalNumber,0),1,1)*AF703^INDEX(FlowCalConstB,MATCH(AD702,FlowCalNumber,0),1,1)," ")</f>
        <v>#N/A</v>
      </c>
      <c r="AH703" s="33"/>
      <c r="AI703" s="260">
        <f>AI$17/100</f>
        <v>0.9</v>
      </c>
      <c r="AJ703" s="241" t="e">
        <f ca="1">AI703*$H703</f>
        <v>#N/A</v>
      </c>
      <c r="AK703" s="243" t="e">
        <f ca="1">IF(AND(INDEX(FlowCalConstA,MATCH(AH702,FlowCalNumber,0),1,1)*AJ703^INDEX(FlowCalConstB,MATCH(AH702,FlowCalNumber,0),1,1)&gt;INDEX(FlowCalLowSetting,MATCH(AH702,FlowCalNumber,0),1,1), (INDEX(FlowCalConstA,MATCH(AH702,FlowCalNumber,0),1,1)*AJ703^INDEX(FlowCalConstB,MATCH(AH702,FlowCalNumber,0),1,1)&lt;INDEX(FlowCalHighSetting,MATCH(AH702,FlowCalNumber,0),1,1))),INDEX(FlowCalConstA,MATCH(AH702,FlowCalNumber,0),1,1)*AJ703^INDEX(FlowCalConstB,MATCH(AH702,FlowCalNumber,0),1,1)," ")</f>
        <v>#N/A</v>
      </c>
      <c r="AL703" s="33"/>
      <c r="AM703" s="260"/>
      <c r="AN703" s="241"/>
      <c r="AO703" s="244"/>
      <c r="AQ703" s="260"/>
      <c r="AR703" s="241"/>
      <c r="AS703" s="244"/>
      <c r="AT703" s="33"/>
      <c r="AU703" s="260"/>
      <c r="AV703" s="241"/>
      <c r="AW703" s="244"/>
      <c r="AX703" s="33"/>
      <c r="AY703" s="260"/>
      <c r="AZ703" s="241"/>
      <c r="BA703" s="244"/>
      <c r="BB703" s="33"/>
      <c r="BC703" s="260"/>
      <c r="BD703" s="241"/>
      <c r="BE703" s="244"/>
      <c r="BF703" s="33"/>
      <c r="BG703" s="260"/>
      <c r="BH703" s="241"/>
      <c r="BI703" s="244"/>
      <c r="BJ703" s="33"/>
      <c r="BK703" s="260"/>
      <c r="BL703" s="241"/>
      <c r="BM703" s="244"/>
      <c r="BN703" s="33"/>
      <c r="BO703" s="260"/>
      <c r="BP703" s="241"/>
      <c r="BQ703" s="244"/>
      <c r="BR703" s="33"/>
      <c r="BS703" s="260"/>
      <c r="BT703" s="241"/>
      <c r="BU703" s="244"/>
      <c r="BV703" s="33"/>
      <c r="BW703" s="260"/>
      <c r="BX703" s="241"/>
      <c r="BY703" s="244"/>
      <c r="BZ703" s="33"/>
      <c r="CA703" s="260"/>
      <c r="CB703" s="241"/>
      <c r="CC703" s="244"/>
      <c r="CD703" s="243"/>
      <c r="CE703" s="243"/>
      <c r="CF703" s="243"/>
      <c r="CG703" s="243"/>
      <c r="CH703" s="243"/>
      <c r="CI703" s="243"/>
      <c r="CJ703" s="243"/>
      <c r="CK703" s="243"/>
      <c r="CL703" s="243"/>
      <c r="CM703" s="243"/>
      <c r="CN703" s="243"/>
      <c r="CO703" s="243"/>
      <c r="CP703" s="243"/>
      <c r="CQ703" s="243"/>
      <c r="CR703" s="243"/>
      <c r="CS703" s="243"/>
      <c r="CT703" s="243"/>
      <c r="CU703" s="243"/>
      <c r="CV703" s="243"/>
      <c r="CW703" s="243"/>
      <c r="CX703" s="243"/>
      <c r="CY703" s="243"/>
      <c r="CZ703" s="243"/>
      <c r="DA703" s="243"/>
      <c r="DB703" s="243"/>
      <c r="DC703" s="243"/>
      <c r="DD703" s="243"/>
      <c r="DE703" s="243"/>
      <c r="DF703" s="243"/>
      <c r="DG703" s="243"/>
      <c r="DH703" s="243"/>
      <c r="DI703" s="243"/>
      <c r="DJ703" s="243"/>
      <c r="DK703" s="243"/>
      <c r="DM703" s="259"/>
      <c r="DO703" s="243"/>
      <c r="DQ703" s="259"/>
      <c r="DS703" s="243"/>
      <c r="DU703" s="259"/>
      <c r="DW703" s="243"/>
      <c r="DY703" s="260"/>
      <c r="EA703" s="243"/>
    </row>
    <row r="704" spans="1:131">
      <c r="A704" s="20"/>
      <c r="B704" s="124" t="str">
        <f t="shared" si="662"/>
        <v/>
      </c>
      <c r="C704" s="235"/>
      <c r="D704" s="24">
        <f>'1% Wind'!$M$83</f>
        <v>23.5</v>
      </c>
      <c r="E704" s="90"/>
      <c r="F704" s="90"/>
      <c r="G704" s="79" t="e">
        <f ca="1">IF(I702=0.9743,$G703,MAX(G703/D703*D704,2))</f>
        <v>#N/A</v>
      </c>
      <c r="H704" s="121" t="e">
        <f t="shared" ca="1" si="663"/>
        <v>#N/A</v>
      </c>
      <c r="J704" s="33"/>
      <c r="K704" s="242">
        <f t="shared" ref="K704:K717" si="664">K703</f>
        <v>1</v>
      </c>
      <c r="L704" s="241" t="e">
        <f t="shared" ref="L704:L717" ca="1" si="665">K704*$H704</f>
        <v>#N/A</v>
      </c>
      <c r="M704" s="243" t="e">
        <f ca="1">IF(AND(INDEX(FlowCalConstA,MATCH(J702,FlowCalNumber,0),1,1)*L704^INDEX(FlowCalConstB,MATCH(J702,FlowCalNumber,0),1,1)&gt;INDEX(FlowCalLowSetting,MATCH(J702,FlowCalNumber,0),1,1), (INDEX(FlowCalConstA,MATCH(J702,FlowCalNumber,0),1,1)*L704^INDEX(FlowCalConstB,MATCH(J702,FlowCalNumber,0),1,1)&lt;INDEX(FlowCalHighSetting,MATCH(J702,FlowCalNumber,0),1,1))),INDEX(FlowCalConstA,MATCH(J702,FlowCalNumber,0),1,1)*L704^INDEX(FlowCalConstB,MATCH(J702,FlowCalNumber,0),1,1)," ")</f>
        <v>#N/A</v>
      </c>
      <c r="N704" s="33"/>
      <c r="O704" s="242">
        <f t="shared" ref="O704:O717" si="666">O703</f>
        <v>1</v>
      </c>
      <c r="P704" s="241" t="e">
        <f t="shared" ref="P704:P717" ca="1" si="667">O704*$H704</f>
        <v>#N/A</v>
      </c>
      <c r="Q704" s="243" t="e">
        <f ca="1">IF(AND(INDEX(FlowCalConstA,MATCH(N702,FlowCalNumber,0),1,1)*P704^INDEX(FlowCalConstB,MATCH(N702,FlowCalNumber,0),1,1)&gt;INDEX(FlowCalLowSetting,MATCH(N702,FlowCalNumber,0),1,1), (INDEX(FlowCalConstA,MATCH(N702,FlowCalNumber,0),1,1)*P704^INDEX(FlowCalConstB,MATCH(N702,FlowCalNumber,0),1,1)&lt;INDEX(FlowCalHighSetting,MATCH(N702,FlowCalNumber,0),1,1))),INDEX(FlowCalConstA,MATCH(N702,FlowCalNumber,0),1,1)*P704^INDEX(FlowCalConstB,MATCH(N702,FlowCalNumber,0),1,1)," ")</f>
        <v>#N/A</v>
      </c>
      <c r="R704" s="33"/>
      <c r="S704" s="242">
        <f t="shared" ref="S704:S717" si="668">S703</f>
        <v>1</v>
      </c>
      <c r="T704" s="241" t="e">
        <f t="shared" ref="T704:T717" ca="1" si="669">S704*$H704</f>
        <v>#N/A</v>
      </c>
      <c r="U704" s="244" t="e">
        <f ca="1">IF(AND(INDEX(FlowCalConstA,MATCH(R702,FlowCalNumber,0),1,1)*T704^INDEX(FlowCalConstB,MATCH(R702,FlowCalNumber,0),1,1)&gt;INDEX(FlowCalLowSetting,MATCH(R702,FlowCalNumber,0),1,1), (INDEX(FlowCalConstA,MATCH(R702,FlowCalNumber,0),1,1)*T704^INDEX(FlowCalConstB,MATCH(R702,FlowCalNumber,0),1,1)&lt;INDEX(FlowCalHighSetting,MATCH(R702,FlowCalNumber,0),1,1))),INDEX(FlowCalConstA,MATCH(R702,FlowCalNumber,0),1,1)*T704^INDEX(FlowCalConstB,MATCH(R702,FlowCalNumber,0),1,1)," ")</f>
        <v>#N/A</v>
      </c>
      <c r="V704" s="33"/>
      <c r="W704" s="242">
        <f t="shared" ref="W704:W717" si="670">W703</f>
        <v>0.1</v>
      </c>
      <c r="X704" s="241" t="e">
        <f t="shared" ref="X704:X717" ca="1" si="671">W704*$H704</f>
        <v>#N/A</v>
      </c>
      <c r="Y704" s="243" t="e">
        <f ca="1">IF(AND(INDEX(FlowCalConstA,MATCH(V702,FlowCalNumber,0),1,1)*X704^INDEX(FlowCalConstB,MATCH(V702,FlowCalNumber,0),1,1)&gt;INDEX(FlowCalLowSetting,MATCH(V702,FlowCalNumber,0),1,1), (INDEX(FlowCalConstA,MATCH(V702,FlowCalNumber,0),1,1)*X704^INDEX(FlowCalConstB,MATCH(V702,FlowCalNumber,0),1,1)&lt;INDEX(FlowCalHighSetting,MATCH(V702,FlowCalNumber,0),1,1))),INDEX(FlowCalConstA,MATCH(V702,FlowCalNumber,0),1,1)*X704^INDEX(FlowCalConstB,MATCH(V702,FlowCalNumber,0),1,1)," ")</f>
        <v>#N/A</v>
      </c>
      <c r="Z704" s="33"/>
      <c r="AA704" s="242">
        <f t="shared" ref="AA704:AA717" si="672">AA703</f>
        <v>0.9</v>
      </c>
      <c r="AB704" s="241" t="e">
        <f t="shared" ref="AB704:AB717" ca="1" si="673">AA704*$H704</f>
        <v>#N/A</v>
      </c>
      <c r="AC704" s="243" t="e">
        <f ca="1">IF(AND(INDEX(FlowCalConstA,MATCH(Z702,FlowCalNumber,0),1,1)*AB704^INDEX(FlowCalConstB,MATCH(Z702,FlowCalNumber,0),1,1)&gt;INDEX(FlowCalLowSetting,MATCH(Z702,FlowCalNumber,0),1,1), (INDEX(FlowCalConstA,MATCH(Z702,FlowCalNumber,0),1,1)*AB704^INDEX(FlowCalConstB,MATCH(Z702,FlowCalNumber,0),1,1)&lt;INDEX(FlowCalHighSetting,MATCH(Z702,FlowCalNumber,0),1,1))),INDEX(FlowCalConstA,MATCH(Z702,FlowCalNumber,0),1,1)*AB704^INDEX(FlowCalConstB,MATCH(Z702,FlowCalNumber,0),1,1)," ")</f>
        <v>#N/A</v>
      </c>
      <c r="AD704" s="33"/>
      <c r="AE704" s="242">
        <f t="shared" ref="AE704:AE717" si="674">AE703</f>
        <v>0.1</v>
      </c>
      <c r="AF704" s="241" t="e">
        <f t="shared" ref="AF704:AF717" ca="1" si="675">AE704*$H704</f>
        <v>#N/A</v>
      </c>
      <c r="AG704" s="243" t="e">
        <f ca="1">IF(AND(INDEX(FlowCalConstA,MATCH(AD702,FlowCalNumber,0),1,1)*AF704^INDEX(FlowCalConstB,MATCH(AD702,FlowCalNumber,0),1,1)&gt;INDEX(FlowCalLowSetting,MATCH(AD702,FlowCalNumber,0),1,1), (INDEX(FlowCalConstA,MATCH(AD702,FlowCalNumber,0),1,1)*AF704^INDEX(FlowCalConstB,MATCH(AD702,FlowCalNumber,0),1,1)&lt;INDEX(FlowCalHighSetting,MATCH(AD702,FlowCalNumber,0),1,1))),INDEX(FlowCalConstA,MATCH(AD702,FlowCalNumber,0),1,1)*AF704^INDEX(FlowCalConstB,MATCH(AD702,FlowCalNumber,0),1,1)," ")</f>
        <v>#N/A</v>
      </c>
      <c r="AH704" s="33"/>
      <c r="AI704" s="242">
        <f t="shared" ref="AI704:AI717" si="676">AI703</f>
        <v>0.9</v>
      </c>
      <c r="AJ704" s="241" t="e">
        <f t="shared" ref="AJ704:AJ717" ca="1" si="677">AI704*$H704</f>
        <v>#N/A</v>
      </c>
      <c r="AK704" s="243" t="e">
        <f ca="1">IF(AND(INDEX(FlowCalConstA,MATCH(AH702,FlowCalNumber,0),1,1)*AJ704^INDEX(FlowCalConstB,MATCH(AH702,FlowCalNumber,0),1,1)&gt;INDEX(FlowCalLowSetting,MATCH(AH702,FlowCalNumber,0),1,1), (INDEX(FlowCalConstA,MATCH(AH702,FlowCalNumber,0),1,1)*AJ704^INDEX(FlowCalConstB,MATCH(AH702,FlowCalNumber,0),1,1)&lt;INDEX(FlowCalHighSetting,MATCH(AH702,FlowCalNumber,0),1,1))),INDEX(FlowCalConstA,MATCH(AH702,FlowCalNumber,0),1,1)*AJ704^INDEX(FlowCalConstB,MATCH(AH702,FlowCalNumber,0),1,1)," ")</f>
        <v>#N/A</v>
      </c>
      <c r="AL704" s="33"/>
      <c r="AM704" s="242"/>
      <c r="AN704" s="241"/>
      <c r="AO704" s="244"/>
      <c r="AQ704" s="242"/>
      <c r="AR704" s="241"/>
      <c r="AS704" s="244"/>
      <c r="AT704" s="33"/>
      <c r="AU704" s="242"/>
      <c r="AV704" s="241"/>
      <c r="AW704" s="244"/>
      <c r="AX704" s="33"/>
      <c r="AY704" s="242"/>
      <c r="AZ704" s="241"/>
      <c r="BA704" s="244"/>
      <c r="BB704" s="33"/>
      <c r="BC704" s="242"/>
      <c r="BD704" s="241"/>
      <c r="BE704" s="244"/>
      <c r="BF704" s="33"/>
      <c r="BG704" s="242"/>
      <c r="BH704" s="241"/>
      <c r="BI704" s="244"/>
      <c r="BJ704" s="33"/>
      <c r="BK704" s="242"/>
      <c r="BL704" s="241"/>
      <c r="BM704" s="244"/>
      <c r="BN704" s="33"/>
      <c r="BO704" s="242"/>
      <c r="BP704" s="241"/>
      <c r="BQ704" s="244"/>
      <c r="BR704" s="33"/>
      <c r="BS704" s="242"/>
      <c r="BT704" s="241"/>
      <c r="BU704" s="244"/>
      <c r="BV704" s="33"/>
      <c r="BW704" s="242"/>
      <c r="BX704" s="241"/>
      <c r="BY704" s="244"/>
      <c r="BZ704" s="33"/>
      <c r="CA704" s="242"/>
      <c r="CB704" s="241"/>
      <c r="CC704" s="244"/>
      <c r="CD704" s="243"/>
      <c r="CE704" s="243"/>
      <c r="CF704" s="243"/>
      <c r="CG704" s="243"/>
      <c r="CH704" s="243"/>
      <c r="CI704" s="243"/>
      <c r="CJ704" s="243"/>
      <c r="CK704" s="243"/>
      <c r="CL704" s="243"/>
      <c r="CM704" s="243"/>
      <c r="CN704" s="243"/>
      <c r="CO704" s="243"/>
      <c r="CP704" s="243"/>
      <c r="CQ704" s="243"/>
      <c r="CR704" s="243"/>
      <c r="CS704" s="243"/>
      <c r="CT704" s="243"/>
      <c r="CU704" s="243"/>
      <c r="CV704" s="243"/>
      <c r="CW704" s="243"/>
      <c r="CX704" s="243"/>
      <c r="CY704" s="243"/>
      <c r="CZ704" s="243"/>
      <c r="DA704" s="243"/>
      <c r="DB704" s="243"/>
      <c r="DC704" s="243"/>
      <c r="DD704" s="243"/>
      <c r="DE704" s="243"/>
      <c r="DF704" s="243"/>
      <c r="DG704" s="243"/>
      <c r="DH704" s="243"/>
      <c r="DI704" s="243"/>
      <c r="DJ704" s="243"/>
      <c r="DK704" s="243"/>
      <c r="DM704" s="242"/>
      <c r="DO704" s="243"/>
      <c r="DQ704" s="242"/>
      <c r="DS704" s="243"/>
      <c r="DU704" s="242"/>
      <c r="DW704" s="243"/>
      <c r="DY704" s="242"/>
      <c r="EA704" s="243"/>
    </row>
    <row r="705" spans="1:131">
      <c r="A705" s="20"/>
      <c r="B705" s="124" t="str">
        <f t="shared" si="662"/>
        <v/>
      </c>
      <c r="C705" s="235"/>
      <c r="D705" s="24">
        <f>'1% Wind'!$M$84</f>
        <v>20.5</v>
      </c>
      <c r="E705" s="90"/>
      <c r="F705" s="90"/>
      <c r="G705" s="79" t="e">
        <f ca="1">IF(I702=0.9743,$G704,MAX(G704/D704*D705,2))</f>
        <v>#N/A</v>
      </c>
      <c r="H705" s="121" t="e">
        <f t="shared" ca="1" si="663"/>
        <v>#N/A</v>
      </c>
      <c r="J705" s="33"/>
      <c r="K705" s="242">
        <f t="shared" si="664"/>
        <v>1</v>
      </c>
      <c r="L705" s="241" t="e">
        <f t="shared" ca="1" si="665"/>
        <v>#N/A</v>
      </c>
      <c r="M705" s="243" t="e">
        <f ca="1">IF(AND(INDEX(FlowCalConstA,MATCH(J702,FlowCalNumber,0),1,1)*L705^INDEX(FlowCalConstB,MATCH(J702,FlowCalNumber,0),1,1)&gt;INDEX(FlowCalLowSetting,MATCH(J702,FlowCalNumber,0),1,1), (INDEX(FlowCalConstA,MATCH(J702,FlowCalNumber,0),1,1)*L705^INDEX(FlowCalConstB,MATCH(J702,FlowCalNumber,0),1,1)&lt;INDEX(FlowCalHighSetting,MATCH(J702,FlowCalNumber,0),1,1))),INDEX(FlowCalConstA,MATCH(J702,FlowCalNumber,0),1,1)*L705^INDEX(FlowCalConstB,MATCH(J702,FlowCalNumber,0),1,1)," ")</f>
        <v>#N/A</v>
      </c>
      <c r="N705" s="33"/>
      <c r="O705" s="242">
        <f t="shared" si="666"/>
        <v>1</v>
      </c>
      <c r="P705" s="241" t="e">
        <f t="shared" ca="1" si="667"/>
        <v>#N/A</v>
      </c>
      <c r="Q705" s="243" t="e">
        <f ca="1">IF(AND(INDEX(FlowCalConstA,MATCH(N702,FlowCalNumber,0),1,1)*P705^INDEX(FlowCalConstB,MATCH(N702,FlowCalNumber,0),1,1)&gt;INDEX(FlowCalLowSetting,MATCH(N702,FlowCalNumber,0),1,1), (INDEX(FlowCalConstA,MATCH(N702,FlowCalNumber,0),1,1)*P705^INDEX(FlowCalConstB,MATCH(N702,FlowCalNumber,0),1,1)&lt;INDEX(FlowCalHighSetting,MATCH(N702,FlowCalNumber,0),1,1))),INDEX(FlowCalConstA,MATCH(N702,FlowCalNumber,0),1,1)*P705^INDEX(FlowCalConstB,MATCH(N702,FlowCalNumber,0),1,1)," ")</f>
        <v>#N/A</v>
      </c>
      <c r="R705" s="33"/>
      <c r="S705" s="242">
        <f t="shared" si="668"/>
        <v>1</v>
      </c>
      <c r="T705" s="241" t="e">
        <f t="shared" ca="1" si="669"/>
        <v>#N/A</v>
      </c>
      <c r="U705" s="244" t="e">
        <f ca="1">IF(AND(INDEX(FlowCalConstA,MATCH(R702,FlowCalNumber,0),1,1)*T705^INDEX(FlowCalConstB,MATCH(R702,FlowCalNumber,0),1,1)&gt;INDEX(FlowCalLowSetting,MATCH(R702,FlowCalNumber,0),1,1), (INDEX(FlowCalConstA,MATCH(R702,FlowCalNumber,0),1,1)*T705^INDEX(FlowCalConstB,MATCH(R702,FlowCalNumber,0),1,1)&lt;INDEX(FlowCalHighSetting,MATCH(R702,FlowCalNumber,0),1,1))),INDEX(FlowCalConstA,MATCH(R702,FlowCalNumber,0),1,1)*T705^INDEX(FlowCalConstB,MATCH(R702,FlowCalNumber,0),1,1)," ")</f>
        <v>#N/A</v>
      </c>
      <c r="V705" s="33"/>
      <c r="W705" s="242">
        <f t="shared" si="670"/>
        <v>0.1</v>
      </c>
      <c r="X705" s="241" t="e">
        <f t="shared" ca="1" si="671"/>
        <v>#N/A</v>
      </c>
      <c r="Y705" s="243" t="e">
        <f ca="1">IF(AND(INDEX(FlowCalConstA,MATCH(V702,FlowCalNumber,0),1,1)*X705^INDEX(FlowCalConstB,MATCH(V702,FlowCalNumber,0),1,1)&gt;INDEX(FlowCalLowSetting,MATCH(V702,FlowCalNumber,0),1,1), (INDEX(FlowCalConstA,MATCH(V702,FlowCalNumber,0),1,1)*X705^INDEX(FlowCalConstB,MATCH(V702,FlowCalNumber,0),1,1)&lt;INDEX(FlowCalHighSetting,MATCH(V702,FlowCalNumber,0),1,1))),INDEX(FlowCalConstA,MATCH(V702,FlowCalNumber,0),1,1)*X705^INDEX(FlowCalConstB,MATCH(V702,FlowCalNumber,0),1,1)," ")</f>
        <v>#N/A</v>
      </c>
      <c r="Z705" s="33"/>
      <c r="AA705" s="242">
        <f t="shared" si="672"/>
        <v>0.9</v>
      </c>
      <c r="AB705" s="241" t="e">
        <f t="shared" ca="1" si="673"/>
        <v>#N/A</v>
      </c>
      <c r="AC705" s="243" t="e">
        <f ca="1">IF(AND(INDEX(FlowCalConstA,MATCH(Z702,FlowCalNumber,0),1,1)*AB705^INDEX(FlowCalConstB,MATCH(Z702,FlowCalNumber,0),1,1)&gt;INDEX(FlowCalLowSetting,MATCH(Z702,FlowCalNumber,0),1,1), (INDEX(FlowCalConstA,MATCH(Z702,FlowCalNumber,0),1,1)*AB705^INDEX(FlowCalConstB,MATCH(Z702,FlowCalNumber,0),1,1)&lt;INDEX(FlowCalHighSetting,MATCH(Z702,FlowCalNumber,0),1,1))),INDEX(FlowCalConstA,MATCH(Z702,FlowCalNumber,0),1,1)*AB705^INDEX(FlowCalConstB,MATCH(Z702,FlowCalNumber,0),1,1)," ")</f>
        <v>#N/A</v>
      </c>
      <c r="AD705" s="33"/>
      <c r="AE705" s="242">
        <f t="shared" si="674"/>
        <v>0.1</v>
      </c>
      <c r="AF705" s="241" t="e">
        <f t="shared" ca="1" si="675"/>
        <v>#N/A</v>
      </c>
      <c r="AG705" s="243" t="e">
        <f ca="1">IF(AND(INDEX(FlowCalConstA,MATCH(AD702,FlowCalNumber,0),1,1)*AF705^INDEX(FlowCalConstB,MATCH(AD702,FlowCalNumber,0),1,1)&gt;INDEX(FlowCalLowSetting,MATCH(AD702,FlowCalNumber,0),1,1), (INDEX(FlowCalConstA,MATCH(AD702,FlowCalNumber,0),1,1)*AF705^INDEX(FlowCalConstB,MATCH(AD702,FlowCalNumber,0),1,1)&lt;INDEX(FlowCalHighSetting,MATCH(AD702,FlowCalNumber,0),1,1))),INDEX(FlowCalConstA,MATCH(AD702,FlowCalNumber,0),1,1)*AF705^INDEX(FlowCalConstB,MATCH(AD702,FlowCalNumber,0),1,1)," ")</f>
        <v>#N/A</v>
      </c>
      <c r="AH705" s="33"/>
      <c r="AI705" s="242">
        <f t="shared" si="676"/>
        <v>0.9</v>
      </c>
      <c r="AJ705" s="241" t="e">
        <f t="shared" ca="1" si="677"/>
        <v>#N/A</v>
      </c>
      <c r="AK705" s="243" t="e">
        <f ca="1">IF(AND(INDEX(FlowCalConstA,MATCH(AH702,FlowCalNumber,0),1,1)*AJ705^INDEX(FlowCalConstB,MATCH(AH702,FlowCalNumber,0),1,1)&gt;INDEX(FlowCalLowSetting,MATCH(AH702,FlowCalNumber,0),1,1), (INDEX(FlowCalConstA,MATCH(AH702,FlowCalNumber,0),1,1)*AJ705^INDEX(FlowCalConstB,MATCH(AH702,FlowCalNumber,0),1,1)&lt;INDEX(FlowCalHighSetting,MATCH(AH702,FlowCalNumber,0),1,1))),INDEX(FlowCalConstA,MATCH(AH702,FlowCalNumber,0),1,1)*AJ705^INDEX(FlowCalConstB,MATCH(AH702,FlowCalNumber,0),1,1)," ")</f>
        <v>#N/A</v>
      </c>
      <c r="AL705" s="33"/>
      <c r="AM705" s="242"/>
      <c r="AN705" s="241"/>
      <c r="AO705" s="244"/>
      <c r="AQ705" s="242"/>
      <c r="AR705" s="241"/>
      <c r="AS705" s="244"/>
      <c r="AT705" s="33"/>
      <c r="AU705" s="242"/>
      <c r="AV705" s="241"/>
      <c r="AW705" s="244"/>
      <c r="AX705" s="33"/>
      <c r="AY705" s="242"/>
      <c r="AZ705" s="241"/>
      <c r="BA705" s="244"/>
      <c r="BB705" s="33"/>
      <c r="BC705" s="242"/>
      <c r="BD705" s="241"/>
      <c r="BE705" s="244"/>
      <c r="BF705" s="33"/>
      <c r="BG705" s="242"/>
      <c r="BH705" s="241"/>
      <c r="BI705" s="244"/>
      <c r="BJ705" s="33"/>
      <c r="BK705" s="242"/>
      <c r="BL705" s="241"/>
      <c r="BM705" s="244"/>
      <c r="BN705" s="33"/>
      <c r="BO705" s="242"/>
      <c r="BP705" s="241"/>
      <c r="BQ705" s="244"/>
      <c r="BR705" s="33"/>
      <c r="BS705" s="242"/>
      <c r="BT705" s="241"/>
      <c r="BU705" s="244"/>
      <c r="BV705" s="33"/>
      <c r="BW705" s="242"/>
      <c r="BX705" s="241"/>
      <c r="BY705" s="244"/>
      <c r="BZ705" s="33"/>
      <c r="CA705" s="242"/>
      <c r="CB705" s="241"/>
      <c r="CC705" s="244"/>
      <c r="CD705" s="243"/>
      <c r="CE705" s="243"/>
      <c r="CF705" s="243"/>
      <c r="CG705" s="243"/>
      <c r="CH705" s="243"/>
      <c r="CI705" s="243"/>
      <c r="CJ705" s="243"/>
      <c r="CK705" s="243"/>
      <c r="CL705" s="243"/>
      <c r="CM705" s="243"/>
      <c r="CN705" s="243"/>
      <c r="CO705" s="243"/>
      <c r="CP705" s="243"/>
      <c r="CQ705" s="243"/>
      <c r="CR705" s="243"/>
      <c r="CS705" s="243"/>
      <c r="CT705" s="243"/>
      <c r="CU705" s="243"/>
      <c r="CV705" s="243"/>
      <c r="CW705" s="243"/>
      <c r="CX705" s="243"/>
      <c r="CY705" s="243"/>
      <c r="CZ705" s="243"/>
      <c r="DA705" s="243"/>
      <c r="DB705" s="243"/>
      <c r="DC705" s="243"/>
      <c r="DD705" s="243"/>
      <c r="DE705" s="243"/>
      <c r="DF705" s="243"/>
      <c r="DG705" s="243"/>
      <c r="DH705" s="243"/>
      <c r="DI705" s="243"/>
      <c r="DJ705" s="243"/>
      <c r="DK705" s="243"/>
      <c r="DM705" s="242"/>
      <c r="DO705" s="243"/>
      <c r="DQ705" s="242"/>
      <c r="DS705" s="243"/>
      <c r="DU705" s="242"/>
      <c r="DW705" s="243"/>
      <c r="DY705" s="242"/>
      <c r="EA705" s="243"/>
    </row>
    <row r="706" spans="1:131">
      <c r="A706" s="20"/>
      <c r="B706" s="124" t="str">
        <f t="shared" si="662"/>
        <v/>
      </c>
      <c r="C706" s="235"/>
      <c r="D706" s="24">
        <f>'1% Wind'!$M$85</f>
        <v>17.8</v>
      </c>
      <c r="E706" s="90"/>
      <c r="F706" s="90"/>
      <c r="G706" s="79" t="e">
        <f ca="1">IF(I702=0.9743,$G705,MAX(G705/D705*D706,2))</f>
        <v>#N/A</v>
      </c>
      <c r="H706" s="121" t="e">
        <f t="shared" ca="1" si="663"/>
        <v>#N/A</v>
      </c>
      <c r="J706" s="33"/>
      <c r="K706" s="242">
        <f t="shared" si="664"/>
        <v>1</v>
      </c>
      <c r="L706" s="241" t="e">
        <f t="shared" ca="1" si="665"/>
        <v>#N/A</v>
      </c>
      <c r="M706" s="243" t="e">
        <f ca="1">IF(AND(INDEX(FlowCalConstA,MATCH(J702,FlowCalNumber,0),1,1)*L706^INDEX(FlowCalConstB,MATCH(J702,FlowCalNumber,0),1,1)&gt;INDEX(FlowCalLowSetting,MATCH(J702,FlowCalNumber,0),1,1), (INDEX(FlowCalConstA,MATCH(J702,FlowCalNumber,0),1,1)*L706^INDEX(FlowCalConstB,MATCH(J702,FlowCalNumber,0),1,1)&lt;INDEX(FlowCalHighSetting,MATCH(J702,FlowCalNumber,0),1,1))),INDEX(FlowCalConstA,MATCH(J702,FlowCalNumber,0),1,1)*L706^INDEX(FlowCalConstB,MATCH(J702,FlowCalNumber,0),1,1)," ")</f>
        <v>#N/A</v>
      </c>
      <c r="N706" s="33"/>
      <c r="O706" s="242">
        <f t="shared" si="666"/>
        <v>1</v>
      </c>
      <c r="P706" s="241" t="e">
        <f t="shared" ca="1" si="667"/>
        <v>#N/A</v>
      </c>
      <c r="Q706" s="243" t="e">
        <f ca="1">IF(AND(INDEX(FlowCalConstA,MATCH(N702,FlowCalNumber,0),1,1)*P706^INDEX(FlowCalConstB,MATCH(N702,FlowCalNumber,0),1,1)&gt;INDEX(FlowCalLowSetting,MATCH(N702,FlowCalNumber,0),1,1), (INDEX(FlowCalConstA,MATCH(N702,FlowCalNumber,0),1,1)*P706^INDEX(FlowCalConstB,MATCH(N702,FlowCalNumber,0),1,1)&lt;INDEX(FlowCalHighSetting,MATCH(N702,FlowCalNumber,0),1,1))),INDEX(FlowCalConstA,MATCH(N702,FlowCalNumber,0),1,1)*P706^INDEX(FlowCalConstB,MATCH(N702,FlowCalNumber,0),1,1)," ")</f>
        <v>#N/A</v>
      </c>
      <c r="R706" s="33"/>
      <c r="S706" s="242">
        <f t="shared" si="668"/>
        <v>1</v>
      </c>
      <c r="T706" s="241" t="e">
        <f t="shared" ca="1" si="669"/>
        <v>#N/A</v>
      </c>
      <c r="U706" s="244" t="e">
        <f ca="1">IF(AND(INDEX(FlowCalConstA,MATCH(R702,FlowCalNumber,0),1,1)*T706^INDEX(FlowCalConstB,MATCH(R702,FlowCalNumber,0),1,1)&gt;INDEX(FlowCalLowSetting,MATCH(R702,FlowCalNumber,0),1,1), (INDEX(FlowCalConstA,MATCH(R702,FlowCalNumber,0),1,1)*T706^INDEX(FlowCalConstB,MATCH(R702,FlowCalNumber,0),1,1)&lt;INDEX(FlowCalHighSetting,MATCH(R702,FlowCalNumber,0),1,1))),INDEX(FlowCalConstA,MATCH(R702,FlowCalNumber,0),1,1)*T706^INDEX(FlowCalConstB,MATCH(R702,FlowCalNumber,0),1,1)," ")</f>
        <v>#N/A</v>
      </c>
      <c r="V706" s="33"/>
      <c r="W706" s="242">
        <f t="shared" si="670"/>
        <v>0.1</v>
      </c>
      <c r="X706" s="241" t="e">
        <f t="shared" ca="1" si="671"/>
        <v>#N/A</v>
      </c>
      <c r="Y706" s="243" t="e">
        <f ca="1">IF(AND(INDEX(FlowCalConstA,MATCH(V702,FlowCalNumber,0),1,1)*X706^INDEX(FlowCalConstB,MATCH(V702,FlowCalNumber,0),1,1)&gt;INDEX(FlowCalLowSetting,MATCH(V702,FlowCalNumber,0),1,1), (INDEX(FlowCalConstA,MATCH(V702,FlowCalNumber,0),1,1)*X706^INDEX(FlowCalConstB,MATCH(V702,FlowCalNumber,0),1,1)&lt;INDEX(FlowCalHighSetting,MATCH(V702,FlowCalNumber,0),1,1))),INDEX(FlowCalConstA,MATCH(V702,FlowCalNumber,0),1,1)*X706^INDEX(FlowCalConstB,MATCH(V702,FlowCalNumber,0),1,1)," ")</f>
        <v>#N/A</v>
      </c>
      <c r="Z706" s="33"/>
      <c r="AA706" s="242">
        <f t="shared" si="672"/>
        <v>0.9</v>
      </c>
      <c r="AB706" s="241" t="e">
        <f t="shared" ca="1" si="673"/>
        <v>#N/A</v>
      </c>
      <c r="AC706" s="243" t="e">
        <f ca="1">IF(AND(INDEX(FlowCalConstA,MATCH(Z702,FlowCalNumber,0),1,1)*AB706^INDEX(FlowCalConstB,MATCH(Z702,FlowCalNumber,0),1,1)&gt;INDEX(FlowCalLowSetting,MATCH(Z702,FlowCalNumber,0),1,1), (INDEX(FlowCalConstA,MATCH(Z702,FlowCalNumber,0),1,1)*AB706^INDEX(FlowCalConstB,MATCH(Z702,FlowCalNumber,0),1,1)&lt;INDEX(FlowCalHighSetting,MATCH(Z702,FlowCalNumber,0),1,1))),INDEX(FlowCalConstA,MATCH(Z702,FlowCalNumber,0),1,1)*AB706^INDEX(FlowCalConstB,MATCH(Z702,FlowCalNumber,0),1,1)," ")</f>
        <v>#N/A</v>
      </c>
      <c r="AD706" s="33"/>
      <c r="AE706" s="242">
        <f t="shared" si="674"/>
        <v>0.1</v>
      </c>
      <c r="AF706" s="241" t="e">
        <f t="shared" ca="1" si="675"/>
        <v>#N/A</v>
      </c>
      <c r="AG706" s="243" t="e">
        <f ca="1">IF(AND(INDEX(FlowCalConstA,MATCH(AD702,FlowCalNumber,0),1,1)*AF706^INDEX(FlowCalConstB,MATCH(AD702,FlowCalNumber,0),1,1)&gt;INDEX(FlowCalLowSetting,MATCH(AD702,FlowCalNumber,0),1,1), (INDEX(FlowCalConstA,MATCH(AD702,FlowCalNumber,0),1,1)*AF706^INDEX(FlowCalConstB,MATCH(AD702,FlowCalNumber,0),1,1)&lt;INDEX(FlowCalHighSetting,MATCH(AD702,FlowCalNumber,0),1,1))),INDEX(FlowCalConstA,MATCH(AD702,FlowCalNumber,0),1,1)*AF706^INDEX(FlowCalConstB,MATCH(AD702,FlowCalNumber,0),1,1)," ")</f>
        <v>#N/A</v>
      </c>
      <c r="AH706" s="33"/>
      <c r="AI706" s="242">
        <f t="shared" si="676"/>
        <v>0.9</v>
      </c>
      <c r="AJ706" s="241" t="e">
        <f t="shared" ca="1" si="677"/>
        <v>#N/A</v>
      </c>
      <c r="AK706" s="243" t="e">
        <f ca="1">IF(AND(INDEX(FlowCalConstA,MATCH(AH702,FlowCalNumber,0),1,1)*AJ706^INDEX(FlowCalConstB,MATCH(AH702,FlowCalNumber,0),1,1)&gt;INDEX(FlowCalLowSetting,MATCH(AH702,FlowCalNumber,0),1,1), (INDEX(FlowCalConstA,MATCH(AH702,FlowCalNumber,0),1,1)*AJ706^INDEX(FlowCalConstB,MATCH(AH702,FlowCalNumber,0),1,1)&lt;INDEX(FlowCalHighSetting,MATCH(AH702,FlowCalNumber,0),1,1))),INDEX(FlowCalConstA,MATCH(AH702,FlowCalNumber,0),1,1)*AJ706^INDEX(FlowCalConstB,MATCH(AH702,FlowCalNumber,0),1,1)," ")</f>
        <v>#N/A</v>
      </c>
      <c r="AL706" s="33"/>
      <c r="AM706" s="242"/>
      <c r="AN706" s="241"/>
      <c r="AO706" s="244"/>
      <c r="AQ706" s="242"/>
      <c r="AR706" s="241"/>
      <c r="AS706" s="244"/>
      <c r="AT706" s="33"/>
      <c r="AU706" s="242"/>
      <c r="AV706" s="241"/>
      <c r="AW706" s="244"/>
      <c r="AX706" s="33"/>
      <c r="AY706" s="242"/>
      <c r="AZ706" s="241"/>
      <c r="BA706" s="244"/>
      <c r="BB706" s="33"/>
      <c r="BC706" s="242"/>
      <c r="BD706" s="241"/>
      <c r="BE706" s="244"/>
      <c r="BF706" s="33"/>
      <c r="BG706" s="242"/>
      <c r="BH706" s="241"/>
      <c r="BI706" s="244"/>
      <c r="BJ706" s="33"/>
      <c r="BK706" s="242"/>
      <c r="BL706" s="241"/>
      <c r="BM706" s="244"/>
      <c r="BN706" s="33"/>
      <c r="BO706" s="242"/>
      <c r="BP706" s="241"/>
      <c r="BQ706" s="244"/>
      <c r="BR706" s="33"/>
      <c r="BS706" s="242"/>
      <c r="BT706" s="241"/>
      <c r="BU706" s="244"/>
      <c r="BV706" s="33"/>
      <c r="BW706" s="242"/>
      <c r="BX706" s="241"/>
      <c r="BY706" s="244"/>
      <c r="BZ706" s="33"/>
      <c r="CA706" s="242"/>
      <c r="CB706" s="241"/>
      <c r="CC706" s="244"/>
      <c r="CD706" s="243"/>
      <c r="CE706" s="243"/>
      <c r="CF706" s="243"/>
      <c r="CG706" s="243"/>
      <c r="CH706" s="243"/>
      <c r="CI706" s="243"/>
      <c r="CJ706" s="243"/>
      <c r="CK706" s="243"/>
      <c r="CL706" s="243"/>
      <c r="CM706" s="243"/>
      <c r="CN706" s="243"/>
      <c r="CO706" s="243"/>
      <c r="CP706" s="243"/>
      <c r="CQ706" s="243"/>
      <c r="CR706" s="243"/>
      <c r="CS706" s="243"/>
      <c r="CT706" s="243"/>
      <c r="CU706" s="243"/>
      <c r="CV706" s="243"/>
      <c r="CW706" s="243"/>
      <c r="CX706" s="243"/>
      <c r="CY706" s="243"/>
      <c r="CZ706" s="243"/>
      <c r="DA706" s="243"/>
      <c r="DB706" s="243"/>
      <c r="DC706" s="243"/>
      <c r="DD706" s="243"/>
      <c r="DE706" s="243"/>
      <c r="DF706" s="243"/>
      <c r="DG706" s="243"/>
      <c r="DH706" s="243"/>
      <c r="DI706" s="243"/>
      <c r="DJ706" s="243"/>
      <c r="DK706" s="243"/>
      <c r="DM706" s="242"/>
      <c r="DO706" s="243"/>
      <c r="DQ706" s="242"/>
      <c r="DS706" s="243"/>
      <c r="DU706" s="242"/>
      <c r="DW706" s="243"/>
      <c r="DY706" s="242"/>
      <c r="EA706" s="243"/>
    </row>
    <row r="707" spans="1:131">
      <c r="A707" s="20"/>
      <c r="B707" s="124" t="str">
        <f t="shared" si="662"/>
        <v/>
      </c>
      <c r="C707" s="235"/>
      <c r="D707" s="24">
        <f>'1% Wind'!$M$86</f>
        <v>15.5</v>
      </c>
      <c r="E707" s="90"/>
      <c r="F707" s="90"/>
      <c r="G707" s="79" t="e">
        <f ca="1">IF(I702=0.9743,$G706,MAX(G706/D706*D707,2))</f>
        <v>#N/A</v>
      </c>
      <c r="H707" s="121" t="e">
        <f t="shared" ca="1" si="663"/>
        <v>#N/A</v>
      </c>
      <c r="J707" s="33"/>
      <c r="K707" s="242">
        <f t="shared" si="664"/>
        <v>1</v>
      </c>
      <c r="L707" s="241" t="e">
        <f t="shared" ca="1" si="665"/>
        <v>#N/A</v>
      </c>
      <c r="M707" s="243" t="e">
        <f ca="1">IF(AND(INDEX(FlowCalConstA,MATCH(J702,FlowCalNumber,0),1,1)*L707^INDEX(FlowCalConstB,MATCH(J702,FlowCalNumber,0),1,1)&gt;INDEX(FlowCalLowSetting,MATCH(J702,FlowCalNumber,0),1,1), (INDEX(FlowCalConstA,MATCH(J702,FlowCalNumber,0),1,1)*L707^INDEX(FlowCalConstB,MATCH(J702,FlowCalNumber,0),1,1)&lt;INDEX(FlowCalHighSetting,MATCH(J702,FlowCalNumber,0),1,1))),INDEX(FlowCalConstA,MATCH(J702,FlowCalNumber,0),1,1)*L707^INDEX(FlowCalConstB,MATCH(J702,FlowCalNumber,0),1,1)," ")</f>
        <v>#N/A</v>
      </c>
      <c r="N707" s="33"/>
      <c r="O707" s="242">
        <f t="shared" si="666"/>
        <v>1</v>
      </c>
      <c r="P707" s="241" t="e">
        <f t="shared" ca="1" si="667"/>
        <v>#N/A</v>
      </c>
      <c r="Q707" s="243" t="e">
        <f ca="1">IF(AND(INDEX(FlowCalConstA,MATCH(N702,FlowCalNumber,0),1,1)*P707^INDEX(FlowCalConstB,MATCH(N702,FlowCalNumber,0),1,1)&gt;INDEX(FlowCalLowSetting,MATCH(N702,FlowCalNumber,0),1,1), (INDEX(FlowCalConstA,MATCH(N702,FlowCalNumber,0),1,1)*P707^INDEX(FlowCalConstB,MATCH(N702,FlowCalNumber,0),1,1)&lt;INDEX(FlowCalHighSetting,MATCH(N702,FlowCalNumber,0),1,1))),INDEX(FlowCalConstA,MATCH(N702,FlowCalNumber,0),1,1)*P707^INDEX(FlowCalConstB,MATCH(N702,FlowCalNumber,0),1,1)," ")</f>
        <v>#N/A</v>
      </c>
      <c r="R707" s="33"/>
      <c r="S707" s="242">
        <f t="shared" si="668"/>
        <v>1</v>
      </c>
      <c r="T707" s="241" t="e">
        <f t="shared" ca="1" si="669"/>
        <v>#N/A</v>
      </c>
      <c r="U707" s="244" t="e">
        <f ca="1">IF(AND(INDEX(FlowCalConstA,MATCH(R702,FlowCalNumber,0),1,1)*T707^INDEX(FlowCalConstB,MATCH(R702,FlowCalNumber,0),1,1)&gt;INDEX(FlowCalLowSetting,MATCH(R702,FlowCalNumber,0),1,1), (INDEX(FlowCalConstA,MATCH(R702,FlowCalNumber,0),1,1)*T707^INDEX(FlowCalConstB,MATCH(R702,FlowCalNumber,0),1,1)&lt;INDEX(FlowCalHighSetting,MATCH(R702,FlowCalNumber,0),1,1))),INDEX(FlowCalConstA,MATCH(R702,FlowCalNumber,0),1,1)*T707^INDEX(FlowCalConstB,MATCH(R702,FlowCalNumber,0),1,1)," ")</f>
        <v>#N/A</v>
      </c>
      <c r="V707" s="33"/>
      <c r="W707" s="242">
        <f t="shared" si="670"/>
        <v>0.1</v>
      </c>
      <c r="X707" s="241" t="e">
        <f t="shared" ca="1" si="671"/>
        <v>#N/A</v>
      </c>
      <c r="Y707" s="243" t="e">
        <f ca="1">IF(AND(INDEX(FlowCalConstA,MATCH(V702,FlowCalNumber,0),1,1)*X707^INDEX(FlowCalConstB,MATCH(V702,FlowCalNumber,0),1,1)&gt;INDEX(FlowCalLowSetting,MATCH(V702,FlowCalNumber,0),1,1), (INDEX(FlowCalConstA,MATCH(V702,FlowCalNumber,0),1,1)*X707^INDEX(FlowCalConstB,MATCH(V702,FlowCalNumber,0),1,1)&lt;INDEX(FlowCalHighSetting,MATCH(V702,FlowCalNumber,0),1,1))),INDEX(FlowCalConstA,MATCH(V702,FlowCalNumber,0),1,1)*X707^INDEX(FlowCalConstB,MATCH(V702,FlowCalNumber,0),1,1)," ")</f>
        <v>#N/A</v>
      </c>
      <c r="Z707" s="33"/>
      <c r="AA707" s="242">
        <f t="shared" si="672"/>
        <v>0.9</v>
      </c>
      <c r="AB707" s="241" t="e">
        <f t="shared" ca="1" si="673"/>
        <v>#N/A</v>
      </c>
      <c r="AC707" s="243" t="e">
        <f ca="1">IF(AND(INDEX(FlowCalConstA,MATCH(Z702,FlowCalNumber,0),1,1)*AB707^INDEX(FlowCalConstB,MATCH(Z702,FlowCalNumber,0),1,1)&gt;INDEX(FlowCalLowSetting,MATCH(Z702,FlowCalNumber,0),1,1), (INDEX(FlowCalConstA,MATCH(Z702,FlowCalNumber,0),1,1)*AB707^INDEX(FlowCalConstB,MATCH(Z702,FlowCalNumber,0),1,1)&lt;INDEX(FlowCalHighSetting,MATCH(Z702,FlowCalNumber,0),1,1))),INDEX(FlowCalConstA,MATCH(Z702,FlowCalNumber,0),1,1)*AB707^INDEX(FlowCalConstB,MATCH(Z702,FlowCalNumber,0),1,1)," ")</f>
        <v>#N/A</v>
      </c>
      <c r="AD707" s="33"/>
      <c r="AE707" s="242">
        <f t="shared" si="674"/>
        <v>0.1</v>
      </c>
      <c r="AF707" s="241" t="e">
        <f t="shared" ca="1" si="675"/>
        <v>#N/A</v>
      </c>
      <c r="AG707" s="243" t="e">
        <f ca="1">IF(AND(INDEX(FlowCalConstA,MATCH(AD702,FlowCalNumber,0),1,1)*AF707^INDEX(FlowCalConstB,MATCH(AD702,FlowCalNumber,0),1,1)&gt;INDEX(FlowCalLowSetting,MATCH(AD702,FlowCalNumber,0),1,1), (INDEX(FlowCalConstA,MATCH(AD702,FlowCalNumber,0),1,1)*AF707^INDEX(FlowCalConstB,MATCH(AD702,FlowCalNumber,0),1,1)&lt;INDEX(FlowCalHighSetting,MATCH(AD702,FlowCalNumber,0),1,1))),INDEX(FlowCalConstA,MATCH(AD702,FlowCalNumber,0),1,1)*AF707^INDEX(FlowCalConstB,MATCH(AD702,FlowCalNumber,0),1,1)," ")</f>
        <v>#N/A</v>
      </c>
      <c r="AH707" s="33"/>
      <c r="AI707" s="242">
        <f t="shared" si="676"/>
        <v>0.9</v>
      </c>
      <c r="AJ707" s="241" t="e">
        <f t="shared" ca="1" si="677"/>
        <v>#N/A</v>
      </c>
      <c r="AK707" s="243" t="e">
        <f ca="1">IF(AND(INDEX(FlowCalConstA,MATCH(AH702,FlowCalNumber,0),1,1)*AJ707^INDEX(FlowCalConstB,MATCH(AH702,FlowCalNumber,0),1,1)&gt;INDEX(FlowCalLowSetting,MATCH(AH702,FlowCalNumber,0),1,1), (INDEX(FlowCalConstA,MATCH(AH702,FlowCalNumber,0),1,1)*AJ707^INDEX(FlowCalConstB,MATCH(AH702,FlowCalNumber,0),1,1)&lt;INDEX(FlowCalHighSetting,MATCH(AH702,FlowCalNumber,0),1,1))),INDEX(FlowCalConstA,MATCH(AH702,FlowCalNumber,0),1,1)*AJ707^INDEX(FlowCalConstB,MATCH(AH702,FlowCalNumber,0),1,1)," ")</f>
        <v>#N/A</v>
      </c>
      <c r="AL707" s="33"/>
      <c r="AM707" s="242"/>
      <c r="AN707" s="241"/>
      <c r="AO707" s="244"/>
      <c r="AQ707" s="242"/>
      <c r="AR707" s="241"/>
      <c r="AS707" s="244"/>
      <c r="AT707" s="33"/>
      <c r="AU707" s="242"/>
      <c r="AV707" s="241"/>
      <c r="AW707" s="244"/>
      <c r="AX707" s="33"/>
      <c r="AY707" s="242"/>
      <c r="AZ707" s="241"/>
      <c r="BA707" s="244"/>
      <c r="BB707" s="33"/>
      <c r="BC707" s="242"/>
      <c r="BD707" s="241"/>
      <c r="BE707" s="244"/>
      <c r="BF707" s="33"/>
      <c r="BG707" s="242"/>
      <c r="BH707" s="241"/>
      <c r="BI707" s="244"/>
      <c r="BJ707" s="33"/>
      <c r="BK707" s="242"/>
      <c r="BL707" s="241"/>
      <c r="BM707" s="244"/>
      <c r="BN707" s="33"/>
      <c r="BO707" s="242"/>
      <c r="BP707" s="241"/>
      <c r="BQ707" s="244"/>
      <c r="BR707" s="33"/>
      <c r="BS707" s="242"/>
      <c r="BT707" s="241"/>
      <c r="BU707" s="244"/>
      <c r="BV707" s="33"/>
      <c r="BW707" s="242"/>
      <c r="BX707" s="241"/>
      <c r="BY707" s="244"/>
      <c r="BZ707" s="33"/>
      <c r="CA707" s="242"/>
      <c r="CB707" s="241"/>
      <c r="CC707" s="244"/>
      <c r="CD707" s="243"/>
      <c r="CE707" s="243"/>
      <c r="CF707" s="243"/>
      <c r="CG707" s="243"/>
      <c r="CH707" s="243"/>
      <c r="CI707" s="243"/>
      <c r="CJ707" s="243"/>
      <c r="CK707" s="243"/>
      <c r="CL707" s="243"/>
      <c r="CM707" s="243"/>
      <c r="CN707" s="243"/>
      <c r="CO707" s="243"/>
      <c r="CP707" s="243"/>
      <c r="CQ707" s="243"/>
      <c r="CR707" s="243"/>
      <c r="CS707" s="243"/>
      <c r="CT707" s="243"/>
      <c r="CU707" s="243"/>
      <c r="CV707" s="243"/>
      <c r="CW707" s="243"/>
      <c r="CX707" s="243"/>
      <c r="CY707" s="243"/>
      <c r="CZ707" s="243"/>
      <c r="DA707" s="243"/>
      <c r="DB707" s="243"/>
      <c r="DC707" s="243"/>
      <c r="DD707" s="243"/>
      <c r="DE707" s="243"/>
      <c r="DF707" s="243"/>
      <c r="DG707" s="243"/>
      <c r="DH707" s="243"/>
      <c r="DI707" s="243"/>
      <c r="DJ707" s="243"/>
      <c r="DK707" s="243"/>
      <c r="DM707" s="242"/>
      <c r="DO707" s="243"/>
      <c r="DQ707" s="242"/>
      <c r="DS707" s="243"/>
      <c r="DU707" s="242"/>
      <c r="DW707" s="243"/>
      <c r="DY707" s="242"/>
      <c r="EA707" s="243"/>
    </row>
    <row r="708" spans="1:131">
      <c r="A708" s="20"/>
      <c r="B708" s="124" t="str">
        <f t="shared" si="662"/>
        <v/>
      </c>
      <c r="C708" s="235"/>
      <c r="D708" s="24">
        <f>'1% Wind'!$M$87</f>
        <v>13.5</v>
      </c>
      <c r="E708" s="90"/>
      <c r="F708" s="90"/>
      <c r="G708" s="79" t="e">
        <f ca="1">IF(I702=0.9743,$G707,MAX(G707/D707*D708,2))</f>
        <v>#N/A</v>
      </c>
      <c r="H708" s="121" t="e">
        <f t="shared" ca="1" si="663"/>
        <v>#N/A</v>
      </c>
      <c r="J708" s="33"/>
      <c r="K708" s="242">
        <f t="shared" si="664"/>
        <v>1</v>
      </c>
      <c r="L708" s="241" t="e">
        <f t="shared" ca="1" si="665"/>
        <v>#N/A</v>
      </c>
      <c r="M708" s="243" t="e">
        <f ca="1">IF(AND(INDEX(FlowCalConstA,MATCH(J702,FlowCalNumber,0),1,1)*L708^INDEX(FlowCalConstB,MATCH(J702,FlowCalNumber,0),1,1)&gt;INDEX(FlowCalLowSetting,MATCH(J702,FlowCalNumber,0),1,1), (INDEX(FlowCalConstA,MATCH(J702,FlowCalNumber,0),1,1)*L708^INDEX(FlowCalConstB,MATCH(J702,FlowCalNumber,0),1,1)&lt;INDEX(FlowCalHighSetting,MATCH(J702,FlowCalNumber,0),1,1))),INDEX(FlowCalConstA,MATCH(J702,FlowCalNumber,0),1,1)*L708^INDEX(FlowCalConstB,MATCH(J702,FlowCalNumber,0),1,1)," ")</f>
        <v>#N/A</v>
      </c>
      <c r="N708" s="33"/>
      <c r="O708" s="242">
        <f t="shared" si="666"/>
        <v>1</v>
      </c>
      <c r="P708" s="241" t="e">
        <f t="shared" ca="1" si="667"/>
        <v>#N/A</v>
      </c>
      <c r="Q708" s="243" t="e">
        <f ca="1">IF(AND(INDEX(FlowCalConstA,MATCH(N702,FlowCalNumber,0),1,1)*P708^INDEX(FlowCalConstB,MATCH(N702,FlowCalNumber,0),1,1)&gt;INDEX(FlowCalLowSetting,MATCH(N702,FlowCalNumber,0),1,1), (INDEX(FlowCalConstA,MATCH(N702,FlowCalNumber,0),1,1)*P708^INDEX(FlowCalConstB,MATCH(N702,FlowCalNumber,0),1,1)&lt;INDEX(FlowCalHighSetting,MATCH(N702,FlowCalNumber,0),1,1))),INDEX(FlowCalConstA,MATCH(N702,FlowCalNumber,0),1,1)*P708^INDEX(FlowCalConstB,MATCH(N702,FlowCalNumber,0),1,1)," ")</f>
        <v>#N/A</v>
      </c>
      <c r="R708" s="33"/>
      <c r="S708" s="242">
        <f t="shared" si="668"/>
        <v>1</v>
      </c>
      <c r="T708" s="241" t="e">
        <f t="shared" ca="1" si="669"/>
        <v>#N/A</v>
      </c>
      <c r="U708" s="244" t="e">
        <f ca="1">IF(AND(INDEX(FlowCalConstA,MATCH(R702,FlowCalNumber,0),1,1)*T708^INDEX(FlowCalConstB,MATCH(R702,FlowCalNumber,0),1,1)&gt;INDEX(FlowCalLowSetting,MATCH(R702,FlowCalNumber,0),1,1), (INDEX(FlowCalConstA,MATCH(R702,FlowCalNumber,0),1,1)*T708^INDEX(FlowCalConstB,MATCH(R702,FlowCalNumber,0),1,1)&lt;INDEX(FlowCalHighSetting,MATCH(R702,FlowCalNumber,0),1,1))),INDEX(FlowCalConstA,MATCH(R702,FlowCalNumber,0),1,1)*T708^INDEX(FlowCalConstB,MATCH(R702,FlowCalNumber,0),1,1)," ")</f>
        <v>#N/A</v>
      </c>
      <c r="V708" s="33"/>
      <c r="W708" s="242">
        <f t="shared" si="670"/>
        <v>0.1</v>
      </c>
      <c r="X708" s="241" t="e">
        <f t="shared" ca="1" si="671"/>
        <v>#N/A</v>
      </c>
      <c r="Y708" s="243" t="e">
        <f ca="1">IF(AND(INDEX(FlowCalConstA,MATCH(V702,FlowCalNumber,0),1,1)*X708^INDEX(FlowCalConstB,MATCH(V702,FlowCalNumber,0),1,1)&gt;INDEX(FlowCalLowSetting,MATCH(V702,FlowCalNumber,0),1,1), (INDEX(FlowCalConstA,MATCH(V702,FlowCalNumber,0),1,1)*X708^INDEX(FlowCalConstB,MATCH(V702,FlowCalNumber,0),1,1)&lt;INDEX(FlowCalHighSetting,MATCH(V702,FlowCalNumber,0),1,1))),INDEX(FlowCalConstA,MATCH(V702,FlowCalNumber,0),1,1)*X708^INDEX(FlowCalConstB,MATCH(V702,FlowCalNumber,0),1,1)," ")</f>
        <v>#N/A</v>
      </c>
      <c r="Z708" s="33"/>
      <c r="AA708" s="242">
        <f t="shared" si="672"/>
        <v>0.9</v>
      </c>
      <c r="AB708" s="241" t="e">
        <f t="shared" ca="1" si="673"/>
        <v>#N/A</v>
      </c>
      <c r="AC708" s="243" t="e">
        <f ca="1">IF(AND(INDEX(FlowCalConstA,MATCH(Z702,FlowCalNumber,0),1,1)*AB708^INDEX(FlowCalConstB,MATCH(Z702,FlowCalNumber,0),1,1)&gt;INDEX(FlowCalLowSetting,MATCH(Z702,FlowCalNumber,0),1,1), (INDEX(FlowCalConstA,MATCH(Z702,FlowCalNumber,0),1,1)*AB708^INDEX(FlowCalConstB,MATCH(Z702,FlowCalNumber,0),1,1)&lt;INDEX(FlowCalHighSetting,MATCH(Z702,FlowCalNumber,0),1,1))),INDEX(FlowCalConstA,MATCH(Z702,FlowCalNumber,0),1,1)*AB708^INDEX(FlowCalConstB,MATCH(Z702,FlowCalNumber,0),1,1)," ")</f>
        <v>#N/A</v>
      </c>
      <c r="AD708" s="33"/>
      <c r="AE708" s="242">
        <f t="shared" si="674"/>
        <v>0.1</v>
      </c>
      <c r="AF708" s="241" t="e">
        <f t="shared" ca="1" si="675"/>
        <v>#N/A</v>
      </c>
      <c r="AG708" s="243" t="e">
        <f ca="1">IF(AND(INDEX(FlowCalConstA,MATCH(AD702,FlowCalNumber,0),1,1)*AF708^INDEX(FlowCalConstB,MATCH(AD702,FlowCalNumber,0),1,1)&gt;INDEX(FlowCalLowSetting,MATCH(AD702,FlowCalNumber,0),1,1), (INDEX(FlowCalConstA,MATCH(AD702,FlowCalNumber,0),1,1)*AF708^INDEX(FlowCalConstB,MATCH(AD702,FlowCalNumber,0),1,1)&lt;INDEX(FlowCalHighSetting,MATCH(AD702,FlowCalNumber,0),1,1))),INDEX(FlowCalConstA,MATCH(AD702,FlowCalNumber,0),1,1)*AF708^INDEX(FlowCalConstB,MATCH(AD702,FlowCalNumber,0),1,1)," ")</f>
        <v>#N/A</v>
      </c>
      <c r="AH708" s="33"/>
      <c r="AI708" s="242">
        <f t="shared" si="676"/>
        <v>0.9</v>
      </c>
      <c r="AJ708" s="241" t="e">
        <f t="shared" ca="1" si="677"/>
        <v>#N/A</v>
      </c>
      <c r="AK708" s="243" t="e">
        <f ca="1">IF(AND(INDEX(FlowCalConstA,MATCH(AH702,FlowCalNumber,0),1,1)*AJ708^INDEX(FlowCalConstB,MATCH(AH702,FlowCalNumber,0),1,1)&gt;INDEX(FlowCalLowSetting,MATCH(AH702,FlowCalNumber,0),1,1), (INDEX(FlowCalConstA,MATCH(AH702,FlowCalNumber,0),1,1)*AJ708^INDEX(FlowCalConstB,MATCH(AH702,FlowCalNumber,0),1,1)&lt;INDEX(FlowCalHighSetting,MATCH(AH702,FlowCalNumber,0),1,1))),INDEX(FlowCalConstA,MATCH(AH702,FlowCalNumber,0),1,1)*AJ708^INDEX(FlowCalConstB,MATCH(AH702,FlowCalNumber,0),1,1)," ")</f>
        <v>#N/A</v>
      </c>
      <c r="AL708" s="33"/>
      <c r="AM708" s="242"/>
      <c r="AN708" s="241"/>
      <c r="AO708" s="244"/>
      <c r="AQ708" s="242"/>
      <c r="AR708" s="241"/>
      <c r="AS708" s="244"/>
      <c r="AT708" s="33"/>
      <c r="AU708" s="242"/>
      <c r="AV708" s="241"/>
      <c r="AW708" s="244"/>
      <c r="AX708" s="33"/>
      <c r="AY708" s="242"/>
      <c r="AZ708" s="241"/>
      <c r="BA708" s="244"/>
      <c r="BB708" s="33"/>
      <c r="BC708" s="242"/>
      <c r="BD708" s="241"/>
      <c r="BE708" s="244"/>
      <c r="BF708" s="33"/>
      <c r="BG708" s="242"/>
      <c r="BH708" s="241"/>
      <c r="BI708" s="244"/>
      <c r="BJ708" s="33"/>
      <c r="BK708" s="242"/>
      <c r="BL708" s="241"/>
      <c r="BM708" s="244"/>
      <c r="BN708" s="33"/>
      <c r="BO708" s="242"/>
      <c r="BP708" s="241"/>
      <c r="BQ708" s="244"/>
      <c r="BR708" s="33"/>
      <c r="BS708" s="242"/>
      <c r="BT708" s="241"/>
      <c r="BU708" s="244"/>
      <c r="BV708" s="33"/>
      <c r="BW708" s="242"/>
      <c r="BX708" s="241"/>
      <c r="BY708" s="244"/>
      <c r="BZ708" s="33"/>
      <c r="CA708" s="242"/>
      <c r="CB708" s="241"/>
      <c r="CC708" s="244"/>
      <c r="CD708" s="243"/>
      <c r="CE708" s="243"/>
      <c r="CF708" s="243"/>
      <c r="CG708" s="243"/>
      <c r="CH708" s="243"/>
      <c r="CI708" s="243"/>
      <c r="CJ708" s="243"/>
      <c r="CK708" s="243"/>
      <c r="CL708" s="243"/>
      <c r="CM708" s="243"/>
      <c r="CN708" s="243"/>
      <c r="CO708" s="243"/>
      <c r="CP708" s="243"/>
      <c r="CQ708" s="243"/>
      <c r="CR708" s="243"/>
      <c r="CS708" s="243"/>
      <c r="CT708" s="243"/>
      <c r="CU708" s="243"/>
      <c r="CV708" s="243"/>
      <c r="CW708" s="243"/>
      <c r="CX708" s="243"/>
      <c r="CY708" s="243"/>
      <c r="CZ708" s="243"/>
      <c r="DA708" s="243"/>
      <c r="DB708" s="243"/>
      <c r="DC708" s="243"/>
      <c r="DD708" s="243"/>
      <c r="DE708" s="243"/>
      <c r="DF708" s="243"/>
      <c r="DG708" s="243"/>
      <c r="DH708" s="243"/>
      <c r="DI708" s="243"/>
      <c r="DJ708" s="243"/>
      <c r="DK708" s="243"/>
      <c r="DM708" s="242"/>
      <c r="DO708" s="243"/>
      <c r="DQ708" s="242"/>
      <c r="DS708" s="243"/>
      <c r="DU708" s="242"/>
      <c r="DW708" s="243"/>
      <c r="DY708" s="242"/>
      <c r="EA708" s="243"/>
    </row>
    <row r="709" spans="1:131">
      <c r="A709" s="20"/>
      <c r="B709" s="124" t="str">
        <f t="shared" si="662"/>
        <v/>
      </c>
      <c r="C709" s="235"/>
      <c r="D709" s="24">
        <f>'1% Wind'!$M$88</f>
        <v>10.1</v>
      </c>
      <c r="E709" s="90"/>
      <c r="F709" s="90"/>
      <c r="G709" s="79" t="e">
        <f ca="1">IF(I702=0.9743,$G708,MAX(G708/D708*D709,2))</f>
        <v>#N/A</v>
      </c>
      <c r="H709" s="121" t="e">
        <f t="shared" ca="1" si="663"/>
        <v>#N/A</v>
      </c>
      <c r="J709" s="33"/>
      <c r="K709" s="242">
        <f t="shared" si="664"/>
        <v>1</v>
      </c>
      <c r="L709" s="241" t="e">
        <f t="shared" ca="1" si="665"/>
        <v>#N/A</v>
      </c>
      <c r="M709" s="243" t="e">
        <f ca="1">IF(AND(INDEX(FlowCalConstA,MATCH(J702,FlowCalNumber,0),1,1)*L709^INDEX(FlowCalConstB,MATCH(J702,FlowCalNumber,0),1,1)&gt;INDEX(FlowCalLowSetting,MATCH(J702,FlowCalNumber,0),1,1), (INDEX(FlowCalConstA,MATCH(J702,FlowCalNumber,0),1,1)*L709^INDEX(FlowCalConstB,MATCH(J702,FlowCalNumber,0),1,1)&lt;INDEX(FlowCalHighSetting,MATCH(J702,FlowCalNumber,0),1,1))),INDEX(FlowCalConstA,MATCH(J702,FlowCalNumber,0),1,1)*L709^INDEX(FlowCalConstB,MATCH(J702,FlowCalNumber,0),1,1)," ")</f>
        <v>#N/A</v>
      </c>
      <c r="N709" s="33"/>
      <c r="O709" s="242">
        <f t="shared" si="666"/>
        <v>1</v>
      </c>
      <c r="P709" s="241" t="e">
        <f t="shared" ca="1" si="667"/>
        <v>#N/A</v>
      </c>
      <c r="Q709" s="243" t="e">
        <f ca="1">IF(AND(INDEX(FlowCalConstA,MATCH(N702,FlowCalNumber,0),1,1)*P709^INDEX(FlowCalConstB,MATCH(N702,FlowCalNumber,0),1,1)&gt;INDEX(FlowCalLowSetting,MATCH(N702,FlowCalNumber,0),1,1), (INDEX(FlowCalConstA,MATCH(N702,FlowCalNumber,0),1,1)*P709^INDEX(FlowCalConstB,MATCH(N702,FlowCalNumber,0),1,1)&lt;INDEX(FlowCalHighSetting,MATCH(N702,FlowCalNumber,0),1,1))),INDEX(FlowCalConstA,MATCH(N702,FlowCalNumber,0),1,1)*P709^INDEX(FlowCalConstB,MATCH(N702,FlowCalNumber,0),1,1)," ")</f>
        <v>#N/A</v>
      </c>
      <c r="R709" s="33"/>
      <c r="S709" s="242">
        <f t="shared" si="668"/>
        <v>1</v>
      </c>
      <c r="T709" s="241" t="e">
        <f t="shared" ca="1" si="669"/>
        <v>#N/A</v>
      </c>
      <c r="U709" s="244" t="e">
        <f ca="1">IF(AND(INDEX(FlowCalConstA,MATCH(R702,FlowCalNumber,0),1,1)*T709^INDEX(FlowCalConstB,MATCH(R702,FlowCalNumber,0),1,1)&gt;INDEX(FlowCalLowSetting,MATCH(R702,FlowCalNumber,0),1,1), (INDEX(FlowCalConstA,MATCH(R702,FlowCalNumber,0),1,1)*T709^INDEX(FlowCalConstB,MATCH(R702,FlowCalNumber,0),1,1)&lt;INDEX(FlowCalHighSetting,MATCH(R702,FlowCalNumber,0),1,1))),INDEX(FlowCalConstA,MATCH(R702,FlowCalNumber,0),1,1)*T709^INDEX(FlowCalConstB,MATCH(R702,FlowCalNumber,0),1,1)," ")</f>
        <v>#N/A</v>
      </c>
      <c r="V709" s="33"/>
      <c r="W709" s="242">
        <f t="shared" si="670"/>
        <v>0.1</v>
      </c>
      <c r="X709" s="241" t="e">
        <f t="shared" ca="1" si="671"/>
        <v>#N/A</v>
      </c>
      <c r="Y709" s="243" t="e">
        <f ca="1">IF(AND(INDEX(FlowCalConstA,MATCH(V702,FlowCalNumber,0),1,1)*X709^INDEX(FlowCalConstB,MATCH(V702,FlowCalNumber,0),1,1)&gt;INDEX(FlowCalLowSetting,MATCH(V702,FlowCalNumber,0),1,1), (INDEX(FlowCalConstA,MATCH(V702,FlowCalNumber,0),1,1)*X709^INDEX(FlowCalConstB,MATCH(V702,FlowCalNumber,0),1,1)&lt;INDEX(FlowCalHighSetting,MATCH(V702,FlowCalNumber,0),1,1))),INDEX(FlowCalConstA,MATCH(V702,FlowCalNumber,0),1,1)*X709^INDEX(FlowCalConstB,MATCH(V702,FlowCalNumber,0),1,1)," ")</f>
        <v>#N/A</v>
      </c>
      <c r="Z709" s="33"/>
      <c r="AA709" s="242">
        <f t="shared" si="672"/>
        <v>0.9</v>
      </c>
      <c r="AB709" s="241" t="e">
        <f t="shared" ca="1" si="673"/>
        <v>#N/A</v>
      </c>
      <c r="AC709" s="243" t="e">
        <f ca="1">IF(AND(INDEX(FlowCalConstA,MATCH(Z702,FlowCalNumber,0),1,1)*AB709^INDEX(FlowCalConstB,MATCH(Z702,FlowCalNumber,0),1,1)&gt;INDEX(FlowCalLowSetting,MATCH(Z702,FlowCalNumber,0),1,1), (INDEX(FlowCalConstA,MATCH(Z702,FlowCalNumber,0),1,1)*AB709^INDEX(FlowCalConstB,MATCH(Z702,FlowCalNumber,0),1,1)&lt;INDEX(FlowCalHighSetting,MATCH(Z702,FlowCalNumber,0),1,1))),INDEX(FlowCalConstA,MATCH(Z702,FlowCalNumber,0),1,1)*AB709^INDEX(FlowCalConstB,MATCH(Z702,FlowCalNumber,0),1,1)," ")</f>
        <v>#N/A</v>
      </c>
      <c r="AD709" s="33"/>
      <c r="AE709" s="242">
        <f t="shared" si="674"/>
        <v>0.1</v>
      </c>
      <c r="AF709" s="241" t="e">
        <f t="shared" ca="1" si="675"/>
        <v>#N/A</v>
      </c>
      <c r="AG709" s="243" t="e">
        <f ca="1">IF(AND(INDEX(FlowCalConstA,MATCH(AD702,FlowCalNumber,0),1,1)*AF709^INDEX(FlowCalConstB,MATCH(AD702,FlowCalNumber,0),1,1)&gt;INDEX(FlowCalLowSetting,MATCH(AD702,FlowCalNumber,0),1,1), (INDEX(FlowCalConstA,MATCH(AD702,FlowCalNumber,0),1,1)*AF709^INDEX(FlowCalConstB,MATCH(AD702,FlowCalNumber,0),1,1)&lt;INDEX(FlowCalHighSetting,MATCH(AD702,FlowCalNumber,0),1,1))),INDEX(FlowCalConstA,MATCH(AD702,FlowCalNumber,0),1,1)*AF709^INDEX(FlowCalConstB,MATCH(AD702,FlowCalNumber,0),1,1)," ")</f>
        <v>#N/A</v>
      </c>
      <c r="AH709" s="33"/>
      <c r="AI709" s="242">
        <f t="shared" si="676"/>
        <v>0.9</v>
      </c>
      <c r="AJ709" s="241" t="e">
        <f t="shared" ca="1" si="677"/>
        <v>#N/A</v>
      </c>
      <c r="AK709" s="243" t="e">
        <f ca="1">IF(AND(INDEX(FlowCalConstA,MATCH(AH702,FlowCalNumber,0),1,1)*AJ709^INDEX(FlowCalConstB,MATCH(AH702,FlowCalNumber,0),1,1)&gt;INDEX(FlowCalLowSetting,MATCH(AH702,FlowCalNumber,0),1,1), (INDEX(FlowCalConstA,MATCH(AH702,FlowCalNumber,0),1,1)*AJ709^INDEX(FlowCalConstB,MATCH(AH702,FlowCalNumber,0),1,1)&lt;INDEX(FlowCalHighSetting,MATCH(AH702,FlowCalNumber,0),1,1))),INDEX(FlowCalConstA,MATCH(AH702,FlowCalNumber,0),1,1)*AJ709^INDEX(FlowCalConstB,MATCH(AH702,FlowCalNumber,0),1,1)," ")</f>
        <v>#N/A</v>
      </c>
      <c r="AL709" s="33"/>
      <c r="AM709" s="242"/>
      <c r="AN709" s="241"/>
      <c r="AO709" s="244"/>
      <c r="AQ709" s="242"/>
      <c r="AR709" s="241"/>
      <c r="AS709" s="244"/>
      <c r="AT709" s="33"/>
      <c r="AU709" s="242"/>
      <c r="AV709" s="241"/>
      <c r="AW709" s="244"/>
      <c r="AX709" s="33"/>
      <c r="AY709" s="242"/>
      <c r="AZ709" s="241"/>
      <c r="BA709" s="244"/>
      <c r="BB709" s="33"/>
      <c r="BC709" s="242"/>
      <c r="BD709" s="241"/>
      <c r="BE709" s="244"/>
      <c r="BF709" s="33"/>
      <c r="BG709" s="242"/>
      <c r="BH709" s="241"/>
      <c r="BI709" s="244"/>
      <c r="BJ709" s="33"/>
      <c r="BK709" s="242"/>
      <c r="BL709" s="241"/>
      <c r="BM709" s="244"/>
      <c r="BN709" s="33"/>
      <c r="BO709" s="242"/>
      <c r="BP709" s="241"/>
      <c r="BQ709" s="244"/>
      <c r="BR709" s="33"/>
      <c r="BS709" s="242"/>
      <c r="BT709" s="241"/>
      <c r="BU709" s="244"/>
      <c r="BV709" s="33"/>
      <c r="BW709" s="242"/>
      <c r="BX709" s="241"/>
      <c r="BY709" s="244"/>
      <c r="BZ709" s="33"/>
      <c r="CA709" s="242"/>
      <c r="CB709" s="241"/>
      <c r="CC709" s="244"/>
      <c r="CD709" s="243"/>
      <c r="CE709" s="243"/>
      <c r="CF709" s="243"/>
      <c r="CG709" s="243"/>
      <c r="CH709" s="243"/>
      <c r="CI709" s="243"/>
      <c r="CJ709" s="243"/>
      <c r="CK709" s="243"/>
      <c r="CL709" s="243"/>
      <c r="CM709" s="243"/>
      <c r="CN709" s="243"/>
      <c r="CO709" s="243"/>
      <c r="CP709" s="243"/>
      <c r="CQ709" s="243"/>
      <c r="CR709" s="243"/>
      <c r="CS709" s="243"/>
      <c r="CT709" s="243"/>
      <c r="CU709" s="243"/>
      <c r="CV709" s="243"/>
      <c r="CW709" s="243"/>
      <c r="CX709" s="243"/>
      <c r="CY709" s="243"/>
      <c r="CZ709" s="243"/>
      <c r="DA709" s="243"/>
      <c r="DB709" s="243"/>
      <c r="DC709" s="243"/>
      <c r="DD709" s="243"/>
      <c r="DE709" s="243"/>
      <c r="DF709" s="243"/>
      <c r="DG709" s="243"/>
      <c r="DH709" s="243"/>
      <c r="DI709" s="243"/>
      <c r="DJ709" s="243"/>
      <c r="DK709" s="243"/>
      <c r="DM709" s="242"/>
      <c r="DO709" s="243"/>
      <c r="DQ709" s="242"/>
      <c r="DS709" s="243"/>
      <c r="DU709" s="242"/>
      <c r="DW709" s="243"/>
      <c r="DY709" s="242"/>
      <c r="EA709" s="243"/>
    </row>
    <row r="710" spans="1:131">
      <c r="A710" s="20"/>
      <c r="B710" s="124" t="str">
        <f t="shared" si="662"/>
        <v/>
      </c>
      <c r="C710" s="235"/>
      <c r="D710" s="24">
        <f>'1% Wind'!$M$89</f>
        <v>7.6</v>
      </c>
      <c r="E710" s="90"/>
      <c r="F710" s="90"/>
      <c r="G710" s="79" t="e">
        <f ca="1">IF(I702=0.9743,$G709,MAX(G709/D709*D710,2))</f>
        <v>#N/A</v>
      </c>
      <c r="H710" s="121" t="e">
        <f t="shared" ca="1" si="663"/>
        <v>#N/A</v>
      </c>
      <c r="J710" s="33"/>
      <c r="K710" s="242">
        <f t="shared" si="664"/>
        <v>1</v>
      </c>
      <c r="L710" s="241" t="e">
        <f t="shared" ca="1" si="665"/>
        <v>#N/A</v>
      </c>
      <c r="M710" s="243" t="e">
        <f ca="1">IF(AND(INDEX(FlowCalConstA,MATCH(J702,FlowCalNumber,0),1,1)*L710^INDEX(FlowCalConstB,MATCH(J702,FlowCalNumber,0),1,1)&gt;INDEX(FlowCalLowSetting,MATCH(J702,FlowCalNumber,0),1,1), (INDEX(FlowCalConstA,MATCH(J702,FlowCalNumber,0),1,1)*L710^INDEX(FlowCalConstB,MATCH(J702,FlowCalNumber,0),1,1)&lt;INDEX(FlowCalHighSetting,MATCH(J702,FlowCalNumber,0),1,1))),INDEX(FlowCalConstA,MATCH(J702,FlowCalNumber,0),1,1)*L710^INDEX(FlowCalConstB,MATCH(J702,FlowCalNumber,0),1,1)," ")</f>
        <v>#N/A</v>
      </c>
      <c r="N710" s="33"/>
      <c r="O710" s="242">
        <f t="shared" si="666"/>
        <v>1</v>
      </c>
      <c r="P710" s="241" t="e">
        <f t="shared" ca="1" si="667"/>
        <v>#N/A</v>
      </c>
      <c r="Q710" s="243" t="e">
        <f ca="1">IF(AND(INDEX(FlowCalConstA,MATCH(N702,FlowCalNumber,0),1,1)*P710^INDEX(FlowCalConstB,MATCH(N702,FlowCalNumber,0),1,1)&gt;INDEX(FlowCalLowSetting,MATCH(N702,FlowCalNumber,0),1,1), (INDEX(FlowCalConstA,MATCH(N702,FlowCalNumber,0),1,1)*P710^INDEX(FlowCalConstB,MATCH(N702,FlowCalNumber,0),1,1)&lt;INDEX(FlowCalHighSetting,MATCH(N702,FlowCalNumber,0),1,1))),INDEX(FlowCalConstA,MATCH(N702,FlowCalNumber,0),1,1)*P710^INDEX(FlowCalConstB,MATCH(N702,FlowCalNumber,0),1,1)," ")</f>
        <v>#N/A</v>
      </c>
      <c r="R710" s="33"/>
      <c r="S710" s="242">
        <f t="shared" si="668"/>
        <v>1</v>
      </c>
      <c r="T710" s="241" t="e">
        <f t="shared" ca="1" si="669"/>
        <v>#N/A</v>
      </c>
      <c r="U710" s="244" t="e">
        <f ca="1">IF(AND(INDEX(FlowCalConstA,MATCH(R702,FlowCalNumber,0),1,1)*T710^INDEX(FlowCalConstB,MATCH(R702,FlowCalNumber,0),1,1)&gt;INDEX(FlowCalLowSetting,MATCH(R702,FlowCalNumber,0),1,1), (INDEX(FlowCalConstA,MATCH(R702,FlowCalNumber,0),1,1)*T710^INDEX(FlowCalConstB,MATCH(R702,FlowCalNumber,0),1,1)&lt;INDEX(FlowCalHighSetting,MATCH(R702,FlowCalNumber,0),1,1))),INDEX(FlowCalConstA,MATCH(R702,FlowCalNumber,0),1,1)*T710^INDEX(FlowCalConstB,MATCH(R702,FlowCalNumber,0),1,1)," ")</f>
        <v>#N/A</v>
      </c>
      <c r="V710" s="33"/>
      <c r="W710" s="242">
        <f t="shared" si="670"/>
        <v>0.1</v>
      </c>
      <c r="X710" s="241" t="e">
        <f t="shared" ca="1" si="671"/>
        <v>#N/A</v>
      </c>
      <c r="Y710" s="243" t="e">
        <f ca="1">IF(AND(INDEX(FlowCalConstA,MATCH(V702,FlowCalNumber,0),1,1)*X710^INDEX(FlowCalConstB,MATCH(V702,FlowCalNumber,0),1,1)&gt;INDEX(FlowCalLowSetting,MATCH(V702,FlowCalNumber,0),1,1), (INDEX(FlowCalConstA,MATCH(V702,FlowCalNumber,0),1,1)*X710^INDEX(FlowCalConstB,MATCH(V702,FlowCalNumber,0),1,1)&lt;INDEX(FlowCalHighSetting,MATCH(V702,FlowCalNumber,0),1,1))),INDEX(FlowCalConstA,MATCH(V702,FlowCalNumber,0),1,1)*X710^INDEX(FlowCalConstB,MATCH(V702,FlowCalNumber,0),1,1)," ")</f>
        <v>#N/A</v>
      </c>
      <c r="Z710" s="33"/>
      <c r="AA710" s="242">
        <f t="shared" si="672"/>
        <v>0.9</v>
      </c>
      <c r="AB710" s="241" t="e">
        <f t="shared" ca="1" si="673"/>
        <v>#N/A</v>
      </c>
      <c r="AC710" s="243" t="e">
        <f ca="1">IF(AND(INDEX(FlowCalConstA,MATCH(Z702,FlowCalNumber,0),1,1)*AB710^INDEX(FlowCalConstB,MATCH(Z702,FlowCalNumber,0),1,1)&gt;INDEX(FlowCalLowSetting,MATCH(Z702,FlowCalNumber,0),1,1), (INDEX(FlowCalConstA,MATCH(Z702,FlowCalNumber,0),1,1)*AB710^INDEX(FlowCalConstB,MATCH(Z702,FlowCalNumber,0),1,1)&lt;INDEX(FlowCalHighSetting,MATCH(Z702,FlowCalNumber,0),1,1))),INDEX(FlowCalConstA,MATCH(Z702,FlowCalNumber,0),1,1)*AB710^INDEX(FlowCalConstB,MATCH(Z702,FlowCalNumber,0),1,1)," ")</f>
        <v>#N/A</v>
      </c>
      <c r="AD710" s="33"/>
      <c r="AE710" s="242">
        <f t="shared" si="674"/>
        <v>0.1</v>
      </c>
      <c r="AF710" s="241" t="e">
        <f t="shared" ca="1" si="675"/>
        <v>#N/A</v>
      </c>
      <c r="AG710" s="243" t="e">
        <f ca="1">IF(AND(INDEX(FlowCalConstA,MATCH(AD702,FlowCalNumber,0),1,1)*AF710^INDEX(FlowCalConstB,MATCH(AD702,FlowCalNumber,0),1,1)&gt;INDEX(FlowCalLowSetting,MATCH(AD702,FlowCalNumber,0),1,1), (INDEX(FlowCalConstA,MATCH(AD702,FlowCalNumber,0),1,1)*AF710^INDEX(FlowCalConstB,MATCH(AD702,FlowCalNumber,0),1,1)&lt;INDEX(FlowCalHighSetting,MATCH(AD702,FlowCalNumber,0),1,1))),INDEX(FlowCalConstA,MATCH(AD702,FlowCalNumber,0),1,1)*AF710^INDEX(FlowCalConstB,MATCH(AD702,FlowCalNumber,0),1,1)," ")</f>
        <v>#N/A</v>
      </c>
      <c r="AH710" s="33"/>
      <c r="AI710" s="242">
        <f t="shared" si="676"/>
        <v>0.9</v>
      </c>
      <c r="AJ710" s="241" t="e">
        <f t="shared" ca="1" si="677"/>
        <v>#N/A</v>
      </c>
      <c r="AK710" s="243" t="e">
        <f ca="1">IF(AND(INDEX(FlowCalConstA,MATCH(AH702,FlowCalNumber,0),1,1)*AJ710^INDEX(FlowCalConstB,MATCH(AH702,FlowCalNumber,0),1,1)&gt;INDEX(FlowCalLowSetting,MATCH(AH702,FlowCalNumber,0),1,1), (INDEX(FlowCalConstA,MATCH(AH702,FlowCalNumber,0),1,1)*AJ710^INDEX(FlowCalConstB,MATCH(AH702,FlowCalNumber,0),1,1)&lt;INDEX(FlowCalHighSetting,MATCH(AH702,FlowCalNumber,0),1,1))),INDEX(FlowCalConstA,MATCH(AH702,FlowCalNumber,0),1,1)*AJ710^INDEX(FlowCalConstB,MATCH(AH702,FlowCalNumber,0),1,1)," ")</f>
        <v>#N/A</v>
      </c>
      <c r="AL710" s="33"/>
      <c r="AM710" s="242"/>
      <c r="AN710" s="241"/>
      <c r="AO710" s="244"/>
      <c r="AQ710" s="242"/>
      <c r="AR710" s="241"/>
      <c r="AS710" s="244"/>
      <c r="AT710" s="33"/>
      <c r="AU710" s="242"/>
      <c r="AV710" s="241"/>
      <c r="AW710" s="244"/>
      <c r="AX710" s="33"/>
      <c r="AY710" s="242"/>
      <c r="AZ710" s="241"/>
      <c r="BA710" s="244"/>
      <c r="BB710" s="33"/>
      <c r="BC710" s="242"/>
      <c r="BD710" s="241"/>
      <c r="BE710" s="244"/>
      <c r="BF710" s="33"/>
      <c r="BG710" s="242"/>
      <c r="BH710" s="241"/>
      <c r="BI710" s="244"/>
      <c r="BJ710" s="33"/>
      <c r="BK710" s="242"/>
      <c r="BL710" s="241"/>
      <c r="BM710" s="244"/>
      <c r="BN710" s="33"/>
      <c r="BO710" s="242"/>
      <c r="BP710" s="241"/>
      <c r="BQ710" s="244"/>
      <c r="BR710" s="33"/>
      <c r="BS710" s="242"/>
      <c r="BT710" s="241"/>
      <c r="BU710" s="244"/>
      <c r="BV710" s="33"/>
      <c r="BW710" s="242"/>
      <c r="BX710" s="241"/>
      <c r="BY710" s="244"/>
      <c r="BZ710" s="33"/>
      <c r="CA710" s="242"/>
      <c r="CB710" s="241"/>
      <c r="CC710" s="244"/>
      <c r="CD710" s="243"/>
      <c r="CE710" s="243"/>
      <c r="CF710" s="243"/>
      <c r="CG710" s="243"/>
      <c r="CH710" s="243"/>
      <c r="CI710" s="243"/>
      <c r="CJ710" s="243"/>
      <c r="CK710" s="243"/>
      <c r="CL710" s="243"/>
      <c r="CM710" s="243"/>
      <c r="CN710" s="243"/>
      <c r="CO710" s="243"/>
      <c r="CP710" s="243"/>
      <c r="CQ710" s="243"/>
      <c r="CR710" s="243"/>
      <c r="CS710" s="243"/>
      <c r="CT710" s="243"/>
      <c r="CU710" s="243"/>
      <c r="CV710" s="243"/>
      <c r="CW710" s="243"/>
      <c r="CX710" s="243"/>
      <c r="CY710" s="243"/>
      <c r="CZ710" s="243"/>
      <c r="DA710" s="243"/>
      <c r="DB710" s="243"/>
      <c r="DC710" s="243"/>
      <c r="DD710" s="243"/>
      <c r="DE710" s="243"/>
      <c r="DF710" s="243"/>
      <c r="DG710" s="243"/>
      <c r="DH710" s="243"/>
      <c r="DI710" s="243"/>
      <c r="DJ710" s="243"/>
      <c r="DK710" s="243"/>
      <c r="DM710" s="242"/>
      <c r="DO710" s="243"/>
      <c r="DQ710" s="242"/>
      <c r="DS710" s="243"/>
      <c r="DU710" s="242"/>
      <c r="DW710" s="243"/>
      <c r="DY710" s="242"/>
      <c r="EA710" s="243"/>
    </row>
    <row r="711" spans="1:131">
      <c r="A711" s="20"/>
      <c r="B711" s="124" t="str">
        <f t="shared" si="662"/>
        <v/>
      </c>
      <c r="C711" s="235"/>
      <c r="D711" s="24">
        <f>'1% Wind'!$M$90</f>
        <v>5.7</v>
      </c>
      <c r="E711" s="90"/>
      <c r="F711" s="90"/>
      <c r="G711" s="79" t="e">
        <f ca="1">IF(I702=0.9743,$G710,MAX(G710/D710*D711,2))</f>
        <v>#N/A</v>
      </c>
      <c r="H711" s="121" t="e">
        <f t="shared" ca="1" si="663"/>
        <v>#N/A</v>
      </c>
      <c r="J711" s="33"/>
      <c r="K711" s="242">
        <f t="shared" si="664"/>
        <v>1</v>
      </c>
      <c r="L711" s="241" t="e">
        <f t="shared" ca="1" si="665"/>
        <v>#N/A</v>
      </c>
      <c r="M711" s="243" t="e">
        <f ca="1">IF(AND(INDEX(FlowCalConstA,MATCH(J702,FlowCalNumber,0),1,1)*L711^INDEX(FlowCalConstB,MATCH(J702,FlowCalNumber,0),1,1)&gt;INDEX(FlowCalLowSetting,MATCH(J702,FlowCalNumber,0),1,1), (INDEX(FlowCalConstA,MATCH(J702,FlowCalNumber,0),1,1)*L711^INDEX(FlowCalConstB,MATCH(J702,FlowCalNumber,0),1,1)&lt;INDEX(FlowCalHighSetting,MATCH(J702,FlowCalNumber,0),1,1))),INDEX(FlowCalConstA,MATCH(J702,FlowCalNumber,0),1,1)*L711^INDEX(FlowCalConstB,MATCH(J702,FlowCalNumber,0),1,1)," ")</f>
        <v>#N/A</v>
      </c>
      <c r="N711" s="33"/>
      <c r="O711" s="242">
        <f t="shared" si="666"/>
        <v>1</v>
      </c>
      <c r="P711" s="241" t="e">
        <f t="shared" ca="1" si="667"/>
        <v>#N/A</v>
      </c>
      <c r="Q711" s="243" t="e">
        <f ca="1">IF(AND(INDEX(FlowCalConstA,MATCH(N702,FlowCalNumber,0),1,1)*P711^INDEX(FlowCalConstB,MATCH(N702,FlowCalNumber,0),1,1)&gt;INDEX(FlowCalLowSetting,MATCH(N702,FlowCalNumber,0),1,1), (INDEX(FlowCalConstA,MATCH(N702,FlowCalNumber,0),1,1)*P711^INDEX(FlowCalConstB,MATCH(N702,FlowCalNumber,0),1,1)&lt;INDEX(FlowCalHighSetting,MATCH(N702,FlowCalNumber,0),1,1))),INDEX(FlowCalConstA,MATCH(N702,FlowCalNumber,0),1,1)*P711^INDEX(FlowCalConstB,MATCH(N702,FlowCalNumber,0),1,1)," ")</f>
        <v>#N/A</v>
      </c>
      <c r="R711" s="33"/>
      <c r="S711" s="242">
        <f t="shared" si="668"/>
        <v>1</v>
      </c>
      <c r="T711" s="241" t="e">
        <f t="shared" ca="1" si="669"/>
        <v>#N/A</v>
      </c>
      <c r="U711" s="244" t="e">
        <f ca="1">IF(AND(INDEX(FlowCalConstA,MATCH(R702,FlowCalNumber,0),1,1)*T711^INDEX(FlowCalConstB,MATCH(R702,FlowCalNumber,0),1,1)&gt;INDEX(FlowCalLowSetting,MATCH(R702,FlowCalNumber,0),1,1), (INDEX(FlowCalConstA,MATCH(R702,FlowCalNumber,0),1,1)*T711^INDEX(FlowCalConstB,MATCH(R702,FlowCalNumber,0),1,1)&lt;INDEX(FlowCalHighSetting,MATCH(R702,FlowCalNumber,0),1,1))),INDEX(FlowCalConstA,MATCH(R702,FlowCalNumber,0),1,1)*T711^INDEX(FlowCalConstB,MATCH(R702,FlowCalNumber,0),1,1)," ")</f>
        <v>#N/A</v>
      </c>
      <c r="V711" s="33"/>
      <c r="W711" s="242">
        <f t="shared" si="670"/>
        <v>0.1</v>
      </c>
      <c r="X711" s="241" t="e">
        <f t="shared" ca="1" si="671"/>
        <v>#N/A</v>
      </c>
      <c r="Y711" s="243" t="e">
        <f ca="1">IF(AND(INDEX(FlowCalConstA,MATCH(V702,FlowCalNumber,0),1,1)*X711^INDEX(FlowCalConstB,MATCH(V702,FlowCalNumber,0),1,1)&gt;INDEX(FlowCalLowSetting,MATCH(V702,FlowCalNumber,0),1,1), (INDEX(FlowCalConstA,MATCH(V702,FlowCalNumber,0),1,1)*X711^INDEX(FlowCalConstB,MATCH(V702,FlowCalNumber,0),1,1)&lt;INDEX(FlowCalHighSetting,MATCH(V702,FlowCalNumber,0),1,1))),INDEX(FlowCalConstA,MATCH(V702,FlowCalNumber,0),1,1)*X711^INDEX(FlowCalConstB,MATCH(V702,FlowCalNumber,0),1,1)," ")</f>
        <v>#N/A</v>
      </c>
      <c r="Z711" s="33"/>
      <c r="AA711" s="242">
        <f t="shared" si="672"/>
        <v>0.9</v>
      </c>
      <c r="AB711" s="241" t="e">
        <f t="shared" ca="1" si="673"/>
        <v>#N/A</v>
      </c>
      <c r="AC711" s="243" t="e">
        <f ca="1">IF(AND(INDEX(FlowCalConstA,MATCH(Z702,FlowCalNumber,0),1,1)*AB711^INDEX(FlowCalConstB,MATCH(Z702,FlowCalNumber,0),1,1)&gt;INDEX(FlowCalLowSetting,MATCH(Z702,FlowCalNumber,0),1,1), (INDEX(FlowCalConstA,MATCH(Z702,FlowCalNumber,0),1,1)*AB711^INDEX(FlowCalConstB,MATCH(Z702,FlowCalNumber,0),1,1)&lt;INDEX(FlowCalHighSetting,MATCH(Z702,FlowCalNumber,0),1,1))),INDEX(FlowCalConstA,MATCH(Z702,FlowCalNumber,0),1,1)*AB711^INDEX(FlowCalConstB,MATCH(Z702,FlowCalNumber,0),1,1)," ")</f>
        <v>#N/A</v>
      </c>
      <c r="AD711" s="33"/>
      <c r="AE711" s="242">
        <f t="shared" si="674"/>
        <v>0.1</v>
      </c>
      <c r="AF711" s="241" t="e">
        <f t="shared" ca="1" si="675"/>
        <v>#N/A</v>
      </c>
      <c r="AG711" s="243" t="e">
        <f ca="1">IF(AND(INDEX(FlowCalConstA,MATCH(AD702,FlowCalNumber,0),1,1)*AF711^INDEX(FlowCalConstB,MATCH(AD702,FlowCalNumber,0),1,1)&gt;INDEX(FlowCalLowSetting,MATCH(AD702,FlowCalNumber,0),1,1), (INDEX(FlowCalConstA,MATCH(AD702,FlowCalNumber,0),1,1)*AF711^INDEX(FlowCalConstB,MATCH(AD702,FlowCalNumber,0),1,1)&lt;INDEX(FlowCalHighSetting,MATCH(AD702,FlowCalNumber,0),1,1))),INDEX(FlowCalConstA,MATCH(AD702,FlowCalNumber,0),1,1)*AF711^INDEX(FlowCalConstB,MATCH(AD702,FlowCalNumber,0),1,1)," ")</f>
        <v>#N/A</v>
      </c>
      <c r="AH711" s="33"/>
      <c r="AI711" s="242">
        <f t="shared" si="676"/>
        <v>0.9</v>
      </c>
      <c r="AJ711" s="241" t="e">
        <f t="shared" ca="1" si="677"/>
        <v>#N/A</v>
      </c>
      <c r="AK711" s="243" t="e">
        <f ca="1">IF(AND(INDEX(FlowCalConstA,MATCH(AH702,FlowCalNumber,0),1,1)*AJ711^INDEX(FlowCalConstB,MATCH(AH702,FlowCalNumber,0),1,1)&gt;INDEX(FlowCalLowSetting,MATCH(AH702,FlowCalNumber,0),1,1), (INDEX(FlowCalConstA,MATCH(AH702,FlowCalNumber,0),1,1)*AJ711^INDEX(FlowCalConstB,MATCH(AH702,FlowCalNumber,0),1,1)&lt;INDEX(FlowCalHighSetting,MATCH(AH702,FlowCalNumber,0),1,1))),INDEX(FlowCalConstA,MATCH(AH702,FlowCalNumber,0),1,1)*AJ711^INDEX(FlowCalConstB,MATCH(AH702,FlowCalNumber,0),1,1)," ")</f>
        <v>#N/A</v>
      </c>
      <c r="AL711" s="33"/>
      <c r="AM711" s="242"/>
      <c r="AN711" s="241"/>
      <c r="AO711" s="244"/>
      <c r="AQ711" s="242"/>
      <c r="AR711" s="241"/>
      <c r="AS711" s="244"/>
      <c r="AT711" s="33"/>
      <c r="AU711" s="242"/>
      <c r="AV711" s="241"/>
      <c r="AW711" s="244"/>
      <c r="AX711" s="33"/>
      <c r="AY711" s="242"/>
      <c r="AZ711" s="241"/>
      <c r="BA711" s="244"/>
      <c r="BB711" s="33"/>
      <c r="BC711" s="242"/>
      <c r="BD711" s="241"/>
      <c r="BE711" s="244"/>
      <c r="BF711" s="33"/>
      <c r="BG711" s="242"/>
      <c r="BH711" s="241"/>
      <c r="BI711" s="244"/>
      <c r="BJ711" s="33"/>
      <c r="BK711" s="242"/>
      <c r="BL711" s="241"/>
      <c r="BM711" s="244"/>
      <c r="BN711" s="33"/>
      <c r="BO711" s="242"/>
      <c r="BP711" s="241"/>
      <c r="BQ711" s="244"/>
      <c r="BR711" s="33"/>
      <c r="BS711" s="242"/>
      <c r="BT711" s="241"/>
      <c r="BU711" s="244"/>
      <c r="BV711" s="33"/>
      <c r="BW711" s="242"/>
      <c r="BX711" s="241"/>
      <c r="BY711" s="244"/>
      <c r="BZ711" s="33"/>
      <c r="CA711" s="242"/>
      <c r="CB711" s="241"/>
      <c r="CC711" s="244"/>
      <c r="CD711" s="243"/>
      <c r="CE711" s="243"/>
      <c r="CF711" s="243"/>
      <c r="CG711" s="243"/>
      <c r="CH711" s="243"/>
      <c r="CI711" s="243"/>
      <c r="CJ711" s="243"/>
      <c r="CK711" s="243"/>
      <c r="CL711" s="243"/>
      <c r="CM711" s="243"/>
      <c r="CN711" s="243"/>
      <c r="CO711" s="243"/>
      <c r="CP711" s="243"/>
      <c r="CQ711" s="243"/>
      <c r="CR711" s="243"/>
      <c r="CS711" s="243"/>
      <c r="CT711" s="243"/>
      <c r="CU711" s="243"/>
      <c r="CV711" s="243"/>
      <c r="CW711" s="243"/>
      <c r="CX711" s="243"/>
      <c r="CY711" s="243"/>
      <c r="CZ711" s="243"/>
      <c r="DA711" s="243"/>
      <c r="DB711" s="243"/>
      <c r="DC711" s="243"/>
      <c r="DD711" s="243"/>
      <c r="DE711" s="243"/>
      <c r="DF711" s="243"/>
      <c r="DG711" s="243"/>
      <c r="DH711" s="243"/>
      <c r="DI711" s="243"/>
      <c r="DJ711" s="243"/>
      <c r="DK711" s="243"/>
      <c r="DM711" s="242"/>
      <c r="DO711" s="243"/>
      <c r="DQ711" s="242"/>
      <c r="DS711" s="243"/>
      <c r="DU711" s="242"/>
      <c r="DW711" s="243"/>
      <c r="DY711" s="242"/>
      <c r="EA711" s="243"/>
    </row>
    <row r="712" spans="1:131">
      <c r="A712" s="20"/>
      <c r="B712" s="124" t="str">
        <f t="shared" si="662"/>
        <v/>
      </c>
      <c r="C712" s="235"/>
      <c r="D712" s="24">
        <f>'1% Wind'!$M$91</f>
        <v>4.2</v>
      </c>
      <c r="E712" s="90"/>
      <c r="F712" s="90"/>
      <c r="G712" s="79" t="e">
        <f ca="1">IF(I702=0.9743,$G711,MAX(G711/D711*D712,2))</f>
        <v>#N/A</v>
      </c>
      <c r="H712" s="121" t="e">
        <f t="shared" ca="1" si="663"/>
        <v>#N/A</v>
      </c>
      <c r="J712" s="33"/>
      <c r="K712" s="242">
        <f t="shared" si="664"/>
        <v>1</v>
      </c>
      <c r="L712" s="241" t="e">
        <f t="shared" ca="1" si="665"/>
        <v>#N/A</v>
      </c>
      <c r="M712" s="243" t="e">
        <f ca="1">IF(AND(INDEX(FlowCalConstA,MATCH(J702,FlowCalNumber,0),1,1)*L712^INDEX(FlowCalConstB,MATCH(J702,FlowCalNumber,0),1,1)&gt;INDEX(FlowCalLowSetting,MATCH(J702,FlowCalNumber,0),1,1), (INDEX(FlowCalConstA,MATCH(J702,FlowCalNumber,0),1,1)*L712^INDEX(FlowCalConstB,MATCH(J702,FlowCalNumber,0),1,1)&lt;INDEX(FlowCalHighSetting,MATCH(J702,FlowCalNumber,0),1,1))),INDEX(FlowCalConstA,MATCH(J702,FlowCalNumber,0),1,1)*L712^INDEX(FlowCalConstB,MATCH(J702,FlowCalNumber,0),1,1)," ")</f>
        <v>#N/A</v>
      </c>
      <c r="N712" s="33"/>
      <c r="O712" s="242">
        <f t="shared" si="666"/>
        <v>1</v>
      </c>
      <c r="P712" s="241" t="e">
        <f t="shared" ca="1" si="667"/>
        <v>#N/A</v>
      </c>
      <c r="Q712" s="243" t="e">
        <f ca="1">IF(AND(INDEX(FlowCalConstA,MATCH(N702,FlowCalNumber,0),1,1)*P712^INDEX(FlowCalConstB,MATCH(N702,FlowCalNumber,0),1,1)&gt;INDEX(FlowCalLowSetting,MATCH(N702,FlowCalNumber,0),1,1), (INDEX(FlowCalConstA,MATCH(N702,FlowCalNumber,0),1,1)*P712^INDEX(FlowCalConstB,MATCH(N702,FlowCalNumber,0),1,1)&lt;INDEX(FlowCalHighSetting,MATCH(N702,FlowCalNumber,0),1,1))),INDEX(FlowCalConstA,MATCH(N702,FlowCalNumber,0),1,1)*P712^INDEX(FlowCalConstB,MATCH(N702,FlowCalNumber,0),1,1)," ")</f>
        <v>#N/A</v>
      </c>
      <c r="R712" s="33"/>
      <c r="S712" s="242">
        <f t="shared" si="668"/>
        <v>1</v>
      </c>
      <c r="T712" s="241" t="e">
        <f t="shared" ca="1" si="669"/>
        <v>#N/A</v>
      </c>
      <c r="U712" s="244" t="e">
        <f ca="1">IF(AND(INDEX(FlowCalConstA,MATCH(R702,FlowCalNumber,0),1,1)*T712^INDEX(FlowCalConstB,MATCH(R702,FlowCalNumber,0),1,1)&gt;INDEX(FlowCalLowSetting,MATCH(R702,FlowCalNumber,0),1,1), (INDEX(FlowCalConstA,MATCH(R702,FlowCalNumber,0),1,1)*T712^INDEX(FlowCalConstB,MATCH(R702,FlowCalNumber,0),1,1)&lt;INDEX(FlowCalHighSetting,MATCH(R702,FlowCalNumber,0),1,1))),INDEX(FlowCalConstA,MATCH(R702,FlowCalNumber,0),1,1)*T712^INDEX(FlowCalConstB,MATCH(R702,FlowCalNumber,0),1,1)," ")</f>
        <v>#N/A</v>
      </c>
      <c r="V712" s="33"/>
      <c r="W712" s="242">
        <f t="shared" si="670"/>
        <v>0.1</v>
      </c>
      <c r="X712" s="241" t="e">
        <f t="shared" ca="1" si="671"/>
        <v>#N/A</v>
      </c>
      <c r="Y712" s="243" t="e">
        <f ca="1">IF(AND(INDEX(FlowCalConstA,MATCH(V702,FlowCalNumber,0),1,1)*X712^INDEX(FlowCalConstB,MATCH(V702,FlowCalNumber,0),1,1)&gt;INDEX(FlowCalLowSetting,MATCH(V702,FlowCalNumber,0),1,1), (INDEX(FlowCalConstA,MATCH(V702,FlowCalNumber,0),1,1)*X712^INDEX(FlowCalConstB,MATCH(V702,FlowCalNumber,0),1,1)&lt;INDEX(FlowCalHighSetting,MATCH(V702,FlowCalNumber,0),1,1))),INDEX(FlowCalConstA,MATCH(V702,FlowCalNumber,0),1,1)*X712^INDEX(FlowCalConstB,MATCH(V702,FlowCalNumber,0),1,1)," ")</f>
        <v>#N/A</v>
      </c>
      <c r="Z712" s="33"/>
      <c r="AA712" s="242">
        <f t="shared" si="672"/>
        <v>0.9</v>
      </c>
      <c r="AB712" s="241" t="e">
        <f t="shared" ca="1" si="673"/>
        <v>#N/A</v>
      </c>
      <c r="AC712" s="243" t="e">
        <f ca="1">IF(AND(INDEX(FlowCalConstA,MATCH(Z702,FlowCalNumber,0),1,1)*AB712^INDEX(FlowCalConstB,MATCH(Z702,FlowCalNumber,0),1,1)&gt;INDEX(FlowCalLowSetting,MATCH(Z702,FlowCalNumber,0),1,1), (INDEX(FlowCalConstA,MATCH(Z702,FlowCalNumber,0),1,1)*AB712^INDEX(FlowCalConstB,MATCH(Z702,FlowCalNumber,0),1,1)&lt;INDEX(FlowCalHighSetting,MATCH(Z702,FlowCalNumber,0),1,1))),INDEX(FlowCalConstA,MATCH(Z702,FlowCalNumber,0),1,1)*AB712^INDEX(FlowCalConstB,MATCH(Z702,FlowCalNumber,0),1,1)," ")</f>
        <v>#N/A</v>
      </c>
      <c r="AD712" s="33"/>
      <c r="AE712" s="242">
        <f t="shared" si="674"/>
        <v>0.1</v>
      </c>
      <c r="AF712" s="241" t="e">
        <f t="shared" ca="1" si="675"/>
        <v>#N/A</v>
      </c>
      <c r="AG712" s="243" t="e">
        <f ca="1">IF(AND(INDEX(FlowCalConstA,MATCH(AD702,FlowCalNumber,0),1,1)*AF712^INDEX(FlowCalConstB,MATCH(AD702,FlowCalNumber,0),1,1)&gt;INDEX(FlowCalLowSetting,MATCH(AD702,FlowCalNumber,0),1,1), (INDEX(FlowCalConstA,MATCH(AD702,FlowCalNumber,0),1,1)*AF712^INDEX(FlowCalConstB,MATCH(AD702,FlowCalNumber,0),1,1)&lt;INDEX(FlowCalHighSetting,MATCH(AD702,FlowCalNumber,0),1,1))),INDEX(FlowCalConstA,MATCH(AD702,FlowCalNumber,0),1,1)*AF712^INDEX(FlowCalConstB,MATCH(AD702,FlowCalNumber,0),1,1)," ")</f>
        <v>#N/A</v>
      </c>
      <c r="AH712" s="33"/>
      <c r="AI712" s="242">
        <f t="shared" si="676"/>
        <v>0.9</v>
      </c>
      <c r="AJ712" s="241" t="e">
        <f t="shared" ca="1" si="677"/>
        <v>#N/A</v>
      </c>
      <c r="AK712" s="243" t="e">
        <f ca="1">IF(AND(INDEX(FlowCalConstA,MATCH(AH702,FlowCalNumber,0),1,1)*AJ712^INDEX(FlowCalConstB,MATCH(AH702,FlowCalNumber,0),1,1)&gt;INDEX(FlowCalLowSetting,MATCH(AH702,FlowCalNumber,0),1,1), (INDEX(FlowCalConstA,MATCH(AH702,FlowCalNumber,0),1,1)*AJ712^INDEX(FlowCalConstB,MATCH(AH702,FlowCalNumber,0),1,1)&lt;INDEX(FlowCalHighSetting,MATCH(AH702,FlowCalNumber,0),1,1))),INDEX(FlowCalConstA,MATCH(AH702,FlowCalNumber,0),1,1)*AJ712^INDEX(FlowCalConstB,MATCH(AH702,FlowCalNumber,0),1,1)," ")</f>
        <v>#N/A</v>
      </c>
      <c r="AL712" s="33"/>
      <c r="AM712" s="242"/>
      <c r="AN712" s="241"/>
      <c r="AO712" s="244"/>
      <c r="AQ712" s="242"/>
      <c r="AR712" s="241"/>
      <c r="AS712" s="244"/>
      <c r="AT712" s="33"/>
      <c r="AU712" s="242"/>
      <c r="AV712" s="241"/>
      <c r="AW712" s="244"/>
      <c r="AX712" s="33"/>
      <c r="AY712" s="242"/>
      <c r="AZ712" s="241"/>
      <c r="BA712" s="244"/>
      <c r="BB712" s="33"/>
      <c r="BC712" s="242"/>
      <c r="BD712" s="241"/>
      <c r="BE712" s="244"/>
      <c r="BF712" s="33"/>
      <c r="BG712" s="242"/>
      <c r="BH712" s="241"/>
      <c r="BI712" s="244"/>
      <c r="BJ712" s="33"/>
      <c r="BK712" s="242"/>
      <c r="BL712" s="241"/>
      <c r="BM712" s="244"/>
      <c r="BN712" s="33"/>
      <c r="BO712" s="242"/>
      <c r="BP712" s="241"/>
      <c r="BQ712" s="244"/>
      <c r="BR712" s="33"/>
      <c r="BS712" s="242"/>
      <c r="BT712" s="241"/>
      <c r="BU712" s="244"/>
      <c r="BV712" s="33"/>
      <c r="BW712" s="242"/>
      <c r="BX712" s="241"/>
      <c r="BY712" s="244"/>
      <c r="BZ712" s="33"/>
      <c r="CA712" s="242"/>
      <c r="CB712" s="241"/>
      <c r="CC712" s="244"/>
      <c r="CD712" s="243"/>
      <c r="CE712" s="243"/>
      <c r="CF712" s="243"/>
      <c r="CG712" s="243"/>
      <c r="CH712" s="243"/>
      <c r="CI712" s="243"/>
      <c r="CJ712" s="243"/>
      <c r="CK712" s="243"/>
      <c r="CL712" s="243"/>
      <c r="CM712" s="243"/>
      <c r="CN712" s="243"/>
      <c r="CO712" s="243"/>
      <c r="CP712" s="243"/>
      <c r="CQ712" s="243"/>
      <c r="CR712" s="243"/>
      <c r="CS712" s="243"/>
      <c r="CT712" s="243"/>
      <c r="CU712" s="243"/>
      <c r="CV712" s="243"/>
      <c r="CW712" s="243"/>
      <c r="CX712" s="243"/>
      <c r="CY712" s="243"/>
      <c r="CZ712" s="243"/>
      <c r="DA712" s="243"/>
      <c r="DB712" s="243"/>
      <c r="DC712" s="243"/>
      <c r="DD712" s="243"/>
      <c r="DE712" s="243"/>
      <c r="DF712" s="243"/>
      <c r="DG712" s="243"/>
      <c r="DH712" s="243"/>
      <c r="DI712" s="243"/>
      <c r="DJ712" s="243"/>
      <c r="DK712" s="243"/>
      <c r="DM712" s="242"/>
      <c r="DO712" s="243"/>
      <c r="DQ712" s="242"/>
      <c r="DS712" s="243"/>
      <c r="DU712" s="242"/>
      <c r="DW712" s="243"/>
      <c r="DY712" s="242"/>
      <c r="EA712" s="243"/>
    </row>
    <row r="713" spans="1:131">
      <c r="A713" s="20"/>
      <c r="B713" s="124" t="str">
        <f t="shared" si="662"/>
        <v/>
      </c>
      <c r="C713" s="235"/>
      <c r="D713" s="24">
        <f>'1% Wind'!$M$92</f>
        <v>3.2</v>
      </c>
      <c r="E713" s="90"/>
      <c r="F713" s="90"/>
      <c r="G713" s="79" t="e">
        <f ca="1">IF(I702=0.9743,$G712,MAX(G712/D712*D713,2))</f>
        <v>#N/A</v>
      </c>
      <c r="H713" s="121" t="e">
        <f t="shared" ca="1" si="663"/>
        <v>#N/A</v>
      </c>
      <c r="J713" s="33"/>
      <c r="K713" s="242">
        <f t="shared" si="664"/>
        <v>1</v>
      </c>
      <c r="L713" s="241" t="e">
        <f t="shared" ca="1" si="665"/>
        <v>#N/A</v>
      </c>
      <c r="M713" s="243" t="e">
        <f ca="1">IF(AND(INDEX(FlowCalConstA,MATCH(J702,FlowCalNumber,0),1,1)*L713^INDEX(FlowCalConstB,MATCH(J702,FlowCalNumber,0),1,1)&gt;INDEX(FlowCalLowSetting,MATCH(J702,FlowCalNumber,0),1,1), (INDEX(FlowCalConstA,MATCH(J702,FlowCalNumber,0),1,1)*L713^INDEX(FlowCalConstB,MATCH(J702,FlowCalNumber,0),1,1)&lt;INDEX(FlowCalHighSetting,MATCH(J702,FlowCalNumber,0),1,1))),INDEX(FlowCalConstA,MATCH(J702,FlowCalNumber,0),1,1)*L713^INDEX(FlowCalConstB,MATCH(J702,FlowCalNumber,0),1,1)," ")</f>
        <v>#N/A</v>
      </c>
      <c r="N713" s="33"/>
      <c r="O713" s="242">
        <f t="shared" si="666"/>
        <v>1</v>
      </c>
      <c r="P713" s="241" t="e">
        <f t="shared" ca="1" si="667"/>
        <v>#N/A</v>
      </c>
      <c r="Q713" s="243" t="e">
        <f ca="1">IF(AND(INDEX(FlowCalConstA,MATCH(N702,FlowCalNumber,0),1,1)*P713^INDEX(FlowCalConstB,MATCH(N702,FlowCalNumber,0),1,1)&gt;INDEX(FlowCalLowSetting,MATCH(N702,FlowCalNumber,0),1,1), (INDEX(FlowCalConstA,MATCH(N702,FlowCalNumber,0),1,1)*P713^INDEX(FlowCalConstB,MATCH(N702,FlowCalNumber,0),1,1)&lt;INDEX(FlowCalHighSetting,MATCH(N702,FlowCalNumber,0),1,1))),INDEX(FlowCalConstA,MATCH(N702,FlowCalNumber,0),1,1)*P713^INDEX(FlowCalConstB,MATCH(N702,FlowCalNumber,0),1,1)," ")</f>
        <v>#N/A</v>
      </c>
      <c r="R713" s="33"/>
      <c r="S713" s="242">
        <f t="shared" si="668"/>
        <v>1</v>
      </c>
      <c r="T713" s="241" t="e">
        <f t="shared" ca="1" si="669"/>
        <v>#N/A</v>
      </c>
      <c r="U713" s="244" t="e">
        <f ca="1">IF(AND(INDEX(FlowCalConstA,MATCH(R702,FlowCalNumber,0),1,1)*T713^INDEX(FlowCalConstB,MATCH(R702,FlowCalNumber,0),1,1)&gt;INDEX(FlowCalLowSetting,MATCH(R702,FlowCalNumber,0),1,1), (INDEX(FlowCalConstA,MATCH(R702,FlowCalNumber,0),1,1)*T713^INDEX(FlowCalConstB,MATCH(R702,FlowCalNumber,0),1,1)&lt;INDEX(FlowCalHighSetting,MATCH(R702,FlowCalNumber,0),1,1))),INDEX(FlowCalConstA,MATCH(R702,FlowCalNumber,0),1,1)*T713^INDEX(FlowCalConstB,MATCH(R702,FlowCalNumber,0),1,1)," ")</f>
        <v>#N/A</v>
      </c>
      <c r="V713" s="33"/>
      <c r="W713" s="242">
        <f t="shared" si="670"/>
        <v>0.1</v>
      </c>
      <c r="X713" s="241" t="e">
        <f t="shared" ca="1" si="671"/>
        <v>#N/A</v>
      </c>
      <c r="Y713" s="243" t="e">
        <f ca="1">IF(AND(INDEX(FlowCalConstA,MATCH(V702,FlowCalNumber,0),1,1)*X713^INDEX(FlowCalConstB,MATCH(V702,FlowCalNumber,0),1,1)&gt;INDEX(FlowCalLowSetting,MATCH(V702,FlowCalNumber,0),1,1), (INDEX(FlowCalConstA,MATCH(V702,FlowCalNumber,0),1,1)*X713^INDEX(FlowCalConstB,MATCH(V702,FlowCalNumber,0),1,1)&lt;INDEX(FlowCalHighSetting,MATCH(V702,FlowCalNumber,0),1,1))),INDEX(FlowCalConstA,MATCH(V702,FlowCalNumber,0),1,1)*X713^INDEX(FlowCalConstB,MATCH(V702,FlowCalNumber,0),1,1)," ")</f>
        <v>#N/A</v>
      </c>
      <c r="Z713" s="33"/>
      <c r="AA713" s="242">
        <f t="shared" si="672"/>
        <v>0.9</v>
      </c>
      <c r="AB713" s="241" t="e">
        <f t="shared" ca="1" si="673"/>
        <v>#N/A</v>
      </c>
      <c r="AC713" s="243" t="e">
        <f ca="1">IF(AND(INDEX(FlowCalConstA,MATCH(Z702,FlowCalNumber,0),1,1)*AB713^INDEX(FlowCalConstB,MATCH(Z702,FlowCalNumber,0),1,1)&gt;INDEX(FlowCalLowSetting,MATCH(Z702,FlowCalNumber,0),1,1), (INDEX(FlowCalConstA,MATCH(Z702,FlowCalNumber,0),1,1)*AB713^INDEX(FlowCalConstB,MATCH(Z702,FlowCalNumber,0),1,1)&lt;INDEX(FlowCalHighSetting,MATCH(Z702,FlowCalNumber,0),1,1))),INDEX(FlowCalConstA,MATCH(Z702,FlowCalNumber,0),1,1)*AB713^INDEX(FlowCalConstB,MATCH(Z702,FlowCalNumber,0),1,1)," ")</f>
        <v>#N/A</v>
      </c>
      <c r="AD713" s="33"/>
      <c r="AE713" s="242">
        <f t="shared" si="674"/>
        <v>0.1</v>
      </c>
      <c r="AF713" s="241" t="e">
        <f t="shared" ca="1" si="675"/>
        <v>#N/A</v>
      </c>
      <c r="AG713" s="243" t="e">
        <f ca="1">IF(AND(INDEX(FlowCalConstA,MATCH(AD702,FlowCalNumber,0),1,1)*AF713^INDEX(FlowCalConstB,MATCH(AD702,FlowCalNumber,0),1,1)&gt;INDEX(FlowCalLowSetting,MATCH(AD702,FlowCalNumber,0),1,1), (INDEX(FlowCalConstA,MATCH(AD702,FlowCalNumber,0),1,1)*AF713^INDEX(FlowCalConstB,MATCH(AD702,FlowCalNumber,0),1,1)&lt;INDEX(FlowCalHighSetting,MATCH(AD702,FlowCalNumber,0),1,1))),INDEX(FlowCalConstA,MATCH(AD702,FlowCalNumber,0),1,1)*AF713^INDEX(FlowCalConstB,MATCH(AD702,FlowCalNumber,0),1,1)," ")</f>
        <v>#N/A</v>
      </c>
      <c r="AH713" s="33"/>
      <c r="AI713" s="242">
        <f t="shared" si="676"/>
        <v>0.9</v>
      </c>
      <c r="AJ713" s="241" t="e">
        <f t="shared" ca="1" si="677"/>
        <v>#N/A</v>
      </c>
      <c r="AK713" s="243" t="e">
        <f ca="1">IF(AND(INDEX(FlowCalConstA,MATCH(AH702,FlowCalNumber,0),1,1)*AJ713^INDEX(FlowCalConstB,MATCH(AH702,FlowCalNumber,0),1,1)&gt;INDEX(FlowCalLowSetting,MATCH(AH702,FlowCalNumber,0),1,1), (INDEX(FlowCalConstA,MATCH(AH702,FlowCalNumber,0),1,1)*AJ713^INDEX(FlowCalConstB,MATCH(AH702,FlowCalNumber,0),1,1)&lt;INDEX(FlowCalHighSetting,MATCH(AH702,FlowCalNumber,0),1,1))),INDEX(FlowCalConstA,MATCH(AH702,FlowCalNumber,0),1,1)*AJ713^INDEX(FlowCalConstB,MATCH(AH702,FlowCalNumber,0),1,1)," ")</f>
        <v>#N/A</v>
      </c>
      <c r="AL713" s="33"/>
      <c r="AM713" s="242"/>
      <c r="AN713" s="241"/>
      <c r="AO713" s="244"/>
      <c r="AQ713" s="242"/>
      <c r="AR713" s="241"/>
      <c r="AS713" s="244"/>
      <c r="AT713" s="33"/>
      <c r="AU713" s="242"/>
      <c r="AV713" s="241"/>
      <c r="AW713" s="244"/>
      <c r="AX713" s="33"/>
      <c r="AY713" s="242"/>
      <c r="AZ713" s="241"/>
      <c r="BA713" s="244"/>
      <c r="BB713" s="33"/>
      <c r="BC713" s="242"/>
      <c r="BD713" s="241"/>
      <c r="BE713" s="244"/>
      <c r="BF713" s="33"/>
      <c r="BG713" s="242"/>
      <c r="BH713" s="241"/>
      <c r="BI713" s="244"/>
      <c r="BJ713" s="33"/>
      <c r="BK713" s="242"/>
      <c r="BL713" s="241"/>
      <c r="BM713" s="244"/>
      <c r="BN713" s="33"/>
      <c r="BO713" s="242"/>
      <c r="BP713" s="241"/>
      <c r="BQ713" s="244"/>
      <c r="BR713" s="33"/>
      <c r="BS713" s="242"/>
      <c r="BT713" s="241"/>
      <c r="BU713" s="244"/>
      <c r="BV713" s="33"/>
      <c r="BW713" s="242"/>
      <c r="BX713" s="241"/>
      <c r="BY713" s="244"/>
      <c r="BZ713" s="33"/>
      <c r="CA713" s="242"/>
      <c r="CB713" s="241"/>
      <c r="CC713" s="244"/>
      <c r="CD713" s="243"/>
      <c r="CE713" s="243"/>
      <c r="CF713" s="243"/>
      <c r="CG713" s="243"/>
      <c r="CH713" s="243"/>
      <c r="CI713" s="243"/>
      <c r="CJ713" s="243"/>
      <c r="CK713" s="243"/>
      <c r="CL713" s="243"/>
      <c r="CM713" s="243"/>
      <c r="CN713" s="243"/>
      <c r="CO713" s="243"/>
      <c r="CP713" s="243"/>
      <c r="CQ713" s="243"/>
      <c r="CR713" s="243"/>
      <c r="CS713" s="243"/>
      <c r="CT713" s="243"/>
      <c r="CU713" s="243"/>
      <c r="CV713" s="243"/>
      <c r="CW713" s="243"/>
      <c r="CX713" s="243"/>
      <c r="CY713" s="243"/>
      <c r="CZ713" s="243"/>
      <c r="DA713" s="243"/>
      <c r="DB713" s="243"/>
      <c r="DC713" s="243"/>
      <c r="DD713" s="243"/>
      <c r="DE713" s="243"/>
      <c r="DF713" s="243"/>
      <c r="DG713" s="243"/>
      <c r="DH713" s="243"/>
      <c r="DI713" s="243"/>
      <c r="DJ713" s="243"/>
      <c r="DK713" s="243"/>
      <c r="DM713" s="242"/>
      <c r="DO713" s="243"/>
      <c r="DQ713" s="242"/>
      <c r="DS713" s="243"/>
      <c r="DU713" s="242"/>
      <c r="DW713" s="243"/>
      <c r="DY713" s="242"/>
      <c r="EA713" s="243"/>
    </row>
    <row r="714" spans="1:131">
      <c r="A714" s="20"/>
      <c r="B714" s="124" t="str">
        <f t="shared" si="662"/>
        <v/>
      </c>
      <c r="C714" s="235"/>
      <c r="D714" s="24">
        <f>'1% Wind'!$M$93</f>
        <v>2.4</v>
      </c>
      <c r="E714" s="90"/>
      <c r="F714" s="90"/>
      <c r="G714" s="79" t="e">
        <f ca="1">IF(I702=0.9743,$G713,MAX(G713/D713*D714,2))</f>
        <v>#N/A</v>
      </c>
      <c r="H714" s="121" t="e">
        <f t="shared" ca="1" si="663"/>
        <v>#N/A</v>
      </c>
      <c r="J714" s="33"/>
      <c r="K714" s="242">
        <f t="shared" si="664"/>
        <v>1</v>
      </c>
      <c r="L714" s="241" t="e">
        <f t="shared" ca="1" si="665"/>
        <v>#N/A</v>
      </c>
      <c r="M714" s="243" t="e">
        <f ca="1">IF(AND(INDEX(FlowCalConstA,MATCH(J702,FlowCalNumber,0),1,1)*L714^INDEX(FlowCalConstB,MATCH(J702,FlowCalNumber,0),1,1)&gt;INDEX(FlowCalLowSetting,MATCH(J702,FlowCalNumber,0),1,1), (INDEX(FlowCalConstA,MATCH(J702,FlowCalNumber,0),1,1)*L714^INDEX(FlowCalConstB,MATCH(J702,FlowCalNumber,0),1,1)&lt;INDEX(FlowCalHighSetting,MATCH(J702,FlowCalNumber,0),1,1))),INDEX(FlowCalConstA,MATCH(J702,FlowCalNumber,0),1,1)*L714^INDEX(FlowCalConstB,MATCH(J702,FlowCalNumber,0),1,1)," ")</f>
        <v>#N/A</v>
      </c>
      <c r="N714" s="33"/>
      <c r="O714" s="242">
        <f t="shared" si="666"/>
        <v>1</v>
      </c>
      <c r="P714" s="241" t="e">
        <f t="shared" ca="1" si="667"/>
        <v>#N/A</v>
      </c>
      <c r="Q714" s="243" t="e">
        <f ca="1">IF(AND(INDEX(FlowCalConstA,MATCH(N702,FlowCalNumber,0),1,1)*P714^INDEX(FlowCalConstB,MATCH(N702,FlowCalNumber,0),1,1)&gt;INDEX(FlowCalLowSetting,MATCH(N702,FlowCalNumber,0),1,1), (INDEX(FlowCalConstA,MATCH(N702,FlowCalNumber,0),1,1)*P714^INDEX(FlowCalConstB,MATCH(N702,FlowCalNumber,0),1,1)&lt;INDEX(FlowCalHighSetting,MATCH(N702,FlowCalNumber,0),1,1))),INDEX(FlowCalConstA,MATCH(N702,FlowCalNumber,0),1,1)*P714^INDEX(FlowCalConstB,MATCH(N702,FlowCalNumber,0),1,1)," ")</f>
        <v>#N/A</v>
      </c>
      <c r="R714" s="33"/>
      <c r="S714" s="242">
        <f t="shared" si="668"/>
        <v>1</v>
      </c>
      <c r="T714" s="241" t="e">
        <f t="shared" ca="1" si="669"/>
        <v>#N/A</v>
      </c>
      <c r="U714" s="244" t="e">
        <f ca="1">IF(AND(INDEX(FlowCalConstA,MATCH(R702,FlowCalNumber,0),1,1)*T714^INDEX(FlowCalConstB,MATCH(R702,FlowCalNumber,0),1,1)&gt;INDEX(FlowCalLowSetting,MATCH(R702,FlowCalNumber,0),1,1), (INDEX(FlowCalConstA,MATCH(R702,FlowCalNumber,0),1,1)*T714^INDEX(FlowCalConstB,MATCH(R702,FlowCalNumber,0),1,1)&lt;INDEX(FlowCalHighSetting,MATCH(R702,FlowCalNumber,0),1,1))),INDEX(FlowCalConstA,MATCH(R702,FlowCalNumber,0),1,1)*T714^INDEX(FlowCalConstB,MATCH(R702,FlowCalNumber,0),1,1)," ")</f>
        <v>#N/A</v>
      </c>
      <c r="V714" s="33"/>
      <c r="W714" s="242">
        <f t="shared" si="670"/>
        <v>0.1</v>
      </c>
      <c r="X714" s="241" t="e">
        <f t="shared" ca="1" si="671"/>
        <v>#N/A</v>
      </c>
      <c r="Y714" s="243" t="e">
        <f ca="1">IF(AND(INDEX(FlowCalConstA,MATCH(V702,FlowCalNumber,0),1,1)*X714^INDEX(FlowCalConstB,MATCH(V702,FlowCalNumber,0),1,1)&gt;INDEX(FlowCalLowSetting,MATCH(V702,FlowCalNumber,0),1,1), (INDEX(FlowCalConstA,MATCH(V702,FlowCalNumber,0),1,1)*X714^INDEX(FlowCalConstB,MATCH(V702,FlowCalNumber,0),1,1)&lt;INDEX(FlowCalHighSetting,MATCH(V702,FlowCalNumber,0),1,1))),INDEX(FlowCalConstA,MATCH(V702,FlowCalNumber,0),1,1)*X714^INDEX(FlowCalConstB,MATCH(V702,FlowCalNumber,0),1,1)," ")</f>
        <v>#N/A</v>
      </c>
      <c r="Z714" s="33"/>
      <c r="AA714" s="242">
        <f t="shared" si="672"/>
        <v>0.9</v>
      </c>
      <c r="AB714" s="241" t="e">
        <f t="shared" ca="1" si="673"/>
        <v>#N/A</v>
      </c>
      <c r="AC714" s="243" t="e">
        <f ca="1">IF(AND(INDEX(FlowCalConstA,MATCH(Z702,FlowCalNumber,0),1,1)*AB714^INDEX(FlowCalConstB,MATCH(Z702,FlowCalNumber,0),1,1)&gt;INDEX(FlowCalLowSetting,MATCH(Z702,FlowCalNumber,0),1,1), (INDEX(FlowCalConstA,MATCH(Z702,FlowCalNumber,0),1,1)*AB714^INDEX(FlowCalConstB,MATCH(Z702,FlowCalNumber,0),1,1)&lt;INDEX(FlowCalHighSetting,MATCH(Z702,FlowCalNumber,0),1,1))),INDEX(FlowCalConstA,MATCH(Z702,FlowCalNumber,0),1,1)*AB714^INDEX(FlowCalConstB,MATCH(Z702,FlowCalNumber,0),1,1)," ")</f>
        <v>#N/A</v>
      </c>
      <c r="AD714" s="33"/>
      <c r="AE714" s="242">
        <f t="shared" si="674"/>
        <v>0.1</v>
      </c>
      <c r="AF714" s="241" t="e">
        <f t="shared" ca="1" si="675"/>
        <v>#N/A</v>
      </c>
      <c r="AG714" s="243" t="e">
        <f ca="1">IF(AND(INDEX(FlowCalConstA,MATCH(AD702,FlowCalNumber,0),1,1)*AF714^INDEX(FlowCalConstB,MATCH(AD702,FlowCalNumber,0),1,1)&gt;INDEX(FlowCalLowSetting,MATCH(AD702,FlowCalNumber,0),1,1), (INDEX(FlowCalConstA,MATCH(AD702,FlowCalNumber,0),1,1)*AF714^INDEX(FlowCalConstB,MATCH(AD702,FlowCalNumber,0),1,1)&lt;INDEX(FlowCalHighSetting,MATCH(AD702,FlowCalNumber,0),1,1))),INDEX(FlowCalConstA,MATCH(AD702,FlowCalNumber,0),1,1)*AF714^INDEX(FlowCalConstB,MATCH(AD702,FlowCalNumber,0),1,1)," ")</f>
        <v>#N/A</v>
      </c>
      <c r="AH714" s="33"/>
      <c r="AI714" s="242">
        <f t="shared" si="676"/>
        <v>0.9</v>
      </c>
      <c r="AJ714" s="241" t="e">
        <f t="shared" ca="1" si="677"/>
        <v>#N/A</v>
      </c>
      <c r="AK714" s="243" t="e">
        <f ca="1">IF(AND(INDEX(FlowCalConstA,MATCH(AH702,FlowCalNumber,0),1,1)*AJ714^INDEX(FlowCalConstB,MATCH(AH702,FlowCalNumber,0),1,1)&gt;INDEX(FlowCalLowSetting,MATCH(AH702,FlowCalNumber,0),1,1), (INDEX(FlowCalConstA,MATCH(AH702,FlowCalNumber,0),1,1)*AJ714^INDEX(FlowCalConstB,MATCH(AH702,FlowCalNumber,0),1,1)&lt;INDEX(FlowCalHighSetting,MATCH(AH702,FlowCalNumber,0),1,1))),INDEX(FlowCalConstA,MATCH(AH702,FlowCalNumber,0),1,1)*AJ714^INDEX(FlowCalConstB,MATCH(AH702,FlowCalNumber,0),1,1)," ")</f>
        <v>#N/A</v>
      </c>
      <c r="AL714" s="33"/>
      <c r="AM714" s="242"/>
      <c r="AN714" s="241"/>
      <c r="AO714" s="244"/>
      <c r="AQ714" s="242"/>
      <c r="AR714" s="241"/>
      <c r="AS714" s="244"/>
      <c r="AT714" s="33"/>
      <c r="AU714" s="242"/>
      <c r="AV714" s="241"/>
      <c r="AW714" s="244"/>
      <c r="AX714" s="33"/>
      <c r="AY714" s="242"/>
      <c r="AZ714" s="241"/>
      <c r="BA714" s="244"/>
      <c r="BB714" s="33"/>
      <c r="BC714" s="242"/>
      <c r="BD714" s="241"/>
      <c r="BE714" s="244"/>
      <c r="BF714" s="33"/>
      <c r="BG714" s="242"/>
      <c r="BH714" s="241"/>
      <c r="BI714" s="244"/>
      <c r="BJ714" s="33"/>
      <c r="BK714" s="242"/>
      <c r="BL714" s="241"/>
      <c r="BM714" s="244"/>
      <c r="BN714" s="33"/>
      <c r="BO714" s="242"/>
      <c r="BP714" s="241"/>
      <c r="BQ714" s="244"/>
      <c r="BR714" s="33"/>
      <c r="BS714" s="242"/>
      <c r="BT714" s="241"/>
      <c r="BU714" s="244"/>
      <c r="BV714" s="33"/>
      <c r="BW714" s="242"/>
      <c r="BX714" s="241"/>
      <c r="BY714" s="244"/>
      <c r="BZ714" s="33"/>
      <c r="CA714" s="242"/>
      <c r="CB714" s="241"/>
      <c r="CC714" s="244"/>
      <c r="CD714" s="243"/>
      <c r="CE714" s="243"/>
      <c r="CF714" s="243"/>
      <c r="CG714" s="243"/>
      <c r="CH714" s="243"/>
      <c r="CI714" s="243"/>
      <c r="CJ714" s="243"/>
      <c r="CK714" s="243"/>
      <c r="CL714" s="243"/>
      <c r="CM714" s="243"/>
      <c r="CN714" s="243"/>
      <c r="CO714" s="243"/>
      <c r="CP714" s="243"/>
      <c r="CQ714" s="243"/>
      <c r="CR714" s="243"/>
      <c r="CS714" s="243"/>
      <c r="CT714" s="243"/>
      <c r="CU714" s="243"/>
      <c r="CV714" s="243"/>
      <c r="CW714" s="243"/>
      <c r="CX714" s="243"/>
      <c r="CY714" s="243"/>
      <c r="CZ714" s="243"/>
      <c r="DA714" s="243"/>
      <c r="DB714" s="243"/>
      <c r="DC714" s="243"/>
      <c r="DD714" s="243"/>
      <c r="DE714" s="243"/>
      <c r="DF714" s="243"/>
      <c r="DG714" s="243"/>
      <c r="DH714" s="243"/>
      <c r="DI714" s="243"/>
      <c r="DJ714" s="243"/>
      <c r="DK714" s="243"/>
      <c r="DM714" s="242"/>
      <c r="DO714" s="243"/>
      <c r="DQ714" s="242"/>
      <c r="DS714" s="243"/>
      <c r="DU714" s="242"/>
      <c r="DW714" s="243"/>
      <c r="DY714" s="242"/>
      <c r="EA714" s="243"/>
    </row>
    <row r="715" spans="1:131">
      <c r="A715" s="20"/>
      <c r="B715" s="124" t="str">
        <f t="shared" si="662"/>
        <v/>
      </c>
      <c r="C715" s="235"/>
      <c r="D715" s="24">
        <f>'1% Wind'!$M$94</f>
        <v>1.8</v>
      </c>
      <c r="E715" s="90"/>
      <c r="F715" s="90"/>
      <c r="G715" s="79" t="e">
        <f ca="1">IF(I702=0.9743,$G714,MAX(G714/D714*D715,2))</f>
        <v>#N/A</v>
      </c>
      <c r="H715" s="121" t="e">
        <f t="shared" ca="1" si="663"/>
        <v>#N/A</v>
      </c>
      <c r="J715" s="33"/>
      <c r="K715" s="242">
        <f t="shared" si="664"/>
        <v>1</v>
      </c>
      <c r="L715" s="241" t="e">
        <f t="shared" ca="1" si="665"/>
        <v>#N/A</v>
      </c>
      <c r="M715" s="243" t="e">
        <f ca="1">IF(AND(INDEX(FlowCalConstA,MATCH(J702,FlowCalNumber,0),1,1)*L715^INDEX(FlowCalConstB,MATCH(J702,FlowCalNumber,0),1,1)&gt;INDEX(FlowCalLowSetting,MATCH(J702,FlowCalNumber,0),1,1), (INDEX(FlowCalConstA,MATCH(J702,FlowCalNumber,0),1,1)*L715^INDEX(FlowCalConstB,MATCH(J702,FlowCalNumber,0),1,1)&lt;INDEX(FlowCalHighSetting,MATCH(J702,FlowCalNumber,0),1,1))),INDEX(FlowCalConstA,MATCH(J702,FlowCalNumber,0),1,1)*L715^INDEX(FlowCalConstB,MATCH(J702,FlowCalNumber,0),1,1)," ")</f>
        <v>#N/A</v>
      </c>
      <c r="N715" s="33"/>
      <c r="O715" s="242">
        <f t="shared" si="666"/>
        <v>1</v>
      </c>
      <c r="P715" s="241" t="e">
        <f t="shared" ca="1" si="667"/>
        <v>#N/A</v>
      </c>
      <c r="Q715" s="243" t="e">
        <f ca="1">IF(AND(INDEX(FlowCalConstA,MATCH(N702,FlowCalNumber,0),1,1)*P715^INDEX(FlowCalConstB,MATCH(N702,FlowCalNumber,0),1,1)&gt;INDEX(FlowCalLowSetting,MATCH(N702,FlowCalNumber,0),1,1), (INDEX(FlowCalConstA,MATCH(N702,FlowCalNumber,0),1,1)*P715^INDEX(FlowCalConstB,MATCH(N702,FlowCalNumber,0),1,1)&lt;INDEX(FlowCalHighSetting,MATCH(N702,FlowCalNumber,0),1,1))),INDEX(FlowCalConstA,MATCH(N702,FlowCalNumber,0),1,1)*P715^INDEX(FlowCalConstB,MATCH(N702,FlowCalNumber,0),1,1)," ")</f>
        <v>#N/A</v>
      </c>
      <c r="R715" s="33"/>
      <c r="S715" s="242">
        <f t="shared" si="668"/>
        <v>1</v>
      </c>
      <c r="T715" s="241" t="e">
        <f t="shared" ca="1" si="669"/>
        <v>#N/A</v>
      </c>
      <c r="U715" s="244" t="e">
        <f ca="1">IF(AND(INDEX(FlowCalConstA,MATCH(R702,FlowCalNumber,0),1,1)*T715^INDEX(FlowCalConstB,MATCH(R702,FlowCalNumber,0),1,1)&gt;INDEX(FlowCalLowSetting,MATCH(R702,FlowCalNumber,0),1,1), (INDEX(FlowCalConstA,MATCH(R702,FlowCalNumber,0),1,1)*T715^INDEX(FlowCalConstB,MATCH(R702,FlowCalNumber,0),1,1)&lt;INDEX(FlowCalHighSetting,MATCH(R702,FlowCalNumber,0),1,1))),INDEX(FlowCalConstA,MATCH(R702,FlowCalNumber,0),1,1)*T715^INDEX(FlowCalConstB,MATCH(R702,FlowCalNumber,0),1,1)," ")</f>
        <v>#N/A</v>
      </c>
      <c r="V715" s="33"/>
      <c r="W715" s="242">
        <f t="shared" si="670"/>
        <v>0.1</v>
      </c>
      <c r="X715" s="241" t="e">
        <f t="shared" ca="1" si="671"/>
        <v>#N/A</v>
      </c>
      <c r="Y715" s="243" t="e">
        <f ca="1">IF(AND(INDEX(FlowCalConstA,MATCH(V702,FlowCalNumber,0),1,1)*X715^INDEX(FlowCalConstB,MATCH(V702,FlowCalNumber,0),1,1)&gt;INDEX(FlowCalLowSetting,MATCH(V702,FlowCalNumber,0),1,1), (INDEX(FlowCalConstA,MATCH(V702,FlowCalNumber,0),1,1)*X715^INDEX(FlowCalConstB,MATCH(V702,FlowCalNumber,0),1,1)&lt;INDEX(FlowCalHighSetting,MATCH(V702,FlowCalNumber,0),1,1))),INDEX(FlowCalConstA,MATCH(V702,FlowCalNumber,0),1,1)*X715^INDEX(FlowCalConstB,MATCH(V702,FlowCalNumber,0),1,1)," ")</f>
        <v>#N/A</v>
      </c>
      <c r="Z715" s="33"/>
      <c r="AA715" s="242">
        <f t="shared" si="672"/>
        <v>0.9</v>
      </c>
      <c r="AB715" s="241" t="e">
        <f t="shared" ca="1" si="673"/>
        <v>#N/A</v>
      </c>
      <c r="AC715" s="243" t="e">
        <f ca="1">IF(AND(INDEX(FlowCalConstA,MATCH(Z702,FlowCalNumber,0),1,1)*AB715^INDEX(FlowCalConstB,MATCH(Z702,FlowCalNumber,0),1,1)&gt;INDEX(FlowCalLowSetting,MATCH(Z702,FlowCalNumber,0),1,1), (INDEX(FlowCalConstA,MATCH(Z702,FlowCalNumber,0),1,1)*AB715^INDEX(FlowCalConstB,MATCH(Z702,FlowCalNumber,0),1,1)&lt;INDEX(FlowCalHighSetting,MATCH(Z702,FlowCalNumber,0),1,1))),INDEX(FlowCalConstA,MATCH(Z702,FlowCalNumber,0),1,1)*AB715^INDEX(FlowCalConstB,MATCH(Z702,FlowCalNumber,0),1,1)," ")</f>
        <v>#N/A</v>
      </c>
      <c r="AD715" s="33"/>
      <c r="AE715" s="242">
        <f t="shared" si="674"/>
        <v>0.1</v>
      </c>
      <c r="AF715" s="241" t="e">
        <f t="shared" ca="1" si="675"/>
        <v>#N/A</v>
      </c>
      <c r="AG715" s="243" t="e">
        <f ca="1">IF(AND(INDEX(FlowCalConstA,MATCH(AD702,FlowCalNumber,0),1,1)*AF715^INDEX(FlowCalConstB,MATCH(AD702,FlowCalNumber,0),1,1)&gt;INDEX(FlowCalLowSetting,MATCH(AD702,FlowCalNumber,0),1,1), (INDEX(FlowCalConstA,MATCH(AD702,FlowCalNumber,0),1,1)*AF715^INDEX(FlowCalConstB,MATCH(AD702,FlowCalNumber,0),1,1)&lt;INDEX(FlowCalHighSetting,MATCH(AD702,FlowCalNumber,0),1,1))),INDEX(FlowCalConstA,MATCH(AD702,FlowCalNumber,0),1,1)*AF715^INDEX(FlowCalConstB,MATCH(AD702,FlowCalNumber,0),1,1)," ")</f>
        <v>#N/A</v>
      </c>
      <c r="AH715" s="33"/>
      <c r="AI715" s="242">
        <f t="shared" si="676"/>
        <v>0.9</v>
      </c>
      <c r="AJ715" s="241" t="e">
        <f t="shared" ca="1" si="677"/>
        <v>#N/A</v>
      </c>
      <c r="AK715" s="243" t="e">
        <f ca="1">IF(AND(INDEX(FlowCalConstA,MATCH(AH702,FlowCalNumber,0),1,1)*AJ715^INDEX(FlowCalConstB,MATCH(AH702,FlowCalNumber,0),1,1)&gt;INDEX(FlowCalLowSetting,MATCH(AH702,FlowCalNumber,0),1,1), (INDEX(FlowCalConstA,MATCH(AH702,FlowCalNumber,0),1,1)*AJ715^INDEX(FlowCalConstB,MATCH(AH702,FlowCalNumber,0),1,1)&lt;INDEX(FlowCalHighSetting,MATCH(AH702,FlowCalNumber,0),1,1))),INDEX(FlowCalConstA,MATCH(AH702,FlowCalNumber,0),1,1)*AJ715^INDEX(FlowCalConstB,MATCH(AH702,FlowCalNumber,0),1,1)," ")</f>
        <v>#N/A</v>
      </c>
      <c r="AL715" s="33"/>
      <c r="AM715" s="242"/>
      <c r="AN715" s="241"/>
      <c r="AO715" s="244"/>
      <c r="AQ715" s="242"/>
      <c r="AR715" s="241"/>
      <c r="AS715" s="244"/>
      <c r="AT715" s="33"/>
      <c r="AU715" s="242"/>
      <c r="AV715" s="241"/>
      <c r="AW715" s="244"/>
      <c r="AX715" s="33"/>
      <c r="AY715" s="242"/>
      <c r="AZ715" s="241"/>
      <c r="BA715" s="244"/>
      <c r="BB715" s="33"/>
      <c r="BC715" s="242"/>
      <c r="BD715" s="241"/>
      <c r="BE715" s="244"/>
      <c r="BF715" s="33"/>
      <c r="BG715" s="242"/>
      <c r="BH715" s="241"/>
      <c r="BI715" s="244"/>
      <c r="BJ715" s="33"/>
      <c r="BK715" s="242"/>
      <c r="BL715" s="241"/>
      <c r="BM715" s="244"/>
      <c r="BN715" s="33"/>
      <c r="BO715" s="242"/>
      <c r="BP715" s="241"/>
      <c r="BQ715" s="244"/>
      <c r="BR715" s="33"/>
      <c r="BS715" s="242"/>
      <c r="BT715" s="241"/>
      <c r="BU715" s="244"/>
      <c r="BV715" s="33"/>
      <c r="BW715" s="242"/>
      <c r="BX715" s="241"/>
      <c r="BY715" s="244"/>
      <c r="BZ715" s="33"/>
      <c r="CA715" s="242"/>
      <c r="CB715" s="241"/>
      <c r="CC715" s="244"/>
      <c r="CD715" s="243"/>
      <c r="CE715" s="243"/>
      <c r="CF715" s="243"/>
      <c r="CG715" s="243"/>
      <c r="CH715" s="243"/>
      <c r="CI715" s="243"/>
      <c r="CJ715" s="243"/>
      <c r="CK715" s="243"/>
      <c r="CL715" s="243"/>
      <c r="CM715" s="243"/>
      <c r="CN715" s="243"/>
      <c r="CO715" s="243"/>
      <c r="CP715" s="243"/>
      <c r="CQ715" s="243"/>
      <c r="CR715" s="243"/>
      <c r="CS715" s="243"/>
      <c r="CT715" s="243"/>
      <c r="CU715" s="243"/>
      <c r="CV715" s="243"/>
      <c r="CW715" s="243"/>
      <c r="CX715" s="243"/>
      <c r="CY715" s="243"/>
      <c r="CZ715" s="243"/>
      <c r="DA715" s="243"/>
      <c r="DB715" s="243"/>
      <c r="DC715" s="243"/>
      <c r="DD715" s="243"/>
      <c r="DE715" s="243"/>
      <c r="DF715" s="243"/>
      <c r="DG715" s="243"/>
      <c r="DH715" s="243"/>
      <c r="DI715" s="243"/>
      <c r="DJ715" s="243"/>
      <c r="DK715" s="243"/>
      <c r="DM715" s="242"/>
      <c r="DO715" s="243"/>
      <c r="DQ715" s="242"/>
      <c r="DS715" s="243"/>
      <c r="DU715" s="242"/>
      <c r="DW715" s="243"/>
      <c r="DY715" s="242"/>
      <c r="EA715" s="243"/>
    </row>
    <row r="716" spans="1:131">
      <c r="A716" s="20"/>
      <c r="B716" s="124" t="str">
        <f t="shared" si="662"/>
        <v/>
      </c>
      <c r="C716" s="235"/>
      <c r="D716" s="24">
        <f>'1% Wind'!$M$95</f>
        <v>1.3</v>
      </c>
      <c r="E716" s="90"/>
      <c r="F716" s="90"/>
      <c r="G716" s="79" t="e">
        <f ca="1">IF(I702=0.9743,$G715,MAX(G715/D715*D716,2))</f>
        <v>#N/A</v>
      </c>
      <c r="H716" s="121" t="e">
        <f t="shared" ca="1" si="663"/>
        <v>#N/A</v>
      </c>
      <c r="J716" s="33"/>
      <c r="K716" s="242">
        <f t="shared" si="664"/>
        <v>1</v>
      </c>
      <c r="L716" s="241" t="e">
        <f t="shared" ca="1" si="665"/>
        <v>#N/A</v>
      </c>
      <c r="M716" s="243" t="e">
        <f ca="1">IF(AND(INDEX(FlowCalConstA,MATCH(J702,FlowCalNumber,0),1,1)*L716^INDEX(FlowCalConstB,MATCH(J702,FlowCalNumber,0),1,1)&gt;INDEX(FlowCalLowSetting,MATCH(J702,FlowCalNumber,0),1,1), (INDEX(FlowCalConstA,MATCH(J702,FlowCalNumber,0),1,1)*L716^INDEX(FlowCalConstB,MATCH(J702,FlowCalNumber,0),1,1)&lt;INDEX(FlowCalHighSetting,MATCH(J702,FlowCalNumber,0),1,1))),INDEX(FlowCalConstA,MATCH(J702,FlowCalNumber,0),1,1)*L716^INDEX(FlowCalConstB,MATCH(J702,FlowCalNumber,0),1,1)," ")</f>
        <v>#N/A</v>
      </c>
      <c r="N716" s="33"/>
      <c r="O716" s="242">
        <f t="shared" si="666"/>
        <v>1</v>
      </c>
      <c r="P716" s="241" t="e">
        <f t="shared" ca="1" si="667"/>
        <v>#N/A</v>
      </c>
      <c r="Q716" s="243" t="e">
        <f ca="1">IF(AND(INDEX(FlowCalConstA,MATCH(N702,FlowCalNumber,0),1,1)*P716^INDEX(FlowCalConstB,MATCH(N702,FlowCalNumber,0),1,1)&gt;INDEX(FlowCalLowSetting,MATCH(N702,FlowCalNumber,0),1,1), (INDEX(FlowCalConstA,MATCH(N702,FlowCalNumber,0),1,1)*P716^INDEX(FlowCalConstB,MATCH(N702,FlowCalNumber,0),1,1)&lt;INDEX(FlowCalHighSetting,MATCH(N702,FlowCalNumber,0),1,1))),INDEX(FlowCalConstA,MATCH(N702,FlowCalNumber,0),1,1)*P716^INDEX(FlowCalConstB,MATCH(N702,FlowCalNumber,0),1,1)," ")</f>
        <v>#N/A</v>
      </c>
      <c r="R716" s="33"/>
      <c r="S716" s="242">
        <f t="shared" si="668"/>
        <v>1</v>
      </c>
      <c r="T716" s="241" t="e">
        <f t="shared" ca="1" si="669"/>
        <v>#N/A</v>
      </c>
      <c r="U716" s="244" t="e">
        <f ca="1">IF(AND(INDEX(FlowCalConstA,MATCH(R702,FlowCalNumber,0),1,1)*T716^INDEX(FlowCalConstB,MATCH(R702,FlowCalNumber,0),1,1)&gt;INDEX(FlowCalLowSetting,MATCH(R702,FlowCalNumber,0),1,1), (INDEX(FlowCalConstA,MATCH(R702,FlowCalNumber,0),1,1)*T716^INDEX(FlowCalConstB,MATCH(R702,FlowCalNumber,0),1,1)&lt;INDEX(FlowCalHighSetting,MATCH(R702,FlowCalNumber,0),1,1))),INDEX(FlowCalConstA,MATCH(R702,FlowCalNumber,0),1,1)*T716^INDEX(FlowCalConstB,MATCH(R702,FlowCalNumber,0),1,1)," ")</f>
        <v>#N/A</v>
      </c>
      <c r="V716" s="33"/>
      <c r="W716" s="242">
        <f t="shared" si="670"/>
        <v>0.1</v>
      </c>
      <c r="X716" s="241" t="e">
        <f t="shared" ca="1" si="671"/>
        <v>#N/A</v>
      </c>
      <c r="Y716" s="243" t="e">
        <f ca="1">IF(AND(INDEX(FlowCalConstA,MATCH(V702,FlowCalNumber,0),1,1)*X716^INDEX(FlowCalConstB,MATCH(V702,FlowCalNumber,0),1,1)&gt;INDEX(FlowCalLowSetting,MATCH(V702,FlowCalNumber,0),1,1), (INDEX(FlowCalConstA,MATCH(V702,FlowCalNumber,0),1,1)*X716^INDEX(FlowCalConstB,MATCH(V702,FlowCalNumber,0),1,1)&lt;INDEX(FlowCalHighSetting,MATCH(V702,FlowCalNumber,0),1,1))),INDEX(FlowCalConstA,MATCH(V702,FlowCalNumber,0),1,1)*X716^INDEX(FlowCalConstB,MATCH(V702,FlowCalNumber,0),1,1)," ")</f>
        <v>#N/A</v>
      </c>
      <c r="Z716" s="33"/>
      <c r="AA716" s="242">
        <f t="shared" si="672"/>
        <v>0.9</v>
      </c>
      <c r="AB716" s="241" t="e">
        <f t="shared" ca="1" si="673"/>
        <v>#N/A</v>
      </c>
      <c r="AC716" s="243" t="e">
        <f ca="1">IF(AND(INDEX(FlowCalConstA,MATCH(Z702,FlowCalNumber,0),1,1)*AB716^INDEX(FlowCalConstB,MATCH(Z702,FlowCalNumber,0),1,1)&gt;INDEX(FlowCalLowSetting,MATCH(Z702,FlowCalNumber,0),1,1), (INDEX(FlowCalConstA,MATCH(Z702,FlowCalNumber,0),1,1)*AB716^INDEX(FlowCalConstB,MATCH(Z702,FlowCalNumber,0),1,1)&lt;INDEX(FlowCalHighSetting,MATCH(Z702,FlowCalNumber,0),1,1))),INDEX(FlowCalConstA,MATCH(Z702,FlowCalNumber,0),1,1)*AB716^INDEX(FlowCalConstB,MATCH(Z702,FlowCalNumber,0),1,1)," ")</f>
        <v>#N/A</v>
      </c>
      <c r="AD716" s="33"/>
      <c r="AE716" s="242">
        <f t="shared" si="674"/>
        <v>0.1</v>
      </c>
      <c r="AF716" s="241" t="e">
        <f t="shared" ca="1" si="675"/>
        <v>#N/A</v>
      </c>
      <c r="AG716" s="243" t="e">
        <f ca="1">IF(AND(INDEX(FlowCalConstA,MATCH(AD702,FlowCalNumber,0),1,1)*AF716^INDEX(FlowCalConstB,MATCH(AD702,FlowCalNumber,0),1,1)&gt;INDEX(FlowCalLowSetting,MATCH(AD702,FlowCalNumber,0),1,1), (INDEX(FlowCalConstA,MATCH(AD702,FlowCalNumber,0),1,1)*AF716^INDEX(FlowCalConstB,MATCH(AD702,FlowCalNumber,0),1,1)&lt;INDEX(FlowCalHighSetting,MATCH(AD702,FlowCalNumber,0),1,1))),INDEX(FlowCalConstA,MATCH(AD702,FlowCalNumber,0),1,1)*AF716^INDEX(FlowCalConstB,MATCH(AD702,FlowCalNumber,0),1,1)," ")</f>
        <v>#N/A</v>
      </c>
      <c r="AH716" s="33"/>
      <c r="AI716" s="242">
        <f t="shared" si="676"/>
        <v>0.9</v>
      </c>
      <c r="AJ716" s="241" t="e">
        <f t="shared" ca="1" si="677"/>
        <v>#N/A</v>
      </c>
      <c r="AK716" s="243" t="e">
        <f ca="1">IF(AND(INDEX(FlowCalConstA,MATCH(AH702,FlowCalNumber,0),1,1)*AJ716^INDEX(FlowCalConstB,MATCH(AH702,FlowCalNumber,0),1,1)&gt;INDEX(FlowCalLowSetting,MATCH(AH702,FlowCalNumber,0),1,1), (INDEX(FlowCalConstA,MATCH(AH702,FlowCalNumber,0),1,1)*AJ716^INDEX(FlowCalConstB,MATCH(AH702,FlowCalNumber,0),1,1)&lt;INDEX(FlowCalHighSetting,MATCH(AH702,FlowCalNumber,0),1,1))),INDEX(FlowCalConstA,MATCH(AH702,FlowCalNumber,0),1,1)*AJ716^INDEX(FlowCalConstB,MATCH(AH702,FlowCalNumber,0),1,1)," ")</f>
        <v>#N/A</v>
      </c>
      <c r="AL716" s="33"/>
      <c r="AM716" s="242"/>
      <c r="AN716" s="241"/>
      <c r="AO716" s="244"/>
      <c r="AQ716" s="242"/>
      <c r="AR716" s="241"/>
      <c r="AS716" s="244"/>
      <c r="AT716" s="33"/>
      <c r="AU716" s="242"/>
      <c r="AV716" s="241"/>
      <c r="AW716" s="244"/>
      <c r="AX716" s="33"/>
      <c r="AY716" s="242"/>
      <c r="AZ716" s="241"/>
      <c r="BA716" s="244"/>
      <c r="BB716" s="33"/>
      <c r="BC716" s="242"/>
      <c r="BD716" s="241"/>
      <c r="BE716" s="244"/>
      <c r="BF716" s="33"/>
      <c r="BG716" s="242"/>
      <c r="BH716" s="241"/>
      <c r="BI716" s="244"/>
      <c r="BJ716" s="33"/>
      <c r="BK716" s="242"/>
      <c r="BL716" s="241"/>
      <c r="BM716" s="244"/>
      <c r="BN716" s="33"/>
      <c r="BO716" s="242"/>
      <c r="BP716" s="241"/>
      <c r="BQ716" s="244"/>
      <c r="BR716" s="33"/>
      <c r="BS716" s="242"/>
      <c r="BT716" s="241"/>
      <c r="BU716" s="244"/>
      <c r="BV716" s="33"/>
      <c r="BW716" s="242"/>
      <c r="BX716" s="241"/>
      <c r="BY716" s="244"/>
      <c r="BZ716" s="33"/>
      <c r="CA716" s="242"/>
      <c r="CB716" s="241"/>
      <c r="CC716" s="244"/>
      <c r="CD716" s="243"/>
      <c r="CE716" s="243"/>
      <c r="CF716" s="243"/>
      <c r="CG716" s="243"/>
      <c r="CH716" s="243"/>
      <c r="CI716" s="243"/>
      <c r="CJ716" s="243"/>
      <c r="CK716" s="243"/>
      <c r="CL716" s="243"/>
      <c r="CM716" s="243"/>
      <c r="CN716" s="243"/>
      <c r="CO716" s="243"/>
      <c r="CP716" s="243"/>
      <c r="CQ716" s="243"/>
      <c r="CR716" s="243"/>
      <c r="CS716" s="243"/>
      <c r="CT716" s="243"/>
      <c r="CU716" s="243"/>
      <c r="CV716" s="243"/>
      <c r="CW716" s="243"/>
      <c r="CX716" s="243"/>
      <c r="CY716" s="243"/>
      <c r="CZ716" s="243"/>
      <c r="DA716" s="243"/>
      <c r="DB716" s="243"/>
      <c r="DC716" s="243"/>
      <c r="DD716" s="243"/>
      <c r="DE716" s="243"/>
      <c r="DF716" s="243"/>
      <c r="DG716" s="243"/>
      <c r="DH716" s="243"/>
      <c r="DI716" s="243"/>
      <c r="DJ716" s="243"/>
      <c r="DK716" s="243"/>
      <c r="DM716" s="242"/>
      <c r="DO716" s="243"/>
      <c r="DQ716" s="242"/>
      <c r="DS716" s="243"/>
      <c r="DU716" s="242"/>
      <c r="DW716" s="243"/>
      <c r="DY716" s="242"/>
      <c r="EA716" s="243"/>
    </row>
    <row r="717" spans="1:131">
      <c r="A717" s="20"/>
      <c r="B717" s="124" t="str">
        <f t="shared" si="662"/>
        <v/>
      </c>
      <c r="C717" s="235"/>
      <c r="D717" s="24">
        <f>'1% Wind'!$M$96</f>
        <v>1</v>
      </c>
      <c r="E717" s="90"/>
      <c r="F717" s="90"/>
      <c r="G717" s="79" t="e">
        <f ca="1">IF(I702=0.9743,$G716,MAX(G716/D716*D717,2))</f>
        <v>#N/A</v>
      </c>
      <c r="H717" s="121" t="e">
        <f t="shared" ca="1" si="663"/>
        <v>#N/A</v>
      </c>
      <c r="J717" s="33"/>
      <c r="K717" s="242">
        <f t="shared" si="664"/>
        <v>1</v>
      </c>
      <c r="L717" s="241" t="e">
        <f t="shared" ca="1" si="665"/>
        <v>#N/A</v>
      </c>
      <c r="M717" s="243" t="e">
        <f ca="1">IF(AND(INDEX(FlowCalConstA,MATCH(J702,FlowCalNumber,0),1,1)*L717^INDEX(FlowCalConstB,MATCH(J702,FlowCalNumber,0),1,1)&gt;INDEX(FlowCalLowSetting,MATCH(J702,FlowCalNumber,0),1,1), (INDEX(FlowCalConstA,MATCH(J702,FlowCalNumber,0),1,1)*L717^INDEX(FlowCalConstB,MATCH(J702,FlowCalNumber,0),1,1)&lt;INDEX(FlowCalHighSetting,MATCH(J702,FlowCalNumber,0),1,1))),INDEX(FlowCalConstA,MATCH(J702,FlowCalNumber,0),1,1)*L717^INDEX(FlowCalConstB,MATCH(J702,FlowCalNumber,0),1,1)," ")</f>
        <v>#N/A</v>
      </c>
      <c r="N717" s="33"/>
      <c r="O717" s="242">
        <f t="shared" si="666"/>
        <v>1</v>
      </c>
      <c r="P717" s="241" t="e">
        <f t="shared" ca="1" si="667"/>
        <v>#N/A</v>
      </c>
      <c r="Q717" s="243" t="e">
        <f ca="1">IF(AND(INDEX(FlowCalConstA,MATCH(N702,FlowCalNumber,0),1,1)*P717^INDEX(FlowCalConstB,MATCH(N702,FlowCalNumber,0),1,1)&gt;INDEX(FlowCalLowSetting,MATCH(N702,FlowCalNumber,0),1,1), (INDEX(FlowCalConstA,MATCH(N702,FlowCalNumber,0),1,1)*P717^INDEX(FlowCalConstB,MATCH(N702,FlowCalNumber,0),1,1)&lt;INDEX(FlowCalHighSetting,MATCH(N702,FlowCalNumber,0),1,1))),INDEX(FlowCalConstA,MATCH(N702,FlowCalNumber,0),1,1)*P717^INDEX(FlowCalConstB,MATCH(N702,FlowCalNumber,0),1,1)," ")</f>
        <v>#N/A</v>
      </c>
      <c r="R717" s="33"/>
      <c r="S717" s="242">
        <f t="shared" si="668"/>
        <v>1</v>
      </c>
      <c r="T717" s="241" t="e">
        <f t="shared" ca="1" si="669"/>
        <v>#N/A</v>
      </c>
      <c r="U717" s="244" t="e">
        <f ca="1">IF(AND(INDEX(FlowCalConstA,MATCH(R702,FlowCalNumber,0),1,1)*T717^INDEX(FlowCalConstB,MATCH(R702,FlowCalNumber,0),1,1)&gt;INDEX(FlowCalLowSetting,MATCH(R702,FlowCalNumber,0),1,1), (INDEX(FlowCalConstA,MATCH(R702,FlowCalNumber,0),1,1)*T717^INDEX(FlowCalConstB,MATCH(R702,FlowCalNumber,0),1,1)&lt;INDEX(FlowCalHighSetting,MATCH(R702,FlowCalNumber,0),1,1))),INDEX(FlowCalConstA,MATCH(R702,FlowCalNumber,0),1,1)*T717^INDEX(FlowCalConstB,MATCH(R702,FlowCalNumber,0),1,1)," ")</f>
        <v>#N/A</v>
      </c>
      <c r="V717" s="33"/>
      <c r="W717" s="242">
        <f t="shared" si="670"/>
        <v>0.1</v>
      </c>
      <c r="X717" s="241" t="e">
        <f t="shared" ca="1" si="671"/>
        <v>#N/A</v>
      </c>
      <c r="Y717" s="243" t="e">
        <f ca="1">IF(AND(INDEX(FlowCalConstA,MATCH(V702,FlowCalNumber,0),1,1)*X717^INDEX(FlowCalConstB,MATCH(V702,FlowCalNumber,0),1,1)&gt;INDEX(FlowCalLowSetting,MATCH(V702,FlowCalNumber,0),1,1), (INDEX(FlowCalConstA,MATCH(V702,FlowCalNumber,0),1,1)*X717^INDEX(FlowCalConstB,MATCH(V702,FlowCalNumber,0),1,1)&lt;INDEX(FlowCalHighSetting,MATCH(V702,FlowCalNumber,0),1,1))),INDEX(FlowCalConstA,MATCH(V702,FlowCalNumber,0),1,1)*X717^INDEX(FlowCalConstB,MATCH(V702,FlowCalNumber,0),1,1)," ")</f>
        <v>#N/A</v>
      </c>
      <c r="Z717" s="33"/>
      <c r="AA717" s="242">
        <f t="shared" si="672"/>
        <v>0.9</v>
      </c>
      <c r="AB717" s="241" t="e">
        <f t="shared" ca="1" si="673"/>
        <v>#N/A</v>
      </c>
      <c r="AC717" s="243" t="e">
        <f ca="1">IF(AND(INDEX(FlowCalConstA,MATCH(Z702,FlowCalNumber,0),1,1)*AB717^INDEX(FlowCalConstB,MATCH(Z702,FlowCalNumber,0),1,1)&gt;INDEX(FlowCalLowSetting,MATCH(Z702,FlowCalNumber,0),1,1), (INDEX(FlowCalConstA,MATCH(Z702,FlowCalNumber,0),1,1)*AB717^INDEX(FlowCalConstB,MATCH(Z702,FlowCalNumber,0),1,1)&lt;INDEX(FlowCalHighSetting,MATCH(Z702,FlowCalNumber,0),1,1))),INDEX(FlowCalConstA,MATCH(Z702,FlowCalNumber,0),1,1)*AB717^INDEX(FlowCalConstB,MATCH(Z702,FlowCalNumber,0),1,1)," ")</f>
        <v>#N/A</v>
      </c>
      <c r="AD717" s="33"/>
      <c r="AE717" s="242">
        <f t="shared" si="674"/>
        <v>0.1</v>
      </c>
      <c r="AF717" s="241" t="e">
        <f t="shared" ca="1" si="675"/>
        <v>#N/A</v>
      </c>
      <c r="AG717" s="243" t="e">
        <f ca="1">IF(AND(INDEX(FlowCalConstA,MATCH(AD702,FlowCalNumber,0),1,1)*AF717^INDEX(FlowCalConstB,MATCH(AD702,FlowCalNumber,0),1,1)&gt;INDEX(FlowCalLowSetting,MATCH(AD702,FlowCalNumber,0),1,1), (INDEX(FlowCalConstA,MATCH(AD702,FlowCalNumber,0),1,1)*AF717^INDEX(FlowCalConstB,MATCH(AD702,FlowCalNumber,0),1,1)&lt;INDEX(FlowCalHighSetting,MATCH(AD702,FlowCalNumber,0),1,1))),INDEX(FlowCalConstA,MATCH(AD702,FlowCalNumber,0),1,1)*AF717^INDEX(FlowCalConstB,MATCH(AD702,FlowCalNumber,0),1,1)," ")</f>
        <v>#N/A</v>
      </c>
      <c r="AH717" s="33"/>
      <c r="AI717" s="242">
        <f t="shared" si="676"/>
        <v>0.9</v>
      </c>
      <c r="AJ717" s="241" t="e">
        <f t="shared" ca="1" si="677"/>
        <v>#N/A</v>
      </c>
      <c r="AK717" s="243" t="e">
        <f ca="1">IF(AND(INDEX(FlowCalConstA,MATCH(AH702,FlowCalNumber,0),1,1)*AJ717^INDEX(FlowCalConstB,MATCH(AH702,FlowCalNumber,0),1,1)&gt;INDEX(FlowCalLowSetting,MATCH(AH702,FlowCalNumber,0),1,1), (INDEX(FlowCalConstA,MATCH(AH702,FlowCalNumber,0),1,1)*AJ717^INDEX(FlowCalConstB,MATCH(AH702,FlowCalNumber,0),1,1)&lt;INDEX(FlowCalHighSetting,MATCH(AH702,FlowCalNumber,0),1,1))),INDEX(FlowCalConstA,MATCH(AH702,FlowCalNumber,0),1,1)*AJ717^INDEX(FlowCalConstB,MATCH(AH702,FlowCalNumber,0),1,1)," ")</f>
        <v>#N/A</v>
      </c>
      <c r="AL717" s="33"/>
      <c r="AM717" s="242"/>
      <c r="AN717" s="241"/>
      <c r="AO717" s="244"/>
      <c r="AQ717" s="242"/>
      <c r="AR717" s="241"/>
      <c r="AS717" s="244"/>
      <c r="AT717" s="33"/>
      <c r="AU717" s="242"/>
      <c r="AV717" s="241"/>
      <c r="AW717" s="244"/>
      <c r="AX717" s="33"/>
      <c r="AY717" s="242"/>
      <c r="AZ717" s="241"/>
      <c r="BA717" s="244"/>
      <c r="BB717" s="33"/>
      <c r="BC717" s="242"/>
      <c r="BD717" s="241"/>
      <c r="BE717" s="244"/>
      <c r="BF717" s="33"/>
      <c r="BG717" s="242"/>
      <c r="BH717" s="241"/>
      <c r="BI717" s="244"/>
      <c r="BJ717" s="33"/>
      <c r="BK717" s="242"/>
      <c r="BL717" s="241"/>
      <c r="BM717" s="244"/>
      <c r="BN717" s="33"/>
      <c r="BO717" s="242"/>
      <c r="BP717" s="241"/>
      <c r="BQ717" s="244"/>
      <c r="BR717" s="33"/>
      <c r="BS717" s="242"/>
      <c r="BT717" s="241"/>
      <c r="BU717" s="244"/>
      <c r="BV717" s="33"/>
      <c r="BW717" s="242"/>
      <c r="BX717" s="241"/>
      <c r="BY717" s="244"/>
      <c r="BZ717" s="33"/>
      <c r="CA717" s="242"/>
      <c r="CB717" s="241"/>
      <c r="CC717" s="244"/>
      <c r="CD717" s="243"/>
      <c r="CE717" s="243"/>
      <c r="CF717" s="243"/>
      <c r="CG717" s="243"/>
      <c r="CH717" s="243"/>
      <c r="CI717" s="243"/>
      <c r="CJ717" s="243"/>
      <c r="CK717" s="243"/>
      <c r="CL717" s="243"/>
      <c r="CM717" s="243"/>
      <c r="CN717" s="243"/>
      <c r="CO717" s="243"/>
      <c r="CP717" s="243"/>
      <c r="CQ717" s="243"/>
      <c r="CR717" s="243"/>
      <c r="CS717" s="243"/>
      <c r="CT717" s="243"/>
      <c r="CU717" s="243"/>
      <c r="CV717" s="243"/>
      <c r="CW717" s="243"/>
      <c r="CX717" s="243"/>
      <c r="CY717" s="243"/>
      <c r="CZ717" s="243"/>
      <c r="DA717" s="243"/>
      <c r="DB717" s="243"/>
      <c r="DC717" s="243"/>
      <c r="DD717" s="243"/>
      <c r="DE717" s="243"/>
      <c r="DF717" s="243"/>
      <c r="DG717" s="243"/>
      <c r="DH717" s="243"/>
      <c r="DI717" s="243"/>
      <c r="DJ717" s="243"/>
      <c r="DK717" s="243"/>
      <c r="DM717" s="242"/>
      <c r="DO717" s="243"/>
      <c r="DQ717" s="242"/>
      <c r="DS717" s="243"/>
      <c r="DU717" s="242"/>
      <c r="DW717" s="243"/>
      <c r="DY717" s="242"/>
      <c r="EA717" s="243"/>
    </row>
    <row r="718" spans="1:131">
      <c r="A718" s="33"/>
      <c r="B718" s="33"/>
      <c r="C718" s="235"/>
      <c r="E718" s="90"/>
      <c r="F718" s="90"/>
      <c r="G718" s="33"/>
      <c r="J718" s="33"/>
      <c r="N718" s="33"/>
      <c r="Q718" s="243"/>
      <c r="R718" s="33"/>
      <c r="U718" s="244"/>
      <c r="V718" s="33"/>
      <c r="Y718" s="243"/>
      <c r="Z718" s="33"/>
      <c r="AC718" s="243"/>
      <c r="AD718" s="33"/>
      <c r="AG718" s="243"/>
      <c r="AH718" s="33"/>
      <c r="AK718" s="244"/>
      <c r="AL718" s="792"/>
      <c r="AM718" s="243"/>
      <c r="AN718" s="243"/>
      <c r="AO718" s="244"/>
      <c r="AP718" s="243"/>
      <c r="AQ718" s="243"/>
      <c r="AR718" s="243"/>
      <c r="AS718" s="244"/>
      <c r="AT718" s="243"/>
      <c r="AU718" s="243"/>
      <c r="AV718" s="243"/>
      <c r="AW718" s="244"/>
      <c r="AX718" s="243"/>
      <c r="AY718" s="243"/>
      <c r="AZ718" s="243"/>
      <c r="BA718" s="244"/>
      <c r="BB718" s="33"/>
      <c r="BE718" s="244"/>
      <c r="BF718" s="33"/>
      <c r="BI718" s="244"/>
      <c r="BJ718" s="33"/>
      <c r="BM718" s="244"/>
      <c r="BN718" s="243"/>
      <c r="BO718" s="243"/>
      <c r="BP718" s="243"/>
      <c r="BQ718" s="244"/>
      <c r="BR718" s="792"/>
      <c r="BS718" s="243"/>
      <c r="BT718" s="243"/>
      <c r="BU718" s="244"/>
      <c r="BV718" s="792"/>
      <c r="BW718" s="243"/>
      <c r="BX718" s="243"/>
      <c r="BY718" s="244"/>
      <c r="BZ718" s="792"/>
      <c r="CA718" s="243"/>
      <c r="CB718" s="243"/>
      <c r="CC718" s="244"/>
      <c r="CD718" s="243"/>
      <c r="CE718" s="243"/>
      <c r="CF718" s="243"/>
      <c r="CG718" s="243"/>
      <c r="CH718" s="243"/>
      <c r="CI718" s="243"/>
      <c r="CJ718" s="243"/>
      <c r="CK718" s="243"/>
      <c r="CL718" s="243"/>
      <c r="CM718" s="243"/>
      <c r="CN718" s="243"/>
      <c r="CO718" s="243"/>
      <c r="CP718" s="243"/>
      <c r="CQ718" s="243"/>
      <c r="CR718" s="243"/>
      <c r="CS718" s="243"/>
      <c r="CT718" s="243"/>
      <c r="CU718" s="243"/>
      <c r="CV718" s="243"/>
      <c r="CW718" s="243"/>
      <c r="CX718" s="243"/>
      <c r="CY718" s="243"/>
      <c r="CZ718" s="243"/>
      <c r="DA718" s="243"/>
      <c r="DB718" s="243"/>
      <c r="DC718" s="243"/>
      <c r="DD718" s="243"/>
      <c r="DE718" s="243"/>
      <c r="DF718" s="243"/>
      <c r="DG718" s="243"/>
      <c r="DH718" s="243"/>
      <c r="DI718" s="243"/>
      <c r="DJ718" s="243"/>
      <c r="DK718" s="243"/>
      <c r="DO718" s="243"/>
      <c r="DS718" s="243"/>
      <c r="DW718" s="243"/>
      <c r="EA718" s="243"/>
    </row>
    <row r="719" spans="1:131">
      <c r="A719" s="256" t="str">
        <f>IF((RIGHT(A702,1))&lt;&gt;"Z",CHAR(CODE(A702))&amp;CHAR(CODE(RIGHT(A702,1))+1),CHAR(CODE(A702)+1)&amp;"A")</f>
        <v>BP</v>
      </c>
      <c r="B719" s="270" t="e">
        <f>INDEX(SourceID,MATCH($A719,SourceNumber,0),1,1)</f>
        <v>#N/A</v>
      </c>
      <c r="C719" s="354" t="e">
        <f>INDEX(SourceExitDiameter,MATCH($A719,SourceNumber,0),1,1)*3.28*12</f>
        <v>#N/A</v>
      </c>
      <c r="D719" s="24" t="str">
        <f>UAnem1percent</f>
        <v>1% Wind</v>
      </c>
      <c r="E719" s="350" t="e">
        <f ca="1">INDIRECT(ADDRESS(53,6,1,,CONCATENATE("TA",$A719)))</f>
        <v>#REF!</v>
      </c>
      <c r="F719" s="625" t="e">
        <f ca="1">(ROUND((INDIRECT(ADDRESS(15,7,1,,CONCATENATE("TA",$A719)))*3.28*12*32),0)&amp;"/32")</f>
        <v>#REF!</v>
      </c>
      <c r="G719" s="125" t="e">
        <f ca="1">INDIRECT(ADDRESS(29,7,1,,$A719))</f>
        <v>#N/A</v>
      </c>
      <c r="H719" s="24" t="e">
        <f ca="1">INDIRECT(ADDRESS(19,7,1,,$A719))*100^3</f>
        <v>#N/A</v>
      </c>
      <c r="I719" s="941" t="e">
        <f ca="1">INDIRECT(ADDRESS(53,7,1,,$A719))</f>
        <v>#N/A</v>
      </c>
      <c r="J719" s="20" t="e">
        <f ca="1">IF($I719=$I$6,K$16&amp;$G$6&amp;J$6,IF($I719=$I$7,K$16&amp;$G$7&amp;J$7,"Bad"))</f>
        <v>#N/A</v>
      </c>
      <c r="K719" t="e">
        <f ca="1">INDEX(FlowCalGasMixture,MATCH(J719,FlowCalNumber,0),1,1)</f>
        <v>#N/A</v>
      </c>
      <c r="M719" s="944" t="e">
        <f ca="1">INDEX(FlowCalDevice,MATCH(J719,FlowCalNumber,0),1,1)</f>
        <v>#N/A</v>
      </c>
      <c r="N719" s="943" t="e">
        <f ca="1">IF($I719=$I$6,O$16&amp;$G$6&amp;"90"&amp;$H$6&amp;N$6,IF($I719=$I$7,O$16&amp;$G$7&amp;"90"&amp;$H$7&amp;N$7,"Bad"))</f>
        <v>#N/A</v>
      </c>
      <c r="O719" t="e">
        <f ca="1">INDEX(FlowCalGasMixture,MATCH(N719,FlowCalNumber,0),1,1)</f>
        <v>#N/A</v>
      </c>
      <c r="Q719" s="944" t="e">
        <f ca="1">INDEX(FlowCalDevice,MATCH(N719,FlowCalNumber,0),1,1)</f>
        <v>#N/A</v>
      </c>
      <c r="R719" s="943" t="e">
        <f ca="1">IF($I719=$I$6,S$16&amp;$G$6&amp;"90"&amp;$H$6&amp;R$6,IF($I719=$I$7,S$16&amp;$G$7&amp;"90"&amp;$H$7&amp;R$7,"Bad"))</f>
        <v>#N/A</v>
      </c>
      <c r="S719" t="e">
        <f ca="1">INDEX(FlowCalGasMixture,MATCH(R719,FlowCalNumber,0),1,1)</f>
        <v>#N/A</v>
      </c>
      <c r="U719" s="944" t="e">
        <f ca="1">INDEX(FlowCalDevice,MATCH(R719,FlowCalNumber,0),1,1)</f>
        <v>#N/A</v>
      </c>
      <c r="V719" s="20" t="e">
        <f ca="1">IF($I719=$I$6,W$16&amp;$G$6&amp;V$6,IF($I719=$I$7,W$16&amp;$G$7&amp;V$7,"Bad"))</f>
        <v>#N/A</v>
      </c>
      <c r="W719" t="e">
        <f ca="1">INDEX(FlowCalGasMixture,MATCH(V719,FlowCalNumber,0),1,1)</f>
        <v>#N/A</v>
      </c>
      <c r="Y719" s="944" t="e">
        <f ca="1">INDEX(FlowCalDevice,MATCH(V719,FlowCalNumber,0),1,1)</f>
        <v>#N/A</v>
      </c>
      <c r="Z719" s="946" t="e">
        <f ca="1">IF($I719=$I$6,AA$18&amp;$H$6&amp;Z$6,IF($I719=$I$7,AA$18&amp;$H$7&amp;Z$7,"Bad"))</f>
        <v>#N/A</v>
      </c>
      <c r="AA719" t="e">
        <f ca="1">INDEX(FlowCalGasMixture,MATCH(Z719,FlowCalNumber,0),1,1)</f>
        <v>#N/A</v>
      </c>
      <c r="AC719" s="944" t="e">
        <f ca="1">INDEX(FlowCalDevice,MATCH(Z719,FlowCalNumber,0),1,1)</f>
        <v>#N/A</v>
      </c>
      <c r="AD719" s="20" t="e">
        <f ca="1">IF($I719=$I$6,AE$16&amp;$G$6&amp;AD$6,IF($I719=$I$7,AE$16&amp;$G$7&amp;AD$7,"Bad"))</f>
        <v>#N/A</v>
      </c>
      <c r="AE719" t="e">
        <f ca="1">INDEX(FlowCalGasMixture,MATCH(AD719,FlowCalNumber,0),1,1)</f>
        <v>#N/A</v>
      </c>
      <c r="AG719" s="944" t="e">
        <f ca="1">INDEX(FlowCalDevice,MATCH(AD719,FlowCalNumber,0),1,1)</f>
        <v>#N/A</v>
      </c>
      <c r="AH719" s="946" t="e">
        <f ca="1">IF($I719=$I$6,AI$18&amp;$H$6&amp;AH$6,IF($I719=$I$7,AI$18&amp;$H$7&amp;AH$7,"Bad"))</f>
        <v>#N/A</v>
      </c>
      <c r="AI719" t="e">
        <f ca="1">INDEX(FlowCalGasMixture,MATCH(AH719,FlowCalNumber,0),1,1)</f>
        <v>#N/A</v>
      </c>
      <c r="AK719" s="944" t="e">
        <f ca="1">INDEX(FlowCalDevice,MATCH(AH719,FlowCalNumber,0),1,1)</f>
        <v>#N/A</v>
      </c>
      <c r="AL719" s="20"/>
      <c r="AO719" s="982"/>
      <c r="AP719" s="960"/>
      <c r="AS719" s="982"/>
      <c r="AT719" s="20"/>
      <c r="AW719" s="982"/>
      <c r="AX719" s="946"/>
      <c r="BA719" s="982"/>
      <c r="BB719" s="20"/>
      <c r="BC719" s="16"/>
      <c r="BE719" s="982"/>
      <c r="BF719" s="946"/>
      <c r="BG719" s="16"/>
      <c r="BI719" s="982"/>
      <c r="BJ719" s="946"/>
      <c r="BK719" s="16"/>
      <c r="BM719" s="982"/>
      <c r="BN719" s="20"/>
      <c r="BO719" s="16"/>
      <c r="BQ719" s="982"/>
      <c r="BR719" s="946"/>
      <c r="BS719" s="16"/>
      <c r="BU719" s="982"/>
      <c r="BV719" s="946"/>
      <c r="BW719" s="16"/>
      <c r="BY719" s="982"/>
      <c r="BZ719" s="946"/>
      <c r="CA719" s="16"/>
      <c r="CC719" s="982"/>
      <c r="CD719" s="355"/>
      <c r="CE719" s="355"/>
      <c r="CF719" s="355"/>
      <c r="CG719" s="355"/>
      <c r="CH719" s="355"/>
      <c r="CI719" s="355"/>
      <c r="CJ719" s="355"/>
      <c r="CK719" s="355"/>
      <c r="CL719" s="355"/>
      <c r="CM719" s="355"/>
      <c r="CN719" s="355"/>
      <c r="CO719" s="355"/>
      <c r="CP719" s="355"/>
      <c r="CQ719" s="355"/>
      <c r="CR719" s="355"/>
      <c r="CS719" s="355"/>
      <c r="CT719" s="355"/>
      <c r="CU719" s="355"/>
      <c r="CV719" s="355"/>
      <c r="CW719" s="355"/>
      <c r="CX719" s="355"/>
      <c r="CY719" s="355"/>
      <c r="CZ719" s="355"/>
      <c r="DA719" s="355"/>
      <c r="DB719" s="355"/>
      <c r="DC719" s="355"/>
      <c r="DD719" s="355"/>
      <c r="DE719" s="355"/>
      <c r="DF719" s="355"/>
      <c r="DG719" s="355"/>
      <c r="DH719" s="355"/>
      <c r="DI719" s="355"/>
      <c r="DJ719" s="355"/>
      <c r="DK719" s="355"/>
      <c r="DL719" s="46"/>
      <c r="DM719" s="16"/>
      <c r="DO719" s="355"/>
      <c r="DP719" s="42"/>
      <c r="DQ719" s="16"/>
      <c r="DS719" s="355"/>
      <c r="DT719" s="42"/>
      <c r="DU719" s="16"/>
      <c r="DW719" s="355"/>
      <c r="DX719" s="42"/>
      <c r="DY719" s="16"/>
      <c r="EA719" s="355"/>
    </row>
    <row r="720" spans="1:131">
      <c r="A720" s="20"/>
      <c r="B720" s="124" t="str">
        <f t="shared" ref="B720:B734" si="678">IF(D720=UAnem1percent,"1% Wind","")</f>
        <v/>
      </c>
      <c r="C720" s="235"/>
      <c r="D720" s="24">
        <f>'1% Wind'!$M$82</f>
        <v>27</v>
      </c>
      <c r="E720" s="90"/>
      <c r="F720" s="90"/>
      <c r="G720" s="79" t="e">
        <f ca="1">IF(I719=0.9743,$G719,MAX(G719/D719*D720,2))</f>
        <v>#N/A</v>
      </c>
      <c r="H720" s="121" t="e">
        <f t="shared" ref="H720:H734" ca="1" si="679">H719*(D719/D720)*(G720/G719)</f>
        <v>#N/A</v>
      </c>
      <c r="J720" s="33"/>
      <c r="K720" s="260">
        <f>K$17/100</f>
        <v>1</v>
      </c>
      <c r="L720" s="241" t="e">
        <f ca="1">K720*$H720</f>
        <v>#N/A</v>
      </c>
      <c r="M720" s="243" t="e">
        <f ca="1">IF(AND(INDEX(FlowCalConstA,MATCH(J719,FlowCalNumber,0),1,1)*L720^INDEX(FlowCalConstB,MATCH(J719,FlowCalNumber,0),1,1)&gt;INDEX(FlowCalLowSetting,MATCH(J719,FlowCalNumber,0),1,1), (INDEX(FlowCalConstA,MATCH(J719,FlowCalNumber,0),1,1)*L720^INDEX(FlowCalConstB,MATCH(J719,FlowCalNumber,0),1,1)&lt;INDEX(FlowCalHighSetting,MATCH(J719,FlowCalNumber,0),1,1))),INDEX(FlowCalConstA,MATCH(J719,FlowCalNumber,0),1,1)*L720^INDEX(FlowCalConstB,MATCH(J719,FlowCalNumber,0),1,1)," ")</f>
        <v>#N/A</v>
      </c>
      <c r="N720" s="33"/>
      <c r="O720" s="260">
        <f>O$17/100</f>
        <v>1</v>
      </c>
      <c r="P720" s="241" t="e">
        <f ca="1">O720*$H720</f>
        <v>#N/A</v>
      </c>
      <c r="Q720" s="243" t="e">
        <f ca="1">IF(AND(INDEX(FlowCalConstA,MATCH(N719,FlowCalNumber,0),1,1)*P720^INDEX(FlowCalConstB,MATCH(N719,FlowCalNumber,0),1,1)&gt;INDEX(FlowCalLowSetting,MATCH(N719,FlowCalNumber,0),1,1), (INDEX(FlowCalConstA,MATCH(N719,FlowCalNumber,0),1,1)*P720^INDEX(FlowCalConstB,MATCH(N719,FlowCalNumber,0),1,1)&lt;INDEX(FlowCalHighSetting,MATCH(N719,FlowCalNumber,0),1,1))),INDEX(FlowCalConstA,MATCH(N719,FlowCalNumber,0),1,1)*P720^INDEX(FlowCalConstB,MATCH(N719,FlowCalNumber,0),1,1)," ")</f>
        <v>#N/A</v>
      </c>
      <c r="R720" s="33"/>
      <c r="S720" s="260">
        <f>S$17/100</f>
        <v>1</v>
      </c>
      <c r="T720" s="241" t="e">
        <f ca="1">S720*$H720</f>
        <v>#N/A</v>
      </c>
      <c r="U720" s="244" t="e">
        <f ca="1">IF(AND(INDEX(FlowCalConstA,MATCH(R719,FlowCalNumber,0),1,1)*T720^INDEX(FlowCalConstB,MATCH(R719,FlowCalNumber,0),1,1)&gt;INDEX(FlowCalLowSetting,MATCH(R719,FlowCalNumber,0),1,1), (INDEX(FlowCalConstA,MATCH(R719,FlowCalNumber,0),1,1)*T720^INDEX(FlowCalConstB,MATCH(R719,FlowCalNumber,0),1,1)&lt;INDEX(FlowCalHighSetting,MATCH(R719,FlowCalNumber,0),1,1))),INDEX(FlowCalConstA,MATCH(R719,FlowCalNumber,0),1,1)*T720^INDEX(FlowCalConstB,MATCH(R719,FlowCalNumber,0),1,1)," ")</f>
        <v>#N/A</v>
      </c>
      <c r="V720" s="33"/>
      <c r="W720" s="260">
        <f>W$17/100</f>
        <v>0.1</v>
      </c>
      <c r="X720" s="241" t="e">
        <f ca="1">W720*$H720</f>
        <v>#N/A</v>
      </c>
      <c r="Y720" s="243" t="e">
        <f ca="1">IF(AND(INDEX(FlowCalConstA,MATCH(V719,FlowCalNumber,0),1,1)*X720^INDEX(FlowCalConstB,MATCH(V719,FlowCalNumber,0),1,1)&gt;INDEX(FlowCalLowSetting,MATCH(V719,FlowCalNumber,0),1,1), (INDEX(FlowCalConstA,MATCH(V719,FlowCalNumber,0),1,1)*X720^INDEX(FlowCalConstB,MATCH(V719,FlowCalNumber,0),1,1)&lt;INDEX(FlowCalHighSetting,MATCH(V719,FlowCalNumber,0),1,1))),INDEX(FlowCalConstA,MATCH(V719,FlowCalNumber,0),1,1)*X720^INDEX(FlowCalConstB,MATCH(V719,FlowCalNumber,0),1,1)," ")</f>
        <v>#N/A</v>
      </c>
      <c r="Z720" s="33"/>
      <c r="AA720" s="260">
        <f>AA$17/100</f>
        <v>0.9</v>
      </c>
      <c r="AB720" s="241" t="e">
        <f ca="1">AA720*$H720</f>
        <v>#N/A</v>
      </c>
      <c r="AC720" s="243" t="e">
        <f ca="1">IF(AND(INDEX(FlowCalConstA,MATCH(Z719,FlowCalNumber,0),1,1)*AB720^INDEX(FlowCalConstB,MATCH(Z719,FlowCalNumber,0),1,1)&gt;INDEX(FlowCalLowSetting,MATCH(Z719,FlowCalNumber,0),1,1), (INDEX(FlowCalConstA,MATCH(Z719,FlowCalNumber,0),1,1)*AB720^INDEX(FlowCalConstB,MATCH(Z719,FlowCalNumber,0),1,1)&lt;INDEX(FlowCalHighSetting,MATCH(Z719,FlowCalNumber,0),1,1))),INDEX(FlowCalConstA,MATCH(Z719,FlowCalNumber,0),1,1)*AB720^INDEX(FlowCalConstB,MATCH(Z719,FlowCalNumber,0),1,1)," ")</f>
        <v>#N/A</v>
      </c>
      <c r="AD720" s="33"/>
      <c r="AE720" s="260">
        <f>AE$17/100</f>
        <v>0.1</v>
      </c>
      <c r="AF720" s="241" t="e">
        <f ca="1">AE720*$H720</f>
        <v>#N/A</v>
      </c>
      <c r="AG720" s="243" t="e">
        <f ca="1">IF(AND(INDEX(FlowCalConstA,MATCH(AD719,FlowCalNumber,0),1,1)*AF720^INDEX(FlowCalConstB,MATCH(AD719,FlowCalNumber,0),1,1)&gt;INDEX(FlowCalLowSetting,MATCH(AD719,FlowCalNumber,0),1,1), (INDEX(FlowCalConstA,MATCH(AD719,FlowCalNumber,0),1,1)*AF720^INDEX(FlowCalConstB,MATCH(AD719,FlowCalNumber,0),1,1)&lt;INDEX(FlowCalHighSetting,MATCH(AD719,FlowCalNumber,0),1,1))),INDEX(FlowCalConstA,MATCH(AD719,FlowCalNumber,0),1,1)*AF720^INDEX(FlowCalConstB,MATCH(AD719,FlowCalNumber,0),1,1)," ")</f>
        <v>#N/A</v>
      </c>
      <c r="AH720" s="33"/>
      <c r="AI720" s="260">
        <f>AI$17/100</f>
        <v>0.9</v>
      </c>
      <c r="AJ720" s="241" t="e">
        <f ca="1">AI720*$H720</f>
        <v>#N/A</v>
      </c>
      <c r="AK720" s="243" t="e">
        <f ca="1">IF(AND(INDEX(FlowCalConstA,MATCH(AH719,FlowCalNumber,0),1,1)*AJ720^INDEX(FlowCalConstB,MATCH(AH719,FlowCalNumber,0),1,1)&gt;INDEX(FlowCalLowSetting,MATCH(AH719,FlowCalNumber,0),1,1), (INDEX(FlowCalConstA,MATCH(AH719,FlowCalNumber,0),1,1)*AJ720^INDEX(FlowCalConstB,MATCH(AH719,FlowCalNumber,0),1,1)&lt;INDEX(FlowCalHighSetting,MATCH(AH719,FlowCalNumber,0),1,1))),INDEX(FlowCalConstA,MATCH(AH719,FlowCalNumber,0),1,1)*AJ720^INDEX(FlowCalConstB,MATCH(AH719,FlowCalNumber,0),1,1)," ")</f>
        <v>#N/A</v>
      </c>
      <c r="AL720" s="33"/>
      <c r="AM720" s="260"/>
      <c r="AN720" s="241"/>
      <c r="AO720" s="244"/>
      <c r="AQ720" s="260"/>
      <c r="AR720" s="241"/>
      <c r="AS720" s="244"/>
      <c r="AT720" s="33"/>
      <c r="AU720" s="260"/>
      <c r="AV720" s="241"/>
      <c r="AW720" s="244"/>
      <c r="AX720" s="33"/>
      <c r="AY720" s="260"/>
      <c r="AZ720" s="241"/>
      <c r="BA720" s="244"/>
      <c r="BB720" s="33"/>
      <c r="BC720" s="260"/>
      <c r="BD720" s="241"/>
      <c r="BE720" s="244"/>
      <c r="BF720" s="33"/>
      <c r="BG720" s="260"/>
      <c r="BH720" s="241"/>
      <c r="BI720" s="244"/>
      <c r="BJ720" s="33"/>
      <c r="BK720" s="260"/>
      <c r="BL720" s="241"/>
      <c r="BM720" s="244"/>
      <c r="BN720" s="33"/>
      <c r="BO720" s="260"/>
      <c r="BP720" s="241"/>
      <c r="BQ720" s="244"/>
      <c r="BR720" s="33"/>
      <c r="BS720" s="260"/>
      <c r="BT720" s="241"/>
      <c r="BU720" s="244"/>
      <c r="BV720" s="33"/>
      <c r="BW720" s="260"/>
      <c r="BX720" s="241"/>
      <c r="BY720" s="244"/>
      <c r="BZ720" s="33"/>
      <c r="CA720" s="260"/>
      <c r="CB720" s="241"/>
      <c r="CC720" s="244"/>
      <c r="CD720" s="243"/>
      <c r="CE720" s="243"/>
      <c r="CF720" s="243"/>
      <c r="CG720" s="243"/>
      <c r="CH720" s="243"/>
      <c r="CI720" s="243"/>
      <c r="CJ720" s="243"/>
      <c r="CK720" s="243"/>
      <c r="CL720" s="243"/>
      <c r="CM720" s="243"/>
      <c r="CN720" s="243"/>
      <c r="CO720" s="243"/>
      <c r="CP720" s="243"/>
      <c r="CQ720" s="243"/>
      <c r="CR720" s="243"/>
      <c r="CS720" s="243"/>
      <c r="CT720" s="243"/>
      <c r="CU720" s="243"/>
      <c r="CV720" s="243"/>
      <c r="CW720" s="243"/>
      <c r="CX720" s="243"/>
      <c r="CY720" s="243"/>
      <c r="CZ720" s="243"/>
      <c r="DA720" s="243"/>
      <c r="DB720" s="243"/>
      <c r="DC720" s="243"/>
      <c r="DD720" s="243"/>
      <c r="DE720" s="243"/>
      <c r="DF720" s="243"/>
      <c r="DG720" s="243"/>
      <c r="DH720" s="243"/>
      <c r="DI720" s="243"/>
      <c r="DJ720" s="243"/>
      <c r="DK720" s="243"/>
      <c r="DM720" s="259"/>
      <c r="DO720" s="243"/>
      <c r="DQ720" s="259"/>
      <c r="DS720" s="243"/>
      <c r="DU720" s="259"/>
      <c r="DW720" s="243"/>
      <c r="DY720" s="260"/>
      <c r="EA720" s="243"/>
    </row>
    <row r="721" spans="1:131">
      <c r="A721" s="20"/>
      <c r="B721" s="124" t="str">
        <f t="shared" si="678"/>
        <v/>
      </c>
      <c r="C721" s="235"/>
      <c r="D721" s="24">
        <f>'1% Wind'!$M$83</f>
        <v>23.5</v>
      </c>
      <c r="E721" s="90"/>
      <c r="F721" s="90"/>
      <c r="G721" s="79" t="e">
        <f ca="1">IF(I719=0.9743,$G720,MAX(G720/D720*D721,2))</f>
        <v>#N/A</v>
      </c>
      <c r="H721" s="121" t="e">
        <f t="shared" ca="1" si="679"/>
        <v>#N/A</v>
      </c>
      <c r="J721" s="33"/>
      <c r="K721" s="242">
        <f t="shared" ref="K721:K734" si="680">K720</f>
        <v>1</v>
      </c>
      <c r="L721" s="241" t="e">
        <f t="shared" ref="L721:L734" ca="1" si="681">K721*$H721</f>
        <v>#N/A</v>
      </c>
      <c r="M721" s="243" t="e">
        <f ca="1">IF(AND(INDEX(FlowCalConstA,MATCH(J719,FlowCalNumber,0),1,1)*L721^INDEX(FlowCalConstB,MATCH(J719,FlowCalNumber,0),1,1)&gt;INDEX(FlowCalLowSetting,MATCH(J719,FlowCalNumber,0),1,1), (INDEX(FlowCalConstA,MATCH(J719,FlowCalNumber,0),1,1)*L721^INDEX(FlowCalConstB,MATCH(J719,FlowCalNumber,0),1,1)&lt;INDEX(FlowCalHighSetting,MATCH(J719,FlowCalNumber,0),1,1))),INDEX(FlowCalConstA,MATCH(J719,FlowCalNumber,0),1,1)*L721^INDEX(FlowCalConstB,MATCH(J719,FlowCalNumber,0),1,1)," ")</f>
        <v>#N/A</v>
      </c>
      <c r="N721" s="33"/>
      <c r="O721" s="242">
        <f t="shared" ref="O721:O734" si="682">O720</f>
        <v>1</v>
      </c>
      <c r="P721" s="241" t="e">
        <f t="shared" ref="P721:P734" ca="1" si="683">O721*$H721</f>
        <v>#N/A</v>
      </c>
      <c r="Q721" s="243" t="e">
        <f ca="1">IF(AND(INDEX(FlowCalConstA,MATCH(N719,FlowCalNumber,0),1,1)*P721^INDEX(FlowCalConstB,MATCH(N719,FlowCalNumber,0),1,1)&gt;INDEX(FlowCalLowSetting,MATCH(N719,FlowCalNumber,0),1,1), (INDEX(FlowCalConstA,MATCH(N719,FlowCalNumber,0),1,1)*P721^INDEX(FlowCalConstB,MATCH(N719,FlowCalNumber,0),1,1)&lt;INDEX(FlowCalHighSetting,MATCH(N719,FlowCalNumber,0),1,1))),INDEX(FlowCalConstA,MATCH(N719,FlowCalNumber,0),1,1)*P721^INDEX(FlowCalConstB,MATCH(N719,FlowCalNumber,0),1,1)," ")</f>
        <v>#N/A</v>
      </c>
      <c r="R721" s="33"/>
      <c r="S721" s="242">
        <f t="shared" ref="S721:S734" si="684">S720</f>
        <v>1</v>
      </c>
      <c r="T721" s="241" t="e">
        <f t="shared" ref="T721:T734" ca="1" si="685">S721*$H721</f>
        <v>#N/A</v>
      </c>
      <c r="U721" s="244" t="e">
        <f ca="1">IF(AND(INDEX(FlowCalConstA,MATCH(R719,FlowCalNumber,0),1,1)*T721^INDEX(FlowCalConstB,MATCH(R719,FlowCalNumber,0),1,1)&gt;INDEX(FlowCalLowSetting,MATCH(R719,FlowCalNumber,0),1,1), (INDEX(FlowCalConstA,MATCH(R719,FlowCalNumber,0),1,1)*T721^INDEX(FlowCalConstB,MATCH(R719,FlowCalNumber,0),1,1)&lt;INDEX(FlowCalHighSetting,MATCH(R719,FlowCalNumber,0),1,1))),INDEX(FlowCalConstA,MATCH(R719,FlowCalNumber,0),1,1)*T721^INDEX(FlowCalConstB,MATCH(R719,FlowCalNumber,0),1,1)," ")</f>
        <v>#N/A</v>
      </c>
      <c r="V721" s="33"/>
      <c r="W721" s="242">
        <f t="shared" ref="W721:W734" si="686">W720</f>
        <v>0.1</v>
      </c>
      <c r="X721" s="241" t="e">
        <f t="shared" ref="X721:X734" ca="1" si="687">W721*$H721</f>
        <v>#N/A</v>
      </c>
      <c r="Y721" s="243" t="e">
        <f ca="1">IF(AND(INDEX(FlowCalConstA,MATCH(V719,FlowCalNumber,0),1,1)*X721^INDEX(FlowCalConstB,MATCH(V719,FlowCalNumber,0),1,1)&gt;INDEX(FlowCalLowSetting,MATCH(V719,FlowCalNumber,0),1,1), (INDEX(FlowCalConstA,MATCH(V719,FlowCalNumber,0),1,1)*X721^INDEX(FlowCalConstB,MATCH(V719,FlowCalNumber,0),1,1)&lt;INDEX(FlowCalHighSetting,MATCH(V719,FlowCalNumber,0),1,1))),INDEX(FlowCalConstA,MATCH(V719,FlowCalNumber,0),1,1)*X721^INDEX(FlowCalConstB,MATCH(V719,FlowCalNumber,0),1,1)," ")</f>
        <v>#N/A</v>
      </c>
      <c r="Z721" s="33"/>
      <c r="AA721" s="242">
        <f t="shared" ref="AA721:AA734" si="688">AA720</f>
        <v>0.9</v>
      </c>
      <c r="AB721" s="241" t="e">
        <f t="shared" ref="AB721:AB734" ca="1" si="689">AA721*$H721</f>
        <v>#N/A</v>
      </c>
      <c r="AC721" s="243" t="e">
        <f ca="1">IF(AND(INDEX(FlowCalConstA,MATCH(Z719,FlowCalNumber,0),1,1)*AB721^INDEX(FlowCalConstB,MATCH(Z719,FlowCalNumber,0),1,1)&gt;INDEX(FlowCalLowSetting,MATCH(Z719,FlowCalNumber,0),1,1), (INDEX(FlowCalConstA,MATCH(Z719,FlowCalNumber,0),1,1)*AB721^INDEX(FlowCalConstB,MATCH(Z719,FlowCalNumber,0),1,1)&lt;INDEX(FlowCalHighSetting,MATCH(Z719,FlowCalNumber,0),1,1))),INDEX(FlowCalConstA,MATCH(Z719,FlowCalNumber,0),1,1)*AB721^INDEX(FlowCalConstB,MATCH(Z719,FlowCalNumber,0),1,1)," ")</f>
        <v>#N/A</v>
      </c>
      <c r="AD721" s="33"/>
      <c r="AE721" s="242">
        <f t="shared" ref="AE721:AE734" si="690">AE720</f>
        <v>0.1</v>
      </c>
      <c r="AF721" s="241" t="e">
        <f t="shared" ref="AF721:AF734" ca="1" si="691">AE721*$H721</f>
        <v>#N/A</v>
      </c>
      <c r="AG721" s="243" t="e">
        <f ca="1">IF(AND(INDEX(FlowCalConstA,MATCH(AD719,FlowCalNumber,0),1,1)*AF721^INDEX(FlowCalConstB,MATCH(AD719,FlowCalNumber,0),1,1)&gt;INDEX(FlowCalLowSetting,MATCH(AD719,FlowCalNumber,0),1,1), (INDEX(FlowCalConstA,MATCH(AD719,FlowCalNumber,0),1,1)*AF721^INDEX(FlowCalConstB,MATCH(AD719,FlowCalNumber,0),1,1)&lt;INDEX(FlowCalHighSetting,MATCH(AD719,FlowCalNumber,0),1,1))),INDEX(FlowCalConstA,MATCH(AD719,FlowCalNumber,0),1,1)*AF721^INDEX(FlowCalConstB,MATCH(AD719,FlowCalNumber,0),1,1)," ")</f>
        <v>#N/A</v>
      </c>
      <c r="AH721" s="33"/>
      <c r="AI721" s="242">
        <f t="shared" ref="AI721:AI734" si="692">AI720</f>
        <v>0.9</v>
      </c>
      <c r="AJ721" s="241" t="e">
        <f t="shared" ref="AJ721:AJ734" ca="1" si="693">AI721*$H721</f>
        <v>#N/A</v>
      </c>
      <c r="AK721" s="243" t="e">
        <f ca="1">IF(AND(INDEX(FlowCalConstA,MATCH(AH719,FlowCalNumber,0),1,1)*AJ721^INDEX(FlowCalConstB,MATCH(AH719,FlowCalNumber,0),1,1)&gt;INDEX(FlowCalLowSetting,MATCH(AH719,FlowCalNumber,0),1,1), (INDEX(FlowCalConstA,MATCH(AH719,FlowCalNumber,0),1,1)*AJ721^INDEX(FlowCalConstB,MATCH(AH719,FlowCalNumber,0),1,1)&lt;INDEX(FlowCalHighSetting,MATCH(AH719,FlowCalNumber,0),1,1))),INDEX(FlowCalConstA,MATCH(AH719,FlowCalNumber,0),1,1)*AJ721^INDEX(FlowCalConstB,MATCH(AH719,FlowCalNumber,0),1,1)," ")</f>
        <v>#N/A</v>
      </c>
      <c r="AL721" s="33"/>
      <c r="AM721" s="242"/>
      <c r="AN721" s="241"/>
      <c r="AO721" s="244"/>
      <c r="AQ721" s="242"/>
      <c r="AR721" s="241"/>
      <c r="AS721" s="244"/>
      <c r="AT721" s="33"/>
      <c r="AU721" s="242"/>
      <c r="AV721" s="241"/>
      <c r="AW721" s="244"/>
      <c r="AX721" s="33"/>
      <c r="AY721" s="242"/>
      <c r="AZ721" s="241"/>
      <c r="BA721" s="244"/>
      <c r="BB721" s="33"/>
      <c r="BC721" s="242"/>
      <c r="BD721" s="241"/>
      <c r="BE721" s="244"/>
      <c r="BF721" s="33"/>
      <c r="BG721" s="242"/>
      <c r="BH721" s="241"/>
      <c r="BI721" s="244"/>
      <c r="BJ721" s="33"/>
      <c r="BK721" s="242"/>
      <c r="BL721" s="241"/>
      <c r="BM721" s="244"/>
      <c r="BN721" s="33"/>
      <c r="BO721" s="242"/>
      <c r="BP721" s="241"/>
      <c r="BQ721" s="244"/>
      <c r="BR721" s="33"/>
      <c r="BS721" s="242"/>
      <c r="BT721" s="241"/>
      <c r="BU721" s="244"/>
      <c r="BV721" s="33"/>
      <c r="BW721" s="242"/>
      <c r="BX721" s="241"/>
      <c r="BY721" s="244"/>
      <c r="BZ721" s="33"/>
      <c r="CA721" s="242"/>
      <c r="CB721" s="241"/>
      <c r="CC721" s="244"/>
      <c r="CD721" s="243"/>
      <c r="CE721" s="243"/>
      <c r="CF721" s="243"/>
      <c r="CG721" s="243"/>
      <c r="CH721" s="243"/>
      <c r="CI721" s="243"/>
      <c r="CJ721" s="243"/>
      <c r="CK721" s="243"/>
      <c r="CL721" s="243"/>
      <c r="CM721" s="243"/>
      <c r="CN721" s="243"/>
      <c r="CO721" s="243"/>
      <c r="CP721" s="243"/>
      <c r="CQ721" s="243"/>
      <c r="CR721" s="243"/>
      <c r="CS721" s="243"/>
      <c r="CT721" s="243"/>
      <c r="CU721" s="243"/>
      <c r="CV721" s="243"/>
      <c r="CW721" s="243"/>
      <c r="CX721" s="243"/>
      <c r="CY721" s="243"/>
      <c r="CZ721" s="243"/>
      <c r="DA721" s="243"/>
      <c r="DB721" s="243"/>
      <c r="DC721" s="243"/>
      <c r="DD721" s="243"/>
      <c r="DE721" s="243"/>
      <c r="DF721" s="243"/>
      <c r="DG721" s="243"/>
      <c r="DH721" s="243"/>
      <c r="DI721" s="243"/>
      <c r="DJ721" s="243"/>
      <c r="DK721" s="243"/>
      <c r="DM721" s="242"/>
      <c r="DO721" s="243"/>
      <c r="DQ721" s="242"/>
      <c r="DS721" s="243"/>
      <c r="DU721" s="242"/>
      <c r="DW721" s="243"/>
      <c r="DY721" s="242"/>
      <c r="EA721" s="243"/>
    </row>
    <row r="722" spans="1:131">
      <c r="A722" s="20"/>
      <c r="B722" s="124" t="str">
        <f t="shared" si="678"/>
        <v/>
      </c>
      <c r="C722" s="235"/>
      <c r="D722" s="24">
        <f>'1% Wind'!$M$84</f>
        <v>20.5</v>
      </c>
      <c r="E722" s="90"/>
      <c r="F722" s="90"/>
      <c r="G722" s="79" t="e">
        <f ca="1">IF(I719=0.9743,$G721,MAX(G721/D721*D722,2))</f>
        <v>#N/A</v>
      </c>
      <c r="H722" s="121" t="e">
        <f t="shared" ca="1" si="679"/>
        <v>#N/A</v>
      </c>
      <c r="J722" s="33"/>
      <c r="K722" s="242">
        <f t="shared" si="680"/>
        <v>1</v>
      </c>
      <c r="L722" s="241" t="e">
        <f t="shared" ca="1" si="681"/>
        <v>#N/A</v>
      </c>
      <c r="M722" s="243" t="e">
        <f ca="1">IF(AND(INDEX(FlowCalConstA,MATCH(J719,FlowCalNumber,0),1,1)*L722^INDEX(FlowCalConstB,MATCH(J719,FlowCalNumber,0),1,1)&gt;INDEX(FlowCalLowSetting,MATCH(J719,FlowCalNumber,0),1,1), (INDEX(FlowCalConstA,MATCH(J719,FlowCalNumber,0),1,1)*L722^INDEX(FlowCalConstB,MATCH(J719,FlowCalNumber,0),1,1)&lt;INDEX(FlowCalHighSetting,MATCH(J719,FlowCalNumber,0),1,1))),INDEX(FlowCalConstA,MATCH(J719,FlowCalNumber,0),1,1)*L722^INDEX(FlowCalConstB,MATCH(J719,FlowCalNumber,0),1,1)," ")</f>
        <v>#N/A</v>
      </c>
      <c r="N722" s="33"/>
      <c r="O722" s="242">
        <f t="shared" si="682"/>
        <v>1</v>
      </c>
      <c r="P722" s="241" t="e">
        <f t="shared" ca="1" si="683"/>
        <v>#N/A</v>
      </c>
      <c r="Q722" s="243" t="e">
        <f ca="1">IF(AND(INDEX(FlowCalConstA,MATCH(N719,FlowCalNumber,0),1,1)*P722^INDEX(FlowCalConstB,MATCH(N719,FlowCalNumber,0),1,1)&gt;INDEX(FlowCalLowSetting,MATCH(N719,FlowCalNumber,0),1,1), (INDEX(FlowCalConstA,MATCH(N719,FlowCalNumber,0),1,1)*P722^INDEX(FlowCalConstB,MATCH(N719,FlowCalNumber,0),1,1)&lt;INDEX(FlowCalHighSetting,MATCH(N719,FlowCalNumber,0),1,1))),INDEX(FlowCalConstA,MATCH(N719,FlowCalNumber,0),1,1)*P722^INDEX(FlowCalConstB,MATCH(N719,FlowCalNumber,0),1,1)," ")</f>
        <v>#N/A</v>
      </c>
      <c r="R722" s="33"/>
      <c r="S722" s="242">
        <f t="shared" si="684"/>
        <v>1</v>
      </c>
      <c r="T722" s="241" t="e">
        <f t="shared" ca="1" si="685"/>
        <v>#N/A</v>
      </c>
      <c r="U722" s="244" t="e">
        <f ca="1">IF(AND(INDEX(FlowCalConstA,MATCH(R719,FlowCalNumber,0),1,1)*T722^INDEX(FlowCalConstB,MATCH(R719,FlowCalNumber,0),1,1)&gt;INDEX(FlowCalLowSetting,MATCH(R719,FlowCalNumber,0),1,1), (INDEX(FlowCalConstA,MATCH(R719,FlowCalNumber,0),1,1)*T722^INDEX(FlowCalConstB,MATCH(R719,FlowCalNumber,0),1,1)&lt;INDEX(FlowCalHighSetting,MATCH(R719,FlowCalNumber,0),1,1))),INDEX(FlowCalConstA,MATCH(R719,FlowCalNumber,0),1,1)*T722^INDEX(FlowCalConstB,MATCH(R719,FlowCalNumber,0),1,1)," ")</f>
        <v>#N/A</v>
      </c>
      <c r="V722" s="33"/>
      <c r="W722" s="242">
        <f t="shared" si="686"/>
        <v>0.1</v>
      </c>
      <c r="X722" s="241" t="e">
        <f t="shared" ca="1" si="687"/>
        <v>#N/A</v>
      </c>
      <c r="Y722" s="243" t="e">
        <f ca="1">IF(AND(INDEX(FlowCalConstA,MATCH(V719,FlowCalNumber,0),1,1)*X722^INDEX(FlowCalConstB,MATCH(V719,FlowCalNumber,0),1,1)&gt;INDEX(FlowCalLowSetting,MATCH(V719,FlowCalNumber,0),1,1), (INDEX(FlowCalConstA,MATCH(V719,FlowCalNumber,0),1,1)*X722^INDEX(FlowCalConstB,MATCH(V719,FlowCalNumber,0),1,1)&lt;INDEX(FlowCalHighSetting,MATCH(V719,FlowCalNumber,0),1,1))),INDEX(FlowCalConstA,MATCH(V719,FlowCalNumber,0),1,1)*X722^INDEX(FlowCalConstB,MATCH(V719,FlowCalNumber,0),1,1)," ")</f>
        <v>#N/A</v>
      </c>
      <c r="Z722" s="33"/>
      <c r="AA722" s="242">
        <f t="shared" si="688"/>
        <v>0.9</v>
      </c>
      <c r="AB722" s="241" t="e">
        <f t="shared" ca="1" si="689"/>
        <v>#N/A</v>
      </c>
      <c r="AC722" s="243" t="e">
        <f ca="1">IF(AND(INDEX(FlowCalConstA,MATCH(Z719,FlowCalNumber,0),1,1)*AB722^INDEX(FlowCalConstB,MATCH(Z719,FlowCalNumber,0),1,1)&gt;INDEX(FlowCalLowSetting,MATCH(Z719,FlowCalNumber,0),1,1), (INDEX(FlowCalConstA,MATCH(Z719,FlowCalNumber,0),1,1)*AB722^INDEX(FlowCalConstB,MATCH(Z719,FlowCalNumber,0),1,1)&lt;INDEX(FlowCalHighSetting,MATCH(Z719,FlowCalNumber,0),1,1))),INDEX(FlowCalConstA,MATCH(Z719,FlowCalNumber,0),1,1)*AB722^INDEX(FlowCalConstB,MATCH(Z719,FlowCalNumber,0),1,1)," ")</f>
        <v>#N/A</v>
      </c>
      <c r="AD722" s="33"/>
      <c r="AE722" s="242">
        <f t="shared" si="690"/>
        <v>0.1</v>
      </c>
      <c r="AF722" s="241" t="e">
        <f t="shared" ca="1" si="691"/>
        <v>#N/A</v>
      </c>
      <c r="AG722" s="243" t="e">
        <f ca="1">IF(AND(INDEX(FlowCalConstA,MATCH(AD719,FlowCalNumber,0),1,1)*AF722^INDEX(FlowCalConstB,MATCH(AD719,FlowCalNumber,0),1,1)&gt;INDEX(FlowCalLowSetting,MATCH(AD719,FlowCalNumber,0),1,1), (INDEX(FlowCalConstA,MATCH(AD719,FlowCalNumber,0),1,1)*AF722^INDEX(FlowCalConstB,MATCH(AD719,FlowCalNumber,0),1,1)&lt;INDEX(FlowCalHighSetting,MATCH(AD719,FlowCalNumber,0),1,1))),INDEX(FlowCalConstA,MATCH(AD719,FlowCalNumber,0),1,1)*AF722^INDEX(FlowCalConstB,MATCH(AD719,FlowCalNumber,0),1,1)," ")</f>
        <v>#N/A</v>
      </c>
      <c r="AH722" s="33"/>
      <c r="AI722" s="242">
        <f t="shared" si="692"/>
        <v>0.9</v>
      </c>
      <c r="AJ722" s="241" t="e">
        <f t="shared" ca="1" si="693"/>
        <v>#N/A</v>
      </c>
      <c r="AK722" s="243" t="e">
        <f ca="1">IF(AND(INDEX(FlowCalConstA,MATCH(AH719,FlowCalNumber,0),1,1)*AJ722^INDEX(FlowCalConstB,MATCH(AH719,FlowCalNumber,0),1,1)&gt;INDEX(FlowCalLowSetting,MATCH(AH719,FlowCalNumber,0),1,1), (INDEX(FlowCalConstA,MATCH(AH719,FlowCalNumber,0),1,1)*AJ722^INDEX(FlowCalConstB,MATCH(AH719,FlowCalNumber,0),1,1)&lt;INDEX(FlowCalHighSetting,MATCH(AH719,FlowCalNumber,0),1,1))),INDEX(FlowCalConstA,MATCH(AH719,FlowCalNumber,0),1,1)*AJ722^INDEX(FlowCalConstB,MATCH(AH719,FlowCalNumber,0),1,1)," ")</f>
        <v>#N/A</v>
      </c>
      <c r="AL722" s="33"/>
      <c r="AM722" s="242"/>
      <c r="AN722" s="241"/>
      <c r="AO722" s="244"/>
      <c r="AQ722" s="242"/>
      <c r="AR722" s="241"/>
      <c r="AS722" s="244"/>
      <c r="AT722" s="33"/>
      <c r="AU722" s="242"/>
      <c r="AV722" s="241"/>
      <c r="AW722" s="244"/>
      <c r="AX722" s="33"/>
      <c r="AY722" s="242"/>
      <c r="AZ722" s="241"/>
      <c r="BA722" s="244"/>
      <c r="BB722" s="33"/>
      <c r="BC722" s="242"/>
      <c r="BD722" s="241"/>
      <c r="BE722" s="244"/>
      <c r="BF722" s="33"/>
      <c r="BG722" s="242"/>
      <c r="BH722" s="241"/>
      <c r="BI722" s="244"/>
      <c r="BJ722" s="33"/>
      <c r="BK722" s="242"/>
      <c r="BL722" s="241"/>
      <c r="BM722" s="244"/>
      <c r="BN722" s="33"/>
      <c r="BO722" s="242"/>
      <c r="BP722" s="241"/>
      <c r="BQ722" s="244"/>
      <c r="BR722" s="33"/>
      <c r="BS722" s="242"/>
      <c r="BT722" s="241"/>
      <c r="BU722" s="244"/>
      <c r="BV722" s="33"/>
      <c r="BW722" s="242"/>
      <c r="BX722" s="241"/>
      <c r="BY722" s="244"/>
      <c r="BZ722" s="33"/>
      <c r="CA722" s="242"/>
      <c r="CB722" s="241"/>
      <c r="CC722" s="244"/>
      <c r="CD722" s="243"/>
      <c r="CE722" s="243"/>
      <c r="CF722" s="243"/>
      <c r="CG722" s="243"/>
      <c r="CH722" s="243"/>
      <c r="CI722" s="243"/>
      <c r="CJ722" s="243"/>
      <c r="CK722" s="243"/>
      <c r="CL722" s="243"/>
      <c r="CM722" s="243"/>
      <c r="CN722" s="243"/>
      <c r="CO722" s="243"/>
      <c r="CP722" s="243"/>
      <c r="CQ722" s="243"/>
      <c r="CR722" s="243"/>
      <c r="CS722" s="243"/>
      <c r="CT722" s="243"/>
      <c r="CU722" s="243"/>
      <c r="CV722" s="243"/>
      <c r="CW722" s="243"/>
      <c r="CX722" s="243"/>
      <c r="CY722" s="243"/>
      <c r="CZ722" s="243"/>
      <c r="DA722" s="243"/>
      <c r="DB722" s="243"/>
      <c r="DC722" s="243"/>
      <c r="DD722" s="243"/>
      <c r="DE722" s="243"/>
      <c r="DF722" s="243"/>
      <c r="DG722" s="243"/>
      <c r="DH722" s="243"/>
      <c r="DI722" s="243"/>
      <c r="DJ722" s="243"/>
      <c r="DK722" s="243"/>
      <c r="DM722" s="242"/>
      <c r="DO722" s="243"/>
      <c r="DQ722" s="242"/>
      <c r="DS722" s="243"/>
      <c r="DU722" s="242"/>
      <c r="DW722" s="243"/>
      <c r="DY722" s="242"/>
      <c r="EA722" s="243"/>
    </row>
    <row r="723" spans="1:131">
      <c r="A723" s="20"/>
      <c r="B723" s="124" t="str">
        <f t="shared" si="678"/>
        <v/>
      </c>
      <c r="C723" s="235"/>
      <c r="D723" s="24">
        <f>'1% Wind'!$M$85</f>
        <v>17.8</v>
      </c>
      <c r="E723" s="90"/>
      <c r="F723" s="90"/>
      <c r="G723" s="79" t="e">
        <f ca="1">IF(I719=0.9743,$G722,MAX(G722/D722*D723,2))</f>
        <v>#N/A</v>
      </c>
      <c r="H723" s="121" t="e">
        <f t="shared" ca="1" si="679"/>
        <v>#N/A</v>
      </c>
      <c r="J723" s="33"/>
      <c r="K723" s="242">
        <f t="shared" si="680"/>
        <v>1</v>
      </c>
      <c r="L723" s="241" t="e">
        <f t="shared" ca="1" si="681"/>
        <v>#N/A</v>
      </c>
      <c r="M723" s="243" t="e">
        <f ca="1">IF(AND(INDEX(FlowCalConstA,MATCH(J719,FlowCalNumber,0),1,1)*L723^INDEX(FlowCalConstB,MATCH(J719,FlowCalNumber,0),1,1)&gt;INDEX(FlowCalLowSetting,MATCH(J719,FlowCalNumber,0),1,1), (INDEX(FlowCalConstA,MATCH(J719,FlowCalNumber,0),1,1)*L723^INDEX(FlowCalConstB,MATCH(J719,FlowCalNumber,0),1,1)&lt;INDEX(FlowCalHighSetting,MATCH(J719,FlowCalNumber,0),1,1))),INDEX(FlowCalConstA,MATCH(J719,FlowCalNumber,0),1,1)*L723^INDEX(FlowCalConstB,MATCH(J719,FlowCalNumber,0),1,1)," ")</f>
        <v>#N/A</v>
      </c>
      <c r="N723" s="33"/>
      <c r="O723" s="242">
        <f t="shared" si="682"/>
        <v>1</v>
      </c>
      <c r="P723" s="241" t="e">
        <f t="shared" ca="1" si="683"/>
        <v>#N/A</v>
      </c>
      <c r="Q723" s="243" t="e">
        <f ca="1">IF(AND(INDEX(FlowCalConstA,MATCH(N719,FlowCalNumber,0),1,1)*P723^INDEX(FlowCalConstB,MATCH(N719,FlowCalNumber,0),1,1)&gt;INDEX(FlowCalLowSetting,MATCH(N719,FlowCalNumber,0),1,1), (INDEX(FlowCalConstA,MATCH(N719,FlowCalNumber,0),1,1)*P723^INDEX(FlowCalConstB,MATCH(N719,FlowCalNumber,0),1,1)&lt;INDEX(FlowCalHighSetting,MATCH(N719,FlowCalNumber,0),1,1))),INDEX(FlowCalConstA,MATCH(N719,FlowCalNumber,0),1,1)*P723^INDEX(FlowCalConstB,MATCH(N719,FlowCalNumber,0),1,1)," ")</f>
        <v>#N/A</v>
      </c>
      <c r="R723" s="33"/>
      <c r="S723" s="242">
        <f t="shared" si="684"/>
        <v>1</v>
      </c>
      <c r="T723" s="241" t="e">
        <f t="shared" ca="1" si="685"/>
        <v>#N/A</v>
      </c>
      <c r="U723" s="244" t="e">
        <f ca="1">IF(AND(INDEX(FlowCalConstA,MATCH(R719,FlowCalNumber,0),1,1)*T723^INDEX(FlowCalConstB,MATCH(R719,FlowCalNumber,0),1,1)&gt;INDEX(FlowCalLowSetting,MATCH(R719,FlowCalNumber,0),1,1), (INDEX(FlowCalConstA,MATCH(R719,FlowCalNumber,0),1,1)*T723^INDEX(FlowCalConstB,MATCH(R719,FlowCalNumber,0),1,1)&lt;INDEX(FlowCalHighSetting,MATCH(R719,FlowCalNumber,0),1,1))),INDEX(FlowCalConstA,MATCH(R719,FlowCalNumber,0),1,1)*T723^INDEX(FlowCalConstB,MATCH(R719,FlowCalNumber,0),1,1)," ")</f>
        <v>#N/A</v>
      </c>
      <c r="V723" s="33"/>
      <c r="W723" s="242">
        <f t="shared" si="686"/>
        <v>0.1</v>
      </c>
      <c r="X723" s="241" t="e">
        <f t="shared" ca="1" si="687"/>
        <v>#N/A</v>
      </c>
      <c r="Y723" s="243" t="e">
        <f ca="1">IF(AND(INDEX(FlowCalConstA,MATCH(V719,FlowCalNumber,0),1,1)*X723^INDEX(FlowCalConstB,MATCH(V719,FlowCalNumber,0),1,1)&gt;INDEX(FlowCalLowSetting,MATCH(V719,FlowCalNumber,0),1,1), (INDEX(FlowCalConstA,MATCH(V719,FlowCalNumber,0),1,1)*X723^INDEX(FlowCalConstB,MATCH(V719,FlowCalNumber,0),1,1)&lt;INDEX(FlowCalHighSetting,MATCH(V719,FlowCalNumber,0),1,1))),INDEX(FlowCalConstA,MATCH(V719,FlowCalNumber,0),1,1)*X723^INDEX(FlowCalConstB,MATCH(V719,FlowCalNumber,0),1,1)," ")</f>
        <v>#N/A</v>
      </c>
      <c r="Z723" s="33"/>
      <c r="AA723" s="242">
        <f t="shared" si="688"/>
        <v>0.9</v>
      </c>
      <c r="AB723" s="241" t="e">
        <f t="shared" ca="1" si="689"/>
        <v>#N/A</v>
      </c>
      <c r="AC723" s="243" t="e">
        <f ca="1">IF(AND(INDEX(FlowCalConstA,MATCH(Z719,FlowCalNumber,0),1,1)*AB723^INDEX(FlowCalConstB,MATCH(Z719,FlowCalNumber,0),1,1)&gt;INDEX(FlowCalLowSetting,MATCH(Z719,FlowCalNumber,0),1,1), (INDEX(FlowCalConstA,MATCH(Z719,FlowCalNumber,0),1,1)*AB723^INDEX(FlowCalConstB,MATCH(Z719,FlowCalNumber,0),1,1)&lt;INDEX(FlowCalHighSetting,MATCH(Z719,FlowCalNumber,0),1,1))),INDEX(FlowCalConstA,MATCH(Z719,FlowCalNumber,0),1,1)*AB723^INDEX(FlowCalConstB,MATCH(Z719,FlowCalNumber,0),1,1)," ")</f>
        <v>#N/A</v>
      </c>
      <c r="AD723" s="33"/>
      <c r="AE723" s="242">
        <f t="shared" si="690"/>
        <v>0.1</v>
      </c>
      <c r="AF723" s="241" t="e">
        <f t="shared" ca="1" si="691"/>
        <v>#N/A</v>
      </c>
      <c r="AG723" s="243" t="e">
        <f ca="1">IF(AND(INDEX(FlowCalConstA,MATCH(AD719,FlowCalNumber,0),1,1)*AF723^INDEX(FlowCalConstB,MATCH(AD719,FlowCalNumber,0),1,1)&gt;INDEX(FlowCalLowSetting,MATCH(AD719,FlowCalNumber,0),1,1), (INDEX(FlowCalConstA,MATCH(AD719,FlowCalNumber,0),1,1)*AF723^INDEX(FlowCalConstB,MATCH(AD719,FlowCalNumber,0),1,1)&lt;INDEX(FlowCalHighSetting,MATCH(AD719,FlowCalNumber,0),1,1))),INDEX(FlowCalConstA,MATCH(AD719,FlowCalNumber,0),1,1)*AF723^INDEX(FlowCalConstB,MATCH(AD719,FlowCalNumber,0),1,1)," ")</f>
        <v>#N/A</v>
      </c>
      <c r="AH723" s="33"/>
      <c r="AI723" s="242">
        <f t="shared" si="692"/>
        <v>0.9</v>
      </c>
      <c r="AJ723" s="241" t="e">
        <f t="shared" ca="1" si="693"/>
        <v>#N/A</v>
      </c>
      <c r="AK723" s="243" t="e">
        <f ca="1">IF(AND(INDEX(FlowCalConstA,MATCH(AH719,FlowCalNumber,0),1,1)*AJ723^INDEX(FlowCalConstB,MATCH(AH719,FlowCalNumber,0),1,1)&gt;INDEX(FlowCalLowSetting,MATCH(AH719,FlowCalNumber,0),1,1), (INDEX(FlowCalConstA,MATCH(AH719,FlowCalNumber,0),1,1)*AJ723^INDEX(FlowCalConstB,MATCH(AH719,FlowCalNumber,0),1,1)&lt;INDEX(FlowCalHighSetting,MATCH(AH719,FlowCalNumber,0),1,1))),INDEX(FlowCalConstA,MATCH(AH719,FlowCalNumber,0),1,1)*AJ723^INDEX(FlowCalConstB,MATCH(AH719,FlowCalNumber,0),1,1)," ")</f>
        <v>#N/A</v>
      </c>
      <c r="AL723" s="33"/>
      <c r="AM723" s="242"/>
      <c r="AN723" s="241"/>
      <c r="AO723" s="244"/>
      <c r="AQ723" s="242"/>
      <c r="AR723" s="241"/>
      <c r="AS723" s="244"/>
      <c r="AT723" s="33"/>
      <c r="AU723" s="242"/>
      <c r="AV723" s="241"/>
      <c r="AW723" s="244"/>
      <c r="AX723" s="33"/>
      <c r="AY723" s="242"/>
      <c r="AZ723" s="241"/>
      <c r="BA723" s="244"/>
      <c r="BB723" s="33"/>
      <c r="BC723" s="242"/>
      <c r="BD723" s="241"/>
      <c r="BE723" s="244"/>
      <c r="BF723" s="33"/>
      <c r="BG723" s="242"/>
      <c r="BH723" s="241"/>
      <c r="BI723" s="244"/>
      <c r="BJ723" s="33"/>
      <c r="BK723" s="242"/>
      <c r="BL723" s="241"/>
      <c r="BM723" s="244"/>
      <c r="BN723" s="33"/>
      <c r="BO723" s="242"/>
      <c r="BP723" s="241"/>
      <c r="BQ723" s="244"/>
      <c r="BR723" s="33"/>
      <c r="BS723" s="242"/>
      <c r="BT723" s="241"/>
      <c r="BU723" s="244"/>
      <c r="BV723" s="33"/>
      <c r="BW723" s="242"/>
      <c r="BX723" s="241"/>
      <c r="BY723" s="244"/>
      <c r="BZ723" s="33"/>
      <c r="CA723" s="242"/>
      <c r="CB723" s="241"/>
      <c r="CC723" s="244"/>
      <c r="CD723" s="243"/>
      <c r="CE723" s="243"/>
      <c r="CF723" s="243"/>
      <c r="CG723" s="243"/>
      <c r="CH723" s="243"/>
      <c r="CI723" s="243"/>
      <c r="CJ723" s="243"/>
      <c r="CK723" s="243"/>
      <c r="CL723" s="243"/>
      <c r="CM723" s="243"/>
      <c r="CN723" s="243"/>
      <c r="CO723" s="243"/>
      <c r="CP723" s="243"/>
      <c r="CQ723" s="243"/>
      <c r="CR723" s="243"/>
      <c r="CS723" s="243"/>
      <c r="CT723" s="243"/>
      <c r="CU723" s="243"/>
      <c r="CV723" s="243"/>
      <c r="CW723" s="243"/>
      <c r="CX723" s="243"/>
      <c r="CY723" s="243"/>
      <c r="CZ723" s="243"/>
      <c r="DA723" s="243"/>
      <c r="DB723" s="243"/>
      <c r="DC723" s="243"/>
      <c r="DD723" s="243"/>
      <c r="DE723" s="243"/>
      <c r="DF723" s="243"/>
      <c r="DG723" s="243"/>
      <c r="DH723" s="243"/>
      <c r="DI723" s="243"/>
      <c r="DJ723" s="243"/>
      <c r="DK723" s="243"/>
      <c r="DM723" s="242"/>
      <c r="DO723" s="243"/>
      <c r="DQ723" s="242"/>
      <c r="DS723" s="243"/>
      <c r="DU723" s="242"/>
      <c r="DW723" s="243"/>
      <c r="DY723" s="242"/>
      <c r="EA723" s="243"/>
    </row>
    <row r="724" spans="1:131">
      <c r="A724" s="20"/>
      <c r="B724" s="124" t="str">
        <f t="shared" si="678"/>
        <v/>
      </c>
      <c r="C724" s="235"/>
      <c r="D724" s="24">
        <f>'1% Wind'!$M$86</f>
        <v>15.5</v>
      </c>
      <c r="E724" s="90"/>
      <c r="F724" s="90"/>
      <c r="G724" s="79" t="e">
        <f ca="1">IF(I719=0.9743,$G723,MAX(G723/D723*D724,2))</f>
        <v>#N/A</v>
      </c>
      <c r="H724" s="121" t="e">
        <f t="shared" ca="1" si="679"/>
        <v>#N/A</v>
      </c>
      <c r="J724" s="33"/>
      <c r="K724" s="242">
        <f t="shared" si="680"/>
        <v>1</v>
      </c>
      <c r="L724" s="241" t="e">
        <f t="shared" ca="1" si="681"/>
        <v>#N/A</v>
      </c>
      <c r="M724" s="243" t="e">
        <f ca="1">IF(AND(INDEX(FlowCalConstA,MATCH(J719,FlowCalNumber,0),1,1)*L724^INDEX(FlowCalConstB,MATCH(J719,FlowCalNumber,0),1,1)&gt;INDEX(FlowCalLowSetting,MATCH(J719,FlowCalNumber,0),1,1), (INDEX(FlowCalConstA,MATCH(J719,FlowCalNumber,0),1,1)*L724^INDEX(FlowCalConstB,MATCH(J719,FlowCalNumber,0),1,1)&lt;INDEX(FlowCalHighSetting,MATCH(J719,FlowCalNumber,0),1,1))),INDEX(FlowCalConstA,MATCH(J719,FlowCalNumber,0),1,1)*L724^INDEX(FlowCalConstB,MATCH(J719,FlowCalNumber,0),1,1)," ")</f>
        <v>#N/A</v>
      </c>
      <c r="N724" s="33"/>
      <c r="O724" s="242">
        <f t="shared" si="682"/>
        <v>1</v>
      </c>
      <c r="P724" s="241" t="e">
        <f t="shared" ca="1" si="683"/>
        <v>#N/A</v>
      </c>
      <c r="Q724" s="243" t="e">
        <f ca="1">IF(AND(INDEX(FlowCalConstA,MATCH(N719,FlowCalNumber,0),1,1)*P724^INDEX(FlowCalConstB,MATCH(N719,FlowCalNumber,0),1,1)&gt;INDEX(FlowCalLowSetting,MATCH(N719,FlowCalNumber,0),1,1), (INDEX(FlowCalConstA,MATCH(N719,FlowCalNumber,0),1,1)*P724^INDEX(FlowCalConstB,MATCH(N719,FlowCalNumber,0),1,1)&lt;INDEX(FlowCalHighSetting,MATCH(N719,FlowCalNumber,0),1,1))),INDEX(FlowCalConstA,MATCH(N719,FlowCalNumber,0),1,1)*P724^INDEX(FlowCalConstB,MATCH(N719,FlowCalNumber,0),1,1)," ")</f>
        <v>#N/A</v>
      </c>
      <c r="R724" s="33"/>
      <c r="S724" s="242">
        <f t="shared" si="684"/>
        <v>1</v>
      </c>
      <c r="T724" s="241" t="e">
        <f t="shared" ca="1" si="685"/>
        <v>#N/A</v>
      </c>
      <c r="U724" s="244" t="e">
        <f ca="1">IF(AND(INDEX(FlowCalConstA,MATCH(R719,FlowCalNumber,0),1,1)*T724^INDEX(FlowCalConstB,MATCH(R719,FlowCalNumber,0),1,1)&gt;INDEX(FlowCalLowSetting,MATCH(R719,FlowCalNumber,0),1,1), (INDEX(FlowCalConstA,MATCH(R719,FlowCalNumber,0),1,1)*T724^INDEX(FlowCalConstB,MATCH(R719,FlowCalNumber,0),1,1)&lt;INDEX(FlowCalHighSetting,MATCH(R719,FlowCalNumber,0),1,1))),INDEX(FlowCalConstA,MATCH(R719,FlowCalNumber,0),1,1)*T724^INDEX(FlowCalConstB,MATCH(R719,FlowCalNumber,0),1,1)," ")</f>
        <v>#N/A</v>
      </c>
      <c r="V724" s="33"/>
      <c r="W724" s="242">
        <f t="shared" si="686"/>
        <v>0.1</v>
      </c>
      <c r="X724" s="241" t="e">
        <f t="shared" ca="1" si="687"/>
        <v>#N/A</v>
      </c>
      <c r="Y724" s="243" t="e">
        <f ca="1">IF(AND(INDEX(FlowCalConstA,MATCH(V719,FlowCalNumber,0),1,1)*X724^INDEX(FlowCalConstB,MATCH(V719,FlowCalNumber,0),1,1)&gt;INDEX(FlowCalLowSetting,MATCH(V719,FlowCalNumber,0),1,1), (INDEX(FlowCalConstA,MATCH(V719,FlowCalNumber,0),1,1)*X724^INDEX(FlowCalConstB,MATCH(V719,FlowCalNumber,0),1,1)&lt;INDEX(FlowCalHighSetting,MATCH(V719,FlowCalNumber,0),1,1))),INDEX(FlowCalConstA,MATCH(V719,FlowCalNumber,0),1,1)*X724^INDEX(FlowCalConstB,MATCH(V719,FlowCalNumber,0),1,1)," ")</f>
        <v>#N/A</v>
      </c>
      <c r="Z724" s="33"/>
      <c r="AA724" s="242">
        <f t="shared" si="688"/>
        <v>0.9</v>
      </c>
      <c r="AB724" s="241" t="e">
        <f t="shared" ca="1" si="689"/>
        <v>#N/A</v>
      </c>
      <c r="AC724" s="243" t="e">
        <f ca="1">IF(AND(INDEX(FlowCalConstA,MATCH(Z719,FlowCalNumber,0),1,1)*AB724^INDEX(FlowCalConstB,MATCH(Z719,FlowCalNumber,0),1,1)&gt;INDEX(FlowCalLowSetting,MATCH(Z719,FlowCalNumber,0),1,1), (INDEX(FlowCalConstA,MATCH(Z719,FlowCalNumber,0),1,1)*AB724^INDEX(FlowCalConstB,MATCH(Z719,FlowCalNumber,0),1,1)&lt;INDEX(FlowCalHighSetting,MATCH(Z719,FlowCalNumber,0),1,1))),INDEX(FlowCalConstA,MATCH(Z719,FlowCalNumber,0),1,1)*AB724^INDEX(FlowCalConstB,MATCH(Z719,FlowCalNumber,0),1,1)," ")</f>
        <v>#N/A</v>
      </c>
      <c r="AD724" s="33"/>
      <c r="AE724" s="242">
        <f t="shared" si="690"/>
        <v>0.1</v>
      </c>
      <c r="AF724" s="241" t="e">
        <f t="shared" ca="1" si="691"/>
        <v>#N/A</v>
      </c>
      <c r="AG724" s="243" t="e">
        <f ca="1">IF(AND(INDEX(FlowCalConstA,MATCH(AD719,FlowCalNumber,0),1,1)*AF724^INDEX(FlowCalConstB,MATCH(AD719,FlowCalNumber,0),1,1)&gt;INDEX(FlowCalLowSetting,MATCH(AD719,FlowCalNumber,0),1,1), (INDEX(FlowCalConstA,MATCH(AD719,FlowCalNumber,0),1,1)*AF724^INDEX(FlowCalConstB,MATCH(AD719,FlowCalNumber,0),1,1)&lt;INDEX(FlowCalHighSetting,MATCH(AD719,FlowCalNumber,0),1,1))),INDEX(FlowCalConstA,MATCH(AD719,FlowCalNumber,0),1,1)*AF724^INDEX(FlowCalConstB,MATCH(AD719,FlowCalNumber,0),1,1)," ")</f>
        <v>#N/A</v>
      </c>
      <c r="AH724" s="33"/>
      <c r="AI724" s="242">
        <f t="shared" si="692"/>
        <v>0.9</v>
      </c>
      <c r="AJ724" s="241" t="e">
        <f t="shared" ca="1" si="693"/>
        <v>#N/A</v>
      </c>
      <c r="AK724" s="243" t="e">
        <f ca="1">IF(AND(INDEX(FlowCalConstA,MATCH(AH719,FlowCalNumber,0),1,1)*AJ724^INDEX(FlowCalConstB,MATCH(AH719,FlowCalNumber,0),1,1)&gt;INDEX(FlowCalLowSetting,MATCH(AH719,FlowCalNumber,0),1,1), (INDEX(FlowCalConstA,MATCH(AH719,FlowCalNumber,0),1,1)*AJ724^INDEX(FlowCalConstB,MATCH(AH719,FlowCalNumber,0),1,1)&lt;INDEX(FlowCalHighSetting,MATCH(AH719,FlowCalNumber,0),1,1))),INDEX(FlowCalConstA,MATCH(AH719,FlowCalNumber,0),1,1)*AJ724^INDEX(FlowCalConstB,MATCH(AH719,FlowCalNumber,0),1,1)," ")</f>
        <v>#N/A</v>
      </c>
      <c r="AL724" s="33"/>
      <c r="AM724" s="242"/>
      <c r="AN724" s="241"/>
      <c r="AO724" s="244"/>
      <c r="AQ724" s="242"/>
      <c r="AR724" s="241"/>
      <c r="AS724" s="244"/>
      <c r="AT724" s="33"/>
      <c r="AU724" s="242"/>
      <c r="AV724" s="241"/>
      <c r="AW724" s="244"/>
      <c r="AX724" s="33"/>
      <c r="AY724" s="242"/>
      <c r="AZ724" s="241"/>
      <c r="BA724" s="244"/>
      <c r="BB724" s="33"/>
      <c r="BC724" s="242"/>
      <c r="BD724" s="241"/>
      <c r="BE724" s="244"/>
      <c r="BF724" s="33"/>
      <c r="BG724" s="242"/>
      <c r="BH724" s="241"/>
      <c r="BI724" s="244"/>
      <c r="BJ724" s="33"/>
      <c r="BK724" s="242"/>
      <c r="BL724" s="241"/>
      <c r="BM724" s="244"/>
      <c r="BN724" s="33"/>
      <c r="BO724" s="242"/>
      <c r="BP724" s="241"/>
      <c r="BQ724" s="244"/>
      <c r="BR724" s="33"/>
      <c r="BS724" s="242"/>
      <c r="BT724" s="241"/>
      <c r="BU724" s="244"/>
      <c r="BV724" s="33"/>
      <c r="BW724" s="242"/>
      <c r="BX724" s="241"/>
      <c r="BY724" s="244"/>
      <c r="BZ724" s="33"/>
      <c r="CA724" s="242"/>
      <c r="CB724" s="241"/>
      <c r="CC724" s="244"/>
      <c r="CD724" s="243"/>
      <c r="CE724" s="243"/>
      <c r="CF724" s="243"/>
      <c r="CG724" s="243"/>
      <c r="CH724" s="243"/>
      <c r="CI724" s="243"/>
      <c r="CJ724" s="243"/>
      <c r="CK724" s="243"/>
      <c r="CL724" s="243"/>
      <c r="CM724" s="243"/>
      <c r="CN724" s="243"/>
      <c r="CO724" s="243"/>
      <c r="CP724" s="243"/>
      <c r="CQ724" s="243"/>
      <c r="CR724" s="243"/>
      <c r="CS724" s="243"/>
      <c r="CT724" s="243"/>
      <c r="CU724" s="243"/>
      <c r="CV724" s="243"/>
      <c r="CW724" s="243"/>
      <c r="CX724" s="243"/>
      <c r="CY724" s="243"/>
      <c r="CZ724" s="243"/>
      <c r="DA724" s="243"/>
      <c r="DB724" s="243"/>
      <c r="DC724" s="243"/>
      <c r="DD724" s="243"/>
      <c r="DE724" s="243"/>
      <c r="DF724" s="243"/>
      <c r="DG724" s="243"/>
      <c r="DH724" s="243"/>
      <c r="DI724" s="243"/>
      <c r="DJ724" s="243"/>
      <c r="DK724" s="243"/>
      <c r="DM724" s="242"/>
      <c r="DO724" s="243"/>
      <c r="DQ724" s="242"/>
      <c r="DS724" s="243"/>
      <c r="DU724" s="242"/>
      <c r="DW724" s="243"/>
      <c r="DY724" s="242"/>
      <c r="EA724" s="243"/>
    </row>
    <row r="725" spans="1:131">
      <c r="A725" s="20"/>
      <c r="B725" s="124" t="str">
        <f t="shared" si="678"/>
        <v/>
      </c>
      <c r="C725" s="235"/>
      <c r="D725" s="24">
        <f>'1% Wind'!$M$87</f>
        <v>13.5</v>
      </c>
      <c r="E725" s="90"/>
      <c r="F725" s="90"/>
      <c r="G725" s="79" t="e">
        <f ca="1">IF(I719=0.9743,$G724,MAX(G724/D724*D725,2))</f>
        <v>#N/A</v>
      </c>
      <c r="H725" s="121" t="e">
        <f t="shared" ca="1" si="679"/>
        <v>#N/A</v>
      </c>
      <c r="J725" s="33"/>
      <c r="K725" s="242">
        <f t="shared" si="680"/>
        <v>1</v>
      </c>
      <c r="L725" s="241" t="e">
        <f t="shared" ca="1" si="681"/>
        <v>#N/A</v>
      </c>
      <c r="M725" s="243" t="e">
        <f ca="1">IF(AND(INDEX(FlowCalConstA,MATCH(J719,FlowCalNumber,0),1,1)*L725^INDEX(FlowCalConstB,MATCH(J719,FlowCalNumber,0),1,1)&gt;INDEX(FlowCalLowSetting,MATCH(J719,FlowCalNumber,0),1,1), (INDEX(FlowCalConstA,MATCH(J719,FlowCalNumber,0),1,1)*L725^INDEX(FlowCalConstB,MATCH(J719,FlowCalNumber,0),1,1)&lt;INDEX(FlowCalHighSetting,MATCH(J719,FlowCalNumber,0),1,1))),INDEX(FlowCalConstA,MATCH(J719,FlowCalNumber,0),1,1)*L725^INDEX(FlowCalConstB,MATCH(J719,FlowCalNumber,0),1,1)," ")</f>
        <v>#N/A</v>
      </c>
      <c r="N725" s="33"/>
      <c r="O725" s="242">
        <f t="shared" si="682"/>
        <v>1</v>
      </c>
      <c r="P725" s="241" t="e">
        <f t="shared" ca="1" si="683"/>
        <v>#N/A</v>
      </c>
      <c r="Q725" s="243" t="e">
        <f ca="1">IF(AND(INDEX(FlowCalConstA,MATCH(N719,FlowCalNumber,0),1,1)*P725^INDEX(FlowCalConstB,MATCH(N719,FlowCalNumber,0),1,1)&gt;INDEX(FlowCalLowSetting,MATCH(N719,FlowCalNumber,0),1,1), (INDEX(FlowCalConstA,MATCH(N719,FlowCalNumber,0),1,1)*P725^INDEX(FlowCalConstB,MATCH(N719,FlowCalNumber,0),1,1)&lt;INDEX(FlowCalHighSetting,MATCH(N719,FlowCalNumber,0),1,1))),INDEX(FlowCalConstA,MATCH(N719,FlowCalNumber,0),1,1)*P725^INDEX(FlowCalConstB,MATCH(N719,FlowCalNumber,0),1,1)," ")</f>
        <v>#N/A</v>
      </c>
      <c r="R725" s="33"/>
      <c r="S725" s="242">
        <f t="shared" si="684"/>
        <v>1</v>
      </c>
      <c r="T725" s="241" t="e">
        <f t="shared" ca="1" si="685"/>
        <v>#N/A</v>
      </c>
      <c r="U725" s="244" t="e">
        <f ca="1">IF(AND(INDEX(FlowCalConstA,MATCH(R719,FlowCalNumber,0),1,1)*T725^INDEX(FlowCalConstB,MATCH(R719,FlowCalNumber,0),1,1)&gt;INDEX(FlowCalLowSetting,MATCH(R719,FlowCalNumber,0),1,1), (INDEX(FlowCalConstA,MATCH(R719,FlowCalNumber,0),1,1)*T725^INDEX(FlowCalConstB,MATCH(R719,FlowCalNumber,0),1,1)&lt;INDEX(FlowCalHighSetting,MATCH(R719,FlowCalNumber,0),1,1))),INDEX(FlowCalConstA,MATCH(R719,FlowCalNumber,0),1,1)*T725^INDEX(FlowCalConstB,MATCH(R719,FlowCalNumber,0),1,1)," ")</f>
        <v>#N/A</v>
      </c>
      <c r="V725" s="33"/>
      <c r="W725" s="242">
        <f t="shared" si="686"/>
        <v>0.1</v>
      </c>
      <c r="X725" s="241" t="e">
        <f t="shared" ca="1" si="687"/>
        <v>#N/A</v>
      </c>
      <c r="Y725" s="243" t="e">
        <f ca="1">IF(AND(INDEX(FlowCalConstA,MATCH(V719,FlowCalNumber,0),1,1)*X725^INDEX(FlowCalConstB,MATCH(V719,FlowCalNumber,0),1,1)&gt;INDEX(FlowCalLowSetting,MATCH(V719,FlowCalNumber,0),1,1), (INDEX(FlowCalConstA,MATCH(V719,FlowCalNumber,0),1,1)*X725^INDEX(FlowCalConstB,MATCH(V719,FlowCalNumber,0),1,1)&lt;INDEX(FlowCalHighSetting,MATCH(V719,FlowCalNumber,0),1,1))),INDEX(FlowCalConstA,MATCH(V719,FlowCalNumber,0),1,1)*X725^INDEX(FlowCalConstB,MATCH(V719,FlowCalNumber,0),1,1)," ")</f>
        <v>#N/A</v>
      </c>
      <c r="Z725" s="33"/>
      <c r="AA725" s="242">
        <f t="shared" si="688"/>
        <v>0.9</v>
      </c>
      <c r="AB725" s="241" t="e">
        <f t="shared" ca="1" si="689"/>
        <v>#N/A</v>
      </c>
      <c r="AC725" s="243" t="e">
        <f ca="1">IF(AND(INDEX(FlowCalConstA,MATCH(Z719,FlowCalNumber,0),1,1)*AB725^INDEX(FlowCalConstB,MATCH(Z719,FlowCalNumber,0),1,1)&gt;INDEX(FlowCalLowSetting,MATCH(Z719,FlowCalNumber,0),1,1), (INDEX(FlowCalConstA,MATCH(Z719,FlowCalNumber,0),1,1)*AB725^INDEX(FlowCalConstB,MATCH(Z719,FlowCalNumber,0),1,1)&lt;INDEX(FlowCalHighSetting,MATCH(Z719,FlowCalNumber,0),1,1))),INDEX(FlowCalConstA,MATCH(Z719,FlowCalNumber,0),1,1)*AB725^INDEX(FlowCalConstB,MATCH(Z719,FlowCalNumber,0),1,1)," ")</f>
        <v>#N/A</v>
      </c>
      <c r="AD725" s="33"/>
      <c r="AE725" s="242">
        <f t="shared" si="690"/>
        <v>0.1</v>
      </c>
      <c r="AF725" s="241" t="e">
        <f t="shared" ca="1" si="691"/>
        <v>#N/A</v>
      </c>
      <c r="AG725" s="243" t="e">
        <f ca="1">IF(AND(INDEX(FlowCalConstA,MATCH(AD719,FlowCalNumber,0),1,1)*AF725^INDEX(FlowCalConstB,MATCH(AD719,FlowCalNumber,0),1,1)&gt;INDEX(FlowCalLowSetting,MATCH(AD719,FlowCalNumber,0),1,1), (INDEX(FlowCalConstA,MATCH(AD719,FlowCalNumber,0),1,1)*AF725^INDEX(FlowCalConstB,MATCH(AD719,FlowCalNumber,0),1,1)&lt;INDEX(FlowCalHighSetting,MATCH(AD719,FlowCalNumber,0),1,1))),INDEX(FlowCalConstA,MATCH(AD719,FlowCalNumber,0),1,1)*AF725^INDEX(FlowCalConstB,MATCH(AD719,FlowCalNumber,0),1,1)," ")</f>
        <v>#N/A</v>
      </c>
      <c r="AH725" s="33"/>
      <c r="AI725" s="242">
        <f t="shared" si="692"/>
        <v>0.9</v>
      </c>
      <c r="AJ725" s="241" t="e">
        <f t="shared" ca="1" si="693"/>
        <v>#N/A</v>
      </c>
      <c r="AK725" s="243" t="e">
        <f ca="1">IF(AND(INDEX(FlowCalConstA,MATCH(AH719,FlowCalNumber,0),1,1)*AJ725^INDEX(FlowCalConstB,MATCH(AH719,FlowCalNumber,0),1,1)&gt;INDEX(FlowCalLowSetting,MATCH(AH719,FlowCalNumber,0),1,1), (INDEX(FlowCalConstA,MATCH(AH719,FlowCalNumber,0),1,1)*AJ725^INDEX(FlowCalConstB,MATCH(AH719,FlowCalNumber,0),1,1)&lt;INDEX(FlowCalHighSetting,MATCH(AH719,FlowCalNumber,0),1,1))),INDEX(FlowCalConstA,MATCH(AH719,FlowCalNumber,0),1,1)*AJ725^INDEX(FlowCalConstB,MATCH(AH719,FlowCalNumber,0),1,1)," ")</f>
        <v>#N/A</v>
      </c>
      <c r="AL725" s="33"/>
      <c r="AM725" s="242"/>
      <c r="AN725" s="241"/>
      <c r="AO725" s="244"/>
      <c r="AQ725" s="242"/>
      <c r="AR725" s="241"/>
      <c r="AS725" s="244"/>
      <c r="AT725" s="33"/>
      <c r="AU725" s="242"/>
      <c r="AV725" s="241"/>
      <c r="AW725" s="244"/>
      <c r="AX725" s="33"/>
      <c r="AY725" s="242"/>
      <c r="AZ725" s="241"/>
      <c r="BA725" s="244"/>
      <c r="BB725" s="33"/>
      <c r="BC725" s="242"/>
      <c r="BD725" s="241"/>
      <c r="BE725" s="244"/>
      <c r="BF725" s="33"/>
      <c r="BG725" s="242"/>
      <c r="BH725" s="241"/>
      <c r="BI725" s="244"/>
      <c r="BJ725" s="33"/>
      <c r="BK725" s="242"/>
      <c r="BL725" s="241"/>
      <c r="BM725" s="244"/>
      <c r="BN725" s="33"/>
      <c r="BO725" s="242"/>
      <c r="BP725" s="241"/>
      <c r="BQ725" s="244"/>
      <c r="BR725" s="33"/>
      <c r="BS725" s="242"/>
      <c r="BT725" s="241"/>
      <c r="BU725" s="244"/>
      <c r="BV725" s="33"/>
      <c r="BW725" s="242"/>
      <c r="BX725" s="241"/>
      <c r="BY725" s="244"/>
      <c r="BZ725" s="33"/>
      <c r="CA725" s="242"/>
      <c r="CB725" s="241"/>
      <c r="CC725" s="244"/>
      <c r="CD725" s="243"/>
      <c r="CE725" s="243"/>
      <c r="CF725" s="243"/>
      <c r="CG725" s="243"/>
      <c r="CH725" s="243"/>
      <c r="CI725" s="243"/>
      <c r="CJ725" s="243"/>
      <c r="CK725" s="243"/>
      <c r="CL725" s="243"/>
      <c r="CM725" s="243"/>
      <c r="CN725" s="243"/>
      <c r="CO725" s="243"/>
      <c r="CP725" s="243"/>
      <c r="CQ725" s="243"/>
      <c r="CR725" s="243"/>
      <c r="CS725" s="243"/>
      <c r="CT725" s="243"/>
      <c r="CU725" s="243"/>
      <c r="CV725" s="243"/>
      <c r="CW725" s="243"/>
      <c r="CX725" s="243"/>
      <c r="CY725" s="243"/>
      <c r="CZ725" s="243"/>
      <c r="DA725" s="243"/>
      <c r="DB725" s="243"/>
      <c r="DC725" s="243"/>
      <c r="DD725" s="243"/>
      <c r="DE725" s="243"/>
      <c r="DF725" s="243"/>
      <c r="DG725" s="243"/>
      <c r="DH725" s="243"/>
      <c r="DI725" s="243"/>
      <c r="DJ725" s="243"/>
      <c r="DK725" s="243"/>
      <c r="DM725" s="242"/>
      <c r="DO725" s="243"/>
      <c r="DQ725" s="242"/>
      <c r="DS725" s="243"/>
      <c r="DU725" s="242"/>
      <c r="DW725" s="243"/>
      <c r="DY725" s="242"/>
      <c r="EA725" s="243"/>
    </row>
    <row r="726" spans="1:131">
      <c r="A726" s="20"/>
      <c r="B726" s="124" t="str">
        <f t="shared" si="678"/>
        <v/>
      </c>
      <c r="C726" s="235"/>
      <c r="D726" s="24">
        <f>'1% Wind'!$M$88</f>
        <v>10.1</v>
      </c>
      <c r="E726" s="90"/>
      <c r="F726" s="90"/>
      <c r="G726" s="79" t="e">
        <f ca="1">IF(I719=0.9743,$G725,MAX(G725/D725*D726,2))</f>
        <v>#N/A</v>
      </c>
      <c r="H726" s="121" t="e">
        <f t="shared" ca="1" si="679"/>
        <v>#N/A</v>
      </c>
      <c r="J726" s="33"/>
      <c r="K726" s="242">
        <f t="shared" si="680"/>
        <v>1</v>
      </c>
      <c r="L726" s="241" t="e">
        <f t="shared" ca="1" si="681"/>
        <v>#N/A</v>
      </c>
      <c r="M726" s="243" t="e">
        <f ca="1">IF(AND(INDEX(FlowCalConstA,MATCH(J719,FlowCalNumber,0),1,1)*L726^INDEX(FlowCalConstB,MATCH(J719,FlowCalNumber,0),1,1)&gt;INDEX(FlowCalLowSetting,MATCH(J719,FlowCalNumber,0),1,1), (INDEX(FlowCalConstA,MATCH(J719,FlowCalNumber,0),1,1)*L726^INDEX(FlowCalConstB,MATCH(J719,FlowCalNumber,0),1,1)&lt;INDEX(FlowCalHighSetting,MATCH(J719,FlowCalNumber,0),1,1))),INDEX(FlowCalConstA,MATCH(J719,FlowCalNumber,0),1,1)*L726^INDEX(FlowCalConstB,MATCH(J719,FlowCalNumber,0),1,1)," ")</f>
        <v>#N/A</v>
      </c>
      <c r="N726" s="33"/>
      <c r="O726" s="242">
        <f t="shared" si="682"/>
        <v>1</v>
      </c>
      <c r="P726" s="241" t="e">
        <f t="shared" ca="1" si="683"/>
        <v>#N/A</v>
      </c>
      <c r="Q726" s="243" t="e">
        <f ca="1">IF(AND(INDEX(FlowCalConstA,MATCH(N719,FlowCalNumber,0),1,1)*P726^INDEX(FlowCalConstB,MATCH(N719,FlowCalNumber,0),1,1)&gt;INDEX(FlowCalLowSetting,MATCH(N719,FlowCalNumber,0),1,1), (INDEX(FlowCalConstA,MATCH(N719,FlowCalNumber,0),1,1)*P726^INDEX(FlowCalConstB,MATCH(N719,FlowCalNumber,0),1,1)&lt;INDEX(FlowCalHighSetting,MATCH(N719,FlowCalNumber,0),1,1))),INDEX(FlowCalConstA,MATCH(N719,FlowCalNumber,0),1,1)*P726^INDEX(FlowCalConstB,MATCH(N719,FlowCalNumber,0),1,1)," ")</f>
        <v>#N/A</v>
      </c>
      <c r="R726" s="33"/>
      <c r="S726" s="242">
        <f t="shared" si="684"/>
        <v>1</v>
      </c>
      <c r="T726" s="241" t="e">
        <f t="shared" ca="1" si="685"/>
        <v>#N/A</v>
      </c>
      <c r="U726" s="244" t="e">
        <f ca="1">IF(AND(INDEX(FlowCalConstA,MATCH(R719,FlowCalNumber,0),1,1)*T726^INDEX(FlowCalConstB,MATCH(R719,FlowCalNumber,0),1,1)&gt;INDEX(FlowCalLowSetting,MATCH(R719,FlowCalNumber,0),1,1), (INDEX(FlowCalConstA,MATCH(R719,FlowCalNumber,0),1,1)*T726^INDEX(FlowCalConstB,MATCH(R719,FlowCalNumber,0),1,1)&lt;INDEX(FlowCalHighSetting,MATCH(R719,FlowCalNumber,0),1,1))),INDEX(FlowCalConstA,MATCH(R719,FlowCalNumber,0),1,1)*T726^INDEX(FlowCalConstB,MATCH(R719,FlowCalNumber,0),1,1)," ")</f>
        <v>#N/A</v>
      </c>
      <c r="V726" s="33"/>
      <c r="W726" s="242">
        <f t="shared" si="686"/>
        <v>0.1</v>
      </c>
      <c r="X726" s="241" t="e">
        <f t="shared" ca="1" si="687"/>
        <v>#N/A</v>
      </c>
      <c r="Y726" s="243" t="e">
        <f ca="1">IF(AND(INDEX(FlowCalConstA,MATCH(V719,FlowCalNumber,0),1,1)*X726^INDEX(FlowCalConstB,MATCH(V719,FlowCalNumber,0),1,1)&gt;INDEX(FlowCalLowSetting,MATCH(V719,FlowCalNumber,0),1,1), (INDEX(FlowCalConstA,MATCH(V719,FlowCalNumber,0),1,1)*X726^INDEX(FlowCalConstB,MATCH(V719,FlowCalNumber,0),1,1)&lt;INDEX(FlowCalHighSetting,MATCH(V719,FlowCalNumber,0),1,1))),INDEX(FlowCalConstA,MATCH(V719,FlowCalNumber,0),1,1)*X726^INDEX(FlowCalConstB,MATCH(V719,FlowCalNumber,0),1,1)," ")</f>
        <v>#N/A</v>
      </c>
      <c r="Z726" s="33"/>
      <c r="AA726" s="242">
        <f t="shared" si="688"/>
        <v>0.9</v>
      </c>
      <c r="AB726" s="241" t="e">
        <f t="shared" ca="1" si="689"/>
        <v>#N/A</v>
      </c>
      <c r="AC726" s="243" t="e">
        <f ca="1">IF(AND(INDEX(FlowCalConstA,MATCH(Z719,FlowCalNumber,0),1,1)*AB726^INDEX(FlowCalConstB,MATCH(Z719,FlowCalNumber,0),1,1)&gt;INDEX(FlowCalLowSetting,MATCH(Z719,FlowCalNumber,0),1,1), (INDEX(FlowCalConstA,MATCH(Z719,FlowCalNumber,0),1,1)*AB726^INDEX(FlowCalConstB,MATCH(Z719,FlowCalNumber,0),1,1)&lt;INDEX(FlowCalHighSetting,MATCH(Z719,FlowCalNumber,0),1,1))),INDEX(FlowCalConstA,MATCH(Z719,FlowCalNumber,0),1,1)*AB726^INDEX(FlowCalConstB,MATCH(Z719,FlowCalNumber,0),1,1)," ")</f>
        <v>#N/A</v>
      </c>
      <c r="AD726" s="33"/>
      <c r="AE726" s="242">
        <f t="shared" si="690"/>
        <v>0.1</v>
      </c>
      <c r="AF726" s="241" t="e">
        <f t="shared" ca="1" si="691"/>
        <v>#N/A</v>
      </c>
      <c r="AG726" s="243" t="e">
        <f ca="1">IF(AND(INDEX(FlowCalConstA,MATCH(AD719,FlowCalNumber,0),1,1)*AF726^INDEX(FlowCalConstB,MATCH(AD719,FlowCalNumber,0),1,1)&gt;INDEX(FlowCalLowSetting,MATCH(AD719,FlowCalNumber,0),1,1), (INDEX(FlowCalConstA,MATCH(AD719,FlowCalNumber,0),1,1)*AF726^INDEX(FlowCalConstB,MATCH(AD719,FlowCalNumber,0),1,1)&lt;INDEX(FlowCalHighSetting,MATCH(AD719,FlowCalNumber,0),1,1))),INDEX(FlowCalConstA,MATCH(AD719,FlowCalNumber,0),1,1)*AF726^INDEX(FlowCalConstB,MATCH(AD719,FlowCalNumber,0),1,1)," ")</f>
        <v>#N/A</v>
      </c>
      <c r="AH726" s="33"/>
      <c r="AI726" s="242">
        <f t="shared" si="692"/>
        <v>0.9</v>
      </c>
      <c r="AJ726" s="241" t="e">
        <f t="shared" ca="1" si="693"/>
        <v>#N/A</v>
      </c>
      <c r="AK726" s="243" t="e">
        <f ca="1">IF(AND(INDEX(FlowCalConstA,MATCH(AH719,FlowCalNumber,0),1,1)*AJ726^INDEX(FlowCalConstB,MATCH(AH719,FlowCalNumber,0),1,1)&gt;INDEX(FlowCalLowSetting,MATCH(AH719,FlowCalNumber,0),1,1), (INDEX(FlowCalConstA,MATCH(AH719,FlowCalNumber,0),1,1)*AJ726^INDEX(FlowCalConstB,MATCH(AH719,FlowCalNumber,0),1,1)&lt;INDEX(FlowCalHighSetting,MATCH(AH719,FlowCalNumber,0),1,1))),INDEX(FlowCalConstA,MATCH(AH719,FlowCalNumber,0),1,1)*AJ726^INDEX(FlowCalConstB,MATCH(AH719,FlowCalNumber,0),1,1)," ")</f>
        <v>#N/A</v>
      </c>
      <c r="AL726" s="33"/>
      <c r="AM726" s="242"/>
      <c r="AN726" s="241"/>
      <c r="AO726" s="244"/>
      <c r="AQ726" s="242"/>
      <c r="AR726" s="241"/>
      <c r="AS726" s="244"/>
      <c r="AT726" s="33"/>
      <c r="AU726" s="242"/>
      <c r="AV726" s="241"/>
      <c r="AW726" s="244"/>
      <c r="AX726" s="33"/>
      <c r="AY726" s="242"/>
      <c r="AZ726" s="241"/>
      <c r="BA726" s="244"/>
      <c r="BB726" s="33"/>
      <c r="BC726" s="242"/>
      <c r="BD726" s="241"/>
      <c r="BE726" s="244"/>
      <c r="BF726" s="33"/>
      <c r="BG726" s="242"/>
      <c r="BH726" s="241"/>
      <c r="BI726" s="244"/>
      <c r="BJ726" s="33"/>
      <c r="BK726" s="242"/>
      <c r="BL726" s="241"/>
      <c r="BM726" s="244"/>
      <c r="BN726" s="33"/>
      <c r="BO726" s="242"/>
      <c r="BP726" s="241"/>
      <c r="BQ726" s="244"/>
      <c r="BR726" s="33"/>
      <c r="BS726" s="242"/>
      <c r="BT726" s="241"/>
      <c r="BU726" s="244"/>
      <c r="BV726" s="33"/>
      <c r="BW726" s="242"/>
      <c r="BX726" s="241"/>
      <c r="BY726" s="244"/>
      <c r="BZ726" s="33"/>
      <c r="CA726" s="242"/>
      <c r="CB726" s="241"/>
      <c r="CC726" s="244"/>
      <c r="CD726" s="243"/>
      <c r="CE726" s="243"/>
      <c r="CF726" s="243"/>
      <c r="CG726" s="243"/>
      <c r="CH726" s="243"/>
      <c r="CI726" s="243"/>
      <c r="CJ726" s="243"/>
      <c r="CK726" s="243"/>
      <c r="CL726" s="243"/>
      <c r="CM726" s="243"/>
      <c r="CN726" s="243"/>
      <c r="CO726" s="243"/>
      <c r="CP726" s="243"/>
      <c r="CQ726" s="243"/>
      <c r="CR726" s="243"/>
      <c r="CS726" s="243"/>
      <c r="CT726" s="243"/>
      <c r="CU726" s="243"/>
      <c r="CV726" s="243"/>
      <c r="CW726" s="243"/>
      <c r="CX726" s="243"/>
      <c r="CY726" s="243"/>
      <c r="CZ726" s="243"/>
      <c r="DA726" s="243"/>
      <c r="DB726" s="243"/>
      <c r="DC726" s="243"/>
      <c r="DD726" s="243"/>
      <c r="DE726" s="243"/>
      <c r="DF726" s="243"/>
      <c r="DG726" s="243"/>
      <c r="DH726" s="243"/>
      <c r="DI726" s="243"/>
      <c r="DJ726" s="243"/>
      <c r="DK726" s="243"/>
      <c r="DM726" s="242"/>
      <c r="DO726" s="243"/>
      <c r="DQ726" s="242"/>
      <c r="DS726" s="243"/>
      <c r="DU726" s="242"/>
      <c r="DW726" s="243"/>
      <c r="DY726" s="242"/>
      <c r="EA726" s="243"/>
    </row>
    <row r="727" spans="1:131">
      <c r="A727" s="20"/>
      <c r="B727" s="124" t="str">
        <f t="shared" si="678"/>
        <v/>
      </c>
      <c r="C727" s="235"/>
      <c r="D727" s="24">
        <f>'1% Wind'!$M$89</f>
        <v>7.6</v>
      </c>
      <c r="E727" s="90"/>
      <c r="F727" s="90"/>
      <c r="G727" s="79" t="e">
        <f ca="1">IF(I719=0.9743,$G726,MAX(G726/D726*D727,2))</f>
        <v>#N/A</v>
      </c>
      <c r="H727" s="121" t="e">
        <f t="shared" ca="1" si="679"/>
        <v>#N/A</v>
      </c>
      <c r="J727" s="33"/>
      <c r="K727" s="242">
        <f t="shared" si="680"/>
        <v>1</v>
      </c>
      <c r="L727" s="241" t="e">
        <f t="shared" ca="1" si="681"/>
        <v>#N/A</v>
      </c>
      <c r="M727" s="243" t="e">
        <f ca="1">IF(AND(INDEX(FlowCalConstA,MATCH(J719,FlowCalNumber,0),1,1)*L727^INDEX(FlowCalConstB,MATCH(J719,FlowCalNumber,0),1,1)&gt;INDEX(FlowCalLowSetting,MATCH(J719,FlowCalNumber,0),1,1), (INDEX(FlowCalConstA,MATCH(J719,FlowCalNumber,0),1,1)*L727^INDEX(FlowCalConstB,MATCH(J719,FlowCalNumber,0),1,1)&lt;INDEX(FlowCalHighSetting,MATCH(J719,FlowCalNumber,0),1,1))),INDEX(FlowCalConstA,MATCH(J719,FlowCalNumber,0),1,1)*L727^INDEX(FlowCalConstB,MATCH(J719,FlowCalNumber,0),1,1)," ")</f>
        <v>#N/A</v>
      </c>
      <c r="N727" s="33"/>
      <c r="O727" s="242">
        <f t="shared" si="682"/>
        <v>1</v>
      </c>
      <c r="P727" s="241" t="e">
        <f t="shared" ca="1" si="683"/>
        <v>#N/A</v>
      </c>
      <c r="Q727" s="243" t="e">
        <f ca="1">IF(AND(INDEX(FlowCalConstA,MATCH(N719,FlowCalNumber,0),1,1)*P727^INDEX(FlowCalConstB,MATCH(N719,FlowCalNumber,0),1,1)&gt;INDEX(FlowCalLowSetting,MATCH(N719,FlowCalNumber,0),1,1), (INDEX(FlowCalConstA,MATCH(N719,FlowCalNumber,0),1,1)*P727^INDEX(FlowCalConstB,MATCH(N719,FlowCalNumber,0),1,1)&lt;INDEX(FlowCalHighSetting,MATCH(N719,FlowCalNumber,0),1,1))),INDEX(FlowCalConstA,MATCH(N719,FlowCalNumber,0),1,1)*P727^INDEX(FlowCalConstB,MATCH(N719,FlowCalNumber,0),1,1)," ")</f>
        <v>#N/A</v>
      </c>
      <c r="R727" s="33"/>
      <c r="S727" s="242">
        <f t="shared" si="684"/>
        <v>1</v>
      </c>
      <c r="T727" s="241" t="e">
        <f t="shared" ca="1" si="685"/>
        <v>#N/A</v>
      </c>
      <c r="U727" s="244" t="e">
        <f ca="1">IF(AND(INDEX(FlowCalConstA,MATCH(R719,FlowCalNumber,0),1,1)*T727^INDEX(FlowCalConstB,MATCH(R719,FlowCalNumber,0),1,1)&gt;INDEX(FlowCalLowSetting,MATCH(R719,FlowCalNumber,0),1,1), (INDEX(FlowCalConstA,MATCH(R719,FlowCalNumber,0),1,1)*T727^INDEX(FlowCalConstB,MATCH(R719,FlowCalNumber,0),1,1)&lt;INDEX(FlowCalHighSetting,MATCH(R719,FlowCalNumber,0),1,1))),INDEX(FlowCalConstA,MATCH(R719,FlowCalNumber,0),1,1)*T727^INDEX(FlowCalConstB,MATCH(R719,FlowCalNumber,0),1,1)," ")</f>
        <v>#N/A</v>
      </c>
      <c r="V727" s="33"/>
      <c r="W727" s="242">
        <f t="shared" si="686"/>
        <v>0.1</v>
      </c>
      <c r="X727" s="241" t="e">
        <f t="shared" ca="1" si="687"/>
        <v>#N/A</v>
      </c>
      <c r="Y727" s="243" t="e">
        <f ca="1">IF(AND(INDEX(FlowCalConstA,MATCH(V719,FlowCalNumber,0),1,1)*X727^INDEX(FlowCalConstB,MATCH(V719,FlowCalNumber,0),1,1)&gt;INDEX(FlowCalLowSetting,MATCH(V719,FlowCalNumber,0),1,1), (INDEX(FlowCalConstA,MATCH(V719,FlowCalNumber,0),1,1)*X727^INDEX(FlowCalConstB,MATCH(V719,FlowCalNumber,0),1,1)&lt;INDEX(FlowCalHighSetting,MATCH(V719,FlowCalNumber,0),1,1))),INDEX(FlowCalConstA,MATCH(V719,FlowCalNumber,0),1,1)*X727^INDEX(FlowCalConstB,MATCH(V719,FlowCalNumber,0),1,1)," ")</f>
        <v>#N/A</v>
      </c>
      <c r="Z727" s="33"/>
      <c r="AA727" s="242">
        <f t="shared" si="688"/>
        <v>0.9</v>
      </c>
      <c r="AB727" s="241" t="e">
        <f t="shared" ca="1" si="689"/>
        <v>#N/A</v>
      </c>
      <c r="AC727" s="243" t="e">
        <f ca="1">IF(AND(INDEX(FlowCalConstA,MATCH(Z719,FlowCalNumber,0),1,1)*AB727^INDEX(FlowCalConstB,MATCH(Z719,FlowCalNumber,0),1,1)&gt;INDEX(FlowCalLowSetting,MATCH(Z719,FlowCalNumber,0),1,1), (INDEX(FlowCalConstA,MATCH(Z719,FlowCalNumber,0),1,1)*AB727^INDEX(FlowCalConstB,MATCH(Z719,FlowCalNumber,0),1,1)&lt;INDEX(FlowCalHighSetting,MATCH(Z719,FlowCalNumber,0),1,1))),INDEX(FlowCalConstA,MATCH(Z719,FlowCalNumber,0),1,1)*AB727^INDEX(FlowCalConstB,MATCH(Z719,FlowCalNumber,0),1,1)," ")</f>
        <v>#N/A</v>
      </c>
      <c r="AD727" s="33"/>
      <c r="AE727" s="242">
        <f t="shared" si="690"/>
        <v>0.1</v>
      </c>
      <c r="AF727" s="241" t="e">
        <f t="shared" ca="1" si="691"/>
        <v>#N/A</v>
      </c>
      <c r="AG727" s="243" t="e">
        <f ca="1">IF(AND(INDEX(FlowCalConstA,MATCH(AD719,FlowCalNumber,0),1,1)*AF727^INDEX(FlowCalConstB,MATCH(AD719,FlowCalNumber,0),1,1)&gt;INDEX(FlowCalLowSetting,MATCH(AD719,FlowCalNumber,0),1,1), (INDEX(FlowCalConstA,MATCH(AD719,FlowCalNumber,0),1,1)*AF727^INDEX(FlowCalConstB,MATCH(AD719,FlowCalNumber,0),1,1)&lt;INDEX(FlowCalHighSetting,MATCH(AD719,FlowCalNumber,0),1,1))),INDEX(FlowCalConstA,MATCH(AD719,FlowCalNumber,0),1,1)*AF727^INDEX(FlowCalConstB,MATCH(AD719,FlowCalNumber,0),1,1)," ")</f>
        <v>#N/A</v>
      </c>
      <c r="AH727" s="33"/>
      <c r="AI727" s="242">
        <f t="shared" si="692"/>
        <v>0.9</v>
      </c>
      <c r="AJ727" s="241" t="e">
        <f t="shared" ca="1" si="693"/>
        <v>#N/A</v>
      </c>
      <c r="AK727" s="243" t="e">
        <f ca="1">IF(AND(INDEX(FlowCalConstA,MATCH(AH719,FlowCalNumber,0),1,1)*AJ727^INDEX(FlowCalConstB,MATCH(AH719,FlowCalNumber,0),1,1)&gt;INDEX(FlowCalLowSetting,MATCH(AH719,FlowCalNumber,0),1,1), (INDEX(FlowCalConstA,MATCH(AH719,FlowCalNumber,0),1,1)*AJ727^INDEX(FlowCalConstB,MATCH(AH719,FlowCalNumber,0),1,1)&lt;INDEX(FlowCalHighSetting,MATCH(AH719,FlowCalNumber,0),1,1))),INDEX(FlowCalConstA,MATCH(AH719,FlowCalNumber,0),1,1)*AJ727^INDEX(FlowCalConstB,MATCH(AH719,FlowCalNumber,0),1,1)," ")</f>
        <v>#N/A</v>
      </c>
      <c r="AL727" s="33"/>
      <c r="AM727" s="242"/>
      <c r="AN727" s="241"/>
      <c r="AO727" s="244"/>
      <c r="AQ727" s="242"/>
      <c r="AR727" s="241"/>
      <c r="AS727" s="244"/>
      <c r="AT727" s="33"/>
      <c r="AU727" s="242"/>
      <c r="AV727" s="241"/>
      <c r="AW727" s="244"/>
      <c r="AX727" s="33"/>
      <c r="AY727" s="242"/>
      <c r="AZ727" s="241"/>
      <c r="BA727" s="244"/>
      <c r="BB727" s="33"/>
      <c r="BC727" s="242"/>
      <c r="BD727" s="241"/>
      <c r="BE727" s="244"/>
      <c r="BF727" s="33"/>
      <c r="BG727" s="242"/>
      <c r="BH727" s="241"/>
      <c r="BI727" s="244"/>
      <c r="BJ727" s="33"/>
      <c r="BK727" s="242"/>
      <c r="BL727" s="241"/>
      <c r="BM727" s="244"/>
      <c r="BN727" s="33"/>
      <c r="BO727" s="242"/>
      <c r="BP727" s="241"/>
      <c r="BQ727" s="244"/>
      <c r="BR727" s="33"/>
      <c r="BS727" s="242"/>
      <c r="BT727" s="241"/>
      <c r="BU727" s="244"/>
      <c r="BV727" s="33"/>
      <c r="BW727" s="242"/>
      <c r="BX727" s="241"/>
      <c r="BY727" s="244"/>
      <c r="BZ727" s="33"/>
      <c r="CA727" s="242"/>
      <c r="CB727" s="241"/>
      <c r="CC727" s="244"/>
      <c r="CD727" s="243"/>
      <c r="CE727" s="243"/>
      <c r="CF727" s="243"/>
      <c r="CG727" s="243"/>
      <c r="CH727" s="243"/>
      <c r="CI727" s="243"/>
      <c r="CJ727" s="243"/>
      <c r="CK727" s="243"/>
      <c r="CL727" s="243"/>
      <c r="CM727" s="243"/>
      <c r="CN727" s="243"/>
      <c r="CO727" s="243"/>
      <c r="CP727" s="243"/>
      <c r="CQ727" s="243"/>
      <c r="CR727" s="243"/>
      <c r="CS727" s="243"/>
      <c r="CT727" s="243"/>
      <c r="CU727" s="243"/>
      <c r="CV727" s="243"/>
      <c r="CW727" s="243"/>
      <c r="CX727" s="243"/>
      <c r="CY727" s="243"/>
      <c r="CZ727" s="243"/>
      <c r="DA727" s="243"/>
      <c r="DB727" s="243"/>
      <c r="DC727" s="243"/>
      <c r="DD727" s="243"/>
      <c r="DE727" s="243"/>
      <c r="DF727" s="243"/>
      <c r="DG727" s="243"/>
      <c r="DH727" s="243"/>
      <c r="DI727" s="243"/>
      <c r="DJ727" s="243"/>
      <c r="DK727" s="243"/>
      <c r="DM727" s="242"/>
      <c r="DO727" s="243"/>
      <c r="DQ727" s="242"/>
      <c r="DS727" s="243"/>
      <c r="DU727" s="242"/>
      <c r="DW727" s="243"/>
      <c r="DY727" s="242"/>
      <c r="EA727" s="243"/>
    </row>
    <row r="728" spans="1:131">
      <c r="A728" s="20"/>
      <c r="B728" s="124" t="str">
        <f t="shared" si="678"/>
        <v/>
      </c>
      <c r="C728" s="235"/>
      <c r="D728" s="24">
        <f>'1% Wind'!$M$90</f>
        <v>5.7</v>
      </c>
      <c r="E728" s="90"/>
      <c r="F728" s="90"/>
      <c r="G728" s="79" t="e">
        <f ca="1">IF(I719=0.9743,$G727,MAX(G727/D727*D728,2))</f>
        <v>#N/A</v>
      </c>
      <c r="H728" s="121" t="e">
        <f t="shared" ca="1" si="679"/>
        <v>#N/A</v>
      </c>
      <c r="J728" s="33"/>
      <c r="K728" s="242">
        <f t="shared" si="680"/>
        <v>1</v>
      </c>
      <c r="L728" s="241" t="e">
        <f t="shared" ca="1" si="681"/>
        <v>#N/A</v>
      </c>
      <c r="M728" s="243" t="e">
        <f ca="1">IF(AND(INDEX(FlowCalConstA,MATCH(J719,FlowCalNumber,0),1,1)*L728^INDEX(FlowCalConstB,MATCH(J719,FlowCalNumber,0),1,1)&gt;INDEX(FlowCalLowSetting,MATCH(J719,FlowCalNumber,0),1,1), (INDEX(FlowCalConstA,MATCH(J719,FlowCalNumber,0),1,1)*L728^INDEX(FlowCalConstB,MATCH(J719,FlowCalNumber,0),1,1)&lt;INDEX(FlowCalHighSetting,MATCH(J719,FlowCalNumber,0),1,1))),INDEX(FlowCalConstA,MATCH(J719,FlowCalNumber,0),1,1)*L728^INDEX(FlowCalConstB,MATCH(J719,FlowCalNumber,0),1,1)," ")</f>
        <v>#N/A</v>
      </c>
      <c r="N728" s="33"/>
      <c r="O728" s="242">
        <f t="shared" si="682"/>
        <v>1</v>
      </c>
      <c r="P728" s="241" t="e">
        <f t="shared" ca="1" si="683"/>
        <v>#N/A</v>
      </c>
      <c r="Q728" s="243" t="e">
        <f ca="1">IF(AND(INDEX(FlowCalConstA,MATCH(N719,FlowCalNumber,0),1,1)*P728^INDEX(FlowCalConstB,MATCH(N719,FlowCalNumber,0),1,1)&gt;INDEX(FlowCalLowSetting,MATCH(N719,FlowCalNumber,0),1,1), (INDEX(FlowCalConstA,MATCH(N719,FlowCalNumber,0),1,1)*P728^INDEX(FlowCalConstB,MATCH(N719,FlowCalNumber,0),1,1)&lt;INDEX(FlowCalHighSetting,MATCH(N719,FlowCalNumber,0),1,1))),INDEX(FlowCalConstA,MATCH(N719,FlowCalNumber,0),1,1)*P728^INDEX(FlowCalConstB,MATCH(N719,FlowCalNumber,0),1,1)," ")</f>
        <v>#N/A</v>
      </c>
      <c r="R728" s="33"/>
      <c r="S728" s="242">
        <f t="shared" si="684"/>
        <v>1</v>
      </c>
      <c r="T728" s="241" t="e">
        <f t="shared" ca="1" si="685"/>
        <v>#N/A</v>
      </c>
      <c r="U728" s="244" t="e">
        <f ca="1">IF(AND(INDEX(FlowCalConstA,MATCH(R719,FlowCalNumber,0),1,1)*T728^INDEX(FlowCalConstB,MATCH(R719,FlowCalNumber,0),1,1)&gt;INDEX(FlowCalLowSetting,MATCH(R719,FlowCalNumber,0),1,1), (INDEX(FlowCalConstA,MATCH(R719,FlowCalNumber,0),1,1)*T728^INDEX(FlowCalConstB,MATCH(R719,FlowCalNumber,0),1,1)&lt;INDEX(FlowCalHighSetting,MATCH(R719,FlowCalNumber,0),1,1))),INDEX(FlowCalConstA,MATCH(R719,FlowCalNumber,0),1,1)*T728^INDEX(FlowCalConstB,MATCH(R719,FlowCalNumber,0),1,1)," ")</f>
        <v>#N/A</v>
      </c>
      <c r="V728" s="33"/>
      <c r="W728" s="242">
        <f t="shared" si="686"/>
        <v>0.1</v>
      </c>
      <c r="X728" s="241" t="e">
        <f t="shared" ca="1" si="687"/>
        <v>#N/A</v>
      </c>
      <c r="Y728" s="243" t="e">
        <f ca="1">IF(AND(INDEX(FlowCalConstA,MATCH(V719,FlowCalNumber,0),1,1)*X728^INDEX(FlowCalConstB,MATCH(V719,FlowCalNumber,0),1,1)&gt;INDEX(FlowCalLowSetting,MATCH(V719,FlowCalNumber,0),1,1), (INDEX(FlowCalConstA,MATCH(V719,FlowCalNumber,0),1,1)*X728^INDEX(FlowCalConstB,MATCH(V719,FlowCalNumber,0),1,1)&lt;INDEX(FlowCalHighSetting,MATCH(V719,FlowCalNumber,0),1,1))),INDEX(FlowCalConstA,MATCH(V719,FlowCalNumber,0),1,1)*X728^INDEX(FlowCalConstB,MATCH(V719,FlowCalNumber,0),1,1)," ")</f>
        <v>#N/A</v>
      </c>
      <c r="Z728" s="33"/>
      <c r="AA728" s="242">
        <f t="shared" si="688"/>
        <v>0.9</v>
      </c>
      <c r="AB728" s="241" t="e">
        <f t="shared" ca="1" si="689"/>
        <v>#N/A</v>
      </c>
      <c r="AC728" s="243" t="e">
        <f ca="1">IF(AND(INDEX(FlowCalConstA,MATCH(Z719,FlowCalNumber,0),1,1)*AB728^INDEX(FlowCalConstB,MATCH(Z719,FlowCalNumber,0),1,1)&gt;INDEX(FlowCalLowSetting,MATCH(Z719,FlowCalNumber,0),1,1), (INDEX(FlowCalConstA,MATCH(Z719,FlowCalNumber,0),1,1)*AB728^INDEX(FlowCalConstB,MATCH(Z719,FlowCalNumber,0),1,1)&lt;INDEX(FlowCalHighSetting,MATCH(Z719,FlowCalNumber,0),1,1))),INDEX(FlowCalConstA,MATCH(Z719,FlowCalNumber,0),1,1)*AB728^INDEX(FlowCalConstB,MATCH(Z719,FlowCalNumber,0),1,1)," ")</f>
        <v>#N/A</v>
      </c>
      <c r="AD728" s="33"/>
      <c r="AE728" s="242">
        <f t="shared" si="690"/>
        <v>0.1</v>
      </c>
      <c r="AF728" s="241" t="e">
        <f t="shared" ca="1" si="691"/>
        <v>#N/A</v>
      </c>
      <c r="AG728" s="243" t="e">
        <f ca="1">IF(AND(INDEX(FlowCalConstA,MATCH(AD719,FlowCalNumber,0),1,1)*AF728^INDEX(FlowCalConstB,MATCH(AD719,FlowCalNumber,0),1,1)&gt;INDEX(FlowCalLowSetting,MATCH(AD719,FlowCalNumber,0),1,1), (INDEX(FlowCalConstA,MATCH(AD719,FlowCalNumber,0),1,1)*AF728^INDEX(FlowCalConstB,MATCH(AD719,FlowCalNumber,0),1,1)&lt;INDEX(FlowCalHighSetting,MATCH(AD719,FlowCalNumber,0),1,1))),INDEX(FlowCalConstA,MATCH(AD719,FlowCalNumber,0),1,1)*AF728^INDEX(FlowCalConstB,MATCH(AD719,FlowCalNumber,0),1,1)," ")</f>
        <v>#N/A</v>
      </c>
      <c r="AH728" s="33"/>
      <c r="AI728" s="242">
        <f t="shared" si="692"/>
        <v>0.9</v>
      </c>
      <c r="AJ728" s="241" t="e">
        <f t="shared" ca="1" si="693"/>
        <v>#N/A</v>
      </c>
      <c r="AK728" s="243" t="e">
        <f ca="1">IF(AND(INDEX(FlowCalConstA,MATCH(AH719,FlowCalNumber,0),1,1)*AJ728^INDEX(FlowCalConstB,MATCH(AH719,FlowCalNumber,0),1,1)&gt;INDEX(FlowCalLowSetting,MATCH(AH719,FlowCalNumber,0),1,1), (INDEX(FlowCalConstA,MATCH(AH719,FlowCalNumber,0),1,1)*AJ728^INDEX(FlowCalConstB,MATCH(AH719,FlowCalNumber,0),1,1)&lt;INDEX(FlowCalHighSetting,MATCH(AH719,FlowCalNumber,0),1,1))),INDEX(FlowCalConstA,MATCH(AH719,FlowCalNumber,0),1,1)*AJ728^INDEX(FlowCalConstB,MATCH(AH719,FlowCalNumber,0),1,1)," ")</f>
        <v>#N/A</v>
      </c>
      <c r="AL728" s="33"/>
      <c r="AM728" s="242"/>
      <c r="AN728" s="241"/>
      <c r="AO728" s="244"/>
      <c r="AQ728" s="242"/>
      <c r="AR728" s="241"/>
      <c r="AS728" s="244"/>
      <c r="AT728" s="33"/>
      <c r="AU728" s="242"/>
      <c r="AV728" s="241"/>
      <c r="AW728" s="244"/>
      <c r="AX728" s="33"/>
      <c r="AY728" s="242"/>
      <c r="AZ728" s="241"/>
      <c r="BA728" s="244"/>
      <c r="BB728" s="33"/>
      <c r="BC728" s="242"/>
      <c r="BD728" s="241"/>
      <c r="BE728" s="244"/>
      <c r="BF728" s="33"/>
      <c r="BG728" s="242"/>
      <c r="BH728" s="241"/>
      <c r="BI728" s="244"/>
      <c r="BJ728" s="33"/>
      <c r="BK728" s="242"/>
      <c r="BL728" s="241"/>
      <c r="BM728" s="244"/>
      <c r="BN728" s="33"/>
      <c r="BO728" s="242"/>
      <c r="BP728" s="241"/>
      <c r="BQ728" s="244"/>
      <c r="BR728" s="33"/>
      <c r="BS728" s="242"/>
      <c r="BT728" s="241"/>
      <c r="BU728" s="244"/>
      <c r="BV728" s="33"/>
      <c r="BW728" s="242"/>
      <c r="BX728" s="241"/>
      <c r="BY728" s="244"/>
      <c r="BZ728" s="33"/>
      <c r="CA728" s="242"/>
      <c r="CB728" s="241"/>
      <c r="CC728" s="244"/>
      <c r="CD728" s="243"/>
      <c r="CE728" s="243"/>
      <c r="CF728" s="243"/>
      <c r="CG728" s="243"/>
      <c r="CH728" s="243"/>
      <c r="CI728" s="243"/>
      <c r="CJ728" s="243"/>
      <c r="CK728" s="243"/>
      <c r="CL728" s="243"/>
      <c r="CM728" s="243"/>
      <c r="CN728" s="243"/>
      <c r="CO728" s="243"/>
      <c r="CP728" s="243"/>
      <c r="CQ728" s="243"/>
      <c r="CR728" s="243"/>
      <c r="CS728" s="243"/>
      <c r="CT728" s="243"/>
      <c r="CU728" s="243"/>
      <c r="CV728" s="243"/>
      <c r="CW728" s="243"/>
      <c r="CX728" s="243"/>
      <c r="CY728" s="243"/>
      <c r="CZ728" s="243"/>
      <c r="DA728" s="243"/>
      <c r="DB728" s="243"/>
      <c r="DC728" s="243"/>
      <c r="DD728" s="243"/>
      <c r="DE728" s="243"/>
      <c r="DF728" s="243"/>
      <c r="DG728" s="243"/>
      <c r="DH728" s="243"/>
      <c r="DI728" s="243"/>
      <c r="DJ728" s="243"/>
      <c r="DK728" s="243"/>
      <c r="DM728" s="242"/>
      <c r="DO728" s="243"/>
      <c r="DQ728" s="242"/>
      <c r="DS728" s="243"/>
      <c r="DU728" s="242"/>
      <c r="DW728" s="243"/>
      <c r="DY728" s="242"/>
      <c r="EA728" s="243"/>
    </row>
    <row r="729" spans="1:131">
      <c r="A729" s="20"/>
      <c r="B729" s="124" t="str">
        <f t="shared" si="678"/>
        <v/>
      </c>
      <c r="C729" s="235"/>
      <c r="D729" s="24">
        <f>'1% Wind'!$M$91</f>
        <v>4.2</v>
      </c>
      <c r="E729" s="90"/>
      <c r="F729" s="90"/>
      <c r="G729" s="79" t="e">
        <f ca="1">IF(I719=0.9743,$G728,MAX(G728/D728*D729,2))</f>
        <v>#N/A</v>
      </c>
      <c r="H729" s="121" t="e">
        <f t="shared" ca="1" si="679"/>
        <v>#N/A</v>
      </c>
      <c r="J729" s="33"/>
      <c r="K729" s="242">
        <f t="shared" si="680"/>
        <v>1</v>
      </c>
      <c r="L729" s="241" t="e">
        <f t="shared" ca="1" si="681"/>
        <v>#N/A</v>
      </c>
      <c r="M729" s="243" t="e">
        <f ca="1">IF(AND(INDEX(FlowCalConstA,MATCH(J719,FlowCalNumber,0),1,1)*L729^INDEX(FlowCalConstB,MATCH(J719,FlowCalNumber,0),1,1)&gt;INDEX(FlowCalLowSetting,MATCH(J719,FlowCalNumber,0),1,1), (INDEX(FlowCalConstA,MATCH(J719,FlowCalNumber,0),1,1)*L729^INDEX(FlowCalConstB,MATCH(J719,FlowCalNumber,0),1,1)&lt;INDEX(FlowCalHighSetting,MATCH(J719,FlowCalNumber,0),1,1))),INDEX(FlowCalConstA,MATCH(J719,FlowCalNumber,0),1,1)*L729^INDEX(FlowCalConstB,MATCH(J719,FlowCalNumber,0),1,1)," ")</f>
        <v>#N/A</v>
      </c>
      <c r="N729" s="33"/>
      <c r="O729" s="242">
        <f t="shared" si="682"/>
        <v>1</v>
      </c>
      <c r="P729" s="241" t="e">
        <f t="shared" ca="1" si="683"/>
        <v>#N/A</v>
      </c>
      <c r="Q729" s="243" t="e">
        <f ca="1">IF(AND(INDEX(FlowCalConstA,MATCH(N719,FlowCalNumber,0),1,1)*P729^INDEX(FlowCalConstB,MATCH(N719,FlowCalNumber,0),1,1)&gt;INDEX(FlowCalLowSetting,MATCH(N719,FlowCalNumber,0),1,1), (INDEX(FlowCalConstA,MATCH(N719,FlowCalNumber,0),1,1)*P729^INDEX(FlowCalConstB,MATCH(N719,FlowCalNumber,0),1,1)&lt;INDEX(FlowCalHighSetting,MATCH(N719,FlowCalNumber,0),1,1))),INDEX(FlowCalConstA,MATCH(N719,FlowCalNumber,0),1,1)*P729^INDEX(FlowCalConstB,MATCH(N719,FlowCalNumber,0),1,1)," ")</f>
        <v>#N/A</v>
      </c>
      <c r="R729" s="33"/>
      <c r="S729" s="242">
        <f t="shared" si="684"/>
        <v>1</v>
      </c>
      <c r="T729" s="241" t="e">
        <f t="shared" ca="1" si="685"/>
        <v>#N/A</v>
      </c>
      <c r="U729" s="244" t="e">
        <f ca="1">IF(AND(INDEX(FlowCalConstA,MATCH(R719,FlowCalNumber,0),1,1)*T729^INDEX(FlowCalConstB,MATCH(R719,FlowCalNumber,0),1,1)&gt;INDEX(FlowCalLowSetting,MATCH(R719,FlowCalNumber,0),1,1), (INDEX(FlowCalConstA,MATCH(R719,FlowCalNumber,0),1,1)*T729^INDEX(FlowCalConstB,MATCH(R719,FlowCalNumber,0),1,1)&lt;INDEX(FlowCalHighSetting,MATCH(R719,FlowCalNumber,0),1,1))),INDEX(FlowCalConstA,MATCH(R719,FlowCalNumber,0),1,1)*T729^INDEX(FlowCalConstB,MATCH(R719,FlowCalNumber,0),1,1)," ")</f>
        <v>#N/A</v>
      </c>
      <c r="V729" s="33"/>
      <c r="W729" s="242">
        <f t="shared" si="686"/>
        <v>0.1</v>
      </c>
      <c r="X729" s="241" t="e">
        <f t="shared" ca="1" si="687"/>
        <v>#N/A</v>
      </c>
      <c r="Y729" s="243" t="e">
        <f ca="1">IF(AND(INDEX(FlowCalConstA,MATCH(V719,FlowCalNumber,0),1,1)*X729^INDEX(FlowCalConstB,MATCH(V719,FlowCalNumber,0),1,1)&gt;INDEX(FlowCalLowSetting,MATCH(V719,FlowCalNumber,0),1,1), (INDEX(FlowCalConstA,MATCH(V719,FlowCalNumber,0),1,1)*X729^INDEX(FlowCalConstB,MATCH(V719,FlowCalNumber,0),1,1)&lt;INDEX(FlowCalHighSetting,MATCH(V719,FlowCalNumber,0),1,1))),INDEX(FlowCalConstA,MATCH(V719,FlowCalNumber,0),1,1)*X729^INDEX(FlowCalConstB,MATCH(V719,FlowCalNumber,0),1,1)," ")</f>
        <v>#N/A</v>
      </c>
      <c r="Z729" s="33"/>
      <c r="AA729" s="242">
        <f t="shared" si="688"/>
        <v>0.9</v>
      </c>
      <c r="AB729" s="241" t="e">
        <f t="shared" ca="1" si="689"/>
        <v>#N/A</v>
      </c>
      <c r="AC729" s="243" t="e">
        <f ca="1">IF(AND(INDEX(FlowCalConstA,MATCH(Z719,FlowCalNumber,0),1,1)*AB729^INDEX(FlowCalConstB,MATCH(Z719,FlowCalNumber,0),1,1)&gt;INDEX(FlowCalLowSetting,MATCH(Z719,FlowCalNumber,0),1,1), (INDEX(FlowCalConstA,MATCH(Z719,FlowCalNumber,0),1,1)*AB729^INDEX(FlowCalConstB,MATCH(Z719,FlowCalNumber,0),1,1)&lt;INDEX(FlowCalHighSetting,MATCH(Z719,FlowCalNumber,0),1,1))),INDEX(FlowCalConstA,MATCH(Z719,FlowCalNumber,0),1,1)*AB729^INDEX(FlowCalConstB,MATCH(Z719,FlowCalNumber,0),1,1)," ")</f>
        <v>#N/A</v>
      </c>
      <c r="AD729" s="33"/>
      <c r="AE729" s="242">
        <f t="shared" si="690"/>
        <v>0.1</v>
      </c>
      <c r="AF729" s="241" t="e">
        <f t="shared" ca="1" si="691"/>
        <v>#N/A</v>
      </c>
      <c r="AG729" s="243" t="e">
        <f ca="1">IF(AND(INDEX(FlowCalConstA,MATCH(AD719,FlowCalNumber,0),1,1)*AF729^INDEX(FlowCalConstB,MATCH(AD719,FlowCalNumber,0),1,1)&gt;INDEX(FlowCalLowSetting,MATCH(AD719,FlowCalNumber,0),1,1), (INDEX(FlowCalConstA,MATCH(AD719,FlowCalNumber,0),1,1)*AF729^INDEX(FlowCalConstB,MATCH(AD719,FlowCalNumber,0),1,1)&lt;INDEX(FlowCalHighSetting,MATCH(AD719,FlowCalNumber,0),1,1))),INDEX(FlowCalConstA,MATCH(AD719,FlowCalNumber,0),1,1)*AF729^INDEX(FlowCalConstB,MATCH(AD719,FlowCalNumber,0),1,1)," ")</f>
        <v>#N/A</v>
      </c>
      <c r="AH729" s="33"/>
      <c r="AI729" s="242">
        <f t="shared" si="692"/>
        <v>0.9</v>
      </c>
      <c r="AJ729" s="241" t="e">
        <f t="shared" ca="1" si="693"/>
        <v>#N/A</v>
      </c>
      <c r="AK729" s="243" t="e">
        <f ca="1">IF(AND(INDEX(FlowCalConstA,MATCH(AH719,FlowCalNumber,0),1,1)*AJ729^INDEX(FlowCalConstB,MATCH(AH719,FlowCalNumber,0),1,1)&gt;INDEX(FlowCalLowSetting,MATCH(AH719,FlowCalNumber,0),1,1), (INDEX(FlowCalConstA,MATCH(AH719,FlowCalNumber,0),1,1)*AJ729^INDEX(FlowCalConstB,MATCH(AH719,FlowCalNumber,0),1,1)&lt;INDEX(FlowCalHighSetting,MATCH(AH719,FlowCalNumber,0),1,1))),INDEX(FlowCalConstA,MATCH(AH719,FlowCalNumber,0),1,1)*AJ729^INDEX(FlowCalConstB,MATCH(AH719,FlowCalNumber,0),1,1)," ")</f>
        <v>#N/A</v>
      </c>
      <c r="AL729" s="33"/>
      <c r="AM729" s="242"/>
      <c r="AN729" s="241"/>
      <c r="AO729" s="244"/>
      <c r="AQ729" s="242"/>
      <c r="AR729" s="241"/>
      <c r="AS729" s="244"/>
      <c r="AT729" s="33"/>
      <c r="AU729" s="242"/>
      <c r="AV729" s="241"/>
      <c r="AW729" s="244"/>
      <c r="AX729" s="33"/>
      <c r="AY729" s="242"/>
      <c r="AZ729" s="241"/>
      <c r="BA729" s="244"/>
      <c r="BB729" s="33"/>
      <c r="BC729" s="242"/>
      <c r="BD729" s="241"/>
      <c r="BE729" s="244"/>
      <c r="BF729" s="33"/>
      <c r="BG729" s="242"/>
      <c r="BH729" s="241"/>
      <c r="BI729" s="244"/>
      <c r="BJ729" s="33"/>
      <c r="BK729" s="242"/>
      <c r="BL729" s="241"/>
      <c r="BM729" s="244"/>
      <c r="BN729" s="33"/>
      <c r="BO729" s="242"/>
      <c r="BP729" s="241"/>
      <c r="BQ729" s="244"/>
      <c r="BR729" s="33"/>
      <c r="BS729" s="242"/>
      <c r="BT729" s="241"/>
      <c r="BU729" s="244"/>
      <c r="BV729" s="33"/>
      <c r="BW729" s="242"/>
      <c r="BX729" s="241"/>
      <c r="BY729" s="244"/>
      <c r="BZ729" s="33"/>
      <c r="CA729" s="242"/>
      <c r="CB729" s="241"/>
      <c r="CC729" s="244"/>
      <c r="CD729" s="243"/>
      <c r="CE729" s="243"/>
      <c r="CF729" s="243"/>
      <c r="CG729" s="243"/>
      <c r="CH729" s="243"/>
      <c r="CI729" s="243"/>
      <c r="CJ729" s="243"/>
      <c r="CK729" s="243"/>
      <c r="CL729" s="243"/>
      <c r="CM729" s="243"/>
      <c r="CN729" s="243"/>
      <c r="CO729" s="243"/>
      <c r="CP729" s="243"/>
      <c r="CQ729" s="243"/>
      <c r="CR729" s="243"/>
      <c r="CS729" s="243"/>
      <c r="CT729" s="243"/>
      <c r="CU729" s="243"/>
      <c r="CV729" s="243"/>
      <c r="CW729" s="243"/>
      <c r="CX729" s="243"/>
      <c r="CY729" s="243"/>
      <c r="CZ729" s="243"/>
      <c r="DA729" s="243"/>
      <c r="DB729" s="243"/>
      <c r="DC729" s="243"/>
      <c r="DD729" s="243"/>
      <c r="DE729" s="243"/>
      <c r="DF729" s="243"/>
      <c r="DG729" s="243"/>
      <c r="DH729" s="243"/>
      <c r="DI729" s="243"/>
      <c r="DJ729" s="243"/>
      <c r="DK729" s="243"/>
      <c r="DM729" s="242"/>
      <c r="DO729" s="243"/>
      <c r="DQ729" s="242"/>
      <c r="DS729" s="243"/>
      <c r="DU729" s="242"/>
      <c r="DW729" s="243"/>
      <c r="DY729" s="242"/>
      <c r="EA729" s="243"/>
    </row>
    <row r="730" spans="1:131">
      <c r="A730" s="20"/>
      <c r="B730" s="124" t="str">
        <f t="shared" si="678"/>
        <v/>
      </c>
      <c r="C730" s="235"/>
      <c r="D730" s="24">
        <f>'1% Wind'!$M$92</f>
        <v>3.2</v>
      </c>
      <c r="E730" s="90"/>
      <c r="F730" s="90"/>
      <c r="G730" s="79" t="e">
        <f ca="1">IF(I719=0.9743,$G729,MAX(G729/D729*D730,2))</f>
        <v>#N/A</v>
      </c>
      <c r="H730" s="121" t="e">
        <f t="shared" ca="1" si="679"/>
        <v>#N/A</v>
      </c>
      <c r="J730" s="33"/>
      <c r="K730" s="242">
        <f t="shared" si="680"/>
        <v>1</v>
      </c>
      <c r="L730" s="241" t="e">
        <f t="shared" ca="1" si="681"/>
        <v>#N/A</v>
      </c>
      <c r="M730" s="243" t="e">
        <f ca="1">IF(AND(INDEX(FlowCalConstA,MATCH(J719,FlowCalNumber,0),1,1)*L730^INDEX(FlowCalConstB,MATCH(J719,FlowCalNumber,0),1,1)&gt;INDEX(FlowCalLowSetting,MATCH(J719,FlowCalNumber,0),1,1), (INDEX(FlowCalConstA,MATCH(J719,FlowCalNumber,0),1,1)*L730^INDEX(FlowCalConstB,MATCH(J719,FlowCalNumber,0),1,1)&lt;INDEX(FlowCalHighSetting,MATCH(J719,FlowCalNumber,0),1,1))),INDEX(FlowCalConstA,MATCH(J719,FlowCalNumber,0),1,1)*L730^INDEX(FlowCalConstB,MATCH(J719,FlowCalNumber,0),1,1)," ")</f>
        <v>#N/A</v>
      </c>
      <c r="N730" s="33"/>
      <c r="O730" s="242">
        <f t="shared" si="682"/>
        <v>1</v>
      </c>
      <c r="P730" s="241" t="e">
        <f t="shared" ca="1" si="683"/>
        <v>#N/A</v>
      </c>
      <c r="Q730" s="243" t="e">
        <f ca="1">IF(AND(INDEX(FlowCalConstA,MATCH(N719,FlowCalNumber,0),1,1)*P730^INDEX(FlowCalConstB,MATCH(N719,FlowCalNumber,0),1,1)&gt;INDEX(FlowCalLowSetting,MATCH(N719,FlowCalNumber,0),1,1), (INDEX(FlowCalConstA,MATCH(N719,FlowCalNumber,0),1,1)*P730^INDEX(FlowCalConstB,MATCH(N719,FlowCalNumber,0),1,1)&lt;INDEX(FlowCalHighSetting,MATCH(N719,FlowCalNumber,0),1,1))),INDEX(FlowCalConstA,MATCH(N719,FlowCalNumber,0),1,1)*P730^INDEX(FlowCalConstB,MATCH(N719,FlowCalNumber,0),1,1)," ")</f>
        <v>#N/A</v>
      </c>
      <c r="R730" s="33"/>
      <c r="S730" s="242">
        <f t="shared" si="684"/>
        <v>1</v>
      </c>
      <c r="T730" s="241" t="e">
        <f t="shared" ca="1" si="685"/>
        <v>#N/A</v>
      </c>
      <c r="U730" s="244" t="e">
        <f ca="1">IF(AND(INDEX(FlowCalConstA,MATCH(R719,FlowCalNumber,0),1,1)*T730^INDEX(FlowCalConstB,MATCH(R719,FlowCalNumber,0),1,1)&gt;INDEX(FlowCalLowSetting,MATCH(R719,FlowCalNumber,0),1,1), (INDEX(FlowCalConstA,MATCH(R719,FlowCalNumber,0),1,1)*T730^INDEX(FlowCalConstB,MATCH(R719,FlowCalNumber,0),1,1)&lt;INDEX(FlowCalHighSetting,MATCH(R719,FlowCalNumber,0),1,1))),INDEX(FlowCalConstA,MATCH(R719,FlowCalNumber,0),1,1)*T730^INDEX(FlowCalConstB,MATCH(R719,FlowCalNumber,0),1,1)," ")</f>
        <v>#N/A</v>
      </c>
      <c r="V730" s="33"/>
      <c r="W730" s="242">
        <f t="shared" si="686"/>
        <v>0.1</v>
      </c>
      <c r="X730" s="241" t="e">
        <f t="shared" ca="1" si="687"/>
        <v>#N/A</v>
      </c>
      <c r="Y730" s="243" t="e">
        <f ca="1">IF(AND(INDEX(FlowCalConstA,MATCH(V719,FlowCalNumber,0),1,1)*X730^INDEX(FlowCalConstB,MATCH(V719,FlowCalNumber,0),1,1)&gt;INDEX(FlowCalLowSetting,MATCH(V719,FlowCalNumber,0),1,1), (INDEX(FlowCalConstA,MATCH(V719,FlowCalNumber,0),1,1)*X730^INDEX(FlowCalConstB,MATCH(V719,FlowCalNumber,0),1,1)&lt;INDEX(FlowCalHighSetting,MATCH(V719,FlowCalNumber,0),1,1))),INDEX(FlowCalConstA,MATCH(V719,FlowCalNumber,0),1,1)*X730^INDEX(FlowCalConstB,MATCH(V719,FlowCalNumber,0),1,1)," ")</f>
        <v>#N/A</v>
      </c>
      <c r="Z730" s="33"/>
      <c r="AA730" s="242">
        <f t="shared" si="688"/>
        <v>0.9</v>
      </c>
      <c r="AB730" s="241" t="e">
        <f t="shared" ca="1" si="689"/>
        <v>#N/A</v>
      </c>
      <c r="AC730" s="243" t="e">
        <f ca="1">IF(AND(INDEX(FlowCalConstA,MATCH(Z719,FlowCalNumber,0),1,1)*AB730^INDEX(FlowCalConstB,MATCH(Z719,FlowCalNumber,0),1,1)&gt;INDEX(FlowCalLowSetting,MATCH(Z719,FlowCalNumber,0),1,1), (INDEX(FlowCalConstA,MATCH(Z719,FlowCalNumber,0),1,1)*AB730^INDEX(FlowCalConstB,MATCH(Z719,FlowCalNumber,0),1,1)&lt;INDEX(FlowCalHighSetting,MATCH(Z719,FlowCalNumber,0),1,1))),INDEX(FlowCalConstA,MATCH(Z719,FlowCalNumber,0),1,1)*AB730^INDEX(FlowCalConstB,MATCH(Z719,FlowCalNumber,0),1,1)," ")</f>
        <v>#N/A</v>
      </c>
      <c r="AD730" s="33"/>
      <c r="AE730" s="242">
        <f t="shared" si="690"/>
        <v>0.1</v>
      </c>
      <c r="AF730" s="241" t="e">
        <f t="shared" ca="1" si="691"/>
        <v>#N/A</v>
      </c>
      <c r="AG730" s="243" t="e">
        <f ca="1">IF(AND(INDEX(FlowCalConstA,MATCH(AD719,FlowCalNumber,0),1,1)*AF730^INDEX(FlowCalConstB,MATCH(AD719,FlowCalNumber,0),1,1)&gt;INDEX(FlowCalLowSetting,MATCH(AD719,FlowCalNumber,0),1,1), (INDEX(FlowCalConstA,MATCH(AD719,FlowCalNumber,0),1,1)*AF730^INDEX(FlowCalConstB,MATCH(AD719,FlowCalNumber,0),1,1)&lt;INDEX(FlowCalHighSetting,MATCH(AD719,FlowCalNumber,0),1,1))),INDEX(FlowCalConstA,MATCH(AD719,FlowCalNumber,0),1,1)*AF730^INDEX(FlowCalConstB,MATCH(AD719,FlowCalNumber,0),1,1)," ")</f>
        <v>#N/A</v>
      </c>
      <c r="AH730" s="33"/>
      <c r="AI730" s="242">
        <f t="shared" si="692"/>
        <v>0.9</v>
      </c>
      <c r="AJ730" s="241" t="e">
        <f t="shared" ca="1" si="693"/>
        <v>#N/A</v>
      </c>
      <c r="AK730" s="243" t="e">
        <f ca="1">IF(AND(INDEX(FlowCalConstA,MATCH(AH719,FlowCalNumber,0),1,1)*AJ730^INDEX(FlowCalConstB,MATCH(AH719,FlowCalNumber,0),1,1)&gt;INDEX(FlowCalLowSetting,MATCH(AH719,FlowCalNumber,0),1,1), (INDEX(FlowCalConstA,MATCH(AH719,FlowCalNumber,0),1,1)*AJ730^INDEX(FlowCalConstB,MATCH(AH719,FlowCalNumber,0),1,1)&lt;INDEX(FlowCalHighSetting,MATCH(AH719,FlowCalNumber,0),1,1))),INDEX(FlowCalConstA,MATCH(AH719,FlowCalNumber,0),1,1)*AJ730^INDEX(FlowCalConstB,MATCH(AH719,FlowCalNumber,0),1,1)," ")</f>
        <v>#N/A</v>
      </c>
      <c r="AL730" s="33"/>
      <c r="AM730" s="242"/>
      <c r="AN730" s="241"/>
      <c r="AO730" s="244"/>
      <c r="AQ730" s="242"/>
      <c r="AR730" s="241"/>
      <c r="AS730" s="244"/>
      <c r="AT730" s="33"/>
      <c r="AU730" s="242"/>
      <c r="AV730" s="241"/>
      <c r="AW730" s="244"/>
      <c r="AX730" s="33"/>
      <c r="AY730" s="242"/>
      <c r="AZ730" s="241"/>
      <c r="BA730" s="244"/>
      <c r="BB730" s="33"/>
      <c r="BC730" s="242"/>
      <c r="BD730" s="241"/>
      <c r="BE730" s="244"/>
      <c r="BF730" s="33"/>
      <c r="BG730" s="242"/>
      <c r="BH730" s="241"/>
      <c r="BI730" s="244"/>
      <c r="BJ730" s="33"/>
      <c r="BK730" s="242"/>
      <c r="BL730" s="241"/>
      <c r="BM730" s="244"/>
      <c r="BN730" s="33"/>
      <c r="BO730" s="242"/>
      <c r="BP730" s="241"/>
      <c r="BQ730" s="244"/>
      <c r="BR730" s="33"/>
      <c r="BS730" s="242"/>
      <c r="BT730" s="241"/>
      <c r="BU730" s="244"/>
      <c r="BV730" s="33"/>
      <c r="BW730" s="242"/>
      <c r="BX730" s="241"/>
      <c r="BY730" s="244"/>
      <c r="BZ730" s="33"/>
      <c r="CA730" s="242"/>
      <c r="CB730" s="241"/>
      <c r="CC730" s="244"/>
      <c r="CD730" s="243"/>
      <c r="CE730" s="243"/>
      <c r="CF730" s="243"/>
      <c r="CG730" s="243"/>
      <c r="CH730" s="243"/>
      <c r="CI730" s="243"/>
      <c r="CJ730" s="243"/>
      <c r="CK730" s="243"/>
      <c r="CL730" s="243"/>
      <c r="CM730" s="243"/>
      <c r="CN730" s="243"/>
      <c r="CO730" s="243"/>
      <c r="CP730" s="243"/>
      <c r="CQ730" s="243"/>
      <c r="CR730" s="243"/>
      <c r="CS730" s="243"/>
      <c r="CT730" s="243"/>
      <c r="CU730" s="243"/>
      <c r="CV730" s="243"/>
      <c r="CW730" s="243"/>
      <c r="CX730" s="243"/>
      <c r="CY730" s="243"/>
      <c r="CZ730" s="243"/>
      <c r="DA730" s="243"/>
      <c r="DB730" s="243"/>
      <c r="DC730" s="243"/>
      <c r="DD730" s="243"/>
      <c r="DE730" s="243"/>
      <c r="DF730" s="243"/>
      <c r="DG730" s="243"/>
      <c r="DH730" s="243"/>
      <c r="DI730" s="243"/>
      <c r="DJ730" s="243"/>
      <c r="DK730" s="243"/>
      <c r="DM730" s="242"/>
      <c r="DO730" s="243"/>
      <c r="DQ730" s="242"/>
      <c r="DS730" s="243"/>
      <c r="DU730" s="242"/>
      <c r="DW730" s="243"/>
      <c r="DY730" s="242"/>
      <c r="EA730" s="243"/>
    </row>
    <row r="731" spans="1:131">
      <c r="A731" s="20"/>
      <c r="B731" s="124" t="str">
        <f t="shared" si="678"/>
        <v/>
      </c>
      <c r="C731" s="235"/>
      <c r="D731" s="24">
        <f>'1% Wind'!$M$93</f>
        <v>2.4</v>
      </c>
      <c r="E731" s="90"/>
      <c r="F731" s="90"/>
      <c r="G731" s="79" t="e">
        <f ca="1">IF(I719=0.9743,$G730,MAX(G730/D730*D731,2))</f>
        <v>#N/A</v>
      </c>
      <c r="H731" s="121" t="e">
        <f t="shared" ca="1" si="679"/>
        <v>#N/A</v>
      </c>
      <c r="J731" s="33"/>
      <c r="K731" s="242">
        <f t="shared" si="680"/>
        <v>1</v>
      </c>
      <c r="L731" s="241" t="e">
        <f t="shared" ca="1" si="681"/>
        <v>#N/A</v>
      </c>
      <c r="M731" s="243" t="e">
        <f ca="1">IF(AND(INDEX(FlowCalConstA,MATCH(J719,FlowCalNumber,0),1,1)*L731^INDEX(FlowCalConstB,MATCH(J719,FlowCalNumber,0),1,1)&gt;INDEX(FlowCalLowSetting,MATCH(J719,FlowCalNumber,0),1,1), (INDEX(FlowCalConstA,MATCH(J719,FlowCalNumber,0),1,1)*L731^INDEX(FlowCalConstB,MATCH(J719,FlowCalNumber,0),1,1)&lt;INDEX(FlowCalHighSetting,MATCH(J719,FlowCalNumber,0),1,1))),INDEX(FlowCalConstA,MATCH(J719,FlowCalNumber,0),1,1)*L731^INDEX(FlowCalConstB,MATCH(J719,FlowCalNumber,0),1,1)," ")</f>
        <v>#N/A</v>
      </c>
      <c r="N731" s="33"/>
      <c r="O731" s="242">
        <f t="shared" si="682"/>
        <v>1</v>
      </c>
      <c r="P731" s="241" t="e">
        <f t="shared" ca="1" si="683"/>
        <v>#N/A</v>
      </c>
      <c r="Q731" s="243" t="e">
        <f ca="1">IF(AND(INDEX(FlowCalConstA,MATCH(N719,FlowCalNumber,0),1,1)*P731^INDEX(FlowCalConstB,MATCH(N719,FlowCalNumber,0),1,1)&gt;INDEX(FlowCalLowSetting,MATCH(N719,FlowCalNumber,0),1,1), (INDEX(FlowCalConstA,MATCH(N719,FlowCalNumber,0),1,1)*P731^INDEX(FlowCalConstB,MATCH(N719,FlowCalNumber,0),1,1)&lt;INDEX(FlowCalHighSetting,MATCH(N719,FlowCalNumber,0),1,1))),INDEX(FlowCalConstA,MATCH(N719,FlowCalNumber,0),1,1)*P731^INDEX(FlowCalConstB,MATCH(N719,FlowCalNumber,0),1,1)," ")</f>
        <v>#N/A</v>
      </c>
      <c r="R731" s="33"/>
      <c r="S731" s="242">
        <f t="shared" si="684"/>
        <v>1</v>
      </c>
      <c r="T731" s="241" t="e">
        <f t="shared" ca="1" si="685"/>
        <v>#N/A</v>
      </c>
      <c r="U731" s="244" t="e">
        <f ca="1">IF(AND(INDEX(FlowCalConstA,MATCH(R719,FlowCalNumber,0),1,1)*T731^INDEX(FlowCalConstB,MATCH(R719,FlowCalNumber,0),1,1)&gt;INDEX(FlowCalLowSetting,MATCH(R719,FlowCalNumber,0),1,1), (INDEX(FlowCalConstA,MATCH(R719,FlowCalNumber,0),1,1)*T731^INDEX(FlowCalConstB,MATCH(R719,FlowCalNumber,0),1,1)&lt;INDEX(FlowCalHighSetting,MATCH(R719,FlowCalNumber,0),1,1))),INDEX(FlowCalConstA,MATCH(R719,FlowCalNumber,0),1,1)*T731^INDEX(FlowCalConstB,MATCH(R719,FlowCalNumber,0),1,1)," ")</f>
        <v>#N/A</v>
      </c>
      <c r="V731" s="33"/>
      <c r="W731" s="242">
        <f t="shared" si="686"/>
        <v>0.1</v>
      </c>
      <c r="X731" s="241" t="e">
        <f t="shared" ca="1" si="687"/>
        <v>#N/A</v>
      </c>
      <c r="Y731" s="243" t="e">
        <f ca="1">IF(AND(INDEX(FlowCalConstA,MATCH(V719,FlowCalNumber,0),1,1)*X731^INDEX(FlowCalConstB,MATCH(V719,FlowCalNumber,0),1,1)&gt;INDEX(FlowCalLowSetting,MATCH(V719,FlowCalNumber,0),1,1), (INDEX(FlowCalConstA,MATCH(V719,FlowCalNumber,0),1,1)*X731^INDEX(FlowCalConstB,MATCH(V719,FlowCalNumber,0),1,1)&lt;INDEX(FlowCalHighSetting,MATCH(V719,FlowCalNumber,0),1,1))),INDEX(FlowCalConstA,MATCH(V719,FlowCalNumber,0),1,1)*X731^INDEX(FlowCalConstB,MATCH(V719,FlowCalNumber,0),1,1)," ")</f>
        <v>#N/A</v>
      </c>
      <c r="Z731" s="33"/>
      <c r="AA731" s="242">
        <f t="shared" si="688"/>
        <v>0.9</v>
      </c>
      <c r="AB731" s="241" t="e">
        <f t="shared" ca="1" si="689"/>
        <v>#N/A</v>
      </c>
      <c r="AC731" s="243" t="e">
        <f ca="1">IF(AND(INDEX(FlowCalConstA,MATCH(Z719,FlowCalNumber,0),1,1)*AB731^INDEX(FlowCalConstB,MATCH(Z719,FlowCalNumber,0),1,1)&gt;INDEX(FlowCalLowSetting,MATCH(Z719,FlowCalNumber,0),1,1), (INDEX(FlowCalConstA,MATCH(Z719,FlowCalNumber,0),1,1)*AB731^INDEX(FlowCalConstB,MATCH(Z719,FlowCalNumber,0),1,1)&lt;INDEX(FlowCalHighSetting,MATCH(Z719,FlowCalNumber,0),1,1))),INDEX(FlowCalConstA,MATCH(Z719,FlowCalNumber,0),1,1)*AB731^INDEX(FlowCalConstB,MATCH(Z719,FlowCalNumber,0),1,1)," ")</f>
        <v>#N/A</v>
      </c>
      <c r="AD731" s="33"/>
      <c r="AE731" s="242">
        <f t="shared" si="690"/>
        <v>0.1</v>
      </c>
      <c r="AF731" s="241" t="e">
        <f t="shared" ca="1" si="691"/>
        <v>#N/A</v>
      </c>
      <c r="AG731" s="243" t="e">
        <f ca="1">IF(AND(INDEX(FlowCalConstA,MATCH(AD719,FlowCalNumber,0),1,1)*AF731^INDEX(FlowCalConstB,MATCH(AD719,FlowCalNumber,0),1,1)&gt;INDEX(FlowCalLowSetting,MATCH(AD719,FlowCalNumber,0),1,1), (INDEX(FlowCalConstA,MATCH(AD719,FlowCalNumber,0),1,1)*AF731^INDEX(FlowCalConstB,MATCH(AD719,FlowCalNumber,0),1,1)&lt;INDEX(FlowCalHighSetting,MATCH(AD719,FlowCalNumber,0),1,1))),INDEX(FlowCalConstA,MATCH(AD719,FlowCalNumber,0),1,1)*AF731^INDEX(FlowCalConstB,MATCH(AD719,FlowCalNumber,0),1,1)," ")</f>
        <v>#N/A</v>
      </c>
      <c r="AH731" s="33"/>
      <c r="AI731" s="242">
        <f t="shared" si="692"/>
        <v>0.9</v>
      </c>
      <c r="AJ731" s="241" t="e">
        <f t="shared" ca="1" si="693"/>
        <v>#N/A</v>
      </c>
      <c r="AK731" s="243" t="e">
        <f ca="1">IF(AND(INDEX(FlowCalConstA,MATCH(AH719,FlowCalNumber,0),1,1)*AJ731^INDEX(FlowCalConstB,MATCH(AH719,FlowCalNumber,0),1,1)&gt;INDEX(FlowCalLowSetting,MATCH(AH719,FlowCalNumber,0),1,1), (INDEX(FlowCalConstA,MATCH(AH719,FlowCalNumber,0),1,1)*AJ731^INDEX(FlowCalConstB,MATCH(AH719,FlowCalNumber,0),1,1)&lt;INDEX(FlowCalHighSetting,MATCH(AH719,FlowCalNumber,0),1,1))),INDEX(FlowCalConstA,MATCH(AH719,FlowCalNumber,0),1,1)*AJ731^INDEX(FlowCalConstB,MATCH(AH719,FlowCalNumber,0),1,1)," ")</f>
        <v>#N/A</v>
      </c>
      <c r="AL731" s="33"/>
      <c r="AM731" s="242"/>
      <c r="AN731" s="241"/>
      <c r="AO731" s="244"/>
      <c r="AQ731" s="242"/>
      <c r="AR731" s="241"/>
      <c r="AS731" s="244"/>
      <c r="AT731" s="33"/>
      <c r="AU731" s="242"/>
      <c r="AV731" s="241"/>
      <c r="AW731" s="244"/>
      <c r="AX731" s="33"/>
      <c r="AY731" s="242"/>
      <c r="AZ731" s="241"/>
      <c r="BA731" s="244"/>
      <c r="BB731" s="33"/>
      <c r="BC731" s="242"/>
      <c r="BD731" s="241"/>
      <c r="BE731" s="244"/>
      <c r="BF731" s="33"/>
      <c r="BG731" s="242"/>
      <c r="BH731" s="241"/>
      <c r="BI731" s="244"/>
      <c r="BJ731" s="33"/>
      <c r="BK731" s="242"/>
      <c r="BL731" s="241"/>
      <c r="BM731" s="244"/>
      <c r="BN731" s="33"/>
      <c r="BO731" s="242"/>
      <c r="BP731" s="241"/>
      <c r="BQ731" s="244"/>
      <c r="BR731" s="33"/>
      <c r="BS731" s="242"/>
      <c r="BT731" s="241"/>
      <c r="BU731" s="244"/>
      <c r="BV731" s="33"/>
      <c r="BW731" s="242"/>
      <c r="BX731" s="241"/>
      <c r="BY731" s="244"/>
      <c r="BZ731" s="33"/>
      <c r="CA731" s="242"/>
      <c r="CB731" s="241"/>
      <c r="CC731" s="244"/>
      <c r="CD731" s="243"/>
      <c r="CE731" s="243"/>
      <c r="CF731" s="243"/>
      <c r="CG731" s="243"/>
      <c r="CH731" s="243"/>
      <c r="CI731" s="243"/>
      <c r="CJ731" s="243"/>
      <c r="CK731" s="243"/>
      <c r="CL731" s="243"/>
      <c r="CM731" s="243"/>
      <c r="CN731" s="243"/>
      <c r="CO731" s="243"/>
      <c r="CP731" s="243"/>
      <c r="CQ731" s="243"/>
      <c r="CR731" s="243"/>
      <c r="CS731" s="243"/>
      <c r="CT731" s="243"/>
      <c r="CU731" s="243"/>
      <c r="CV731" s="243"/>
      <c r="CW731" s="243"/>
      <c r="CX731" s="243"/>
      <c r="CY731" s="243"/>
      <c r="CZ731" s="243"/>
      <c r="DA731" s="243"/>
      <c r="DB731" s="243"/>
      <c r="DC731" s="243"/>
      <c r="DD731" s="243"/>
      <c r="DE731" s="243"/>
      <c r="DF731" s="243"/>
      <c r="DG731" s="243"/>
      <c r="DH731" s="243"/>
      <c r="DI731" s="243"/>
      <c r="DJ731" s="243"/>
      <c r="DK731" s="243"/>
      <c r="DM731" s="242"/>
      <c r="DO731" s="243"/>
      <c r="DQ731" s="242"/>
      <c r="DS731" s="243"/>
      <c r="DU731" s="242"/>
      <c r="DW731" s="243"/>
      <c r="DY731" s="242"/>
      <c r="EA731" s="243"/>
    </row>
    <row r="732" spans="1:131">
      <c r="A732" s="20"/>
      <c r="B732" s="124" t="str">
        <f t="shared" si="678"/>
        <v/>
      </c>
      <c r="C732" s="235"/>
      <c r="D732" s="24">
        <f>'1% Wind'!$M$94</f>
        <v>1.8</v>
      </c>
      <c r="E732" s="90"/>
      <c r="F732" s="90"/>
      <c r="G732" s="79" t="e">
        <f ca="1">IF(I719=0.9743,$G731,MAX(G731/D731*D732,2))</f>
        <v>#N/A</v>
      </c>
      <c r="H732" s="121" t="e">
        <f t="shared" ca="1" si="679"/>
        <v>#N/A</v>
      </c>
      <c r="J732" s="33"/>
      <c r="K732" s="242">
        <f t="shared" si="680"/>
        <v>1</v>
      </c>
      <c r="L732" s="241" t="e">
        <f t="shared" ca="1" si="681"/>
        <v>#N/A</v>
      </c>
      <c r="M732" s="243" t="e">
        <f ca="1">IF(AND(INDEX(FlowCalConstA,MATCH(J719,FlowCalNumber,0),1,1)*L732^INDEX(FlowCalConstB,MATCH(J719,FlowCalNumber,0),1,1)&gt;INDEX(FlowCalLowSetting,MATCH(J719,FlowCalNumber,0),1,1), (INDEX(FlowCalConstA,MATCH(J719,FlowCalNumber,0),1,1)*L732^INDEX(FlowCalConstB,MATCH(J719,FlowCalNumber,0),1,1)&lt;INDEX(FlowCalHighSetting,MATCH(J719,FlowCalNumber,0),1,1))),INDEX(FlowCalConstA,MATCH(J719,FlowCalNumber,0),1,1)*L732^INDEX(FlowCalConstB,MATCH(J719,FlowCalNumber,0),1,1)," ")</f>
        <v>#N/A</v>
      </c>
      <c r="N732" s="33"/>
      <c r="O732" s="242">
        <f t="shared" si="682"/>
        <v>1</v>
      </c>
      <c r="P732" s="241" t="e">
        <f t="shared" ca="1" si="683"/>
        <v>#N/A</v>
      </c>
      <c r="Q732" s="243" t="e">
        <f ca="1">IF(AND(INDEX(FlowCalConstA,MATCH(N719,FlowCalNumber,0),1,1)*P732^INDEX(FlowCalConstB,MATCH(N719,FlowCalNumber,0),1,1)&gt;INDEX(FlowCalLowSetting,MATCH(N719,FlowCalNumber,0),1,1), (INDEX(FlowCalConstA,MATCH(N719,FlowCalNumber,0),1,1)*P732^INDEX(FlowCalConstB,MATCH(N719,FlowCalNumber,0),1,1)&lt;INDEX(FlowCalHighSetting,MATCH(N719,FlowCalNumber,0),1,1))),INDEX(FlowCalConstA,MATCH(N719,FlowCalNumber,0),1,1)*P732^INDEX(FlowCalConstB,MATCH(N719,FlowCalNumber,0),1,1)," ")</f>
        <v>#N/A</v>
      </c>
      <c r="R732" s="33"/>
      <c r="S732" s="242">
        <f t="shared" si="684"/>
        <v>1</v>
      </c>
      <c r="T732" s="241" t="e">
        <f t="shared" ca="1" si="685"/>
        <v>#N/A</v>
      </c>
      <c r="U732" s="244" t="e">
        <f ca="1">IF(AND(INDEX(FlowCalConstA,MATCH(R719,FlowCalNumber,0),1,1)*T732^INDEX(FlowCalConstB,MATCH(R719,FlowCalNumber,0),1,1)&gt;INDEX(FlowCalLowSetting,MATCH(R719,FlowCalNumber,0),1,1), (INDEX(FlowCalConstA,MATCH(R719,FlowCalNumber,0),1,1)*T732^INDEX(FlowCalConstB,MATCH(R719,FlowCalNumber,0),1,1)&lt;INDEX(FlowCalHighSetting,MATCH(R719,FlowCalNumber,0),1,1))),INDEX(FlowCalConstA,MATCH(R719,FlowCalNumber,0),1,1)*T732^INDEX(FlowCalConstB,MATCH(R719,FlowCalNumber,0),1,1)," ")</f>
        <v>#N/A</v>
      </c>
      <c r="V732" s="33"/>
      <c r="W732" s="242">
        <f t="shared" si="686"/>
        <v>0.1</v>
      </c>
      <c r="X732" s="241" t="e">
        <f t="shared" ca="1" si="687"/>
        <v>#N/A</v>
      </c>
      <c r="Y732" s="243" t="e">
        <f ca="1">IF(AND(INDEX(FlowCalConstA,MATCH(V719,FlowCalNumber,0),1,1)*X732^INDEX(FlowCalConstB,MATCH(V719,FlowCalNumber,0),1,1)&gt;INDEX(FlowCalLowSetting,MATCH(V719,FlowCalNumber,0),1,1), (INDEX(FlowCalConstA,MATCH(V719,FlowCalNumber,0),1,1)*X732^INDEX(FlowCalConstB,MATCH(V719,FlowCalNumber,0),1,1)&lt;INDEX(FlowCalHighSetting,MATCH(V719,FlowCalNumber,0),1,1))),INDEX(FlowCalConstA,MATCH(V719,FlowCalNumber,0),1,1)*X732^INDEX(FlowCalConstB,MATCH(V719,FlowCalNumber,0),1,1)," ")</f>
        <v>#N/A</v>
      </c>
      <c r="Z732" s="33"/>
      <c r="AA732" s="242">
        <f t="shared" si="688"/>
        <v>0.9</v>
      </c>
      <c r="AB732" s="241" t="e">
        <f t="shared" ca="1" si="689"/>
        <v>#N/A</v>
      </c>
      <c r="AC732" s="243" t="e">
        <f ca="1">IF(AND(INDEX(FlowCalConstA,MATCH(Z719,FlowCalNumber,0),1,1)*AB732^INDEX(FlowCalConstB,MATCH(Z719,FlowCalNumber,0),1,1)&gt;INDEX(FlowCalLowSetting,MATCH(Z719,FlowCalNumber,0),1,1), (INDEX(FlowCalConstA,MATCH(Z719,FlowCalNumber,0),1,1)*AB732^INDEX(FlowCalConstB,MATCH(Z719,FlowCalNumber,0),1,1)&lt;INDEX(FlowCalHighSetting,MATCH(Z719,FlowCalNumber,0),1,1))),INDEX(FlowCalConstA,MATCH(Z719,FlowCalNumber,0),1,1)*AB732^INDEX(FlowCalConstB,MATCH(Z719,FlowCalNumber,0),1,1)," ")</f>
        <v>#N/A</v>
      </c>
      <c r="AD732" s="33"/>
      <c r="AE732" s="242">
        <f t="shared" si="690"/>
        <v>0.1</v>
      </c>
      <c r="AF732" s="241" t="e">
        <f t="shared" ca="1" si="691"/>
        <v>#N/A</v>
      </c>
      <c r="AG732" s="243" t="e">
        <f ca="1">IF(AND(INDEX(FlowCalConstA,MATCH(AD719,FlowCalNumber,0),1,1)*AF732^INDEX(FlowCalConstB,MATCH(AD719,FlowCalNumber,0),1,1)&gt;INDEX(FlowCalLowSetting,MATCH(AD719,FlowCalNumber,0),1,1), (INDEX(FlowCalConstA,MATCH(AD719,FlowCalNumber,0),1,1)*AF732^INDEX(FlowCalConstB,MATCH(AD719,FlowCalNumber,0),1,1)&lt;INDEX(FlowCalHighSetting,MATCH(AD719,FlowCalNumber,0),1,1))),INDEX(FlowCalConstA,MATCH(AD719,FlowCalNumber,0),1,1)*AF732^INDEX(FlowCalConstB,MATCH(AD719,FlowCalNumber,0),1,1)," ")</f>
        <v>#N/A</v>
      </c>
      <c r="AH732" s="33"/>
      <c r="AI732" s="242">
        <f t="shared" si="692"/>
        <v>0.9</v>
      </c>
      <c r="AJ732" s="241" t="e">
        <f t="shared" ca="1" si="693"/>
        <v>#N/A</v>
      </c>
      <c r="AK732" s="243" t="e">
        <f ca="1">IF(AND(INDEX(FlowCalConstA,MATCH(AH719,FlowCalNumber,0),1,1)*AJ732^INDEX(FlowCalConstB,MATCH(AH719,FlowCalNumber,0),1,1)&gt;INDEX(FlowCalLowSetting,MATCH(AH719,FlowCalNumber,0),1,1), (INDEX(FlowCalConstA,MATCH(AH719,FlowCalNumber,0),1,1)*AJ732^INDEX(FlowCalConstB,MATCH(AH719,FlowCalNumber,0),1,1)&lt;INDEX(FlowCalHighSetting,MATCH(AH719,FlowCalNumber,0),1,1))),INDEX(FlowCalConstA,MATCH(AH719,FlowCalNumber,0),1,1)*AJ732^INDEX(FlowCalConstB,MATCH(AH719,FlowCalNumber,0),1,1)," ")</f>
        <v>#N/A</v>
      </c>
      <c r="AL732" s="33"/>
      <c r="AM732" s="242"/>
      <c r="AN732" s="241"/>
      <c r="AO732" s="244"/>
      <c r="AQ732" s="242"/>
      <c r="AR732" s="241"/>
      <c r="AS732" s="244"/>
      <c r="AT732" s="33"/>
      <c r="AU732" s="242"/>
      <c r="AV732" s="241"/>
      <c r="AW732" s="244"/>
      <c r="AX732" s="33"/>
      <c r="AY732" s="242"/>
      <c r="AZ732" s="241"/>
      <c r="BA732" s="244"/>
      <c r="BB732" s="33"/>
      <c r="BC732" s="242"/>
      <c r="BD732" s="241"/>
      <c r="BE732" s="244"/>
      <c r="BF732" s="33"/>
      <c r="BG732" s="242"/>
      <c r="BH732" s="241"/>
      <c r="BI732" s="244"/>
      <c r="BJ732" s="33"/>
      <c r="BK732" s="242"/>
      <c r="BL732" s="241"/>
      <c r="BM732" s="244"/>
      <c r="BN732" s="33"/>
      <c r="BO732" s="242"/>
      <c r="BP732" s="241"/>
      <c r="BQ732" s="244"/>
      <c r="BR732" s="33"/>
      <c r="BS732" s="242"/>
      <c r="BT732" s="241"/>
      <c r="BU732" s="244"/>
      <c r="BV732" s="33"/>
      <c r="BW732" s="242"/>
      <c r="BX732" s="241"/>
      <c r="BY732" s="244"/>
      <c r="BZ732" s="33"/>
      <c r="CA732" s="242"/>
      <c r="CB732" s="241"/>
      <c r="CC732" s="244"/>
      <c r="CD732" s="243"/>
      <c r="CE732" s="243"/>
      <c r="CF732" s="243"/>
      <c r="CG732" s="243"/>
      <c r="CH732" s="243"/>
      <c r="CI732" s="243"/>
      <c r="CJ732" s="243"/>
      <c r="CK732" s="243"/>
      <c r="CL732" s="243"/>
      <c r="CM732" s="243"/>
      <c r="CN732" s="243"/>
      <c r="CO732" s="243"/>
      <c r="CP732" s="243"/>
      <c r="CQ732" s="243"/>
      <c r="CR732" s="243"/>
      <c r="CS732" s="243"/>
      <c r="CT732" s="243"/>
      <c r="CU732" s="243"/>
      <c r="CV732" s="243"/>
      <c r="CW732" s="243"/>
      <c r="CX732" s="243"/>
      <c r="CY732" s="243"/>
      <c r="CZ732" s="243"/>
      <c r="DA732" s="243"/>
      <c r="DB732" s="243"/>
      <c r="DC732" s="243"/>
      <c r="DD732" s="243"/>
      <c r="DE732" s="243"/>
      <c r="DF732" s="243"/>
      <c r="DG732" s="243"/>
      <c r="DH732" s="243"/>
      <c r="DI732" s="243"/>
      <c r="DJ732" s="243"/>
      <c r="DK732" s="243"/>
      <c r="DM732" s="242"/>
      <c r="DO732" s="243"/>
      <c r="DQ732" s="242"/>
      <c r="DS732" s="243"/>
      <c r="DU732" s="242"/>
      <c r="DW732" s="243"/>
      <c r="DY732" s="242"/>
      <c r="EA732" s="243"/>
    </row>
    <row r="733" spans="1:131">
      <c r="A733" s="20"/>
      <c r="B733" s="124" t="str">
        <f t="shared" si="678"/>
        <v/>
      </c>
      <c r="C733" s="235"/>
      <c r="D733" s="24">
        <f>'1% Wind'!$M$95</f>
        <v>1.3</v>
      </c>
      <c r="E733" s="90"/>
      <c r="F733" s="90"/>
      <c r="G733" s="79" t="e">
        <f ca="1">IF(I719=0.9743,$G732,MAX(G732/D732*D733,2))</f>
        <v>#N/A</v>
      </c>
      <c r="H733" s="121" t="e">
        <f t="shared" ca="1" si="679"/>
        <v>#N/A</v>
      </c>
      <c r="J733" s="33"/>
      <c r="K733" s="242">
        <f t="shared" si="680"/>
        <v>1</v>
      </c>
      <c r="L733" s="241" t="e">
        <f t="shared" ca="1" si="681"/>
        <v>#N/A</v>
      </c>
      <c r="M733" s="243" t="e">
        <f ca="1">IF(AND(INDEX(FlowCalConstA,MATCH(J719,FlowCalNumber,0),1,1)*L733^INDEX(FlowCalConstB,MATCH(J719,FlowCalNumber,0),1,1)&gt;INDEX(FlowCalLowSetting,MATCH(J719,FlowCalNumber,0),1,1), (INDEX(FlowCalConstA,MATCH(J719,FlowCalNumber,0),1,1)*L733^INDEX(FlowCalConstB,MATCH(J719,FlowCalNumber,0),1,1)&lt;INDEX(FlowCalHighSetting,MATCH(J719,FlowCalNumber,0),1,1))),INDEX(FlowCalConstA,MATCH(J719,FlowCalNumber,0),1,1)*L733^INDEX(FlowCalConstB,MATCH(J719,FlowCalNumber,0),1,1)," ")</f>
        <v>#N/A</v>
      </c>
      <c r="N733" s="33"/>
      <c r="O733" s="242">
        <f t="shared" si="682"/>
        <v>1</v>
      </c>
      <c r="P733" s="241" t="e">
        <f t="shared" ca="1" si="683"/>
        <v>#N/A</v>
      </c>
      <c r="Q733" s="243" t="e">
        <f ca="1">IF(AND(INDEX(FlowCalConstA,MATCH(N719,FlowCalNumber,0),1,1)*P733^INDEX(FlowCalConstB,MATCH(N719,FlowCalNumber,0),1,1)&gt;INDEX(FlowCalLowSetting,MATCH(N719,FlowCalNumber,0),1,1), (INDEX(FlowCalConstA,MATCH(N719,FlowCalNumber,0),1,1)*P733^INDEX(FlowCalConstB,MATCH(N719,FlowCalNumber,0),1,1)&lt;INDEX(FlowCalHighSetting,MATCH(N719,FlowCalNumber,0),1,1))),INDEX(FlowCalConstA,MATCH(N719,FlowCalNumber,0),1,1)*P733^INDEX(FlowCalConstB,MATCH(N719,FlowCalNumber,0),1,1)," ")</f>
        <v>#N/A</v>
      </c>
      <c r="R733" s="33"/>
      <c r="S733" s="242">
        <f t="shared" si="684"/>
        <v>1</v>
      </c>
      <c r="T733" s="241" t="e">
        <f t="shared" ca="1" si="685"/>
        <v>#N/A</v>
      </c>
      <c r="U733" s="244" t="e">
        <f ca="1">IF(AND(INDEX(FlowCalConstA,MATCH(R719,FlowCalNumber,0),1,1)*T733^INDEX(FlowCalConstB,MATCH(R719,FlowCalNumber,0),1,1)&gt;INDEX(FlowCalLowSetting,MATCH(R719,FlowCalNumber,0),1,1), (INDEX(FlowCalConstA,MATCH(R719,FlowCalNumber,0),1,1)*T733^INDEX(FlowCalConstB,MATCH(R719,FlowCalNumber,0),1,1)&lt;INDEX(FlowCalHighSetting,MATCH(R719,FlowCalNumber,0),1,1))),INDEX(FlowCalConstA,MATCH(R719,FlowCalNumber,0),1,1)*T733^INDEX(FlowCalConstB,MATCH(R719,FlowCalNumber,0),1,1)," ")</f>
        <v>#N/A</v>
      </c>
      <c r="V733" s="33"/>
      <c r="W733" s="242">
        <f t="shared" si="686"/>
        <v>0.1</v>
      </c>
      <c r="X733" s="241" t="e">
        <f t="shared" ca="1" si="687"/>
        <v>#N/A</v>
      </c>
      <c r="Y733" s="243" t="e">
        <f ca="1">IF(AND(INDEX(FlowCalConstA,MATCH(V719,FlowCalNumber,0),1,1)*X733^INDEX(FlowCalConstB,MATCH(V719,FlowCalNumber,0),1,1)&gt;INDEX(FlowCalLowSetting,MATCH(V719,FlowCalNumber,0),1,1), (INDEX(FlowCalConstA,MATCH(V719,FlowCalNumber,0),1,1)*X733^INDEX(FlowCalConstB,MATCH(V719,FlowCalNumber,0),1,1)&lt;INDEX(FlowCalHighSetting,MATCH(V719,FlowCalNumber,0),1,1))),INDEX(FlowCalConstA,MATCH(V719,FlowCalNumber,0),1,1)*X733^INDEX(FlowCalConstB,MATCH(V719,FlowCalNumber,0),1,1)," ")</f>
        <v>#N/A</v>
      </c>
      <c r="Z733" s="33"/>
      <c r="AA733" s="242">
        <f t="shared" si="688"/>
        <v>0.9</v>
      </c>
      <c r="AB733" s="241" t="e">
        <f t="shared" ca="1" si="689"/>
        <v>#N/A</v>
      </c>
      <c r="AC733" s="243" t="e">
        <f ca="1">IF(AND(INDEX(FlowCalConstA,MATCH(Z719,FlowCalNumber,0),1,1)*AB733^INDEX(FlowCalConstB,MATCH(Z719,FlowCalNumber,0),1,1)&gt;INDEX(FlowCalLowSetting,MATCH(Z719,FlowCalNumber,0),1,1), (INDEX(FlowCalConstA,MATCH(Z719,FlowCalNumber,0),1,1)*AB733^INDEX(FlowCalConstB,MATCH(Z719,FlowCalNumber,0),1,1)&lt;INDEX(FlowCalHighSetting,MATCH(Z719,FlowCalNumber,0),1,1))),INDEX(FlowCalConstA,MATCH(Z719,FlowCalNumber,0),1,1)*AB733^INDEX(FlowCalConstB,MATCH(Z719,FlowCalNumber,0),1,1)," ")</f>
        <v>#N/A</v>
      </c>
      <c r="AD733" s="33"/>
      <c r="AE733" s="242">
        <f t="shared" si="690"/>
        <v>0.1</v>
      </c>
      <c r="AF733" s="241" t="e">
        <f t="shared" ca="1" si="691"/>
        <v>#N/A</v>
      </c>
      <c r="AG733" s="243" t="e">
        <f ca="1">IF(AND(INDEX(FlowCalConstA,MATCH(AD719,FlowCalNumber,0),1,1)*AF733^INDEX(FlowCalConstB,MATCH(AD719,FlowCalNumber,0),1,1)&gt;INDEX(FlowCalLowSetting,MATCH(AD719,FlowCalNumber,0),1,1), (INDEX(FlowCalConstA,MATCH(AD719,FlowCalNumber,0),1,1)*AF733^INDEX(FlowCalConstB,MATCH(AD719,FlowCalNumber,0),1,1)&lt;INDEX(FlowCalHighSetting,MATCH(AD719,FlowCalNumber,0),1,1))),INDEX(FlowCalConstA,MATCH(AD719,FlowCalNumber,0),1,1)*AF733^INDEX(FlowCalConstB,MATCH(AD719,FlowCalNumber,0),1,1)," ")</f>
        <v>#N/A</v>
      </c>
      <c r="AH733" s="33"/>
      <c r="AI733" s="242">
        <f t="shared" si="692"/>
        <v>0.9</v>
      </c>
      <c r="AJ733" s="241" t="e">
        <f t="shared" ca="1" si="693"/>
        <v>#N/A</v>
      </c>
      <c r="AK733" s="243" t="e">
        <f ca="1">IF(AND(INDEX(FlowCalConstA,MATCH(AH719,FlowCalNumber,0),1,1)*AJ733^INDEX(FlowCalConstB,MATCH(AH719,FlowCalNumber,0),1,1)&gt;INDEX(FlowCalLowSetting,MATCH(AH719,FlowCalNumber,0),1,1), (INDEX(FlowCalConstA,MATCH(AH719,FlowCalNumber,0),1,1)*AJ733^INDEX(FlowCalConstB,MATCH(AH719,FlowCalNumber,0),1,1)&lt;INDEX(FlowCalHighSetting,MATCH(AH719,FlowCalNumber,0),1,1))),INDEX(FlowCalConstA,MATCH(AH719,FlowCalNumber,0),1,1)*AJ733^INDEX(FlowCalConstB,MATCH(AH719,FlowCalNumber,0),1,1)," ")</f>
        <v>#N/A</v>
      </c>
      <c r="AL733" s="33"/>
      <c r="AM733" s="242"/>
      <c r="AN733" s="241"/>
      <c r="AO733" s="244"/>
      <c r="AQ733" s="242"/>
      <c r="AR733" s="241"/>
      <c r="AS733" s="244"/>
      <c r="AT733" s="33"/>
      <c r="AU733" s="242"/>
      <c r="AV733" s="241"/>
      <c r="AW733" s="244"/>
      <c r="AX733" s="33"/>
      <c r="AY733" s="242"/>
      <c r="AZ733" s="241"/>
      <c r="BA733" s="244"/>
      <c r="BB733" s="33"/>
      <c r="BC733" s="242"/>
      <c r="BD733" s="241"/>
      <c r="BE733" s="244"/>
      <c r="BF733" s="33"/>
      <c r="BG733" s="242"/>
      <c r="BH733" s="241"/>
      <c r="BI733" s="244"/>
      <c r="BJ733" s="33"/>
      <c r="BK733" s="242"/>
      <c r="BL733" s="241"/>
      <c r="BM733" s="244"/>
      <c r="BN733" s="33"/>
      <c r="BO733" s="242"/>
      <c r="BP733" s="241"/>
      <c r="BQ733" s="244"/>
      <c r="BR733" s="33"/>
      <c r="BS733" s="242"/>
      <c r="BT733" s="241"/>
      <c r="BU733" s="244"/>
      <c r="BV733" s="33"/>
      <c r="BW733" s="242"/>
      <c r="BX733" s="241"/>
      <c r="BY733" s="244"/>
      <c r="BZ733" s="33"/>
      <c r="CA733" s="242"/>
      <c r="CB733" s="241"/>
      <c r="CC733" s="244"/>
      <c r="CD733" s="243"/>
      <c r="CE733" s="243"/>
      <c r="CF733" s="243"/>
      <c r="CG733" s="243"/>
      <c r="CH733" s="243"/>
      <c r="CI733" s="243"/>
      <c r="CJ733" s="243"/>
      <c r="CK733" s="243"/>
      <c r="CL733" s="243"/>
      <c r="CM733" s="243"/>
      <c r="CN733" s="243"/>
      <c r="CO733" s="243"/>
      <c r="CP733" s="243"/>
      <c r="CQ733" s="243"/>
      <c r="CR733" s="243"/>
      <c r="CS733" s="243"/>
      <c r="CT733" s="243"/>
      <c r="CU733" s="243"/>
      <c r="CV733" s="243"/>
      <c r="CW733" s="243"/>
      <c r="CX733" s="243"/>
      <c r="CY733" s="243"/>
      <c r="CZ733" s="243"/>
      <c r="DA733" s="243"/>
      <c r="DB733" s="243"/>
      <c r="DC733" s="243"/>
      <c r="DD733" s="243"/>
      <c r="DE733" s="243"/>
      <c r="DF733" s="243"/>
      <c r="DG733" s="243"/>
      <c r="DH733" s="243"/>
      <c r="DI733" s="243"/>
      <c r="DJ733" s="243"/>
      <c r="DK733" s="243"/>
      <c r="DM733" s="242"/>
      <c r="DO733" s="243"/>
      <c r="DQ733" s="242"/>
      <c r="DS733" s="243"/>
      <c r="DU733" s="242"/>
      <c r="DW733" s="243"/>
      <c r="DY733" s="242"/>
      <c r="EA733" s="243"/>
    </row>
    <row r="734" spans="1:131">
      <c r="A734" s="20"/>
      <c r="B734" s="124" t="str">
        <f t="shared" si="678"/>
        <v/>
      </c>
      <c r="C734" s="235"/>
      <c r="D734" s="24">
        <f>'1% Wind'!$M$96</f>
        <v>1</v>
      </c>
      <c r="E734" s="90"/>
      <c r="F734" s="90"/>
      <c r="G734" s="79" t="e">
        <f ca="1">IF(I719=0.9743,$G733,MAX(G733/D733*D734,2))</f>
        <v>#N/A</v>
      </c>
      <c r="H734" s="121" t="e">
        <f t="shared" ca="1" si="679"/>
        <v>#N/A</v>
      </c>
      <c r="J734" s="33"/>
      <c r="K734" s="242">
        <f t="shared" si="680"/>
        <v>1</v>
      </c>
      <c r="L734" s="241" t="e">
        <f t="shared" ca="1" si="681"/>
        <v>#N/A</v>
      </c>
      <c r="M734" s="243" t="e">
        <f ca="1">IF(AND(INDEX(FlowCalConstA,MATCH(J719,FlowCalNumber,0),1,1)*L734^INDEX(FlowCalConstB,MATCH(J719,FlowCalNumber,0),1,1)&gt;INDEX(FlowCalLowSetting,MATCH(J719,FlowCalNumber,0),1,1), (INDEX(FlowCalConstA,MATCH(J719,FlowCalNumber,0),1,1)*L734^INDEX(FlowCalConstB,MATCH(J719,FlowCalNumber,0),1,1)&lt;INDEX(FlowCalHighSetting,MATCH(J719,FlowCalNumber,0),1,1))),INDEX(FlowCalConstA,MATCH(J719,FlowCalNumber,0),1,1)*L734^INDEX(FlowCalConstB,MATCH(J719,FlowCalNumber,0),1,1)," ")</f>
        <v>#N/A</v>
      </c>
      <c r="N734" s="33"/>
      <c r="O734" s="242">
        <f t="shared" si="682"/>
        <v>1</v>
      </c>
      <c r="P734" s="241" t="e">
        <f t="shared" ca="1" si="683"/>
        <v>#N/A</v>
      </c>
      <c r="Q734" s="243" t="e">
        <f ca="1">IF(AND(INDEX(FlowCalConstA,MATCH(N719,FlowCalNumber,0),1,1)*P734^INDEX(FlowCalConstB,MATCH(N719,FlowCalNumber,0),1,1)&gt;INDEX(FlowCalLowSetting,MATCH(N719,FlowCalNumber,0),1,1), (INDEX(FlowCalConstA,MATCH(N719,FlowCalNumber,0),1,1)*P734^INDEX(FlowCalConstB,MATCH(N719,FlowCalNumber,0),1,1)&lt;INDEX(FlowCalHighSetting,MATCH(N719,FlowCalNumber,0),1,1))),INDEX(FlowCalConstA,MATCH(N719,FlowCalNumber,0),1,1)*P734^INDEX(FlowCalConstB,MATCH(N719,FlowCalNumber,0),1,1)," ")</f>
        <v>#N/A</v>
      </c>
      <c r="R734" s="33"/>
      <c r="S734" s="242">
        <f t="shared" si="684"/>
        <v>1</v>
      </c>
      <c r="T734" s="241" t="e">
        <f t="shared" ca="1" si="685"/>
        <v>#N/A</v>
      </c>
      <c r="U734" s="244" t="e">
        <f ca="1">IF(AND(INDEX(FlowCalConstA,MATCH(R719,FlowCalNumber,0),1,1)*T734^INDEX(FlowCalConstB,MATCH(R719,FlowCalNumber,0),1,1)&gt;INDEX(FlowCalLowSetting,MATCH(R719,FlowCalNumber,0),1,1), (INDEX(FlowCalConstA,MATCH(R719,FlowCalNumber,0),1,1)*T734^INDEX(FlowCalConstB,MATCH(R719,FlowCalNumber,0),1,1)&lt;INDEX(FlowCalHighSetting,MATCH(R719,FlowCalNumber,0),1,1))),INDEX(FlowCalConstA,MATCH(R719,FlowCalNumber,0),1,1)*T734^INDEX(FlowCalConstB,MATCH(R719,FlowCalNumber,0),1,1)," ")</f>
        <v>#N/A</v>
      </c>
      <c r="V734" s="33"/>
      <c r="W734" s="242">
        <f t="shared" si="686"/>
        <v>0.1</v>
      </c>
      <c r="X734" s="241" t="e">
        <f t="shared" ca="1" si="687"/>
        <v>#N/A</v>
      </c>
      <c r="Y734" s="243" t="e">
        <f ca="1">IF(AND(INDEX(FlowCalConstA,MATCH(V719,FlowCalNumber,0),1,1)*X734^INDEX(FlowCalConstB,MATCH(V719,FlowCalNumber,0),1,1)&gt;INDEX(FlowCalLowSetting,MATCH(V719,FlowCalNumber,0),1,1), (INDEX(FlowCalConstA,MATCH(V719,FlowCalNumber,0),1,1)*X734^INDEX(FlowCalConstB,MATCH(V719,FlowCalNumber,0),1,1)&lt;INDEX(FlowCalHighSetting,MATCH(V719,FlowCalNumber,0),1,1))),INDEX(FlowCalConstA,MATCH(V719,FlowCalNumber,0),1,1)*X734^INDEX(FlowCalConstB,MATCH(V719,FlowCalNumber,0),1,1)," ")</f>
        <v>#N/A</v>
      </c>
      <c r="Z734" s="33"/>
      <c r="AA734" s="242">
        <f t="shared" si="688"/>
        <v>0.9</v>
      </c>
      <c r="AB734" s="241" t="e">
        <f t="shared" ca="1" si="689"/>
        <v>#N/A</v>
      </c>
      <c r="AC734" s="243" t="e">
        <f ca="1">IF(AND(INDEX(FlowCalConstA,MATCH(Z719,FlowCalNumber,0),1,1)*AB734^INDEX(FlowCalConstB,MATCH(Z719,FlowCalNumber,0),1,1)&gt;INDEX(FlowCalLowSetting,MATCH(Z719,FlowCalNumber,0),1,1), (INDEX(FlowCalConstA,MATCH(Z719,FlowCalNumber,0),1,1)*AB734^INDEX(FlowCalConstB,MATCH(Z719,FlowCalNumber,0),1,1)&lt;INDEX(FlowCalHighSetting,MATCH(Z719,FlowCalNumber,0),1,1))),INDEX(FlowCalConstA,MATCH(Z719,FlowCalNumber,0),1,1)*AB734^INDEX(FlowCalConstB,MATCH(Z719,FlowCalNumber,0),1,1)," ")</f>
        <v>#N/A</v>
      </c>
      <c r="AD734" s="33"/>
      <c r="AE734" s="242">
        <f t="shared" si="690"/>
        <v>0.1</v>
      </c>
      <c r="AF734" s="241" t="e">
        <f t="shared" ca="1" si="691"/>
        <v>#N/A</v>
      </c>
      <c r="AG734" s="243" t="e">
        <f ca="1">IF(AND(INDEX(FlowCalConstA,MATCH(AD719,FlowCalNumber,0),1,1)*AF734^INDEX(FlowCalConstB,MATCH(AD719,FlowCalNumber,0),1,1)&gt;INDEX(FlowCalLowSetting,MATCH(AD719,FlowCalNumber,0),1,1), (INDEX(FlowCalConstA,MATCH(AD719,FlowCalNumber,0),1,1)*AF734^INDEX(FlowCalConstB,MATCH(AD719,FlowCalNumber,0),1,1)&lt;INDEX(FlowCalHighSetting,MATCH(AD719,FlowCalNumber,0),1,1))),INDEX(FlowCalConstA,MATCH(AD719,FlowCalNumber,0),1,1)*AF734^INDEX(FlowCalConstB,MATCH(AD719,FlowCalNumber,0),1,1)," ")</f>
        <v>#N/A</v>
      </c>
      <c r="AH734" s="33"/>
      <c r="AI734" s="242">
        <f t="shared" si="692"/>
        <v>0.9</v>
      </c>
      <c r="AJ734" s="241" t="e">
        <f t="shared" ca="1" si="693"/>
        <v>#N/A</v>
      </c>
      <c r="AK734" s="243" t="e">
        <f ca="1">IF(AND(INDEX(FlowCalConstA,MATCH(AH719,FlowCalNumber,0),1,1)*AJ734^INDEX(FlowCalConstB,MATCH(AH719,FlowCalNumber,0),1,1)&gt;INDEX(FlowCalLowSetting,MATCH(AH719,FlowCalNumber,0),1,1), (INDEX(FlowCalConstA,MATCH(AH719,FlowCalNumber,0),1,1)*AJ734^INDEX(FlowCalConstB,MATCH(AH719,FlowCalNumber,0),1,1)&lt;INDEX(FlowCalHighSetting,MATCH(AH719,FlowCalNumber,0),1,1))),INDEX(FlowCalConstA,MATCH(AH719,FlowCalNumber,0),1,1)*AJ734^INDEX(FlowCalConstB,MATCH(AH719,FlowCalNumber,0),1,1)," ")</f>
        <v>#N/A</v>
      </c>
      <c r="AL734" s="33"/>
      <c r="AM734" s="242"/>
      <c r="AN734" s="241"/>
      <c r="AO734" s="244"/>
      <c r="AQ734" s="242"/>
      <c r="AR734" s="241"/>
      <c r="AS734" s="244"/>
      <c r="AT734" s="33"/>
      <c r="AU734" s="242"/>
      <c r="AV734" s="241"/>
      <c r="AW734" s="244"/>
      <c r="AX734" s="33"/>
      <c r="AY734" s="242"/>
      <c r="AZ734" s="241"/>
      <c r="BA734" s="244"/>
      <c r="BB734" s="33"/>
      <c r="BC734" s="242"/>
      <c r="BD734" s="241"/>
      <c r="BE734" s="244"/>
      <c r="BF734" s="33"/>
      <c r="BG734" s="242"/>
      <c r="BH734" s="241"/>
      <c r="BI734" s="244"/>
      <c r="BJ734" s="33"/>
      <c r="BK734" s="242"/>
      <c r="BL734" s="241"/>
      <c r="BM734" s="244"/>
      <c r="BN734" s="33"/>
      <c r="BO734" s="242"/>
      <c r="BP734" s="241"/>
      <c r="BQ734" s="244"/>
      <c r="BR734" s="33"/>
      <c r="BS734" s="242"/>
      <c r="BT734" s="241"/>
      <c r="BU734" s="244"/>
      <c r="BV734" s="33"/>
      <c r="BW734" s="242"/>
      <c r="BX734" s="241"/>
      <c r="BY734" s="244"/>
      <c r="BZ734" s="33"/>
      <c r="CA734" s="242"/>
      <c r="CB734" s="241"/>
      <c r="CC734" s="244"/>
      <c r="CD734" s="243"/>
      <c r="CE734" s="243"/>
      <c r="CF734" s="243"/>
      <c r="CG734" s="243"/>
      <c r="CH734" s="243"/>
      <c r="CI734" s="243"/>
      <c r="CJ734" s="243"/>
      <c r="CK734" s="243"/>
      <c r="CL734" s="243"/>
      <c r="CM734" s="243"/>
      <c r="CN734" s="243"/>
      <c r="CO734" s="243"/>
      <c r="CP734" s="243"/>
      <c r="CQ734" s="243"/>
      <c r="CR734" s="243"/>
      <c r="CS734" s="243"/>
      <c r="CT734" s="243"/>
      <c r="CU734" s="243"/>
      <c r="CV734" s="243"/>
      <c r="CW734" s="243"/>
      <c r="CX734" s="243"/>
      <c r="CY734" s="243"/>
      <c r="CZ734" s="243"/>
      <c r="DA734" s="243"/>
      <c r="DB734" s="243"/>
      <c r="DC734" s="243"/>
      <c r="DD734" s="243"/>
      <c r="DE734" s="243"/>
      <c r="DF734" s="243"/>
      <c r="DG734" s="243"/>
      <c r="DH734" s="243"/>
      <c r="DI734" s="243"/>
      <c r="DJ734" s="243"/>
      <c r="DK734" s="243"/>
      <c r="DM734" s="242"/>
      <c r="DO734" s="243"/>
      <c r="DQ734" s="242"/>
      <c r="DS734" s="243"/>
      <c r="DU734" s="242"/>
      <c r="DW734" s="243"/>
      <c r="DY734" s="242"/>
      <c r="EA734" s="243"/>
    </row>
    <row r="735" spans="1:131">
      <c r="A735" s="33"/>
      <c r="B735" s="33"/>
      <c r="C735" s="235"/>
      <c r="E735" s="90"/>
      <c r="F735" s="90"/>
      <c r="G735" s="33"/>
      <c r="J735" s="33"/>
      <c r="N735" s="33"/>
      <c r="Q735" s="243"/>
      <c r="R735" s="33"/>
      <c r="U735" s="244"/>
      <c r="V735" s="33"/>
      <c r="Y735" s="243"/>
      <c r="Z735" s="33"/>
      <c r="AC735" s="243"/>
      <c r="AD735" s="33"/>
      <c r="AG735" s="243"/>
      <c r="AH735" s="33"/>
      <c r="AK735" s="244"/>
      <c r="AL735" s="792"/>
      <c r="AM735" s="243"/>
      <c r="AN735" s="243"/>
      <c r="AO735" s="244"/>
      <c r="AP735" s="243"/>
      <c r="AQ735" s="243"/>
      <c r="AR735" s="243"/>
      <c r="AS735" s="244"/>
      <c r="AT735" s="243"/>
      <c r="AU735" s="243"/>
      <c r="AV735" s="243"/>
      <c r="AW735" s="244"/>
      <c r="AX735" s="243"/>
      <c r="AY735" s="243"/>
      <c r="AZ735" s="243"/>
      <c r="BA735" s="244"/>
      <c r="BB735" s="33"/>
      <c r="BE735" s="244"/>
      <c r="BF735" s="33"/>
      <c r="BI735" s="244"/>
      <c r="BJ735" s="33"/>
      <c r="BM735" s="244"/>
      <c r="BN735" s="243"/>
      <c r="BO735" s="243"/>
      <c r="BP735" s="243"/>
      <c r="BQ735" s="244"/>
      <c r="BR735" s="792"/>
      <c r="BS735" s="243"/>
      <c r="BT735" s="243"/>
      <c r="BU735" s="244"/>
      <c r="BV735" s="792"/>
      <c r="BW735" s="243"/>
      <c r="BX735" s="243"/>
      <c r="BY735" s="244"/>
      <c r="BZ735" s="792"/>
      <c r="CA735" s="243"/>
      <c r="CB735" s="243"/>
      <c r="CC735" s="244"/>
      <c r="CD735" s="243"/>
      <c r="CE735" s="243"/>
      <c r="CF735" s="243"/>
      <c r="CG735" s="243"/>
      <c r="CH735" s="243"/>
      <c r="CI735" s="243"/>
      <c r="CJ735" s="243"/>
      <c r="CK735" s="243"/>
      <c r="CL735" s="243"/>
      <c r="CM735" s="243"/>
      <c r="CN735" s="243"/>
      <c r="CO735" s="243"/>
      <c r="CP735" s="243"/>
      <c r="CQ735" s="243"/>
      <c r="CR735" s="243"/>
      <c r="CS735" s="243"/>
      <c r="CT735" s="243"/>
      <c r="CU735" s="243"/>
      <c r="CV735" s="243"/>
      <c r="CW735" s="243"/>
      <c r="CX735" s="243"/>
      <c r="CY735" s="243"/>
      <c r="CZ735" s="243"/>
      <c r="DA735" s="243"/>
      <c r="DB735" s="243"/>
      <c r="DC735" s="243"/>
      <c r="DD735" s="243"/>
      <c r="DE735" s="243"/>
      <c r="DF735" s="243"/>
      <c r="DG735" s="243"/>
      <c r="DH735" s="243"/>
      <c r="DI735" s="243"/>
      <c r="DJ735" s="243"/>
      <c r="DK735" s="243"/>
      <c r="DO735" s="243"/>
      <c r="DS735" s="243"/>
      <c r="DW735" s="243"/>
      <c r="EA735" s="243"/>
    </row>
    <row r="736" spans="1:131">
      <c r="A736" s="256" t="str">
        <f>IF((RIGHT(A719,1))&lt;&gt;"Z",CHAR(CODE(A719))&amp;CHAR(CODE(RIGHT(A719,1))+1),CHAR(CODE(A719)+1)&amp;"A")</f>
        <v>BQ</v>
      </c>
      <c r="B736" s="270" t="e">
        <f>INDEX(SourceID,MATCH($A736,SourceNumber,0),1,1)</f>
        <v>#N/A</v>
      </c>
      <c r="C736" s="354" t="e">
        <f>INDEX(SourceExitDiameter,MATCH($A736,SourceNumber,0),1,1)*3.28*12</f>
        <v>#N/A</v>
      </c>
      <c r="D736" s="24" t="str">
        <f>UAnem1percent</f>
        <v>1% Wind</v>
      </c>
      <c r="E736" s="350" t="e">
        <f ca="1">INDIRECT(ADDRESS(53,6,1,,CONCATENATE("TA",$A736)))</f>
        <v>#REF!</v>
      </c>
      <c r="F736" s="625" t="e">
        <f ca="1">(ROUND((INDIRECT(ADDRESS(15,7,1,,CONCATENATE("TA",$A736)))*3.28*12*32),0)&amp;"/32")</f>
        <v>#REF!</v>
      </c>
      <c r="G736" s="125" t="e">
        <f ca="1">INDIRECT(ADDRESS(29,7,1,,$A736))</f>
        <v>#N/A</v>
      </c>
      <c r="H736" s="24" t="e">
        <f ca="1">INDIRECT(ADDRESS(19,7,1,,$A736))*100^3</f>
        <v>#N/A</v>
      </c>
      <c r="I736" s="941" t="e">
        <f ca="1">INDIRECT(ADDRESS(53,7,1,,$A736))</f>
        <v>#N/A</v>
      </c>
      <c r="J736" s="20" t="e">
        <f ca="1">IF($I736=$I$6,K$16&amp;$G$6&amp;J$6,IF($I736=$I$7,K$16&amp;$G$7&amp;J$7,"Bad"))</f>
        <v>#N/A</v>
      </c>
      <c r="K736" t="e">
        <f ca="1">INDEX(FlowCalGasMixture,MATCH(J736,FlowCalNumber,0),1,1)</f>
        <v>#N/A</v>
      </c>
      <c r="M736" s="944" t="e">
        <f ca="1">INDEX(FlowCalDevice,MATCH(J736,FlowCalNumber,0),1,1)</f>
        <v>#N/A</v>
      </c>
      <c r="N736" s="943" t="e">
        <f ca="1">IF($I736=$I$6,O$16&amp;$G$6&amp;"90"&amp;$H$6&amp;N$6,IF($I736=$I$7,O$16&amp;$G$7&amp;"90"&amp;$H$7&amp;N$7,"Bad"))</f>
        <v>#N/A</v>
      </c>
      <c r="O736" t="e">
        <f ca="1">INDEX(FlowCalGasMixture,MATCH(N736,FlowCalNumber,0),1,1)</f>
        <v>#N/A</v>
      </c>
      <c r="Q736" s="944" t="e">
        <f ca="1">INDEX(FlowCalDevice,MATCH(N736,FlowCalNumber,0),1,1)</f>
        <v>#N/A</v>
      </c>
      <c r="R736" s="943" t="e">
        <f ca="1">IF($I736=$I$6,S$16&amp;$G$6&amp;"90"&amp;$H$6&amp;R$6,IF($I736=$I$7,S$16&amp;$G$7&amp;"90"&amp;$H$7&amp;R$7,"Bad"))</f>
        <v>#N/A</v>
      </c>
      <c r="S736" t="e">
        <f ca="1">INDEX(FlowCalGasMixture,MATCH(R736,FlowCalNumber,0),1,1)</f>
        <v>#N/A</v>
      </c>
      <c r="U736" s="944" t="e">
        <f ca="1">INDEX(FlowCalDevice,MATCH(R736,FlowCalNumber,0),1,1)</f>
        <v>#N/A</v>
      </c>
      <c r="V736" s="20" t="e">
        <f ca="1">IF($I736=$I$6,W$16&amp;$G$6&amp;V$6,IF($I736=$I$7,W$16&amp;$G$7&amp;V$7,"Bad"))</f>
        <v>#N/A</v>
      </c>
      <c r="W736" t="e">
        <f ca="1">INDEX(FlowCalGasMixture,MATCH(V736,FlowCalNumber,0),1,1)</f>
        <v>#N/A</v>
      </c>
      <c r="Y736" s="944" t="e">
        <f ca="1">INDEX(FlowCalDevice,MATCH(V736,FlowCalNumber,0),1,1)</f>
        <v>#N/A</v>
      </c>
      <c r="Z736" s="946" t="e">
        <f ca="1">IF($I736=$I$6,AA$18&amp;$H$6&amp;Z$6,IF($I736=$I$7,AA$18&amp;$H$7&amp;Z$7,"Bad"))</f>
        <v>#N/A</v>
      </c>
      <c r="AA736" t="e">
        <f ca="1">INDEX(FlowCalGasMixture,MATCH(Z736,FlowCalNumber,0),1,1)</f>
        <v>#N/A</v>
      </c>
      <c r="AC736" s="944" t="e">
        <f ca="1">INDEX(FlowCalDevice,MATCH(Z736,FlowCalNumber,0),1,1)</f>
        <v>#N/A</v>
      </c>
      <c r="AD736" s="20" t="e">
        <f ca="1">IF($I736=$I$6,AE$16&amp;$G$6&amp;AD$6,IF($I736=$I$7,AE$16&amp;$G$7&amp;AD$7,"Bad"))</f>
        <v>#N/A</v>
      </c>
      <c r="AE736" t="e">
        <f ca="1">INDEX(FlowCalGasMixture,MATCH(AD736,FlowCalNumber,0),1,1)</f>
        <v>#N/A</v>
      </c>
      <c r="AG736" s="944" t="e">
        <f ca="1">INDEX(FlowCalDevice,MATCH(AD736,FlowCalNumber,0),1,1)</f>
        <v>#N/A</v>
      </c>
      <c r="AH736" s="946" t="e">
        <f ca="1">IF($I736=$I$6,AI$18&amp;$H$6&amp;AH$6,IF($I736=$I$7,AI$18&amp;$H$7&amp;AH$7,"Bad"))</f>
        <v>#N/A</v>
      </c>
      <c r="AI736" t="e">
        <f ca="1">INDEX(FlowCalGasMixture,MATCH(AH736,FlowCalNumber,0),1,1)</f>
        <v>#N/A</v>
      </c>
      <c r="AK736" s="944" t="e">
        <f ca="1">INDEX(FlowCalDevice,MATCH(AH736,FlowCalNumber,0),1,1)</f>
        <v>#N/A</v>
      </c>
      <c r="AL736" s="20"/>
      <c r="AO736" s="982"/>
      <c r="AP736" s="960"/>
      <c r="AS736" s="982"/>
      <c r="AT736" s="20"/>
      <c r="AW736" s="982"/>
      <c r="AX736" s="946"/>
      <c r="BA736" s="982"/>
      <c r="BB736" s="20"/>
      <c r="BC736" s="16"/>
      <c r="BE736" s="982"/>
      <c r="BF736" s="946"/>
      <c r="BG736" s="16"/>
      <c r="BI736" s="982"/>
      <c r="BJ736" s="946"/>
      <c r="BK736" s="16"/>
      <c r="BM736" s="982"/>
      <c r="BN736" s="20"/>
      <c r="BO736" s="16"/>
      <c r="BQ736" s="982"/>
      <c r="BR736" s="946"/>
      <c r="BS736" s="16"/>
      <c r="BU736" s="982"/>
      <c r="BV736" s="946"/>
      <c r="BW736" s="16"/>
      <c r="BY736" s="982"/>
      <c r="BZ736" s="946"/>
      <c r="CA736" s="16"/>
      <c r="CC736" s="982"/>
      <c r="CD736" s="355"/>
      <c r="CE736" s="355"/>
      <c r="CF736" s="355"/>
      <c r="CG736" s="355"/>
      <c r="CH736" s="355"/>
      <c r="CI736" s="355"/>
      <c r="CJ736" s="355"/>
      <c r="CK736" s="355"/>
      <c r="CL736" s="355"/>
      <c r="CM736" s="355"/>
      <c r="CN736" s="355"/>
      <c r="CO736" s="355"/>
      <c r="CP736" s="355"/>
      <c r="CQ736" s="355"/>
      <c r="CR736" s="355"/>
      <c r="CS736" s="355"/>
      <c r="CT736" s="355"/>
      <c r="CU736" s="355"/>
      <c r="CV736" s="355"/>
      <c r="CW736" s="355"/>
      <c r="CX736" s="355"/>
      <c r="CY736" s="355"/>
      <c r="CZ736" s="355"/>
      <c r="DA736" s="355"/>
      <c r="DB736" s="355"/>
      <c r="DC736" s="355"/>
      <c r="DD736" s="355"/>
      <c r="DE736" s="355"/>
      <c r="DF736" s="355"/>
      <c r="DG736" s="355"/>
      <c r="DH736" s="355"/>
      <c r="DI736" s="355"/>
      <c r="DJ736" s="355"/>
      <c r="DK736" s="355"/>
      <c r="DL736" s="46"/>
      <c r="DM736" s="16"/>
      <c r="DO736" s="355"/>
      <c r="DP736" s="42"/>
      <c r="DQ736" s="16"/>
      <c r="DS736" s="355"/>
      <c r="DT736" s="42"/>
      <c r="DU736" s="16"/>
      <c r="DW736" s="355"/>
      <c r="DX736" s="42"/>
      <c r="DY736" s="16"/>
      <c r="EA736" s="355"/>
    </row>
    <row r="737" spans="1:131">
      <c r="A737" s="20"/>
      <c r="B737" s="124" t="str">
        <f t="shared" ref="B737:B751" si="694">IF(D737=UAnem1percent,"1% Wind","")</f>
        <v/>
      </c>
      <c r="C737" s="235"/>
      <c r="D737" s="24">
        <f>'1% Wind'!$M$82</f>
        <v>27</v>
      </c>
      <c r="E737" s="90"/>
      <c r="F737" s="90"/>
      <c r="G737" s="79" t="e">
        <f ca="1">IF(I736=0.9743,$G736,MAX(G736/D736*D737,2))</f>
        <v>#N/A</v>
      </c>
      <c r="H737" s="121" t="e">
        <f t="shared" ref="H737:H751" ca="1" si="695">H736*(D736/D737)*(G737/G736)</f>
        <v>#N/A</v>
      </c>
      <c r="J737" s="33"/>
      <c r="K737" s="260">
        <f>K$17/100</f>
        <v>1</v>
      </c>
      <c r="L737" s="241" t="e">
        <f ca="1">K737*$H737</f>
        <v>#N/A</v>
      </c>
      <c r="M737" s="243" t="e">
        <f ca="1">IF(AND(INDEX(FlowCalConstA,MATCH(J736,FlowCalNumber,0),1,1)*L737^INDEX(FlowCalConstB,MATCH(J736,FlowCalNumber,0),1,1)&gt;INDEX(FlowCalLowSetting,MATCH(J736,FlowCalNumber,0),1,1), (INDEX(FlowCalConstA,MATCH(J736,FlowCalNumber,0),1,1)*L737^INDEX(FlowCalConstB,MATCH(J736,FlowCalNumber,0),1,1)&lt;INDEX(FlowCalHighSetting,MATCH(J736,FlowCalNumber,0),1,1))),INDEX(FlowCalConstA,MATCH(J736,FlowCalNumber,0),1,1)*L737^INDEX(FlowCalConstB,MATCH(J736,FlowCalNumber,0),1,1)," ")</f>
        <v>#N/A</v>
      </c>
      <c r="N737" s="33"/>
      <c r="O737" s="260">
        <f>O$17/100</f>
        <v>1</v>
      </c>
      <c r="P737" s="241" t="e">
        <f ca="1">O737*$H737</f>
        <v>#N/A</v>
      </c>
      <c r="Q737" s="243" t="e">
        <f ca="1">IF(AND(INDEX(FlowCalConstA,MATCH(N736,FlowCalNumber,0),1,1)*P737^INDEX(FlowCalConstB,MATCH(N736,FlowCalNumber,0),1,1)&gt;INDEX(FlowCalLowSetting,MATCH(N736,FlowCalNumber,0),1,1), (INDEX(FlowCalConstA,MATCH(N736,FlowCalNumber,0),1,1)*P737^INDEX(FlowCalConstB,MATCH(N736,FlowCalNumber,0),1,1)&lt;INDEX(FlowCalHighSetting,MATCH(N736,FlowCalNumber,0),1,1))),INDEX(FlowCalConstA,MATCH(N736,FlowCalNumber,0),1,1)*P737^INDEX(FlowCalConstB,MATCH(N736,FlowCalNumber,0),1,1)," ")</f>
        <v>#N/A</v>
      </c>
      <c r="R737" s="33"/>
      <c r="S737" s="260">
        <f>S$17/100</f>
        <v>1</v>
      </c>
      <c r="T737" s="241" t="e">
        <f ca="1">S737*$H737</f>
        <v>#N/A</v>
      </c>
      <c r="U737" s="244" t="e">
        <f ca="1">IF(AND(INDEX(FlowCalConstA,MATCH(R736,FlowCalNumber,0),1,1)*T737^INDEX(FlowCalConstB,MATCH(R736,FlowCalNumber,0),1,1)&gt;INDEX(FlowCalLowSetting,MATCH(R736,FlowCalNumber,0),1,1), (INDEX(FlowCalConstA,MATCH(R736,FlowCalNumber,0),1,1)*T737^INDEX(FlowCalConstB,MATCH(R736,FlowCalNumber,0),1,1)&lt;INDEX(FlowCalHighSetting,MATCH(R736,FlowCalNumber,0),1,1))),INDEX(FlowCalConstA,MATCH(R736,FlowCalNumber,0),1,1)*T737^INDEX(FlowCalConstB,MATCH(R736,FlowCalNumber,0),1,1)," ")</f>
        <v>#N/A</v>
      </c>
      <c r="V737" s="33"/>
      <c r="W737" s="260">
        <f>W$17/100</f>
        <v>0.1</v>
      </c>
      <c r="X737" s="241" t="e">
        <f ca="1">W737*$H737</f>
        <v>#N/A</v>
      </c>
      <c r="Y737" s="243" t="e">
        <f ca="1">IF(AND(INDEX(FlowCalConstA,MATCH(V736,FlowCalNumber,0),1,1)*X737^INDEX(FlowCalConstB,MATCH(V736,FlowCalNumber,0),1,1)&gt;INDEX(FlowCalLowSetting,MATCH(V736,FlowCalNumber,0),1,1), (INDEX(FlowCalConstA,MATCH(V736,FlowCalNumber,0),1,1)*X737^INDEX(FlowCalConstB,MATCH(V736,FlowCalNumber,0),1,1)&lt;INDEX(FlowCalHighSetting,MATCH(V736,FlowCalNumber,0),1,1))),INDEX(FlowCalConstA,MATCH(V736,FlowCalNumber,0),1,1)*X737^INDEX(FlowCalConstB,MATCH(V736,FlowCalNumber,0),1,1)," ")</f>
        <v>#N/A</v>
      </c>
      <c r="Z737" s="33"/>
      <c r="AA737" s="260">
        <f>AA$17/100</f>
        <v>0.9</v>
      </c>
      <c r="AB737" s="241" t="e">
        <f ca="1">AA737*$H737</f>
        <v>#N/A</v>
      </c>
      <c r="AC737" s="243" t="e">
        <f ca="1">IF(AND(INDEX(FlowCalConstA,MATCH(Z736,FlowCalNumber,0),1,1)*AB737^INDEX(FlowCalConstB,MATCH(Z736,FlowCalNumber,0),1,1)&gt;INDEX(FlowCalLowSetting,MATCH(Z736,FlowCalNumber,0),1,1), (INDEX(FlowCalConstA,MATCH(Z736,FlowCalNumber,0),1,1)*AB737^INDEX(FlowCalConstB,MATCH(Z736,FlowCalNumber,0),1,1)&lt;INDEX(FlowCalHighSetting,MATCH(Z736,FlowCalNumber,0),1,1))),INDEX(FlowCalConstA,MATCH(Z736,FlowCalNumber,0),1,1)*AB737^INDEX(FlowCalConstB,MATCH(Z736,FlowCalNumber,0),1,1)," ")</f>
        <v>#N/A</v>
      </c>
      <c r="AD737" s="33"/>
      <c r="AE737" s="260">
        <f>AE$17/100</f>
        <v>0.1</v>
      </c>
      <c r="AF737" s="241" t="e">
        <f ca="1">AE737*$H737</f>
        <v>#N/A</v>
      </c>
      <c r="AG737" s="243" t="e">
        <f ca="1">IF(AND(INDEX(FlowCalConstA,MATCH(AD736,FlowCalNumber,0),1,1)*AF737^INDEX(FlowCalConstB,MATCH(AD736,FlowCalNumber,0),1,1)&gt;INDEX(FlowCalLowSetting,MATCH(AD736,FlowCalNumber,0),1,1), (INDEX(FlowCalConstA,MATCH(AD736,FlowCalNumber,0),1,1)*AF737^INDEX(FlowCalConstB,MATCH(AD736,FlowCalNumber,0),1,1)&lt;INDEX(FlowCalHighSetting,MATCH(AD736,FlowCalNumber,0),1,1))),INDEX(FlowCalConstA,MATCH(AD736,FlowCalNumber,0),1,1)*AF737^INDEX(FlowCalConstB,MATCH(AD736,FlowCalNumber,0),1,1)," ")</f>
        <v>#N/A</v>
      </c>
      <c r="AH737" s="33"/>
      <c r="AI737" s="260">
        <f>AI$17/100</f>
        <v>0.9</v>
      </c>
      <c r="AJ737" s="241" t="e">
        <f ca="1">AI737*$H737</f>
        <v>#N/A</v>
      </c>
      <c r="AK737" s="243" t="e">
        <f ca="1">IF(AND(INDEX(FlowCalConstA,MATCH(AH736,FlowCalNumber,0),1,1)*AJ737^INDEX(FlowCalConstB,MATCH(AH736,FlowCalNumber,0),1,1)&gt;INDEX(FlowCalLowSetting,MATCH(AH736,FlowCalNumber,0),1,1), (INDEX(FlowCalConstA,MATCH(AH736,FlowCalNumber,0),1,1)*AJ737^INDEX(FlowCalConstB,MATCH(AH736,FlowCalNumber,0),1,1)&lt;INDEX(FlowCalHighSetting,MATCH(AH736,FlowCalNumber,0),1,1))),INDEX(FlowCalConstA,MATCH(AH736,FlowCalNumber,0),1,1)*AJ737^INDEX(FlowCalConstB,MATCH(AH736,FlowCalNumber,0),1,1)," ")</f>
        <v>#N/A</v>
      </c>
      <c r="AL737" s="33"/>
      <c r="AM737" s="260"/>
      <c r="AN737" s="241"/>
      <c r="AO737" s="244"/>
      <c r="AQ737" s="260"/>
      <c r="AR737" s="241"/>
      <c r="AS737" s="244"/>
      <c r="AT737" s="33"/>
      <c r="AU737" s="260"/>
      <c r="AV737" s="241"/>
      <c r="AW737" s="244"/>
      <c r="AX737" s="33"/>
      <c r="AY737" s="260"/>
      <c r="AZ737" s="241"/>
      <c r="BA737" s="244"/>
      <c r="BB737" s="33"/>
      <c r="BC737" s="260"/>
      <c r="BD737" s="241"/>
      <c r="BE737" s="244"/>
      <c r="BF737" s="33"/>
      <c r="BG737" s="260"/>
      <c r="BH737" s="241"/>
      <c r="BI737" s="244"/>
      <c r="BJ737" s="33"/>
      <c r="BK737" s="260"/>
      <c r="BL737" s="241"/>
      <c r="BM737" s="244"/>
      <c r="BN737" s="33"/>
      <c r="BO737" s="260"/>
      <c r="BP737" s="241"/>
      <c r="BQ737" s="244"/>
      <c r="BR737" s="33"/>
      <c r="BS737" s="260"/>
      <c r="BT737" s="241"/>
      <c r="BU737" s="244"/>
      <c r="BV737" s="33"/>
      <c r="BW737" s="260"/>
      <c r="BX737" s="241"/>
      <c r="BY737" s="244"/>
      <c r="BZ737" s="33"/>
      <c r="CA737" s="260"/>
      <c r="CB737" s="241"/>
      <c r="CC737" s="244"/>
      <c r="CD737" s="243"/>
      <c r="CE737" s="243"/>
      <c r="CF737" s="243"/>
      <c r="CG737" s="243"/>
      <c r="CH737" s="243"/>
      <c r="CI737" s="243"/>
      <c r="CJ737" s="243"/>
      <c r="CK737" s="243"/>
      <c r="CL737" s="243"/>
      <c r="CM737" s="243"/>
      <c r="CN737" s="243"/>
      <c r="CO737" s="243"/>
      <c r="CP737" s="243"/>
      <c r="CQ737" s="243"/>
      <c r="CR737" s="243"/>
      <c r="CS737" s="243"/>
      <c r="CT737" s="243"/>
      <c r="CU737" s="243"/>
      <c r="CV737" s="243"/>
      <c r="CW737" s="243"/>
      <c r="CX737" s="243"/>
      <c r="CY737" s="243"/>
      <c r="CZ737" s="243"/>
      <c r="DA737" s="243"/>
      <c r="DB737" s="243"/>
      <c r="DC737" s="243"/>
      <c r="DD737" s="243"/>
      <c r="DE737" s="243"/>
      <c r="DF737" s="243"/>
      <c r="DG737" s="243"/>
      <c r="DH737" s="243"/>
      <c r="DI737" s="243"/>
      <c r="DJ737" s="243"/>
      <c r="DK737" s="243"/>
      <c r="DM737" s="259"/>
      <c r="DO737" s="243"/>
      <c r="DQ737" s="259"/>
      <c r="DS737" s="243"/>
      <c r="DU737" s="259"/>
      <c r="DW737" s="243"/>
      <c r="DY737" s="260"/>
      <c r="EA737" s="243"/>
    </row>
    <row r="738" spans="1:131">
      <c r="A738" s="20"/>
      <c r="B738" s="124" t="str">
        <f t="shared" si="694"/>
        <v/>
      </c>
      <c r="C738" s="235"/>
      <c r="D738" s="24">
        <f>'1% Wind'!$M$83</f>
        <v>23.5</v>
      </c>
      <c r="E738" s="90"/>
      <c r="F738" s="90"/>
      <c r="G738" s="79" t="e">
        <f ca="1">IF(I736=0.9743,$G737,MAX(G737/D737*D738,2))</f>
        <v>#N/A</v>
      </c>
      <c r="H738" s="121" t="e">
        <f t="shared" ca="1" si="695"/>
        <v>#N/A</v>
      </c>
      <c r="J738" s="33"/>
      <c r="K738" s="242">
        <f t="shared" ref="K738:K751" si="696">K737</f>
        <v>1</v>
      </c>
      <c r="L738" s="241" t="e">
        <f t="shared" ref="L738:L751" ca="1" si="697">K738*$H738</f>
        <v>#N/A</v>
      </c>
      <c r="M738" s="243" t="e">
        <f ca="1">IF(AND(INDEX(FlowCalConstA,MATCH(J736,FlowCalNumber,0),1,1)*L738^INDEX(FlowCalConstB,MATCH(J736,FlowCalNumber,0),1,1)&gt;INDEX(FlowCalLowSetting,MATCH(J736,FlowCalNumber,0),1,1), (INDEX(FlowCalConstA,MATCH(J736,FlowCalNumber,0),1,1)*L738^INDEX(FlowCalConstB,MATCH(J736,FlowCalNumber,0),1,1)&lt;INDEX(FlowCalHighSetting,MATCH(J736,FlowCalNumber,0),1,1))),INDEX(FlowCalConstA,MATCH(J736,FlowCalNumber,0),1,1)*L738^INDEX(FlowCalConstB,MATCH(J736,FlowCalNumber,0),1,1)," ")</f>
        <v>#N/A</v>
      </c>
      <c r="N738" s="33"/>
      <c r="O738" s="242">
        <f t="shared" ref="O738:O751" si="698">O737</f>
        <v>1</v>
      </c>
      <c r="P738" s="241" t="e">
        <f t="shared" ref="P738:P751" ca="1" si="699">O738*$H738</f>
        <v>#N/A</v>
      </c>
      <c r="Q738" s="243" t="e">
        <f ca="1">IF(AND(INDEX(FlowCalConstA,MATCH(N736,FlowCalNumber,0),1,1)*P738^INDEX(FlowCalConstB,MATCH(N736,FlowCalNumber,0),1,1)&gt;INDEX(FlowCalLowSetting,MATCH(N736,FlowCalNumber,0),1,1), (INDEX(FlowCalConstA,MATCH(N736,FlowCalNumber,0),1,1)*P738^INDEX(FlowCalConstB,MATCH(N736,FlowCalNumber,0),1,1)&lt;INDEX(FlowCalHighSetting,MATCH(N736,FlowCalNumber,0),1,1))),INDEX(FlowCalConstA,MATCH(N736,FlowCalNumber,0),1,1)*P738^INDEX(FlowCalConstB,MATCH(N736,FlowCalNumber,0),1,1)," ")</f>
        <v>#N/A</v>
      </c>
      <c r="R738" s="33"/>
      <c r="S738" s="242">
        <f t="shared" ref="S738:S751" si="700">S737</f>
        <v>1</v>
      </c>
      <c r="T738" s="241" t="e">
        <f t="shared" ref="T738:T751" ca="1" si="701">S738*$H738</f>
        <v>#N/A</v>
      </c>
      <c r="U738" s="244" t="e">
        <f ca="1">IF(AND(INDEX(FlowCalConstA,MATCH(R736,FlowCalNumber,0),1,1)*T738^INDEX(FlowCalConstB,MATCH(R736,FlowCalNumber,0),1,1)&gt;INDEX(FlowCalLowSetting,MATCH(R736,FlowCalNumber,0),1,1), (INDEX(FlowCalConstA,MATCH(R736,FlowCalNumber,0),1,1)*T738^INDEX(FlowCalConstB,MATCH(R736,FlowCalNumber,0),1,1)&lt;INDEX(FlowCalHighSetting,MATCH(R736,FlowCalNumber,0),1,1))),INDEX(FlowCalConstA,MATCH(R736,FlowCalNumber,0),1,1)*T738^INDEX(FlowCalConstB,MATCH(R736,FlowCalNumber,0),1,1)," ")</f>
        <v>#N/A</v>
      </c>
      <c r="V738" s="33"/>
      <c r="W738" s="242">
        <f t="shared" ref="W738:W751" si="702">W737</f>
        <v>0.1</v>
      </c>
      <c r="X738" s="241" t="e">
        <f t="shared" ref="X738:X751" ca="1" si="703">W738*$H738</f>
        <v>#N/A</v>
      </c>
      <c r="Y738" s="243" t="e">
        <f ca="1">IF(AND(INDEX(FlowCalConstA,MATCH(V736,FlowCalNumber,0),1,1)*X738^INDEX(FlowCalConstB,MATCH(V736,FlowCalNumber,0),1,1)&gt;INDEX(FlowCalLowSetting,MATCH(V736,FlowCalNumber,0),1,1), (INDEX(FlowCalConstA,MATCH(V736,FlowCalNumber,0),1,1)*X738^INDEX(FlowCalConstB,MATCH(V736,FlowCalNumber,0),1,1)&lt;INDEX(FlowCalHighSetting,MATCH(V736,FlowCalNumber,0),1,1))),INDEX(FlowCalConstA,MATCH(V736,FlowCalNumber,0),1,1)*X738^INDEX(FlowCalConstB,MATCH(V736,FlowCalNumber,0),1,1)," ")</f>
        <v>#N/A</v>
      </c>
      <c r="Z738" s="33"/>
      <c r="AA738" s="242">
        <f t="shared" ref="AA738:AA751" si="704">AA737</f>
        <v>0.9</v>
      </c>
      <c r="AB738" s="241" t="e">
        <f t="shared" ref="AB738:AB751" ca="1" si="705">AA738*$H738</f>
        <v>#N/A</v>
      </c>
      <c r="AC738" s="243" t="e">
        <f ca="1">IF(AND(INDEX(FlowCalConstA,MATCH(Z736,FlowCalNumber,0),1,1)*AB738^INDEX(FlowCalConstB,MATCH(Z736,FlowCalNumber,0),1,1)&gt;INDEX(FlowCalLowSetting,MATCH(Z736,FlowCalNumber,0),1,1), (INDEX(FlowCalConstA,MATCH(Z736,FlowCalNumber,0),1,1)*AB738^INDEX(FlowCalConstB,MATCH(Z736,FlowCalNumber,0),1,1)&lt;INDEX(FlowCalHighSetting,MATCH(Z736,FlowCalNumber,0),1,1))),INDEX(FlowCalConstA,MATCH(Z736,FlowCalNumber,0),1,1)*AB738^INDEX(FlowCalConstB,MATCH(Z736,FlowCalNumber,0),1,1)," ")</f>
        <v>#N/A</v>
      </c>
      <c r="AD738" s="33"/>
      <c r="AE738" s="242">
        <f t="shared" ref="AE738:AE751" si="706">AE737</f>
        <v>0.1</v>
      </c>
      <c r="AF738" s="241" t="e">
        <f t="shared" ref="AF738:AF751" ca="1" si="707">AE738*$H738</f>
        <v>#N/A</v>
      </c>
      <c r="AG738" s="243" t="e">
        <f ca="1">IF(AND(INDEX(FlowCalConstA,MATCH(AD736,FlowCalNumber,0),1,1)*AF738^INDEX(FlowCalConstB,MATCH(AD736,FlowCalNumber,0),1,1)&gt;INDEX(FlowCalLowSetting,MATCH(AD736,FlowCalNumber,0),1,1), (INDEX(FlowCalConstA,MATCH(AD736,FlowCalNumber,0),1,1)*AF738^INDEX(FlowCalConstB,MATCH(AD736,FlowCalNumber,0),1,1)&lt;INDEX(FlowCalHighSetting,MATCH(AD736,FlowCalNumber,0),1,1))),INDEX(FlowCalConstA,MATCH(AD736,FlowCalNumber,0),1,1)*AF738^INDEX(FlowCalConstB,MATCH(AD736,FlowCalNumber,0),1,1)," ")</f>
        <v>#N/A</v>
      </c>
      <c r="AH738" s="33"/>
      <c r="AI738" s="242">
        <f t="shared" ref="AI738:AI751" si="708">AI737</f>
        <v>0.9</v>
      </c>
      <c r="AJ738" s="241" t="e">
        <f t="shared" ref="AJ738:AJ751" ca="1" si="709">AI738*$H738</f>
        <v>#N/A</v>
      </c>
      <c r="AK738" s="243" t="e">
        <f ca="1">IF(AND(INDEX(FlowCalConstA,MATCH(AH736,FlowCalNumber,0),1,1)*AJ738^INDEX(FlowCalConstB,MATCH(AH736,FlowCalNumber,0),1,1)&gt;INDEX(FlowCalLowSetting,MATCH(AH736,FlowCalNumber,0),1,1), (INDEX(FlowCalConstA,MATCH(AH736,FlowCalNumber,0),1,1)*AJ738^INDEX(FlowCalConstB,MATCH(AH736,FlowCalNumber,0),1,1)&lt;INDEX(FlowCalHighSetting,MATCH(AH736,FlowCalNumber,0),1,1))),INDEX(FlowCalConstA,MATCH(AH736,FlowCalNumber,0),1,1)*AJ738^INDEX(FlowCalConstB,MATCH(AH736,FlowCalNumber,0),1,1)," ")</f>
        <v>#N/A</v>
      </c>
      <c r="AL738" s="33"/>
      <c r="AM738" s="242"/>
      <c r="AN738" s="241"/>
      <c r="AO738" s="244"/>
      <c r="AQ738" s="242"/>
      <c r="AR738" s="241"/>
      <c r="AS738" s="244"/>
      <c r="AT738" s="33"/>
      <c r="AU738" s="242"/>
      <c r="AV738" s="241"/>
      <c r="AW738" s="244"/>
      <c r="AX738" s="33"/>
      <c r="AY738" s="242"/>
      <c r="AZ738" s="241"/>
      <c r="BA738" s="244"/>
      <c r="BB738" s="33"/>
      <c r="BC738" s="242"/>
      <c r="BD738" s="241"/>
      <c r="BE738" s="244"/>
      <c r="BF738" s="33"/>
      <c r="BG738" s="242"/>
      <c r="BH738" s="241"/>
      <c r="BI738" s="244"/>
      <c r="BJ738" s="33"/>
      <c r="BK738" s="242"/>
      <c r="BL738" s="241"/>
      <c r="BM738" s="244"/>
      <c r="BN738" s="33"/>
      <c r="BO738" s="242"/>
      <c r="BP738" s="241"/>
      <c r="BQ738" s="244"/>
      <c r="BR738" s="33"/>
      <c r="BS738" s="242"/>
      <c r="BT738" s="241"/>
      <c r="BU738" s="244"/>
      <c r="BV738" s="33"/>
      <c r="BW738" s="242"/>
      <c r="BX738" s="241"/>
      <c r="BY738" s="244"/>
      <c r="BZ738" s="33"/>
      <c r="CA738" s="242"/>
      <c r="CB738" s="241"/>
      <c r="CC738" s="244"/>
      <c r="CD738" s="243"/>
      <c r="CE738" s="243"/>
      <c r="CF738" s="243"/>
      <c r="CG738" s="243"/>
      <c r="CH738" s="243"/>
      <c r="CI738" s="243"/>
      <c r="CJ738" s="243"/>
      <c r="CK738" s="243"/>
      <c r="CL738" s="243"/>
      <c r="CM738" s="243"/>
      <c r="CN738" s="243"/>
      <c r="CO738" s="243"/>
      <c r="CP738" s="243"/>
      <c r="CQ738" s="243"/>
      <c r="CR738" s="243"/>
      <c r="CS738" s="243"/>
      <c r="CT738" s="243"/>
      <c r="CU738" s="243"/>
      <c r="CV738" s="243"/>
      <c r="CW738" s="243"/>
      <c r="CX738" s="243"/>
      <c r="CY738" s="243"/>
      <c r="CZ738" s="243"/>
      <c r="DA738" s="243"/>
      <c r="DB738" s="243"/>
      <c r="DC738" s="243"/>
      <c r="DD738" s="243"/>
      <c r="DE738" s="243"/>
      <c r="DF738" s="243"/>
      <c r="DG738" s="243"/>
      <c r="DH738" s="243"/>
      <c r="DI738" s="243"/>
      <c r="DJ738" s="243"/>
      <c r="DK738" s="243"/>
      <c r="DM738" s="242"/>
      <c r="DO738" s="243"/>
      <c r="DQ738" s="242"/>
      <c r="DS738" s="243"/>
      <c r="DU738" s="242"/>
      <c r="DW738" s="243"/>
      <c r="DY738" s="242"/>
      <c r="EA738" s="243"/>
    </row>
    <row r="739" spans="1:131">
      <c r="A739" s="20"/>
      <c r="B739" s="124" t="str">
        <f t="shared" si="694"/>
        <v/>
      </c>
      <c r="C739" s="235"/>
      <c r="D739" s="24">
        <f>'1% Wind'!$M$84</f>
        <v>20.5</v>
      </c>
      <c r="E739" s="90"/>
      <c r="F739" s="90"/>
      <c r="G739" s="79" t="e">
        <f ca="1">IF(I736=0.9743,$G738,MAX(G738/D738*D739,2))</f>
        <v>#N/A</v>
      </c>
      <c r="H739" s="121" t="e">
        <f t="shared" ca="1" si="695"/>
        <v>#N/A</v>
      </c>
      <c r="J739" s="33"/>
      <c r="K739" s="242">
        <f t="shared" si="696"/>
        <v>1</v>
      </c>
      <c r="L739" s="241" t="e">
        <f t="shared" ca="1" si="697"/>
        <v>#N/A</v>
      </c>
      <c r="M739" s="243" t="e">
        <f ca="1">IF(AND(INDEX(FlowCalConstA,MATCH(J736,FlowCalNumber,0),1,1)*L739^INDEX(FlowCalConstB,MATCH(J736,FlowCalNumber,0),1,1)&gt;INDEX(FlowCalLowSetting,MATCH(J736,FlowCalNumber,0),1,1), (INDEX(FlowCalConstA,MATCH(J736,FlowCalNumber,0),1,1)*L739^INDEX(FlowCalConstB,MATCH(J736,FlowCalNumber,0),1,1)&lt;INDEX(FlowCalHighSetting,MATCH(J736,FlowCalNumber,0),1,1))),INDEX(FlowCalConstA,MATCH(J736,FlowCalNumber,0),1,1)*L739^INDEX(FlowCalConstB,MATCH(J736,FlowCalNumber,0),1,1)," ")</f>
        <v>#N/A</v>
      </c>
      <c r="N739" s="33"/>
      <c r="O739" s="242">
        <f t="shared" si="698"/>
        <v>1</v>
      </c>
      <c r="P739" s="241" t="e">
        <f t="shared" ca="1" si="699"/>
        <v>#N/A</v>
      </c>
      <c r="Q739" s="243" t="e">
        <f ca="1">IF(AND(INDEX(FlowCalConstA,MATCH(N736,FlowCalNumber,0),1,1)*P739^INDEX(FlowCalConstB,MATCH(N736,FlowCalNumber,0),1,1)&gt;INDEX(FlowCalLowSetting,MATCH(N736,FlowCalNumber,0),1,1), (INDEX(FlowCalConstA,MATCH(N736,FlowCalNumber,0),1,1)*P739^INDEX(FlowCalConstB,MATCH(N736,FlowCalNumber,0),1,1)&lt;INDEX(FlowCalHighSetting,MATCH(N736,FlowCalNumber,0),1,1))),INDEX(FlowCalConstA,MATCH(N736,FlowCalNumber,0),1,1)*P739^INDEX(FlowCalConstB,MATCH(N736,FlowCalNumber,0),1,1)," ")</f>
        <v>#N/A</v>
      </c>
      <c r="R739" s="33"/>
      <c r="S739" s="242">
        <f t="shared" si="700"/>
        <v>1</v>
      </c>
      <c r="T739" s="241" t="e">
        <f t="shared" ca="1" si="701"/>
        <v>#N/A</v>
      </c>
      <c r="U739" s="244" t="e">
        <f ca="1">IF(AND(INDEX(FlowCalConstA,MATCH(R736,FlowCalNumber,0),1,1)*T739^INDEX(FlowCalConstB,MATCH(R736,FlowCalNumber,0),1,1)&gt;INDEX(FlowCalLowSetting,MATCH(R736,FlowCalNumber,0),1,1), (INDEX(FlowCalConstA,MATCH(R736,FlowCalNumber,0),1,1)*T739^INDEX(FlowCalConstB,MATCH(R736,FlowCalNumber,0),1,1)&lt;INDEX(FlowCalHighSetting,MATCH(R736,FlowCalNumber,0),1,1))),INDEX(FlowCalConstA,MATCH(R736,FlowCalNumber,0),1,1)*T739^INDEX(FlowCalConstB,MATCH(R736,FlowCalNumber,0),1,1)," ")</f>
        <v>#N/A</v>
      </c>
      <c r="V739" s="33"/>
      <c r="W739" s="242">
        <f t="shared" si="702"/>
        <v>0.1</v>
      </c>
      <c r="X739" s="241" t="e">
        <f t="shared" ca="1" si="703"/>
        <v>#N/A</v>
      </c>
      <c r="Y739" s="243" t="e">
        <f ca="1">IF(AND(INDEX(FlowCalConstA,MATCH(V736,FlowCalNumber,0),1,1)*X739^INDEX(FlowCalConstB,MATCH(V736,FlowCalNumber,0),1,1)&gt;INDEX(FlowCalLowSetting,MATCH(V736,FlowCalNumber,0),1,1), (INDEX(FlowCalConstA,MATCH(V736,FlowCalNumber,0),1,1)*X739^INDEX(FlowCalConstB,MATCH(V736,FlowCalNumber,0),1,1)&lt;INDEX(FlowCalHighSetting,MATCH(V736,FlowCalNumber,0),1,1))),INDEX(FlowCalConstA,MATCH(V736,FlowCalNumber,0),1,1)*X739^INDEX(FlowCalConstB,MATCH(V736,FlowCalNumber,0),1,1)," ")</f>
        <v>#N/A</v>
      </c>
      <c r="Z739" s="33"/>
      <c r="AA739" s="242">
        <f t="shared" si="704"/>
        <v>0.9</v>
      </c>
      <c r="AB739" s="241" t="e">
        <f t="shared" ca="1" si="705"/>
        <v>#N/A</v>
      </c>
      <c r="AC739" s="243" t="e">
        <f ca="1">IF(AND(INDEX(FlowCalConstA,MATCH(Z736,FlowCalNumber,0),1,1)*AB739^INDEX(FlowCalConstB,MATCH(Z736,FlowCalNumber,0),1,1)&gt;INDEX(FlowCalLowSetting,MATCH(Z736,FlowCalNumber,0),1,1), (INDEX(FlowCalConstA,MATCH(Z736,FlowCalNumber,0),1,1)*AB739^INDEX(FlowCalConstB,MATCH(Z736,FlowCalNumber,0),1,1)&lt;INDEX(FlowCalHighSetting,MATCH(Z736,FlowCalNumber,0),1,1))),INDEX(FlowCalConstA,MATCH(Z736,FlowCalNumber,0),1,1)*AB739^INDEX(FlowCalConstB,MATCH(Z736,FlowCalNumber,0),1,1)," ")</f>
        <v>#N/A</v>
      </c>
      <c r="AD739" s="33"/>
      <c r="AE739" s="242">
        <f t="shared" si="706"/>
        <v>0.1</v>
      </c>
      <c r="AF739" s="241" t="e">
        <f t="shared" ca="1" si="707"/>
        <v>#N/A</v>
      </c>
      <c r="AG739" s="243" t="e">
        <f ca="1">IF(AND(INDEX(FlowCalConstA,MATCH(AD736,FlowCalNumber,0),1,1)*AF739^INDEX(FlowCalConstB,MATCH(AD736,FlowCalNumber,0),1,1)&gt;INDEX(FlowCalLowSetting,MATCH(AD736,FlowCalNumber,0),1,1), (INDEX(FlowCalConstA,MATCH(AD736,FlowCalNumber,0),1,1)*AF739^INDEX(FlowCalConstB,MATCH(AD736,FlowCalNumber,0),1,1)&lt;INDEX(FlowCalHighSetting,MATCH(AD736,FlowCalNumber,0),1,1))),INDEX(FlowCalConstA,MATCH(AD736,FlowCalNumber,0),1,1)*AF739^INDEX(FlowCalConstB,MATCH(AD736,FlowCalNumber,0),1,1)," ")</f>
        <v>#N/A</v>
      </c>
      <c r="AH739" s="33"/>
      <c r="AI739" s="242">
        <f t="shared" si="708"/>
        <v>0.9</v>
      </c>
      <c r="AJ739" s="241" t="e">
        <f t="shared" ca="1" si="709"/>
        <v>#N/A</v>
      </c>
      <c r="AK739" s="243" t="e">
        <f ca="1">IF(AND(INDEX(FlowCalConstA,MATCH(AH736,FlowCalNumber,0),1,1)*AJ739^INDEX(FlowCalConstB,MATCH(AH736,FlowCalNumber,0),1,1)&gt;INDEX(FlowCalLowSetting,MATCH(AH736,FlowCalNumber,0),1,1), (INDEX(FlowCalConstA,MATCH(AH736,FlowCalNumber,0),1,1)*AJ739^INDEX(FlowCalConstB,MATCH(AH736,FlowCalNumber,0),1,1)&lt;INDEX(FlowCalHighSetting,MATCH(AH736,FlowCalNumber,0),1,1))),INDEX(FlowCalConstA,MATCH(AH736,FlowCalNumber,0),1,1)*AJ739^INDEX(FlowCalConstB,MATCH(AH736,FlowCalNumber,0),1,1)," ")</f>
        <v>#N/A</v>
      </c>
      <c r="AL739" s="33"/>
      <c r="AM739" s="242"/>
      <c r="AN739" s="241"/>
      <c r="AO739" s="244"/>
      <c r="AQ739" s="242"/>
      <c r="AR739" s="241"/>
      <c r="AS739" s="244"/>
      <c r="AT739" s="33"/>
      <c r="AU739" s="242"/>
      <c r="AV739" s="241"/>
      <c r="AW739" s="244"/>
      <c r="AX739" s="33"/>
      <c r="AY739" s="242"/>
      <c r="AZ739" s="241"/>
      <c r="BA739" s="244"/>
      <c r="BB739" s="33"/>
      <c r="BC739" s="242"/>
      <c r="BD739" s="241"/>
      <c r="BE739" s="244"/>
      <c r="BF739" s="33"/>
      <c r="BG739" s="242"/>
      <c r="BH739" s="241"/>
      <c r="BI739" s="244"/>
      <c r="BJ739" s="33"/>
      <c r="BK739" s="242"/>
      <c r="BL739" s="241"/>
      <c r="BM739" s="244"/>
      <c r="BN739" s="33"/>
      <c r="BO739" s="242"/>
      <c r="BP739" s="241"/>
      <c r="BQ739" s="244"/>
      <c r="BR739" s="33"/>
      <c r="BS739" s="242"/>
      <c r="BT739" s="241"/>
      <c r="BU739" s="244"/>
      <c r="BV739" s="33"/>
      <c r="BW739" s="242"/>
      <c r="BX739" s="241"/>
      <c r="BY739" s="244"/>
      <c r="BZ739" s="33"/>
      <c r="CA739" s="242"/>
      <c r="CB739" s="241"/>
      <c r="CC739" s="244"/>
      <c r="CD739" s="243"/>
      <c r="CE739" s="243"/>
      <c r="CF739" s="243"/>
      <c r="CG739" s="243"/>
      <c r="CH739" s="243"/>
      <c r="CI739" s="243"/>
      <c r="CJ739" s="243"/>
      <c r="CK739" s="243"/>
      <c r="CL739" s="243"/>
      <c r="CM739" s="243"/>
      <c r="CN739" s="243"/>
      <c r="CO739" s="243"/>
      <c r="CP739" s="243"/>
      <c r="CQ739" s="243"/>
      <c r="CR739" s="243"/>
      <c r="CS739" s="243"/>
      <c r="CT739" s="243"/>
      <c r="CU739" s="243"/>
      <c r="CV739" s="243"/>
      <c r="CW739" s="243"/>
      <c r="CX739" s="243"/>
      <c r="CY739" s="243"/>
      <c r="CZ739" s="243"/>
      <c r="DA739" s="243"/>
      <c r="DB739" s="243"/>
      <c r="DC739" s="243"/>
      <c r="DD739" s="243"/>
      <c r="DE739" s="243"/>
      <c r="DF739" s="243"/>
      <c r="DG739" s="243"/>
      <c r="DH739" s="243"/>
      <c r="DI739" s="243"/>
      <c r="DJ739" s="243"/>
      <c r="DK739" s="243"/>
      <c r="DM739" s="242"/>
      <c r="DO739" s="243"/>
      <c r="DQ739" s="242"/>
      <c r="DS739" s="243"/>
      <c r="DU739" s="242"/>
      <c r="DW739" s="243"/>
      <c r="DY739" s="242"/>
      <c r="EA739" s="243"/>
    </row>
    <row r="740" spans="1:131">
      <c r="A740" s="20"/>
      <c r="B740" s="124" t="str">
        <f t="shared" si="694"/>
        <v/>
      </c>
      <c r="C740" s="235"/>
      <c r="D740" s="24">
        <f>'1% Wind'!$M$85</f>
        <v>17.8</v>
      </c>
      <c r="E740" s="90"/>
      <c r="F740" s="90"/>
      <c r="G740" s="79" t="e">
        <f ca="1">IF(I736=0.9743,$G739,MAX(G739/D739*D740,2))</f>
        <v>#N/A</v>
      </c>
      <c r="H740" s="121" t="e">
        <f t="shared" ca="1" si="695"/>
        <v>#N/A</v>
      </c>
      <c r="J740" s="33"/>
      <c r="K740" s="242">
        <f t="shared" si="696"/>
        <v>1</v>
      </c>
      <c r="L740" s="241" t="e">
        <f t="shared" ca="1" si="697"/>
        <v>#N/A</v>
      </c>
      <c r="M740" s="243" t="e">
        <f ca="1">IF(AND(INDEX(FlowCalConstA,MATCH(J736,FlowCalNumber,0),1,1)*L740^INDEX(FlowCalConstB,MATCH(J736,FlowCalNumber,0),1,1)&gt;INDEX(FlowCalLowSetting,MATCH(J736,FlowCalNumber,0),1,1), (INDEX(FlowCalConstA,MATCH(J736,FlowCalNumber,0),1,1)*L740^INDEX(FlowCalConstB,MATCH(J736,FlowCalNumber,0),1,1)&lt;INDEX(FlowCalHighSetting,MATCH(J736,FlowCalNumber,0),1,1))),INDEX(FlowCalConstA,MATCH(J736,FlowCalNumber,0),1,1)*L740^INDEX(FlowCalConstB,MATCH(J736,FlowCalNumber,0),1,1)," ")</f>
        <v>#N/A</v>
      </c>
      <c r="N740" s="33"/>
      <c r="O740" s="242">
        <f t="shared" si="698"/>
        <v>1</v>
      </c>
      <c r="P740" s="241" t="e">
        <f t="shared" ca="1" si="699"/>
        <v>#N/A</v>
      </c>
      <c r="Q740" s="243" t="e">
        <f ca="1">IF(AND(INDEX(FlowCalConstA,MATCH(N736,FlowCalNumber,0),1,1)*P740^INDEX(FlowCalConstB,MATCH(N736,FlowCalNumber,0),1,1)&gt;INDEX(FlowCalLowSetting,MATCH(N736,FlowCalNumber,0),1,1), (INDEX(FlowCalConstA,MATCH(N736,FlowCalNumber,0),1,1)*P740^INDEX(FlowCalConstB,MATCH(N736,FlowCalNumber,0),1,1)&lt;INDEX(FlowCalHighSetting,MATCH(N736,FlowCalNumber,0),1,1))),INDEX(FlowCalConstA,MATCH(N736,FlowCalNumber,0),1,1)*P740^INDEX(FlowCalConstB,MATCH(N736,FlowCalNumber,0),1,1)," ")</f>
        <v>#N/A</v>
      </c>
      <c r="R740" s="33"/>
      <c r="S740" s="242">
        <f t="shared" si="700"/>
        <v>1</v>
      </c>
      <c r="T740" s="241" t="e">
        <f t="shared" ca="1" si="701"/>
        <v>#N/A</v>
      </c>
      <c r="U740" s="244" t="e">
        <f ca="1">IF(AND(INDEX(FlowCalConstA,MATCH(R736,FlowCalNumber,0),1,1)*T740^INDEX(FlowCalConstB,MATCH(R736,FlowCalNumber,0),1,1)&gt;INDEX(FlowCalLowSetting,MATCH(R736,FlowCalNumber,0),1,1), (INDEX(FlowCalConstA,MATCH(R736,FlowCalNumber,0),1,1)*T740^INDEX(FlowCalConstB,MATCH(R736,FlowCalNumber,0),1,1)&lt;INDEX(FlowCalHighSetting,MATCH(R736,FlowCalNumber,0),1,1))),INDEX(FlowCalConstA,MATCH(R736,FlowCalNumber,0),1,1)*T740^INDEX(FlowCalConstB,MATCH(R736,FlowCalNumber,0),1,1)," ")</f>
        <v>#N/A</v>
      </c>
      <c r="V740" s="33"/>
      <c r="W740" s="242">
        <f t="shared" si="702"/>
        <v>0.1</v>
      </c>
      <c r="X740" s="241" t="e">
        <f t="shared" ca="1" si="703"/>
        <v>#N/A</v>
      </c>
      <c r="Y740" s="243" t="e">
        <f ca="1">IF(AND(INDEX(FlowCalConstA,MATCH(V736,FlowCalNumber,0),1,1)*X740^INDEX(FlowCalConstB,MATCH(V736,FlowCalNumber,0),1,1)&gt;INDEX(FlowCalLowSetting,MATCH(V736,FlowCalNumber,0),1,1), (INDEX(FlowCalConstA,MATCH(V736,FlowCalNumber,0),1,1)*X740^INDEX(FlowCalConstB,MATCH(V736,FlowCalNumber,0),1,1)&lt;INDEX(FlowCalHighSetting,MATCH(V736,FlowCalNumber,0),1,1))),INDEX(FlowCalConstA,MATCH(V736,FlowCalNumber,0),1,1)*X740^INDEX(FlowCalConstB,MATCH(V736,FlowCalNumber,0),1,1)," ")</f>
        <v>#N/A</v>
      </c>
      <c r="Z740" s="33"/>
      <c r="AA740" s="242">
        <f t="shared" si="704"/>
        <v>0.9</v>
      </c>
      <c r="AB740" s="241" t="e">
        <f t="shared" ca="1" si="705"/>
        <v>#N/A</v>
      </c>
      <c r="AC740" s="243" t="e">
        <f ca="1">IF(AND(INDEX(FlowCalConstA,MATCH(Z736,FlowCalNumber,0),1,1)*AB740^INDEX(FlowCalConstB,MATCH(Z736,FlowCalNumber,0),1,1)&gt;INDEX(FlowCalLowSetting,MATCH(Z736,FlowCalNumber,0),1,1), (INDEX(FlowCalConstA,MATCH(Z736,FlowCalNumber,0),1,1)*AB740^INDEX(FlowCalConstB,MATCH(Z736,FlowCalNumber,0),1,1)&lt;INDEX(FlowCalHighSetting,MATCH(Z736,FlowCalNumber,0),1,1))),INDEX(FlowCalConstA,MATCH(Z736,FlowCalNumber,0),1,1)*AB740^INDEX(FlowCalConstB,MATCH(Z736,FlowCalNumber,0),1,1)," ")</f>
        <v>#N/A</v>
      </c>
      <c r="AD740" s="33"/>
      <c r="AE740" s="242">
        <f t="shared" si="706"/>
        <v>0.1</v>
      </c>
      <c r="AF740" s="241" t="e">
        <f t="shared" ca="1" si="707"/>
        <v>#N/A</v>
      </c>
      <c r="AG740" s="243" t="e">
        <f ca="1">IF(AND(INDEX(FlowCalConstA,MATCH(AD736,FlowCalNumber,0),1,1)*AF740^INDEX(FlowCalConstB,MATCH(AD736,FlowCalNumber,0),1,1)&gt;INDEX(FlowCalLowSetting,MATCH(AD736,FlowCalNumber,0),1,1), (INDEX(FlowCalConstA,MATCH(AD736,FlowCalNumber,0),1,1)*AF740^INDEX(FlowCalConstB,MATCH(AD736,FlowCalNumber,0),1,1)&lt;INDEX(FlowCalHighSetting,MATCH(AD736,FlowCalNumber,0),1,1))),INDEX(FlowCalConstA,MATCH(AD736,FlowCalNumber,0),1,1)*AF740^INDEX(FlowCalConstB,MATCH(AD736,FlowCalNumber,0),1,1)," ")</f>
        <v>#N/A</v>
      </c>
      <c r="AH740" s="33"/>
      <c r="AI740" s="242">
        <f t="shared" si="708"/>
        <v>0.9</v>
      </c>
      <c r="AJ740" s="241" t="e">
        <f t="shared" ca="1" si="709"/>
        <v>#N/A</v>
      </c>
      <c r="AK740" s="243" t="e">
        <f ca="1">IF(AND(INDEX(FlowCalConstA,MATCH(AH736,FlowCalNumber,0),1,1)*AJ740^INDEX(FlowCalConstB,MATCH(AH736,FlowCalNumber,0),1,1)&gt;INDEX(FlowCalLowSetting,MATCH(AH736,FlowCalNumber,0),1,1), (INDEX(FlowCalConstA,MATCH(AH736,FlowCalNumber,0),1,1)*AJ740^INDEX(FlowCalConstB,MATCH(AH736,FlowCalNumber,0),1,1)&lt;INDEX(FlowCalHighSetting,MATCH(AH736,FlowCalNumber,0),1,1))),INDEX(FlowCalConstA,MATCH(AH736,FlowCalNumber,0),1,1)*AJ740^INDEX(FlowCalConstB,MATCH(AH736,FlowCalNumber,0),1,1)," ")</f>
        <v>#N/A</v>
      </c>
      <c r="AL740" s="33"/>
      <c r="AM740" s="242"/>
      <c r="AN740" s="241"/>
      <c r="AO740" s="244"/>
      <c r="AQ740" s="242"/>
      <c r="AR740" s="241"/>
      <c r="AS740" s="244"/>
      <c r="AT740" s="33"/>
      <c r="AU740" s="242"/>
      <c r="AV740" s="241"/>
      <c r="AW740" s="244"/>
      <c r="AX740" s="33"/>
      <c r="AY740" s="242"/>
      <c r="AZ740" s="241"/>
      <c r="BA740" s="244"/>
      <c r="BB740" s="33"/>
      <c r="BC740" s="242"/>
      <c r="BD740" s="241"/>
      <c r="BE740" s="244"/>
      <c r="BF740" s="33"/>
      <c r="BG740" s="242"/>
      <c r="BH740" s="241"/>
      <c r="BI740" s="244"/>
      <c r="BJ740" s="33"/>
      <c r="BK740" s="242"/>
      <c r="BL740" s="241"/>
      <c r="BM740" s="244"/>
      <c r="BN740" s="33"/>
      <c r="BO740" s="242"/>
      <c r="BP740" s="241"/>
      <c r="BQ740" s="244"/>
      <c r="BR740" s="33"/>
      <c r="BS740" s="242"/>
      <c r="BT740" s="241"/>
      <c r="BU740" s="244"/>
      <c r="BV740" s="33"/>
      <c r="BW740" s="242"/>
      <c r="BX740" s="241"/>
      <c r="BY740" s="244"/>
      <c r="BZ740" s="33"/>
      <c r="CA740" s="242"/>
      <c r="CB740" s="241"/>
      <c r="CC740" s="244"/>
      <c r="CD740" s="243"/>
      <c r="CE740" s="243"/>
      <c r="CF740" s="243"/>
      <c r="CG740" s="243"/>
      <c r="CH740" s="243"/>
      <c r="CI740" s="243"/>
      <c r="CJ740" s="243"/>
      <c r="CK740" s="243"/>
      <c r="CL740" s="243"/>
      <c r="CM740" s="243"/>
      <c r="CN740" s="243"/>
      <c r="CO740" s="243"/>
      <c r="CP740" s="243"/>
      <c r="CQ740" s="243"/>
      <c r="CR740" s="243"/>
      <c r="CS740" s="243"/>
      <c r="CT740" s="243"/>
      <c r="CU740" s="243"/>
      <c r="CV740" s="243"/>
      <c r="CW740" s="243"/>
      <c r="CX740" s="243"/>
      <c r="CY740" s="243"/>
      <c r="CZ740" s="243"/>
      <c r="DA740" s="243"/>
      <c r="DB740" s="243"/>
      <c r="DC740" s="243"/>
      <c r="DD740" s="243"/>
      <c r="DE740" s="243"/>
      <c r="DF740" s="243"/>
      <c r="DG740" s="243"/>
      <c r="DH740" s="243"/>
      <c r="DI740" s="243"/>
      <c r="DJ740" s="243"/>
      <c r="DK740" s="243"/>
      <c r="DM740" s="242"/>
      <c r="DO740" s="243"/>
      <c r="DQ740" s="242"/>
      <c r="DS740" s="243"/>
      <c r="DU740" s="242"/>
      <c r="DW740" s="243"/>
      <c r="DY740" s="242"/>
      <c r="EA740" s="243"/>
    </row>
    <row r="741" spans="1:131">
      <c r="A741" s="20"/>
      <c r="B741" s="124" t="str">
        <f t="shared" si="694"/>
        <v/>
      </c>
      <c r="C741" s="235"/>
      <c r="D741" s="24">
        <f>'1% Wind'!$M$86</f>
        <v>15.5</v>
      </c>
      <c r="E741" s="90"/>
      <c r="F741" s="90"/>
      <c r="G741" s="79" t="e">
        <f ca="1">IF(I736=0.9743,$G740,MAX(G740/D740*D741,2))</f>
        <v>#N/A</v>
      </c>
      <c r="H741" s="121" t="e">
        <f t="shared" ca="1" si="695"/>
        <v>#N/A</v>
      </c>
      <c r="J741" s="33"/>
      <c r="K741" s="242">
        <f t="shared" si="696"/>
        <v>1</v>
      </c>
      <c r="L741" s="241" t="e">
        <f t="shared" ca="1" si="697"/>
        <v>#N/A</v>
      </c>
      <c r="M741" s="243" t="e">
        <f ca="1">IF(AND(INDEX(FlowCalConstA,MATCH(J736,FlowCalNumber,0),1,1)*L741^INDEX(FlowCalConstB,MATCH(J736,FlowCalNumber,0),1,1)&gt;INDEX(FlowCalLowSetting,MATCH(J736,FlowCalNumber,0),1,1), (INDEX(FlowCalConstA,MATCH(J736,FlowCalNumber,0),1,1)*L741^INDEX(FlowCalConstB,MATCH(J736,FlowCalNumber,0),1,1)&lt;INDEX(FlowCalHighSetting,MATCH(J736,FlowCalNumber,0),1,1))),INDEX(FlowCalConstA,MATCH(J736,FlowCalNumber,0),1,1)*L741^INDEX(FlowCalConstB,MATCH(J736,FlowCalNumber,0),1,1)," ")</f>
        <v>#N/A</v>
      </c>
      <c r="N741" s="33"/>
      <c r="O741" s="242">
        <f t="shared" si="698"/>
        <v>1</v>
      </c>
      <c r="P741" s="241" t="e">
        <f t="shared" ca="1" si="699"/>
        <v>#N/A</v>
      </c>
      <c r="Q741" s="243" t="e">
        <f ca="1">IF(AND(INDEX(FlowCalConstA,MATCH(N736,FlowCalNumber,0),1,1)*P741^INDEX(FlowCalConstB,MATCH(N736,FlowCalNumber,0),1,1)&gt;INDEX(FlowCalLowSetting,MATCH(N736,FlowCalNumber,0),1,1), (INDEX(FlowCalConstA,MATCH(N736,FlowCalNumber,0),1,1)*P741^INDEX(FlowCalConstB,MATCH(N736,FlowCalNumber,0),1,1)&lt;INDEX(FlowCalHighSetting,MATCH(N736,FlowCalNumber,0),1,1))),INDEX(FlowCalConstA,MATCH(N736,FlowCalNumber,0),1,1)*P741^INDEX(FlowCalConstB,MATCH(N736,FlowCalNumber,0),1,1)," ")</f>
        <v>#N/A</v>
      </c>
      <c r="R741" s="33"/>
      <c r="S741" s="242">
        <f t="shared" si="700"/>
        <v>1</v>
      </c>
      <c r="T741" s="241" t="e">
        <f t="shared" ca="1" si="701"/>
        <v>#N/A</v>
      </c>
      <c r="U741" s="244" t="e">
        <f ca="1">IF(AND(INDEX(FlowCalConstA,MATCH(R736,FlowCalNumber,0),1,1)*T741^INDEX(FlowCalConstB,MATCH(R736,FlowCalNumber,0),1,1)&gt;INDEX(FlowCalLowSetting,MATCH(R736,FlowCalNumber,0),1,1), (INDEX(FlowCalConstA,MATCH(R736,FlowCalNumber,0),1,1)*T741^INDEX(FlowCalConstB,MATCH(R736,FlowCalNumber,0),1,1)&lt;INDEX(FlowCalHighSetting,MATCH(R736,FlowCalNumber,0),1,1))),INDEX(FlowCalConstA,MATCH(R736,FlowCalNumber,0),1,1)*T741^INDEX(FlowCalConstB,MATCH(R736,FlowCalNumber,0),1,1)," ")</f>
        <v>#N/A</v>
      </c>
      <c r="V741" s="33"/>
      <c r="W741" s="242">
        <f t="shared" si="702"/>
        <v>0.1</v>
      </c>
      <c r="X741" s="241" t="e">
        <f t="shared" ca="1" si="703"/>
        <v>#N/A</v>
      </c>
      <c r="Y741" s="243" t="e">
        <f ca="1">IF(AND(INDEX(FlowCalConstA,MATCH(V736,FlowCalNumber,0),1,1)*X741^INDEX(FlowCalConstB,MATCH(V736,FlowCalNumber,0),1,1)&gt;INDEX(FlowCalLowSetting,MATCH(V736,FlowCalNumber,0),1,1), (INDEX(FlowCalConstA,MATCH(V736,FlowCalNumber,0),1,1)*X741^INDEX(FlowCalConstB,MATCH(V736,FlowCalNumber,0),1,1)&lt;INDEX(FlowCalHighSetting,MATCH(V736,FlowCalNumber,0),1,1))),INDEX(FlowCalConstA,MATCH(V736,FlowCalNumber,0),1,1)*X741^INDEX(FlowCalConstB,MATCH(V736,FlowCalNumber,0),1,1)," ")</f>
        <v>#N/A</v>
      </c>
      <c r="Z741" s="33"/>
      <c r="AA741" s="242">
        <f t="shared" si="704"/>
        <v>0.9</v>
      </c>
      <c r="AB741" s="241" t="e">
        <f t="shared" ca="1" si="705"/>
        <v>#N/A</v>
      </c>
      <c r="AC741" s="243" t="e">
        <f ca="1">IF(AND(INDEX(FlowCalConstA,MATCH(Z736,FlowCalNumber,0),1,1)*AB741^INDEX(FlowCalConstB,MATCH(Z736,FlowCalNumber,0),1,1)&gt;INDEX(FlowCalLowSetting,MATCH(Z736,FlowCalNumber,0),1,1), (INDEX(FlowCalConstA,MATCH(Z736,FlowCalNumber,0),1,1)*AB741^INDEX(FlowCalConstB,MATCH(Z736,FlowCalNumber,0),1,1)&lt;INDEX(FlowCalHighSetting,MATCH(Z736,FlowCalNumber,0),1,1))),INDEX(FlowCalConstA,MATCH(Z736,FlowCalNumber,0),1,1)*AB741^INDEX(FlowCalConstB,MATCH(Z736,FlowCalNumber,0),1,1)," ")</f>
        <v>#N/A</v>
      </c>
      <c r="AD741" s="33"/>
      <c r="AE741" s="242">
        <f t="shared" si="706"/>
        <v>0.1</v>
      </c>
      <c r="AF741" s="241" t="e">
        <f t="shared" ca="1" si="707"/>
        <v>#N/A</v>
      </c>
      <c r="AG741" s="243" t="e">
        <f ca="1">IF(AND(INDEX(FlowCalConstA,MATCH(AD736,FlowCalNumber,0),1,1)*AF741^INDEX(FlowCalConstB,MATCH(AD736,FlowCalNumber,0),1,1)&gt;INDEX(FlowCalLowSetting,MATCH(AD736,FlowCalNumber,0),1,1), (INDEX(FlowCalConstA,MATCH(AD736,FlowCalNumber,0),1,1)*AF741^INDEX(FlowCalConstB,MATCH(AD736,FlowCalNumber,0),1,1)&lt;INDEX(FlowCalHighSetting,MATCH(AD736,FlowCalNumber,0),1,1))),INDEX(FlowCalConstA,MATCH(AD736,FlowCalNumber,0),1,1)*AF741^INDEX(FlowCalConstB,MATCH(AD736,FlowCalNumber,0),1,1)," ")</f>
        <v>#N/A</v>
      </c>
      <c r="AH741" s="33"/>
      <c r="AI741" s="242">
        <f t="shared" si="708"/>
        <v>0.9</v>
      </c>
      <c r="AJ741" s="241" t="e">
        <f t="shared" ca="1" si="709"/>
        <v>#N/A</v>
      </c>
      <c r="AK741" s="243" t="e">
        <f ca="1">IF(AND(INDEX(FlowCalConstA,MATCH(AH736,FlowCalNumber,0),1,1)*AJ741^INDEX(FlowCalConstB,MATCH(AH736,FlowCalNumber,0),1,1)&gt;INDEX(FlowCalLowSetting,MATCH(AH736,FlowCalNumber,0),1,1), (INDEX(FlowCalConstA,MATCH(AH736,FlowCalNumber,0),1,1)*AJ741^INDEX(FlowCalConstB,MATCH(AH736,FlowCalNumber,0),1,1)&lt;INDEX(FlowCalHighSetting,MATCH(AH736,FlowCalNumber,0),1,1))),INDEX(FlowCalConstA,MATCH(AH736,FlowCalNumber,0),1,1)*AJ741^INDEX(FlowCalConstB,MATCH(AH736,FlowCalNumber,0),1,1)," ")</f>
        <v>#N/A</v>
      </c>
      <c r="AL741" s="33"/>
      <c r="AM741" s="242"/>
      <c r="AN741" s="241"/>
      <c r="AO741" s="244"/>
      <c r="AQ741" s="242"/>
      <c r="AR741" s="241"/>
      <c r="AS741" s="244"/>
      <c r="AT741" s="33"/>
      <c r="AU741" s="242"/>
      <c r="AV741" s="241"/>
      <c r="AW741" s="244"/>
      <c r="AX741" s="33"/>
      <c r="AY741" s="242"/>
      <c r="AZ741" s="241"/>
      <c r="BA741" s="244"/>
      <c r="BB741" s="33"/>
      <c r="BC741" s="242"/>
      <c r="BD741" s="241"/>
      <c r="BE741" s="244"/>
      <c r="BF741" s="33"/>
      <c r="BG741" s="242"/>
      <c r="BH741" s="241"/>
      <c r="BI741" s="244"/>
      <c r="BJ741" s="33"/>
      <c r="BK741" s="242"/>
      <c r="BL741" s="241"/>
      <c r="BM741" s="244"/>
      <c r="BN741" s="33"/>
      <c r="BO741" s="242"/>
      <c r="BP741" s="241"/>
      <c r="BQ741" s="244"/>
      <c r="BR741" s="33"/>
      <c r="BS741" s="242"/>
      <c r="BT741" s="241"/>
      <c r="BU741" s="244"/>
      <c r="BV741" s="33"/>
      <c r="BW741" s="242"/>
      <c r="BX741" s="241"/>
      <c r="BY741" s="244"/>
      <c r="BZ741" s="33"/>
      <c r="CA741" s="242"/>
      <c r="CB741" s="241"/>
      <c r="CC741" s="244"/>
      <c r="CD741" s="243"/>
      <c r="CE741" s="243"/>
      <c r="CF741" s="243"/>
      <c r="CG741" s="243"/>
      <c r="CH741" s="243"/>
      <c r="CI741" s="243"/>
      <c r="CJ741" s="243"/>
      <c r="CK741" s="243"/>
      <c r="CL741" s="243"/>
      <c r="CM741" s="243"/>
      <c r="CN741" s="243"/>
      <c r="CO741" s="243"/>
      <c r="CP741" s="243"/>
      <c r="CQ741" s="243"/>
      <c r="CR741" s="243"/>
      <c r="CS741" s="243"/>
      <c r="CT741" s="243"/>
      <c r="CU741" s="243"/>
      <c r="CV741" s="243"/>
      <c r="CW741" s="243"/>
      <c r="CX741" s="243"/>
      <c r="CY741" s="243"/>
      <c r="CZ741" s="243"/>
      <c r="DA741" s="243"/>
      <c r="DB741" s="243"/>
      <c r="DC741" s="243"/>
      <c r="DD741" s="243"/>
      <c r="DE741" s="243"/>
      <c r="DF741" s="243"/>
      <c r="DG741" s="243"/>
      <c r="DH741" s="243"/>
      <c r="DI741" s="243"/>
      <c r="DJ741" s="243"/>
      <c r="DK741" s="243"/>
      <c r="DM741" s="242"/>
      <c r="DO741" s="243"/>
      <c r="DQ741" s="242"/>
      <c r="DS741" s="243"/>
      <c r="DU741" s="242"/>
      <c r="DW741" s="243"/>
      <c r="DY741" s="242"/>
      <c r="EA741" s="243"/>
    </row>
    <row r="742" spans="1:131">
      <c r="A742" s="20"/>
      <c r="B742" s="124" t="str">
        <f t="shared" si="694"/>
        <v/>
      </c>
      <c r="C742" s="235"/>
      <c r="D742" s="24">
        <f>'1% Wind'!$M$87</f>
        <v>13.5</v>
      </c>
      <c r="E742" s="90"/>
      <c r="F742" s="90"/>
      <c r="G742" s="79" t="e">
        <f ca="1">IF(I736=0.9743,$G741,MAX(G741/D741*D742,2))</f>
        <v>#N/A</v>
      </c>
      <c r="H742" s="121" t="e">
        <f t="shared" ca="1" si="695"/>
        <v>#N/A</v>
      </c>
      <c r="J742" s="33"/>
      <c r="K742" s="242">
        <f t="shared" si="696"/>
        <v>1</v>
      </c>
      <c r="L742" s="241" t="e">
        <f t="shared" ca="1" si="697"/>
        <v>#N/A</v>
      </c>
      <c r="M742" s="243" t="e">
        <f ca="1">IF(AND(INDEX(FlowCalConstA,MATCH(J736,FlowCalNumber,0),1,1)*L742^INDEX(FlowCalConstB,MATCH(J736,FlowCalNumber,0),1,1)&gt;INDEX(FlowCalLowSetting,MATCH(J736,FlowCalNumber,0),1,1), (INDEX(FlowCalConstA,MATCH(J736,FlowCalNumber,0),1,1)*L742^INDEX(FlowCalConstB,MATCH(J736,FlowCalNumber,0),1,1)&lt;INDEX(FlowCalHighSetting,MATCH(J736,FlowCalNumber,0),1,1))),INDEX(FlowCalConstA,MATCH(J736,FlowCalNumber,0),1,1)*L742^INDEX(FlowCalConstB,MATCH(J736,FlowCalNumber,0),1,1)," ")</f>
        <v>#N/A</v>
      </c>
      <c r="N742" s="33"/>
      <c r="O742" s="242">
        <f t="shared" si="698"/>
        <v>1</v>
      </c>
      <c r="P742" s="241" t="e">
        <f t="shared" ca="1" si="699"/>
        <v>#N/A</v>
      </c>
      <c r="Q742" s="243" t="e">
        <f ca="1">IF(AND(INDEX(FlowCalConstA,MATCH(N736,FlowCalNumber,0),1,1)*P742^INDEX(FlowCalConstB,MATCH(N736,FlowCalNumber,0),1,1)&gt;INDEX(FlowCalLowSetting,MATCH(N736,FlowCalNumber,0),1,1), (INDEX(FlowCalConstA,MATCH(N736,FlowCalNumber,0),1,1)*P742^INDEX(FlowCalConstB,MATCH(N736,FlowCalNumber,0),1,1)&lt;INDEX(FlowCalHighSetting,MATCH(N736,FlowCalNumber,0),1,1))),INDEX(FlowCalConstA,MATCH(N736,FlowCalNumber,0),1,1)*P742^INDEX(FlowCalConstB,MATCH(N736,FlowCalNumber,0),1,1)," ")</f>
        <v>#N/A</v>
      </c>
      <c r="R742" s="33"/>
      <c r="S742" s="242">
        <f t="shared" si="700"/>
        <v>1</v>
      </c>
      <c r="T742" s="241" t="e">
        <f t="shared" ca="1" si="701"/>
        <v>#N/A</v>
      </c>
      <c r="U742" s="244" t="e">
        <f ca="1">IF(AND(INDEX(FlowCalConstA,MATCH(R736,FlowCalNumber,0),1,1)*T742^INDEX(FlowCalConstB,MATCH(R736,FlowCalNumber,0),1,1)&gt;INDEX(FlowCalLowSetting,MATCH(R736,FlowCalNumber,0),1,1), (INDEX(FlowCalConstA,MATCH(R736,FlowCalNumber,0),1,1)*T742^INDEX(FlowCalConstB,MATCH(R736,FlowCalNumber,0),1,1)&lt;INDEX(FlowCalHighSetting,MATCH(R736,FlowCalNumber,0),1,1))),INDEX(FlowCalConstA,MATCH(R736,FlowCalNumber,0),1,1)*T742^INDEX(FlowCalConstB,MATCH(R736,FlowCalNumber,0),1,1)," ")</f>
        <v>#N/A</v>
      </c>
      <c r="V742" s="33"/>
      <c r="W742" s="242">
        <f t="shared" si="702"/>
        <v>0.1</v>
      </c>
      <c r="X742" s="241" t="e">
        <f t="shared" ca="1" si="703"/>
        <v>#N/A</v>
      </c>
      <c r="Y742" s="243" t="e">
        <f ca="1">IF(AND(INDEX(FlowCalConstA,MATCH(V736,FlowCalNumber,0),1,1)*X742^INDEX(FlowCalConstB,MATCH(V736,FlowCalNumber,0),1,1)&gt;INDEX(FlowCalLowSetting,MATCH(V736,FlowCalNumber,0),1,1), (INDEX(FlowCalConstA,MATCH(V736,FlowCalNumber,0),1,1)*X742^INDEX(FlowCalConstB,MATCH(V736,FlowCalNumber,0),1,1)&lt;INDEX(FlowCalHighSetting,MATCH(V736,FlowCalNumber,0),1,1))),INDEX(FlowCalConstA,MATCH(V736,FlowCalNumber,0),1,1)*X742^INDEX(FlowCalConstB,MATCH(V736,FlowCalNumber,0),1,1)," ")</f>
        <v>#N/A</v>
      </c>
      <c r="Z742" s="33"/>
      <c r="AA742" s="242">
        <f t="shared" si="704"/>
        <v>0.9</v>
      </c>
      <c r="AB742" s="241" t="e">
        <f t="shared" ca="1" si="705"/>
        <v>#N/A</v>
      </c>
      <c r="AC742" s="243" t="e">
        <f ca="1">IF(AND(INDEX(FlowCalConstA,MATCH(Z736,FlowCalNumber,0),1,1)*AB742^INDEX(FlowCalConstB,MATCH(Z736,FlowCalNumber,0),1,1)&gt;INDEX(FlowCalLowSetting,MATCH(Z736,FlowCalNumber,0),1,1), (INDEX(FlowCalConstA,MATCH(Z736,FlowCalNumber,0),1,1)*AB742^INDEX(FlowCalConstB,MATCH(Z736,FlowCalNumber,0),1,1)&lt;INDEX(FlowCalHighSetting,MATCH(Z736,FlowCalNumber,0),1,1))),INDEX(FlowCalConstA,MATCH(Z736,FlowCalNumber,0),1,1)*AB742^INDEX(FlowCalConstB,MATCH(Z736,FlowCalNumber,0),1,1)," ")</f>
        <v>#N/A</v>
      </c>
      <c r="AD742" s="33"/>
      <c r="AE742" s="242">
        <f t="shared" si="706"/>
        <v>0.1</v>
      </c>
      <c r="AF742" s="241" t="e">
        <f t="shared" ca="1" si="707"/>
        <v>#N/A</v>
      </c>
      <c r="AG742" s="243" t="e">
        <f ca="1">IF(AND(INDEX(FlowCalConstA,MATCH(AD736,FlowCalNumber,0),1,1)*AF742^INDEX(FlowCalConstB,MATCH(AD736,FlowCalNumber,0),1,1)&gt;INDEX(FlowCalLowSetting,MATCH(AD736,FlowCalNumber,0),1,1), (INDEX(FlowCalConstA,MATCH(AD736,FlowCalNumber,0),1,1)*AF742^INDEX(FlowCalConstB,MATCH(AD736,FlowCalNumber,0),1,1)&lt;INDEX(FlowCalHighSetting,MATCH(AD736,FlowCalNumber,0),1,1))),INDEX(FlowCalConstA,MATCH(AD736,FlowCalNumber,0),1,1)*AF742^INDEX(FlowCalConstB,MATCH(AD736,FlowCalNumber,0),1,1)," ")</f>
        <v>#N/A</v>
      </c>
      <c r="AH742" s="33"/>
      <c r="AI742" s="242">
        <f t="shared" si="708"/>
        <v>0.9</v>
      </c>
      <c r="AJ742" s="241" t="e">
        <f t="shared" ca="1" si="709"/>
        <v>#N/A</v>
      </c>
      <c r="AK742" s="243" t="e">
        <f ca="1">IF(AND(INDEX(FlowCalConstA,MATCH(AH736,FlowCalNumber,0),1,1)*AJ742^INDEX(FlowCalConstB,MATCH(AH736,FlowCalNumber,0),1,1)&gt;INDEX(FlowCalLowSetting,MATCH(AH736,FlowCalNumber,0),1,1), (INDEX(FlowCalConstA,MATCH(AH736,FlowCalNumber,0),1,1)*AJ742^INDEX(FlowCalConstB,MATCH(AH736,FlowCalNumber,0),1,1)&lt;INDEX(FlowCalHighSetting,MATCH(AH736,FlowCalNumber,0),1,1))),INDEX(FlowCalConstA,MATCH(AH736,FlowCalNumber,0),1,1)*AJ742^INDEX(FlowCalConstB,MATCH(AH736,FlowCalNumber,0),1,1)," ")</f>
        <v>#N/A</v>
      </c>
      <c r="AL742" s="33"/>
      <c r="AM742" s="242"/>
      <c r="AN742" s="241"/>
      <c r="AO742" s="244"/>
      <c r="AQ742" s="242"/>
      <c r="AR742" s="241"/>
      <c r="AS742" s="244"/>
      <c r="AT742" s="33"/>
      <c r="AU742" s="242"/>
      <c r="AV742" s="241"/>
      <c r="AW742" s="244"/>
      <c r="AX742" s="33"/>
      <c r="AY742" s="242"/>
      <c r="AZ742" s="241"/>
      <c r="BA742" s="244"/>
      <c r="BB742" s="33"/>
      <c r="BC742" s="242"/>
      <c r="BD742" s="241"/>
      <c r="BE742" s="244"/>
      <c r="BF742" s="33"/>
      <c r="BG742" s="242"/>
      <c r="BH742" s="241"/>
      <c r="BI742" s="244"/>
      <c r="BJ742" s="33"/>
      <c r="BK742" s="242"/>
      <c r="BL742" s="241"/>
      <c r="BM742" s="244"/>
      <c r="BN742" s="33"/>
      <c r="BO742" s="242"/>
      <c r="BP742" s="241"/>
      <c r="BQ742" s="244"/>
      <c r="BR742" s="33"/>
      <c r="BS742" s="242"/>
      <c r="BT742" s="241"/>
      <c r="BU742" s="244"/>
      <c r="BV742" s="33"/>
      <c r="BW742" s="242"/>
      <c r="BX742" s="241"/>
      <c r="BY742" s="244"/>
      <c r="BZ742" s="33"/>
      <c r="CA742" s="242"/>
      <c r="CB742" s="241"/>
      <c r="CC742" s="244"/>
      <c r="CD742" s="243"/>
      <c r="CE742" s="243"/>
      <c r="CF742" s="243"/>
      <c r="CG742" s="243"/>
      <c r="CH742" s="243"/>
      <c r="CI742" s="243"/>
      <c r="CJ742" s="243"/>
      <c r="CK742" s="243"/>
      <c r="CL742" s="243"/>
      <c r="CM742" s="243"/>
      <c r="CN742" s="243"/>
      <c r="CO742" s="243"/>
      <c r="CP742" s="243"/>
      <c r="CQ742" s="243"/>
      <c r="CR742" s="243"/>
      <c r="CS742" s="243"/>
      <c r="CT742" s="243"/>
      <c r="CU742" s="243"/>
      <c r="CV742" s="243"/>
      <c r="CW742" s="243"/>
      <c r="CX742" s="243"/>
      <c r="CY742" s="243"/>
      <c r="CZ742" s="243"/>
      <c r="DA742" s="243"/>
      <c r="DB742" s="243"/>
      <c r="DC742" s="243"/>
      <c r="DD742" s="243"/>
      <c r="DE742" s="243"/>
      <c r="DF742" s="243"/>
      <c r="DG742" s="243"/>
      <c r="DH742" s="243"/>
      <c r="DI742" s="243"/>
      <c r="DJ742" s="243"/>
      <c r="DK742" s="243"/>
      <c r="DM742" s="242"/>
      <c r="DO742" s="243"/>
      <c r="DQ742" s="242"/>
      <c r="DS742" s="243"/>
      <c r="DU742" s="242"/>
      <c r="DW742" s="243"/>
      <c r="DY742" s="242"/>
      <c r="EA742" s="243"/>
    </row>
    <row r="743" spans="1:131">
      <c r="A743" s="20"/>
      <c r="B743" s="124" t="str">
        <f t="shared" si="694"/>
        <v/>
      </c>
      <c r="C743" s="235"/>
      <c r="D743" s="24">
        <f>'1% Wind'!$M$88</f>
        <v>10.1</v>
      </c>
      <c r="E743" s="90"/>
      <c r="F743" s="90"/>
      <c r="G743" s="79" t="e">
        <f ca="1">IF(I736=0.9743,$G742,MAX(G742/D742*D743,2))</f>
        <v>#N/A</v>
      </c>
      <c r="H743" s="121" t="e">
        <f t="shared" ca="1" si="695"/>
        <v>#N/A</v>
      </c>
      <c r="J743" s="33"/>
      <c r="K743" s="242">
        <f t="shared" si="696"/>
        <v>1</v>
      </c>
      <c r="L743" s="241" t="e">
        <f t="shared" ca="1" si="697"/>
        <v>#N/A</v>
      </c>
      <c r="M743" s="243" t="e">
        <f ca="1">IF(AND(INDEX(FlowCalConstA,MATCH(J736,FlowCalNumber,0),1,1)*L743^INDEX(FlowCalConstB,MATCH(J736,FlowCalNumber,0),1,1)&gt;INDEX(FlowCalLowSetting,MATCH(J736,FlowCalNumber,0),1,1), (INDEX(FlowCalConstA,MATCH(J736,FlowCalNumber,0),1,1)*L743^INDEX(FlowCalConstB,MATCH(J736,FlowCalNumber,0),1,1)&lt;INDEX(FlowCalHighSetting,MATCH(J736,FlowCalNumber,0),1,1))),INDEX(FlowCalConstA,MATCH(J736,FlowCalNumber,0),1,1)*L743^INDEX(FlowCalConstB,MATCH(J736,FlowCalNumber,0),1,1)," ")</f>
        <v>#N/A</v>
      </c>
      <c r="N743" s="33"/>
      <c r="O743" s="242">
        <f t="shared" si="698"/>
        <v>1</v>
      </c>
      <c r="P743" s="241" t="e">
        <f t="shared" ca="1" si="699"/>
        <v>#N/A</v>
      </c>
      <c r="Q743" s="243" t="e">
        <f ca="1">IF(AND(INDEX(FlowCalConstA,MATCH(N736,FlowCalNumber,0),1,1)*P743^INDEX(FlowCalConstB,MATCH(N736,FlowCalNumber,0),1,1)&gt;INDEX(FlowCalLowSetting,MATCH(N736,FlowCalNumber,0),1,1), (INDEX(FlowCalConstA,MATCH(N736,FlowCalNumber,0),1,1)*P743^INDEX(FlowCalConstB,MATCH(N736,FlowCalNumber,0),1,1)&lt;INDEX(FlowCalHighSetting,MATCH(N736,FlowCalNumber,0),1,1))),INDEX(FlowCalConstA,MATCH(N736,FlowCalNumber,0),1,1)*P743^INDEX(FlowCalConstB,MATCH(N736,FlowCalNumber,0),1,1)," ")</f>
        <v>#N/A</v>
      </c>
      <c r="R743" s="33"/>
      <c r="S743" s="242">
        <f t="shared" si="700"/>
        <v>1</v>
      </c>
      <c r="T743" s="241" t="e">
        <f t="shared" ca="1" si="701"/>
        <v>#N/A</v>
      </c>
      <c r="U743" s="244" t="e">
        <f ca="1">IF(AND(INDEX(FlowCalConstA,MATCH(R736,FlowCalNumber,0),1,1)*T743^INDEX(FlowCalConstB,MATCH(R736,FlowCalNumber,0),1,1)&gt;INDEX(FlowCalLowSetting,MATCH(R736,FlowCalNumber,0),1,1), (INDEX(FlowCalConstA,MATCH(R736,FlowCalNumber,0),1,1)*T743^INDEX(FlowCalConstB,MATCH(R736,FlowCalNumber,0),1,1)&lt;INDEX(FlowCalHighSetting,MATCH(R736,FlowCalNumber,0),1,1))),INDEX(FlowCalConstA,MATCH(R736,FlowCalNumber,0),1,1)*T743^INDEX(FlowCalConstB,MATCH(R736,FlowCalNumber,0),1,1)," ")</f>
        <v>#N/A</v>
      </c>
      <c r="V743" s="33"/>
      <c r="W743" s="242">
        <f t="shared" si="702"/>
        <v>0.1</v>
      </c>
      <c r="X743" s="241" t="e">
        <f t="shared" ca="1" si="703"/>
        <v>#N/A</v>
      </c>
      <c r="Y743" s="243" t="e">
        <f ca="1">IF(AND(INDEX(FlowCalConstA,MATCH(V736,FlowCalNumber,0),1,1)*X743^INDEX(FlowCalConstB,MATCH(V736,FlowCalNumber,0),1,1)&gt;INDEX(FlowCalLowSetting,MATCH(V736,FlowCalNumber,0),1,1), (INDEX(FlowCalConstA,MATCH(V736,FlowCalNumber,0),1,1)*X743^INDEX(FlowCalConstB,MATCH(V736,FlowCalNumber,0),1,1)&lt;INDEX(FlowCalHighSetting,MATCH(V736,FlowCalNumber,0),1,1))),INDEX(FlowCalConstA,MATCH(V736,FlowCalNumber,0),1,1)*X743^INDEX(FlowCalConstB,MATCH(V736,FlowCalNumber,0),1,1)," ")</f>
        <v>#N/A</v>
      </c>
      <c r="Z743" s="33"/>
      <c r="AA743" s="242">
        <f t="shared" si="704"/>
        <v>0.9</v>
      </c>
      <c r="AB743" s="241" t="e">
        <f t="shared" ca="1" si="705"/>
        <v>#N/A</v>
      </c>
      <c r="AC743" s="243" t="e">
        <f ca="1">IF(AND(INDEX(FlowCalConstA,MATCH(Z736,FlowCalNumber,0),1,1)*AB743^INDEX(FlowCalConstB,MATCH(Z736,FlowCalNumber,0),1,1)&gt;INDEX(FlowCalLowSetting,MATCH(Z736,FlowCalNumber,0),1,1), (INDEX(FlowCalConstA,MATCH(Z736,FlowCalNumber,0),1,1)*AB743^INDEX(FlowCalConstB,MATCH(Z736,FlowCalNumber,0),1,1)&lt;INDEX(FlowCalHighSetting,MATCH(Z736,FlowCalNumber,0),1,1))),INDEX(FlowCalConstA,MATCH(Z736,FlowCalNumber,0),1,1)*AB743^INDEX(FlowCalConstB,MATCH(Z736,FlowCalNumber,0),1,1)," ")</f>
        <v>#N/A</v>
      </c>
      <c r="AD743" s="33"/>
      <c r="AE743" s="242">
        <f t="shared" si="706"/>
        <v>0.1</v>
      </c>
      <c r="AF743" s="241" t="e">
        <f t="shared" ca="1" si="707"/>
        <v>#N/A</v>
      </c>
      <c r="AG743" s="243" t="e">
        <f ca="1">IF(AND(INDEX(FlowCalConstA,MATCH(AD736,FlowCalNumber,0),1,1)*AF743^INDEX(FlowCalConstB,MATCH(AD736,FlowCalNumber,0),1,1)&gt;INDEX(FlowCalLowSetting,MATCH(AD736,FlowCalNumber,0),1,1), (INDEX(FlowCalConstA,MATCH(AD736,FlowCalNumber,0),1,1)*AF743^INDEX(FlowCalConstB,MATCH(AD736,FlowCalNumber,0),1,1)&lt;INDEX(FlowCalHighSetting,MATCH(AD736,FlowCalNumber,0),1,1))),INDEX(FlowCalConstA,MATCH(AD736,FlowCalNumber,0),1,1)*AF743^INDEX(FlowCalConstB,MATCH(AD736,FlowCalNumber,0),1,1)," ")</f>
        <v>#N/A</v>
      </c>
      <c r="AH743" s="33"/>
      <c r="AI743" s="242">
        <f t="shared" si="708"/>
        <v>0.9</v>
      </c>
      <c r="AJ743" s="241" t="e">
        <f t="shared" ca="1" si="709"/>
        <v>#N/A</v>
      </c>
      <c r="AK743" s="243" t="e">
        <f ca="1">IF(AND(INDEX(FlowCalConstA,MATCH(AH736,FlowCalNumber,0),1,1)*AJ743^INDEX(FlowCalConstB,MATCH(AH736,FlowCalNumber,0),1,1)&gt;INDEX(FlowCalLowSetting,MATCH(AH736,FlowCalNumber,0),1,1), (INDEX(FlowCalConstA,MATCH(AH736,FlowCalNumber,0),1,1)*AJ743^INDEX(FlowCalConstB,MATCH(AH736,FlowCalNumber,0),1,1)&lt;INDEX(FlowCalHighSetting,MATCH(AH736,FlowCalNumber,0),1,1))),INDEX(FlowCalConstA,MATCH(AH736,FlowCalNumber,0),1,1)*AJ743^INDEX(FlowCalConstB,MATCH(AH736,FlowCalNumber,0),1,1)," ")</f>
        <v>#N/A</v>
      </c>
      <c r="AL743" s="33"/>
      <c r="AM743" s="242"/>
      <c r="AN743" s="241"/>
      <c r="AO743" s="244"/>
      <c r="AQ743" s="242"/>
      <c r="AR743" s="241"/>
      <c r="AS743" s="244"/>
      <c r="AT743" s="33"/>
      <c r="AU743" s="242"/>
      <c r="AV743" s="241"/>
      <c r="AW743" s="244"/>
      <c r="AX743" s="33"/>
      <c r="AY743" s="242"/>
      <c r="AZ743" s="241"/>
      <c r="BA743" s="244"/>
      <c r="BB743" s="33"/>
      <c r="BC743" s="242"/>
      <c r="BD743" s="241"/>
      <c r="BE743" s="244"/>
      <c r="BF743" s="33"/>
      <c r="BG743" s="242"/>
      <c r="BH743" s="241"/>
      <c r="BI743" s="244"/>
      <c r="BJ743" s="33"/>
      <c r="BK743" s="242"/>
      <c r="BL743" s="241"/>
      <c r="BM743" s="244"/>
      <c r="BN743" s="33"/>
      <c r="BO743" s="242"/>
      <c r="BP743" s="241"/>
      <c r="BQ743" s="244"/>
      <c r="BR743" s="33"/>
      <c r="BS743" s="242"/>
      <c r="BT743" s="241"/>
      <c r="BU743" s="244"/>
      <c r="BV743" s="33"/>
      <c r="BW743" s="242"/>
      <c r="BX743" s="241"/>
      <c r="BY743" s="244"/>
      <c r="BZ743" s="33"/>
      <c r="CA743" s="242"/>
      <c r="CB743" s="241"/>
      <c r="CC743" s="244"/>
      <c r="CD743" s="243"/>
      <c r="CE743" s="243"/>
      <c r="CF743" s="243"/>
      <c r="CG743" s="243"/>
      <c r="CH743" s="243"/>
      <c r="CI743" s="243"/>
      <c r="CJ743" s="243"/>
      <c r="CK743" s="243"/>
      <c r="CL743" s="243"/>
      <c r="CM743" s="243"/>
      <c r="CN743" s="243"/>
      <c r="CO743" s="243"/>
      <c r="CP743" s="243"/>
      <c r="CQ743" s="243"/>
      <c r="CR743" s="243"/>
      <c r="CS743" s="243"/>
      <c r="CT743" s="243"/>
      <c r="CU743" s="243"/>
      <c r="CV743" s="243"/>
      <c r="CW743" s="243"/>
      <c r="CX743" s="243"/>
      <c r="CY743" s="243"/>
      <c r="CZ743" s="243"/>
      <c r="DA743" s="243"/>
      <c r="DB743" s="243"/>
      <c r="DC743" s="243"/>
      <c r="DD743" s="243"/>
      <c r="DE743" s="243"/>
      <c r="DF743" s="243"/>
      <c r="DG743" s="243"/>
      <c r="DH743" s="243"/>
      <c r="DI743" s="243"/>
      <c r="DJ743" s="243"/>
      <c r="DK743" s="243"/>
      <c r="DM743" s="242"/>
      <c r="DO743" s="243"/>
      <c r="DQ743" s="242"/>
      <c r="DS743" s="243"/>
      <c r="DU743" s="242"/>
      <c r="DW743" s="243"/>
      <c r="DY743" s="242"/>
      <c r="EA743" s="243"/>
    </row>
    <row r="744" spans="1:131">
      <c r="A744" s="20"/>
      <c r="B744" s="124" t="str">
        <f t="shared" si="694"/>
        <v/>
      </c>
      <c r="C744" s="235"/>
      <c r="D744" s="24">
        <f>'1% Wind'!$M$89</f>
        <v>7.6</v>
      </c>
      <c r="E744" s="90"/>
      <c r="F744" s="90"/>
      <c r="G744" s="79" t="e">
        <f ca="1">IF(I736=0.9743,$G743,MAX(G743/D743*D744,2))</f>
        <v>#N/A</v>
      </c>
      <c r="H744" s="121" t="e">
        <f t="shared" ca="1" si="695"/>
        <v>#N/A</v>
      </c>
      <c r="J744" s="33"/>
      <c r="K744" s="242">
        <f t="shared" si="696"/>
        <v>1</v>
      </c>
      <c r="L744" s="241" t="e">
        <f t="shared" ca="1" si="697"/>
        <v>#N/A</v>
      </c>
      <c r="M744" s="243" t="e">
        <f ca="1">IF(AND(INDEX(FlowCalConstA,MATCH(J736,FlowCalNumber,0),1,1)*L744^INDEX(FlowCalConstB,MATCH(J736,FlowCalNumber,0),1,1)&gt;INDEX(FlowCalLowSetting,MATCH(J736,FlowCalNumber,0),1,1), (INDEX(FlowCalConstA,MATCH(J736,FlowCalNumber,0),1,1)*L744^INDEX(FlowCalConstB,MATCH(J736,FlowCalNumber,0),1,1)&lt;INDEX(FlowCalHighSetting,MATCH(J736,FlowCalNumber,0),1,1))),INDEX(FlowCalConstA,MATCH(J736,FlowCalNumber,0),1,1)*L744^INDEX(FlowCalConstB,MATCH(J736,FlowCalNumber,0),1,1)," ")</f>
        <v>#N/A</v>
      </c>
      <c r="N744" s="33"/>
      <c r="O744" s="242">
        <f t="shared" si="698"/>
        <v>1</v>
      </c>
      <c r="P744" s="241" t="e">
        <f t="shared" ca="1" si="699"/>
        <v>#N/A</v>
      </c>
      <c r="Q744" s="243" t="e">
        <f ca="1">IF(AND(INDEX(FlowCalConstA,MATCH(N736,FlowCalNumber,0),1,1)*P744^INDEX(FlowCalConstB,MATCH(N736,FlowCalNumber,0),1,1)&gt;INDEX(FlowCalLowSetting,MATCH(N736,FlowCalNumber,0),1,1), (INDEX(FlowCalConstA,MATCH(N736,FlowCalNumber,0),1,1)*P744^INDEX(FlowCalConstB,MATCH(N736,FlowCalNumber,0),1,1)&lt;INDEX(FlowCalHighSetting,MATCH(N736,FlowCalNumber,0),1,1))),INDEX(FlowCalConstA,MATCH(N736,FlowCalNumber,0),1,1)*P744^INDEX(FlowCalConstB,MATCH(N736,FlowCalNumber,0),1,1)," ")</f>
        <v>#N/A</v>
      </c>
      <c r="R744" s="33"/>
      <c r="S744" s="242">
        <f t="shared" si="700"/>
        <v>1</v>
      </c>
      <c r="T744" s="241" t="e">
        <f t="shared" ca="1" si="701"/>
        <v>#N/A</v>
      </c>
      <c r="U744" s="244" t="e">
        <f ca="1">IF(AND(INDEX(FlowCalConstA,MATCH(R736,FlowCalNumber,0),1,1)*T744^INDEX(FlowCalConstB,MATCH(R736,FlowCalNumber,0),1,1)&gt;INDEX(FlowCalLowSetting,MATCH(R736,FlowCalNumber,0),1,1), (INDEX(FlowCalConstA,MATCH(R736,FlowCalNumber,0),1,1)*T744^INDEX(FlowCalConstB,MATCH(R736,FlowCalNumber,0),1,1)&lt;INDEX(FlowCalHighSetting,MATCH(R736,FlowCalNumber,0),1,1))),INDEX(FlowCalConstA,MATCH(R736,FlowCalNumber,0),1,1)*T744^INDEX(FlowCalConstB,MATCH(R736,FlowCalNumber,0),1,1)," ")</f>
        <v>#N/A</v>
      </c>
      <c r="V744" s="33"/>
      <c r="W744" s="242">
        <f t="shared" si="702"/>
        <v>0.1</v>
      </c>
      <c r="X744" s="241" t="e">
        <f t="shared" ca="1" si="703"/>
        <v>#N/A</v>
      </c>
      <c r="Y744" s="243" t="e">
        <f ca="1">IF(AND(INDEX(FlowCalConstA,MATCH(V736,FlowCalNumber,0),1,1)*X744^INDEX(FlowCalConstB,MATCH(V736,FlowCalNumber,0),1,1)&gt;INDEX(FlowCalLowSetting,MATCH(V736,FlowCalNumber,0),1,1), (INDEX(FlowCalConstA,MATCH(V736,FlowCalNumber,0),1,1)*X744^INDEX(FlowCalConstB,MATCH(V736,FlowCalNumber,0),1,1)&lt;INDEX(FlowCalHighSetting,MATCH(V736,FlowCalNumber,0),1,1))),INDEX(FlowCalConstA,MATCH(V736,FlowCalNumber,0),1,1)*X744^INDEX(FlowCalConstB,MATCH(V736,FlowCalNumber,0),1,1)," ")</f>
        <v>#N/A</v>
      </c>
      <c r="Z744" s="33"/>
      <c r="AA744" s="242">
        <f t="shared" si="704"/>
        <v>0.9</v>
      </c>
      <c r="AB744" s="241" t="e">
        <f t="shared" ca="1" si="705"/>
        <v>#N/A</v>
      </c>
      <c r="AC744" s="243" t="e">
        <f ca="1">IF(AND(INDEX(FlowCalConstA,MATCH(Z736,FlowCalNumber,0),1,1)*AB744^INDEX(FlowCalConstB,MATCH(Z736,FlowCalNumber,0),1,1)&gt;INDEX(FlowCalLowSetting,MATCH(Z736,FlowCalNumber,0),1,1), (INDEX(FlowCalConstA,MATCH(Z736,FlowCalNumber,0),1,1)*AB744^INDEX(FlowCalConstB,MATCH(Z736,FlowCalNumber,0),1,1)&lt;INDEX(FlowCalHighSetting,MATCH(Z736,FlowCalNumber,0),1,1))),INDEX(FlowCalConstA,MATCH(Z736,FlowCalNumber,0),1,1)*AB744^INDEX(FlowCalConstB,MATCH(Z736,FlowCalNumber,0),1,1)," ")</f>
        <v>#N/A</v>
      </c>
      <c r="AD744" s="33"/>
      <c r="AE744" s="242">
        <f t="shared" si="706"/>
        <v>0.1</v>
      </c>
      <c r="AF744" s="241" t="e">
        <f t="shared" ca="1" si="707"/>
        <v>#N/A</v>
      </c>
      <c r="AG744" s="243" t="e">
        <f ca="1">IF(AND(INDEX(FlowCalConstA,MATCH(AD736,FlowCalNumber,0),1,1)*AF744^INDEX(FlowCalConstB,MATCH(AD736,FlowCalNumber,0),1,1)&gt;INDEX(FlowCalLowSetting,MATCH(AD736,FlowCalNumber,0),1,1), (INDEX(FlowCalConstA,MATCH(AD736,FlowCalNumber,0),1,1)*AF744^INDEX(FlowCalConstB,MATCH(AD736,FlowCalNumber,0),1,1)&lt;INDEX(FlowCalHighSetting,MATCH(AD736,FlowCalNumber,0),1,1))),INDEX(FlowCalConstA,MATCH(AD736,FlowCalNumber,0),1,1)*AF744^INDEX(FlowCalConstB,MATCH(AD736,FlowCalNumber,0),1,1)," ")</f>
        <v>#N/A</v>
      </c>
      <c r="AH744" s="33"/>
      <c r="AI744" s="242">
        <f t="shared" si="708"/>
        <v>0.9</v>
      </c>
      <c r="AJ744" s="241" t="e">
        <f t="shared" ca="1" si="709"/>
        <v>#N/A</v>
      </c>
      <c r="AK744" s="243" t="e">
        <f ca="1">IF(AND(INDEX(FlowCalConstA,MATCH(AH736,FlowCalNumber,0),1,1)*AJ744^INDEX(FlowCalConstB,MATCH(AH736,FlowCalNumber,0),1,1)&gt;INDEX(FlowCalLowSetting,MATCH(AH736,FlowCalNumber,0),1,1), (INDEX(FlowCalConstA,MATCH(AH736,FlowCalNumber,0),1,1)*AJ744^INDEX(FlowCalConstB,MATCH(AH736,FlowCalNumber,0),1,1)&lt;INDEX(FlowCalHighSetting,MATCH(AH736,FlowCalNumber,0),1,1))),INDEX(FlowCalConstA,MATCH(AH736,FlowCalNumber,0),1,1)*AJ744^INDEX(FlowCalConstB,MATCH(AH736,FlowCalNumber,0),1,1)," ")</f>
        <v>#N/A</v>
      </c>
      <c r="AL744" s="33"/>
      <c r="AM744" s="242"/>
      <c r="AN744" s="241"/>
      <c r="AO744" s="244"/>
      <c r="AQ744" s="242"/>
      <c r="AR744" s="241"/>
      <c r="AS744" s="244"/>
      <c r="AT744" s="33"/>
      <c r="AU744" s="242"/>
      <c r="AV744" s="241"/>
      <c r="AW744" s="244"/>
      <c r="AX744" s="33"/>
      <c r="AY744" s="242"/>
      <c r="AZ744" s="241"/>
      <c r="BA744" s="244"/>
      <c r="BB744" s="33"/>
      <c r="BC744" s="242"/>
      <c r="BD744" s="241"/>
      <c r="BE744" s="244"/>
      <c r="BF744" s="33"/>
      <c r="BG744" s="242"/>
      <c r="BH744" s="241"/>
      <c r="BI744" s="244"/>
      <c r="BJ744" s="33"/>
      <c r="BK744" s="242"/>
      <c r="BL744" s="241"/>
      <c r="BM744" s="244"/>
      <c r="BN744" s="33"/>
      <c r="BO744" s="242"/>
      <c r="BP744" s="241"/>
      <c r="BQ744" s="244"/>
      <c r="BR744" s="33"/>
      <c r="BS744" s="242"/>
      <c r="BT744" s="241"/>
      <c r="BU744" s="244"/>
      <c r="BV744" s="33"/>
      <c r="BW744" s="242"/>
      <c r="BX744" s="241"/>
      <c r="BY744" s="244"/>
      <c r="BZ744" s="33"/>
      <c r="CA744" s="242"/>
      <c r="CB744" s="241"/>
      <c r="CC744" s="244"/>
      <c r="CD744" s="243"/>
      <c r="CE744" s="243"/>
      <c r="CF744" s="243"/>
      <c r="CG744" s="243"/>
      <c r="CH744" s="243"/>
      <c r="CI744" s="243"/>
      <c r="CJ744" s="243"/>
      <c r="CK744" s="243"/>
      <c r="CL744" s="243"/>
      <c r="CM744" s="243"/>
      <c r="CN744" s="243"/>
      <c r="CO744" s="243"/>
      <c r="CP744" s="243"/>
      <c r="CQ744" s="243"/>
      <c r="CR744" s="243"/>
      <c r="CS744" s="243"/>
      <c r="CT744" s="243"/>
      <c r="CU744" s="243"/>
      <c r="CV744" s="243"/>
      <c r="CW744" s="243"/>
      <c r="CX744" s="243"/>
      <c r="CY744" s="243"/>
      <c r="CZ744" s="243"/>
      <c r="DA744" s="243"/>
      <c r="DB744" s="243"/>
      <c r="DC744" s="243"/>
      <c r="DD744" s="243"/>
      <c r="DE744" s="243"/>
      <c r="DF744" s="243"/>
      <c r="DG744" s="243"/>
      <c r="DH744" s="243"/>
      <c r="DI744" s="243"/>
      <c r="DJ744" s="243"/>
      <c r="DK744" s="243"/>
      <c r="DM744" s="242"/>
      <c r="DO744" s="243"/>
      <c r="DQ744" s="242"/>
      <c r="DS744" s="243"/>
      <c r="DU744" s="242"/>
      <c r="DW744" s="243"/>
      <c r="DY744" s="242"/>
      <c r="EA744" s="243"/>
    </row>
    <row r="745" spans="1:131">
      <c r="A745" s="20"/>
      <c r="B745" s="124" t="str">
        <f t="shared" si="694"/>
        <v/>
      </c>
      <c r="C745" s="235"/>
      <c r="D745" s="24">
        <f>'1% Wind'!$M$90</f>
        <v>5.7</v>
      </c>
      <c r="E745" s="90"/>
      <c r="F745" s="90"/>
      <c r="G745" s="79" t="e">
        <f ca="1">IF(I736=0.9743,$G744,MAX(G744/D744*D745,2))</f>
        <v>#N/A</v>
      </c>
      <c r="H745" s="121" t="e">
        <f t="shared" ca="1" si="695"/>
        <v>#N/A</v>
      </c>
      <c r="J745" s="33"/>
      <c r="K745" s="242">
        <f t="shared" si="696"/>
        <v>1</v>
      </c>
      <c r="L745" s="241" t="e">
        <f t="shared" ca="1" si="697"/>
        <v>#N/A</v>
      </c>
      <c r="M745" s="243" t="e">
        <f ca="1">IF(AND(INDEX(FlowCalConstA,MATCH(J736,FlowCalNumber,0),1,1)*L745^INDEX(FlowCalConstB,MATCH(J736,FlowCalNumber,0),1,1)&gt;INDEX(FlowCalLowSetting,MATCH(J736,FlowCalNumber,0),1,1), (INDEX(FlowCalConstA,MATCH(J736,FlowCalNumber,0),1,1)*L745^INDEX(FlowCalConstB,MATCH(J736,FlowCalNumber,0),1,1)&lt;INDEX(FlowCalHighSetting,MATCH(J736,FlowCalNumber,0),1,1))),INDEX(FlowCalConstA,MATCH(J736,FlowCalNumber,0),1,1)*L745^INDEX(FlowCalConstB,MATCH(J736,FlowCalNumber,0),1,1)," ")</f>
        <v>#N/A</v>
      </c>
      <c r="N745" s="33"/>
      <c r="O745" s="242">
        <f t="shared" si="698"/>
        <v>1</v>
      </c>
      <c r="P745" s="241" t="e">
        <f t="shared" ca="1" si="699"/>
        <v>#N/A</v>
      </c>
      <c r="Q745" s="243" t="e">
        <f ca="1">IF(AND(INDEX(FlowCalConstA,MATCH(N736,FlowCalNumber,0),1,1)*P745^INDEX(FlowCalConstB,MATCH(N736,FlowCalNumber,0),1,1)&gt;INDEX(FlowCalLowSetting,MATCH(N736,FlowCalNumber,0),1,1), (INDEX(FlowCalConstA,MATCH(N736,FlowCalNumber,0),1,1)*P745^INDEX(FlowCalConstB,MATCH(N736,FlowCalNumber,0),1,1)&lt;INDEX(FlowCalHighSetting,MATCH(N736,FlowCalNumber,0),1,1))),INDEX(FlowCalConstA,MATCH(N736,FlowCalNumber,0),1,1)*P745^INDEX(FlowCalConstB,MATCH(N736,FlowCalNumber,0),1,1)," ")</f>
        <v>#N/A</v>
      </c>
      <c r="R745" s="33"/>
      <c r="S745" s="242">
        <f t="shared" si="700"/>
        <v>1</v>
      </c>
      <c r="T745" s="241" t="e">
        <f t="shared" ca="1" si="701"/>
        <v>#N/A</v>
      </c>
      <c r="U745" s="244" t="e">
        <f ca="1">IF(AND(INDEX(FlowCalConstA,MATCH(R736,FlowCalNumber,0),1,1)*T745^INDEX(FlowCalConstB,MATCH(R736,FlowCalNumber,0),1,1)&gt;INDEX(FlowCalLowSetting,MATCH(R736,FlowCalNumber,0),1,1), (INDEX(FlowCalConstA,MATCH(R736,FlowCalNumber,0),1,1)*T745^INDEX(FlowCalConstB,MATCH(R736,FlowCalNumber,0),1,1)&lt;INDEX(FlowCalHighSetting,MATCH(R736,FlowCalNumber,0),1,1))),INDEX(FlowCalConstA,MATCH(R736,FlowCalNumber,0),1,1)*T745^INDEX(FlowCalConstB,MATCH(R736,FlowCalNumber,0),1,1)," ")</f>
        <v>#N/A</v>
      </c>
      <c r="V745" s="33"/>
      <c r="W745" s="242">
        <f t="shared" si="702"/>
        <v>0.1</v>
      </c>
      <c r="X745" s="241" t="e">
        <f t="shared" ca="1" si="703"/>
        <v>#N/A</v>
      </c>
      <c r="Y745" s="243" t="e">
        <f ca="1">IF(AND(INDEX(FlowCalConstA,MATCH(V736,FlowCalNumber,0),1,1)*X745^INDEX(FlowCalConstB,MATCH(V736,FlowCalNumber,0),1,1)&gt;INDEX(FlowCalLowSetting,MATCH(V736,FlowCalNumber,0),1,1), (INDEX(FlowCalConstA,MATCH(V736,FlowCalNumber,0),1,1)*X745^INDEX(FlowCalConstB,MATCH(V736,FlowCalNumber,0),1,1)&lt;INDEX(FlowCalHighSetting,MATCH(V736,FlowCalNumber,0),1,1))),INDEX(FlowCalConstA,MATCH(V736,FlowCalNumber,0),1,1)*X745^INDEX(FlowCalConstB,MATCH(V736,FlowCalNumber,0),1,1)," ")</f>
        <v>#N/A</v>
      </c>
      <c r="Z745" s="33"/>
      <c r="AA745" s="242">
        <f t="shared" si="704"/>
        <v>0.9</v>
      </c>
      <c r="AB745" s="241" t="e">
        <f t="shared" ca="1" si="705"/>
        <v>#N/A</v>
      </c>
      <c r="AC745" s="243" t="e">
        <f ca="1">IF(AND(INDEX(FlowCalConstA,MATCH(Z736,FlowCalNumber,0),1,1)*AB745^INDEX(FlowCalConstB,MATCH(Z736,FlowCalNumber,0),1,1)&gt;INDEX(FlowCalLowSetting,MATCH(Z736,FlowCalNumber,0),1,1), (INDEX(FlowCalConstA,MATCH(Z736,FlowCalNumber,0),1,1)*AB745^INDEX(FlowCalConstB,MATCH(Z736,FlowCalNumber,0),1,1)&lt;INDEX(FlowCalHighSetting,MATCH(Z736,FlowCalNumber,0),1,1))),INDEX(FlowCalConstA,MATCH(Z736,FlowCalNumber,0),1,1)*AB745^INDEX(FlowCalConstB,MATCH(Z736,FlowCalNumber,0),1,1)," ")</f>
        <v>#N/A</v>
      </c>
      <c r="AD745" s="33"/>
      <c r="AE745" s="242">
        <f t="shared" si="706"/>
        <v>0.1</v>
      </c>
      <c r="AF745" s="241" t="e">
        <f t="shared" ca="1" si="707"/>
        <v>#N/A</v>
      </c>
      <c r="AG745" s="243" t="e">
        <f ca="1">IF(AND(INDEX(FlowCalConstA,MATCH(AD736,FlowCalNumber,0),1,1)*AF745^INDEX(FlowCalConstB,MATCH(AD736,FlowCalNumber,0),1,1)&gt;INDEX(FlowCalLowSetting,MATCH(AD736,FlowCalNumber,0),1,1), (INDEX(FlowCalConstA,MATCH(AD736,FlowCalNumber,0),1,1)*AF745^INDEX(FlowCalConstB,MATCH(AD736,FlowCalNumber,0),1,1)&lt;INDEX(FlowCalHighSetting,MATCH(AD736,FlowCalNumber,0),1,1))),INDEX(FlowCalConstA,MATCH(AD736,FlowCalNumber,0),1,1)*AF745^INDEX(FlowCalConstB,MATCH(AD736,FlowCalNumber,0),1,1)," ")</f>
        <v>#N/A</v>
      </c>
      <c r="AH745" s="33"/>
      <c r="AI745" s="242">
        <f t="shared" si="708"/>
        <v>0.9</v>
      </c>
      <c r="AJ745" s="241" t="e">
        <f t="shared" ca="1" si="709"/>
        <v>#N/A</v>
      </c>
      <c r="AK745" s="243" t="e">
        <f ca="1">IF(AND(INDEX(FlowCalConstA,MATCH(AH736,FlowCalNumber,0),1,1)*AJ745^INDEX(FlowCalConstB,MATCH(AH736,FlowCalNumber,0),1,1)&gt;INDEX(FlowCalLowSetting,MATCH(AH736,FlowCalNumber,0),1,1), (INDEX(FlowCalConstA,MATCH(AH736,FlowCalNumber,0),1,1)*AJ745^INDEX(FlowCalConstB,MATCH(AH736,FlowCalNumber,0),1,1)&lt;INDEX(FlowCalHighSetting,MATCH(AH736,FlowCalNumber,0),1,1))),INDEX(FlowCalConstA,MATCH(AH736,FlowCalNumber,0),1,1)*AJ745^INDEX(FlowCalConstB,MATCH(AH736,FlowCalNumber,0),1,1)," ")</f>
        <v>#N/A</v>
      </c>
      <c r="AL745" s="33"/>
      <c r="AM745" s="242"/>
      <c r="AN745" s="241"/>
      <c r="AO745" s="244"/>
      <c r="AQ745" s="242"/>
      <c r="AR745" s="241"/>
      <c r="AS745" s="244"/>
      <c r="AT745" s="33"/>
      <c r="AU745" s="242"/>
      <c r="AV745" s="241"/>
      <c r="AW745" s="244"/>
      <c r="AX745" s="33"/>
      <c r="AY745" s="242"/>
      <c r="AZ745" s="241"/>
      <c r="BA745" s="244"/>
      <c r="BB745" s="33"/>
      <c r="BC745" s="242"/>
      <c r="BD745" s="241"/>
      <c r="BE745" s="244"/>
      <c r="BF745" s="33"/>
      <c r="BG745" s="242"/>
      <c r="BH745" s="241"/>
      <c r="BI745" s="244"/>
      <c r="BJ745" s="33"/>
      <c r="BK745" s="242"/>
      <c r="BL745" s="241"/>
      <c r="BM745" s="244"/>
      <c r="BN745" s="33"/>
      <c r="BO745" s="242"/>
      <c r="BP745" s="241"/>
      <c r="BQ745" s="244"/>
      <c r="BR745" s="33"/>
      <c r="BS745" s="242"/>
      <c r="BT745" s="241"/>
      <c r="BU745" s="244"/>
      <c r="BV745" s="33"/>
      <c r="BW745" s="242"/>
      <c r="BX745" s="241"/>
      <c r="BY745" s="244"/>
      <c r="BZ745" s="33"/>
      <c r="CA745" s="242"/>
      <c r="CB745" s="241"/>
      <c r="CC745" s="244"/>
      <c r="CD745" s="243"/>
      <c r="CE745" s="243"/>
      <c r="CF745" s="243"/>
      <c r="CG745" s="243"/>
      <c r="CH745" s="243"/>
      <c r="CI745" s="243"/>
      <c r="CJ745" s="243"/>
      <c r="CK745" s="243"/>
      <c r="CL745" s="243"/>
      <c r="CM745" s="243"/>
      <c r="CN745" s="243"/>
      <c r="CO745" s="243"/>
      <c r="CP745" s="243"/>
      <c r="CQ745" s="243"/>
      <c r="CR745" s="243"/>
      <c r="CS745" s="243"/>
      <c r="CT745" s="243"/>
      <c r="CU745" s="243"/>
      <c r="CV745" s="243"/>
      <c r="CW745" s="243"/>
      <c r="CX745" s="243"/>
      <c r="CY745" s="243"/>
      <c r="CZ745" s="243"/>
      <c r="DA745" s="243"/>
      <c r="DB745" s="243"/>
      <c r="DC745" s="243"/>
      <c r="DD745" s="243"/>
      <c r="DE745" s="243"/>
      <c r="DF745" s="243"/>
      <c r="DG745" s="243"/>
      <c r="DH745" s="243"/>
      <c r="DI745" s="243"/>
      <c r="DJ745" s="243"/>
      <c r="DK745" s="243"/>
      <c r="DM745" s="242"/>
      <c r="DO745" s="243"/>
      <c r="DQ745" s="242"/>
      <c r="DS745" s="243"/>
      <c r="DU745" s="242"/>
      <c r="DW745" s="243"/>
      <c r="DY745" s="242"/>
      <c r="EA745" s="243"/>
    </row>
    <row r="746" spans="1:131">
      <c r="A746" s="20"/>
      <c r="B746" s="124" t="str">
        <f t="shared" si="694"/>
        <v/>
      </c>
      <c r="C746" s="235"/>
      <c r="D746" s="24">
        <f>'1% Wind'!$M$91</f>
        <v>4.2</v>
      </c>
      <c r="E746" s="90"/>
      <c r="F746" s="90"/>
      <c r="G746" s="79" t="e">
        <f ca="1">IF(I736=0.9743,$G745,MAX(G745/D745*D746,2))</f>
        <v>#N/A</v>
      </c>
      <c r="H746" s="121" t="e">
        <f t="shared" ca="1" si="695"/>
        <v>#N/A</v>
      </c>
      <c r="J746" s="33"/>
      <c r="K746" s="242">
        <f t="shared" si="696"/>
        <v>1</v>
      </c>
      <c r="L746" s="241" t="e">
        <f t="shared" ca="1" si="697"/>
        <v>#N/A</v>
      </c>
      <c r="M746" s="243" t="e">
        <f ca="1">IF(AND(INDEX(FlowCalConstA,MATCH(J736,FlowCalNumber,0),1,1)*L746^INDEX(FlowCalConstB,MATCH(J736,FlowCalNumber,0),1,1)&gt;INDEX(FlowCalLowSetting,MATCH(J736,FlowCalNumber,0),1,1), (INDEX(FlowCalConstA,MATCH(J736,FlowCalNumber,0),1,1)*L746^INDEX(FlowCalConstB,MATCH(J736,FlowCalNumber,0),1,1)&lt;INDEX(FlowCalHighSetting,MATCH(J736,FlowCalNumber,0),1,1))),INDEX(FlowCalConstA,MATCH(J736,FlowCalNumber,0),1,1)*L746^INDEX(FlowCalConstB,MATCH(J736,FlowCalNumber,0),1,1)," ")</f>
        <v>#N/A</v>
      </c>
      <c r="N746" s="33"/>
      <c r="O746" s="242">
        <f t="shared" si="698"/>
        <v>1</v>
      </c>
      <c r="P746" s="241" t="e">
        <f t="shared" ca="1" si="699"/>
        <v>#N/A</v>
      </c>
      <c r="Q746" s="243" t="e">
        <f ca="1">IF(AND(INDEX(FlowCalConstA,MATCH(N736,FlowCalNumber,0),1,1)*P746^INDEX(FlowCalConstB,MATCH(N736,FlowCalNumber,0),1,1)&gt;INDEX(FlowCalLowSetting,MATCH(N736,FlowCalNumber,0),1,1), (INDEX(FlowCalConstA,MATCH(N736,FlowCalNumber,0),1,1)*P746^INDEX(FlowCalConstB,MATCH(N736,FlowCalNumber,0),1,1)&lt;INDEX(FlowCalHighSetting,MATCH(N736,FlowCalNumber,0),1,1))),INDEX(FlowCalConstA,MATCH(N736,FlowCalNumber,0),1,1)*P746^INDEX(FlowCalConstB,MATCH(N736,FlowCalNumber,0),1,1)," ")</f>
        <v>#N/A</v>
      </c>
      <c r="R746" s="33"/>
      <c r="S746" s="242">
        <f t="shared" si="700"/>
        <v>1</v>
      </c>
      <c r="T746" s="241" t="e">
        <f t="shared" ca="1" si="701"/>
        <v>#N/A</v>
      </c>
      <c r="U746" s="244" t="e">
        <f ca="1">IF(AND(INDEX(FlowCalConstA,MATCH(R736,FlowCalNumber,0),1,1)*T746^INDEX(FlowCalConstB,MATCH(R736,FlowCalNumber,0),1,1)&gt;INDEX(FlowCalLowSetting,MATCH(R736,FlowCalNumber,0),1,1), (INDEX(FlowCalConstA,MATCH(R736,FlowCalNumber,0),1,1)*T746^INDEX(FlowCalConstB,MATCH(R736,FlowCalNumber,0),1,1)&lt;INDEX(FlowCalHighSetting,MATCH(R736,FlowCalNumber,0),1,1))),INDEX(FlowCalConstA,MATCH(R736,FlowCalNumber,0),1,1)*T746^INDEX(FlowCalConstB,MATCH(R736,FlowCalNumber,0),1,1)," ")</f>
        <v>#N/A</v>
      </c>
      <c r="V746" s="33"/>
      <c r="W746" s="242">
        <f t="shared" si="702"/>
        <v>0.1</v>
      </c>
      <c r="X746" s="241" t="e">
        <f t="shared" ca="1" si="703"/>
        <v>#N/A</v>
      </c>
      <c r="Y746" s="243" t="e">
        <f ca="1">IF(AND(INDEX(FlowCalConstA,MATCH(V736,FlowCalNumber,0),1,1)*X746^INDEX(FlowCalConstB,MATCH(V736,FlowCalNumber,0),1,1)&gt;INDEX(FlowCalLowSetting,MATCH(V736,FlowCalNumber,0),1,1), (INDEX(FlowCalConstA,MATCH(V736,FlowCalNumber,0),1,1)*X746^INDEX(FlowCalConstB,MATCH(V736,FlowCalNumber,0),1,1)&lt;INDEX(FlowCalHighSetting,MATCH(V736,FlowCalNumber,0),1,1))),INDEX(FlowCalConstA,MATCH(V736,FlowCalNumber,0),1,1)*X746^INDEX(FlowCalConstB,MATCH(V736,FlowCalNumber,0),1,1)," ")</f>
        <v>#N/A</v>
      </c>
      <c r="Z746" s="33"/>
      <c r="AA746" s="242">
        <f t="shared" si="704"/>
        <v>0.9</v>
      </c>
      <c r="AB746" s="241" t="e">
        <f t="shared" ca="1" si="705"/>
        <v>#N/A</v>
      </c>
      <c r="AC746" s="243" t="e">
        <f ca="1">IF(AND(INDEX(FlowCalConstA,MATCH(Z736,FlowCalNumber,0),1,1)*AB746^INDEX(FlowCalConstB,MATCH(Z736,FlowCalNumber,0),1,1)&gt;INDEX(FlowCalLowSetting,MATCH(Z736,FlowCalNumber,0),1,1), (INDEX(FlowCalConstA,MATCH(Z736,FlowCalNumber,0),1,1)*AB746^INDEX(FlowCalConstB,MATCH(Z736,FlowCalNumber,0),1,1)&lt;INDEX(FlowCalHighSetting,MATCH(Z736,FlowCalNumber,0),1,1))),INDEX(FlowCalConstA,MATCH(Z736,FlowCalNumber,0),1,1)*AB746^INDEX(FlowCalConstB,MATCH(Z736,FlowCalNumber,0),1,1)," ")</f>
        <v>#N/A</v>
      </c>
      <c r="AD746" s="33"/>
      <c r="AE746" s="242">
        <f t="shared" si="706"/>
        <v>0.1</v>
      </c>
      <c r="AF746" s="241" t="e">
        <f t="shared" ca="1" si="707"/>
        <v>#N/A</v>
      </c>
      <c r="AG746" s="243" t="e">
        <f ca="1">IF(AND(INDEX(FlowCalConstA,MATCH(AD736,FlowCalNumber,0),1,1)*AF746^INDEX(FlowCalConstB,MATCH(AD736,FlowCalNumber,0),1,1)&gt;INDEX(FlowCalLowSetting,MATCH(AD736,FlowCalNumber,0),1,1), (INDEX(FlowCalConstA,MATCH(AD736,FlowCalNumber,0),1,1)*AF746^INDEX(FlowCalConstB,MATCH(AD736,FlowCalNumber,0),1,1)&lt;INDEX(FlowCalHighSetting,MATCH(AD736,FlowCalNumber,0),1,1))),INDEX(FlowCalConstA,MATCH(AD736,FlowCalNumber,0),1,1)*AF746^INDEX(FlowCalConstB,MATCH(AD736,FlowCalNumber,0),1,1)," ")</f>
        <v>#N/A</v>
      </c>
      <c r="AH746" s="33"/>
      <c r="AI746" s="242">
        <f t="shared" si="708"/>
        <v>0.9</v>
      </c>
      <c r="AJ746" s="241" t="e">
        <f t="shared" ca="1" si="709"/>
        <v>#N/A</v>
      </c>
      <c r="AK746" s="243" t="e">
        <f ca="1">IF(AND(INDEX(FlowCalConstA,MATCH(AH736,FlowCalNumber,0),1,1)*AJ746^INDEX(FlowCalConstB,MATCH(AH736,FlowCalNumber,0),1,1)&gt;INDEX(FlowCalLowSetting,MATCH(AH736,FlowCalNumber,0),1,1), (INDEX(FlowCalConstA,MATCH(AH736,FlowCalNumber,0),1,1)*AJ746^INDEX(FlowCalConstB,MATCH(AH736,FlowCalNumber,0),1,1)&lt;INDEX(FlowCalHighSetting,MATCH(AH736,FlowCalNumber,0),1,1))),INDEX(FlowCalConstA,MATCH(AH736,FlowCalNumber,0),1,1)*AJ746^INDEX(FlowCalConstB,MATCH(AH736,FlowCalNumber,0),1,1)," ")</f>
        <v>#N/A</v>
      </c>
      <c r="AL746" s="33"/>
      <c r="AM746" s="242"/>
      <c r="AN746" s="241"/>
      <c r="AO746" s="244"/>
      <c r="AQ746" s="242"/>
      <c r="AR746" s="241"/>
      <c r="AS746" s="244"/>
      <c r="AT746" s="33"/>
      <c r="AU746" s="242"/>
      <c r="AV746" s="241"/>
      <c r="AW746" s="244"/>
      <c r="AX746" s="33"/>
      <c r="AY746" s="242"/>
      <c r="AZ746" s="241"/>
      <c r="BA746" s="244"/>
      <c r="BB746" s="33"/>
      <c r="BC746" s="242"/>
      <c r="BD746" s="241"/>
      <c r="BE746" s="244"/>
      <c r="BF746" s="33"/>
      <c r="BG746" s="242"/>
      <c r="BH746" s="241"/>
      <c r="BI746" s="244"/>
      <c r="BJ746" s="33"/>
      <c r="BK746" s="242"/>
      <c r="BL746" s="241"/>
      <c r="BM746" s="244"/>
      <c r="BN746" s="33"/>
      <c r="BO746" s="242"/>
      <c r="BP746" s="241"/>
      <c r="BQ746" s="244"/>
      <c r="BR746" s="33"/>
      <c r="BS746" s="242"/>
      <c r="BT746" s="241"/>
      <c r="BU746" s="244"/>
      <c r="BV746" s="33"/>
      <c r="BW746" s="242"/>
      <c r="BX746" s="241"/>
      <c r="BY746" s="244"/>
      <c r="BZ746" s="33"/>
      <c r="CA746" s="242"/>
      <c r="CB746" s="241"/>
      <c r="CC746" s="244"/>
      <c r="CD746" s="243"/>
      <c r="CE746" s="243"/>
      <c r="CF746" s="243"/>
      <c r="CG746" s="243"/>
      <c r="CH746" s="243"/>
      <c r="CI746" s="243"/>
      <c r="CJ746" s="243"/>
      <c r="CK746" s="243"/>
      <c r="CL746" s="243"/>
      <c r="CM746" s="243"/>
      <c r="CN746" s="243"/>
      <c r="CO746" s="243"/>
      <c r="CP746" s="243"/>
      <c r="CQ746" s="243"/>
      <c r="CR746" s="243"/>
      <c r="CS746" s="243"/>
      <c r="CT746" s="243"/>
      <c r="CU746" s="243"/>
      <c r="CV746" s="243"/>
      <c r="CW746" s="243"/>
      <c r="CX746" s="243"/>
      <c r="CY746" s="243"/>
      <c r="CZ746" s="243"/>
      <c r="DA746" s="243"/>
      <c r="DB746" s="243"/>
      <c r="DC746" s="243"/>
      <c r="DD746" s="243"/>
      <c r="DE746" s="243"/>
      <c r="DF746" s="243"/>
      <c r="DG746" s="243"/>
      <c r="DH746" s="243"/>
      <c r="DI746" s="243"/>
      <c r="DJ746" s="243"/>
      <c r="DK746" s="243"/>
      <c r="DM746" s="242"/>
      <c r="DO746" s="243"/>
      <c r="DQ746" s="242"/>
      <c r="DS746" s="243"/>
      <c r="DU746" s="242"/>
      <c r="DW746" s="243"/>
      <c r="DY746" s="242"/>
      <c r="EA746" s="243"/>
    </row>
    <row r="747" spans="1:131">
      <c r="A747" s="20"/>
      <c r="B747" s="124" t="str">
        <f t="shared" si="694"/>
        <v/>
      </c>
      <c r="C747" s="235"/>
      <c r="D747" s="24">
        <f>'1% Wind'!$M$92</f>
        <v>3.2</v>
      </c>
      <c r="E747" s="90"/>
      <c r="F747" s="90"/>
      <c r="G747" s="79" t="e">
        <f ca="1">IF(I736=0.9743,$G746,MAX(G746/D746*D747,2))</f>
        <v>#N/A</v>
      </c>
      <c r="H747" s="121" t="e">
        <f t="shared" ca="1" si="695"/>
        <v>#N/A</v>
      </c>
      <c r="J747" s="33"/>
      <c r="K747" s="242">
        <f t="shared" si="696"/>
        <v>1</v>
      </c>
      <c r="L747" s="241" t="e">
        <f t="shared" ca="1" si="697"/>
        <v>#N/A</v>
      </c>
      <c r="M747" s="243" t="e">
        <f ca="1">IF(AND(INDEX(FlowCalConstA,MATCH(J736,FlowCalNumber,0),1,1)*L747^INDEX(FlowCalConstB,MATCH(J736,FlowCalNumber,0),1,1)&gt;INDEX(FlowCalLowSetting,MATCH(J736,FlowCalNumber,0),1,1), (INDEX(FlowCalConstA,MATCH(J736,FlowCalNumber,0),1,1)*L747^INDEX(FlowCalConstB,MATCH(J736,FlowCalNumber,0),1,1)&lt;INDEX(FlowCalHighSetting,MATCH(J736,FlowCalNumber,0),1,1))),INDEX(FlowCalConstA,MATCH(J736,FlowCalNumber,0),1,1)*L747^INDEX(FlowCalConstB,MATCH(J736,FlowCalNumber,0),1,1)," ")</f>
        <v>#N/A</v>
      </c>
      <c r="N747" s="33"/>
      <c r="O747" s="242">
        <f t="shared" si="698"/>
        <v>1</v>
      </c>
      <c r="P747" s="241" t="e">
        <f t="shared" ca="1" si="699"/>
        <v>#N/A</v>
      </c>
      <c r="Q747" s="243" t="e">
        <f ca="1">IF(AND(INDEX(FlowCalConstA,MATCH(N736,FlowCalNumber,0),1,1)*P747^INDEX(FlowCalConstB,MATCH(N736,FlowCalNumber,0),1,1)&gt;INDEX(FlowCalLowSetting,MATCH(N736,FlowCalNumber,0),1,1), (INDEX(FlowCalConstA,MATCH(N736,FlowCalNumber,0),1,1)*P747^INDEX(FlowCalConstB,MATCH(N736,FlowCalNumber,0),1,1)&lt;INDEX(FlowCalHighSetting,MATCH(N736,FlowCalNumber,0),1,1))),INDEX(FlowCalConstA,MATCH(N736,FlowCalNumber,0),1,1)*P747^INDEX(FlowCalConstB,MATCH(N736,FlowCalNumber,0),1,1)," ")</f>
        <v>#N/A</v>
      </c>
      <c r="R747" s="33"/>
      <c r="S747" s="242">
        <f t="shared" si="700"/>
        <v>1</v>
      </c>
      <c r="T747" s="241" t="e">
        <f t="shared" ca="1" si="701"/>
        <v>#N/A</v>
      </c>
      <c r="U747" s="244" t="e">
        <f ca="1">IF(AND(INDEX(FlowCalConstA,MATCH(R736,FlowCalNumber,0),1,1)*T747^INDEX(FlowCalConstB,MATCH(R736,FlowCalNumber,0),1,1)&gt;INDEX(FlowCalLowSetting,MATCH(R736,FlowCalNumber,0),1,1), (INDEX(FlowCalConstA,MATCH(R736,FlowCalNumber,0),1,1)*T747^INDEX(FlowCalConstB,MATCH(R736,FlowCalNumber,0),1,1)&lt;INDEX(FlowCalHighSetting,MATCH(R736,FlowCalNumber,0),1,1))),INDEX(FlowCalConstA,MATCH(R736,FlowCalNumber,0),1,1)*T747^INDEX(FlowCalConstB,MATCH(R736,FlowCalNumber,0),1,1)," ")</f>
        <v>#N/A</v>
      </c>
      <c r="V747" s="33"/>
      <c r="W747" s="242">
        <f t="shared" si="702"/>
        <v>0.1</v>
      </c>
      <c r="X747" s="241" t="e">
        <f t="shared" ca="1" si="703"/>
        <v>#N/A</v>
      </c>
      <c r="Y747" s="243" t="e">
        <f ca="1">IF(AND(INDEX(FlowCalConstA,MATCH(V736,FlowCalNumber,0),1,1)*X747^INDEX(FlowCalConstB,MATCH(V736,FlowCalNumber,0),1,1)&gt;INDEX(FlowCalLowSetting,MATCH(V736,FlowCalNumber,0),1,1), (INDEX(FlowCalConstA,MATCH(V736,FlowCalNumber,0),1,1)*X747^INDEX(FlowCalConstB,MATCH(V736,FlowCalNumber,0),1,1)&lt;INDEX(FlowCalHighSetting,MATCH(V736,FlowCalNumber,0),1,1))),INDEX(FlowCalConstA,MATCH(V736,FlowCalNumber,0),1,1)*X747^INDEX(FlowCalConstB,MATCH(V736,FlowCalNumber,0),1,1)," ")</f>
        <v>#N/A</v>
      </c>
      <c r="Z747" s="33"/>
      <c r="AA747" s="242">
        <f t="shared" si="704"/>
        <v>0.9</v>
      </c>
      <c r="AB747" s="241" t="e">
        <f t="shared" ca="1" si="705"/>
        <v>#N/A</v>
      </c>
      <c r="AC747" s="243" t="e">
        <f ca="1">IF(AND(INDEX(FlowCalConstA,MATCH(Z736,FlowCalNumber,0),1,1)*AB747^INDEX(FlowCalConstB,MATCH(Z736,FlowCalNumber,0),1,1)&gt;INDEX(FlowCalLowSetting,MATCH(Z736,FlowCalNumber,0),1,1), (INDEX(FlowCalConstA,MATCH(Z736,FlowCalNumber,0),1,1)*AB747^INDEX(FlowCalConstB,MATCH(Z736,FlowCalNumber,0),1,1)&lt;INDEX(FlowCalHighSetting,MATCH(Z736,FlowCalNumber,0),1,1))),INDEX(FlowCalConstA,MATCH(Z736,FlowCalNumber,0),1,1)*AB747^INDEX(FlowCalConstB,MATCH(Z736,FlowCalNumber,0),1,1)," ")</f>
        <v>#N/A</v>
      </c>
      <c r="AD747" s="33"/>
      <c r="AE747" s="242">
        <f t="shared" si="706"/>
        <v>0.1</v>
      </c>
      <c r="AF747" s="241" t="e">
        <f t="shared" ca="1" si="707"/>
        <v>#N/A</v>
      </c>
      <c r="AG747" s="243" t="e">
        <f ca="1">IF(AND(INDEX(FlowCalConstA,MATCH(AD736,FlowCalNumber,0),1,1)*AF747^INDEX(FlowCalConstB,MATCH(AD736,FlowCalNumber,0),1,1)&gt;INDEX(FlowCalLowSetting,MATCH(AD736,FlowCalNumber,0),1,1), (INDEX(FlowCalConstA,MATCH(AD736,FlowCalNumber,0),1,1)*AF747^INDEX(FlowCalConstB,MATCH(AD736,FlowCalNumber,0),1,1)&lt;INDEX(FlowCalHighSetting,MATCH(AD736,FlowCalNumber,0),1,1))),INDEX(FlowCalConstA,MATCH(AD736,FlowCalNumber,0),1,1)*AF747^INDEX(FlowCalConstB,MATCH(AD736,FlowCalNumber,0),1,1)," ")</f>
        <v>#N/A</v>
      </c>
      <c r="AH747" s="33"/>
      <c r="AI747" s="242">
        <f t="shared" si="708"/>
        <v>0.9</v>
      </c>
      <c r="AJ747" s="241" t="e">
        <f t="shared" ca="1" si="709"/>
        <v>#N/A</v>
      </c>
      <c r="AK747" s="243" t="e">
        <f ca="1">IF(AND(INDEX(FlowCalConstA,MATCH(AH736,FlowCalNumber,0),1,1)*AJ747^INDEX(FlowCalConstB,MATCH(AH736,FlowCalNumber,0),1,1)&gt;INDEX(FlowCalLowSetting,MATCH(AH736,FlowCalNumber,0),1,1), (INDEX(FlowCalConstA,MATCH(AH736,FlowCalNumber,0),1,1)*AJ747^INDEX(FlowCalConstB,MATCH(AH736,FlowCalNumber,0),1,1)&lt;INDEX(FlowCalHighSetting,MATCH(AH736,FlowCalNumber,0),1,1))),INDEX(FlowCalConstA,MATCH(AH736,FlowCalNumber,0),1,1)*AJ747^INDEX(FlowCalConstB,MATCH(AH736,FlowCalNumber,0),1,1)," ")</f>
        <v>#N/A</v>
      </c>
      <c r="AL747" s="33"/>
      <c r="AM747" s="242"/>
      <c r="AN747" s="241"/>
      <c r="AO747" s="244"/>
      <c r="AQ747" s="242"/>
      <c r="AR747" s="241"/>
      <c r="AS747" s="244"/>
      <c r="AT747" s="33"/>
      <c r="AU747" s="242"/>
      <c r="AV747" s="241"/>
      <c r="AW747" s="244"/>
      <c r="AX747" s="33"/>
      <c r="AY747" s="242"/>
      <c r="AZ747" s="241"/>
      <c r="BA747" s="244"/>
      <c r="BB747" s="33"/>
      <c r="BC747" s="242"/>
      <c r="BD747" s="241"/>
      <c r="BE747" s="244"/>
      <c r="BF747" s="33"/>
      <c r="BG747" s="242"/>
      <c r="BH747" s="241"/>
      <c r="BI747" s="244"/>
      <c r="BJ747" s="33"/>
      <c r="BK747" s="242"/>
      <c r="BL747" s="241"/>
      <c r="BM747" s="244"/>
      <c r="BN747" s="33"/>
      <c r="BO747" s="242"/>
      <c r="BP747" s="241"/>
      <c r="BQ747" s="244"/>
      <c r="BR747" s="33"/>
      <c r="BS747" s="242"/>
      <c r="BT747" s="241"/>
      <c r="BU747" s="244"/>
      <c r="BV747" s="33"/>
      <c r="BW747" s="242"/>
      <c r="BX747" s="241"/>
      <c r="BY747" s="244"/>
      <c r="BZ747" s="33"/>
      <c r="CA747" s="242"/>
      <c r="CB747" s="241"/>
      <c r="CC747" s="244"/>
      <c r="CD747" s="243"/>
      <c r="CE747" s="243"/>
      <c r="CF747" s="243"/>
      <c r="CG747" s="243"/>
      <c r="CH747" s="243"/>
      <c r="CI747" s="243"/>
      <c r="CJ747" s="243"/>
      <c r="CK747" s="243"/>
      <c r="CL747" s="243"/>
      <c r="CM747" s="243"/>
      <c r="CN747" s="243"/>
      <c r="CO747" s="243"/>
      <c r="CP747" s="243"/>
      <c r="CQ747" s="243"/>
      <c r="CR747" s="243"/>
      <c r="CS747" s="243"/>
      <c r="CT747" s="243"/>
      <c r="CU747" s="243"/>
      <c r="CV747" s="243"/>
      <c r="CW747" s="243"/>
      <c r="CX747" s="243"/>
      <c r="CY747" s="243"/>
      <c r="CZ747" s="243"/>
      <c r="DA747" s="243"/>
      <c r="DB747" s="243"/>
      <c r="DC747" s="243"/>
      <c r="DD747" s="243"/>
      <c r="DE747" s="243"/>
      <c r="DF747" s="243"/>
      <c r="DG747" s="243"/>
      <c r="DH747" s="243"/>
      <c r="DI747" s="243"/>
      <c r="DJ747" s="243"/>
      <c r="DK747" s="243"/>
      <c r="DM747" s="242"/>
      <c r="DO747" s="243"/>
      <c r="DQ747" s="242"/>
      <c r="DS747" s="243"/>
      <c r="DU747" s="242"/>
      <c r="DW747" s="243"/>
      <c r="DY747" s="242"/>
      <c r="EA747" s="243"/>
    </row>
    <row r="748" spans="1:131">
      <c r="A748" s="20"/>
      <c r="B748" s="124" t="str">
        <f t="shared" si="694"/>
        <v/>
      </c>
      <c r="C748" s="235"/>
      <c r="D748" s="24">
        <f>'1% Wind'!$M$93</f>
        <v>2.4</v>
      </c>
      <c r="E748" s="90"/>
      <c r="F748" s="90"/>
      <c r="G748" s="79" t="e">
        <f ca="1">IF(I736=0.9743,$G747,MAX(G747/D747*D748,2))</f>
        <v>#N/A</v>
      </c>
      <c r="H748" s="121" t="e">
        <f t="shared" ca="1" si="695"/>
        <v>#N/A</v>
      </c>
      <c r="J748" s="33"/>
      <c r="K748" s="242">
        <f t="shared" si="696"/>
        <v>1</v>
      </c>
      <c r="L748" s="241" t="e">
        <f t="shared" ca="1" si="697"/>
        <v>#N/A</v>
      </c>
      <c r="M748" s="243" t="e">
        <f ca="1">IF(AND(INDEX(FlowCalConstA,MATCH(J736,FlowCalNumber,0),1,1)*L748^INDEX(FlowCalConstB,MATCH(J736,FlowCalNumber,0),1,1)&gt;INDEX(FlowCalLowSetting,MATCH(J736,FlowCalNumber,0),1,1), (INDEX(FlowCalConstA,MATCH(J736,FlowCalNumber,0),1,1)*L748^INDEX(FlowCalConstB,MATCH(J736,FlowCalNumber,0),1,1)&lt;INDEX(FlowCalHighSetting,MATCH(J736,FlowCalNumber,0),1,1))),INDEX(FlowCalConstA,MATCH(J736,FlowCalNumber,0),1,1)*L748^INDEX(FlowCalConstB,MATCH(J736,FlowCalNumber,0),1,1)," ")</f>
        <v>#N/A</v>
      </c>
      <c r="N748" s="33"/>
      <c r="O748" s="242">
        <f t="shared" si="698"/>
        <v>1</v>
      </c>
      <c r="P748" s="241" t="e">
        <f t="shared" ca="1" si="699"/>
        <v>#N/A</v>
      </c>
      <c r="Q748" s="243" t="e">
        <f ca="1">IF(AND(INDEX(FlowCalConstA,MATCH(N736,FlowCalNumber,0),1,1)*P748^INDEX(FlowCalConstB,MATCH(N736,FlowCalNumber,0),1,1)&gt;INDEX(FlowCalLowSetting,MATCH(N736,FlowCalNumber,0),1,1), (INDEX(FlowCalConstA,MATCH(N736,FlowCalNumber,0),1,1)*P748^INDEX(FlowCalConstB,MATCH(N736,FlowCalNumber,0),1,1)&lt;INDEX(FlowCalHighSetting,MATCH(N736,FlowCalNumber,0),1,1))),INDEX(FlowCalConstA,MATCH(N736,FlowCalNumber,0),1,1)*P748^INDEX(FlowCalConstB,MATCH(N736,FlowCalNumber,0),1,1)," ")</f>
        <v>#N/A</v>
      </c>
      <c r="R748" s="33"/>
      <c r="S748" s="242">
        <f t="shared" si="700"/>
        <v>1</v>
      </c>
      <c r="T748" s="241" t="e">
        <f t="shared" ca="1" si="701"/>
        <v>#N/A</v>
      </c>
      <c r="U748" s="244" t="e">
        <f ca="1">IF(AND(INDEX(FlowCalConstA,MATCH(R736,FlowCalNumber,0),1,1)*T748^INDEX(FlowCalConstB,MATCH(R736,FlowCalNumber,0),1,1)&gt;INDEX(FlowCalLowSetting,MATCH(R736,FlowCalNumber,0),1,1), (INDEX(FlowCalConstA,MATCH(R736,FlowCalNumber,0),1,1)*T748^INDEX(FlowCalConstB,MATCH(R736,FlowCalNumber,0),1,1)&lt;INDEX(FlowCalHighSetting,MATCH(R736,FlowCalNumber,0),1,1))),INDEX(FlowCalConstA,MATCH(R736,FlowCalNumber,0),1,1)*T748^INDEX(FlowCalConstB,MATCH(R736,FlowCalNumber,0),1,1)," ")</f>
        <v>#N/A</v>
      </c>
      <c r="V748" s="33"/>
      <c r="W748" s="242">
        <f t="shared" si="702"/>
        <v>0.1</v>
      </c>
      <c r="X748" s="241" t="e">
        <f t="shared" ca="1" si="703"/>
        <v>#N/A</v>
      </c>
      <c r="Y748" s="243" t="e">
        <f ca="1">IF(AND(INDEX(FlowCalConstA,MATCH(V736,FlowCalNumber,0),1,1)*X748^INDEX(FlowCalConstB,MATCH(V736,FlowCalNumber,0),1,1)&gt;INDEX(FlowCalLowSetting,MATCH(V736,FlowCalNumber,0),1,1), (INDEX(FlowCalConstA,MATCH(V736,FlowCalNumber,0),1,1)*X748^INDEX(FlowCalConstB,MATCH(V736,FlowCalNumber,0),1,1)&lt;INDEX(FlowCalHighSetting,MATCH(V736,FlowCalNumber,0),1,1))),INDEX(FlowCalConstA,MATCH(V736,FlowCalNumber,0),1,1)*X748^INDEX(FlowCalConstB,MATCH(V736,FlowCalNumber,0),1,1)," ")</f>
        <v>#N/A</v>
      </c>
      <c r="Z748" s="33"/>
      <c r="AA748" s="242">
        <f t="shared" si="704"/>
        <v>0.9</v>
      </c>
      <c r="AB748" s="241" t="e">
        <f t="shared" ca="1" si="705"/>
        <v>#N/A</v>
      </c>
      <c r="AC748" s="243" t="e">
        <f ca="1">IF(AND(INDEX(FlowCalConstA,MATCH(Z736,FlowCalNumber,0),1,1)*AB748^INDEX(FlowCalConstB,MATCH(Z736,FlowCalNumber,0),1,1)&gt;INDEX(FlowCalLowSetting,MATCH(Z736,FlowCalNumber,0),1,1), (INDEX(FlowCalConstA,MATCH(Z736,FlowCalNumber,0),1,1)*AB748^INDEX(FlowCalConstB,MATCH(Z736,FlowCalNumber,0),1,1)&lt;INDEX(FlowCalHighSetting,MATCH(Z736,FlowCalNumber,0),1,1))),INDEX(FlowCalConstA,MATCH(Z736,FlowCalNumber,0),1,1)*AB748^INDEX(FlowCalConstB,MATCH(Z736,FlowCalNumber,0),1,1)," ")</f>
        <v>#N/A</v>
      </c>
      <c r="AD748" s="33"/>
      <c r="AE748" s="242">
        <f t="shared" si="706"/>
        <v>0.1</v>
      </c>
      <c r="AF748" s="241" t="e">
        <f t="shared" ca="1" si="707"/>
        <v>#N/A</v>
      </c>
      <c r="AG748" s="243" t="e">
        <f ca="1">IF(AND(INDEX(FlowCalConstA,MATCH(AD736,FlowCalNumber,0),1,1)*AF748^INDEX(FlowCalConstB,MATCH(AD736,FlowCalNumber,0),1,1)&gt;INDEX(FlowCalLowSetting,MATCH(AD736,FlowCalNumber,0),1,1), (INDEX(FlowCalConstA,MATCH(AD736,FlowCalNumber,0),1,1)*AF748^INDEX(FlowCalConstB,MATCH(AD736,FlowCalNumber,0),1,1)&lt;INDEX(FlowCalHighSetting,MATCH(AD736,FlowCalNumber,0),1,1))),INDEX(FlowCalConstA,MATCH(AD736,FlowCalNumber,0),1,1)*AF748^INDEX(FlowCalConstB,MATCH(AD736,FlowCalNumber,0),1,1)," ")</f>
        <v>#N/A</v>
      </c>
      <c r="AH748" s="33"/>
      <c r="AI748" s="242">
        <f t="shared" si="708"/>
        <v>0.9</v>
      </c>
      <c r="AJ748" s="241" t="e">
        <f t="shared" ca="1" si="709"/>
        <v>#N/A</v>
      </c>
      <c r="AK748" s="243" t="e">
        <f ca="1">IF(AND(INDEX(FlowCalConstA,MATCH(AH736,FlowCalNumber,0),1,1)*AJ748^INDEX(FlowCalConstB,MATCH(AH736,FlowCalNumber,0),1,1)&gt;INDEX(FlowCalLowSetting,MATCH(AH736,FlowCalNumber,0),1,1), (INDEX(FlowCalConstA,MATCH(AH736,FlowCalNumber,0),1,1)*AJ748^INDEX(FlowCalConstB,MATCH(AH736,FlowCalNumber,0),1,1)&lt;INDEX(FlowCalHighSetting,MATCH(AH736,FlowCalNumber,0),1,1))),INDEX(FlowCalConstA,MATCH(AH736,FlowCalNumber,0),1,1)*AJ748^INDEX(FlowCalConstB,MATCH(AH736,FlowCalNumber,0),1,1)," ")</f>
        <v>#N/A</v>
      </c>
      <c r="AL748" s="33"/>
      <c r="AM748" s="242"/>
      <c r="AN748" s="241"/>
      <c r="AO748" s="244"/>
      <c r="AQ748" s="242"/>
      <c r="AR748" s="241"/>
      <c r="AS748" s="244"/>
      <c r="AT748" s="33"/>
      <c r="AU748" s="242"/>
      <c r="AV748" s="241"/>
      <c r="AW748" s="244"/>
      <c r="AX748" s="33"/>
      <c r="AY748" s="242"/>
      <c r="AZ748" s="241"/>
      <c r="BA748" s="244"/>
      <c r="BB748" s="33"/>
      <c r="BC748" s="242"/>
      <c r="BD748" s="241"/>
      <c r="BE748" s="244"/>
      <c r="BF748" s="33"/>
      <c r="BG748" s="242"/>
      <c r="BH748" s="241"/>
      <c r="BI748" s="244"/>
      <c r="BJ748" s="33"/>
      <c r="BK748" s="242"/>
      <c r="BL748" s="241"/>
      <c r="BM748" s="244"/>
      <c r="BN748" s="33"/>
      <c r="BO748" s="242"/>
      <c r="BP748" s="241"/>
      <c r="BQ748" s="244"/>
      <c r="BR748" s="33"/>
      <c r="BS748" s="242"/>
      <c r="BT748" s="241"/>
      <c r="BU748" s="244"/>
      <c r="BV748" s="33"/>
      <c r="BW748" s="242"/>
      <c r="BX748" s="241"/>
      <c r="BY748" s="244"/>
      <c r="BZ748" s="33"/>
      <c r="CA748" s="242"/>
      <c r="CB748" s="241"/>
      <c r="CC748" s="244"/>
      <c r="CD748" s="243"/>
      <c r="CE748" s="243"/>
      <c r="CF748" s="243"/>
      <c r="CG748" s="243"/>
      <c r="CH748" s="243"/>
      <c r="CI748" s="243"/>
      <c r="CJ748" s="243"/>
      <c r="CK748" s="243"/>
      <c r="CL748" s="243"/>
      <c r="CM748" s="243"/>
      <c r="CN748" s="243"/>
      <c r="CO748" s="243"/>
      <c r="CP748" s="243"/>
      <c r="CQ748" s="243"/>
      <c r="CR748" s="243"/>
      <c r="CS748" s="243"/>
      <c r="CT748" s="243"/>
      <c r="CU748" s="243"/>
      <c r="CV748" s="243"/>
      <c r="CW748" s="243"/>
      <c r="CX748" s="243"/>
      <c r="CY748" s="243"/>
      <c r="CZ748" s="243"/>
      <c r="DA748" s="243"/>
      <c r="DB748" s="243"/>
      <c r="DC748" s="243"/>
      <c r="DD748" s="243"/>
      <c r="DE748" s="243"/>
      <c r="DF748" s="243"/>
      <c r="DG748" s="243"/>
      <c r="DH748" s="243"/>
      <c r="DI748" s="243"/>
      <c r="DJ748" s="243"/>
      <c r="DK748" s="243"/>
      <c r="DM748" s="242"/>
      <c r="DO748" s="243"/>
      <c r="DQ748" s="242"/>
      <c r="DS748" s="243"/>
      <c r="DU748" s="242"/>
      <c r="DW748" s="243"/>
      <c r="DY748" s="242"/>
      <c r="EA748" s="243"/>
    </row>
    <row r="749" spans="1:131">
      <c r="A749" s="20"/>
      <c r="B749" s="124" t="str">
        <f t="shared" si="694"/>
        <v/>
      </c>
      <c r="C749" s="235"/>
      <c r="D749" s="24">
        <f>'1% Wind'!$M$94</f>
        <v>1.8</v>
      </c>
      <c r="E749" s="90"/>
      <c r="F749" s="90"/>
      <c r="G749" s="79" t="e">
        <f ca="1">IF(I736=0.9743,$G748,MAX(G748/D748*D749,2))</f>
        <v>#N/A</v>
      </c>
      <c r="H749" s="121" t="e">
        <f t="shared" ca="1" si="695"/>
        <v>#N/A</v>
      </c>
      <c r="J749" s="33"/>
      <c r="K749" s="242">
        <f t="shared" si="696"/>
        <v>1</v>
      </c>
      <c r="L749" s="241" t="e">
        <f t="shared" ca="1" si="697"/>
        <v>#N/A</v>
      </c>
      <c r="M749" s="243" t="e">
        <f ca="1">IF(AND(INDEX(FlowCalConstA,MATCH(J736,FlowCalNumber,0),1,1)*L749^INDEX(FlowCalConstB,MATCH(J736,FlowCalNumber,0),1,1)&gt;INDEX(FlowCalLowSetting,MATCH(J736,FlowCalNumber,0),1,1), (INDEX(FlowCalConstA,MATCH(J736,FlowCalNumber,0),1,1)*L749^INDEX(FlowCalConstB,MATCH(J736,FlowCalNumber,0),1,1)&lt;INDEX(FlowCalHighSetting,MATCH(J736,FlowCalNumber,0),1,1))),INDEX(FlowCalConstA,MATCH(J736,FlowCalNumber,0),1,1)*L749^INDEX(FlowCalConstB,MATCH(J736,FlowCalNumber,0),1,1)," ")</f>
        <v>#N/A</v>
      </c>
      <c r="N749" s="33"/>
      <c r="O749" s="242">
        <f t="shared" si="698"/>
        <v>1</v>
      </c>
      <c r="P749" s="241" t="e">
        <f t="shared" ca="1" si="699"/>
        <v>#N/A</v>
      </c>
      <c r="Q749" s="243" t="e">
        <f ca="1">IF(AND(INDEX(FlowCalConstA,MATCH(N736,FlowCalNumber,0),1,1)*P749^INDEX(FlowCalConstB,MATCH(N736,FlowCalNumber,0),1,1)&gt;INDEX(FlowCalLowSetting,MATCH(N736,FlowCalNumber,0),1,1), (INDEX(FlowCalConstA,MATCH(N736,FlowCalNumber,0),1,1)*P749^INDEX(FlowCalConstB,MATCH(N736,FlowCalNumber,0),1,1)&lt;INDEX(FlowCalHighSetting,MATCH(N736,FlowCalNumber,0),1,1))),INDEX(FlowCalConstA,MATCH(N736,FlowCalNumber,0),1,1)*P749^INDEX(FlowCalConstB,MATCH(N736,FlowCalNumber,0),1,1)," ")</f>
        <v>#N/A</v>
      </c>
      <c r="R749" s="33"/>
      <c r="S749" s="242">
        <f t="shared" si="700"/>
        <v>1</v>
      </c>
      <c r="T749" s="241" t="e">
        <f t="shared" ca="1" si="701"/>
        <v>#N/A</v>
      </c>
      <c r="U749" s="244" t="e">
        <f ca="1">IF(AND(INDEX(FlowCalConstA,MATCH(R736,FlowCalNumber,0),1,1)*T749^INDEX(FlowCalConstB,MATCH(R736,FlowCalNumber,0),1,1)&gt;INDEX(FlowCalLowSetting,MATCH(R736,FlowCalNumber,0),1,1), (INDEX(FlowCalConstA,MATCH(R736,FlowCalNumber,0),1,1)*T749^INDEX(FlowCalConstB,MATCH(R736,FlowCalNumber,0),1,1)&lt;INDEX(FlowCalHighSetting,MATCH(R736,FlowCalNumber,0),1,1))),INDEX(FlowCalConstA,MATCH(R736,FlowCalNumber,0),1,1)*T749^INDEX(FlowCalConstB,MATCH(R736,FlowCalNumber,0),1,1)," ")</f>
        <v>#N/A</v>
      </c>
      <c r="V749" s="33"/>
      <c r="W749" s="242">
        <f t="shared" si="702"/>
        <v>0.1</v>
      </c>
      <c r="X749" s="241" t="e">
        <f t="shared" ca="1" si="703"/>
        <v>#N/A</v>
      </c>
      <c r="Y749" s="243" t="e">
        <f ca="1">IF(AND(INDEX(FlowCalConstA,MATCH(V736,FlowCalNumber,0),1,1)*X749^INDEX(FlowCalConstB,MATCH(V736,FlowCalNumber,0),1,1)&gt;INDEX(FlowCalLowSetting,MATCH(V736,FlowCalNumber,0),1,1), (INDEX(FlowCalConstA,MATCH(V736,FlowCalNumber,0),1,1)*X749^INDEX(FlowCalConstB,MATCH(V736,FlowCalNumber,0),1,1)&lt;INDEX(FlowCalHighSetting,MATCH(V736,FlowCalNumber,0),1,1))),INDEX(FlowCalConstA,MATCH(V736,FlowCalNumber,0),1,1)*X749^INDEX(FlowCalConstB,MATCH(V736,FlowCalNumber,0),1,1)," ")</f>
        <v>#N/A</v>
      </c>
      <c r="Z749" s="33"/>
      <c r="AA749" s="242">
        <f t="shared" si="704"/>
        <v>0.9</v>
      </c>
      <c r="AB749" s="241" t="e">
        <f t="shared" ca="1" si="705"/>
        <v>#N/A</v>
      </c>
      <c r="AC749" s="243" t="e">
        <f ca="1">IF(AND(INDEX(FlowCalConstA,MATCH(Z736,FlowCalNumber,0),1,1)*AB749^INDEX(FlowCalConstB,MATCH(Z736,FlowCalNumber,0),1,1)&gt;INDEX(FlowCalLowSetting,MATCH(Z736,FlowCalNumber,0),1,1), (INDEX(FlowCalConstA,MATCH(Z736,FlowCalNumber,0),1,1)*AB749^INDEX(FlowCalConstB,MATCH(Z736,FlowCalNumber,0),1,1)&lt;INDEX(FlowCalHighSetting,MATCH(Z736,FlowCalNumber,0),1,1))),INDEX(FlowCalConstA,MATCH(Z736,FlowCalNumber,0),1,1)*AB749^INDEX(FlowCalConstB,MATCH(Z736,FlowCalNumber,0),1,1)," ")</f>
        <v>#N/A</v>
      </c>
      <c r="AD749" s="33"/>
      <c r="AE749" s="242">
        <f t="shared" si="706"/>
        <v>0.1</v>
      </c>
      <c r="AF749" s="241" t="e">
        <f t="shared" ca="1" si="707"/>
        <v>#N/A</v>
      </c>
      <c r="AG749" s="243" t="e">
        <f ca="1">IF(AND(INDEX(FlowCalConstA,MATCH(AD736,FlowCalNumber,0),1,1)*AF749^INDEX(FlowCalConstB,MATCH(AD736,FlowCalNumber,0),1,1)&gt;INDEX(FlowCalLowSetting,MATCH(AD736,FlowCalNumber,0),1,1), (INDEX(FlowCalConstA,MATCH(AD736,FlowCalNumber,0),1,1)*AF749^INDEX(FlowCalConstB,MATCH(AD736,FlowCalNumber,0),1,1)&lt;INDEX(FlowCalHighSetting,MATCH(AD736,FlowCalNumber,0),1,1))),INDEX(FlowCalConstA,MATCH(AD736,FlowCalNumber,0),1,1)*AF749^INDEX(FlowCalConstB,MATCH(AD736,FlowCalNumber,0),1,1)," ")</f>
        <v>#N/A</v>
      </c>
      <c r="AH749" s="33"/>
      <c r="AI749" s="242">
        <f t="shared" si="708"/>
        <v>0.9</v>
      </c>
      <c r="AJ749" s="241" t="e">
        <f t="shared" ca="1" si="709"/>
        <v>#N/A</v>
      </c>
      <c r="AK749" s="243" t="e">
        <f ca="1">IF(AND(INDEX(FlowCalConstA,MATCH(AH736,FlowCalNumber,0),1,1)*AJ749^INDEX(FlowCalConstB,MATCH(AH736,FlowCalNumber,0),1,1)&gt;INDEX(FlowCalLowSetting,MATCH(AH736,FlowCalNumber,0),1,1), (INDEX(FlowCalConstA,MATCH(AH736,FlowCalNumber,0),1,1)*AJ749^INDEX(FlowCalConstB,MATCH(AH736,FlowCalNumber,0),1,1)&lt;INDEX(FlowCalHighSetting,MATCH(AH736,FlowCalNumber,0),1,1))),INDEX(FlowCalConstA,MATCH(AH736,FlowCalNumber,0),1,1)*AJ749^INDEX(FlowCalConstB,MATCH(AH736,FlowCalNumber,0),1,1)," ")</f>
        <v>#N/A</v>
      </c>
      <c r="AL749" s="33"/>
      <c r="AM749" s="242"/>
      <c r="AN749" s="241"/>
      <c r="AO749" s="244"/>
      <c r="AQ749" s="242"/>
      <c r="AR749" s="241"/>
      <c r="AS749" s="244"/>
      <c r="AT749" s="33"/>
      <c r="AU749" s="242"/>
      <c r="AV749" s="241"/>
      <c r="AW749" s="244"/>
      <c r="AX749" s="33"/>
      <c r="AY749" s="242"/>
      <c r="AZ749" s="241"/>
      <c r="BA749" s="244"/>
      <c r="BB749" s="33"/>
      <c r="BC749" s="242"/>
      <c r="BD749" s="241"/>
      <c r="BE749" s="244"/>
      <c r="BF749" s="33"/>
      <c r="BG749" s="242"/>
      <c r="BH749" s="241"/>
      <c r="BI749" s="244"/>
      <c r="BJ749" s="33"/>
      <c r="BK749" s="242"/>
      <c r="BL749" s="241"/>
      <c r="BM749" s="244"/>
      <c r="BN749" s="33"/>
      <c r="BO749" s="242"/>
      <c r="BP749" s="241"/>
      <c r="BQ749" s="244"/>
      <c r="BR749" s="33"/>
      <c r="BS749" s="242"/>
      <c r="BT749" s="241"/>
      <c r="BU749" s="244"/>
      <c r="BV749" s="33"/>
      <c r="BW749" s="242"/>
      <c r="BX749" s="241"/>
      <c r="BY749" s="244"/>
      <c r="BZ749" s="33"/>
      <c r="CA749" s="242"/>
      <c r="CB749" s="241"/>
      <c r="CC749" s="244"/>
      <c r="CD749" s="243"/>
      <c r="CE749" s="243"/>
      <c r="CF749" s="243"/>
      <c r="CG749" s="243"/>
      <c r="CH749" s="243"/>
      <c r="CI749" s="243"/>
      <c r="CJ749" s="243"/>
      <c r="CK749" s="243"/>
      <c r="CL749" s="243"/>
      <c r="CM749" s="243"/>
      <c r="CN749" s="243"/>
      <c r="CO749" s="243"/>
      <c r="CP749" s="243"/>
      <c r="CQ749" s="243"/>
      <c r="CR749" s="243"/>
      <c r="CS749" s="243"/>
      <c r="CT749" s="243"/>
      <c r="CU749" s="243"/>
      <c r="CV749" s="243"/>
      <c r="CW749" s="243"/>
      <c r="CX749" s="243"/>
      <c r="CY749" s="243"/>
      <c r="CZ749" s="243"/>
      <c r="DA749" s="243"/>
      <c r="DB749" s="243"/>
      <c r="DC749" s="243"/>
      <c r="DD749" s="243"/>
      <c r="DE749" s="243"/>
      <c r="DF749" s="243"/>
      <c r="DG749" s="243"/>
      <c r="DH749" s="243"/>
      <c r="DI749" s="243"/>
      <c r="DJ749" s="243"/>
      <c r="DK749" s="243"/>
      <c r="DM749" s="242"/>
      <c r="DO749" s="243"/>
      <c r="DQ749" s="242"/>
      <c r="DS749" s="243"/>
      <c r="DU749" s="242"/>
      <c r="DW749" s="243"/>
      <c r="DY749" s="242"/>
      <c r="EA749" s="243"/>
    </row>
    <row r="750" spans="1:131">
      <c r="A750" s="20"/>
      <c r="B750" s="124" t="str">
        <f t="shared" si="694"/>
        <v/>
      </c>
      <c r="C750" s="235"/>
      <c r="D750" s="24">
        <f>'1% Wind'!$M$95</f>
        <v>1.3</v>
      </c>
      <c r="E750" s="90"/>
      <c r="F750" s="90"/>
      <c r="G750" s="79" t="e">
        <f ca="1">IF(I736=0.9743,$G749,MAX(G749/D749*D750,2))</f>
        <v>#N/A</v>
      </c>
      <c r="H750" s="121" t="e">
        <f t="shared" ca="1" si="695"/>
        <v>#N/A</v>
      </c>
      <c r="J750" s="33"/>
      <c r="K750" s="242">
        <f t="shared" si="696"/>
        <v>1</v>
      </c>
      <c r="L750" s="241" t="e">
        <f t="shared" ca="1" si="697"/>
        <v>#N/A</v>
      </c>
      <c r="M750" s="243" t="e">
        <f ca="1">IF(AND(INDEX(FlowCalConstA,MATCH(J736,FlowCalNumber,0),1,1)*L750^INDEX(FlowCalConstB,MATCH(J736,FlowCalNumber,0),1,1)&gt;INDEX(FlowCalLowSetting,MATCH(J736,FlowCalNumber,0),1,1), (INDEX(FlowCalConstA,MATCH(J736,FlowCalNumber,0),1,1)*L750^INDEX(FlowCalConstB,MATCH(J736,FlowCalNumber,0),1,1)&lt;INDEX(FlowCalHighSetting,MATCH(J736,FlowCalNumber,0),1,1))),INDEX(FlowCalConstA,MATCH(J736,FlowCalNumber,0),1,1)*L750^INDEX(FlowCalConstB,MATCH(J736,FlowCalNumber,0),1,1)," ")</f>
        <v>#N/A</v>
      </c>
      <c r="N750" s="33"/>
      <c r="O750" s="242">
        <f t="shared" si="698"/>
        <v>1</v>
      </c>
      <c r="P750" s="241" t="e">
        <f t="shared" ca="1" si="699"/>
        <v>#N/A</v>
      </c>
      <c r="Q750" s="243" t="e">
        <f ca="1">IF(AND(INDEX(FlowCalConstA,MATCH(N736,FlowCalNumber,0),1,1)*P750^INDEX(FlowCalConstB,MATCH(N736,FlowCalNumber,0),1,1)&gt;INDEX(FlowCalLowSetting,MATCH(N736,FlowCalNumber,0),1,1), (INDEX(FlowCalConstA,MATCH(N736,FlowCalNumber,0),1,1)*P750^INDEX(FlowCalConstB,MATCH(N736,FlowCalNumber,0),1,1)&lt;INDEX(FlowCalHighSetting,MATCH(N736,FlowCalNumber,0),1,1))),INDEX(FlowCalConstA,MATCH(N736,FlowCalNumber,0),1,1)*P750^INDEX(FlowCalConstB,MATCH(N736,FlowCalNumber,0),1,1)," ")</f>
        <v>#N/A</v>
      </c>
      <c r="R750" s="33"/>
      <c r="S750" s="242">
        <f t="shared" si="700"/>
        <v>1</v>
      </c>
      <c r="T750" s="241" t="e">
        <f t="shared" ca="1" si="701"/>
        <v>#N/A</v>
      </c>
      <c r="U750" s="244" t="e">
        <f ca="1">IF(AND(INDEX(FlowCalConstA,MATCH(R736,FlowCalNumber,0),1,1)*T750^INDEX(FlowCalConstB,MATCH(R736,FlowCalNumber,0),1,1)&gt;INDEX(FlowCalLowSetting,MATCH(R736,FlowCalNumber,0),1,1), (INDEX(FlowCalConstA,MATCH(R736,FlowCalNumber,0),1,1)*T750^INDEX(FlowCalConstB,MATCH(R736,FlowCalNumber,0),1,1)&lt;INDEX(FlowCalHighSetting,MATCH(R736,FlowCalNumber,0),1,1))),INDEX(FlowCalConstA,MATCH(R736,FlowCalNumber,0),1,1)*T750^INDEX(FlowCalConstB,MATCH(R736,FlowCalNumber,0),1,1)," ")</f>
        <v>#N/A</v>
      </c>
      <c r="V750" s="33"/>
      <c r="W750" s="242">
        <f t="shared" si="702"/>
        <v>0.1</v>
      </c>
      <c r="X750" s="241" t="e">
        <f t="shared" ca="1" si="703"/>
        <v>#N/A</v>
      </c>
      <c r="Y750" s="243" t="e">
        <f ca="1">IF(AND(INDEX(FlowCalConstA,MATCH(V736,FlowCalNumber,0),1,1)*X750^INDEX(FlowCalConstB,MATCH(V736,FlowCalNumber,0),1,1)&gt;INDEX(FlowCalLowSetting,MATCH(V736,FlowCalNumber,0),1,1), (INDEX(FlowCalConstA,MATCH(V736,FlowCalNumber,0),1,1)*X750^INDEX(FlowCalConstB,MATCH(V736,FlowCalNumber,0),1,1)&lt;INDEX(FlowCalHighSetting,MATCH(V736,FlowCalNumber,0),1,1))),INDEX(FlowCalConstA,MATCH(V736,FlowCalNumber,0),1,1)*X750^INDEX(FlowCalConstB,MATCH(V736,FlowCalNumber,0),1,1)," ")</f>
        <v>#N/A</v>
      </c>
      <c r="Z750" s="33"/>
      <c r="AA750" s="242">
        <f t="shared" si="704"/>
        <v>0.9</v>
      </c>
      <c r="AB750" s="241" t="e">
        <f t="shared" ca="1" si="705"/>
        <v>#N/A</v>
      </c>
      <c r="AC750" s="243" t="e">
        <f ca="1">IF(AND(INDEX(FlowCalConstA,MATCH(Z736,FlowCalNumber,0),1,1)*AB750^INDEX(FlowCalConstB,MATCH(Z736,FlowCalNumber,0),1,1)&gt;INDEX(FlowCalLowSetting,MATCH(Z736,FlowCalNumber,0),1,1), (INDEX(FlowCalConstA,MATCH(Z736,FlowCalNumber,0),1,1)*AB750^INDEX(FlowCalConstB,MATCH(Z736,FlowCalNumber,0),1,1)&lt;INDEX(FlowCalHighSetting,MATCH(Z736,FlowCalNumber,0),1,1))),INDEX(FlowCalConstA,MATCH(Z736,FlowCalNumber,0),1,1)*AB750^INDEX(FlowCalConstB,MATCH(Z736,FlowCalNumber,0),1,1)," ")</f>
        <v>#N/A</v>
      </c>
      <c r="AD750" s="33"/>
      <c r="AE750" s="242">
        <f t="shared" si="706"/>
        <v>0.1</v>
      </c>
      <c r="AF750" s="241" t="e">
        <f t="shared" ca="1" si="707"/>
        <v>#N/A</v>
      </c>
      <c r="AG750" s="243" t="e">
        <f ca="1">IF(AND(INDEX(FlowCalConstA,MATCH(AD736,FlowCalNumber,0),1,1)*AF750^INDEX(FlowCalConstB,MATCH(AD736,FlowCalNumber,0),1,1)&gt;INDEX(FlowCalLowSetting,MATCH(AD736,FlowCalNumber,0),1,1), (INDEX(FlowCalConstA,MATCH(AD736,FlowCalNumber,0),1,1)*AF750^INDEX(FlowCalConstB,MATCH(AD736,FlowCalNumber,0),1,1)&lt;INDEX(FlowCalHighSetting,MATCH(AD736,FlowCalNumber,0),1,1))),INDEX(FlowCalConstA,MATCH(AD736,FlowCalNumber,0),1,1)*AF750^INDEX(FlowCalConstB,MATCH(AD736,FlowCalNumber,0),1,1)," ")</f>
        <v>#N/A</v>
      </c>
      <c r="AH750" s="33"/>
      <c r="AI750" s="242">
        <f t="shared" si="708"/>
        <v>0.9</v>
      </c>
      <c r="AJ750" s="241" t="e">
        <f t="shared" ca="1" si="709"/>
        <v>#N/A</v>
      </c>
      <c r="AK750" s="243" t="e">
        <f ca="1">IF(AND(INDEX(FlowCalConstA,MATCH(AH736,FlowCalNumber,0),1,1)*AJ750^INDEX(FlowCalConstB,MATCH(AH736,FlowCalNumber,0),1,1)&gt;INDEX(FlowCalLowSetting,MATCH(AH736,FlowCalNumber,0),1,1), (INDEX(FlowCalConstA,MATCH(AH736,FlowCalNumber,0),1,1)*AJ750^INDEX(FlowCalConstB,MATCH(AH736,FlowCalNumber,0),1,1)&lt;INDEX(FlowCalHighSetting,MATCH(AH736,FlowCalNumber,0),1,1))),INDEX(FlowCalConstA,MATCH(AH736,FlowCalNumber,0),1,1)*AJ750^INDEX(FlowCalConstB,MATCH(AH736,FlowCalNumber,0),1,1)," ")</f>
        <v>#N/A</v>
      </c>
      <c r="AL750" s="33"/>
      <c r="AM750" s="242"/>
      <c r="AN750" s="241"/>
      <c r="AO750" s="244"/>
      <c r="AQ750" s="242"/>
      <c r="AR750" s="241"/>
      <c r="AS750" s="244"/>
      <c r="AT750" s="33"/>
      <c r="AU750" s="242"/>
      <c r="AV750" s="241"/>
      <c r="AW750" s="244"/>
      <c r="AX750" s="33"/>
      <c r="AY750" s="242"/>
      <c r="AZ750" s="241"/>
      <c r="BA750" s="244"/>
      <c r="BB750" s="33"/>
      <c r="BC750" s="242"/>
      <c r="BD750" s="241"/>
      <c r="BE750" s="244"/>
      <c r="BF750" s="33"/>
      <c r="BG750" s="242"/>
      <c r="BH750" s="241"/>
      <c r="BI750" s="244"/>
      <c r="BJ750" s="33"/>
      <c r="BK750" s="242"/>
      <c r="BL750" s="241"/>
      <c r="BM750" s="244"/>
      <c r="BN750" s="33"/>
      <c r="BO750" s="242"/>
      <c r="BP750" s="241"/>
      <c r="BQ750" s="244"/>
      <c r="BR750" s="33"/>
      <c r="BS750" s="242"/>
      <c r="BT750" s="241"/>
      <c r="BU750" s="244"/>
      <c r="BV750" s="33"/>
      <c r="BW750" s="242"/>
      <c r="BX750" s="241"/>
      <c r="BY750" s="244"/>
      <c r="BZ750" s="33"/>
      <c r="CA750" s="242"/>
      <c r="CB750" s="241"/>
      <c r="CC750" s="244"/>
      <c r="CD750" s="243"/>
      <c r="CE750" s="243"/>
      <c r="CF750" s="243"/>
      <c r="CG750" s="243"/>
      <c r="CH750" s="243"/>
      <c r="CI750" s="243"/>
      <c r="CJ750" s="243"/>
      <c r="CK750" s="243"/>
      <c r="CL750" s="243"/>
      <c r="CM750" s="243"/>
      <c r="CN750" s="243"/>
      <c r="CO750" s="243"/>
      <c r="CP750" s="243"/>
      <c r="CQ750" s="243"/>
      <c r="CR750" s="243"/>
      <c r="CS750" s="243"/>
      <c r="CT750" s="243"/>
      <c r="CU750" s="243"/>
      <c r="CV750" s="243"/>
      <c r="CW750" s="243"/>
      <c r="CX750" s="243"/>
      <c r="CY750" s="243"/>
      <c r="CZ750" s="243"/>
      <c r="DA750" s="243"/>
      <c r="DB750" s="243"/>
      <c r="DC750" s="243"/>
      <c r="DD750" s="243"/>
      <c r="DE750" s="243"/>
      <c r="DF750" s="243"/>
      <c r="DG750" s="243"/>
      <c r="DH750" s="243"/>
      <c r="DI750" s="243"/>
      <c r="DJ750" s="243"/>
      <c r="DK750" s="243"/>
      <c r="DM750" s="242"/>
      <c r="DO750" s="243"/>
      <c r="DQ750" s="242"/>
      <c r="DS750" s="243"/>
      <c r="DU750" s="242"/>
      <c r="DW750" s="243"/>
      <c r="DY750" s="242"/>
      <c r="EA750" s="243"/>
    </row>
    <row r="751" spans="1:131">
      <c r="A751" s="20"/>
      <c r="B751" s="124" t="str">
        <f t="shared" si="694"/>
        <v/>
      </c>
      <c r="C751" s="235"/>
      <c r="D751" s="24">
        <f>'1% Wind'!$M$96</f>
        <v>1</v>
      </c>
      <c r="E751" s="90"/>
      <c r="F751" s="90"/>
      <c r="G751" s="79" t="e">
        <f ca="1">IF(I736=0.9743,$G750,MAX(G750/D750*D751,2))</f>
        <v>#N/A</v>
      </c>
      <c r="H751" s="121" t="e">
        <f t="shared" ca="1" si="695"/>
        <v>#N/A</v>
      </c>
      <c r="J751" s="33"/>
      <c r="K751" s="242">
        <f t="shared" si="696"/>
        <v>1</v>
      </c>
      <c r="L751" s="241" t="e">
        <f t="shared" ca="1" si="697"/>
        <v>#N/A</v>
      </c>
      <c r="M751" s="243" t="e">
        <f ca="1">IF(AND(INDEX(FlowCalConstA,MATCH(J736,FlowCalNumber,0),1,1)*L751^INDEX(FlowCalConstB,MATCH(J736,FlowCalNumber,0),1,1)&gt;INDEX(FlowCalLowSetting,MATCH(J736,FlowCalNumber,0),1,1), (INDEX(FlowCalConstA,MATCH(J736,FlowCalNumber,0),1,1)*L751^INDEX(FlowCalConstB,MATCH(J736,FlowCalNumber,0),1,1)&lt;INDEX(FlowCalHighSetting,MATCH(J736,FlowCalNumber,0),1,1))),INDEX(FlowCalConstA,MATCH(J736,FlowCalNumber,0),1,1)*L751^INDEX(FlowCalConstB,MATCH(J736,FlowCalNumber,0),1,1)," ")</f>
        <v>#N/A</v>
      </c>
      <c r="N751" s="33"/>
      <c r="O751" s="242">
        <f t="shared" si="698"/>
        <v>1</v>
      </c>
      <c r="P751" s="241" t="e">
        <f t="shared" ca="1" si="699"/>
        <v>#N/A</v>
      </c>
      <c r="Q751" s="243" t="e">
        <f ca="1">IF(AND(INDEX(FlowCalConstA,MATCH(N736,FlowCalNumber,0),1,1)*P751^INDEX(FlowCalConstB,MATCH(N736,FlowCalNumber,0),1,1)&gt;INDEX(FlowCalLowSetting,MATCH(N736,FlowCalNumber,0),1,1), (INDEX(FlowCalConstA,MATCH(N736,FlowCalNumber,0),1,1)*P751^INDEX(FlowCalConstB,MATCH(N736,FlowCalNumber,0),1,1)&lt;INDEX(FlowCalHighSetting,MATCH(N736,FlowCalNumber,0),1,1))),INDEX(FlowCalConstA,MATCH(N736,FlowCalNumber,0),1,1)*P751^INDEX(FlowCalConstB,MATCH(N736,FlowCalNumber,0),1,1)," ")</f>
        <v>#N/A</v>
      </c>
      <c r="R751" s="33"/>
      <c r="S751" s="242">
        <f t="shared" si="700"/>
        <v>1</v>
      </c>
      <c r="T751" s="241" t="e">
        <f t="shared" ca="1" si="701"/>
        <v>#N/A</v>
      </c>
      <c r="U751" s="244" t="e">
        <f ca="1">IF(AND(INDEX(FlowCalConstA,MATCH(R736,FlowCalNumber,0),1,1)*T751^INDEX(FlowCalConstB,MATCH(R736,FlowCalNumber,0),1,1)&gt;INDEX(FlowCalLowSetting,MATCH(R736,FlowCalNumber,0),1,1), (INDEX(FlowCalConstA,MATCH(R736,FlowCalNumber,0),1,1)*T751^INDEX(FlowCalConstB,MATCH(R736,FlowCalNumber,0),1,1)&lt;INDEX(FlowCalHighSetting,MATCH(R736,FlowCalNumber,0),1,1))),INDEX(FlowCalConstA,MATCH(R736,FlowCalNumber,0),1,1)*T751^INDEX(FlowCalConstB,MATCH(R736,FlowCalNumber,0),1,1)," ")</f>
        <v>#N/A</v>
      </c>
      <c r="V751" s="33"/>
      <c r="W751" s="242">
        <f t="shared" si="702"/>
        <v>0.1</v>
      </c>
      <c r="X751" s="241" t="e">
        <f t="shared" ca="1" si="703"/>
        <v>#N/A</v>
      </c>
      <c r="Y751" s="243" t="e">
        <f ca="1">IF(AND(INDEX(FlowCalConstA,MATCH(V736,FlowCalNumber,0),1,1)*X751^INDEX(FlowCalConstB,MATCH(V736,FlowCalNumber,0),1,1)&gt;INDEX(FlowCalLowSetting,MATCH(V736,FlowCalNumber,0),1,1), (INDEX(FlowCalConstA,MATCH(V736,FlowCalNumber,0),1,1)*X751^INDEX(FlowCalConstB,MATCH(V736,FlowCalNumber,0),1,1)&lt;INDEX(FlowCalHighSetting,MATCH(V736,FlowCalNumber,0),1,1))),INDEX(FlowCalConstA,MATCH(V736,FlowCalNumber,0),1,1)*X751^INDEX(FlowCalConstB,MATCH(V736,FlowCalNumber,0),1,1)," ")</f>
        <v>#N/A</v>
      </c>
      <c r="Z751" s="33"/>
      <c r="AA751" s="242">
        <f t="shared" si="704"/>
        <v>0.9</v>
      </c>
      <c r="AB751" s="241" t="e">
        <f t="shared" ca="1" si="705"/>
        <v>#N/A</v>
      </c>
      <c r="AC751" s="243" t="e">
        <f ca="1">IF(AND(INDEX(FlowCalConstA,MATCH(Z736,FlowCalNumber,0),1,1)*AB751^INDEX(FlowCalConstB,MATCH(Z736,FlowCalNumber,0),1,1)&gt;INDEX(FlowCalLowSetting,MATCH(Z736,FlowCalNumber,0),1,1), (INDEX(FlowCalConstA,MATCH(Z736,FlowCalNumber,0),1,1)*AB751^INDEX(FlowCalConstB,MATCH(Z736,FlowCalNumber,0),1,1)&lt;INDEX(FlowCalHighSetting,MATCH(Z736,FlowCalNumber,0),1,1))),INDEX(FlowCalConstA,MATCH(Z736,FlowCalNumber,0),1,1)*AB751^INDEX(FlowCalConstB,MATCH(Z736,FlowCalNumber,0),1,1)," ")</f>
        <v>#N/A</v>
      </c>
      <c r="AD751" s="33"/>
      <c r="AE751" s="242">
        <f t="shared" si="706"/>
        <v>0.1</v>
      </c>
      <c r="AF751" s="241" t="e">
        <f t="shared" ca="1" si="707"/>
        <v>#N/A</v>
      </c>
      <c r="AG751" s="243" t="e">
        <f ca="1">IF(AND(INDEX(FlowCalConstA,MATCH(AD736,FlowCalNumber,0),1,1)*AF751^INDEX(FlowCalConstB,MATCH(AD736,FlowCalNumber,0),1,1)&gt;INDEX(FlowCalLowSetting,MATCH(AD736,FlowCalNumber,0),1,1), (INDEX(FlowCalConstA,MATCH(AD736,FlowCalNumber,0),1,1)*AF751^INDEX(FlowCalConstB,MATCH(AD736,FlowCalNumber,0),1,1)&lt;INDEX(FlowCalHighSetting,MATCH(AD736,FlowCalNumber,0),1,1))),INDEX(FlowCalConstA,MATCH(AD736,FlowCalNumber,0),1,1)*AF751^INDEX(FlowCalConstB,MATCH(AD736,FlowCalNumber,0),1,1)," ")</f>
        <v>#N/A</v>
      </c>
      <c r="AH751" s="33"/>
      <c r="AI751" s="242">
        <f t="shared" si="708"/>
        <v>0.9</v>
      </c>
      <c r="AJ751" s="241" t="e">
        <f t="shared" ca="1" si="709"/>
        <v>#N/A</v>
      </c>
      <c r="AK751" s="243" t="e">
        <f ca="1">IF(AND(INDEX(FlowCalConstA,MATCH(AH736,FlowCalNumber,0),1,1)*AJ751^INDEX(FlowCalConstB,MATCH(AH736,FlowCalNumber,0),1,1)&gt;INDEX(FlowCalLowSetting,MATCH(AH736,FlowCalNumber,0),1,1), (INDEX(FlowCalConstA,MATCH(AH736,FlowCalNumber,0),1,1)*AJ751^INDEX(FlowCalConstB,MATCH(AH736,FlowCalNumber,0),1,1)&lt;INDEX(FlowCalHighSetting,MATCH(AH736,FlowCalNumber,0),1,1))),INDEX(FlowCalConstA,MATCH(AH736,FlowCalNumber,0),1,1)*AJ751^INDEX(FlowCalConstB,MATCH(AH736,FlowCalNumber,0),1,1)," ")</f>
        <v>#N/A</v>
      </c>
      <c r="AL751" s="33"/>
      <c r="AM751" s="242"/>
      <c r="AN751" s="241"/>
      <c r="AO751" s="244"/>
      <c r="AQ751" s="242"/>
      <c r="AR751" s="241"/>
      <c r="AS751" s="244"/>
      <c r="AT751" s="33"/>
      <c r="AU751" s="242"/>
      <c r="AV751" s="241"/>
      <c r="AW751" s="244"/>
      <c r="AX751" s="33"/>
      <c r="AY751" s="242"/>
      <c r="AZ751" s="241"/>
      <c r="BA751" s="244"/>
      <c r="BB751" s="33"/>
      <c r="BC751" s="242"/>
      <c r="BD751" s="241"/>
      <c r="BE751" s="244"/>
      <c r="BF751" s="33"/>
      <c r="BG751" s="242"/>
      <c r="BH751" s="241"/>
      <c r="BI751" s="244"/>
      <c r="BJ751" s="33"/>
      <c r="BK751" s="242"/>
      <c r="BL751" s="241"/>
      <c r="BM751" s="244"/>
      <c r="BN751" s="33"/>
      <c r="BO751" s="242"/>
      <c r="BP751" s="241"/>
      <c r="BQ751" s="244"/>
      <c r="BR751" s="33"/>
      <c r="BS751" s="242"/>
      <c r="BT751" s="241"/>
      <c r="BU751" s="244"/>
      <c r="BV751" s="33"/>
      <c r="BW751" s="242"/>
      <c r="BX751" s="241"/>
      <c r="BY751" s="244"/>
      <c r="BZ751" s="33"/>
      <c r="CA751" s="242"/>
      <c r="CB751" s="241"/>
      <c r="CC751" s="244"/>
      <c r="CD751" s="243"/>
      <c r="CE751" s="243"/>
      <c r="CF751" s="243"/>
      <c r="CG751" s="243"/>
      <c r="CH751" s="243"/>
      <c r="CI751" s="243"/>
      <c r="CJ751" s="243"/>
      <c r="CK751" s="243"/>
      <c r="CL751" s="243"/>
      <c r="CM751" s="243"/>
      <c r="CN751" s="243"/>
      <c r="CO751" s="243"/>
      <c r="CP751" s="243"/>
      <c r="CQ751" s="243"/>
      <c r="CR751" s="243"/>
      <c r="CS751" s="243"/>
      <c r="CT751" s="243"/>
      <c r="CU751" s="243"/>
      <c r="CV751" s="243"/>
      <c r="CW751" s="243"/>
      <c r="CX751" s="243"/>
      <c r="CY751" s="243"/>
      <c r="CZ751" s="243"/>
      <c r="DA751" s="243"/>
      <c r="DB751" s="243"/>
      <c r="DC751" s="243"/>
      <c r="DD751" s="243"/>
      <c r="DE751" s="243"/>
      <c r="DF751" s="243"/>
      <c r="DG751" s="243"/>
      <c r="DH751" s="243"/>
      <c r="DI751" s="243"/>
      <c r="DJ751" s="243"/>
      <c r="DK751" s="243"/>
      <c r="DM751" s="242"/>
      <c r="DO751" s="243"/>
      <c r="DQ751" s="242"/>
      <c r="DS751" s="243"/>
      <c r="DU751" s="242"/>
      <c r="DW751" s="243"/>
      <c r="DY751" s="242"/>
      <c r="EA751" s="243"/>
    </row>
    <row r="752" spans="1:131">
      <c r="A752" s="33"/>
      <c r="B752" s="33"/>
      <c r="C752" s="235"/>
      <c r="E752" s="90"/>
      <c r="F752" s="90"/>
      <c r="G752" s="33"/>
      <c r="J752" s="33"/>
      <c r="N752" s="33"/>
      <c r="Q752" s="243"/>
      <c r="R752" s="33"/>
      <c r="U752" s="244"/>
      <c r="V752" s="33"/>
      <c r="Y752" s="243"/>
      <c r="Z752" s="33"/>
      <c r="AC752" s="243"/>
      <c r="AD752" s="33"/>
      <c r="AG752" s="243"/>
      <c r="AH752" s="33"/>
      <c r="AK752" s="244"/>
      <c r="AL752" s="792"/>
      <c r="AM752" s="243"/>
      <c r="AN752" s="243"/>
      <c r="AO752" s="244"/>
      <c r="AP752" s="243"/>
      <c r="AQ752" s="243"/>
      <c r="AR752" s="243"/>
      <c r="AS752" s="244"/>
      <c r="AT752" s="243"/>
      <c r="AU752" s="243"/>
      <c r="AV752" s="243"/>
      <c r="AW752" s="244"/>
      <c r="AX752" s="243"/>
      <c r="AY752" s="243"/>
      <c r="AZ752" s="243"/>
      <c r="BA752" s="244"/>
      <c r="BB752" s="33"/>
      <c r="BE752" s="244"/>
      <c r="BF752" s="33"/>
      <c r="BI752" s="244"/>
      <c r="BJ752" s="33"/>
      <c r="BM752" s="244"/>
      <c r="BN752" s="243"/>
      <c r="BO752" s="243"/>
      <c r="BP752" s="243"/>
      <c r="BQ752" s="244"/>
      <c r="BR752" s="792"/>
      <c r="BS752" s="243"/>
      <c r="BT752" s="243"/>
      <c r="BU752" s="244"/>
      <c r="BV752" s="792"/>
      <c r="BW752" s="243"/>
      <c r="BX752" s="243"/>
      <c r="BY752" s="244"/>
      <c r="BZ752" s="792"/>
      <c r="CA752" s="243"/>
      <c r="CB752" s="243"/>
      <c r="CC752" s="244"/>
      <c r="CD752" s="243"/>
      <c r="CE752" s="243"/>
      <c r="CF752" s="243"/>
      <c r="CG752" s="243"/>
      <c r="CH752" s="243"/>
      <c r="CI752" s="243"/>
      <c r="CJ752" s="243"/>
      <c r="CK752" s="243"/>
      <c r="CL752" s="243"/>
      <c r="CM752" s="243"/>
      <c r="CN752" s="243"/>
      <c r="CO752" s="243"/>
      <c r="CP752" s="243"/>
      <c r="CQ752" s="243"/>
      <c r="CR752" s="243"/>
      <c r="CS752" s="243"/>
      <c r="CT752" s="243"/>
      <c r="CU752" s="243"/>
      <c r="CV752" s="243"/>
      <c r="CW752" s="243"/>
      <c r="CX752" s="243"/>
      <c r="CY752" s="243"/>
      <c r="CZ752" s="243"/>
      <c r="DA752" s="243"/>
      <c r="DB752" s="243"/>
      <c r="DC752" s="243"/>
      <c r="DD752" s="243"/>
      <c r="DE752" s="243"/>
      <c r="DF752" s="243"/>
      <c r="DG752" s="243"/>
      <c r="DH752" s="243"/>
      <c r="DI752" s="243"/>
      <c r="DJ752" s="243"/>
      <c r="DK752" s="243"/>
      <c r="DO752" s="243"/>
      <c r="DS752" s="243"/>
      <c r="DW752" s="243"/>
      <c r="EA752" s="243"/>
    </row>
    <row r="753" spans="1:131">
      <c r="A753" s="256" t="str">
        <f>IF((RIGHT(A736,1))&lt;&gt;"Z",CHAR(CODE(A736))&amp;CHAR(CODE(RIGHT(A736,1))+1),CHAR(CODE(A736)+1)&amp;"A")</f>
        <v>BR</v>
      </c>
      <c r="B753" s="270" t="e">
        <f>INDEX(SourceID,MATCH($A753,SourceNumber,0),1,1)</f>
        <v>#N/A</v>
      </c>
      <c r="C753" s="354" t="e">
        <f>INDEX(SourceExitDiameter,MATCH($A753,SourceNumber,0),1,1)*3.28*12</f>
        <v>#N/A</v>
      </c>
      <c r="D753" s="24" t="str">
        <f>UAnem1percent</f>
        <v>1% Wind</v>
      </c>
      <c r="E753" s="350" t="e">
        <f ca="1">INDIRECT(ADDRESS(53,6,1,,CONCATENATE("TA",$A753)))</f>
        <v>#REF!</v>
      </c>
      <c r="F753" s="625" t="e">
        <f ca="1">(ROUND((INDIRECT(ADDRESS(15,7,1,,CONCATENATE("TA",$A753)))*3.28*12*32),0)&amp;"/32")</f>
        <v>#REF!</v>
      </c>
      <c r="G753" s="125" t="e">
        <f ca="1">INDIRECT(ADDRESS(29,7,1,,$A753))</f>
        <v>#REF!</v>
      </c>
      <c r="H753" s="24" t="e">
        <f ca="1">INDIRECT(ADDRESS(19,7,1,,$A753))*100^3</f>
        <v>#REF!</v>
      </c>
      <c r="I753" s="941" t="e">
        <f ca="1">INDIRECT(ADDRESS(53,7,1,,$A753))</f>
        <v>#REF!</v>
      </c>
      <c r="J753" s="20" t="e">
        <f ca="1">IF($I753=$I$6,K$16&amp;$G$6&amp;J$6,IF($I753=$I$7,K$16&amp;$G$7&amp;J$7,"Bad"))</f>
        <v>#REF!</v>
      </c>
      <c r="K753" t="e">
        <f ca="1">INDEX(FlowCalGasMixture,MATCH(J753,FlowCalNumber,0),1,1)</f>
        <v>#REF!</v>
      </c>
      <c r="M753" s="944" t="e">
        <f ca="1">INDEX(FlowCalDevice,MATCH(J753,FlowCalNumber,0),1,1)</f>
        <v>#REF!</v>
      </c>
      <c r="N753" s="943" t="e">
        <f ca="1">IF($I753=$I$6,O$16&amp;$G$6&amp;"90"&amp;$H$6&amp;N$6,IF($I753=$I$7,O$16&amp;$G$7&amp;"90"&amp;$H$7&amp;N$7,"Bad"))</f>
        <v>#REF!</v>
      </c>
      <c r="O753" t="e">
        <f ca="1">INDEX(FlowCalGasMixture,MATCH(N753,FlowCalNumber,0),1,1)</f>
        <v>#REF!</v>
      </c>
      <c r="Q753" s="944" t="e">
        <f ca="1">INDEX(FlowCalDevice,MATCH(N753,FlowCalNumber,0),1,1)</f>
        <v>#REF!</v>
      </c>
      <c r="R753" s="943" t="e">
        <f ca="1">IF($I753=$I$6,S$16&amp;$G$6&amp;"90"&amp;$H$6&amp;R$6,IF($I753=$I$7,S$16&amp;$G$7&amp;"90"&amp;$H$7&amp;R$7,"Bad"))</f>
        <v>#REF!</v>
      </c>
      <c r="S753" t="e">
        <f ca="1">INDEX(FlowCalGasMixture,MATCH(R753,FlowCalNumber,0),1,1)</f>
        <v>#REF!</v>
      </c>
      <c r="U753" s="944" t="e">
        <f ca="1">INDEX(FlowCalDevice,MATCH(R753,FlowCalNumber,0),1,1)</f>
        <v>#REF!</v>
      </c>
      <c r="V753" s="20" t="e">
        <f ca="1">IF($I753=$I$6,W$16&amp;$G$6&amp;V$6,IF($I753=$I$7,W$16&amp;$G$7&amp;V$7,"Bad"))</f>
        <v>#REF!</v>
      </c>
      <c r="W753" t="e">
        <f ca="1">INDEX(FlowCalGasMixture,MATCH(V753,FlowCalNumber,0),1,1)</f>
        <v>#REF!</v>
      </c>
      <c r="Y753" s="944" t="e">
        <f ca="1">INDEX(FlowCalDevice,MATCH(V753,FlowCalNumber,0),1,1)</f>
        <v>#REF!</v>
      </c>
      <c r="Z753" s="946" t="e">
        <f ca="1">IF($I753=$I$6,AA$18&amp;$H$6&amp;Z$6,IF($I753=$I$7,AA$18&amp;$H$7&amp;Z$7,"Bad"))</f>
        <v>#REF!</v>
      </c>
      <c r="AA753" t="e">
        <f ca="1">INDEX(FlowCalGasMixture,MATCH(Z753,FlowCalNumber,0),1,1)</f>
        <v>#REF!</v>
      </c>
      <c r="AC753" s="944" t="e">
        <f ca="1">INDEX(FlowCalDevice,MATCH(Z753,FlowCalNumber,0),1,1)</f>
        <v>#REF!</v>
      </c>
      <c r="AD753" s="20" t="e">
        <f ca="1">IF($I753=$I$6,AE$16&amp;$G$6&amp;AD$6,IF($I753=$I$7,AE$16&amp;$G$7&amp;AD$7,"Bad"))</f>
        <v>#REF!</v>
      </c>
      <c r="AE753" t="e">
        <f ca="1">INDEX(FlowCalGasMixture,MATCH(AD753,FlowCalNumber,0),1,1)</f>
        <v>#REF!</v>
      </c>
      <c r="AG753" s="944" t="e">
        <f ca="1">INDEX(FlowCalDevice,MATCH(AD753,FlowCalNumber,0),1,1)</f>
        <v>#REF!</v>
      </c>
      <c r="AH753" s="946" t="e">
        <f ca="1">IF($I753=$I$6,AI$18&amp;$H$6&amp;AH$6,IF($I753=$I$7,AI$18&amp;$H$7&amp;AH$7,"Bad"))</f>
        <v>#REF!</v>
      </c>
      <c r="AI753" t="e">
        <f ca="1">INDEX(FlowCalGasMixture,MATCH(AH753,FlowCalNumber,0),1,1)</f>
        <v>#REF!</v>
      </c>
      <c r="AK753" s="944" t="e">
        <f ca="1">INDEX(FlowCalDevice,MATCH(AH753,FlowCalNumber,0),1,1)</f>
        <v>#REF!</v>
      </c>
      <c r="AL753" s="20"/>
      <c r="AO753" s="982"/>
      <c r="AP753" s="960"/>
      <c r="AS753" s="982"/>
      <c r="AT753" s="20"/>
      <c r="AW753" s="982"/>
      <c r="AX753" s="946"/>
      <c r="BA753" s="982"/>
      <c r="BB753" s="20"/>
      <c r="BC753" s="16"/>
      <c r="BE753" s="982"/>
      <c r="BF753" s="946"/>
      <c r="BG753" s="16"/>
      <c r="BI753" s="982"/>
      <c r="BJ753" s="946"/>
      <c r="BK753" s="16"/>
      <c r="BM753" s="982"/>
      <c r="BN753" s="20"/>
      <c r="BO753" s="16"/>
      <c r="BQ753" s="982"/>
      <c r="BR753" s="946"/>
      <c r="BS753" s="16"/>
      <c r="BU753" s="982"/>
      <c r="BV753" s="946"/>
      <c r="BW753" s="16"/>
      <c r="BY753" s="982"/>
      <c r="BZ753" s="946"/>
      <c r="CA753" s="16"/>
      <c r="CC753" s="982"/>
      <c r="CD753" s="355"/>
      <c r="CE753" s="355"/>
      <c r="CF753" s="355"/>
      <c r="CG753" s="355"/>
      <c r="CH753" s="355"/>
      <c r="CI753" s="355"/>
      <c r="CJ753" s="355"/>
      <c r="CK753" s="355"/>
      <c r="CL753" s="355"/>
      <c r="CM753" s="355"/>
      <c r="CN753" s="355"/>
      <c r="CO753" s="355"/>
      <c r="CP753" s="355"/>
      <c r="CQ753" s="355"/>
      <c r="CR753" s="355"/>
      <c r="CS753" s="355"/>
      <c r="CT753" s="355"/>
      <c r="CU753" s="355"/>
      <c r="CV753" s="355"/>
      <c r="CW753" s="355"/>
      <c r="CX753" s="355"/>
      <c r="CY753" s="355"/>
      <c r="CZ753" s="355"/>
      <c r="DA753" s="355"/>
      <c r="DB753" s="355"/>
      <c r="DC753" s="355"/>
      <c r="DD753" s="355"/>
      <c r="DE753" s="355"/>
      <c r="DF753" s="355"/>
      <c r="DG753" s="355"/>
      <c r="DH753" s="355"/>
      <c r="DI753" s="355"/>
      <c r="DJ753" s="355"/>
      <c r="DK753" s="355"/>
      <c r="DL753" s="46"/>
      <c r="DM753" s="16"/>
      <c r="DO753" s="355"/>
      <c r="DP753" s="42"/>
      <c r="DQ753" s="16"/>
      <c r="DS753" s="355"/>
      <c r="DT753" s="42"/>
      <c r="DU753" s="16"/>
      <c r="DW753" s="355"/>
      <c r="DX753" s="42"/>
      <c r="DY753" s="16"/>
      <c r="EA753" s="355"/>
    </row>
    <row r="754" spans="1:131">
      <c r="A754" s="20"/>
      <c r="B754" s="124" t="str">
        <f t="shared" ref="B754:B768" si="710">IF(D754=UAnem1percent,"1% Wind","")</f>
        <v/>
      </c>
      <c r="C754" s="235"/>
      <c r="D754" s="24">
        <f>'1% Wind'!$M$82</f>
        <v>27</v>
      </c>
      <c r="E754" s="90"/>
      <c r="F754" s="90"/>
      <c r="G754" s="79" t="e">
        <f ca="1">IF(I753=0.9743,$G753,MAX(G753/D753*D754,2))</f>
        <v>#REF!</v>
      </c>
      <c r="H754" s="121" t="e">
        <f t="shared" ref="H754:H768" ca="1" si="711">H753*(D753/D754)*(G754/G753)</f>
        <v>#REF!</v>
      </c>
      <c r="J754" s="33"/>
      <c r="K754" s="260">
        <f>K$17/100</f>
        <v>1</v>
      </c>
      <c r="L754" s="241" t="e">
        <f ca="1">K754*$H754</f>
        <v>#REF!</v>
      </c>
      <c r="M754" s="243" t="e">
        <f ca="1">IF(AND(INDEX(FlowCalConstA,MATCH(J753,FlowCalNumber,0),1,1)*L754^INDEX(FlowCalConstB,MATCH(J753,FlowCalNumber,0),1,1)&gt;INDEX(FlowCalLowSetting,MATCH(J753,FlowCalNumber,0),1,1), (INDEX(FlowCalConstA,MATCH(J753,FlowCalNumber,0),1,1)*L754^INDEX(FlowCalConstB,MATCH(J753,FlowCalNumber,0),1,1)&lt;INDEX(FlowCalHighSetting,MATCH(J753,FlowCalNumber,0),1,1))),INDEX(FlowCalConstA,MATCH(J753,FlowCalNumber,0),1,1)*L754^INDEX(FlowCalConstB,MATCH(J753,FlowCalNumber,0),1,1)," ")</f>
        <v>#REF!</v>
      </c>
      <c r="N754" s="33"/>
      <c r="O754" s="260">
        <f>O$17/100</f>
        <v>1</v>
      </c>
      <c r="P754" s="241" t="e">
        <f ca="1">O754*$H754</f>
        <v>#REF!</v>
      </c>
      <c r="Q754" s="243" t="e">
        <f ca="1">IF(AND(INDEX(FlowCalConstA,MATCH(N753,FlowCalNumber,0),1,1)*P754^INDEX(FlowCalConstB,MATCH(N753,FlowCalNumber,0),1,1)&gt;INDEX(FlowCalLowSetting,MATCH(N753,FlowCalNumber,0),1,1), (INDEX(FlowCalConstA,MATCH(N753,FlowCalNumber,0),1,1)*P754^INDEX(FlowCalConstB,MATCH(N753,FlowCalNumber,0),1,1)&lt;INDEX(FlowCalHighSetting,MATCH(N753,FlowCalNumber,0),1,1))),INDEX(FlowCalConstA,MATCH(N753,FlowCalNumber,0),1,1)*P754^INDEX(FlowCalConstB,MATCH(N753,FlowCalNumber,0),1,1)," ")</f>
        <v>#REF!</v>
      </c>
      <c r="R754" s="33"/>
      <c r="S754" s="260">
        <f>S$17/100</f>
        <v>1</v>
      </c>
      <c r="T754" s="241" t="e">
        <f ca="1">S754*$H754</f>
        <v>#REF!</v>
      </c>
      <c r="U754" s="244" t="e">
        <f ca="1">IF(AND(INDEX(FlowCalConstA,MATCH(R753,FlowCalNumber,0),1,1)*T754^INDEX(FlowCalConstB,MATCH(R753,FlowCalNumber,0),1,1)&gt;INDEX(FlowCalLowSetting,MATCH(R753,FlowCalNumber,0),1,1), (INDEX(FlowCalConstA,MATCH(R753,FlowCalNumber,0),1,1)*T754^INDEX(FlowCalConstB,MATCH(R753,FlowCalNumber,0),1,1)&lt;INDEX(FlowCalHighSetting,MATCH(R753,FlowCalNumber,0),1,1))),INDEX(FlowCalConstA,MATCH(R753,FlowCalNumber,0),1,1)*T754^INDEX(FlowCalConstB,MATCH(R753,FlowCalNumber,0),1,1)," ")</f>
        <v>#REF!</v>
      </c>
      <c r="V754" s="33"/>
      <c r="W754" s="260">
        <f>W$17/100</f>
        <v>0.1</v>
      </c>
      <c r="X754" s="241" t="e">
        <f ca="1">W754*$H754</f>
        <v>#REF!</v>
      </c>
      <c r="Y754" s="243" t="e">
        <f ca="1">IF(AND(INDEX(FlowCalConstA,MATCH(V753,FlowCalNumber,0),1,1)*X754^INDEX(FlowCalConstB,MATCH(V753,FlowCalNumber,0),1,1)&gt;INDEX(FlowCalLowSetting,MATCH(V753,FlowCalNumber,0),1,1), (INDEX(FlowCalConstA,MATCH(V753,FlowCalNumber,0),1,1)*X754^INDEX(FlowCalConstB,MATCH(V753,FlowCalNumber,0),1,1)&lt;INDEX(FlowCalHighSetting,MATCH(V753,FlowCalNumber,0),1,1))),INDEX(FlowCalConstA,MATCH(V753,FlowCalNumber,0),1,1)*X754^INDEX(FlowCalConstB,MATCH(V753,FlowCalNumber,0),1,1)," ")</f>
        <v>#REF!</v>
      </c>
      <c r="Z754" s="33"/>
      <c r="AA754" s="260">
        <f>AA$17/100</f>
        <v>0.9</v>
      </c>
      <c r="AB754" s="241" t="e">
        <f ca="1">AA754*$H754</f>
        <v>#REF!</v>
      </c>
      <c r="AC754" s="243" t="e">
        <f ca="1">IF(AND(INDEX(FlowCalConstA,MATCH(Z753,FlowCalNumber,0),1,1)*AB754^INDEX(FlowCalConstB,MATCH(Z753,FlowCalNumber,0),1,1)&gt;INDEX(FlowCalLowSetting,MATCH(Z753,FlowCalNumber,0),1,1), (INDEX(FlowCalConstA,MATCH(Z753,FlowCalNumber,0),1,1)*AB754^INDEX(FlowCalConstB,MATCH(Z753,FlowCalNumber,0),1,1)&lt;INDEX(FlowCalHighSetting,MATCH(Z753,FlowCalNumber,0),1,1))),INDEX(FlowCalConstA,MATCH(Z753,FlowCalNumber,0),1,1)*AB754^INDEX(FlowCalConstB,MATCH(Z753,FlowCalNumber,0),1,1)," ")</f>
        <v>#REF!</v>
      </c>
      <c r="AD754" s="33"/>
      <c r="AE754" s="260">
        <f>AE$17/100</f>
        <v>0.1</v>
      </c>
      <c r="AF754" s="241" t="e">
        <f ca="1">AE754*$H754</f>
        <v>#REF!</v>
      </c>
      <c r="AG754" s="243" t="e">
        <f ca="1">IF(AND(INDEX(FlowCalConstA,MATCH(AD753,FlowCalNumber,0),1,1)*AF754^INDEX(FlowCalConstB,MATCH(AD753,FlowCalNumber,0),1,1)&gt;INDEX(FlowCalLowSetting,MATCH(AD753,FlowCalNumber,0),1,1), (INDEX(FlowCalConstA,MATCH(AD753,FlowCalNumber,0),1,1)*AF754^INDEX(FlowCalConstB,MATCH(AD753,FlowCalNumber,0),1,1)&lt;INDEX(FlowCalHighSetting,MATCH(AD753,FlowCalNumber,0),1,1))),INDEX(FlowCalConstA,MATCH(AD753,FlowCalNumber,0),1,1)*AF754^INDEX(FlowCalConstB,MATCH(AD753,FlowCalNumber,0),1,1)," ")</f>
        <v>#REF!</v>
      </c>
      <c r="AH754" s="33"/>
      <c r="AI754" s="260">
        <f>AI$17/100</f>
        <v>0.9</v>
      </c>
      <c r="AJ754" s="241" t="e">
        <f ca="1">AI754*$H754</f>
        <v>#REF!</v>
      </c>
      <c r="AK754" s="243" t="e">
        <f ca="1">IF(AND(INDEX(FlowCalConstA,MATCH(AH753,FlowCalNumber,0),1,1)*AJ754^INDEX(FlowCalConstB,MATCH(AH753,FlowCalNumber,0),1,1)&gt;INDEX(FlowCalLowSetting,MATCH(AH753,FlowCalNumber,0),1,1), (INDEX(FlowCalConstA,MATCH(AH753,FlowCalNumber,0),1,1)*AJ754^INDEX(FlowCalConstB,MATCH(AH753,FlowCalNumber,0),1,1)&lt;INDEX(FlowCalHighSetting,MATCH(AH753,FlowCalNumber,0),1,1))),INDEX(FlowCalConstA,MATCH(AH753,FlowCalNumber,0),1,1)*AJ754^INDEX(FlowCalConstB,MATCH(AH753,FlowCalNumber,0),1,1)," ")</f>
        <v>#REF!</v>
      </c>
      <c r="AL754" s="33"/>
      <c r="AM754" s="260"/>
      <c r="AN754" s="241"/>
      <c r="AO754" s="244"/>
      <c r="AQ754" s="260"/>
      <c r="AR754" s="241"/>
      <c r="AS754" s="244"/>
      <c r="AT754" s="33"/>
      <c r="AU754" s="260"/>
      <c r="AV754" s="241"/>
      <c r="AW754" s="244"/>
      <c r="AX754" s="33"/>
      <c r="AY754" s="260"/>
      <c r="AZ754" s="241"/>
      <c r="BA754" s="244"/>
      <c r="BB754" s="33"/>
      <c r="BC754" s="260"/>
      <c r="BD754" s="241"/>
      <c r="BE754" s="244"/>
      <c r="BF754" s="33"/>
      <c r="BG754" s="260"/>
      <c r="BH754" s="241"/>
      <c r="BI754" s="244"/>
      <c r="BJ754" s="33"/>
      <c r="BK754" s="260"/>
      <c r="BL754" s="241"/>
      <c r="BM754" s="244"/>
      <c r="BN754" s="33"/>
      <c r="BO754" s="260"/>
      <c r="BP754" s="241"/>
      <c r="BQ754" s="244"/>
      <c r="BR754" s="33"/>
      <c r="BS754" s="260"/>
      <c r="BT754" s="241"/>
      <c r="BU754" s="244"/>
      <c r="BV754" s="33"/>
      <c r="BW754" s="260"/>
      <c r="BX754" s="241"/>
      <c r="BY754" s="244"/>
      <c r="BZ754" s="33"/>
      <c r="CA754" s="260"/>
      <c r="CB754" s="241"/>
      <c r="CC754" s="244"/>
      <c r="CD754" s="243"/>
      <c r="CE754" s="243"/>
      <c r="CF754" s="243"/>
      <c r="CG754" s="243"/>
      <c r="CH754" s="243"/>
      <c r="CI754" s="243"/>
      <c r="CJ754" s="243"/>
      <c r="CK754" s="243"/>
      <c r="CL754" s="243"/>
      <c r="CM754" s="243"/>
      <c r="CN754" s="243"/>
      <c r="CO754" s="243"/>
      <c r="CP754" s="243"/>
      <c r="CQ754" s="243"/>
      <c r="CR754" s="243"/>
      <c r="CS754" s="243"/>
      <c r="CT754" s="243"/>
      <c r="CU754" s="243"/>
      <c r="CV754" s="243"/>
      <c r="CW754" s="243"/>
      <c r="CX754" s="243"/>
      <c r="CY754" s="243"/>
      <c r="CZ754" s="243"/>
      <c r="DA754" s="243"/>
      <c r="DB754" s="243"/>
      <c r="DC754" s="243"/>
      <c r="DD754" s="243"/>
      <c r="DE754" s="243"/>
      <c r="DF754" s="243"/>
      <c r="DG754" s="243"/>
      <c r="DH754" s="243"/>
      <c r="DI754" s="243"/>
      <c r="DJ754" s="243"/>
      <c r="DK754" s="243"/>
      <c r="DM754" s="259"/>
      <c r="DO754" s="243"/>
      <c r="DQ754" s="259"/>
      <c r="DS754" s="243"/>
      <c r="DU754" s="259"/>
      <c r="DW754" s="243"/>
      <c r="DY754" s="260"/>
      <c r="EA754" s="243"/>
    </row>
    <row r="755" spans="1:131">
      <c r="A755" s="20"/>
      <c r="B755" s="124" t="str">
        <f t="shared" si="710"/>
        <v/>
      </c>
      <c r="C755" s="235"/>
      <c r="D755" s="24">
        <f>'1% Wind'!$M$83</f>
        <v>23.5</v>
      </c>
      <c r="E755" s="90"/>
      <c r="F755" s="90"/>
      <c r="G755" s="79" t="e">
        <f ca="1">IF(I753=0.9743,$G754,MAX(G754/D754*D755,2))</f>
        <v>#REF!</v>
      </c>
      <c r="H755" s="121" t="e">
        <f t="shared" ca="1" si="711"/>
        <v>#REF!</v>
      </c>
      <c r="J755" s="33"/>
      <c r="K755" s="242">
        <f t="shared" ref="K755:K768" si="712">K754</f>
        <v>1</v>
      </c>
      <c r="L755" s="241" t="e">
        <f t="shared" ref="L755:L768" ca="1" si="713">K755*$H755</f>
        <v>#REF!</v>
      </c>
      <c r="M755" s="243" t="e">
        <f ca="1">IF(AND(INDEX(FlowCalConstA,MATCH(J753,FlowCalNumber,0),1,1)*L755^INDEX(FlowCalConstB,MATCH(J753,FlowCalNumber,0),1,1)&gt;INDEX(FlowCalLowSetting,MATCH(J753,FlowCalNumber,0),1,1), (INDEX(FlowCalConstA,MATCH(J753,FlowCalNumber,0),1,1)*L755^INDEX(FlowCalConstB,MATCH(J753,FlowCalNumber,0),1,1)&lt;INDEX(FlowCalHighSetting,MATCH(J753,FlowCalNumber,0),1,1))),INDEX(FlowCalConstA,MATCH(J753,FlowCalNumber,0),1,1)*L755^INDEX(FlowCalConstB,MATCH(J753,FlowCalNumber,0),1,1)," ")</f>
        <v>#REF!</v>
      </c>
      <c r="N755" s="33"/>
      <c r="O755" s="242">
        <f t="shared" ref="O755:O768" si="714">O754</f>
        <v>1</v>
      </c>
      <c r="P755" s="241" t="e">
        <f t="shared" ref="P755:P768" ca="1" si="715">O755*$H755</f>
        <v>#REF!</v>
      </c>
      <c r="Q755" s="243" t="e">
        <f ca="1">IF(AND(INDEX(FlowCalConstA,MATCH(N753,FlowCalNumber,0),1,1)*P755^INDEX(FlowCalConstB,MATCH(N753,FlowCalNumber,0),1,1)&gt;INDEX(FlowCalLowSetting,MATCH(N753,FlowCalNumber,0),1,1), (INDEX(FlowCalConstA,MATCH(N753,FlowCalNumber,0),1,1)*P755^INDEX(FlowCalConstB,MATCH(N753,FlowCalNumber,0),1,1)&lt;INDEX(FlowCalHighSetting,MATCH(N753,FlowCalNumber,0),1,1))),INDEX(FlowCalConstA,MATCH(N753,FlowCalNumber,0),1,1)*P755^INDEX(FlowCalConstB,MATCH(N753,FlowCalNumber,0),1,1)," ")</f>
        <v>#REF!</v>
      </c>
      <c r="R755" s="33"/>
      <c r="S755" s="242">
        <f t="shared" ref="S755:S768" si="716">S754</f>
        <v>1</v>
      </c>
      <c r="T755" s="241" t="e">
        <f t="shared" ref="T755:T768" ca="1" si="717">S755*$H755</f>
        <v>#REF!</v>
      </c>
      <c r="U755" s="244" t="e">
        <f ca="1">IF(AND(INDEX(FlowCalConstA,MATCH(R753,FlowCalNumber,0),1,1)*T755^INDEX(FlowCalConstB,MATCH(R753,FlowCalNumber,0),1,1)&gt;INDEX(FlowCalLowSetting,MATCH(R753,FlowCalNumber,0),1,1), (INDEX(FlowCalConstA,MATCH(R753,FlowCalNumber,0),1,1)*T755^INDEX(FlowCalConstB,MATCH(R753,FlowCalNumber,0),1,1)&lt;INDEX(FlowCalHighSetting,MATCH(R753,FlowCalNumber,0),1,1))),INDEX(FlowCalConstA,MATCH(R753,FlowCalNumber,0),1,1)*T755^INDEX(FlowCalConstB,MATCH(R753,FlowCalNumber,0),1,1)," ")</f>
        <v>#REF!</v>
      </c>
      <c r="V755" s="33"/>
      <c r="W755" s="242">
        <f t="shared" ref="W755:W768" si="718">W754</f>
        <v>0.1</v>
      </c>
      <c r="X755" s="241" t="e">
        <f t="shared" ref="X755:X768" ca="1" si="719">W755*$H755</f>
        <v>#REF!</v>
      </c>
      <c r="Y755" s="243" t="e">
        <f ca="1">IF(AND(INDEX(FlowCalConstA,MATCH(V753,FlowCalNumber,0),1,1)*X755^INDEX(FlowCalConstB,MATCH(V753,FlowCalNumber,0),1,1)&gt;INDEX(FlowCalLowSetting,MATCH(V753,FlowCalNumber,0),1,1), (INDEX(FlowCalConstA,MATCH(V753,FlowCalNumber,0),1,1)*X755^INDEX(FlowCalConstB,MATCH(V753,FlowCalNumber,0),1,1)&lt;INDEX(FlowCalHighSetting,MATCH(V753,FlowCalNumber,0),1,1))),INDEX(FlowCalConstA,MATCH(V753,FlowCalNumber,0),1,1)*X755^INDEX(FlowCalConstB,MATCH(V753,FlowCalNumber,0),1,1)," ")</f>
        <v>#REF!</v>
      </c>
      <c r="Z755" s="33"/>
      <c r="AA755" s="242">
        <f t="shared" ref="AA755:AA768" si="720">AA754</f>
        <v>0.9</v>
      </c>
      <c r="AB755" s="241" t="e">
        <f t="shared" ref="AB755:AB768" ca="1" si="721">AA755*$H755</f>
        <v>#REF!</v>
      </c>
      <c r="AC755" s="243" t="e">
        <f ca="1">IF(AND(INDEX(FlowCalConstA,MATCH(Z753,FlowCalNumber,0),1,1)*AB755^INDEX(FlowCalConstB,MATCH(Z753,FlowCalNumber,0),1,1)&gt;INDEX(FlowCalLowSetting,MATCH(Z753,FlowCalNumber,0),1,1), (INDEX(FlowCalConstA,MATCH(Z753,FlowCalNumber,0),1,1)*AB755^INDEX(FlowCalConstB,MATCH(Z753,FlowCalNumber,0),1,1)&lt;INDEX(FlowCalHighSetting,MATCH(Z753,FlowCalNumber,0),1,1))),INDEX(FlowCalConstA,MATCH(Z753,FlowCalNumber,0),1,1)*AB755^INDEX(FlowCalConstB,MATCH(Z753,FlowCalNumber,0),1,1)," ")</f>
        <v>#REF!</v>
      </c>
      <c r="AD755" s="33"/>
      <c r="AE755" s="242">
        <f t="shared" ref="AE755:AE768" si="722">AE754</f>
        <v>0.1</v>
      </c>
      <c r="AF755" s="241" t="e">
        <f t="shared" ref="AF755:AF768" ca="1" si="723">AE755*$H755</f>
        <v>#REF!</v>
      </c>
      <c r="AG755" s="243" t="e">
        <f ca="1">IF(AND(INDEX(FlowCalConstA,MATCH(AD753,FlowCalNumber,0),1,1)*AF755^INDEX(FlowCalConstB,MATCH(AD753,FlowCalNumber,0),1,1)&gt;INDEX(FlowCalLowSetting,MATCH(AD753,FlowCalNumber,0),1,1), (INDEX(FlowCalConstA,MATCH(AD753,FlowCalNumber,0),1,1)*AF755^INDEX(FlowCalConstB,MATCH(AD753,FlowCalNumber,0),1,1)&lt;INDEX(FlowCalHighSetting,MATCH(AD753,FlowCalNumber,0),1,1))),INDEX(FlowCalConstA,MATCH(AD753,FlowCalNumber,0),1,1)*AF755^INDEX(FlowCalConstB,MATCH(AD753,FlowCalNumber,0),1,1)," ")</f>
        <v>#REF!</v>
      </c>
      <c r="AH755" s="33"/>
      <c r="AI755" s="242">
        <f t="shared" ref="AI755:AI768" si="724">AI754</f>
        <v>0.9</v>
      </c>
      <c r="AJ755" s="241" t="e">
        <f t="shared" ref="AJ755:AJ768" ca="1" si="725">AI755*$H755</f>
        <v>#REF!</v>
      </c>
      <c r="AK755" s="243" t="e">
        <f ca="1">IF(AND(INDEX(FlowCalConstA,MATCH(AH753,FlowCalNumber,0),1,1)*AJ755^INDEX(FlowCalConstB,MATCH(AH753,FlowCalNumber,0),1,1)&gt;INDEX(FlowCalLowSetting,MATCH(AH753,FlowCalNumber,0),1,1), (INDEX(FlowCalConstA,MATCH(AH753,FlowCalNumber,0),1,1)*AJ755^INDEX(FlowCalConstB,MATCH(AH753,FlowCalNumber,0),1,1)&lt;INDEX(FlowCalHighSetting,MATCH(AH753,FlowCalNumber,0),1,1))),INDEX(FlowCalConstA,MATCH(AH753,FlowCalNumber,0),1,1)*AJ755^INDEX(FlowCalConstB,MATCH(AH753,FlowCalNumber,0),1,1)," ")</f>
        <v>#REF!</v>
      </c>
      <c r="AL755" s="33"/>
      <c r="AM755" s="242"/>
      <c r="AN755" s="241"/>
      <c r="AO755" s="244"/>
      <c r="AQ755" s="242"/>
      <c r="AR755" s="241"/>
      <c r="AS755" s="244"/>
      <c r="AT755" s="33"/>
      <c r="AU755" s="242"/>
      <c r="AV755" s="241"/>
      <c r="AW755" s="244"/>
      <c r="AX755" s="33"/>
      <c r="AY755" s="242"/>
      <c r="AZ755" s="241"/>
      <c r="BA755" s="244"/>
      <c r="BB755" s="33"/>
      <c r="BC755" s="242"/>
      <c r="BD755" s="241"/>
      <c r="BE755" s="244"/>
      <c r="BF755" s="33"/>
      <c r="BG755" s="242"/>
      <c r="BH755" s="241"/>
      <c r="BI755" s="244"/>
      <c r="BJ755" s="33"/>
      <c r="BK755" s="242"/>
      <c r="BL755" s="241"/>
      <c r="BM755" s="244"/>
      <c r="BN755" s="33"/>
      <c r="BO755" s="242"/>
      <c r="BP755" s="241"/>
      <c r="BQ755" s="244"/>
      <c r="BR755" s="33"/>
      <c r="BS755" s="242"/>
      <c r="BT755" s="241"/>
      <c r="BU755" s="244"/>
      <c r="BV755" s="33"/>
      <c r="BW755" s="242"/>
      <c r="BX755" s="241"/>
      <c r="BY755" s="244"/>
      <c r="BZ755" s="33"/>
      <c r="CA755" s="242"/>
      <c r="CB755" s="241"/>
      <c r="CC755" s="244"/>
      <c r="CD755" s="243"/>
      <c r="CE755" s="243"/>
      <c r="CF755" s="243"/>
      <c r="CG755" s="243"/>
      <c r="CH755" s="243"/>
      <c r="CI755" s="243"/>
      <c r="CJ755" s="243"/>
      <c r="CK755" s="243"/>
      <c r="CL755" s="243"/>
      <c r="CM755" s="243"/>
      <c r="CN755" s="243"/>
      <c r="CO755" s="243"/>
      <c r="CP755" s="243"/>
      <c r="CQ755" s="243"/>
      <c r="CR755" s="243"/>
      <c r="CS755" s="243"/>
      <c r="CT755" s="243"/>
      <c r="CU755" s="243"/>
      <c r="CV755" s="243"/>
      <c r="CW755" s="243"/>
      <c r="CX755" s="243"/>
      <c r="CY755" s="243"/>
      <c r="CZ755" s="243"/>
      <c r="DA755" s="243"/>
      <c r="DB755" s="243"/>
      <c r="DC755" s="243"/>
      <c r="DD755" s="243"/>
      <c r="DE755" s="243"/>
      <c r="DF755" s="243"/>
      <c r="DG755" s="243"/>
      <c r="DH755" s="243"/>
      <c r="DI755" s="243"/>
      <c r="DJ755" s="243"/>
      <c r="DK755" s="243"/>
      <c r="DM755" s="242"/>
      <c r="DO755" s="243"/>
      <c r="DQ755" s="242"/>
      <c r="DS755" s="243"/>
      <c r="DU755" s="242"/>
      <c r="DW755" s="243"/>
      <c r="DY755" s="242"/>
      <c r="EA755" s="243"/>
    </row>
    <row r="756" spans="1:131">
      <c r="A756" s="20"/>
      <c r="B756" s="124" t="str">
        <f t="shared" si="710"/>
        <v/>
      </c>
      <c r="C756" s="235"/>
      <c r="D756" s="24">
        <f>'1% Wind'!$M$84</f>
        <v>20.5</v>
      </c>
      <c r="E756" s="90"/>
      <c r="F756" s="90"/>
      <c r="G756" s="79" t="e">
        <f ca="1">IF(I753=0.9743,$G755,MAX(G755/D755*D756,2))</f>
        <v>#REF!</v>
      </c>
      <c r="H756" s="121" t="e">
        <f t="shared" ca="1" si="711"/>
        <v>#REF!</v>
      </c>
      <c r="J756" s="33"/>
      <c r="K756" s="242">
        <f t="shared" si="712"/>
        <v>1</v>
      </c>
      <c r="L756" s="241" t="e">
        <f t="shared" ca="1" si="713"/>
        <v>#REF!</v>
      </c>
      <c r="M756" s="243" t="e">
        <f ca="1">IF(AND(INDEX(FlowCalConstA,MATCH(J753,FlowCalNumber,0),1,1)*L756^INDEX(FlowCalConstB,MATCH(J753,FlowCalNumber,0),1,1)&gt;INDEX(FlowCalLowSetting,MATCH(J753,FlowCalNumber,0),1,1), (INDEX(FlowCalConstA,MATCH(J753,FlowCalNumber,0),1,1)*L756^INDEX(FlowCalConstB,MATCH(J753,FlowCalNumber,0),1,1)&lt;INDEX(FlowCalHighSetting,MATCH(J753,FlowCalNumber,0),1,1))),INDEX(FlowCalConstA,MATCH(J753,FlowCalNumber,0),1,1)*L756^INDEX(FlowCalConstB,MATCH(J753,FlowCalNumber,0),1,1)," ")</f>
        <v>#REF!</v>
      </c>
      <c r="N756" s="33"/>
      <c r="O756" s="242">
        <f t="shared" si="714"/>
        <v>1</v>
      </c>
      <c r="P756" s="241" t="e">
        <f t="shared" ca="1" si="715"/>
        <v>#REF!</v>
      </c>
      <c r="Q756" s="243" t="e">
        <f ca="1">IF(AND(INDEX(FlowCalConstA,MATCH(N753,FlowCalNumber,0),1,1)*P756^INDEX(FlowCalConstB,MATCH(N753,FlowCalNumber,0),1,1)&gt;INDEX(FlowCalLowSetting,MATCH(N753,FlowCalNumber,0),1,1), (INDEX(FlowCalConstA,MATCH(N753,FlowCalNumber,0),1,1)*P756^INDEX(FlowCalConstB,MATCH(N753,FlowCalNumber,0),1,1)&lt;INDEX(FlowCalHighSetting,MATCH(N753,FlowCalNumber,0),1,1))),INDEX(FlowCalConstA,MATCH(N753,FlowCalNumber,0),1,1)*P756^INDEX(FlowCalConstB,MATCH(N753,FlowCalNumber,0),1,1)," ")</f>
        <v>#REF!</v>
      </c>
      <c r="R756" s="33"/>
      <c r="S756" s="242">
        <f t="shared" si="716"/>
        <v>1</v>
      </c>
      <c r="T756" s="241" t="e">
        <f t="shared" ca="1" si="717"/>
        <v>#REF!</v>
      </c>
      <c r="U756" s="244" t="e">
        <f ca="1">IF(AND(INDEX(FlowCalConstA,MATCH(R753,FlowCalNumber,0),1,1)*T756^INDEX(FlowCalConstB,MATCH(R753,FlowCalNumber,0),1,1)&gt;INDEX(FlowCalLowSetting,MATCH(R753,FlowCalNumber,0),1,1), (INDEX(FlowCalConstA,MATCH(R753,FlowCalNumber,0),1,1)*T756^INDEX(FlowCalConstB,MATCH(R753,FlowCalNumber,0),1,1)&lt;INDEX(FlowCalHighSetting,MATCH(R753,FlowCalNumber,0),1,1))),INDEX(FlowCalConstA,MATCH(R753,FlowCalNumber,0),1,1)*T756^INDEX(FlowCalConstB,MATCH(R753,FlowCalNumber,0),1,1)," ")</f>
        <v>#REF!</v>
      </c>
      <c r="V756" s="33"/>
      <c r="W756" s="242">
        <f t="shared" si="718"/>
        <v>0.1</v>
      </c>
      <c r="X756" s="241" t="e">
        <f t="shared" ca="1" si="719"/>
        <v>#REF!</v>
      </c>
      <c r="Y756" s="243" t="e">
        <f ca="1">IF(AND(INDEX(FlowCalConstA,MATCH(V753,FlowCalNumber,0),1,1)*X756^INDEX(FlowCalConstB,MATCH(V753,FlowCalNumber,0),1,1)&gt;INDEX(FlowCalLowSetting,MATCH(V753,FlowCalNumber,0),1,1), (INDEX(FlowCalConstA,MATCH(V753,FlowCalNumber,0),1,1)*X756^INDEX(FlowCalConstB,MATCH(V753,FlowCalNumber,0),1,1)&lt;INDEX(FlowCalHighSetting,MATCH(V753,FlowCalNumber,0),1,1))),INDEX(FlowCalConstA,MATCH(V753,FlowCalNumber,0),1,1)*X756^INDEX(FlowCalConstB,MATCH(V753,FlowCalNumber,0),1,1)," ")</f>
        <v>#REF!</v>
      </c>
      <c r="Z756" s="33"/>
      <c r="AA756" s="242">
        <f t="shared" si="720"/>
        <v>0.9</v>
      </c>
      <c r="AB756" s="241" t="e">
        <f t="shared" ca="1" si="721"/>
        <v>#REF!</v>
      </c>
      <c r="AC756" s="243" t="e">
        <f ca="1">IF(AND(INDEX(FlowCalConstA,MATCH(Z753,FlowCalNumber,0),1,1)*AB756^INDEX(FlowCalConstB,MATCH(Z753,FlowCalNumber,0),1,1)&gt;INDEX(FlowCalLowSetting,MATCH(Z753,FlowCalNumber,0),1,1), (INDEX(FlowCalConstA,MATCH(Z753,FlowCalNumber,0),1,1)*AB756^INDEX(FlowCalConstB,MATCH(Z753,FlowCalNumber,0),1,1)&lt;INDEX(FlowCalHighSetting,MATCH(Z753,FlowCalNumber,0),1,1))),INDEX(FlowCalConstA,MATCH(Z753,FlowCalNumber,0),1,1)*AB756^INDEX(FlowCalConstB,MATCH(Z753,FlowCalNumber,0),1,1)," ")</f>
        <v>#REF!</v>
      </c>
      <c r="AD756" s="33"/>
      <c r="AE756" s="242">
        <f t="shared" si="722"/>
        <v>0.1</v>
      </c>
      <c r="AF756" s="241" t="e">
        <f t="shared" ca="1" si="723"/>
        <v>#REF!</v>
      </c>
      <c r="AG756" s="243" t="e">
        <f ca="1">IF(AND(INDEX(FlowCalConstA,MATCH(AD753,FlowCalNumber,0),1,1)*AF756^INDEX(FlowCalConstB,MATCH(AD753,FlowCalNumber,0),1,1)&gt;INDEX(FlowCalLowSetting,MATCH(AD753,FlowCalNumber,0),1,1), (INDEX(FlowCalConstA,MATCH(AD753,FlowCalNumber,0),1,1)*AF756^INDEX(FlowCalConstB,MATCH(AD753,FlowCalNumber,0),1,1)&lt;INDEX(FlowCalHighSetting,MATCH(AD753,FlowCalNumber,0),1,1))),INDEX(FlowCalConstA,MATCH(AD753,FlowCalNumber,0),1,1)*AF756^INDEX(FlowCalConstB,MATCH(AD753,FlowCalNumber,0),1,1)," ")</f>
        <v>#REF!</v>
      </c>
      <c r="AH756" s="33"/>
      <c r="AI756" s="242">
        <f t="shared" si="724"/>
        <v>0.9</v>
      </c>
      <c r="AJ756" s="241" t="e">
        <f t="shared" ca="1" si="725"/>
        <v>#REF!</v>
      </c>
      <c r="AK756" s="243" t="e">
        <f ca="1">IF(AND(INDEX(FlowCalConstA,MATCH(AH753,FlowCalNumber,0),1,1)*AJ756^INDEX(FlowCalConstB,MATCH(AH753,FlowCalNumber,0),1,1)&gt;INDEX(FlowCalLowSetting,MATCH(AH753,FlowCalNumber,0),1,1), (INDEX(FlowCalConstA,MATCH(AH753,FlowCalNumber,0),1,1)*AJ756^INDEX(FlowCalConstB,MATCH(AH753,FlowCalNumber,0),1,1)&lt;INDEX(FlowCalHighSetting,MATCH(AH753,FlowCalNumber,0),1,1))),INDEX(FlowCalConstA,MATCH(AH753,FlowCalNumber,0),1,1)*AJ756^INDEX(FlowCalConstB,MATCH(AH753,FlowCalNumber,0),1,1)," ")</f>
        <v>#REF!</v>
      </c>
      <c r="AL756" s="33"/>
      <c r="AM756" s="242"/>
      <c r="AN756" s="241"/>
      <c r="AO756" s="244"/>
      <c r="AQ756" s="242"/>
      <c r="AR756" s="241"/>
      <c r="AS756" s="244"/>
      <c r="AT756" s="33"/>
      <c r="AU756" s="242"/>
      <c r="AV756" s="241"/>
      <c r="AW756" s="244"/>
      <c r="AX756" s="33"/>
      <c r="AY756" s="242"/>
      <c r="AZ756" s="241"/>
      <c r="BA756" s="244"/>
      <c r="BB756" s="33"/>
      <c r="BC756" s="242"/>
      <c r="BD756" s="241"/>
      <c r="BE756" s="244"/>
      <c r="BF756" s="33"/>
      <c r="BG756" s="242"/>
      <c r="BH756" s="241"/>
      <c r="BI756" s="244"/>
      <c r="BJ756" s="33"/>
      <c r="BK756" s="242"/>
      <c r="BL756" s="241"/>
      <c r="BM756" s="244"/>
      <c r="BN756" s="33"/>
      <c r="BO756" s="242"/>
      <c r="BP756" s="241"/>
      <c r="BQ756" s="244"/>
      <c r="BR756" s="33"/>
      <c r="BS756" s="242"/>
      <c r="BT756" s="241"/>
      <c r="BU756" s="244"/>
      <c r="BV756" s="33"/>
      <c r="BW756" s="242"/>
      <c r="BX756" s="241"/>
      <c r="BY756" s="244"/>
      <c r="BZ756" s="33"/>
      <c r="CA756" s="242"/>
      <c r="CB756" s="241"/>
      <c r="CC756" s="244"/>
      <c r="CD756" s="243"/>
      <c r="CE756" s="243"/>
      <c r="CF756" s="243"/>
      <c r="CG756" s="243"/>
      <c r="CH756" s="243"/>
      <c r="CI756" s="243"/>
      <c r="CJ756" s="243"/>
      <c r="CK756" s="243"/>
      <c r="CL756" s="243"/>
      <c r="CM756" s="243"/>
      <c r="CN756" s="243"/>
      <c r="CO756" s="243"/>
      <c r="CP756" s="243"/>
      <c r="CQ756" s="243"/>
      <c r="CR756" s="243"/>
      <c r="CS756" s="243"/>
      <c r="CT756" s="243"/>
      <c r="CU756" s="243"/>
      <c r="CV756" s="243"/>
      <c r="CW756" s="243"/>
      <c r="CX756" s="243"/>
      <c r="CY756" s="243"/>
      <c r="CZ756" s="243"/>
      <c r="DA756" s="243"/>
      <c r="DB756" s="243"/>
      <c r="DC756" s="243"/>
      <c r="DD756" s="243"/>
      <c r="DE756" s="243"/>
      <c r="DF756" s="243"/>
      <c r="DG756" s="243"/>
      <c r="DH756" s="243"/>
      <c r="DI756" s="243"/>
      <c r="DJ756" s="243"/>
      <c r="DK756" s="243"/>
      <c r="DM756" s="242"/>
      <c r="DO756" s="243"/>
      <c r="DQ756" s="242"/>
      <c r="DS756" s="243"/>
      <c r="DU756" s="242"/>
      <c r="DW756" s="243"/>
      <c r="DY756" s="242"/>
      <c r="EA756" s="243"/>
    </row>
    <row r="757" spans="1:131">
      <c r="A757" s="20"/>
      <c r="B757" s="124" t="str">
        <f t="shared" si="710"/>
        <v/>
      </c>
      <c r="C757" s="235"/>
      <c r="D757" s="24">
        <f>'1% Wind'!$M$85</f>
        <v>17.8</v>
      </c>
      <c r="E757" s="90"/>
      <c r="F757" s="90"/>
      <c r="G757" s="79" t="e">
        <f ca="1">IF(I753=0.9743,$G756,MAX(G756/D756*D757,2))</f>
        <v>#REF!</v>
      </c>
      <c r="H757" s="121" t="e">
        <f t="shared" ca="1" si="711"/>
        <v>#REF!</v>
      </c>
      <c r="J757" s="33"/>
      <c r="K757" s="242">
        <f t="shared" si="712"/>
        <v>1</v>
      </c>
      <c r="L757" s="241" t="e">
        <f t="shared" ca="1" si="713"/>
        <v>#REF!</v>
      </c>
      <c r="M757" s="243" t="e">
        <f ca="1">IF(AND(INDEX(FlowCalConstA,MATCH(J753,FlowCalNumber,0),1,1)*L757^INDEX(FlowCalConstB,MATCH(J753,FlowCalNumber,0),1,1)&gt;INDEX(FlowCalLowSetting,MATCH(J753,FlowCalNumber,0),1,1), (INDEX(FlowCalConstA,MATCH(J753,FlowCalNumber,0),1,1)*L757^INDEX(FlowCalConstB,MATCH(J753,FlowCalNumber,0),1,1)&lt;INDEX(FlowCalHighSetting,MATCH(J753,FlowCalNumber,0),1,1))),INDEX(FlowCalConstA,MATCH(J753,FlowCalNumber,0),1,1)*L757^INDEX(FlowCalConstB,MATCH(J753,FlowCalNumber,0),1,1)," ")</f>
        <v>#REF!</v>
      </c>
      <c r="N757" s="33"/>
      <c r="O757" s="242">
        <f t="shared" si="714"/>
        <v>1</v>
      </c>
      <c r="P757" s="241" t="e">
        <f t="shared" ca="1" si="715"/>
        <v>#REF!</v>
      </c>
      <c r="Q757" s="243" t="e">
        <f ca="1">IF(AND(INDEX(FlowCalConstA,MATCH(N753,FlowCalNumber,0),1,1)*P757^INDEX(FlowCalConstB,MATCH(N753,FlowCalNumber,0),1,1)&gt;INDEX(FlowCalLowSetting,MATCH(N753,FlowCalNumber,0),1,1), (INDEX(FlowCalConstA,MATCH(N753,FlowCalNumber,0),1,1)*P757^INDEX(FlowCalConstB,MATCH(N753,FlowCalNumber,0),1,1)&lt;INDEX(FlowCalHighSetting,MATCH(N753,FlowCalNumber,0),1,1))),INDEX(FlowCalConstA,MATCH(N753,FlowCalNumber,0),1,1)*P757^INDEX(FlowCalConstB,MATCH(N753,FlowCalNumber,0),1,1)," ")</f>
        <v>#REF!</v>
      </c>
      <c r="R757" s="33"/>
      <c r="S757" s="242">
        <f t="shared" si="716"/>
        <v>1</v>
      </c>
      <c r="T757" s="241" t="e">
        <f t="shared" ca="1" si="717"/>
        <v>#REF!</v>
      </c>
      <c r="U757" s="244" t="e">
        <f ca="1">IF(AND(INDEX(FlowCalConstA,MATCH(R753,FlowCalNumber,0),1,1)*T757^INDEX(FlowCalConstB,MATCH(R753,FlowCalNumber,0),1,1)&gt;INDEX(FlowCalLowSetting,MATCH(R753,FlowCalNumber,0),1,1), (INDEX(FlowCalConstA,MATCH(R753,FlowCalNumber,0),1,1)*T757^INDEX(FlowCalConstB,MATCH(R753,FlowCalNumber,0),1,1)&lt;INDEX(FlowCalHighSetting,MATCH(R753,FlowCalNumber,0),1,1))),INDEX(FlowCalConstA,MATCH(R753,FlowCalNumber,0),1,1)*T757^INDEX(FlowCalConstB,MATCH(R753,FlowCalNumber,0),1,1)," ")</f>
        <v>#REF!</v>
      </c>
      <c r="V757" s="33"/>
      <c r="W757" s="242">
        <f t="shared" si="718"/>
        <v>0.1</v>
      </c>
      <c r="X757" s="241" t="e">
        <f t="shared" ca="1" si="719"/>
        <v>#REF!</v>
      </c>
      <c r="Y757" s="243" t="e">
        <f ca="1">IF(AND(INDEX(FlowCalConstA,MATCH(V753,FlowCalNumber,0),1,1)*X757^INDEX(FlowCalConstB,MATCH(V753,FlowCalNumber,0),1,1)&gt;INDEX(FlowCalLowSetting,MATCH(V753,FlowCalNumber,0),1,1), (INDEX(FlowCalConstA,MATCH(V753,FlowCalNumber,0),1,1)*X757^INDEX(FlowCalConstB,MATCH(V753,FlowCalNumber,0),1,1)&lt;INDEX(FlowCalHighSetting,MATCH(V753,FlowCalNumber,0),1,1))),INDEX(FlowCalConstA,MATCH(V753,FlowCalNumber,0),1,1)*X757^INDEX(FlowCalConstB,MATCH(V753,FlowCalNumber,0),1,1)," ")</f>
        <v>#REF!</v>
      </c>
      <c r="Z757" s="33"/>
      <c r="AA757" s="242">
        <f t="shared" si="720"/>
        <v>0.9</v>
      </c>
      <c r="AB757" s="241" t="e">
        <f t="shared" ca="1" si="721"/>
        <v>#REF!</v>
      </c>
      <c r="AC757" s="243" t="e">
        <f ca="1">IF(AND(INDEX(FlowCalConstA,MATCH(Z753,FlowCalNumber,0),1,1)*AB757^INDEX(FlowCalConstB,MATCH(Z753,FlowCalNumber,0),1,1)&gt;INDEX(FlowCalLowSetting,MATCH(Z753,FlowCalNumber,0),1,1), (INDEX(FlowCalConstA,MATCH(Z753,FlowCalNumber,0),1,1)*AB757^INDEX(FlowCalConstB,MATCH(Z753,FlowCalNumber,0),1,1)&lt;INDEX(FlowCalHighSetting,MATCH(Z753,FlowCalNumber,0),1,1))),INDEX(FlowCalConstA,MATCH(Z753,FlowCalNumber,0),1,1)*AB757^INDEX(FlowCalConstB,MATCH(Z753,FlowCalNumber,0),1,1)," ")</f>
        <v>#REF!</v>
      </c>
      <c r="AD757" s="33"/>
      <c r="AE757" s="242">
        <f t="shared" si="722"/>
        <v>0.1</v>
      </c>
      <c r="AF757" s="241" t="e">
        <f t="shared" ca="1" si="723"/>
        <v>#REF!</v>
      </c>
      <c r="AG757" s="243" t="e">
        <f ca="1">IF(AND(INDEX(FlowCalConstA,MATCH(AD753,FlowCalNumber,0),1,1)*AF757^INDEX(FlowCalConstB,MATCH(AD753,FlowCalNumber,0),1,1)&gt;INDEX(FlowCalLowSetting,MATCH(AD753,FlowCalNumber,0),1,1), (INDEX(FlowCalConstA,MATCH(AD753,FlowCalNumber,0),1,1)*AF757^INDEX(FlowCalConstB,MATCH(AD753,FlowCalNumber,0),1,1)&lt;INDEX(FlowCalHighSetting,MATCH(AD753,FlowCalNumber,0),1,1))),INDEX(FlowCalConstA,MATCH(AD753,FlowCalNumber,0),1,1)*AF757^INDEX(FlowCalConstB,MATCH(AD753,FlowCalNumber,0),1,1)," ")</f>
        <v>#REF!</v>
      </c>
      <c r="AH757" s="33"/>
      <c r="AI757" s="242">
        <f t="shared" si="724"/>
        <v>0.9</v>
      </c>
      <c r="AJ757" s="241" t="e">
        <f t="shared" ca="1" si="725"/>
        <v>#REF!</v>
      </c>
      <c r="AK757" s="243" t="e">
        <f ca="1">IF(AND(INDEX(FlowCalConstA,MATCH(AH753,FlowCalNumber,0),1,1)*AJ757^INDEX(FlowCalConstB,MATCH(AH753,FlowCalNumber,0),1,1)&gt;INDEX(FlowCalLowSetting,MATCH(AH753,FlowCalNumber,0),1,1), (INDEX(FlowCalConstA,MATCH(AH753,FlowCalNumber,0),1,1)*AJ757^INDEX(FlowCalConstB,MATCH(AH753,FlowCalNumber,0),1,1)&lt;INDEX(FlowCalHighSetting,MATCH(AH753,FlowCalNumber,0),1,1))),INDEX(FlowCalConstA,MATCH(AH753,FlowCalNumber,0),1,1)*AJ757^INDEX(FlowCalConstB,MATCH(AH753,FlowCalNumber,0),1,1)," ")</f>
        <v>#REF!</v>
      </c>
      <c r="AL757" s="33"/>
      <c r="AM757" s="242"/>
      <c r="AN757" s="241"/>
      <c r="AO757" s="244"/>
      <c r="AQ757" s="242"/>
      <c r="AR757" s="241"/>
      <c r="AS757" s="244"/>
      <c r="AT757" s="33"/>
      <c r="AU757" s="242"/>
      <c r="AV757" s="241"/>
      <c r="AW757" s="244"/>
      <c r="AX757" s="33"/>
      <c r="AY757" s="242"/>
      <c r="AZ757" s="241"/>
      <c r="BA757" s="244"/>
      <c r="BB757" s="33"/>
      <c r="BC757" s="242"/>
      <c r="BD757" s="241"/>
      <c r="BE757" s="244"/>
      <c r="BF757" s="33"/>
      <c r="BG757" s="242"/>
      <c r="BH757" s="241"/>
      <c r="BI757" s="244"/>
      <c r="BJ757" s="33"/>
      <c r="BK757" s="242"/>
      <c r="BL757" s="241"/>
      <c r="BM757" s="244"/>
      <c r="BN757" s="33"/>
      <c r="BO757" s="242"/>
      <c r="BP757" s="241"/>
      <c r="BQ757" s="244"/>
      <c r="BR757" s="33"/>
      <c r="BS757" s="242"/>
      <c r="BT757" s="241"/>
      <c r="BU757" s="244"/>
      <c r="BV757" s="33"/>
      <c r="BW757" s="242"/>
      <c r="BX757" s="241"/>
      <c r="BY757" s="244"/>
      <c r="BZ757" s="33"/>
      <c r="CA757" s="242"/>
      <c r="CB757" s="241"/>
      <c r="CC757" s="244"/>
      <c r="CD757" s="243"/>
      <c r="CE757" s="243"/>
      <c r="CF757" s="243"/>
      <c r="CG757" s="243"/>
      <c r="CH757" s="243"/>
      <c r="CI757" s="243"/>
      <c r="CJ757" s="243"/>
      <c r="CK757" s="243"/>
      <c r="CL757" s="243"/>
      <c r="CM757" s="243"/>
      <c r="CN757" s="243"/>
      <c r="CO757" s="243"/>
      <c r="CP757" s="243"/>
      <c r="CQ757" s="243"/>
      <c r="CR757" s="243"/>
      <c r="CS757" s="243"/>
      <c r="CT757" s="243"/>
      <c r="CU757" s="243"/>
      <c r="CV757" s="243"/>
      <c r="CW757" s="243"/>
      <c r="CX757" s="243"/>
      <c r="CY757" s="243"/>
      <c r="CZ757" s="243"/>
      <c r="DA757" s="243"/>
      <c r="DB757" s="243"/>
      <c r="DC757" s="243"/>
      <c r="DD757" s="243"/>
      <c r="DE757" s="243"/>
      <c r="DF757" s="243"/>
      <c r="DG757" s="243"/>
      <c r="DH757" s="243"/>
      <c r="DI757" s="243"/>
      <c r="DJ757" s="243"/>
      <c r="DK757" s="243"/>
      <c r="DM757" s="242"/>
      <c r="DO757" s="243"/>
      <c r="DQ757" s="242"/>
      <c r="DS757" s="243"/>
      <c r="DU757" s="242"/>
      <c r="DW757" s="243"/>
      <c r="DY757" s="242"/>
      <c r="EA757" s="243"/>
    </row>
    <row r="758" spans="1:131">
      <c r="A758" s="20"/>
      <c r="B758" s="124" t="str">
        <f t="shared" si="710"/>
        <v/>
      </c>
      <c r="C758" s="235"/>
      <c r="D758" s="24">
        <f>'1% Wind'!$M$86</f>
        <v>15.5</v>
      </c>
      <c r="E758" s="90"/>
      <c r="F758" s="90"/>
      <c r="G758" s="79" t="e">
        <f ca="1">IF(I753=0.9743,$G757,MAX(G757/D757*D758,2))</f>
        <v>#REF!</v>
      </c>
      <c r="H758" s="121" t="e">
        <f t="shared" ca="1" si="711"/>
        <v>#REF!</v>
      </c>
      <c r="J758" s="33"/>
      <c r="K758" s="242">
        <f t="shared" si="712"/>
        <v>1</v>
      </c>
      <c r="L758" s="241" t="e">
        <f t="shared" ca="1" si="713"/>
        <v>#REF!</v>
      </c>
      <c r="M758" s="243" t="e">
        <f ca="1">IF(AND(INDEX(FlowCalConstA,MATCH(J753,FlowCalNumber,0),1,1)*L758^INDEX(FlowCalConstB,MATCH(J753,FlowCalNumber,0),1,1)&gt;INDEX(FlowCalLowSetting,MATCH(J753,FlowCalNumber,0),1,1), (INDEX(FlowCalConstA,MATCH(J753,FlowCalNumber,0),1,1)*L758^INDEX(FlowCalConstB,MATCH(J753,FlowCalNumber,0),1,1)&lt;INDEX(FlowCalHighSetting,MATCH(J753,FlowCalNumber,0),1,1))),INDEX(FlowCalConstA,MATCH(J753,FlowCalNumber,0),1,1)*L758^INDEX(FlowCalConstB,MATCH(J753,FlowCalNumber,0),1,1)," ")</f>
        <v>#REF!</v>
      </c>
      <c r="N758" s="33"/>
      <c r="O758" s="242">
        <f t="shared" si="714"/>
        <v>1</v>
      </c>
      <c r="P758" s="241" t="e">
        <f t="shared" ca="1" si="715"/>
        <v>#REF!</v>
      </c>
      <c r="Q758" s="243" t="e">
        <f ca="1">IF(AND(INDEX(FlowCalConstA,MATCH(N753,FlowCalNumber,0),1,1)*P758^INDEX(FlowCalConstB,MATCH(N753,FlowCalNumber,0),1,1)&gt;INDEX(FlowCalLowSetting,MATCH(N753,FlowCalNumber,0),1,1), (INDEX(FlowCalConstA,MATCH(N753,FlowCalNumber,0),1,1)*P758^INDEX(FlowCalConstB,MATCH(N753,FlowCalNumber,0),1,1)&lt;INDEX(FlowCalHighSetting,MATCH(N753,FlowCalNumber,0),1,1))),INDEX(FlowCalConstA,MATCH(N753,FlowCalNumber,0),1,1)*P758^INDEX(FlowCalConstB,MATCH(N753,FlowCalNumber,0),1,1)," ")</f>
        <v>#REF!</v>
      </c>
      <c r="R758" s="33"/>
      <c r="S758" s="242">
        <f t="shared" si="716"/>
        <v>1</v>
      </c>
      <c r="T758" s="241" t="e">
        <f t="shared" ca="1" si="717"/>
        <v>#REF!</v>
      </c>
      <c r="U758" s="244" t="e">
        <f ca="1">IF(AND(INDEX(FlowCalConstA,MATCH(R753,FlowCalNumber,0),1,1)*T758^INDEX(FlowCalConstB,MATCH(R753,FlowCalNumber,0),1,1)&gt;INDEX(FlowCalLowSetting,MATCH(R753,FlowCalNumber,0),1,1), (INDEX(FlowCalConstA,MATCH(R753,FlowCalNumber,0),1,1)*T758^INDEX(FlowCalConstB,MATCH(R753,FlowCalNumber,0),1,1)&lt;INDEX(FlowCalHighSetting,MATCH(R753,FlowCalNumber,0),1,1))),INDEX(FlowCalConstA,MATCH(R753,FlowCalNumber,0),1,1)*T758^INDEX(FlowCalConstB,MATCH(R753,FlowCalNumber,0),1,1)," ")</f>
        <v>#REF!</v>
      </c>
      <c r="V758" s="33"/>
      <c r="W758" s="242">
        <f t="shared" si="718"/>
        <v>0.1</v>
      </c>
      <c r="X758" s="241" t="e">
        <f t="shared" ca="1" si="719"/>
        <v>#REF!</v>
      </c>
      <c r="Y758" s="243" t="e">
        <f ca="1">IF(AND(INDEX(FlowCalConstA,MATCH(V753,FlowCalNumber,0),1,1)*X758^INDEX(FlowCalConstB,MATCH(V753,FlowCalNumber,0),1,1)&gt;INDEX(FlowCalLowSetting,MATCH(V753,FlowCalNumber,0),1,1), (INDEX(FlowCalConstA,MATCH(V753,FlowCalNumber,0),1,1)*X758^INDEX(FlowCalConstB,MATCH(V753,FlowCalNumber,0),1,1)&lt;INDEX(FlowCalHighSetting,MATCH(V753,FlowCalNumber,0),1,1))),INDEX(FlowCalConstA,MATCH(V753,FlowCalNumber,0),1,1)*X758^INDEX(FlowCalConstB,MATCH(V753,FlowCalNumber,0),1,1)," ")</f>
        <v>#REF!</v>
      </c>
      <c r="Z758" s="33"/>
      <c r="AA758" s="242">
        <f t="shared" si="720"/>
        <v>0.9</v>
      </c>
      <c r="AB758" s="241" t="e">
        <f t="shared" ca="1" si="721"/>
        <v>#REF!</v>
      </c>
      <c r="AC758" s="243" t="e">
        <f ca="1">IF(AND(INDEX(FlowCalConstA,MATCH(Z753,FlowCalNumber,0),1,1)*AB758^INDEX(FlowCalConstB,MATCH(Z753,FlowCalNumber,0),1,1)&gt;INDEX(FlowCalLowSetting,MATCH(Z753,FlowCalNumber,0),1,1), (INDEX(FlowCalConstA,MATCH(Z753,FlowCalNumber,0),1,1)*AB758^INDEX(FlowCalConstB,MATCH(Z753,FlowCalNumber,0),1,1)&lt;INDEX(FlowCalHighSetting,MATCH(Z753,FlowCalNumber,0),1,1))),INDEX(FlowCalConstA,MATCH(Z753,FlowCalNumber,0),1,1)*AB758^INDEX(FlowCalConstB,MATCH(Z753,FlowCalNumber,0),1,1)," ")</f>
        <v>#REF!</v>
      </c>
      <c r="AD758" s="33"/>
      <c r="AE758" s="242">
        <f t="shared" si="722"/>
        <v>0.1</v>
      </c>
      <c r="AF758" s="241" t="e">
        <f t="shared" ca="1" si="723"/>
        <v>#REF!</v>
      </c>
      <c r="AG758" s="243" t="e">
        <f ca="1">IF(AND(INDEX(FlowCalConstA,MATCH(AD753,FlowCalNumber,0),1,1)*AF758^INDEX(FlowCalConstB,MATCH(AD753,FlowCalNumber,0),1,1)&gt;INDEX(FlowCalLowSetting,MATCH(AD753,FlowCalNumber,0),1,1), (INDEX(FlowCalConstA,MATCH(AD753,FlowCalNumber,0),1,1)*AF758^INDEX(FlowCalConstB,MATCH(AD753,FlowCalNumber,0),1,1)&lt;INDEX(FlowCalHighSetting,MATCH(AD753,FlowCalNumber,0),1,1))),INDEX(FlowCalConstA,MATCH(AD753,FlowCalNumber,0),1,1)*AF758^INDEX(FlowCalConstB,MATCH(AD753,FlowCalNumber,0),1,1)," ")</f>
        <v>#REF!</v>
      </c>
      <c r="AH758" s="33"/>
      <c r="AI758" s="242">
        <f t="shared" si="724"/>
        <v>0.9</v>
      </c>
      <c r="AJ758" s="241" t="e">
        <f t="shared" ca="1" si="725"/>
        <v>#REF!</v>
      </c>
      <c r="AK758" s="243" t="e">
        <f ca="1">IF(AND(INDEX(FlowCalConstA,MATCH(AH753,FlowCalNumber,0),1,1)*AJ758^INDEX(FlowCalConstB,MATCH(AH753,FlowCalNumber,0),1,1)&gt;INDEX(FlowCalLowSetting,MATCH(AH753,FlowCalNumber,0),1,1), (INDEX(FlowCalConstA,MATCH(AH753,FlowCalNumber,0),1,1)*AJ758^INDEX(FlowCalConstB,MATCH(AH753,FlowCalNumber,0),1,1)&lt;INDEX(FlowCalHighSetting,MATCH(AH753,FlowCalNumber,0),1,1))),INDEX(FlowCalConstA,MATCH(AH753,FlowCalNumber,0),1,1)*AJ758^INDEX(FlowCalConstB,MATCH(AH753,FlowCalNumber,0),1,1)," ")</f>
        <v>#REF!</v>
      </c>
      <c r="AL758" s="33"/>
      <c r="AM758" s="242"/>
      <c r="AN758" s="241"/>
      <c r="AO758" s="244"/>
      <c r="AQ758" s="242"/>
      <c r="AR758" s="241"/>
      <c r="AS758" s="244"/>
      <c r="AT758" s="33"/>
      <c r="AU758" s="242"/>
      <c r="AV758" s="241"/>
      <c r="AW758" s="244"/>
      <c r="AX758" s="33"/>
      <c r="AY758" s="242"/>
      <c r="AZ758" s="241"/>
      <c r="BA758" s="244"/>
      <c r="BB758" s="33"/>
      <c r="BC758" s="242"/>
      <c r="BD758" s="241"/>
      <c r="BE758" s="244"/>
      <c r="BF758" s="33"/>
      <c r="BG758" s="242"/>
      <c r="BH758" s="241"/>
      <c r="BI758" s="244"/>
      <c r="BJ758" s="33"/>
      <c r="BK758" s="242"/>
      <c r="BL758" s="241"/>
      <c r="BM758" s="244"/>
      <c r="BN758" s="33"/>
      <c r="BO758" s="242"/>
      <c r="BP758" s="241"/>
      <c r="BQ758" s="244"/>
      <c r="BR758" s="33"/>
      <c r="BS758" s="242"/>
      <c r="BT758" s="241"/>
      <c r="BU758" s="244"/>
      <c r="BV758" s="33"/>
      <c r="BW758" s="242"/>
      <c r="BX758" s="241"/>
      <c r="BY758" s="244"/>
      <c r="BZ758" s="33"/>
      <c r="CA758" s="242"/>
      <c r="CB758" s="241"/>
      <c r="CC758" s="244"/>
      <c r="CD758" s="243"/>
      <c r="CE758" s="243"/>
      <c r="CF758" s="243"/>
      <c r="CG758" s="243"/>
      <c r="CH758" s="243"/>
      <c r="CI758" s="243"/>
      <c r="CJ758" s="243"/>
      <c r="CK758" s="243"/>
      <c r="CL758" s="243"/>
      <c r="CM758" s="243"/>
      <c r="CN758" s="243"/>
      <c r="CO758" s="243"/>
      <c r="CP758" s="243"/>
      <c r="CQ758" s="243"/>
      <c r="CR758" s="243"/>
      <c r="CS758" s="243"/>
      <c r="CT758" s="243"/>
      <c r="CU758" s="243"/>
      <c r="CV758" s="243"/>
      <c r="CW758" s="243"/>
      <c r="CX758" s="243"/>
      <c r="CY758" s="243"/>
      <c r="CZ758" s="243"/>
      <c r="DA758" s="243"/>
      <c r="DB758" s="243"/>
      <c r="DC758" s="243"/>
      <c r="DD758" s="243"/>
      <c r="DE758" s="243"/>
      <c r="DF758" s="243"/>
      <c r="DG758" s="243"/>
      <c r="DH758" s="243"/>
      <c r="DI758" s="243"/>
      <c r="DJ758" s="243"/>
      <c r="DK758" s="243"/>
      <c r="DM758" s="242"/>
      <c r="DO758" s="243"/>
      <c r="DQ758" s="242"/>
      <c r="DS758" s="243"/>
      <c r="DU758" s="242"/>
      <c r="DW758" s="243"/>
      <c r="DY758" s="242"/>
      <c r="EA758" s="243"/>
    </row>
    <row r="759" spans="1:131">
      <c r="A759" s="20"/>
      <c r="B759" s="124" t="str">
        <f t="shared" si="710"/>
        <v/>
      </c>
      <c r="C759" s="235"/>
      <c r="D759" s="24">
        <f>'1% Wind'!$M$87</f>
        <v>13.5</v>
      </c>
      <c r="E759" s="90"/>
      <c r="F759" s="90"/>
      <c r="G759" s="79" t="e">
        <f ca="1">IF(I753=0.9743,$G758,MAX(G758/D758*D759,2))</f>
        <v>#REF!</v>
      </c>
      <c r="H759" s="121" t="e">
        <f t="shared" ca="1" si="711"/>
        <v>#REF!</v>
      </c>
      <c r="J759" s="33"/>
      <c r="K759" s="242">
        <f t="shared" si="712"/>
        <v>1</v>
      </c>
      <c r="L759" s="241" t="e">
        <f t="shared" ca="1" si="713"/>
        <v>#REF!</v>
      </c>
      <c r="M759" s="243" t="e">
        <f ca="1">IF(AND(INDEX(FlowCalConstA,MATCH(J753,FlowCalNumber,0),1,1)*L759^INDEX(FlowCalConstB,MATCH(J753,FlowCalNumber,0),1,1)&gt;INDEX(FlowCalLowSetting,MATCH(J753,FlowCalNumber,0),1,1), (INDEX(FlowCalConstA,MATCH(J753,FlowCalNumber,0),1,1)*L759^INDEX(FlowCalConstB,MATCH(J753,FlowCalNumber,0),1,1)&lt;INDEX(FlowCalHighSetting,MATCH(J753,FlowCalNumber,0),1,1))),INDEX(FlowCalConstA,MATCH(J753,FlowCalNumber,0),1,1)*L759^INDEX(FlowCalConstB,MATCH(J753,FlowCalNumber,0),1,1)," ")</f>
        <v>#REF!</v>
      </c>
      <c r="N759" s="33"/>
      <c r="O759" s="242">
        <f t="shared" si="714"/>
        <v>1</v>
      </c>
      <c r="P759" s="241" t="e">
        <f t="shared" ca="1" si="715"/>
        <v>#REF!</v>
      </c>
      <c r="Q759" s="243" t="e">
        <f ca="1">IF(AND(INDEX(FlowCalConstA,MATCH(N753,FlowCalNumber,0),1,1)*P759^INDEX(FlowCalConstB,MATCH(N753,FlowCalNumber,0),1,1)&gt;INDEX(FlowCalLowSetting,MATCH(N753,FlowCalNumber,0),1,1), (INDEX(FlowCalConstA,MATCH(N753,FlowCalNumber,0),1,1)*P759^INDEX(FlowCalConstB,MATCH(N753,FlowCalNumber,0),1,1)&lt;INDEX(FlowCalHighSetting,MATCH(N753,FlowCalNumber,0),1,1))),INDEX(FlowCalConstA,MATCH(N753,FlowCalNumber,0),1,1)*P759^INDEX(FlowCalConstB,MATCH(N753,FlowCalNumber,0),1,1)," ")</f>
        <v>#REF!</v>
      </c>
      <c r="R759" s="33"/>
      <c r="S759" s="242">
        <f t="shared" si="716"/>
        <v>1</v>
      </c>
      <c r="T759" s="241" t="e">
        <f t="shared" ca="1" si="717"/>
        <v>#REF!</v>
      </c>
      <c r="U759" s="244" t="e">
        <f ca="1">IF(AND(INDEX(FlowCalConstA,MATCH(R753,FlowCalNumber,0),1,1)*T759^INDEX(FlowCalConstB,MATCH(R753,FlowCalNumber,0),1,1)&gt;INDEX(FlowCalLowSetting,MATCH(R753,FlowCalNumber,0),1,1), (INDEX(FlowCalConstA,MATCH(R753,FlowCalNumber,0),1,1)*T759^INDEX(FlowCalConstB,MATCH(R753,FlowCalNumber,0),1,1)&lt;INDEX(FlowCalHighSetting,MATCH(R753,FlowCalNumber,0),1,1))),INDEX(FlowCalConstA,MATCH(R753,FlowCalNumber,0),1,1)*T759^INDEX(FlowCalConstB,MATCH(R753,FlowCalNumber,0),1,1)," ")</f>
        <v>#REF!</v>
      </c>
      <c r="V759" s="33"/>
      <c r="W759" s="242">
        <f t="shared" si="718"/>
        <v>0.1</v>
      </c>
      <c r="X759" s="241" t="e">
        <f t="shared" ca="1" si="719"/>
        <v>#REF!</v>
      </c>
      <c r="Y759" s="243" t="e">
        <f ca="1">IF(AND(INDEX(FlowCalConstA,MATCH(V753,FlowCalNumber,0),1,1)*X759^INDEX(FlowCalConstB,MATCH(V753,FlowCalNumber,0),1,1)&gt;INDEX(FlowCalLowSetting,MATCH(V753,FlowCalNumber,0),1,1), (INDEX(FlowCalConstA,MATCH(V753,FlowCalNumber,0),1,1)*X759^INDEX(FlowCalConstB,MATCH(V753,FlowCalNumber,0),1,1)&lt;INDEX(FlowCalHighSetting,MATCH(V753,FlowCalNumber,0),1,1))),INDEX(FlowCalConstA,MATCH(V753,FlowCalNumber,0),1,1)*X759^INDEX(FlowCalConstB,MATCH(V753,FlowCalNumber,0),1,1)," ")</f>
        <v>#REF!</v>
      </c>
      <c r="Z759" s="33"/>
      <c r="AA759" s="242">
        <f t="shared" si="720"/>
        <v>0.9</v>
      </c>
      <c r="AB759" s="241" t="e">
        <f t="shared" ca="1" si="721"/>
        <v>#REF!</v>
      </c>
      <c r="AC759" s="243" t="e">
        <f ca="1">IF(AND(INDEX(FlowCalConstA,MATCH(Z753,FlowCalNumber,0),1,1)*AB759^INDEX(FlowCalConstB,MATCH(Z753,FlowCalNumber,0),1,1)&gt;INDEX(FlowCalLowSetting,MATCH(Z753,FlowCalNumber,0),1,1), (INDEX(FlowCalConstA,MATCH(Z753,FlowCalNumber,0),1,1)*AB759^INDEX(FlowCalConstB,MATCH(Z753,FlowCalNumber,0),1,1)&lt;INDEX(FlowCalHighSetting,MATCH(Z753,FlowCalNumber,0),1,1))),INDEX(FlowCalConstA,MATCH(Z753,FlowCalNumber,0),1,1)*AB759^INDEX(FlowCalConstB,MATCH(Z753,FlowCalNumber,0),1,1)," ")</f>
        <v>#REF!</v>
      </c>
      <c r="AD759" s="33"/>
      <c r="AE759" s="242">
        <f t="shared" si="722"/>
        <v>0.1</v>
      </c>
      <c r="AF759" s="241" t="e">
        <f t="shared" ca="1" si="723"/>
        <v>#REF!</v>
      </c>
      <c r="AG759" s="243" t="e">
        <f ca="1">IF(AND(INDEX(FlowCalConstA,MATCH(AD753,FlowCalNumber,0),1,1)*AF759^INDEX(FlowCalConstB,MATCH(AD753,FlowCalNumber,0),1,1)&gt;INDEX(FlowCalLowSetting,MATCH(AD753,FlowCalNumber,0),1,1), (INDEX(FlowCalConstA,MATCH(AD753,FlowCalNumber,0),1,1)*AF759^INDEX(FlowCalConstB,MATCH(AD753,FlowCalNumber,0),1,1)&lt;INDEX(FlowCalHighSetting,MATCH(AD753,FlowCalNumber,0),1,1))),INDEX(FlowCalConstA,MATCH(AD753,FlowCalNumber,0),1,1)*AF759^INDEX(FlowCalConstB,MATCH(AD753,FlowCalNumber,0),1,1)," ")</f>
        <v>#REF!</v>
      </c>
      <c r="AH759" s="33"/>
      <c r="AI759" s="242">
        <f t="shared" si="724"/>
        <v>0.9</v>
      </c>
      <c r="AJ759" s="241" t="e">
        <f t="shared" ca="1" si="725"/>
        <v>#REF!</v>
      </c>
      <c r="AK759" s="243" t="e">
        <f ca="1">IF(AND(INDEX(FlowCalConstA,MATCH(AH753,FlowCalNumber,0),1,1)*AJ759^INDEX(FlowCalConstB,MATCH(AH753,FlowCalNumber,0),1,1)&gt;INDEX(FlowCalLowSetting,MATCH(AH753,FlowCalNumber,0),1,1), (INDEX(FlowCalConstA,MATCH(AH753,FlowCalNumber,0),1,1)*AJ759^INDEX(FlowCalConstB,MATCH(AH753,FlowCalNumber,0),1,1)&lt;INDEX(FlowCalHighSetting,MATCH(AH753,FlowCalNumber,0),1,1))),INDEX(FlowCalConstA,MATCH(AH753,FlowCalNumber,0),1,1)*AJ759^INDEX(FlowCalConstB,MATCH(AH753,FlowCalNumber,0),1,1)," ")</f>
        <v>#REF!</v>
      </c>
      <c r="AL759" s="33"/>
      <c r="AM759" s="242"/>
      <c r="AN759" s="241"/>
      <c r="AO759" s="244"/>
      <c r="AQ759" s="242"/>
      <c r="AR759" s="241"/>
      <c r="AS759" s="244"/>
      <c r="AT759" s="33"/>
      <c r="AU759" s="242"/>
      <c r="AV759" s="241"/>
      <c r="AW759" s="244"/>
      <c r="AX759" s="33"/>
      <c r="AY759" s="242"/>
      <c r="AZ759" s="241"/>
      <c r="BA759" s="244"/>
      <c r="BB759" s="33"/>
      <c r="BC759" s="242"/>
      <c r="BD759" s="241"/>
      <c r="BE759" s="244"/>
      <c r="BF759" s="33"/>
      <c r="BG759" s="242"/>
      <c r="BH759" s="241"/>
      <c r="BI759" s="244"/>
      <c r="BJ759" s="33"/>
      <c r="BK759" s="242"/>
      <c r="BL759" s="241"/>
      <c r="BM759" s="244"/>
      <c r="BN759" s="33"/>
      <c r="BO759" s="242"/>
      <c r="BP759" s="241"/>
      <c r="BQ759" s="244"/>
      <c r="BR759" s="33"/>
      <c r="BS759" s="242"/>
      <c r="BT759" s="241"/>
      <c r="BU759" s="244"/>
      <c r="BV759" s="33"/>
      <c r="BW759" s="242"/>
      <c r="BX759" s="241"/>
      <c r="BY759" s="244"/>
      <c r="BZ759" s="33"/>
      <c r="CA759" s="242"/>
      <c r="CB759" s="241"/>
      <c r="CC759" s="244"/>
      <c r="CD759" s="243"/>
      <c r="CE759" s="243"/>
      <c r="CF759" s="243"/>
      <c r="CG759" s="243"/>
      <c r="CH759" s="243"/>
      <c r="CI759" s="243"/>
      <c r="CJ759" s="243"/>
      <c r="CK759" s="243"/>
      <c r="CL759" s="243"/>
      <c r="CM759" s="243"/>
      <c r="CN759" s="243"/>
      <c r="CO759" s="243"/>
      <c r="CP759" s="243"/>
      <c r="CQ759" s="243"/>
      <c r="CR759" s="243"/>
      <c r="CS759" s="243"/>
      <c r="CT759" s="243"/>
      <c r="CU759" s="243"/>
      <c r="CV759" s="243"/>
      <c r="CW759" s="243"/>
      <c r="CX759" s="243"/>
      <c r="CY759" s="243"/>
      <c r="CZ759" s="243"/>
      <c r="DA759" s="243"/>
      <c r="DB759" s="243"/>
      <c r="DC759" s="243"/>
      <c r="DD759" s="243"/>
      <c r="DE759" s="243"/>
      <c r="DF759" s="243"/>
      <c r="DG759" s="243"/>
      <c r="DH759" s="243"/>
      <c r="DI759" s="243"/>
      <c r="DJ759" s="243"/>
      <c r="DK759" s="243"/>
      <c r="DM759" s="242"/>
      <c r="DO759" s="243"/>
      <c r="DQ759" s="242"/>
      <c r="DS759" s="243"/>
      <c r="DU759" s="242"/>
      <c r="DW759" s="243"/>
      <c r="DY759" s="242"/>
      <c r="EA759" s="243"/>
    </row>
    <row r="760" spans="1:131">
      <c r="A760" s="20"/>
      <c r="B760" s="124" t="str">
        <f t="shared" si="710"/>
        <v/>
      </c>
      <c r="C760" s="235"/>
      <c r="D760" s="24">
        <f>'1% Wind'!$M$88</f>
        <v>10.1</v>
      </c>
      <c r="E760" s="90"/>
      <c r="F760" s="90"/>
      <c r="G760" s="79" t="e">
        <f ca="1">IF(I753=0.9743,$G759,MAX(G759/D759*D760,2))</f>
        <v>#REF!</v>
      </c>
      <c r="H760" s="121" t="e">
        <f t="shared" ca="1" si="711"/>
        <v>#REF!</v>
      </c>
      <c r="J760" s="33"/>
      <c r="K760" s="242">
        <f t="shared" si="712"/>
        <v>1</v>
      </c>
      <c r="L760" s="241" t="e">
        <f t="shared" ca="1" si="713"/>
        <v>#REF!</v>
      </c>
      <c r="M760" s="243" t="e">
        <f ca="1">IF(AND(INDEX(FlowCalConstA,MATCH(J753,FlowCalNumber,0),1,1)*L760^INDEX(FlowCalConstB,MATCH(J753,FlowCalNumber,0),1,1)&gt;INDEX(FlowCalLowSetting,MATCH(J753,FlowCalNumber,0),1,1), (INDEX(FlowCalConstA,MATCH(J753,FlowCalNumber,0),1,1)*L760^INDEX(FlowCalConstB,MATCH(J753,FlowCalNumber,0),1,1)&lt;INDEX(FlowCalHighSetting,MATCH(J753,FlowCalNumber,0),1,1))),INDEX(FlowCalConstA,MATCH(J753,FlowCalNumber,0),1,1)*L760^INDEX(FlowCalConstB,MATCH(J753,FlowCalNumber,0),1,1)," ")</f>
        <v>#REF!</v>
      </c>
      <c r="N760" s="33"/>
      <c r="O760" s="242">
        <f t="shared" si="714"/>
        <v>1</v>
      </c>
      <c r="P760" s="241" t="e">
        <f t="shared" ca="1" si="715"/>
        <v>#REF!</v>
      </c>
      <c r="Q760" s="243" t="e">
        <f ca="1">IF(AND(INDEX(FlowCalConstA,MATCH(N753,FlowCalNumber,0),1,1)*P760^INDEX(FlowCalConstB,MATCH(N753,FlowCalNumber,0),1,1)&gt;INDEX(FlowCalLowSetting,MATCH(N753,FlowCalNumber,0),1,1), (INDEX(FlowCalConstA,MATCH(N753,FlowCalNumber,0),1,1)*P760^INDEX(FlowCalConstB,MATCH(N753,FlowCalNumber,0),1,1)&lt;INDEX(FlowCalHighSetting,MATCH(N753,FlowCalNumber,0),1,1))),INDEX(FlowCalConstA,MATCH(N753,FlowCalNumber,0),1,1)*P760^INDEX(FlowCalConstB,MATCH(N753,FlowCalNumber,0),1,1)," ")</f>
        <v>#REF!</v>
      </c>
      <c r="R760" s="33"/>
      <c r="S760" s="242">
        <f t="shared" si="716"/>
        <v>1</v>
      </c>
      <c r="T760" s="241" t="e">
        <f t="shared" ca="1" si="717"/>
        <v>#REF!</v>
      </c>
      <c r="U760" s="244" t="e">
        <f ca="1">IF(AND(INDEX(FlowCalConstA,MATCH(R753,FlowCalNumber,0),1,1)*T760^INDEX(FlowCalConstB,MATCH(R753,FlowCalNumber,0),1,1)&gt;INDEX(FlowCalLowSetting,MATCH(R753,FlowCalNumber,0),1,1), (INDEX(FlowCalConstA,MATCH(R753,FlowCalNumber,0),1,1)*T760^INDEX(FlowCalConstB,MATCH(R753,FlowCalNumber,0),1,1)&lt;INDEX(FlowCalHighSetting,MATCH(R753,FlowCalNumber,0),1,1))),INDEX(FlowCalConstA,MATCH(R753,FlowCalNumber,0),1,1)*T760^INDEX(FlowCalConstB,MATCH(R753,FlowCalNumber,0),1,1)," ")</f>
        <v>#REF!</v>
      </c>
      <c r="V760" s="33"/>
      <c r="W760" s="242">
        <f t="shared" si="718"/>
        <v>0.1</v>
      </c>
      <c r="X760" s="241" t="e">
        <f t="shared" ca="1" si="719"/>
        <v>#REF!</v>
      </c>
      <c r="Y760" s="243" t="e">
        <f ca="1">IF(AND(INDEX(FlowCalConstA,MATCH(V753,FlowCalNumber,0),1,1)*X760^INDEX(FlowCalConstB,MATCH(V753,FlowCalNumber,0),1,1)&gt;INDEX(FlowCalLowSetting,MATCH(V753,FlowCalNumber,0),1,1), (INDEX(FlowCalConstA,MATCH(V753,FlowCalNumber,0),1,1)*X760^INDEX(FlowCalConstB,MATCH(V753,FlowCalNumber,0),1,1)&lt;INDEX(FlowCalHighSetting,MATCH(V753,FlowCalNumber,0),1,1))),INDEX(FlowCalConstA,MATCH(V753,FlowCalNumber,0),1,1)*X760^INDEX(FlowCalConstB,MATCH(V753,FlowCalNumber,0),1,1)," ")</f>
        <v>#REF!</v>
      </c>
      <c r="Z760" s="33"/>
      <c r="AA760" s="242">
        <f t="shared" si="720"/>
        <v>0.9</v>
      </c>
      <c r="AB760" s="241" t="e">
        <f t="shared" ca="1" si="721"/>
        <v>#REF!</v>
      </c>
      <c r="AC760" s="243" t="e">
        <f ca="1">IF(AND(INDEX(FlowCalConstA,MATCH(Z753,FlowCalNumber,0),1,1)*AB760^INDEX(FlowCalConstB,MATCH(Z753,FlowCalNumber,0),1,1)&gt;INDEX(FlowCalLowSetting,MATCH(Z753,FlowCalNumber,0),1,1), (INDEX(FlowCalConstA,MATCH(Z753,FlowCalNumber,0),1,1)*AB760^INDEX(FlowCalConstB,MATCH(Z753,FlowCalNumber,0),1,1)&lt;INDEX(FlowCalHighSetting,MATCH(Z753,FlowCalNumber,0),1,1))),INDEX(FlowCalConstA,MATCH(Z753,FlowCalNumber,0),1,1)*AB760^INDEX(FlowCalConstB,MATCH(Z753,FlowCalNumber,0),1,1)," ")</f>
        <v>#REF!</v>
      </c>
      <c r="AD760" s="33"/>
      <c r="AE760" s="242">
        <f t="shared" si="722"/>
        <v>0.1</v>
      </c>
      <c r="AF760" s="241" t="e">
        <f t="shared" ca="1" si="723"/>
        <v>#REF!</v>
      </c>
      <c r="AG760" s="243" t="e">
        <f ca="1">IF(AND(INDEX(FlowCalConstA,MATCH(AD753,FlowCalNumber,0),1,1)*AF760^INDEX(FlowCalConstB,MATCH(AD753,FlowCalNumber,0),1,1)&gt;INDEX(FlowCalLowSetting,MATCH(AD753,FlowCalNumber,0),1,1), (INDEX(FlowCalConstA,MATCH(AD753,FlowCalNumber,0),1,1)*AF760^INDEX(FlowCalConstB,MATCH(AD753,FlowCalNumber,0),1,1)&lt;INDEX(FlowCalHighSetting,MATCH(AD753,FlowCalNumber,0),1,1))),INDEX(FlowCalConstA,MATCH(AD753,FlowCalNumber,0),1,1)*AF760^INDEX(FlowCalConstB,MATCH(AD753,FlowCalNumber,0),1,1)," ")</f>
        <v>#REF!</v>
      </c>
      <c r="AH760" s="33"/>
      <c r="AI760" s="242">
        <f t="shared" si="724"/>
        <v>0.9</v>
      </c>
      <c r="AJ760" s="241" t="e">
        <f t="shared" ca="1" si="725"/>
        <v>#REF!</v>
      </c>
      <c r="AK760" s="243" t="e">
        <f ca="1">IF(AND(INDEX(FlowCalConstA,MATCH(AH753,FlowCalNumber,0),1,1)*AJ760^INDEX(FlowCalConstB,MATCH(AH753,FlowCalNumber,0),1,1)&gt;INDEX(FlowCalLowSetting,MATCH(AH753,FlowCalNumber,0),1,1), (INDEX(FlowCalConstA,MATCH(AH753,FlowCalNumber,0),1,1)*AJ760^INDEX(FlowCalConstB,MATCH(AH753,FlowCalNumber,0),1,1)&lt;INDEX(FlowCalHighSetting,MATCH(AH753,FlowCalNumber,0),1,1))),INDEX(FlowCalConstA,MATCH(AH753,FlowCalNumber,0),1,1)*AJ760^INDEX(FlowCalConstB,MATCH(AH753,FlowCalNumber,0),1,1)," ")</f>
        <v>#REF!</v>
      </c>
      <c r="AL760" s="33"/>
      <c r="AM760" s="242"/>
      <c r="AN760" s="241"/>
      <c r="AO760" s="244"/>
      <c r="AQ760" s="242"/>
      <c r="AR760" s="241"/>
      <c r="AS760" s="244"/>
      <c r="AT760" s="33"/>
      <c r="AU760" s="242"/>
      <c r="AV760" s="241"/>
      <c r="AW760" s="244"/>
      <c r="AX760" s="33"/>
      <c r="AY760" s="242"/>
      <c r="AZ760" s="241"/>
      <c r="BA760" s="244"/>
      <c r="BB760" s="33"/>
      <c r="BC760" s="242"/>
      <c r="BD760" s="241"/>
      <c r="BE760" s="244"/>
      <c r="BF760" s="33"/>
      <c r="BG760" s="242"/>
      <c r="BH760" s="241"/>
      <c r="BI760" s="244"/>
      <c r="BJ760" s="33"/>
      <c r="BK760" s="242"/>
      <c r="BL760" s="241"/>
      <c r="BM760" s="244"/>
      <c r="BN760" s="33"/>
      <c r="BO760" s="242"/>
      <c r="BP760" s="241"/>
      <c r="BQ760" s="244"/>
      <c r="BR760" s="33"/>
      <c r="BS760" s="242"/>
      <c r="BT760" s="241"/>
      <c r="BU760" s="244"/>
      <c r="BV760" s="33"/>
      <c r="BW760" s="242"/>
      <c r="BX760" s="241"/>
      <c r="BY760" s="244"/>
      <c r="BZ760" s="33"/>
      <c r="CA760" s="242"/>
      <c r="CB760" s="241"/>
      <c r="CC760" s="244"/>
      <c r="CD760" s="243"/>
      <c r="CE760" s="243"/>
      <c r="CF760" s="243"/>
      <c r="CG760" s="243"/>
      <c r="CH760" s="243"/>
      <c r="CI760" s="243"/>
      <c r="CJ760" s="243"/>
      <c r="CK760" s="243"/>
      <c r="CL760" s="243"/>
      <c r="CM760" s="243"/>
      <c r="CN760" s="243"/>
      <c r="CO760" s="243"/>
      <c r="CP760" s="243"/>
      <c r="CQ760" s="243"/>
      <c r="CR760" s="243"/>
      <c r="CS760" s="243"/>
      <c r="CT760" s="243"/>
      <c r="CU760" s="243"/>
      <c r="CV760" s="243"/>
      <c r="CW760" s="243"/>
      <c r="CX760" s="243"/>
      <c r="CY760" s="243"/>
      <c r="CZ760" s="243"/>
      <c r="DA760" s="243"/>
      <c r="DB760" s="243"/>
      <c r="DC760" s="243"/>
      <c r="DD760" s="243"/>
      <c r="DE760" s="243"/>
      <c r="DF760" s="243"/>
      <c r="DG760" s="243"/>
      <c r="DH760" s="243"/>
      <c r="DI760" s="243"/>
      <c r="DJ760" s="243"/>
      <c r="DK760" s="243"/>
      <c r="DM760" s="242"/>
      <c r="DO760" s="243"/>
      <c r="DQ760" s="242"/>
      <c r="DS760" s="243"/>
      <c r="DU760" s="242"/>
      <c r="DW760" s="243"/>
      <c r="DY760" s="242"/>
      <c r="EA760" s="243"/>
    </row>
    <row r="761" spans="1:131">
      <c r="A761" s="20"/>
      <c r="B761" s="124" t="str">
        <f t="shared" si="710"/>
        <v/>
      </c>
      <c r="C761" s="235"/>
      <c r="D761" s="24">
        <f>'1% Wind'!$M$89</f>
        <v>7.6</v>
      </c>
      <c r="E761" s="90"/>
      <c r="F761" s="90"/>
      <c r="G761" s="79" t="e">
        <f ca="1">IF(I753=0.9743,$G760,MAX(G760/D760*D761,2))</f>
        <v>#REF!</v>
      </c>
      <c r="H761" s="121" t="e">
        <f t="shared" ca="1" si="711"/>
        <v>#REF!</v>
      </c>
      <c r="J761" s="33"/>
      <c r="K761" s="242">
        <f t="shared" si="712"/>
        <v>1</v>
      </c>
      <c r="L761" s="241" t="e">
        <f t="shared" ca="1" si="713"/>
        <v>#REF!</v>
      </c>
      <c r="M761" s="243" t="e">
        <f ca="1">IF(AND(INDEX(FlowCalConstA,MATCH(J753,FlowCalNumber,0),1,1)*L761^INDEX(FlowCalConstB,MATCH(J753,FlowCalNumber,0),1,1)&gt;INDEX(FlowCalLowSetting,MATCH(J753,FlowCalNumber,0),1,1), (INDEX(FlowCalConstA,MATCH(J753,FlowCalNumber,0),1,1)*L761^INDEX(FlowCalConstB,MATCH(J753,FlowCalNumber,0),1,1)&lt;INDEX(FlowCalHighSetting,MATCH(J753,FlowCalNumber,0),1,1))),INDEX(FlowCalConstA,MATCH(J753,FlowCalNumber,0),1,1)*L761^INDEX(FlowCalConstB,MATCH(J753,FlowCalNumber,0),1,1)," ")</f>
        <v>#REF!</v>
      </c>
      <c r="N761" s="33"/>
      <c r="O761" s="242">
        <f t="shared" si="714"/>
        <v>1</v>
      </c>
      <c r="P761" s="241" t="e">
        <f t="shared" ca="1" si="715"/>
        <v>#REF!</v>
      </c>
      <c r="Q761" s="243" t="e">
        <f ca="1">IF(AND(INDEX(FlowCalConstA,MATCH(N753,FlowCalNumber,0),1,1)*P761^INDEX(FlowCalConstB,MATCH(N753,FlowCalNumber,0),1,1)&gt;INDEX(FlowCalLowSetting,MATCH(N753,FlowCalNumber,0),1,1), (INDEX(FlowCalConstA,MATCH(N753,FlowCalNumber,0),1,1)*P761^INDEX(FlowCalConstB,MATCH(N753,FlowCalNumber,0),1,1)&lt;INDEX(FlowCalHighSetting,MATCH(N753,FlowCalNumber,0),1,1))),INDEX(FlowCalConstA,MATCH(N753,FlowCalNumber,0),1,1)*P761^INDEX(FlowCalConstB,MATCH(N753,FlowCalNumber,0),1,1)," ")</f>
        <v>#REF!</v>
      </c>
      <c r="R761" s="33"/>
      <c r="S761" s="242">
        <f t="shared" si="716"/>
        <v>1</v>
      </c>
      <c r="T761" s="241" t="e">
        <f t="shared" ca="1" si="717"/>
        <v>#REF!</v>
      </c>
      <c r="U761" s="244" t="e">
        <f ca="1">IF(AND(INDEX(FlowCalConstA,MATCH(R753,FlowCalNumber,0),1,1)*T761^INDEX(FlowCalConstB,MATCH(R753,FlowCalNumber,0),1,1)&gt;INDEX(FlowCalLowSetting,MATCH(R753,FlowCalNumber,0),1,1), (INDEX(FlowCalConstA,MATCH(R753,FlowCalNumber,0),1,1)*T761^INDEX(FlowCalConstB,MATCH(R753,FlowCalNumber,0),1,1)&lt;INDEX(FlowCalHighSetting,MATCH(R753,FlowCalNumber,0),1,1))),INDEX(FlowCalConstA,MATCH(R753,FlowCalNumber,0),1,1)*T761^INDEX(FlowCalConstB,MATCH(R753,FlowCalNumber,0),1,1)," ")</f>
        <v>#REF!</v>
      </c>
      <c r="V761" s="33"/>
      <c r="W761" s="242">
        <f t="shared" si="718"/>
        <v>0.1</v>
      </c>
      <c r="X761" s="241" t="e">
        <f t="shared" ca="1" si="719"/>
        <v>#REF!</v>
      </c>
      <c r="Y761" s="243" t="e">
        <f ca="1">IF(AND(INDEX(FlowCalConstA,MATCH(V753,FlowCalNumber,0),1,1)*X761^INDEX(FlowCalConstB,MATCH(V753,FlowCalNumber,0),1,1)&gt;INDEX(FlowCalLowSetting,MATCH(V753,FlowCalNumber,0),1,1), (INDEX(FlowCalConstA,MATCH(V753,FlowCalNumber,0),1,1)*X761^INDEX(FlowCalConstB,MATCH(V753,FlowCalNumber,0),1,1)&lt;INDEX(FlowCalHighSetting,MATCH(V753,FlowCalNumber,0),1,1))),INDEX(FlowCalConstA,MATCH(V753,FlowCalNumber,0),1,1)*X761^INDEX(FlowCalConstB,MATCH(V753,FlowCalNumber,0),1,1)," ")</f>
        <v>#REF!</v>
      </c>
      <c r="Z761" s="33"/>
      <c r="AA761" s="242">
        <f t="shared" si="720"/>
        <v>0.9</v>
      </c>
      <c r="AB761" s="241" t="e">
        <f t="shared" ca="1" si="721"/>
        <v>#REF!</v>
      </c>
      <c r="AC761" s="243" t="e">
        <f ca="1">IF(AND(INDEX(FlowCalConstA,MATCH(Z753,FlowCalNumber,0),1,1)*AB761^INDEX(FlowCalConstB,MATCH(Z753,FlowCalNumber,0),1,1)&gt;INDEX(FlowCalLowSetting,MATCH(Z753,FlowCalNumber,0),1,1), (INDEX(FlowCalConstA,MATCH(Z753,FlowCalNumber,0),1,1)*AB761^INDEX(FlowCalConstB,MATCH(Z753,FlowCalNumber,0),1,1)&lt;INDEX(FlowCalHighSetting,MATCH(Z753,FlowCalNumber,0),1,1))),INDEX(FlowCalConstA,MATCH(Z753,FlowCalNumber,0),1,1)*AB761^INDEX(FlowCalConstB,MATCH(Z753,FlowCalNumber,0),1,1)," ")</f>
        <v>#REF!</v>
      </c>
      <c r="AD761" s="33"/>
      <c r="AE761" s="242">
        <f t="shared" si="722"/>
        <v>0.1</v>
      </c>
      <c r="AF761" s="241" t="e">
        <f t="shared" ca="1" si="723"/>
        <v>#REF!</v>
      </c>
      <c r="AG761" s="243" t="e">
        <f ca="1">IF(AND(INDEX(FlowCalConstA,MATCH(AD753,FlowCalNumber,0),1,1)*AF761^INDEX(FlowCalConstB,MATCH(AD753,FlowCalNumber,0),1,1)&gt;INDEX(FlowCalLowSetting,MATCH(AD753,FlowCalNumber,0),1,1), (INDEX(FlowCalConstA,MATCH(AD753,FlowCalNumber,0),1,1)*AF761^INDEX(FlowCalConstB,MATCH(AD753,FlowCalNumber,0),1,1)&lt;INDEX(FlowCalHighSetting,MATCH(AD753,FlowCalNumber,0),1,1))),INDEX(FlowCalConstA,MATCH(AD753,FlowCalNumber,0),1,1)*AF761^INDEX(FlowCalConstB,MATCH(AD753,FlowCalNumber,0),1,1)," ")</f>
        <v>#REF!</v>
      </c>
      <c r="AH761" s="33"/>
      <c r="AI761" s="242">
        <f t="shared" si="724"/>
        <v>0.9</v>
      </c>
      <c r="AJ761" s="241" t="e">
        <f t="shared" ca="1" si="725"/>
        <v>#REF!</v>
      </c>
      <c r="AK761" s="243" t="e">
        <f ca="1">IF(AND(INDEX(FlowCalConstA,MATCH(AH753,FlowCalNumber,0),1,1)*AJ761^INDEX(FlowCalConstB,MATCH(AH753,FlowCalNumber,0),1,1)&gt;INDEX(FlowCalLowSetting,MATCH(AH753,FlowCalNumber,0),1,1), (INDEX(FlowCalConstA,MATCH(AH753,FlowCalNumber,0),1,1)*AJ761^INDEX(FlowCalConstB,MATCH(AH753,FlowCalNumber,0),1,1)&lt;INDEX(FlowCalHighSetting,MATCH(AH753,FlowCalNumber,0),1,1))),INDEX(FlowCalConstA,MATCH(AH753,FlowCalNumber,0),1,1)*AJ761^INDEX(FlowCalConstB,MATCH(AH753,FlowCalNumber,0),1,1)," ")</f>
        <v>#REF!</v>
      </c>
      <c r="AL761" s="33"/>
      <c r="AM761" s="242"/>
      <c r="AN761" s="241"/>
      <c r="AO761" s="244"/>
      <c r="AQ761" s="242"/>
      <c r="AR761" s="241"/>
      <c r="AS761" s="244"/>
      <c r="AT761" s="33"/>
      <c r="AU761" s="242"/>
      <c r="AV761" s="241"/>
      <c r="AW761" s="244"/>
      <c r="AX761" s="33"/>
      <c r="AY761" s="242"/>
      <c r="AZ761" s="241"/>
      <c r="BA761" s="244"/>
      <c r="BB761" s="33"/>
      <c r="BC761" s="242"/>
      <c r="BD761" s="241"/>
      <c r="BE761" s="244"/>
      <c r="BF761" s="33"/>
      <c r="BG761" s="242"/>
      <c r="BH761" s="241"/>
      <c r="BI761" s="244"/>
      <c r="BJ761" s="33"/>
      <c r="BK761" s="242"/>
      <c r="BL761" s="241"/>
      <c r="BM761" s="244"/>
      <c r="BN761" s="33"/>
      <c r="BO761" s="242"/>
      <c r="BP761" s="241"/>
      <c r="BQ761" s="244"/>
      <c r="BR761" s="33"/>
      <c r="BS761" s="242"/>
      <c r="BT761" s="241"/>
      <c r="BU761" s="244"/>
      <c r="BV761" s="33"/>
      <c r="BW761" s="242"/>
      <c r="BX761" s="241"/>
      <c r="BY761" s="244"/>
      <c r="BZ761" s="33"/>
      <c r="CA761" s="242"/>
      <c r="CB761" s="241"/>
      <c r="CC761" s="244"/>
      <c r="CD761" s="243"/>
      <c r="CE761" s="243"/>
      <c r="CF761" s="243"/>
      <c r="CG761" s="243"/>
      <c r="CH761" s="243"/>
      <c r="CI761" s="243"/>
      <c r="CJ761" s="243"/>
      <c r="CK761" s="243"/>
      <c r="CL761" s="243"/>
      <c r="CM761" s="243"/>
      <c r="CN761" s="243"/>
      <c r="CO761" s="243"/>
      <c r="CP761" s="243"/>
      <c r="CQ761" s="243"/>
      <c r="CR761" s="243"/>
      <c r="CS761" s="243"/>
      <c r="CT761" s="243"/>
      <c r="CU761" s="243"/>
      <c r="CV761" s="243"/>
      <c r="CW761" s="243"/>
      <c r="CX761" s="243"/>
      <c r="CY761" s="243"/>
      <c r="CZ761" s="243"/>
      <c r="DA761" s="243"/>
      <c r="DB761" s="243"/>
      <c r="DC761" s="243"/>
      <c r="DD761" s="243"/>
      <c r="DE761" s="243"/>
      <c r="DF761" s="243"/>
      <c r="DG761" s="243"/>
      <c r="DH761" s="243"/>
      <c r="DI761" s="243"/>
      <c r="DJ761" s="243"/>
      <c r="DK761" s="243"/>
      <c r="DM761" s="242"/>
      <c r="DO761" s="243"/>
      <c r="DQ761" s="242"/>
      <c r="DS761" s="243"/>
      <c r="DU761" s="242"/>
      <c r="DW761" s="243"/>
      <c r="DY761" s="242"/>
      <c r="EA761" s="243"/>
    </row>
    <row r="762" spans="1:131">
      <c r="A762" s="20"/>
      <c r="B762" s="124" t="str">
        <f t="shared" si="710"/>
        <v/>
      </c>
      <c r="C762" s="235"/>
      <c r="D762" s="24">
        <f>'1% Wind'!$M$90</f>
        <v>5.7</v>
      </c>
      <c r="E762" s="90"/>
      <c r="F762" s="90"/>
      <c r="G762" s="79" t="e">
        <f ca="1">IF(I753=0.9743,$G761,MAX(G761/D761*D762,2))</f>
        <v>#REF!</v>
      </c>
      <c r="H762" s="121" t="e">
        <f t="shared" ca="1" si="711"/>
        <v>#REF!</v>
      </c>
      <c r="J762" s="33"/>
      <c r="K762" s="242">
        <f t="shared" si="712"/>
        <v>1</v>
      </c>
      <c r="L762" s="241" t="e">
        <f t="shared" ca="1" si="713"/>
        <v>#REF!</v>
      </c>
      <c r="M762" s="243" t="e">
        <f ca="1">IF(AND(INDEX(FlowCalConstA,MATCH(J753,FlowCalNumber,0),1,1)*L762^INDEX(FlowCalConstB,MATCH(J753,FlowCalNumber,0),1,1)&gt;INDEX(FlowCalLowSetting,MATCH(J753,FlowCalNumber,0),1,1), (INDEX(FlowCalConstA,MATCH(J753,FlowCalNumber,0),1,1)*L762^INDEX(FlowCalConstB,MATCH(J753,FlowCalNumber,0),1,1)&lt;INDEX(FlowCalHighSetting,MATCH(J753,FlowCalNumber,0),1,1))),INDEX(FlowCalConstA,MATCH(J753,FlowCalNumber,0),1,1)*L762^INDEX(FlowCalConstB,MATCH(J753,FlowCalNumber,0),1,1)," ")</f>
        <v>#REF!</v>
      </c>
      <c r="N762" s="33"/>
      <c r="O762" s="242">
        <f t="shared" si="714"/>
        <v>1</v>
      </c>
      <c r="P762" s="241" t="e">
        <f t="shared" ca="1" si="715"/>
        <v>#REF!</v>
      </c>
      <c r="Q762" s="243" t="e">
        <f ca="1">IF(AND(INDEX(FlowCalConstA,MATCH(N753,FlowCalNumber,0),1,1)*P762^INDEX(FlowCalConstB,MATCH(N753,FlowCalNumber,0),1,1)&gt;INDEX(FlowCalLowSetting,MATCH(N753,FlowCalNumber,0),1,1), (INDEX(FlowCalConstA,MATCH(N753,FlowCalNumber,0),1,1)*P762^INDEX(FlowCalConstB,MATCH(N753,FlowCalNumber,0),1,1)&lt;INDEX(FlowCalHighSetting,MATCH(N753,FlowCalNumber,0),1,1))),INDEX(FlowCalConstA,MATCH(N753,FlowCalNumber,0),1,1)*P762^INDEX(FlowCalConstB,MATCH(N753,FlowCalNumber,0),1,1)," ")</f>
        <v>#REF!</v>
      </c>
      <c r="R762" s="33"/>
      <c r="S762" s="242">
        <f t="shared" si="716"/>
        <v>1</v>
      </c>
      <c r="T762" s="241" t="e">
        <f t="shared" ca="1" si="717"/>
        <v>#REF!</v>
      </c>
      <c r="U762" s="244" t="e">
        <f ca="1">IF(AND(INDEX(FlowCalConstA,MATCH(R753,FlowCalNumber,0),1,1)*T762^INDEX(FlowCalConstB,MATCH(R753,FlowCalNumber,0),1,1)&gt;INDEX(FlowCalLowSetting,MATCH(R753,FlowCalNumber,0),1,1), (INDEX(FlowCalConstA,MATCH(R753,FlowCalNumber,0),1,1)*T762^INDEX(FlowCalConstB,MATCH(R753,FlowCalNumber,0),1,1)&lt;INDEX(FlowCalHighSetting,MATCH(R753,FlowCalNumber,0),1,1))),INDEX(FlowCalConstA,MATCH(R753,FlowCalNumber,0),1,1)*T762^INDEX(FlowCalConstB,MATCH(R753,FlowCalNumber,0),1,1)," ")</f>
        <v>#REF!</v>
      </c>
      <c r="V762" s="33"/>
      <c r="W762" s="242">
        <f t="shared" si="718"/>
        <v>0.1</v>
      </c>
      <c r="X762" s="241" t="e">
        <f t="shared" ca="1" si="719"/>
        <v>#REF!</v>
      </c>
      <c r="Y762" s="243" t="e">
        <f ca="1">IF(AND(INDEX(FlowCalConstA,MATCH(V753,FlowCalNumber,0),1,1)*X762^INDEX(FlowCalConstB,MATCH(V753,FlowCalNumber,0),1,1)&gt;INDEX(FlowCalLowSetting,MATCH(V753,FlowCalNumber,0),1,1), (INDEX(FlowCalConstA,MATCH(V753,FlowCalNumber,0),1,1)*X762^INDEX(FlowCalConstB,MATCH(V753,FlowCalNumber,0),1,1)&lt;INDEX(FlowCalHighSetting,MATCH(V753,FlowCalNumber,0),1,1))),INDEX(FlowCalConstA,MATCH(V753,FlowCalNumber,0),1,1)*X762^INDEX(FlowCalConstB,MATCH(V753,FlowCalNumber,0),1,1)," ")</f>
        <v>#REF!</v>
      </c>
      <c r="Z762" s="33"/>
      <c r="AA762" s="242">
        <f t="shared" si="720"/>
        <v>0.9</v>
      </c>
      <c r="AB762" s="241" t="e">
        <f t="shared" ca="1" si="721"/>
        <v>#REF!</v>
      </c>
      <c r="AC762" s="243" t="e">
        <f ca="1">IF(AND(INDEX(FlowCalConstA,MATCH(Z753,FlowCalNumber,0),1,1)*AB762^INDEX(FlowCalConstB,MATCH(Z753,FlowCalNumber,0),1,1)&gt;INDEX(FlowCalLowSetting,MATCH(Z753,FlowCalNumber,0),1,1), (INDEX(FlowCalConstA,MATCH(Z753,FlowCalNumber,0),1,1)*AB762^INDEX(FlowCalConstB,MATCH(Z753,FlowCalNumber,0),1,1)&lt;INDEX(FlowCalHighSetting,MATCH(Z753,FlowCalNumber,0),1,1))),INDEX(FlowCalConstA,MATCH(Z753,FlowCalNumber,0),1,1)*AB762^INDEX(FlowCalConstB,MATCH(Z753,FlowCalNumber,0),1,1)," ")</f>
        <v>#REF!</v>
      </c>
      <c r="AD762" s="33"/>
      <c r="AE762" s="242">
        <f t="shared" si="722"/>
        <v>0.1</v>
      </c>
      <c r="AF762" s="241" t="e">
        <f t="shared" ca="1" si="723"/>
        <v>#REF!</v>
      </c>
      <c r="AG762" s="243" t="e">
        <f ca="1">IF(AND(INDEX(FlowCalConstA,MATCH(AD753,FlowCalNumber,0),1,1)*AF762^INDEX(FlowCalConstB,MATCH(AD753,FlowCalNumber,0),1,1)&gt;INDEX(FlowCalLowSetting,MATCH(AD753,FlowCalNumber,0),1,1), (INDEX(FlowCalConstA,MATCH(AD753,FlowCalNumber,0),1,1)*AF762^INDEX(FlowCalConstB,MATCH(AD753,FlowCalNumber,0),1,1)&lt;INDEX(FlowCalHighSetting,MATCH(AD753,FlowCalNumber,0),1,1))),INDEX(FlowCalConstA,MATCH(AD753,FlowCalNumber,0),1,1)*AF762^INDEX(FlowCalConstB,MATCH(AD753,FlowCalNumber,0),1,1)," ")</f>
        <v>#REF!</v>
      </c>
      <c r="AH762" s="33"/>
      <c r="AI762" s="242">
        <f t="shared" si="724"/>
        <v>0.9</v>
      </c>
      <c r="AJ762" s="241" t="e">
        <f t="shared" ca="1" si="725"/>
        <v>#REF!</v>
      </c>
      <c r="AK762" s="243" t="e">
        <f ca="1">IF(AND(INDEX(FlowCalConstA,MATCH(AH753,FlowCalNumber,0),1,1)*AJ762^INDEX(FlowCalConstB,MATCH(AH753,FlowCalNumber,0),1,1)&gt;INDEX(FlowCalLowSetting,MATCH(AH753,FlowCalNumber,0),1,1), (INDEX(FlowCalConstA,MATCH(AH753,FlowCalNumber,0),1,1)*AJ762^INDEX(FlowCalConstB,MATCH(AH753,FlowCalNumber,0),1,1)&lt;INDEX(FlowCalHighSetting,MATCH(AH753,FlowCalNumber,0),1,1))),INDEX(FlowCalConstA,MATCH(AH753,FlowCalNumber,0),1,1)*AJ762^INDEX(FlowCalConstB,MATCH(AH753,FlowCalNumber,0),1,1)," ")</f>
        <v>#REF!</v>
      </c>
      <c r="AL762" s="33"/>
      <c r="AM762" s="242"/>
      <c r="AN762" s="241"/>
      <c r="AO762" s="244"/>
      <c r="AQ762" s="242"/>
      <c r="AR762" s="241"/>
      <c r="AS762" s="244"/>
      <c r="AT762" s="33"/>
      <c r="AU762" s="242"/>
      <c r="AV762" s="241"/>
      <c r="AW762" s="244"/>
      <c r="AX762" s="33"/>
      <c r="AY762" s="242"/>
      <c r="AZ762" s="241"/>
      <c r="BA762" s="244"/>
      <c r="BB762" s="33"/>
      <c r="BC762" s="242"/>
      <c r="BD762" s="241"/>
      <c r="BE762" s="244"/>
      <c r="BF762" s="33"/>
      <c r="BG762" s="242"/>
      <c r="BH762" s="241"/>
      <c r="BI762" s="244"/>
      <c r="BJ762" s="33"/>
      <c r="BK762" s="242"/>
      <c r="BL762" s="241"/>
      <c r="BM762" s="244"/>
      <c r="BN762" s="33"/>
      <c r="BO762" s="242"/>
      <c r="BP762" s="241"/>
      <c r="BQ762" s="244"/>
      <c r="BR762" s="33"/>
      <c r="BS762" s="242"/>
      <c r="BT762" s="241"/>
      <c r="BU762" s="244"/>
      <c r="BV762" s="33"/>
      <c r="BW762" s="242"/>
      <c r="BX762" s="241"/>
      <c r="BY762" s="244"/>
      <c r="BZ762" s="33"/>
      <c r="CA762" s="242"/>
      <c r="CB762" s="241"/>
      <c r="CC762" s="244"/>
      <c r="CD762" s="243"/>
      <c r="CE762" s="243"/>
      <c r="CF762" s="243"/>
      <c r="CG762" s="243"/>
      <c r="CH762" s="243"/>
      <c r="CI762" s="243"/>
      <c r="CJ762" s="243"/>
      <c r="CK762" s="243"/>
      <c r="CL762" s="243"/>
      <c r="CM762" s="243"/>
      <c r="CN762" s="243"/>
      <c r="CO762" s="243"/>
      <c r="CP762" s="243"/>
      <c r="CQ762" s="243"/>
      <c r="CR762" s="243"/>
      <c r="CS762" s="243"/>
      <c r="CT762" s="243"/>
      <c r="CU762" s="243"/>
      <c r="CV762" s="243"/>
      <c r="CW762" s="243"/>
      <c r="CX762" s="243"/>
      <c r="CY762" s="243"/>
      <c r="CZ762" s="243"/>
      <c r="DA762" s="243"/>
      <c r="DB762" s="243"/>
      <c r="DC762" s="243"/>
      <c r="DD762" s="243"/>
      <c r="DE762" s="243"/>
      <c r="DF762" s="243"/>
      <c r="DG762" s="243"/>
      <c r="DH762" s="243"/>
      <c r="DI762" s="243"/>
      <c r="DJ762" s="243"/>
      <c r="DK762" s="243"/>
      <c r="DM762" s="242"/>
      <c r="DO762" s="243"/>
      <c r="DQ762" s="242"/>
      <c r="DS762" s="243"/>
      <c r="DU762" s="242"/>
      <c r="DW762" s="243"/>
      <c r="DY762" s="242"/>
      <c r="EA762" s="243"/>
    </row>
    <row r="763" spans="1:131">
      <c r="A763" s="20"/>
      <c r="B763" s="124" t="str">
        <f t="shared" si="710"/>
        <v/>
      </c>
      <c r="C763" s="235"/>
      <c r="D763" s="24">
        <f>'1% Wind'!$M$91</f>
        <v>4.2</v>
      </c>
      <c r="E763" s="90"/>
      <c r="F763" s="90"/>
      <c r="G763" s="79" t="e">
        <f ca="1">IF(I753=0.9743,$G762,MAX(G762/D762*D763,2))</f>
        <v>#REF!</v>
      </c>
      <c r="H763" s="121" t="e">
        <f t="shared" ca="1" si="711"/>
        <v>#REF!</v>
      </c>
      <c r="J763" s="33"/>
      <c r="K763" s="242">
        <f t="shared" si="712"/>
        <v>1</v>
      </c>
      <c r="L763" s="241" t="e">
        <f t="shared" ca="1" si="713"/>
        <v>#REF!</v>
      </c>
      <c r="M763" s="243" t="e">
        <f ca="1">IF(AND(INDEX(FlowCalConstA,MATCH(J753,FlowCalNumber,0),1,1)*L763^INDEX(FlowCalConstB,MATCH(J753,FlowCalNumber,0),1,1)&gt;INDEX(FlowCalLowSetting,MATCH(J753,FlowCalNumber,0),1,1), (INDEX(FlowCalConstA,MATCH(J753,FlowCalNumber,0),1,1)*L763^INDEX(FlowCalConstB,MATCH(J753,FlowCalNumber,0),1,1)&lt;INDEX(FlowCalHighSetting,MATCH(J753,FlowCalNumber,0),1,1))),INDEX(FlowCalConstA,MATCH(J753,FlowCalNumber,0),1,1)*L763^INDEX(FlowCalConstB,MATCH(J753,FlowCalNumber,0),1,1)," ")</f>
        <v>#REF!</v>
      </c>
      <c r="N763" s="33"/>
      <c r="O763" s="242">
        <f t="shared" si="714"/>
        <v>1</v>
      </c>
      <c r="P763" s="241" t="e">
        <f t="shared" ca="1" si="715"/>
        <v>#REF!</v>
      </c>
      <c r="Q763" s="243" t="e">
        <f ca="1">IF(AND(INDEX(FlowCalConstA,MATCH(N753,FlowCalNumber,0),1,1)*P763^INDEX(FlowCalConstB,MATCH(N753,FlowCalNumber,0),1,1)&gt;INDEX(FlowCalLowSetting,MATCH(N753,FlowCalNumber,0),1,1), (INDEX(FlowCalConstA,MATCH(N753,FlowCalNumber,0),1,1)*P763^INDEX(FlowCalConstB,MATCH(N753,FlowCalNumber,0),1,1)&lt;INDEX(FlowCalHighSetting,MATCH(N753,FlowCalNumber,0),1,1))),INDEX(FlowCalConstA,MATCH(N753,FlowCalNumber,0),1,1)*P763^INDEX(FlowCalConstB,MATCH(N753,FlowCalNumber,0),1,1)," ")</f>
        <v>#REF!</v>
      </c>
      <c r="R763" s="33"/>
      <c r="S763" s="242">
        <f t="shared" si="716"/>
        <v>1</v>
      </c>
      <c r="T763" s="241" t="e">
        <f t="shared" ca="1" si="717"/>
        <v>#REF!</v>
      </c>
      <c r="U763" s="244" t="e">
        <f ca="1">IF(AND(INDEX(FlowCalConstA,MATCH(R753,FlowCalNumber,0),1,1)*T763^INDEX(FlowCalConstB,MATCH(R753,FlowCalNumber,0),1,1)&gt;INDEX(FlowCalLowSetting,MATCH(R753,FlowCalNumber,0),1,1), (INDEX(FlowCalConstA,MATCH(R753,FlowCalNumber,0),1,1)*T763^INDEX(FlowCalConstB,MATCH(R753,FlowCalNumber,0),1,1)&lt;INDEX(FlowCalHighSetting,MATCH(R753,FlowCalNumber,0),1,1))),INDEX(FlowCalConstA,MATCH(R753,FlowCalNumber,0),1,1)*T763^INDEX(FlowCalConstB,MATCH(R753,FlowCalNumber,0),1,1)," ")</f>
        <v>#REF!</v>
      </c>
      <c r="V763" s="33"/>
      <c r="W763" s="242">
        <f t="shared" si="718"/>
        <v>0.1</v>
      </c>
      <c r="X763" s="241" t="e">
        <f t="shared" ca="1" si="719"/>
        <v>#REF!</v>
      </c>
      <c r="Y763" s="243" t="e">
        <f ca="1">IF(AND(INDEX(FlowCalConstA,MATCH(V753,FlowCalNumber,0),1,1)*X763^INDEX(FlowCalConstB,MATCH(V753,FlowCalNumber,0),1,1)&gt;INDEX(FlowCalLowSetting,MATCH(V753,FlowCalNumber,0),1,1), (INDEX(FlowCalConstA,MATCH(V753,FlowCalNumber,0),1,1)*X763^INDEX(FlowCalConstB,MATCH(V753,FlowCalNumber,0),1,1)&lt;INDEX(FlowCalHighSetting,MATCH(V753,FlowCalNumber,0),1,1))),INDEX(FlowCalConstA,MATCH(V753,FlowCalNumber,0),1,1)*X763^INDEX(FlowCalConstB,MATCH(V753,FlowCalNumber,0),1,1)," ")</f>
        <v>#REF!</v>
      </c>
      <c r="Z763" s="33"/>
      <c r="AA763" s="242">
        <f t="shared" si="720"/>
        <v>0.9</v>
      </c>
      <c r="AB763" s="241" t="e">
        <f t="shared" ca="1" si="721"/>
        <v>#REF!</v>
      </c>
      <c r="AC763" s="243" t="e">
        <f ca="1">IF(AND(INDEX(FlowCalConstA,MATCH(Z753,FlowCalNumber,0),1,1)*AB763^INDEX(FlowCalConstB,MATCH(Z753,FlowCalNumber,0),1,1)&gt;INDEX(FlowCalLowSetting,MATCH(Z753,FlowCalNumber,0),1,1), (INDEX(FlowCalConstA,MATCH(Z753,FlowCalNumber,0),1,1)*AB763^INDEX(FlowCalConstB,MATCH(Z753,FlowCalNumber,0),1,1)&lt;INDEX(FlowCalHighSetting,MATCH(Z753,FlowCalNumber,0),1,1))),INDEX(FlowCalConstA,MATCH(Z753,FlowCalNumber,0),1,1)*AB763^INDEX(FlowCalConstB,MATCH(Z753,FlowCalNumber,0),1,1)," ")</f>
        <v>#REF!</v>
      </c>
      <c r="AD763" s="33"/>
      <c r="AE763" s="242">
        <f t="shared" si="722"/>
        <v>0.1</v>
      </c>
      <c r="AF763" s="241" t="e">
        <f t="shared" ca="1" si="723"/>
        <v>#REF!</v>
      </c>
      <c r="AG763" s="243" t="e">
        <f ca="1">IF(AND(INDEX(FlowCalConstA,MATCH(AD753,FlowCalNumber,0),1,1)*AF763^INDEX(FlowCalConstB,MATCH(AD753,FlowCalNumber,0),1,1)&gt;INDEX(FlowCalLowSetting,MATCH(AD753,FlowCalNumber,0),1,1), (INDEX(FlowCalConstA,MATCH(AD753,FlowCalNumber,0),1,1)*AF763^INDEX(FlowCalConstB,MATCH(AD753,FlowCalNumber,0),1,1)&lt;INDEX(FlowCalHighSetting,MATCH(AD753,FlowCalNumber,0),1,1))),INDEX(FlowCalConstA,MATCH(AD753,FlowCalNumber,0),1,1)*AF763^INDEX(FlowCalConstB,MATCH(AD753,FlowCalNumber,0),1,1)," ")</f>
        <v>#REF!</v>
      </c>
      <c r="AH763" s="33"/>
      <c r="AI763" s="242">
        <f t="shared" si="724"/>
        <v>0.9</v>
      </c>
      <c r="AJ763" s="241" t="e">
        <f t="shared" ca="1" si="725"/>
        <v>#REF!</v>
      </c>
      <c r="AK763" s="243" t="e">
        <f ca="1">IF(AND(INDEX(FlowCalConstA,MATCH(AH753,FlowCalNumber,0),1,1)*AJ763^INDEX(FlowCalConstB,MATCH(AH753,FlowCalNumber,0),1,1)&gt;INDEX(FlowCalLowSetting,MATCH(AH753,FlowCalNumber,0),1,1), (INDEX(FlowCalConstA,MATCH(AH753,FlowCalNumber,0),1,1)*AJ763^INDEX(FlowCalConstB,MATCH(AH753,FlowCalNumber,0),1,1)&lt;INDEX(FlowCalHighSetting,MATCH(AH753,FlowCalNumber,0),1,1))),INDEX(FlowCalConstA,MATCH(AH753,FlowCalNumber,0),1,1)*AJ763^INDEX(FlowCalConstB,MATCH(AH753,FlowCalNumber,0),1,1)," ")</f>
        <v>#REF!</v>
      </c>
      <c r="AL763" s="33"/>
      <c r="AM763" s="242"/>
      <c r="AN763" s="241"/>
      <c r="AO763" s="244"/>
      <c r="AQ763" s="242"/>
      <c r="AR763" s="241"/>
      <c r="AS763" s="244"/>
      <c r="AT763" s="33"/>
      <c r="AU763" s="242"/>
      <c r="AV763" s="241"/>
      <c r="AW763" s="244"/>
      <c r="AX763" s="33"/>
      <c r="AY763" s="242"/>
      <c r="AZ763" s="241"/>
      <c r="BA763" s="244"/>
      <c r="BB763" s="33"/>
      <c r="BC763" s="242"/>
      <c r="BD763" s="241"/>
      <c r="BE763" s="244"/>
      <c r="BF763" s="33"/>
      <c r="BG763" s="242"/>
      <c r="BH763" s="241"/>
      <c r="BI763" s="244"/>
      <c r="BJ763" s="33"/>
      <c r="BK763" s="242"/>
      <c r="BL763" s="241"/>
      <c r="BM763" s="244"/>
      <c r="BN763" s="33"/>
      <c r="BO763" s="242"/>
      <c r="BP763" s="241"/>
      <c r="BQ763" s="244"/>
      <c r="BR763" s="33"/>
      <c r="BS763" s="242"/>
      <c r="BT763" s="241"/>
      <c r="BU763" s="244"/>
      <c r="BV763" s="33"/>
      <c r="BW763" s="242"/>
      <c r="BX763" s="241"/>
      <c r="BY763" s="244"/>
      <c r="BZ763" s="33"/>
      <c r="CA763" s="242"/>
      <c r="CB763" s="241"/>
      <c r="CC763" s="244"/>
      <c r="CD763" s="243"/>
      <c r="CE763" s="243"/>
      <c r="CF763" s="243"/>
      <c r="CG763" s="243"/>
      <c r="CH763" s="243"/>
      <c r="CI763" s="243"/>
      <c r="CJ763" s="243"/>
      <c r="CK763" s="243"/>
      <c r="CL763" s="243"/>
      <c r="CM763" s="243"/>
      <c r="CN763" s="243"/>
      <c r="CO763" s="243"/>
      <c r="CP763" s="243"/>
      <c r="CQ763" s="243"/>
      <c r="CR763" s="243"/>
      <c r="CS763" s="243"/>
      <c r="CT763" s="243"/>
      <c r="CU763" s="243"/>
      <c r="CV763" s="243"/>
      <c r="CW763" s="243"/>
      <c r="CX763" s="243"/>
      <c r="CY763" s="243"/>
      <c r="CZ763" s="243"/>
      <c r="DA763" s="243"/>
      <c r="DB763" s="243"/>
      <c r="DC763" s="243"/>
      <c r="DD763" s="243"/>
      <c r="DE763" s="243"/>
      <c r="DF763" s="243"/>
      <c r="DG763" s="243"/>
      <c r="DH763" s="243"/>
      <c r="DI763" s="243"/>
      <c r="DJ763" s="243"/>
      <c r="DK763" s="243"/>
      <c r="DM763" s="242"/>
      <c r="DO763" s="243"/>
      <c r="DQ763" s="242"/>
      <c r="DS763" s="243"/>
      <c r="DU763" s="242"/>
      <c r="DW763" s="243"/>
      <c r="DY763" s="242"/>
      <c r="EA763" s="243"/>
    </row>
    <row r="764" spans="1:131">
      <c r="A764" s="20"/>
      <c r="B764" s="124" t="str">
        <f t="shared" si="710"/>
        <v/>
      </c>
      <c r="C764" s="235"/>
      <c r="D764" s="24">
        <f>'1% Wind'!$M$92</f>
        <v>3.2</v>
      </c>
      <c r="E764" s="90"/>
      <c r="F764" s="90"/>
      <c r="G764" s="79" t="e">
        <f ca="1">IF(I753=0.9743,$G763,MAX(G763/D763*D764,2))</f>
        <v>#REF!</v>
      </c>
      <c r="H764" s="121" t="e">
        <f t="shared" ca="1" si="711"/>
        <v>#REF!</v>
      </c>
      <c r="J764" s="33"/>
      <c r="K764" s="242">
        <f t="shared" si="712"/>
        <v>1</v>
      </c>
      <c r="L764" s="241" t="e">
        <f t="shared" ca="1" si="713"/>
        <v>#REF!</v>
      </c>
      <c r="M764" s="243" t="e">
        <f ca="1">IF(AND(INDEX(FlowCalConstA,MATCH(J753,FlowCalNumber,0),1,1)*L764^INDEX(FlowCalConstB,MATCH(J753,FlowCalNumber,0),1,1)&gt;INDEX(FlowCalLowSetting,MATCH(J753,FlowCalNumber,0),1,1), (INDEX(FlowCalConstA,MATCH(J753,FlowCalNumber,0),1,1)*L764^INDEX(FlowCalConstB,MATCH(J753,FlowCalNumber,0),1,1)&lt;INDEX(FlowCalHighSetting,MATCH(J753,FlowCalNumber,0),1,1))),INDEX(FlowCalConstA,MATCH(J753,FlowCalNumber,0),1,1)*L764^INDEX(FlowCalConstB,MATCH(J753,FlowCalNumber,0),1,1)," ")</f>
        <v>#REF!</v>
      </c>
      <c r="N764" s="33"/>
      <c r="O764" s="242">
        <f t="shared" si="714"/>
        <v>1</v>
      </c>
      <c r="P764" s="241" t="e">
        <f t="shared" ca="1" si="715"/>
        <v>#REF!</v>
      </c>
      <c r="Q764" s="243" t="e">
        <f ca="1">IF(AND(INDEX(FlowCalConstA,MATCH(N753,FlowCalNumber,0),1,1)*P764^INDEX(FlowCalConstB,MATCH(N753,FlowCalNumber,0),1,1)&gt;INDEX(FlowCalLowSetting,MATCH(N753,FlowCalNumber,0),1,1), (INDEX(FlowCalConstA,MATCH(N753,FlowCalNumber,0),1,1)*P764^INDEX(FlowCalConstB,MATCH(N753,FlowCalNumber,0),1,1)&lt;INDEX(FlowCalHighSetting,MATCH(N753,FlowCalNumber,0),1,1))),INDEX(FlowCalConstA,MATCH(N753,FlowCalNumber,0),1,1)*P764^INDEX(FlowCalConstB,MATCH(N753,FlowCalNumber,0),1,1)," ")</f>
        <v>#REF!</v>
      </c>
      <c r="R764" s="33"/>
      <c r="S764" s="242">
        <f t="shared" si="716"/>
        <v>1</v>
      </c>
      <c r="T764" s="241" t="e">
        <f t="shared" ca="1" si="717"/>
        <v>#REF!</v>
      </c>
      <c r="U764" s="244" t="e">
        <f ca="1">IF(AND(INDEX(FlowCalConstA,MATCH(R753,FlowCalNumber,0),1,1)*T764^INDEX(FlowCalConstB,MATCH(R753,FlowCalNumber,0),1,1)&gt;INDEX(FlowCalLowSetting,MATCH(R753,FlowCalNumber,0),1,1), (INDEX(FlowCalConstA,MATCH(R753,FlowCalNumber,0),1,1)*T764^INDEX(FlowCalConstB,MATCH(R753,FlowCalNumber,0),1,1)&lt;INDEX(FlowCalHighSetting,MATCH(R753,FlowCalNumber,0),1,1))),INDEX(FlowCalConstA,MATCH(R753,FlowCalNumber,0),1,1)*T764^INDEX(FlowCalConstB,MATCH(R753,FlowCalNumber,0),1,1)," ")</f>
        <v>#REF!</v>
      </c>
      <c r="V764" s="33"/>
      <c r="W764" s="242">
        <f t="shared" si="718"/>
        <v>0.1</v>
      </c>
      <c r="X764" s="241" t="e">
        <f t="shared" ca="1" si="719"/>
        <v>#REF!</v>
      </c>
      <c r="Y764" s="243" t="e">
        <f ca="1">IF(AND(INDEX(FlowCalConstA,MATCH(V753,FlowCalNumber,0),1,1)*X764^INDEX(FlowCalConstB,MATCH(V753,FlowCalNumber,0),1,1)&gt;INDEX(FlowCalLowSetting,MATCH(V753,FlowCalNumber,0),1,1), (INDEX(FlowCalConstA,MATCH(V753,FlowCalNumber,0),1,1)*X764^INDEX(FlowCalConstB,MATCH(V753,FlowCalNumber,0),1,1)&lt;INDEX(FlowCalHighSetting,MATCH(V753,FlowCalNumber,0),1,1))),INDEX(FlowCalConstA,MATCH(V753,FlowCalNumber,0),1,1)*X764^INDEX(FlowCalConstB,MATCH(V753,FlowCalNumber,0),1,1)," ")</f>
        <v>#REF!</v>
      </c>
      <c r="Z764" s="33"/>
      <c r="AA764" s="242">
        <f t="shared" si="720"/>
        <v>0.9</v>
      </c>
      <c r="AB764" s="241" t="e">
        <f t="shared" ca="1" si="721"/>
        <v>#REF!</v>
      </c>
      <c r="AC764" s="243" t="e">
        <f ca="1">IF(AND(INDEX(FlowCalConstA,MATCH(Z753,FlowCalNumber,0),1,1)*AB764^INDEX(FlowCalConstB,MATCH(Z753,FlowCalNumber,0),1,1)&gt;INDEX(FlowCalLowSetting,MATCH(Z753,FlowCalNumber,0),1,1), (INDEX(FlowCalConstA,MATCH(Z753,FlowCalNumber,0),1,1)*AB764^INDEX(FlowCalConstB,MATCH(Z753,FlowCalNumber,0),1,1)&lt;INDEX(FlowCalHighSetting,MATCH(Z753,FlowCalNumber,0),1,1))),INDEX(FlowCalConstA,MATCH(Z753,FlowCalNumber,0),1,1)*AB764^INDEX(FlowCalConstB,MATCH(Z753,FlowCalNumber,0),1,1)," ")</f>
        <v>#REF!</v>
      </c>
      <c r="AD764" s="33"/>
      <c r="AE764" s="242">
        <f t="shared" si="722"/>
        <v>0.1</v>
      </c>
      <c r="AF764" s="241" t="e">
        <f t="shared" ca="1" si="723"/>
        <v>#REF!</v>
      </c>
      <c r="AG764" s="243" t="e">
        <f ca="1">IF(AND(INDEX(FlowCalConstA,MATCH(AD753,FlowCalNumber,0),1,1)*AF764^INDEX(FlowCalConstB,MATCH(AD753,FlowCalNumber,0),1,1)&gt;INDEX(FlowCalLowSetting,MATCH(AD753,FlowCalNumber,0),1,1), (INDEX(FlowCalConstA,MATCH(AD753,FlowCalNumber,0),1,1)*AF764^INDEX(FlowCalConstB,MATCH(AD753,FlowCalNumber,0),1,1)&lt;INDEX(FlowCalHighSetting,MATCH(AD753,FlowCalNumber,0),1,1))),INDEX(FlowCalConstA,MATCH(AD753,FlowCalNumber,0),1,1)*AF764^INDEX(FlowCalConstB,MATCH(AD753,FlowCalNumber,0),1,1)," ")</f>
        <v>#REF!</v>
      </c>
      <c r="AH764" s="33"/>
      <c r="AI764" s="242">
        <f t="shared" si="724"/>
        <v>0.9</v>
      </c>
      <c r="AJ764" s="241" t="e">
        <f t="shared" ca="1" si="725"/>
        <v>#REF!</v>
      </c>
      <c r="AK764" s="243" t="e">
        <f ca="1">IF(AND(INDEX(FlowCalConstA,MATCH(AH753,FlowCalNumber,0),1,1)*AJ764^INDEX(FlowCalConstB,MATCH(AH753,FlowCalNumber,0),1,1)&gt;INDEX(FlowCalLowSetting,MATCH(AH753,FlowCalNumber,0),1,1), (INDEX(FlowCalConstA,MATCH(AH753,FlowCalNumber,0),1,1)*AJ764^INDEX(FlowCalConstB,MATCH(AH753,FlowCalNumber,0),1,1)&lt;INDEX(FlowCalHighSetting,MATCH(AH753,FlowCalNumber,0),1,1))),INDEX(FlowCalConstA,MATCH(AH753,FlowCalNumber,0),1,1)*AJ764^INDEX(FlowCalConstB,MATCH(AH753,FlowCalNumber,0),1,1)," ")</f>
        <v>#REF!</v>
      </c>
      <c r="AL764" s="33"/>
      <c r="AM764" s="242"/>
      <c r="AN764" s="241"/>
      <c r="AO764" s="244"/>
      <c r="AQ764" s="242"/>
      <c r="AR764" s="241"/>
      <c r="AS764" s="244"/>
      <c r="AT764" s="33"/>
      <c r="AU764" s="242"/>
      <c r="AV764" s="241"/>
      <c r="AW764" s="244"/>
      <c r="AX764" s="33"/>
      <c r="AY764" s="242"/>
      <c r="AZ764" s="241"/>
      <c r="BA764" s="244"/>
      <c r="BB764" s="33"/>
      <c r="BC764" s="242"/>
      <c r="BD764" s="241"/>
      <c r="BE764" s="244"/>
      <c r="BF764" s="33"/>
      <c r="BG764" s="242"/>
      <c r="BH764" s="241"/>
      <c r="BI764" s="244"/>
      <c r="BJ764" s="33"/>
      <c r="BK764" s="242"/>
      <c r="BL764" s="241"/>
      <c r="BM764" s="244"/>
      <c r="BN764" s="33"/>
      <c r="BO764" s="242"/>
      <c r="BP764" s="241"/>
      <c r="BQ764" s="244"/>
      <c r="BR764" s="33"/>
      <c r="BS764" s="242"/>
      <c r="BT764" s="241"/>
      <c r="BU764" s="244"/>
      <c r="BV764" s="33"/>
      <c r="BW764" s="242"/>
      <c r="BX764" s="241"/>
      <c r="BY764" s="244"/>
      <c r="BZ764" s="33"/>
      <c r="CA764" s="242"/>
      <c r="CB764" s="241"/>
      <c r="CC764" s="244"/>
      <c r="CD764" s="243"/>
      <c r="CE764" s="243"/>
      <c r="CF764" s="243"/>
      <c r="CG764" s="243"/>
      <c r="CH764" s="243"/>
      <c r="CI764" s="243"/>
      <c r="CJ764" s="243"/>
      <c r="CK764" s="243"/>
      <c r="CL764" s="243"/>
      <c r="CM764" s="243"/>
      <c r="CN764" s="243"/>
      <c r="CO764" s="243"/>
      <c r="CP764" s="243"/>
      <c r="CQ764" s="243"/>
      <c r="CR764" s="243"/>
      <c r="CS764" s="243"/>
      <c r="CT764" s="243"/>
      <c r="CU764" s="243"/>
      <c r="CV764" s="243"/>
      <c r="CW764" s="243"/>
      <c r="CX764" s="243"/>
      <c r="CY764" s="243"/>
      <c r="CZ764" s="243"/>
      <c r="DA764" s="243"/>
      <c r="DB764" s="243"/>
      <c r="DC764" s="243"/>
      <c r="DD764" s="243"/>
      <c r="DE764" s="243"/>
      <c r="DF764" s="243"/>
      <c r="DG764" s="243"/>
      <c r="DH764" s="243"/>
      <c r="DI764" s="243"/>
      <c r="DJ764" s="243"/>
      <c r="DK764" s="243"/>
      <c r="DM764" s="242"/>
      <c r="DO764" s="243"/>
      <c r="DQ764" s="242"/>
      <c r="DS764" s="243"/>
      <c r="DU764" s="242"/>
      <c r="DW764" s="243"/>
      <c r="DY764" s="242"/>
      <c r="EA764" s="243"/>
    </row>
    <row r="765" spans="1:131">
      <c r="A765" s="20"/>
      <c r="B765" s="124" t="str">
        <f t="shared" si="710"/>
        <v/>
      </c>
      <c r="C765" s="235"/>
      <c r="D765" s="24">
        <f>'1% Wind'!$M$93</f>
        <v>2.4</v>
      </c>
      <c r="E765" s="90"/>
      <c r="F765" s="90"/>
      <c r="G765" s="79" t="e">
        <f ca="1">IF(I753=0.9743,$G764,MAX(G764/D764*D765,2))</f>
        <v>#REF!</v>
      </c>
      <c r="H765" s="121" t="e">
        <f t="shared" ca="1" si="711"/>
        <v>#REF!</v>
      </c>
      <c r="J765" s="33"/>
      <c r="K765" s="242">
        <f t="shared" si="712"/>
        <v>1</v>
      </c>
      <c r="L765" s="241" t="e">
        <f t="shared" ca="1" si="713"/>
        <v>#REF!</v>
      </c>
      <c r="M765" s="243" t="e">
        <f ca="1">IF(AND(INDEX(FlowCalConstA,MATCH(J753,FlowCalNumber,0),1,1)*L765^INDEX(FlowCalConstB,MATCH(J753,FlowCalNumber,0),1,1)&gt;INDEX(FlowCalLowSetting,MATCH(J753,FlowCalNumber,0),1,1), (INDEX(FlowCalConstA,MATCH(J753,FlowCalNumber,0),1,1)*L765^INDEX(FlowCalConstB,MATCH(J753,FlowCalNumber,0),1,1)&lt;INDEX(FlowCalHighSetting,MATCH(J753,FlowCalNumber,0),1,1))),INDEX(FlowCalConstA,MATCH(J753,FlowCalNumber,0),1,1)*L765^INDEX(FlowCalConstB,MATCH(J753,FlowCalNumber,0),1,1)," ")</f>
        <v>#REF!</v>
      </c>
      <c r="N765" s="33"/>
      <c r="O765" s="242">
        <f t="shared" si="714"/>
        <v>1</v>
      </c>
      <c r="P765" s="241" t="e">
        <f t="shared" ca="1" si="715"/>
        <v>#REF!</v>
      </c>
      <c r="Q765" s="243" t="e">
        <f ca="1">IF(AND(INDEX(FlowCalConstA,MATCH(N753,FlowCalNumber,0),1,1)*P765^INDEX(FlowCalConstB,MATCH(N753,FlowCalNumber,0),1,1)&gt;INDEX(FlowCalLowSetting,MATCH(N753,FlowCalNumber,0),1,1), (INDEX(FlowCalConstA,MATCH(N753,FlowCalNumber,0),1,1)*P765^INDEX(FlowCalConstB,MATCH(N753,FlowCalNumber,0),1,1)&lt;INDEX(FlowCalHighSetting,MATCH(N753,FlowCalNumber,0),1,1))),INDEX(FlowCalConstA,MATCH(N753,FlowCalNumber,0),1,1)*P765^INDEX(FlowCalConstB,MATCH(N753,FlowCalNumber,0),1,1)," ")</f>
        <v>#REF!</v>
      </c>
      <c r="R765" s="33"/>
      <c r="S765" s="242">
        <f t="shared" si="716"/>
        <v>1</v>
      </c>
      <c r="T765" s="241" t="e">
        <f t="shared" ca="1" si="717"/>
        <v>#REF!</v>
      </c>
      <c r="U765" s="244" t="e">
        <f ca="1">IF(AND(INDEX(FlowCalConstA,MATCH(R753,FlowCalNumber,0),1,1)*T765^INDEX(FlowCalConstB,MATCH(R753,FlowCalNumber,0),1,1)&gt;INDEX(FlowCalLowSetting,MATCH(R753,FlowCalNumber,0),1,1), (INDEX(FlowCalConstA,MATCH(R753,FlowCalNumber,0),1,1)*T765^INDEX(FlowCalConstB,MATCH(R753,FlowCalNumber,0),1,1)&lt;INDEX(FlowCalHighSetting,MATCH(R753,FlowCalNumber,0),1,1))),INDEX(FlowCalConstA,MATCH(R753,FlowCalNumber,0),1,1)*T765^INDEX(FlowCalConstB,MATCH(R753,FlowCalNumber,0),1,1)," ")</f>
        <v>#REF!</v>
      </c>
      <c r="V765" s="33"/>
      <c r="W765" s="242">
        <f t="shared" si="718"/>
        <v>0.1</v>
      </c>
      <c r="X765" s="241" t="e">
        <f t="shared" ca="1" si="719"/>
        <v>#REF!</v>
      </c>
      <c r="Y765" s="243" t="e">
        <f ca="1">IF(AND(INDEX(FlowCalConstA,MATCH(V753,FlowCalNumber,0),1,1)*X765^INDEX(FlowCalConstB,MATCH(V753,FlowCalNumber,0),1,1)&gt;INDEX(FlowCalLowSetting,MATCH(V753,FlowCalNumber,0),1,1), (INDEX(FlowCalConstA,MATCH(V753,FlowCalNumber,0),1,1)*X765^INDEX(FlowCalConstB,MATCH(V753,FlowCalNumber,0),1,1)&lt;INDEX(FlowCalHighSetting,MATCH(V753,FlowCalNumber,0),1,1))),INDEX(FlowCalConstA,MATCH(V753,FlowCalNumber,0),1,1)*X765^INDEX(FlowCalConstB,MATCH(V753,FlowCalNumber,0),1,1)," ")</f>
        <v>#REF!</v>
      </c>
      <c r="Z765" s="33"/>
      <c r="AA765" s="242">
        <f t="shared" si="720"/>
        <v>0.9</v>
      </c>
      <c r="AB765" s="241" t="e">
        <f t="shared" ca="1" si="721"/>
        <v>#REF!</v>
      </c>
      <c r="AC765" s="243" t="e">
        <f ca="1">IF(AND(INDEX(FlowCalConstA,MATCH(Z753,FlowCalNumber,0),1,1)*AB765^INDEX(FlowCalConstB,MATCH(Z753,FlowCalNumber,0),1,1)&gt;INDEX(FlowCalLowSetting,MATCH(Z753,FlowCalNumber,0),1,1), (INDEX(FlowCalConstA,MATCH(Z753,FlowCalNumber,0),1,1)*AB765^INDEX(FlowCalConstB,MATCH(Z753,FlowCalNumber,0),1,1)&lt;INDEX(FlowCalHighSetting,MATCH(Z753,FlowCalNumber,0),1,1))),INDEX(FlowCalConstA,MATCH(Z753,FlowCalNumber,0),1,1)*AB765^INDEX(FlowCalConstB,MATCH(Z753,FlowCalNumber,0),1,1)," ")</f>
        <v>#REF!</v>
      </c>
      <c r="AD765" s="33"/>
      <c r="AE765" s="242">
        <f t="shared" si="722"/>
        <v>0.1</v>
      </c>
      <c r="AF765" s="241" t="e">
        <f t="shared" ca="1" si="723"/>
        <v>#REF!</v>
      </c>
      <c r="AG765" s="243" t="e">
        <f ca="1">IF(AND(INDEX(FlowCalConstA,MATCH(AD753,FlowCalNumber,0),1,1)*AF765^INDEX(FlowCalConstB,MATCH(AD753,FlowCalNumber,0),1,1)&gt;INDEX(FlowCalLowSetting,MATCH(AD753,FlowCalNumber,0),1,1), (INDEX(FlowCalConstA,MATCH(AD753,FlowCalNumber,0),1,1)*AF765^INDEX(FlowCalConstB,MATCH(AD753,FlowCalNumber,0),1,1)&lt;INDEX(FlowCalHighSetting,MATCH(AD753,FlowCalNumber,0),1,1))),INDEX(FlowCalConstA,MATCH(AD753,FlowCalNumber,0),1,1)*AF765^INDEX(FlowCalConstB,MATCH(AD753,FlowCalNumber,0),1,1)," ")</f>
        <v>#REF!</v>
      </c>
      <c r="AH765" s="33"/>
      <c r="AI765" s="242">
        <f t="shared" si="724"/>
        <v>0.9</v>
      </c>
      <c r="AJ765" s="241" t="e">
        <f t="shared" ca="1" si="725"/>
        <v>#REF!</v>
      </c>
      <c r="AK765" s="243" t="e">
        <f ca="1">IF(AND(INDEX(FlowCalConstA,MATCH(AH753,FlowCalNumber,0),1,1)*AJ765^INDEX(FlowCalConstB,MATCH(AH753,FlowCalNumber,0),1,1)&gt;INDEX(FlowCalLowSetting,MATCH(AH753,FlowCalNumber,0),1,1), (INDEX(FlowCalConstA,MATCH(AH753,FlowCalNumber,0),1,1)*AJ765^INDEX(FlowCalConstB,MATCH(AH753,FlowCalNumber,0),1,1)&lt;INDEX(FlowCalHighSetting,MATCH(AH753,FlowCalNumber,0),1,1))),INDEX(FlowCalConstA,MATCH(AH753,FlowCalNumber,0),1,1)*AJ765^INDEX(FlowCalConstB,MATCH(AH753,FlowCalNumber,0),1,1)," ")</f>
        <v>#REF!</v>
      </c>
      <c r="AL765" s="33"/>
      <c r="AM765" s="242"/>
      <c r="AN765" s="241"/>
      <c r="AO765" s="244"/>
      <c r="AQ765" s="242"/>
      <c r="AR765" s="241"/>
      <c r="AS765" s="244"/>
      <c r="AT765" s="33"/>
      <c r="AU765" s="242"/>
      <c r="AV765" s="241"/>
      <c r="AW765" s="244"/>
      <c r="AX765" s="33"/>
      <c r="AY765" s="242"/>
      <c r="AZ765" s="241"/>
      <c r="BA765" s="244"/>
      <c r="BB765" s="33"/>
      <c r="BC765" s="242"/>
      <c r="BD765" s="241"/>
      <c r="BE765" s="244"/>
      <c r="BF765" s="33"/>
      <c r="BG765" s="242"/>
      <c r="BH765" s="241"/>
      <c r="BI765" s="244"/>
      <c r="BJ765" s="33"/>
      <c r="BK765" s="242"/>
      <c r="BL765" s="241"/>
      <c r="BM765" s="244"/>
      <c r="BN765" s="33"/>
      <c r="BO765" s="242"/>
      <c r="BP765" s="241"/>
      <c r="BQ765" s="244"/>
      <c r="BR765" s="33"/>
      <c r="BS765" s="242"/>
      <c r="BT765" s="241"/>
      <c r="BU765" s="244"/>
      <c r="BV765" s="33"/>
      <c r="BW765" s="242"/>
      <c r="BX765" s="241"/>
      <c r="BY765" s="244"/>
      <c r="BZ765" s="33"/>
      <c r="CA765" s="242"/>
      <c r="CB765" s="241"/>
      <c r="CC765" s="244"/>
      <c r="CD765" s="243"/>
      <c r="CE765" s="243"/>
      <c r="CF765" s="243"/>
      <c r="CG765" s="243"/>
      <c r="CH765" s="243"/>
      <c r="CI765" s="243"/>
      <c r="CJ765" s="243"/>
      <c r="CK765" s="243"/>
      <c r="CL765" s="243"/>
      <c r="CM765" s="243"/>
      <c r="CN765" s="243"/>
      <c r="CO765" s="243"/>
      <c r="CP765" s="243"/>
      <c r="CQ765" s="243"/>
      <c r="CR765" s="243"/>
      <c r="CS765" s="243"/>
      <c r="CT765" s="243"/>
      <c r="CU765" s="243"/>
      <c r="CV765" s="243"/>
      <c r="CW765" s="243"/>
      <c r="CX765" s="243"/>
      <c r="CY765" s="243"/>
      <c r="CZ765" s="243"/>
      <c r="DA765" s="243"/>
      <c r="DB765" s="243"/>
      <c r="DC765" s="243"/>
      <c r="DD765" s="243"/>
      <c r="DE765" s="243"/>
      <c r="DF765" s="243"/>
      <c r="DG765" s="243"/>
      <c r="DH765" s="243"/>
      <c r="DI765" s="243"/>
      <c r="DJ765" s="243"/>
      <c r="DK765" s="243"/>
      <c r="DM765" s="242"/>
      <c r="DO765" s="243"/>
      <c r="DQ765" s="242"/>
      <c r="DS765" s="243"/>
      <c r="DU765" s="242"/>
      <c r="DW765" s="243"/>
      <c r="DY765" s="242"/>
      <c r="EA765" s="243"/>
    </row>
    <row r="766" spans="1:131">
      <c r="A766" s="20"/>
      <c r="B766" s="124" t="str">
        <f t="shared" si="710"/>
        <v/>
      </c>
      <c r="C766" s="235"/>
      <c r="D766" s="24">
        <f>'1% Wind'!$M$94</f>
        <v>1.8</v>
      </c>
      <c r="E766" s="90"/>
      <c r="F766" s="90"/>
      <c r="G766" s="79" t="e">
        <f ca="1">IF(I753=0.9743,$G765,MAX(G765/D765*D766,2))</f>
        <v>#REF!</v>
      </c>
      <c r="H766" s="121" t="e">
        <f t="shared" ca="1" si="711"/>
        <v>#REF!</v>
      </c>
      <c r="J766" s="33"/>
      <c r="K766" s="242">
        <f t="shared" si="712"/>
        <v>1</v>
      </c>
      <c r="L766" s="241" t="e">
        <f t="shared" ca="1" si="713"/>
        <v>#REF!</v>
      </c>
      <c r="M766" s="243" t="e">
        <f ca="1">IF(AND(INDEX(FlowCalConstA,MATCH(J753,FlowCalNumber,0),1,1)*L766^INDEX(FlowCalConstB,MATCH(J753,FlowCalNumber,0),1,1)&gt;INDEX(FlowCalLowSetting,MATCH(J753,FlowCalNumber,0),1,1), (INDEX(FlowCalConstA,MATCH(J753,FlowCalNumber,0),1,1)*L766^INDEX(FlowCalConstB,MATCH(J753,FlowCalNumber,0),1,1)&lt;INDEX(FlowCalHighSetting,MATCH(J753,FlowCalNumber,0),1,1))),INDEX(FlowCalConstA,MATCH(J753,FlowCalNumber,0),1,1)*L766^INDEX(FlowCalConstB,MATCH(J753,FlowCalNumber,0),1,1)," ")</f>
        <v>#REF!</v>
      </c>
      <c r="N766" s="33"/>
      <c r="O766" s="242">
        <f t="shared" si="714"/>
        <v>1</v>
      </c>
      <c r="P766" s="241" t="e">
        <f t="shared" ca="1" si="715"/>
        <v>#REF!</v>
      </c>
      <c r="Q766" s="243" t="e">
        <f ca="1">IF(AND(INDEX(FlowCalConstA,MATCH(N753,FlowCalNumber,0),1,1)*P766^INDEX(FlowCalConstB,MATCH(N753,FlowCalNumber,0),1,1)&gt;INDEX(FlowCalLowSetting,MATCH(N753,FlowCalNumber,0),1,1), (INDEX(FlowCalConstA,MATCH(N753,FlowCalNumber,0),1,1)*P766^INDEX(FlowCalConstB,MATCH(N753,FlowCalNumber,0),1,1)&lt;INDEX(FlowCalHighSetting,MATCH(N753,FlowCalNumber,0),1,1))),INDEX(FlowCalConstA,MATCH(N753,FlowCalNumber,0),1,1)*P766^INDEX(FlowCalConstB,MATCH(N753,FlowCalNumber,0),1,1)," ")</f>
        <v>#REF!</v>
      </c>
      <c r="R766" s="33"/>
      <c r="S766" s="242">
        <f t="shared" si="716"/>
        <v>1</v>
      </c>
      <c r="T766" s="241" t="e">
        <f t="shared" ca="1" si="717"/>
        <v>#REF!</v>
      </c>
      <c r="U766" s="244" t="e">
        <f ca="1">IF(AND(INDEX(FlowCalConstA,MATCH(R753,FlowCalNumber,0),1,1)*T766^INDEX(FlowCalConstB,MATCH(R753,FlowCalNumber,0),1,1)&gt;INDEX(FlowCalLowSetting,MATCH(R753,FlowCalNumber,0),1,1), (INDEX(FlowCalConstA,MATCH(R753,FlowCalNumber,0),1,1)*T766^INDEX(FlowCalConstB,MATCH(R753,FlowCalNumber,0),1,1)&lt;INDEX(FlowCalHighSetting,MATCH(R753,FlowCalNumber,0),1,1))),INDEX(FlowCalConstA,MATCH(R753,FlowCalNumber,0),1,1)*T766^INDEX(FlowCalConstB,MATCH(R753,FlowCalNumber,0),1,1)," ")</f>
        <v>#REF!</v>
      </c>
      <c r="V766" s="33"/>
      <c r="W766" s="242">
        <f t="shared" si="718"/>
        <v>0.1</v>
      </c>
      <c r="X766" s="241" t="e">
        <f t="shared" ca="1" si="719"/>
        <v>#REF!</v>
      </c>
      <c r="Y766" s="243" t="e">
        <f ca="1">IF(AND(INDEX(FlowCalConstA,MATCH(V753,FlowCalNumber,0),1,1)*X766^INDEX(FlowCalConstB,MATCH(V753,FlowCalNumber,0),1,1)&gt;INDEX(FlowCalLowSetting,MATCH(V753,FlowCalNumber,0),1,1), (INDEX(FlowCalConstA,MATCH(V753,FlowCalNumber,0),1,1)*X766^INDEX(FlowCalConstB,MATCH(V753,FlowCalNumber,0),1,1)&lt;INDEX(FlowCalHighSetting,MATCH(V753,FlowCalNumber,0),1,1))),INDEX(FlowCalConstA,MATCH(V753,FlowCalNumber,0),1,1)*X766^INDEX(FlowCalConstB,MATCH(V753,FlowCalNumber,0),1,1)," ")</f>
        <v>#REF!</v>
      </c>
      <c r="Z766" s="33"/>
      <c r="AA766" s="242">
        <f t="shared" si="720"/>
        <v>0.9</v>
      </c>
      <c r="AB766" s="241" t="e">
        <f t="shared" ca="1" si="721"/>
        <v>#REF!</v>
      </c>
      <c r="AC766" s="243" t="e">
        <f ca="1">IF(AND(INDEX(FlowCalConstA,MATCH(Z753,FlowCalNumber,0),1,1)*AB766^INDEX(FlowCalConstB,MATCH(Z753,FlowCalNumber,0),1,1)&gt;INDEX(FlowCalLowSetting,MATCH(Z753,FlowCalNumber,0),1,1), (INDEX(FlowCalConstA,MATCH(Z753,FlowCalNumber,0),1,1)*AB766^INDEX(FlowCalConstB,MATCH(Z753,FlowCalNumber,0),1,1)&lt;INDEX(FlowCalHighSetting,MATCH(Z753,FlowCalNumber,0),1,1))),INDEX(FlowCalConstA,MATCH(Z753,FlowCalNumber,0),1,1)*AB766^INDEX(FlowCalConstB,MATCH(Z753,FlowCalNumber,0),1,1)," ")</f>
        <v>#REF!</v>
      </c>
      <c r="AD766" s="33"/>
      <c r="AE766" s="242">
        <f t="shared" si="722"/>
        <v>0.1</v>
      </c>
      <c r="AF766" s="241" t="e">
        <f t="shared" ca="1" si="723"/>
        <v>#REF!</v>
      </c>
      <c r="AG766" s="243" t="e">
        <f ca="1">IF(AND(INDEX(FlowCalConstA,MATCH(AD753,FlowCalNumber,0),1,1)*AF766^INDEX(FlowCalConstB,MATCH(AD753,FlowCalNumber,0),1,1)&gt;INDEX(FlowCalLowSetting,MATCH(AD753,FlowCalNumber,0),1,1), (INDEX(FlowCalConstA,MATCH(AD753,FlowCalNumber,0),1,1)*AF766^INDEX(FlowCalConstB,MATCH(AD753,FlowCalNumber,0),1,1)&lt;INDEX(FlowCalHighSetting,MATCH(AD753,FlowCalNumber,0),1,1))),INDEX(FlowCalConstA,MATCH(AD753,FlowCalNumber,0),1,1)*AF766^INDEX(FlowCalConstB,MATCH(AD753,FlowCalNumber,0),1,1)," ")</f>
        <v>#REF!</v>
      </c>
      <c r="AH766" s="33"/>
      <c r="AI766" s="242">
        <f t="shared" si="724"/>
        <v>0.9</v>
      </c>
      <c r="AJ766" s="241" t="e">
        <f t="shared" ca="1" si="725"/>
        <v>#REF!</v>
      </c>
      <c r="AK766" s="243" t="e">
        <f ca="1">IF(AND(INDEX(FlowCalConstA,MATCH(AH753,FlowCalNumber,0),1,1)*AJ766^INDEX(FlowCalConstB,MATCH(AH753,FlowCalNumber,0),1,1)&gt;INDEX(FlowCalLowSetting,MATCH(AH753,FlowCalNumber,0),1,1), (INDEX(FlowCalConstA,MATCH(AH753,FlowCalNumber,0),1,1)*AJ766^INDEX(FlowCalConstB,MATCH(AH753,FlowCalNumber,0),1,1)&lt;INDEX(FlowCalHighSetting,MATCH(AH753,FlowCalNumber,0),1,1))),INDEX(FlowCalConstA,MATCH(AH753,FlowCalNumber,0),1,1)*AJ766^INDEX(FlowCalConstB,MATCH(AH753,FlowCalNumber,0),1,1)," ")</f>
        <v>#REF!</v>
      </c>
      <c r="AL766" s="33"/>
      <c r="AM766" s="242"/>
      <c r="AN766" s="241"/>
      <c r="AO766" s="244"/>
      <c r="AQ766" s="242"/>
      <c r="AR766" s="241"/>
      <c r="AS766" s="244"/>
      <c r="AT766" s="33"/>
      <c r="AU766" s="242"/>
      <c r="AV766" s="241"/>
      <c r="AW766" s="244"/>
      <c r="AX766" s="33"/>
      <c r="AY766" s="242"/>
      <c r="AZ766" s="241"/>
      <c r="BA766" s="244"/>
      <c r="BB766" s="33"/>
      <c r="BC766" s="242"/>
      <c r="BD766" s="241"/>
      <c r="BE766" s="244"/>
      <c r="BF766" s="33"/>
      <c r="BG766" s="242"/>
      <c r="BH766" s="241"/>
      <c r="BI766" s="244"/>
      <c r="BJ766" s="33"/>
      <c r="BK766" s="242"/>
      <c r="BL766" s="241"/>
      <c r="BM766" s="244"/>
      <c r="BN766" s="33"/>
      <c r="BO766" s="242"/>
      <c r="BP766" s="241"/>
      <c r="BQ766" s="244"/>
      <c r="BR766" s="33"/>
      <c r="BS766" s="242"/>
      <c r="BT766" s="241"/>
      <c r="BU766" s="244"/>
      <c r="BV766" s="33"/>
      <c r="BW766" s="242"/>
      <c r="BX766" s="241"/>
      <c r="BY766" s="244"/>
      <c r="BZ766" s="33"/>
      <c r="CA766" s="242"/>
      <c r="CB766" s="241"/>
      <c r="CC766" s="244"/>
      <c r="CD766" s="243"/>
      <c r="CE766" s="243"/>
      <c r="CF766" s="243"/>
      <c r="CG766" s="243"/>
      <c r="CH766" s="243"/>
      <c r="CI766" s="243"/>
      <c r="CJ766" s="243"/>
      <c r="CK766" s="243"/>
      <c r="CL766" s="243"/>
      <c r="CM766" s="243"/>
      <c r="CN766" s="243"/>
      <c r="CO766" s="243"/>
      <c r="CP766" s="243"/>
      <c r="CQ766" s="243"/>
      <c r="CR766" s="243"/>
      <c r="CS766" s="243"/>
      <c r="CT766" s="243"/>
      <c r="CU766" s="243"/>
      <c r="CV766" s="243"/>
      <c r="CW766" s="243"/>
      <c r="CX766" s="243"/>
      <c r="CY766" s="243"/>
      <c r="CZ766" s="243"/>
      <c r="DA766" s="243"/>
      <c r="DB766" s="243"/>
      <c r="DC766" s="243"/>
      <c r="DD766" s="243"/>
      <c r="DE766" s="243"/>
      <c r="DF766" s="243"/>
      <c r="DG766" s="243"/>
      <c r="DH766" s="243"/>
      <c r="DI766" s="243"/>
      <c r="DJ766" s="243"/>
      <c r="DK766" s="243"/>
      <c r="DM766" s="242"/>
      <c r="DO766" s="243"/>
      <c r="DQ766" s="242"/>
      <c r="DS766" s="243"/>
      <c r="DU766" s="242"/>
      <c r="DW766" s="243"/>
      <c r="DY766" s="242"/>
      <c r="EA766" s="243"/>
    </row>
    <row r="767" spans="1:131">
      <c r="A767" s="20"/>
      <c r="B767" s="124" t="str">
        <f t="shared" si="710"/>
        <v/>
      </c>
      <c r="C767" s="235"/>
      <c r="D767" s="24">
        <f>'1% Wind'!$M$95</f>
        <v>1.3</v>
      </c>
      <c r="E767" s="90"/>
      <c r="F767" s="90"/>
      <c r="G767" s="79" t="e">
        <f ca="1">IF(I753=0.9743,$G766,MAX(G766/D766*D767,2))</f>
        <v>#REF!</v>
      </c>
      <c r="H767" s="121" t="e">
        <f t="shared" ca="1" si="711"/>
        <v>#REF!</v>
      </c>
      <c r="J767" s="33"/>
      <c r="K767" s="242">
        <f t="shared" si="712"/>
        <v>1</v>
      </c>
      <c r="L767" s="241" t="e">
        <f t="shared" ca="1" si="713"/>
        <v>#REF!</v>
      </c>
      <c r="M767" s="243" t="e">
        <f ca="1">IF(AND(INDEX(FlowCalConstA,MATCH(J753,FlowCalNumber,0),1,1)*L767^INDEX(FlowCalConstB,MATCH(J753,FlowCalNumber,0),1,1)&gt;INDEX(FlowCalLowSetting,MATCH(J753,FlowCalNumber,0),1,1), (INDEX(FlowCalConstA,MATCH(J753,FlowCalNumber,0),1,1)*L767^INDEX(FlowCalConstB,MATCH(J753,FlowCalNumber,0),1,1)&lt;INDEX(FlowCalHighSetting,MATCH(J753,FlowCalNumber,0),1,1))),INDEX(FlowCalConstA,MATCH(J753,FlowCalNumber,0),1,1)*L767^INDEX(FlowCalConstB,MATCH(J753,FlowCalNumber,0),1,1)," ")</f>
        <v>#REF!</v>
      </c>
      <c r="N767" s="33"/>
      <c r="O767" s="242">
        <f t="shared" si="714"/>
        <v>1</v>
      </c>
      <c r="P767" s="241" t="e">
        <f t="shared" ca="1" si="715"/>
        <v>#REF!</v>
      </c>
      <c r="Q767" s="243" t="e">
        <f ca="1">IF(AND(INDEX(FlowCalConstA,MATCH(N753,FlowCalNumber,0),1,1)*P767^INDEX(FlowCalConstB,MATCH(N753,FlowCalNumber,0),1,1)&gt;INDEX(FlowCalLowSetting,MATCH(N753,FlowCalNumber,0),1,1), (INDEX(FlowCalConstA,MATCH(N753,FlowCalNumber,0),1,1)*P767^INDEX(FlowCalConstB,MATCH(N753,FlowCalNumber,0),1,1)&lt;INDEX(FlowCalHighSetting,MATCH(N753,FlowCalNumber,0),1,1))),INDEX(FlowCalConstA,MATCH(N753,FlowCalNumber,0),1,1)*P767^INDEX(FlowCalConstB,MATCH(N753,FlowCalNumber,0),1,1)," ")</f>
        <v>#REF!</v>
      </c>
      <c r="R767" s="33"/>
      <c r="S767" s="242">
        <f t="shared" si="716"/>
        <v>1</v>
      </c>
      <c r="T767" s="241" t="e">
        <f t="shared" ca="1" si="717"/>
        <v>#REF!</v>
      </c>
      <c r="U767" s="244" t="e">
        <f ca="1">IF(AND(INDEX(FlowCalConstA,MATCH(R753,FlowCalNumber,0),1,1)*T767^INDEX(FlowCalConstB,MATCH(R753,FlowCalNumber,0),1,1)&gt;INDEX(FlowCalLowSetting,MATCH(R753,FlowCalNumber,0),1,1), (INDEX(FlowCalConstA,MATCH(R753,FlowCalNumber,0),1,1)*T767^INDEX(FlowCalConstB,MATCH(R753,FlowCalNumber,0),1,1)&lt;INDEX(FlowCalHighSetting,MATCH(R753,FlowCalNumber,0),1,1))),INDEX(FlowCalConstA,MATCH(R753,FlowCalNumber,0),1,1)*T767^INDEX(FlowCalConstB,MATCH(R753,FlowCalNumber,0),1,1)," ")</f>
        <v>#REF!</v>
      </c>
      <c r="V767" s="33"/>
      <c r="W767" s="242">
        <f t="shared" si="718"/>
        <v>0.1</v>
      </c>
      <c r="X767" s="241" t="e">
        <f t="shared" ca="1" si="719"/>
        <v>#REF!</v>
      </c>
      <c r="Y767" s="243" t="e">
        <f ca="1">IF(AND(INDEX(FlowCalConstA,MATCH(V753,FlowCalNumber,0),1,1)*X767^INDEX(FlowCalConstB,MATCH(V753,FlowCalNumber,0),1,1)&gt;INDEX(FlowCalLowSetting,MATCH(V753,FlowCalNumber,0),1,1), (INDEX(FlowCalConstA,MATCH(V753,FlowCalNumber,0),1,1)*X767^INDEX(FlowCalConstB,MATCH(V753,FlowCalNumber,0),1,1)&lt;INDEX(FlowCalHighSetting,MATCH(V753,FlowCalNumber,0),1,1))),INDEX(FlowCalConstA,MATCH(V753,FlowCalNumber,0),1,1)*X767^INDEX(FlowCalConstB,MATCH(V753,FlowCalNumber,0),1,1)," ")</f>
        <v>#REF!</v>
      </c>
      <c r="Z767" s="33"/>
      <c r="AA767" s="242">
        <f t="shared" si="720"/>
        <v>0.9</v>
      </c>
      <c r="AB767" s="241" t="e">
        <f t="shared" ca="1" si="721"/>
        <v>#REF!</v>
      </c>
      <c r="AC767" s="243" t="e">
        <f ca="1">IF(AND(INDEX(FlowCalConstA,MATCH(Z753,FlowCalNumber,0),1,1)*AB767^INDEX(FlowCalConstB,MATCH(Z753,FlowCalNumber,0),1,1)&gt;INDEX(FlowCalLowSetting,MATCH(Z753,FlowCalNumber,0),1,1), (INDEX(FlowCalConstA,MATCH(Z753,FlowCalNumber,0),1,1)*AB767^INDEX(FlowCalConstB,MATCH(Z753,FlowCalNumber,0),1,1)&lt;INDEX(FlowCalHighSetting,MATCH(Z753,FlowCalNumber,0),1,1))),INDEX(FlowCalConstA,MATCH(Z753,FlowCalNumber,0),1,1)*AB767^INDEX(FlowCalConstB,MATCH(Z753,FlowCalNumber,0),1,1)," ")</f>
        <v>#REF!</v>
      </c>
      <c r="AD767" s="33"/>
      <c r="AE767" s="242">
        <f t="shared" si="722"/>
        <v>0.1</v>
      </c>
      <c r="AF767" s="241" t="e">
        <f t="shared" ca="1" si="723"/>
        <v>#REF!</v>
      </c>
      <c r="AG767" s="243" t="e">
        <f ca="1">IF(AND(INDEX(FlowCalConstA,MATCH(AD753,FlowCalNumber,0),1,1)*AF767^INDEX(FlowCalConstB,MATCH(AD753,FlowCalNumber,0),1,1)&gt;INDEX(FlowCalLowSetting,MATCH(AD753,FlowCalNumber,0),1,1), (INDEX(FlowCalConstA,MATCH(AD753,FlowCalNumber,0),1,1)*AF767^INDEX(FlowCalConstB,MATCH(AD753,FlowCalNumber,0),1,1)&lt;INDEX(FlowCalHighSetting,MATCH(AD753,FlowCalNumber,0),1,1))),INDEX(FlowCalConstA,MATCH(AD753,FlowCalNumber,0),1,1)*AF767^INDEX(FlowCalConstB,MATCH(AD753,FlowCalNumber,0),1,1)," ")</f>
        <v>#REF!</v>
      </c>
      <c r="AH767" s="33"/>
      <c r="AI767" s="242">
        <f t="shared" si="724"/>
        <v>0.9</v>
      </c>
      <c r="AJ767" s="241" t="e">
        <f t="shared" ca="1" si="725"/>
        <v>#REF!</v>
      </c>
      <c r="AK767" s="243" t="e">
        <f ca="1">IF(AND(INDEX(FlowCalConstA,MATCH(AH753,FlowCalNumber,0),1,1)*AJ767^INDEX(FlowCalConstB,MATCH(AH753,FlowCalNumber,0),1,1)&gt;INDEX(FlowCalLowSetting,MATCH(AH753,FlowCalNumber,0),1,1), (INDEX(FlowCalConstA,MATCH(AH753,FlowCalNumber,0),1,1)*AJ767^INDEX(FlowCalConstB,MATCH(AH753,FlowCalNumber,0),1,1)&lt;INDEX(FlowCalHighSetting,MATCH(AH753,FlowCalNumber,0),1,1))),INDEX(FlowCalConstA,MATCH(AH753,FlowCalNumber,0),1,1)*AJ767^INDEX(FlowCalConstB,MATCH(AH753,FlowCalNumber,0),1,1)," ")</f>
        <v>#REF!</v>
      </c>
      <c r="AL767" s="33"/>
      <c r="AM767" s="242"/>
      <c r="AN767" s="241"/>
      <c r="AO767" s="244"/>
      <c r="AQ767" s="242"/>
      <c r="AR767" s="241"/>
      <c r="AS767" s="244"/>
      <c r="AT767" s="33"/>
      <c r="AU767" s="242"/>
      <c r="AV767" s="241"/>
      <c r="AW767" s="244"/>
      <c r="AX767" s="33"/>
      <c r="AY767" s="242"/>
      <c r="AZ767" s="241"/>
      <c r="BA767" s="244"/>
      <c r="BB767" s="33"/>
      <c r="BC767" s="242"/>
      <c r="BD767" s="241"/>
      <c r="BE767" s="244"/>
      <c r="BF767" s="33"/>
      <c r="BG767" s="242"/>
      <c r="BH767" s="241"/>
      <c r="BI767" s="244"/>
      <c r="BJ767" s="33"/>
      <c r="BK767" s="242"/>
      <c r="BL767" s="241"/>
      <c r="BM767" s="244"/>
      <c r="BN767" s="33"/>
      <c r="BO767" s="242"/>
      <c r="BP767" s="241"/>
      <c r="BQ767" s="244"/>
      <c r="BR767" s="33"/>
      <c r="BS767" s="242"/>
      <c r="BT767" s="241"/>
      <c r="BU767" s="244"/>
      <c r="BV767" s="33"/>
      <c r="BW767" s="242"/>
      <c r="BX767" s="241"/>
      <c r="BY767" s="244"/>
      <c r="BZ767" s="33"/>
      <c r="CA767" s="242"/>
      <c r="CB767" s="241"/>
      <c r="CC767" s="244"/>
      <c r="CD767" s="243"/>
      <c r="CE767" s="243"/>
      <c r="CF767" s="243"/>
      <c r="CG767" s="243"/>
      <c r="CH767" s="243"/>
      <c r="CI767" s="243"/>
      <c r="CJ767" s="243"/>
      <c r="CK767" s="243"/>
      <c r="CL767" s="243"/>
      <c r="CM767" s="243"/>
      <c r="CN767" s="243"/>
      <c r="CO767" s="243"/>
      <c r="CP767" s="243"/>
      <c r="CQ767" s="243"/>
      <c r="CR767" s="243"/>
      <c r="CS767" s="243"/>
      <c r="CT767" s="243"/>
      <c r="CU767" s="243"/>
      <c r="CV767" s="243"/>
      <c r="CW767" s="243"/>
      <c r="CX767" s="243"/>
      <c r="CY767" s="243"/>
      <c r="CZ767" s="243"/>
      <c r="DA767" s="243"/>
      <c r="DB767" s="243"/>
      <c r="DC767" s="243"/>
      <c r="DD767" s="243"/>
      <c r="DE767" s="243"/>
      <c r="DF767" s="243"/>
      <c r="DG767" s="243"/>
      <c r="DH767" s="243"/>
      <c r="DI767" s="243"/>
      <c r="DJ767" s="243"/>
      <c r="DK767" s="243"/>
      <c r="DM767" s="242"/>
      <c r="DO767" s="243"/>
      <c r="DQ767" s="242"/>
      <c r="DS767" s="243"/>
      <c r="DU767" s="242"/>
      <c r="DW767" s="243"/>
      <c r="DY767" s="242"/>
      <c r="EA767" s="243"/>
    </row>
    <row r="768" spans="1:131">
      <c r="A768" s="20"/>
      <c r="B768" s="124" t="str">
        <f t="shared" si="710"/>
        <v/>
      </c>
      <c r="C768" s="235"/>
      <c r="D768" s="24">
        <f>'1% Wind'!$M$96</f>
        <v>1</v>
      </c>
      <c r="E768" s="90"/>
      <c r="F768" s="90"/>
      <c r="G768" s="79" t="e">
        <f ca="1">IF(I753=0.9743,$G767,MAX(G767/D767*D768,2))</f>
        <v>#REF!</v>
      </c>
      <c r="H768" s="121" t="e">
        <f t="shared" ca="1" si="711"/>
        <v>#REF!</v>
      </c>
      <c r="J768" s="33"/>
      <c r="K768" s="242">
        <f t="shared" si="712"/>
        <v>1</v>
      </c>
      <c r="L768" s="241" t="e">
        <f t="shared" ca="1" si="713"/>
        <v>#REF!</v>
      </c>
      <c r="M768" s="243" t="e">
        <f ca="1">IF(AND(INDEX(FlowCalConstA,MATCH(J753,FlowCalNumber,0),1,1)*L768^INDEX(FlowCalConstB,MATCH(J753,FlowCalNumber,0),1,1)&gt;INDEX(FlowCalLowSetting,MATCH(J753,FlowCalNumber,0),1,1), (INDEX(FlowCalConstA,MATCH(J753,FlowCalNumber,0),1,1)*L768^INDEX(FlowCalConstB,MATCH(J753,FlowCalNumber,0),1,1)&lt;INDEX(FlowCalHighSetting,MATCH(J753,FlowCalNumber,0),1,1))),INDEX(FlowCalConstA,MATCH(J753,FlowCalNumber,0),1,1)*L768^INDEX(FlowCalConstB,MATCH(J753,FlowCalNumber,0),1,1)," ")</f>
        <v>#REF!</v>
      </c>
      <c r="N768" s="33"/>
      <c r="O768" s="242">
        <f t="shared" si="714"/>
        <v>1</v>
      </c>
      <c r="P768" s="241" t="e">
        <f t="shared" ca="1" si="715"/>
        <v>#REF!</v>
      </c>
      <c r="Q768" s="243" t="e">
        <f ca="1">IF(AND(INDEX(FlowCalConstA,MATCH(N753,FlowCalNumber,0),1,1)*P768^INDEX(FlowCalConstB,MATCH(N753,FlowCalNumber,0),1,1)&gt;INDEX(FlowCalLowSetting,MATCH(N753,FlowCalNumber,0),1,1), (INDEX(FlowCalConstA,MATCH(N753,FlowCalNumber,0),1,1)*P768^INDEX(FlowCalConstB,MATCH(N753,FlowCalNumber,0),1,1)&lt;INDEX(FlowCalHighSetting,MATCH(N753,FlowCalNumber,0),1,1))),INDEX(FlowCalConstA,MATCH(N753,FlowCalNumber,0),1,1)*P768^INDEX(FlowCalConstB,MATCH(N753,FlowCalNumber,0),1,1)," ")</f>
        <v>#REF!</v>
      </c>
      <c r="R768" s="33"/>
      <c r="S768" s="242">
        <f t="shared" si="716"/>
        <v>1</v>
      </c>
      <c r="T768" s="241" t="e">
        <f t="shared" ca="1" si="717"/>
        <v>#REF!</v>
      </c>
      <c r="U768" s="244" t="e">
        <f ca="1">IF(AND(INDEX(FlowCalConstA,MATCH(R753,FlowCalNumber,0),1,1)*T768^INDEX(FlowCalConstB,MATCH(R753,FlowCalNumber,0),1,1)&gt;INDEX(FlowCalLowSetting,MATCH(R753,FlowCalNumber,0),1,1), (INDEX(FlowCalConstA,MATCH(R753,FlowCalNumber,0),1,1)*T768^INDEX(FlowCalConstB,MATCH(R753,FlowCalNumber,0),1,1)&lt;INDEX(FlowCalHighSetting,MATCH(R753,FlowCalNumber,0),1,1))),INDEX(FlowCalConstA,MATCH(R753,FlowCalNumber,0),1,1)*T768^INDEX(FlowCalConstB,MATCH(R753,FlowCalNumber,0),1,1)," ")</f>
        <v>#REF!</v>
      </c>
      <c r="V768" s="33"/>
      <c r="W768" s="242">
        <f t="shared" si="718"/>
        <v>0.1</v>
      </c>
      <c r="X768" s="241" t="e">
        <f t="shared" ca="1" si="719"/>
        <v>#REF!</v>
      </c>
      <c r="Y768" s="243" t="e">
        <f ca="1">IF(AND(INDEX(FlowCalConstA,MATCH(V753,FlowCalNumber,0),1,1)*X768^INDEX(FlowCalConstB,MATCH(V753,FlowCalNumber,0),1,1)&gt;INDEX(FlowCalLowSetting,MATCH(V753,FlowCalNumber,0),1,1), (INDEX(FlowCalConstA,MATCH(V753,FlowCalNumber,0),1,1)*X768^INDEX(FlowCalConstB,MATCH(V753,FlowCalNumber,0),1,1)&lt;INDEX(FlowCalHighSetting,MATCH(V753,FlowCalNumber,0),1,1))),INDEX(FlowCalConstA,MATCH(V753,FlowCalNumber,0),1,1)*X768^INDEX(FlowCalConstB,MATCH(V753,FlowCalNumber,0),1,1)," ")</f>
        <v>#REF!</v>
      </c>
      <c r="Z768" s="33"/>
      <c r="AA768" s="242">
        <f t="shared" si="720"/>
        <v>0.9</v>
      </c>
      <c r="AB768" s="241" t="e">
        <f t="shared" ca="1" si="721"/>
        <v>#REF!</v>
      </c>
      <c r="AC768" s="243" t="e">
        <f ca="1">IF(AND(INDEX(FlowCalConstA,MATCH(Z753,FlowCalNumber,0),1,1)*AB768^INDEX(FlowCalConstB,MATCH(Z753,FlowCalNumber,0),1,1)&gt;INDEX(FlowCalLowSetting,MATCH(Z753,FlowCalNumber,0),1,1), (INDEX(FlowCalConstA,MATCH(Z753,FlowCalNumber,0),1,1)*AB768^INDEX(FlowCalConstB,MATCH(Z753,FlowCalNumber,0),1,1)&lt;INDEX(FlowCalHighSetting,MATCH(Z753,FlowCalNumber,0),1,1))),INDEX(FlowCalConstA,MATCH(Z753,FlowCalNumber,0),1,1)*AB768^INDEX(FlowCalConstB,MATCH(Z753,FlowCalNumber,0),1,1)," ")</f>
        <v>#REF!</v>
      </c>
      <c r="AD768" s="33"/>
      <c r="AE768" s="242">
        <f t="shared" si="722"/>
        <v>0.1</v>
      </c>
      <c r="AF768" s="241" t="e">
        <f t="shared" ca="1" si="723"/>
        <v>#REF!</v>
      </c>
      <c r="AG768" s="243" t="e">
        <f ca="1">IF(AND(INDEX(FlowCalConstA,MATCH(AD753,FlowCalNumber,0),1,1)*AF768^INDEX(FlowCalConstB,MATCH(AD753,FlowCalNumber,0),1,1)&gt;INDEX(FlowCalLowSetting,MATCH(AD753,FlowCalNumber,0),1,1), (INDEX(FlowCalConstA,MATCH(AD753,FlowCalNumber,0),1,1)*AF768^INDEX(FlowCalConstB,MATCH(AD753,FlowCalNumber,0),1,1)&lt;INDEX(FlowCalHighSetting,MATCH(AD753,FlowCalNumber,0),1,1))),INDEX(FlowCalConstA,MATCH(AD753,FlowCalNumber,0),1,1)*AF768^INDEX(FlowCalConstB,MATCH(AD753,FlowCalNumber,0),1,1)," ")</f>
        <v>#REF!</v>
      </c>
      <c r="AH768" s="33"/>
      <c r="AI768" s="242">
        <f t="shared" si="724"/>
        <v>0.9</v>
      </c>
      <c r="AJ768" s="241" t="e">
        <f t="shared" ca="1" si="725"/>
        <v>#REF!</v>
      </c>
      <c r="AK768" s="243" t="e">
        <f ca="1">IF(AND(INDEX(FlowCalConstA,MATCH(AH753,FlowCalNumber,0),1,1)*AJ768^INDEX(FlowCalConstB,MATCH(AH753,FlowCalNumber,0),1,1)&gt;INDEX(FlowCalLowSetting,MATCH(AH753,FlowCalNumber,0),1,1), (INDEX(FlowCalConstA,MATCH(AH753,FlowCalNumber,0),1,1)*AJ768^INDEX(FlowCalConstB,MATCH(AH753,FlowCalNumber,0),1,1)&lt;INDEX(FlowCalHighSetting,MATCH(AH753,FlowCalNumber,0),1,1))),INDEX(FlowCalConstA,MATCH(AH753,FlowCalNumber,0),1,1)*AJ768^INDEX(FlowCalConstB,MATCH(AH753,FlowCalNumber,0),1,1)," ")</f>
        <v>#REF!</v>
      </c>
      <c r="AL768" s="33"/>
      <c r="AM768" s="242"/>
      <c r="AN768" s="241"/>
      <c r="AO768" s="244"/>
      <c r="AQ768" s="242"/>
      <c r="AR768" s="241"/>
      <c r="AS768" s="244"/>
      <c r="AT768" s="33"/>
      <c r="AU768" s="242"/>
      <c r="AV768" s="241"/>
      <c r="AW768" s="244"/>
      <c r="AX768" s="33"/>
      <c r="AY768" s="242"/>
      <c r="AZ768" s="241"/>
      <c r="BA768" s="244"/>
      <c r="BB768" s="33"/>
      <c r="BC768" s="242"/>
      <c r="BD768" s="241"/>
      <c r="BE768" s="244"/>
      <c r="BF768" s="33"/>
      <c r="BG768" s="242"/>
      <c r="BH768" s="241"/>
      <c r="BI768" s="244"/>
      <c r="BJ768" s="33"/>
      <c r="BK768" s="242"/>
      <c r="BL768" s="241"/>
      <c r="BM768" s="244"/>
      <c r="BN768" s="33"/>
      <c r="BO768" s="242"/>
      <c r="BP768" s="241"/>
      <c r="BQ768" s="244"/>
      <c r="BR768" s="33"/>
      <c r="BS768" s="242"/>
      <c r="BT768" s="241"/>
      <c r="BU768" s="244"/>
      <c r="BV768" s="33"/>
      <c r="BW768" s="242"/>
      <c r="BX768" s="241"/>
      <c r="BY768" s="244"/>
      <c r="BZ768" s="33"/>
      <c r="CA768" s="242"/>
      <c r="CB768" s="241"/>
      <c r="CC768" s="244"/>
      <c r="CD768" s="243"/>
      <c r="CE768" s="243"/>
      <c r="CF768" s="243"/>
      <c r="CG768" s="243"/>
      <c r="CH768" s="243"/>
      <c r="CI768" s="243"/>
      <c r="CJ768" s="243"/>
      <c r="CK768" s="243"/>
      <c r="CL768" s="243"/>
      <c r="CM768" s="243"/>
      <c r="CN768" s="243"/>
      <c r="CO768" s="243"/>
      <c r="CP768" s="243"/>
      <c r="CQ768" s="243"/>
      <c r="CR768" s="243"/>
      <c r="CS768" s="243"/>
      <c r="CT768" s="243"/>
      <c r="CU768" s="243"/>
      <c r="CV768" s="243"/>
      <c r="CW768" s="243"/>
      <c r="CX768" s="243"/>
      <c r="CY768" s="243"/>
      <c r="CZ768" s="243"/>
      <c r="DA768" s="243"/>
      <c r="DB768" s="243"/>
      <c r="DC768" s="243"/>
      <c r="DD768" s="243"/>
      <c r="DE768" s="243"/>
      <c r="DF768" s="243"/>
      <c r="DG768" s="243"/>
      <c r="DH768" s="243"/>
      <c r="DI768" s="243"/>
      <c r="DJ768" s="243"/>
      <c r="DK768" s="243"/>
      <c r="DM768" s="242"/>
      <c r="DO768" s="243"/>
      <c r="DQ768" s="242"/>
      <c r="DS768" s="243"/>
      <c r="DU768" s="242"/>
      <c r="DW768" s="243"/>
      <c r="DY768" s="242"/>
      <c r="EA768" s="243"/>
    </row>
    <row r="769" spans="1:131">
      <c r="A769" s="33"/>
      <c r="B769" s="33"/>
      <c r="C769" s="235"/>
      <c r="E769" s="90"/>
      <c r="F769" s="90"/>
      <c r="G769" s="33"/>
      <c r="J769" s="33"/>
      <c r="N769" s="33"/>
      <c r="Q769" s="243"/>
      <c r="R769" s="33"/>
      <c r="U769" s="244"/>
      <c r="V769" s="33"/>
      <c r="Y769" s="243"/>
      <c r="Z769" s="33"/>
      <c r="AC769" s="243"/>
      <c r="AD769" s="33"/>
      <c r="AG769" s="243"/>
      <c r="AH769" s="33"/>
      <c r="AK769" s="244"/>
      <c r="AL769" s="792"/>
      <c r="AM769" s="243"/>
      <c r="AN769" s="243"/>
      <c r="AO769" s="244"/>
      <c r="AP769" s="243"/>
      <c r="AQ769" s="243"/>
      <c r="AR769" s="243"/>
      <c r="AS769" s="244"/>
      <c r="AT769" s="243"/>
      <c r="AU769" s="243"/>
      <c r="AV769" s="243"/>
      <c r="AW769" s="244"/>
      <c r="AX769" s="243"/>
      <c r="AY769" s="243"/>
      <c r="AZ769" s="243"/>
      <c r="BA769" s="244"/>
      <c r="BB769" s="33"/>
      <c r="BE769" s="244"/>
      <c r="BF769" s="33"/>
      <c r="BI769" s="244"/>
      <c r="BJ769" s="33"/>
      <c r="BM769" s="244"/>
      <c r="BN769" s="243"/>
      <c r="BO769" s="243"/>
      <c r="BP769" s="243"/>
      <c r="BQ769" s="244"/>
      <c r="BR769" s="792"/>
      <c r="BS769" s="243"/>
      <c r="BT769" s="243"/>
      <c r="BU769" s="244"/>
      <c r="BV769" s="792"/>
      <c r="BW769" s="243"/>
      <c r="BX769" s="243"/>
      <c r="BY769" s="244"/>
      <c r="BZ769" s="792"/>
      <c r="CA769" s="243"/>
      <c r="CB769" s="243"/>
      <c r="CC769" s="244"/>
      <c r="CD769" s="243"/>
      <c r="CE769" s="243"/>
      <c r="CF769" s="243"/>
      <c r="CG769" s="243"/>
      <c r="CH769" s="243"/>
      <c r="CI769" s="243"/>
      <c r="CJ769" s="243"/>
      <c r="CK769" s="243"/>
      <c r="CL769" s="243"/>
      <c r="CM769" s="243"/>
      <c r="CN769" s="243"/>
      <c r="CO769" s="243"/>
      <c r="CP769" s="243"/>
      <c r="CQ769" s="243"/>
      <c r="CR769" s="243"/>
      <c r="CS769" s="243"/>
      <c r="CT769" s="243"/>
      <c r="CU769" s="243"/>
      <c r="CV769" s="243"/>
      <c r="CW769" s="243"/>
      <c r="CX769" s="243"/>
      <c r="CY769" s="243"/>
      <c r="CZ769" s="243"/>
      <c r="DA769" s="243"/>
      <c r="DB769" s="243"/>
      <c r="DC769" s="243"/>
      <c r="DD769" s="243"/>
      <c r="DE769" s="243"/>
      <c r="DF769" s="243"/>
      <c r="DG769" s="243"/>
      <c r="DH769" s="243"/>
      <c r="DI769" s="243"/>
      <c r="DJ769" s="243"/>
      <c r="DK769" s="243"/>
      <c r="DO769" s="243"/>
      <c r="DS769" s="243"/>
      <c r="DW769" s="243"/>
      <c r="EA769" s="243"/>
    </row>
    <row r="770" spans="1:131">
      <c r="A770" s="256" t="str">
        <f>IF((RIGHT(A753,1))&lt;&gt;"Z",CHAR(CODE(A753))&amp;CHAR(CODE(RIGHT(A753,1))+1),CHAR(CODE(A753)+1)&amp;"A")</f>
        <v>BS</v>
      </c>
      <c r="B770" s="270" t="e">
        <f>INDEX(SourceID,MATCH($A770,SourceNumber,0),1,1)</f>
        <v>#N/A</v>
      </c>
      <c r="C770" s="354" t="e">
        <f>INDEX(SourceExitDiameter,MATCH($A770,SourceNumber,0),1,1)*3.28*12</f>
        <v>#N/A</v>
      </c>
      <c r="D770" s="24" t="str">
        <f>UAnem1percent</f>
        <v>1% Wind</v>
      </c>
      <c r="E770" s="350" t="e">
        <f ca="1">INDIRECT(ADDRESS(53,6,1,,CONCATENATE("TA",$A770)))</f>
        <v>#REF!</v>
      </c>
      <c r="F770" s="625" t="e">
        <f ca="1">(ROUND((INDIRECT(ADDRESS(15,7,1,,CONCATENATE("TA",$A770)))*3.28*12*32),0)&amp;"/32")</f>
        <v>#REF!</v>
      </c>
      <c r="G770" s="125" t="e">
        <f ca="1">INDIRECT(ADDRESS(29,7,1,,$A770))</f>
        <v>#REF!</v>
      </c>
      <c r="H770" s="24" t="e">
        <f ca="1">INDIRECT(ADDRESS(19,7,1,,$A770))*100^3</f>
        <v>#REF!</v>
      </c>
      <c r="I770" s="941" t="e">
        <f ca="1">INDIRECT(ADDRESS(53,7,1,,$A770))</f>
        <v>#REF!</v>
      </c>
      <c r="J770" s="20" t="e">
        <f ca="1">IF($I770=$I$6,K$16&amp;$G$6&amp;J$6,IF($I770=$I$7,K$16&amp;$G$7&amp;J$7,"Bad"))</f>
        <v>#REF!</v>
      </c>
      <c r="K770" t="e">
        <f ca="1">INDEX(FlowCalGasMixture,MATCH(J770,FlowCalNumber,0),1,1)</f>
        <v>#REF!</v>
      </c>
      <c r="M770" s="944" t="e">
        <f ca="1">INDEX(FlowCalDevice,MATCH(J770,FlowCalNumber,0),1,1)</f>
        <v>#REF!</v>
      </c>
      <c r="N770" s="943" t="e">
        <f ca="1">IF($I770=$I$6,O$16&amp;$G$6&amp;"90"&amp;$H$6&amp;N$6,IF($I770=$I$7,O$16&amp;$G$7&amp;"90"&amp;$H$7&amp;N$7,"Bad"))</f>
        <v>#REF!</v>
      </c>
      <c r="O770" t="e">
        <f ca="1">INDEX(FlowCalGasMixture,MATCH(N770,FlowCalNumber,0),1,1)</f>
        <v>#REF!</v>
      </c>
      <c r="Q770" s="944" t="e">
        <f ca="1">INDEX(FlowCalDevice,MATCH(N770,FlowCalNumber,0),1,1)</f>
        <v>#REF!</v>
      </c>
      <c r="R770" s="943" t="e">
        <f ca="1">IF($I770=$I$6,S$16&amp;$G$6&amp;"90"&amp;$H$6&amp;R$6,IF($I770=$I$7,S$16&amp;$G$7&amp;"90"&amp;$H$7&amp;R$7,"Bad"))</f>
        <v>#REF!</v>
      </c>
      <c r="S770" t="e">
        <f ca="1">INDEX(FlowCalGasMixture,MATCH(R770,FlowCalNumber,0),1,1)</f>
        <v>#REF!</v>
      </c>
      <c r="U770" s="944" t="e">
        <f ca="1">INDEX(FlowCalDevice,MATCH(R770,FlowCalNumber,0),1,1)</f>
        <v>#REF!</v>
      </c>
      <c r="V770" s="20" t="e">
        <f ca="1">IF($I770=$I$6,W$16&amp;$G$6&amp;V$6,IF($I770=$I$7,W$16&amp;$G$7&amp;V$7,"Bad"))</f>
        <v>#REF!</v>
      </c>
      <c r="W770" t="e">
        <f ca="1">INDEX(FlowCalGasMixture,MATCH(V770,FlowCalNumber,0),1,1)</f>
        <v>#REF!</v>
      </c>
      <c r="Y770" s="944" t="e">
        <f ca="1">INDEX(FlowCalDevice,MATCH(V770,FlowCalNumber,0),1,1)</f>
        <v>#REF!</v>
      </c>
      <c r="Z770" s="946" t="e">
        <f ca="1">IF($I770=$I$6,AA$18&amp;$H$6&amp;Z$6,IF($I770=$I$7,AA$18&amp;$H$7&amp;Z$7,"Bad"))</f>
        <v>#REF!</v>
      </c>
      <c r="AA770" t="e">
        <f ca="1">INDEX(FlowCalGasMixture,MATCH(Z770,FlowCalNumber,0),1,1)</f>
        <v>#REF!</v>
      </c>
      <c r="AC770" s="944" t="e">
        <f ca="1">INDEX(FlowCalDevice,MATCH(Z770,FlowCalNumber,0),1,1)</f>
        <v>#REF!</v>
      </c>
      <c r="AD770" s="20" t="e">
        <f ca="1">IF($I770=$I$6,AE$16&amp;$G$6&amp;AD$6,IF($I770=$I$7,AE$16&amp;$G$7&amp;AD$7,"Bad"))</f>
        <v>#REF!</v>
      </c>
      <c r="AE770" t="e">
        <f ca="1">INDEX(FlowCalGasMixture,MATCH(AD770,FlowCalNumber,0),1,1)</f>
        <v>#REF!</v>
      </c>
      <c r="AG770" s="944" t="e">
        <f ca="1">INDEX(FlowCalDevice,MATCH(AD770,FlowCalNumber,0),1,1)</f>
        <v>#REF!</v>
      </c>
      <c r="AH770" s="946" t="e">
        <f ca="1">IF($I770=$I$6,AI$18&amp;$H$6&amp;AH$6,IF($I770=$I$7,AI$18&amp;$H$7&amp;AH$7,"Bad"))</f>
        <v>#REF!</v>
      </c>
      <c r="AI770" t="e">
        <f ca="1">INDEX(FlowCalGasMixture,MATCH(AH770,FlowCalNumber,0),1,1)</f>
        <v>#REF!</v>
      </c>
      <c r="AK770" s="944" t="e">
        <f ca="1">INDEX(FlowCalDevice,MATCH(AH770,FlowCalNumber,0),1,1)</f>
        <v>#REF!</v>
      </c>
      <c r="AL770" s="20"/>
      <c r="AO770" s="982"/>
      <c r="AP770" s="960"/>
      <c r="AS770" s="982"/>
      <c r="AT770" s="20"/>
      <c r="AW770" s="982"/>
      <c r="AX770" s="946"/>
      <c r="BA770" s="982"/>
      <c r="BB770" s="20"/>
      <c r="BC770" s="16"/>
      <c r="BE770" s="982"/>
      <c r="BF770" s="946"/>
      <c r="BG770" s="16"/>
      <c r="BI770" s="982"/>
      <c r="BJ770" s="946"/>
      <c r="BK770" s="16"/>
      <c r="BM770" s="982"/>
      <c r="BN770" s="20"/>
      <c r="BO770" s="16"/>
      <c r="BQ770" s="982"/>
      <c r="BR770" s="946"/>
      <c r="BS770" s="16"/>
      <c r="BU770" s="982"/>
      <c r="BV770" s="946"/>
      <c r="BW770" s="16"/>
      <c r="BY770" s="982"/>
      <c r="BZ770" s="946"/>
      <c r="CA770" s="16"/>
      <c r="CC770" s="982"/>
      <c r="CD770" s="355"/>
      <c r="CE770" s="355"/>
      <c r="CF770" s="355"/>
      <c r="CG770" s="355"/>
      <c r="CH770" s="355"/>
      <c r="CI770" s="355"/>
      <c r="CJ770" s="355"/>
      <c r="CK770" s="355"/>
      <c r="CL770" s="355"/>
      <c r="CM770" s="355"/>
      <c r="CN770" s="355"/>
      <c r="CO770" s="355"/>
      <c r="CP770" s="355"/>
      <c r="CQ770" s="355"/>
      <c r="CR770" s="355"/>
      <c r="CS770" s="355"/>
      <c r="CT770" s="355"/>
      <c r="CU770" s="355"/>
      <c r="CV770" s="355"/>
      <c r="CW770" s="355"/>
      <c r="CX770" s="355"/>
      <c r="CY770" s="355"/>
      <c r="CZ770" s="355"/>
      <c r="DA770" s="355"/>
      <c r="DB770" s="355"/>
      <c r="DC770" s="355"/>
      <c r="DD770" s="355"/>
      <c r="DE770" s="355"/>
      <c r="DF770" s="355"/>
      <c r="DG770" s="355"/>
      <c r="DH770" s="355"/>
      <c r="DI770" s="355"/>
      <c r="DJ770" s="355"/>
      <c r="DK770" s="355"/>
      <c r="DL770" s="46"/>
      <c r="DM770" s="16"/>
      <c r="DO770" s="355"/>
      <c r="DP770" s="42"/>
      <c r="DQ770" s="16"/>
      <c r="DS770" s="355"/>
      <c r="DT770" s="42"/>
      <c r="DU770" s="16"/>
      <c r="DW770" s="355"/>
      <c r="DX770" s="42"/>
      <c r="DY770" s="16"/>
      <c r="EA770" s="355"/>
    </row>
    <row r="771" spans="1:131">
      <c r="A771" s="20"/>
      <c r="B771" s="124" t="str">
        <f t="shared" ref="B771:B785" si="726">IF(D771=UAnem1percent,"1% Wind","")</f>
        <v/>
      </c>
      <c r="C771" s="235"/>
      <c r="D771" s="24">
        <f>'1% Wind'!$M$82</f>
        <v>27</v>
      </c>
      <c r="E771" s="90"/>
      <c r="F771" s="90"/>
      <c r="G771" s="79" t="e">
        <f ca="1">IF(I770=0.9743,$G770,MAX(G770/D770*D771,2))</f>
        <v>#REF!</v>
      </c>
      <c r="H771" s="121" t="e">
        <f t="shared" ref="H771:H785" ca="1" si="727">H770*(D770/D771)*(G771/G770)</f>
        <v>#REF!</v>
      </c>
      <c r="J771" s="33"/>
      <c r="K771" s="260">
        <f>K$17/100</f>
        <v>1</v>
      </c>
      <c r="L771" s="241" t="e">
        <f ca="1">K771*$H771</f>
        <v>#REF!</v>
      </c>
      <c r="M771" s="243" t="e">
        <f ca="1">IF(AND(INDEX(FlowCalConstA,MATCH(J770,FlowCalNumber,0),1,1)*L771^INDEX(FlowCalConstB,MATCH(J770,FlowCalNumber,0),1,1)&gt;INDEX(FlowCalLowSetting,MATCH(J770,FlowCalNumber,0),1,1), (INDEX(FlowCalConstA,MATCH(J770,FlowCalNumber,0),1,1)*L771^INDEX(FlowCalConstB,MATCH(J770,FlowCalNumber,0),1,1)&lt;INDEX(FlowCalHighSetting,MATCH(J770,FlowCalNumber,0),1,1))),INDEX(FlowCalConstA,MATCH(J770,FlowCalNumber,0),1,1)*L771^INDEX(FlowCalConstB,MATCH(J770,FlowCalNumber,0),1,1)," ")</f>
        <v>#REF!</v>
      </c>
      <c r="N771" s="33"/>
      <c r="O771" s="260">
        <f>O$17/100</f>
        <v>1</v>
      </c>
      <c r="P771" s="241" t="e">
        <f ca="1">O771*$H771</f>
        <v>#REF!</v>
      </c>
      <c r="Q771" s="243" t="e">
        <f ca="1">IF(AND(INDEX(FlowCalConstA,MATCH(N770,FlowCalNumber,0),1,1)*P771^INDEX(FlowCalConstB,MATCH(N770,FlowCalNumber,0),1,1)&gt;INDEX(FlowCalLowSetting,MATCH(N770,FlowCalNumber,0),1,1), (INDEX(FlowCalConstA,MATCH(N770,FlowCalNumber,0),1,1)*P771^INDEX(FlowCalConstB,MATCH(N770,FlowCalNumber,0),1,1)&lt;INDEX(FlowCalHighSetting,MATCH(N770,FlowCalNumber,0),1,1))),INDEX(FlowCalConstA,MATCH(N770,FlowCalNumber,0),1,1)*P771^INDEX(FlowCalConstB,MATCH(N770,FlowCalNumber,0),1,1)," ")</f>
        <v>#REF!</v>
      </c>
      <c r="R771" s="33"/>
      <c r="S771" s="260">
        <f>S$17/100</f>
        <v>1</v>
      </c>
      <c r="T771" s="241" t="e">
        <f ca="1">S771*$H771</f>
        <v>#REF!</v>
      </c>
      <c r="U771" s="244" t="e">
        <f ca="1">IF(AND(INDEX(FlowCalConstA,MATCH(R770,FlowCalNumber,0),1,1)*T771^INDEX(FlowCalConstB,MATCH(R770,FlowCalNumber,0),1,1)&gt;INDEX(FlowCalLowSetting,MATCH(R770,FlowCalNumber,0),1,1), (INDEX(FlowCalConstA,MATCH(R770,FlowCalNumber,0),1,1)*T771^INDEX(FlowCalConstB,MATCH(R770,FlowCalNumber,0),1,1)&lt;INDEX(FlowCalHighSetting,MATCH(R770,FlowCalNumber,0),1,1))),INDEX(FlowCalConstA,MATCH(R770,FlowCalNumber,0),1,1)*T771^INDEX(FlowCalConstB,MATCH(R770,FlowCalNumber,0),1,1)," ")</f>
        <v>#REF!</v>
      </c>
      <c r="V771" s="33"/>
      <c r="W771" s="260">
        <f>W$17/100</f>
        <v>0.1</v>
      </c>
      <c r="X771" s="241" t="e">
        <f ca="1">W771*$H771</f>
        <v>#REF!</v>
      </c>
      <c r="Y771" s="243" t="e">
        <f ca="1">IF(AND(INDEX(FlowCalConstA,MATCH(V770,FlowCalNumber,0),1,1)*X771^INDEX(FlowCalConstB,MATCH(V770,FlowCalNumber,0),1,1)&gt;INDEX(FlowCalLowSetting,MATCH(V770,FlowCalNumber,0),1,1), (INDEX(FlowCalConstA,MATCH(V770,FlowCalNumber,0),1,1)*X771^INDEX(FlowCalConstB,MATCH(V770,FlowCalNumber,0),1,1)&lt;INDEX(FlowCalHighSetting,MATCH(V770,FlowCalNumber,0),1,1))),INDEX(FlowCalConstA,MATCH(V770,FlowCalNumber,0),1,1)*X771^INDEX(FlowCalConstB,MATCH(V770,FlowCalNumber,0),1,1)," ")</f>
        <v>#REF!</v>
      </c>
      <c r="Z771" s="33"/>
      <c r="AA771" s="260">
        <f>AA$17/100</f>
        <v>0.9</v>
      </c>
      <c r="AB771" s="241" t="e">
        <f ca="1">AA771*$H771</f>
        <v>#REF!</v>
      </c>
      <c r="AC771" s="243" t="e">
        <f ca="1">IF(AND(INDEX(FlowCalConstA,MATCH(Z770,FlowCalNumber,0),1,1)*AB771^INDEX(FlowCalConstB,MATCH(Z770,FlowCalNumber,0),1,1)&gt;INDEX(FlowCalLowSetting,MATCH(Z770,FlowCalNumber,0),1,1), (INDEX(FlowCalConstA,MATCH(Z770,FlowCalNumber,0),1,1)*AB771^INDEX(FlowCalConstB,MATCH(Z770,FlowCalNumber,0),1,1)&lt;INDEX(FlowCalHighSetting,MATCH(Z770,FlowCalNumber,0),1,1))),INDEX(FlowCalConstA,MATCH(Z770,FlowCalNumber,0),1,1)*AB771^INDEX(FlowCalConstB,MATCH(Z770,FlowCalNumber,0),1,1)," ")</f>
        <v>#REF!</v>
      </c>
      <c r="AD771" s="33"/>
      <c r="AE771" s="260">
        <f>AE$17/100</f>
        <v>0.1</v>
      </c>
      <c r="AF771" s="241" t="e">
        <f ca="1">AE771*$H771</f>
        <v>#REF!</v>
      </c>
      <c r="AG771" s="243" t="e">
        <f ca="1">IF(AND(INDEX(FlowCalConstA,MATCH(AD770,FlowCalNumber,0),1,1)*AF771^INDEX(FlowCalConstB,MATCH(AD770,FlowCalNumber,0),1,1)&gt;INDEX(FlowCalLowSetting,MATCH(AD770,FlowCalNumber,0),1,1), (INDEX(FlowCalConstA,MATCH(AD770,FlowCalNumber,0),1,1)*AF771^INDEX(FlowCalConstB,MATCH(AD770,FlowCalNumber,0),1,1)&lt;INDEX(FlowCalHighSetting,MATCH(AD770,FlowCalNumber,0),1,1))),INDEX(FlowCalConstA,MATCH(AD770,FlowCalNumber,0),1,1)*AF771^INDEX(FlowCalConstB,MATCH(AD770,FlowCalNumber,0),1,1)," ")</f>
        <v>#REF!</v>
      </c>
      <c r="AH771" s="33"/>
      <c r="AI771" s="260">
        <f>AI$17/100</f>
        <v>0.9</v>
      </c>
      <c r="AJ771" s="241" t="e">
        <f ca="1">AI771*$H771</f>
        <v>#REF!</v>
      </c>
      <c r="AK771" s="243" t="e">
        <f ca="1">IF(AND(INDEX(FlowCalConstA,MATCH(AH770,FlowCalNumber,0),1,1)*AJ771^INDEX(FlowCalConstB,MATCH(AH770,FlowCalNumber,0),1,1)&gt;INDEX(FlowCalLowSetting,MATCH(AH770,FlowCalNumber,0),1,1), (INDEX(FlowCalConstA,MATCH(AH770,FlowCalNumber,0),1,1)*AJ771^INDEX(FlowCalConstB,MATCH(AH770,FlowCalNumber,0),1,1)&lt;INDEX(FlowCalHighSetting,MATCH(AH770,FlowCalNumber,0),1,1))),INDEX(FlowCalConstA,MATCH(AH770,FlowCalNumber,0),1,1)*AJ771^INDEX(FlowCalConstB,MATCH(AH770,FlowCalNumber,0),1,1)," ")</f>
        <v>#REF!</v>
      </c>
      <c r="AL771" s="33"/>
      <c r="AM771" s="260"/>
      <c r="AN771" s="241"/>
      <c r="AO771" s="244"/>
      <c r="AQ771" s="260"/>
      <c r="AR771" s="241"/>
      <c r="AS771" s="244"/>
      <c r="AT771" s="33"/>
      <c r="AU771" s="260"/>
      <c r="AV771" s="241"/>
      <c r="AW771" s="244"/>
      <c r="AX771" s="33"/>
      <c r="AY771" s="260"/>
      <c r="AZ771" s="241"/>
      <c r="BA771" s="244"/>
      <c r="BB771" s="33"/>
      <c r="BC771" s="260"/>
      <c r="BD771" s="241"/>
      <c r="BE771" s="244"/>
      <c r="BF771" s="33"/>
      <c r="BG771" s="260"/>
      <c r="BH771" s="241"/>
      <c r="BI771" s="244"/>
      <c r="BJ771" s="33"/>
      <c r="BK771" s="260"/>
      <c r="BL771" s="241"/>
      <c r="BM771" s="244"/>
      <c r="BN771" s="33"/>
      <c r="BO771" s="260"/>
      <c r="BP771" s="241"/>
      <c r="BQ771" s="244"/>
      <c r="BR771" s="33"/>
      <c r="BS771" s="260"/>
      <c r="BT771" s="241"/>
      <c r="BU771" s="244"/>
      <c r="BV771" s="33"/>
      <c r="BW771" s="260"/>
      <c r="BX771" s="241"/>
      <c r="BY771" s="244"/>
      <c r="BZ771" s="33"/>
      <c r="CA771" s="260"/>
      <c r="CB771" s="241"/>
      <c r="CC771" s="244"/>
      <c r="CD771" s="243"/>
      <c r="CE771" s="243"/>
      <c r="CF771" s="243"/>
      <c r="CG771" s="243"/>
      <c r="CH771" s="243"/>
      <c r="CI771" s="243"/>
      <c r="CJ771" s="243"/>
      <c r="CK771" s="243"/>
      <c r="CL771" s="243"/>
      <c r="CM771" s="243"/>
      <c r="CN771" s="243"/>
      <c r="CO771" s="243"/>
      <c r="CP771" s="243"/>
      <c r="CQ771" s="243"/>
      <c r="CR771" s="243"/>
      <c r="CS771" s="243"/>
      <c r="CT771" s="243"/>
      <c r="CU771" s="243"/>
      <c r="CV771" s="243"/>
      <c r="CW771" s="243"/>
      <c r="CX771" s="243"/>
      <c r="CY771" s="243"/>
      <c r="CZ771" s="243"/>
      <c r="DA771" s="243"/>
      <c r="DB771" s="243"/>
      <c r="DC771" s="243"/>
      <c r="DD771" s="243"/>
      <c r="DE771" s="243"/>
      <c r="DF771" s="243"/>
      <c r="DG771" s="243"/>
      <c r="DH771" s="243"/>
      <c r="DI771" s="243"/>
      <c r="DJ771" s="243"/>
      <c r="DK771" s="243"/>
      <c r="DM771" s="259"/>
      <c r="DO771" s="243"/>
      <c r="DQ771" s="259"/>
      <c r="DS771" s="243"/>
      <c r="DU771" s="259"/>
      <c r="DW771" s="243"/>
      <c r="DY771" s="260"/>
      <c r="EA771" s="243"/>
    </row>
    <row r="772" spans="1:131">
      <c r="A772" s="20"/>
      <c r="B772" s="124" t="str">
        <f t="shared" si="726"/>
        <v/>
      </c>
      <c r="C772" s="235"/>
      <c r="D772" s="24">
        <f>'1% Wind'!$M$83</f>
        <v>23.5</v>
      </c>
      <c r="E772" s="90"/>
      <c r="F772" s="90"/>
      <c r="G772" s="79" t="e">
        <f ca="1">IF(I770=0.9743,$G771,MAX(G771/D771*D772,2))</f>
        <v>#REF!</v>
      </c>
      <c r="H772" s="121" t="e">
        <f t="shared" ca="1" si="727"/>
        <v>#REF!</v>
      </c>
      <c r="J772" s="33"/>
      <c r="K772" s="242">
        <f t="shared" ref="K772:K785" si="728">K771</f>
        <v>1</v>
      </c>
      <c r="L772" s="241" t="e">
        <f t="shared" ref="L772:L785" ca="1" si="729">K772*$H772</f>
        <v>#REF!</v>
      </c>
      <c r="M772" s="243" t="e">
        <f ca="1">IF(AND(INDEX(FlowCalConstA,MATCH(J770,FlowCalNumber,0),1,1)*L772^INDEX(FlowCalConstB,MATCH(J770,FlowCalNumber,0),1,1)&gt;INDEX(FlowCalLowSetting,MATCH(J770,FlowCalNumber,0),1,1), (INDEX(FlowCalConstA,MATCH(J770,FlowCalNumber,0),1,1)*L772^INDEX(FlowCalConstB,MATCH(J770,FlowCalNumber,0),1,1)&lt;INDEX(FlowCalHighSetting,MATCH(J770,FlowCalNumber,0),1,1))),INDEX(FlowCalConstA,MATCH(J770,FlowCalNumber,0),1,1)*L772^INDEX(FlowCalConstB,MATCH(J770,FlowCalNumber,0),1,1)," ")</f>
        <v>#REF!</v>
      </c>
      <c r="N772" s="33"/>
      <c r="O772" s="242">
        <f t="shared" ref="O772:O785" si="730">O771</f>
        <v>1</v>
      </c>
      <c r="P772" s="241" t="e">
        <f t="shared" ref="P772:P785" ca="1" si="731">O772*$H772</f>
        <v>#REF!</v>
      </c>
      <c r="Q772" s="243" t="e">
        <f ca="1">IF(AND(INDEX(FlowCalConstA,MATCH(N770,FlowCalNumber,0),1,1)*P772^INDEX(FlowCalConstB,MATCH(N770,FlowCalNumber,0),1,1)&gt;INDEX(FlowCalLowSetting,MATCH(N770,FlowCalNumber,0),1,1), (INDEX(FlowCalConstA,MATCH(N770,FlowCalNumber,0),1,1)*P772^INDEX(FlowCalConstB,MATCH(N770,FlowCalNumber,0),1,1)&lt;INDEX(FlowCalHighSetting,MATCH(N770,FlowCalNumber,0),1,1))),INDEX(FlowCalConstA,MATCH(N770,FlowCalNumber,0),1,1)*P772^INDEX(FlowCalConstB,MATCH(N770,FlowCalNumber,0),1,1)," ")</f>
        <v>#REF!</v>
      </c>
      <c r="R772" s="33"/>
      <c r="S772" s="242">
        <f t="shared" ref="S772:S785" si="732">S771</f>
        <v>1</v>
      </c>
      <c r="T772" s="241" t="e">
        <f t="shared" ref="T772:T785" ca="1" si="733">S772*$H772</f>
        <v>#REF!</v>
      </c>
      <c r="U772" s="244" t="e">
        <f ca="1">IF(AND(INDEX(FlowCalConstA,MATCH(R770,FlowCalNumber,0),1,1)*T772^INDEX(FlowCalConstB,MATCH(R770,FlowCalNumber,0),1,1)&gt;INDEX(FlowCalLowSetting,MATCH(R770,FlowCalNumber,0),1,1), (INDEX(FlowCalConstA,MATCH(R770,FlowCalNumber,0),1,1)*T772^INDEX(FlowCalConstB,MATCH(R770,FlowCalNumber,0),1,1)&lt;INDEX(FlowCalHighSetting,MATCH(R770,FlowCalNumber,0),1,1))),INDEX(FlowCalConstA,MATCH(R770,FlowCalNumber,0),1,1)*T772^INDEX(FlowCalConstB,MATCH(R770,FlowCalNumber,0),1,1)," ")</f>
        <v>#REF!</v>
      </c>
      <c r="V772" s="33"/>
      <c r="W772" s="242">
        <f t="shared" ref="W772:W785" si="734">W771</f>
        <v>0.1</v>
      </c>
      <c r="X772" s="241" t="e">
        <f t="shared" ref="X772:X785" ca="1" si="735">W772*$H772</f>
        <v>#REF!</v>
      </c>
      <c r="Y772" s="243" t="e">
        <f ca="1">IF(AND(INDEX(FlowCalConstA,MATCH(V770,FlowCalNumber,0),1,1)*X772^INDEX(FlowCalConstB,MATCH(V770,FlowCalNumber,0),1,1)&gt;INDEX(FlowCalLowSetting,MATCH(V770,FlowCalNumber,0),1,1), (INDEX(FlowCalConstA,MATCH(V770,FlowCalNumber,0),1,1)*X772^INDEX(FlowCalConstB,MATCH(V770,FlowCalNumber,0),1,1)&lt;INDEX(FlowCalHighSetting,MATCH(V770,FlowCalNumber,0),1,1))),INDEX(FlowCalConstA,MATCH(V770,FlowCalNumber,0),1,1)*X772^INDEX(FlowCalConstB,MATCH(V770,FlowCalNumber,0),1,1)," ")</f>
        <v>#REF!</v>
      </c>
      <c r="Z772" s="33"/>
      <c r="AA772" s="242">
        <f t="shared" ref="AA772:AA785" si="736">AA771</f>
        <v>0.9</v>
      </c>
      <c r="AB772" s="241" t="e">
        <f t="shared" ref="AB772:AB785" ca="1" si="737">AA772*$H772</f>
        <v>#REF!</v>
      </c>
      <c r="AC772" s="243" t="e">
        <f ca="1">IF(AND(INDEX(FlowCalConstA,MATCH(Z770,FlowCalNumber,0),1,1)*AB772^INDEX(FlowCalConstB,MATCH(Z770,FlowCalNumber,0),1,1)&gt;INDEX(FlowCalLowSetting,MATCH(Z770,FlowCalNumber,0),1,1), (INDEX(FlowCalConstA,MATCH(Z770,FlowCalNumber,0),1,1)*AB772^INDEX(FlowCalConstB,MATCH(Z770,FlowCalNumber,0),1,1)&lt;INDEX(FlowCalHighSetting,MATCH(Z770,FlowCalNumber,0),1,1))),INDEX(FlowCalConstA,MATCH(Z770,FlowCalNumber,0),1,1)*AB772^INDEX(FlowCalConstB,MATCH(Z770,FlowCalNumber,0),1,1)," ")</f>
        <v>#REF!</v>
      </c>
      <c r="AD772" s="33"/>
      <c r="AE772" s="242">
        <f t="shared" ref="AE772:AE785" si="738">AE771</f>
        <v>0.1</v>
      </c>
      <c r="AF772" s="241" t="e">
        <f t="shared" ref="AF772:AF785" ca="1" si="739">AE772*$H772</f>
        <v>#REF!</v>
      </c>
      <c r="AG772" s="243" t="e">
        <f ca="1">IF(AND(INDEX(FlowCalConstA,MATCH(AD770,FlowCalNumber,0),1,1)*AF772^INDEX(FlowCalConstB,MATCH(AD770,FlowCalNumber,0),1,1)&gt;INDEX(FlowCalLowSetting,MATCH(AD770,FlowCalNumber,0),1,1), (INDEX(FlowCalConstA,MATCH(AD770,FlowCalNumber,0),1,1)*AF772^INDEX(FlowCalConstB,MATCH(AD770,FlowCalNumber,0),1,1)&lt;INDEX(FlowCalHighSetting,MATCH(AD770,FlowCalNumber,0),1,1))),INDEX(FlowCalConstA,MATCH(AD770,FlowCalNumber,0),1,1)*AF772^INDEX(FlowCalConstB,MATCH(AD770,FlowCalNumber,0),1,1)," ")</f>
        <v>#REF!</v>
      </c>
      <c r="AH772" s="33"/>
      <c r="AI772" s="242">
        <f t="shared" ref="AI772:AI785" si="740">AI771</f>
        <v>0.9</v>
      </c>
      <c r="AJ772" s="241" t="e">
        <f t="shared" ref="AJ772:AJ785" ca="1" si="741">AI772*$H772</f>
        <v>#REF!</v>
      </c>
      <c r="AK772" s="243" t="e">
        <f ca="1">IF(AND(INDEX(FlowCalConstA,MATCH(AH770,FlowCalNumber,0),1,1)*AJ772^INDEX(FlowCalConstB,MATCH(AH770,FlowCalNumber,0),1,1)&gt;INDEX(FlowCalLowSetting,MATCH(AH770,FlowCalNumber,0),1,1), (INDEX(FlowCalConstA,MATCH(AH770,FlowCalNumber,0),1,1)*AJ772^INDEX(FlowCalConstB,MATCH(AH770,FlowCalNumber,0),1,1)&lt;INDEX(FlowCalHighSetting,MATCH(AH770,FlowCalNumber,0),1,1))),INDEX(FlowCalConstA,MATCH(AH770,FlowCalNumber,0),1,1)*AJ772^INDEX(FlowCalConstB,MATCH(AH770,FlowCalNumber,0),1,1)," ")</f>
        <v>#REF!</v>
      </c>
      <c r="AL772" s="33"/>
      <c r="AM772" s="242"/>
      <c r="AN772" s="241"/>
      <c r="AO772" s="244"/>
      <c r="AQ772" s="242"/>
      <c r="AR772" s="241"/>
      <c r="AS772" s="244"/>
      <c r="AT772" s="33"/>
      <c r="AU772" s="242"/>
      <c r="AV772" s="241"/>
      <c r="AW772" s="244"/>
      <c r="AX772" s="33"/>
      <c r="AY772" s="242"/>
      <c r="AZ772" s="241"/>
      <c r="BA772" s="244"/>
      <c r="BB772" s="33"/>
      <c r="BC772" s="242"/>
      <c r="BD772" s="241"/>
      <c r="BE772" s="244"/>
      <c r="BF772" s="33"/>
      <c r="BG772" s="242"/>
      <c r="BH772" s="241"/>
      <c r="BI772" s="244"/>
      <c r="BJ772" s="33"/>
      <c r="BK772" s="242"/>
      <c r="BL772" s="241"/>
      <c r="BM772" s="244"/>
      <c r="BN772" s="33"/>
      <c r="BO772" s="242"/>
      <c r="BP772" s="241"/>
      <c r="BQ772" s="244"/>
      <c r="BR772" s="33"/>
      <c r="BS772" s="242"/>
      <c r="BT772" s="241"/>
      <c r="BU772" s="244"/>
      <c r="BV772" s="33"/>
      <c r="BW772" s="242"/>
      <c r="BX772" s="241"/>
      <c r="BY772" s="244"/>
      <c r="BZ772" s="33"/>
      <c r="CA772" s="242"/>
      <c r="CB772" s="241"/>
      <c r="CC772" s="244"/>
      <c r="CD772" s="243"/>
      <c r="CE772" s="243"/>
      <c r="CF772" s="243"/>
      <c r="CG772" s="243"/>
      <c r="CH772" s="243"/>
      <c r="CI772" s="243"/>
      <c r="CJ772" s="243"/>
      <c r="CK772" s="243"/>
      <c r="CL772" s="243"/>
      <c r="CM772" s="243"/>
      <c r="CN772" s="243"/>
      <c r="CO772" s="243"/>
      <c r="CP772" s="243"/>
      <c r="CQ772" s="243"/>
      <c r="CR772" s="243"/>
      <c r="CS772" s="243"/>
      <c r="CT772" s="243"/>
      <c r="CU772" s="243"/>
      <c r="CV772" s="243"/>
      <c r="CW772" s="243"/>
      <c r="CX772" s="243"/>
      <c r="CY772" s="243"/>
      <c r="CZ772" s="243"/>
      <c r="DA772" s="243"/>
      <c r="DB772" s="243"/>
      <c r="DC772" s="243"/>
      <c r="DD772" s="243"/>
      <c r="DE772" s="243"/>
      <c r="DF772" s="243"/>
      <c r="DG772" s="243"/>
      <c r="DH772" s="243"/>
      <c r="DI772" s="243"/>
      <c r="DJ772" s="243"/>
      <c r="DK772" s="243"/>
      <c r="DM772" s="242"/>
      <c r="DO772" s="243"/>
      <c r="DQ772" s="242"/>
      <c r="DS772" s="243"/>
      <c r="DU772" s="242"/>
      <c r="DW772" s="243"/>
      <c r="DY772" s="242"/>
      <c r="EA772" s="243"/>
    </row>
    <row r="773" spans="1:131">
      <c r="A773" s="20"/>
      <c r="B773" s="124" t="str">
        <f t="shared" si="726"/>
        <v/>
      </c>
      <c r="C773" s="235"/>
      <c r="D773" s="24">
        <f>'1% Wind'!$M$84</f>
        <v>20.5</v>
      </c>
      <c r="E773" s="90"/>
      <c r="F773" s="90"/>
      <c r="G773" s="79" t="e">
        <f ca="1">IF(I770=0.9743,$G772,MAX(G772/D772*D773,2))</f>
        <v>#REF!</v>
      </c>
      <c r="H773" s="121" t="e">
        <f t="shared" ca="1" si="727"/>
        <v>#REF!</v>
      </c>
      <c r="J773" s="33"/>
      <c r="K773" s="242">
        <f t="shared" si="728"/>
        <v>1</v>
      </c>
      <c r="L773" s="241" t="e">
        <f t="shared" ca="1" si="729"/>
        <v>#REF!</v>
      </c>
      <c r="M773" s="243" t="e">
        <f ca="1">IF(AND(INDEX(FlowCalConstA,MATCH(J770,FlowCalNumber,0),1,1)*L773^INDEX(FlowCalConstB,MATCH(J770,FlowCalNumber,0),1,1)&gt;INDEX(FlowCalLowSetting,MATCH(J770,FlowCalNumber,0),1,1), (INDEX(FlowCalConstA,MATCH(J770,FlowCalNumber,0),1,1)*L773^INDEX(FlowCalConstB,MATCH(J770,FlowCalNumber,0),1,1)&lt;INDEX(FlowCalHighSetting,MATCH(J770,FlowCalNumber,0),1,1))),INDEX(FlowCalConstA,MATCH(J770,FlowCalNumber,0),1,1)*L773^INDEX(FlowCalConstB,MATCH(J770,FlowCalNumber,0),1,1)," ")</f>
        <v>#REF!</v>
      </c>
      <c r="N773" s="33"/>
      <c r="O773" s="242">
        <f t="shared" si="730"/>
        <v>1</v>
      </c>
      <c r="P773" s="241" t="e">
        <f t="shared" ca="1" si="731"/>
        <v>#REF!</v>
      </c>
      <c r="Q773" s="243" t="e">
        <f ca="1">IF(AND(INDEX(FlowCalConstA,MATCH(N770,FlowCalNumber,0),1,1)*P773^INDEX(FlowCalConstB,MATCH(N770,FlowCalNumber,0),1,1)&gt;INDEX(FlowCalLowSetting,MATCH(N770,FlowCalNumber,0),1,1), (INDEX(FlowCalConstA,MATCH(N770,FlowCalNumber,0),1,1)*P773^INDEX(FlowCalConstB,MATCH(N770,FlowCalNumber,0),1,1)&lt;INDEX(FlowCalHighSetting,MATCH(N770,FlowCalNumber,0),1,1))),INDEX(FlowCalConstA,MATCH(N770,FlowCalNumber,0),1,1)*P773^INDEX(FlowCalConstB,MATCH(N770,FlowCalNumber,0),1,1)," ")</f>
        <v>#REF!</v>
      </c>
      <c r="R773" s="33"/>
      <c r="S773" s="242">
        <f t="shared" si="732"/>
        <v>1</v>
      </c>
      <c r="T773" s="241" t="e">
        <f t="shared" ca="1" si="733"/>
        <v>#REF!</v>
      </c>
      <c r="U773" s="244" t="e">
        <f ca="1">IF(AND(INDEX(FlowCalConstA,MATCH(R770,FlowCalNumber,0),1,1)*T773^INDEX(FlowCalConstB,MATCH(R770,FlowCalNumber,0),1,1)&gt;INDEX(FlowCalLowSetting,MATCH(R770,FlowCalNumber,0),1,1), (INDEX(FlowCalConstA,MATCH(R770,FlowCalNumber,0),1,1)*T773^INDEX(FlowCalConstB,MATCH(R770,FlowCalNumber,0),1,1)&lt;INDEX(FlowCalHighSetting,MATCH(R770,FlowCalNumber,0),1,1))),INDEX(FlowCalConstA,MATCH(R770,FlowCalNumber,0),1,1)*T773^INDEX(FlowCalConstB,MATCH(R770,FlowCalNumber,0),1,1)," ")</f>
        <v>#REF!</v>
      </c>
      <c r="V773" s="33"/>
      <c r="W773" s="242">
        <f t="shared" si="734"/>
        <v>0.1</v>
      </c>
      <c r="X773" s="241" t="e">
        <f t="shared" ca="1" si="735"/>
        <v>#REF!</v>
      </c>
      <c r="Y773" s="243" t="e">
        <f ca="1">IF(AND(INDEX(FlowCalConstA,MATCH(V770,FlowCalNumber,0),1,1)*X773^INDEX(FlowCalConstB,MATCH(V770,FlowCalNumber,0),1,1)&gt;INDEX(FlowCalLowSetting,MATCH(V770,FlowCalNumber,0),1,1), (INDEX(FlowCalConstA,MATCH(V770,FlowCalNumber,0),1,1)*X773^INDEX(FlowCalConstB,MATCH(V770,FlowCalNumber,0),1,1)&lt;INDEX(FlowCalHighSetting,MATCH(V770,FlowCalNumber,0),1,1))),INDEX(FlowCalConstA,MATCH(V770,FlowCalNumber,0),1,1)*X773^INDEX(FlowCalConstB,MATCH(V770,FlowCalNumber,0),1,1)," ")</f>
        <v>#REF!</v>
      </c>
      <c r="Z773" s="33"/>
      <c r="AA773" s="242">
        <f t="shared" si="736"/>
        <v>0.9</v>
      </c>
      <c r="AB773" s="241" t="e">
        <f t="shared" ca="1" si="737"/>
        <v>#REF!</v>
      </c>
      <c r="AC773" s="243" t="e">
        <f ca="1">IF(AND(INDEX(FlowCalConstA,MATCH(Z770,FlowCalNumber,0),1,1)*AB773^INDEX(FlowCalConstB,MATCH(Z770,FlowCalNumber,0),1,1)&gt;INDEX(FlowCalLowSetting,MATCH(Z770,FlowCalNumber,0),1,1), (INDEX(FlowCalConstA,MATCH(Z770,FlowCalNumber,0),1,1)*AB773^INDEX(FlowCalConstB,MATCH(Z770,FlowCalNumber,0),1,1)&lt;INDEX(FlowCalHighSetting,MATCH(Z770,FlowCalNumber,0),1,1))),INDEX(FlowCalConstA,MATCH(Z770,FlowCalNumber,0),1,1)*AB773^INDEX(FlowCalConstB,MATCH(Z770,FlowCalNumber,0),1,1)," ")</f>
        <v>#REF!</v>
      </c>
      <c r="AD773" s="33"/>
      <c r="AE773" s="242">
        <f t="shared" si="738"/>
        <v>0.1</v>
      </c>
      <c r="AF773" s="241" t="e">
        <f t="shared" ca="1" si="739"/>
        <v>#REF!</v>
      </c>
      <c r="AG773" s="243" t="e">
        <f ca="1">IF(AND(INDEX(FlowCalConstA,MATCH(AD770,FlowCalNumber,0),1,1)*AF773^INDEX(FlowCalConstB,MATCH(AD770,FlowCalNumber,0),1,1)&gt;INDEX(FlowCalLowSetting,MATCH(AD770,FlowCalNumber,0),1,1), (INDEX(FlowCalConstA,MATCH(AD770,FlowCalNumber,0),1,1)*AF773^INDEX(FlowCalConstB,MATCH(AD770,FlowCalNumber,0),1,1)&lt;INDEX(FlowCalHighSetting,MATCH(AD770,FlowCalNumber,0),1,1))),INDEX(FlowCalConstA,MATCH(AD770,FlowCalNumber,0),1,1)*AF773^INDEX(FlowCalConstB,MATCH(AD770,FlowCalNumber,0),1,1)," ")</f>
        <v>#REF!</v>
      </c>
      <c r="AH773" s="33"/>
      <c r="AI773" s="242">
        <f t="shared" si="740"/>
        <v>0.9</v>
      </c>
      <c r="AJ773" s="241" t="e">
        <f t="shared" ca="1" si="741"/>
        <v>#REF!</v>
      </c>
      <c r="AK773" s="243" t="e">
        <f ca="1">IF(AND(INDEX(FlowCalConstA,MATCH(AH770,FlowCalNumber,0),1,1)*AJ773^INDEX(FlowCalConstB,MATCH(AH770,FlowCalNumber,0),1,1)&gt;INDEX(FlowCalLowSetting,MATCH(AH770,FlowCalNumber,0),1,1), (INDEX(FlowCalConstA,MATCH(AH770,FlowCalNumber,0),1,1)*AJ773^INDEX(FlowCalConstB,MATCH(AH770,FlowCalNumber,0),1,1)&lt;INDEX(FlowCalHighSetting,MATCH(AH770,FlowCalNumber,0),1,1))),INDEX(FlowCalConstA,MATCH(AH770,FlowCalNumber,0),1,1)*AJ773^INDEX(FlowCalConstB,MATCH(AH770,FlowCalNumber,0),1,1)," ")</f>
        <v>#REF!</v>
      </c>
      <c r="AL773" s="33"/>
      <c r="AM773" s="242"/>
      <c r="AN773" s="241"/>
      <c r="AO773" s="244"/>
      <c r="AQ773" s="242"/>
      <c r="AR773" s="241"/>
      <c r="AS773" s="244"/>
      <c r="AT773" s="33"/>
      <c r="AU773" s="242"/>
      <c r="AV773" s="241"/>
      <c r="AW773" s="244"/>
      <c r="AX773" s="33"/>
      <c r="AY773" s="242"/>
      <c r="AZ773" s="241"/>
      <c r="BA773" s="244"/>
      <c r="BB773" s="33"/>
      <c r="BC773" s="242"/>
      <c r="BD773" s="241"/>
      <c r="BE773" s="244"/>
      <c r="BF773" s="33"/>
      <c r="BG773" s="242"/>
      <c r="BH773" s="241"/>
      <c r="BI773" s="244"/>
      <c r="BJ773" s="33"/>
      <c r="BK773" s="242"/>
      <c r="BL773" s="241"/>
      <c r="BM773" s="244"/>
      <c r="BN773" s="33"/>
      <c r="BO773" s="242"/>
      <c r="BP773" s="241"/>
      <c r="BQ773" s="244"/>
      <c r="BR773" s="33"/>
      <c r="BS773" s="242"/>
      <c r="BT773" s="241"/>
      <c r="BU773" s="244"/>
      <c r="BV773" s="33"/>
      <c r="BW773" s="242"/>
      <c r="BX773" s="241"/>
      <c r="BY773" s="244"/>
      <c r="BZ773" s="33"/>
      <c r="CA773" s="242"/>
      <c r="CB773" s="241"/>
      <c r="CC773" s="244"/>
      <c r="CD773" s="243"/>
      <c r="CE773" s="243"/>
      <c r="CF773" s="243"/>
      <c r="CG773" s="243"/>
      <c r="CH773" s="243"/>
      <c r="CI773" s="243"/>
      <c r="CJ773" s="243"/>
      <c r="CK773" s="243"/>
      <c r="CL773" s="243"/>
      <c r="CM773" s="243"/>
      <c r="CN773" s="243"/>
      <c r="CO773" s="243"/>
      <c r="CP773" s="243"/>
      <c r="CQ773" s="243"/>
      <c r="CR773" s="243"/>
      <c r="CS773" s="243"/>
      <c r="CT773" s="243"/>
      <c r="CU773" s="243"/>
      <c r="CV773" s="243"/>
      <c r="CW773" s="243"/>
      <c r="CX773" s="243"/>
      <c r="CY773" s="243"/>
      <c r="CZ773" s="243"/>
      <c r="DA773" s="243"/>
      <c r="DB773" s="243"/>
      <c r="DC773" s="243"/>
      <c r="DD773" s="243"/>
      <c r="DE773" s="243"/>
      <c r="DF773" s="243"/>
      <c r="DG773" s="243"/>
      <c r="DH773" s="243"/>
      <c r="DI773" s="243"/>
      <c r="DJ773" s="243"/>
      <c r="DK773" s="243"/>
      <c r="DM773" s="242"/>
      <c r="DO773" s="243"/>
      <c r="DQ773" s="242"/>
      <c r="DS773" s="243"/>
      <c r="DU773" s="242"/>
      <c r="DW773" s="243"/>
      <c r="DY773" s="242"/>
      <c r="EA773" s="243"/>
    </row>
    <row r="774" spans="1:131">
      <c r="A774" s="20"/>
      <c r="B774" s="124" t="str">
        <f t="shared" si="726"/>
        <v/>
      </c>
      <c r="C774" s="235"/>
      <c r="D774" s="24">
        <f>'1% Wind'!$M$85</f>
        <v>17.8</v>
      </c>
      <c r="E774" s="90"/>
      <c r="F774" s="90"/>
      <c r="G774" s="79" t="e">
        <f ca="1">IF(I770=0.9743,$G773,MAX(G773/D773*D774,2))</f>
        <v>#REF!</v>
      </c>
      <c r="H774" s="121" t="e">
        <f t="shared" ca="1" si="727"/>
        <v>#REF!</v>
      </c>
      <c r="J774" s="33"/>
      <c r="K774" s="242">
        <f t="shared" si="728"/>
        <v>1</v>
      </c>
      <c r="L774" s="241" t="e">
        <f t="shared" ca="1" si="729"/>
        <v>#REF!</v>
      </c>
      <c r="M774" s="243" t="e">
        <f ca="1">IF(AND(INDEX(FlowCalConstA,MATCH(J770,FlowCalNumber,0),1,1)*L774^INDEX(FlowCalConstB,MATCH(J770,FlowCalNumber,0),1,1)&gt;INDEX(FlowCalLowSetting,MATCH(J770,FlowCalNumber,0),1,1), (INDEX(FlowCalConstA,MATCH(J770,FlowCalNumber,0),1,1)*L774^INDEX(FlowCalConstB,MATCH(J770,FlowCalNumber,0),1,1)&lt;INDEX(FlowCalHighSetting,MATCH(J770,FlowCalNumber,0),1,1))),INDEX(FlowCalConstA,MATCH(J770,FlowCalNumber,0),1,1)*L774^INDEX(FlowCalConstB,MATCH(J770,FlowCalNumber,0),1,1)," ")</f>
        <v>#REF!</v>
      </c>
      <c r="N774" s="33"/>
      <c r="O774" s="242">
        <f t="shared" si="730"/>
        <v>1</v>
      </c>
      <c r="P774" s="241" t="e">
        <f t="shared" ca="1" si="731"/>
        <v>#REF!</v>
      </c>
      <c r="Q774" s="243" t="e">
        <f ca="1">IF(AND(INDEX(FlowCalConstA,MATCH(N770,FlowCalNumber,0),1,1)*P774^INDEX(FlowCalConstB,MATCH(N770,FlowCalNumber,0),1,1)&gt;INDEX(FlowCalLowSetting,MATCH(N770,FlowCalNumber,0),1,1), (INDEX(FlowCalConstA,MATCH(N770,FlowCalNumber,0),1,1)*P774^INDEX(FlowCalConstB,MATCH(N770,FlowCalNumber,0),1,1)&lt;INDEX(FlowCalHighSetting,MATCH(N770,FlowCalNumber,0),1,1))),INDEX(FlowCalConstA,MATCH(N770,FlowCalNumber,0),1,1)*P774^INDEX(FlowCalConstB,MATCH(N770,FlowCalNumber,0),1,1)," ")</f>
        <v>#REF!</v>
      </c>
      <c r="R774" s="33"/>
      <c r="S774" s="242">
        <f t="shared" si="732"/>
        <v>1</v>
      </c>
      <c r="T774" s="241" t="e">
        <f t="shared" ca="1" si="733"/>
        <v>#REF!</v>
      </c>
      <c r="U774" s="244" t="e">
        <f ca="1">IF(AND(INDEX(FlowCalConstA,MATCH(R770,FlowCalNumber,0),1,1)*T774^INDEX(FlowCalConstB,MATCH(R770,FlowCalNumber,0),1,1)&gt;INDEX(FlowCalLowSetting,MATCH(R770,FlowCalNumber,0),1,1), (INDEX(FlowCalConstA,MATCH(R770,FlowCalNumber,0),1,1)*T774^INDEX(FlowCalConstB,MATCH(R770,FlowCalNumber,0),1,1)&lt;INDEX(FlowCalHighSetting,MATCH(R770,FlowCalNumber,0),1,1))),INDEX(FlowCalConstA,MATCH(R770,FlowCalNumber,0),1,1)*T774^INDEX(FlowCalConstB,MATCH(R770,FlowCalNumber,0),1,1)," ")</f>
        <v>#REF!</v>
      </c>
      <c r="V774" s="33"/>
      <c r="W774" s="242">
        <f t="shared" si="734"/>
        <v>0.1</v>
      </c>
      <c r="X774" s="241" t="e">
        <f t="shared" ca="1" si="735"/>
        <v>#REF!</v>
      </c>
      <c r="Y774" s="243" t="e">
        <f ca="1">IF(AND(INDEX(FlowCalConstA,MATCH(V770,FlowCalNumber,0),1,1)*X774^INDEX(FlowCalConstB,MATCH(V770,FlowCalNumber,0),1,1)&gt;INDEX(FlowCalLowSetting,MATCH(V770,FlowCalNumber,0),1,1), (INDEX(FlowCalConstA,MATCH(V770,FlowCalNumber,0),1,1)*X774^INDEX(FlowCalConstB,MATCH(V770,FlowCalNumber,0),1,1)&lt;INDEX(FlowCalHighSetting,MATCH(V770,FlowCalNumber,0),1,1))),INDEX(FlowCalConstA,MATCH(V770,FlowCalNumber,0),1,1)*X774^INDEX(FlowCalConstB,MATCH(V770,FlowCalNumber,0),1,1)," ")</f>
        <v>#REF!</v>
      </c>
      <c r="Z774" s="33"/>
      <c r="AA774" s="242">
        <f t="shared" si="736"/>
        <v>0.9</v>
      </c>
      <c r="AB774" s="241" t="e">
        <f t="shared" ca="1" si="737"/>
        <v>#REF!</v>
      </c>
      <c r="AC774" s="243" t="e">
        <f ca="1">IF(AND(INDEX(FlowCalConstA,MATCH(Z770,FlowCalNumber,0),1,1)*AB774^INDEX(FlowCalConstB,MATCH(Z770,FlowCalNumber,0),1,1)&gt;INDEX(FlowCalLowSetting,MATCH(Z770,FlowCalNumber,0),1,1), (INDEX(FlowCalConstA,MATCH(Z770,FlowCalNumber,0),1,1)*AB774^INDEX(FlowCalConstB,MATCH(Z770,FlowCalNumber,0),1,1)&lt;INDEX(FlowCalHighSetting,MATCH(Z770,FlowCalNumber,0),1,1))),INDEX(FlowCalConstA,MATCH(Z770,FlowCalNumber,0),1,1)*AB774^INDEX(FlowCalConstB,MATCH(Z770,FlowCalNumber,0),1,1)," ")</f>
        <v>#REF!</v>
      </c>
      <c r="AD774" s="33"/>
      <c r="AE774" s="242">
        <f t="shared" si="738"/>
        <v>0.1</v>
      </c>
      <c r="AF774" s="241" t="e">
        <f t="shared" ca="1" si="739"/>
        <v>#REF!</v>
      </c>
      <c r="AG774" s="243" t="e">
        <f ca="1">IF(AND(INDEX(FlowCalConstA,MATCH(AD770,FlowCalNumber,0),1,1)*AF774^INDEX(FlowCalConstB,MATCH(AD770,FlowCalNumber,0),1,1)&gt;INDEX(FlowCalLowSetting,MATCH(AD770,FlowCalNumber,0),1,1), (INDEX(FlowCalConstA,MATCH(AD770,FlowCalNumber,0),1,1)*AF774^INDEX(FlowCalConstB,MATCH(AD770,FlowCalNumber,0),1,1)&lt;INDEX(FlowCalHighSetting,MATCH(AD770,FlowCalNumber,0),1,1))),INDEX(FlowCalConstA,MATCH(AD770,FlowCalNumber,0),1,1)*AF774^INDEX(FlowCalConstB,MATCH(AD770,FlowCalNumber,0),1,1)," ")</f>
        <v>#REF!</v>
      </c>
      <c r="AH774" s="33"/>
      <c r="AI774" s="242">
        <f t="shared" si="740"/>
        <v>0.9</v>
      </c>
      <c r="AJ774" s="241" t="e">
        <f t="shared" ca="1" si="741"/>
        <v>#REF!</v>
      </c>
      <c r="AK774" s="243" t="e">
        <f ca="1">IF(AND(INDEX(FlowCalConstA,MATCH(AH770,FlowCalNumber,0),1,1)*AJ774^INDEX(FlowCalConstB,MATCH(AH770,FlowCalNumber,0),1,1)&gt;INDEX(FlowCalLowSetting,MATCH(AH770,FlowCalNumber,0),1,1), (INDEX(FlowCalConstA,MATCH(AH770,FlowCalNumber,0),1,1)*AJ774^INDEX(FlowCalConstB,MATCH(AH770,FlowCalNumber,0),1,1)&lt;INDEX(FlowCalHighSetting,MATCH(AH770,FlowCalNumber,0),1,1))),INDEX(FlowCalConstA,MATCH(AH770,FlowCalNumber,0),1,1)*AJ774^INDEX(FlowCalConstB,MATCH(AH770,FlowCalNumber,0),1,1)," ")</f>
        <v>#REF!</v>
      </c>
      <c r="AL774" s="33"/>
      <c r="AM774" s="242"/>
      <c r="AN774" s="241"/>
      <c r="AO774" s="244"/>
      <c r="AQ774" s="242"/>
      <c r="AR774" s="241"/>
      <c r="AS774" s="244"/>
      <c r="AT774" s="33"/>
      <c r="AU774" s="242"/>
      <c r="AV774" s="241"/>
      <c r="AW774" s="244"/>
      <c r="AX774" s="33"/>
      <c r="AY774" s="242"/>
      <c r="AZ774" s="241"/>
      <c r="BA774" s="244"/>
      <c r="BB774" s="33"/>
      <c r="BC774" s="242"/>
      <c r="BD774" s="241"/>
      <c r="BE774" s="244"/>
      <c r="BF774" s="33"/>
      <c r="BG774" s="242"/>
      <c r="BH774" s="241"/>
      <c r="BI774" s="244"/>
      <c r="BJ774" s="33"/>
      <c r="BK774" s="242"/>
      <c r="BL774" s="241"/>
      <c r="BM774" s="244"/>
      <c r="BN774" s="33"/>
      <c r="BO774" s="242"/>
      <c r="BP774" s="241"/>
      <c r="BQ774" s="244"/>
      <c r="BR774" s="33"/>
      <c r="BS774" s="242"/>
      <c r="BT774" s="241"/>
      <c r="BU774" s="244"/>
      <c r="BV774" s="33"/>
      <c r="BW774" s="242"/>
      <c r="BX774" s="241"/>
      <c r="BY774" s="244"/>
      <c r="BZ774" s="33"/>
      <c r="CA774" s="242"/>
      <c r="CB774" s="241"/>
      <c r="CC774" s="244"/>
      <c r="CD774" s="243"/>
      <c r="CE774" s="243"/>
      <c r="CF774" s="243"/>
      <c r="CG774" s="243"/>
      <c r="CH774" s="243"/>
      <c r="CI774" s="243"/>
      <c r="CJ774" s="243"/>
      <c r="CK774" s="243"/>
      <c r="CL774" s="243"/>
      <c r="CM774" s="243"/>
      <c r="CN774" s="243"/>
      <c r="CO774" s="243"/>
      <c r="CP774" s="243"/>
      <c r="CQ774" s="243"/>
      <c r="CR774" s="243"/>
      <c r="CS774" s="243"/>
      <c r="CT774" s="243"/>
      <c r="CU774" s="243"/>
      <c r="CV774" s="243"/>
      <c r="CW774" s="243"/>
      <c r="CX774" s="243"/>
      <c r="CY774" s="243"/>
      <c r="CZ774" s="243"/>
      <c r="DA774" s="243"/>
      <c r="DB774" s="243"/>
      <c r="DC774" s="243"/>
      <c r="DD774" s="243"/>
      <c r="DE774" s="243"/>
      <c r="DF774" s="243"/>
      <c r="DG774" s="243"/>
      <c r="DH774" s="243"/>
      <c r="DI774" s="243"/>
      <c r="DJ774" s="243"/>
      <c r="DK774" s="243"/>
      <c r="DM774" s="242"/>
      <c r="DO774" s="243"/>
      <c r="DQ774" s="242"/>
      <c r="DS774" s="243"/>
      <c r="DU774" s="242"/>
      <c r="DW774" s="243"/>
      <c r="DY774" s="242"/>
      <c r="EA774" s="243"/>
    </row>
    <row r="775" spans="1:131">
      <c r="A775" s="20"/>
      <c r="B775" s="124" t="str">
        <f t="shared" si="726"/>
        <v/>
      </c>
      <c r="C775" s="235"/>
      <c r="D775" s="24">
        <f>'1% Wind'!$M$86</f>
        <v>15.5</v>
      </c>
      <c r="E775" s="90"/>
      <c r="F775" s="90"/>
      <c r="G775" s="79" t="e">
        <f ca="1">IF(I770=0.9743,$G774,MAX(G774/D774*D775,2))</f>
        <v>#REF!</v>
      </c>
      <c r="H775" s="121" t="e">
        <f t="shared" ca="1" si="727"/>
        <v>#REF!</v>
      </c>
      <c r="J775" s="33"/>
      <c r="K775" s="242">
        <f t="shared" si="728"/>
        <v>1</v>
      </c>
      <c r="L775" s="241" t="e">
        <f t="shared" ca="1" si="729"/>
        <v>#REF!</v>
      </c>
      <c r="M775" s="243" t="e">
        <f ca="1">IF(AND(INDEX(FlowCalConstA,MATCH(J770,FlowCalNumber,0),1,1)*L775^INDEX(FlowCalConstB,MATCH(J770,FlowCalNumber,0),1,1)&gt;INDEX(FlowCalLowSetting,MATCH(J770,FlowCalNumber,0),1,1), (INDEX(FlowCalConstA,MATCH(J770,FlowCalNumber,0),1,1)*L775^INDEX(FlowCalConstB,MATCH(J770,FlowCalNumber,0),1,1)&lt;INDEX(FlowCalHighSetting,MATCH(J770,FlowCalNumber,0),1,1))),INDEX(FlowCalConstA,MATCH(J770,FlowCalNumber,0),1,1)*L775^INDEX(FlowCalConstB,MATCH(J770,FlowCalNumber,0),1,1)," ")</f>
        <v>#REF!</v>
      </c>
      <c r="N775" s="33"/>
      <c r="O775" s="242">
        <f t="shared" si="730"/>
        <v>1</v>
      </c>
      <c r="P775" s="241" t="e">
        <f t="shared" ca="1" si="731"/>
        <v>#REF!</v>
      </c>
      <c r="Q775" s="243" t="e">
        <f ca="1">IF(AND(INDEX(FlowCalConstA,MATCH(N770,FlowCalNumber,0),1,1)*P775^INDEX(FlowCalConstB,MATCH(N770,FlowCalNumber,0),1,1)&gt;INDEX(FlowCalLowSetting,MATCH(N770,FlowCalNumber,0),1,1), (INDEX(FlowCalConstA,MATCH(N770,FlowCalNumber,0),1,1)*P775^INDEX(FlowCalConstB,MATCH(N770,FlowCalNumber,0),1,1)&lt;INDEX(FlowCalHighSetting,MATCH(N770,FlowCalNumber,0),1,1))),INDEX(FlowCalConstA,MATCH(N770,FlowCalNumber,0),1,1)*P775^INDEX(FlowCalConstB,MATCH(N770,FlowCalNumber,0),1,1)," ")</f>
        <v>#REF!</v>
      </c>
      <c r="R775" s="33"/>
      <c r="S775" s="242">
        <f t="shared" si="732"/>
        <v>1</v>
      </c>
      <c r="T775" s="241" t="e">
        <f t="shared" ca="1" si="733"/>
        <v>#REF!</v>
      </c>
      <c r="U775" s="244" t="e">
        <f ca="1">IF(AND(INDEX(FlowCalConstA,MATCH(R770,FlowCalNumber,0),1,1)*T775^INDEX(FlowCalConstB,MATCH(R770,FlowCalNumber,0),1,1)&gt;INDEX(FlowCalLowSetting,MATCH(R770,FlowCalNumber,0),1,1), (INDEX(FlowCalConstA,MATCH(R770,FlowCalNumber,0),1,1)*T775^INDEX(FlowCalConstB,MATCH(R770,FlowCalNumber,0),1,1)&lt;INDEX(FlowCalHighSetting,MATCH(R770,FlowCalNumber,0),1,1))),INDEX(FlowCalConstA,MATCH(R770,FlowCalNumber,0),1,1)*T775^INDEX(FlowCalConstB,MATCH(R770,FlowCalNumber,0),1,1)," ")</f>
        <v>#REF!</v>
      </c>
      <c r="V775" s="33"/>
      <c r="W775" s="242">
        <f t="shared" si="734"/>
        <v>0.1</v>
      </c>
      <c r="X775" s="241" t="e">
        <f t="shared" ca="1" si="735"/>
        <v>#REF!</v>
      </c>
      <c r="Y775" s="243" t="e">
        <f ca="1">IF(AND(INDEX(FlowCalConstA,MATCH(V770,FlowCalNumber,0),1,1)*X775^INDEX(FlowCalConstB,MATCH(V770,FlowCalNumber,0),1,1)&gt;INDEX(FlowCalLowSetting,MATCH(V770,FlowCalNumber,0),1,1), (INDEX(FlowCalConstA,MATCH(V770,FlowCalNumber,0),1,1)*X775^INDEX(FlowCalConstB,MATCH(V770,FlowCalNumber,0),1,1)&lt;INDEX(FlowCalHighSetting,MATCH(V770,FlowCalNumber,0),1,1))),INDEX(FlowCalConstA,MATCH(V770,FlowCalNumber,0),1,1)*X775^INDEX(FlowCalConstB,MATCH(V770,FlowCalNumber,0),1,1)," ")</f>
        <v>#REF!</v>
      </c>
      <c r="Z775" s="33"/>
      <c r="AA775" s="242">
        <f t="shared" si="736"/>
        <v>0.9</v>
      </c>
      <c r="AB775" s="241" t="e">
        <f t="shared" ca="1" si="737"/>
        <v>#REF!</v>
      </c>
      <c r="AC775" s="243" t="e">
        <f ca="1">IF(AND(INDEX(FlowCalConstA,MATCH(Z770,FlowCalNumber,0),1,1)*AB775^INDEX(FlowCalConstB,MATCH(Z770,FlowCalNumber,0),1,1)&gt;INDEX(FlowCalLowSetting,MATCH(Z770,FlowCalNumber,0),1,1), (INDEX(FlowCalConstA,MATCH(Z770,FlowCalNumber,0),1,1)*AB775^INDEX(FlowCalConstB,MATCH(Z770,FlowCalNumber,0),1,1)&lt;INDEX(FlowCalHighSetting,MATCH(Z770,FlowCalNumber,0),1,1))),INDEX(FlowCalConstA,MATCH(Z770,FlowCalNumber,0),1,1)*AB775^INDEX(FlowCalConstB,MATCH(Z770,FlowCalNumber,0),1,1)," ")</f>
        <v>#REF!</v>
      </c>
      <c r="AD775" s="33"/>
      <c r="AE775" s="242">
        <f t="shared" si="738"/>
        <v>0.1</v>
      </c>
      <c r="AF775" s="241" t="e">
        <f t="shared" ca="1" si="739"/>
        <v>#REF!</v>
      </c>
      <c r="AG775" s="243" t="e">
        <f ca="1">IF(AND(INDEX(FlowCalConstA,MATCH(AD770,FlowCalNumber,0),1,1)*AF775^INDEX(FlowCalConstB,MATCH(AD770,FlowCalNumber,0),1,1)&gt;INDEX(FlowCalLowSetting,MATCH(AD770,FlowCalNumber,0),1,1), (INDEX(FlowCalConstA,MATCH(AD770,FlowCalNumber,0),1,1)*AF775^INDEX(FlowCalConstB,MATCH(AD770,FlowCalNumber,0),1,1)&lt;INDEX(FlowCalHighSetting,MATCH(AD770,FlowCalNumber,0),1,1))),INDEX(FlowCalConstA,MATCH(AD770,FlowCalNumber,0),1,1)*AF775^INDEX(FlowCalConstB,MATCH(AD770,FlowCalNumber,0),1,1)," ")</f>
        <v>#REF!</v>
      </c>
      <c r="AH775" s="33"/>
      <c r="AI775" s="242">
        <f t="shared" si="740"/>
        <v>0.9</v>
      </c>
      <c r="AJ775" s="241" t="e">
        <f t="shared" ca="1" si="741"/>
        <v>#REF!</v>
      </c>
      <c r="AK775" s="243" t="e">
        <f ca="1">IF(AND(INDEX(FlowCalConstA,MATCH(AH770,FlowCalNumber,0),1,1)*AJ775^INDEX(FlowCalConstB,MATCH(AH770,FlowCalNumber,0),1,1)&gt;INDEX(FlowCalLowSetting,MATCH(AH770,FlowCalNumber,0),1,1), (INDEX(FlowCalConstA,MATCH(AH770,FlowCalNumber,0),1,1)*AJ775^INDEX(FlowCalConstB,MATCH(AH770,FlowCalNumber,0),1,1)&lt;INDEX(FlowCalHighSetting,MATCH(AH770,FlowCalNumber,0),1,1))),INDEX(FlowCalConstA,MATCH(AH770,FlowCalNumber,0),1,1)*AJ775^INDEX(FlowCalConstB,MATCH(AH770,FlowCalNumber,0),1,1)," ")</f>
        <v>#REF!</v>
      </c>
      <c r="AL775" s="33"/>
      <c r="AM775" s="242"/>
      <c r="AN775" s="241"/>
      <c r="AO775" s="244"/>
      <c r="AQ775" s="242"/>
      <c r="AR775" s="241"/>
      <c r="AS775" s="244"/>
      <c r="AT775" s="33"/>
      <c r="AU775" s="242"/>
      <c r="AV775" s="241"/>
      <c r="AW775" s="244"/>
      <c r="AX775" s="33"/>
      <c r="AY775" s="242"/>
      <c r="AZ775" s="241"/>
      <c r="BA775" s="244"/>
      <c r="BB775" s="33"/>
      <c r="BC775" s="242"/>
      <c r="BD775" s="241"/>
      <c r="BE775" s="244"/>
      <c r="BF775" s="33"/>
      <c r="BG775" s="242"/>
      <c r="BH775" s="241"/>
      <c r="BI775" s="244"/>
      <c r="BJ775" s="33"/>
      <c r="BK775" s="242"/>
      <c r="BL775" s="241"/>
      <c r="BM775" s="244"/>
      <c r="BN775" s="33"/>
      <c r="BO775" s="242"/>
      <c r="BP775" s="241"/>
      <c r="BQ775" s="244"/>
      <c r="BR775" s="33"/>
      <c r="BS775" s="242"/>
      <c r="BT775" s="241"/>
      <c r="BU775" s="244"/>
      <c r="BV775" s="33"/>
      <c r="BW775" s="242"/>
      <c r="BX775" s="241"/>
      <c r="BY775" s="244"/>
      <c r="BZ775" s="33"/>
      <c r="CA775" s="242"/>
      <c r="CB775" s="241"/>
      <c r="CC775" s="244"/>
      <c r="CD775" s="243"/>
      <c r="CE775" s="243"/>
      <c r="CF775" s="243"/>
      <c r="CG775" s="243"/>
      <c r="CH775" s="243"/>
      <c r="CI775" s="243"/>
      <c r="CJ775" s="243"/>
      <c r="CK775" s="243"/>
      <c r="CL775" s="243"/>
      <c r="CM775" s="243"/>
      <c r="CN775" s="243"/>
      <c r="CO775" s="243"/>
      <c r="CP775" s="243"/>
      <c r="CQ775" s="243"/>
      <c r="CR775" s="243"/>
      <c r="CS775" s="243"/>
      <c r="CT775" s="243"/>
      <c r="CU775" s="243"/>
      <c r="CV775" s="243"/>
      <c r="CW775" s="243"/>
      <c r="CX775" s="243"/>
      <c r="CY775" s="243"/>
      <c r="CZ775" s="243"/>
      <c r="DA775" s="243"/>
      <c r="DB775" s="243"/>
      <c r="DC775" s="243"/>
      <c r="DD775" s="243"/>
      <c r="DE775" s="243"/>
      <c r="DF775" s="243"/>
      <c r="DG775" s="243"/>
      <c r="DH775" s="243"/>
      <c r="DI775" s="243"/>
      <c r="DJ775" s="243"/>
      <c r="DK775" s="243"/>
      <c r="DM775" s="242"/>
      <c r="DO775" s="243"/>
      <c r="DQ775" s="242"/>
      <c r="DS775" s="243"/>
      <c r="DU775" s="242"/>
      <c r="DW775" s="243"/>
      <c r="DY775" s="242"/>
      <c r="EA775" s="243"/>
    </row>
    <row r="776" spans="1:131">
      <c r="A776" s="20"/>
      <c r="B776" s="124" t="str">
        <f t="shared" si="726"/>
        <v/>
      </c>
      <c r="C776" s="235"/>
      <c r="D776" s="24">
        <f>'1% Wind'!$M$87</f>
        <v>13.5</v>
      </c>
      <c r="E776" s="90"/>
      <c r="F776" s="90"/>
      <c r="G776" s="79" t="e">
        <f ca="1">IF(I770=0.9743,$G775,MAX(G775/D775*D776,2))</f>
        <v>#REF!</v>
      </c>
      <c r="H776" s="121" t="e">
        <f t="shared" ca="1" si="727"/>
        <v>#REF!</v>
      </c>
      <c r="J776" s="33"/>
      <c r="K776" s="242">
        <f t="shared" si="728"/>
        <v>1</v>
      </c>
      <c r="L776" s="241" t="e">
        <f t="shared" ca="1" si="729"/>
        <v>#REF!</v>
      </c>
      <c r="M776" s="243" t="e">
        <f ca="1">IF(AND(INDEX(FlowCalConstA,MATCH(J770,FlowCalNumber,0),1,1)*L776^INDEX(FlowCalConstB,MATCH(J770,FlowCalNumber,0),1,1)&gt;INDEX(FlowCalLowSetting,MATCH(J770,FlowCalNumber,0),1,1), (INDEX(FlowCalConstA,MATCH(J770,FlowCalNumber,0),1,1)*L776^INDEX(FlowCalConstB,MATCH(J770,FlowCalNumber,0),1,1)&lt;INDEX(FlowCalHighSetting,MATCH(J770,FlowCalNumber,0),1,1))),INDEX(FlowCalConstA,MATCH(J770,FlowCalNumber,0),1,1)*L776^INDEX(FlowCalConstB,MATCH(J770,FlowCalNumber,0),1,1)," ")</f>
        <v>#REF!</v>
      </c>
      <c r="N776" s="33"/>
      <c r="O776" s="242">
        <f t="shared" si="730"/>
        <v>1</v>
      </c>
      <c r="P776" s="241" t="e">
        <f t="shared" ca="1" si="731"/>
        <v>#REF!</v>
      </c>
      <c r="Q776" s="243" t="e">
        <f ca="1">IF(AND(INDEX(FlowCalConstA,MATCH(N770,FlowCalNumber,0),1,1)*P776^INDEX(FlowCalConstB,MATCH(N770,FlowCalNumber,0),1,1)&gt;INDEX(FlowCalLowSetting,MATCH(N770,FlowCalNumber,0),1,1), (INDEX(FlowCalConstA,MATCH(N770,FlowCalNumber,0),1,1)*P776^INDEX(FlowCalConstB,MATCH(N770,FlowCalNumber,0),1,1)&lt;INDEX(FlowCalHighSetting,MATCH(N770,FlowCalNumber,0),1,1))),INDEX(FlowCalConstA,MATCH(N770,FlowCalNumber,0),1,1)*P776^INDEX(FlowCalConstB,MATCH(N770,FlowCalNumber,0),1,1)," ")</f>
        <v>#REF!</v>
      </c>
      <c r="R776" s="33"/>
      <c r="S776" s="242">
        <f t="shared" si="732"/>
        <v>1</v>
      </c>
      <c r="T776" s="241" t="e">
        <f t="shared" ca="1" si="733"/>
        <v>#REF!</v>
      </c>
      <c r="U776" s="244" t="e">
        <f ca="1">IF(AND(INDEX(FlowCalConstA,MATCH(R770,FlowCalNumber,0),1,1)*T776^INDEX(FlowCalConstB,MATCH(R770,FlowCalNumber,0),1,1)&gt;INDEX(FlowCalLowSetting,MATCH(R770,FlowCalNumber,0),1,1), (INDEX(FlowCalConstA,MATCH(R770,FlowCalNumber,0),1,1)*T776^INDEX(FlowCalConstB,MATCH(R770,FlowCalNumber,0),1,1)&lt;INDEX(FlowCalHighSetting,MATCH(R770,FlowCalNumber,0),1,1))),INDEX(FlowCalConstA,MATCH(R770,FlowCalNumber,0),1,1)*T776^INDEX(FlowCalConstB,MATCH(R770,FlowCalNumber,0),1,1)," ")</f>
        <v>#REF!</v>
      </c>
      <c r="V776" s="33"/>
      <c r="W776" s="242">
        <f t="shared" si="734"/>
        <v>0.1</v>
      </c>
      <c r="X776" s="241" t="e">
        <f t="shared" ca="1" si="735"/>
        <v>#REF!</v>
      </c>
      <c r="Y776" s="243" t="e">
        <f ca="1">IF(AND(INDEX(FlowCalConstA,MATCH(V770,FlowCalNumber,0),1,1)*X776^INDEX(FlowCalConstB,MATCH(V770,FlowCalNumber,0),1,1)&gt;INDEX(FlowCalLowSetting,MATCH(V770,FlowCalNumber,0),1,1), (INDEX(FlowCalConstA,MATCH(V770,FlowCalNumber,0),1,1)*X776^INDEX(FlowCalConstB,MATCH(V770,FlowCalNumber,0),1,1)&lt;INDEX(FlowCalHighSetting,MATCH(V770,FlowCalNumber,0),1,1))),INDEX(FlowCalConstA,MATCH(V770,FlowCalNumber,0),1,1)*X776^INDEX(FlowCalConstB,MATCH(V770,FlowCalNumber,0),1,1)," ")</f>
        <v>#REF!</v>
      </c>
      <c r="Z776" s="33"/>
      <c r="AA776" s="242">
        <f t="shared" si="736"/>
        <v>0.9</v>
      </c>
      <c r="AB776" s="241" t="e">
        <f t="shared" ca="1" si="737"/>
        <v>#REF!</v>
      </c>
      <c r="AC776" s="243" t="e">
        <f ca="1">IF(AND(INDEX(FlowCalConstA,MATCH(Z770,FlowCalNumber,0),1,1)*AB776^INDEX(FlowCalConstB,MATCH(Z770,FlowCalNumber,0),1,1)&gt;INDEX(FlowCalLowSetting,MATCH(Z770,FlowCalNumber,0),1,1), (INDEX(FlowCalConstA,MATCH(Z770,FlowCalNumber,0),1,1)*AB776^INDEX(FlowCalConstB,MATCH(Z770,FlowCalNumber,0),1,1)&lt;INDEX(FlowCalHighSetting,MATCH(Z770,FlowCalNumber,0),1,1))),INDEX(FlowCalConstA,MATCH(Z770,FlowCalNumber,0),1,1)*AB776^INDEX(FlowCalConstB,MATCH(Z770,FlowCalNumber,0),1,1)," ")</f>
        <v>#REF!</v>
      </c>
      <c r="AD776" s="33"/>
      <c r="AE776" s="242">
        <f t="shared" si="738"/>
        <v>0.1</v>
      </c>
      <c r="AF776" s="241" t="e">
        <f t="shared" ca="1" si="739"/>
        <v>#REF!</v>
      </c>
      <c r="AG776" s="243" t="e">
        <f ca="1">IF(AND(INDEX(FlowCalConstA,MATCH(AD770,FlowCalNumber,0),1,1)*AF776^INDEX(FlowCalConstB,MATCH(AD770,FlowCalNumber,0),1,1)&gt;INDEX(FlowCalLowSetting,MATCH(AD770,FlowCalNumber,0),1,1), (INDEX(FlowCalConstA,MATCH(AD770,FlowCalNumber,0),1,1)*AF776^INDEX(FlowCalConstB,MATCH(AD770,FlowCalNumber,0),1,1)&lt;INDEX(FlowCalHighSetting,MATCH(AD770,FlowCalNumber,0),1,1))),INDEX(FlowCalConstA,MATCH(AD770,FlowCalNumber,0),1,1)*AF776^INDEX(FlowCalConstB,MATCH(AD770,FlowCalNumber,0),1,1)," ")</f>
        <v>#REF!</v>
      </c>
      <c r="AH776" s="33"/>
      <c r="AI776" s="242">
        <f t="shared" si="740"/>
        <v>0.9</v>
      </c>
      <c r="AJ776" s="241" t="e">
        <f t="shared" ca="1" si="741"/>
        <v>#REF!</v>
      </c>
      <c r="AK776" s="243" t="e">
        <f ca="1">IF(AND(INDEX(FlowCalConstA,MATCH(AH770,FlowCalNumber,0),1,1)*AJ776^INDEX(FlowCalConstB,MATCH(AH770,FlowCalNumber,0),1,1)&gt;INDEX(FlowCalLowSetting,MATCH(AH770,FlowCalNumber,0),1,1), (INDEX(FlowCalConstA,MATCH(AH770,FlowCalNumber,0),1,1)*AJ776^INDEX(FlowCalConstB,MATCH(AH770,FlowCalNumber,0),1,1)&lt;INDEX(FlowCalHighSetting,MATCH(AH770,FlowCalNumber,0),1,1))),INDEX(FlowCalConstA,MATCH(AH770,FlowCalNumber,0),1,1)*AJ776^INDEX(FlowCalConstB,MATCH(AH770,FlowCalNumber,0),1,1)," ")</f>
        <v>#REF!</v>
      </c>
      <c r="AL776" s="33"/>
      <c r="AM776" s="242"/>
      <c r="AN776" s="241"/>
      <c r="AO776" s="244"/>
      <c r="AQ776" s="242"/>
      <c r="AR776" s="241"/>
      <c r="AS776" s="244"/>
      <c r="AT776" s="33"/>
      <c r="AU776" s="242"/>
      <c r="AV776" s="241"/>
      <c r="AW776" s="244"/>
      <c r="AX776" s="33"/>
      <c r="AY776" s="242"/>
      <c r="AZ776" s="241"/>
      <c r="BA776" s="244"/>
      <c r="BB776" s="33"/>
      <c r="BC776" s="242"/>
      <c r="BD776" s="241"/>
      <c r="BE776" s="244"/>
      <c r="BF776" s="33"/>
      <c r="BG776" s="242"/>
      <c r="BH776" s="241"/>
      <c r="BI776" s="244"/>
      <c r="BJ776" s="33"/>
      <c r="BK776" s="242"/>
      <c r="BL776" s="241"/>
      <c r="BM776" s="244"/>
      <c r="BN776" s="33"/>
      <c r="BO776" s="242"/>
      <c r="BP776" s="241"/>
      <c r="BQ776" s="244"/>
      <c r="BR776" s="33"/>
      <c r="BS776" s="242"/>
      <c r="BT776" s="241"/>
      <c r="BU776" s="244"/>
      <c r="BV776" s="33"/>
      <c r="BW776" s="242"/>
      <c r="BX776" s="241"/>
      <c r="BY776" s="244"/>
      <c r="BZ776" s="33"/>
      <c r="CA776" s="242"/>
      <c r="CB776" s="241"/>
      <c r="CC776" s="244"/>
      <c r="CD776" s="243"/>
      <c r="CE776" s="243"/>
      <c r="CF776" s="243"/>
      <c r="CG776" s="243"/>
      <c r="CH776" s="243"/>
      <c r="CI776" s="243"/>
      <c r="CJ776" s="243"/>
      <c r="CK776" s="243"/>
      <c r="CL776" s="243"/>
      <c r="CM776" s="243"/>
      <c r="CN776" s="243"/>
      <c r="CO776" s="243"/>
      <c r="CP776" s="243"/>
      <c r="CQ776" s="243"/>
      <c r="CR776" s="243"/>
      <c r="CS776" s="243"/>
      <c r="CT776" s="243"/>
      <c r="CU776" s="243"/>
      <c r="CV776" s="243"/>
      <c r="CW776" s="243"/>
      <c r="CX776" s="243"/>
      <c r="CY776" s="243"/>
      <c r="CZ776" s="243"/>
      <c r="DA776" s="243"/>
      <c r="DB776" s="243"/>
      <c r="DC776" s="243"/>
      <c r="DD776" s="243"/>
      <c r="DE776" s="243"/>
      <c r="DF776" s="243"/>
      <c r="DG776" s="243"/>
      <c r="DH776" s="243"/>
      <c r="DI776" s="243"/>
      <c r="DJ776" s="243"/>
      <c r="DK776" s="243"/>
      <c r="DM776" s="242"/>
      <c r="DO776" s="243"/>
      <c r="DQ776" s="242"/>
      <c r="DS776" s="243"/>
      <c r="DU776" s="242"/>
      <c r="DW776" s="243"/>
      <c r="DY776" s="242"/>
      <c r="EA776" s="243"/>
    </row>
    <row r="777" spans="1:131">
      <c r="A777" s="20"/>
      <c r="B777" s="124" t="str">
        <f t="shared" si="726"/>
        <v/>
      </c>
      <c r="C777" s="235"/>
      <c r="D777" s="24">
        <f>'1% Wind'!$M$88</f>
        <v>10.1</v>
      </c>
      <c r="E777" s="90"/>
      <c r="F777" s="90"/>
      <c r="G777" s="79" t="e">
        <f ca="1">IF(I770=0.9743,$G776,MAX(G776/D776*D777,2))</f>
        <v>#REF!</v>
      </c>
      <c r="H777" s="121" t="e">
        <f t="shared" ca="1" si="727"/>
        <v>#REF!</v>
      </c>
      <c r="J777" s="33"/>
      <c r="K777" s="242">
        <f t="shared" si="728"/>
        <v>1</v>
      </c>
      <c r="L777" s="241" t="e">
        <f t="shared" ca="1" si="729"/>
        <v>#REF!</v>
      </c>
      <c r="M777" s="243" t="e">
        <f ca="1">IF(AND(INDEX(FlowCalConstA,MATCH(J770,FlowCalNumber,0),1,1)*L777^INDEX(FlowCalConstB,MATCH(J770,FlowCalNumber,0),1,1)&gt;INDEX(FlowCalLowSetting,MATCH(J770,FlowCalNumber,0),1,1), (INDEX(FlowCalConstA,MATCH(J770,FlowCalNumber,0),1,1)*L777^INDEX(FlowCalConstB,MATCH(J770,FlowCalNumber,0),1,1)&lt;INDEX(FlowCalHighSetting,MATCH(J770,FlowCalNumber,0),1,1))),INDEX(FlowCalConstA,MATCH(J770,FlowCalNumber,0),1,1)*L777^INDEX(FlowCalConstB,MATCH(J770,FlowCalNumber,0),1,1)," ")</f>
        <v>#REF!</v>
      </c>
      <c r="N777" s="33"/>
      <c r="O777" s="242">
        <f t="shared" si="730"/>
        <v>1</v>
      </c>
      <c r="P777" s="241" t="e">
        <f t="shared" ca="1" si="731"/>
        <v>#REF!</v>
      </c>
      <c r="Q777" s="243" t="e">
        <f ca="1">IF(AND(INDEX(FlowCalConstA,MATCH(N770,FlowCalNumber,0),1,1)*P777^INDEX(FlowCalConstB,MATCH(N770,FlowCalNumber,0),1,1)&gt;INDEX(FlowCalLowSetting,MATCH(N770,FlowCalNumber,0),1,1), (INDEX(FlowCalConstA,MATCH(N770,FlowCalNumber,0),1,1)*P777^INDEX(FlowCalConstB,MATCH(N770,FlowCalNumber,0),1,1)&lt;INDEX(FlowCalHighSetting,MATCH(N770,FlowCalNumber,0),1,1))),INDEX(FlowCalConstA,MATCH(N770,FlowCalNumber,0),1,1)*P777^INDEX(FlowCalConstB,MATCH(N770,FlowCalNumber,0),1,1)," ")</f>
        <v>#REF!</v>
      </c>
      <c r="R777" s="33"/>
      <c r="S777" s="242">
        <f t="shared" si="732"/>
        <v>1</v>
      </c>
      <c r="T777" s="241" t="e">
        <f t="shared" ca="1" si="733"/>
        <v>#REF!</v>
      </c>
      <c r="U777" s="244" t="e">
        <f ca="1">IF(AND(INDEX(FlowCalConstA,MATCH(R770,FlowCalNumber,0),1,1)*T777^INDEX(FlowCalConstB,MATCH(R770,FlowCalNumber,0),1,1)&gt;INDEX(FlowCalLowSetting,MATCH(R770,FlowCalNumber,0),1,1), (INDEX(FlowCalConstA,MATCH(R770,FlowCalNumber,0),1,1)*T777^INDEX(FlowCalConstB,MATCH(R770,FlowCalNumber,0),1,1)&lt;INDEX(FlowCalHighSetting,MATCH(R770,FlowCalNumber,0),1,1))),INDEX(FlowCalConstA,MATCH(R770,FlowCalNumber,0),1,1)*T777^INDEX(FlowCalConstB,MATCH(R770,FlowCalNumber,0),1,1)," ")</f>
        <v>#REF!</v>
      </c>
      <c r="V777" s="33"/>
      <c r="W777" s="242">
        <f t="shared" si="734"/>
        <v>0.1</v>
      </c>
      <c r="X777" s="241" t="e">
        <f t="shared" ca="1" si="735"/>
        <v>#REF!</v>
      </c>
      <c r="Y777" s="243" t="e">
        <f ca="1">IF(AND(INDEX(FlowCalConstA,MATCH(V770,FlowCalNumber,0),1,1)*X777^INDEX(FlowCalConstB,MATCH(V770,FlowCalNumber,0),1,1)&gt;INDEX(FlowCalLowSetting,MATCH(V770,FlowCalNumber,0),1,1), (INDEX(FlowCalConstA,MATCH(V770,FlowCalNumber,0),1,1)*X777^INDEX(FlowCalConstB,MATCH(V770,FlowCalNumber,0),1,1)&lt;INDEX(FlowCalHighSetting,MATCH(V770,FlowCalNumber,0),1,1))),INDEX(FlowCalConstA,MATCH(V770,FlowCalNumber,0),1,1)*X777^INDEX(FlowCalConstB,MATCH(V770,FlowCalNumber,0),1,1)," ")</f>
        <v>#REF!</v>
      </c>
      <c r="Z777" s="33"/>
      <c r="AA777" s="242">
        <f t="shared" si="736"/>
        <v>0.9</v>
      </c>
      <c r="AB777" s="241" t="e">
        <f t="shared" ca="1" si="737"/>
        <v>#REF!</v>
      </c>
      <c r="AC777" s="243" t="e">
        <f ca="1">IF(AND(INDEX(FlowCalConstA,MATCH(Z770,FlowCalNumber,0),1,1)*AB777^INDEX(FlowCalConstB,MATCH(Z770,FlowCalNumber,0),1,1)&gt;INDEX(FlowCalLowSetting,MATCH(Z770,FlowCalNumber,0),1,1), (INDEX(FlowCalConstA,MATCH(Z770,FlowCalNumber,0),1,1)*AB777^INDEX(FlowCalConstB,MATCH(Z770,FlowCalNumber,0),1,1)&lt;INDEX(FlowCalHighSetting,MATCH(Z770,FlowCalNumber,0),1,1))),INDEX(FlowCalConstA,MATCH(Z770,FlowCalNumber,0),1,1)*AB777^INDEX(FlowCalConstB,MATCH(Z770,FlowCalNumber,0),1,1)," ")</f>
        <v>#REF!</v>
      </c>
      <c r="AD777" s="33"/>
      <c r="AE777" s="242">
        <f t="shared" si="738"/>
        <v>0.1</v>
      </c>
      <c r="AF777" s="241" t="e">
        <f t="shared" ca="1" si="739"/>
        <v>#REF!</v>
      </c>
      <c r="AG777" s="243" t="e">
        <f ca="1">IF(AND(INDEX(FlowCalConstA,MATCH(AD770,FlowCalNumber,0),1,1)*AF777^INDEX(FlowCalConstB,MATCH(AD770,FlowCalNumber,0),1,1)&gt;INDEX(FlowCalLowSetting,MATCH(AD770,FlowCalNumber,0),1,1), (INDEX(FlowCalConstA,MATCH(AD770,FlowCalNumber,0),1,1)*AF777^INDEX(FlowCalConstB,MATCH(AD770,FlowCalNumber,0),1,1)&lt;INDEX(FlowCalHighSetting,MATCH(AD770,FlowCalNumber,0),1,1))),INDEX(FlowCalConstA,MATCH(AD770,FlowCalNumber,0),1,1)*AF777^INDEX(FlowCalConstB,MATCH(AD770,FlowCalNumber,0),1,1)," ")</f>
        <v>#REF!</v>
      </c>
      <c r="AH777" s="33"/>
      <c r="AI777" s="242">
        <f t="shared" si="740"/>
        <v>0.9</v>
      </c>
      <c r="AJ777" s="241" t="e">
        <f t="shared" ca="1" si="741"/>
        <v>#REF!</v>
      </c>
      <c r="AK777" s="243" t="e">
        <f ca="1">IF(AND(INDEX(FlowCalConstA,MATCH(AH770,FlowCalNumber,0),1,1)*AJ777^INDEX(FlowCalConstB,MATCH(AH770,FlowCalNumber,0),1,1)&gt;INDEX(FlowCalLowSetting,MATCH(AH770,FlowCalNumber,0),1,1), (INDEX(FlowCalConstA,MATCH(AH770,FlowCalNumber,0),1,1)*AJ777^INDEX(FlowCalConstB,MATCH(AH770,FlowCalNumber,0),1,1)&lt;INDEX(FlowCalHighSetting,MATCH(AH770,FlowCalNumber,0),1,1))),INDEX(FlowCalConstA,MATCH(AH770,FlowCalNumber,0),1,1)*AJ777^INDEX(FlowCalConstB,MATCH(AH770,FlowCalNumber,0),1,1)," ")</f>
        <v>#REF!</v>
      </c>
      <c r="AL777" s="33"/>
      <c r="AM777" s="242"/>
      <c r="AN777" s="241"/>
      <c r="AO777" s="244"/>
      <c r="AQ777" s="242"/>
      <c r="AR777" s="241"/>
      <c r="AS777" s="244"/>
      <c r="AT777" s="33"/>
      <c r="AU777" s="242"/>
      <c r="AV777" s="241"/>
      <c r="AW777" s="244"/>
      <c r="AX777" s="33"/>
      <c r="AY777" s="242"/>
      <c r="AZ777" s="241"/>
      <c r="BA777" s="244"/>
      <c r="BB777" s="33"/>
      <c r="BC777" s="242"/>
      <c r="BD777" s="241"/>
      <c r="BE777" s="244"/>
      <c r="BF777" s="33"/>
      <c r="BG777" s="242"/>
      <c r="BH777" s="241"/>
      <c r="BI777" s="244"/>
      <c r="BJ777" s="33"/>
      <c r="BK777" s="242"/>
      <c r="BL777" s="241"/>
      <c r="BM777" s="244"/>
      <c r="BN777" s="33"/>
      <c r="BO777" s="242"/>
      <c r="BP777" s="241"/>
      <c r="BQ777" s="244"/>
      <c r="BR777" s="33"/>
      <c r="BS777" s="242"/>
      <c r="BT777" s="241"/>
      <c r="BU777" s="244"/>
      <c r="BV777" s="33"/>
      <c r="BW777" s="242"/>
      <c r="BX777" s="241"/>
      <c r="BY777" s="244"/>
      <c r="BZ777" s="33"/>
      <c r="CA777" s="242"/>
      <c r="CB777" s="241"/>
      <c r="CC777" s="244"/>
      <c r="CD777" s="243"/>
      <c r="CE777" s="243"/>
      <c r="CF777" s="243"/>
      <c r="CG777" s="243"/>
      <c r="CH777" s="243"/>
      <c r="CI777" s="243"/>
      <c r="CJ777" s="243"/>
      <c r="CK777" s="243"/>
      <c r="CL777" s="243"/>
      <c r="CM777" s="243"/>
      <c r="CN777" s="243"/>
      <c r="CO777" s="243"/>
      <c r="CP777" s="243"/>
      <c r="CQ777" s="243"/>
      <c r="CR777" s="243"/>
      <c r="CS777" s="243"/>
      <c r="CT777" s="243"/>
      <c r="CU777" s="243"/>
      <c r="CV777" s="243"/>
      <c r="CW777" s="243"/>
      <c r="CX777" s="243"/>
      <c r="CY777" s="243"/>
      <c r="CZ777" s="243"/>
      <c r="DA777" s="243"/>
      <c r="DB777" s="243"/>
      <c r="DC777" s="243"/>
      <c r="DD777" s="243"/>
      <c r="DE777" s="243"/>
      <c r="DF777" s="243"/>
      <c r="DG777" s="243"/>
      <c r="DH777" s="243"/>
      <c r="DI777" s="243"/>
      <c r="DJ777" s="243"/>
      <c r="DK777" s="243"/>
      <c r="DM777" s="242"/>
      <c r="DO777" s="243"/>
      <c r="DQ777" s="242"/>
      <c r="DS777" s="243"/>
      <c r="DU777" s="242"/>
      <c r="DW777" s="243"/>
      <c r="DY777" s="242"/>
      <c r="EA777" s="243"/>
    </row>
    <row r="778" spans="1:131">
      <c r="A778" s="20"/>
      <c r="B778" s="124" t="str">
        <f t="shared" si="726"/>
        <v/>
      </c>
      <c r="C778" s="235"/>
      <c r="D778" s="24">
        <f>'1% Wind'!$M$89</f>
        <v>7.6</v>
      </c>
      <c r="E778" s="90"/>
      <c r="F778" s="90"/>
      <c r="G778" s="79" t="e">
        <f ca="1">IF(I770=0.9743,$G777,MAX(G777/D777*D778,2))</f>
        <v>#REF!</v>
      </c>
      <c r="H778" s="121" t="e">
        <f t="shared" ca="1" si="727"/>
        <v>#REF!</v>
      </c>
      <c r="J778" s="33"/>
      <c r="K778" s="242">
        <f t="shared" si="728"/>
        <v>1</v>
      </c>
      <c r="L778" s="241" t="e">
        <f t="shared" ca="1" si="729"/>
        <v>#REF!</v>
      </c>
      <c r="M778" s="243" t="e">
        <f ca="1">IF(AND(INDEX(FlowCalConstA,MATCH(J770,FlowCalNumber,0),1,1)*L778^INDEX(FlowCalConstB,MATCH(J770,FlowCalNumber,0),1,1)&gt;INDEX(FlowCalLowSetting,MATCH(J770,FlowCalNumber,0),1,1), (INDEX(FlowCalConstA,MATCH(J770,FlowCalNumber,0),1,1)*L778^INDEX(FlowCalConstB,MATCH(J770,FlowCalNumber,0),1,1)&lt;INDEX(FlowCalHighSetting,MATCH(J770,FlowCalNumber,0),1,1))),INDEX(FlowCalConstA,MATCH(J770,FlowCalNumber,0),1,1)*L778^INDEX(FlowCalConstB,MATCH(J770,FlowCalNumber,0),1,1)," ")</f>
        <v>#REF!</v>
      </c>
      <c r="N778" s="33"/>
      <c r="O778" s="242">
        <f t="shared" si="730"/>
        <v>1</v>
      </c>
      <c r="P778" s="241" t="e">
        <f t="shared" ca="1" si="731"/>
        <v>#REF!</v>
      </c>
      <c r="Q778" s="243" t="e">
        <f ca="1">IF(AND(INDEX(FlowCalConstA,MATCH(N770,FlowCalNumber,0),1,1)*P778^INDEX(FlowCalConstB,MATCH(N770,FlowCalNumber,0),1,1)&gt;INDEX(FlowCalLowSetting,MATCH(N770,FlowCalNumber,0),1,1), (INDEX(FlowCalConstA,MATCH(N770,FlowCalNumber,0),1,1)*P778^INDEX(FlowCalConstB,MATCH(N770,FlowCalNumber,0),1,1)&lt;INDEX(FlowCalHighSetting,MATCH(N770,FlowCalNumber,0),1,1))),INDEX(FlowCalConstA,MATCH(N770,FlowCalNumber,0),1,1)*P778^INDEX(FlowCalConstB,MATCH(N770,FlowCalNumber,0),1,1)," ")</f>
        <v>#REF!</v>
      </c>
      <c r="R778" s="33"/>
      <c r="S778" s="242">
        <f t="shared" si="732"/>
        <v>1</v>
      </c>
      <c r="T778" s="241" t="e">
        <f t="shared" ca="1" si="733"/>
        <v>#REF!</v>
      </c>
      <c r="U778" s="244" t="e">
        <f ca="1">IF(AND(INDEX(FlowCalConstA,MATCH(R770,FlowCalNumber,0),1,1)*T778^INDEX(FlowCalConstB,MATCH(R770,FlowCalNumber,0),1,1)&gt;INDEX(FlowCalLowSetting,MATCH(R770,FlowCalNumber,0),1,1), (INDEX(FlowCalConstA,MATCH(R770,FlowCalNumber,0),1,1)*T778^INDEX(FlowCalConstB,MATCH(R770,FlowCalNumber,0),1,1)&lt;INDEX(FlowCalHighSetting,MATCH(R770,FlowCalNumber,0),1,1))),INDEX(FlowCalConstA,MATCH(R770,FlowCalNumber,0),1,1)*T778^INDEX(FlowCalConstB,MATCH(R770,FlowCalNumber,0),1,1)," ")</f>
        <v>#REF!</v>
      </c>
      <c r="V778" s="33"/>
      <c r="W778" s="242">
        <f t="shared" si="734"/>
        <v>0.1</v>
      </c>
      <c r="X778" s="241" t="e">
        <f t="shared" ca="1" si="735"/>
        <v>#REF!</v>
      </c>
      <c r="Y778" s="243" t="e">
        <f ca="1">IF(AND(INDEX(FlowCalConstA,MATCH(V770,FlowCalNumber,0),1,1)*X778^INDEX(FlowCalConstB,MATCH(V770,FlowCalNumber,0),1,1)&gt;INDEX(FlowCalLowSetting,MATCH(V770,FlowCalNumber,0),1,1), (INDEX(FlowCalConstA,MATCH(V770,FlowCalNumber,0),1,1)*X778^INDEX(FlowCalConstB,MATCH(V770,FlowCalNumber,0),1,1)&lt;INDEX(FlowCalHighSetting,MATCH(V770,FlowCalNumber,0),1,1))),INDEX(FlowCalConstA,MATCH(V770,FlowCalNumber,0),1,1)*X778^INDEX(FlowCalConstB,MATCH(V770,FlowCalNumber,0),1,1)," ")</f>
        <v>#REF!</v>
      </c>
      <c r="Z778" s="33"/>
      <c r="AA778" s="242">
        <f t="shared" si="736"/>
        <v>0.9</v>
      </c>
      <c r="AB778" s="241" t="e">
        <f t="shared" ca="1" si="737"/>
        <v>#REF!</v>
      </c>
      <c r="AC778" s="243" t="e">
        <f ca="1">IF(AND(INDEX(FlowCalConstA,MATCH(Z770,FlowCalNumber,0),1,1)*AB778^INDEX(FlowCalConstB,MATCH(Z770,FlowCalNumber,0),1,1)&gt;INDEX(FlowCalLowSetting,MATCH(Z770,FlowCalNumber,0),1,1), (INDEX(FlowCalConstA,MATCH(Z770,FlowCalNumber,0),1,1)*AB778^INDEX(FlowCalConstB,MATCH(Z770,FlowCalNumber,0),1,1)&lt;INDEX(FlowCalHighSetting,MATCH(Z770,FlowCalNumber,0),1,1))),INDEX(FlowCalConstA,MATCH(Z770,FlowCalNumber,0),1,1)*AB778^INDEX(FlowCalConstB,MATCH(Z770,FlowCalNumber,0),1,1)," ")</f>
        <v>#REF!</v>
      </c>
      <c r="AD778" s="33"/>
      <c r="AE778" s="242">
        <f t="shared" si="738"/>
        <v>0.1</v>
      </c>
      <c r="AF778" s="241" t="e">
        <f t="shared" ca="1" si="739"/>
        <v>#REF!</v>
      </c>
      <c r="AG778" s="243" t="e">
        <f ca="1">IF(AND(INDEX(FlowCalConstA,MATCH(AD770,FlowCalNumber,0),1,1)*AF778^INDEX(FlowCalConstB,MATCH(AD770,FlowCalNumber,0),1,1)&gt;INDEX(FlowCalLowSetting,MATCH(AD770,FlowCalNumber,0),1,1), (INDEX(FlowCalConstA,MATCH(AD770,FlowCalNumber,0),1,1)*AF778^INDEX(FlowCalConstB,MATCH(AD770,FlowCalNumber,0),1,1)&lt;INDEX(FlowCalHighSetting,MATCH(AD770,FlowCalNumber,0),1,1))),INDEX(FlowCalConstA,MATCH(AD770,FlowCalNumber,0),1,1)*AF778^INDEX(FlowCalConstB,MATCH(AD770,FlowCalNumber,0),1,1)," ")</f>
        <v>#REF!</v>
      </c>
      <c r="AH778" s="33"/>
      <c r="AI778" s="242">
        <f t="shared" si="740"/>
        <v>0.9</v>
      </c>
      <c r="AJ778" s="241" t="e">
        <f t="shared" ca="1" si="741"/>
        <v>#REF!</v>
      </c>
      <c r="AK778" s="243" t="e">
        <f ca="1">IF(AND(INDEX(FlowCalConstA,MATCH(AH770,FlowCalNumber,0),1,1)*AJ778^INDEX(FlowCalConstB,MATCH(AH770,FlowCalNumber,0),1,1)&gt;INDEX(FlowCalLowSetting,MATCH(AH770,FlowCalNumber,0),1,1), (INDEX(FlowCalConstA,MATCH(AH770,FlowCalNumber,0),1,1)*AJ778^INDEX(FlowCalConstB,MATCH(AH770,FlowCalNumber,0),1,1)&lt;INDEX(FlowCalHighSetting,MATCH(AH770,FlowCalNumber,0),1,1))),INDEX(FlowCalConstA,MATCH(AH770,FlowCalNumber,0),1,1)*AJ778^INDEX(FlowCalConstB,MATCH(AH770,FlowCalNumber,0),1,1)," ")</f>
        <v>#REF!</v>
      </c>
      <c r="AL778" s="33"/>
      <c r="AM778" s="242"/>
      <c r="AN778" s="241"/>
      <c r="AO778" s="244"/>
      <c r="AQ778" s="242"/>
      <c r="AR778" s="241"/>
      <c r="AS778" s="244"/>
      <c r="AT778" s="33"/>
      <c r="AU778" s="242"/>
      <c r="AV778" s="241"/>
      <c r="AW778" s="244"/>
      <c r="AX778" s="33"/>
      <c r="AY778" s="242"/>
      <c r="AZ778" s="241"/>
      <c r="BA778" s="244"/>
      <c r="BB778" s="33"/>
      <c r="BC778" s="242"/>
      <c r="BD778" s="241"/>
      <c r="BE778" s="244"/>
      <c r="BF778" s="33"/>
      <c r="BG778" s="242"/>
      <c r="BH778" s="241"/>
      <c r="BI778" s="244"/>
      <c r="BJ778" s="33"/>
      <c r="BK778" s="242"/>
      <c r="BL778" s="241"/>
      <c r="BM778" s="244"/>
      <c r="BN778" s="33"/>
      <c r="BO778" s="242"/>
      <c r="BP778" s="241"/>
      <c r="BQ778" s="244"/>
      <c r="BR778" s="33"/>
      <c r="BS778" s="242"/>
      <c r="BT778" s="241"/>
      <c r="BU778" s="244"/>
      <c r="BV778" s="33"/>
      <c r="BW778" s="242"/>
      <c r="BX778" s="241"/>
      <c r="BY778" s="244"/>
      <c r="BZ778" s="33"/>
      <c r="CA778" s="242"/>
      <c r="CB778" s="241"/>
      <c r="CC778" s="244"/>
      <c r="CD778" s="243"/>
      <c r="CE778" s="243"/>
      <c r="CF778" s="243"/>
      <c r="CG778" s="243"/>
      <c r="CH778" s="243"/>
      <c r="CI778" s="243"/>
      <c r="CJ778" s="243"/>
      <c r="CK778" s="243"/>
      <c r="CL778" s="243"/>
      <c r="CM778" s="243"/>
      <c r="CN778" s="243"/>
      <c r="CO778" s="243"/>
      <c r="CP778" s="243"/>
      <c r="CQ778" s="243"/>
      <c r="CR778" s="243"/>
      <c r="CS778" s="243"/>
      <c r="CT778" s="243"/>
      <c r="CU778" s="243"/>
      <c r="CV778" s="243"/>
      <c r="CW778" s="243"/>
      <c r="CX778" s="243"/>
      <c r="CY778" s="243"/>
      <c r="CZ778" s="243"/>
      <c r="DA778" s="243"/>
      <c r="DB778" s="243"/>
      <c r="DC778" s="243"/>
      <c r="DD778" s="243"/>
      <c r="DE778" s="243"/>
      <c r="DF778" s="243"/>
      <c r="DG778" s="243"/>
      <c r="DH778" s="243"/>
      <c r="DI778" s="243"/>
      <c r="DJ778" s="243"/>
      <c r="DK778" s="243"/>
      <c r="DM778" s="242"/>
      <c r="DO778" s="243"/>
      <c r="DQ778" s="242"/>
      <c r="DS778" s="243"/>
      <c r="DU778" s="242"/>
      <c r="DW778" s="243"/>
      <c r="DY778" s="242"/>
      <c r="EA778" s="243"/>
    </row>
    <row r="779" spans="1:131">
      <c r="A779" s="20"/>
      <c r="B779" s="124" t="str">
        <f t="shared" si="726"/>
        <v/>
      </c>
      <c r="C779" s="235"/>
      <c r="D779" s="24">
        <f>'1% Wind'!$M$90</f>
        <v>5.7</v>
      </c>
      <c r="E779" s="90"/>
      <c r="F779" s="90"/>
      <c r="G779" s="79" t="e">
        <f ca="1">IF(I770=0.9743,$G778,MAX(G778/D778*D779,2))</f>
        <v>#REF!</v>
      </c>
      <c r="H779" s="121" t="e">
        <f t="shared" ca="1" si="727"/>
        <v>#REF!</v>
      </c>
      <c r="J779" s="33"/>
      <c r="K779" s="242">
        <f t="shared" si="728"/>
        <v>1</v>
      </c>
      <c r="L779" s="241" t="e">
        <f t="shared" ca="1" si="729"/>
        <v>#REF!</v>
      </c>
      <c r="M779" s="243" t="e">
        <f ca="1">IF(AND(INDEX(FlowCalConstA,MATCH(J770,FlowCalNumber,0),1,1)*L779^INDEX(FlowCalConstB,MATCH(J770,FlowCalNumber,0),1,1)&gt;INDEX(FlowCalLowSetting,MATCH(J770,FlowCalNumber,0),1,1), (INDEX(FlowCalConstA,MATCH(J770,FlowCalNumber,0),1,1)*L779^INDEX(FlowCalConstB,MATCH(J770,FlowCalNumber,0),1,1)&lt;INDEX(FlowCalHighSetting,MATCH(J770,FlowCalNumber,0),1,1))),INDEX(FlowCalConstA,MATCH(J770,FlowCalNumber,0),1,1)*L779^INDEX(FlowCalConstB,MATCH(J770,FlowCalNumber,0),1,1)," ")</f>
        <v>#REF!</v>
      </c>
      <c r="N779" s="33"/>
      <c r="O779" s="242">
        <f t="shared" si="730"/>
        <v>1</v>
      </c>
      <c r="P779" s="241" t="e">
        <f t="shared" ca="1" si="731"/>
        <v>#REF!</v>
      </c>
      <c r="Q779" s="243" t="e">
        <f ca="1">IF(AND(INDEX(FlowCalConstA,MATCH(N770,FlowCalNumber,0),1,1)*P779^INDEX(FlowCalConstB,MATCH(N770,FlowCalNumber,0),1,1)&gt;INDEX(FlowCalLowSetting,MATCH(N770,FlowCalNumber,0),1,1), (INDEX(FlowCalConstA,MATCH(N770,FlowCalNumber,0),1,1)*P779^INDEX(FlowCalConstB,MATCH(N770,FlowCalNumber,0),1,1)&lt;INDEX(FlowCalHighSetting,MATCH(N770,FlowCalNumber,0),1,1))),INDEX(FlowCalConstA,MATCH(N770,FlowCalNumber,0),1,1)*P779^INDEX(FlowCalConstB,MATCH(N770,FlowCalNumber,0),1,1)," ")</f>
        <v>#REF!</v>
      </c>
      <c r="R779" s="33"/>
      <c r="S779" s="242">
        <f t="shared" si="732"/>
        <v>1</v>
      </c>
      <c r="T779" s="241" t="e">
        <f t="shared" ca="1" si="733"/>
        <v>#REF!</v>
      </c>
      <c r="U779" s="244" t="e">
        <f ca="1">IF(AND(INDEX(FlowCalConstA,MATCH(R770,FlowCalNumber,0),1,1)*T779^INDEX(FlowCalConstB,MATCH(R770,FlowCalNumber,0),1,1)&gt;INDEX(FlowCalLowSetting,MATCH(R770,FlowCalNumber,0),1,1), (INDEX(FlowCalConstA,MATCH(R770,FlowCalNumber,0),1,1)*T779^INDEX(FlowCalConstB,MATCH(R770,FlowCalNumber,0),1,1)&lt;INDEX(FlowCalHighSetting,MATCH(R770,FlowCalNumber,0),1,1))),INDEX(FlowCalConstA,MATCH(R770,FlowCalNumber,0),1,1)*T779^INDEX(FlowCalConstB,MATCH(R770,FlowCalNumber,0),1,1)," ")</f>
        <v>#REF!</v>
      </c>
      <c r="V779" s="33"/>
      <c r="W779" s="242">
        <f t="shared" si="734"/>
        <v>0.1</v>
      </c>
      <c r="X779" s="241" t="e">
        <f t="shared" ca="1" si="735"/>
        <v>#REF!</v>
      </c>
      <c r="Y779" s="243" t="e">
        <f ca="1">IF(AND(INDEX(FlowCalConstA,MATCH(V770,FlowCalNumber,0),1,1)*X779^INDEX(FlowCalConstB,MATCH(V770,FlowCalNumber,0),1,1)&gt;INDEX(FlowCalLowSetting,MATCH(V770,FlowCalNumber,0),1,1), (INDEX(FlowCalConstA,MATCH(V770,FlowCalNumber,0),1,1)*X779^INDEX(FlowCalConstB,MATCH(V770,FlowCalNumber,0),1,1)&lt;INDEX(FlowCalHighSetting,MATCH(V770,FlowCalNumber,0),1,1))),INDEX(FlowCalConstA,MATCH(V770,FlowCalNumber,0),1,1)*X779^INDEX(FlowCalConstB,MATCH(V770,FlowCalNumber,0),1,1)," ")</f>
        <v>#REF!</v>
      </c>
      <c r="Z779" s="33"/>
      <c r="AA779" s="242">
        <f t="shared" si="736"/>
        <v>0.9</v>
      </c>
      <c r="AB779" s="241" t="e">
        <f t="shared" ca="1" si="737"/>
        <v>#REF!</v>
      </c>
      <c r="AC779" s="243" t="e">
        <f ca="1">IF(AND(INDEX(FlowCalConstA,MATCH(Z770,FlowCalNumber,0),1,1)*AB779^INDEX(FlowCalConstB,MATCH(Z770,FlowCalNumber,0),1,1)&gt;INDEX(FlowCalLowSetting,MATCH(Z770,FlowCalNumber,0),1,1), (INDEX(FlowCalConstA,MATCH(Z770,FlowCalNumber,0),1,1)*AB779^INDEX(FlowCalConstB,MATCH(Z770,FlowCalNumber,0),1,1)&lt;INDEX(FlowCalHighSetting,MATCH(Z770,FlowCalNumber,0),1,1))),INDEX(FlowCalConstA,MATCH(Z770,FlowCalNumber,0),1,1)*AB779^INDEX(FlowCalConstB,MATCH(Z770,FlowCalNumber,0),1,1)," ")</f>
        <v>#REF!</v>
      </c>
      <c r="AD779" s="33"/>
      <c r="AE779" s="242">
        <f t="shared" si="738"/>
        <v>0.1</v>
      </c>
      <c r="AF779" s="241" t="e">
        <f t="shared" ca="1" si="739"/>
        <v>#REF!</v>
      </c>
      <c r="AG779" s="243" t="e">
        <f ca="1">IF(AND(INDEX(FlowCalConstA,MATCH(AD770,FlowCalNumber,0),1,1)*AF779^INDEX(FlowCalConstB,MATCH(AD770,FlowCalNumber,0),1,1)&gt;INDEX(FlowCalLowSetting,MATCH(AD770,FlowCalNumber,0),1,1), (INDEX(FlowCalConstA,MATCH(AD770,FlowCalNumber,0),1,1)*AF779^INDEX(FlowCalConstB,MATCH(AD770,FlowCalNumber,0),1,1)&lt;INDEX(FlowCalHighSetting,MATCH(AD770,FlowCalNumber,0),1,1))),INDEX(FlowCalConstA,MATCH(AD770,FlowCalNumber,0),1,1)*AF779^INDEX(FlowCalConstB,MATCH(AD770,FlowCalNumber,0),1,1)," ")</f>
        <v>#REF!</v>
      </c>
      <c r="AH779" s="33"/>
      <c r="AI779" s="242">
        <f t="shared" si="740"/>
        <v>0.9</v>
      </c>
      <c r="AJ779" s="241" t="e">
        <f t="shared" ca="1" si="741"/>
        <v>#REF!</v>
      </c>
      <c r="AK779" s="243" t="e">
        <f ca="1">IF(AND(INDEX(FlowCalConstA,MATCH(AH770,FlowCalNumber,0),1,1)*AJ779^INDEX(FlowCalConstB,MATCH(AH770,FlowCalNumber,0),1,1)&gt;INDEX(FlowCalLowSetting,MATCH(AH770,FlowCalNumber,0),1,1), (INDEX(FlowCalConstA,MATCH(AH770,FlowCalNumber,0),1,1)*AJ779^INDEX(FlowCalConstB,MATCH(AH770,FlowCalNumber,0),1,1)&lt;INDEX(FlowCalHighSetting,MATCH(AH770,FlowCalNumber,0),1,1))),INDEX(FlowCalConstA,MATCH(AH770,FlowCalNumber,0),1,1)*AJ779^INDEX(FlowCalConstB,MATCH(AH770,FlowCalNumber,0),1,1)," ")</f>
        <v>#REF!</v>
      </c>
      <c r="AL779" s="33"/>
      <c r="AM779" s="242"/>
      <c r="AN779" s="241"/>
      <c r="AO779" s="244"/>
      <c r="AQ779" s="242"/>
      <c r="AR779" s="241"/>
      <c r="AS779" s="244"/>
      <c r="AT779" s="33"/>
      <c r="AU779" s="242"/>
      <c r="AV779" s="241"/>
      <c r="AW779" s="244"/>
      <c r="AX779" s="33"/>
      <c r="AY779" s="242"/>
      <c r="AZ779" s="241"/>
      <c r="BA779" s="244"/>
      <c r="BB779" s="33"/>
      <c r="BC779" s="242"/>
      <c r="BD779" s="241"/>
      <c r="BE779" s="244"/>
      <c r="BF779" s="33"/>
      <c r="BG779" s="242"/>
      <c r="BH779" s="241"/>
      <c r="BI779" s="244"/>
      <c r="BJ779" s="33"/>
      <c r="BK779" s="242"/>
      <c r="BL779" s="241"/>
      <c r="BM779" s="244"/>
      <c r="BN779" s="33"/>
      <c r="BO779" s="242"/>
      <c r="BP779" s="241"/>
      <c r="BQ779" s="244"/>
      <c r="BR779" s="33"/>
      <c r="BS779" s="242"/>
      <c r="BT779" s="241"/>
      <c r="BU779" s="244"/>
      <c r="BV779" s="33"/>
      <c r="BW779" s="242"/>
      <c r="BX779" s="241"/>
      <c r="BY779" s="244"/>
      <c r="BZ779" s="33"/>
      <c r="CA779" s="242"/>
      <c r="CB779" s="241"/>
      <c r="CC779" s="244"/>
      <c r="CD779" s="243"/>
      <c r="CE779" s="243"/>
      <c r="CF779" s="243"/>
      <c r="CG779" s="243"/>
      <c r="CH779" s="243"/>
      <c r="CI779" s="243"/>
      <c r="CJ779" s="243"/>
      <c r="CK779" s="243"/>
      <c r="CL779" s="243"/>
      <c r="CM779" s="243"/>
      <c r="CN779" s="243"/>
      <c r="CO779" s="243"/>
      <c r="CP779" s="243"/>
      <c r="CQ779" s="243"/>
      <c r="CR779" s="243"/>
      <c r="CS779" s="243"/>
      <c r="CT779" s="243"/>
      <c r="CU779" s="243"/>
      <c r="CV779" s="243"/>
      <c r="CW779" s="243"/>
      <c r="CX779" s="243"/>
      <c r="CY779" s="243"/>
      <c r="CZ779" s="243"/>
      <c r="DA779" s="243"/>
      <c r="DB779" s="243"/>
      <c r="DC779" s="243"/>
      <c r="DD779" s="243"/>
      <c r="DE779" s="243"/>
      <c r="DF779" s="243"/>
      <c r="DG779" s="243"/>
      <c r="DH779" s="243"/>
      <c r="DI779" s="243"/>
      <c r="DJ779" s="243"/>
      <c r="DK779" s="243"/>
      <c r="DM779" s="242"/>
      <c r="DO779" s="243"/>
      <c r="DQ779" s="242"/>
      <c r="DS779" s="243"/>
      <c r="DU779" s="242"/>
      <c r="DW779" s="243"/>
      <c r="DY779" s="242"/>
      <c r="EA779" s="243"/>
    </row>
    <row r="780" spans="1:131">
      <c r="A780" s="20"/>
      <c r="B780" s="124" t="str">
        <f t="shared" si="726"/>
        <v/>
      </c>
      <c r="C780" s="235"/>
      <c r="D780" s="24">
        <f>'1% Wind'!$M$91</f>
        <v>4.2</v>
      </c>
      <c r="E780" s="90"/>
      <c r="F780" s="90"/>
      <c r="G780" s="79" t="e">
        <f ca="1">IF(I770=0.9743,$G779,MAX(G779/D779*D780,2))</f>
        <v>#REF!</v>
      </c>
      <c r="H780" s="121" t="e">
        <f t="shared" ca="1" si="727"/>
        <v>#REF!</v>
      </c>
      <c r="J780" s="33"/>
      <c r="K780" s="242">
        <f t="shared" si="728"/>
        <v>1</v>
      </c>
      <c r="L780" s="241" t="e">
        <f t="shared" ca="1" si="729"/>
        <v>#REF!</v>
      </c>
      <c r="M780" s="243" t="e">
        <f ca="1">IF(AND(INDEX(FlowCalConstA,MATCH(J770,FlowCalNumber,0),1,1)*L780^INDEX(FlowCalConstB,MATCH(J770,FlowCalNumber,0),1,1)&gt;INDEX(FlowCalLowSetting,MATCH(J770,FlowCalNumber,0),1,1), (INDEX(FlowCalConstA,MATCH(J770,FlowCalNumber,0),1,1)*L780^INDEX(FlowCalConstB,MATCH(J770,FlowCalNumber,0),1,1)&lt;INDEX(FlowCalHighSetting,MATCH(J770,FlowCalNumber,0),1,1))),INDEX(FlowCalConstA,MATCH(J770,FlowCalNumber,0),1,1)*L780^INDEX(FlowCalConstB,MATCH(J770,FlowCalNumber,0),1,1)," ")</f>
        <v>#REF!</v>
      </c>
      <c r="N780" s="33"/>
      <c r="O780" s="242">
        <f t="shared" si="730"/>
        <v>1</v>
      </c>
      <c r="P780" s="241" t="e">
        <f t="shared" ca="1" si="731"/>
        <v>#REF!</v>
      </c>
      <c r="Q780" s="243" t="e">
        <f ca="1">IF(AND(INDEX(FlowCalConstA,MATCH(N770,FlowCalNumber,0),1,1)*P780^INDEX(FlowCalConstB,MATCH(N770,FlowCalNumber,0),1,1)&gt;INDEX(FlowCalLowSetting,MATCH(N770,FlowCalNumber,0),1,1), (INDEX(FlowCalConstA,MATCH(N770,FlowCalNumber,0),1,1)*P780^INDEX(FlowCalConstB,MATCH(N770,FlowCalNumber,0),1,1)&lt;INDEX(FlowCalHighSetting,MATCH(N770,FlowCalNumber,0),1,1))),INDEX(FlowCalConstA,MATCH(N770,FlowCalNumber,0),1,1)*P780^INDEX(FlowCalConstB,MATCH(N770,FlowCalNumber,0),1,1)," ")</f>
        <v>#REF!</v>
      </c>
      <c r="R780" s="33"/>
      <c r="S780" s="242">
        <f t="shared" si="732"/>
        <v>1</v>
      </c>
      <c r="T780" s="241" t="e">
        <f t="shared" ca="1" si="733"/>
        <v>#REF!</v>
      </c>
      <c r="U780" s="244" t="e">
        <f ca="1">IF(AND(INDEX(FlowCalConstA,MATCH(R770,FlowCalNumber,0),1,1)*T780^INDEX(FlowCalConstB,MATCH(R770,FlowCalNumber,0),1,1)&gt;INDEX(FlowCalLowSetting,MATCH(R770,FlowCalNumber,0),1,1), (INDEX(FlowCalConstA,MATCH(R770,FlowCalNumber,0),1,1)*T780^INDEX(FlowCalConstB,MATCH(R770,FlowCalNumber,0),1,1)&lt;INDEX(FlowCalHighSetting,MATCH(R770,FlowCalNumber,0),1,1))),INDEX(FlowCalConstA,MATCH(R770,FlowCalNumber,0),1,1)*T780^INDEX(FlowCalConstB,MATCH(R770,FlowCalNumber,0),1,1)," ")</f>
        <v>#REF!</v>
      </c>
      <c r="V780" s="33"/>
      <c r="W780" s="242">
        <f t="shared" si="734"/>
        <v>0.1</v>
      </c>
      <c r="X780" s="241" t="e">
        <f t="shared" ca="1" si="735"/>
        <v>#REF!</v>
      </c>
      <c r="Y780" s="243" t="e">
        <f ca="1">IF(AND(INDEX(FlowCalConstA,MATCH(V770,FlowCalNumber,0),1,1)*X780^INDEX(FlowCalConstB,MATCH(V770,FlowCalNumber,0),1,1)&gt;INDEX(FlowCalLowSetting,MATCH(V770,FlowCalNumber,0),1,1), (INDEX(FlowCalConstA,MATCH(V770,FlowCalNumber,0),1,1)*X780^INDEX(FlowCalConstB,MATCH(V770,FlowCalNumber,0),1,1)&lt;INDEX(FlowCalHighSetting,MATCH(V770,FlowCalNumber,0),1,1))),INDEX(FlowCalConstA,MATCH(V770,FlowCalNumber,0),1,1)*X780^INDEX(FlowCalConstB,MATCH(V770,FlowCalNumber,0),1,1)," ")</f>
        <v>#REF!</v>
      </c>
      <c r="Z780" s="33"/>
      <c r="AA780" s="242">
        <f t="shared" si="736"/>
        <v>0.9</v>
      </c>
      <c r="AB780" s="241" t="e">
        <f t="shared" ca="1" si="737"/>
        <v>#REF!</v>
      </c>
      <c r="AC780" s="243" t="e">
        <f ca="1">IF(AND(INDEX(FlowCalConstA,MATCH(Z770,FlowCalNumber,0),1,1)*AB780^INDEX(FlowCalConstB,MATCH(Z770,FlowCalNumber,0),1,1)&gt;INDEX(FlowCalLowSetting,MATCH(Z770,FlowCalNumber,0),1,1), (INDEX(FlowCalConstA,MATCH(Z770,FlowCalNumber,0),1,1)*AB780^INDEX(FlowCalConstB,MATCH(Z770,FlowCalNumber,0),1,1)&lt;INDEX(FlowCalHighSetting,MATCH(Z770,FlowCalNumber,0),1,1))),INDEX(FlowCalConstA,MATCH(Z770,FlowCalNumber,0),1,1)*AB780^INDEX(FlowCalConstB,MATCH(Z770,FlowCalNumber,0),1,1)," ")</f>
        <v>#REF!</v>
      </c>
      <c r="AD780" s="33"/>
      <c r="AE780" s="242">
        <f t="shared" si="738"/>
        <v>0.1</v>
      </c>
      <c r="AF780" s="241" t="e">
        <f t="shared" ca="1" si="739"/>
        <v>#REF!</v>
      </c>
      <c r="AG780" s="243" t="e">
        <f ca="1">IF(AND(INDEX(FlowCalConstA,MATCH(AD770,FlowCalNumber,0),1,1)*AF780^INDEX(FlowCalConstB,MATCH(AD770,FlowCalNumber,0),1,1)&gt;INDEX(FlowCalLowSetting,MATCH(AD770,FlowCalNumber,0),1,1), (INDEX(FlowCalConstA,MATCH(AD770,FlowCalNumber,0),1,1)*AF780^INDEX(FlowCalConstB,MATCH(AD770,FlowCalNumber,0),1,1)&lt;INDEX(FlowCalHighSetting,MATCH(AD770,FlowCalNumber,0),1,1))),INDEX(FlowCalConstA,MATCH(AD770,FlowCalNumber,0),1,1)*AF780^INDEX(FlowCalConstB,MATCH(AD770,FlowCalNumber,0),1,1)," ")</f>
        <v>#REF!</v>
      </c>
      <c r="AH780" s="33"/>
      <c r="AI780" s="242">
        <f t="shared" si="740"/>
        <v>0.9</v>
      </c>
      <c r="AJ780" s="241" t="e">
        <f t="shared" ca="1" si="741"/>
        <v>#REF!</v>
      </c>
      <c r="AK780" s="243" t="e">
        <f ca="1">IF(AND(INDEX(FlowCalConstA,MATCH(AH770,FlowCalNumber,0),1,1)*AJ780^INDEX(FlowCalConstB,MATCH(AH770,FlowCalNumber,0),1,1)&gt;INDEX(FlowCalLowSetting,MATCH(AH770,FlowCalNumber,0),1,1), (INDEX(FlowCalConstA,MATCH(AH770,FlowCalNumber,0),1,1)*AJ780^INDEX(FlowCalConstB,MATCH(AH770,FlowCalNumber,0),1,1)&lt;INDEX(FlowCalHighSetting,MATCH(AH770,FlowCalNumber,0),1,1))),INDEX(FlowCalConstA,MATCH(AH770,FlowCalNumber,0),1,1)*AJ780^INDEX(FlowCalConstB,MATCH(AH770,FlowCalNumber,0),1,1)," ")</f>
        <v>#REF!</v>
      </c>
      <c r="AL780" s="33"/>
      <c r="AM780" s="242"/>
      <c r="AN780" s="241"/>
      <c r="AO780" s="244"/>
      <c r="AQ780" s="242"/>
      <c r="AR780" s="241"/>
      <c r="AS780" s="244"/>
      <c r="AT780" s="33"/>
      <c r="AU780" s="242"/>
      <c r="AV780" s="241"/>
      <c r="AW780" s="244"/>
      <c r="AX780" s="33"/>
      <c r="AY780" s="242"/>
      <c r="AZ780" s="241"/>
      <c r="BA780" s="244"/>
      <c r="BB780" s="33"/>
      <c r="BC780" s="242"/>
      <c r="BD780" s="241"/>
      <c r="BE780" s="244"/>
      <c r="BF780" s="33"/>
      <c r="BG780" s="242"/>
      <c r="BH780" s="241"/>
      <c r="BI780" s="244"/>
      <c r="BJ780" s="33"/>
      <c r="BK780" s="242"/>
      <c r="BL780" s="241"/>
      <c r="BM780" s="244"/>
      <c r="BN780" s="33"/>
      <c r="BO780" s="242"/>
      <c r="BP780" s="241"/>
      <c r="BQ780" s="244"/>
      <c r="BR780" s="33"/>
      <c r="BS780" s="242"/>
      <c r="BT780" s="241"/>
      <c r="BU780" s="244"/>
      <c r="BV780" s="33"/>
      <c r="BW780" s="242"/>
      <c r="BX780" s="241"/>
      <c r="BY780" s="244"/>
      <c r="BZ780" s="33"/>
      <c r="CA780" s="242"/>
      <c r="CB780" s="241"/>
      <c r="CC780" s="244"/>
      <c r="CD780" s="243"/>
      <c r="CE780" s="243"/>
      <c r="CF780" s="243"/>
      <c r="CG780" s="243"/>
      <c r="CH780" s="243"/>
      <c r="CI780" s="243"/>
      <c r="CJ780" s="243"/>
      <c r="CK780" s="243"/>
      <c r="CL780" s="243"/>
      <c r="CM780" s="243"/>
      <c r="CN780" s="243"/>
      <c r="CO780" s="243"/>
      <c r="CP780" s="243"/>
      <c r="CQ780" s="243"/>
      <c r="CR780" s="243"/>
      <c r="CS780" s="243"/>
      <c r="CT780" s="243"/>
      <c r="CU780" s="243"/>
      <c r="CV780" s="243"/>
      <c r="CW780" s="243"/>
      <c r="CX780" s="243"/>
      <c r="CY780" s="243"/>
      <c r="CZ780" s="243"/>
      <c r="DA780" s="243"/>
      <c r="DB780" s="243"/>
      <c r="DC780" s="243"/>
      <c r="DD780" s="243"/>
      <c r="DE780" s="243"/>
      <c r="DF780" s="243"/>
      <c r="DG780" s="243"/>
      <c r="DH780" s="243"/>
      <c r="DI780" s="243"/>
      <c r="DJ780" s="243"/>
      <c r="DK780" s="243"/>
      <c r="DM780" s="242"/>
      <c r="DO780" s="243"/>
      <c r="DQ780" s="242"/>
      <c r="DS780" s="243"/>
      <c r="DU780" s="242"/>
      <c r="DW780" s="243"/>
      <c r="DY780" s="242"/>
      <c r="EA780" s="243"/>
    </row>
    <row r="781" spans="1:131">
      <c r="A781" s="20"/>
      <c r="B781" s="124" t="str">
        <f t="shared" si="726"/>
        <v/>
      </c>
      <c r="C781" s="235"/>
      <c r="D781" s="24">
        <f>'1% Wind'!$M$92</f>
        <v>3.2</v>
      </c>
      <c r="E781" s="90"/>
      <c r="F781" s="90"/>
      <c r="G781" s="79" t="e">
        <f ca="1">IF(I770=0.9743,$G780,MAX(G780/D780*D781,2))</f>
        <v>#REF!</v>
      </c>
      <c r="H781" s="121" t="e">
        <f t="shared" ca="1" si="727"/>
        <v>#REF!</v>
      </c>
      <c r="J781" s="33"/>
      <c r="K781" s="242">
        <f t="shared" si="728"/>
        <v>1</v>
      </c>
      <c r="L781" s="241" t="e">
        <f t="shared" ca="1" si="729"/>
        <v>#REF!</v>
      </c>
      <c r="M781" s="243" t="e">
        <f ca="1">IF(AND(INDEX(FlowCalConstA,MATCH(J770,FlowCalNumber,0),1,1)*L781^INDEX(FlowCalConstB,MATCH(J770,FlowCalNumber,0),1,1)&gt;INDEX(FlowCalLowSetting,MATCH(J770,FlowCalNumber,0),1,1), (INDEX(FlowCalConstA,MATCH(J770,FlowCalNumber,0),1,1)*L781^INDEX(FlowCalConstB,MATCH(J770,FlowCalNumber,0),1,1)&lt;INDEX(FlowCalHighSetting,MATCH(J770,FlowCalNumber,0),1,1))),INDEX(FlowCalConstA,MATCH(J770,FlowCalNumber,0),1,1)*L781^INDEX(FlowCalConstB,MATCH(J770,FlowCalNumber,0),1,1)," ")</f>
        <v>#REF!</v>
      </c>
      <c r="N781" s="33"/>
      <c r="O781" s="242">
        <f t="shared" si="730"/>
        <v>1</v>
      </c>
      <c r="P781" s="241" t="e">
        <f t="shared" ca="1" si="731"/>
        <v>#REF!</v>
      </c>
      <c r="Q781" s="243" t="e">
        <f ca="1">IF(AND(INDEX(FlowCalConstA,MATCH(N770,FlowCalNumber,0),1,1)*P781^INDEX(FlowCalConstB,MATCH(N770,FlowCalNumber,0),1,1)&gt;INDEX(FlowCalLowSetting,MATCH(N770,FlowCalNumber,0),1,1), (INDEX(FlowCalConstA,MATCH(N770,FlowCalNumber,0),1,1)*P781^INDEX(FlowCalConstB,MATCH(N770,FlowCalNumber,0),1,1)&lt;INDEX(FlowCalHighSetting,MATCH(N770,FlowCalNumber,0),1,1))),INDEX(FlowCalConstA,MATCH(N770,FlowCalNumber,0),1,1)*P781^INDEX(FlowCalConstB,MATCH(N770,FlowCalNumber,0),1,1)," ")</f>
        <v>#REF!</v>
      </c>
      <c r="R781" s="33"/>
      <c r="S781" s="242">
        <f t="shared" si="732"/>
        <v>1</v>
      </c>
      <c r="T781" s="241" t="e">
        <f t="shared" ca="1" si="733"/>
        <v>#REF!</v>
      </c>
      <c r="U781" s="244" t="e">
        <f ca="1">IF(AND(INDEX(FlowCalConstA,MATCH(R770,FlowCalNumber,0),1,1)*T781^INDEX(FlowCalConstB,MATCH(R770,FlowCalNumber,0),1,1)&gt;INDEX(FlowCalLowSetting,MATCH(R770,FlowCalNumber,0),1,1), (INDEX(FlowCalConstA,MATCH(R770,FlowCalNumber,0),1,1)*T781^INDEX(FlowCalConstB,MATCH(R770,FlowCalNumber,0),1,1)&lt;INDEX(FlowCalHighSetting,MATCH(R770,FlowCalNumber,0),1,1))),INDEX(FlowCalConstA,MATCH(R770,FlowCalNumber,0),1,1)*T781^INDEX(FlowCalConstB,MATCH(R770,FlowCalNumber,0),1,1)," ")</f>
        <v>#REF!</v>
      </c>
      <c r="V781" s="33"/>
      <c r="W781" s="242">
        <f t="shared" si="734"/>
        <v>0.1</v>
      </c>
      <c r="X781" s="241" t="e">
        <f t="shared" ca="1" si="735"/>
        <v>#REF!</v>
      </c>
      <c r="Y781" s="243" t="e">
        <f ca="1">IF(AND(INDEX(FlowCalConstA,MATCH(V770,FlowCalNumber,0),1,1)*X781^INDEX(FlowCalConstB,MATCH(V770,FlowCalNumber,0),1,1)&gt;INDEX(FlowCalLowSetting,MATCH(V770,FlowCalNumber,0),1,1), (INDEX(FlowCalConstA,MATCH(V770,FlowCalNumber,0),1,1)*X781^INDEX(FlowCalConstB,MATCH(V770,FlowCalNumber,0),1,1)&lt;INDEX(FlowCalHighSetting,MATCH(V770,FlowCalNumber,0),1,1))),INDEX(FlowCalConstA,MATCH(V770,FlowCalNumber,0),1,1)*X781^INDEX(FlowCalConstB,MATCH(V770,FlowCalNumber,0),1,1)," ")</f>
        <v>#REF!</v>
      </c>
      <c r="Z781" s="33"/>
      <c r="AA781" s="242">
        <f t="shared" si="736"/>
        <v>0.9</v>
      </c>
      <c r="AB781" s="241" t="e">
        <f t="shared" ca="1" si="737"/>
        <v>#REF!</v>
      </c>
      <c r="AC781" s="243" t="e">
        <f ca="1">IF(AND(INDEX(FlowCalConstA,MATCH(Z770,FlowCalNumber,0),1,1)*AB781^INDEX(FlowCalConstB,MATCH(Z770,FlowCalNumber,0),1,1)&gt;INDEX(FlowCalLowSetting,MATCH(Z770,FlowCalNumber,0),1,1), (INDEX(FlowCalConstA,MATCH(Z770,FlowCalNumber,0),1,1)*AB781^INDEX(FlowCalConstB,MATCH(Z770,FlowCalNumber,0),1,1)&lt;INDEX(FlowCalHighSetting,MATCH(Z770,FlowCalNumber,0),1,1))),INDEX(FlowCalConstA,MATCH(Z770,FlowCalNumber,0),1,1)*AB781^INDEX(FlowCalConstB,MATCH(Z770,FlowCalNumber,0),1,1)," ")</f>
        <v>#REF!</v>
      </c>
      <c r="AD781" s="33"/>
      <c r="AE781" s="242">
        <f t="shared" si="738"/>
        <v>0.1</v>
      </c>
      <c r="AF781" s="241" t="e">
        <f t="shared" ca="1" si="739"/>
        <v>#REF!</v>
      </c>
      <c r="AG781" s="243" t="e">
        <f ca="1">IF(AND(INDEX(FlowCalConstA,MATCH(AD770,FlowCalNumber,0),1,1)*AF781^INDEX(FlowCalConstB,MATCH(AD770,FlowCalNumber,0),1,1)&gt;INDEX(FlowCalLowSetting,MATCH(AD770,FlowCalNumber,0),1,1), (INDEX(FlowCalConstA,MATCH(AD770,FlowCalNumber,0),1,1)*AF781^INDEX(FlowCalConstB,MATCH(AD770,FlowCalNumber,0),1,1)&lt;INDEX(FlowCalHighSetting,MATCH(AD770,FlowCalNumber,0),1,1))),INDEX(FlowCalConstA,MATCH(AD770,FlowCalNumber,0),1,1)*AF781^INDEX(FlowCalConstB,MATCH(AD770,FlowCalNumber,0),1,1)," ")</f>
        <v>#REF!</v>
      </c>
      <c r="AH781" s="33"/>
      <c r="AI781" s="242">
        <f t="shared" si="740"/>
        <v>0.9</v>
      </c>
      <c r="AJ781" s="241" t="e">
        <f t="shared" ca="1" si="741"/>
        <v>#REF!</v>
      </c>
      <c r="AK781" s="243" t="e">
        <f ca="1">IF(AND(INDEX(FlowCalConstA,MATCH(AH770,FlowCalNumber,0),1,1)*AJ781^INDEX(FlowCalConstB,MATCH(AH770,FlowCalNumber,0),1,1)&gt;INDEX(FlowCalLowSetting,MATCH(AH770,FlowCalNumber,0),1,1), (INDEX(FlowCalConstA,MATCH(AH770,FlowCalNumber,0),1,1)*AJ781^INDEX(FlowCalConstB,MATCH(AH770,FlowCalNumber,0),1,1)&lt;INDEX(FlowCalHighSetting,MATCH(AH770,FlowCalNumber,0),1,1))),INDEX(FlowCalConstA,MATCH(AH770,FlowCalNumber,0),1,1)*AJ781^INDEX(FlowCalConstB,MATCH(AH770,FlowCalNumber,0),1,1)," ")</f>
        <v>#REF!</v>
      </c>
      <c r="AL781" s="33"/>
      <c r="AM781" s="242"/>
      <c r="AN781" s="241"/>
      <c r="AO781" s="244"/>
      <c r="AQ781" s="242"/>
      <c r="AR781" s="241"/>
      <c r="AS781" s="244"/>
      <c r="AT781" s="33"/>
      <c r="AU781" s="242"/>
      <c r="AV781" s="241"/>
      <c r="AW781" s="244"/>
      <c r="AX781" s="33"/>
      <c r="AY781" s="242"/>
      <c r="AZ781" s="241"/>
      <c r="BA781" s="244"/>
      <c r="BB781" s="33"/>
      <c r="BC781" s="242"/>
      <c r="BD781" s="241"/>
      <c r="BE781" s="244"/>
      <c r="BF781" s="33"/>
      <c r="BG781" s="242"/>
      <c r="BH781" s="241"/>
      <c r="BI781" s="244"/>
      <c r="BJ781" s="33"/>
      <c r="BK781" s="242"/>
      <c r="BL781" s="241"/>
      <c r="BM781" s="244"/>
      <c r="BN781" s="33"/>
      <c r="BO781" s="242"/>
      <c r="BP781" s="241"/>
      <c r="BQ781" s="244"/>
      <c r="BR781" s="33"/>
      <c r="BS781" s="242"/>
      <c r="BT781" s="241"/>
      <c r="BU781" s="244"/>
      <c r="BV781" s="33"/>
      <c r="BW781" s="242"/>
      <c r="BX781" s="241"/>
      <c r="BY781" s="244"/>
      <c r="BZ781" s="33"/>
      <c r="CA781" s="242"/>
      <c r="CB781" s="241"/>
      <c r="CC781" s="244"/>
      <c r="CD781" s="243"/>
      <c r="CE781" s="243"/>
      <c r="CF781" s="243"/>
      <c r="CG781" s="243"/>
      <c r="CH781" s="243"/>
      <c r="CI781" s="243"/>
      <c r="CJ781" s="243"/>
      <c r="CK781" s="243"/>
      <c r="CL781" s="243"/>
      <c r="CM781" s="243"/>
      <c r="CN781" s="243"/>
      <c r="CO781" s="243"/>
      <c r="CP781" s="243"/>
      <c r="CQ781" s="243"/>
      <c r="CR781" s="243"/>
      <c r="CS781" s="243"/>
      <c r="CT781" s="243"/>
      <c r="CU781" s="243"/>
      <c r="CV781" s="243"/>
      <c r="CW781" s="243"/>
      <c r="CX781" s="243"/>
      <c r="CY781" s="243"/>
      <c r="CZ781" s="243"/>
      <c r="DA781" s="243"/>
      <c r="DB781" s="243"/>
      <c r="DC781" s="243"/>
      <c r="DD781" s="243"/>
      <c r="DE781" s="243"/>
      <c r="DF781" s="243"/>
      <c r="DG781" s="243"/>
      <c r="DH781" s="243"/>
      <c r="DI781" s="243"/>
      <c r="DJ781" s="243"/>
      <c r="DK781" s="243"/>
      <c r="DM781" s="242"/>
      <c r="DO781" s="243"/>
      <c r="DQ781" s="242"/>
      <c r="DS781" s="243"/>
      <c r="DU781" s="242"/>
      <c r="DW781" s="243"/>
      <c r="DY781" s="242"/>
      <c r="EA781" s="243"/>
    </row>
    <row r="782" spans="1:131">
      <c r="A782" s="20"/>
      <c r="B782" s="124" t="str">
        <f t="shared" si="726"/>
        <v/>
      </c>
      <c r="C782" s="235"/>
      <c r="D782" s="24">
        <f>'1% Wind'!$M$93</f>
        <v>2.4</v>
      </c>
      <c r="E782" s="90"/>
      <c r="F782" s="90"/>
      <c r="G782" s="79" t="e">
        <f ca="1">IF(I770=0.9743,$G781,MAX(G781/D781*D782,2))</f>
        <v>#REF!</v>
      </c>
      <c r="H782" s="121" t="e">
        <f t="shared" ca="1" si="727"/>
        <v>#REF!</v>
      </c>
      <c r="J782" s="33"/>
      <c r="K782" s="242">
        <f t="shared" si="728"/>
        <v>1</v>
      </c>
      <c r="L782" s="241" t="e">
        <f t="shared" ca="1" si="729"/>
        <v>#REF!</v>
      </c>
      <c r="M782" s="243" t="e">
        <f ca="1">IF(AND(INDEX(FlowCalConstA,MATCH(J770,FlowCalNumber,0),1,1)*L782^INDEX(FlowCalConstB,MATCH(J770,FlowCalNumber,0),1,1)&gt;INDEX(FlowCalLowSetting,MATCH(J770,FlowCalNumber,0),1,1), (INDEX(FlowCalConstA,MATCH(J770,FlowCalNumber,0),1,1)*L782^INDEX(FlowCalConstB,MATCH(J770,FlowCalNumber,0),1,1)&lt;INDEX(FlowCalHighSetting,MATCH(J770,FlowCalNumber,0),1,1))),INDEX(FlowCalConstA,MATCH(J770,FlowCalNumber,0),1,1)*L782^INDEX(FlowCalConstB,MATCH(J770,FlowCalNumber,0),1,1)," ")</f>
        <v>#REF!</v>
      </c>
      <c r="N782" s="33"/>
      <c r="O782" s="242">
        <f t="shared" si="730"/>
        <v>1</v>
      </c>
      <c r="P782" s="241" t="e">
        <f t="shared" ca="1" si="731"/>
        <v>#REF!</v>
      </c>
      <c r="Q782" s="243" t="e">
        <f ca="1">IF(AND(INDEX(FlowCalConstA,MATCH(N770,FlowCalNumber,0),1,1)*P782^INDEX(FlowCalConstB,MATCH(N770,FlowCalNumber,0),1,1)&gt;INDEX(FlowCalLowSetting,MATCH(N770,FlowCalNumber,0),1,1), (INDEX(FlowCalConstA,MATCH(N770,FlowCalNumber,0),1,1)*P782^INDEX(FlowCalConstB,MATCH(N770,FlowCalNumber,0),1,1)&lt;INDEX(FlowCalHighSetting,MATCH(N770,FlowCalNumber,0),1,1))),INDEX(FlowCalConstA,MATCH(N770,FlowCalNumber,0),1,1)*P782^INDEX(FlowCalConstB,MATCH(N770,FlowCalNumber,0),1,1)," ")</f>
        <v>#REF!</v>
      </c>
      <c r="R782" s="33"/>
      <c r="S782" s="242">
        <f t="shared" si="732"/>
        <v>1</v>
      </c>
      <c r="T782" s="241" t="e">
        <f t="shared" ca="1" si="733"/>
        <v>#REF!</v>
      </c>
      <c r="U782" s="244" t="e">
        <f ca="1">IF(AND(INDEX(FlowCalConstA,MATCH(R770,FlowCalNumber,0),1,1)*T782^INDEX(FlowCalConstB,MATCH(R770,FlowCalNumber,0),1,1)&gt;INDEX(FlowCalLowSetting,MATCH(R770,FlowCalNumber,0),1,1), (INDEX(FlowCalConstA,MATCH(R770,FlowCalNumber,0),1,1)*T782^INDEX(FlowCalConstB,MATCH(R770,FlowCalNumber,0),1,1)&lt;INDEX(FlowCalHighSetting,MATCH(R770,FlowCalNumber,0),1,1))),INDEX(FlowCalConstA,MATCH(R770,FlowCalNumber,0),1,1)*T782^INDEX(FlowCalConstB,MATCH(R770,FlowCalNumber,0),1,1)," ")</f>
        <v>#REF!</v>
      </c>
      <c r="V782" s="33"/>
      <c r="W782" s="242">
        <f t="shared" si="734"/>
        <v>0.1</v>
      </c>
      <c r="X782" s="241" t="e">
        <f t="shared" ca="1" si="735"/>
        <v>#REF!</v>
      </c>
      <c r="Y782" s="243" t="e">
        <f ca="1">IF(AND(INDEX(FlowCalConstA,MATCH(V770,FlowCalNumber,0),1,1)*X782^INDEX(FlowCalConstB,MATCH(V770,FlowCalNumber,0),1,1)&gt;INDEX(FlowCalLowSetting,MATCH(V770,FlowCalNumber,0),1,1), (INDEX(FlowCalConstA,MATCH(V770,FlowCalNumber,0),1,1)*X782^INDEX(FlowCalConstB,MATCH(V770,FlowCalNumber,0),1,1)&lt;INDEX(FlowCalHighSetting,MATCH(V770,FlowCalNumber,0),1,1))),INDEX(FlowCalConstA,MATCH(V770,FlowCalNumber,0),1,1)*X782^INDEX(FlowCalConstB,MATCH(V770,FlowCalNumber,0),1,1)," ")</f>
        <v>#REF!</v>
      </c>
      <c r="Z782" s="33"/>
      <c r="AA782" s="242">
        <f t="shared" si="736"/>
        <v>0.9</v>
      </c>
      <c r="AB782" s="241" t="e">
        <f t="shared" ca="1" si="737"/>
        <v>#REF!</v>
      </c>
      <c r="AC782" s="243" t="e">
        <f ca="1">IF(AND(INDEX(FlowCalConstA,MATCH(Z770,FlowCalNumber,0),1,1)*AB782^INDEX(FlowCalConstB,MATCH(Z770,FlowCalNumber,0),1,1)&gt;INDEX(FlowCalLowSetting,MATCH(Z770,FlowCalNumber,0),1,1), (INDEX(FlowCalConstA,MATCH(Z770,FlowCalNumber,0),1,1)*AB782^INDEX(FlowCalConstB,MATCH(Z770,FlowCalNumber,0),1,1)&lt;INDEX(FlowCalHighSetting,MATCH(Z770,FlowCalNumber,0),1,1))),INDEX(FlowCalConstA,MATCH(Z770,FlowCalNumber,0),1,1)*AB782^INDEX(FlowCalConstB,MATCH(Z770,FlowCalNumber,0),1,1)," ")</f>
        <v>#REF!</v>
      </c>
      <c r="AD782" s="33"/>
      <c r="AE782" s="242">
        <f t="shared" si="738"/>
        <v>0.1</v>
      </c>
      <c r="AF782" s="241" t="e">
        <f t="shared" ca="1" si="739"/>
        <v>#REF!</v>
      </c>
      <c r="AG782" s="243" t="e">
        <f ca="1">IF(AND(INDEX(FlowCalConstA,MATCH(AD770,FlowCalNumber,0),1,1)*AF782^INDEX(FlowCalConstB,MATCH(AD770,FlowCalNumber,0),1,1)&gt;INDEX(FlowCalLowSetting,MATCH(AD770,FlowCalNumber,0),1,1), (INDEX(FlowCalConstA,MATCH(AD770,FlowCalNumber,0),1,1)*AF782^INDEX(FlowCalConstB,MATCH(AD770,FlowCalNumber,0),1,1)&lt;INDEX(FlowCalHighSetting,MATCH(AD770,FlowCalNumber,0),1,1))),INDEX(FlowCalConstA,MATCH(AD770,FlowCalNumber,0),1,1)*AF782^INDEX(FlowCalConstB,MATCH(AD770,FlowCalNumber,0),1,1)," ")</f>
        <v>#REF!</v>
      </c>
      <c r="AH782" s="33"/>
      <c r="AI782" s="242">
        <f t="shared" si="740"/>
        <v>0.9</v>
      </c>
      <c r="AJ782" s="241" t="e">
        <f t="shared" ca="1" si="741"/>
        <v>#REF!</v>
      </c>
      <c r="AK782" s="243" t="e">
        <f ca="1">IF(AND(INDEX(FlowCalConstA,MATCH(AH770,FlowCalNumber,0),1,1)*AJ782^INDEX(FlowCalConstB,MATCH(AH770,FlowCalNumber,0),1,1)&gt;INDEX(FlowCalLowSetting,MATCH(AH770,FlowCalNumber,0),1,1), (INDEX(FlowCalConstA,MATCH(AH770,FlowCalNumber,0),1,1)*AJ782^INDEX(FlowCalConstB,MATCH(AH770,FlowCalNumber,0),1,1)&lt;INDEX(FlowCalHighSetting,MATCH(AH770,FlowCalNumber,0),1,1))),INDEX(FlowCalConstA,MATCH(AH770,FlowCalNumber,0),1,1)*AJ782^INDEX(FlowCalConstB,MATCH(AH770,FlowCalNumber,0),1,1)," ")</f>
        <v>#REF!</v>
      </c>
      <c r="AL782" s="33"/>
      <c r="AM782" s="242"/>
      <c r="AN782" s="241"/>
      <c r="AO782" s="244"/>
      <c r="AQ782" s="242"/>
      <c r="AR782" s="241"/>
      <c r="AS782" s="244"/>
      <c r="AT782" s="33"/>
      <c r="AU782" s="242"/>
      <c r="AV782" s="241"/>
      <c r="AW782" s="244"/>
      <c r="AX782" s="33"/>
      <c r="AY782" s="242"/>
      <c r="AZ782" s="241"/>
      <c r="BA782" s="244"/>
      <c r="BB782" s="33"/>
      <c r="BC782" s="242"/>
      <c r="BD782" s="241"/>
      <c r="BE782" s="244"/>
      <c r="BF782" s="33"/>
      <c r="BG782" s="242"/>
      <c r="BH782" s="241"/>
      <c r="BI782" s="244"/>
      <c r="BJ782" s="33"/>
      <c r="BK782" s="242"/>
      <c r="BL782" s="241"/>
      <c r="BM782" s="244"/>
      <c r="BN782" s="33"/>
      <c r="BO782" s="242"/>
      <c r="BP782" s="241"/>
      <c r="BQ782" s="244"/>
      <c r="BR782" s="33"/>
      <c r="BS782" s="242"/>
      <c r="BT782" s="241"/>
      <c r="BU782" s="244"/>
      <c r="BV782" s="33"/>
      <c r="BW782" s="242"/>
      <c r="BX782" s="241"/>
      <c r="BY782" s="244"/>
      <c r="BZ782" s="33"/>
      <c r="CA782" s="242"/>
      <c r="CB782" s="241"/>
      <c r="CC782" s="244"/>
      <c r="CD782" s="243"/>
      <c r="CE782" s="243"/>
      <c r="CF782" s="243"/>
      <c r="CG782" s="243"/>
      <c r="CH782" s="243"/>
      <c r="CI782" s="243"/>
      <c r="CJ782" s="243"/>
      <c r="CK782" s="243"/>
      <c r="CL782" s="243"/>
      <c r="CM782" s="243"/>
      <c r="CN782" s="243"/>
      <c r="CO782" s="243"/>
      <c r="CP782" s="243"/>
      <c r="CQ782" s="243"/>
      <c r="CR782" s="243"/>
      <c r="CS782" s="243"/>
      <c r="CT782" s="243"/>
      <c r="CU782" s="243"/>
      <c r="CV782" s="243"/>
      <c r="CW782" s="243"/>
      <c r="CX782" s="243"/>
      <c r="CY782" s="243"/>
      <c r="CZ782" s="243"/>
      <c r="DA782" s="243"/>
      <c r="DB782" s="243"/>
      <c r="DC782" s="243"/>
      <c r="DD782" s="243"/>
      <c r="DE782" s="243"/>
      <c r="DF782" s="243"/>
      <c r="DG782" s="243"/>
      <c r="DH782" s="243"/>
      <c r="DI782" s="243"/>
      <c r="DJ782" s="243"/>
      <c r="DK782" s="243"/>
      <c r="DM782" s="242"/>
      <c r="DO782" s="243"/>
      <c r="DQ782" s="242"/>
      <c r="DS782" s="243"/>
      <c r="DU782" s="242"/>
      <c r="DW782" s="243"/>
      <c r="DY782" s="242"/>
      <c r="EA782" s="243"/>
    </row>
    <row r="783" spans="1:131">
      <c r="A783" s="20"/>
      <c r="B783" s="124" t="str">
        <f t="shared" si="726"/>
        <v/>
      </c>
      <c r="C783" s="235"/>
      <c r="D783" s="24">
        <f>'1% Wind'!$M$94</f>
        <v>1.8</v>
      </c>
      <c r="E783" s="90"/>
      <c r="F783" s="90"/>
      <c r="G783" s="79" t="e">
        <f ca="1">IF(I770=0.9743,$G782,MAX(G782/D782*D783,2))</f>
        <v>#REF!</v>
      </c>
      <c r="H783" s="121" t="e">
        <f t="shared" ca="1" si="727"/>
        <v>#REF!</v>
      </c>
      <c r="J783" s="33"/>
      <c r="K783" s="242">
        <f t="shared" si="728"/>
        <v>1</v>
      </c>
      <c r="L783" s="241" t="e">
        <f t="shared" ca="1" si="729"/>
        <v>#REF!</v>
      </c>
      <c r="M783" s="243" t="e">
        <f ca="1">IF(AND(INDEX(FlowCalConstA,MATCH(J770,FlowCalNumber,0),1,1)*L783^INDEX(FlowCalConstB,MATCH(J770,FlowCalNumber,0),1,1)&gt;INDEX(FlowCalLowSetting,MATCH(J770,FlowCalNumber,0),1,1), (INDEX(FlowCalConstA,MATCH(J770,FlowCalNumber,0),1,1)*L783^INDEX(FlowCalConstB,MATCH(J770,FlowCalNumber,0),1,1)&lt;INDEX(FlowCalHighSetting,MATCH(J770,FlowCalNumber,0),1,1))),INDEX(FlowCalConstA,MATCH(J770,FlowCalNumber,0),1,1)*L783^INDEX(FlowCalConstB,MATCH(J770,FlowCalNumber,0),1,1)," ")</f>
        <v>#REF!</v>
      </c>
      <c r="N783" s="33"/>
      <c r="O783" s="242">
        <f t="shared" si="730"/>
        <v>1</v>
      </c>
      <c r="P783" s="241" t="e">
        <f t="shared" ca="1" si="731"/>
        <v>#REF!</v>
      </c>
      <c r="Q783" s="243" t="e">
        <f ca="1">IF(AND(INDEX(FlowCalConstA,MATCH(N770,FlowCalNumber,0),1,1)*P783^INDEX(FlowCalConstB,MATCH(N770,FlowCalNumber,0),1,1)&gt;INDEX(FlowCalLowSetting,MATCH(N770,FlowCalNumber,0),1,1), (INDEX(FlowCalConstA,MATCH(N770,FlowCalNumber,0),1,1)*P783^INDEX(FlowCalConstB,MATCH(N770,FlowCalNumber,0),1,1)&lt;INDEX(FlowCalHighSetting,MATCH(N770,FlowCalNumber,0),1,1))),INDEX(FlowCalConstA,MATCH(N770,FlowCalNumber,0),1,1)*P783^INDEX(FlowCalConstB,MATCH(N770,FlowCalNumber,0),1,1)," ")</f>
        <v>#REF!</v>
      </c>
      <c r="R783" s="33"/>
      <c r="S783" s="242">
        <f t="shared" si="732"/>
        <v>1</v>
      </c>
      <c r="T783" s="241" t="e">
        <f t="shared" ca="1" si="733"/>
        <v>#REF!</v>
      </c>
      <c r="U783" s="244" t="e">
        <f ca="1">IF(AND(INDEX(FlowCalConstA,MATCH(R770,FlowCalNumber,0),1,1)*T783^INDEX(FlowCalConstB,MATCH(R770,FlowCalNumber,0),1,1)&gt;INDEX(FlowCalLowSetting,MATCH(R770,FlowCalNumber,0),1,1), (INDEX(FlowCalConstA,MATCH(R770,FlowCalNumber,0),1,1)*T783^INDEX(FlowCalConstB,MATCH(R770,FlowCalNumber,0),1,1)&lt;INDEX(FlowCalHighSetting,MATCH(R770,FlowCalNumber,0),1,1))),INDEX(FlowCalConstA,MATCH(R770,FlowCalNumber,0),1,1)*T783^INDEX(FlowCalConstB,MATCH(R770,FlowCalNumber,0),1,1)," ")</f>
        <v>#REF!</v>
      </c>
      <c r="V783" s="33"/>
      <c r="W783" s="242">
        <f t="shared" si="734"/>
        <v>0.1</v>
      </c>
      <c r="X783" s="241" t="e">
        <f t="shared" ca="1" si="735"/>
        <v>#REF!</v>
      </c>
      <c r="Y783" s="243" t="e">
        <f ca="1">IF(AND(INDEX(FlowCalConstA,MATCH(V770,FlowCalNumber,0),1,1)*X783^INDEX(FlowCalConstB,MATCH(V770,FlowCalNumber,0),1,1)&gt;INDEX(FlowCalLowSetting,MATCH(V770,FlowCalNumber,0),1,1), (INDEX(FlowCalConstA,MATCH(V770,FlowCalNumber,0),1,1)*X783^INDEX(FlowCalConstB,MATCH(V770,FlowCalNumber,0),1,1)&lt;INDEX(FlowCalHighSetting,MATCH(V770,FlowCalNumber,0),1,1))),INDEX(FlowCalConstA,MATCH(V770,FlowCalNumber,0),1,1)*X783^INDEX(FlowCalConstB,MATCH(V770,FlowCalNumber,0),1,1)," ")</f>
        <v>#REF!</v>
      </c>
      <c r="Z783" s="33"/>
      <c r="AA783" s="242">
        <f t="shared" si="736"/>
        <v>0.9</v>
      </c>
      <c r="AB783" s="241" t="e">
        <f t="shared" ca="1" si="737"/>
        <v>#REF!</v>
      </c>
      <c r="AC783" s="243" t="e">
        <f ca="1">IF(AND(INDEX(FlowCalConstA,MATCH(Z770,FlowCalNumber,0),1,1)*AB783^INDEX(FlowCalConstB,MATCH(Z770,FlowCalNumber,0),1,1)&gt;INDEX(FlowCalLowSetting,MATCH(Z770,FlowCalNumber,0),1,1), (INDEX(FlowCalConstA,MATCH(Z770,FlowCalNumber,0),1,1)*AB783^INDEX(FlowCalConstB,MATCH(Z770,FlowCalNumber,0),1,1)&lt;INDEX(FlowCalHighSetting,MATCH(Z770,FlowCalNumber,0),1,1))),INDEX(FlowCalConstA,MATCH(Z770,FlowCalNumber,0),1,1)*AB783^INDEX(FlowCalConstB,MATCH(Z770,FlowCalNumber,0),1,1)," ")</f>
        <v>#REF!</v>
      </c>
      <c r="AD783" s="33"/>
      <c r="AE783" s="242">
        <f t="shared" si="738"/>
        <v>0.1</v>
      </c>
      <c r="AF783" s="241" t="e">
        <f t="shared" ca="1" si="739"/>
        <v>#REF!</v>
      </c>
      <c r="AG783" s="243" t="e">
        <f ca="1">IF(AND(INDEX(FlowCalConstA,MATCH(AD770,FlowCalNumber,0),1,1)*AF783^INDEX(FlowCalConstB,MATCH(AD770,FlowCalNumber,0),1,1)&gt;INDEX(FlowCalLowSetting,MATCH(AD770,FlowCalNumber,0),1,1), (INDEX(FlowCalConstA,MATCH(AD770,FlowCalNumber,0),1,1)*AF783^INDEX(FlowCalConstB,MATCH(AD770,FlowCalNumber,0),1,1)&lt;INDEX(FlowCalHighSetting,MATCH(AD770,FlowCalNumber,0),1,1))),INDEX(FlowCalConstA,MATCH(AD770,FlowCalNumber,0),1,1)*AF783^INDEX(FlowCalConstB,MATCH(AD770,FlowCalNumber,0),1,1)," ")</f>
        <v>#REF!</v>
      </c>
      <c r="AH783" s="33"/>
      <c r="AI783" s="242">
        <f t="shared" si="740"/>
        <v>0.9</v>
      </c>
      <c r="AJ783" s="241" t="e">
        <f t="shared" ca="1" si="741"/>
        <v>#REF!</v>
      </c>
      <c r="AK783" s="243" t="e">
        <f ca="1">IF(AND(INDEX(FlowCalConstA,MATCH(AH770,FlowCalNumber,0),1,1)*AJ783^INDEX(FlowCalConstB,MATCH(AH770,FlowCalNumber,0),1,1)&gt;INDEX(FlowCalLowSetting,MATCH(AH770,FlowCalNumber,0),1,1), (INDEX(FlowCalConstA,MATCH(AH770,FlowCalNumber,0),1,1)*AJ783^INDEX(FlowCalConstB,MATCH(AH770,FlowCalNumber,0),1,1)&lt;INDEX(FlowCalHighSetting,MATCH(AH770,FlowCalNumber,0),1,1))),INDEX(FlowCalConstA,MATCH(AH770,FlowCalNumber,0),1,1)*AJ783^INDEX(FlowCalConstB,MATCH(AH770,FlowCalNumber,0),1,1)," ")</f>
        <v>#REF!</v>
      </c>
      <c r="AL783" s="33"/>
      <c r="AM783" s="242"/>
      <c r="AN783" s="241"/>
      <c r="AO783" s="244"/>
      <c r="AQ783" s="242"/>
      <c r="AR783" s="241"/>
      <c r="AS783" s="244"/>
      <c r="AT783" s="33"/>
      <c r="AU783" s="242"/>
      <c r="AV783" s="241"/>
      <c r="AW783" s="244"/>
      <c r="AX783" s="33"/>
      <c r="AY783" s="242"/>
      <c r="AZ783" s="241"/>
      <c r="BA783" s="244"/>
      <c r="BB783" s="33"/>
      <c r="BC783" s="242"/>
      <c r="BD783" s="241"/>
      <c r="BE783" s="244"/>
      <c r="BF783" s="33"/>
      <c r="BG783" s="242"/>
      <c r="BH783" s="241"/>
      <c r="BI783" s="244"/>
      <c r="BJ783" s="33"/>
      <c r="BK783" s="242"/>
      <c r="BL783" s="241"/>
      <c r="BM783" s="244"/>
      <c r="BN783" s="33"/>
      <c r="BO783" s="242"/>
      <c r="BP783" s="241"/>
      <c r="BQ783" s="244"/>
      <c r="BR783" s="33"/>
      <c r="BS783" s="242"/>
      <c r="BT783" s="241"/>
      <c r="BU783" s="244"/>
      <c r="BV783" s="33"/>
      <c r="BW783" s="242"/>
      <c r="BX783" s="241"/>
      <c r="BY783" s="244"/>
      <c r="BZ783" s="33"/>
      <c r="CA783" s="242"/>
      <c r="CB783" s="241"/>
      <c r="CC783" s="244"/>
      <c r="CD783" s="243"/>
      <c r="CE783" s="243"/>
      <c r="CF783" s="243"/>
      <c r="CG783" s="243"/>
      <c r="CH783" s="243"/>
      <c r="CI783" s="243"/>
      <c r="CJ783" s="243"/>
      <c r="CK783" s="243"/>
      <c r="CL783" s="243"/>
      <c r="CM783" s="243"/>
      <c r="CN783" s="243"/>
      <c r="CO783" s="243"/>
      <c r="CP783" s="243"/>
      <c r="CQ783" s="243"/>
      <c r="CR783" s="243"/>
      <c r="CS783" s="243"/>
      <c r="CT783" s="243"/>
      <c r="CU783" s="243"/>
      <c r="CV783" s="243"/>
      <c r="CW783" s="243"/>
      <c r="CX783" s="243"/>
      <c r="CY783" s="243"/>
      <c r="CZ783" s="243"/>
      <c r="DA783" s="243"/>
      <c r="DB783" s="243"/>
      <c r="DC783" s="243"/>
      <c r="DD783" s="243"/>
      <c r="DE783" s="243"/>
      <c r="DF783" s="243"/>
      <c r="DG783" s="243"/>
      <c r="DH783" s="243"/>
      <c r="DI783" s="243"/>
      <c r="DJ783" s="243"/>
      <c r="DK783" s="243"/>
      <c r="DM783" s="242"/>
      <c r="DO783" s="243"/>
      <c r="DQ783" s="242"/>
      <c r="DS783" s="243"/>
      <c r="DU783" s="242"/>
      <c r="DW783" s="243"/>
      <c r="DY783" s="242"/>
      <c r="EA783" s="243"/>
    </row>
    <row r="784" spans="1:131">
      <c r="A784" s="20"/>
      <c r="B784" s="124" t="str">
        <f t="shared" si="726"/>
        <v/>
      </c>
      <c r="C784" s="235"/>
      <c r="D784" s="24">
        <f>'1% Wind'!$M$95</f>
        <v>1.3</v>
      </c>
      <c r="E784" s="90"/>
      <c r="F784" s="90"/>
      <c r="G784" s="79" t="e">
        <f ca="1">IF(I770=0.9743,$G783,MAX(G783/D783*D784,2))</f>
        <v>#REF!</v>
      </c>
      <c r="H784" s="121" t="e">
        <f t="shared" ca="1" si="727"/>
        <v>#REF!</v>
      </c>
      <c r="J784" s="33"/>
      <c r="K784" s="242">
        <f t="shared" si="728"/>
        <v>1</v>
      </c>
      <c r="L784" s="241" t="e">
        <f t="shared" ca="1" si="729"/>
        <v>#REF!</v>
      </c>
      <c r="M784" s="243" t="e">
        <f ca="1">IF(AND(INDEX(FlowCalConstA,MATCH(J770,FlowCalNumber,0),1,1)*L784^INDEX(FlowCalConstB,MATCH(J770,FlowCalNumber,0),1,1)&gt;INDEX(FlowCalLowSetting,MATCH(J770,FlowCalNumber,0),1,1), (INDEX(FlowCalConstA,MATCH(J770,FlowCalNumber,0),1,1)*L784^INDEX(FlowCalConstB,MATCH(J770,FlowCalNumber,0),1,1)&lt;INDEX(FlowCalHighSetting,MATCH(J770,FlowCalNumber,0),1,1))),INDEX(FlowCalConstA,MATCH(J770,FlowCalNumber,0),1,1)*L784^INDEX(FlowCalConstB,MATCH(J770,FlowCalNumber,0),1,1)," ")</f>
        <v>#REF!</v>
      </c>
      <c r="N784" s="33"/>
      <c r="O784" s="242">
        <f t="shared" si="730"/>
        <v>1</v>
      </c>
      <c r="P784" s="241" t="e">
        <f t="shared" ca="1" si="731"/>
        <v>#REF!</v>
      </c>
      <c r="Q784" s="243" t="e">
        <f ca="1">IF(AND(INDEX(FlowCalConstA,MATCH(N770,FlowCalNumber,0),1,1)*P784^INDEX(FlowCalConstB,MATCH(N770,FlowCalNumber,0),1,1)&gt;INDEX(FlowCalLowSetting,MATCH(N770,FlowCalNumber,0),1,1), (INDEX(FlowCalConstA,MATCH(N770,FlowCalNumber,0),1,1)*P784^INDEX(FlowCalConstB,MATCH(N770,FlowCalNumber,0),1,1)&lt;INDEX(FlowCalHighSetting,MATCH(N770,FlowCalNumber,0),1,1))),INDEX(FlowCalConstA,MATCH(N770,FlowCalNumber,0),1,1)*P784^INDEX(FlowCalConstB,MATCH(N770,FlowCalNumber,0),1,1)," ")</f>
        <v>#REF!</v>
      </c>
      <c r="R784" s="33"/>
      <c r="S784" s="242">
        <f t="shared" si="732"/>
        <v>1</v>
      </c>
      <c r="T784" s="241" t="e">
        <f t="shared" ca="1" si="733"/>
        <v>#REF!</v>
      </c>
      <c r="U784" s="244" t="e">
        <f ca="1">IF(AND(INDEX(FlowCalConstA,MATCH(R770,FlowCalNumber,0),1,1)*T784^INDEX(FlowCalConstB,MATCH(R770,FlowCalNumber,0),1,1)&gt;INDEX(FlowCalLowSetting,MATCH(R770,FlowCalNumber,0),1,1), (INDEX(FlowCalConstA,MATCH(R770,FlowCalNumber,0),1,1)*T784^INDEX(FlowCalConstB,MATCH(R770,FlowCalNumber,0),1,1)&lt;INDEX(FlowCalHighSetting,MATCH(R770,FlowCalNumber,0),1,1))),INDEX(FlowCalConstA,MATCH(R770,FlowCalNumber,0),1,1)*T784^INDEX(FlowCalConstB,MATCH(R770,FlowCalNumber,0),1,1)," ")</f>
        <v>#REF!</v>
      </c>
      <c r="V784" s="33"/>
      <c r="W784" s="242">
        <f t="shared" si="734"/>
        <v>0.1</v>
      </c>
      <c r="X784" s="241" t="e">
        <f t="shared" ca="1" si="735"/>
        <v>#REF!</v>
      </c>
      <c r="Y784" s="243" t="e">
        <f ca="1">IF(AND(INDEX(FlowCalConstA,MATCH(V770,FlowCalNumber,0),1,1)*X784^INDEX(FlowCalConstB,MATCH(V770,FlowCalNumber,0),1,1)&gt;INDEX(FlowCalLowSetting,MATCH(V770,FlowCalNumber,0),1,1), (INDEX(FlowCalConstA,MATCH(V770,FlowCalNumber,0),1,1)*X784^INDEX(FlowCalConstB,MATCH(V770,FlowCalNumber,0),1,1)&lt;INDEX(FlowCalHighSetting,MATCH(V770,FlowCalNumber,0),1,1))),INDEX(FlowCalConstA,MATCH(V770,FlowCalNumber,0),1,1)*X784^INDEX(FlowCalConstB,MATCH(V770,FlowCalNumber,0),1,1)," ")</f>
        <v>#REF!</v>
      </c>
      <c r="Z784" s="33"/>
      <c r="AA784" s="242">
        <f t="shared" si="736"/>
        <v>0.9</v>
      </c>
      <c r="AB784" s="241" t="e">
        <f t="shared" ca="1" si="737"/>
        <v>#REF!</v>
      </c>
      <c r="AC784" s="243" t="e">
        <f ca="1">IF(AND(INDEX(FlowCalConstA,MATCH(Z770,FlowCalNumber,0),1,1)*AB784^INDEX(FlowCalConstB,MATCH(Z770,FlowCalNumber,0),1,1)&gt;INDEX(FlowCalLowSetting,MATCH(Z770,FlowCalNumber,0),1,1), (INDEX(FlowCalConstA,MATCH(Z770,FlowCalNumber,0),1,1)*AB784^INDEX(FlowCalConstB,MATCH(Z770,FlowCalNumber,0),1,1)&lt;INDEX(FlowCalHighSetting,MATCH(Z770,FlowCalNumber,0),1,1))),INDEX(FlowCalConstA,MATCH(Z770,FlowCalNumber,0),1,1)*AB784^INDEX(FlowCalConstB,MATCH(Z770,FlowCalNumber,0),1,1)," ")</f>
        <v>#REF!</v>
      </c>
      <c r="AD784" s="33"/>
      <c r="AE784" s="242">
        <f t="shared" si="738"/>
        <v>0.1</v>
      </c>
      <c r="AF784" s="241" t="e">
        <f t="shared" ca="1" si="739"/>
        <v>#REF!</v>
      </c>
      <c r="AG784" s="243" t="e">
        <f ca="1">IF(AND(INDEX(FlowCalConstA,MATCH(AD770,FlowCalNumber,0),1,1)*AF784^INDEX(FlowCalConstB,MATCH(AD770,FlowCalNumber,0),1,1)&gt;INDEX(FlowCalLowSetting,MATCH(AD770,FlowCalNumber,0),1,1), (INDEX(FlowCalConstA,MATCH(AD770,FlowCalNumber,0),1,1)*AF784^INDEX(FlowCalConstB,MATCH(AD770,FlowCalNumber,0),1,1)&lt;INDEX(FlowCalHighSetting,MATCH(AD770,FlowCalNumber,0),1,1))),INDEX(FlowCalConstA,MATCH(AD770,FlowCalNumber,0),1,1)*AF784^INDEX(FlowCalConstB,MATCH(AD770,FlowCalNumber,0),1,1)," ")</f>
        <v>#REF!</v>
      </c>
      <c r="AH784" s="33"/>
      <c r="AI784" s="242">
        <f t="shared" si="740"/>
        <v>0.9</v>
      </c>
      <c r="AJ784" s="241" t="e">
        <f t="shared" ca="1" si="741"/>
        <v>#REF!</v>
      </c>
      <c r="AK784" s="243" t="e">
        <f ca="1">IF(AND(INDEX(FlowCalConstA,MATCH(AH770,FlowCalNumber,0),1,1)*AJ784^INDEX(FlowCalConstB,MATCH(AH770,FlowCalNumber,0),1,1)&gt;INDEX(FlowCalLowSetting,MATCH(AH770,FlowCalNumber,0),1,1), (INDEX(FlowCalConstA,MATCH(AH770,FlowCalNumber,0),1,1)*AJ784^INDEX(FlowCalConstB,MATCH(AH770,FlowCalNumber,0),1,1)&lt;INDEX(FlowCalHighSetting,MATCH(AH770,FlowCalNumber,0),1,1))),INDEX(FlowCalConstA,MATCH(AH770,FlowCalNumber,0),1,1)*AJ784^INDEX(FlowCalConstB,MATCH(AH770,FlowCalNumber,0),1,1)," ")</f>
        <v>#REF!</v>
      </c>
      <c r="AL784" s="33"/>
      <c r="AM784" s="242"/>
      <c r="AN784" s="241"/>
      <c r="AO784" s="244"/>
      <c r="AQ784" s="242"/>
      <c r="AR784" s="241"/>
      <c r="AS784" s="244"/>
      <c r="AT784" s="33"/>
      <c r="AU784" s="242"/>
      <c r="AV784" s="241"/>
      <c r="AW784" s="244"/>
      <c r="AX784" s="33"/>
      <c r="AY784" s="242"/>
      <c r="AZ784" s="241"/>
      <c r="BA784" s="244"/>
      <c r="BB784" s="33"/>
      <c r="BC784" s="242"/>
      <c r="BD784" s="241"/>
      <c r="BE784" s="244"/>
      <c r="BF784" s="33"/>
      <c r="BG784" s="242"/>
      <c r="BH784" s="241"/>
      <c r="BI784" s="244"/>
      <c r="BJ784" s="33"/>
      <c r="BK784" s="242"/>
      <c r="BL784" s="241"/>
      <c r="BM784" s="244"/>
      <c r="BN784" s="33"/>
      <c r="BO784" s="242"/>
      <c r="BP784" s="241"/>
      <c r="BQ784" s="244"/>
      <c r="BR784" s="33"/>
      <c r="BS784" s="242"/>
      <c r="BT784" s="241"/>
      <c r="BU784" s="244"/>
      <c r="BV784" s="33"/>
      <c r="BW784" s="242"/>
      <c r="BX784" s="241"/>
      <c r="BY784" s="244"/>
      <c r="BZ784" s="33"/>
      <c r="CA784" s="242"/>
      <c r="CB784" s="241"/>
      <c r="CC784" s="244"/>
      <c r="CD784" s="243"/>
      <c r="CE784" s="243"/>
      <c r="CF784" s="243"/>
      <c r="CG784" s="243"/>
      <c r="CH784" s="243"/>
      <c r="CI784" s="243"/>
      <c r="CJ784" s="243"/>
      <c r="CK784" s="243"/>
      <c r="CL784" s="243"/>
      <c r="CM784" s="243"/>
      <c r="CN784" s="243"/>
      <c r="CO784" s="243"/>
      <c r="CP784" s="243"/>
      <c r="CQ784" s="243"/>
      <c r="CR784" s="243"/>
      <c r="CS784" s="243"/>
      <c r="CT784" s="243"/>
      <c r="CU784" s="243"/>
      <c r="CV784" s="243"/>
      <c r="CW784" s="243"/>
      <c r="CX784" s="243"/>
      <c r="CY784" s="243"/>
      <c r="CZ784" s="243"/>
      <c r="DA784" s="243"/>
      <c r="DB784" s="243"/>
      <c r="DC784" s="243"/>
      <c r="DD784" s="243"/>
      <c r="DE784" s="243"/>
      <c r="DF784" s="243"/>
      <c r="DG784" s="243"/>
      <c r="DH784" s="243"/>
      <c r="DI784" s="243"/>
      <c r="DJ784" s="243"/>
      <c r="DK784" s="243"/>
      <c r="DM784" s="242"/>
      <c r="DO784" s="243"/>
      <c r="DQ784" s="242"/>
      <c r="DS784" s="243"/>
      <c r="DU784" s="242"/>
      <c r="DW784" s="243"/>
      <c r="DY784" s="242"/>
      <c r="EA784" s="243"/>
    </row>
    <row r="785" spans="1:131">
      <c r="A785" s="20"/>
      <c r="B785" s="124" t="str">
        <f t="shared" si="726"/>
        <v/>
      </c>
      <c r="C785" s="235"/>
      <c r="D785" s="24">
        <f>'1% Wind'!$M$96</f>
        <v>1</v>
      </c>
      <c r="E785" s="90"/>
      <c r="F785" s="90"/>
      <c r="G785" s="79" t="e">
        <f ca="1">IF(I770=0.9743,$G784,MAX(G784/D784*D785,2))</f>
        <v>#REF!</v>
      </c>
      <c r="H785" s="121" t="e">
        <f t="shared" ca="1" si="727"/>
        <v>#REF!</v>
      </c>
      <c r="J785" s="33"/>
      <c r="K785" s="242">
        <f t="shared" si="728"/>
        <v>1</v>
      </c>
      <c r="L785" s="241" t="e">
        <f t="shared" ca="1" si="729"/>
        <v>#REF!</v>
      </c>
      <c r="M785" s="243" t="e">
        <f ca="1">IF(AND(INDEX(FlowCalConstA,MATCH(J770,FlowCalNumber,0),1,1)*L785^INDEX(FlowCalConstB,MATCH(J770,FlowCalNumber,0),1,1)&gt;INDEX(FlowCalLowSetting,MATCH(J770,FlowCalNumber,0),1,1), (INDEX(FlowCalConstA,MATCH(J770,FlowCalNumber,0),1,1)*L785^INDEX(FlowCalConstB,MATCH(J770,FlowCalNumber,0),1,1)&lt;INDEX(FlowCalHighSetting,MATCH(J770,FlowCalNumber,0),1,1))),INDEX(FlowCalConstA,MATCH(J770,FlowCalNumber,0),1,1)*L785^INDEX(FlowCalConstB,MATCH(J770,FlowCalNumber,0),1,1)," ")</f>
        <v>#REF!</v>
      </c>
      <c r="N785" s="33"/>
      <c r="O785" s="242">
        <f t="shared" si="730"/>
        <v>1</v>
      </c>
      <c r="P785" s="241" t="e">
        <f t="shared" ca="1" si="731"/>
        <v>#REF!</v>
      </c>
      <c r="Q785" s="243" t="e">
        <f ca="1">IF(AND(INDEX(FlowCalConstA,MATCH(N770,FlowCalNumber,0),1,1)*P785^INDEX(FlowCalConstB,MATCH(N770,FlowCalNumber,0),1,1)&gt;INDEX(FlowCalLowSetting,MATCH(N770,FlowCalNumber,0),1,1), (INDEX(FlowCalConstA,MATCH(N770,FlowCalNumber,0),1,1)*P785^INDEX(FlowCalConstB,MATCH(N770,FlowCalNumber,0),1,1)&lt;INDEX(FlowCalHighSetting,MATCH(N770,FlowCalNumber,0),1,1))),INDEX(FlowCalConstA,MATCH(N770,FlowCalNumber,0),1,1)*P785^INDEX(FlowCalConstB,MATCH(N770,FlowCalNumber,0),1,1)," ")</f>
        <v>#REF!</v>
      </c>
      <c r="R785" s="33"/>
      <c r="S785" s="242">
        <f t="shared" si="732"/>
        <v>1</v>
      </c>
      <c r="T785" s="241" t="e">
        <f t="shared" ca="1" si="733"/>
        <v>#REF!</v>
      </c>
      <c r="U785" s="244" t="e">
        <f ca="1">IF(AND(INDEX(FlowCalConstA,MATCH(R770,FlowCalNumber,0),1,1)*T785^INDEX(FlowCalConstB,MATCH(R770,FlowCalNumber,0),1,1)&gt;INDEX(FlowCalLowSetting,MATCH(R770,FlowCalNumber,0),1,1), (INDEX(FlowCalConstA,MATCH(R770,FlowCalNumber,0),1,1)*T785^INDEX(FlowCalConstB,MATCH(R770,FlowCalNumber,0),1,1)&lt;INDEX(FlowCalHighSetting,MATCH(R770,FlowCalNumber,0),1,1))),INDEX(FlowCalConstA,MATCH(R770,FlowCalNumber,0),1,1)*T785^INDEX(FlowCalConstB,MATCH(R770,FlowCalNumber,0),1,1)," ")</f>
        <v>#REF!</v>
      </c>
      <c r="V785" s="33"/>
      <c r="W785" s="242">
        <f t="shared" si="734"/>
        <v>0.1</v>
      </c>
      <c r="X785" s="241" t="e">
        <f t="shared" ca="1" si="735"/>
        <v>#REF!</v>
      </c>
      <c r="Y785" s="243" t="e">
        <f ca="1">IF(AND(INDEX(FlowCalConstA,MATCH(V770,FlowCalNumber,0),1,1)*X785^INDEX(FlowCalConstB,MATCH(V770,FlowCalNumber,0),1,1)&gt;INDEX(FlowCalLowSetting,MATCH(V770,FlowCalNumber,0),1,1), (INDEX(FlowCalConstA,MATCH(V770,FlowCalNumber,0),1,1)*X785^INDEX(FlowCalConstB,MATCH(V770,FlowCalNumber,0),1,1)&lt;INDEX(FlowCalHighSetting,MATCH(V770,FlowCalNumber,0),1,1))),INDEX(FlowCalConstA,MATCH(V770,FlowCalNumber,0),1,1)*X785^INDEX(FlowCalConstB,MATCH(V770,FlowCalNumber,0),1,1)," ")</f>
        <v>#REF!</v>
      </c>
      <c r="Z785" s="33"/>
      <c r="AA785" s="242">
        <f t="shared" si="736"/>
        <v>0.9</v>
      </c>
      <c r="AB785" s="241" t="e">
        <f t="shared" ca="1" si="737"/>
        <v>#REF!</v>
      </c>
      <c r="AC785" s="243" t="e">
        <f ca="1">IF(AND(INDEX(FlowCalConstA,MATCH(Z770,FlowCalNumber,0),1,1)*AB785^INDEX(FlowCalConstB,MATCH(Z770,FlowCalNumber,0),1,1)&gt;INDEX(FlowCalLowSetting,MATCH(Z770,FlowCalNumber,0),1,1), (INDEX(FlowCalConstA,MATCH(Z770,FlowCalNumber,0),1,1)*AB785^INDEX(FlowCalConstB,MATCH(Z770,FlowCalNumber,0),1,1)&lt;INDEX(FlowCalHighSetting,MATCH(Z770,FlowCalNumber,0),1,1))),INDEX(FlowCalConstA,MATCH(Z770,FlowCalNumber,0),1,1)*AB785^INDEX(FlowCalConstB,MATCH(Z770,FlowCalNumber,0),1,1)," ")</f>
        <v>#REF!</v>
      </c>
      <c r="AD785" s="33"/>
      <c r="AE785" s="242">
        <f t="shared" si="738"/>
        <v>0.1</v>
      </c>
      <c r="AF785" s="241" t="e">
        <f t="shared" ca="1" si="739"/>
        <v>#REF!</v>
      </c>
      <c r="AG785" s="243" t="e">
        <f ca="1">IF(AND(INDEX(FlowCalConstA,MATCH(AD770,FlowCalNumber,0),1,1)*AF785^INDEX(FlowCalConstB,MATCH(AD770,FlowCalNumber,0),1,1)&gt;INDEX(FlowCalLowSetting,MATCH(AD770,FlowCalNumber,0),1,1), (INDEX(FlowCalConstA,MATCH(AD770,FlowCalNumber,0),1,1)*AF785^INDEX(FlowCalConstB,MATCH(AD770,FlowCalNumber,0),1,1)&lt;INDEX(FlowCalHighSetting,MATCH(AD770,FlowCalNumber,0),1,1))),INDEX(FlowCalConstA,MATCH(AD770,FlowCalNumber,0),1,1)*AF785^INDEX(FlowCalConstB,MATCH(AD770,FlowCalNumber,0),1,1)," ")</f>
        <v>#REF!</v>
      </c>
      <c r="AH785" s="33"/>
      <c r="AI785" s="242">
        <f t="shared" si="740"/>
        <v>0.9</v>
      </c>
      <c r="AJ785" s="241" t="e">
        <f t="shared" ca="1" si="741"/>
        <v>#REF!</v>
      </c>
      <c r="AK785" s="243" t="e">
        <f ca="1">IF(AND(INDEX(FlowCalConstA,MATCH(AH770,FlowCalNumber,0),1,1)*AJ785^INDEX(FlowCalConstB,MATCH(AH770,FlowCalNumber,0),1,1)&gt;INDEX(FlowCalLowSetting,MATCH(AH770,FlowCalNumber,0),1,1), (INDEX(FlowCalConstA,MATCH(AH770,FlowCalNumber,0),1,1)*AJ785^INDEX(FlowCalConstB,MATCH(AH770,FlowCalNumber,0),1,1)&lt;INDEX(FlowCalHighSetting,MATCH(AH770,FlowCalNumber,0),1,1))),INDEX(FlowCalConstA,MATCH(AH770,FlowCalNumber,0),1,1)*AJ785^INDEX(FlowCalConstB,MATCH(AH770,FlowCalNumber,0),1,1)," ")</f>
        <v>#REF!</v>
      </c>
      <c r="AL785" s="33"/>
      <c r="AM785" s="242"/>
      <c r="AN785" s="241"/>
      <c r="AO785" s="244"/>
      <c r="AQ785" s="242"/>
      <c r="AR785" s="241"/>
      <c r="AS785" s="244"/>
      <c r="AT785" s="33"/>
      <c r="AU785" s="242"/>
      <c r="AV785" s="241"/>
      <c r="AW785" s="244"/>
      <c r="AX785" s="33"/>
      <c r="AY785" s="242"/>
      <c r="AZ785" s="241"/>
      <c r="BA785" s="244"/>
      <c r="BB785" s="33"/>
      <c r="BC785" s="242"/>
      <c r="BD785" s="241"/>
      <c r="BE785" s="244"/>
      <c r="BF785" s="33"/>
      <c r="BG785" s="242"/>
      <c r="BH785" s="241"/>
      <c r="BI785" s="244"/>
      <c r="BJ785" s="33"/>
      <c r="BK785" s="242"/>
      <c r="BL785" s="241"/>
      <c r="BM785" s="244"/>
      <c r="BN785" s="33"/>
      <c r="BO785" s="242"/>
      <c r="BP785" s="241"/>
      <c r="BQ785" s="244"/>
      <c r="BR785" s="33"/>
      <c r="BS785" s="242"/>
      <c r="BT785" s="241"/>
      <c r="BU785" s="244"/>
      <c r="BV785" s="33"/>
      <c r="BW785" s="242"/>
      <c r="BX785" s="241"/>
      <c r="BY785" s="244"/>
      <c r="BZ785" s="33"/>
      <c r="CA785" s="242"/>
      <c r="CB785" s="241"/>
      <c r="CC785" s="244"/>
      <c r="CD785" s="243"/>
      <c r="CE785" s="243"/>
      <c r="CF785" s="243"/>
      <c r="CG785" s="243"/>
      <c r="CH785" s="243"/>
      <c r="CI785" s="243"/>
      <c r="CJ785" s="243"/>
      <c r="CK785" s="243"/>
      <c r="CL785" s="243"/>
      <c r="CM785" s="243"/>
      <c r="CN785" s="243"/>
      <c r="CO785" s="243"/>
      <c r="CP785" s="243"/>
      <c r="CQ785" s="243"/>
      <c r="CR785" s="243"/>
      <c r="CS785" s="243"/>
      <c r="CT785" s="243"/>
      <c r="CU785" s="243"/>
      <c r="CV785" s="243"/>
      <c r="CW785" s="243"/>
      <c r="CX785" s="243"/>
      <c r="CY785" s="243"/>
      <c r="CZ785" s="243"/>
      <c r="DA785" s="243"/>
      <c r="DB785" s="243"/>
      <c r="DC785" s="243"/>
      <c r="DD785" s="243"/>
      <c r="DE785" s="243"/>
      <c r="DF785" s="243"/>
      <c r="DG785" s="243"/>
      <c r="DH785" s="243"/>
      <c r="DI785" s="243"/>
      <c r="DJ785" s="243"/>
      <c r="DK785" s="243"/>
      <c r="DM785" s="242"/>
      <c r="DO785" s="243"/>
      <c r="DQ785" s="242"/>
      <c r="DS785" s="243"/>
      <c r="DU785" s="242"/>
      <c r="DW785" s="243"/>
      <c r="DY785" s="242"/>
      <c r="EA785" s="243"/>
    </row>
    <row r="786" spans="1:131">
      <c r="A786" s="33"/>
      <c r="B786" s="33"/>
      <c r="C786" s="235"/>
      <c r="E786" s="90"/>
      <c r="F786" s="90"/>
      <c r="G786" s="33"/>
      <c r="J786" s="33"/>
      <c r="N786" s="33"/>
      <c r="Q786" s="243"/>
      <c r="R786" s="33"/>
      <c r="U786" s="244"/>
      <c r="V786" s="33"/>
      <c r="Y786" s="243"/>
      <c r="Z786" s="33"/>
      <c r="AC786" s="243"/>
      <c r="AD786" s="33"/>
      <c r="AG786" s="243"/>
      <c r="AH786" s="33"/>
      <c r="AK786" s="244"/>
      <c r="AL786" s="792"/>
      <c r="AM786" s="243"/>
      <c r="AN786" s="243"/>
      <c r="AO786" s="244"/>
      <c r="AP786" s="243"/>
      <c r="AQ786" s="243"/>
      <c r="AR786" s="243"/>
      <c r="AS786" s="244"/>
      <c r="AT786" s="243"/>
      <c r="AU786" s="243"/>
      <c r="AV786" s="243"/>
      <c r="AW786" s="244"/>
      <c r="AX786" s="243"/>
      <c r="AY786" s="243"/>
      <c r="AZ786" s="243"/>
      <c r="BA786" s="244"/>
      <c r="BB786" s="33"/>
      <c r="BE786" s="244"/>
      <c r="BF786" s="33"/>
      <c r="BI786" s="244"/>
      <c r="BJ786" s="33"/>
      <c r="BM786" s="244"/>
      <c r="BN786" s="243"/>
      <c r="BO786" s="243"/>
      <c r="BP786" s="243"/>
      <c r="BQ786" s="244"/>
      <c r="BR786" s="792"/>
      <c r="BS786" s="243"/>
      <c r="BT786" s="243"/>
      <c r="BU786" s="244"/>
      <c r="BV786" s="792"/>
      <c r="BW786" s="243"/>
      <c r="BX786" s="243"/>
      <c r="BY786" s="244"/>
      <c r="BZ786" s="792"/>
      <c r="CA786" s="243"/>
      <c r="CB786" s="243"/>
      <c r="CC786" s="244"/>
      <c r="CD786" s="243"/>
      <c r="CE786" s="243"/>
      <c r="CF786" s="243"/>
      <c r="CG786" s="243"/>
      <c r="CH786" s="243"/>
      <c r="CI786" s="243"/>
      <c r="CJ786" s="243"/>
      <c r="CK786" s="243"/>
      <c r="CL786" s="243"/>
      <c r="CM786" s="243"/>
      <c r="CN786" s="243"/>
      <c r="CO786" s="243"/>
      <c r="CP786" s="243"/>
      <c r="CQ786" s="243"/>
      <c r="CR786" s="243"/>
      <c r="CS786" s="243"/>
      <c r="CT786" s="243"/>
      <c r="CU786" s="243"/>
      <c r="CV786" s="243"/>
      <c r="CW786" s="243"/>
      <c r="CX786" s="243"/>
      <c r="CY786" s="243"/>
      <c r="CZ786" s="243"/>
      <c r="DA786" s="243"/>
      <c r="DB786" s="243"/>
      <c r="DC786" s="243"/>
      <c r="DD786" s="243"/>
      <c r="DE786" s="243"/>
      <c r="DF786" s="243"/>
      <c r="DG786" s="243"/>
      <c r="DH786" s="243"/>
      <c r="DI786" s="243"/>
      <c r="DJ786" s="243"/>
      <c r="DK786" s="243"/>
      <c r="DO786" s="243"/>
      <c r="DS786" s="243"/>
      <c r="DW786" s="243"/>
      <c r="EA786" s="243"/>
    </row>
    <row r="787" spans="1:131">
      <c r="A787" s="256" t="str">
        <f>IF((RIGHT(A770,1))&lt;&gt;"Z",CHAR(CODE(A770))&amp;CHAR(CODE(RIGHT(A770,1))+1),CHAR(CODE(A770)+1)&amp;"A")</f>
        <v>BT</v>
      </c>
      <c r="B787" s="270" t="e">
        <f>INDEX(SourceID,MATCH($A787,SourceNumber,0),1,1)</f>
        <v>#N/A</v>
      </c>
      <c r="C787" s="354" t="e">
        <f>INDEX(SourceExitDiameter,MATCH($A787,SourceNumber,0),1,1)*3.28*12</f>
        <v>#N/A</v>
      </c>
      <c r="D787" s="24" t="str">
        <f>UAnem1percent</f>
        <v>1% Wind</v>
      </c>
      <c r="E787" s="350" t="e">
        <f ca="1">INDIRECT(ADDRESS(53,6,1,,CONCATENATE("TA",$A787)))</f>
        <v>#REF!</v>
      </c>
      <c r="F787" s="625" t="e">
        <f ca="1">(ROUND((INDIRECT(ADDRESS(15,7,1,,CONCATENATE("TA",$A787)))*3.28*12*32),0)&amp;"/32")</f>
        <v>#REF!</v>
      </c>
      <c r="G787" s="125" t="e">
        <f ca="1">INDIRECT(ADDRESS(29,7,1,,$A787))</f>
        <v>#REF!</v>
      </c>
      <c r="H787" s="24" t="e">
        <f ca="1">INDIRECT(ADDRESS(19,7,1,,$A787))*100^3</f>
        <v>#REF!</v>
      </c>
      <c r="I787" s="941" t="e">
        <f ca="1">INDIRECT(ADDRESS(53,7,1,,$A787))</f>
        <v>#REF!</v>
      </c>
      <c r="J787" s="20" t="e">
        <f ca="1">IF($I787=$I$6,K$16&amp;$G$6&amp;J$6,IF($I787=$I$7,K$16&amp;$G$7&amp;J$7,"Bad"))</f>
        <v>#REF!</v>
      </c>
      <c r="K787" t="e">
        <f ca="1">INDEX(FlowCalGasMixture,MATCH(J787,FlowCalNumber,0),1,1)</f>
        <v>#REF!</v>
      </c>
      <c r="M787" s="944" t="e">
        <f ca="1">INDEX(FlowCalDevice,MATCH(J787,FlowCalNumber,0),1,1)</f>
        <v>#REF!</v>
      </c>
      <c r="N787" s="943" t="e">
        <f ca="1">IF($I787=$I$6,O$16&amp;$G$6&amp;"90"&amp;$H$6&amp;N$6,IF($I787=$I$7,O$16&amp;$G$7&amp;"90"&amp;$H$7&amp;N$7,"Bad"))</f>
        <v>#REF!</v>
      </c>
      <c r="O787" t="e">
        <f ca="1">INDEX(FlowCalGasMixture,MATCH(N787,FlowCalNumber,0),1,1)</f>
        <v>#REF!</v>
      </c>
      <c r="Q787" s="944" t="e">
        <f ca="1">INDEX(FlowCalDevice,MATCH(N787,FlowCalNumber,0),1,1)</f>
        <v>#REF!</v>
      </c>
      <c r="R787" s="943" t="e">
        <f ca="1">IF($I787=$I$6,S$16&amp;$G$6&amp;"90"&amp;$H$6&amp;R$6,IF($I787=$I$7,S$16&amp;$G$7&amp;"90"&amp;$H$7&amp;R$7,"Bad"))</f>
        <v>#REF!</v>
      </c>
      <c r="S787" t="e">
        <f ca="1">INDEX(FlowCalGasMixture,MATCH(R787,FlowCalNumber,0),1,1)</f>
        <v>#REF!</v>
      </c>
      <c r="U787" s="944" t="e">
        <f ca="1">INDEX(FlowCalDevice,MATCH(R787,FlowCalNumber,0),1,1)</f>
        <v>#REF!</v>
      </c>
      <c r="V787" s="20" t="e">
        <f ca="1">IF($I787=$I$6,W$16&amp;$G$6&amp;V$6,IF($I787=$I$7,W$16&amp;$G$7&amp;V$7,"Bad"))</f>
        <v>#REF!</v>
      </c>
      <c r="W787" t="e">
        <f ca="1">INDEX(FlowCalGasMixture,MATCH(V787,FlowCalNumber,0),1,1)</f>
        <v>#REF!</v>
      </c>
      <c r="Y787" s="944" t="e">
        <f ca="1">INDEX(FlowCalDevice,MATCH(V787,FlowCalNumber,0),1,1)</f>
        <v>#REF!</v>
      </c>
      <c r="Z787" s="946" t="e">
        <f ca="1">IF($I787=$I$6,AA$18&amp;$H$6&amp;Z$6,IF($I787=$I$7,AA$18&amp;$H$7&amp;Z$7,"Bad"))</f>
        <v>#REF!</v>
      </c>
      <c r="AA787" t="e">
        <f ca="1">INDEX(FlowCalGasMixture,MATCH(Z787,FlowCalNumber,0),1,1)</f>
        <v>#REF!</v>
      </c>
      <c r="AC787" s="944" t="e">
        <f ca="1">INDEX(FlowCalDevice,MATCH(Z787,FlowCalNumber,0),1,1)</f>
        <v>#REF!</v>
      </c>
      <c r="AD787" s="20" t="e">
        <f ca="1">IF($I787=$I$6,AE$16&amp;$G$6&amp;AD$6,IF($I787=$I$7,AE$16&amp;$G$7&amp;AD$7,"Bad"))</f>
        <v>#REF!</v>
      </c>
      <c r="AE787" t="e">
        <f ca="1">INDEX(FlowCalGasMixture,MATCH(AD787,FlowCalNumber,0),1,1)</f>
        <v>#REF!</v>
      </c>
      <c r="AG787" s="944" t="e">
        <f ca="1">INDEX(FlowCalDevice,MATCH(AD787,FlowCalNumber,0),1,1)</f>
        <v>#REF!</v>
      </c>
      <c r="AH787" s="946" t="e">
        <f ca="1">IF($I787=$I$6,AI$18&amp;$H$6&amp;AH$6,IF($I787=$I$7,AI$18&amp;$H$7&amp;AH$7,"Bad"))</f>
        <v>#REF!</v>
      </c>
      <c r="AI787" t="e">
        <f ca="1">INDEX(FlowCalGasMixture,MATCH(AH787,FlowCalNumber,0),1,1)</f>
        <v>#REF!</v>
      </c>
      <c r="AK787" s="944" t="e">
        <f ca="1">INDEX(FlowCalDevice,MATCH(AH787,FlowCalNumber,0),1,1)</f>
        <v>#REF!</v>
      </c>
      <c r="AL787" s="20"/>
      <c r="AO787" s="982"/>
      <c r="AP787" s="960"/>
      <c r="AS787" s="982"/>
      <c r="AT787" s="20"/>
      <c r="AW787" s="982"/>
      <c r="AX787" s="946"/>
      <c r="BA787" s="982"/>
      <c r="BB787" s="20"/>
      <c r="BC787" s="16"/>
      <c r="BE787" s="982"/>
      <c r="BF787" s="946"/>
      <c r="BG787" s="16"/>
      <c r="BI787" s="982"/>
      <c r="BJ787" s="946"/>
      <c r="BK787" s="16"/>
      <c r="BM787" s="982"/>
      <c r="BN787" s="20"/>
      <c r="BO787" s="16"/>
      <c r="BQ787" s="982"/>
      <c r="BR787" s="946"/>
      <c r="BS787" s="16"/>
      <c r="BU787" s="982"/>
      <c r="BV787" s="946"/>
      <c r="BW787" s="16"/>
      <c r="BY787" s="982"/>
      <c r="BZ787" s="946"/>
      <c r="CA787" s="16"/>
      <c r="CC787" s="982"/>
      <c r="CD787" s="355"/>
      <c r="CE787" s="355"/>
      <c r="CF787" s="355"/>
      <c r="CG787" s="355"/>
      <c r="CH787" s="355"/>
      <c r="CI787" s="355"/>
      <c r="CJ787" s="355"/>
      <c r="CK787" s="355"/>
      <c r="CL787" s="355"/>
      <c r="CM787" s="355"/>
      <c r="CN787" s="355"/>
      <c r="CO787" s="355"/>
      <c r="CP787" s="355"/>
      <c r="CQ787" s="355"/>
      <c r="CR787" s="355"/>
      <c r="CS787" s="355"/>
      <c r="CT787" s="355"/>
      <c r="CU787" s="355"/>
      <c r="CV787" s="355"/>
      <c r="CW787" s="355"/>
      <c r="CX787" s="355"/>
      <c r="CY787" s="355"/>
      <c r="CZ787" s="355"/>
      <c r="DA787" s="355"/>
      <c r="DB787" s="355"/>
      <c r="DC787" s="355"/>
      <c r="DD787" s="355"/>
      <c r="DE787" s="355"/>
      <c r="DF787" s="355"/>
      <c r="DG787" s="355"/>
      <c r="DH787" s="355"/>
      <c r="DI787" s="355"/>
      <c r="DJ787" s="355"/>
      <c r="DK787" s="355"/>
      <c r="DL787" s="46"/>
      <c r="DM787" s="16"/>
      <c r="DO787" s="355"/>
      <c r="DP787" s="42"/>
      <c r="DQ787" s="16"/>
      <c r="DS787" s="355"/>
      <c r="DT787" s="42"/>
      <c r="DU787" s="16"/>
      <c r="DW787" s="355"/>
      <c r="DX787" s="42"/>
      <c r="DY787" s="16"/>
      <c r="EA787" s="355"/>
    </row>
    <row r="788" spans="1:131">
      <c r="A788" s="20"/>
      <c r="B788" s="124" t="str">
        <f t="shared" ref="B788:B802" si="742">IF(D788=UAnem1percent,"1% Wind","")</f>
        <v/>
      </c>
      <c r="C788" s="235"/>
      <c r="D788" s="24">
        <f>'1% Wind'!$M$82</f>
        <v>27</v>
      </c>
      <c r="E788" s="90"/>
      <c r="F788" s="90"/>
      <c r="G788" s="79" t="e">
        <f ca="1">IF(I787=0.9743,$G787,MAX(G787/D787*D788,2))</f>
        <v>#REF!</v>
      </c>
      <c r="H788" s="121" t="e">
        <f t="shared" ref="H788:H802" ca="1" si="743">H787*(D787/D788)*(G788/G787)</f>
        <v>#REF!</v>
      </c>
      <c r="J788" s="33"/>
      <c r="K788" s="260">
        <f>K$17/100</f>
        <v>1</v>
      </c>
      <c r="L788" s="241" t="e">
        <f ca="1">K788*$H788</f>
        <v>#REF!</v>
      </c>
      <c r="M788" s="243" t="e">
        <f ca="1">IF(AND(INDEX(FlowCalConstA,MATCH(J787,FlowCalNumber,0),1,1)*L788^INDEX(FlowCalConstB,MATCH(J787,FlowCalNumber,0),1,1)&gt;INDEX(FlowCalLowSetting,MATCH(J787,FlowCalNumber,0),1,1), (INDEX(FlowCalConstA,MATCH(J787,FlowCalNumber,0),1,1)*L788^INDEX(FlowCalConstB,MATCH(J787,FlowCalNumber,0),1,1)&lt;INDEX(FlowCalHighSetting,MATCH(J787,FlowCalNumber,0),1,1))),INDEX(FlowCalConstA,MATCH(J787,FlowCalNumber,0),1,1)*L788^INDEX(FlowCalConstB,MATCH(J787,FlowCalNumber,0),1,1)," ")</f>
        <v>#REF!</v>
      </c>
      <c r="N788" s="33"/>
      <c r="O788" s="260">
        <f>O$17/100</f>
        <v>1</v>
      </c>
      <c r="P788" s="241" t="e">
        <f ca="1">O788*$H788</f>
        <v>#REF!</v>
      </c>
      <c r="Q788" s="243" t="e">
        <f ca="1">IF(AND(INDEX(FlowCalConstA,MATCH(N787,FlowCalNumber,0),1,1)*P788^INDEX(FlowCalConstB,MATCH(N787,FlowCalNumber,0),1,1)&gt;INDEX(FlowCalLowSetting,MATCH(N787,FlowCalNumber,0),1,1), (INDEX(FlowCalConstA,MATCH(N787,FlowCalNumber,0),1,1)*P788^INDEX(FlowCalConstB,MATCH(N787,FlowCalNumber,0),1,1)&lt;INDEX(FlowCalHighSetting,MATCH(N787,FlowCalNumber,0),1,1))),INDEX(FlowCalConstA,MATCH(N787,FlowCalNumber,0),1,1)*P788^INDEX(FlowCalConstB,MATCH(N787,FlowCalNumber,0),1,1)," ")</f>
        <v>#REF!</v>
      </c>
      <c r="R788" s="33"/>
      <c r="S788" s="260">
        <f>S$17/100</f>
        <v>1</v>
      </c>
      <c r="T788" s="241" t="e">
        <f ca="1">S788*$H788</f>
        <v>#REF!</v>
      </c>
      <c r="U788" s="244" t="e">
        <f ca="1">IF(AND(INDEX(FlowCalConstA,MATCH(R787,FlowCalNumber,0),1,1)*T788^INDEX(FlowCalConstB,MATCH(R787,FlowCalNumber,0),1,1)&gt;INDEX(FlowCalLowSetting,MATCH(R787,FlowCalNumber,0),1,1), (INDEX(FlowCalConstA,MATCH(R787,FlowCalNumber,0),1,1)*T788^INDEX(FlowCalConstB,MATCH(R787,FlowCalNumber,0),1,1)&lt;INDEX(FlowCalHighSetting,MATCH(R787,FlowCalNumber,0),1,1))),INDEX(FlowCalConstA,MATCH(R787,FlowCalNumber,0),1,1)*T788^INDEX(FlowCalConstB,MATCH(R787,FlowCalNumber,0),1,1)," ")</f>
        <v>#REF!</v>
      </c>
      <c r="V788" s="33"/>
      <c r="W788" s="260">
        <f>W$17/100</f>
        <v>0.1</v>
      </c>
      <c r="X788" s="241" t="e">
        <f ca="1">W788*$H788</f>
        <v>#REF!</v>
      </c>
      <c r="Y788" s="243" t="e">
        <f ca="1">IF(AND(INDEX(FlowCalConstA,MATCH(V787,FlowCalNumber,0),1,1)*X788^INDEX(FlowCalConstB,MATCH(V787,FlowCalNumber,0),1,1)&gt;INDEX(FlowCalLowSetting,MATCH(V787,FlowCalNumber,0),1,1), (INDEX(FlowCalConstA,MATCH(V787,FlowCalNumber,0),1,1)*X788^INDEX(FlowCalConstB,MATCH(V787,FlowCalNumber,0),1,1)&lt;INDEX(FlowCalHighSetting,MATCH(V787,FlowCalNumber,0),1,1))),INDEX(FlowCalConstA,MATCH(V787,FlowCalNumber,0),1,1)*X788^INDEX(FlowCalConstB,MATCH(V787,FlowCalNumber,0),1,1)," ")</f>
        <v>#REF!</v>
      </c>
      <c r="Z788" s="33"/>
      <c r="AA788" s="260">
        <f>AA$17/100</f>
        <v>0.9</v>
      </c>
      <c r="AB788" s="241" t="e">
        <f ca="1">AA788*$H788</f>
        <v>#REF!</v>
      </c>
      <c r="AC788" s="243" t="e">
        <f ca="1">IF(AND(INDEX(FlowCalConstA,MATCH(Z787,FlowCalNumber,0),1,1)*AB788^INDEX(FlowCalConstB,MATCH(Z787,FlowCalNumber,0),1,1)&gt;INDEX(FlowCalLowSetting,MATCH(Z787,FlowCalNumber,0),1,1), (INDEX(FlowCalConstA,MATCH(Z787,FlowCalNumber,0),1,1)*AB788^INDEX(FlowCalConstB,MATCH(Z787,FlowCalNumber,0),1,1)&lt;INDEX(FlowCalHighSetting,MATCH(Z787,FlowCalNumber,0),1,1))),INDEX(FlowCalConstA,MATCH(Z787,FlowCalNumber,0),1,1)*AB788^INDEX(FlowCalConstB,MATCH(Z787,FlowCalNumber,0),1,1)," ")</f>
        <v>#REF!</v>
      </c>
      <c r="AD788" s="33"/>
      <c r="AE788" s="260">
        <f>AE$17/100</f>
        <v>0.1</v>
      </c>
      <c r="AF788" s="241" t="e">
        <f ca="1">AE788*$H788</f>
        <v>#REF!</v>
      </c>
      <c r="AG788" s="243" t="e">
        <f ca="1">IF(AND(INDEX(FlowCalConstA,MATCH(AD787,FlowCalNumber,0),1,1)*AF788^INDEX(FlowCalConstB,MATCH(AD787,FlowCalNumber,0),1,1)&gt;INDEX(FlowCalLowSetting,MATCH(AD787,FlowCalNumber,0),1,1), (INDEX(FlowCalConstA,MATCH(AD787,FlowCalNumber,0),1,1)*AF788^INDEX(FlowCalConstB,MATCH(AD787,FlowCalNumber,0),1,1)&lt;INDEX(FlowCalHighSetting,MATCH(AD787,FlowCalNumber,0),1,1))),INDEX(FlowCalConstA,MATCH(AD787,FlowCalNumber,0),1,1)*AF788^INDEX(FlowCalConstB,MATCH(AD787,FlowCalNumber,0),1,1)," ")</f>
        <v>#REF!</v>
      </c>
      <c r="AH788" s="33"/>
      <c r="AI788" s="260">
        <f>AI$17/100</f>
        <v>0.9</v>
      </c>
      <c r="AJ788" s="241" t="e">
        <f ca="1">AI788*$H788</f>
        <v>#REF!</v>
      </c>
      <c r="AK788" s="243" t="e">
        <f ca="1">IF(AND(INDEX(FlowCalConstA,MATCH(AH787,FlowCalNumber,0),1,1)*AJ788^INDEX(FlowCalConstB,MATCH(AH787,FlowCalNumber,0),1,1)&gt;INDEX(FlowCalLowSetting,MATCH(AH787,FlowCalNumber,0),1,1), (INDEX(FlowCalConstA,MATCH(AH787,FlowCalNumber,0),1,1)*AJ788^INDEX(FlowCalConstB,MATCH(AH787,FlowCalNumber,0),1,1)&lt;INDEX(FlowCalHighSetting,MATCH(AH787,FlowCalNumber,0),1,1))),INDEX(FlowCalConstA,MATCH(AH787,FlowCalNumber,0),1,1)*AJ788^INDEX(FlowCalConstB,MATCH(AH787,FlowCalNumber,0),1,1)," ")</f>
        <v>#REF!</v>
      </c>
      <c r="AL788" s="33"/>
      <c r="AM788" s="260"/>
      <c r="AN788" s="241"/>
      <c r="AO788" s="244"/>
      <c r="AQ788" s="260"/>
      <c r="AR788" s="241"/>
      <c r="AS788" s="244"/>
      <c r="AT788" s="33"/>
      <c r="AU788" s="260"/>
      <c r="AV788" s="241"/>
      <c r="AW788" s="244"/>
      <c r="AX788" s="33"/>
      <c r="AY788" s="260"/>
      <c r="AZ788" s="241"/>
      <c r="BA788" s="244"/>
      <c r="BB788" s="33"/>
      <c r="BC788" s="260"/>
      <c r="BD788" s="241"/>
      <c r="BE788" s="244"/>
      <c r="BF788" s="33"/>
      <c r="BG788" s="260"/>
      <c r="BH788" s="241"/>
      <c r="BI788" s="244"/>
      <c r="BJ788" s="33"/>
      <c r="BK788" s="260"/>
      <c r="BL788" s="241"/>
      <c r="BM788" s="244"/>
      <c r="BN788" s="33"/>
      <c r="BO788" s="260"/>
      <c r="BP788" s="241"/>
      <c r="BQ788" s="244"/>
      <c r="BR788" s="33"/>
      <c r="BS788" s="260"/>
      <c r="BT788" s="241"/>
      <c r="BU788" s="244"/>
      <c r="BV788" s="33"/>
      <c r="BW788" s="260"/>
      <c r="BX788" s="241"/>
      <c r="BY788" s="244"/>
      <c r="BZ788" s="33"/>
      <c r="CA788" s="260"/>
      <c r="CB788" s="241"/>
      <c r="CC788" s="244"/>
      <c r="CD788" s="243"/>
      <c r="CE788" s="243"/>
      <c r="CF788" s="243"/>
      <c r="CG788" s="243"/>
      <c r="CH788" s="243"/>
      <c r="CI788" s="243"/>
      <c r="CJ788" s="243"/>
      <c r="CK788" s="243"/>
      <c r="CL788" s="243"/>
      <c r="CM788" s="243"/>
      <c r="CN788" s="243"/>
      <c r="CO788" s="243"/>
      <c r="CP788" s="243"/>
      <c r="CQ788" s="243"/>
      <c r="CR788" s="243"/>
      <c r="CS788" s="243"/>
      <c r="CT788" s="243"/>
      <c r="CU788" s="243"/>
      <c r="CV788" s="243"/>
      <c r="CW788" s="243"/>
      <c r="CX788" s="243"/>
      <c r="CY788" s="243"/>
      <c r="CZ788" s="243"/>
      <c r="DA788" s="243"/>
      <c r="DB788" s="243"/>
      <c r="DC788" s="243"/>
      <c r="DD788" s="243"/>
      <c r="DE788" s="243"/>
      <c r="DF788" s="243"/>
      <c r="DG788" s="243"/>
      <c r="DH788" s="243"/>
      <c r="DI788" s="243"/>
      <c r="DJ788" s="243"/>
      <c r="DK788" s="243"/>
      <c r="DM788" s="259"/>
      <c r="DO788" s="243"/>
      <c r="DQ788" s="259"/>
      <c r="DS788" s="243"/>
      <c r="DU788" s="259"/>
      <c r="DW788" s="243"/>
      <c r="DY788" s="260"/>
      <c r="EA788" s="243"/>
    </row>
    <row r="789" spans="1:131">
      <c r="A789" s="20"/>
      <c r="B789" s="124" t="str">
        <f t="shared" si="742"/>
        <v/>
      </c>
      <c r="C789" s="235"/>
      <c r="D789" s="24">
        <f>'1% Wind'!$M$83</f>
        <v>23.5</v>
      </c>
      <c r="E789" s="90"/>
      <c r="F789" s="90"/>
      <c r="G789" s="79" t="e">
        <f ca="1">IF(I787=0.9743,$G788,MAX(G788/D788*D789,2))</f>
        <v>#REF!</v>
      </c>
      <c r="H789" s="121" t="e">
        <f t="shared" ca="1" si="743"/>
        <v>#REF!</v>
      </c>
      <c r="J789" s="33"/>
      <c r="K789" s="242">
        <f t="shared" ref="K789:K802" si="744">K788</f>
        <v>1</v>
      </c>
      <c r="L789" s="241" t="e">
        <f t="shared" ref="L789:L802" ca="1" si="745">K789*$H789</f>
        <v>#REF!</v>
      </c>
      <c r="M789" s="243" t="e">
        <f ca="1">IF(AND(INDEX(FlowCalConstA,MATCH(J787,FlowCalNumber,0),1,1)*L789^INDEX(FlowCalConstB,MATCH(J787,FlowCalNumber,0),1,1)&gt;INDEX(FlowCalLowSetting,MATCH(J787,FlowCalNumber,0),1,1), (INDEX(FlowCalConstA,MATCH(J787,FlowCalNumber,0),1,1)*L789^INDEX(FlowCalConstB,MATCH(J787,FlowCalNumber,0),1,1)&lt;INDEX(FlowCalHighSetting,MATCH(J787,FlowCalNumber,0),1,1))),INDEX(FlowCalConstA,MATCH(J787,FlowCalNumber,0),1,1)*L789^INDEX(FlowCalConstB,MATCH(J787,FlowCalNumber,0),1,1)," ")</f>
        <v>#REF!</v>
      </c>
      <c r="N789" s="33"/>
      <c r="O789" s="242">
        <f t="shared" ref="O789:O802" si="746">O788</f>
        <v>1</v>
      </c>
      <c r="P789" s="241" t="e">
        <f t="shared" ref="P789:P802" ca="1" si="747">O789*$H789</f>
        <v>#REF!</v>
      </c>
      <c r="Q789" s="243" t="e">
        <f ca="1">IF(AND(INDEX(FlowCalConstA,MATCH(N787,FlowCalNumber,0),1,1)*P789^INDEX(FlowCalConstB,MATCH(N787,FlowCalNumber,0),1,1)&gt;INDEX(FlowCalLowSetting,MATCH(N787,FlowCalNumber,0),1,1), (INDEX(FlowCalConstA,MATCH(N787,FlowCalNumber,0),1,1)*P789^INDEX(FlowCalConstB,MATCH(N787,FlowCalNumber,0),1,1)&lt;INDEX(FlowCalHighSetting,MATCH(N787,FlowCalNumber,0),1,1))),INDEX(FlowCalConstA,MATCH(N787,FlowCalNumber,0),1,1)*P789^INDEX(FlowCalConstB,MATCH(N787,FlowCalNumber,0),1,1)," ")</f>
        <v>#REF!</v>
      </c>
      <c r="R789" s="33"/>
      <c r="S789" s="242">
        <f t="shared" ref="S789:S802" si="748">S788</f>
        <v>1</v>
      </c>
      <c r="T789" s="241" t="e">
        <f t="shared" ref="T789:T802" ca="1" si="749">S789*$H789</f>
        <v>#REF!</v>
      </c>
      <c r="U789" s="244" t="e">
        <f ca="1">IF(AND(INDEX(FlowCalConstA,MATCH(R787,FlowCalNumber,0),1,1)*T789^INDEX(FlowCalConstB,MATCH(R787,FlowCalNumber,0),1,1)&gt;INDEX(FlowCalLowSetting,MATCH(R787,FlowCalNumber,0),1,1), (INDEX(FlowCalConstA,MATCH(R787,FlowCalNumber,0),1,1)*T789^INDEX(FlowCalConstB,MATCH(R787,FlowCalNumber,0),1,1)&lt;INDEX(FlowCalHighSetting,MATCH(R787,FlowCalNumber,0),1,1))),INDEX(FlowCalConstA,MATCH(R787,FlowCalNumber,0),1,1)*T789^INDEX(FlowCalConstB,MATCH(R787,FlowCalNumber,0),1,1)," ")</f>
        <v>#REF!</v>
      </c>
      <c r="V789" s="33"/>
      <c r="W789" s="242">
        <f t="shared" ref="W789:W802" si="750">W788</f>
        <v>0.1</v>
      </c>
      <c r="X789" s="241" t="e">
        <f t="shared" ref="X789:X802" ca="1" si="751">W789*$H789</f>
        <v>#REF!</v>
      </c>
      <c r="Y789" s="243" t="e">
        <f ca="1">IF(AND(INDEX(FlowCalConstA,MATCH(V787,FlowCalNumber,0),1,1)*X789^INDEX(FlowCalConstB,MATCH(V787,FlowCalNumber,0),1,1)&gt;INDEX(FlowCalLowSetting,MATCH(V787,FlowCalNumber,0),1,1), (INDEX(FlowCalConstA,MATCH(V787,FlowCalNumber,0),1,1)*X789^INDEX(FlowCalConstB,MATCH(V787,FlowCalNumber,0),1,1)&lt;INDEX(FlowCalHighSetting,MATCH(V787,FlowCalNumber,0),1,1))),INDEX(FlowCalConstA,MATCH(V787,FlowCalNumber,0),1,1)*X789^INDEX(FlowCalConstB,MATCH(V787,FlowCalNumber,0),1,1)," ")</f>
        <v>#REF!</v>
      </c>
      <c r="Z789" s="33"/>
      <c r="AA789" s="242">
        <f t="shared" ref="AA789:AA802" si="752">AA788</f>
        <v>0.9</v>
      </c>
      <c r="AB789" s="241" t="e">
        <f t="shared" ref="AB789:AB802" ca="1" si="753">AA789*$H789</f>
        <v>#REF!</v>
      </c>
      <c r="AC789" s="243" t="e">
        <f ca="1">IF(AND(INDEX(FlowCalConstA,MATCH(Z787,FlowCalNumber,0),1,1)*AB789^INDEX(FlowCalConstB,MATCH(Z787,FlowCalNumber,0),1,1)&gt;INDEX(FlowCalLowSetting,MATCH(Z787,FlowCalNumber,0),1,1), (INDEX(FlowCalConstA,MATCH(Z787,FlowCalNumber,0),1,1)*AB789^INDEX(FlowCalConstB,MATCH(Z787,FlowCalNumber,0),1,1)&lt;INDEX(FlowCalHighSetting,MATCH(Z787,FlowCalNumber,0),1,1))),INDEX(FlowCalConstA,MATCH(Z787,FlowCalNumber,0),1,1)*AB789^INDEX(FlowCalConstB,MATCH(Z787,FlowCalNumber,0),1,1)," ")</f>
        <v>#REF!</v>
      </c>
      <c r="AD789" s="33"/>
      <c r="AE789" s="242">
        <f t="shared" ref="AE789:AE802" si="754">AE788</f>
        <v>0.1</v>
      </c>
      <c r="AF789" s="241" t="e">
        <f t="shared" ref="AF789:AF802" ca="1" si="755">AE789*$H789</f>
        <v>#REF!</v>
      </c>
      <c r="AG789" s="243" t="e">
        <f ca="1">IF(AND(INDEX(FlowCalConstA,MATCH(AD787,FlowCalNumber,0),1,1)*AF789^INDEX(FlowCalConstB,MATCH(AD787,FlowCalNumber,0),1,1)&gt;INDEX(FlowCalLowSetting,MATCH(AD787,FlowCalNumber,0),1,1), (INDEX(FlowCalConstA,MATCH(AD787,FlowCalNumber,0),1,1)*AF789^INDEX(FlowCalConstB,MATCH(AD787,FlowCalNumber,0),1,1)&lt;INDEX(FlowCalHighSetting,MATCH(AD787,FlowCalNumber,0),1,1))),INDEX(FlowCalConstA,MATCH(AD787,FlowCalNumber,0),1,1)*AF789^INDEX(FlowCalConstB,MATCH(AD787,FlowCalNumber,0),1,1)," ")</f>
        <v>#REF!</v>
      </c>
      <c r="AH789" s="33"/>
      <c r="AI789" s="242">
        <f t="shared" ref="AI789:AI802" si="756">AI788</f>
        <v>0.9</v>
      </c>
      <c r="AJ789" s="241" t="e">
        <f t="shared" ref="AJ789:AJ802" ca="1" si="757">AI789*$H789</f>
        <v>#REF!</v>
      </c>
      <c r="AK789" s="243" t="e">
        <f ca="1">IF(AND(INDEX(FlowCalConstA,MATCH(AH787,FlowCalNumber,0),1,1)*AJ789^INDEX(FlowCalConstB,MATCH(AH787,FlowCalNumber,0),1,1)&gt;INDEX(FlowCalLowSetting,MATCH(AH787,FlowCalNumber,0),1,1), (INDEX(FlowCalConstA,MATCH(AH787,FlowCalNumber,0),1,1)*AJ789^INDEX(FlowCalConstB,MATCH(AH787,FlowCalNumber,0),1,1)&lt;INDEX(FlowCalHighSetting,MATCH(AH787,FlowCalNumber,0),1,1))),INDEX(FlowCalConstA,MATCH(AH787,FlowCalNumber,0),1,1)*AJ789^INDEX(FlowCalConstB,MATCH(AH787,FlowCalNumber,0),1,1)," ")</f>
        <v>#REF!</v>
      </c>
      <c r="AL789" s="33"/>
      <c r="AM789" s="242"/>
      <c r="AN789" s="241"/>
      <c r="AO789" s="244"/>
      <c r="AQ789" s="242"/>
      <c r="AR789" s="241"/>
      <c r="AS789" s="244"/>
      <c r="AT789" s="33"/>
      <c r="AU789" s="242"/>
      <c r="AV789" s="241"/>
      <c r="AW789" s="244"/>
      <c r="AX789" s="33"/>
      <c r="AY789" s="242"/>
      <c r="AZ789" s="241"/>
      <c r="BA789" s="244"/>
      <c r="BB789" s="33"/>
      <c r="BC789" s="242"/>
      <c r="BD789" s="241"/>
      <c r="BE789" s="244"/>
      <c r="BF789" s="33"/>
      <c r="BG789" s="242"/>
      <c r="BH789" s="241"/>
      <c r="BI789" s="244"/>
      <c r="BJ789" s="33"/>
      <c r="BK789" s="242"/>
      <c r="BL789" s="241"/>
      <c r="BM789" s="244"/>
      <c r="BN789" s="33"/>
      <c r="BO789" s="242"/>
      <c r="BP789" s="241"/>
      <c r="BQ789" s="244"/>
      <c r="BR789" s="33"/>
      <c r="BS789" s="242"/>
      <c r="BT789" s="241"/>
      <c r="BU789" s="244"/>
      <c r="BV789" s="33"/>
      <c r="BW789" s="242"/>
      <c r="BX789" s="241"/>
      <c r="BY789" s="244"/>
      <c r="BZ789" s="33"/>
      <c r="CA789" s="242"/>
      <c r="CB789" s="241"/>
      <c r="CC789" s="244"/>
      <c r="CD789" s="243"/>
      <c r="CE789" s="243"/>
      <c r="CF789" s="243"/>
      <c r="CG789" s="243"/>
      <c r="CH789" s="243"/>
      <c r="CI789" s="243"/>
      <c r="CJ789" s="243"/>
      <c r="CK789" s="243"/>
      <c r="CL789" s="243"/>
      <c r="CM789" s="243"/>
      <c r="CN789" s="243"/>
      <c r="CO789" s="243"/>
      <c r="CP789" s="243"/>
      <c r="CQ789" s="243"/>
      <c r="CR789" s="243"/>
      <c r="CS789" s="243"/>
      <c r="CT789" s="243"/>
      <c r="CU789" s="243"/>
      <c r="CV789" s="243"/>
      <c r="CW789" s="243"/>
      <c r="CX789" s="243"/>
      <c r="CY789" s="243"/>
      <c r="CZ789" s="243"/>
      <c r="DA789" s="243"/>
      <c r="DB789" s="243"/>
      <c r="DC789" s="243"/>
      <c r="DD789" s="243"/>
      <c r="DE789" s="243"/>
      <c r="DF789" s="243"/>
      <c r="DG789" s="243"/>
      <c r="DH789" s="243"/>
      <c r="DI789" s="243"/>
      <c r="DJ789" s="243"/>
      <c r="DK789" s="243"/>
      <c r="DM789" s="242"/>
      <c r="DO789" s="243"/>
      <c r="DQ789" s="242"/>
      <c r="DS789" s="243"/>
      <c r="DU789" s="242"/>
      <c r="DW789" s="243"/>
      <c r="DY789" s="242"/>
      <c r="EA789" s="243"/>
    </row>
    <row r="790" spans="1:131">
      <c r="A790" s="20"/>
      <c r="B790" s="124" t="str">
        <f t="shared" si="742"/>
        <v/>
      </c>
      <c r="C790" s="235"/>
      <c r="D790" s="24">
        <f>'1% Wind'!$M$84</f>
        <v>20.5</v>
      </c>
      <c r="E790" s="90"/>
      <c r="F790" s="90"/>
      <c r="G790" s="79" t="e">
        <f ca="1">IF(I787=0.9743,$G789,MAX(G789/D789*D790,2))</f>
        <v>#REF!</v>
      </c>
      <c r="H790" s="121" t="e">
        <f t="shared" ca="1" si="743"/>
        <v>#REF!</v>
      </c>
      <c r="J790" s="33"/>
      <c r="K790" s="242">
        <f t="shared" si="744"/>
        <v>1</v>
      </c>
      <c r="L790" s="241" t="e">
        <f t="shared" ca="1" si="745"/>
        <v>#REF!</v>
      </c>
      <c r="M790" s="243" t="e">
        <f ca="1">IF(AND(INDEX(FlowCalConstA,MATCH(J787,FlowCalNumber,0),1,1)*L790^INDEX(FlowCalConstB,MATCH(J787,FlowCalNumber,0),1,1)&gt;INDEX(FlowCalLowSetting,MATCH(J787,FlowCalNumber,0),1,1), (INDEX(FlowCalConstA,MATCH(J787,FlowCalNumber,0),1,1)*L790^INDEX(FlowCalConstB,MATCH(J787,FlowCalNumber,0),1,1)&lt;INDEX(FlowCalHighSetting,MATCH(J787,FlowCalNumber,0),1,1))),INDEX(FlowCalConstA,MATCH(J787,FlowCalNumber,0),1,1)*L790^INDEX(FlowCalConstB,MATCH(J787,FlowCalNumber,0),1,1)," ")</f>
        <v>#REF!</v>
      </c>
      <c r="N790" s="33"/>
      <c r="O790" s="242">
        <f t="shared" si="746"/>
        <v>1</v>
      </c>
      <c r="P790" s="241" t="e">
        <f t="shared" ca="1" si="747"/>
        <v>#REF!</v>
      </c>
      <c r="Q790" s="243" t="e">
        <f ca="1">IF(AND(INDEX(FlowCalConstA,MATCH(N787,FlowCalNumber,0),1,1)*P790^INDEX(FlowCalConstB,MATCH(N787,FlowCalNumber,0),1,1)&gt;INDEX(FlowCalLowSetting,MATCH(N787,FlowCalNumber,0),1,1), (INDEX(FlowCalConstA,MATCH(N787,FlowCalNumber,0),1,1)*P790^INDEX(FlowCalConstB,MATCH(N787,FlowCalNumber,0),1,1)&lt;INDEX(FlowCalHighSetting,MATCH(N787,FlowCalNumber,0),1,1))),INDEX(FlowCalConstA,MATCH(N787,FlowCalNumber,0),1,1)*P790^INDEX(FlowCalConstB,MATCH(N787,FlowCalNumber,0),1,1)," ")</f>
        <v>#REF!</v>
      </c>
      <c r="R790" s="33"/>
      <c r="S790" s="242">
        <f t="shared" si="748"/>
        <v>1</v>
      </c>
      <c r="T790" s="241" t="e">
        <f t="shared" ca="1" si="749"/>
        <v>#REF!</v>
      </c>
      <c r="U790" s="244" t="e">
        <f ca="1">IF(AND(INDEX(FlowCalConstA,MATCH(R787,FlowCalNumber,0),1,1)*T790^INDEX(FlowCalConstB,MATCH(R787,FlowCalNumber,0),1,1)&gt;INDEX(FlowCalLowSetting,MATCH(R787,FlowCalNumber,0),1,1), (INDEX(FlowCalConstA,MATCH(R787,FlowCalNumber,0),1,1)*T790^INDEX(FlowCalConstB,MATCH(R787,FlowCalNumber,0),1,1)&lt;INDEX(FlowCalHighSetting,MATCH(R787,FlowCalNumber,0),1,1))),INDEX(FlowCalConstA,MATCH(R787,FlowCalNumber,0),1,1)*T790^INDEX(FlowCalConstB,MATCH(R787,FlowCalNumber,0),1,1)," ")</f>
        <v>#REF!</v>
      </c>
      <c r="V790" s="33"/>
      <c r="W790" s="242">
        <f t="shared" si="750"/>
        <v>0.1</v>
      </c>
      <c r="X790" s="241" t="e">
        <f t="shared" ca="1" si="751"/>
        <v>#REF!</v>
      </c>
      <c r="Y790" s="243" t="e">
        <f ca="1">IF(AND(INDEX(FlowCalConstA,MATCH(V787,FlowCalNumber,0),1,1)*X790^INDEX(FlowCalConstB,MATCH(V787,FlowCalNumber,0),1,1)&gt;INDEX(FlowCalLowSetting,MATCH(V787,FlowCalNumber,0),1,1), (INDEX(FlowCalConstA,MATCH(V787,FlowCalNumber,0),1,1)*X790^INDEX(FlowCalConstB,MATCH(V787,FlowCalNumber,0),1,1)&lt;INDEX(FlowCalHighSetting,MATCH(V787,FlowCalNumber,0),1,1))),INDEX(FlowCalConstA,MATCH(V787,FlowCalNumber,0),1,1)*X790^INDEX(FlowCalConstB,MATCH(V787,FlowCalNumber,0),1,1)," ")</f>
        <v>#REF!</v>
      </c>
      <c r="Z790" s="33"/>
      <c r="AA790" s="242">
        <f t="shared" si="752"/>
        <v>0.9</v>
      </c>
      <c r="AB790" s="241" t="e">
        <f t="shared" ca="1" si="753"/>
        <v>#REF!</v>
      </c>
      <c r="AC790" s="243" t="e">
        <f ca="1">IF(AND(INDEX(FlowCalConstA,MATCH(Z787,FlowCalNumber,0),1,1)*AB790^INDEX(FlowCalConstB,MATCH(Z787,FlowCalNumber,0),1,1)&gt;INDEX(FlowCalLowSetting,MATCH(Z787,FlowCalNumber,0),1,1), (INDEX(FlowCalConstA,MATCH(Z787,FlowCalNumber,0),1,1)*AB790^INDEX(FlowCalConstB,MATCH(Z787,FlowCalNumber,0),1,1)&lt;INDEX(FlowCalHighSetting,MATCH(Z787,FlowCalNumber,0),1,1))),INDEX(FlowCalConstA,MATCH(Z787,FlowCalNumber,0),1,1)*AB790^INDEX(FlowCalConstB,MATCH(Z787,FlowCalNumber,0),1,1)," ")</f>
        <v>#REF!</v>
      </c>
      <c r="AD790" s="33"/>
      <c r="AE790" s="242">
        <f t="shared" si="754"/>
        <v>0.1</v>
      </c>
      <c r="AF790" s="241" t="e">
        <f t="shared" ca="1" si="755"/>
        <v>#REF!</v>
      </c>
      <c r="AG790" s="243" t="e">
        <f ca="1">IF(AND(INDEX(FlowCalConstA,MATCH(AD787,FlowCalNumber,0),1,1)*AF790^INDEX(FlowCalConstB,MATCH(AD787,FlowCalNumber,0),1,1)&gt;INDEX(FlowCalLowSetting,MATCH(AD787,FlowCalNumber,0),1,1), (INDEX(FlowCalConstA,MATCH(AD787,FlowCalNumber,0),1,1)*AF790^INDEX(FlowCalConstB,MATCH(AD787,FlowCalNumber,0),1,1)&lt;INDEX(FlowCalHighSetting,MATCH(AD787,FlowCalNumber,0),1,1))),INDEX(FlowCalConstA,MATCH(AD787,FlowCalNumber,0),1,1)*AF790^INDEX(FlowCalConstB,MATCH(AD787,FlowCalNumber,0),1,1)," ")</f>
        <v>#REF!</v>
      </c>
      <c r="AH790" s="33"/>
      <c r="AI790" s="242">
        <f t="shared" si="756"/>
        <v>0.9</v>
      </c>
      <c r="AJ790" s="241" t="e">
        <f t="shared" ca="1" si="757"/>
        <v>#REF!</v>
      </c>
      <c r="AK790" s="243" t="e">
        <f ca="1">IF(AND(INDEX(FlowCalConstA,MATCH(AH787,FlowCalNumber,0),1,1)*AJ790^INDEX(FlowCalConstB,MATCH(AH787,FlowCalNumber,0),1,1)&gt;INDEX(FlowCalLowSetting,MATCH(AH787,FlowCalNumber,0),1,1), (INDEX(FlowCalConstA,MATCH(AH787,FlowCalNumber,0),1,1)*AJ790^INDEX(FlowCalConstB,MATCH(AH787,FlowCalNumber,0),1,1)&lt;INDEX(FlowCalHighSetting,MATCH(AH787,FlowCalNumber,0),1,1))),INDEX(FlowCalConstA,MATCH(AH787,FlowCalNumber,0),1,1)*AJ790^INDEX(FlowCalConstB,MATCH(AH787,FlowCalNumber,0),1,1)," ")</f>
        <v>#REF!</v>
      </c>
      <c r="AL790" s="33"/>
      <c r="AM790" s="242"/>
      <c r="AN790" s="241"/>
      <c r="AO790" s="244"/>
      <c r="AQ790" s="242"/>
      <c r="AR790" s="241"/>
      <c r="AS790" s="244"/>
      <c r="AT790" s="33"/>
      <c r="AU790" s="242"/>
      <c r="AV790" s="241"/>
      <c r="AW790" s="244"/>
      <c r="AX790" s="33"/>
      <c r="AY790" s="242"/>
      <c r="AZ790" s="241"/>
      <c r="BA790" s="244"/>
      <c r="BB790" s="33"/>
      <c r="BC790" s="242"/>
      <c r="BD790" s="241"/>
      <c r="BE790" s="244"/>
      <c r="BF790" s="33"/>
      <c r="BG790" s="242"/>
      <c r="BH790" s="241"/>
      <c r="BI790" s="244"/>
      <c r="BJ790" s="33"/>
      <c r="BK790" s="242"/>
      <c r="BL790" s="241"/>
      <c r="BM790" s="244"/>
      <c r="BN790" s="33"/>
      <c r="BO790" s="242"/>
      <c r="BP790" s="241"/>
      <c r="BQ790" s="244"/>
      <c r="BR790" s="33"/>
      <c r="BS790" s="242"/>
      <c r="BT790" s="241"/>
      <c r="BU790" s="244"/>
      <c r="BV790" s="33"/>
      <c r="BW790" s="242"/>
      <c r="BX790" s="241"/>
      <c r="BY790" s="244"/>
      <c r="BZ790" s="33"/>
      <c r="CA790" s="242"/>
      <c r="CB790" s="241"/>
      <c r="CC790" s="244"/>
      <c r="CD790" s="243"/>
      <c r="CE790" s="243"/>
      <c r="CF790" s="243"/>
      <c r="CG790" s="243"/>
      <c r="CH790" s="243"/>
      <c r="CI790" s="243"/>
      <c r="CJ790" s="243"/>
      <c r="CK790" s="243"/>
      <c r="CL790" s="243"/>
      <c r="CM790" s="243"/>
      <c r="CN790" s="243"/>
      <c r="CO790" s="243"/>
      <c r="CP790" s="243"/>
      <c r="CQ790" s="243"/>
      <c r="CR790" s="243"/>
      <c r="CS790" s="243"/>
      <c r="CT790" s="243"/>
      <c r="CU790" s="243"/>
      <c r="CV790" s="243"/>
      <c r="CW790" s="243"/>
      <c r="CX790" s="243"/>
      <c r="CY790" s="243"/>
      <c r="CZ790" s="243"/>
      <c r="DA790" s="243"/>
      <c r="DB790" s="243"/>
      <c r="DC790" s="243"/>
      <c r="DD790" s="243"/>
      <c r="DE790" s="243"/>
      <c r="DF790" s="243"/>
      <c r="DG790" s="243"/>
      <c r="DH790" s="243"/>
      <c r="DI790" s="243"/>
      <c r="DJ790" s="243"/>
      <c r="DK790" s="243"/>
      <c r="DM790" s="242"/>
      <c r="DO790" s="243"/>
      <c r="DQ790" s="242"/>
      <c r="DS790" s="243"/>
      <c r="DU790" s="242"/>
      <c r="DW790" s="243"/>
      <c r="DY790" s="242"/>
      <c r="EA790" s="243"/>
    </row>
    <row r="791" spans="1:131">
      <c r="A791" s="20"/>
      <c r="B791" s="124" t="str">
        <f t="shared" si="742"/>
        <v/>
      </c>
      <c r="C791" s="235"/>
      <c r="D791" s="24">
        <f>'1% Wind'!$M$85</f>
        <v>17.8</v>
      </c>
      <c r="E791" s="90"/>
      <c r="F791" s="90"/>
      <c r="G791" s="79" t="e">
        <f ca="1">IF(I787=0.9743,$G790,MAX(G790/D790*D791,2))</f>
        <v>#REF!</v>
      </c>
      <c r="H791" s="121" t="e">
        <f t="shared" ca="1" si="743"/>
        <v>#REF!</v>
      </c>
      <c r="J791" s="33"/>
      <c r="K791" s="242">
        <f t="shared" si="744"/>
        <v>1</v>
      </c>
      <c r="L791" s="241" t="e">
        <f t="shared" ca="1" si="745"/>
        <v>#REF!</v>
      </c>
      <c r="M791" s="243" t="e">
        <f ca="1">IF(AND(INDEX(FlowCalConstA,MATCH(J787,FlowCalNumber,0),1,1)*L791^INDEX(FlowCalConstB,MATCH(J787,FlowCalNumber,0),1,1)&gt;INDEX(FlowCalLowSetting,MATCH(J787,FlowCalNumber,0),1,1), (INDEX(FlowCalConstA,MATCH(J787,FlowCalNumber,0),1,1)*L791^INDEX(FlowCalConstB,MATCH(J787,FlowCalNumber,0),1,1)&lt;INDEX(FlowCalHighSetting,MATCH(J787,FlowCalNumber,0),1,1))),INDEX(FlowCalConstA,MATCH(J787,FlowCalNumber,0),1,1)*L791^INDEX(FlowCalConstB,MATCH(J787,FlowCalNumber,0),1,1)," ")</f>
        <v>#REF!</v>
      </c>
      <c r="N791" s="33"/>
      <c r="O791" s="242">
        <f t="shared" si="746"/>
        <v>1</v>
      </c>
      <c r="P791" s="241" t="e">
        <f t="shared" ca="1" si="747"/>
        <v>#REF!</v>
      </c>
      <c r="Q791" s="243" t="e">
        <f ca="1">IF(AND(INDEX(FlowCalConstA,MATCH(N787,FlowCalNumber,0),1,1)*P791^INDEX(FlowCalConstB,MATCH(N787,FlowCalNumber,0),1,1)&gt;INDEX(FlowCalLowSetting,MATCH(N787,FlowCalNumber,0),1,1), (INDEX(FlowCalConstA,MATCH(N787,FlowCalNumber,0),1,1)*P791^INDEX(FlowCalConstB,MATCH(N787,FlowCalNumber,0),1,1)&lt;INDEX(FlowCalHighSetting,MATCH(N787,FlowCalNumber,0),1,1))),INDEX(FlowCalConstA,MATCH(N787,FlowCalNumber,0),1,1)*P791^INDEX(FlowCalConstB,MATCH(N787,FlowCalNumber,0),1,1)," ")</f>
        <v>#REF!</v>
      </c>
      <c r="R791" s="33"/>
      <c r="S791" s="242">
        <f t="shared" si="748"/>
        <v>1</v>
      </c>
      <c r="T791" s="241" t="e">
        <f t="shared" ca="1" si="749"/>
        <v>#REF!</v>
      </c>
      <c r="U791" s="244" t="e">
        <f ca="1">IF(AND(INDEX(FlowCalConstA,MATCH(R787,FlowCalNumber,0),1,1)*T791^INDEX(FlowCalConstB,MATCH(R787,FlowCalNumber,0),1,1)&gt;INDEX(FlowCalLowSetting,MATCH(R787,FlowCalNumber,0),1,1), (INDEX(FlowCalConstA,MATCH(R787,FlowCalNumber,0),1,1)*T791^INDEX(FlowCalConstB,MATCH(R787,FlowCalNumber,0),1,1)&lt;INDEX(FlowCalHighSetting,MATCH(R787,FlowCalNumber,0),1,1))),INDEX(FlowCalConstA,MATCH(R787,FlowCalNumber,0),1,1)*T791^INDEX(FlowCalConstB,MATCH(R787,FlowCalNumber,0),1,1)," ")</f>
        <v>#REF!</v>
      </c>
      <c r="V791" s="33"/>
      <c r="W791" s="242">
        <f t="shared" si="750"/>
        <v>0.1</v>
      </c>
      <c r="X791" s="241" t="e">
        <f t="shared" ca="1" si="751"/>
        <v>#REF!</v>
      </c>
      <c r="Y791" s="243" t="e">
        <f ca="1">IF(AND(INDEX(FlowCalConstA,MATCH(V787,FlowCalNumber,0),1,1)*X791^INDEX(FlowCalConstB,MATCH(V787,FlowCalNumber,0),1,1)&gt;INDEX(FlowCalLowSetting,MATCH(V787,FlowCalNumber,0),1,1), (INDEX(FlowCalConstA,MATCH(V787,FlowCalNumber,0),1,1)*X791^INDEX(FlowCalConstB,MATCH(V787,FlowCalNumber,0),1,1)&lt;INDEX(FlowCalHighSetting,MATCH(V787,FlowCalNumber,0),1,1))),INDEX(FlowCalConstA,MATCH(V787,FlowCalNumber,0),1,1)*X791^INDEX(FlowCalConstB,MATCH(V787,FlowCalNumber,0),1,1)," ")</f>
        <v>#REF!</v>
      </c>
      <c r="Z791" s="33"/>
      <c r="AA791" s="242">
        <f t="shared" si="752"/>
        <v>0.9</v>
      </c>
      <c r="AB791" s="241" t="e">
        <f t="shared" ca="1" si="753"/>
        <v>#REF!</v>
      </c>
      <c r="AC791" s="243" t="e">
        <f ca="1">IF(AND(INDEX(FlowCalConstA,MATCH(Z787,FlowCalNumber,0),1,1)*AB791^INDEX(FlowCalConstB,MATCH(Z787,FlowCalNumber,0),1,1)&gt;INDEX(FlowCalLowSetting,MATCH(Z787,FlowCalNumber,0),1,1), (INDEX(FlowCalConstA,MATCH(Z787,FlowCalNumber,0),1,1)*AB791^INDEX(FlowCalConstB,MATCH(Z787,FlowCalNumber,0),1,1)&lt;INDEX(FlowCalHighSetting,MATCH(Z787,FlowCalNumber,0),1,1))),INDEX(FlowCalConstA,MATCH(Z787,FlowCalNumber,0),1,1)*AB791^INDEX(FlowCalConstB,MATCH(Z787,FlowCalNumber,0),1,1)," ")</f>
        <v>#REF!</v>
      </c>
      <c r="AD791" s="33"/>
      <c r="AE791" s="242">
        <f t="shared" si="754"/>
        <v>0.1</v>
      </c>
      <c r="AF791" s="241" t="e">
        <f t="shared" ca="1" si="755"/>
        <v>#REF!</v>
      </c>
      <c r="AG791" s="243" t="e">
        <f ca="1">IF(AND(INDEX(FlowCalConstA,MATCH(AD787,FlowCalNumber,0),1,1)*AF791^INDEX(FlowCalConstB,MATCH(AD787,FlowCalNumber,0),1,1)&gt;INDEX(FlowCalLowSetting,MATCH(AD787,FlowCalNumber,0),1,1), (INDEX(FlowCalConstA,MATCH(AD787,FlowCalNumber,0),1,1)*AF791^INDEX(FlowCalConstB,MATCH(AD787,FlowCalNumber,0),1,1)&lt;INDEX(FlowCalHighSetting,MATCH(AD787,FlowCalNumber,0),1,1))),INDEX(FlowCalConstA,MATCH(AD787,FlowCalNumber,0),1,1)*AF791^INDEX(FlowCalConstB,MATCH(AD787,FlowCalNumber,0),1,1)," ")</f>
        <v>#REF!</v>
      </c>
      <c r="AH791" s="33"/>
      <c r="AI791" s="242">
        <f t="shared" si="756"/>
        <v>0.9</v>
      </c>
      <c r="AJ791" s="241" t="e">
        <f t="shared" ca="1" si="757"/>
        <v>#REF!</v>
      </c>
      <c r="AK791" s="243" t="e">
        <f ca="1">IF(AND(INDEX(FlowCalConstA,MATCH(AH787,FlowCalNumber,0),1,1)*AJ791^INDEX(FlowCalConstB,MATCH(AH787,FlowCalNumber,0),1,1)&gt;INDEX(FlowCalLowSetting,MATCH(AH787,FlowCalNumber,0),1,1), (INDEX(FlowCalConstA,MATCH(AH787,FlowCalNumber,0),1,1)*AJ791^INDEX(FlowCalConstB,MATCH(AH787,FlowCalNumber,0),1,1)&lt;INDEX(FlowCalHighSetting,MATCH(AH787,FlowCalNumber,0),1,1))),INDEX(FlowCalConstA,MATCH(AH787,FlowCalNumber,0),1,1)*AJ791^INDEX(FlowCalConstB,MATCH(AH787,FlowCalNumber,0),1,1)," ")</f>
        <v>#REF!</v>
      </c>
      <c r="AL791" s="33"/>
      <c r="AM791" s="242"/>
      <c r="AN791" s="241"/>
      <c r="AO791" s="244"/>
      <c r="AQ791" s="242"/>
      <c r="AR791" s="241"/>
      <c r="AS791" s="244"/>
      <c r="AT791" s="33"/>
      <c r="AU791" s="242"/>
      <c r="AV791" s="241"/>
      <c r="AW791" s="244"/>
      <c r="AX791" s="33"/>
      <c r="AY791" s="242"/>
      <c r="AZ791" s="241"/>
      <c r="BA791" s="244"/>
      <c r="BB791" s="33"/>
      <c r="BC791" s="242"/>
      <c r="BD791" s="241"/>
      <c r="BE791" s="244"/>
      <c r="BF791" s="33"/>
      <c r="BG791" s="242"/>
      <c r="BH791" s="241"/>
      <c r="BI791" s="244"/>
      <c r="BJ791" s="33"/>
      <c r="BK791" s="242"/>
      <c r="BL791" s="241"/>
      <c r="BM791" s="244"/>
      <c r="BN791" s="33"/>
      <c r="BO791" s="242"/>
      <c r="BP791" s="241"/>
      <c r="BQ791" s="244"/>
      <c r="BR791" s="33"/>
      <c r="BS791" s="242"/>
      <c r="BT791" s="241"/>
      <c r="BU791" s="244"/>
      <c r="BV791" s="33"/>
      <c r="BW791" s="242"/>
      <c r="BX791" s="241"/>
      <c r="BY791" s="244"/>
      <c r="BZ791" s="33"/>
      <c r="CA791" s="242"/>
      <c r="CB791" s="241"/>
      <c r="CC791" s="244"/>
      <c r="CD791" s="243"/>
      <c r="CE791" s="243"/>
      <c r="CF791" s="243"/>
      <c r="CG791" s="243"/>
      <c r="CH791" s="243"/>
      <c r="CI791" s="243"/>
      <c r="CJ791" s="243"/>
      <c r="CK791" s="243"/>
      <c r="CL791" s="243"/>
      <c r="CM791" s="243"/>
      <c r="CN791" s="243"/>
      <c r="CO791" s="243"/>
      <c r="CP791" s="243"/>
      <c r="CQ791" s="243"/>
      <c r="CR791" s="243"/>
      <c r="CS791" s="243"/>
      <c r="CT791" s="243"/>
      <c r="CU791" s="243"/>
      <c r="CV791" s="243"/>
      <c r="CW791" s="243"/>
      <c r="CX791" s="243"/>
      <c r="CY791" s="243"/>
      <c r="CZ791" s="243"/>
      <c r="DA791" s="243"/>
      <c r="DB791" s="243"/>
      <c r="DC791" s="243"/>
      <c r="DD791" s="243"/>
      <c r="DE791" s="243"/>
      <c r="DF791" s="243"/>
      <c r="DG791" s="243"/>
      <c r="DH791" s="243"/>
      <c r="DI791" s="243"/>
      <c r="DJ791" s="243"/>
      <c r="DK791" s="243"/>
      <c r="DM791" s="242"/>
      <c r="DO791" s="243"/>
      <c r="DQ791" s="242"/>
      <c r="DS791" s="243"/>
      <c r="DU791" s="242"/>
      <c r="DW791" s="243"/>
      <c r="DY791" s="242"/>
      <c r="EA791" s="243"/>
    </row>
    <row r="792" spans="1:131">
      <c r="A792" s="20"/>
      <c r="B792" s="124" t="str">
        <f t="shared" si="742"/>
        <v/>
      </c>
      <c r="C792" s="235"/>
      <c r="D792" s="24">
        <f>'1% Wind'!$M$86</f>
        <v>15.5</v>
      </c>
      <c r="E792" s="90"/>
      <c r="F792" s="90"/>
      <c r="G792" s="79" t="e">
        <f ca="1">IF(I787=0.9743,$G791,MAX(G791/D791*D792,2))</f>
        <v>#REF!</v>
      </c>
      <c r="H792" s="121" t="e">
        <f t="shared" ca="1" si="743"/>
        <v>#REF!</v>
      </c>
      <c r="J792" s="33"/>
      <c r="K792" s="242">
        <f t="shared" si="744"/>
        <v>1</v>
      </c>
      <c r="L792" s="241" t="e">
        <f t="shared" ca="1" si="745"/>
        <v>#REF!</v>
      </c>
      <c r="M792" s="243" t="e">
        <f ca="1">IF(AND(INDEX(FlowCalConstA,MATCH(J787,FlowCalNumber,0),1,1)*L792^INDEX(FlowCalConstB,MATCH(J787,FlowCalNumber,0),1,1)&gt;INDEX(FlowCalLowSetting,MATCH(J787,FlowCalNumber,0),1,1), (INDEX(FlowCalConstA,MATCH(J787,FlowCalNumber,0),1,1)*L792^INDEX(FlowCalConstB,MATCH(J787,FlowCalNumber,0),1,1)&lt;INDEX(FlowCalHighSetting,MATCH(J787,FlowCalNumber,0),1,1))),INDEX(FlowCalConstA,MATCH(J787,FlowCalNumber,0),1,1)*L792^INDEX(FlowCalConstB,MATCH(J787,FlowCalNumber,0),1,1)," ")</f>
        <v>#REF!</v>
      </c>
      <c r="N792" s="33"/>
      <c r="O792" s="242">
        <f t="shared" si="746"/>
        <v>1</v>
      </c>
      <c r="P792" s="241" t="e">
        <f t="shared" ca="1" si="747"/>
        <v>#REF!</v>
      </c>
      <c r="Q792" s="243" t="e">
        <f ca="1">IF(AND(INDEX(FlowCalConstA,MATCH(N787,FlowCalNumber,0),1,1)*P792^INDEX(FlowCalConstB,MATCH(N787,FlowCalNumber,0),1,1)&gt;INDEX(FlowCalLowSetting,MATCH(N787,FlowCalNumber,0),1,1), (INDEX(FlowCalConstA,MATCH(N787,FlowCalNumber,0),1,1)*P792^INDEX(FlowCalConstB,MATCH(N787,FlowCalNumber,0),1,1)&lt;INDEX(FlowCalHighSetting,MATCH(N787,FlowCalNumber,0),1,1))),INDEX(FlowCalConstA,MATCH(N787,FlowCalNumber,0),1,1)*P792^INDEX(FlowCalConstB,MATCH(N787,FlowCalNumber,0),1,1)," ")</f>
        <v>#REF!</v>
      </c>
      <c r="R792" s="33"/>
      <c r="S792" s="242">
        <f t="shared" si="748"/>
        <v>1</v>
      </c>
      <c r="T792" s="241" t="e">
        <f t="shared" ca="1" si="749"/>
        <v>#REF!</v>
      </c>
      <c r="U792" s="244" t="e">
        <f ca="1">IF(AND(INDEX(FlowCalConstA,MATCH(R787,FlowCalNumber,0),1,1)*T792^INDEX(FlowCalConstB,MATCH(R787,FlowCalNumber,0),1,1)&gt;INDEX(FlowCalLowSetting,MATCH(R787,FlowCalNumber,0),1,1), (INDEX(FlowCalConstA,MATCH(R787,FlowCalNumber,0),1,1)*T792^INDEX(FlowCalConstB,MATCH(R787,FlowCalNumber,0),1,1)&lt;INDEX(FlowCalHighSetting,MATCH(R787,FlowCalNumber,0),1,1))),INDEX(FlowCalConstA,MATCH(R787,FlowCalNumber,0),1,1)*T792^INDEX(FlowCalConstB,MATCH(R787,FlowCalNumber,0),1,1)," ")</f>
        <v>#REF!</v>
      </c>
      <c r="V792" s="33"/>
      <c r="W792" s="242">
        <f t="shared" si="750"/>
        <v>0.1</v>
      </c>
      <c r="X792" s="241" t="e">
        <f t="shared" ca="1" si="751"/>
        <v>#REF!</v>
      </c>
      <c r="Y792" s="243" t="e">
        <f ca="1">IF(AND(INDEX(FlowCalConstA,MATCH(V787,FlowCalNumber,0),1,1)*X792^INDEX(FlowCalConstB,MATCH(V787,FlowCalNumber,0),1,1)&gt;INDEX(FlowCalLowSetting,MATCH(V787,FlowCalNumber,0),1,1), (INDEX(FlowCalConstA,MATCH(V787,FlowCalNumber,0),1,1)*X792^INDEX(FlowCalConstB,MATCH(V787,FlowCalNumber,0),1,1)&lt;INDEX(FlowCalHighSetting,MATCH(V787,FlowCalNumber,0),1,1))),INDEX(FlowCalConstA,MATCH(V787,FlowCalNumber,0),1,1)*X792^INDEX(FlowCalConstB,MATCH(V787,FlowCalNumber,0),1,1)," ")</f>
        <v>#REF!</v>
      </c>
      <c r="Z792" s="33"/>
      <c r="AA792" s="242">
        <f t="shared" si="752"/>
        <v>0.9</v>
      </c>
      <c r="AB792" s="241" t="e">
        <f t="shared" ca="1" si="753"/>
        <v>#REF!</v>
      </c>
      <c r="AC792" s="243" t="e">
        <f ca="1">IF(AND(INDEX(FlowCalConstA,MATCH(Z787,FlowCalNumber,0),1,1)*AB792^INDEX(FlowCalConstB,MATCH(Z787,FlowCalNumber,0),1,1)&gt;INDEX(FlowCalLowSetting,MATCH(Z787,FlowCalNumber,0),1,1), (INDEX(FlowCalConstA,MATCH(Z787,FlowCalNumber,0),1,1)*AB792^INDEX(FlowCalConstB,MATCH(Z787,FlowCalNumber,0),1,1)&lt;INDEX(FlowCalHighSetting,MATCH(Z787,FlowCalNumber,0),1,1))),INDEX(FlowCalConstA,MATCH(Z787,FlowCalNumber,0),1,1)*AB792^INDEX(FlowCalConstB,MATCH(Z787,FlowCalNumber,0),1,1)," ")</f>
        <v>#REF!</v>
      </c>
      <c r="AD792" s="33"/>
      <c r="AE792" s="242">
        <f t="shared" si="754"/>
        <v>0.1</v>
      </c>
      <c r="AF792" s="241" t="e">
        <f t="shared" ca="1" si="755"/>
        <v>#REF!</v>
      </c>
      <c r="AG792" s="243" t="e">
        <f ca="1">IF(AND(INDEX(FlowCalConstA,MATCH(AD787,FlowCalNumber,0),1,1)*AF792^INDEX(FlowCalConstB,MATCH(AD787,FlowCalNumber,0),1,1)&gt;INDEX(FlowCalLowSetting,MATCH(AD787,FlowCalNumber,0),1,1), (INDEX(FlowCalConstA,MATCH(AD787,FlowCalNumber,0),1,1)*AF792^INDEX(FlowCalConstB,MATCH(AD787,FlowCalNumber,0),1,1)&lt;INDEX(FlowCalHighSetting,MATCH(AD787,FlowCalNumber,0),1,1))),INDEX(FlowCalConstA,MATCH(AD787,FlowCalNumber,0),1,1)*AF792^INDEX(FlowCalConstB,MATCH(AD787,FlowCalNumber,0),1,1)," ")</f>
        <v>#REF!</v>
      </c>
      <c r="AH792" s="33"/>
      <c r="AI792" s="242">
        <f t="shared" si="756"/>
        <v>0.9</v>
      </c>
      <c r="AJ792" s="241" t="e">
        <f t="shared" ca="1" si="757"/>
        <v>#REF!</v>
      </c>
      <c r="AK792" s="243" t="e">
        <f ca="1">IF(AND(INDEX(FlowCalConstA,MATCH(AH787,FlowCalNumber,0),1,1)*AJ792^INDEX(FlowCalConstB,MATCH(AH787,FlowCalNumber,0),1,1)&gt;INDEX(FlowCalLowSetting,MATCH(AH787,FlowCalNumber,0),1,1), (INDEX(FlowCalConstA,MATCH(AH787,FlowCalNumber,0),1,1)*AJ792^INDEX(FlowCalConstB,MATCH(AH787,FlowCalNumber,0),1,1)&lt;INDEX(FlowCalHighSetting,MATCH(AH787,FlowCalNumber,0),1,1))),INDEX(FlowCalConstA,MATCH(AH787,FlowCalNumber,0),1,1)*AJ792^INDEX(FlowCalConstB,MATCH(AH787,FlowCalNumber,0),1,1)," ")</f>
        <v>#REF!</v>
      </c>
      <c r="AL792" s="33"/>
      <c r="AM792" s="242"/>
      <c r="AN792" s="241"/>
      <c r="AO792" s="244"/>
      <c r="AQ792" s="242"/>
      <c r="AR792" s="241"/>
      <c r="AS792" s="244"/>
      <c r="AT792" s="33"/>
      <c r="AU792" s="242"/>
      <c r="AV792" s="241"/>
      <c r="AW792" s="244"/>
      <c r="AX792" s="33"/>
      <c r="AY792" s="242"/>
      <c r="AZ792" s="241"/>
      <c r="BA792" s="244"/>
      <c r="BB792" s="33"/>
      <c r="BC792" s="242"/>
      <c r="BD792" s="241"/>
      <c r="BE792" s="244"/>
      <c r="BF792" s="33"/>
      <c r="BG792" s="242"/>
      <c r="BH792" s="241"/>
      <c r="BI792" s="244"/>
      <c r="BJ792" s="33"/>
      <c r="BK792" s="242"/>
      <c r="BL792" s="241"/>
      <c r="BM792" s="244"/>
      <c r="BN792" s="33"/>
      <c r="BO792" s="242"/>
      <c r="BP792" s="241"/>
      <c r="BQ792" s="244"/>
      <c r="BR792" s="33"/>
      <c r="BS792" s="242"/>
      <c r="BT792" s="241"/>
      <c r="BU792" s="244"/>
      <c r="BV792" s="33"/>
      <c r="BW792" s="242"/>
      <c r="BX792" s="241"/>
      <c r="BY792" s="244"/>
      <c r="BZ792" s="33"/>
      <c r="CA792" s="242"/>
      <c r="CB792" s="241"/>
      <c r="CC792" s="244"/>
      <c r="CD792" s="243"/>
      <c r="CE792" s="243"/>
      <c r="CF792" s="243"/>
      <c r="CG792" s="243"/>
      <c r="CH792" s="243"/>
      <c r="CI792" s="243"/>
      <c r="CJ792" s="243"/>
      <c r="CK792" s="243"/>
      <c r="CL792" s="243"/>
      <c r="CM792" s="243"/>
      <c r="CN792" s="243"/>
      <c r="CO792" s="243"/>
      <c r="CP792" s="243"/>
      <c r="CQ792" s="243"/>
      <c r="CR792" s="243"/>
      <c r="CS792" s="243"/>
      <c r="CT792" s="243"/>
      <c r="CU792" s="243"/>
      <c r="CV792" s="243"/>
      <c r="CW792" s="243"/>
      <c r="CX792" s="243"/>
      <c r="CY792" s="243"/>
      <c r="CZ792" s="243"/>
      <c r="DA792" s="243"/>
      <c r="DB792" s="243"/>
      <c r="DC792" s="243"/>
      <c r="DD792" s="243"/>
      <c r="DE792" s="243"/>
      <c r="DF792" s="243"/>
      <c r="DG792" s="243"/>
      <c r="DH792" s="243"/>
      <c r="DI792" s="243"/>
      <c r="DJ792" s="243"/>
      <c r="DK792" s="243"/>
      <c r="DM792" s="242"/>
      <c r="DO792" s="243"/>
      <c r="DQ792" s="242"/>
      <c r="DS792" s="243"/>
      <c r="DU792" s="242"/>
      <c r="DW792" s="243"/>
      <c r="DY792" s="242"/>
      <c r="EA792" s="243"/>
    </row>
    <row r="793" spans="1:131">
      <c r="A793" s="20"/>
      <c r="B793" s="124" t="str">
        <f t="shared" si="742"/>
        <v/>
      </c>
      <c r="C793" s="235"/>
      <c r="D793" s="24">
        <f>'1% Wind'!$M$87</f>
        <v>13.5</v>
      </c>
      <c r="E793" s="90"/>
      <c r="F793" s="90"/>
      <c r="G793" s="79" t="e">
        <f ca="1">IF(I787=0.9743,$G792,MAX(G792/D792*D793,2))</f>
        <v>#REF!</v>
      </c>
      <c r="H793" s="121" t="e">
        <f t="shared" ca="1" si="743"/>
        <v>#REF!</v>
      </c>
      <c r="J793" s="33"/>
      <c r="K793" s="242">
        <f t="shared" si="744"/>
        <v>1</v>
      </c>
      <c r="L793" s="241" t="e">
        <f t="shared" ca="1" si="745"/>
        <v>#REF!</v>
      </c>
      <c r="M793" s="243" t="e">
        <f ca="1">IF(AND(INDEX(FlowCalConstA,MATCH(J787,FlowCalNumber,0),1,1)*L793^INDEX(FlowCalConstB,MATCH(J787,FlowCalNumber,0),1,1)&gt;INDEX(FlowCalLowSetting,MATCH(J787,FlowCalNumber,0),1,1), (INDEX(FlowCalConstA,MATCH(J787,FlowCalNumber,0),1,1)*L793^INDEX(FlowCalConstB,MATCH(J787,FlowCalNumber,0),1,1)&lt;INDEX(FlowCalHighSetting,MATCH(J787,FlowCalNumber,0),1,1))),INDEX(FlowCalConstA,MATCH(J787,FlowCalNumber,0),1,1)*L793^INDEX(FlowCalConstB,MATCH(J787,FlowCalNumber,0),1,1)," ")</f>
        <v>#REF!</v>
      </c>
      <c r="N793" s="33"/>
      <c r="O793" s="242">
        <f t="shared" si="746"/>
        <v>1</v>
      </c>
      <c r="P793" s="241" t="e">
        <f t="shared" ca="1" si="747"/>
        <v>#REF!</v>
      </c>
      <c r="Q793" s="243" t="e">
        <f ca="1">IF(AND(INDEX(FlowCalConstA,MATCH(N787,FlowCalNumber,0),1,1)*P793^INDEX(FlowCalConstB,MATCH(N787,FlowCalNumber,0),1,1)&gt;INDEX(FlowCalLowSetting,MATCH(N787,FlowCalNumber,0),1,1), (INDEX(FlowCalConstA,MATCH(N787,FlowCalNumber,0),1,1)*P793^INDEX(FlowCalConstB,MATCH(N787,FlowCalNumber,0),1,1)&lt;INDEX(FlowCalHighSetting,MATCH(N787,FlowCalNumber,0),1,1))),INDEX(FlowCalConstA,MATCH(N787,FlowCalNumber,0),1,1)*P793^INDEX(FlowCalConstB,MATCH(N787,FlowCalNumber,0),1,1)," ")</f>
        <v>#REF!</v>
      </c>
      <c r="R793" s="33"/>
      <c r="S793" s="242">
        <f t="shared" si="748"/>
        <v>1</v>
      </c>
      <c r="T793" s="241" t="e">
        <f t="shared" ca="1" si="749"/>
        <v>#REF!</v>
      </c>
      <c r="U793" s="244" t="e">
        <f ca="1">IF(AND(INDEX(FlowCalConstA,MATCH(R787,FlowCalNumber,0),1,1)*T793^INDEX(FlowCalConstB,MATCH(R787,FlowCalNumber,0),1,1)&gt;INDEX(FlowCalLowSetting,MATCH(R787,FlowCalNumber,0),1,1), (INDEX(FlowCalConstA,MATCH(R787,FlowCalNumber,0),1,1)*T793^INDEX(FlowCalConstB,MATCH(R787,FlowCalNumber,0),1,1)&lt;INDEX(FlowCalHighSetting,MATCH(R787,FlowCalNumber,0),1,1))),INDEX(FlowCalConstA,MATCH(R787,FlowCalNumber,0),1,1)*T793^INDEX(FlowCalConstB,MATCH(R787,FlowCalNumber,0),1,1)," ")</f>
        <v>#REF!</v>
      </c>
      <c r="V793" s="33"/>
      <c r="W793" s="242">
        <f t="shared" si="750"/>
        <v>0.1</v>
      </c>
      <c r="X793" s="241" t="e">
        <f t="shared" ca="1" si="751"/>
        <v>#REF!</v>
      </c>
      <c r="Y793" s="243" t="e">
        <f ca="1">IF(AND(INDEX(FlowCalConstA,MATCH(V787,FlowCalNumber,0),1,1)*X793^INDEX(FlowCalConstB,MATCH(V787,FlowCalNumber,0),1,1)&gt;INDEX(FlowCalLowSetting,MATCH(V787,FlowCalNumber,0),1,1), (INDEX(FlowCalConstA,MATCH(V787,FlowCalNumber,0),1,1)*X793^INDEX(FlowCalConstB,MATCH(V787,FlowCalNumber,0),1,1)&lt;INDEX(FlowCalHighSetting,MATCH(V787,FlowCalNumber,0),1,1))),INDEX(FlowCalConstA,MATCH(V787,FlowCalNumber,0),1,1)*X793^INDEX(FlowCalConstB,MATCH(V787,FlowCalNumber,0),1,1)," ")</f>
        <v>#REF!</v>
      </c>
      <c r="Z793" s="33"/>
      <c r="AA793" s="242">
        <f t="shared" si="752"/>
        <v>0.9</v>
      </c>
      <c r="AB793" s="241" t="e">
        <f t="shared" ca="1" si="753"/>
        <v>#REF!</v>
      </c>
      <c r="AC793" s="243" t="e">
        <f ca="1">IF(AND(INDEX(FlowCalConstA,MATCH(Z787,FlowCalNumber,0),1,1)*AB793^INDEX(FlowCalConstB,MATCH(Z787,FlowCalNumber,0),1,1)&gt;INDEX(FlowCalLowSetting,MATCH(Z787,FlowCalNumber,0),1,1), (INDEX(FlowCalConstA,MATCH(Z787,FlowCalNumber,0),1,1)*AB793^INDEX(FlowCalConstB,MATCH(Z787,FlowCalNumber,0),1,1)&lt;INDEX(FlowCalHighSetting,MATCH(Z787,FlowCalNumber,0),1,1))),INDEX(FlowCalConstA,MATCH(Z787,FlowCalNumber,0),1,1)*AB793^INDEX(FlowCalConstB,MATCH(Z787,FlowCalNumber,0),1,1)," ")</f>
        <v>#REF!</v>
      </c>
      <c r="AD793" s="33"/>
      <c r="AE793" s="242">
        <f t="shared" si="754"/>
        <v>0.1</v>
      </c>
      <c r="AF793" s="241" t="e">
        <f t="shared" ca="1" si="755"/>
        <v>#REF!</v>
      </c>
      <c r="AG793" s="243" t="e">
        <f ca="1">IF(AND(INDEX(FlowCalConstA,MATCH(AD787,FlowCalNumber,0),1,1)*AF793^INDEX(FlowCalConstB,MATCH(AD787,FlowCalNumber,0),1,1)&gt;INDEX(FlowCalLowSetting,MATCH(AD787,FlowCalNumber,0),1,1), (INDEX(FlowCalConstA,MATCH(AD787,FlowCalNumber,0),1,1)*AF793^INDEX(FlowCalConstB,MATCH(AD787,FlowCalNumber,0),1,1)&lt;INDEX(FlowCalHighSetting,MATCH(AD787,FlowCalNumber,0),1,1))),INDEX(FlowCalConstA,MATCH(AD787,FlowCalNumber,0),1,1)*AF793^INDEX(FlowCalConstB,MATCH(AD787,FlowCalNumber,0),1,1)," ")</f>
        <v>#REF!</v>
      </c>
      <c r="AH793" s="33"/>
      <c r="AI793" s="242">
        <f t="shared" si="756"/>
        <v>0.9</v>
      </c>
      <c r="AJ793" s="241" t="e">
        <f t="shared" ca="1" si="757"/>
        <v>#REF!</v>
      </c>
      <c r="AK793" s="243" t="e">
        <f ca="1">IF(AND(INDEX(FlowCalConstA,MATCH(AH787,FlowCalNumber,0),1,1)*AJ793^INDEX(FlowCalConstB,MATCH(AH787,FlowCalNumber,0),1,1)&gt;INDEX(FlowCalLowSetting,MATCH(AH787,FlowCalNumber,0),1,1), (INDEX(FlowCalConstA,MATCH(AH787,FlowCalNumber,0),1,1)*AJ793^INDEX(FlowCalConstB,MATCH(AH787,FlowCalNumber,0),1,1)&lt;INDEX(FlowCalHighSetting,MATCH(AH787,FlowCalNumber,0),1,1))),INDEX(FlowCalConstA,MATCH(AH787,FlowCalNumber,0),1,1)*AJ793^INDEX(FlowCalConstB,MATCH(AH787,FlowCalNumber,0),1,1)," ")</f>
        <v>#REF!</v>
      </c>
      <c r="AL793" s="33"/>
      <c r="AM793" s="242"/>
      <c r="AN793" s="241"/>
      <c r="AO793" s="244"/>
      <c r="AQ793" s="242"/>
      <c r="AR793" s="241"/>
      <c r="AS793" s="244"/>
      <c r="AT793" s="33"/>
      <c r="AU793" s="242"/>
      <c r="AV793" s="241"/>
      <c r="AW793" s="244"/>
      <c r="AX793" s="33"/>
      <c r="AY793" s="242"/>
      <c r="AZ793" s="241"/>
      <c r="BA793" s="244"/>
      <c r="BB793" s="33"/>
      <c r="BC793" s="242"/>
      <c r="BD793" s="241"/>
      <c r="BE793" s="244"/>
      <c r="BF793" s="33"/>
      <c r="BG793" s="242"/>
      <c r="BH793" s="241"/>
      <c r="BI793" s="244"/>
      <c r="BJ793" s="33"/>
      <c r="BK793" s="242"/>
      <c r="BL793" s="241"/>
      <c r="BM793" s="244"/>
      <c r="BN793" s="33"/>
      <c r="BO793" s="242"/>
      <c r="BP793" s="241"/>
      <c r="BQ793" s="244"/>
      <c r="BR793" s="33"/>
      <c r="BS793" s="242"/>
      <c r="BT793" s="241"/>
      <c r="BU793" s="244"/>
      <c r="BV793" s="33"/>
      <c r="BW793" s="242"/>
      <c r="BX793" s="241"/>
      <c r="BY793" s="244"/>
      <c r="BZ793" s="33"/>
      <c r="CA793" s="242"/>
      <c r="CB793" s="241"/>
      <c r="CC793" s="244"/>
      <c r="CD793" s="243"/>
      <c r="CE793" s="243"/>
      <c r="CF793" s="243"/>
      <c r="CG793" s="243"/>
      <c r="CH793" s="243"/>
      <c r="CI793" s="243"/>
      <c r="CJ793" s="243"/>
      <c r="CK793" s="243"/>
      <c r="CL793" s="243"/>
      <c r="CM793" s="243"/>
      <c r="CN793" s="243"/>
      <c r="CO793" s="243"/>
      <c r="CP793" s="243"/>
      <c r="CQ793" s="243"/>
      <c r="CR793" s="243"/>
      <c r="CS793" s="243"/>
      <c r="CT793" s="243"/>
      <c r="CU793" s="243"/>
      <c r="CV793" s="243"/>
      <c r="CW793" s="243"/>
      <c r="CX793" s="243"/>
      <c r="CY793" s="243"/>
      <c r="CZ793" s="243"/>
      <c r="DA793" s="243"/>
      <c r="DB793" s="243"/>
      <c r="DC793" s="243"/>
      <c r="DD793" s="243"/>
      <c r="DE793" s="243"/>
      <c r="DF793" s="243"/>
      <c r="DG793" s="243"/>
      <c r="DH793" s="243"/>
      <c r="DI793" s="243"/>
      <c r="DJ793" s="243"/>
      <c r="DK793" s="243"/>
      <c r="DM793" s="242"/>
      <c r="DO793" s="243"/>
      <c r="DQ793" s="242"/>
      <c r="DS793" s="243"/>
      <c r="DU793" s="242"/>
      <c r="DW793" s="243"/>
      <c r="DY793" s="242"/>
      <c r="EA793" s="243"/>
    </row>
    <row r="794" spans="1:131">
      <c r="A794" s="20"/>
      <c r="B794" s="124" t="str">
        <f t="shared" si="742"/>
        <v/>
      </c>
      <c r="C794" s="235"/>
      <c r="D794" s="24">
        <f>'1% Wind'!$M$88</f>
        <v>10.1</v>
      </c>
      <c r="E794" s="90"/>
      <c r="F794" s="90"/>
      <c r="G794" s="79" t="e">
        <f ca="1">IF(I787=0.9743,$G793,MAX(G793/D793*D794,2))</f>
        <v>#REF!</v>
      </c>
      <c r="H794" s="121" t="e">
        <f t="shared" ca="1" si="743"/>
        <v>#REF!</v>
      </c>
      <c r="J794" s="33"/>
      <c r="K794" s="242">
        <f t="shared" si="744"/>
        <v>1</v>
      </c>
      <c r="L794" s="241" t="e">
        <f t="shared" ca="1" si="745"/>
        <v>#REF!</v>
      </c>
      <c r="M794" s="243" t="e">
        <f ca="1">IF(AND(INDEX(FlowCalConstA,MATCH(J787,FlowCalNumber,0),1,1)*L794^INDEX(FlowCalConstB,MATCH(J787,FlowCalNumber,0),1,1)&gt;INDEX(FlowCalLowSetting,MATCH(J787,FlowCalNumber,0),1,1), (INDEX(FlowCalConstA,MATCH(J787,FlowCalNumber,0),1,1)*L794^INDEX(FlowCalConstB,MATCH(J787,FlowCalNumber,0),1,1)&lt;INDEX(FlowCalHighSetting,MATCH(J787,FlowCalNumber,0),1,1))),INDEX(FlowCalConstA,MATCH(J787,FlowCalNumber,0),1,1)*L794^INDEX(FlowCalConstB,MATCH(J787,FlowCalNumber,0),1,1)," ")</f>
        <v>#REF!</v>
      </c>
      <c r="N794" s="33"/>
      <c r="O794" s="242">
        <f t="shared" si="746"/>
        <v>1</v>
      </c>
      <c r="P794" s="241" t="e">
        <f t="shared" ca="1" si="747"/>
        <v>#REF!</v>
      </c>
      <c r="Q794" s="243" t="e">
        <f ca="1">IF(AND(INDEX(FlowCalConstA,MATCH(N787,FlowCalNumber,0),1,1)*P794^INDEX(FlowCalConstB,MATCH(N787,FlowCalNumber,0),1,1)&gt;INDEX(FlowCalLowSetting,MATCH(N787,FlowCalNumber,0),1,1), (INDEX(FlowCalConstA,MATCH(N787,FlowCalNumber,0),1,1)*P794^INDEX(FlowCalConstB,MATCH(N787,FlowCalNumber,0),1,1)&lt;INDEX(FlowCalHighSetting,MATCH(N787,FlowCalNumber,0),1,1))),INDEX(FlowCalConstA,MATCH(N787,FlowCalNumber,0),1,1)*P794^INDEX(FlowCalConstB,MATCH(N787,FlowCalNumber,0),1,1)," ")</f>
        <v>#REF!</v>
      </c>
      <c r="R794" s="33"/>
      <c r="S794" s="242">
        <f t="shared" si="748"/>
        <v>1</v>
      </c>
      <c r="T794" s="241" t="e">
        <f t="shared" ca="1" si="749"/>
        <v>#REF!</v>
      </c>
      <c r="U794" s="244" t="e">
        <f ca="1">IF(AND(INDEX(FlowCalConstA,MATCH(R787,FlowCalNumber,0),1,1)*T794^INDEX(FlowCalConstB,MATCH(R787,FlowCalNumber,0),1,1)&gt;INDEX(FlowCalLowSetting,MATCH(R787,FlowCalNumber,0),1,1), (INDEX(FlowCalConstA,MATCH(R787,FlowCalNumber,0),1,1)*T794^INDEX(FlowCalConstB,MATCH(R787,FlowCalNumber,0),1,1)&lt;INDEX(FlowCalHighSetting,MATCH(R787,FlowCalNumber,0),1,1))),INDEX(FlowCalConstA,MATCH(R787,FlowCalNumber,0),1,1)*T794^INDEX(FlowCalConstB,MATCH(R787,FlowCalNumber,0),1,1)," ")</f>
        <v>#REF!</v>
      </c>
      <c r="V794" s="33"/>
      <c r="W794" s="242">
        <f t="shared" si="750"/>
        <v>0.1</v>
      </c>
      <c r="X794" s="241" t="e">
        <f t="shared" ca="1" si="751"/>
        <v>#REF!</v>
      </c>
      <c r="Y794" s="243" t="e">
        <f ca="1">IF(AND(INDEX(FlowCalConstA,MATCH(V787,FlowCalNumber,0),1,1)*X794^INDEX(FlowCalConstB,MATCH(V787,FlowCalNumber,0),1,1)&gt;INDEX(FlowCalLowSetting,MATCH(V787,FlowCalNumber,0),1,1), (INDEX(FlowCalConstA,MATCH(V787,FlowCalNumber,0),1,1)*X794^INDEX(FlowCalConstB,MATCH(V787,FlowCalNumber,0),1,1)&lt;INDEX(FlowCalHighSetting,MATCH(V787,FlowCalNumber,0),1,1))),INDEX(FlowCalConstA,MATCH(V787,FlowCalNumber,0),1,1)*X794^INDEX(FlowCalConstB,MATCH(V787,FlowCalNumber,0),1,1)," ")</f>
        <v>#REF!</v>
      </c>
      <c r="Z794" s="33"/>
      <c r="AA794" s="242">
        <f t="shared" si="752"/>
        <v>0.9</v>
      </c>
      <c r="AB794" s="241" t="e">
        <f t="shared" ca="1" si="753"/>
        <v>#REF!</v>
      </c>
      <c r="AC794" s="243" t="e">
        <f ca="1">IF(AND(INDEX(FlowCalConstA,MATCH(Z787,FlowCalNumber,0),1,1)*AB794^INDEX(FlowCalConstB,MATCH(Z787,FlowCalNumber,0),1,1)&gt;INDEX(FlowCalLowSetting,MATCH(Z787,FlowCalNumber,0),1,1), (INDEX(FlowCalConstA,MATCH(Z787,FlowCalNumber,0),1,1)*AB794^INDEX(FlowCalConstB,MATCH(Z787,FlowCalNumber,0),1,1)&lt;INDEX(FlowCalHighSetting,MATCH(Z787,FlowCalNumber,0),1,1))),INDEX(FlowCalConstA,MATCH(Z787,FlowCalNumber,0),1,1)*AB794^INDEX(FlowCalConstB,MATCH(Z787,FlowCalNumber,0),1,1)," ")</f>
        <v>#REF!</v>
      </c>
      <c r="AD794" s="33"/>
      <c r="AE794" s="242">
        <f t="shared" si="754"/>
        <v>0.1</v>
      </c>
      <c r="AF794" s="241" t="e">
        <f t="shared" ca="1" si="755"/>
        <v>#REF!</v>
      </c>
      <c r="AG794" s="243" t="e">
        <f ca="1">IF(AND(INDEX(FlowCalConstA,MATCH(AD787,FlowCalNumber,0),1,1)*AF794^INDEX(FlowCalConstB,MATCH(AD787,FlowCalNumber,0),1,1)&gt;INDEX(FlowCalLowSetting,MATCH(AD787,FlowCalNumber,0),1,1), (INDEX(FlowCalConstA,MATCH(AD787,FlowCalNumber,0),1,1)*AF794^INDEX(FlowCalConstB,MATCH(AD787,FlowCalNumber,0),1,1)&lt;INDEX(FlowCalHighSetting,MATCH(AD787,FlowCalNumber,0),1,1))),INDEX(FlowCalConstA,MATCH(AD787,FlowCalNumber,0),1,1)*AF794^INDEX(FlowCalConstB,MATCH(AD787,FlowCalNumber,0),1,1)," ")</f>
        <v>#REF!</v>
      </c>
      <c r="AH794" s="33"/>
      <c r="AI794" s="242">
        <f t="shared" si="756"/>
        <v>0.9</v>
      </c>
      <c r="AJ794" s="241" t="e">
        <f t="shared" ca="1" si="757"/>
        <v>#REF!</v>
      </c>
      <c r="AK794" s="243" t="e">
        <f ca="1">IF(AND(INDEX(FlowCalConstA,MATCH(AH787,FlowCalNumber,0),1,1)*AJ794^INDEX(FlowCalConstB,MATCH(AH787,FlowCalNumber,0),1,1)&gt;INDEX(FlowCalLowSetting,MATCH(AH787,FlowCalNumber,0),1,1), (INDEX(FlowCalConstA,MATCH(AH787,FlowCalNumber,0),1,1)*AJ794^INDEX(FlowCalConstB,MATCH(AH787,FlowCalNumber,0),1,1)&lt;INDEX(FlowCalHighSetting,MATCH(AH787,FlowCalNumber,0),1,1))),INDEX(FlowCalConstA,MATCH(AH787,FlowCalNumber,0),1,1)*AJ794^INDEX(FlowCalConstB,MATCH(AH787,FlowCalNumber,0),1,1)," ")</f>
        <v>#REF!</v>
      </c>
      <c r="AL794" s="33"/>
      <c r="AM794" s="242"/>
      <c r="AN794" s="241"/>
      <c r="AO794" s="244"/>
      <c r="AQ794" s="242"/>
      <c r="AR794" s="241"/>
      <c r="AS794" s="244"/>
      <c r="AT794" s="33"/>
      <c r="AU794" s="242"/>
      <c r="AV794" s="241"/>
      <c r="AW794" s="244"/>
      <c r="AX794" s="33"/>
      <c r="AY794" s="242"/>
      <c r="AZ794" s="241"/>
      <c r="BA794" s="244"/>
      <c r="BB794" s="33"/>
      <c r="BC794" s="242"/>
      <c r="BD794" s="241"/>
      <c r="BE794" s="244"/>
      <c r="BF794" s="33"/>
      <c r="BG794" s="242"/>
      <c r="BH794" s="241"/>
      <c r="BI794" s="244"/>
      <c r="BJ794" s="33"/>
      <c r="BK794" s="242"/>
      <c r="BL794" s="241"/>
      <c r="BM794" s="244"/>
      <c r="BN794" s="33"/>
      <c r="BO794" s="242"/>
      <c r="BP794" s="241"/>
      <c r="BQ794" s="244"/>
      <c r="BR794" s="33"/>
      <c r="BS794" s="242"/>
      <c r="BT794" s="241"/>
      <c r="BU794" s="244"/>
      <c r="BV794" s="33"/>
      <c r="BW794" s="242"/>
      <c r="BX794" s="241"/>
      <c r="BY794" s="244"/>
      <c r="BZ794" s="33"/>
      <c r="CA794" s="242"/>
      <c r="CB794" s="241"/>
      <c r="CC794" s="244"/>
      <c r="CD794" s="243"/>
      <c r="CE794" s="243"/>
      <c r="CF794" s="243"/>
      <c r="CG794" s="243"/>
      <c r="CH794" s="243"/>
      <c r="CI794" s="243"/>
      <c r="CJ794" s="243"/>
      <c r="CK794" s="243"/>
      <c r="CL794" s="243"/>
      <c r="CM794" s="243"/>
      <c r="CN794" s="243"/>
      <c r="CO794" s="243"/>
      <c r="CP794" s="243"/>
      <c r="CQ794" s="243"/>
      <c r="CR794" s="243"/>
      <c r="CS794" s="243"/>
      <c r="CT794" s="243"/>
      <c r="CU794" s="243"/>
      <c r="CV794" s="243"/>
      <c r="CW794" s="243"/>
      <c r="CX794" s="243"/>
      <c r="CY794" s="243"/>
      <c r="CZ794" s="243"/>
      <c r="DA794" s="243"/>
      <c r="DB794" s="243"/>
      <c r="DC794" s="243"/>
      <c r="DD794" s="243"/>
      <c r="DE794" s="243"/>
      <c r="DF794" s="243"/>
      <c r="DG794" s="243"/>
      <c r="DH794" s="243"/>
      <c r="DI794" s="243"/>
      <c r="DJ794" s="243"/>
      <c r="DK794" s="243"/>
      <c r="DM794" s="242"/>
      <c r="DO794" s="243"/>
      <c r="DQ794" s="242"/>
      <c r="DS794" s="243"/>
      <c r="DU794" s="242"/>
      <c r="DW794" s="243"/>
      <c r="DY794" s="242"/>
      <c r="EA794" s="243"/>
    </row>
    <row r="795" spans="1:131">
      <c r="A795" s="20"/>
      <c r="B795" s="124" t="str">
        <f t="shared" si="742"/>
        <v/>
      </c>
      <c r="C795" s="235"/>
      <c r="D795" s="24">
        <f>'1% Wind'!$M$89</f>
        <v>7.6</v>
      </c>
      <c r="E795" s="90"/>
      <c r="F795" s="90"/>
      <c r="G795" s="79" t="e">
        <f ca="1">IF(I787=0.9743,$G794,MAX(G794/D794*D795,2))</f>
        <v>#REF!</v>
      </c>
      <c r="H795" s="121" t="e">
        <f t="shared" ca="1" si="743"/>
        <v>#REF!</v>
      </c>
      <c r="J795" s="33"/>
      <c r="K795" s="242">
        <f t="shared" si="744"/>
        <v>1</v>
      </c>
      <c r="L795" s="241" t="e">
        <f t="shared" ca="1" si="745"/>
        <v>#REF!</v>
      </c>
      <c r="M795" s="243" t="e">
        <f ca="1">IF(AND(INDEX(FlowCalConstA,MATCH(J787,FlowCalNumber,0),1,1)*L795^INDEX(FlowCalConstB,MATCH(J787,FlowCalNumber,0),1,1)&gt;INDEX(FlowCalLowSetting,MATCH(J787,FlowCalNumber,0),1,1), (INDEX(FlowCalConstA,MATCH(J787,FlowCalNumber,0),1,1)*L795^INDEX(FlowCalConstB,MATCH(J787,FlowCalNumber,0),1,1)&lt;INDEX(FlowCalHighSetting,MATCH(J787,FlowCalNumber,0),1,1))),INDEX(FlowCalConstA,MATCH(J787,FlowCalNumber,0),1,1)*L795^INDEX(FlowCalConstB,MATCH(J787,FlowCalNumber,0),1,1)," ")</f>
        <v>#REF!</v>
      </c>
      <c r="N795" s="33"/>
      <c r="O795" s="242">
        <f t="shared" si="746"/>
        <v>1</v>
      </c>
      <c r="P795" s="241" t="e">
        <f t="shared" ca="1" si="747"/>
        <v>#REF!</v>
      </c>
      <c r="Q795" s="243" t="e">
        <f ca="1">IF(AND(INDEX(FlowCalConstA,MATCH(N787,FlowCalNumber,0),1,1)*P795^INDEX(FlowCalConstB,MATCH(N787,FlowCalNumber,0),1,1)&gt;INDEX(FlowCalLowSetting,MATCH(N787,FlowCalNumber,0),1,1), (INDEX(FlowCalConstA,MATCH(N787,FlowCalNumber,0),1,1)*P795^INDEX(FlowCalConstB,MATCH(N787,FlowCalNumber,0),1,1)&lt;INDEX(FlowCalHighSetting,MATCH(N787,FlowCalNumber,0),1,1))),INDEX(FlowCalConstA,MATCH(N787,FlowCalNumber,0),1,1)*P795^INDEX(FlowCalConstB,MATCH(N787,FlowCalNumber,0),1,1)," ")</f>
        <v>#REF!</v>
      </c>
      <c r="R795" s="33"/>
      <c r="S795" s="242">
        <f t="shared" si="748"/>
        <v>1</v>
      </c>
      <c r="T795" s="241" t="e">
        <f t="shared" ca="1" si="749"/>
        <v>#REF!</v>
      </c>
      <c r="U795" s="244" t="e">
        <f ca="1">IF(AND(INDEX(FlowCalConstA,MATCH(R787,FlowCalNumber,0),1,1)*T795^INDEX(FlowCalConstB,MATCH(R787,FlowCalNumber,0),1,1)&gt;INDEX(FlowCalLowSetting,MATCH(R787,FlowCalNumber,0),1,1), (INDEX(FlowCalConstA,MATCH(R787,FlowCalNumber,0),1,1)*T795^INDEX(FlowCalConstB,MATCH(R787,FlowCalNumber,0),1,1)&lt;INDEX(FlowCalHighSetting,MATCH(R787,FlowCalNumber,0),1,1))),INDEX(FlowCalConstA,MATCH(R787,FlowCalNumber,0),1,1)*T795^INDEX(FlowCalConstB,MATCH(R787,FlowCalNumber,0),1,1)," ")</f>
        <v>#REF!</v>
      </c>
      <c r="V795" s="33"/>
      <c r="W795" s="242">
        <f t="shared" si="750"/>
        <v>0.1</v>
      </c>
      <c r="X795" s="241" t="e">
        <f t="shared" ca="1" si="751"/>
        <v>#REF!</v>
      </c>
      <c r="Y795" s="243" t="e">
        <f ca="1">IF(AND(INDEX(FlowCalConstA,MATCH(V787,FlowCalNumber,0),1,1)*X795^INDEX(FlowCalConstB,MATCH(V787,FlowCalNumber,0),1,1)&gt;INDEX(FlowCalLowSetting,MATCH(V787,FlowCalNumber,0),1,1), (INDEX(FlowCalConstA,MATCH(V787,FlowCalNumber,0),1,1)*X795^INDEX(FlowCalConstB,MATCH(V787,FlowCalNumber,0),1,1)&lt;INDEX(FlowCalHighSetting,MATCH(V787,FlowCalNumber,0),1,1))),INDEX(FlowCalConstA,MATCH(V787,FlowCalNumber,0),1,1)*X795^INDEX(FlowCalConstB,MATCH(V787,FlowCalNumber,0),1,1)," ")</f>
        <v>#REF!</v>
      </c>
      <c r="Z795" s="33"/>
      <c r="AA795" s="242">
        <f t="shared" si="752"/>
        <v>0.9</v>
      </c>
      <c r="AB795" s="241" t="e">
        <f t="shared" ca="1" si="753"/>
        <v>#REF!</v>
      </c>
      <c r="AC795" s="243" t="e">
        <f ca="1">IF(AND(INDEX(FlowCalConstA,MATCH(Z787,FlowCalNumber,0),1,1)*AB795^INDEX(FlowCalConstB,MATCH(Z787,FlowCalNumber,0),1,1)&gt;INDEX(FlowCalLowSetting,MATCH(Z787,FlowCalNumber,0),1,1), (INDEX(FlowCalConstA,MATCH(Z787,FlowCalNumber,0),1,1)*AB795^INDEX(FlowCalConstB,MATCH(Z787,FlowCalNumber,0),1,1)&lt;INDEX(FlowCalHighSetting,MATCH(Z787,FlowCalNumber,0),1,1))),INDEX(FlowCalConstA,MATCH(Z787,FlowCalNumber,0),1,1)*AB795^INDEX(FlowCalConstB,MATCH(Z787,FlowCalNumber,0),1,1)," ")</f>
        <v>#REF!</v>
      </c>
      <c r="AD795" s="33"/>
      <c r="AE795" s="242">
        <f t="shared" si="754"/>
        <v>0.1</v>
      </c>
      <c r="AF795" s="241" t="e">
        <f t="shared" ca="1" si="755"/>
        <v>#REF!</v>
      </c>
      <c r="AG795" s="243" t="e">
        <f ca="1">IF(AND(INDEX(FlowCalConstA,MATCH(AD787,FlowCalNumber,0),1,1)*AF795^INDEX(FlowCalConstB,MATCH(AD787,FlowCalNumber,0),1,1)&gt;INDEX(FlowCalLowSetting,MATCH(AD787,FlowCalNumber,0),1,1), (INDEX(FlowCalConstA,MATCH(AD787,FlowCalNumber,0),1,1)*AF795^INDEX(FlowCalConstB,MATCH(AD787,FlowCalNumber,0),1,1)&lt;INDEX(FlowCalHighSetting,MATCH(AD787,FlowCalNumber,0),1,1))),INDEX(FlowCalConstA,MATCH(AD787,FlowCalNumber,0),1,1)*AF795^INDEX(FlowCalConstB,MATCH(AD787,FlowCalNumber,0),1,1)," ")</f>
        <v>#REF!</v>
      </c>
      <c r="AH795" s="33"/>
      <c r="AI795" s="242">
        <f t="shared" si="756"/>
        <v>0.9</v>
      </c>
      <c r="AJ795" s="241" t="e">
        <f t="shared" ca="1" si="757"/>
        <v>#REF!</v>
      </c>
      <c r="AK795" s="243" t="e">
        <f ca="1">IF(AND(INDEX(FlowCalConstA,MATCH(AH787,FlowCalNumber,0),1,1)*AJ795^INDEX(FlowCalConstB,MATCH(AH787,FlowCalNumber,0),1,1)&gt;INDEX(FlowCalLowSetting,MATCH(AH787,FlowCalNumber,0),1,1), (INDEX(FlowCalConstA,MATCH(AH787,FlowCalNumber,0),1,1)*AJ795^INDEX(FlowCalConstB,MATCH(AH787,FlowCalNumber,0),1,1)&lt;INDEX(FlowCalHighSetting,MATCH(AH787,FlowCalNumber,0),1,1))),INDEX(FlowCalConstA,MATCH(AH787,FlowCalNumber,0),1,1)*AJ795^INDEX(FlowCalConstB,MATCH(AH787,FlowCalNumber,0),1,1)," ")</f>
        <v>#REF!</v>
      </c>
      <c r="AL795" s="33"/>
      <c r="AM795" s="242"/>
      <c r="AN795" s="241"/>
      <c r="AO795" s="244"/>
      <c r="AQ795" s="242"/>
      <c r="AR795" s="241"/>
      <c r="AS795" s="244"/>
      <c r="AT795" s="33"/>
      <c r="AU795" s="242"/>
      <c r="AV795" s="241"/>
      <c r="AW795" s="244"/>
      <c r="AX795" s="33"/>
      <c r="AY795" s="242"/>
      <c r="AZ795" s="241"/>
      <c r="BA795" s="244"/>
      <c r="BB795" s="33"/>
      <c r="BC795" s="242"/>
      <c r="BD795" s="241"/>
      <c r="BE795" s="244"/>
      <c r="BF795" s="33"/>
      <c r="BG795" s="242"/>
      <c r="BH795" s="241"/>
      <c r="BI795" s="244"/>
      <c r="BJ795" s="33"/>
      <c r="BK795" s="242"/>
      <c r="BL795" s="241"/>
      <c r="BM795" s="244"/>
      <c r="BN795" s="33"/>
      <c r="BO795" s="242"/>
      <c r="BP795" s="241"/>
      <c r="BQ795" s="244"/>
      <c r="BR795" s="33"/>
      <c r="BS795" s="242"/>
      <c r="BT795" s="241"/>
      <c r="BU795" s="244"/>
      <c r="BV795" s="33"/>
      <c r="BW795" s="242"/>
      <c r="BX795" s="241"/>
      <c r="BY795" s="244"/>
      <c r="BZ795" s="33"/>
      <c r="CA795" s="242"/>
      <c r="CB795" s="241"/>
      <c r="CC795" s="244"/>
      <c r="CD795" s="243"/>
      <c r="CE795" s="243"/>
      <c r="CF795" s="243"/>
      <c r="CG795" s="243"/>
      <c r="CH795" s="243"/>
      <c r="CI795" s="243"/>
      <c r="CJ795" s="243"/>
      <c r="CK795" s="243"/>
      <c r="CL795" s="243"/>
      <c r="CM795" s="243"/>
      <c r="CN795" s="243"/>
      <c r="CO795" s="243"/>
      <c r="CP795" s="243"/>
      <c r="CQ795" s="243"/>
      <c r="CR795" s="243"/>
      <c r="CS795" s="243"/>
      <c r="CT795" s="243"/>
      <c r="CU795" s="243"/>
      <c r="CV795" s="243"/>
      <c r="CW795" s="243"/>
      <c r="CX795" s="243"/>
      <c r="CY795" s="243"/>
      <c r="CZ795" s="243"/>
      <c r="DA795" s="243"/>
      <c r="DB795" s="243"/>
      <c r="DC795" s="243"/>
      <c r="DD795" s="243"/>
      <c r="DE795" s="243"/>
      <c r="DF795" s="243"/>
      <c r="DG795" s="243"/>
      <c r="DH795" s="243"/>
      <c r="DI795" s="243"/>
      <c r="DJ795" s="243"/>
      <c r="DK795" s="243"/>
      <c r="DM795" s="242"/>
      <c r="DO795" s="243"/>
      <c r="DQ795" s="242"/>
      <c r="DS795" s="243"/>
      <c r="DU795" s="242"/>
      <c r="DW795" s="243"/>
      <c r="DY795" s="242"/>
      <c r="EA795" s="243"/>
    </row>
    <row r="796" spans="1:131">
      <c r="A796" s="20"/>
      <c r="B796" s="124" t="str">
        <f t="shared" si="742"/>
        <v/>
      </c>
      <c r="C796" s="235"/>
      <c r="D796" s="24">
        <f>'1% Wind'!$M$90</f>
        <v>5.7</v>
      </c>
      <c r="E796" s="90"/>
      <c r="F796" s="90"/>
      <c r="G796" s="79" t="e">
        <f ca="1">IF(I787=0.9743,$G795,MAX(G795/D795*D796,2))</f>
        <v>#REF!</v>
      </c>
      <c r="H796" s="121" t="e">
        <f t="shared" ca="1" si="743"/>
        <v>#REF!</v>
      </c>
      <c r="J796" s="33"/>
      <c r="K796" s="242">
        <f t="shared" si="744"/>
        <v>1</v>
      </c>
      <c r="L796" s="241" t="e">
        <f t="shared" ca="1" si="745"/>
        <v>#REF!</v>
      </c>
      <c r="M796" s="243" t="e">
        <f ca="1">IF(AND(INDEX(FlowCalConstA,MATCH(J787,FlowCalNumber,0),1,1)*L796^INDEX(FlowCalConstB,MATCH(J787,FlowCalNumber,0),1,1)&gt;INDEX(FlowCalLowSetting,MATCH(J787,FlowCalNumber,0),1,1), (INDEX(FlowCalConstA,MATCH(J787,FlowCalNumber,0),1,1)*L796^INDEX(FlowCalConstB,MATCH(J787,FlowCalNumber,0),1,1)&lt;INDEX(FlowCalHighSetting,MATCH(J787,FlowCalNumber,0),1,1))),INDEX(FlowCalConstA,MATCH(J787,FlowCalNumber,0),1,1)*L796^INDEX(FlowCalConstB,MATCH(J787,FlowCalNumber,0),1,1)," ")</f>
        <v>#REF!</v>
      </c>
      <c r="N796" s="33"/>
      <c r="O796" s="242">
        <f t="shared" si="746"/>
        <v>1</v>
      </c>
      <c r="P796" s="241" t="e">
        <f t="shared" ca="1" si="747"/>
        <v>#REF!</v>
      </c>
      <c r="Q796" s="243" t="e">
        <f ca="1">IF(AND(INDEX(FlowCalConstA,MATCH(N787,FlowCalNumber,0),1,1)*P796^INDEX(FlowCalConstB,MATCH(N787,FlowCalNumber,0),1,1)&gt;INDEX(FlowCalLowSetting,MATCH(N787,FlowCalNumber,0),1,1), (INDEX(FlowCalConstA,MATCH(N787,FlowCalNumber,0),1,1)*P796^INDEX(FlowCalConstB,MATCH(N787,FlowCalNumber,0),1,1)&lt;INDEX(FlowCalHighSetting,MATCH(N787,FlowCalNumber,0),1,1))),INDEX(FlowCalConstA,MATCH(N787,FlowCalNumber,0),1,1)*P796^INDEX(FlowCalConstB,MATCH(N787,FlowCalNumber,0),1,1)," ")</f>
        <v>#REF!</v>
      </c>
      <c r="R796" s="33"/>
      <c r="S796" s="242">
        <f t="shared" si="748"/>
        <v>1</v>
      </c>
      <c r="T796" s="241" t="e">
        <f t="shared" ca="1" si="749"/>
        <v>#REF!</v>
      </c>
      <c r="U796" s="244" t="e">
        <f ca="1">IF(AND(INDEX(FlowCalConstA,MATCH(R787,FlowCalNumber,0),1,1)*T796^INDEX(FlowCalConstB,MATCH(R787,FlowCalNumber,0),1,1)&gt;INDEX(FlowCalLowSetting,MATCH(R787,FlowCalNumber,0),1,1), (INDEX(FlowCalConstA,MATCH(R787,FlowCalNumber,0),1,1)*T796^INDEX(FlowCalConstB,MATCH(R787,FlowCalNumber,0),1,1)&lt;INDEX(FlowCalHighSetting,MATCH(R787,FlowCalNumber,0),1,1))),INDEX(FlowCalConstA,MATCH(R787,FlowCalNumber,0),1,1)*T796^INDEX(FlowCalConstB,MATCH(R787,FlowCalNumber,0),1,1)," ")</f>
        <v>#REF!</v>
      </c>
      <c r="V796" s="33"/>
      <c r="W796" s="242">
        <f t="shared" si="750"/>
        <v>0.1</v>
      </c>
      <c r="X796" s="241" t="e">
        <f t="shared" ca="1" si="751"/>
        <v>#REF!</v>
      </c>
      <c r="Y796" s="243" t="e">
        <f ca="1">IF(AND(INDEX(FlowCalConstA,MATCH(V787,FlowCalNumber,0),1,1)*X796^INDEX(FlowCalConstB,MATCH(V787,FlowCalNumber,0),1,1)&gt;INDEX(FlowCalLowSetting,MATCH(V787,FlowCalNumber,0),1,1), (INDEX(FlowCalConstA,MATCH(V787,FlowCalNumber,0),1,1)*X796^INDEX(FlowCalConstB,MATCH(V787,FlowCalNumber,0),1,1)&lt;INDEX(FlowCalHighSetting,MATCH(V787,FlowCalNumber,0),1,1))),INDEX(FlowCalConstA,MATCH(V787,FlowCalNumber,0),1,1)*X796^INDEX(FlowCalConstB,MATCH(V787,FlowCalNumber,0),1,1)," ")</f>
        <v>#REF!</v>
      </c>
      <c r="Z796" s="33"/>
      <c r="AA796" s="242">
        <f t="shared" si="752"/>
        <v>0.9</v>
      </c>
      <c r="AB796" s="241" t="e">
        <f t="shared" ca="1" si="753"/>
        <v>#REF!</v>
      </c>
      <c r="AC796" s="243" t="e">
        <f ca="1">IF(AND(INDEX(FlowCalConstA,MATCH(Z787,FlowCalNumber,0),1,1)*AB796^INDEX(FlowCalConstB,MATCH(Z787,FlowCalNumber,0),1,1)&gt;INDEX(FlowCalLowSetting,MATCH(Z787,FlowCalNumber,0),1,1), (INDEX(FlowCalConstA,MATCH(Z787,FlowCalNumber,0),1,1)*AB796^INDEX(FlowCalConstB,MATCH(Z787,FlowCalNumber,0),1,1)&lt;INDEX(FlowCalHighSetting,MATCH(Z787,FlowCalNumber,0),1,1))),INDEX(FlowCalConstA,MATCH(Z787,FlowCalNumber,0),1,1)*AB796^INDEX(FlowCalConstB,MATCH(Z787,FlowCalNumber,0),1,1)," ")</f>
        <v>#REF!</v>
      </c>
      <c r="AD796" s="33"/>
      <c r="AE796" s="242">
        <f t="shared" si="754"/>
        <v>0.1</v>
      </c>
      <c r="AF796" s="241" t="e">
        <f t="shared" ca="1" si="755"/>
        <v>#REF!</v>
      </c>
      <c r="AG796" s="243" t="e">
        <f ca="1">IF(AND(INDEX(FlowCalConstA,MATCH(AD787,FlowCalNumber,0),1,1)*AF796^INDEX(FlowCalConstB,MATCH(AD787,FlowCalNumber,0),1,1)&gt;INDEX(FlowCalLowSetting,MATCH(AD787,FlowCalNumber,0),1,1), (INDEX(FlowCalConstA,MATCH(AD787,FlowCalNumber,0),1,1)*AF796^INDEX(FlowCalConstB,MATCH(AD787,FlowCalNumber,0),1,1)&lt;INDEX(FlowCalHighSetting,MATCH(AD787,FlowCalNumber,0),1,1))),INDEX(FlowCalConstA,MATCH(AD787,FlowCalNumber,0),1,1)*AF796^INDEX(FlowCalConstB,MATCH(AD787,FlowCalNumber,0),1,1)," ")</f>
        <v>#REF!</v>
      </c>
      <c r="AH796" s="33"/>
      <c r="AI796" s="242">
        <f t="shared" si="756"/>
        <v>0.9</v>
      </c>
      <c r="AJ796" s="241" t="e">
        <f t="shared" ca="1" si="757"/>
        <v>#REF!</v>
      </c>
      <c r="AK796" s="243" t="e">
        <f ca="1">IF(AND(INDEX(FlowCalConstA,MATCH(AH787,FlowCalNumber,0),1,1)*AJ796^INDEX(FlowCalConstB,MATCH(AH787,FlowCalNumber,0),1,1)&gt;INDEX(FlowCalLowSetting,MATCH(AH787,FlowCalNumber,0),1,1), (INDEX(FlowCalConstA,MATCH(AH787,FlowCalNumber,0),1,1)*AJ796^INDEX(FlowCalConstB,MATCH(AH787,FlowCalNumber,0),1,1)&lt;INDEX(FlowCalHighSetting,MATCH(AH787,FlowCalNumber,0),1,1))),INDEX(FlowCalConstA,MATCH(AH787,FlowCalNumber,0),1,1)*AJ796^INDEX(FlowCalConstB,MATCH(AH787,FlowCalNumber,0),1,1)," ")</f>
        <v>#REF!</v>
      </c>
      <c r="AL796" s="33"/>
      <c r="AM796" s="242"/>
      <c r="AN796" s="241"/>
      <c r="AO796" s="244"/>
      <c r="AQ796" s="242"/>
      <c r="AR796" s="241"/>
      <c r="AS796" s="244"/>
      <c r="AT796" s="33"/>
      <c r="AU796" s="242"/>
      <c r="AV796" s="241"/>
      <c r="AW796" s="244"/>
      <c r="AX796" s="33"/>
      <c r="AY796" s="242"/>
      <c r="AZ796" s="241"/>
      <c r="BA796" s="244"/>
      <c r="BB796" s="33"/>
      <c r="BC796" s="242"/>
      <c r="BD796" s="241"/>
      <c r="BE796" s="244"/>
      <c r="BF796" s="33"/>
      <c r="BG796" s="242"/>
      <c r="BH796" s="241"/>
      <c r="BI796" s="244"/>
      <c r="BJ796" s="33"/>
      <c r="BK796" s="242"/>
      <c r="BL796" s="241"/>
      <c r="BM796" s="244"/>
      <c r="BN796" s="33"/>
      <c r="BO796" s="242"/>
      <c r="BP796" s="241"/>
      <c r="BQ796" s="244"/>
      <c r="BR796" s="33"/>
      <c r="BS796" s="242"/>
      <c r="BT796" s="241"/>
      <c r="BU796" s="244"/>
      <c r="BV796" s="33"/>
      <c r="BW796" s="242"/>
      <c r="BX796" s="241"/>
      <c r="BY796" s="244"/>
      <c r="BZ796" s="33"/>
      <c r="CA796" s="242"/>
      <c r="CB796" s="241"/>
      <c r="CC796" s="244"/>
      <c r="CD796" s="243"/>
      <c r="CE796" s="243"/>
      <c r="CF796" s="243"/>
      <c r="CG796" s="243"/>
      <c r="CH796" s="243"/>
      <c r="CI796" s="243"/>
      <c r="CJ796" s="243"/>
      <c r="CK796" s="243"/>
      <c r="CL796" s="243"/>
      <c r="CM796" s="243"/>
      <c r="CN796" s="243"/>
      <c r="CO796" s="243"/>
      <c r="CP796" s="243"/>
      <c r="CQ796" s="243"/>
      <c r="CR796" s="243"/>
      <c r="CS796" s="243"/>
      <c r="CT796" s="243"/>
      <c r="CU796" s="243"/>
      <c r="CV796" s="243"/>
      <c r="CW796" s="243"/>
      <c r="CX796" s="243"/>
      <c r="CY796" s="243"/>
      <c r="CZ796" s="243"/>
      <c r="DA796" s="243"/>
      <c r="DB796" s="243"/>
      <c r="DC796" s="243"/>
      <c r="DD796" s="243"/>
      <c r="DE796" s="243"/>
      <c r="DF796" s="243"/>
      <c r="DG796" s="243"/>
      <c r="DH796" s="243"/>
      <c r="DI796" s="243"/>
      <c r="DJ796" s="243"/>
      <c r="DK796" s="243"/>
      <c r="DM796" s="242"/>
      <c r="DO796" s="243"/>
      <c r="DQ796" s="242"/>
      <c r="DS796" s="243"/>
      <c r="DU796" s="242"/>
      <c r="DW796" s="243"/>
      <c r="DY796" s="242"/>
      <c r="EA796" s="243"/>
    </row>
    <row r="797" spans="1:131">
      <c r="A797" s="20"/>
      <c r="B797" s="124" t="str">
        <f t="shared" si="742"/>
        <v/>
      </c>
      <c r="C797" s="235"/>
      <c r="D797" s="24">
        <f>'1% Wind'!$M$91</f>
        <v>4.2</v>
      </c>
      <c r="E797" s="90"/>
      <c r="F797" s="90"/>
      <c r="G797" s="79" t="e">
        <f ca="1">IF(I787=0.9743,$G796,MAX(G796/D796*D797,2))</f>
        <v>#REF!</v>
      </c>
      <c r="H797" s="121" t="e">
        <f t="shared" ca="1" si="743"/>
        <v>#REF!</v>
      </c>
      <c r="J797" s="33"/>
      <c r="K797" s="242">
        <f t="shared" si="744"/>
        <v>1</v>
      </c>
      <c r="L797" s="241" t="e">
        <f t="shared" ca="1" si="745"/>
        <v>#REF!</v>
      </c>
      <c r="M797" s="243" t="e">
        <f ca="1">IF(AND(INDEX(FlowCalConstA,MATCH(J787,FlowCalNumber,0),1,1)*L797^INDEX(FlowCalConstB,MATCH(J787,FlowCalNumber,0),1,1)&gt;INDEX(FlowCalLowSetting,MATCH(J787,FlowCalNumber,0),1,1), (INDEX(FlowCalConstA,MATCH(J787,FlowCalNumber,0),1,1)*L797^INDEX(FlowCalConstB,MATCH(J787,FlowCalNumber,0),1,1)&lt;INDEX(FlowCalHighSetting,MATCH(J787,FlowCalNumber,0),1,1))),INDEX(FlowCalConstA,MATCH(J787,FlowCalNumber,0),1,1)*L797^INDEX(FlowCalConstB,MATCH(J787,FlowCalNumber,0),1,1)," ")</f>
        <v>#REF!</v>
      </c>
      <c r="N797" s="33"/>
      <c r="O797" s="242">
        <f t="shared" si="746"/>
        <v>1</v>
      </c>
      <c r="P797" s="241" t="e">
        <f t="shared" ca="1" si="747"/>
        <v>#REF!</v>
      </c>
      <c r="Q797" s="243" t="e">
        <f ca="1">IF(AND(INDEX(FlowCalConstA,MATCH(N787,FlowCalNumber,0),1,1)*P797^INDEX(FlowCalConstB,MATCH(N787,FlowCalNumber,0),1,1)&gt;INDEX(FlowCalLowSetting,MATCH(N787,FlowCalNumber,0),1,1), (INDEX(FlowCalConstA,MATCH(N787,FlowCalNumber,0),1,1)*P797^INDEX(FlowCalConstB,MATCH(N787,FlowCalNumber,0),1,1)&lt;INDEX(FlowCalHighSetting,MATCH(N787,FlowCalNumber,0),1,1))),INDEX(FlowCalConstA,MATCH(N787,FlowCalNumber,0),1,1)*P797^INDEX(FlowCalConstB,MATCH(N787,FlowCalNumber,0),1,1)," ")</f>
        <v>#REF!</v>
      </c>
      <c r="R797" s="33"/>
      <c r="S797" s="242">
        <f t="shared" si="748"/>
        <v>1</v>
      </c>
      <c r="T797" s="241" t="e">
        <f t="shared" ca="1" si="749"/>
        <v>#REF!</v>
      </c>
      <c r="U797" s="244" t="e">
        <f ca="1">IF(AND(INDEX(FlowCalConstA,MATCH(R787,FlowCalNumber,0),1,1)*T797^INDEX(FlowCalConstB,MATCH(R787,FlowCalNumber,0),1,1)&gt;INDEX(FlowCalLowSetting,MATCH(R787,FlowCalNumber,0),1,1), (INDEX(FlowCalConstA,MATCH(R787,FlowCalNumber,0),1,1)*T797^INDEX(FlowCalConstB,MATCH(R787,FlowCalNumber,0),1,1)&lt;INDEX(FlowCalHighSetting,MATCH(R787,FlowCalNumber,0),1,1))),INDEX(FlowCalConstA,MATCH(R787,FlowCalNumber,0),1,1)*T797^INDEX(FlowCalConstB,MATCH(R787,FlowCalNumber,0),1,1)," ")</f>
        <v>#REF!</v>
      </c>
      <c r="V797" s="33"/>
      <c r="W797" s="242">
        <f t="shared" si="750"/>
        <v>0.1</v>
      </c>
      <c r="X797" s="241" t="e">
        <f t="shared" ca="1" si="751"/>
        <v>#REF!</v>
      </c>
      <c r="Y797" s="243" t="e">
        <f ca="1">IF(AND(INDEX(FlowCalConstA,MATCH(V787,FlowCalNumber,0),1,1)*X797^INDEX(FlowCalConstB,MATCH(V787,FlowCalNumber,0),1,1)&gt;INDEX(FlowCalLowSetting,MATCH(V787,FlowCalNumber,0),1,1), (INDEX(FlowCalConstA,MATCH(V787,FlowCalNumber,0),1,1)*X797^INDEX(FlowCalConstB,MATCH(V787,FlowCalNumber,0),1,1)&lt;INDEX(FlowCalHighSetting,MATCH(V787,FlowCalNumber,0),1,1))),INDEX(FlowCalConstA,MATCH(V787,FlowCalNumber,0),1,1)*X797^INDEX(FlowCalConstB,MATCH(V787,FlowCalNumber,0),1,1)," ")</f>
        <v>#REF!</v>
      </c>
      <c r="Z797" s="33"/>
      <c r="AA797" s="242">
        <f t="shared" si="752"/>
        <v>0.9</v>
      </c>
      <c r="AB797" s="241" t="e">
        <f t="shared" ca="1" si="753"/>
        <v>#REF!</v>
      </c>
      <c r="AC797" s="243" t="e">
        <f ca="1">IF(AND(INDEX(FlowCalConstA,MATCH(Z787,FlowCalNumber,0),1,1)*AB797^INDEX(FlowCalConstB,MATCH(Z787,FlowCalNumber,0),1,1)&gt;INDEX(FlowCalLowSetting,MATCH(Z787,FlowCalNumber,0),1,1), (INDEX(FlowCalConstA,MATCH(Z787,FlowCalNumber,0),1,1)*AB797^INDEX(FlowCalConstB,MATCH(Z787,FlowCalNumber,0),1,1)&lt;INDEX(FlowCalHighSetting,MATCH(Z787,FlowCalNumber,0),1,1))),INDEX(FlowCalConstA,MATCH(Z787,FlowCalNumber,0),1,1)*AB797^INDEX(FlowCalConstB,MATCH(Z787,FlowCalNumber,0),1,1)," ")</f>
        <v>#REF!</v>
      </c>
      <c r="AD797" s="33"/>
      <c r="AE797" s="242">
        <f t="shared" si="754"/>
        <v>0.1</v>
      </c>
      <c r="AF797" s="241" t="e">
        <f t="shared" ca="1" si="755"/>
        <v>#REF!</v>
      </c>
      <c r="AG797" s="243" t="e">
        <f ca="1">IF(AND(INDEX(FlowCalConstA,MATCH(AD787,FlowCalNumber,0),1,1)*AF797^INDEX(FlowCalConstB,MATCH(AD787,FlowCalNumber,0),1,1)&gt;INDEX(FlowCalLowSetting,MATCH(AD787,FlowCalNumber,0),1,1), (INDEX(FlowCalConstA,MATCH(AD787,FlowCalNumber,0),1,1)*AF797^INDEX(FlowCalConstB,MATCH(AD787,FlowCalNumber,0),1,1)&lt;INDEX(FlowCalHighSetting,MATCH(AD787,FlowCalNumber,0),1,1))),INDEX(FlowCalConstA,MATCH(AD787,FlowCalNumber,0),1,1)*AF797^INDEX(FlowCalConstB,MATCH(AD787,FlowCalNumber,0),1,1)," ")</f>
        <v>#REF!</v>
      </c>
      <c r="AH797" s="33"/>
      <c r="AI797" s="242">
        <f t="shared" si="756"/>
        <v>0.9</v>
      </c>
      <c r="AJ797" s="241" t="e">
        <f t="shared" ca="1" si="757"/>
        <v>#REF!</v>
      </c>
      <c r="AK797" s="243" t="e">
        <f ca="1">IF(AND(INDEX(FlowCalConstA,MATCH(AH787,FlowCalNumber,0),1,1)*AJ797^INDEX(FlowCalConstB,MATCH(AH787,FlowCalNumber,0),1,1)&gt;INDEX(FlowCalLowSetting,MATCH(AH787,FlowCalNumber,0),1,1), (INDEX(FlowCalConstA,MATCH(AH787,FlowCalNumber,0),1,1)*AJ797^INDEX(FlowCalConstB,MATCH(AH787,FlowCalNumber,0),1,1)&lt;INDEX(FlowCalHighSetting,MATCH(AH787,FlowCalNumber,0),1,1))),INDEX(FlowCalConstA,MATCH(AH787,FlowCalNumber,0),1,1)*AJ797^INDEX(FlowCalConstB,MATCH(AH787,FlowCalNumber,0),1,1)," ")</f>
        <v>#REF!</v>
      </c>
      <c r="AL797" s="33"/>
      <c r="AM797" s="242"/>
      <c r="AN797" s="241"/>
      <c r="AO797" s="244"/>
      <c r="AQ797" s="242"/>
      <c r="AR797" s="241"/>
      <c r="AS797" s="244"/>
      <c r="AT797" s="33"/>
      <c r="AU797" s="242"/>
      <c r="AV797" s="241"/>
      <c r="AW797" s="244"/>
      <c r="AX797" s="33"/>
      <c r="AY797" s="242"/>
      <c r="AZ797" s="241"/>
      <c r="BA797" s="244"/>
      <c r="BB797" s="33"/>
      <c r="BC797" s="242"/>
      <c r="BD797" s="241"/>
      <c r="BE797" s="244"/>
      <c r="BF797" s="33"/>
      <c r="BG797" s="242"/>
      <c r="BH797" s="241"/>
      <c r="BI797" s="244"/>
      <c r="BJ797" s="33"/>
      <c r="BK797" s="242"/>
      <c r="BL797" s="241"/>
      <c r="BM797" s="244"/>
      <c r="BN797" s="33"/>
      <c r="BO797" s="242"/>
      <c r="BP797" s="241"/>
      <c r="BQ797" s="244"/>
      <c r="BR797" s="33"/>
      <c r="BS797" s="242"/>
      <c r="BT797" s="241"/>
      <c r="BU797" s="244"/>
      <c r="BV797" s="33"/>
      <c r="BW797" s="242"/>
      <c r="BX797" s="241"/>
      <c r="BY797" s="244"/>
      <c r="BZ797" s="33"/>
      <c r="CA797" s="242"/>
      <c r="CB797" s="241"/>
      <c r="CC797" s="244"/>
      <c r="CD797" s="243"/>
      <c r="CE797" s="243"/>
      <c r="CF797" s="243"/>
      <c r="CG797" s="243"/>
      <c r="CH797" s="243"/>
      <c r="CI797" s="243"/>
      <c r="CJ797" s="243"/>
      <c r="CK797" s="243"/>
      <c r="CL797" s="243"/>
      <c r="CM797" s="243"/>
      <c r="CN797" s="243"/>
      <c r="CO797" s="243"/>
      <c r="CP797" s="243"/>
      <c r="CQ797" s="243"/>
      <c r="CR797" s="243"/>
      <c r="CS797" s="243"/>
      <c r="CT797" s="243"/>
      <c r="CU797" s="243"/>
      <c r="CV797" s="243"/>
      <c r="CW797" s="243"/>
      <c r="CX797" s="243"/>
      <c r="CY797" s="243"/>
      <c r="CZ797" s="243"/>
      <c r="DA797" s="243"/>
      <c r="DB797" s="243"/>
      <c r="DC797" s="243"/>
      <c r="DD797" s="243"/>
      <c r="DE797" s="243"/>
      <c r="DF797" s="243"/>
      <c r="DG797" s="243"/>
      <c r="DH797" s="243"/>
      <c r="DI797" s="243"/>
      <c r="DJ797" s="243"/>
      <c r="DK797" s="243"/>
      <c r="DM797" s="242"/>
      <c r="DO797" s="243"/>
      <c r="DQ797" s="242"/>
      <c r="DS797" s="243"/>
      <c r="DU797" s="242"/>
      <c r="DW797" s="243"/>
      <c r="DY797" s="242"/>
      <c r="EA797" s="243"/>
    </row>
    <row r="798" spans="1:131">
      <c r="A798" s="20"/>
      <c r="B798" s="124" t="str">
        <f t="shared" si="742"/>
        <v/>
      </c>
      <c r="C798" s="235"/>
      <c r="D798" s="24">
        <f>'1% Wind'!$M$92</f>
        <v>3.2</v>
      </c>
      <c r="E798" s="90"/>
      <c r="F798" s="90"/>
      <c r="G798" s="79" t="e">
        <f ca="1">IF(I787=0.9743,$G797,MAX(G797/D797*D798,2))</f>
        <v>#REF!</v>
      </c>
      <c r="H798" s="121" t="e">
        <f t="shared" ca="1" si="743"/>
        <v>#REF!</v>
      </c>
      <c r="J798" s="33"/>
      <c r="K798" s="242">
        <f t="shared" si="744"/>
        <v>1</v>
      </c>
      <c r="L798" s="241" t="e">
        <f t="shared" ca="1" si="745"/>
        <v>#REF!</v>
      </c>
      <c r="M798" s="243" t="e">
        <f ca="1">IF(AND(INDEX(FlowCalConstA,MATCH(J787,FlowCalNumber,0),1,1)*L798^INDEX(FlowCalConstB,MATCH(J787,FlowCalNumber,0),1,1)&gt;INDEX(FlowCalLowSetting,MATCH(J787,FlowCalNumber,0),1,1), (INDEX(FlowCalConstA,MATCH(J787,FlowCalNumber,0),1,1)*L798^INDEX(FlowCalConstB,MATCH(J787,FlowCalNumber,0),1,1)&lt;INDEX(FlowCalHighSetting,MATCH(J787,FlowCalNumber,0),1,1))),INDEX(FlowCalConstA,MATCH(J787,FlowCalNumber,0),1,1)*L798^INDEX(FlowCalConstB,MATCH(J787,FlowCalNumber,0),1,1)," ")</f>
        <v>#REF!</v>
      </c>
      <c r="N798" s="33"/>
      <c r="O798" s="242">
        <f t="shared" si="746"/>
        <v>1</v>
      </c>
      <c r="P798" s="241" t="e">
        <f t="shared" ca="1" si="747"/>
        <v>#REF!</v>
      </c>
      <c r="Q798" s="243" t="e">
        <f ca="1">IF(AND(INDEX(FlowCalConstA,MATCH(N787,FlowCalNumber,0),1,1)*P798^INDEX(FlowCalConstB,MATCH(N787,FlowCalNumber,0),1,1)&gt;INDEX(FlowCalLowSetting,MATCH(N787,FlowCalNumber,0),1,1), (INDEX(FlowCalConstA,MATCH(N787,FlowCalNumber,0),1,1)*P798^INDEX(FlowCalConstB,MATCH(N787,FlowCalNumber,0),1,1)&lt;INDEX(FlowCalHighSetting,MATCH(N787,FlowCalNumber,0),1,1))),INDEX(FlowCalConstA,MATCH(N787,FlowCalNumber,0),1,1)*P798^INDEX(FlowCalConstB,MATCH(N787,FlowCalNumber,0),1,1)," ")</f>
        <v>#REF!</v>
      </c>
      <c r="R798" s="33"/>
      <c r="S798" s="242">
        <f t="shared" si="748"/>
        <v>1</v>
      </c>
      <c r="T798" s="241" t="e">
        <f t="shared" ca="1" si="749"/>
        <v>#REF!</v>
      </c>
      <c r="U798" s="244" t="e">
        <f ca="1">IF(AND(INDEX(FlowCalConstA,MATCH(R787,FlowCalNumber,0),1,1)*T798^INDEX(FlowCalConstB,MATCH(R787,FlowCalNumber,0),1,1)&gt;INDEX(FlowCalLowSetting,MATCH(R787,FlowCalNumber,0),1,1), (INDEX(FlowCalConstA,MATCH(R787,FlowCalNumber,0),1,1)*T798^INDEX(FlowCalConstB,MATCH(R787,FlowCalNumber,0),1,1)&lt;INDEX(FlowCalHighSetting,MATCH(R787,FlowCalNumber,0),1,1))),INDEX(FlowCalConstA,MATCH(R787,FlowCalNumber,0),1,1)*T798^INDEX(FlowCalConstB,MATCH(R787,FlowCalNumber,0),1,1)," ")</f>
        <v>#REF!</v>
      </c>
      <c r="V798" s="33"/>
      <c r="W798" s="242">
        <f t="shared" si="750"/>
        <v>0.1</v>
      </c>
      <c r="X798" s="241" t="e">
        <f t="shared" ca="1" si="751"/>
        <v>#REF!</v>
      </c>
      <c r="Y798" s="243" t="e">
        <f ca="1">IF(AND(INDEX(FlowCalConstA,MATCH(V787,FlowCalNumber,0),1,1)*X798^INDEX(FlowCalConstB,MATCH(V787,FlowCalNumber,0),1,1)&gt;INDEX(FlowCalLowSetting,MATCH(V787,FlowCalNumber,0),1,1), (INDEX(FlowCalConstA,MATCH(V787,FlowCalNumber,0),1,1)*X798^INDEX(FlowCalConstB,MATCH(V787,FlowCalNumber,0),1,1)&lt;INDEX(FlowCalHighSetting,MATCH(V787,FlowCalNumber,0),1,1))),INDEX(FlowCalConstA,MATCH(V787,FlowCalNumber,0),1,1)*X798^INDEX(FlowCalConstB,MATCH(V787,FlowCalNumber,0),1,1)," ")</f>
        <v>#REF!</v>
      </c>
      <c r="Z798" s="33"/>
      <c r="AA798" s="242">
        <f t="shared" si="752"/>
        <v>0.9</v>
      </c>
      <c r="AB798" s="241" t="e">
        <f t="shared" ca="1" si="753"/>
        <v>#REF!</v>
      </c>
      <c r="AC798" s="243" t="e">
        <f ca="1">IF(AND(INDEX(FlowCalConstA,MATCH(Z787,FlowCalNumber,0),1,1)*AB798^INDEX(FlowCalConstB,MATCH(Z787,FlowCalNumber,0),1,1)&gt;INDEX(FlowCalLowSetting,MATCH(Z787,FlowCalNumber,0),1,1), (INDEX(FlowCalConstA,MATCH(Z787,FlowCalNumber,0),1,1)*AB798^INDEX(FlowCalConstB,MATCH(Z787,FlowCalNumber,0),1,1)&lt;INDEX(FlowCalHighSetting,MATCH(Z787,FlowCalNumber,0),1,1))),INDEX(FlowCalConstA,MATCH(Z787,FlowCalNumber,0),1,1)*AB798^INDEX(FlowCalConstB,MATCH(Z787,FlowCalNumber,0),1,1)," ")</f>
        <v>#REF!</v>
      </c>
      <c r="AD798" s="33"/>
      <c r="AE798" s="242">
        <f t="shared" si="754"/>
        <v>0.1</v>
      </c>
      <c r="AF798" s="241" t="e">
        <f t="shared" ca="1" si="755"/>
        <v>#REF!</v>
      </c>
      <c r="AG798" s="243" t="e">
        <f ca="1">IF(AND(INDEX(FlowCalConstA,MATCH(AD787,FlowCalNumber,0),1,1)*AF798^INDEX(FlowCalConstB,MATCH(AD787,FlowCalNumber,0),1,1)&gt;INDEX(FlowCalLowSetting,MATCH(AD787,FlowCalNumber,0),1,1), (INDEX(FlowCalConstA,MATCH(AD787,FlowCalNumber,0),1,1)*AF798^INDEX(FlowCalConstB,MATCH(AD787,FlowCalNumber,0),1,1)&lt;INDEX(FlowCalHighSetting,MATCH(AD787,FlowCalNumber,0),1,1))),INDEX(FlowCalConstA,MATCH(AD787,FlowCalNumber,0),1,1)*AF798^INDEX(FlowCalConstB,MATCH(AD787,FlowCalNumber,0),1,1)," ")</f>
        <v>#REF!</v>
      </c>
      <c r="AH798" s="33"/>
      <c r="AI798" s="242">
        <f t="shared" si="756"/>
        <v>0.9</v>
      </c>
      <c r="AJ798" s="241" t="e">
        <f t="shared" ca="1" si="757"/>
        <v>#REF!</v>
      </c>
      <c r="AK798" s="243" t="e">
        <f ca="1">IF(AND(INDEX(FlowCalConstA,MATCH(AH787,FlowCalNumber,0),1,1)*AJ798^INDEX(FlowCalConstB,MATCH(AH787,FlowCalNumber,0),1,1)&gt;INDEX(FlowCalLowSetting,MATCH(AH787,FlowCalNumber,0),1,1), (INDEX(FlowCalConstA,MATCH(AH787,FlowCalNumber,0),1,1)*AJ798^INDEX(FlowCalConstB,MATCH(AH787,FlowCalNumber,0),1,1)&lt;INDEX(FlowCalHighSetting,MATCH(AH787,FlowCalNumber,0),1,1))),INDEX(FlowCalConstA,MATCH(AH787,FlowCalNumber,0),1,1)*AJ798^INDEX(FlowCalConstB,MATCH(AH787,FlowCalNumber,0),1,1)," ")</f>
        <v>#REF!</v>
      </c>
      <c r="AL798" s="33"/>
      <c r="AM798" s="242"/>
      <c r="AN798" s="241"/>
      <c r="AO798" s="244"/>
      <c r="AQ798" s="242"/>
      <c r="AR798" s="241"/>
      <c r="AS798" s="244"/>
      <c r="AT798" s="33"/>
      <c r="AU798" s="242"/>
      <c r="AV798" s="241"/>
      <c r="AW798" s="244"/>
      <c r="AX798" s="33"/>
      <c r="AY798" s="242"/>
      <c r="AZ798" s="241"/>
      <c r="BA798" s="244"/>
      <c r="BB798" s="33"/>
      <c r="BC798" s="242"/>
      <c r="BD798" s="241"/>
      <c r="BE798" s="244"/>
      <c r="BF798" s="33"/>
      <c r="BG798" s="242"/>
      <c r="BH798" s="241"/>
      <c r="BI798" s="244"/>
      <c r="BJ798" s="33"/>
      <c r="BK798" s="242"/>
      <c r="BL798" s="241"/>
      <c r="BM798" s="244"/>
      <c r="BN798" s="33"/>
      <c r="BO798" s="242"/>
      <c r="BP798" s="241"/>
      <c r="BQ798" s="244"/>
      <c r="BR798" s="33"/>
      <c r="BS798" s="242"/>
      <c r="BT798" s="241"/>
      <c r="BU798" s="244"/>
      <c r="BV798" s="33"/>
      <c r="BW798" s="242"/>
      <c r="BX798" s="241"/>
      <c r="BY798" s="244"/>
      <c r="BZ798" s="33"/>
      <c r="CA798" s="242"/>
      <c r="CB798" s="241"/>
      <c r="CC798" s="244"/>
      <c r="CD798" s="243"/>
      <c r="CE798" s="243"/>
      <c r="CF798" s="243"/>
      <c r="CG798" s="243"/>
      <c r="CH798" s="243"/>
      <c r="CI798" s="243"/>
      <c r="CJ798" s="243"/>
      <c r="CK798" s="243"/>
      <c r="CL798" s="243"/>
      <c r="CM798" s="243"/>
      <c r="CN798" s="243"/>
      <c r="CO798" s="243"/>
      <c r="CP798" s="243"/>
      <c r="CQ798" s="243"/>
      <c r="CR798" s="243"/>
      <c r="CS798" s="243"/>
      <c r="CT798" s="243"/>
      <c r="CU798" s="243"/>
      <c r="CV798" s="243"/>
      <c r="CW798" s="243"/>
      <c r="CX798" s="243"/>
      <c r="CY798" s="243"/>
      <c r="CZ798" s="243"/>
      <c r="DA798" s="243"/>
      <c r="DB798" s="243"/>
      <c r="DC798" s="243"/>
      <c r="DD798" s="243"/>
      <c r="DE798" s="243"/>
      <c r="DF798" s="243"/>
      <c r="DG798" s="243"/>
      <c r="DH798" s="243"/>
      <c r="DI798" s="243"/>
      <c r="DJ798" s="243"/>
      <c r="DK798" s="243"/>
      <c r="DM798" s="242"/>
      <c r="DO798" s="243"/>
      <c r="DQ798" s="242"/>
      <c r="DS798" s="243"/>
      <c r="DU798" s="242"/>
      <c r="DW798" s="243"/>
      <c r="DY798" s="242"/>
      <c r="EA798" s="243"/>
    </row>
    <row r="799" spans="1:131">
      <c r="A799" s="20"/>
      <c r="B799" s="124" t="str">
        <f t="shared" si="742"/>
        <v/>
      </c>
      <c r="C799" s="235"/>
      <c r="D799" s="24">
        <f>'1% Wind'!$M$93</f>
        <v>2.4</v>
      </c>
      <c r="E799" s="90"/>
      <c r="F799" s="90"/>
      <c r="G799" s="79" t="e">
        <f ca="1">IF(I787=0.9743,$G798,MAX(G798/D798*D799,2))</f>
        <v>#REF!</v>
      </c>
      <c r="H799" s="121" t="e">
        <f t="shared" ca="1" si="743"/>
        <v>#REF!</v>
      </c>
      <c r="J799" s="33"/>
      <c r="K799" s="242">
        <f t="shared" si="744"/>
        <v>1</v>
      </c>
      <c r="L799" s="241" t="e">
        <f t="shared" ca="1" si="745"/>
        <v>#REF!</v>
      </c>
      <c r="M799" s="243" t="e">
        <f ca="1">IF(AND(INDEX(FlowCalConstA,MATCH(J787,FlowCalNumber,0),1,1)*L799^INDEX(FlowCalConstB,MATCH(J787,FlowCalNumber,0),1,1)&gt;INDEX(FlowCalLowSetting,MATCH(J787,FlowCalNumber,0),1,1), (INDEX(FlowCalConstA,MATCH(J787,FlowCalNumber,0),1,1)*L799^INDEX(FlowCalConstB,MATCH(J787,FlowCalNumber,0),1,1)&lt;INDEX(FlowCalHighSetting,MATCH(J787,FlowCalNumber,0),1,1))),INDEX(FlowCalConstA,MATCH(J787,FlowCalNumber,0),1,1)*L799^INDEX(FlowCalConstB,MATCH(J787,FlowCalNumber,0),1,1)," ")</f>
        <v>#REF!</v>
      </c>
      <c r="N799" s="33"/>
      <c r="O799" s="242">
        <f t="shared" si="746"/>
        <v>1</v>
      </c>
      <c r="P799" s="241" t="e">
        <f t="shared" ca="1" si="747"/>
        <v>#REF!</v>
      </c>
      <c r="Q799" s="243" t="e">
        <f ca="1">IF(AND(INDEX(FlowCalConstA,MATCH(N787,FlowCalNumber,0),1,1)*P799^INDEX(FlowCalConstB,MATCH(N787,FlowCalNumber,0),1,1)&gt;INDEX(FlowCalLowSetting,MATCH(N787,FlowCalNumber,0),1,1), (INDEX(FlowCalConstA,MATCH(N787,FlowCalNumber,0),1,1)*P799^INDEX(FlowCalConstB,MATCH(N787,FlowCalNumber,0),1,1)&lt;INDEX(FlowCalHighSetting,MATCH(N787,FlowCalNumber,0),1,1))),INDEX(FlowCalConstA,MATCH(N787,FlowCalNumber,0),1,1)*P799^INDEX(FlowCalConstB,MATCH(N787,FlowCalNumber,0),1,1)," ")</f>
        <v>#REF!</v>
      </c>
      <c r="R799" s="33"/>
      <c r="S799" s="242">
        <f t="shared" si="748"/>
        <v>1</v>
      </c>
      <c r="T799" s="241" t="e">
        <f t="shared" ca="1" si="749"/>
        <v>#REF!</v>
      </c>
      <c r="U799" s="244" t="e">
        <f ca="1">IF(AND(INDEX(FlowCalConstA,MATCH(R787,FlowCalNumber,0),1,1)*T799^INDEX(FlowCalConstB,MATCH(R787,FlowCalNumber,0),1,1)&gt;INDEX(FlowCalLowSetting,MATCH(R787,FlowCalNumber,0),1,1), (INDEX(FlowCalConstA,MATCH(R787,FlowCalNumber,0),1,1)*T799^INDEX(FlowCalConstB,MATCH(R787,FlowCalNumber,0),1,1)&lt;INDEX(FlowCalHighSetting,MATCH(R787,FlowCalNumber,0),1,1))),INDEX(FlowCalConstA,MATCH(R787,FlowCalNumber,0),1,1)*T799^INDEX(FlowCalConstB,MATCH(R787,FlowCalNumber,0),1,1)," ")</f>
        <v>#REF!</v>
      </c>
      <c r="V799" s="33"/>
      <c r="W799" s="242">
        <f t="shared" si="750"/>
        <v>0.1</v>
      </c>
      <c r="X799" s="241" t="e">
        <f t="shared" ca="1" si="751"/>
        <v>#REF!</v>
      </c>
      <c r="Y799" s="243" t="e">
        <f ca="1">IF(AND(INDEX(FlowCalConstA,MATCH(V787,FlowCalNumber,0),1,1)*X799^INDEX(FlowCalConstB,MATCH(V787,FlowCalNumber,0),1,1)&gt;INDEX(FlowCalLowSetting,MATCH(V787,FlowCalNumber,0),1,1), (INDEX(FlowCalConstA,MATCH(V787,FlowCalNumber,0),1,1)*X799^INDEX(FlowCalConstB,MATCH(V787,FlowCalNumber,0),1,1)&lt;INDEX(FlowCalHighSetting,MATCH(V787,FlowCalNumber,0),1,1))),INDEX(FlowCalConstA,MATCH(V787,FlowCalNumber,0),1,1)*X799^INDEX(FlowCalConstB,MATCH(V787,FlowCalNumber,0),1,1)," ")</f>
        <v>#REF!</v>
      </c>
      <c r="Z799" s="33"/>
      <c r="AA799" s="242">
        <f t="shared" si="752"/>
        <v>0.9</v>
      </c>
      <c r="AB799" s="241" t="e">
        <f t="shared" ca="1" si="753"/>
        <v>#REF!</v>
      </c>
      <c r="AC799" s="243" t="e">
        <f ca="1">IF(AND(INDEX(FlowCalConstA,MATCH(Z787,FlowCalNumber,0),1,1)*AB799^INDEX(FlowCalConstB,MATCH(Z787,FlowCalNumber,0),1,1)&gt;INDEX(FlowCalLowSetting,MATCH(Z787,FlowCalNumber,0),1,1), (INDEX(FlowCalConstA,MATCH(Z787,FlowCalNumber,0),1,1)*AB799^INDEX(FlowCalConstB,MATCH(Z787,FlowCalNumber,0),1,1)&lt;INDEX(FlowCalHighSetting,MATCH(Z787,FlowCalNumber,0),1,1))),INDEX(FlowCalConstA,MATCH(Z787,FlowCalNumber,0),1,1)*AB799^INDEX(FlowCalConstB,MATCH(Z787,FlowCalNumber,0),1,1)," ")</f>
        <v>#REF!</v>
      </c>
      <c r="AD799" s="33"/>
      <c r="AE799" s="242">
        <f t="shared" si="754"/>
        <v>0.1</v>
      </c>
      <c r="AF799" s="241" t="e">
        <f t="shared" ca="1" si="755"/>
        <v>#REF!</v>
      </c>
      <c r="AG799" s="243" t="e">
        <f ca="1">IF(AND(INDEX(FlowCalConstA,MATCH(AD787,FlowCalNumber,0),1,1)*AF799^INDEX(FlowCalConstB,MATCH(AD787,FlowCalNumber,0),1,1)&gt;INDEX(FlowCalLowSetting,MATCH(AD787,FlowCalNumber,0),1,1), (INDEX(FlowCalConstA,MATCH(AD787,FlowCalNumber,0),1,1)*AF799^INDEX(FlowCalConstB,MATCH(AD787,FlowCalNumber,0),1,1)&lt;INDEX(FlowCalHighSetting,MATCH(AD787,FlowCalNumber,0),1,1))),INDEX(FlowCalConstA,MATCH(AD787,FlowCalNumber,0),1,1)*AF799^INDEX(FlowCalConstB,MATCH(AD787,FlowCalNumber,0),1,1)," ")</f>
        <v>#REF!</v>
      </c>
      <c r="AH799" s="33"/>
      <c r="AI799" s="242">
        <f t="shared" si="756"/>
        <v>0.9</v>
      </c>
      <c r="AJ799" s="241" t="e">
        <f t="shared" ca="1" si="757"/>
        <v>#REF!</v>
      </c>
      <c r="AK799" s="243" t="e">
        <f ca="1">IF(AND(INDEX(FlowCalConstA,MATCH(AH787,FlowCalNumber,0),1,1)*AJ799^INDEX(FlowCalConstB,MATCH(AH787,FlowCalNumber,0),1,1)&gt;INDEX(FlowCalLowSetting,MATCH(AH787,FlowCalNumber,0),1,1), (INDEX(FlowCalConstA,MATCH(AH787,FlowCalNumber,0),1,1)*AJ799^INDEX(FlowCalConstB,MATCH(AH787,FlowCalNumber,0),1,1)&lt;INDEX(FlowCalHighSetting,MATCH(AH787,FlowCalNumber,0),1,1))),INDEX(FlowCalConstA,MATCH(AH787,FlowCalNumber,0),1,1)*AJ799^INDEX(FlowCalConstB,MATCH(AH787,FlowCalNumber,0),1,1)," ")</f>
        <v>#REF!</v>
      </c>
      <c r="AL799" s="33"/>
      <c r="AM799" s="242"/>
      <c r="AN799" s="241"/>
      <c r="AO799" s="244"/>
      <c r="AQ799" s="242"/>
      <c r="AR799" s="241"/>
      <c r="AS799" s="244"/>
      <c r="AT799" s="33"/>
      <c r="AU799" s="242"/>
      <c r="AV799" s="241"/>
      <c r="AW799" s="244"/>
      <c r="AX799" s="33"/>
      <c r="AY799" s="242"/>
      <c r="AZ799" s="241"/>
      <c r="BA799" s="244"/>
      <c r="BB799" s="33"/>
      <c r="BC799" s="242"/>
      <c r="BD799" s="241"/>
      <c r="BE799" s="244"/>
      <c r="BF799" s="33"/>
      <c r="BG799" s="242"/>
      <c r="BH799" s="241"/>
      <c r="BI799" s="244"/>
      <c r="BJ799" s="33"/>
      <c r="BK799" s="242"/>
      <c r="BL799" s="241"/>
      <c r="BM799" s="244"/>
      <c r="BN799" s="33"/>
      <c r="BO799" s="242"/>
      <c r="BP799" s="241"/>
      <c r="BQ799" s="244"/>
      <c r="BR799" s="33"/>
      <c r="BS799" s="242"/>
      <c r="BT799" s="241"/>
      <c r="BU799" s="244"/>
      <c r="BV799" s="33"/>
      <c r="BW799" s="242"/>
      <c r="BX799" s="241"/>
      <c r="BY799" s="244"/>
      <c r="BZ799" s="33"/>
      <c r="CA799" s="242"/>
      <c r="CB799" s="241"/>
      <c r="CC799" s="244"/>
      <c r="CD799" s="243"/>
      <c r="CE799" s="243"/>
      <c r="CF799" s="243"/>
      <c r="CG799" s="243"/>
      <c r="CH799" s="243"/>
      <c r="CI799" s="243"/>
      <c r="CJ799" s="243"/>
      <c r="CK799" s="243"/>
      <c r="CL799" s="243"/>
      <c r="CM799" s="243"/>
      <c r="CN799" s="243"/>
      <c r="CO799" s="243"/>
      <c r="CP799" s="243"/>
      <c r="CQ799" s="243"/>
      <c r="CR799" s="243"/>
      <c r="CS799" s="243"/>
      <c r="CT799" s="243"/>
      <c r="CU799" s="243"/>
      <c r="CV799" s="243"/>
      <c r="CW799" s="243"/>
      <c r="CX799" s="243"/>
      <c r="CY799" s="243"/>
      <c r="CZ799" s="243"/>
      <c r="DA799" s="243"/>
      <c r="DB799" s="243"/>
      <c r="DC799" s="243"/>
      <c r="DD799" s="243"/>
      <c r="DE799" s="243"/>
      <c r="DF799" s="243"/>
      <c r="DG799" s="243"/>
      <c r="DH799" s="243"/>
      <c r="DI799" s="243"/>
      <c r="DJ799" s="243"/>
      <c r="DK799" s="243"/>
      <c r="DM799" s="242"/>
      <c r="DO799" s="243"/>
      <c r="DQ799" s="242"/>
      <c r="DS799" s="243"/>
      <c r="DU799" s="242"/>
      <c r="DW799" s="243"/>
      <c r="DY799" s="242"/>
      <c r="EA799" s="243"/>
    </row>
    <row r="800" spans="1:131">
      <c r="A800" s="20"/>
      <c r="B800" s="124" t="str">
        <f t="shared" si="742"/>
        <v/>
      </c>
      <c r="C800" s="235"/>
      <c r="D800" s="24">
        <f>'1% Wind'!$M$94</f>
        <v>1.8</v>
      </c>
      <c r="E800" s="90"/>
      <c r="F800" s="90"/>
      <c r="G800" s="79" t="e">
        <f ca="1">IF(I787=0.9743,$G799,MAX(G799/D799*D800,2))</f>
        <v>#REF!</v>
      </c>
      <c r="H800" s="121" t="e">
        <f t="shared" ca="1" si="743"/>
        <v>#REF!</v>
      </c>
      <c r="J800" s="33"/>
      <c r="K800" s="242">
        <f t="shared" si="744"/>
        <v>1</v>
      </c>
      <c r="L800" s="241" t="e">
        <f t="shared" ca="1" si="745"/>
        <v>#REF!</v>
      </c>
      <c r="M800" s="243" t="e">
        <f ca="1">IF(AND(INDEX(FlowCalConstA,MATCH(J787,FlowCalNumber,0),1,1)*L800^INDEX(FlowCalConstB,MATCH(J787,FlowCalNumber,0),1,1)&gt;INDEX(FlowCalLowSetting,MATCH(J787,FlowCalNumber,0),1,1), (INDEX(FlowCalConstA,MATCH(J787,FlowCalNumber,0),1,1)*L800^INDEX(FlowCalConstB,MATCH(J787,FlowCalNumber,0),1,1)&lt;INDEX(FlowCalHighSetting,MATCH(J787,FlowCalNumber,0),1,1))),INDEX(FlowCalConstA,MATCH(J787,FlowCalNumber,0),1,1)*L800^INDEX(FlowCalConstB,MATCH(J787,FlowCalNumber,0),1,1)," ")</f>
        <v>#REF!</v>
      </c>
      <c r="N800" s="33"/>
      <c r="O800" s="242">
        <f t="shared" si="746"/>
        <v>1</v>
      </c>
      <c r="P800" s="241" t="e">
        <f t="shared" ca="1" si="747"/>
        <v>#REF!</v>
      </c>
      <c r="Q800" s="243" t="e">
        <f ca="1">IF(AND(INDEX(FlowCalConstA,MATCH(N787,FlowCalNumber,0),1,1)*P800^INDEX(FlowCalConstB,MATCH(N787,FlowCalNumber,0),1,1)&gt;INDEX(FlowCalLowSetting,MATCH(N787,FlowCalNumber,0),1,1), (INDEX(FlowCalConstA,MATCH(N787,FlowCalNumber,0),1,1)*P800^INDEX(FlowCalConstB,MATCH(N787,FlowCalNumber,0),1,1)&lt;INDEX(FlowCalHighSetting,MATCH(N787,FlowCalNumber,0),1,1))),INDEX(FlowCalConstA,MATCH(N787,FlowCalNumber,0),1,1)*P800^INDEX(FlowCalConstB,MATCH(N787,FlowCalNumber,0),1,1)," ")</f>
        <v>#REF!</v>
      </c>
      <c r="R800" s="33"/>
      <c r="S800" s="242">
        <f t="shared" si="748"/>
        <v>1</v>
      </c>
      <c r="T800" s="241" t="e">
        <f t="shared" ca="1" si="749"/>
        <v>#REF!</v>
      </c>
      <c r="U800" s="244" t="e">
        <f ca="1">IF(AND(INDEX(FlowCalConstA,MATCH(R787,FlowCalNumber,0),1,1)*T800^INDEX(FlowCalConstB,MATCH(R787,FlowCalNumber,0),1,1)&gt;INDEX(FlowCalLowSetting,MATCH(R787,FlowCalNumber,0),1,1), (INDEX(FlowCalConstA,MATCH(R787,FlowCalNumber,0),1,1)*T800^INDEX(FlowCalConstB,MATCH(R787,FlowCalNumber,0),1,1)&lt;INDEX(FlowCalHighSetting,MATCH(R787,FlowCalNumber,0),1,1))),INDEX(FlowCalConstA,MATCH(R787,FlowCalNumber,0),1,1)*T800^INDEX(FlowCalConstB,MATCH(R787,FlowCalNumber,0),1,1)," ")</f>
        <v>#REF!</v>
      </c>
      <c r="V800" s="33"/>
      <c r="W800" s="242">
        <f t="shared" si="750"/>
        <v>0.1</v>
      </c>
      <c r="X800" s="241" t="e">
        <f t="shared" ca="1" si="751"/>
        <v>#REF!</v>
      </c>
      <c r="Y800" s="243" t="e">
        <f ca="1">IF(AND(INDEX(FlowCalConstA,MATCH(V787,FlowCalNumber,0),1,1)*X800^INDEX(FlowCalConstB,MATCH(V787,FlowCalNumber,0),1,1)&gt;INDEX(FlowCalLowSetting,MATCH(V787,FlowCalNumber,0),1,1), (INDEX(FlowCalConstA,MATCH(V787,FlowCalNumber,0),1,1)*X800^INDEX(FlowCalConstB,MATCH(V787,FlowCalNumber,0),1,1)&lt;INDEX(FlowCalHighSetting,MATCH(V787,FlowCalNumber,0),1,1))),INDEX(FlowCalConstA,MATCH(V787,FlowCalNumber,0),1,1)*X800^INDEX(FlowCalConstB,MATCH(V787,FlowCalNumber,0),1,1)," ")</f>
        <v>#REF!</v>
      </c>
      <c r="Z800" s="33"/>
      <c r="AA800" s="242">
        <f t="shared" si="752"/>
        <v>0.9</v>
      </c>
      <c r="AB800" s="241" t="e">
        <f t="shared" ca="1" si="753"/>
        <v>#REF!</v>
      </c>
      <c r="AC800" s="243" t="e">
        <f ca="1">IF(AND(INDEX(FlowCalConstA,MATCH(Z787,FlowCalNumber,0),1,1)*AB800^INDEX(FlowCalConstB,MATCH(Z787,FlowCalNumber,0),1,1)&gt;INDEX(FlowCalLowSetting,MATCH(Z787,FlowCalNumber,0),1,1), (INDEX(FlowCalConstA,MATCH(Z787,FlowCalNumber,0),1,1)*AB800^INDEX(FlowCalConstB,MATCH(Z787,FlowCalNumber,0),1,1)&lt;INDEX(FlowCalHighSetting,MATCH(Z787,FlowCalNumber,0),1,1))),INDEX(FlowCalConstA,MATCH(Z787,FlowCalNumber,0),1,1)*AB800^INDEX(FlowCalConstB,MATCH(Z787,FlowCalNumber,0),1,1)," ")</f>
        <v>#REF!</v>
      </c>
      <c r="AD800" s="33"/>
      <c r="AE800" s="242">
        <f t="shared" si="754"/>
        <v>0.1</v>
      </c>
      <c r="AF800" s="241" t="e">
        <f t="shared" ca="1" si="755"/>
        <v>#REF!</v>
      </c>
      <c r="AG800" s="243" t="e">
        <f ca="1">IF(AND(INDEX(FlowCalConstA,MATCH(AD787,FlowCalNumber,0),1,1)*AF800^INDEX(FlowCalConstB,MATCH(AD787,FlowCalNumber,0),1,1)&gt;INDEX(FlowCalLowSetting,MATCH(AD787,FlowCalNumber,0),1,1), (INDEX(FlowCalConstA,MATCH(AD787,FlowCalNumber,0),1,1)*AF800^INDEX(FlowCalConstB,MATCH(AD787,FlowCalNumber,0),1,1)&lt;INDEX(FlowCalHighSetting,MATCH(AD787,FlowCalNumber,0),1,1))),INDEX(FlowCalConstA,MATCH(AD787,FlowCalNumber,0),1,1)*AF800^INDEX(FlowCalConstB,MATCH(AD787,FlowCalNumber,0),1,1)," ")</f>
        <v>#REF!</v>
      </c>
      <c r="AH800" s="33"/>
      <c r="AI800" s="242">
        <f t="shared" si="756"/>
        <v>0.9</v>
      </c>
      <c r="AJ800" s="241" t="e">
        <f t="shared" ca="1" si="757"/>
        <v>#REF!</v>
      </c>
      <c r="AK800" s="243" t="e">
        <f ca="1">IF(AND(INDEX(FlowCalConstA,MATCH(AH787,FlowCalNumber,0),1,1)*AJ800^INDEX(FlowCalConstB,MATCH(AH787,FlowCalNumber,0),1,1)&gt;INDEX(FlowCalLowSetting,MATCH(AH787,FlowCalNumber,0),1,1), (INDEX(FlowCalConstA,MATCH(AH787,FlowCalNumber,0),1,1)*AJ800^INDEX(FlowCalConstB,MATCH(AH787,FlowCalNumber,0),1,1)&lt;INDEX(FlowCalHighSetting,MATCH(AH787,FlowCalNumber,0),1,1))),INDEX(FlowCalConstA,MATCH(AH787,FlowCalNumber,0),1,1)*AJ800^INDEX(FlowCalConstB,MATCH(AH787,FlowCalNumber,0),1,1)," ")</f>
        <v>#REF!</v>
      </c>
      <c r="AL800" s="33"/>
      <c r="AM800" s="242"/>
      <c r="AN800" s="241"/>
      <c r="AO800" s="244"/>
      <c r="AQ800" s="242"/>
      <c r="AR800" s="241"/>
      <c r="AS800" s="244"/>
      <c r="AT800" s="33"/>
      <c r="AU800" s="242"/>
      <c r="AV800" s="241"/>
      <c r="AW800" s="244"/>
      <c r="AX800" s="33"/>
      <c r="AY800" s="242"/>
      <c r="AZ800" s="241"/>
      <c r="BA800" s="244"/>
      <c r="BB800" s="33"/>
      <c r="BC800" s="242"/>
      <c r="BD800" s="241"/>
      <c r="BE800" s="244"/>
      <c r="BF800" s="33"/>
      <c r="BG800" s="242"/>
      <c r="BH800" s="241"/>
      <c r="BI800" s="244"/>
      <c r="BJ800" s="33"/>
      <c r="BK800" s="242"/>
      <c r="BL800" s="241"/>
      <c r="BM800" s="244"/>
      <c r="BN800" s="33"/>
      <c r="BO800" s="242"/>
      <c r="BP800" s="241"/>
      <c r="BQ800" s="244"/>
      <c r="BR800" s="33"/>
      <c r="BS800" s="242"/>
      <c r="BT800" s="241"/>
      <c r="BU800" s="244"/>
      <c r="BV800" s="33"/>
      <c r="BW800" s="242"/>
      <c r="BX800" s="241"/>
      <c r="BY800" s="244"/>
      <c r="BZ800" s="33"/>
      <c r="CA800" s="242"/>
      <c r="CB800" s="241"/>
      <c r="CC800" s="244"/>
      <c r="CD800" s="243"/>
      <c r="CE800" s="243"/>
      <c r="CF800" s="243"/>
      <c r="CG800" s="243"/>
      <c r="CH800" s="243"/>
      <c r="CI800" s="243"/>
      <c r="CJ800" s="243"/>
      <c r="CK800" s="243"/>
      <c r="CL800" s="243"/>
      <c r="CM800" s="243"/>
      <c r="CN800" s="243"/>
      <c r="CO800" s="243"/>
      <c r="CP800" s="243"/>
      <c r="CQ800" s="243"/>
      <c r="CR800" s="243"/>
      <c r="CS800" s="243"/>
      <c r="CT800" s="243"/>
      <c r="CU800" s="243"/>
      <c r="CV800" s="243"/>
      <c r="CW800" s="243"/>
      <c r="CX800" s="243"/>
      <c r="CY800" s="243"/>
      <c r="CZ800" s="243"/>
      <c r="DA800" s="243"/>
      <c r="DB800" s="243"/>
      <c r="DC800" s="243"/>
      <c r="DD800" s="243"/>
      <c r="DE800" s="243"/>
      <c r="DF800" s="243"/>
      <c r="DG800" s="243"/>
      <c r="DH800" s="243"/>
      <c r="DI800" s="243"/>
      <c r="DJ800" s="243"/>
      <c r="DK800" s="243"/>
      <c r="DM800" s="242"/>
      <c r="DO800" s="243"/>
      <c r="DQ800" s="242"/>
      <c r="DS800" s="243"/>
      <c r="DU800" s="242"/>
      <c r="DW800" s="243"/>
      <c r="DY800" s="242"/>
      <c r="EA800" s="243"/>
    </row>
    <row r="801" spans="1:131">
      <c r="A801" s="20"/>
      <c r="B801" s="124" t="str">
        <f t="shared" si="742"/>
        <v/>
      </c>
      <c r="C801" s="235"/>
      <c r="D801" s="24">
        <f>'1% Wind'!$M$95</f>
        <v>1.3</v>
      </c>
      <c r="E801" s="90"/>
      <c r="F801" s="90"/>
      <c r="G801" s="79" t="e">
        <f ca="1">IF(I787=0.9743,$G800,MAX(G800/D800*D801,2))</f>
        <v>#REF!</v>
      </c>
      <c r="H801" s="121" t="e">
        <f t="shared" ca="1" si="743"/>
        <v>#REF!</v>
      </c>
      <c r="J801" s="33"/>
      <c r="K801" s="242">
        <f t="shared" si="744"/>
        <v>1</v>
      </c>
      <c r="L801" s="241" t="e">
        <f t="shared" ca="1" si="745"/>
        <v>#REF!</v>
      </c>
      <c r="M801" s="243" t="e">
        <f ca="1">IF(AND(INDEX(FlowCalConstA,MATCH(J787,FlowCalNumber,0),1,1)*L801^INDEX(FlowCalConstB,MATCH(J787,FlowCalNumber,0),1,1)&gt;INDEX(FlowCalLowSetting,MATCH(J787,FlowCalNumber,0),1,1), (INDEX(FlowCalConstA,MATCH(J787,FlowCalNumber,0),1,1)*L801^INDEX(FlowCalConstB,MATCH(J787,FlowCalNumber,0),1,1)&lt;INDEX(FlowCalHighSetting,MATCH(J787,FlowCalNumber,0),1,1))),INDEX(FlowCalConstA,MATCH(J787,FlowCalNumber,0),1,1)*L801^INDEX(FlowCalConstB,MATCH(J787,FlowCalNumber,0),1,1)," ")</f>
        <v>#REF!</v>
      </c>
      <c r="N801" s="33"/>
      <c r="O801" s="242">
        <f t="shared" si="746"/>
        <v>1</v>
      </c>
      <c r="P801" s="241" t="e">
        <f t="shared" ca="1" si="747"/>
        <v>#REF!</v>
      </c>
      <c r="Q801" s="243" t="e">
        <f ca="1">IF(AND(INDEX(FlowCalConstA,MATCH(N787,FlowCalNumber,0),1,1)*P801^INDEX(FlowCalConstB,MATCH(N787,FlowCalNumber,0),1,1)&gt;INDEX(FlowCalLowSetting,MATCH(N787,FlowCalNumber,0),1,1), (INDEX(FlowCalConstA,MATCH(N787,FlowCalNumber,0),1,1)*P801^INDEX(FlowCalConstB,MATCH(N787,FlowCalNumber,0),1,1)&lt;INDEX(FlowCalHighSetting,MATCH(N787,FlowCalNumber,0),1,1))),INDEX(FlowCalConstA,MATCH(N787,FlowCalNumber,0),1,1)*P801^INDEX(FlowCalConstB,MATCH(N787,FlowCalNumber,0),1,1)," ")</f>
        <v>#REF!</v>
      </c>
      <c r="R801" s="33"/>
      <c r="S801" s="242">
        <f t="shared" si="748"/>
        <v>1</v>
      </c>
      <c r="T801" s="241" t="e">
        <f t="shared" ca="1" si="749"/>
        <v>#REF!</v>
      </c>
      <c r="U801" s="244" t="e">
        <f ca="1">IF(AND(INDEX(FlowCalConstA,MATCH(R787,FlowCalNumber,0),1,1)*T801^INDEX(FlowCalConstB,MATCH(R787,FlowCalNumber,0),1,1)&gt;INDEX(FlowCalLowSetting,MATCH(R787,FlowCalNumber,0),1,1), (INDEX(FlowCalConstA,MATCH(R787,FlowCalNumber,0),1,1)*T801^INDEX(FlowCalConstB,MATCH(R787,FlowCalNumber,0),1,1)&lt;INDEX(FlowCalHighSetting,MATCH(R787,FlowCalNumber,0),1,1))),INDEX(FlowCalConstA,MATCH(R787,FlowCalNumber,0),1,1)*T801^INDEX(FlowCalConstB,MATCH(R787,FlowCalNumber,0),1,1)," ")</f>
        <v>#REF!</v>
      </c>
      <c r="V801" s="33"/>
      <c r="W801" s="242">
        <f t="shared" si="750"/>
        <v>0.1</v>
      </c>
      <c r="X801" s="241" t="e">
        <f t="shared" ca="1" si="751"/>
        <v>#REF!</v>
      </c>
      <c r="Y801" s="243" t="e">
        <f ca="1">IF(AND(INDEX(FlowCalConstA,MATCH(V787,FlowCalNumber,0),1,1)*X801^INDEX(FlowCalConstB,MATCH(V787,FlowCalNumber,0),1,1)&gt;INDEX(FlowCalLowSetting,MATCH(V787,FlowCalNumber,0),1,1), (INDEX(FlowCalConstA,MATCH(V787,FlowCalNumber,0),1,1)*X801^INDEX(FlowCalConstB,MATCH(V787,FlowCalNumber,0),1,1)&lt;INDEX(FlowCalHighSetting,MATCH(V787,FlowCalNumber,0),1,1))),INDEX(FlowCalConstA,MATCH(V787,FlowCalNumber,0),1,1)*X801^INDEX(FlowCalConstB,MATCH(V787,FlowCalNumber,0),1,1)," ")</f>
        <v>#REF!</v>
      </c>
      <c r="Z801" s="33"/>
      <c r="AA801" s="242">
        <f t="shared" si="752"/>
        <v>0.9</v>
      </c>
      <c r="AB801" s="241" t="e">
        <f t="shared" ca="1" si="753"/>
        <v>#REF!</v>
      </c>
      <c r="AC801" s="243" t="e">
        <f ca="1">IF(AND(INDEX(FlowCalConstA,MATCH(Z787,FlowCalNumber,0),1,1)*AB801^INDEX(FlowCalConstB,MATCH(Z787,FlowCalNumber,0),1,1)&gt;INDEX(FlowCalLowSetting,MATCH(Z787,FlowCalNumber,0),1,1), (INDEX(FlowCalConstA,MATCH(Z787,FlowCalNumber,0),1,1)*AB801^INDEX(FlowCalConstB,MATCH(Z787,FlowCalNumber,0),1,1)&lt;INDEX(FlowCalHighSetting,MATCH(Z787,FlowCalNumber,0),1,1))),INDEX(FlowCalConstA,MATCH(Z787,FlowCalNumber,0),1,1)*AB801^INDEX(FlowCalConstB,MATCH(Z787,FlowCalNumber,0),1,1)," ")</f>
        <v>#REF!</v>
      </c>
      <c r="AD801" s="33"/>
      <c r="AE801" s="242">
        <f t="shared" si="754"/>
        <v>0.1</v>
      </c>
      <c r="AF801" s="241" t="e">
        <f t="shared" ca="1" si="755"/>
        <v>#REF!</v>
      </c>
      <c r="AG801" s="243" t="e">
        <f ca="1">IF(AND(INDEX(FlowCalConstA,MATCH(AD787,FlowCalNumber,0),1,1)*AF801^INDEX(FlowCalConstB,MATCH(AD787,FlowCalNumber,0),1,1)&gt;INDEX(FlowCalLowSetting,MATCH(AD787,FlowCalNumber,0),1,1), (INDEX(FlowCalConstA,MATCH(AD787,FlowCalNumber,0),1,1)*AF801^INDEX(FlowCalConstB,MATCH(AD787,FlowCalNumber,0),1,1)&lt;INDEX(FlowCalHighSetting,MATCH(AD787,FlowCalNumber,0),1,1))),INDEX(FlowCalConstA,MATCH(AD787,FlowCalNumber,0),1,1)*AF801^INDEX(FlowCalConstB,MATCH(AD787,FlowCalNumber,0),1,1)," ")</f>
        <v>#REF!</v>
      </c>
      <c r="AH801" s="33"/>
      <c r="AI801" s="242">
        <f t="shared" si="756"/>
        <v>0.9</v>
      </c>
      <c r="AJ801" s="241" t="e">
        <f t="shared" ca="1" si="757"/>
        <v>#REF!</v>
      </c>
      <c r="AK801" s="243" t="e">
        <f ca="1">IF(AND(INDEX(FlowCalConstA,MATCH(AH787,FlowCalNumber,0),1,1)*AJ801^INDEX(FlowCalConstB,MATCH(AH787,FlowCalNumber,0),1,1)&gt;INDEX(FlowCalLowSetting,MATCH(AH787,FlowCalNumber,0),1,1), (INDEX(FlowCalConstA,MATCH(AH787,FlowCalNumber,0),1,1)*AJ801^INDEX(FlowCalConstB,MATCH(AH787,FlowCalNumber,0),1,1)&lt;INDEX(FlowCalHighSetting,MATCH(AH787,FlowCalNumber,0),1,1))),INDEX(FlowCalConstA,MATCH(AH787,FlowCalNumber,0),1,1)*AJ801^INDEX(FlowCalConstB,MATCH(AH787,FlowCalNumber,0),1,1)," ")</f>
        <v>#REF!</v>
      </c>
      <c r="AL801" s="33"/>
      <c r="AM801" s="242"/>
      <c r="AN801" s="241"/>
      <c r="AO801" s="244"/>
      <c r="AQ801" s="242"/>
      <c r="AR801" s="241"/>
      <c r="AS801" s="244"/>
      <c r="AT801" s="33"/>
      <c r="AU801" s="242"/>
      <c r="AV801" s="241"/>
      <c r="AW801" s="244"/>
      <c r="AX801" s="33"/>
      <c r="AY801" s="242"/>
      <c r="AZ801" s="241"/>
      <c r="BA801" s="244"/>
      <c r="BB801" s="33"/>
      <c r="BC801" s="242"/>
      <c r="BD801" s="241"/>
      <c r="BE801" s="244"/>
      <c r="BF801" s="33"/>
      <c r="BG801" s="242"/>
      <c r="BH801" s="241"/>
      <c r="BI801" s="244"/>
      <c r="BJ801" s="33"/>
      <c r="BK801" s="242"/>
      <c r="BL801" s="241"/>
      <c r="BM801" s="244"/>
      <c r="BN801" s="33"/>
      <c r="BO801" s="242"/>
      <c r="BP801" s="241"/>
      <c r="BQ801" s="244"/>
      <c r="BR801" s="33"/>
      <c r="BS801" s="242"/>
      <c r="BT801" s="241"/>
      <c r="BU801" s="244"/>
      <c r="BV801" s="33"/>
      <c r="BW801" s="242"/>
      <c r="BX801" s="241"/>
      <c r="BY801" s="244"/>
      <c r="BZ801" s="33"/>
      <c r="CA801" s="242"/>
      <c r="CB801" s="241"/>
      <c r="CC801" s="244"/>
      <c r="CD801" s="243"/>
      <c r="CE801" s="243"/>
      <c r="CF801" s="243"/>
      <c r="CG801" s="243"/>
      <c r="CH801" s="243"/>
      <c r="CI801" s="243"/>
      <c r="CJ801" s="243"/>
      <c r="CK801" s="243"/>
      <c r="CL801" s="243"/>
      <c r="CM801" s="243"/>
      <c r="CN801" s="243"/>
      <c r="CO801" s="243"/>
      <c r="CP801" s="243"/>
      <c r="CQ801" s="243"/>
      <c r="CR801" s="243"/>
      <c r="CS801" s="243"/>
      <c r="CT801" s="243"/>
      <c r="CU801" s="243"/>
      <c r="CV801" s="243"/>
      <c r="CW801" s="243"/>
      <c r="CX801" s="243"/>
      <c r="CY801" s="243"/>
      <c r="CZ801" s="243"/>
      <c r="DA801" s="243"/>
      <c r="DB801" s="243"/>
      <c r="DC801" s="243"/>
      <c r="DD801" s="243"/>
      <c r="DE801" s="243"/>
      <c r="DF801" s="243"/>
      <c r="DG801" s="243"/>
      <c r="DH801" s="243"/>
      <c r="DI801" s="243"/>
      <c r="DJ801" s="243"/>
      <c r="DK801" s="243"/>
      <c r="DM801" s="242"/>
      <c r="DO801" s="243"/>
      <c r="DQ801" s="242"/>
      <c r="DS801" s="243"/>
      <c r="DU801" s="242"/>
      <c r="DW801" s="243"/>
      <c r="DY801" s="242"/>
      <c r="EA801" s="243"/>
    </row>
    <row r="802" spans="1:131">
      <c r="A802" s="20"/>
      <c r="B802" s="124" t="str">
        <f t="shared" si="742"/>
        <v/>
      </c>
      <c r="C802" s="235"/>
      <c r="D802" s="24">
        <f>'1% Wind'!$M$96</f>
        <v>1</v>
      </c>
      <c r="E802" s="90"/>
      <c r="F802" s="90"/>
      <c r="G802" s="79" t="e">
        <f ca="1">IF(I787=0.9743,$G801,MAX(G801/D801*D802,2))</f>
        <v>#REF!</v>
      </c>
      <c r="H802" s="121" t="e">
        <f t="shared" ca="1" si="743"/>
        <v>#REF!</v>
      </c>
      <c r="J802" s="33"/>
      <c r="K802" s="242">
        <f t="shared" si="744"/>
        <v>1</v>
      </c>
      <c r="L802" s="241" t="e">
        <f t="shared" ca="1" si="745"/>
        <v>#REF!</v>
      </c>
      <c r="M802" s="243" t="e">
        <f ca="1">IF(AND(INDEX(FlowCalConstA,MATCH(J787,FlowCalNumber,0),1,1)*L802^INDEX(FlowCalConstB,MATCH(J787,FlowCalNumber,0),1,1)&gt;INDEX(FlowCalLowSetting,MATCH(J787,FlowCalNumber,0),1,1), (INDEX(FlowCalConstA,MATCH(J787,FlowCalNumber,0),1,1)*L802^INDEX(FlowCalConstB,MATCH(J787,FlowCalNumber,0),1,1)&lt;INDEX(FlowCalHighSetting,MATCH(J787,FlowCalNumber,0),1,1))),INDEX(FlowCalConstA,MATCH(J787,FlowCalNumber,0),1,1)*L802^INDEX(FlowCalConstB,MATCH(J787,FlowCalNumber,0),1,1)," ")</f>
        <v>#REF!</v>
      </c>
      <c r="N802" s="33"/>
      <c r="O802" s="242">
        <f t="shared" si="746"/>
        <v>1</v>
      </c>
      <c r="P802" s="241" t="e">
        <f t="shared" ca="1" si="747"/>
        <v>#REF!</v>
      </c>
      <c r="Q802" s="243" t="e">
        <f ca="1">IF(AND(INDEX(FlowCalConstA,MATCH(N787,FlowCalNumber,0),1,1)*P802^INDEX(FlowCalConstB,MATCH(N787,FlowCalNumber,0),1,1)&gt;INDEX(FlowCalLowSetting,MATCH(N787,FlowCalNumber,0),1,1), (INDEX(FlowCalConstA,MATCH(N787,FlowCalNumber,0),1,1)*P802^INDEX(FlowCalConstB,MATCH(N787,FlowCalNumber,0),1,1)&lt;INDEX(FlowCalHighSetting,MATCH(N787,FlowCalNumber,0),1,1))),INDEX(FlowCalConstA,MATCH(N787,FlowCalNumber,0),1,1)*P802^INDEX(FlowCalConstB,MATCH(N787,FlowCalNumber,0),1,1)," ")</f>
        <v>#REF!</v>
      </c>
      <c r="R802" s="33"/>
      <c r="S802" s="242">
        <f t="shared" si="748"/>
        <v>1</v>
      </c>
      <c r="T802" s="241" t="e">
        <f t="shared" ca="1" si="749"/>
        <v>#REF!</v>
      </c>
      <c r="U802" s="244" t="e">
        <f ca="1">IF(AND(INDEX(FlowCalConstA,MATCH(R787,FlowCalNumber,0),1,1)*T802^INDEX(FlowCalConstB,MATCH(R787,FlowCalNumber,0),1,1)&gt;INDEX(FlowCalLowSetting,MATCH(R787,FlowCalNumber,0),1,1), (INDEX(FlowCalConstA,MATCH(R787,FlowCalNumber,0),1,1)*T802^INDEX(FlowCalConstB,MATCH(R787,FlowCalNumber,0),1,1)&lt;INDEX(FlowCalHighSetting,MATCH(R787,FlowCalNumber,0),1,1))),INDEX(FlowCalConstA,MATCH(R787,FlowCalNumber,0),1,1)*T802^INDEX(FlowCalConstB,MATCH(R787,FlowCalNumber,0),1,1)," ")</f>
        <v>#REF!</v>
      </c>
      <c r="V802" s="33"/>
      <c r="W802" s="242">
        <f t="shared" si="750"/>
        <v>0.1</v>
      </c>
      <c r="X802" s="241" t="e">
        <f t="shared" ca="1" si="751"/>
        <v>#REF!</v>
      </c>
      <c r="Y802" s="243" t="e">
        <f ca="1">IF(AND(INDEX(FlowCalConstA,MATCH(V787,FlowCalNumber,0),1,1)*X802^INDEX(FlowCalConstB,MATCH(V787,FlowCalNumber,0),1,1)&gt;INDEX(FlowCalLowSetting,MATCH(V787,FlowCalNumber,0),1,1), (INDEX(FlowCalConstA,MATCH(V787,FlowCalNumber,0),1,1)*X802^INDEX(FlowCalConstB,MATCH(V787,FlowCalNumber,0),1,1)&lt;INDEX(FlowCalHighSetting,MATCH(V787,FlowCalNumber,0),1,1))),INDEX(FlowCalConstA,MATCH(V787,FlowCalNumber,0),1,1)*X802^INDEX(FlowCalConstB,MATCH(V787,FlowCalNumber,0),1,1)," ")</f>
        <v>#REF!</v>
      </c>
      <c r="Z802" s="33"/>
      <c r="AA802" s="242">
        <f t="shared" si="752"/>
        <v>0.9</v>
      </c>
      <c r="AB802" s="241" t="e">
        <f t="shared" ca="1" si="753"/>
        <v>#REF!</v>
      </c>
      <c r="AC802" s="243" t="e">
        <f ca="1">IF(AND(INDEX(FlowCalConstA,MATCH(Z787,FlowCalNumber,0),1,1)*AB802^INDEX(FlowCalConstB,MATCH(Z787,FlowCalNumber,0),1,1)&gt;INDEX(FlowCalLowSetting,MATCH(Z787,FlowCalNumber,0),1,1), (INDEX(FlowCalConstA,MATCH(Z787,FlowCalNumber,0),1,1)*AB802^INDEX(FlowCalConstB,MATCH(Z787,FlowCalNumber,0),1,1)&lt;INDEX(FlowCalHighSetting,MATCH(Z787,FlowCalNumber,0),1,1))),INDEX(FlowCalConstA,MATCH(Z787,FlowCalNumber,0),1,1)*AB802^INDEX(FlowCalConstB,MATCH(Z787,FlowCalNumber,0),1,1)," ")</f>
        <v>#REF!</v>
      </c>
      <c r="AD802" s="33"/>
      <c r="AE802" s="242">
        <f t="shared" si="754"/>
        <v>0.1</v>
      </c>
      <c r="AF802" s="241" t="e">
        <f t="shared" ca="1" si="755"/>
        <v>#REF!</v>
      </c>
      <c r="AG802" s="243" t="e">
        <f ca="1">IF(AND(INDEX(FlowCalConstA,MATCH(AD787,FlowCalNumber,0),1,1)*AF802^INDEX(FlowCalConstB,MATCH(AD787,FlowCalNumber,0),1,1)&gt;INDEX(FlowCalLowSetting,MATCH(AD787,FlowCalNumber,0),1,1), (INDEX(FlowCalConstA,MATCH(AD787,FlowCalNumber,0),1,1)*AF802^INDEX(FlowCalConstB,MATCH(AD787,FlowCalNumber,0),1,1)&lt;INDEX(FlowCalHighSetting,MATCH(AD787,FlowCalNumber,0),1,1))),INDEX(FlowCalConstA,MATCH(AD787,FlowCalNumber,0),1,1)*AF802^INDEX(FlowCalConstB,MATCH(AD787,FlowCalNumber,0),1,1)," ")</f>
        <v>#REF!</v>
      </c>
      <c r="AH802" s="33"/>
      <c r="AI802" s="242">
        <f t="shared" si="756"/>
        <v>0.9</v>
      </c>
      <c r="AJ802" s="241" t="e">
        <f t="shared" ca="1" si="757"/>
        <v>#REF!</v>
      </c>
      <c r="AK802" s="243" t="e">
        <f ca="1">IF(AND(INDEX(FlowCalConstA,MATCH(AH787,FlowCalNumber,0),1,1)*AJ802^INDEX(FlowCalConstB,MATCH(AH787,FlowCalNumber,0),1,1)&gt;INDEX(FlowCalLowSetting,MATCH(AH787,FlowCalNumber,0),1,1), (INDEX(FlowCalConstA,MATCH(AH787,FlowCalNumber,0),1,1)*AJ802^INDEX(FlowCalConstB,MATCH(AH787,FlowCalNumber,0),1,1)&lt;INDEX(FlowCalHighSetting,MATCH(AH787,FlowCalNumber,0),1,1))),INDEX(FlowCalConstA,MATCH(AH787,FlowCalNumber,0),1,1)*AJ802^INDEX(FlowCalConstB,MATCH(AH787,FlowCalNumber,0),1,1)," ")</f>
        <v>#REF!</v>
      </c>
      <c r="AL802" s="33"/>
      <c r="AM802" s="242"/>
      <c r="AN802" s="241"/>
      <c r="AO802" s="244"/>
      <c r="AQ802" s="242"/>
      <c r="AR802" s="241"/>
      <c r="AS802" s="244"/>
      <c r="AT802" s="33"/>
      <c r="AU802" s="242"/>
      <c r="AV802" s="241"/>
      <c r="AW802" s="244"/>
      <c r="AX802" s="33"/>
      <c r="AY802" s="242"/>
      <c r="AZ802" s="241"/>
      <c r="BA802" s="244"/>
      <c r="BB802" s="33"/>
      <c r="BC802" s="242"/>
      <c r="BD802" s="241"/>
      <c r="BE802" s="244"/>
      <c r="BF802" s="33"/>
      <c r="BG802" s="242"/>
      <c r="BH802" s="241"/>
      <c r="BI802" s="244"/>
      <c r="BJ802" s="33"/>
      <c r="BK802" s="242"/>
      <c r="BL802" s="241"/>
      <c r="BM802" s="244"/>
      <c r="BN802" s="33"/>
      <c r="BO802" s="242"/>
      <c r="BP802" s="241"/>
      <c r="BQ802" s="244"/>
      <c r="BR802" s="33"/>
      <c r="BS802" s="242"/>
      <c r="BT802" s="241"/>
      <c r="BU802" s="244"/>
      <c r="BV802" s="33"/>
      <c r="BW802" s="242"/>
      <c r="BX802" s="241"/>
      <c r="BY802" s="244"/>
      <c r="BZ802" s="33"/>
      <c r="CA802" s="242"/>
      <c r="CB802" s="241"/>
      <c r="CC802" s="244"/>
      <c r="CD802" s="243"/>
      <c r="CE802" s="243"/>
      <c r="CF802" s="243"/>
      <c r="CG802" s="243"/>
      <c r="CH802" s="243"/>
      <c r="CI802" s="243"/>
      <c r="CJ802" s="243"/>
      <c r="CK802" s="243"/>
      <c r="CL802" s="243"/>
      <c r="CM802" s="243"/>
      <c r="CN802" s="243"/>
      <c r="CO802" s="243"/>
      <c r="CP802" s="243"/>
      <c r="CQ802" s="243"/>
      <c r="CR802" s="243"/>
      <c r="CS802" s="243"/>
      <c r="CT802" s="243"/>
      <c r="CU802" s="243"/>
      <c r="CV802" s="243"/>
      <c r="CW802" s="243"/>
      <c r="CX802" s="243"/>
      <c r="CY802" s="243"/>
      <c r="CZ802" s="243"/>
      <c r="DA802" s="243"/>
      <c r="DB802" s="243"/>
      <c r="DC802" s="243"/>
      <c r="DD802" s="243"/>
      <c r="DE802" s="243"/>
      <c r="DF802" s="243"/>
      <c r="DG802" s="243"/>
      <c r="DH802" s="243"/>
      <c r="DI802" s="243"/>
      <c r="DJ802" s="243"/>
      <c r="DK802" s="243"/>
      <c r="DM802" s="242"/>
      <c r="DO802" s="243"/>
      <c r="DQ802" s="242"/>
      <c r="DS802" s="243"/>
      <c r="DU802" s="242"/>
      <c r="DW802" s="243"/>
      <c r="DY802" s="242"/>
      <c r="EA802" s="243"/>
    </row>
    <row r="803" spans="1:131">
      <c r="A803" s="33"/>
      <c r="B803" s="33"/>
      <c r="C803" s="235"/>
      <c r="E803" s="90"/>
      <c r="F803" s="90"/>
      <c r="G803" s="33"/>
      <c r="J803" s="33"/>
      <c r="M803" s="243"/>
      <c r="N803" s="33"/>
      <c r="Q803" s="243"/>
      <c r="R803" s="33"/>
      <c r="U803" s="244"/>
      <c r="V803" s="33"/>
      <c r="Y803" s="243"/>
      <c r="Z803" s="33"/>
      <c r="AC803" s="243"/>
      <c r="AD803" s="33"/>
      <c r="AG803" s="243"/>
      <c r="AH803" s="33"/>
      <c r="AK803" s="243"/>
      <c r="AL803" s="33"/>
      <c r="AO803" s="244"/>
      <c r="AS803" s="244"/>
      <c r="AT803" s="33"/>
      <c r="AW803" s="244"/>
      <c r="AX803" s="33"/>
      <c r="BA803" s="244"/>
      <c r="BB803" s="33"/>
      <c r="BE803" s="244"/>
      <c r="BF803" s="33"/>
      <c r="BI803" s="244"/>
      <c r="BJ803" s="33"/>
      <c r="BM803" s="244"/>
      <c r="BN803" s="33"/>
      <c r="BQ803" s="244"/>
      <c r="BR803" s="792"/>
      <c r="BS803" s="243"/>
      <c r="BT803" s="243"/>
      <c r="BU803" s="244"/>
      <c r="BV803" s="33"/>
      <c r="BY803" s="244"/>
      <c r="BZ803" s="33"/>
      <c r="CC803" s="244"/>
      <c r="CD803" s="243"/>
      <c r="CE803" s="243"/>
      <c r="CF803" s="243"/>
      <c r="CG803" s="243"/>
      <c r="CH803" s="243"/>
      <c r="CI803" s="243"/>
      <c r="CJ803" s="243"/>
      <c r="CK803" s="243"/>
      <c r="CL803" s="243"/>
      <c r="CM803" s="243"/>
      <c r="CN803" s="243"/>
      <c r="CO803" s="243"/>
      <c r="CP803" s="243"/>
      <c r="CQ803" s="243"/>
      <c r="CR803" s="243"/>
      <c r="CS803" s="243"/>
      <c r="CT803" s="243"/>
      <c r="CU803" s="243"/>
      <c r="CV803" s="243"/>
      <c r="CW803" s="243"/>
      <c r="CX803" s="243"/>
      <c r="CY803" s="243"/>
      <c r="CZ803" s="243"/>
      <c r="DA803" s="243"/>
      <c r="DB803" s="243"/>
      <c r="DC803" s="243"/>
      <c r="DD803" s="243"/>
      <c r="DE803" s="243"/>
      <c r="DF803" s="243"/>
      <c r="DG803" s="243"/>
      <c r="DH803" s="243"/>
      <c r="DI803" s="243"/>
      <c r="DJ803" s="243"/>
      <c r="DK803" s="243"/>
      <c r="DO803" s="243"/>
      <c r="DS803" s="243"/>
      <c r="DW803" s="243"/>
      <c r="EA803" s="243"/>
    </row>
    <row r="804" spans="1:131">
      <c r="A804" s="256" t="str">
        <f>IF((RIGHT(A787,1))&lt;&gt;"Z",CHAR(CODE(A787))&amp;CHAR(CODE(RIGHT(A787,1))+1),CHAR(CODE(A787)+1)&amp;"A")</f>
        <v>BU</v>
      </c>
      <c r="B804" s="270" t="e">
        <f>INDEX(SourceID,MATCH($A804,SourceNumber,0),1,1)</f>
        <v>#N/A</v>
      </c>
      <c r="C804" s="354" t="e">
        <f>INDEX(SourceExitDiameter,MATCH($A804,SourceNumber,0),1,1)*3.28*12</f>
        <v>#N/A</v>
      </c>
      <c r="D804" s="24" t="str">
        <f>UAnem1percent</f>
        <v>1% Wind</v>
      </c>
      <c r="E804" s="350" t="e">
        <f ca="1">INDIRECT(ADDRESS(53,6,1,,CONCATENATE("TA",$A804)))</f>
        <v>#REF!</v>
      </c>
      <c r="F804" s="625" t="e">
        <f ca="1">(ROUND((INDIRECT(ADDRESS(15,7,1,,CONCATENATE("TA",$A804)))*3.28*12*32),0)&amp;"/32")</f>
        <v>#REF!</v>
      </c>
      <c r="G804" s="125" t="e">
        <f ca="1">INDIRECT(ADDRESS(29,7,1,,$A804))</f>
        <v>#REF!</v>
      </c>
      <c r="H804" s="24" t="e">
        <f ca="1">INDIRECT(ADDRESS(19,7,1,,$A804))*100^3</f>
        <v>#REF!</v>
      </c>
      <c r="I804" s="941" t="e">
        <f ca="1">INDIRECT(ADDRESS(53,7,1,,$A804))</f>
        <v>#REF!</v>
      </c>
      <c r="J804" s="20" t="e">
        <f ca="1">IF($I804=$I$6,K$16&amp;$G$6&amp;J$6,IF($I804=$I$7,K$16&amp;$G$7&amp;J$7,"Bad"))</f>
        <v>#REF!</v>
      </c>
      <c r="K804" t="e">
        <f ca="1">INDEX(FlowCalGasMixture,MATCH(J804,FlowCalNumber,0),1,1)</f>
        <v>#REF!</v>
      </c>
      <c r="M804" s="944" t="e">
        <f ca="1">INDEX(FlowCalDevice,MATCH(J804,FlowCalNumber,0),1,1)</f>
        <v>#REF!</v>
      </c>
      <c r="N804" s="943" t="e">
        <f ca="1">IF($I804=$I$6,O$16&amp;$G$6&amp;"90"&amp;$H$6&amp;N$6,IF($I804=$I$7,O$16&amp;$G$7&amp;"90"&amp;$H$7&amp;N$7,"Bad"))</f>
        <v>#REF!</v>
      </c>
      <c r="O804" t="e">
        <f ca="1">INDEX(FlowCalGasMixture,MATCH(N804,FlowCalNumber,0),1,1)</f>
        <v>#REF!</v>
      </c>
      <c r="Q804" s="944" t="e">
        <f ca="1">INDEX(FlowCalDevice,MATCH(N804,FlowCalNumber,0),1,1)</f>
        <v>#REF!</v>
      </c>
      <c r="R804" s="943" t="e">
        <f ca="1">IF($I804=$I$6,S$16&amp;$G$6&amp;"90"&amp;$H$6&amp;R$6,IF($I804=$I$7,S$16&amp;$G$7&amp;"90"&amp;$H$7&amp;R$7,"Bad"))</f>
        <v>#REF!</v>
      </c>
      <c r="S804" t="e">
        <f ca="1">INDEX(FlowCalGasMixture,MATCH(R804,FlowCalNumber,0),1,1)</f>
        <v>#REF!</v>
      </c>
      <c r="U804" s="944" t="e">
        <f ca="1">INDEX(FlowCalDevice,MATCH(R804,FlowCalNumber,0),1,1)</f>
        <v>#REF!</v>
      </c>
      <c r="V804" s="20" t="e">
        <f ca="1">IF($I804=$I$6,W$16&amp;$G$6&amp;V$6,IF($I804=$I$7,W$16&amp;$G$7&amp;V$7,"Bad"))</f>
        <v>#REF!</v>
      </c>
      <c r="W804" t="e">
        <f ca="1">INDEX(FlowCalGasMixture,MATCH(V804,FlowCalNumber,0),1,1)</f>
        <v>#REF!</v>
      </c>
      <c r="Y804" s="944" t="e">
        <f ca="1">INDEX(FlowCalDevice,MATCH(V804,FlowCalNumber,0),1,1)</f>
        <v>#REF!</v>
      </c>
      <c r="Z804" s="946" t="e">
        <f ca="1">IF($I804=$I$6,AA$18&amp;$H$6&amp;Z$6,IF($I804=$I$7,AA$18&amp;$H$7&amp;Z$7,"Bad"))</f>
        <v>#REF!</v>
      </c>
      <c r="AA804" t="e">
        <f ca="1">INDEX(FlowCalGasMixture,MATCH(Z804,FlowCalNumber,0),1,1)</f>
        <v>#REF!</v>
      </c>
      <c r="AC804" s="944" t="e">
        <f ca="1">INDEX(FlowCalDevice,MATCH(Z804,FlowCalNumber,0),1,1)</f>
        <v>#REF!</v>
      </c>
      <c r="AD804" s="20" t="e">
        <f ca="1">IF($I804=$I$6,AE$16&amp;$G$6&amp;AD$6,IF($I804=$I$7,AE$16&amp;$G$7&amp;AD$7,"Bad"))</f>
        <v>#REF!</v>
      </c>
      <c r="AE804" t="e">
        <f ca="1">INDEX(FlowCalGasMixture,MATCH(AD804,FlowCalNumber,0),1,1)</f>
        <v>#REF!</v>
      </c>
      <c r="AG804" s="944" t="e">
        <f ca="1">INDEX(FlowCalDevice,MATCH(AD804,FlowCalNumber,0),1,1)</f>
        <v>#REF!</v>
      </c>
      <c r="AH804" s="946" t="e">
        <f ca="1">IF($I804=$I$6,AI$18&amp;$H$6&amp;AH$6,IF($I804=$I$7,AI$18&amp;$H$7&amp;AH$7,"Bad"))</f>
        <v>#REF!</v>
      </c>
      <c r="AI804" t="e">
        <f ca="1">INDEX(FlowCalGasMixture,MATCH(AH804,FlowCalNumber,0),1,1)</f>
        <v>#REF!</v>
      </c>
      <c r="AK804" s="944" t="e">
        <f ca="1">INDEX(FlowCalDevice,MATCH(AH804,FlowCalNumber,0),1,1)</f>
        <v>#REF!</v>
      </c>
      <c r="AL804" s="20"/>
      <c r="AO804" s="982"/>
      <c r="AP804" s="960"/>
      <c r="AS804" s="982"/>
      <c r="AT804" s="20"/>
      <c r="AW804" s="982"/>
      <c r="AX804" s="946"/>
      <c r="BA804" s="982"/>
      <c r="BB804" s="20"/>
      <c r="BC804" s="16"/>
      <c r="BE804" s="982"/>
      <c r="BF804" s="946"/>
      <c r="BG804" s="16"/>
      <c r="BI804" s="982"/>
      <c r="BJ804" s="946"/>
      <c r="BK804" s="16"/>
      <c r="BM804" s="982"/>
      <c r="BN804" s="20"/>
      <c r="BO804" s="16"/>
      <c r="BQ804" s="982"/>
      <c r="BR804" s="946"/>
      <c r="BS804" s="16"/>
      <c r="BU804" s="982"/>
      <c r="BV804" s="946"/>
      <c r="BW804" s="16"/>
      <c r="BY804" s="982"/>
      <c r="BZ804" s="946"/>
      <c r="CA804" s="16"/>
      <c r="CC804" s="982"/>
      <c r="CD804" s="355"/>
      <c r="CE804" s="355"/>
      <c r="CF804" s="355"/>
      <c r="CG804" s="355"/>
      <c r="CH804" s="355"/>
      <c r="CI804" s="355"/>
      <c r="CJ804" s="355"/>
      <c r="CK804" s="355"/>
      <c r="CL804" s="355"/>
      <c r="CM804" s="355"/>
      <c r="CN804" s="355"/>
      <c r="CO804" s="355"/>
      <c r="CP804" s="355"/>
      <c r="CQ804" s="355"/>
      <c r="CR804" s="355"/>
      <c r="CS804" s="355"/>
      <c r="CT804" s="355"/>
      <c r="CU804" s="355"/>
      <c r="CV804" s="355"/>
      <c r="CW804" s="355"/>
      <c r="CX804" s="355"/>
      <c r="CY804" s="355"/>
      <c r="CZ804" s="355"/>
      <c r="DA804" s="355"/>
      <c r="DB804" s="355"/>
      <c r="DC804" s="355"/>
      <c r="DD804" s="355"/>
      <c r="DE804" s="355"/>
      <c r="DF804" s="355"/>
      <c r="DG804" s="355"/>
      <c r="DH804" s="355"/>
      <c r="DI804" s="355"/>
      <c r="DJ804" s="355"/>
      <c r="DK804" s="355"/>
      <c r="DL804" s="46"/>
      <c r="DM804" s="16"/>
      <c r="DO804" s="355"/>
      <c r="DP804" s="42"/>
      <c r="DQ804" s="16"/>
      <c r="DS804" s="355"/>
      <c r="DT804" s="42"/>
      <c r="DU804" s="16"/>
      <c r="DW804" s="355"/>
      <c r="DX804" s="42"/>
      <c r="DY804" s="16"/>
      <c r="EA804" s="355"/>
    </row>
    <row r="805" spans="1:131">
      <c r="A805" s="20"/>
      <c r="B805" s="124" t="str">
        <f t="shared" ref="B805:B819" si="758">IF(D805=UAnem1percent,"1% Wind","")</f>
        <v/>
      </c>
      <c r="C805" s="235"/>
      <c r="D805" s="24">
        <f>'1% Wind'!$M$82</f>
        <v>27</v>
      </c>
      <c r="E805" s="90"/>
      <c r="F805" s="90"/>
      <c r="G805" s="79" t="e">
        <f ca="1">IF(I804=0.9743,$G804,MAX(G804/D804*D805,2))</f>
        <v>#REF!</v>
      </c>
      <c r="H805" s="121" t="e">
        <f t="shared" ref="H805:H819" ca="1" si="759">H804*(D804/D805)*(G805/G804)</f>
        <v>#REF!</v>
      </c>
      <c r="J805" s="33"/>
      <c r="K805" s="260">
        <f>K$17/100</f>
        <v>1</v>
      </c>
      <c r="L805" s="241" t="e">
        <f ca="1">K805*$H805</f>
        <v>#REF!</v>
      </c>
      <c r="M805" s="243" t="e">
        <f ca="1">IF(AND(INDEX(FlowCalConstA,MATCH(J804,FlowCalNumber,0),1,1)*L805^INDEX(FlowCalConstB,MATCH(J804,FlowCalNumber,0),1,1)&gt;INDEX(FlowCalLowSetting,MATCH(J804,FlowCalNumber,0),1,1), (INDEX(FlowCalConstA,MATCH(J804,FlowCalNumber,0),1,1)*L805^INDEX(FlowCalConstB,MATCH(J804,FlowCalNumber,0),1,1)&lt;INDEX(FlowCalHighSetting,MATCH(J804,FlowCalNumber,0),1,1))),INDEX(FlowCalConstA,MATCH(J804,FlowCalNumber,0),1,1)*L805^INDEX(FlowCalConstB,MATCH(J804,FlowCalNumber,0),1,1)," ")</f>
        <v>#REF!</v>
      </c>
      <c r="N805" s="33"/>
      <c r="O805" s="260">
        <f>O$17/100</f>
        <v>1</v>
      </c>
      <c r="P805" s="241" t="e">
        <f ca="1">O805*$H805</f>
        <v>#REF!</v>
      </c>
      <c r="Q805" s="243" t="e">
        <f ca="1">IF(AND(INDEX(FlowCalConstA,MATCH(N804,FlowCalNumber,0),1,1)*P805^INDEX(FlowCalConstB,MATCH(N804,FlowCalNumber,0),1,1)&gt;INDEX(FlowCalLowSetting,MATCH(N804,FlowCalNumber,0),1,1), (INDEX(FlowCalConstA,MATCH(N804,FlowCalNumber,0),1,1)*P805^INDEX(FlowCalConstB,MATCH(N804,FlowCalNumber,0),1,1)&lt;INDEX(FlowCalHighSetting,MATCH(N804,FlowCalNumber,0),1,1))),INDEX(FlowCalConstA,MATCH(N804,FlowCalNumber,0),1,1)*P805^INDEX(FlowCalConstB,MATCH(N804,FlowCalNumber,0),1,1)," ")</f>
        <v>#REF!</v>
      </c>
      <c r="R805" s="33"/>
      <c r="S805" s="260">
        <f>S$17/100</f>
        <v>1</v>
      </c>
      <c r="T805" s="241" t="e">
        <f ca="1">S805*$H805</f>
        <v>#REF!</v>
      </c>
      <c r="U805" s="244" t="e">
        <f ca="1">IF(AND(INDEX(FlowCalConstA,MATCH(R804,FlowCalNumber,0),1,1)*T805^INDEX(FlowCalConstB,MATCH(R804,FlowCalNumber,0),1,1)&gt;INDEX(FlowCalLowSetting,MATCH(R804,FlowCalNumber,0),1,1), (INDEX(FlowCalConstA,MATCH(R804,FlowCalNumber,0),1,1)*T805^INDEX(FlowCalConstB,MATCH(R804,FlowCalNumber,0),1,1)&lt;INDEX(FlowCalHighSetting,MATCH(R804,FlowCalNumber,0),1,1))),INDEX(FlowCalConstA,MATCH(R804,FlowCalNumber,0),1,1)*T805^INDEX(FlowCalConstB,MATCH(R804,FlowCalNumber,0),1,1)," ")</f>
        <v>#REF!</v>
      </c>
      <c r="V805" s="33"/>
      <c r="W805" s="260">
        <f>W$17/100</f>
        <v>0.1</v>
      </c>
      <c r="X805" s="241" t="e">
        <f ca="1">W805*$H805</f>
        <v>#REF!</v>
      </c>
      <c r="Y805" s="243" t="e">
        <f ca="1">IF(AND(INDEX(FlowCalConstA,MATCH(V804,FlowCalNumber,0),1,1)*X805^INDEX(FlowCalConstB,MATCH(V804,FlowCalNumber,0),1,1)&gt;INDEX(FlowCalLowSetting,MATCH(V804,FlowCalNumber,0),1,1), (INDEX(FlowCalConstA,MATCH(V804,FlowCalNumber,0),1,1)*X805^INDEX(FlowCalConstB,MATCH(V804,FlowCalNumber,0),1,1)&lt;INDEX(FlowCalHighSetting,MATCH(V804,FlowCalNumber,0),1,1))),INDEX(FlowCalConstA,MATCH(V804,FlowCalNumber,0),1,1)*X805^INDEX(FlowCalConstB,MATCH(V804,FlowCalNumber,0),1,1)," ")</f>
        <v>#REF!</v>
      </c>
      <c r="Z805" s="33"/>
      <c r="AA805" s="260">
        <f>AA$17/100</f>
        <v>0.9</v>
      </c>
      <c r="AB805" s="241" t="e">
        <f ca="1">AA805*$H805</f>
        <v>#REF!</v>
      </c>
      <c r="AC805" s="243" t="e">
        <f ca="1">IF(AND(INDEX(FlowCalConstA,MATCH(Z804,FlowCalNumber,0),1,1)*AB805^INDEX(FlowCalConstB,MATCH(Z804,FlowCalNumber,0),1,1)&gt;INDEX(FlowCalLowSetting,MATCH(Z804,FlowCalNumber,0),1,1), (INDEX(FlowCalConstA,MATCH(Z804,FlowCalNumber,0),1,1)*AB805^INDEX(FlowCalConstB,MATCH(Z804,FlowCalNumber,0),1,1)&lt;INDEX(FlowCalHighSetting,MATCH(Z804,FlowCalNumber,0),1,1))),INDEX(FlowCalConstA,MATCH(Z804,FlowCalNumber,0),1,1)*AB805^INDEX(FlowCalConstB,MATCH(Z804,FlowCalNumber,0),1,1)," ")</f>
        <v>#REF!</v>
      </c>
      <c r="AD805" s="33"/>
      <c r="AE805" s="260">
        <f>AE$17/100</f>
        <v>0.1</v>
      </c>
      <c r="AF805" s="241" t="e">
        <f ca="1">AE805*$H805</f>
        <v>#REF!</v>
      </c>
      <c r="AG805" s="243" t="e">
        <f ca="1">IF(AND(INDEX(FlowCalConstA,MATCH(AD804,FlowCalNumber,0),1,1)*AF805^INDEX(FlowCalConstB,MATCH(AD804,FlowCalNumber,0),1,1)&gt;INDEX(FlowCalLowSetting,MATCH(AD804,FlowCalNumber,0),1,1), (INDEX(FlowCalConstA,MATCH(AD804,FlowCalNumber,0),1,1)*AF805^INDEX(FlowCalConstB,MATCH(AD804,FlowCalNumber,0),1,1)&lt;INDEX(FlowCalHighSetting,MATCH(AD804,FlowCalNumber,0),1,1))),INDEX(FlowCalConstA,MATCH(AD804,FlowCalNumber,0),1,1)*AF805^INDEX(FlowCalConstB,MATCH(AD804,FlowCalNumber,0),1,1)," ")</f>
        <v>#REF!</v>
      </c>
      <c r="AH805" s="33"/>
      <c r="AI805" s="260">
        <f>AI$17/100</f>
        <v>0.9</v>
      </c>
      <c r="AJ805" s="241" t="e">
        <f ca="1">AI805*$H805</f>
        <v>#REF!</v>
      </c>
      <c r="AK805" s="243" t="e">
        <f ca="1">IF(AND(INDEX(FlowCalConstA,MATCH(AH804,FlowCalNumber,0),1,1)*AJ805^INDEX(FlowCalConstB,MATCH(AH804,FlowCalNumber,0),1,1)&gt;INDEX(FlowCalLowSetting,MATCH(AH804,FlowCalNumber,0),1,1), (INDEX(FlowCalConstA,MATCH(AH804,FlowCalNumber,0),1,1)*AJ805^INDEX(FlowCalConstB,MATCH(AH804,FlowCalNumber,0),1,1)&lt;INDEX(FlowCalHighSetting,MATCH(AH804,FlowCalNumber,0),1,1))),INDEX(FlowCalConstA,MATCH(AH804,FlowCalNumber,0),1,1)*AJ805^INDEX(FlowCalConstB,MATCH(AH804,FlowCalNumber,0),1,1)," ")</f>
        <v>#REF!</v>
      </c>
      <c r="AL805" s="33"/>
      <c r="AM805" s="260"/>
      <c r="AN805" s="241"/>
      <c r="AO805" s="244"/>
      <c r="AQ805" s="260"/>
      <c r="AR805" s="241"/>
      <c r="AS805" s="244"/>
      <c r="AT805" s="33"/>
      <c r="AU805" s="260"/>
      <c r="AV805" s="241"/>
      <c r="AW805" s="244"/>
      <c r="AX805" s="33"/>
      <c r="AY805" s="260"/>
      <c r="AZ805" s="241"/>
      <c r="BA805" s="244"/>
      <c r="BB805" s="33"/>
      <c r="BC805" s="260"/>
      <c r="BD805" s="241"/>
      <c r="BE805" s="244"/>
      <c r="BF805" s="33"/>
      <c r="BG805" s="260"/>
      <c r="BH805" s="241"/>
      <c r="BI805" s="244"/>
      <c r="BJ805" s="33"/>
      <c r="BK805" s="260"/>
      <c r="BL805" s="241"/>
      <c r="BM805" s="244"/>
      <c r="BN805" s="33"/>
      <c r="BO805" s="260"/>
      <c r="BP805" s="241"/>
      <c r="BQ805" s="244"/>
      <c r="BR805" s="33"/>
      <c r="BS805" s="260"/>
      <c r="BT805" s="241"/>
      <c r="BU805" s="244"/>
      <c r="BV805" s="33"/>
      <c r="BW805" s="260"/>
      <c r="BX805" s="241"/>
      <c r="BY805" s="244"/>
      <c r="BZ805" s="33"/>
      <c r="CA805" s="260"/>
      <c r="CB805" s="241"/>
      <c r="CC805" s="244"/>
      <c r="CD805" s="243"/>
      <c r="CE805" s="243"/>
      <c r="CF805" s="243"/>
      <c r="CG805" s="243"/>
      <c r="CH805" s="243"/>
      <c r="CI805" s="243"/>
      <c r="CJ805" s="243"/>
      <c r="CK805" s="243"/>
      <c r="CL805" s="243"/>
      <c r="CM805" s="243"/>
      <c r="CN805" s="243"/>
      <c r="CO805" s="243"/>
      <c r="CP805" s="243"/>
      <c r="CQ805" s="243"/>
      <c r="CR805" s="243"/>
      <c r="CS805" s="243"/>
      <c r="CT805" s="243"/>
      <c r="CU805" s="243"/>
      <c r="CV805" s="243"/>
      <c r="CW805" s="243"/>
      <c r="CX805" s="243"/>
      <c r="CY805" s="243"/>
      <c r="CZ805" s="243"/>
      <c r="DA805" s="243"/>
      <c r="DB805" s="243"/>
      <c r="DC805" s="243"/>
      <c r="DD805" s="243"/>
      <c r="DE805" s="243"/>
      <c r="DF805" s="243"/>
      <c r="DG805" s="243"/>
      <c r="DH805" s="243"/>
      <c r="DI805" s="243"/>
      <c r="DJ805" s="243"/>
      <c r="DK805" s="243"/>
      <c r="DM805" s="259"/>
      <c r="DO805" s="243"/>
      <c r="DQ805" s="259"/>
      <c r="DS805" s="243"/>
      <c r="DU805" s="259"/>
      <c r="DW805" s="243"/>
      <c r="DY805" s="260"/>
      <c r="EA805" s="243"/>
    </row>
    <row r="806" spans="1:131">
      <c r="A806" s="20"/>
      <c r="B806" s="124" t="str">
        <f t="shared" si="758"/>
        <v/>
      </c>
      <c r="C806" s="235"/>
      <c r="D806" s="24">
        <f>'1% Wind'!$M$83</f>
        <v>23.5</v>
      </c>
      <c r="E806" s="90"/>
      <c r="F806" s="90"/>
      <c r="G806" s="79" t="e">
        <f ca="1">IF(I804=0.9743,$G805,MAX(G805/D805*D806,2))</f>
        <v>#REF!</v>
      </c>
      <c r="H806" s="121" t="e">
        <f t="shared" ca="1" si="759"/>
        <v>#REF!</v>
      </c>
      <c r="J806" s="33"/>
      <c r="K806" s="242">
        <f t="shared" ref="K806:K819" si="760">K805</f>
        <v>1</v>
      </c>
      <c r="L806" s="241" t="e">
        <f t="shared" ref="L806:L819" ca="1" si="761">K806*$H806</f>
        <v>#REF!</v>
      </c>
      <c r="M806" s="243" t="e">
        <f ca="1">IF(AND(INDEX(FlowCalConstA,MATCH(J804,FlowCalNumber,0),1,1)*L806^INDEX(FlowCalConstB,MATCH(J804,FlowCalNumber,0),1,1)&gt;INDEX(FlowCalLowSetting,MATCH(J804,FlowCalNumber,0),1,1), (INDEX(FlowCalConstA,MATCH(J804,FlowCalNumber,0),1,1)*L806^INDEX(FlowCalConstB,MATCH(J804,FlowCalNumber,0),1,1)&lt;INDEX(FlowCalHighSetting,MATCH(J804,FlowCalNumber,0),1,1))),INDEX(FlowCalConstA,MATCH(J804,FlowCalNumber,0),1,1)*L806^INDEX(FlowCalConstB,MATCH(J804,FlowCalNumber,0),1,1)," ")</f>
        <v>#REF!</v>
      </c>
      <c r="N806" s="33"/>
      <c r="O806" s="242">
        <f t="shared" ref="O806:O819" si="762">O805</f>
        <v>1</v>
      </c>
      <c r="P806" s="241" t="e">
        <f t="shared" ref="P806:P819" ca="1" si="763">O806*$H806</f>
        <v>#REF!</v>
      </c>
      <c r="Q806" s="243" t="e">
        <f ca="1">IF(AND(INDEX(FlowCalConstA,MATCH(N804,FlowCalNumber,0),1,1)*P806^INDEX(FlowCalConstB,MATCH(N804,FlowCalNumber,0),1,1)&gt;INDEX(FlowCalLowSetting,MATCH(N804,FlowCalNumber,0),1,1), (INDEX(FlowCalConstA,MATCH(N804,FlowCalNumber,0),1,1)*P806^INDEX(FlowCalConstB,MATCH(N804,FlowCalNumber,0),1,1)&lt;INDEX(FlowCalHighSetting,MATCH(N804,FlowCalNumber,0),1,1))),INDEX(FlowCalConstA,MATCH(N804,FlowCalNumber,0),1,1)*P806^INDEX(FlowCalConstB,MATCH(N804,FlowCalNumber,0),1,1)," ")</f>
        <v>#REF!</v>
      </c>
      <c r="R806" s="33"/>
      <c r="S806" s="242">
        <f t="shared" ref="S806:S819" si="764">S805</f>
        <v>1</v>
      </c>
      <c r="T806" s="241" t="e">
        <f t="shared" ref="T806:T819" ca="1" si="765">S806*$H806</f>
        <v>#REF!</v>
      </c>
      <c r="U806" s="244" t="e">
        <f ca="1">IF(AND(INDEX(FlowCalConstA,MATCH(R804,FlowCalNumber,0),1,1)*T806^INDEX(FlowCalConstB,MATCH(R804,FlowCalNumber,0),1,1)&gt;INDEX(FlowCalLowSetting,MATCH(R804,FlowCalNumber,0),1,1), (INDEX(FlowCalConstA,MATCH(R804,FlowCalNumber,0),1,1)*T806^INDEX(FlowCalConstB,MATCH(R804,FlowCalNumber,0),1,1)&lt;INDEX(FlowCalHighSetting,MATCH(R804,FlowCalNumber,0),1,1))),INDEX(FlowCalConstA,MATCH(R804,FlowCalNumber,0),1,1)*T806^INDEX(FlowCalConstB,MATCH(R804,FlowCalNumber,0),1,1)," ")</f>
        <v>#REF!</v>
      </c>
      <c r="V806" s="33"/>
      <c r="W806" s="242">
        <f t="shared" ref="W806:W819" si="766">W805</f>
        <v>0.1</v>
      </c>
      <c r="X806" s="241" t="e">
        <f t="shared" ref="X806:X819" ca="1" si="767">W806*$H806</f>
        <v>#REF!</v>
      </c>
      <c r="Y806" s="243" t="e">
        <f ca="1">IF(AND(INDEX(FlowCalConstA,MATCH(V804,FlowCalNumber,0),1,1)*X806^INDEX(FlowCalConstB,MATCH(V804,FlowCalNumber,0),1,1)&gt;INDEX(FlowCalLowSetting,MATCH(V804,FlowCalNumber,0),1,1), (INDEX(FlowCalConstA,MATCH(V804,FlowCalNumber,0),1,1)*X806^INDEX(FlowCalConstB,MATCH(V804,FlowCalNumber,0),1,1)&lt;INDEX(FlowCalHighSetting,MATCH(V804,FlowCalNumber,0),1,1))),INDEX(FlowCalConstA,MATCH(V804,FlowCalNumber,0),1,1)*X806^INDEX(FlowCalConstB,MATCH(V804,FlowCalNumber,0),1,1)," ")</f>
        <v>#REF!</v>
      </c>
      <c r="Z806" s="33"/>
      <c r="AA806" s="242">
        <f t="shared" ref="AA806:AA819" si="768">AA805</f>
        <v>0.9</v>
      </c>
      <c r="AB806" s="241" t="e">
        <f t="shared" ref="AB806:AB819" ca="1" si="769">AA806*$H806</f>
        <v>#REF!</v>
      </c>
      <c r="AC806" s="243" t="e">
        <f ca="1">IF(AND(INDEX(FlowCalConstA,MATCH(Z804,FlowCalNumber,0),1,1)*AB806^INDEX(FlowCalConstB,MATCH(Z804,FlowCalNumber,0),1,1)&gt;INDEX(FlowCalLowSetting,MATCH(Z804,FlowCalNumber,0),1,1), (INDEX(FlowCalConstA,MATCH(Z804,FlowCalNumber,0),1,1)*AB806^INDEX(FlowCalConstB,MATCH(Z804,FlowCalNumber,0),1,1)&lt;INDEX(FlowCalHighSetting,MATCH(Z804,FlowCalNumber,0),1,1))),INDEX(FlowCalConstA,MATCH(Z804,FlowCalNumber,0),1,1)*AB806^INDEX(FlowCalConstB,MATCH(Z804,FlowCalNumber,0),1,1)," ")</f>
        <v>#REF!</v>
      </c>
      <c r="AD806" s="33"/>
      <c r="AE806" s="242">
        <f t="shared" ref="AE806:AE819" si="770">AE805</f>
        <v>0.1</v>
      </c>
      <c r="AF806" s="241" t="e">
        <f t="shared" ref="AF806:AF819" ca="1" si="771">AE806*$H806</f>
        <v>#REF!</v>
      </c>
      <c r="AG806" s="243" t="e">
        <f ca="1">IF(AND(INDEX(FlowCalConstA,MATCH(AD804,FlowCalNumber,0),1,1)*AF806^INDEX(FlowCalConstB,MATCH(AD804,FlowCalNumber,0),1,1)&gt;INDEX(FlowCalLowSetting,MATCH(AD804,FlowCalNumber,0),1,1), (INDEX(FlowCalConstA,MATCH(AD804,FlowCalNumber,0),1,1)*AF806^INDEX(FlowCalConstB,MATCH(AD804,FlowCalNumber,0),1,1)&lt;INDEX(FlowCalHighSetting,MATCH(AD804,FlowCalNumber,0),1,1))),INDEX(FlowCalConstA,MATCH(AD804,FlowCalNumber,0),1,1)*AF806^INDEX(FlowCalConstB,MATCH(AD804,FlowCalNumber,0),1,1)," ")</f>
        <v>#REF!</v>
      </c>
      <c r="AH806" s="33"/>
      <c r="AI806" s="242">
        <f t="shared" ref="AI806:AI819" si="772">AI805</f>
        <v>0.9</v>
      </c>
      <c r="AJ806" s="241" t="e">
        <f t="shared" ref="AJ806:AJ819" ca="1" si="773">AI806*$H806</f>
        <v>#REF!</v>
      </c>
      <c r="AK806" s="243" t="e">
        <f ca="1">IF(AND(INDEX(FlowCalConstA,MATCH(AH804,FlowCalNumber,0),1,1)*AJ806^INDEX(FlowCalConstB,MATCH(AH804,FlowCalNumber,0),1,1)&gt;INDEX(FlowCalLowSetting,MATCH(AH804,FlowCalNumber,0),1,1), (INDEX(FlowCalConstA,MATCH(AH804,FlowCalNumber,0),1,1)*AJ806^INDEX(FlowCalConstB,MATCH(AH804,FlowCalNumber,0),1,1)&lt;INDEX(FlowCalHighSetting,MATCH(AH804,FlowCalNumber,0),1,1))),INDEX(FlowCalConstA,MATCH(AH804,FlowCalNumber,0),1,1)*AJ806^INDEX(FlowCalConstB,MATCH(AH804,FlowCalNumber,0),1,1)," ")</f>
        <v>#REF!</v>
      </c>
      <c r="AL806" s="33"/>
      <c r="AM806" s="242"/>
      <c r="AN806" s="241"/>
      <c r="AO806" s="244"/>
      <c r="AQ806" s="242"/>
      <c r="AR806" s="241"/>
      <c r="AS806" s="244"/>
      <c r="AT806" s="33"/>
      <c r="AU806" s="242"/>
      <c r="AV806" s="241"/>
      <c r="AW806" s="244"/>
      <c r="AX806" s="33"/>
      <c r="AY806" s="242"/>
      <c r="AZ806" s="241"/>
      <c r="BA806" s="244"/>
      <c r="BB806" s="33"/>
      <c r="BC806" s="242"/>
      <c r="BD806" s="241"/>
      <c r="BE806" s="244"/>
      <c r="BF806" s="33"/>
      <c r="BG806" s="242"/>
      <c r="BH806" s="241"/>
      <c r="BI806" s="244"/>
      <c r="BJ806" s="33"/>
      <c r="BK806" s="242"/>
      <c r="BL806" s="241"/>
      <c r="BM806" s="244"/>
      <c r="BN806" s="33"/>
      <c r="BO806" s="242"/>
      <c r="BP806" s="241"/>
      <c r="BQ806" s="244"/>
      <c r="BR806" s="33"/>
      <c r="BS806" s="242"/>
      <c r="BT806" s="241"/>
      <c r="BU806" s="244"/>
      <c r="BV806" s="33"/>
      <c r="BW806" s="242"/>
      <c r="BX806" s="241"/>
      <c r="BY806" s="244"/>
      <c r="BZ806" s="33"/>
      <c r="CA806" s="242"/>
      <c r="CB806" s="241"/>
      <c r="CC806" s="244"/>
      <c r="CD806" s="243"/>
      <c r="CE806" s="243"/>
      <c r="CF806" s="243"/>
      <c r="CG806" s="243"/>
      <c r="CH806" s="243"/>
      <c r="CI806" s="243"/>
      <c r="CJ806" s="243"/>
      <c r="CK806" s="243"/>
      <c r="CL806" s="243"/>
      <c r="CM806" s="243"/>
      <c r="CN806" s="243"/>
      <c r="CO806" s="243"/>
      <c r="CP806" s="243"/>
      <c r="CQ806" s="243"/>
      <c r="CR806" s="243"/>
      <c r="CS806" s="243"/>
      <c r="CT806" s="243"/>
      <c r="CU806" s="243"/>
      <c r="CV806" s="243"/>
      <c r="CW806" s="243"/>
      <c r="CX806" s="243"/>
      <c r="CY806" s="243"/>
      <c r="CZ806" s="243"/>
      <c r="DA806" s="243"/>
      <c r="DB806" s="243"/>
      <c r="DC806" s="243"/>
      <c r="DD806" s="243"/>
      <c r="DE806" s="243"/>
      <c r="DF806" s="243"/>
      <c r="DG806" s="243"/>
      <c r="DH806" s="243"/>
      <c r="DI806" s="243"/>
      <c r="DJ806" s="243"/>
      <c r="DK806" s="243"/>
      <c r="DM806" s="242"/>
      <c r="DO806" s="243"/>
      <c r="DQ806" s="242"/>
      <c r="DS806" s="243"/>
      <c r="DU806" s="242"/>
      <c r="DW806" s="243"/>
      <c r="DY806" s="242"/>
      <c r="EA806" s="243"/>
    </row>
    <row r="807" spans="1:131">
      <c r="A807" s="20"/>
      <c r="B807" s="124" t="str">
        <f t="shared" si="758"/>
        <v/>
      </c>
      <c r="C807" s="235"/>
      <c r="D807" s="24">
        <f>'1% Wind'!$M$84</f>
        <v>20.5</v>
      </c>
      <c r="E807" s="90"/>
      <c r="F807" s="90"/>
      <c r="G807" s="79" t="e">
        <f ca="1">IF(I804=0.9743,$G806,MAX(G806/D806*D807,2))</f>
        <v>#REF!</v>
      </c>
      <c r="H807" s="121" t="e">
        <f t="shared" ca="1" si="759"/>
        <v>#REF!</v>
      </c>
      <c r="J807" s="33"/>
      <c r="K807" s="242">
        <f t="shared" si="760"/>
        <v>1</v>
      </c>
      <c r="L807" s="241" t="e">
        <f t="shared" ca="1" si="761"/>
        <v>#REF!</v>
      </c>
      <c r="M807" s="243" t="e">
        <f ca="1">IF(AND(INDEX(FlowCalConstA,MATCH(J804,FlowCalNumber,0),1,1)*L807^INDEX(FlowCalConstB,MATCH(J804,FlowCalNumber,0),1,1)&gt;INDEX(FlowCalLowSetting,MATCH(J804,FlowCalNumber,0),1,1), (INDEX(FlowCalConstA,MATCH(J804,FlowCalNumber,0),1,1)*L807^INDEX(FlowCalConstB,MATCH(J804,FlowCalNumber,0),1,1)&lt;INDEX(FlowCalHighSetting,MATCH(J804,FlowCalNumber,0),1,1))),INDEX(FlowCalConstA,MATCH(J804,FlowCalNumber,0),1,1)*L807^INDEX(FlowCalConstB,MATCH(J804,FlowCalNumber,0),1,1)," ")</f>
        <v>#REF!</v>
      </c>
      <c r="N807" s="33"/>
      <c r="O807" s="242">
        <f t="shared" si="762"/>
        <v>1</v>
      </c>
      <c r="P807" s="241" t="e">
        <f t="shared" ca="1" si="763"/>
        <v>#REF!</v>
      </c>
      <c r="Q807" s="243" t="e">
        <f ca="1">IF(AND(INDEX(FlowCalConstA,MATCH(N804,FlowCalNumber,0),1,1)*P807^INDEX(FlowCalConstB,MATCH(N804,FlowCalNumber,0),1,1)&gt;INDEX(FlowCalLowSetting,MATCH(N804,FlowCalNumber,0),1,1), (INDEX(FlowCalConstA,MATCH(N804,FlowCalNumber,0),1,1)*P807^INDEX(FlowCalConstB,MATCH(N804,FlowCalNumber,0),1,1)&lt;INDEX(FlowCalHighSetting,MATCH(N804,FlowCalNumber,0),1,1))),INDEX(FlowCalConstA,MATCH(N804,FlowCalNumber,0),1,1)*P807^INDEX(FlowCalConstB,MATCH(N804,FlowCalNumber,0),1,1)," ")</f>
        <v>#REF!</v>
      </c>
      <c r="R807" s="33"/>
      <c r="S807" s="242">
        <f t="shared" si="764"/>
        <v>1</v>
      </c>
      <c r="T807" s="241" t="e">
        <f t="shared" ca="1" si="765"/>
        <v>#REF!</v>
      </c>
      <c r="U807" s="244" t="e">
        <f ca="1">IF(AND(INDEX(FlowCalConstA,MATCH(R804,FlowCalNumber,0),1,1)*T807^INDEX(FlowCalConstB,MATCH(R804,FlowCalNumber,0),1,1)&gt;INDEX(FlowCalLowSetting,MATCH(R804,FlowCalNumber,0),1,1), (INDEX(FlowCalConstA,MATCH(R804,FlowCalNumber,0),1,1)*T807^INDEX(FlowCalConstB,MATCH(R804,FlowCalNumber,0),1,1)&lt;INDEX(FlowCalHighSetting,MATCH(R804,FlowCalNumber,0),1,1))),INDEX(FlowCalConstA,MATCH(R804,FlowCalNumber,0),1,1)*T807^INDEX(FlowCalConstB,MATCH(R804,FlowCalNumber,0),1,1)," ")</f>
        <v>#REF!</v>
      </c>
      <c r="V807" s="33"/>
      <c r="W807" s="242">
        <f t="shared" si="766"/>
        <v>0.1</v>
      </c>
      <c r="X807" s="241" t="e">
        <f t="shared" ca="1" si="767"/>
        <v>#REF!</v>
      </c>
      <c r="Y807" s="243" t="e">
        <f ca="1">IF(AND(INDEX(FlowCalConstA,MATCH(V804,FlowCalNumber,0),1,1)*X807^INDEX(FlowCalConstB,MATCH(V804,FlowCalNumber,0),1,1)&gt;INDEX(FlowCalLowSetting,MATCH(V804,FlowCalNumber,0),1,1), (INDEX(FlowCalConstA,MATCH(V804,FlowCalNumber,0),1,1)*X807^INDEX(FlowCalConstB,MATCH(V804,FlowCalNumber,0),1,1)&lt;INDEX(FlowCalHighSetting,MATCH(V804,FlowCalNumber,0),1,1))),INDEX(FlowCalConstA,MATCH(V804,FlowCalNumber,0),1,1)*X807^INDEX(FlowCalConstB,MATCH(V804,FlowCalNumber,0),1,1)," ")</f>
        <v>#REF!</v>
      </c>
      <c r="Z807" s="33"/>
      <c r="AA807" s="242">
        <f t="shared" si="768"/>
        <v>0.9</v>
      </c>
      <c r="AB807" s="241" t="e">
        <f t="shared" ca="1" si="769"/>
        <v>#REF!</v>
      </c>
      <c r="AC807" s="243" t="e">
        <f ca="1">IF(AND(INDEX(FlowCalConstA,MATCH(Z804,FlowCalNumber,0),1,1)*AB807^INDEX(FlowCalConstB,MATCH(Z804,FlowCalNumber,0),1,1)&gt;INDEX(FlowCalLowSetting,MATCH(Z804,FlowCalNumber,0),1,1), (INDEX(FlowCalConstA,MATCH(Z804,FlowCalNumber,0),1,1)*AB807^INDEX(FlowCalConstB,MATCH(Z804,FlowCalNumber,0),1,1)&lt;INDEX(FlowCalHighSetting,MATCH(Z804,FlowCalNumber,0),1,1))),INDEX(FlowCalConstA,MATCH(Z804,FlowCalNumber,0),1,1)*AB807^INDEX(FlowCalConstB,MATCH(Z804,FlowCalNumber,0),1,1)," ")</f>
        <v>#REF!</v>
      </c>
      <c r="AD807" s="33"/>
      <c r="AE807" s="242">
        <f t="shared" si="770"/>
        <v>0.1</v>
      </c>
      <c r="AF807" s="241" t="e">
        <f t="shared" ca="1" si="771"/>
        <v>#REF!</v>
      </c>
      <c r="AG807" s="243" t="e">
        <f ca="1">IF(AND(INDEX(FlowCalConstA,MATCH(AD804,FlowCalNumber,0),1,1)*AF807^INDEX(FlowCalConstB,MATCH(AD804,FlowCalNumber,0),1,1)&gt;INDEX(FlowCalLowSetting,MATCH(AD804,FlowCalNumber,0),1,1), (INDEX(FlowCalConstA,MATCH(AD804,FlowCalNumber,0),1,1)*AF807^INDEX(FlowCalConstB,MATCH(AD804,FlowCalNumber,0),1,1)&lt;INDEX(FlowCalHighSetting,MATCH(AD804,FlowCalNumber,0),1,1))),INDEX(FlowCalConstA,MATCH(AD804,FlowCalNumber,0),1,1)*AF807^INDEX(FlowCalConstB,MATCH(AD804,FlowCalNumber,0),1,1)," ")</f>
        <v>#REF!</v>
      </c>
      <c r="AH807" s="33"/>
      <c r="AI807" s="242">
        <f t="shared" si="772"/>
        <v>0.9</v>
      </c>
      <c r="AJ807" s="241" t="e">
        <f t="shared" ca="1" si="773"/>
        <v>#REF!</v>
      </c>
      <c r="AK807" s="243" t="e">
        <f ca="1">IF(AND(INDEX(FlowCalConstA,MATCH(AH804,FlowCalNumber,0),1,1)*AJ807^INDEX(FlowCalConstB,MATCH(AH804,FlowCalNumber,0),1,1)&gt;INDEX(FlowCalLowSetting,MATCH(AH804,FlowCalNumber,0),1,1), (INDEX(FlowCalConstA,MATCH(AH804,FlowCalNumber,0),1,1)*AJ807^INDEX(FlowCalConstB,MATCH(AH804,FlowCalNumber,0),1,1)&lt;INDEX(FlowCalHighSetting,MATCH(AH804,FlowCalNumber,0),1,1))),INDEX(FlowCalConstA,MATCH(AH804,FlowCalNumber,0),1,1)*AJ807^INDEX(FlowCalConstB,MATCH(AH804,FlowCalNumber,0),1,1)," ")</f>
        <v>#REF!</v>
      </c>
      <c r="AL807" s="33"/>
      <c r="AM807" s="242"/>
      <c r="AN807" s="241"/>
      <c r="AO807" s="244"/>
      <c r="AQ807" s="242"/>
      <c r="AR807" s="241"/>
      <c r="AS807" s="244"/>
      <c r="AT807" s="33"/>
      <c r="AU807" s="242"/>
      <c r="AV807" s="241"/>
      <c r="AW807" s="244"/>
      <c r="AX807" s="33"/>
      <c r="AY807" s="242"/>
      <c r="AZ807" s="241"/>
      <c r="BA807" s="244"/>
      <c r="BB807" s="33"/>
      <c r="BC807" s="242"/>
      <c r="BD807" s="241"/>
      <c r="BE807" s="244"/>
      <c r="BF807" s="33"/>
      <c r="BG807" s="242"/>
      <c r="BH807" s="241"/>
      <c r="BI807" s="244"/>
      <c r="BJ807" s="33"/>
      <c r="BK807" s="242"/>
      <c r="BL807" s="241"/>
      <c r="BM807" s="244"/>
      <c r="BN807" s="33"/>
      <c r="BO807" s="242"/>
      <c r="BP807" s="241"/>
      <c r="BQ807" s="244"/>
      <c r="BR807" s="33"/>
      <c r="BS807" s="242"/>
      <c r="BT807" s="241"/>
      <c r="BU807" s="244"/>
      <c r="BV807" s="33"/>
      <c r="BW807" s="242"/>
      <c r="BX807" s="241"/>
      <c r="BY807" s="244"/>
      <c r="BZ807" s="33"/>
      <c r="CA807" s="242"/>
      <c r="CB807" s="241"/>
      <c r="CC807" s="244"/>
      <c r="CD807" s="243"/>
      <c r="CE807" s="243"/>
      <c r="CF807" s="243"/>
      <c r="CG807" s="243"/>
      <c r="CH807" s="243"/>
      <c r="CI807" s="243"/>
      <c r="CJ807" s="243"/>
      <c r="CK807" s="243"/>
      <c r="CL807" s="243"/>
      <c r="CM807" s="243"/>
      <c r="CN807" s="243"/>
      <c r="CO807" s="243"/>
      <c r="CP807" s="243"/>
      <c r="CQ807" s="243"/>
      <c r="CR807" s="243"/>
      <c r="CS807" s="243"/>
      <c r="CT807" s="243"/>
      <c r="CU807" s="243"/>
      <c r="CV807" s="243"/>
      <c r="CW807" s="243"/>
      <c r="CX807" s="243"/>
      <c r="CY807" s="243"/>
      <c r="CZ807" s="243"/>
      <c r="DA807" s="243"/>
      <c r="DB807" s="243"/>
      <c r="DC807" s="243"/>
      <c r="DD807" s="243"/>
      <c r="DE807" s="243"/>
      <c r="DF807" s="243"/>
      <c r="DG807" s="243"/>
      <c r="DH807" s="243"/>
      <c r="DI807" s="243"/>
      <c r="DJ807" s="243"/>
      <c r="DK807" s="243"/>
      <c r="DM807" s="242"/>
      <c r="DO807" s="243"/>
      <c r="DQ807" s="242"/>
      <c r="DS807" s="243"/>
      <c r="DU807" s="242"/>
      <c r="DW807" s="243"/>
      <c r="DY807" s="242"/>
      <c r="EA807" s="243"/>
    </row>
    <row r="808" spans="1:131">
      <c r="A808" s="20"/>
      <c r="B808" s="124" t="str">
        <f t="shared" si="758"/>
        <v/>
      </c>
      <c r="C808" s="235"/>
      <c r="D808" s="24">
        <f>'1% Wind'!$M$85</f>
        <v>17.8</v>
      </c>
      <c r="E808" s="90"/>
      <c r="F808" s="90"/>
      <c r="G808" s="79" t="e">
        <f ca="1">IF(I804=0.9743,$G807,MAX(G807/D807*D808,2))</f>
        <v>#REF!</v>
      </c>
      <c r="H808" s="121" t="e">
        <f t="shared" ca="1" si="759"/>
        <v>#REF!</v>
      </c>
      <c r="J808" s="33"/>
      <c r="K808" s="242">
        <f t="shared" si="760"/>
        <v>1</v>
      </c>
      <c r="L808" s="241" t="e">
        <f t="shared" ca="1" si="761"/>
        <v>#REF!</v>
      </c>
      <c r="M808" s="243" t="e">
        <f ca="1">IF(AND(INDEX(FlowCalConstA,MATCH(J804,FlowCalNumber,0),1,1)*L808^INDEX(FlowCalConstB,MATCH(J804,FlowCalNumber,0),1,1)&gt;INDEX(FlowCalLowSetting,MATCH(J804,FlowCalNumber,0),1,1), (INDEX(FlowCalConstA,MATCH(J804,FlowCalNumber,0),1,1)*L808^INDEX(FlowCalConstB,MATCH(J804,FlowCalNumber,0),1,1)&lt;INDEX(FlowCalHighSetting,MATCH(J804,FlowCalNumber,0),1,1))),INDEX(FlowCalConstA,MATCH(J804,FlowCalNumber,0),1,1)*L808^INDEX(FlowCalConstB,MATCH(J804,FlowCalNumber,0),1,1)," ")</f>
        <v>#REF!</v>
      </c>
      <c r="N808" s="33"/>
      <c r="O808" s="242">
        <f t="shared" si="762"/>
        <v>1</v>
      </c>
      <c r="P808" s="241" t="e">
        <f t="shared" ca="1" si="763"/>
        <v>#REF!</v>
      </c>
      <c r="Q808" s="243" t="e">
        <f ca="1">IF(AND(INDEX(FlowCalConstA,MATCH(N804,FlowCalNumber,0),1,1)*P808^INDEX(FlowCalConstB,MATCH(N804,FlowCalNumber,0),1,1)&gt;INDEX(FlowCalLowSetting,MATCH(N804,FlowCalNumber,0),1,1), (INDEX(FlowCalConstA,MATCH(N804,FlowCalNumber,0),1,1)*P808^INDEX(FlowCalConstB,MATCH(N804,FlowCalNumber,0),1,1)&lt;INDEX(FlowCalHighSetting,MATCH(N804,FlowCalNumber,0),1,1))),INDEX(FlowCalConstA,MATCH(N804,FlowCalNumber,0),1,1)*P808^INDEX(FlowCalConstB,MATCH(N804,FlowCalNumber,0),1,1)," ")</f>
        <v>#REF!</v>
      </c>
      <c r="R808" s="33"/>
      <c r="S808" s="242">
        <f t="shared" si="764"/>
        <v>1</v>
      </c>
      <c r="T808" s="241" t="e">
        <f t="shared" ca="1" si="765"/>
        <v>#REF!</v>
      </c>
      <c r="U808" s="244" t="e">
        <f ca="1">IF(AND(INDEX(FlowCalConstA,MATCH(R804,FlowCalNumber,0),1,1)*T808^INDEX(FlowCalConstB,MATCH(R804,FlowCalNumber,0),1,1)&gt;INDEX(FlowCalLowSetting,MATCH(R804,FlowCalNumber,0),1,1), (INDEX(FlowCalConstA,MATCH(R804,FlowCalNumber,0),1,1)*T808^INDEX(FlowCalConstB,MATCH(R804,FlowCalNumber,0),1,1)&lt;INDEX(FlowCalHighSetting,MATCH(R804,FlowCalNumber,0),1,1))),INDEX(FlowCalConstA,MATCH(R804,FlowCalNumber,0),1,1)*T808^INDEX(FlowCalConstB,MATCH(R804,FlowCalNumber,0),1,1)," ")</f>
        <v>#REF!</v>
      </c>
      <c r="V808" s="33"/>
      <c r="W808" s="242">
        <f t="shared" si="766"/>
        <v>0.1</v>
      </c>
      <c r="X808" s="241" t="e">
        <f t="shared" ca="1" si="767"/>
        <v>#REF!</v>
      </c>
      <c r="Y808" s="243" t="e">
        <f ca="1">IF(AND(INDEX(FlowCalConstA,MATCH(V804,FlowCalNumber,0),1,1)*X808^INDEX(FlowCalConstB,MATCH(V804,FlowCalNumber,0),1,1)&gt;INDEX(FlowCalLowSetting,MATCH(V804,FlowCalNumber,0),1,1), (INDEX(FlowCalConstA,MATCH(V804,FlowCalNumber,0),1,1)*X808^INDEX(FlowCalConstB,MATCH(V804,FlowCalNumber,0),1,1)&lt;INDEX(FlowCalHighSetting,MATCH(V804,FlowCalNumber,0),1,1))),INDEX(FlowCalConstA,MATCH(V804,FlowCalNumber,0),1,1)*X808^INDEX(FlowCalConstB,MATCH(V804,FlowCalNumber,0),1,1)," ")</f>
        <v>#REF!</v>
      </c>
      <c r="Z808" s="33"/>
      <c r="AA808" s="242">
        <f t="shared" si="768"/>
        <v>0.9</v>
      </c>
      <c r="AB808" s="241" t="e">
        <f t="shared" ca="1" si="769"/>
        <v>#REF!</v>
      </c>
      <c r="AC808" s="243" t="e">
        <f ca="1">IF(AND(INDEX(FlowCalConstA,MATCH(Z804,FlowCalNumber,0),1,1)*AB808^INDEX(FlowCalConstB,MATCH(Z804,FlowCalNumber,0),1,1)&gt;INDEX(FlowCalLowSetting,MATCH(Z804,FlowCalNumber,0),1,1), (INDEX(FlowCalConstA,MATCH(Z804,FlowCalNumber,0),1,1)*AB808^INDEX(FlowCalConstB,MATCH(Z804,FlowCalNumber,0),1,1)&lt;INDEX(FlowCalHighSetting,MATCH(Z804,FlowCalNumber,0),1,1))),INDEX(FlowCalConstA,MATCH(Z804,FlowCalNumber,0),1,1)*AB808^INDEX(FlowCalConstB,MATCH(Z804,FlowCalNumber,0),1,1)," ")</f>
        <v>#REF!</v>
      </c>
      <c r="AD808" s="33"/>
      <c r="AE808" s="242">
        <f t="shared" si="770"/>
        <v>0.1</v>
      </c>
      <c r="AF808" s="241" t="e">
        <f t="shared" ca="1" si="771"/>
        <v>#REF!</v>
      </c>
      <c r="AG808" s="243" t="e">
        <f ca="1">IF(AND(INDEX(FlowCalConstA,MATCH(AD804,FlowCalNumber,0),1,1)*AF808^INDEX(FlowCalConstB,MATCH(AD804,FlowCalNumber,0),1,1)&gt;INDEX(FlowCalLowSetting,MATCH(AD804,FlowCalNumber,0),1,1), (INDEX(FlowCalConstA,MATCH(AD804,FlowCalNumber,0),1,1)*AF808^INDEX(FlowCalConstB,MATCH(AD804,FlowCalNumber,0),1,1)&lt;INDEX(FlowCalHighSetting,MATCH(AD804,FlowCalNumber,0),1,1))),INDEX(FlowCalConstA,MATCH(AD804,FlowCalNumber,0),1,1)*AF808^INDEX(FlowCalConstB,MATCH(AD804,FlowCalNumber,0),1,1)," ")</f>
        <v>#REF!</v>
      </c>
      <c r="AH808" s="33"/>
      <c r="AI808" s="242">
        <f t="shared" si="772"/>
        <v>0.9</v>
      </c>
      <c r="AJ808" s="241" t="e">
        <f t="shared" ca="1" si="773"/>
        <v>#REF!</v>
      </c>
      <c r="AK808" s="243" t="e">
        <f ca="1">IF(AND(INDEX(FlowCalConstA,MATCH(AH804,FlowCalNumber,0),1,1)*AJ808^INDEX(FlowCalConstB,MATCH(AH804,FlowCalNumber,0),1,1)&gt;INDEX(FlowCalLowSetting,MATCH(AH804,FlowCalNumber,0),1,1), (INDEX(FlowCalConstA,MATCH(AH804,FlowCalNumber,0),1,1)*AJ808^INDEX(FlowCalConstB,MATCH(AH804,FlowCalNumber,0),1,1)&lt;INDEX(FlowCalHighSetting,MATCH(AH804,FlowCalNumber,0),1,1))),INDEX(FlowCalConstA,MATCH(AH804,FlowCalNumber,0),1,1)*AJ808^INDEX(FlowCalConstB,MATCH(AH804,FlowCalNumber,0),1,1)," ")</f>
        <v>#REF!</v>
      </c>
      <c r="AL808" s="33"/>
      <c r="AM808" s="242"/>
      <c r="AN808" s="241"/>
      <c r="AO808" s="244"/>
      <c r="AQ808" s="242"/>
      <c r="AR808" s="241"/>
      <c r="AS808" s="244"/>
      <c r="AT808" s="33"/>
      <c r="AU808" s="242"/>
      <c r="AV808" s="241"/>
      <c r="AW808" s="244"/>
      <c r="AX808" s="33"/>
      <c r="AY808" s="242"/>
      <c r="AZ808" s="241"/>
      <c r="BA808" s="244"/>
      <c r="BB808" s="33"/>
      <c r="BC808" s="242"/>
      <c r="BD808" s="241"/>
      <c r="BE808" s="244"/>
      <c r="BF808" s="33"/>
      <c r="BG808" s="242"/>
      <c r="BH808" s="241"/>
      <c r="BI808" s="244"/>
      <c r="BJ808" s="33"/>
      <c r="BK808" s="242"/>
      <c r="BL808" s="241"/>
      <c r="BM808" s="244"/>
      <c r="BN808" s="33"/>
      <c r="BO808" s="242"/>
      <c r="BP808" s="241"/>
      <c r="BQ808" s="244"/>
      <c r="BR808" s="33"/>
      <c r="BS808" s="242"/>
      <c r="BT808" s="241"/>
      <c r="BU808" s="244"/>
      <c r="BV808" s="33"/>
      <c r="BW808" s="242"/>
      <c r="BX808" s="241"/>
      <c r="BY808" s="244"/>
      <c r="BZ808" s="33"/>
      <c r="CA808" s="242"/>
      <c r="CB808" s="241"/>
      <c r="CC808" s="244"/>
      <c r="CD808" s="243"/>
      <c r="CE808" s="243"/>
      <c r="CF808" s="243"/>
      <c r="CG808" s="243"/>
      <c r="CH808" s="243"/>
      <c r="CI808" s="243"/>
      <c r="CJ808" s="243"/>
      <c r="CK808" s="243"/>
      <c r="CL808" s="243"/>
      <c r="CM808" s="243"/>
      <c r="CN808" s="243"/>
      <c r="CO808" s="243"/>
      <c r="CP808" s="243"/>
      <c r="CQ808" s="243"/>
      <c r="CR808" s="243"/>
      <c r="CS808" s="243"/>
      <c r="CT808" s="243"/>
      <c r="CU808" s="243"/>
      <c r="CV808" s="243"/>
      <c r="CW808" s="243"/>
      <c r="CX808" s="243"/>
      <c r="CY808" s="243"/>
      <c r="CZ808" s="243"/>
      <c r="DA808" s="243"/>
      <c r="DB808" s="243"/>
      <c r="DC808" s="243"/>
      <c r="DD808" s="243"/>
      <c r="DE808" s="243"/>
      <c r="DF808" s="243"/>
      <c r="DG808" s="243"/>
      <c r="DH808" s="243"/>
      <c r="DI808" s="243"/>
      <c r="DJ808" s="243"/>
      <c r="DK808" s="243"/>
      <c r="DM808" s="242"/>
      <c r="DO808" s="243"/>
      <c r="DQ808" s="242"/>
      <c r="DS808" s="243"/>
      <c r="DU808" s="242"/>
      <c r="DW808" s="243"/>
      <c r="DY808" s="242"/>
      <c r="EA808" s="243"/>
    </row>
    <row r="809" spans="1:131">
      <c r="A809" s="20"/>
      <c r="B809" s="124" t="str">
        <f t="shared" si="758"/>
        <v/>
      </c>
      <c r="C809" s="235"/>
      <c r="D809" s="24">
        <f>'1% Wind'!$M$86</f>
        <v>15.5</v>
      </c>
      <c r="E809" s="90"/>
      <c r="F809" s="90"/>
      <c r="G809" s="79" t="e">
        <f ca="1">IF(I804=0.9743,$G808,MAX(G808/D808*D809,2))</f>
        <v>#REF!</v>
      </c>
      <c r="H809" s="121" t="e">
        <f t="shared" ca="1" si="759"/>
        <v>#REF!</v>
      </c>
      <c r="J809" s="33"/>
      <c r="K809" s="242">
        <f t="shared" si="760"/>
        <v>1</v>
      </c>
      <c r="L809" s="241" t="e">
        <f t="shared" ca="1" si="761"/>
        <v>#REF!</v>
      </c>
      <c r="M809" s="243" t="e">
        <f ca="1">IF(AND(INDEX(FlowCalConstA,MATCH(J804,FlowCalNumber,0),1,1)*L809^INDEX(FlowCalConstB,MATCH(J804,FlowCalNumber,0),1,1)&gt;INDEX(FlowCalLowSetting,MATCH(J804,FlowCalNumber,0),1,1), (INDEX(FlowCalConstA,MATCH(J804,FlowCalNumber,0),1,1)*L809^INDEX(FlowCalConstB,MATCH(J804,FlowCalNumber,0),1,1)&lt;INDEX(FlowCalHighSetting,MATCH(J804,FlowCalNumber,0),1,1))),INDEX(FlowCalConstA,MATCH(J804,FlowCalNumber,0),1,1)*L809^INDEX(FlowCalConstB,MATCH(J804,FlowCalNumber,0),1,1)," ")</f>
        <v>#REF!</v>
      </c>
      <c r="N809" s="33"/>
      <c r="O809" s="242">
        <f t="shared" si="762"/>
        <v>1</v>
      </c>
      <c r="P809" s="241" t="e">
        <f t="shared" ca="1" si="763"/>
        <v>#REF!</v>
      </c>
      <c r="Q809" s="243" t="e">
        <f ca="1">IF(AND(INDEX(FlowCalConstA,MATCH(N804,FlowCalNumber,0),1,1)*P809^INDEX(FlowCalConstB,MATCH(N804,FlowCalNumber,0),1,1)&gt;INDEX(FlowCalLowSetting,MATCH(N804,FlowCalNumber,0),1,1), (INDEX(FlowCalConstA,MATCH(N804,FlowCalNumber,0),1,1)*P809^INDEX(FlowCalConstB,MATCH(N804,FlowCalNumber,0),1,1)&lt;INDEX(FlowCalHighSetting,MATCH(N804,FlowCalNumber,0),1,1))),INDEX(FlowCalConstA,MATCH(N804,FlowCalNumber,0),1,1)*P809^INDEX(FlowCalConstB,MATCH(N804,FlowCalNumber,0),1,1)," ")</f>
        <v>#REF!</v>
      </c>
      <c r="R809" s="33"/>
      <c r="S809" s="242">
        <f t="shared" si="764"/>
        <v>1</v>
      </c>
      <c r="T809" s="241" t="e">
        <f t="shared" ca="1" si="765"/>
        <v>#REF!</v>
      </c>
      <c r="U809" s="244" t="e">
        <f ca="1">IF(AND(INDEX(FlowCalConstA,MATCH(R804,FlowCalNumber,0),1,1)*T809^INDEX(FlowCalConstB,MATCH(R804,FlowCalNumber,0),1,1)&gt;INDEX(FlowCalLowSetting,MATCH(R804,FlowCalNumber,0),1,1), (INDEX(FlowCalConstA,MATCH(R804,FlowCalNumber,0),1,1)*T809^INDEX(FlowCalConstB,MATCH(R804,FlowCalNumber,0),1,1)&lt;INDEX(FlowCalHighSetting,MATCH(R804,FlowCalNumber,0),1,1))),INDEX(FlowCalConstA,MATCH(R804,FlowCalNumber,0),1,1)*T809^INDEX(FlowCalConstB,MATCH(R804,FlowCalNumber,0),1,1)," ")</f>
        <v>#REF!</v>
      </c>
      <c r="V809" s="33"/>
      <c r="W809" s="242">
        <f t="shared" si="766"/>
        <v>0.1</v>
      </c>
      <c r="X809" s="241" t="e">
        <f t="shared" ca="1" si="767"/>
        <v>#REF!</v>
      </c>
      <c r="Y809" s="243" t="e">
        <f ca="1">IF(AND(INDEX(FlowCalConstA,MATCH(V804,FlowCalNumber,0),1,1)*X809^INDEX(FlowCalConstB,MATCH(V804,FlowCalNumber,0),1,1)&gt;INDEX(FlowCalLowSetting,MATCH(V804,FlowCalNumber,0),1,1), (INDEX(FlowCalConstA,MATCH(V804,FlowCalNumber,0),1,1)*X809^INDEX(FlowCalConstB,MATCH(V804,FlowCalNumber,0),1,1)&lt;INDEX(FlowCalHighSetting,MATCH(V804,FlowCalNumber,0),1,1))),INDEX(FlowCalConstA,MATCH(V804,FlowCalNumber,0),1,1)*X809^INDEX(FlowCalConstB,MATCH(V804,FlowCalNumber,0),1,1)," ")</f>
        <v>#REF!</v>
      </c>
      <c r="Z809" s="33"/>
      <c r="AA809" s="242">
        <f t="shared" si="768"/>
        <v>0.9</v>
      </c>
      <c r="AB809" s="241" t="e">
        <f t="shared" ca="1" si="769"/>
        <v>#REF!</v>
      </c>
      <c r="AC809" s="243" t="e">
        <f ca="1">IF(AND(INDEX(FlowCalConstA,MATCH(Z804,FlowCalNumber,0),1,1)*AB809^INDEX(FlowCalConstB,MATCH(Z804,FlowCalNumber,0),1,1)&gt;INDEX(FlowCalLowSetting,MATCH(Z804,FlowCalNumber,0),1,1), (INDEX(FlowCalConstA,MATCH(Z804,FlowCalNumber,0),1,1)*AB809^INDEX(FlowCalConstB,MATCH(Z804,FlowCalNumber,0),1,1)&lt;INDEX(FlowCalHighSetting,MATCH(Z804,FlowCalNumber,0),1,1))),INDEX(FlowCalConstA,MATCH(Z804,FlowCalNumber,0),1,1)*AB809^INDEX(FlowCalConstB,MATCH(Z804,FlowCalNumber,0),1,1)," ")</f>
        <v>#REF!</v>
      </c>
      <c r="AD809" s="33"/>
      <c r="AE809" s="242">
        <f t="shared" si="770"/>
        <v>0.1</v>
      </c>
      <c r="AF809" s="241" t="e">
        <f t="shared" ca="1" si="771"/>
        <v>#REF!</v>
      </c>
      <c r="AG809" s="243" t="e">
        <f ca="1">IF(AND(INDEX(FlowCalConstA,MATCH(AD804,FlowCalNumber,0),1,1)*AF809^INDEX(FlowCalConstB,MATCH(AD804,FlowCalNumber,0),1,1)&gt;INDEX(FlowCalLowSetting,MATCH(AD804,FlowCalNumber,0),1,1), (INDEX(FlowCalConstA,MATCH(AD804,FlowCalNumber,0),1,1)*AF809^INDEX(FlowCalConstB,MATCH(AD804,FlowCalNumber,0),1,1)&lt;INDEX(FlowCalHighSetting,MATCH(AD804,FlowCalNumber,0),1,1))),INDEX(FlowCalConstA,MATCH(AD804,FlowCalNumber,0),1,1)*AF809^INDEX(FlowCalConstB,MATCH(AD804,FlowCalNumber,0),1,1)," ")</f>
        <v>#REF!</v>
      </c>
      <c r="AH809" s="33"/>
      <c r="AI809" s="242">
        <f t="shared" si="772"/>
        <v>0.9</v>
      </c>
      <c r="AJ809" s="241" t="e">
        <f t="shared" ca="1" si="773"/>
        <v>#REF!</v>
      </c>
      <c r="AK809" s="243" t="e">
        <f ca="1">IF(AND(INDEX(FlowCalConstA,MATCH(AH804,FlowCalNumber,0),1,1)*AJ809^INDEX(FlowCalConstB,MATCH(AH804,FlowCalNumber,0),1,1)&gt;INDEX(FlowCalLowSetting,MATCH(AH804,FlowCalNumber,0),1,1), (INDEX(FlowCalConstA,MATCH(AH804,FlowCalNumber,0),1,1)*AJ809^INDEX(FlowCalConstB,MATCH(AH804,FlowCalNumber,0),1,1)&lt;INDEX(FlowCalHighSetting,MATCH(AH804,FlowCalNumber,0),1,1))),INDEX(FlowCalConstA,MATCH(AH804,FlowCalNumber,0),1,1)*AJ809^INDEX(FlowCalConstB,MATCH(AH804,FlowCalNumber,0),1,1)," ")</f>
        <v>#REF!</v>
      </c>
      <c r="AL809" s="33"/>
      <c r="AM809" s="242"/>
      <c r="AN809" s="241"/>
      <c r="AO809" s="244"/>
      <c r="AQ809" s="242"/>
      <c r="AR809" s="241"/>
      <c r="AS809" s="244"/>
      <c r="AT809" s="33"/>
      <c r="AU809" s="242"/>
      <c r="AV809" s="241"/>
      <c r="AW809" s="244"/>
      <c r="AX809" s="33"/>
      <c r="AY809" s="242"/>
      <c r="AZ809" s="241"/>
      <c r="BA809" s="244"/>
      <c r="BB809" s="33"/>
      <c r="BC809" s="242"/>
      <c r="BD809" s="241"/>
      <c r="BE809" s="244"/>
      <c r="BF809" s="33"/>
      <c r="BG809" s="242"/>
      <c r="BH809" s="241"/>
      <c r="BI809" s="244"/>
      <c r="BJ809" s="33"/>
      <c r="BK809" s="242"/>
      <c r="BL809" s="241"/>
      <c r="BM809" s="244"/>
      <c r="BN809" s="33"/>
      <c r="BO809" s="242"/>
      <c r="BP809" s="241"/>
      <c r="BQ809" s="244"/>
      <c r="BR809" s="33"/>
      <c r="BS809" s="242"/>
      <c r="BT809" s="241"/>
      <c r="BU809" s="244"/>
      <c r="BV809" s="33"/>
      <c r="BW809" s="242"/>
      <c r="BX809" s="241"/>
      <c r="BY809" s="244"/>
      <c r="BZ809" s="33"/>
      <c r="CA809" s="242"/>
      <c r="CB809" s="241"/>
      <c r="CC809" s="244"/>
      <c r="CD809" s="243"/>
      <c r="CE809" s="243"/>
      <c r="CF809" s="243"/>
      <c r="CG809" s="243"/>
      <c r="CH809" s="243"/>
      <c r="CI809" s="243"/>
      <c r="CJ809" s="243"/>
      <c r="CK809" s="243"/>
      <c r="CL809" s="243"/>
      <c r="CM809" s="243"/>
      <c r="CN809" s="243"/>
      <c r="CO809" s="243"/>
      <c r="CP809" s="243"/>
      <c r="CQ809" s="243"/>
      <c r="CR809" s="243"/>
      <c r="CS809" s="243"/>
      <c r="CT809" s="243"/>
      <c r="CU809" s="243"/>
      <c r="CV809" s="243"/>
      <c r="CW809" s="243"/>
      <c r="CX809" s="243"/>
      <c r="CY809" s="243"/>
      <c r="CZ809" s="243"/>
      <c r="DA809" s="243"/>
      <c r="DB809" s="243"/>
      <c r="DC809" s="243"/>
      <c r="DD809" s="243"/>
      <c r="DE809" s="243"/>
      <c r="DF809" s="243"/>
      <c r="DG809" s="243"/>
      <c r="DH809" s="243"/>
      <c r="DI809" s="243"/>
      <c r="DJ809" s="243"/>
      <c r="DK809" s="243"/>
      <c r="DM809" s="242"/>
      <c r="DO809" s="243"/>
      <c r="DQ809" s="242"/>
      <c r="DS809" s="243"/>
      <c r="DU809" s="242"/>
      <c r="DW809" s="243"/>
      <c r="DY809" s="242"/>
      <c r="EA809" s="243"/>
    </row>
    <row r="810" spans="1:131">
      <c r="A810" s="20"/>
      <c r="B810" s="124" t="str">
        <f t="shared" si="758"/>
        <v/>
      </c>
      <c r="C810" s="235"/>
      <c r="D810" s="24">
        <f>'1% Wind'!$M$87</f>
        <v>13.5</v>
      </c>
      <c r="E810" s="90"/>
      <c r="F810" s="90"/>
      <c r="G810" s="79" t="e">
        <f ca="1">IF(I804=0.9743,$G809,MAX(G809/D809*D810,2))</f>
        <v>#REF!</v>
      </c>
      <c r="H810" s="121" t="e">
        <f t="shared" ca="1" si="759"/>
        <v>#REF!</v>
      </c>
      <c r="J810" s="33"/>
      <c r="K810" s="242">
        <f t="shared" si="760"/>
        <v>1</v>
      </c>
      <c r="L810" s="241" t="e">
        <f t="shared" ca="1" si="761"/>
        <v>#REF!</v>
      </c>
      <c r="M810" s="243" t="e">
        <f ca="1">IF(AND(INDEX(FlowCalConstA,MATCH(J804,FlowCalNumber,0),1,1)*L810^INDEX(FlowCalConstB,MATCH(J804,FlowCalNumber,0),1,1)&gt;INDEX(FlowCalLowSetting,MATCH(J804,FlowCalNumber,0),1,1), (INDEX(FlowCalConstA,MATCH(J804,FlowCalNumber,0),1,1)*L810^INDEX(FlowCalConstB,MATCH(J804,FlowCalNumber,0),1,1)&lt;INDEX(FlowCalHighSetting,MATCH(J804,FlowCalNumber,0),1,1))),INDEX(FlowCalConstA,MATCH(J804,FlowCalNumber,0),1,1)*L810^INDEX(FlowCalConstB,MATCH(J804,FlowCalNumber,0),1,1)," ")</f>
        <v>#REF!</v>
      </c>
      <c r="N810" s="33"/>
      <c r="O810" s="242">
        <f t="shared" si="762"/>
        <v>1</v>
      </c>
      <c r="P810" s="241" t="e">
        <f t="shared" ca="1" si="763"/>
        <v>#REF!</v>
      </c>
      <c r="Q810" s="243" t="e">
        <f ca="1">IF(AND(INDEX(FlowCalConstA,MATCH(N804,FlowCalNumber,0),1,1)*P810^INDEX(FlowCalConstB,MATCH(N804,FlowCalNumber,0),1,1)&gt;INDEX(FlowCalLowSetting,MATCH(N804,FlowCalNumber,0),1,1), (INDEX(FlowCalConstA,MATCH(N804,FlowCalNumber,0),1,1)*P810^INDEX(FlowCalConstB,MATCH(N804,FlowCalNumber,0),1,1)&lt;INDEX(FlowCalHighSetting,MATCH(N804,FlowCalNumber,0),1,1))),INDEX(FlowCalConstA,MATCH(N804,FlowCalNumber,0),1,1)*P810^INDEX(FlowCalConstB,MATCH(N804,FlowCalNumber,0),1,1)," ")</f>
        <v>#REF!</v>
      </c>
      <c r="R810" s="33"/>
      <c r="S810" s="242">
        <f t="shared" si="764"/>
        <v>1</v>
      </c>
      <c r="T810" s="241" t="e">
        <f t="shared" ca="1" si="765"/>
        <v>#REF!</v>
      </c>
      <c r="U810" s="244" t="e">
        <f ca="1">IF(AND(INDEX(FlowCalConstA,MATCH(R804,FlowCalNumber,0),1,1)*T810^INDEX(FlowCalConstB,MATCH(R804,FlowCalNumber,0),1,1)&gt;INDEX(FlowCalLowSetting,MATCH(R804,FlowCalNumber,0),1,1), (INDEX(FlowCalConstA,MATCH(R804,FlowCalNumber,0),1,1)*T810^INDEX(FlowCalConstB,MATCH(R804,FlowCalNumber,0),1,1)&lt;INDEX(FlowCalHighSetting,MATCH(R804,FlowCalNumber,0),1,1))),INDEX(FlowCalConstA,MATCH(R804,FlowCalNumber,0),1,1)*T810^INDEX(FlowCalConstB,MATCH(R804,FlowCalNumber,0),1,1)," ")</f>
        <v>#REF!</v>
      </c>
      <c r="V810" s="33"/>
      <c r="W810" s="242">
        <f t="shared" si="766"/>
        <v>0.1</v>
      </c>
      <c r="X810" s="241" t="e">
        <f t="shared" ca="1" si="767"/>
        <v>#REF!</v>
      </c>
      <c r="Y810" s="243" t="e">
        <f ca="1">IF(AND(INDEX(FlowCalConstA,MATCH(V804,FlowCalNumber,0),1,1)*X810^INDEX(FlowCalConstB,MATCH(V804,FlowCalNumber,0),1,1)&gt;INDEX(FlowCalLowSetting,MATCH(V804,FlowCalNumber,0),1,1), (INDEX(FlowCalConstA,MATCH(V804,FlowCalNumber,0),1,1)*X810^INDEX(FlowCalConstB,MATCH(V804,FlowCalNumber,0),1,1)&lt;INDEX(FlowCalHighSetting,MATCH(V804,FlowCalNumber,0),1,1))),INDEX(FlowCalConstA,MATCH(V804,FlowCalNumber,0),1,1)*X810^INDEX(FlowCalConstB,MATCH(V804,FlowCalNumber,0),1,1)," ")</f>
        <v>#REF!</v>
      </c>
      <c r="Z810" s="33"/>
      <c r="AA810" s="242">
        <f t="shared" si="768"/>
        <v>0.9</v>
      </c>
      <c r="AB810" s="241" t="e">
        <f t="shared" ca="1" si="769"/>
        <v>#REF!</v>
      </c>
      <c r="AC810" s="243" t="e">
        <f ca="1">IF(AND(INDEX(FlowCalConstA,MATCH(Z804,FlowCalNumber,0),1,1)*AB810^INDEX(FlowCalConstB,MATCH(Z804,FlowCalNumber,0),1,1)&gt;INDEX(FlowCalLowSetting,MATCH(Z804,FlowCalNumber,0),1,1), (INDEX(FlowCalConstA,MATCH(Z804,FlowCalNumber,0),1,1)*AB810^INDEX(FlowCalConstB,MATCH(Z804,FlowCalNumber,0),1,1)&lt;INDEX(FlowCalHighSetting,MATCH(Z804,FlowCalNumber,0),1,1))),INDEX(FlowCalConstA,MATCH(Z804,FlowCalNumber,0),1,1)*AB810^INDEX(FlowCalConstB,MATCH(Z804,FlowCalNumber,0),1,1)," ")</f>
        <v>#REF!</v>
      </c>
      <c r="AD810" s="33"/>
      <c r="AE810" s="242">
        <f t="shared" si="770"/>
        <v>0.1</v>
      </c>
      <c r="AF810" s="241" t="e">
        <f t="shared" ca="1" si="771"/>
        <v>#REF!</v>
      </c>
      <c r="AG810" s="243" t="e">
        <f ca="1">IF(AND(INDEX(FlowCalConstA,MATCH(AD804,FlowCalNumber,0),1,1)*AF810^INDEX(FlowCalConstB,MATCH(AD804,FlowCalNumber,0),1,1)&gt;INDEX(FlowCalLowSetting,MATCH(AD804,FlowCalNumber,0),1,1), (INDEX(FlowCalConstA,MATCH(AD804,FlowCalNumber,0),1,1)*AF810^INDEX(FlowCalConstB,MATCH(AD804,FlowCalNumber,0),1,1)&lt;INDEX(FlowCalHighSetting,MATCH(AD804,FlowCalNumber,0),1,1))),INDEX(FlowCalConstA,MATCH(AD804,FlowCalNumber,0),1,1)*AF810^INDEX(FlowCalConstB,MATCH(AD804,FlowCalNumber,0),1,1)," ")</f>
        <v>#REF!</v>
      </c>
      <c r="AH810" s="33"/>
      <c r="AI810" s="242">
        <f t="shared" si="772"/>
        <v>0.9</v>
      </c>
      <c r="AJ810" s="241" t="e">
        <f t="shared" ca="1" si="773"/>
        <v>#REF!</v>
      </c>
      <c r="AK810" s="243" t="e">
        <f ca="1">IF(AND(INDEX(FlowCalConstA,MATCH(AH804,FlowCalNumber,0),1,1)*AJ810^INDEX(FlowCalConstB,MATCH(AH804,FlowCalNumber,0),1,1)&gt;INDEX(FlowCalLowSetting,MATCH(AH804,FlowCalNumber,0),1,1), (INDEX(FlowCalConstA,MATCH(AH804,FlowCalNumber,0),1,1)*AJ810^INDEX(FlowCalConstB,MATCH(AH804,FlowCalNumber,0),1,1)&lt;INDEX(FlowCalHighSetting,MATCH(AH804,FlowCalNumber,0),1,1))),INDEX(FlowCalConstA,MATCH(AH804,FlowCalNumber,0),1,1)*AJ810^INDEX(FlowCalConstB,MATCH(AH804,FlowCalNumber,0),1,1)," ")</f>
        <v>#REF!</v>
      </c>
      <c r="AL810" s="33"/>
      <c r="AM810" s="242"/>
      <c r="AN810" s="241"/>
      <c r="AO810" s="244"/>
      <c r="AQ810" s="242"/>
      <c r="AR810" s="241"/>
      <c r="AS810" s="244"/>
      <c r="AT810" s="33"/>
      <c r="AU810" s="242"/>
      <c r="AV810" s="241"/>
      <c r="AW810" s="244"/>
      <c r="AX810" s="33"/>
      <c r="AY810" s="242"/>
      <c r="AZ810" s="241"/>
      <c r="BA810" s="244"/>
      <c r="BB810" s="33"/>
      <c r="BC810" s="242"/>
      <c r="BD810" s="241"/>
      <c r="BE810" s="244"/>
      <c r="BF810" s="33"/>
      <c r="BG810" s="242"/>
      <c r="BH810" s="241"/>
      <c r="BI810" s="244"/>
      <c r="BJ810" s="33"/>
      <c r="BK810" s="242"/>
      <c r="BL810" s="241"/>
      <c r="BM810" s="244"/>
      <c r="BN810" s="33"/>
      <c r="BO810" s="242"/>
      <c r="BP810" s="241"/>
      <c r="BQ810" s="244"/>
      <c r="BR810" s="33"/>
      <c r="BS810" s="242"/>
      <c r="BT810" s="241"/>
      <c r="BU810" s="244"/>
      <c r="BV810" s="33"/>
      <c r="BW810" s="242"/>
      <c r="BX810" s="241"/>
      <c r="BY810" s="244"/>
      <c r="BZ810" s="33"/>
      <c r="CA810" s="242"/>
      <c r="CB810" s="241"/>
      <c r="CC810" s="244"/>
      <c r="CD810" s="243"/>
      <c r="CE810" s="243"/>
      <c r="CF810" s="243"/>
      <c r="CG810" s="243"/>
      <c r="CH810" s="243"/>
      <c r="CI810" s="243"/>
      <c r="CJ810" s="243"/>
      <c r="CK810" s="243"/>
      <c r="CL810" s="243"/>
      <c r="CM810" s="243"/>
      <c r="CN810" s="243"/>
      <c r="CO810" s="243"/>
      <c r="CP810" s="243"/>
      <c r="CQ810" s="243"/>
      <c r="CR810" s="243"/>
      <c r="CS810" s="243"/>
      <c r="CT810" s="243"/>
      <c r="CU810" s="243"/>
      <c r="CV810" s="243"/>
      <c r="CW810" s="243"/>
      <c r="CX810" s="243"/>
      <c r="CY810" s="243"/>
      <c r="CZ810" s="243"/>
      <c r="DA810" s="243"/>
      <c r="DB810" s="243"/>
      <c r="DC810" s="243"/>
      <c r="DD810" s="243"/>
      <c r="DE810" s="243"/>
      <c r="DF810" s="243"/>
      <c r="DG810" s="243"/>
      <c r="DH810" s="243"/>
      <c r="DI810" s="243"/>
      <c r="DJ810" s="243"/>
      <c r="DK810" s="243"/>
      <c r="DM810" s="242"/>
      <c r="DO810" s="243"/>
      <c r="DQ810" s="242"/>
      <c r="DS810" s="243"/>
      <c r="DU810" s="242"/>
      <c r="DW810" s="243"/>
      <c r="DY810" s="242"/>
      <c r="EA810" s="243"/>
    </row>
    <row r="811" spans="1:131">
      <c r="A811" s="20"/>
      <c r="B811" s="124" t="str">
        <f t="shared" si="758"/>
        <v/>
      </c>
      <c r="C811" s="235"/>
      <c r="D811" s="24">
        <f>'1% Wind'!$M$88</f>
        <v>10.1</v>
      </c>
      <c r="E811" s="90"/>
      <c r="F811" s="90"/>
      <c r="G811" s="79" t="e">
        <f ca="1">IF(I804=0.9743,$G810,MAX(G810/D810*D811,2))</f>
        <v>#REF!</v>
      </c>
      <c r="H811" s="121" t="e">
        <f t="shared" ca="1" si="759"/>
        <v>#REF!</v>
      </c>
      <c r="J811" s="33"/>
      <c r="K811" s="242">
        <f t="shared" si="760"/>
        <v>1</v>
      </c>
      <c r="L811" s="241" t="e">
        <f t="shared" ca="1" si="761"/>
        <v>#REF!</v>
      </c>
      <c r="M811" s="243" t="e">
        <f ca="1">IF(AND(INDEX(FlowCalConstA,MATCH(J804,FlowCalNumber,0),1,1)*L811^INDEX(FlowCalConstB,MATCH(J804,FlowCalNumber,0),1,1)&gt;INDEX(FlowCalLowSetting,MATCH(J804,FlowCalNumber,0),1,1), (INDEX(FlowCalConstA,MATCH(J804,FlowCalNumber,0),1,1)*L811^INDEX(FlowCalConstB,MATCH(J804,FlowCalNumber,0),1,1)&lt;INDEX(FlowCalHighSetting,MATCH(J804,FlowCalNumber,0),1,1))),INDEX(FlowCalConstA,MATCH(J804,FlowCalNumber,0),1,1)*L811^INDEX(FlowCalConstB,MATCH(J804,FlowCalNumber,0),1,1)," ")</f>
        <v>#REF!</v>
      </c>
      <c r="N811" s="33"/>
      <c r="O811" s="242">
        <f t="shared" si="762"/>
        <v>1</v>
      </c>
      <c r="P811" s="241" t="e">
        <f t="shared" ca="1" si="763"/>
        <v>#REF!</v>
      </c>
      <c r="Q811" s="243" t="e">
        <f ca="1">IF(AND(INDEX(FlowCalConstA,MATCH(N804,FlowCalNumber,0),1,1)*P811^INDEX(FlowCalConstB,MATCH(N804,FlowCalNumber,0),1,1)&gt;INDEX(FlowCalLowSetting,MATCH(N804,FlowCalNumber,0),1,1), (INDEX(FlowCalConstA,MATCH(N804,FlowCalNumber,0),1,1)*P811^INDEX(FlowCalConstB,MATCH(N804,FlowCalNumber,0),1,1)&lt;INDEX(FlowCalHighSetting,MATCH(N804,FlowCalNumber,0),1,1))),INDEX(FlowCalConstA,MATCH(N804,FlowCalNumber,0),1,1)*P811^INDEX(FlowCalConstB,MATCH(N804,FlowCalNumber,0),1,1)," ")</f>
        <v>#REF!</v>
      </c>
      <c r="R811" s="33"/>
      <c r="S811" s="242">
        <f t="shared" si="764"/>
        <v>1</v>
      </c>
      <c r="T811" s="241" t="e">
        <f t="shared" ca="1" si="765"/>
        <v>#REF!</v>
      </c>
      <c r="U811" s="244" t="e">
        <f ca="1">IF(AND(INDEX(FlowCalConstA,MATCH(R804,FlowCalNumber,0),1,1)*T811^INDEX(FlowCalConstB,MATCH(R804,FlowCalNumber,0),1,1)&gt;INDEX(FlowCalLowSetting,MATCH(R804,FlowCalNumber,0),1,1), (INDEX(FlowCalConstA,MATCH(R804,FlowCalNumber,0),1,1)*T811^INDEX(FlowCalConstB,MATCH(R804,FlowCalNumber,0),1,1)&lt;INDEX(FlowCalHighSetting,MATCH(R804,FlowCalNumber,0),1,1))),INDEX(FlowCalConstA,MATCH(R804,FlowCalNumber,0),1,1)*T811^INDEX(FlowCalConstB,MATCH(R804,FlowCalNumber,0),1,1)," ")</f>
        <v>#REF!</v>
      </c>
      <c r="V811" s="33"/>
      <c r="W811" s="242">
        <f t="shared" si="766"/>
        <v>0.1</v>
      </c>
      <c r="X811" s="241" t="e">
        <f t="shared" ca="1" si="767"/>
        <v>#REF!</v>
      </c>
      <c r="Y811" s="243" t="e">
        <f ca="1">IF(AND(INDEX(FlowCalConstA,MATCH(V804,FlowCalNumber,0),1,1)*X811^INDEX(FlowCalConstB,MATCH(V804,FlowCalNumber,0),1,1)&gt;INDEX(FlowCalLowSetting,MATCH(V804,FlowCalNumber,0),1,1), (INDEX(FlowCalConstA,MATCH(V804,FlowCalNumber,0),1,1)*X811^INDEX(FlowCalConstB,MATCH(V804,FlowCalNumber,0),1,1)&lt;INDEX(FlowCalHighSetting,MATCH(V804,FlowCalNumber,0),1,1))),INDEX(FlowCalConstA,MATCH(V804,FlowCalNumber,0),1,1)*X811^INDEX(FlowCalConstB,MATCH(V804,FlowCalNumber,0),1,1)," ")</f>
        <v>#REF!</v>
      </c>
      <c r="Z811" s="33"/>
      <c r="AA811" s="242">
        <f t="shared" si="768"/>
        <v>0.9</v>
      </c>
      <c r="AB811" s="241" t="e">
        <f t="shared" ca="1" si="769"/>
        <v>#REF!</v>
      </c>
      <c r="AC811" s="243" t="e">
        <f ca="1">IF(AND(INDEX(FlowCalConstA,MATCH(Z804,FlowCalNumber,0),1,1)*AB811^INDEX(FlowCalConstB,MATCH(Z804,FlowCalNumber,0),1,1)&gt;INDEX(FlowCalLowSetting,MATCH(Z804,FlowCalNumber,0),1,1), (INDEX(FlowCalConstA,MATCH(Z804,FlowCalNumber,0),1,1)*AB811^INDEX(FlowCalConstB,MATCH(Z804,FlowCalNumber,0),1,1)&lt;INDEX(FlowCalHighSetting,MATCH(Z804,FlowCalNumber,0),1,1))),INDEX(FlowCalConstA,MATCH(Z804,FlowCalNumber,0),1,1)*AB811^INDEX(FlowCalConstB,MATCH(Z804,FlowCalNumber,0),1,1)," ")</f>
        <v>#REF!</v>
      </c>
      <c r="AD811" s="33"/>
      <c r="AE811" s="242">
        <f t="shared" si="770"/>
        <v>0.1</v>
      </c>
      <c r="AF811" s="241" t="e">
        <f t="shared" ca="1" si="771"/>
        <v>#REF!</v>
      </c>
      <c r="AG811" s="243" t="e">
        <f ca="1">IF(AND(INDEX(FlowCalConstA,MATCH(AD804,FlowCalNumber,0),1,1)*AF811^INDEX(FlowCalConstB,MATCH(AD804,FlowCalNumber,0),1,1)&gt;INDEX(FlowCalLowSetting,MATCH(AD804,FlowCalNumber,0),1,1), (INDEX(FlowCalConstA,MATCH(AD804,FlowCalNumber,0),1,1)*AF811^INDEX(FlowCalConstB,MATCH(AD804,FlowCalNumber,0),1,1)&lt;INDEX(FlowCalHighSetting,MATCH(AD804,FlowCalNumber,0),1,1))),INDEX(FlowCalConstA,MATCH(AD804,FlowCalNumber,0),1,1)*AF811^INDEX(FlowCalConstB,MATCH(AD804,FlowCalNumber,0),1,1)," ")</f>
        <v>#REF!</v>
      </c>
      <c r="AH811" s="33"/>
      <c r="AI811" s="242">
        <f t="shared" si="772"/>
        <v>0.9</v>
      </c>
      <c r="AJ811" s="241" t="e">
        <f t="shared" ca="1" si="773"/>
        <v>#REF!</v>
      </c>
      <c r="AK811" s="243" t="e">
        <f ca="1">IF(AND(INDEX(FlowCalConstA,MATCH(AH804,FlowCalNumber,0),1,1)*AJ811^INDEX(FlowCalConstB,MATCH(AH804,FlowCalNumber,0),1,1)&gt;INDEX(FlowCalLowSetting,MATCH(AH804,FlowCalNumber,0),1,1), (INDEX(FlowCalConstA,MATCH(AH804,FlowCalNumber,0),1,1)*AJ811^INDEX(FlowCalConstB,MATCH(AH804,FlowCalNumber,0),1,1)&lt;INDEX(FlowCalHighSetting,MATCH(AH804,FlowCalNumber,0),1,1))),INDEX(FlowCalConstA,MATCH(AH804,FlowCalNumber,0),1,1)*AJ811^INDEX(FlowCalConstB,MATCH(AH804,FlowCalNumber,0),1,1)," ")</f>
        <v>#REF!</v>
      </c>
      <c r="AL811" s="33"/>
      <c r="AM811" s="242"/>
      <c r="AN811" s="241"/>
      <c r="AO811" s="244"/>
      <c r="AQ811" s="242"/>
      <c r="AR811" s="241"/>
      <c r="AS811" s="244"/>
      <c r="AT811" s="33"/>
      <c r="AU811" s="242"/>
      <c r="AV811" s="241"/>
      <c r="AW811" s="244"/>
      <c r="AX811" s="33"/>
      <c r="AY811" s="242"/>
      <c r="AZ811" s="241"/>
      <c r="BA811" s="244"/>
      <c r="BB811" s="33"/>
      <c r="BC811" s="242"/>
      <c r="BD811" s="241"/>
      <c r="BE811" s="244"/>
      <c r="BF811" s="33"/>
      <c r="BG811" s="242"/>
      <c r="BH811" s="241"/>
      <c r="BI811" s="244"/>
      <c r="BJ811" s="33"/>
      <c r="BK811" s="242"/>
      <c r="BL811" s="241"/>
      <c r="BM811" s="244"/>
      <c r="BN811" s="33"/>
      <c r="BO811" s="242"/>
      <c r="BP811" s="241"/>
      <c r="BQ811" s="244"/>
      <c r="BR811" s="33"/>
      <c r="BS811" s="242"/>
      <c r="BT811" s="241"/>
      <c r="BU811" s="244"/>
      <c r="BV811" s="33"/>
      <c r="BW811" s="242"/>
      <c r="BX811" s="241"/>
      <c r="BY811" s="244"/>
      <c r="BZ811" s="33"/>
      <c r="CA811" s="242"/>
      <c r="CB811" s="241"/>
      <c r="CC811" s="244"/>
      <c r="CD811" s="243"/>
      <c r="CE811" s="243"/>
      <c r="CF811" s="243"/>
      <c r="CG811" s="243"/>
      <c r="CH811" s="243"/>
      <c r="CI811" s="243"/>
      <c r="CJ811" s="243"/>
      <c r="CK811" s="243"/>
      <c r="CL811" s="243"/>
      <c r="CM811" s="243"/>
      <c r="CN811" s="243"/>
      <c r="CO811" s="243"/>
      <c r="CP811" s="243"/>
      <c r="CQ811" s="243"/>
      <c r="CR811" s="243"/>
      <c r="CS811" s="243"/>
      <c r="CT811" s="243"/>
      <c r="CU811" s="243"/>
      <c r="CV811" s="243"/>
      <c r="CW811" s="243"/>
      <c r="CX811" s="243"/>
      <c r="CY811" s="243"/>
      <c r="CZ811" s="243"/>
      <c r="DA811" s="243"/>
      <c r="DB811" s="243"/>
      <c r="DC811" s="243"/>
      <c r="DD811" s="243"/>
      <c r="DE811" s="243"/>
      <c r="DF811" s="243"/>
      <c r="DG811" s="243"/>
      <c r="DH811" s="243"/>
      <c r="DI811" s="243"/>
      <c r="DJ811" s="243"/>
      <c r="DK811" s="243"/>
      <c r="DM811" s="242"/>
      <c r="DO811" s="243"/>
      <c r="DQ811" s="242"/>
      <c r="DS811" s="243"/>
      <c r="DU811" s="242"/>
      <c r="DW811" s="243"/>
      <c r="DY811" s="242"/>
      <c r="EA811" s="243"/>
    </row>
    <row r="812" spans="1:131">
      <c r="A812" s="20"/>
      <c r="B812" s="124" t="str">
        <f t="shared" si="758"/>
        <v/>
      </c>
      <c r="C812" s="235"/>
      <c r="D812" s="24">
        <f>'1% Wind'!$M$89</f>
        <v>7.6</v>
      </c>
      <c r="E812" s="90"/>
      <c r="F812" s="90"/>
      <c r="G812" s="79" t="e">
        <f ca="1">IF(I804=0.9743,$G811,MAX(G811/D811*D812,2))</f>
        <v>#REF!</v>
      </c>
      <c r="H812" s="121" t="e">
        <f t="shared" ca="1" si="759"/>
        <v>#REF!</v>
      </c>
      <c r="J812" s="33"/>
      <c r="K812" s="242">
        <f t="shared" si="760"/>
        <v>1</v>
      </c>
      <c r="L812" s="241" t="e">
        <f t="shared" ca="1" si="761"/>
        <v>#REF!</v>
      </c>
      <c r="M812" s="243" t="e">
        <f ca="1">IF(AND(INDEX(FlowCalConstA,MATCH(J804,FlowCalNumber,0),1,1)*L812^INDEX(FlowCalConstB,MATCH(J804,FlowCalNumber,0),1,1)&gt;INDEX(FlowCalLowSetting,MATCH(J804,FlowCalNumber,0),1,1), (INDEX(FlowCalConstA,MATCH(J804,FlowCalNumber,0),1,1)*L812^INDEX(FlowCalConstB,MATCH(J804,FlowCalNumber,0),1,1)&lt;INDEX(FlowCalHighSetting,MATCH(J804,FlowCalNumber,0),1,1))),INDEX(FlowCalConstA,MATCH(J804,FlowCalNumber,0),1,1)*L812^INDEX(FlowCalConstB,MATCH(J804,FlowCalNumber,0),1,1)," ")</f>
        <v>#REF!</v>
      </c>
      <c r="N812" s="33"/>
      <c r="O812" s="242">
        <f t="shared" si="762"/>
        <v>1</v>
      </c>
      <c r="P812" s="241" t="e">
        <f t="shared" ca="1" si="763"/>
        <v>#REF!</v>
      </c>
      <c r="Q812" s="243" t="e">
        <f ca="1">IF(AND(INDEX(FlowCalConstA,MATCH(N804,FlowCalNumber,0),1,1)*P812^INDEX(FlowCalConstB,MATCH(N804,FlowCalNumber,0),1,1)&gt;INDEX(FlowCalLowSetting,MATCH(N804,FlowCalNumber,0),1,1), (INDEX(FlowCalConstA,MATCH(N804,FlowCalNumber,0),1,1)*P812^INDEX(FlowCalConstB,MATCH(N804,FlowCalNumber,0),1,1)&lt;INDEX(FlowCalHighSetting,MATCH(N804,FlowCalNumber,0),1,1))),INDEX(FlowCalConstA,MATCH(N804,FlowCalNumber,0),1,1)*P812^INDEX(FlowCalConstB,MATCH(N804,FlowCalNumber,0),1,1)," ")</f>
        <v>#REF!</v>
      </c>
      <c r="R812" s="33"/>
      <c r="S812" s="242">
        <f t="shared" si="764"/>
        <v>1</v>
      </c>
      <c r="T812" s="241" t="e">
        <f t="shared" ca="1" si="765"/>
        <v>#REF!</v>
      </c>
      <c r="U812" s="244" t="e">
        <f ca="1">IF(AND(INDEX(FlowCalConstA,MATCH(R804,FlowCalNumber,0),1,1)*T812^INDEX(FlowCalConstB,MATCH(R804,FlowCalNumber,0),1,1)&gt;INDEX(FlowCalLowSetting,MATCH(R804,FlowCalNumber,0),1,1), (INDEX(FlowCalConstA,MATCH(R804,FlowCalNumber,0),1,1)*T812^INDEX(FlowCalConstB,MATCH(R804,FlowCalNumber,0),1,1)&lt;INDEX(FlowCalHighSetting,MATCH(R804,FlowCalNumber,0),1,1))),INDEX(FlowCalConstA,MATCH(R804,FlowCalNumber,0),1,1)*T812^INDEX(FlowCalConstB,MATCH(R804,FlowCalNumber,0),1,1)," ")</f>
        <v>#REF!</v>
      </c>
      <c r="V812" s="33"/>
      <c r="W812" s="242">
        <f t="shared" si="766"/>
        <v>0.1</v>
      </c>
      <c r="X812" s="241" t="e">
        <f t="shared" ca="1" si="767"/>
        <v>#REF!</v>
      </c>
      <c r="Y812" s="243" t="e">
        <f ca="1">IF(AND(INDEX(FlowCalConstA,MATCH(V804,FlowCalNumber,0),1,1)*X812^INDEX(FlowCalConstB,MATCH(V804,FlowCalNumber,0),1,1)&gt;INDEX(FlowCalLowSetting,MATCH(V804,FlowCalNumber,0),1,1), (INDEX(FlowCalConstA,MATCH(V804,FlowCalNumber,0),1,1)*X812^INDEX(FlowCalConstB,MATCH(V804,FlowCalNumber,0),1,1)&lt;INDEX(FlowCalHighSetting,MATCH(V804,FlowCalNumber,0),1,1))),INDEX(FlowCalConstA,MATCH(V804,FlowCalNumber,0),1,1)*X812^INDEX(FlowCalConstB,MATCH(V804,FlowCalNumber,0),1,1)," ")</f>
        <v>#REF!</v>
      </c>
      <c r="Z812" s="33"/>
      <c r="AA812" s="242">
        <f t="shared" si="768"/>
        <v>0.9</v>
      </c>
      <c r="AB812" s="241" t="e">
        <f t="shared" ca="1" si="769"/>
        <v>#REF!</v>
      </c>
      <c r="AC812" s="243" t="e">
        <f ca="1">IF(AND(INDEX(FlowCalConstA,MATCH(Z804,FlowCalNumber,0),1,1)*AB812^INDEX(FlowCalConstB,MATCH(Z804,FlowCalNumber,0),1,1)&gt;INDEX(FlowCalLowSetting,MATCH(Z804,FlowCalNumber,0),1,1), (INDEX(FlowCalConstA,MATCH(Z804,FlowCalNumber,0),1,1)*AB812^INDEX(FlowCalConstB,MATCH(Z804,FlowCalNumber,0),1,1)&lt;INDEX(FlowCalHighSetting,MATCH(Z804,FlowCalNumber,0),1,1))),INDEX(FlowCalConstA,MATCH(Z804,FlowCalNumber,0),1,1)*AB812^INDEX(FlowCalConstB,MATCH(Z804,FlowCalNumber,0),1,1)," ")</f>
        <v>#REF!</v>
      </c>
      <c r="AD812" s="33"/>
      <c r="AE812" s="242">
        <f t="shared" si="770"/>
        <v>0.1</v>
      </c>
      <c r="AF812" s="241" t="e">
        <f t="shared" ca="1" si="771"/>
        <v>#REF!</v>
      </c>
      <c r="AG812" s="243" t="e">
        <f ca="1">IF(AND(INDEX(FlowCalConstA,MATCH(AD804,FlowCalNumber,0),1,1)*AF812^INDEX(FlowCalConstB,MATCH(AD804,FlowCalNumber,0),1,1)&gt;INDEX(FlowCalLowSetting,MATCH(AD804,FlowCalNumber,0),1,1), (INDEX(FlowCalConstA,MATCH(AD804,FlowCalNumber,0),1,1)*AF812^INDEX(FlowCalConstB,MATCH(AD804,FlowCalNumber,0),1,1)&lt;INDEX(FlowCalHighSetting,MATCH(AD804,FlowCalNumber,0),1,1))),INDEX(FlowCalConstA,MATCH(AD804,FlowCalNumber,0),1,1)*AF812^INDEX(FlowCalConstB,MATCH(AD804,FlowCalNumber,0),1,1)," ")</f>
        <v>#REF!</v>
      </c>
      <c r="AH812" s="33"/>
      <c r="AI812" s="242">
        <f t="shared" si="772"/>
        <v>0.9</v>
      </c>
      <c r="AJ812" s="241" t="e">
        <f t="shared" ca="1" si="773"/>
        <v>#REF!</v>
      </c>
      <c r="AK812" s="243" t="e">
        <f ca="1">IF(AND(INDEX(FlowCalConstA,MATCH(AH804,FlowCalNumber,0),1,1)*AJ812^INDEX(FlowCalConstB,MATCH(AH804,FlowCalNumber,0),1,1)&gt;INDEX(FlowCalLowSetting,MATCH(AH804,FlowCalNumber,0),1,1), (INDEX(FlowCalConstA,MATCH(AH804,FlowCalNumber,0),1,1)*AJ812^INDEX(FlowCalConstB,MATCH(AH804,FlowCalNumber,0),1,1)&lt;INDEX(FlowCalHighSetting,MATCH(AH804,FlowCalNumber,0),1,1))),INDEX(FlowCalConstA,MATCH(AH804,FlowCalNumber,0),1,1)*AJ812^INDEX(FlowCalConstB,MATCH(AH804,FlowCalNumber,0),1,1)," ")</f>
        <v>#REF!</v>
      </c>
      <c r="AL812" s="33"/>
      <c r="AM812" s="242"/>
      <c r="AN812" s="241"/>
      <c r="AO812" s="244"/>
      <c r="AQ812" s="242"/>
      <c r="AR812" s="241"/>
      <c r="AS812" s="244"/>
      <c r="AT812" s="33"/>
      <c r="AU812" s="242"/>
      <c r="AV812" s="241"/>
      <c r="AW812" s="244"/>
      <c r="AX812" s="33"/>
      <c r="AY812" s="242"/>
      <c r="AZ812" s="241"/>
      <c r="BA812" s="244"/>
      <c r="BB812" s="33"/>
      <c r="BC812" s="242"/>
      <c r="BD812" s="241"/>
      <c r="BE812" s="244"/>
      <c r="BF812" s="33"/>
      <c r="BG812" s="242"/>
      <c r="BH812" s="241"/>
      <c r="BI812" s="244"/>
      <c r="BJ812" s="33"/>
      <c r="BK812" s="242"/>
      <c r="BL812" s="241"/>
      <c r="BM812" s="244"/>
      <c r="BN812" s="33"/>
      <c r="BO812" s="242"/>
      <c r="BP812" s="241"/>
      <c r="BQ812" s="244"/>
      <c r="BR812" s="33"/>
      <c r="BS812" s="242"/>
      <c r="BT812" s="241"/>
      <c r="BU812" s="244"/>
      <c r="BV812" s="33"/>
      <c r="BW812" s="242"/>
      <c r="BX812" s="241"/>
      <c r="BY812" s="244"/>
      <c r="BZ812" s="33"/>
      <c r="CA812" s="242"/>
      <c r="CB812" s="241"/>
      <c r="CC812" s="244"/>
      <c r="CD812" s="243"/>
      <c r="CE812" s="243"/>
      <c r="CF812" s="243"/>
      <c r="CG812" s="243"/>
      <c r="CH812" s="243"/>
      <c r="CI812" s="243"/>
      <c r="CJ812" s="243"/>
      <c r="CK812" s="243"/>
      <c r="CL812" s="243"/>
      <c r="CM812" s="243"/>
      <c r="CN812" s="243"/>
      <c r="CO812" s="243"/>
      <c r="CP812" s="243"/>
      <c r="CQ812" s="243"/>
      <c r="CR812" s="243"/>
      <c r="CS812" s="243"/>
      <c r="CT812" s="243"/>
      <c r="CU812" s="243"/>
      <c r="CV812" s="243"/>
      <c r="CW812" s="243"/>
      <c r="CX812" s="243"/>
      <c r="CY812" s="243"/>
      <c r="CZ812" s="243"/>
      <c r="DA812" s="243"/>
      <c r="DB812" s="243"/>
      <c r="DC812" s="243"/>
      <c r="DD812" s="243"/>
      <c r="DE812" s="243"/>
      <c r="DF812" s="243"/>
      <c r="DG812" s="243"/>
      <c r="DH812" s="243"/>
      <c r="DI812" s="243"/>
      <c r="DJ812" s="243"/>
      <c r="DK812" s="243"/>
      <c r="DM812" s="242"/>
      <c r="DO812" s="243"/>
      <c r="DQ812" s="242"/>
      <c r="DS812" s="243"/>
      <c r="DU812" s="242"/>
      <c r="DW812" s="243"/>
      <c r="DY812" s="242"/>
      <c r="EA812" s="243"/>
    </row>
    <row r="813" spans="1:131">
      <c r="A813" s="20"/>
      <c r="B813" s="124" t="str">
        <f t="shared" si="758"/>
        <v/>
      </c>
      <c r="C813" s="235"/>
      <c r="D813" s="24">
        <f>'1% Wind'!$M$90</f>
        <v>5.7</v>
      </c>
      <c r="E813" s="90"/>
      <c r="F813" s="90"/>
      <c r="G813" s="79" t="e">
        <f ca="1">IF(I804=0.9743,$G812,MAX(G812/D812*D813,2))</f>
        <v>#REF!</v>
      </c>
      <c r="H813" s="121" t="e">
        <f t="shared" ca="1" si="759"/>
        <v>#REF!</v>
      </c>
      <c r="J813" s="33"/>
      <c r="K813" s="242">
        <f t="shared" si="760"/>
        <v>1</v>
      </c>
      <c r="L813" s="241" t="e">
        <f t="shared" ca="1" si="761"/>
        <v>#REF!</v>
      </c>
      <c r="M813" s="243" t="e">
        <f ca="1">IF(AND(INDEX(FlowCalConstA,MATCH(J804,FlowCalNumber,0),1,1)*L813^INDEX(FlowCalConstB,MATCH(J804,FlowCalNumber,0),1,1)&gt;INDEX(FlowCalLowSetting,MATCH(J804,FlowCalNumber,0),1,1), (INDEX(FlowCalConstA,MATCH(J804,FlowCalNumber,0),1,1)*L813^INDEX(FlowCalConstB,MATCH(J804,FlowCalNumber,0),1,1)&lt;INDEX(FlowCalHighSetting,MATCH(J804,FlowCalNumber,0),1,1))),INDEX(FlowCalConstA,MATCH(J804,FlowCalNumber,0),1,1)*L813^INDEX(FlowCalConstB,MATCH(J804,FlowCalNumber,0),1,1)," ")</f>
        <v>#REF!</v>
      </c>
      <c r="N813" s="33"/>
      <c r="O813" s="242">
        <f t="shared" si="762"/>
        <v>1</v>
      </c>
      <c r="P813" s="241" t="e">
        <f t="shared" ca="1" si="763"/>
        <v>#REF!</v>
      </c>
      <c r="Q813" s="243" t="e">
        <f ca="1">IF(AND(INDEX(FlowCalConstA,MATCH(N804,FlowCalNumber,0),1,1)*P813^INDEX(FlowCalConstB,MATCH(N804,FlowCalNumber,0),1,1)&gt;INDEX(FlowCalLowSetting,MATCH(N804,FlowCalNumber,0),1,1), (INDEX(FlowCalConstA,MATCH(N804,FlowCalNumber,0),1,1)*P813^INDEX(FlowCalConstB,MATCH(N804,FlowCalNumber,0),1,1)&lt;INDEX(FlowCalHighSetting,MATCH(N804,FlowCalNumber,0),1,1))),INDEX(FlowCalConstA,MATCH(N804,FlowCalNumber,0),1,1)*P813^INDEX(FlowCalConstB,MATCH(N804,FlowCalNumber,0),1,1)," ")</f>
        <v>#REF!</v>
      </c>
      <c r="R813" s="33"/>
      <c r="S813" s="242">
        <f t="shared" si="764"/>
        <v>1</v>
      </c>
      <c r="T813" s="241" t="e">
        <f t="shared" ca="1" si="765"/>
        <v>#REF!</v>
      </c>
      <c r="U813" s="244" t="e">
        <f ca="1">IF(AND(INDEX(FlowCalConstA,MATCH(R804,FlowCalNumber,0),1,1)*T813^INDEX(FlowCalConstB,MATCH(R804,FlowCalNumber,0),1,1)&gt;INDEX(FlowCalLowSetting,MATCH(R804,FlowCalNumber,0),1,1), (INDEX(FlowCalConstA,MATCH(R804,FlowCalNumber,0),1,1)*T813^INDEX(FlowCalConstB,MATCH(R804,FlowCalNumber,0),1,1)&lt;INDEX(FlowCalHighSetting,MATCH(R804,FlowCalNumber,0),1,1))),INDEX(FlowCalConstA,MATCH(R804,FlowCalNumber,0),1,1)*T813^INDEX(FlowCalConstB,MATCH(R804,FlowCalNumber,0),1,1)," ")</f>
        <v>#REF!</v>
      </c>
      <c r="V813" s="33"/>
      <c r="W813" s="242">
        <f t="shared" si="766"/>
        <v>0.1</v>
      </c>
      <c r="X813" s="241" t="e">
        <f t="shared" ca="1" si="767"/>
        <v>#REF!</v>
      </c>
      <c r="Y813" s="243" t="e">
        <f ca="1">IF(AND(INDEX(FlowCalConstA,MATCH(V804,FlowCalNumber,0),1,1)*X813^INDEX(FlowCalConstB,MATCH(V804,FlowCalNumber,0),1,1)&gt;INDEX(FlowCalLowSetting,MATCH(V804,FlowCalNumber,0),1,1), (INDEX(FlowCalConstA,MATCH(V804,FlowCalNumber,0),1,1)*X813^INDEX(FlowCalConstB,MATCH(V804,FlowCalNumber,0),1,1)&lt;INDEX(FlowCalHighSetting,MATCH(V804,FlowCalNumber,0),1,1))),INDEX(FlowCalConstA,MATCH(V804,FlowCalNumber,0),1,1)*X813^INDEX(FlowCalConstB,MATCH(V804,FlowCalNumber,0),1,1)," ")</f>
        <v>#REF!</v>
      </c>
      <c r="Z813" s="33"/>
      <c r="AA813" s="242">
        <f t="shared" si="768"/>
        <v>0.9</v>
      </c>
      <c r="AB813" s="241" t="e">
        <f t="shared" ca="1" si="769"/>
        <v>#REF!</v>
      </c>
      <c r="AC813" s="243" t="e">
        <f ca="1">IF(AND(INDEX(FlowCalConstA,MATCH(Z804,FlowCalNumber,0),1,1)*AB813^INDEX(FlowCalConstB,MATCH(Z804,FlowCalNumber,0),1,1)&gt;INDEX(FlowCalLowSetting,MATCH(Z804,FlowCalNumber,0),1,1), (INDEX(FlowCalConstA,MATCH(Z804,FlowCalNumber,0),1,1)*AB813^INDEX(FlowCalConstB,MATCH(Z804,FlowCalNumber,0),1,1)&lt;INDEX(FlowCalHighSetting,MATCH(Z804,FlowCalNumber,0),1,1))),INDEX(FlowCalConstA,MATCH(Z804,FlowCalNumber,0),1,1)*AB813^INDEX(FlowCalConstB,MATCH(Z804,FlowCalNumber,0),1,1)," ")</f>
        <v>#REF!</v>
      </c>
      <c r="AD813" s="33"/>
      <c r="AE813" s="242">
        <f t="shared" si="770"/>
        <v>0.1</v>
      </c>
      <c r="AF813" s="241" t="e">
        <f t="shared" ca="1" si="771"/>
        <v>#REF!</v>
      </c>
      <c r="AG813" s="243" t="e">
        <f ca="1">IF(AND(INDEX(FlowCalConstA,MATCH(AD804,FlowCalNumber,0),1,1)*AF813^INDEX(FlowCalConstB,MATCH(AD804,FlowCalNumber,0),1,1)&gt;INDEX(FlowCalLowSetting,MATCH(AD804,FlowCalNumber,0),1,1), (INDEX(FlowCalConstA,MATCH(AD804,FlowCalNumber,0),1,1)*AF813^INDEX(FlowCalConstB,MATCH(AD804,FlowCalNumber,0),1,1)&lt;INDEX(FlowCalHighSetting,MATCH(AD804,FlowCalNumber,0),1,1))),INDEX(FlowCalConstA,MATCH(AD804,FlowCalNumber,0),1,1)*AF813^INDEX(FlowCalConstB,MATCH(AD804,FlowCalNumber,0),1,1)," ")</f>
        <v>#REF!</v>
      </c>
      <c r="AH813" s="33"/>
      <c r="AI813" s="242">
        <f t="shared" si="772"/>
        <v>0.9</v>
      </c>
      <c r="AJ813" s="241" t="e">
        <f t="shared" ca="1" si="773"/>
        <v>#REF!</v>
      </c>
      <c r="AK813" s="243" t="e">
        <f ca="1">IF(AND(INDEX(FlowCalConstA,MATCH(AH804,FlowCalNumber,0),1,1)*AJ813^INDEX(FlowCalConstB,MATCH(AH804,FlowCalNumber,0),1,1)&gt;INDEX(FlowCalLowSetting,MATCH(AH804,FlowCalNumber,0),1,1), (INDEX(FlowCalConstA,MATCH(AH804,FlowCalNumber,0),1,1)*AJ813^INDEX(FlowCalConstB,MATCH(AH804,FlowCalNumber,0),1,1)&lt;INDEX(FlowCalHighSetting,MATCH(AH804,FlowCalNumber,0),1,1))),INDEX(FlowCalConstA,MATCH(AH804,FlowCalNumber,0),1,1)*AJ813^INDEX(FlowCalConstB,MATCH(AH804,FlowCalNumber,0),1,1)," ")</f>
        <v>#REF!</v>
      </c>
      <c r="AL813" s="33"/>
      <c r="AM813" s="242"/>
      <c r="AN813" s="241"/>
      <c r="AO813" s="244"/>
      <c r="AQ813" s="242"/>
      <c r="AR813" s="241"/>
      <c r="AS813" s="244"/>
      <c r="AT813" s="33"/>
      <c r="AU813" s="242"/>
      <c r="AV813" s="241"/>
      <c r="AW813" s="244"/>
      <c r="AX813" s="33"/>
      <c r="AY813" s="242"/>
      <c r="AZ813" s="241"/>
      <c r="BA813" s="244"/>
      <c r="BB813" s="33"/>
      <c r="BC813" s="242"/>
      <c r="BD813" s="241"/>
      <c r="BE813" s="244"/>
      <c r="BF813" s="33"/>
      <c r="BG813" s="242"/>
      <c r="BH813" s="241"/>
      <c r="BI813" s="244"/>
      <c r="BJ813" s="33"/>
      <c r="BK813" s="242"/>
      <c r="BL813" s="241"/>
      <c r="BM813" s="244"/>
      <c r="BN813" s="33"/>
      <c r="BO813" s="242"/>
      <c r="BP813" s="241"/>
      <c r="BQ813" s="244"/>
      <c r="BR813" s="33"/>
      <c r="BS813" s="242"/>
      <c r="BT813" s="241"/>
      <c r="BU813" s="244"/>
      <c r="BV813" s="33"/>
      <c r="BW813" s="242"/>
      <c r="BX813" s="241"/>
      <c r="BY813" s="244"/>
      <c r="BZ813" s="33"/>
      <c r="CA813" s="242"/>
      <c r="CB813" s="241"/>
      <c r="CC813" s="244"/>
      <c r="CD813" s="243"/>
      <c r="CE813" s="243"/>
      <c r="CF813" s="243"/>
      <c r="CG813" s="243"/>
      <c r="CH813" s="243"/>
      <c r="CI813" s="243"/>
      <c r="CJ813" s="243"/>
      <c r="CK813" s="243"/>
      <c r="CL813" s="243"/>
      <c r="CM813" s="243"/>
      <c r="CN813" s="243"/>
      <c r="CO813" s="243"/>
      <c r="CP813" s="243"/>
      <c r="CQ813" s="243"/>
      <c r="CR813" s="243"/>
      <c r="CS813" s="243"/>
      <c r="CT813" s="243"/>
      <c r="CU813" s="243"/>
      <c r="CV813" s="243"/>
      <c r="CW813" s="243"/>
      <c r="CX813" s="243"/>
      <c r="CY813" s="243"/>
      <c r="CZ813" s="243"/>
      <c r="DA813" s="243"/>
      <c r="DB813" s="243"/>
      <c r="DC813" s="243"/>
      <c r="DD813" s="243"/>
      <c r="DE813" s="243"/>
      <c r="DF813" s="243"/>
      <c r="DG813" s="243"/>
      <c r="DH813" s="243"/>
      <c r="DI813" s="243"/>
      <c r="DJ813" s="243"/>
      <c r="DK813" s="243"/>
      <c r="DM813" s="242"/>
      <c r="DO813" s="243"/>
      <c r="DQ813" s="242"/>
      <c r="DS813" s="243"/>
      <c r="DU813" s="242"/>
      <c r="DW813" s="243"/>
      <c r="DY813" s="242"/>
      <c r="EA813" s="243"/>
    </row>
    <row r="814" spans="1:131">
      <c r="A814" s="20"/>
      <c r="B814" s="124" t="str">
        <f t="shared" si="758"/>
        <v/>
      </c>
      <c r="C814" s="235"/>
      <c r="D814" s="24">
        <f>'1% Wind'!$M$91</f>
        <v>4.2</v>
      </c>
      <c r="E814" s="90"/>
      <c r="F814" s="90"/>
      <c r="G814" s="79" t="e">
        <f ca="1">IF(I804=0.9743,$G813,MAX(G813/D813*D814,2))</f>
        <v>#REF!</v>
      </c>
      <c r="H814" s="121" t="e">
        <f t="shared" ca="1" si="759"/>
        <v>#REF!</v>
      </c>
      <c r="J814" s="33"/>
      <c r="K814" s="242">
        <f t="shared" si="760"/>
        <v>1</v>
      </c>
      <c r="L814" s="241" t="e">
        <f t="shared" ca="1" si="761"/>
        <v>#REF!</v>
      </c>
      <c r="M814" s="243" t="e">
        <f ca="1">IF(AND(INDEX(FlowCalConstA,MATCH(J804,FlowCalNumber,0),1,1)*L814^INDEX(FlowCalConstB,MATCH(J804,FlowCalNumber,0),1,1)&gt;INDEX(FlowCalLowSetting,MATCH(J804,FlowCalNumber,0),1,1), (INDEX(FlowCalConstA,MATCH(J804,FlowCalNumber,0),1,1)*L814^INDEX(FlowCalConstB,MATCH(J804,FlowCalNumber,0),1,1)&lt;INDEX(FlowCalHighSetting,MATCH(J804,FlowCalNumber,0),1,1))),INDEX(FlowCalConstA,MATCH(J804,FlowCalNumber,0),1,1)*L814^INDEX(FlowCalConstB,MATCH(J804,FlowCalNumber,0),1,1)," ")</f>
        <v>#REF!</v>
      </c>
      <c r="N814" s="33"/>
      <c r="O814" s="242">
        <f t="shared" si="762"/>
        <v>1</v>
      </c>
      <c r="P814" s="241" t="e">
        <f t="shared" ca="1" si="763"/>
        <v>#REF!</v>
      </c>
      <c r="Q814" s="243" t="e">
        <f ca="1">IF(AND(INDEX(FlowCalConstA,MATCH(N804,FlowCalNumber,0),1,1)*P814^INDEX(FlowCalConstB,MATCH(N804,FlowCalNumber,0),1,1)&gt;INDEX(FlowCalLowSetting,MATCH(N804,FlowCalNumber,0),1,1), (INDEX(FlowCalConstA,MATCH(N804,FlowCalNumber,0),1,1)*P814^INDEX(FlowCalConstB,MATCH(N804,FlowCalNumber,0),1,1)&lt;INDEX(FlowCalHighSetting,MATCH(N804,FlowCalNumber,0),1,1))),INDEX(FlowCalConstA,MATCH(N804,FlowCalNumber,0),1,1)*P814^INDEX(FlowCalConstB,MATCH(N804,FlowCalNumber,0),1,1)," ")</f>
        <v>#REF!</v>
      </c>
      <c r="R814" s="33"/>
      <c r="S814" s="242">
        <f t="shared" si="764"/>
        <v>1</v>
      </c>
      <c r="T814" s="241" t="e">
        <f t="shared" ca="1" si="765"/>
        <v>#REF!</v>
      </c>
      <c r="U814" s="244" t="e">
        <f ca="1">IF(AND(INDEX(FlowCalConstA,MATCH(R804,FlowCalNumber,0),1,1)*T814^INDEX(FlowCalConstB,MATCH(R804,FlowCalNumber,0),1,1)&gt;INDEX(FlowCalLowSetting,MATCH(R804,FlowCalNumber,0),1,1), (INDEX(FlowCalConstA,MATCH(R804,FlowCalNumber,0),1,1)*T814^INDEX(FlowCalConstB,MATCH(R804,FlowCalNumber,0),1,1)&lt;INDEX(FlowCalHighSetting,MATCH(R804,FlowCalNumber,0),1,1))),INDEX(FlowCalConstA,MATCH(R804,FlowCalNumber,0),1,1)*T814^INDEX(FlowCalConstB,MATCH(R804,FlowCalNumber,0),1,1)," ")</f>
        <v>#REF!</v>
      </c>
      <c r="V814" s="33"/>
      <c r="W814" s="242">
        <f t="shared" si="766"/>
        <v>0.1</v>
      </c>
      <c r="X814" s="241" t="e">
        <f t="shared" ca="1" si="767"/>
        <v>#REF!</v>
      </c>
      <c r="Y814" s="243" t="e">
        <f ca="1">IF(AND(INDEX(FlowCalConstA,MATCH(V804,FlowCalNumber,0),1,1)*X814^INDEX(FlowCalConstB,MATCH(V804,FlowCalNumber,0),1,1)&gt;INDEX(FlowCalLowSetting,MATCH(V804,FlowCalNumber,0),1,1), (INDEX(FlowCalConstA,MATCH(V804,FlowCalNumber,0),1,1)*X814^INDEX(FlowCalConstB,MATCH(V804,FlowCalNumber,0),1,1)&lt;INDEX(FlowCalHighSetting,MATCH(V804,FlowCalNumber,0),1,1))),INDEX(FlowCalConstA,MATCH(V804,FlowCalNumber,0),1,1)*X814^INDEX(FlowCalConstB,MATCH(V804,FlowCalNumber,0),1,1)," ")</f>
        <v>#REF!</v>
      </c>
      <c r="Z814" s="33"/>
      <c r="AA814" s="242">
        <f t="shared" si="768"/>
        <v>0.9</v>
      </c>
      <c r="AB814" s="241" t="e">
        <f t="shared" ca="1" si="769"/>
        <v>#REF!</v>
      </c>
      <c r="AC814" s="243" t="e">
        <f ca="1">IF(AND(INDEX(FlowCalConstA,MATCH(Z804,FlowCalNumber,0),1,1)*AB814^INDEX(FlowCalConstB,MATCH(Z804,FlowCalNumber,0),1,1)&gt;INDEX(FlowCalLowSetting,MATCH(Z804,FlowCalNumber,0),1,1), (INDEX(FlowCalConstA,MATCH(Z804,FlowCalNumber,0),1,1)*AB814^INDEX(FlowCalConstB,MATCH(Z804,FlowCalNumber,0),1,1)&lt;INDEX(FlowCalHighSetting,MATCH(Z804,FlowCalNumber,0),1,1))),INDEX(FlowCalConstA,MATCH(Z804,FlowCalNumber,0),1,1)*AB814^INDEX(FlowCalConstB,MATCH(Z804,FlowCalNumber,0),1,1)," ")</f>
        <v>#REF!</v>
      </c>
      <c r="AD814" s="33"/>
      <c r="AE814" s="242">
        <f t="shared" si="770"/>
        <v>0.1</v>
      </c>
      <c r="AF814" s="241" t="e">
        <f t="shared" ca="1" si="771"/>
        <v>#REF!</v>
      </c>
      <c r="AG814" s="243" t="e">
        <f ca="1">IF(AND(INDEX(FlowCalConstA,MATCH(AD804,FlowCalNumber,0),1,1)*AF814^INDEX(FlowCalConstB,MATCH(AD804,FlowCalNumber,0),1,1)&gt;INDEX(FlowCalLowSetting,MATCH(AD804,FlowCalNumber,0),1,1), (INDEX(FlowCalConstA,MATCH(AD804,FlowCalNumber,0),1,1)*AF814^INDEX(FlowCalConstB,MATCH(AD804,FlowCalNumber,0),1,1)&lt;INDEX(FlowCalHighSetting,MATCH(AD804,FlowCalNumber,0),1,1))),INDEX(FlowCalConstA,MATCH(AD804,FlowCalNumber,0),1,1)*AF814^INDEX(FlowCalConstB,MATCH(AD804,FlowCalNumber,0),1,1)," ")</f>
        <v>#REF!</v>
      </c>
      <c r="AH814" s="33"/>
      <c r="AI814" s="242">
        <f t="shared" si="772"/>
        <v>0.9</v>
      </c>
      <c r="AJ814" s="241" t="e">
        <f t="shared" ca="1" si="773"/>
        <v>#REF!</v>
      </c>
      <c r="AK814" s="243" t="e">
        <f ca="1">IF(AND(INDEX(FlowCalConstA,MATCH(AH804,FlowCalNumber,0),1,1)*AJ814^INDEX(FlowCalConstB,MATCH(AH804,FlowCalNumber,0),1,1)&gt;INDEX(FlowCalLowSetting,MATCH(AH804,FlowCalNumber,0),1,1), (INDEX(FlowCalConstA,MATCH(AH804,FlowCalNumber,0),1,1)*AJ814^INDEX(FlowCalConstB,MATCH(AH804,FlowCalNumber,0),1,1)&lt;INDEX(FlowCalHighSetting,MATCH(AH804,FlowCalNumber,0),1,1))),INDEX(FlowCalConstA,MATCH(AH804,FlowCalNumber,0),1,1)*AJ814^INDEX(FlowCalConstB,MATCH(AH804,FlowCalNumber,0),1,1)," ")</f>
        <v>#REF!</v>
      </c>
      <c r="AL814" s="33"/>
      <c r="AM814" s="242"/>
      <c r="AN814" s="241"/>
      <c r="AO814" s="244"/>
      <c r="AQ814" s="242"/>
      <c r="AR814" s="241"/>
      <c r="AS814" s="244"/>
      <c r="AT814" s="33"/>
      <c r="AU814" s="242"/>
      <c r="AV814" s="241"/>
      <c r="AW814" s="244"/>
      <c r="AX814" s="33"/>
      <c r="AY814" s="242"/>
      <c r="AZ814" s="241"/>
      <c r="BA814" s="244"/>
      <c r="BB814" s="33"/>
      <c r="BC814" s="242"/>
      <c r="BD814" s="241"/>
      <c r="BE814" s="244"/>
      <c r="BF814" s="33"/>
      <c r="BG814" s="242"/>
      <c r="BH814" s="241"/>
      <c r="BI814" s="244"/>
      <c r="BJ814" s="33"/>
      <c r="BK814" s="242"/>
      <c r="BL814" s="241"/>
      <c r="BM814" s="244"/>
      <c r="BN814" s="33"/>
      <c r="BO814" s="242"/>
      <c r="BP814" s="241"/>
      <c r="BQ814" s="244"/>
      <c r="BR814" s="33"/>
      <c r="BS814" s="242"/>
      <c r="BT814" s="241"/>
      <c r="BU814" s="244"/>
      <c r="BV814" s="33"/>
      <c r="BW814" s="242"/>
      <c r="BX814" s="241"/>
      <c r="BY814" s="244"/>
      <c r="BZ814" s="33"/>
      <c r="CA814" s="242"/>
      <c r="CB814" s="241"/>
      <c r="CC814" s="244"/>
      <c r="CD814" s="243"/>
      <c r="CE814" s="243"/>
      <c r="CF814" s="243"/>
      <c r="CG814" s="243"/>
      <c r="CH814" s="243"/>
      <c r="CI814" s="243"/>
      <c r="CJ814" s="243"/>
      <c r="CK814" s="243"/>
      <c r="CL814" s="243"/>
      <c r="CM814" s="243"/>
      <c r="CN814" s="243"/>
      <c r="CO814" s="243"/>
      <c r="CP814" s="243"/>
      <c r="CQ814" s="243"/>
      <c r="CR814" s="243"/>
      <c r="CS814" s="243"/>
      <c r="CT814" s="243"/>
      <c r="CU814" s="243"/>
      <c r="CV814" s="243"/>
      <c r="CW814" s="243"/>
      <c r="CX814" s="243"/>
      <c r="CY814" s="243"/>
      <c r="CZ814" s="243"/>
      <c r="DA814" s="243"/>
      <c r="DB814" s="243"/>
      <c r="DC814" s="243"/>
      <c r="DD814" s="243"/>
      <c r="DE814" s="243"/>
      <c r="DF814" s="243"/>
      <c r="DG814" s="243"/>
      <c r="DH814" s="243"/>
      <c r="DI814" s="243"/>
      <c r="DJ814" s="243"/>
      <c r="DK814" s="243"/>
      <c r="DM814" s="242"/>
      <c r="DO814" s="243"/>
      <c r="DQ814" s="242"/>
      <c r="DS814" s="243"/>
      <c r="DU814" s="242"/>
      <c r="DW814" s="243"/>
      <c r="DY814" s="242"/>
      <c r="EA814" s="243"/>
    </row>
    <row r="815" spans="1:131">
      <c r="A815" s="20"/>
      <c r="B815" s="124" t="str">
        <f t="shared" si="758"/>
        <v/>
      </c>
      <c r="C815" s="235"/>
      <c r="D815" s="24">
        <f>'1% Wind'!$M$92</f>
        <v>3.2</v>
      </c>
      <c r="E815" s="90"/>
      <c r="F815" s="90"/>
      <c r="G815" s="79" t="e">
        <f ca="1">IF(I804=0.9743,$G814,MAX(G814/D814*D815,2))</f>
        <v>#REF!</v>
      </c>
      <c r="H815" s="121" t="e">
        <f t="shared" ca="1" si="759"/>
        <v>#REF!</v>
      </c>
      <c r="J815" s="33"/>
      <c r="K815" s="242">
        <f t="shared" si="760"/>
        <v>1</v>
      </c>
      <c r="L815" s="241" t="e">
        <f t="shared" ca="1" si="761"/>
        <v>#REF!</v>
      </c>
      <c r="M815" s="243" t="e">
        <f ca="1">IF(AND(INDEX(FlowCalConstA,MATCH(J804,FlowCalNumber,0),1,1)*L815^INDEX(FlowCalConstB,MATCH(J804,FlowCalNumber,0),1,1)&gt;INDEX(FlowCalLowSetting,MATCH(J804,FlowCalNumber,0),1,1), (INDEX(FlowCalConstA,MATCH(J804,FlowCalNumber,0),1,1)*L815^INDEX(FlowCalConstB,MATCH(J804,FlowCalNumber,0),1,1)&lt;INDEX(FlowCalHighSetting,MATCH(J804,FlowCalNumber,0),1,1))),INDEX(FlowCalConstA,MATCH(J804,FlowCalNumber,0),1,1)*L815^INDEX(FlowCalConstB,MATCH(J804,FlowCalNumber,0),1,1)," ")</f>
        <v>#REF!</v>
      </c>
      <c r="N815" s="33"/>
      <c r="O815" s="242">
        <f t="shared" si="762"/>
        <v>1</v>
      </c>
      <c r="P815" s="241" t="e">
        <f t="shared" ca="1" si="763"/>
        <v>#REF!</v>
      </c>
      <c r="Q815" s="243" t="e">
        <f ca="1">IF(AND(INDEX(FlowCalConstA,MATCH(N804,FlowCalNumber,0),1,1)*P815^INDEX(FlowCalConstB,MATCH(N804,FlowCalNumber,0),1,1)&gt;INDEX(FlowCalLowSetting,MATCH(N804,FlowCalNumber,0),1,1), (INDEX(FlowCalConstA,MATCH(N804,FlowCalNumber,0),1,1)*P815^INDEX(FlowCalConstB,MATCH(N804,FlowCalNumber,0),1,1)&lt;INDEX(FlowCalHighSetting,MATCH(N804,FlowCalNumber,0),1,1))),INDEX(FlowCalConstA,MATCH(N804,FlowCalNumber,0),1,1)*P815^INDEX(FlowCalConstB,MATCH(N804,FlowCalNumber,0),1,1)," ")</f>
        <v>#REF!</v>
      </c>
      <c r="R815" s="33"/>
      <c r="S815" s="242">
        <f t="shared" si="764"/>
        <v>1</v>
      </c>
      <c r="T815" s="241" t="e">
        <f t="shared" ca="1" si="765"/>
        <v>#REF!</v>
      </c>
      <c r="U815" s="244" t="e">
        <f ca="1">IF(AND(INDEX(FlowCalConstA,MATCH(R804,FlowCalNumber,0),1,1)*T815^INDEX(FlowCalConstB,MATCH(R804,FlowCalNumber,0),1,1)&gt;INDEX(FlowCalLowSetting,MATCH(R804,FlowCalNumber,0),1,1), (INDEX(FlowCalConstA,MATCH(R804,FlowCalNumber,0),1,1)*T815^INDEX(FlowCalConstB,MATCH(R804,FlowCalNumber,0),1,1)&lt;INDEX(FlowCalHighSetting,MATCH(R804,FlowCalNumber,0),1,1))),INDEX(FlowCalConstA,MATCH(R804,FlowCalNumber,0),1,1)*T815^INDEX(FlowCalConstB,MATCH(R804,FlowCalNumber,0),1,1)," ")</f>
        <v>#REF!</v>
      </c>
      <c r="V815" s="33"/>
      <c r="W815" s="242">
        <f t="shared" si="766"/>
        <v>0.1</v>
      </c>
      <c r="X815" s="241" t="e">
        <f t="shared" ca="1" si="767"/>
        <v>#REF!</v>
      </c>
      <c r="Y815" s="243" t="e">
        <f ca="1">IF(AND(INDEX(FlowCalConstA,MATCH(V804,FlowCalNumber,0),1,1)*X815^INDEX(FlowCalConstB,MATCH(V804,FlowCalNumber,0),1,1)&gt;INDEX(FlowCalLowSetting,MATCH(V804,FlowCalNumber,0),1,1), (INDEX(FlowCalConstA,MATCH(V804,FlowCalNumber,0),1,1)*X815^INDEX(FlowCalConstB,MATCH(V804,FlowCalNumber,0),1,1)&lt;INDEX(FlowCalHighSetting,MATCH(V804,FlowCalNumber,0),1,1))),INDEX(FlowCalConstA,MATCH(V804,FlowCalNumber,0),1,1)*X815^INDEX(FlowCalConstB,MATCH(V804,FlowCalNumber,0),1,1)," ")</f>
        <v>#REF!</v>
      </c>
      <c r="Z815" s="33"/>
      <c r="AA815" s="242">
        <f t="shared" si="768"/>
        <v>0.9</v>
      </c>
      <c r="AB815" s="241" t="e">
        <f t="shared" ca="1" si="769"/>
        <v>#REF!</v>
      </c>
      <c r="AC815" s="243" t="e">
        <f ca="1">IF(AND(INDEX(FlowCalConstA,MATCH(Z804,FlowCalNumber,0),1,1)*AB815^INDEX(FlowCalConstB,MATCH(Z804,FlowCalNumber,0),1,1)&gt;INDEX(FlowCalLowSetting,MATCH(Z804,FlowCalNumber,0),1,1), (INDEX(FlowCalConstA,MATCH(Z804,FlowCalNumber,0),1,1)*AB815^INDEX(FlowCalConstB,MATCH(Z804,FlowCalNumber,0),1,1)&lt;INDEX(FlowCalHighSetting,MATCH(Z804,FlowCalNumber,0),1,1))),INDEX(FlowCalConstA,MATCH(Z804,FlowCalNumber,0),1,1)*AB815^INDEX(FlowCalConstB,MATCH(Z804,FlowCalNumber,0),1,1)," ")</f>
        <v>#REF!</v>
      </c>
      <c r="AD815" s="33"/>
      <c r="AE815" s="242">
        <f t="shared" si="770"/>
        <v>0.1</v>
      </c>
      <c r="AF815" s="241" t="e">
        <f t="shared" ca="1" si="771"/>
        <v>#REF!</v>
      </c>
      <c r="AG815" s="243" t="e">
        <f ca="1">IF(AND(INDEX(FlowCalConstA,MATCH(AD804,FlowCalNumber,0),1,1)*AF815^INDEX(FlowCalConstB,MATCH(AD804,FlowCalNumber,0),1,1)&gt;INDEX(FlowCalLowSetting,MATCH(AD804,FlowCalNumber,0),1,1), (INDEX(FlowCalConstA,MATCH(AD804,FlowCalNumber,0),1,1)*AF815^INDEX(FlowCalConstB,MATCH(AD804,FlowCalNumber,0),1,1)&lt;INDEX(FlowCalHighSetting,MATCH(AD804,FlowCalNumber,0),1,1))),INDEX(FlowCalConstA,MATCH(AD804,FlowCalNumber,0),1,1)*AF815^INDEX(FlowCalConstB,MATCH(AD804,FlowCalNumber,0),1,1)," ")</f>
        <v>#REF!</v>
      </c>
      <c r="AH815" s="33"/>
      <c r="AI815" s="242">
        <f t="shared" si="772"/>
        <v>0.9</v>
      </c>
      <c r="AJ815" s="241" t="e">
        <f t="shared" ca="1" si="773"/>
        <v>#REF!</v>
      </c>
      <c r="AK815" s="243" t="e">
        <f ca="1">IF(AND(INDEX(FlowCalConstA,MATCH(AH804,FlowCalNumber,0),1,1)*AJ815^INDEX(FlowCalConstB,MATCH(AH804,FlowCalNumber,0),1,1)&gt;INDEX(FlowCalLowSetting,MATCH(AH804,FlowCalNumber,0),1,1), (INDEX(FlowCalConstA,MATCH(AH804,FlowCalNumber,0),1,1)*AJ815^INDEX(FlowCalConstB,MATCH(AH804,FlowCalNumber,0),1,1)&lt;INDEX(FlowCalHighSetting,MATCH(AH804,FlowCalNumber,0),1,1))),INDEX(FlowCalConstA,MATCH(AH804,FlowCalNumber,0),1,1)*AJ815^INDEX(FlowCalConstB,MATCH(AH804,FlowCalNumber,0),1,1)," ")</f>
        <v>#REF!</v>
      </c>
      <c r="AL815" s="33"/>
      <c r="AM815" s="242"/>
      <c r="AN815" s="241"/>
      <c r="AO815" s="244"/>
      <c r="AQ815" s="242"/>
      <c r="AR815" s="241"/>
      <c r="AS815" s="244"/>
      <c r="AT815" s="33"/>
      <c r="AU815" s="242"/>
      <c r="AV815" s="241"/>
      <c r="AW815" s="244"/>
      <c r="AX815" s="33"/>
      <c r="AY815" s="242"/>
      <c r="AZ815" s="241"/>
      <c r="BA815" s="244"/>
      <c r="BB815" s="33"/>
      <c r="BC815" s="242"/>
      <c r="BD815" s="241"/>
      <c r="BE815" s="244"/>
      <c r="BF815" s="33"/>
      <c r="BG815" s="242"/>
      <c r="BH815" s="241"/>
      <c r="BI815" s="244"/>
      <c r="BJ815" s="33"/>
      <c r="BK815" s="242"/>
      <c r="BL815" s="241"/>
      <c r="BM815" s="244"/>
      <c r="BN815" s="33"/>
      <c r="BO815" s="242"/>
      <c r="BP815" s="241"/>
      <c r="BQ815" s="244"/>
      <c r="BR815" s="33"/>
      <c r="BS815" s="242"/>
      <c r="BT815" s="241"/>
      <c r="BU815" s="244"/>
      <c r="BV815" s="33"/>
      <c r="BW815" s="242"/>
      <c r="BX815" s="241"/>
      <c r="BY815" s="244"/>
      <c r="BZ815" s="33"/>
      <c r="CA815" s="242"/>
      <c r="CB815" s="241"/>
      <c r="CC815" s="244"/>
      <c r="CD815" s="243"/>
      <c r="CE815" s="243"/>
      <c r="CF815" s="243"/>
      <c r="CG815" s="243"/>
      <c r="CH815" s="243"/>
      <c r="CI815" s="243"/>
      <c r="CJ815" s="243"/>
      <c r="CK815" s="243"/>
      <c r="CL815" s="243"/>
      <c r="CM815" s="243"/>
      <c r="CN815" s="243"/>
      <c r="CO815" s="243"/>
      <c r="CP815" s="243"/>
      <c r="CQ815" s="243"/>
      <c r="CR815" s="243"/>
      <c r="CS815" s="243"/>
      <c r="CT815" s="243"/>
      <c r="CU815" s="243"/>
      <c r="CV815" s="243"/>
      <c r="CW815" s="243"/>
      <c r="CX815" s="243"/>
      <c r="CY815" s="243"/>
      <c r="CZ815" s="243"/>
      <c r="DA815" s="243"/>
      <c r="DB815" s="243"/>
      <c r="DC815" s="243"/>
      <c r="DD815" s="243"/>
      <c r="DE815" s="243"/>
      <c r="DF815" s="243"/>
      <c r="DG815" s="243"/>
      <c r="DH815" s="243"/>
      <c r="DI815" s="243"/>
      <c r="DJ815" s="243"/>
      <c r="DK815" s="243"/>
      <c r="DM815" s="242"/>
      <c r="DO815" s="243"/>
      <c r="DQ815" s="242"/>
      <c r="DS815" s="243"/>
      <c r="DU815" s="242"/>
      <c r="DW815" s="243"/>
      <c r="DY815" s="242"/>
      <c r="EA815" s="243"/>
    </row>
    <row r="816" spans="1:131">
      <c r="A816" s="20"/>
      <c r="B816" s="124" t="str">
        <f t="shared" si="758"/>
        <v/>
      </c>
      <c r="C816" s="235"/>
      <c r="D816" s="24">
        <f>'1% Wind'!$M$93</f>
        <v>2.4</v>
      </c>
      <c r="E816" s="90"/>
      <c r="F816" s="90"/>
      <c r="G816" s="79" t="e">
        <f ca="1">IF(I804=0.9743,$G815,MAX(G815/D815*D816,2))</f>
        <v>#REF!</v>
      </c>
      <c r="H816" s="121" t="e">
        <f t="shared" ca="1" si="759"/>
        <v>#REF!</v>
      </c>
      <c r="J816" s="33"/>
      <c r="K816" s="242">
        <f t="shared" si="760"/>
        <v>1</v>
      </c>
      <c r="L816" s="241" t="e">
        <f t="shared" ca="1" si="761"/>
        <v>#REF!</v>
      </c>
      <c r="M816" s="243" t="e">
        <f ca="1">IF(AND(INDEX(FlowCalConstA,MATCH(J804,FlowCalNumber,0),1,1)*L816^INDEX(FlowCalConstB,MATCH(J804,FlowCalNumber,0),1,1)&gt;INDEX(FlowCalLowSetting,MATCH(J804,FlowCalNumber,0),1,1), (INDEX(FlowCalConstA,MATCH(J804,FlowCalNumber,0),1,1)*L816^INDEX(FlowCalConstB,MATCH(J804,FlowCalNumber,0),1,1)&lt;INDEX(FlowCalHighSetting,MATCH(J804,FlowCalNumber,0),1,1))),INDEX(FlowCalConstA,MATCH(J804,FlowCalNumber,0),1,1)*L816^INDEX(FlowCalConstB,MATCH(J804,FlowCalNumber,0),1,1)," ")</f>
        <v>#REF!</v>
      </c>
      <c r="N816" s="33"/>
      <c r="O816" s="242">
        <f t="shared" si="762"/>
        <v>1</v>
      </c>
      <c r="P816" s="241" t="e">
        <f t="shared" ca="1" si="763"/>
        <v>#REF!</v>
      </c>
      <c r="Q816" s="243" t="e">
        <f ca="1">IF(AND(INDEX(FlowCalConstA,MATCH(N804,FlowCalNumber,0),1,1)*P816^INDEX(FlowCalConstB,MATCH(N804,FlowCalNumber,0),1,1)&gt;INDEX(FlowCalLowSetting,MATCH(N804,FlowCalNumber,0),1,1), (INDEX(FlowCalConstA,MATCH(N804,FlowCalNumber,0),1,1)*P816^INDEX(FlowCalConstB,MATCH(N804,FlowCalNumber,0),1,1)&lt;INDEX(FlowCalHighSetting,MATCH(N804,FlowCalNumber,0),1,1))),INDEX(FlowCalConstA,MATCH(N804,FlowCalNumber,0),1,1)*P816^INDEX(FlowCalConstB,MATCH(N804,FlowCalNumber,0),1,1)," ")</f>
        <v>#REF!</v>
      </c>
      <c r="R816" s="33"/>
      <c r="S816" s="242">
        <f t="shared" si="764"/>
        <v>1</v>
      </c>
      <c r="T816" s="241" t="e">
        <f t="shared" ca="1" si="765"/>
        <v>#REF!</v>
      </c>
      <c r="U816" s="244" t="e">
        <f ca="1">IF(AND(INDEX(FlowCalConstA,MATCH(R804,FlowCalNumber,0),1,1)*T816^INDEX(FlowCalConstB,MATCH(R804,FlowCalNumber,0),1,1)&gt;INDEX(FlowCalLowSetting,MATCH(R804,FlowCalNumber,0),1,1), (INDEX(FlowCalConstA,MATCH(R804,FlowCalNumber,0),1,1)*T816^INDEX(FlowCalConstB,MATCH(R804,FlowCalNumber,0),1,1)&lt;INDEX(FlowCalHighSetting,MATCH(R804,FlowCalNumber,0),1,1))),INDEX(FlowCalConstA,MATCH(R804,FlowCalNumber,0),1,1)*T816^INDEX(FlowCalConstB,MATCH(R804,FlowCalNumber,0),1,1)," ")</f>
        <v>#REF!</v>
      </c>
      <c r="V816" s="33"/>
      <c r="W816" s="242">
        <f t="shared" si="766"/>
        <v>0.1</v>
      </c>
      <c r="X816" s="241" t="e">
        <f t="shared" ca="1" si="767"/>
        <v>#REF!</v>
      </c>
      <c r="Y816" s="243" t="e">
        <f ca="1">IF(AND(INDEX(FlowCalConstA,MATCH(V804,FlowCalNumber,0),1,1)*X816^INDEX(FlowCalConstB,MATCH(V804,FlowCalNumber,0),1,1)&gt;INDEX(FlowCalLowSetting,MATCH(V804,FlowCalNumber,0),1,1), (INDEX(FlowCalConstA,MATCH(V804,FlowCalNumber,0),1,1)*X816^INDEX(FlowCalConstB,MATCH(V804,FlowCalNumber,0),1,1)&lt;INDEX(FlowCalHighSetting,MATCH(V804,FlowCalNumber,0),1,1))),INDEX(FlowCalConstA,MATCH(V804,FlowCalNumber,0),1,1)*X816^INDEX(FlowCalConstB,MATCH(V804,FlowCalNumber,0),1,1)," ")</f>
        <v>#REF!</v>
      </c>
      <c r="Z816" s="33"/>
      <c r="AA816" s="242">
        <f t="shared" si="768"/>
        <v>0.9</v>
      </c>
      <c r="AB816" s="241" t="e">
        <f t="shared" ca="1" si="769"/>
        <v>#REF!</v>
      </c>
      <c r="AC816" s="243" t="e">
        <f ca="1">IF(AND(INDEX(FlowCalConstA,MATCH(Z804,FlowCalNumber,0),1,1)*AB816^INDEX(FlowCalConstB,MATCH(Z804,FlowCalNumber,0),1,1)&gt;INDEX(FlowCalLowSetting,MATCH(Z804,FlowCalNumber,0),1,1), (INDEX(FlowCalConstA,MATCH(Z804,FlowCalNumber,0),1,1)*AB816^INDEX(FlowCalConstB,MATCH(Z804,FlowCalNumber,0),1,1)&lt;INDEX(FlowCalHighSetting,MATCH(Z804,FlowCalNumber,0),1,1))),INDEX(FlowCalConstA,MATCH(Z804,FlowCalNumber,0),1,1)*AB816^INDEX(FlowCalConstB,MATCH(Z804,FlowCalNumber,0),1,1)," ")</f>
        <v>#REF!</v>
      </c>
      <c r="AD816" s="33"/>
      <c r="AE816" s="242">
        <f t="shared" si="770"/>
        <v>0.1</v>
      </c>
      <c r="AF816" s="241" t="e">
        <f t="shared" ca="1" si="771"/>
        <v>#REF!</v>
      </c>
      <c r="AG816" s="243" t="e">
        <f ca="1">IF(AND(INDEX(FlowCalConstA,MATCH(AD804,FlowCalNumber,0),1,1)*AF816^INDEX(FlowCalConstB,MATCH(AD804,FlowCalNumber,0),1,1)&gt;INDEX(FlowCalLowSetting,MATCH(AD804,FlowCalNumber,0),1,1), (INDEX(FlowCalConstA,MATCH(AD804,FlowCalNumber,0),1,1)*AF816^INDEX(FlowCalConstB,MATCH(AD804,FlowCalNumber,0),1,1)&lt;INDEX(FlowCalHighSetting,MATCH(AD804,FlowCalNumber,0),1,1))),INDEX(FlowCalConstA,MATCH(AD804,FlowCalNumber,0),1,1)*AF816^INDEX(FlowCalConstB,MATCH(AD804,FlowCalNumber,0),1,1)," ")</f>
        <v>#REF!</v>
      </c>
      <c r="AH816" s="33"/>
      <c r="AI816" s="242">
        <f t="shared" si="772"/>
        <v>0.9</v>
      </c>
      <c r="AJ816" s="241" t="e">
        <f t="shared" ca="1" si="773"/>
        <v>#REF!</v>
      </c>
      <c r="AK816" s="243" t="e">
        <f ca="1">IF(AND(INDEX(FlowCalConstA,MATCH(AH804,FlowCalNumber,0),1,1)*AJ816^INDEX(FlowCalConstB,MATCH(AH804,FlowCalNumber,0),1,1)&gt;INDEX(FlowCalLowSetting,MATCH(AH804,FlowCalNumber,0),1,1), (INDEX(FlowCalConstA,MATCH(AH804,FlowCalNumber,0),1,1)*AJ816^INDEX(FlowCalConstB,MATCH(AH804,FlowCalNumber,0),1,1)&lt;INDEX(FlowCalHighSetting,MATCH(AH804,FlowCalNumber,0),1,1))),INDEX(FlowCalConstA,MATCH(AH804,FlowCalNumber,0),1,1)*AJ816^INDEX(FlowCalConstB,MATCH(AH804,FlowCalNumber,0),1,1)," ")</f>
        <v>#REF!</v>
      </c>
      <c r="AL816" s="33"/>
      <c r="AM816" s="242"/>
      <c r="AN816" s="241"/>
      <c r="AO816" s="244"/>
      <c r="AQ816" s="242"/>
      <c r="AR816" s="241"/>
      <c r="AS816" s="244"/>
      <c r="AT816" s="33"/>
      <c r="AU816" s="242"/>
      <c r="AV816" s="241"/>
      <c r="AW816" s="244"/>
      <c r="AX816" s="33"/>
      <c r="AY816" s="242"/>
      <c r="AZ816" s="241"/>
      <c r="BA816" s="244"/>
      <c r="BB816" s="33"/>
      <c r="BC816" s="242"/>
      <c r="BD816" s="241"/>
      <c r="BE816" s="244"/>
      <c r="BF816" s="33"/>
      <c r="BG816" s="242"/>
      <c r="BH816" s="241"/>
      <c r="BI816" s="244"/>
      <c r="BJ816" s="33"/>
      <c r="BK816" s="242"/>
      <c r="BL816" s="241"/>
      <c r="BM816" s="244"/>
      <c r="BN816" s="33"/>
      <c r="BO816" s="242"/>
      <c r="BP816" s="241"/>
      <c r="BQ816" s="244"/>
      <c r="BR816" s="33"/>
      <c r="BS816" s="242"/>
      <c r="BT816" s="241"/>
      <c r="BU816" s="244"/>
      <c r="BV816" s="33"/>
      <c r="BW816" s="242"/>
      <c r="BX816" s="241"/>
      <c r="BY816" s="244"/>
      <c r="BZ816" s="33"/>
      <c r="CA816" s="242"/>
      <c r="CB816" s="241"/>
      <c r="CC816" s="244"/>
      <c r="CD816" s="243"/>
      <c r="CE816" s="243"/>
      <c r="CF816" s="243"/>
      <c r="CG816" s="243"/>
      <c r="CH816" s="243"/>
      <c r="CI816" s="243"/>
      <c r="CJ816" s="243"/>
      <c r="CK816" s="243"/>
      <c r="CL816" s="243"/>
      <c r="CM816" s="243"/>
      <c r="CN816" s="243"/>
      <c r="CO816" s="243"/>
      <c r="CP816" s="243"/>
      <c r="CQ816" s="243"/>
      <c r="CR816" s="243"/>
      <c r="CS816" s="243"/>
      <c r="CT816" s="243"/>
      <c r="CU816" s="243"/>
      <c r="CV816" s="243"/>
      <c r="CW816" s="243"/>
      <c r="CX816" s="243"/>
      <c r="CY816" s="243"/>
      <c r="CZ816" s="243"/>
      <c r="DA816" s="243"/>
      <c r="DB816" s="243"/>
      <c r="DC816" s="243"/>
      <c r="DD816" s="243"/>
      <c r="DE816" s="243"/>
      <c r="DF816" s="243"/>
      <c r="DG816" s="243"/>
      <c r="DH816" s="243"/>
      <c r="DI816" s="243"/>
      <c r="DJ816" s="243"/>
      <c r="DK816" s="243"/>
      <c r="DM816" s="242"/>
      <c r="DO816" s="243"/>
      <c r="DQ816" s="242"/>
      <c r="DS816" s="243"/>
      <c r="DU816" s="242"/>
      <c r="DW816" s="243"/>
      <c r="DY816" s="242"/>
      <c r="EA816" s="243"/>
    </row>
    <row r="817" spans="1:131">
      <c r="A817" s="20"/>
      <c r="B817" s="124" t="str">
        <f t="shared" si="758"/>
        <v/>
      </c>
      <c r="C817" s="235"/>
      <c r="D817" s="24">
        <f>'1% Wind'!$M$94</f>
        <v>1.8</v>
      </c>
      <c r="E817" s="90"/>
      <c r="F817" s="90"/>
      <c r="G817" s="79" t="e">
        <f ca="1">IF(I804=0.9743,$G816,MAX(G816/D816*D817,2))</f>
        <v>#REF!</v>
      </c>
      <c r="H817" s="121" t="e">
        <f t="shared" ca="1" si="759"/>
        <v>#REF!</v>
      </c>
      <c r="J817" s="33"/>
      <c r="K817" s="242">
        <f t="shared" si="760"/>
        <v>1</v>
      </c>
      <c r="L817" s="241" t="e">
        <f t="shared" ca="1" si="761"/>
        <v>#REF!</v>
      </c>
      <c r="M817" s="243" t="e">
        <f ca="1">IF(AND(INDEX(FlowCalConstA,MATCH(J804,FlowCalNumber,0),1,1)*L817^INDEX(FlowCalConstB,MATCH(J804,FlowCalNumber,0),1,1)&gt;INDEX(FlowCalLowSetting,MATCH(J804,FlowCalNumber,0),1,1), (INDEX(FlowCalConstA,MATCH(J804,FlowCalNumber,0),1,1)*L817^INDEX(FlowCalConstB,MATCH(J804,FlowCalNumber,0),1,1)&lt;INDEX(FlowCalHighSetting,MATCH(J804,FlowCalNumber,0),1,1))),INDEX(FlowCalConstA,MATCH(J804,FlowCalNumber,0),1,1)*L817^INDEX(FlowCalConstB,MATCH(J804,FlowCalNumber,0),1,1)," ")</f>
        <v>#REF!</v>
      </c>
      <c r="N817" s="33"/>
      <c r="O817" s="242">
        <f t="shared" si="762"/>
        <v>1</v>
      </c>
      <c r="P817" s="241" t="e">
        <f t="shared" ca="1" si="763"/>
        <v>#REF!</v>
      </c>
      <c r="Q817" s="243" t="e">
        <f ca="1">IF(AND(INDEX(FlowCalConstA,MATCH(N804,FlowCalNumber,0),1,1)*P817^INDEX(FlowCalConstB,MATCH(N804,FlowCalNumber,0),1,1)&gt;INDEX(FlowCalLowSetting,MATCH(N804,FlowCalNumber,0),1,1), (INDEX(FlowCalConstA,MATCH(N804,FlowCalNumber,0),1,1)*P817^INDEX(FlowCalConstB,MATCH(N804,FlowCalNumber,0),1,1)&lt;INDEX(FlowCalHighSetting,MATCH(N804,FlowCalNumber,0),1,1))),INDEX(FlowCalConstA,MATCH(N804,FlowCalNumber,0),1,1)*P817^INDEX(FlowCalConstB,MATCH(N804,FlowCalNumber,0),1,1)," ")</f>
        <v>#REF!</v>
      </c>
      <c r="R817" s="33"/>
      <c r="S817" s="242">
        <f t="shared" si="764"/>
        <v>1</v>
      </c>
      <c r="T817" s="241" t="e">
        <f t="shared" ca="1" si="765"/>
        <v>#REF!</v>
      </c>
      <c r="U817" s="244" t="e">
        <f ca="1">IF(AND(INDEX(FlowCalConstA,MATCH(R804,FlowCalNumber,0),1,1)*T817^INDEX(FlowCalConstB,MATCH(R804,FlowCalNumber,0),1,1)&gt;INDEX(FlowCalLowSetting,MATCH(R804,FlowCalNumber,0),1,1), (INDEX(FlowCalConstA,MATCH(R804,FlowCalNumber,0),1,1)*T817^INDEX(FlowCalConstB,MATCH(R804,FlowCalNumber,0),1,1)&lt;INDEX(FlowCalHighSetting,MATCH(R804,FlowCalNumber,0),1,1))),INDEX(FlowCalConstA,MATCH(R804,FlowCalNumber,0),1,1)*T817^INDEX(FlowCalConstB,MATCH(R804,FlowCalNumber,0),1,1)," ")</f>
        <v>#REF!</v>
      </c>
      <c r="V817" s="33"/>
      <c r="W817" s="242">
        <f t="shared" si="766"/>
        <v>0.1</v>
      </c>
      <c r="X817" s="241" t="e">
        <f t="shared" ca="1" si="767"/>
        <v>#REF!</v>
      </c>
      <c r="Y817" s="243" t="e">
        <f ca="1">IF(AND(INDEX(FlowCalConstA,MATCH(V804,FlowCalNumber,0),1,1)*X817^INDEX(FlowCalConstB,MATCH(V804,FlowCalNumber,0),1,1)&gt;INDEX(FlowCalLowSetting,MATCH(V804,FlowCalNumber,0),1,1), (INDEX(FlowCalConstA,MATCH(V804,FlowCalNumber,0),1,1)*X817^INDEX(FlowCalConstB,MATCH(V804,FlowCalNumber,0),1,1)&lt;INDEX(FlowCalHighSetting,MATCH(V804,FlowCalNumber,0),1,1))),INDEX(FlowCalConstA,MATCH(V804,FlowCalNumber,0),1,1)*X817^INDEX(FlowCalConstB,MATCH(V804,FlowCalNumber,0),1,1)," ")</f>
        <v>#REF!</v>
      </c>
      <c r="Z817" s="33"/>
      <c r="AA817" s="242">
        <f t="shared" si="768"/>
        <v>0.9</v>
      </c>
      <c r="AB817" s="241" t="e">
        <f t="shared" ca="1" si="769"/>
        <v>#REF!</v>
      </c>
      <c r="AC817" s="243" t="e">
        <f ca="1">IF(AND(INDEX(FlowCalConstA,MATCH(Z804,FlowCalNumber,0),1,1)*AB817^INDEX(FlowCalConstB,MATCH(Z804,FlowCalNumber,0),1,1)&gt;INDEX(FlowCalLowSetting,MATCH(Z804,FlowCalNumber,0),1,1), (INDEX(FlowCalConstA,MATCH(Z804,FlowCalNumber,0),1,1)*AB817^INDEX(FlowCalConstB,MATCH(Z804,FlowCalNumber,0),1,1)&lt;INDEX(FlowCalHighSetting,MATCH(Z804,FlowCalNumber,0),1,1))),INDEX(FlowCalConstA,MATCH(Z804,FlowCalNumber,0),1,1)*AB817^INDEX(FlowCalConstB,MATCH(Z804,FlowCalNumber,0),1,1)," ")</f>
        <v>#REF!</v>
      </c>
      <c r="AD817" s="33"/>
      <c r="AE817" s="242">
        <f t="shared" si="770"/>
        <v>0.1</v>
      </c>
      <c r="AF817" s="241" t="e">
        <f t="shared" ca="1" si="771"/>
        <v>#REF!</v>
      </c>
      <c r="AG817" s="243" t="e">
        <f ca="1">IF(AND(INDEX(FlowCalConstA,MATCH(AD804,FlowCalNumber,0),1,1)*AF817^INDEX(FlowCalConstB,MATCH(AD804,FlowCalNumber,0),1,1)&gt;INDEX(FlowCalLowSetting,MATCH(AD804,FlowCalNumber,0),1,1), (INDEX(FlowCalConstA,MATCH(AD804,FlowCalNumber,0),1,1)*AF817^INDEX(FlowCalConstB,MATCH(AD804,FlowCalNumber,0),1,1)&lt;INDEX(FlowCalHighSetting,MATCH(AD804,FlowCalNumber,0),1,1))),INDEX(FlowCalConstA,MATCH(AD804,FlowCalNumber,0),1,1)*AF817^INDEX(FlowCalConstB,MATCH(AD804,FlowCalNumber,0),1,1)," ")</f>
        <v>#REF!</v>
      </c>
      <c r="AH817" s="33"/>
      <c r="AI817" s="242">
        <f t="shared" si="772"/>
        <v>0.9</v>
      </c>
      <c r="AJ817" s="241" t="e">
        <f t="shared" ca="1" si="773"/>
        <v>#REF!</v>
      </c>
      <c r="AK817" s="243" t="e">
        <f ca="1">IF(AND(INDEX(FlowCalConstA,MATCH(AH804,FlowCalNumber,0),1,1)*AJ817^INDEX(FlowCalConstB,MATCH(AH804,FlowCalNumber,0),1,1)&gt;INDEX(FlowCalLowSetting,MATCH(AH804,FlowCalNumber,0),1,1), (INDEX(FlowCalConstA,MATCH(AH804,FlowCalNumber,0),1,1)*AJ817^INDEX(FlowCalConstB,MATCH(AH804,FlowCalNumber,0),1,1)&lt;INDEX(FlowCalHighSetting,MATCH(AH804,FlowCalNumber,0),1,1))),INDEX(FlowCalConstA,MATCH(AH804,FlowCalNumber,0),1,1)*AJ817^INDEX(FlowCalConstB,MATCH(AH804,FlowCalNumber,0),1,1)," ")</f>
        <v>#REF!</v>
      </c>
      <c r="AL817" s="33"/>
      <c r="AM817" s="242"/>
      <c r="AN817" s="241"/>
      <c r="AO817" s="244"/>
      <c r="AQ817" s="242"/>
      <c r="AR817" s="241"/>
      <c r="AS817" s="244"/>
      <c r="AT817" s="33"/>
      <c r="AU817" s="242"/>
      <c r="AV817" s="241"/>
      <c r="AW817" s="244"/>
      <c r="AX817" s="33"/>
      <c r="AY817" s="242"/>
      <c r="AZ817" s="241"/>
      <c r="BA817" s="244"/>
      <c r="BB817" s="33"/>
      <c r="BC817" s="242"/>
      <c r="BD817" s="241"/>
      <c r="BE817" s="244"/>
      <c r="BF817" s="33"/>
      <c r="BG817" s="242"/>
      <c r="BH817" s="241"/>
      <c r="BI817" s="244"/>
      <c r="BJ817" s="33"/>
      <c r="BK817" s="242"/>
      <c r="BL817" s="241"/>
      <c r="BM817" s="244"/>
      <c r="BN817" s="33"/>
      <c r="BO817" s="242"/>
      <c r="BP817" s="241"/>
      <c r="BQ817" s="244"/>
      <c r="BR817" s="33"/>
      <c r="BS817" s="242"/>
      <c r="BT817" s="241"/>
      <c r="BU817" s="244"/>
      <c r="BV817" s="33"/>
      <c r="BW817" s="242"/>
      <c r="BX817" s="241"/>
      <c r="BY817" s="244"/>
      <c r="BZ817" s="33"/>
      <c r="CA817" s="242"/>
      <c r="CB817" s="241"/>
      <c r="CC817" s="244"/>
      <c r="CD817" s="243"/>
      <c r="CE817" s="243"/>
      <c r="CF817" s="243"/>
      <c r="CG817" s="243"/>
      <c r="CH817" s="243"/>
      <c r="CI817" s="243"/>
      <c r="CJ817" s="243"/>
      <c r="CK817" s="243"/>
      <c r="CL817" s="243"/>
      <c r="CM817" s="243"/>
      <c r="CN817" s="243"/>
      <c r="CO817" s="243"/>
      <c r="CP817" s="243"/>
      <c r="CQ817" s="243"/>
      <c r="CR817" s="243"/>
      <c r="CS817" s="243"/>
      <c r="CT817" s="243"/>
      <c r="CU817" s="243"/>
      <c r="CV817" s="243"/>
      <c r="CW817" s="243"/>
      <c r="CX817" s="243"/>
      <c r="CY817" s="243"/>
      <c r="CZ817" s="243"/>
      <c r="DA817" s="243"/>
      <c r="DB817" s="243"/>
      <c r="DC817" s="243"/>
      <c r="DD817" s="243"/>
      <c r="DE817" s="243"/>
      <c r="DF817" s="243"/>
      <c r="DG817" s="243"/>
      <c r="DH817" s="243"/>
      <c r="DI817" s="243"/>
      <c r="DJ817" s="243"/>
      <c r="DK817" s="243"/>
      <c r="DM817" s="242"/>
      <c r="DO817" s="243"/>
      <c r="DQ817" s="242"/>
      <c r="DS817" s="243"/>
      <c r="DU817" s="242"/>
      <c r="DW817" s="243"/>
      <c r="DY817" s="242"/>
      <c r="EA817" s="243"/>
    </row>
    <row r="818" spans="1:131">
      <c r="A818" s="20"/>
      <c r="B818" s="124" t="str">
        <f t="shared" si="758"/>
        <v/>
      </c>
      <c r="C818" s="235"/>
      <c r="D818" s="24">
        <f>'1% Wind'!$M$95</f>
        <v>1.3</v>
      </c>
      <c r="E818" s="90"/>
      <c r="F818" s="90"/>
      <c r="G818" s="79" t="e">
        <f ca="1">IF(I804=0.9743,$G817,MAX(G817/D817*D818,2))</f>
        <v>#REF!</v>
      </c>
      <c r="H818" s="121" t="e">
        <f t="shared" ca="1" si="759"/>
        <v>#REF!</v>
      </c>
      <c r="J818" s="33"/>
      <c r="K818" s="242">
        <f t="shared" si="760"/>
        <v>1</v>
      </c>
      <c r="L818" s="241" t="e">
        <f t="shared" ca="1" si="761"/>
        <v>#REF!</v>
      </c>
      <c r="M818" s="243" t="e">
        <f ca="1">IF(AND(INDEX(FlowCalConstA,MATCH(J804,FlowCalNumber,0),1,1)*L818^INDEX(FlowCalConstB,MATCH(J804,FlowCalNumber,0),1,1)&gt;INDEX(FlowCalLowSetting,MATCH(J804,FlowCalNumber,0),1,1), (INDEX(FlowCalConstA,MATCH(J804,FlowCalNumber,0),1,1)*L818^INDEX(FlowCalConstB,MATCH(J804,FlowCalNumber,0),1,1)&lt;INDEX(FlowCalHighSetting,MATCH(J804,FlowCalNumber,0),1,1))),INDEX(FlowCalConstA,MATCH(J804,FlowCalNumber,0),1,1)*L818^INDEX(FlowCalConstB,MATCH(J804,FlowCalNumber,0),1,1)," ")</f>
        <v>#REF!</v>
      </c>
      <c r="N818" s="33"/>
      <c r="O818" s="242">
        <f t="shared" si="762"/>
        <v>1</v>
      </c>
      <c r="P818" s="241" t="e">
        <f t="shared" ca="1" si="763"/>
        <v>#REF!</v>
      </c>
      <c r="Q818" s="243" t="e">
        <f ca="1">IF(AND(INDEX(FlowCalConstA,MATCH(N804,FlowCalNumber,0),1,1)*P818^INDEX(FlowCalConstB,MATCH(N804,FlowCalNumber,0),1,1)&gt;INDEX(FlowCalLowSetting,MATCH(N804,FlowCalNumber,0),1,1), (INDEX(FlowCalConstA,MATCH(N804,FlowCalNumber,0),1,1)*P818^INDEX(FlowCalConstB,MATCH(N804,FlowCalNumber,0),1,1)&lt;INDEX(FlowCalHighSetting,MATCH(N804,FlowCalNumber,0),1,1))),INDEX(FlowCalConstA,MATCH(N804,FlowCalNumber,0),1,1)*P818^INDEX(FlowCalConstB,MATCH(N804,FlowCalNumber,0),1,1)," ")</f>
        <v>#REF!</v>
      </c>
      <c r="R818" s="33"/>
      <c r="S818" s="242">
        <f t="shared" si="764"/>
        <v>1</v>
      </c>
      <c r="T818" s="241" t="e">
        <f t="shared" ca="1" si="765"/>
        <v>#REF!</v>
      </c>
      <c r="U818" s="244" t="e">
        <f ca="1">IF(AND(INDEX(FlowCalConstA,MATCH(R804,FlowCalNumber,0),1,1)*T818^INDEX(FlowCalConstB,MATCH(R804,FlowCalNumber,0),1,1)&gt;INDEX(FlowCalLowSetting,MATCH(R804,FlowCalNumber,0),1,1), (INDEX(FlowCalConstA,MATCH(R804,FlowCalNumber,0),1,1)*T818^INDEX(FlowCalConstB,MATCH(R804,FlowCalNumber,0),1,1)&lt;INDEX(FlowCalHighSetting,MATCH(R804,FlowCalNumber,0),1,1))),INDEX(FlowCalConstA,MATCH(R804,FlowCalNumber,0),1,1)*T818^INDEX(FlowCalConstB,MATCH(R804,FlowCalNumber,0),1,1)," ")</f>
        <v>#REF!</v>
      </c>
      <c r="V818" s="33"/>
      <c r="W818" s="242">
        <f t="shared" si="766"/>
        <v>0.1</v>
      </c>
      <c r="X818" s="241" t="e">
        <f t="shared" ca="1" si="767"/>
        <v>#REF!</v>
      </c>
      <c r="Y818" s="243" t="e">
        <f ca="1">IF(AND(INDEX(FlowCalConstA,MATCH(V804,FlowCalNumber,0),1,1)*X818^INDEX(FlowCalConstB,MATCH(V804,FlowCalNumber,0),1,1)&gt;INDEX(FlowCalLowSetting,MATCH(V804,FlowCalNumber,0),1,1), (INDEX(FlowCalConstA,MATCH(V804,FlowCalNumber,0),1,1)*X818^INDEX(FlowCalConstB,MATCH(V804,FlowCalNumber,0),1,1)&lt;INDEX(FlowCalHighSetting,MATCH(V804,FlowCalNumber,0),1,1))),INDEX(FlowCalConstA,MATCH(V804,FlowCalNumber,0),1,1)*X818^INDEX(FlowCalConstB,MATCH(V804,FlowCalNumber,0),1,1)," ")</f>
        <v>#REF!</v>
      </c>
      <c r="Z818" s="33"/>
      <c r="AA818" s="242">
        <f t="shared" si="768"/>
        <v>0.9</v>
      </c>
      <c r="AB818" s="241" t="e">
        <f t="shared" ca="1" si="769"/>
        <v>#REF!</v>
      </c>
      <c r="AC818" s="243" t="e">
        <f ca="1">IF(AND(INDEX(FlowCalConstA,MATCH(Z804,FlowCalNumber,0),1,1)*AB818^INDEX(FlowCalConstB,MATCH(Z804,FlowCalNumber,0),1,1)&gt;INDEX(FlowCalLowSetting,MATCH(Z804,FlowCalNumber,0),1,1), (INDEX(FlowCalConstA,MATCH(Z804,FlowCalNumber,0),1,1)*AB818^INDEX(FlowCalConstB,MATCH(Z804,FlowCalNumber,0),1,1)&lt;INDEX(FlowCalHighSetting,MATCH(Z804,FlowCalNumber,0),1,1))),INDEX(FlowCalConstA,MATCH(Z804,FlowCalNumber,0),1,1)*AB818^INDEX(FlowCalConstB,MATCH(Z804,FlowCalNumber,0),1,1)," ")</f>
        <v>#REF!</v>
      </c>
      <c r="AD818" s="33"/>
      <c r="AE818" s="242">
        <f t="shared" si="770"/>
        <v>0.1</v>
      </c>
      <c r="AF818" s="241" t="e">
        <f t="shared" ca="1" si="771"/>
        <v>#REF!</v>
      </c>
      <c r="AG818" s="243" t="e">
        <f ca="1">IF(AND(INDEX(FlowCalConstA,MATCH(AD804,FlowCalNumber,0),1,1)*AF818^INDEX(FlowCalConstB,MATCH(AD804,FlowCalNumber,0),1,1)&gt;INDEX(FlowCalLowSetting,MATCH(AD804,FlowCalNumber,0),1,1), (INDEX(FlowCalConstA,MATCH(AD804,FlowCalNumber,0),1,1)*AF818^INDEX(FlowCalConstB,MATCH(AD804,FlowCalNumber,0),1,1)&lt;INDEX(FlowCalHighSetting,MATCH(AD804,FlowCalNumber,0),1,1))),INDEX(FlowCalConstA,MATCH(AD804,FlowCalNumber,0),1,1)*AF818^INDEX(FlowCalConstB,MATCH(AD804,FlowCalNumber,0),1,1)," ")</f>
        <v>#REF!</v>
      </c>
      <c r="AH818" s="33"/>
      <c r="AI818" s="242">
        <f t="shared" si="772"/>
        <v>0.9</v>
      </c>
      <c r="AJ818" s="241" t="e">
        <f t="shared" ca="1" si="773"/>
        <v>#REF!</v>
      </c>
      <c r="AK818" s="243" t="e">
        <f ca="1">IF(AND(INDEX(FlowCalConstA,MATCH(AH804,FlowCalNumber,0),1,1)*AJ818^INDEX(FlowCalConstB,MATCH(AH804,FlowCalNumber,0),1,1)&gt;INDEX(FlowCalLowSetting,MATCH(AH804,FlowCalNumber,0),1,1), (INDEX(FlowCalConstA,MATCH(AH804,FlowCalNumber,0),1,1)*AJ818^INDEX(FlowCalConstB,MATCH(AH804,FlowCalNumber,0),1,1)&lt;INDEX(FlowCalHighSetting,MATCH(AH804,FlowCalNumber,0),1,1))),INDEX(FlowCalConstA,MATCH(AH804,FlowCalNumber,0),1,1)*AJ818^INDEX(FlowCalConstB,MATCH(AH804,FlowCalNumber,0),1,1)," ")</f>
        <v>#REF!</v>
      </c>
      <c r="AL818" s="33"/>
      <c r="AM818" s="242"/>
      <c r="AN818" s="241"/>
      <c r="AO818" s="244"/>
      <c r="AQ818" s="242"/>
      <c r="AR818" s="241"/>
      <c r="AS818" s="244"/>
      <c r="AT818" s="33"/>
      <c r="AU818" s="242"/>
      <c r="AV818" s="241"/>
      <c r="AW818" s="244"/>
      <c r="AX818" s="33"/>
      <c r="AY818" s="242"/>
      <c r="AZ818" s="241"/>
      <c r="BA818" s="244"/>
      <c r="BB818" s="33"/>
      <c r="BC818" s="242"/>
      <c r="BD818" s="241"/>
      <c r="BE818" s="244"/>
      <c r="BF818" s="33"/>
      <c r="BG818" s="242"/>
      <c r="BH818" s="241"/>
      <c r="BI818" s="244"/>
      <c r="BJ818" s="33"/>
      <c r="BK818" s="242"/>
      <c r="BL818" s="241"/>
      <c r="BM818" s="244"/>
      <c r="BN818" s="33"/>
      <c r="BO818" s="242"/>
      <c r="BP818" s="241"/>
      <c r="BQ818" s="244"/>
      <c r="BR818" s="33"/>
      <c r="BS818" s="242"/>
      <c r="BT818" s="241"/>
      <c r="BU818" s="244"/>
      <c r="BV818" s="33"/>
      <c r="BW818" s="242"/>
      <c r="BX818" s="241"/>
      <c r="BY818" s="244"/>
      <c r="BZ818" s="33"/>
      <c r="CA818" s="242"/>
      <c r="CB818" s="241"/>
      <c r="CC818" s="244"/>
      <c r="CD818" s="243"/>
      <c r="CE818" s="243"/>
      <c r="CF818" s="243"/>
      <c r="CG818" s="243"/>
      <c r="CH818" s="243"/>
      <c r="CI818" s="243"/>
      <c r="CJ818" s="243"/>
      <c r="CK818" s="243"/>
      <c r="CL818" s="243"/>
      <c r="CM818" s="243"/>
      <c r="CN818" s="243"/>
      <c r="CO818" s="243"/>
      <c r="CP818" s="243"/>
      <c r="CQ818" s="243"/>
      <c r="CR818" s="243"/>
      <c r="CS818" s="243"/>
      <c r="CT818" s="243"/>
      <c r="CU818" s="243"/>
      <c r="CV818" s="243"/>
      <c r="CW818" s="243"/>
      <c r="CX818" s="243"/>
      <c r="CY818" s="243"/>
      <c r="CZ818" s="243"/>
      <c r="DA818" s="243"/>
      <c r="DB818" s="243"/>
      <c r="DC818" s="243"/>
      <c r="DD818" s="243"/>
      <c r="DE818" s="243"/>
      <c r="DF818" s="243"/>
      <c r="DG818" s="243"/>
      <c r="DH818" s="243"/>
      <c r="DI818" s="243"/>
      <c r="DJ818" s="243"/>
      <c r="DK818" s="243"/>
      <c r="DM818" s="242"/>
      <c r="DO818" s="243"/>
      <c r="DQ818" s="242"/>
      <c r="DS818" s="243"/>
      <c r="DU818" s="242"/>
      <c r="DW818" s="243"/>
      <c r="DY818" s="242"/>
      <c r="EA818" s="243"/>
    </row>
    <row r="819" spans="1:131">
      <c r="A819" s="20"/>
      <c r="B819" s="124" t="str">
        <f t="shared" si="758"/>
        <v/>
      </c>
      <c r="C819" s="235"/>
      <c r="D819" s="24">
        <f>'1% Wind'!$M$96</f>
        <v>1</v>
      </c>
      <c r="E819" s="90"/>
      <c r="F819" s="90"/>
      <c r="G819" s="79" t="e">
        <f ca="1">IF(I804=0.9743,$G818,MAX(G818/D818*D819,2))</f>
        <v>#REF!</v>
      </c>
      <c r="H819" s="121" t="e">
        <f t="shared" ca="1" si="759"/>
        <v>#REF!</v>
      </c>
      <c r="J819" s="33"/>
      <c r="K819" s="242">
        <f t="shared" si="760"/>
        <v>1</v>
      </c>
      <c r="L819" s="241" t="e">
        <f t="shared" ca="1" si="761"/>
        <v>#REF!</v>
      </c>
      <c r="M819" s="243" t="e">
        <f ca="1">IF(AND(INDEX(FlowCalConstA,MATCH(J804,FlowCalNumber,0),1,1)*L819^INDEX(FlowCalConstB,MATCH(J804,FlowCalNumber,0),1,1)&gt;INDEX(FlowCalLowSetting,MATCH(J804,FlowCalNumber,0),1,1), (INDEX(FlowCalConstA,MATCH(J804,FlowCalNumber,0),1,1)*L819^INDEX(FlowCalConstB,MATCH(J804,FlowCalNumber,0),1,1)&lt;INDEX(FlowCalHighSetting,MATCH(J804,FlowCalNumber,0),1,1))),INDEX(FlowCalConstA,MATCH(J804,FlowCalNumber,0),1,1)*L819^INDEX(FlowCalConstB,MATCH(J804,FlowCalNumber,0),1,1)," ")</f>
        <v>#REF!</v>
      </c>
      <c r="N819" s="33"/>
      <c r="O819" s="242">
        <f t="shared" si="762"/>
        <v>1</v>
      </c>
      <c r="P819" s="241" t="e">
        <f t="shared" ca="1" si="763"/>
        <v>#REF!</v>
      </c>
      <c r="Q819" s="243" t="e">
        <f ca="1">IF(AND(INDEX(FlowCalConstA,MATCH(N804,FlowCalNumber,0),1,1)*P819^INDEX(FlowCalConstB,MATCH(N804,FlowCalNumber,0),1,1)&gt;INDEX(FlowCalLowSetting,MATCH(N804,FlowCalNumber,0),1,1), (INDEX(FlowCalConstA,MATCH(N804,FlowCalNumber,0),1,1)*P819^INDEX(FlowCalConstB,MATCH(N804,FlowCalNumber,0),1,1)&lt;INDEX(FlowCalHighSetting,MATCH(N804,FlowCalNumber,0),1,1))),INDEX(FlowCalConstA,MATCH(N804,FlowCalNumber,0),1,1)*P819^INDEX(FlowCalConstB,MATCH(N804,FlowCalNumber,0),1,1)," ")</f>
        <v>#REF!</v>
      </c>
      <c r="R819" s="33"/>
      <c r="S819" s="242">
        <f t="shared" si="764"/>
        <v>1</v>
      </c>
      <c r="T819" s="241" t="e">
        <f t="shared" ca="1" si="765"/>
        <v>#REF!</v>
      </c>
      <c r="U819" s="244" t="e">
        <f ca="1">IF(AND(INDEX(FlowCalConstA,MATCH(R804,FlowCalNumber,0),1,1)*T819^INDEX(FlowCalConstB,MATCH(R804,FlowCalNumber,0),1,1)&gt;INDEX(FlowCalLowSetting,MATCH(R804,FlowCalNumber,0),1,1), (INDEX(FlowCalConstA,MATCH(R804,FlowCalNumber,0),1,1)*T819^INDEX(FlowCalConstB,MATCH(R804,FlowCalNumber,0),1,1)&lt;INDEX(FlowCalHighSetting,MATCH(R804,FlowCalNumber,0),1,1))),INDEX(FlowCalConstA,MATCH(R804,FlowCalNumber,0),1,1)*T819^INDEX(FlowCalConstB,MATCH(R804,FlowCalNumber,0),1,1)," ")</f>
        <v>#REF!</v>
      </c>
      <c r="V819" s="33"/>
      <c r="W819" s="242">
        <f t="shared" si="766"/>
        <v>0.1</v>
      </c>
      <c r="X819" s="241" t="e">
        <f t="shared" ca="1" si="767"/>
        <v>#REF!</v>
      </c>
      <c r="Y819" s="243" t="e">
        <f ca="1">IF(AND(INDEX(FlowCalConstA,MATCH(V804,FlowCalNumber,0),1,1)*X819^INDEX(FlowCalConstB,MATCH(V804,FlowCalNumber,0),1,1)&gt;INDEX(FlowCalLowSetting,MATCH(V804,FlowCalNumber,0),1,1), (INDEX(FlowCalConstA,MATCH(V804,FlowCalNumber,0),1,1)*X819^INDEX(FlowCalConstB,MATCH(V804,FlowCalNumber,0),1,1)&lt;INDEX(FlowCalHighSetting,MATCH(V804,FlowCalNumber,0),1,1))),INDEX(FlowCalConstA,MATCH(V804,FlowCalNumber,0),1,1)*X819^INDEX(FlowCalConstB,MATCH(V804,FlowCalNumber,0),1,1)," ")</f>
        <v>#REF!</v>
      </c>
      <c r="Z819" s="33"/>
      <c r="AA819" s="242">
        <f t="shared" si="768"/>
        <v>0.9</v>
      </c>
      <c r="AB819" s="241" t="e">
        <f t="shared" ca="1" si="769"/>
        <v>#REF!</v>
      </c>
      <c r="AC819" s="243" t="e">
        <f ca="1">IF(AND(INDEX(FlowCalConstA,MATCH(Z804,FlowCalNumber,0),1,1)*AB819^INDEX(FlowCalConstB,MATCH(Z804,FlowCalNumber,0),1,1)&gt;INDEX(FlowCalLowSetting,MATCH(Z804,FlowCalNumber,0),1,1), (INDEX(FlowCalConstA,MATCH(Z804,FlowCalNumber,0),1,1)*AB819^INDEX(FlowCalConstB,MATCH(Z804,FlowCalNumber,0),1,1)&lt;INDEX(FlowCalHighSetting,MATCH(Z804,FlowCalNumber,0),1,1))),INDEX(FlowCalConstA,MATCH(Z804,FlowCalNumber,0),1,1)*AB819^INDEX(FlowCalConstB,MATCH(Z804,FlowCalNumber,0),1,1)," ")</f>
        <v>#REF!</v>
      </c>
      <c r="AD819" s="33"/>
      <c r="AE819" s="242">
        <f t="shared" si="770"/>
        <v>0.1</v>
      </c>
      <c r="AF819" s="241" t="e">
        <f t="shared" ca="1" si="771"/>
        <v>#REF!</v>
      </c>
      <c r="AG819" s="243" t="e">
        <f ca="1">IF(AND(INDEX(FlowCalConstA,MATCH(AD804,FlowCalNumber,0),1,1)*AF819^INDEX(FlowCalConstB,MATCH(AD804,FlowCalNumber,0),1,1)&gt;INDEX(FlowCalLowSetting,MATCH(AD804,FlowCalNumber,0),1,1), (INDEX(FlowCalConstA,MATCH(AD804,FlowCalNumber,0),1,1)*AF819^INDEX(FlowCalConstB,MATCH(AD804,FlowCalNumber,0),1,1)&lt;INDEX(FlowCalHighSetting,MATCH(AD804,FlowCalNumber,0),1,1))),INDEX(FlowCalConstA,MATCH(AD804,FlowCalNumber,0),1,1)*AF819^INDEX(FlowCalConstB,MATCH(AD804,FlowCalNumber,0),1,1)," ")</f>
        <v>#REF!</v>
      </c>
      <c r="AH819" s="33"/>
      <c r="AI819" s="242">
        <f t="shared" si="772"/>
        <v>0.9</v>
      </c>
      <c r="AJ819" s="241" t="e">
        <f t="shared" ca="1" si="773"/>
        <v>#REF!</v>
      </c>
      <c r="AK819" s="243" t="e">
        <f ca="1">IF(AND(INDEX(FlowCalConstA,MATCH(AH804,FlowCalNumber,0),1,1)*AJ819^INDEX(FlowCalConstB,MATCH(AH804,FlowCalNumber,0),1,1)&gt;INDEX(FlowCalLowSetting,MATCH(AH804,FlowCalNumber,0),1,1), (INDEX(FlowCalConstA,MATCH(AH804,FlowCalNumber,0),1,1)*AJ819^INDEX(FlowCalConstB,MATCH(AH804,FlowCalNumber,0),1,1)&lt;INDEX(FlowCalHighSetting,MATCH(AH804,FlowCalNumber,0),1,1))),INDEX(FlowCalConstA,MATCH(AH804,FlowCalNumber,0),1,1)*AJ819^INDEX(FlowCalConstB,MATCH(AH804,FlowCalNumber,0),1,1)," ")</f>
        <v>#REF!</v>
      </c>
      <c r="AL819" s="33"/>
      <c r="AM819" s="242"/>
      <c r="AN819" s="241"/>
      <c r="AO819" s="244"/>
      <c r="AQ819" s="242"/>
      <c r="AR819" s="241"/>
      <c r="AS819" s="244"/>
      <c r="AT819" s="33"/>
      <c r="AU819" s="242"/>
      <c r="AV819" s="241"/>
      <c r="AW819" s="244"/>
      <c r="AX819" s="33"/>
      <c r="AY819" s="242"/>
      <c r="AZ819" s="241"/>
      <c r="BA819" s="244"/>
      <c r="BB819" s="33"/>
      <c r="BC819" s="242"/>
      <c r="BD819" s="241"/>
      <c r="BE819" s="244"/>
      <c r="BF819" s="33"/>
      <c r="BG819" s="242"/>
      <c r="BH819" s="241"/>
      <c r="BI819" s="244"/>
      <c r="BJ819" s="33"/>
      <c r="BK819" s="242"/>
      <c r="BL819" s="241"/>
      <c r="BM819" s="244"/>
      <c r="BN819" s="33"/>
      <c r="BO819" s="242"/>
      <c r="BP819" s="241"/>
      <c r="BQ819" s="244"/>
      <c r="BR819" s="33"/>
      <c r="BS819" s="242"/>
      <c r="BT819" s="241"/>
      <c r="BU819" s="244"/>
      <c r="BV819" s="33"/>
      <c r="BW819" s="242"/>
      <c r="BX819" s="241"/>
      <c r="BY819" s="244"/>
      <c r="BZ819" s="33"/>
      <c r="CA819" s="242"/>
      <c r="CB819" s="241"/>
      <c r="CC819" s="244"/>
      <c r="CD819" s="243"/>
      <c r="CE819" s="243"/>
      <c r="CF819" s="243"/>
      <c r="CG819" s="243"/>
      <c r="CH819" s="243"/>
      <c r="CI819" s="243"/>
      <c r="CJ819" s="243"/>
      <c r="CK819" s="243"/>
      <c r="CL819" s="243"/>
      <c r="CM819" s="243"/>
      <c r="CN819" s="243"/>
      <c r="CO819" s="243"/>
      <c r="CP819" s="243"/>
      <c r="CQ819" s="243"/>
      <c r="CR819" s="243"/>
      <c r="CS819" s="243"/>
      <c r="CT819" s="243"/>
      <c r="CU819" s="243"/>
      <c r="CV819" s="243"/>
      <c r="CW819" s="243"/>
      <c r="CX819" s="243"/>
      <c r="CY819" s="243"/>
      <c r="CZ819" s="243"/>
      <c r="DA819" s="243"/>
      <c r="DB819" s="243"/>
      <c r="DC819" s="243"/>
      <c r="DD819" s="243"/>
      <c r="DE819" s="243"/>
      <c r="DF819" s="243"/>
      <c r="DG819" s="243"/>
      <c r="DH819" s="243"/>
      <c r="DI819" s="243"/>
      <c r="DJ819" s="243"/>
      <c r="DK819" s="243"/>
      <c r="DM819" s="242"/>
      <c r="DO819" s="243"/>
      <c r="DQ819" s="242"/>
      <c r="DS819" s="243"/>
      <c r="DU819" s="242"/>
      <c r="DW819" s="243"/>
      <c r="DY819" s="242"/>
      <c r="EA819" s="243"/>
    </row>
    <row r="820" spans="1:131">
      <c r="A820" s="33"/>
      <c r="B820" s="33"/>
      <c r="C820" s="235"/>
      <c r="E820" s="90"/>
      <c r="F820" s="90"/>
      <c r="G820" s="33"/>
      <c r="J820" s="33"/>
      <c r="M820" s="243"/>
      <c r="N820" s="33"/>
      <c r="Q820" s="243"/>
      <c r="R820" s="33"/>
      <c r="U820" s="244"/>
      <c r="V820" s="33"/>
      <c r="Y820" s="243"/>
      <c r="Z820" s="33"/>
      <c r="AC820" s="243"/>
      <c r="AD820" s="33"/>
      <c r="AG820" s="243"/>
      <c r="AH820" s="33"/>
      <c r="AK820" s="243"/>
      <c r="AL820" s="33"/>
      <c r="AO820" s="244"/>
      <c r="AS820" s="244"/>
      <c r="AT820" s="33"/>
      <c r="AW820" s="244"/>
      <c r="AX820" s="33"/>
      <c r="BA820" s="244"/>
      <c r="BB820" s="33"/>
      <c r="BE820" s="244"/>
      <c r="BF820" s="33"/>
      <c r="BI820" s="244"/>
      <c r="BJ820" s="33"/>
      <c r="BM820" s="244"/>
      <c r="BN820" s="33"/>
      <c r="BQ820" s="244"/>
      <c r="BR820" s="792"/>
      <c r="BS820" s="243"/>
      <c r="BT820" s="243"/>
      <c r="BU820" s="244"/>
      <c r="BV820" s="33"/>
      <c r="BY820" s="244"/>
      <c r="BZ820" s="33"/>
      <c r="CC820" s="244"/>
      <c r="CD820" s="243"/>
      <c r="CE820" s="243"/>
      <c r="CF820" s="243"/>
      <c r="CG820" s="243"/>
      <c r="CH820" s="243"/>
      <c r="CI820" s="243"/>
      <c r="CJ820" s="243"/>
      <c r="CK820" s="243"/>
      <c r="CL820" s="243"/>
      <c r="CM820" s="243"/>
      <c r="CN820" s="243"/>
      <c r="CO820" s="243"/>
      <c r="CP820" s="243"/>
      <c r="CQ820" s="243"/>
      <c r="CR820" s="243"/>
      <c r="CS820" s="243"/>
      <c r="CT820" s="243"/>
      <c r="CU820" s="243"/>
      <c r="CV820" s="243"/>
      <c r="CW820" s="243"/>
      <c r="CX820" s="243"/>
      <c r="CY820" s="243"/>
      <c r="CZ820" s="243"/>
      <c r="DA820" s="243"/>
      <c r="DB820" s="243"/>
      <c r="DC820" s="243"/>
      <c r="DD820" s="243"/>
      <c r="DE820" s="243"/>
      <c r="DF820" s="243"/>
      <c r="DG820" s="243"/>
      <c r="DH820" s="243"/>
      <c r="DI820" s="243"/>
      <c r="DJ820" s="243"/>
      <c r="DK820" s="243"/>
      <c r="DO820" s="243"/>
      <c r="DS820" s="243"/>
      <c r="DW820" s="243"/>
      <c r="EA820" s="243"/>
    </row>
    <row r="821" spans="1:131">
      <c r="A821" s="256" t="str">
        <f>IF((RIGHT(A804,1))&lt;&gt;"Z",CHAR(CODE(A804))&amp;CHAR(CODE(RIGHT(A804,1))+1),CHAR(CODE(A804)+1)&amp;"A")</f>
        <v>BV</v>
      </c>
      <c r="B821" s="270" t="e">
        <f>INDEX(SourceID,MATCH($A821,SourceNumber,0),1,1)</f>
        <v>#N/A</v>
      </c>
      <c r="C821" s="354" t="e">
        <f>INDEX(SourceExitDiameter,MATCH($A821,SourceNumber,0),1,1)*3.28*12</f>
        <v>#N/A</v>
      </c>
      <c r="D821" s="24" t="str">
        <f>UAnem1percent</f>
        <v>1% Wind</v>
      </c>
      <c r="E821" s="350" t="e">
        <f ca="1">INDIRECT(ADDRESS(53,6,1,,CONCATENATE("TA",$A821)))</f>
        <v>#REF!</v>
      </c>
      <c r="F821" s="625" t="e">
        <f ca="1">(ROUND((INDIRECT(ADDRESS(15,7,1,,CONCATENATE("TA",$A821)))*3.28*12*32),0)&amp;"/32")</f>
        <v>#REF!</v>
      </c>
      <c r="G821" s="125" t="e">
        <f ca="1">INDIRECT(ADDRESS(29,7,1,,$A821))</f>
        <v>#REF!</v>
      </c>
      <c r="H821" s="24" t="e">
        <f ca="1">INDIRECT(ADDRESS(19,7,1,,$A821))*100^3</f>
        <v>#REF!</v>
      </c>
      <c r="I821" s="941" t="e">
        <f ca="1">INDIRECT(ADDRESS(53,7,1,,$A821))</f>
        <v>#REF!</v>
      </c>
      <c r="J821" s="20" t="e">
        <f ca="1">IF($I821=$I$6,K$16&amp;$G$6&amp;J$6,IF($I821=$I$7,K$16&amp;$G$7&amp;J$7,"Bad"))</f>
        <v>#REF!</v>
      </c>
      <c r="K821" t="e">
        <f ca="1">INDEX(FlowCalGasMixture,MATCH(J821,FlowCalNumber,0),1,1)</f>
        <v>#REF!</v>
      </c>
      <c r="M821" s="944" t="e">
        <f ca="1">INDEX(FlowCalDevice,MATCH(J821,FlowCalNumber,0),1,1)</f>
        <v>#REF!</v>
      </c>
      <c r="N821" s="943" t="e">
        <f ca="1">IF($I821=$I$6,O$16&amp;$G$6&amp;"90"&amp;$H$6&amp;N$6,IF($I821=$I$7,O$16&amp;$G$7&amp;"90"&amp;$H$7&amp;N$7,"Bad"))</f>
        <v>#REF!</v>
      </c>
      <c r="O821" t="e">
        <f ca="1">INDEX(FlowCalGasMixture,MATCH(N821,FlowCalNumber,0),1,1)</f>
        <v>#REF!</v>
      </c>
      <c r="Q821" s="944" t="e">
        <f ca="1">INDEX(FlowCalDevice,MATCH(N821,FlowCalNumber,0),1,1)</f>
        <v>#REF!</v>
      </c>
      <c r="R821" s="943" t="e">
        <f ca="1">IF($I821=$I$6,S$16&amp;$G$6&amp;"90"&amp;$H$6&amp;R$6,IF($I821=$I$7,S$16&amp;$G$7&amp;"90"&amp;$H$7&amp;R$7,"Bad"))</f>
        <v>#REF!</v>
      </c>
      <c r="S821" t="e">
        <f ca="1">INDEX(FlowCalGasMixture,MATCH(R821,FlowCalNumber,0),1,1)</f>
        <v>#REF!</v>
      </c>
      <c r="U821" s="944" t="e">
        <f ca="1">INDEX(FlowCalDevice,MATCH(R821,FlowCalNumber,0),1,1)</f>
        <v>#REF!</v>
      </c>
      <c r="V821" s="20" t="e">
        <f ca="1">IF($I821=$I$6,W$16&amp;$G$6&amp;V$6,IF($I821=$I$7,W$16&amp;$G$7&amp;V$7,"Bad"))</f>
        <v>#REF!</v>
      </c>
      <c r="W821" t="e">
        <f ca="1">INDEX(FlowCalGasMixture,MATCH(V821,FlowCalNumber,0),1,1)</f>
        <v>#REF!</v>
      </c>
      <c r="Y821" s="944" t="e">
        <f ca="1">INDEX(FlowCalDevice,MATCH(V821,FlowCalNumber,0),1,1)</f>
        <v>#REF!</v>
      </c>
      <c r="Z821" s="946" t="e">
        <f ca="1">IF($I821=$I$6,AA$18&amp;$H$6&amp;Z$6,IF($I821=$I$7,AA$18&amp;$H$7&amp;Z$7,"Bad"))</f>
        <v>#REF!</v>
      </c>
      <c r="AA821" t="e">
        <f ca="1">INDEX(FlowCalGasMixture,MATCH(Z821,FlowCalNumber,0),1,1)</f>
        <v>#REF!</v>
      </c>
      <c r="AC821" s="944" t="e">
        <f ca="1">INDEX(FlowCalDevice,MATCH(Z821,FlowCalNumber,0),1,1)</f>
        <v>#REF!</v>
      </c>
      <c r="AD821" s="20" t="e">
        <f ca="1">IF($I821=$I$6,AE$16&amp;$G$6&amp;AD$6,IF($I821=$I$7,AE$16&amp;$G$7&amp;AD$7,"Bad"))</f>
        <v>#REF!</v>
      </c>
      <c r="AE821" t="e">
        <f ca="1">INDEX(FlowCalGasMixture,MATCH(AD821,FlowCalNumber,0),1,1)</f>
        <v>#REF!</v>
      </c>
      <c r="AG821" s="944" t="e">
        <f ca="1">INDEX(FlowCalDevice,MATCH(AD821,FlowCalNumber,0),1,1)</f>
        <v>#REF!</v>
      </c>
      <c r="AH821" s="946" t="e">
        <f ca="1">IF($I821=$I$6,AI$18&amp;$H$6&amp;AH$6,IF($I821=$I$7,AI$18&amp;$H$7&amp;AH$7,"Bad"))</f>
        <v>#REF!</v>
      </c>
      <c r="AI821" t="e">
        <f ca="1">INDEX(FlowCalGasMixture,MATCH(AH821,FlowCalNumber,0),1,1)</f>
        <v>#REF!</v>
      </c>
      <c r="AK821" s="944" t="e">
        <f ca="1">INDEX(FlowCalDevice,MATCH(AH821,FlowCalNumber,0),1,1)</f>
        <v>#REF!</v>
      </c>
      <c r="AL821" s="20"/>
      <c r="AO821" s="982"/>
      <c r="AP821" s="960"/>
      <c r="AS821" s="982"/>
      <c r="AT821" s="20"/>
      <c r="AW821" s="982"/>
      <c r="AX821" s="946"/>
      <c r="BA821" s="982"/>
      <c r="BB821" s="20"/>
      <c r="BC821" s="16"/>
      <c r="BE821" s="982"/>
      <c r="BF821" s="946"/>
      <c r="BG821" s="16"/>
      <c r="BI821" s="982"/>
      <c r="BJ821" s="946"/>
      <c r="BK821" s="16"/>
      <c r="BM821" s="982"/>
      <c r="BN821" s="20"/>
      <c r="BO821" s="16"/>
      <c r="BQ821" s="982"/>
      <c r="BR821" s="946"/>
      <c r="BS821" s="16"/>
      <c r="BU821" s="982"/>
      <c r="BV821" s="946"/>
      <c r="BW821" s="16"/>
      <c r="BY821" s="982"/>
      <c r="BZ821" s="946"/>
      <c r="CA821" s="16"/>
      <c r="CC821" s="982"/>
      <c r="CD821" s="355"/>
      <c r="CE821" s="355"/>
      <c r="CF821" s="355"/>
      <c r="CG821" s="355"/>
      <c r="CH821" s="355"/>
      <c r="CI821" s="355"/>
      <c r="CJ821" s="355"/>
      <c r="CK821" s="355"/>
      <c r="CL821" s="355"/>
      <c r="CM821" s="355"/>
      <c r="CN821" s="355"/>
      <c r="CO821" s="355"/>
      <c r="CP821" s="355"/>
      <c r="CQ821" s="355"/>
      <c r="CR821" s="355"/>
      <c r="CS821" s="355"/>
      <c r="CT821" s="355"/>
      <c r="CU821" s="355"/>
      <c r="CV821" s="355"/>
      <c r="CW821" s="355"/>
      <c r="CX821" s="355"/>
      <c r="CY821" s="355"/>
      <c r="CZ821" s="355"/>
      <c r="DA821" s="355"/>
      <c r="DB821" s="355"/>
      <c r="DC821" s="355"/>
      <c r="DD821" s="355"/>
      <c r="DE821" s="355"/>
      <c r="DF821" s="355"/>
      <c r="DG821" s="355"/>
      <c r="DH821" s="355"/>
      <c r="DI821" s="355"/>
      <c r="DJ821" s="355"/>
      <c r="DK821" s="355"/>
      <c r="DL821" s="46"/>
      <c r="DM821" s="16"/>
      <c r="DO821" s="355"/>
      <c r="DP821" s="42"/>
      <c r="DQ821" s="16"/>
      <c r="DS821" s="355"/>
      <c r="DT821" s="42"/>
      <c r="DU821" s="16"/>
      <c r="DW821" s="355"/>
      <c r="DX821" s="42"/>
      <c r="DY821" s="16"/>
      <c r="EA821" s="355"/>
    </row>
    <row r="822" spans="1:131">
      <c r="A822" s="20"/>
      <c r="B822" s="124" t="str">
        <f t="shared" ref="B822:B836" si="774">IF(D822=UAnem1percent,"1% Wind","")</f>
        <v/>
      </c>
      <c r="C822" s="235"/>
      <c r="D822" s="24">
        <f>'1% Wind'!$M$82</f>
        <v>27</v>
      </c>
      <c r="E822" s="90"/>
      <c r="F822" s="90"/>
      <c r="G822" s="79" t="e">
        <f ca="1">IF(I821=0.9743,$G821,MAX(G821/D821*D822,2))</f>
        <v>#REF!</v>
      </c>
      <c r="H822" s="121" t="e">
        <f t="shared" ref="H822:H836" ca="1" si="775">H821*(D821/D822)*(G822/G821)</f>
        <v>#REF!</v>
      </c>
      <c r="J822" s="33"/>
      <c r="K822" s="260">
        <f>K$17/100</f>
        <v>1</v>
      </c>
      <c r="L822" s="241" t="e">
        <f ca="1">K822*$H822</f>
        <v>#REF!</v>
      </c>
      <c r="M822" s="243" t="e">
        <f ca="1">IF(AND(INDEX(FlowCalConstA,MATCH(J821,FlowCalNumber,0),1,1)*L822^INDEX(FlowCalConstB,MATCH(J821,FlowCalNumber,0),1,1)&gt;INDEX(FlowCalLowSetting,MATCH(J821,FlowCalNumber,0),1,1), (INDEX(FlowCalConstA,MATCH(J821,FlowCalNumber,0),1,1)*L822^INDEX(FlowCalConstB,MATCH(J821,FlowCalNumber,0),1,1)&lt;INDEX(FlowCalHighSetting,MATCH(J821,FlowCalNumber,0),1,1))),INDEX(FlowCalConstA,MATCH(J821,FlowCalNumber,0),1,1)*L822^INDEX(FlowCalConstB,MATCH(J821,FlowCalNumber,0),1,1)," ")</f>
        <v>#REF!</v>
      </c>
      <c r="N822" s="33"/>
      <c r="O822" s="260">
        <f>O$17/100</f>
        <v>1</v>
      </c>
      <c r="P822" s="241" t="e">
        <f ca="1">O822*$H822</f>
        <v>#REF!</v>
      </c>
      <c r="Q822" s="243" t="e">
        <f ca="1">IF(AND(INDEX(FlowCalConstA,MATCH(N821,FlowCalNumber,0),1,1)*P822^INDEX(FlowCalConstB,MATCH(N821,FlowCalNumber,0),1,1)&gt;INDEX(FlowCalLowSetting,MATCH(N821,FlowCalNumber,0),1,1), (INDEX(FlowCalConstA,MATCH(N821,FlowCalNumber,0),1,1)*P822^INDEX(FlowCalConstB,MATCH(N821,FlowCalNumber,0),1,1)&lt;INDEX(FlowCalHighSetting,MATCH(N821,FlowCalNumber,0),1,1))),INDEX(FlowCalConstA,MATCH(N821,FlowCalNumber,0),1,1)*P822^INDEX(FlowCalConstB,MATCH(N821,FlowCalNumber,0),1,1)," ")</f>
        <v>#REF!</v>
      </c>
      <c r="R822" s="33"/>
      <c r="S822" s="260">
        <f>S$17/100</f>
        <v>1</v>
      </c>
      <c r="T822" s="241" t="e">
        <f ca="1">S822*$H822</f>
        <v>#REF!</v>
      </c>
      <c r="U822" s="244" t="e">
        <f ca="1">IF(AND(INDEX(FlowCalConstA,MATCH(R821,FlowCalNumber,0),1,1)*T822^INDEX(FlowCalConstB,MATCH(R821,FlowCalNumber,0),1,1)&gt;INDEX(FlowCalLowSetting,MATCH(R821,FlowCalNumber,0),1,1), (INDEX(FlowCalConstA,MATCH(R821,FlowCalNumber,0),1,1)*T822^INDEX(FlowCalConstB,MATCH(R821,FlowCalNumber,0),1,1)&lt;INDEX(FlowCalHighSetting,MATCH(R821,FlowCalNumber,0),1,1))),INDEX(FlowCalConstA,MATCH(R821,FlowCalNumber,0),1,1)*T822^INDEX(FlowCalConstB,MATCH(R821,FlowCalNumber,0),1,1)," ")</f>
        <v>#REF!</v>
      </c>
      <c r="V822" s="33"/>
      <c r="W822" s="260">
        <f>W$17/100</f>
        <v>0.1</v>
      </c>
      <c r="X822" s="241" t="e">
        <f ca="1">W822*$H822</f>
        <v>#REF!</v>
      </c>
      <c r="Y822" s="243" t="e">
        <f ca="1">IF(AND(INDEX(FlowCalConstA,MATCH(V821,FlowCalNumber,0),1,1)*X822^INDEX(FlowCalConstB,MATCH(V821,FlowCalNumber,0),1,1)&gt;INDEX(FlowCalLowSetting,MATCH(V821,FlowCalNumber,0),1,1), (INDEX(FlowCalConstA,MATCH(V821,FlowCalNumber,0),1,1)*X822^INDEX(FlowCalConstB,MATCH(V821,FlowCalNumber,0),1,1)&lt;INDEX(FlowCalHighSetting,MATCH(V821,FlowCalNumber,0),1,1))),INDEX(FlowCalConstA,MATCH(V821,FlowCalNumber,0),1,1)*X822^INDEX(FlowCalConstB,MATCH(V821,FlowCalNumber,0),1,1)," ")</f>
        <v>#REF!</v>
      </c>
      <c r="Z822" s="33"/>
      <c r="AA822" s="260">
        <f>AA$17/100</f>
        <v>0.9</v>
      </c>
      <c r="AB822" s="241" t="e">
        <f ca="1">AA822*$H822</f>
        <v>#REF!</v>
      </c>
      <c r="AC822" s="243" t="e">
        <f ca="1">IF(AND(INDEX(FlowCalConstA,MATCH(Z821,FlowCalNumber,0),1,1)*AB822^INDEX(FlowCalConstB,MATCH(Z821,FlowCalNumber,0),1,1)&gt;INDEX(FlowCalLowSetting,MATCH(Z821,FlowCalNumber,0),1,1), (INDEX(FlowCalConstA,MATCH(Z821,FlowCalNumber,0),1,1)*AB822^INDEX(FlowCalConstB,MATCH(Z821,FlowCalNumber,0),1,1)&lt;INDEX(FlowCalHighSetting,MATCH(Z821,FlowCalNumber,0),1,1))),INDEX(FlowCalConstA,MATCH(Z821,FlowCalNumber,0),1,1)*AB822^INDEX(FlowCalConstB,MATCH(Z821,FlowCalNumber,0),1,1)," ")</f>
        <v>#REF!</v>
      </c>
      <c r="AD822" s="33"/>
      <c r="AE822" s="260">
        <f>AE$17/100</f>
        <v>0.1</v>
      </c>
      <c r="AF822" s="241" t="e">
        <f ca="1">AE822*$H822</f>
        <v>#REF!</v>
      </c>
      <c r="AG822" s="243" t="e">
        <f ca="1">IF(AND(INDEX(FlowCalConstA,MATCH(AD821,FlowCalNumber,0),1,1)*AF822^INDEX(FlowCalConstB,MATCH(AD821,FlowCalNumber,0),1,1)&gt;INDEX(FlowCalLowSetting,MATCH(AD821,FlowCalNumber,0),1,1), (INDEX(FlowCalConstA,MATCH(AD821,FlowCalNumber,0),1,1)*AF822^INDEX(FlowCalConstB,MATCH(AD821,FlowCalNumber,0),1,1)&lt;INDEX(FlowCalHighSetting,MATCH(AD821,FlowCalNumber,0),1,1))),INDEX(FlowCalConstA,MATCH(AD821,FlowCalNumber,0),1,1)*AF822^INDEX(FlowCalConstB,MATCH(AD821,FlowCalNumber,0),1,1)," ")</f>
        <v>#REF!</v>
      </c>
      <c r="AH822" s="33"/>
      <c r="AI822" s="260">
        <f>AI$17/100</f>
        <v>0.9</v>
      </c>
      <c r="AJ822" s="241" t="e">
        <f ca="1">AI822*$H822</f>
        <v>#REF!</v>
      </c>
      <c r="AK822" s="243" t="e">
        <f ca="1">IF(AND(INDEX(FlowCalConstA,MATCH(AH821,FlowCalNumber,0),1,1)*AJ822^INDEX(FlowCalConstB,MATCH(AH821,FlowCalNumber,0),1,1)&gt;INDEX(FlowCalLowSetting,MATCH(AH821,FlowCalNumber,0),1,1), (INDEX(FlowCalConstA,MATCH(AH821,FlowCalNumber,0),1,1)*AJ822^INDEX(FlowCalConstB,MATCH(AH821,FlowCalNumber,0),1,1)&lt;INDEX(FlowCalHighSetting,MATCH(AH821,FlowCalNumber,0),1,1))),INDEX(FlowCalConstA,MATCH(AH821,FlowCalNumber,0),1,1)*AJ822^INDEX(FlowCalConstB,MATCH(AH821,FlowCalNumber,0),1,1)," ")</f>
        <v>#REF!</v>
      </c>
      <c r="AL822" s="33"/>
      <c r="AM822" s="260"/>
      <c r="AN822" s="241"/>
      <c r="AO822" s="244"/>
      <c r="AQ822" s="260"/>
      <c r="AR822" s="241"/>
      <c r="AS822" s="244"/>
      <c r="AT822" s="33"/>
      <c r="AU822" s="260"/>
      <c r="AV822" s="241"/>
      <c r="AW822" s="244"/>
      <c r="AX822" s="33"/>
      <c r="AY822" s="260"/>
      <c r="AZ822" s="241"/>
      <c r="BA822" s="244"/>
      <c r="BB822" s="33"/>
      <c r="BC822" s="260"/>
      <c r="BD822" s="241"/>
      <c r="BE822" s="244"/>
      <c r="BF822" s="33"/>
      <c r="BG822" s="260"/>
      <c r="BH822" s="241"/>
      <c r="BI822" s="244"/>
      <c r="BJ822" s="33"/>
      <c r="BK822" s="260"/>
      <c r="BL822" s="241"/>
      <c r="BM822" s="244"/>
      <c r="BN822" s="33"/>
      <c r="BO822" s="260"/>
      <c r="BP822" s="241"/>
      <c r="BQ822" s="244"/>
      <c r="BR822" s="33"/>
      <c r="BS822" s="260"/>
      <c r="BT822" s="241"/>
      <c r="BU822" s="244"/>
      <c r="BV822" s="33"/>
      <c r="BW822" s="260"/>
      <c r="BX822" s="241"/>
      <c r="BY822" s="244"/>
      <c r="BZ822" s="33"/>
      <c r="CA822" s="260"/>
      <c r="CB822" s="241"/>
      <c r="CC822" s="244"/>
      <c r="CD822" s="243"/>
      <c r="CE822" s="243"/>
      <c r="CF822" s="243"/>
      <c r="CG822" s="243"/>
      <c r="CH822" s="243"/>
      <c r="CI822" s="243"/>
      <c r="CJ822" s="243"/>
      <c r="CK822" s="243"/>
      <c r="CL822" s="243"/>
      <c r="CM822" s="243"/>
      <c r="CN822" s="243"/>
      <c r="CO822" s="243"/>
      <c r="CP822" s="243"/>
      <c r="CQ822" s="243"/>
      <c r="CR822" s="243"/>
      <c r="CS822" s="243"/>
      <c r="CT822" s="243"/>
      <c r="CU822" s="243"/>
      <c r="CV822" s="243"/>
      <c r="CW822" s="243"/>
      <c r="CX822" s="243"/>
      <c r="CY822" s="243"/>
      <c r="CZ822" s="243"/>
      <c r="DA822" s="243"/>
      <c r="DB822" s="243"/>
      <c r="DC822" s="243"/>
      <c r="DD822" s="243"/>
      <c r="DE822" s="243"/>
      <c r="DF822" s="243"/>
      <c r="DG822" s="243"/>
      <c r="DH822" s="243"/>
      <c r="DI822" s="243"/>
      <c r="DJ822" s="243"/>
      <c r="DK822" s="243"/>
      <c r="DM822" s="259"/>
      <c r="DO822" s="243"/>
      <c r="DQ822" s="259"/>
      <c r="DS822" s="243"/>
      <c r="DU822" s="259"/>
      <c r="DW822" s="243"/>
      <c r="DY822" s="260"/>
      <c r="EA822" s="243"/>
    </row>
    <row r="823" spans="1:131">
      <c r="A823" s="20"/>
      <c r="B823" s="124" t="str">
        <f t="shared" si="774"/>
        <v/>
      </c>
      <c r="C823" s="235"/>
      <c r="D823" s="24">
        <f>'1% Wind'!$M$83</f>
        <v>23.5</v>
      </c>
      <c r="E823" s="90"/>
      <c r="F823" s="90"/>
      <c r="G823" s="79" t="e">
        <f ca="1">IF(I821=0.9743,$G822,MAX(G822/D822*D823,2))</f>
        <v>#REF!</v>
      </c>
      <c r="H823" s="121" t="e">
        <f t="shared" ca="1" si="775"/>
        <v>#REF!</v>
      </c>
      <c r="J823" s="33"/>
      <c r="K823" s="242">
        <f t="shared" ref="K823:K836" si="776">K822</f>
        <v>1</v>
      </c>
      <c r="L823" s="241" t="e">
        <f t="shared" ref="L823:L836" ca="1" si="777">K823*$H823</f>
        <v>#REF!</v>
      </c>
      <c r="M823" s="243" t="e">
        <f ca="1">IF(AND(INDEX(FlowCalConstA,MATCH(J821,FlowCalNumber,0),1,1)*L823^INDEX(FlowCalConstB,MATCH(J821,FlowCalNumber,0),1,1)&gt;INDEX(FlowCalLowSetting,MATCH(J821,FlowCalNumber,0),1,1), (INDEX(FlowCalConstA,MATCH(J821,FlowCalNumber,0),1,1)*L823^INDEX(FlowCalConstB,MATCH(J821,FlowCalNumber,0),1,1)&lt;INDEX(FlowCalHighSetting,MATCH(J821,FlowCalNumber,0),1,1))),INDEX(FlowCalConstA,MATCH(J821,FlowCalNumber,0),1,1)*L823^INDEX(FlowCalConstB,MATCH(J821,FlowCalNumber,0),1,1)," ")</f>
        <v>#REF!</v>
      </c>
      <c r="N823" s="33"/>
      <c r="O823" s="242">
        <f t="shared" ref="O823:O836" si="778">O822</f>
        <v>1</v>
      </c>
      <c r="P823" s="241" t="e">
        <f t="shared" ref="P823:P836" ca="1" si="779">O823*$H823</f>
        <v>#REF!</v>
      </c>
      <c r="Q823" s="243" t="e">
        <f ca="1">IF(AND(INDEX(FlowCalConstA,MATCH(N821,FlowCalNumber,0),1,1)*P823^INDEX(FlowCalConstB,MATCH(N821,FlowCalNumber,0),1,1)&gt;INDEX(FlowCalLowSetting,MATCH(N821,FlowCalNumber,0),1,1), (INDEX(FlowCalConstA,MATCH(N821,FlowCalNumber,0),1,1)*P823^INDEX(FlowCalConstB,MATCH(N821,FlowCalNumber,0),1,1)&lt;INDEX(FlowCalHighSetting,MATCH(N821,FlowCalNumber,0),1,1))),INDEX(FlowCalConstA,MATCH(N821,FlowCalNumber,0),1,1)*P823^INDEX(FlowCalConstB,MATCH(N821,FlowCalNumber,0),1,1)," ")</f>
        <v>#REF!</v>
      </c>
      <c r="R823" s="33"/>
      <c r="S823" s="242">
        <f t="shared" ref="S823:S836" si="780">S822</f>
        <v>1</v>
      </c>
      <c r="T823" s="241" t="e">
        <f t="shared" ref="T823:T836" ca="1" si="781">S823*$H823</f>
        <v>#REF!</v>
      </c>
      <c r="U823" s="244" t="e">
        <f ca="1">IF(AND(INDEX(FlowCalConstA,MATCH(R821,FlowCalNumber,0),1,1)*T823^INDEX(FlowCalConstB,MATCH(R821,FlowCalNumber,0),1,1)&gt;INDEX(FlowCalLowSetting,MATCH(R821,FlowCalNumber,0),1,1), (INDEX(FlowCalConstA,MATCH(R821,FlowCalNumber,0),1,1)*T823^INDEX(FlowCalConstB,MATCH(R821,FlowCalNumber,0),1,1)&lt;INDEX(FlowCalHighSetting,MATCH(R821,FlowCalNumber,0),1,1))),INDEX(FlowCalConstA,MATCH(R821,FlowCalNumber,0),1,1)*T823^INDEX(FlowCalConstB,MATCH(R821,FlowCalNumber,0),1,1)," ")</f>
        <v>#REF!</v>
      </c>
      <c r="V823" s="33"/>
      <c r="W823" s="242">
        <f t="shared" ref="W823:W836" si="782">W822</f>
        <v>0.1</v>
      </c>
      <c r="X823" s="241" t="e">
        <f t="shared" ref="X823:X836" ca="1" si="783">W823*$H823</f>
        <v>#REF!</v>
      </c>
      <c r="Y823" s="243" t="e">
        <f ca="1">IF(AND(INDEX(FlowCalConstA,MATCH(V821,FlowCalNumber,0),1,1)*X823^INDEX(FlowCalConstB,MATCH(V821,FlowCalNumber,0),1,1)&gt;INDEX(FlowCalLowSetting,MATCH(V821,FlowCalNumber,0),1,1), (INDEX(FlowCalConstA,MATCH(V821,FlowCalNumber,0),1,1)*X823^INDEX(FlowCalConstB,MATCH(V821,FlowCalNumber,0),1,1)&lt;INDEX(FlowCalHighSetting,MATCH(V821,FlowCalNumber,0),1,1))),INDEX(FlowCalConstA,MATCH(V821,FlowCalNumber,0),1,1)*X823^INDEX(FlowCalConstB,MATCH(V821,FlowCalNumber,0),1,1)," ")</f>
        <v>#REF!</v>
      </c>
      <c r="Z823" s="33"/>
      <c r="AA823" s="242">
        <f t="shared" ref="AA823:AA836" si="784">AA822</f>
        <v>0.9</v>
      </c>
      <c r="AB823" s="241" t="e">
        <f t="shared" ref="AB823:AB836" ca="1" si="785">AA823*$H823</f>
        <v>#REF!</v>
      </c>
      <c r="AC823" s="243" t="e">
        <f ca="1">IF(AND(INDEX(FlowCalConstA,MATCH(Z821,FlowCalNumber,0),1,1)*AB823^INDEX(FlowCalConstB,MATCH(Z821,FlowCalNumber,0),1,1)&gt;INDEX(FlowCalLowSetting,MATCH(Z821,FlowCalNumber,0),1,1), (INDEX(FlowCalConstA,MATCH(Z821,FlowCalNumber,0),1,1)*AB823^INDEX(FlowCalConstB,MATCH(Z821,FlowCalNumber,0),1,1)&lt;INDEX(FlowCalHighSetting,MATCH(Z821,FlowCalNumber,0),1,1))),INDEX(FlowCalConstA,MATCH(Z821,FlowCalNumber,0),1,1)*AB823^INDEX(FlowCalConstB,MATCH(Z821,FlowCalNumber,0),1,1)," ")</f>
        <v>#REF!</v>
      </c>
      <c r="AD823" s="33"/>
      <c r="AE823" s="242">
        <f t="shared" ref="AE823:AE836" si="786">AE822</f>
        <v>0.1</v>
      </c>
      <c r="AF823" s="241" t="e">
        <f t="shared" ref="AF823:AF836" ca="1" si="787">AE823*$H823</f>
        <v>#REF!</v>
      </c>
      <c r="AG823" s="243" t="e">
        <f ca="1">IF(AND(INDEX(FlowCalConstA,MATCH(AD821,FlowCalNumber,0),1,1)*AF823^INDEX(FlowCalConstB,MATCH(AD821,FlowCalNumber,0),1,1)&gt;INDEX(FlowCalLowSetting,MATCH(AD821,FlowCalNumber,0),1,1), (INDEX(FlowCalConstA,MATCH(AD821,FlowCalNumber,0),1,1)*AF823^INDEX(FlowCalConstB,MATCH(AD821,FlowCalNumber,0),1,1)&lt;INDEX(FlowCalHighSetting,MATCH(AD821,FlowCalNumber,0),1,1))),INDEX(FlowCalConstA,MATCH(AD821,FlowCalNumber,0),1,1)*AF823^INDEX(FlowCalConstB,MATCH(AD821,FlowCalNumber,0),1,1)," ")</f>
        <v>#REF!</v>
      </c>
      <c r="AH823" s="33"/>
      <c r="AI823" s="242">
        <f t="shared" ref="AI823:AI836" si="788">AI822</f>
        <v>0.9</v>
      </c>
      <c r="AJ823" s="241" t="e">
        <f t="shared" ref="AJ823:AJ836" ca="1" si="789">AI823*$H823</f>
        <v>#REF!</v>
      </c>
      <c r="AK823" s="243" t="e">
        <f ca="1">IF(AND(INDEX(FlowCalConstA,MATCH(AH821,FlowCalNumber,0),1,1)*AJ823^INDEX(FlowCalConstB,MATCH(AH821,FlowCalNumber,0),1,1)&gt;INDEX(FlowCalLowSetting,MATCH(AH821,FlowCalNumber,0),1,1), (INDEX(FlowCalConstA,MATCH(AH821,FlowCalNumber,0),1,1)*AJ823^INDEX(FlowCalConstB,MATCH(AH821,FlowCalNumber,0),1,1)&lt;INDEX(FlowCalHighSetting,MATCH(AH821,FlowCalNumber,0),1,1))),INDEX(FlowCalConstA,MATCH(AH821,FlowCalNumber,0),1,1)*AJ823^INDEX(FlowCalConstB,MATCH(AH821,FlowCalNumber,0),1,1)," ")</f>
        <v>#REF!</v>
      </c>
      <c r="AL823" s="33"/>
      <c r="AM823" s="242"/>
      <c r="AN823" s="241"/>
      <c r="AO823" s="244"/>
      <c r="AQ823" s="242"/>
      <c r="AR823" s="241"/>
      <c r="AS823" s="244"/>
      <c r="AT823" s="33"/>
      <c r="AU823" s="242"/>
      <c r="AV823" s="241"/>
      <c r="AW823" s="244"/>
      <c r="AX823" s="33"/>
      <c r="AY823" s="242"/>
      <c r="AZ823" s="241"/>
      <c r="BA823" s="244"/>
      <c r="BB823" s="33"/>
      <c r="BC823" s="242"/>
      <c r="BD823" s="241"/>
      <c r="BE823" s="244"/>
      <c r="BF823" s="33"/>
      <c r="BG823" s="242"/>
      <c r="BH823" s="241"/>
      <c r="BI823" s="244"/>
      <c r="BJ823" s="33"/>
      <c r="BK823" s="242"/>
      <c r="BL823" s="241"/>
      <c r="BM823" s="244"/>
      <c r="BN823" s="33"/>
      <c r="BO823" s="242"/>
      <c r="BP823" s="241"/>
      <c r="BQ823" s="244"/>
      <c r="BR823" s="33"/>
      <c r="BS823" s="242"/>
      <c r="BT823" s="241"/>
      <c r="BU823" s="244"/>
      <c r="BV823" s="33"/>
      <c r="BW823" s="242"/>
      <c r="BX823" s="241"/>
      <c r="BY823" s="244"/>
      <c r="BZ823" s="33"/>
      <c r="CA823" s="242"/>
      <c r="CB823" s="241"/>
      <c r="CC823" s="244"/>
      <c r="CD823" s="243"/>
      <c r="CE823" s="243"/>
      <c r="CF823" s="243"/>
      <c r="CG823" s="243"/>
      <c r="CH823" s="243"/>
      <c r="CI823" s="243"/>
      <c r="CJ823" s="243"/>
      <c r="CK823" s="243"/>
      <c r="CL823" s="243"/>
      <c r="CM823" s="243"/>
      <c r="CN823" s="243"/>
      <c r="CO823" s="243"/>
      <c r="CP823" s="243"/>
      <c r="CQ823" s="243"/>
      <c r="CR823" s="243"/>
      <c r="CS823" s="243"/>
      <c r="CT823" s="243"/>
      <c r="CU823" s="243"/>
      <c r="CV823" s="243"/>
      <c r="CW823" s="243"/>
      <c r="CX823" s="243"/>
      <c r="CY823" s="243"/>
      <c r="CZ823" s="243"/>
      <c r="DA823" s="243"/>
      <c r="DB823" s="243"/>
      <c r="DC823" s="243"/>
      <c r="DD823" s="243"/>
      <c r="DE823" s="243"/>
      <c r="DF823" s="243"/>
      <c r="DG823" s="243"/>
      <c r="DH823" s="243"/>
      <c r="DI823" s="243"/>
      <c r="DJ823" s="243"/>
      <c r="DK823" s="243"/>
      <c r="DM823" s="242"/>
      <c r="DO823" s="243"/>
      <c r="DQ823" s="242"/>
      <c r="DS823" s="243"/>
      <c r="DU823" s="242"/>
      <c r="DW823" s="243"/>
      <c r="DY823" s="242"/>
      <c r="EA823" s="243"/>
    </row>
    <row r="824" spans="1:131">
      <c r="A824" s="20"/>
      <c r="B824" s="124" t="str">
        <f t="shared" si="774"/>
        <v/>
      </c>
      <c r="C824" s="235"/>
      <c r="D824" s="24">
        <f>'1% Wind'!$M$84</f>
        <v>20.5</v>
      </c>
      <c r="E824" s="90"/>
      <c r="F824" s="90"/>
      <c r="G824" s="79" t="e">
        <f ca="1">IF(I821=0.9743,$G823,MAX(G823/D823*D824,2))</f>
        <v>#REF!</v>
      </c>
      <c r="H824" s="121" t="e">
        <f t="shared" ca="1" si="775"/>
        <v>#REF!</v>
      </c>
      <c r="J824" s="33"/>
      <c r="K824" s="242">
        <f t="shared" si="776"/>
        <v>1</v>
      </c>
      <c r="L824" s="241" t="e">
        <f t="shared" ca="1" si="777"/>
        <v>#REF!</v>
      </c>
      <c r="M824" s="243" t="e">
        <f ca="1">IF(AND(INDEX(FlowCalConstA,MATCH(J821,FlowCalNumber,0),1,1)*L824^INDEX(FlowCalConstB,MATCH(J821,FlowCalNumber,0),1,1)&gt;INDEX(FlowCalLowSetting,MATCH(J821,FlowCalNumber,0),1,1), (INDEX(FlowCalConstA,MATCH(J821,FlowCalNumber,0),1,1)*L824^INDEX(FlowCalConstB,MATCH(J821,FlowCalNumber,0),1,1)&lt;INDEX(FlowCalHighSetting,MATCH(J821,FlowCalNumber,0),1,1))),INDEX(FlowCalConstA,MATCH(J821,FlowCalNumber,0),1,1)*L824^INDEX(FlowCalConstB,MATCH(J821,FlowCalNumber,0),1,1)," ")</f>
        <v>#REF!</v>
      </c>
      <c r="N824" s="33"/>
      <c r="O824" s="242">
        <f t="shared" si="778"/>
        <v>1</v>
      </c>
      <c r="P824" s="241" t="e">
        <f t="shared" ca="1" si="779"/>
        <v>#REF!</v>
      </c>
      <c r="Q824" s="243" t="e">
        <f ca="1">IF(AND(INDEX(FlowCalConstA,MATCH(N821,FlowCalNumber,0),1,1)*P824^INDEX(FlowCalConstB,MATCH(N821,FlowCalNumber,0),1,1)&gt;INDEX(FlowCalLowSetting,MATCH(N821,FlowCalNumber,0),1,1), (INDEX(FlowCalConstA,MATCH(N821,FlowCalNumber,0),1,1)*P824^INDEX(FlowCalConstB,MATCH(N821,FlowCalNumber,0),1,1)&lt;INDEX(FlowCalHighSetting,MATCH(N821,FlowCalNumber,0),1,1))),INDEX(FlowCalConstA,MATCH(N821,FlowCalNumber,0),1,1)*P824^INDEX(FlowCalConstB,MATCH(N821,FlowCalNumber,0),1,1)," ")</f>
        <v>#REF!</v>
      </c>
      <c r="R824" s="33"/>
      <c r="S824" s="242">
        <f t="shared" si="780"/>
        <v>1</v>
      </c>
      <c r="T824" s="241" t="e">
        <f t="shared" ca="1" si="781"/>
        <v>#REF!</v>
      </c>
      <c r="U824" s="244" t="e">
        <f ca="1">IF(AND(INDEX(FlowCalConstA,MATCH(R821,FlowCalNumber,0),1,1)*T824^INDEX(FlowCalConstB,MATCH(R821,FlowCalNumber,0),1,1)&gt;INDEX(FlowCalLowSetting,MATCH(R821,FlowCalNumber,0),1,1), (INDEX(FlowCalConstA,MATCH(R821,FlowCalNumber,0),1,1)*T824^INDEX(FlowCalConstB,MATCH(R821,FlowCalNumber,0),1,1)&lt;INDEX(FlowCalHighSetting,MATCH(R821,FlowCalNumber,0),1,1))),INDEX(FlowCalConstA,MATCH(R821,FlowCalNumber,0),1,1)*T824^INDEX(FlowCalConstB,MATCH(R821,FlowCalNumber,0),1,1)," ")</f>
        <v>#REF!</v>
      </c>
      <c r="V824" s="33"/>
      <c r="W824" s="242">
        <f t="shared" si="782"/>
        <v>0.1</v>
      </c>
      <c r="X824" s="241" t="e">
        <f t="shared" ca="1" si="783"/>
        <v>#REF!</v>
      </c>
      <c r="Y824" s="243" t="e">
        <f ca="1">IF(AND(INDEX(FlowCalConstA,MATCH(V821,FlowCalNumber,0),1,1)*X824^INDEX(FlowCalConstB,MATCH(V821,FlowCalNumber,0),1,1)&gt;INDEX(FlowCalLowSetting,MATCH(V821,FlowCalNumber,0),1,1), (INDEX(FlowCalConstA,MATCH(V821,FlowCalNumber,0),1,1)*X824^INDEX(FlowCalConstB,MATCH(V821,FlowCalNumber,0),1,1)&lt;INDEX(FlowCalHighSetting,MATCH(V821,FlowCalNumber,0),1,1))),INDEX(FlowCalConstA,MATCH(V821,FlowCalNumber,0),1,1)*X824^INDEX(FlowCalConstB,MATCH(V821,FlowCalNumber,0),1,1)," ")</f>
        <v>#REF!</v>
      </c>
      <c r="Z824" s="33"/>
      <c r="AA824" s="242">
        <f t="shared" si="784"/>
        <v>0.9</v>
      </c>
      <c r="AB824" s="241" t="e">
        <f t="shared" ca="1" si="785"/>
        <v>#REF!</v>
      </c>
      <c r="AC824" s="243" t="e">
        <f ca="1">IF(AND(INDEX(FlowCalConstA,MATCH(Z821,FlowCalNumber,0),1,1)*AB824^INDEX(FlowCalConstB,MATCH(Z821,FlowCalNumber,0),1,1)&gt;INDEX(FlowCalLowSetting,MATCH(Z821,FlowCalNumber,0),1,1), (INDEX(FlowCalConstA,MATCH(Z821,FlowCalNumber,0),1,1)*AB824^INDEX(FlowCalConstB,MATCH(Z821,FlowCalNumber,0),1,1)&lt;INDEX(FlowCalHighSetting,MATCH(Z821,FlowCalNumber,0),1,1))),INDEX(FlowCalConstA,MATCH(Z821,FlowCalNumber,0),1,1)*AB824^INDEX(FlowCalConstB,MATCH(Z821,FlowCalNumber,0),1,1)," ")</f>
        <v>#REF!</v>
      </c>
      <c r="AD824" s="33"/>
      <c r="AE824" s="242">
        <f t="shared" si="786"/>
        <v>0.1</v>
      </c>
      <c r="AF824" s="241" t="e">
        <f t="shared" ca="1" si="787"/>
        <v>#REF!</v>
      </c>
      <c r="AG824" s="243" t="e">
        <f ca="1">IF(AND(INDEX(FlowCalConstA,MATCH(AD821,FlowCalNumber,0),1,1)*AF824^INDEX(FlowCalConstB,MATCH(AD821,FlowCalNumber,0),1,1)&gt;INDEX(FlowCalLowSetting,MATCH(AD821,FlowCalNumber,0),1,1), (INDEX(FlowCalConstA,MATCH(AD821,FlowCalNumber,0),1,1)*AF824^INDEX(FlowCalConstB,MATCH(AD821,FlowCalNumber,0),1,1)&lt;INDEX(FlowCalHighSetting,MATCH(AD821,FlowCalNumber,0),1,1))),INDEX(FlowCalConstA,MATCH(AD821,FlowCalNumber,0),1,1)*AF824^INDEX(FlowCalConstB,MATCH(AD821,FlowCalNumber,0),1,1)," ")</f>
        <v>#REF!</v>
      </c>
      <c r="AH824" s="33"/>
      <c r="AI824" s="242">
        <f t="shared" si="788"/>
        <v>0.9</v>
      </c>
      <c r="AJ824" s="241" t="e">
        <f t="shared" ca="1" si="789"/>
        <v>#REF!</v>
      </c>
      <c r="AK824" s="243" t="e">
        <f ca="1">IF(AND(INDEX(FlowCalConstA,MATCH(AH821,FlowCalNumber,0),1,1)*AJ824^INDEX(FlowCalConstB,MATCH(AH821,FlowCalNumber,0),1,1)&gt;INDEX(FlowCalLowSetting,MATCH(AH821,FlowCalNumber,0),1,1), (INDEX(FlowCalConstA,MATCH(AH821,FlowCalNumber,0),1,1)*AJ824^INDEX(FlowCalConstB,MATCH(AH821,FlowCalNumber,0),1,1)&lt;INDEX(FlowCalHighSetting,MATCH(AH821,FlowCalNumber,0),1,1))),INDEX(FlowCalConstA,MATCH(AH821,FlowCalNumber,0),1,1)*AJ824^INDEX(FlowCalConstB,MATCH(AH821,FlowCalNumber,0),1,1)," ")</f>
        <v>#REF!</v>
      </c>
      <c r="AL824" s="33"/>
      <c r="AM824" s="242"/>
      <c r="AN824" s="241"/>
      <c r="AO824" s="244"/>
      <c r="AQ824" s="242"/>
      <c r="AR824" s="241"/>
      <c r="AS824" s="244"/>
      <c r="AT824" s="33"/>
      <c r="AU824" s="242"/>
      <c r="AV824" s="241"/>
      <c r="AW824" s="244"/>
      <c r="AX824" s="33"/>
      <c r="AY824" s="242"/>
      <c r="AZ824" s="241"/>
      <c r="BA824" s="244"/>
      <c r="BB824" s="33"/>
      <c r="BC824" s="242"/>
      <c r="BD824" s="241"/>
      <c r="BE824" s="244"/>
      <c r="BF824" s="33"/>
      <c r="BG824" s="242"/>
      <c r="BH824" s="241"/>
      <c r="BI824" s="244"/>
      <c r="BJ824" s="33"/>
      <c r="BK824" s="242"/>
      <c r="BL824" s="241"/>
      <c r="BM824" s="244"/>
      <c r="BN824" s="33"/>
      <c r="BO824" s="242"/>
      <c r="BP824" s="241"/>
      <c r="BQ824" s="244"/>
      <c r="BR824" s="33"/>
      <c r="BS824" s="242"/>
      <c r="BT824" s="241"/>
      <c r="BU824" s="244"/>
      <c r="BV824" s="33"/>
      <c r="BW824" s="242"/>
      <c r="BX824" s="241"/>
      <c r="BY824" s="244"/>
      <c r="BZ824" s="33"/>
      <c r="CA824" s="242"/>
      <c r="CB824" s="241"/>
      <c r="CC824" s="244"/>
      <c r="CD824" s="243"/>
      <c r="CE824" s="243"/>
      <c r="CF824" s="243"/>
      <c r="CG824" s="243"/>
      <c r="CH824" s="243"/>
      <c r="CI824" s="243"/>
      <c r="CJ824" s="243"/>
      <c r="CK824" s="243"/>
      <c r="CL824" s="243"/>
      <c r="CM824" s="243"/>
      <c r="CN824" s="243"/>
      <c r="CO824" s="243"/>
      <c r="CP824" s="243"/>
      <c r="CQ824" s="243"/>
      <c r="CR824" s="243"/>
      <c r="CS824" s="243"/>
      <c r="CT824" s="243"/>
      <c r="CU824" s="243"/>
      <c r="CV824" s="243"/>
      <c r="CW824" s="243"/>
      <c r="CX824" s="243"/>
      <c r="CY824" s="243"/>
      <c r="CZ824" s="243"/>
      <c r="DA824" s="243"/>
      <c r="DB824" s="243"/>
      <c r="DC824" s="243"/>
      <c r="DD824" s="243"/>
      <c r="DE824" s="243"/>
      <c r="DF824" s="243"/>
      <c r="DG824" s="243"/>
      <c r="DH824" s="243"/>
      <c r="DI824" s="243"/>
      <c r="DJ824" s="243"/>
      <c r="DK824" s="243"/>
      <c r="DM824" s="242"/>
      <c r="DO824" s="243"/>
      <c r="DQ824" s="242"/>
      <c r="DS824" s="243"/>
      <c r="DU824" s="242"/>
      <c r="DW824" s="243"/>
      <c r="DY824" s="242"/>
      <c r="EA824" s="243"/>
    </row>
    <row r="825" spans="1:131">
      <c r="A825" s="20"/>
      <c r="B825" s="124" t="str">
        <f t="shared" si="774"/>
        <v/>
      </c>
      <c r="C825" s="235"/>
      <c r="D825" s="24">
        <f>'1% Wind'!$M$85</f>
        <v>17.8</v>
      </c>
      <c r="E825" s="90"/>
      <c r="F825" s="90"/>
      <c r="G825" s="79" t="e">
        <f ca="1">IF(I821=0.9743,$G824,MAX(G824/D824*D825,2))</f>
        <v>#REF!</v>
      </c>
      <c r="H825" s="121" t="e">
        <f t="shared" ca="1" si="775"/>
        <v>#REF!</v>
      </c>
      <c r="J825" s="33"/>
      <c r="K825" s="242">
        <f t="shared" si="776"/>
        <v>1</v>
      </c>
      <c r="L825" s="241" t="e">
        <f t="shared" ca="1" si="777"/>
        <v>#REF!</v>
      </c>
      <c r="M825" s="243" t="e">
        <f ca="1">IF(AND(INDEX(FlowCalConstA,MATCH(J821,FlowCalNumber,0),1,1)*L825^INDEX(FlowCalConstB,MATCH(J821,FlowCalNumber,0),1,1)&gt;INDEX(FlowCalLowSetting,MATCH(J821,FlowCalNumber,0),1,1), (INDEX(FlowCalConstA,MATCH(J821,FlowCalNumber,0),1,1)*L825^INDEX(FlowCalConstB,MATCH(J821,FlowCalNumber,0),1,1)&lt;INDEX(FlowCalHighSetting,MATCH(J821,FlowCalNumber,0),1,1))),INDEX(FlowCalConstA,MATCH(J821,FlowCalNumber,0),1,1)*L825^INDEX(FlowCalConstB,MATCH(J821,FlowCalNumber,0),1,1)," ")</f>
        <v>#REF!</v>
      </c>
      <c r="N825" s="33"/>
      <c r="O825" s="242">
        <f t="shared" si="778"/>
        <v>1</v>
      </c>
      <c r="P825" s="241" t="e">
        <f t="shared" ca="1" si="779"/>
        <v>#REF!</v>
      </c>
      <c r="Q825" s="243" t="e">
        <f ca="1">IF(AND(INDEX(FlowCalConstA,MATCH(N821,FlowCalNumber,0),1,1)*P825^INDEX(FlowCalConstB,MATCH(N821,FlowCalNumber,0),1,1)&gt;INDEX(FlowCalLowSetting,MATCH(N821,FlowCalNumber,0),1,1), (INDEX(FlowCalConstA,MATCH(N821,FlowCalNumber,0),1,1)*P825^INDEX(FlowCalConstB,MATCH(N821,FlowCalNumber,0),1,1)&lt;INDEX(FlowCalHighSetting,MATCH(N821,FlowCalNumber,0),1,1))),INDEX(FlowCalConstA,MATCH(N821,FlowCalNumber,0),1,1)*P825^INDEX(FlowCalConstB,MATCH(N821,FlowCalNumber,0),1,1)," ")</f>
        <v>#REF!</v>
      </c>
      <c r="R825" s="33"/>
      <c r="S825" s="242">
        <f t="shared" si="780"/>
        <v>1</v>
      </c>
      <c r="T825" s="241" t="e">
        <f t="shared" ca="1" si="781"/>
        <v>#REF!</v>
      </c>
      <c r="U825" s="244" t="e">
        <f ca="1">IF(AND(INDEX(FlowCalConstA,MATCH(R821,FlowCalNumber,0),1,1)*T825^INDEX(FlowCalConstB,MATCH(R821,FlowCalNumber,0),1,1)&gt;INDEX(FlowCalLowSetting,MATCH(R821,FlowCalNumber,0),1,1), (INDEX(FlowCalConstA,MATCH(R821,FlowCalNumber,0),1,1)*T825^INDEX(FlowCalConstB,MATCH(R821,FlowCalNumber,0),1,1)&lt;INDEX(FlowCalHighSetting,MATCH(R821,FlowCalNumber,0),1,1))),INDEX(FlowCalConstA,MATCH(R821,FlowCalNumber,0),1,1)*T825^INDEX(FlowCalConstB,MATCH(R821,FlowCalNumber,0),1,1)," ")</f>
        <v>#REF!</v>
      </c>
      <c r="V825" s="33"/>
      <c r="W825" s="242">
        <f t="shared" si="782"/>
        <v>0.1</v>
      </c>
      <c r="X825" s="241" t="e">
        <f t="shared" ca="1" si="783"/>
        <v>#REF!</v>
      </c>
      <c r="Y825" s="243" t="e">
        <f ca="1">IF(AND(INDEX(FlowCalConstA,MATCH(V821,FlowCalNumber,0),1,1)*X825^INDEX(FlowCalConstB,MATCH(V821,FlowCalNumber,0),1,1)&gt;INDEX(FlowCalLowSetting,MATCH(V821,FlowCalNumber,0),1,1), (INDEX(FlowCalConstA,MATCH(V821,FlowCalNumber,0),1,1)*X825^INDEX(FlowCalConstB,MATCH(V821,FlowCalNumber,0),1,1)&lt;INDEX(FlowCalHighSetting,MATCH(V821,FlowCalNumber,0),1,1))),INDEX(FlowCalConstA,MATCH(V821,FlowCalNumber,0),1,1)*X825^INDEX(FlowCalConstB,MATCH(V821,FlowCalNumber,0),1,1)," ")</f>
        <v>#REF!</v>
      </c>
      <c r="Z825" s="33"/>
      <c r="AA825" s="242">
        <f t="shared" si="784"/>
        <v>0.9</v>
      </c>
      <c r="AB825" s="241" t="e">
        <f t="shared" ca="1" si="785"/>
        <v>#REF!</v>
      </c>
      <c r="AC825" s="243" t="e">
        <f ca="1">IF(AND(INDEX(FlowCalConstA,MATCH(Z821,FlowCalNumber,0),1,1)*AB825^INDEX(FlowCalConstB,MATCH(Z821,FlowCalNumber,0),1,1)&gt;INDEX(FlowCalLowSetting,MATCH(Z821,FlowCalNumber,0),1,1), (INDEX(FlowCalConstA,MATCH(Z821,FlowCalNumber,0),1,1)*AB825^INDEX(FlowCalConstB,MATCH(Z821,FlowCalNumber,0),1,1)&lt;INDEX(FlowCalHighSetting,MATCH(Z821,FlowCalNumber,0),1,1))),INDEX(FlowCalConstA,MATCH(Z821,FlowCalNumber,0),1,1)*AB825^INDEX(FlowCalConstB,MATCH(Z821,FlowCalNumber,0),1,1)," ")</f>
        <v>#REF!</v>
      </c>
      <c r="AD825" s="33"/>
      <c r="AE825" s="242">
        <f t="shared" si="786"/>
        <v>0.1</v>
      </c>
      <c r="AF825" s="241" t="e">
        <f t="shared" ca="1" si="787"/>
        <v>#REF!</v>
      </c>
      <c r="AG825" s="243" t="e">
        <f ca="1">IF(AND(INDEX(FlowCalConstA,MATCH(AD821,FlowCalNumber,0),1,1)*AF825^INDEX(FlowCalConstB,MATCH(AD821,FlowCalNumber,0),1,1)&gt;INDEX(FlowCalLowSetting,MATCH(AD821,FlowCalNumber,0),1,1), (INDEX(FlowCalConstA,MATCH(AD821,FlowCalNumber,0),1,1)*AF825^INDEX(FlowCalConstB,MATCH(AD821,FlowCalNumber,0),1,1)&lt;INDEX(FlowCalHighSetting,MATCH(AD821,FlowCalNumber,0),1,1))),INDEX(FlowCalConstA,MATCH(AD821,FlowCalNumber,0),1,1)*AF825^INDEX(FlowCalConstB,MATCH(AD821,FlowCalNumber,0),1,1)," ")</f>
        <v>#REF!</v>
      </c>
      <c r="AH825" s="33"/>
      <c r="AI825" s="242">
        <f t="shared" si="788"/>
        <v>0.9</v>
      </c>
      <c r="AJ825" s="241" t="e">
        <f t="shared" ca="1" si="789"/>
        <v>#REF!</v>
      </c>
      <c r="AK825" s="243" t="e">
        <f ca="1">IF(AND(INDEX(FlowCalConstA,MATCH(AH821,FlowCalNumber,0),1,1)*AJ825^INDEX(FlowCalConstB,MATCH(AH821,FlowCalNumber,0),1,1)&gt;INDEX(FlowCalLowSetting,MATCH(AH821,FlowCalNumber,0),1,1), (INDEX(FlowCalConstA,MATCH(AH821,FlowCalNumber,0),1,1)*AJ825^INDEX(FlowCalConstB,MATCH(AH821,FlowCalNumber,0),1,1)&lt;INDEX(FlowCalHighSetting,MATCH(AH821,FlowCalNumber,0),1,1))),INDEX(FlowCalConstA,MATCH(AH821,FlowCalNumber,0),1,1)*AJ825^INDEX(FlowCalConstB,MATCH(AH821,FlowCalNumber,0),1,1)," ")</f>
        <v>#REF!</v>
      </c>
      <c r="AL825" s="33"/>
      <c r="AM825" s="242"/>
      <c r="AN825" s="241"/>
      <c r="AO825" s="244"/>
      <c r="AQ825" s="242"/>
      <c r="AR825" s="241"/>
      <c r="AS825" s="244"/>
      <c r="AT825" s="33"/>
      <c r="AU825" s="242"/>
      <c r="AV825" s="241"/>
      <c r="AW825" s="244"/>
      <c r="AX825" s="33"/>
      <c r="AY825" s="242"/>
      <c r="AZ825" s="241"/>
      <c r="BA825" s="244"/>
      <c r="BB825" s="33"/>
      <c r="BC825" s="242"/>
      <c r="BD825" s="241"/>
      <c r="BE825" s="244"/>
      <c r="BF825" s="33"/>
      <c r="BG825" s="242"/>
      <c r="BH825" s="241"/>
      <c r="BI825" s="244"/>
      <c r="BJ825" s="33"/>
      <c r="BK825" s="242"/>
      <c r="BL825" s="241"/>
      <c r="BM825" s="244"/>
      <c r="BN825" s="33"/>
      <c r="BO825" s="242"/>
      <c r="BP825" s="241"/>
      <c r="BQ825" s="244"/>
      <c r="BR825" s="33"/>
      <c r="BS825" s="242"/>
      <c r="BT825" s="241"/>
      <c r="BU825" s="244"/>
      <c r="BV825" s="33"/>
      <c r="BW825" s="242"/>
      <c r="BX825" s="241"/>
      <c r="BY825" s="244"/>
      <c r="BZ825" s="33"/>
      <c r="CA825" s="242"/>
      <c r="CB825" s="241"/>
      <c r="CC825" s="244"/>
      <c r="CD825" s="243"/>
      <c r="CE825" s="243"/>
      <c r="CF825" s="243"/>
      <c r="CG825" s="243"/>
      <c r="CH825" s="243"/>
      <c r="CI825" s="243"/>
      <c r="CJ825" s="243"/>
      <c r="CK825" s="243"/>
      <c r="CL825" s="243"/>
      <c r="CM825" s="243"/>
      <c r="CN825" s="243"/>
      <c r="CO825" s="243"/>
      <c r="CP825" s="243"/>
      <c r="CQ825" s="243"/>
      <c r="CR825" s="243"/>
      <c r="CS825" s="243"/>
      <c r="CT825" s="243"/>
      <c r="CU825" s="243"/>
      <c r="CV825" s="243"/>
      <c r="CW825" s="243"/>
      <c r="CX825" s="243"/>
      <c r="CY825" s="243"/>
      <c r="CZ825" s="243"/>
      <c r="DA825" s="243"/>
      <c r="DB825" s="243"/>
      <c r="DC825" s="243"/>
      <c r="DD825" s="243"/>
      <c r="DE825" s="243"/>
      <c r="DF825" s="243"/>
      <c r="DG825" s="243"/>
      <c r="DH825" s="243"/>
      <c r="DI825" s="243"/>
      <c r="DJ825" s="243"/>
      <c r="DK825" s="243"/>
      <c r="DM825" s="242"/>
      <c r="DO825" s="243"/>
      <c r="DQ825" s="242"/>
      <c r="DS825" s="243"/>
      <c r="DU825" s="242"/>
      <c r="DW825" s="243"/>
      <c r="DY825" s="242"/>
      <c r="EA825" s="243"/>
    </row>
    <row r="826" spans="1:131">
      <c r="A826" s="20"/>
      <c r="B826" s="124" t="str">
        <f t="shared" si="774"/>
        <v/>
      </c>
      <c r="C826" s="235"/>
      <c r="D826" s="24">
        <f>'1% Wind'!$M$86</f>
        <v>15.5</v>
      </c>
      <c r="E826" s="90"/>
      <c r="F826" s="90"/>
      <c r="G826" s="79" t="e">
        <f ca="1">IF(I821=0.9743,$G825,MAX(G825/D825*D826,2))</f>
        <v>#REF!</v>
      </c>
      <c r="H826" s="121" t="e">
        <f t="shared" ca="1" si="775"/>
        <v>#REF!</v>
      </c>
      <c r="J826" s="33"/>
      <c r="K826" s="242">
        <f t="shared" si="776"/>
        <v>1</v>
      </c>
      <c r="L826" s="241" t="e">
        <f t="shared" ca="1" si="777"/>
        <v>#REF!</v>
      </c>
      <c r="M826" s="243" t="e">
        <f ca="1">IF(AND(INDEX(FlowCalConstA,MATCH(J821,FlowCalNumber,0),1,1)*L826^INDEX(FlowCalConstB,MATCH(J821,FlowCalNumber,0),1,1)&gt;INDEX(FlowCalLowSetting,MATCH(J821,FlowCalNumber,0),1,1), (INDEX(FlowCalConstA,MATCH(J821,FlowCalNumber,0),1,1)*L826^INDEX(FlowCalConstB,MATCH(J821,FlowCalNumber,0),1,1)&lt;INDEX(FlowCalHighSetting,MATCH(J821,FlowCalNumber,0),1,1))),INDEX(FlowCalConstA,MATCH(J821,FlowCalNumber,0),1,1)*L826^INDEX(FlowCalConstB,MATCH(J821,FlowCalNumber,0),1,1)," ")</f>
        <v>#REF!</v>
      </c>
      <c r="N826" s="33"/>
      <c r="O826" s="242">
        <f t="shared" si="778"/>
        <v>1</v>
      </c>
      <c r="P826" s="241" t="e">
        <f t="shared" ca="1" si="779"/>
        <v>#REF!</v>
      </c>
      <c r="Q826" s="243" t="e">
        <f ca="1">IF(AND(INDEX(FlowCalConstA,MATCH(N821,FlowCalNumber,0),1,1)*P826^INDEX(FlowCalConstB,MATCH(N821,FlowCalNumber,0),1,1)&gt;INDEX(FlowCalLowSetting,MATCH(N821,FlowCalNumber,0),1,1), (INDEX(FlowCalConstA,MATCH(N821,FlowCalNumber,0),1,1)*P826^INDEX(FlowCalConstB,MATCH(N821,FlowCalNumber,0),1,1)&lt;INDEX(FlowCalHighSetting,MATCH(N821,FlowCalNumber,0),1,1))),INDEX(FlowCalConstA,MATCH(N821,FlowCalNumber,0),1,1)*P826^INDEX(FlowCalConstB,MATCH(N821,FlowCalNumber,0),1,1)," ")</f>
        <v>#REF!</v>
      </c>
      <c r="R826" s="33"/>
      <c r="S826" s="242">
        <f t="shared" si="780"/>
        <v>1</v>
      </c>
      <c r="T826" s="241" t="e">
        <f t="shared" ca="1" si="781"/>
        <v>#REF!</v>
      </c>
      <c r="U826" s="244" t="e">
        <f ca="1">IF(AND(INDEX(FlowCalConstA,MATCH(R821,FlowCalNumber,0),1,1)*T826^INDEX(FlowCalConstB,MATCH(R821,FlowCalNumber,0),1,1)&gt;INDEX(FlowCalLowSetting,MATCH(R821,FlowCalNumber,0),1,1), (INDEX(FlowCalConstA,MATCH(R821,FlowCalNumber,0),1,1)*T826^INDEX(FlowCalConstB,MATCH(R821,FlowCalNumber,0),1,1)&lt;INDEX(FlowCalHighSetting,MATCH(R821,FlowCalNumber,0),1,1))),INDEX(FlowCalConstA,MATCH(R821,FlowCalNumber,0),1,1)*T826^INDEX(FlowCalConstB,MATCH(R821,FlowCalNumber,0),1,1)," ")</f>
        <v>#REF!</v>
      </c>
      <c r="V826" s="33"/>
      <c r="W826" s="242">
        <f t="shared" si="782"/>
        <v>0.1</v>
      </c>
      <c r="X826" s="241" t="e">
        <f t="shared" ca="1" si="783"/>
        <v>#REF!</v>
      </c>
      <c r="Y826" s="243" t="e">
        <f ca="1">IF(AND(INDEX(FlowCalConstA,MATCH(V821,FlowCalNumber,0),1,1)*X826^INDEX(FlowCalConstB,MATCH(V821,FlowCalNumber,0),1,1)&gt;INDEX(FlowCalLowSetting,MATCH(V821,FlowCalNumber,0),1,1), (INDEX(FlowCalConstA,MATCH(V821,FlowCalNumber,0),1,1)*X826^INDEX(FlowCalConstB,MATCH(V821,FlowCalNumber,0),1,1)&lt;INDEX(FlowCalHighSetting,MATCH(V821,FlowCalNumber,0),1,1))),INDEX(FlowCalConstA,MATCH(V821,FlowCalNumber,0),1,1)*X826^INDEX(FlowCalConstB,MATCH(V821,FlowCalNumber,0),1,1)," ")</f>
        <v>#REF!</v>
      </c>
      <c r="Z826" s="33"/>
      <c r="AA826" s="242">
        <f t="shared" si="784"/>
        <v>0.9</v>
      </c>
      <c r="AB826" s="241" t="e">
        <f t="shared" ca="1" si="785"/>
        <v>#REF!</v>
      </c>
      <c r="AC826" s="243" t="e">
        <f ca="1">IF(AND(INDEX(FlowCalConstA,MATCH(Z821,FlowCalNumber,0),1,1)*AB826^INDEX(FlowCalConstB,MATCH(Z821,FlowCalNumber,0),1,1)&gt;INDEX(FlowCalLowSetting,MATCH(Z821,FlowCalNumber,0),1,1), (INDEX(FlowCalConstA,MATCH(Z821,FlowCalNumber,0),1,1)*AB826^INDEX(FlowCalConstB,MATCH(Z821,FlowCalNumber,0),1,1)&lt;INDEX(FlowCalHighSetting,MATCH(Z821,FlowCalNumber,0),1,1))),INDEX(FlowCalConstA,MATCH(Z821,FlowCalNumber,0),1,1)*AB826^INDEX(FlowCalConstB,MATCH(Z821,FlowCalNumber,0),1,1)," ")</f>
        <v>#REF!</v>
      </c>
      <c r="AD826" s="33"/>
      <c r="AE826" s="242">
        <f t="shared" si="786"/>
        <v>0.1</v>
      </c>
      <c r="AF826" s="241" t="e">
        <f t="shared" ca="1" si="787"/>
        <v>#REF!</v>
      </c>
      <c r="AG826" s="243" t="e">
        <f ca="1">IF(AND(INDEX(FlowCalConstA,MATCH(AD821,FlowCalNumber,0),1,1)*AF826^INDEX(FlowCalConstB,MATCH(AD821,FlowCalNumber,0),1,1)&gt;INDEX(FlowCalLowSetting,MATCH(AD821,FlowCalNumber,0),1,1), (INDEX(FlowCalConstA,MATCH(AD821,FlowCalNumber,0),1,1)*AF826^INDEX(FlowCalConstB,MATCH(AD821,FlowCalNumber,0),1,1)&lt;INDEX(FlowCalHighSetting,MATCH(AD821,FlowCalNumber,0),1,1))),INDEX(FlowCalConstA,MATCH(AD821,FlowCalNumber,0),1,1)*AF826^INDEX(FlowCalConstB,MATCH(AD821,FlowCalNumber,0),1,1)," ")</f>
        <v>#REF!</v>
      </c>
      <c r="AH826" s="33"/>
      <c r="AI826" s="242">
        <f t="shared" si="788"/>
        <v>0.9</v>
      </c>
      <c r="AJ826" s="241" t="e">
        <f t="shared" ca="1" si="789"/>
        <v>#REF!</v>
      </c>
      <c r="AK826" s="243" t="e">
        <f ca="1">IF(AND(INDEX(FlowCalConstA,MATCH(AH821,FlowCalNumber,0),1,1)*AJ826^INDEX(FlowCalConstB,MATCH(AH821,FlowCalNumber,0),1,1)&gt;INDEX(FlowCalLowSetting,MATCH(AH821,FlowCalNumber,0),1,1), (INDEX(FlowCalConstA,MATCH(AH821,FlowCalNumber,0),1,1)*AJ826^INDEX(FlowCalConstB,MATCH(AH821,FlowCalNumber,0),1,1)&lt;INDEX(FlowCalHighSetting,MATCH(AH821,FlowCalNumber,0),1,1))),INDEX(FlowCalConstA,MATCH(AH821,FlowCalNumber,0),1,1)*AJ826^INDEX(FlowCalConstB,MATCH(AH821,FlowCalNumber,0),1,1)," ")</f>
        <v>#REF!</v>
      </c>
      <c r="AL826" s="33"/>
      <c r="AM826" s="242"/>
      <c r="AN826" s="241"/>
      <c r="AO826" s="244"/>
      <c r="AQ826" s="242"/>
      <c r="AR826" s="241"/>
      <c r="AS826" s="244"/>
      <c r="AT826" s="33"/>
      <c r="AU826" s="242"/>
      <c r="AV826" s="241"/>
      <c r="AW826" s="244"/>
      <c r="AX826" s="33"/>
      <c r="AY826" s="242"/>
      <c r="AZ826" s="241"/>
      <c r="BA826" s="244"/>
      <c r="BB826" s="33"/>
      <c r="BC826" s="242"/>
      <c r="BD826" s="241"/>
      <c r="BE826" s="244"/>
      <c r="BF826" s="33"/>
      <c r="BG826" s="242"/>
      <c r="BH826" s="241"/>
      <c r="BI826" s="244"/>
      <c r="BJ826" s="33"/>
      <c r="BK826" s="242"/>
      <c r="BL826" s="241"/>
      <c r="BM826" s="244"/>
      <c r="BN826" s="33"/>
      <c r="BO826" s="242"/>
      <c r="BP826" s="241"/>
      <c r="BQ826" s="244"/>
      <c r="BR826" s="33"/>
      <c r="BS826" s="242"/>
      <c r="BT826" s="241"/>
      <c r="BU826" s="244"/>
      <c r="BV826" s="33"/>
      <c r="BW826" s="242"/>
      <c r="BX826" s="241"/>
      <c r="BY826" s="244"/>
      <c r="BZ826" s="33"/>
      <c r="CA826" s="242"/>
      <c r="CB826" s="241"/>
      <c r="CC826" s="244"/>
      <c r="CD826" s="243"/>
      <c r="CE826" s="243"/>
      <c r="CF826" s="243"/>
      <c r="CG826" s="243"/>
      <c r="CH826" s="243"/>
      <c r="CI826" s="243"/>
      <c r="CJ826" s="243"/>
      <c r="CK826" s="243"/>
      <c r="CL826" s="243"/>
      <c r="CM826" s="243"/>
      <c r="CN826" s="243"/>
      <c r="CO826" s="243"/>
      <c r="CP826" s="243"/>
      <c r="CQ826" s="243"/>
      <c r="CR826" s="243"/>
      <c r="CS826" s="243"/>
      <c r="CT826" s="243"/>
      <c r="CU826" s="243"/>
      <c r="CV826" s="243"/>
      <c r="CW826" s="243"/>
      <c r="CX826" s="243"/>
      <c r="CY826" s="243"/>
      <c r="CZ826" s="243"/>
      <c r="DA826" s="243"/>
      <c r="DB826" s="243"/>
      <c r="DC826" s="243"/>
      <c r="DD826" s="243"/>
      <c r="DE826" s="243"/>
      <c r="DF826" s="243"/>
      <c r="DG826" s="243"/>
      <c r="DH826" s="243"/>
      <c r="DI826" s="243"/>
      <c r="DJ826" s="243"/>
      <c r="DK826" s="243"/>
      <c r="DM826" s="242"/>
      <c r="DO826" s="243"/>
      <c r="DQ826" s="242"/>
      <c r="DS826" s="243"/>
      <c r="DU826" s="242"/>
      <c r="DW826" s="243"/>
      <c r="DY826" s="242"/>
      <c r="EA826" s="243"/>
    </row>
    <row r="827" spans="1:131">
      <c r="A827" s="20"/>
      <c r="B827" s="124" t="str">
        <f t="shared" si="774"/>
        <v/>
      </c>
      <c r="C827" s="235"/>
      <c r="D827" s="24">
        <f>'1% Wind'!$M$87</f>
        <v>13.5</v>
      </c>
      <c r="E827" s="90"/>
      <c r="F827" s="90"/>
      <c r="G827" s="79" t="e">
        <f ca="1">IF(I821=0.9743,$G826,MAX(G826/D826*D827,2))</f>
        <v>#REF!</v>
      </c>
      <c r="H827" s="121" t="e">
        <f t="shared" ca="1" si="775"/>
        <v>#REF!</v>
      </c>
      <c r="J827" s="33"/>
      <c r="K827" s="242">
        <f t="shared" si="776"/>
        <v>1</v>
      </c>
      <c r="L827" s="241" t="e">
        <f t="shared" ca="1" si="777"/>
        <v>#REF!</v>
      </c>
      <c r="M827" s="243" t="e">
        <f ca="1">IF(AND(INDEX(FlowCalConstA,MATCH(J821,FlowCalNumber,0),1,1)*L827^INDEX(FlowCalConstB,MATCH(J821,FlowCalNumber,0),1,1)&gt;INDEX(FlowCalLowSetting,MATCH(J821,FlowCalNumber,0),1,1), (INDEX(FlowCalConstA,MATCH(J821,FlowCalNumber,0),1,1)*L827^INDEX(FlowCalConstB,MATCH(J821,FlowCalNumber,0),1,1)&lt;INDEX(FlowCalHighSetting,MATCH(J821,FlowCalNumber,0),1,1))),INDEX(FlowCalConstA,MATCH(J821,FlowCalNumber,0),1,1)*L827^INDEX(FlowCalConstB,MATCH(J821,FlowCalNumber,0),1,1)," ")</f>
        <v>#REF!</v>
      </c>
      <c r="N827" s="33"/>
      <c r="O827" s="242">
        <f t="shared" si="778"/>
        <v>1</v>
      </c>
      <c r="P827" s="241" t="e">
        <f t="shared" ca="1" si="779"/>
        <v>#REF!</v>
      </c>
      <c r="Q827" s="243" t="e">
        <f ca="1">IF(AND(INDEX(FlowCalConstA,MATCH(N821,FlowCalNumber,0),1,1)*P827^INDEX(FlowCalConstB,MATCH(N821,FlowCalNumber,0),1,1)&gt;INDEX(FlowCalLowSetting,MATCH(N821,FlowCalNumber,0),1,1), (INDEX(FlowCalConstA,MATCH(N821,FlowCalNumber,0),1,1)*P827^INDEX(FlowCalConstB,MATCH(N821,FlowCalNumber,0),1,1)&lt;INDEX(FlowCalHighSetting,MATCH(N821,FlowCalNumber,0),1,1))),INDEX(FlowCalConstA,MATCH(N821,FlowCalNumber,0),1,1)*P827^INDEX(FlowCalConstB,MATCH(N821,FlowCalNumber,0),1,1)," ")</f>
        <v>#REF!</v>
      </c>
      <c r="R827" s="33"/>
      <c r="S827" s="242">
        <f t="shared" si="780"/>
        <v>1</v>
      </c>
      <c r="T827" s="241" t="e">
        <f t="shared" ca="1" si="781"/>
        <v>#REF!</v>
      </c>
      <c r="U827" s="244" t="e">
        <f ca="1">IF(AND(INDEX(FlowCalConstA,MATCH(R821,FlowCalNumber,0),1,1)*T827^INDEX(FlowCalConstB,MATCH(R821,FlowCalNumber,0),1,1)&gt;INDEX(FlowCalLowSetting,MATCH(R821,FlowCalNumber,0),1,1), (INDEX(FlowCalConstA,MATCH(R821,FlowCalNumber,0),1,1)*T827^INDEX(FlowCalConstB,MATCH(R821,FlowCalNumber,0),1,1)&lt;INDEX(FlowCalHighSetting,MATCH(R821,FlowCalNumber,0),1,1))),INDEX(FlowCalConstA,MATCH(R821,FlowCalNumber,0),1,1)*T827^INDEX(FlowCalConstB,MATCH(R821,FlowCalNumber,0),1,1)," ")</f>
        <v>#REF!</v>
      </c>
      <c r="V827" s="33"/>
      <c r="W827" s="242">
        <f t="shared" si="782"/>
        <v>0.1</v>
      </c>
      <c r="X827" s="241" t="e">
        <f t="shared" ca="1" si="783"/>
        <v>#REF!</v>
      </c>
      <c r="Y827" s="243" t="e">
        <f ca="1">IF(AND(INDEX(FlowCalConstA,MATCH(V821,FlowCalNumber,0),1,1)*X827^INDEX(FlowCalConstB,MATCH(V821,FlowCalNumber,0),1,1)&gt;INDEX(FlowCalLowSetting,MATCH(V821,FlowCalNumber,0),1,1), (INDEX(FlowCalConstA,MATCH(V821,FlowCalNumber,0),1,1)*X827^INDEX(FlowCalConstB,MATCH(V821,FlowCalNumber,0),1,1)&lt;INDEX(FlowCalHighSetting,MATCH(V821,FlowCalNumber,0),1,1))),INDEX(FlowCalConstA,MATCH(V821,FlowCalNumber,0),1,1)*X827^INDEX(FlowCalConstB,MATCH(V821,FlowCalNumber,0),1,1)," ")</f>
        <v>#REF!</v>
      </c>
      <c r="Z827" s="33"/>
      <c r="AA827" s="242">
        <f t="shared" si="784"/>
        <v>0.9</v>
      </c>
      <c r="AB827" s="241" t="e">
        <f t="shared" ca="1" si="785"/>
        <v>#REF!</v>
      </c>
      <c r="AC827" s="243" t="e">
        <f ca="1">IF(AND(INDEX(FlowCalConstA,MATCH(Z821,FlowCalNumber,0),1,1)*AB827^INDEX(FlowCalConstB,MATCH(Z821,FlowCalNumber,0),1,1)&gt;INDEX(FlowCalLowSetting,MATCH(Z821,FlowCalNumber,0),1,1), (INDEX(FlowCalConstA,MATCH(Z821,FlowCalNumber,0),1,1)*AB827^INDEX(FlowCalConstB,MATCH(Z821,FlowCalNumber,0),1,1)&lt;INDEX(FlowCalHighSetting,MATCH(Z821,FlowCalNumber,0),1,1))),INDEX(FlowCalConstA,MATCH(Z821,FlowCalNumber,0),1,1)*AB827^INDEX(FlowCalConstB,MATCH(Z821,FlowCalNumber,0),1,1)," ")</f>
        <v>#REF!</v>
      </c>
      <c r="AD827" s="33"/>
      <c r="AE827" s="242">
        <f t="shared" si="786"/>
        <v>0.1</v>
      </c>
      <c r="AF827" s="241" t="e">
        <f t="shared" ca="1" si="787"/>
        <v>#REF!</v>
      </c>
      <c r="AG827" s="243" t="e">
        <f ca="1">IF(AND(INDEX(FlowCalConstA,MATCH(AD821,FlowCalNumber,0),1,1)*AF827^INDEX(FlowCalConstB,MATCH(AD821,FlowCalNumber,0),1,1)&gt;INDEX(FlowCalLowSetting,MATCH(AD821,FlowCalNumber,0),1,1), (INDEX(FlowCalConstA,MATCH(AD821,FlowCalNumber,0),1,1)*AF827^INDEX(FlowCalConstB,MATCH(AD821,FlowCalNumber,0),1,1)&lt;INDEX(FlowCalHighSetting,MATCH(AD821,FlowCalNumber,0),1,1))),INDEX(FlowCalConstA,MATCH(AD821,FlowCalNumber,0),1,1)*AF827^INDEX(FlowCalConstB,MATCH(AD821,FlowCalNumber,0),1,1)," ")</f>
        <v>#REF!</v>
      </c>
      <c r="AH827" s="33"/>
      <c r="AI827" s="242">
        <f t="shared" si="788"/>
        <v>0.9</v>
      </c>
      <c r="AJ827" s="241" t="e">
        <f t="shared" ca="1" si="789"/>
        <v>#REF!</v>
      </c>
      <c r="AK827" s="243" t="e">
        <f ca="1">IF(AND(INDEX(FlowCalConstA,MATCH(AH821,FlowCalNumber,0),1,1)*AJ827^INDEX(FlowCalConstB,MATCH(AH821,FlowCalNumber,0),1,1)&gt;INDEX(FlowCalLowSetting,MATCH(AH821,FlowCalNumber,0),1,1), (INDEX(FlowCalConstA,MATCH(AH821,FlowCalNumber,0),1,1)*AJ827^INDEX(FlowCalConstB,MATCH(AH821,FlowCalNumber,0),1,1)&lt;INDEX(FlowCalHighSetting,MATCH(AH821,FlowCalNumber,0),1,1))),INDEX(FlowCalConstA,MATCH(AH821,FlowCalNumber,0),1,1)*AJ827^INDEX(FlowCalConstB,MATCH(AH821,FlowCalNumber,0),1,1)," ")</f>
        <v>#REF!</v>
      </c>
      <c r="AL827" s="33"/>
      <c r="AM827" s="242"/>
      <c r="AN827" s="241"/>
      <c r="AO827" s="244"/>
      <c r="AQ827" s="242"/>
      <c r="AR827" s="241"/>
      <c r="AS827" s="244"/>
      <c r="AT827" s="33"/>
      <c r="AU827" s="242"/>
      <c r="AV827" s="241"/>
      <c r="AW827" s="244"/>
      <c r="AX827" s="33"/>
      <c r="AY827" s="242"/>
      <c r="AZ827" s="241"/>
      <c r="BA827" s="244"/>
      <c r="BB827" s="33"/>
      <c r="BC827" s="242"/>
      <c r="BD827" s="241"/>
      <c r="BE827" s="244"/>
      <c r="BF827" s="33"/>
      <c r="BG827" s="242"/>
      <c r="BH827" s="241"/>
      <c r="BI827" s="244"/>
      <c r="BJ827" s="33"/>
      <c r="BK827" s="242"/>
      <c r="BL827" s="241"/>
      <c r="BM827" s="244"/>
      <c r="BN827" s="33"/>
      <c r="BO827" s="242"/>
      <c r="BP827" s="241"/>
      <c r="BQ827" s="244"/>
      <c r="BR827" s="33"/>
      <c r="BS827" s="242"/>
      <c r="BT827" s="241"/>
      <c r="BU827" s="244"/>
      <c r="BV827" s="33"/>
      <c r="BW827" s="242"/>
      <c r="BX827" s="241"/>
      <c r="BY827" s="244"/>
      <c r="BZ827" s="33"/>
      <c r="CA827" s="242"/>
      <c r="CB827" s="241"/>
      <c r="CC827" s="244"/>
      <c r="CD827" s="243"/>
      <c r="CE827" s="243"/>
      <c r="CF827" s="243"/>
      <c r="CG827" s="243"/>
      <c r="CH827" s="243"/>
      <c r="CI827" s="243"/>
      <c r="CJ827" s="243"/>
      <c r="CK827" s="243"/>
      <c r="CL827" s="243"/>
      <c r="CM827" s="243"/>
      <c r="CN827" s="243"/>
      <c r="CO827" s="243"/>
      <c r="CP827" s="243"/>
      <c r="CQ827" s="243"/>
      <c r="CR827" s="243"/>
      <c r="CS827" s="243"/>
      <c r="CT827" s="243"/>
      <c r="CU827" s="243"/>
      <c r="CV827" s="243"/>
      <c r="CW827" s="243"/>
      <c r="CX827" s="243"/>
      <c r="CY827" s="243"/>
      <c r="CZ827" s="243"/>
      <c r="DA827" s="243"/>
      <c r="DB827" s="243"/>
      <c r="DC827" s="243"/>
      <c r="DD827" s="243"/>
      <c r="DE827" s="243"/>
      <c r="DF827" s="243"/>
      <c r="DG827" s="243"/>
      <c r="DH827" s="243"/>
      <c r="DI827" s="243"/>
      <c r="DJ827" s="243"/>
      <c r="DK827" s="243"/>
      <c r="DM827" s="242"/>
      <c r="DO827" s="243"/>
      <c r="DQ827" s="242"/>
      <c r="DS827" s="243"/>
      <c r="DU827" s="242"/>
      <c r="DW827" s="243"/>
      <c r="DY827" s="242"/>
      <c r="EA827" s="243"/>
    </row>
    <row r="828" spans="1:131">
      <c r="A828" s="20"/>
      <c r="B828" s="124" t="str">
        <f t="shared" si="774"/>
        <v/>
      </c>
      <c r="C828" s="235"/>
      <c r="D828" s="24">
        <f>'1% Wind'!$M$88</f>
        <v>10.1</v>
      </c>
      <c r="E828" s="90"/>
      <c r="F828" s="90"/>
      <c r="G828" s="79" t="e">
        <f ca="1">IF(I821=0.9743,$G827,MAX(G827/D827*D828,2))</f>
        <v>#REF!</v>
      </c>
      <c r="H828" s="121" t="e">
        <f t="shared" ca="1" si="775"/>
        <v>#REF!</v>
      </c>
      <c r="J828" s="33"/>
      <c r="K828" s="242">
        <f t="shared" si="776"/>
        <v>1</v>
      </c>
      <c r="L828" s="241" t="e">
        <f t="shared" ca="1" si="777"/>
        <v>#REF!</v>
      </c>
      <c r="M828" s="243" t="e">
        <f ca="1">IF(AND(INDEX(FlowCalConstA,MATCH(J821,FlowCalNumber,0),1,1)*L828^INDEX(FlowCalConstB,MATCH(J821,FlowCalNumber,0),1,1)&gt;INDEX(FlowCalLowSetting,MATCH(J821,FlowCalNumber,0),1,1), (INDEX(FlowCalConstA,MATCH(J821,FlowCalNumber,0),1,1)*L828^INDEX(FlowCalConstB,MATCH(J821,FlowCalNumber,0),1,1)&lt;INDEX(FlowCalHighSetting,MATCH(J821,FlowCalNumber,0),1,1))),INDEX(FlowCalConstA,MATCH(J821,FlowCalNumber,0),1,1)*L828^INDEX(FlowCalConstB,MATCH(J821,FlowCalNumber,0),1,1)," ")</f>
        <v>#REF!</v>
      </c>
      <c r="N828" s="33"/>
      <c r="O828" s="242">
        <f t="shared" si="778"/>
        <v>1</v>
      </c>
      <c r="P828" s="241" t="e">
        <f t="shared" ca="1" si="779"/>
        <v>#REF!</v>
      </c>
      <c r="Q828" s="243" t="e">
        <f ca="1">IF(AND(INDEX(FlowCalConstA,MATCH(N821,FlowCalNumber,0),1,1)*P828^INDEX(FlowCalConstB,MATCH(N821,FlowCalNumber,0),1,1)&gt;INDEX(FlowCalLowSetting,MATCH(N821,FlowCalNumber,0),1,1), (INDEX(FlowCalConstA,MATCH(N821,FlowCalNumber,0),1,1)*P828^INDEX(FlowCalConstB,MATCH(N821,FlowCalNumber,0),1,1)&lt;INDEX(FlowCalHighSetting,MATCH(N821,FlowCalNumber,0),1,1))),INDEX(FlowCalConstA,MATCH(N821,FlowCalNumber,0),1,1)*P828^INDEX(FlowCalConstB,MATCH(N821,FlowCalNumber,0),1,1)," ")</f>
        <v>#REF!</v>
      </c>
      <c r="R828" s="33"/>
      <c r="S828" s="242">
        <f t="shared" si="780"/>
        <v>1</v>
      </c>
      <c r="T828" s="241" t="e">
        <f t="shared" ca="1" si="781"/>
        <v>#REF!</v>
      </c>
      <c r="U828" s="244" t="e">
        <f ca="1">IF(AND(INDEX(FlowCalConstA,MATCH(R821,FlowCalNumber,0),1,1)*T828^INDEX(FlowCalConstB,MATCH(R821,FlowCalNumber,0),1,1)&gt;INDEX(FlowCalLowSetting,MATCH(R821,FlowCalNumber,0),1,1), (INDEX(FlowCalConstA,MATCH(R821,FlowCalNumber,0),1,1)*T828^INDEX(FlowCalConstB,MATCH(R821,FlowCalNumber,0),1,1)&lt;INDEX(FlowCalHighSetting,MATCH(R821,FlowCalNumber,0),1,1))),INDEX(FlowCalConstA,MATCH(R821,FlowCalNumber,0),1,1)*T828^INDEX(FlowCalConstB,MATCH(R821,FlowCalNumber,0),1,1)," ")</f>
        <v>#REF!</v>
      </c>
      <c r="V828" s="33"/>
      <c r="W828" s="242">
        <f t="shared" si="782"/>
        <v>0.1</v>
      </c>
      <c r="X828" s="241" t="e">
        <f t="shared" ca="1" si="783"/>
        <v>#REF!</v>
      </c>
      <c r="Y828" s="243" t="e">
        <f ca="1">IF(AND(INDEX(FlowCalConstA,MATCH(V821,FlowCalNumber,0),1,1)*X828^INDEX(FlowCalConstB,MATCH(V821,FlowCalNumber,0),1,1)&gt;INDEX(FlowCalLowSetting,MATCH(V821,FlowCalNumber,0),1,1), (INDEX(FlowCalConstA,MATCH(V821,FlowCalNumber,0),1,1)*X828^INDEX(FlowCalConstB,MATCH(V821,FlowCalNumber,0),1,1)&lt;INDEX(FlowCalHighSetting,MATCH(V821,FlowCalNumber,0),1,1))),INDEX(FlowCalConstA,MATCH(V821,FlowCalNumber,0),1,1)*X828^INDEX(FlowCalConstB,MATCH(V821,FlowCalNumber,0),1,1)," ")</f>
        <v>#REF!</v>
      </c>
      <c r="Z828" s="33"/>
      <c r="AA828" s="242">
        <f t="shared" si="784"/>
        <v>0.9</v>
      </c>
      <c r="AB828" s="241" t="e">
        <f t="shared" ca="1" si="785"/>
        <v>#REF!</v>
      </c>
      <c r="AC828" s="243" t="e">
        <f ca="1">IF(AND(INDEX(FlowCalConstA,MATCH(Z821,FlowCalNumber,0),1,1)*AB828^INDEX(FlowCalConstB,MATCH(Z821,FlowCalNumber,0),1,1)&gt;INDEX(FlowCalLowSetting,MATCH(Z821,FlowCalNumber,0),1,1), (INDEX(FlowCalConstA,MATCH(Z821,FlowCalNumber,0),1,1)*AB828^INDEX(FlowCalConstB,MATCH(Z821,FlowCalNumber,0),1,1)&lt;INDEX(FlowCalHighSetting,MATCH(Z821,FlowCalNumber,0),1,1))),INDEX(FlowCalConstA,MATCH(Z821,FlowCalNumber,0),1,1)*AB828^INDEX(FlowCalConstB,MATCH(Z821,FlowCalNumber,0),1,1)," ")</f>
        <v>#REF!</v>
      </c>
      <c r="AD828" s="33"/>
      <c r="AE828" s="242">
        <f t="shared" si="786"/>
        <v>0.1</v>
      </c>
      <c r="AF828" s="241" t="e">
        <f t="shared" ca="1" si="787"/>
        <v>#REF!</v>
      </c>
      <c r="AG828" s="243" t="e">
        <f ca="1">IF(AND(INDEX(FlowCalConstA,MATCH(AD821,FlowCalNumber,0),1,1)*AF828^INDEX(FlowCalConstB,MATCH(AD821,FlowCalNumber,0),1,1)&gt;INDEX(FlowCalLowSetting,MATCH(AD821,FlowCalNumber,0),1,1), (INDEX(FlowCalConstA,MATCH(AD821,FlowCalNumber,0),1,1)*AF828^INDEX(FlowCalConstB,MATCH(AD821,FlowCalNumber,0),1,1)&lt;INDEX(FlowCalHighSetting,MATCH(AD821,FlowCalNumber,0),1,1))),INDEX(FlowCalConstA,MATCH(AD821,FlowCalNumber,0),1,1)*AF828^INDEX(FlowCalConstB,MATCH(AD821,FlowCalNumber,0),1,1)," ")</f>
        <v>#REF!</v>
      </c>
      <c r="AH828" s="33"/>
      <c r="AI828" s="242">
        <f t="shared" si="788"/>
        <v>0.9</v>
      </c>
      <c r="AJ828" s="241" t="e">
        <f t="shared" ca="1" si="789"/>
        <v>#REF!</v>
      </c>
      <c r="AK828" s="243" t="e">
        <f ca="1">IF(AND(INDEX(FlowCalConstA,MATCH(AH821,FlowCalNumber,0),1,1)*AJ828^INDEX(FlowCalConstB,MATCH(AH821,FlowCalNumber,0),1,1)&gt;INDEX(FlowCalLowSetting,MATCH(AH821,FlowCalNumber,0),1,1), (INDEX(FlowCalConstA,MATCH(AH821,FlowCalNumber,0),1,1)*AJ828^INDEX(FlowCalConstB,MATCH(AH821,FlowCalNumber,0),1,1)&lt;INDEX(FlowCalHighSetting,MATCH(AH821,FlowCalNumber,0),1,1))),INDEX(FlowCalConstA,MATCH(AH821,FlowCalNumber,0),1,1)*AJ828^INDEX(FlowCalConstB,MATCH(AH821,FlowCalNumber,0),1,1)," ")</f>
        <v>#REF!</v>
      </c>
      <c r="AL828" s="33"/>
      <c r="AM828" s="242"/>
      <c r="AN828" s="241"/>
      <c r="AO828" s="244"/>
      <c r="AQ828" s="242"/>
      <c r="AR828" s="241"/>
      <c r="AS828" s="244"/>
      <c r="AT828" s="33"/>
      <c r="AU828" s="242"/>
      <c r="AV828" s="241"/>
      <c r="AW828" s="244"/>
      <c r="AX828" s="33"/>
      <c r="AY828" s="242"/>
      <c r="AZ828" s="241"/>
      <c r="BA828" s="244"/>
      <c r="BB828" s="33"/>
      <c r="BC828" s="242"/>
      <c r="BD828" s="241"/>
      <c r="BE828" s="244"/>
      <c r="BF828" s="33"/>
      <c r="BG828" s="242"/>
      <c r="BH828" s="241"/>
      <c r="BI828" s="244"/>
      <c r="BJ828" s="33"/>
      <c r="BK828" s="242"/>
      <c r="BL828" s="241"/>
      <c r="BM828" s="244"/>
      <c r="BN828" s="33"/>
      <c r="BO828" s="242"/>
      <c r="BP828" s="241"/>
      <c r="BQ828" s="244"/>
      <c r="BR828" s="33"/>
      <c r="BS828" s="242"/>
      <c r="BT828" s="241"/>
      <c r="BU828" s="244"/>
      <c r="BV828" s="33"/>
      <c r="BW828" s="242"/>
      <c r="BX828" s="241"/>
      <c r="BY828" s="244"/>
      <c r="BZ828" s="33"/>
      <c r="CA828" s="242"/>
      <c r="CB828" s="241"/>
      <c r="CC828" s="244"/>
      <c r="CD828" s="243"/>
      <c r="CE828" s="243"/>
      <c r="CF828" s="243"/>
      <c r="CG828" s="243"/>
      <c r="CH828" s="243"/>
      <c r="CI828" s="243"/>
      <c r="CJ828" s="243"/>
      <c r="CK828" s="243"/>
      <c r="CL828" s="243"/>
      <c r="CM828" s="243"/>
      <c r="CN828" s="243"/>
      <c r="CO828" s="243"/>
      <c r="CP828" s="243"/>
      <c r="CQ828" s="243"/>
      <c r="CR828" s="243"/>
      <c r="CS828" s="243"/>
      <c r="CT828" s="243"/>
      <c r="CU828" s="243"/>
      <c r="CV828" s="243"/>
      <c r="CW828" s="243"/>
      <c r="CX828" s="243"/>
      <c r="CY828" s="243"/>
      <c r="CZ828" s="243"/>
      <c r="DA828" s="243"/>
      <c r="DB828" s="243"/>
      <c r="DC828" s="243"/>
      <c r="DD828" s="243"/>
      <c r="DE828" s="243"/>
      <c r="DF828" s="243"/>
      <c r="DG828" s="243"/>
      <c r="DH828" s="243"/>
      <c r="DI828" s="243"/>
      <c r="DJ828" s="243"/>
      <c r="DK828" s="243"/>
      <c r="DM828" s="242"/>
      <c r="DO828" s="243"/>
      <c r="DQ828" s="242"/>
      <c r="DS828" s="243"/>
      <c r="DU828" s="242"/>
      <c r="DW828" s="243"/>
      <c r="DY828" s="242"/>
      <c r="EA828" s="243"/>
    </row>
    <row r="829" spans="1:131">
      <c r="A829" s="20"/>
      <c r="B829" s="124" t="str">
        <f t="shared" si="774"/>
        <v/>
      </c>
      <c r="C829" s="235"/>
      <c r="D829" s="24">
        <f>'1% Wind'!$M$89</f>
        <v>7.6</v>
      </c>
      <c r="E829" s="90"/>
      <c r="F829" s="90"/>
      <c r="G829" s="79" t="e">
        <f ca="1">IF(I821=0.9743,$G828,MAX(G828/D828*D829,2))</f>
        <v>#REF!</v>
      </c>
      <c r="H829" s="121" t="e">
        <f t="shared" ca="1" si="775"/>
        <v>#REF!</v>
      </c>
      <c r="J829" s="33"/>
      <c r="K829" s="242">
        <f t="shared" si="776"/>
        <v>1</v>
      </c>
      <c r="L829" s="241" t="e">
        <f t="shared" ca="1" si="777"/>
        <v>#REF!</v>
      </c>
      <c r="M829" s="243" t="e">
        <f ca="1">IF(AND(INDEX(FlowCalConstA,MATCH(J821,FlowCalNumber,0),1,1)*L829^INDEX(FlowCalConstB,MATCH(J821,FlowCalNumber,0),1,1)&gt;INDEX(FlowCalLowSetting,MATCH(J821,FlowCalNumber,0),1,1), (INDEX(FlowCalConstA,MATCH(J821,FlowCalNumber,0),1,1)*L829^INDEX(FlowCalConstB,MATCH(J821,FlowCalNumber,0),1,1)&lt;INDEX(FlowCalHighSetting,MATCH(J821,FlowCalNumber,0),1,1))),INDEX(FlowCalConstA,MATCH(J821,FlowCalNumber,0),1,1)*L829^INDEX(FlowCalConstB,MATCH(J821,FlowCalNumber,0),1,1)," ")</f>
        <v>#REF!</v>
      </c>
      <c r="N829" s="33"/>
      <c r="O829" s="242">
        <f t="shared" si="778"/>
        <v>1</v>
      </c>
      <c r="P829" s="241" t="e">
        <f t="shared" ca="1" si="779"/>
        <v>#REF!</v>
      </c>
      <c r="Q829" s="243" t="e">
        <f ca="1">IF(AND(INDEX(FlowCalConstA,MATCH(N821,FlowCalNumber,0),1,1)*P829^INDEX(FlowCalConstB,MATCH(N821,FlowCalNumber,0),1,1)&gt;INDEX(FlowCalLowSetting,MATCH(N821,FlowCalNumber,0),1,1), (INDEX(FlowCalConstA,MATCH(N821,FlowCalNumber,0),1,1)*P829^INDEX(FlowCalConstB,MATCH(N821,FlowCalNumber,0),1,1)&lt;INDEX(FlowCalHighSetting,MATCH(N821,FlowCalNumber,0),1,1))),INDEX(FlowCalConstA,MATCH(N821,FlowCalNumber,0),1,1)*P829^INDEX(FlowCalConstB,MATCH(N821,FlowCalNumber,0),1,1)," ")</f>
        <v>#REF!</v>
      </c>
      <c r="R829" s="33"/>
      <c r="S829" s="242">
        <f t="shared" si="780"/>
        <v>1</v>
      </c>
      <c r="T829" s="241" t="e">
        <f t="shared" ca="1" si="781"/>
        <v>#REF!</v>
      </c>
      <c r="U829" s="244" t="e">
        <f ca="1">IF(AND(INDEX(FlowCalConstA,MATCH(R821,FlowCalNumber,0),1,1)*T829^INDEX(FlowCalConstB,MATCH(R821,FlowCalNumber,0),1,1)&gt;INDEX(FlowCalLowSetting,MATCH(R821,FlowCalNumber,0),1,1), (INDEX(FlowCalConstA,MATCH(R821,FlowCalNumber,0),1,1)*T829^INDEX(FlowCalConstB,MATCH(R821,FlowCalNumber,0),1,1)&lt;INDEX(FlowCalHighSetting,MATCH(R821,FlowCalNumber,0),1,1))),INDEX(FlowCalConstA,MATCH(R821,FlowCalNumber,0),1,1)*T829^INDEX(FlowCalConstB,MATCH(R821,FlowCalNumber,0),1,1)," ")</f>
        <v>#REF!</v>
      </c>
      <c r="V829" s="33"/>
      <c r="W829" s="242">
        <f t="shared" si="782"/>
        <v>0.1</v>
      </c>
      <c r="X829" s="241" t="e">
        <f t="shared" ca="1" si="783"/>
        <v>#REF!</v>
      </c>
      <c r="Y829" s="243" t="e">
        <f ca="1">IF(AND(INDEX(FlowCalConstA,MATCH(V821,FlowCalNumber,0),1,1)*X829^INDEX(FlowCalConstB,MATCH(V821,FlowCalNumber,0),1,1)&gt;INDEX(FlowCalLowSetting,MATCH(V821,FlowCalNumber,0),1,1), (INDEX(FlowCalConstA,MATCH(V821,FlowCalNumber,0),1,1)*X829^INDEX(FlowCalConstB,MATCH(V821,FlowCalNumber,0),1,1)&lt;INDEX(FlowCalHighSetting,MATCH(V821,FlowCalNumber,0),1,1))),INDEX(FlowCalConstA,MATCH(V821,FlowCalNumber,0),1,1)*X829^INDEX(FlowCalConstB,MATCH(V821,FlowCalNumber,0),1,1)," ")</f>
        <v>#REF!</v>
      </c>
      <c r="Z829" s="33"/>
      <c r="AA829" s="242">
        <f t="shared" si="784"/>
        <v>0.9</v>
      </c>
      <c r="AB829" s="241" t="e">
        <f t="shared" ca="1" si="785"/>
        <v>#REF!</v>
      </c>
      <c r="AC829" s="243" t="e">
        <f ca="1">IF(AND(INDEX(FlowCalConstA,MATCH(Z821,FlowCalNumber,0),1,1)*AB829^INDEX(FlowCalConstB,MATCH(Z821,FlowCalNumber,0),1,1)&gt;INDEX(FlowCalLowSetting,MATCH(Z821,FlowCalNumber,0),1,1), (INDEX(FlowCalConstA,MATCH(Z821,FlowCalNumber,0),1,1)*AB829^INDEX(FlowCalConstB,MATCH(Z821,FlowCalNumber,0),1,1)&lt;INDEX(FlowCalHighSetting,MATCH(Z821,FlowCalNumber,0),1,1))),INDEX(FlowCalConstA,MATCH(Z821,FlowCalNumber,0),1,1)*AB829^INDEX(FlowCalConstB,MATCH(Z821,FlowCalNumber,0),1,1)," ")</f>
        <v>#REF!</v>
      </c>
      <c r="AD829" s="33"/>
      <c r="AE829" s="242">
        <f t="shared" si="786"/>
        <v>0.1</v>
      </c>
      <c r="AF829" s="241" t="e">
        <f t="shared" ca="1" si="787"/>
        <v>#REF!</v>
      </c>
      <c r="AG829" s="243" t="e">
        <f ca="1">IF(AND(INDEX(FlowCalConstA,MATCH(AD821,FlowCalNumber,0),1,1)*AF829^INDEX(FlowCalConstB,MATCH(AD821,FlowCalNumber,0),1,1)&gt;INDEX(FlowCalLowSetting,MATCH(AD821,FlowCalNumber,0),1,1), (INDEX(FlowCalConstA,MATCH(AD821,FlowCalNumber,0),1,1)*AF829^INDEX(FlowCalConstB,MATCH(AD821,FlowCalNumber,0),1,1)&lt;INDEX(FlowCalHighSetting,MATCH(AD821,FlowCalNumber,0),1,1))),INDEX(FlowCalConstA,MATCH(AD821,FlowCalNumber,0),1,1)*AF829^INDEX(FlowCalConstB,MATCH(AD821,FlowCalNumber,0),1,1)," ")</f>
        <v>#REF!</v>
      </c>
      <c r="AH829" s="33"/>
      <c r="AI829" s="242">
        <f t="shared" si="788"/>
        <v>0.9</v>
      </c>
      <c r="AJ829" s="241" t="e">
        <f t="shared" ca="1" si="789"/>
        <v>#REF!</v>
      </c>
      <c r="AK829" s="243" t="e">
        <f ca="1">IF(AND(INDEX(FlowCalConstA,MATCH(AH821,FlowCalNumber,0),1,1)*AJ829^INDEX(FlowCalConstB,MATCH(AH821,FlowCalNumber,0),1,1)&gt;INDEX(FlowCalLowSetting,MATCH(AH821,FlowCalNumber,0),1,1), (INDEX(FlowCalConstA,MATCH(AH821,FlowCalNumber,0),1,1)*AJ829^INDEX(FlowCalConstB,MATCH(AH821,FlowCalNumber,0),1,1)&lt;INDEX(FlowCalHighSetting,MATCH(AH821,FlowCalNumber,0),1,1))),INDEX(FlowCalConstA,MATCH(AH821,FlowCalNumber,0),1,1)*AJ829^INDEX(FlowCalConstB,MATCH(AH821,FlowCalNumber,0),1,1)," ")</f>
        <v>#REF!</v>
      </c>
      <c r="AL829" s="33"/>
      <c r="AM829" s="242"/>
      <c r="AN829" s="241"/>
      <c r="AO829" s="244"/>
      <c r="AQ829" s="242"/>
      <c r="AR829" s="241"/>
      <c r="AS829" s="244"/>
      <c r="AT829" s="33"/>
      <c r="AU829" s="242"/>
      <c r="AV829" s="241"/>
      <c r="AW829" s="244"/>
      <c r="AX829" s="33"/>
      <c r="AY829" s="242"/>
      <c r="AZ829" s="241"/>
      <c r="BA829" s="244"/>
      <c r="BB829" s="33"/>
      <c r="BC829" s="242"/>
      <c r="BD829" s="241"/>
      <c r="BE829" s="244"/>
      <c r="BF829" s="33"/>
      <c r="BG829" s="242"/>
      <c r="BH829" s="241"/>
      <c r="BI829" s="244"/>
      <c r="BJ829" s="33"/>
      <c r="BK829" s="242"/>
      <c r="BL829" s="241"/>
      <c r="BM829" s="244"/>
      <c r="BN829" s="33"/>
      <c r="BO829" s="242"/>
      <c r="BP829" s="241"/>
      <c r="BQ829" s="244"/>
      <c r="BR829" s="33"/>
      <c r="BS829" s="242"/>
      <c r="BT829" s="241"/>
      <c r="BU829" s="244"/>
      <c r="BV829" s="33"/>
      <c r="BW829" s="242"/>
      <c r="BX829" s="241"/>
      <c r="BY829" s="244"/>
      <c r="BZ829" s="33"/>
      <c r="CA829" s="242"/>
      <c r="CB829" s="241"/>
      <c r="CC829" s="244"/>
      <c r="CD829" s="243"/>
      <c r="CE829" s="243"/>
      <c r="CF829" s="243"/>
      <c r="CG829" s="243"/>
      <c r="CH829" s="243"/>
      <c r="CI829" s="243"/>
      <c r="CJ829" s="243"/>
      <c r="CK829" s="243"/>
      <c r="CL829" s="243"/>
      <c r="CM829" s="243"/>
      <c r="CN829" s="243"/>
      <c r="CO829" s="243"/>
      <c r="CP829" s="243"/>
      <c r="CQ829" s="243"/>
      <c r="CR829" s="243"/>
      <c r="CS829" s="243"/>
      <c r="CT829" s="243"/>
      <c r="CU829" s="243"/>
      <c r="CV829" s="243"/>
      <c r="CW829" s="243"/>
      <c r="CX829" s="243"/>
      <c r="CY829" s="243"/>
      <c r="CZ829" s="243"/>
      <c r="DA829" s="243"/>
      <c r="DB829" s="243"/>
      <c r="DC829" s="243"/>
      <c r="DD829" s="243"/>
      <c r="DE829" s="243"/>
      <c r="DF829" s="243"/>
      <c r="DG829" s="243"/>
      <c r="DH829" s="243"/>
      <c r="DI829" s="243"/>
      <c r="DJ829" s="243"/>
      <c r="DK829" s="243"/>
      <c r="DM829" s="242"/>
      <c r="DO829" s="243"/>
      <c r="DQ829" s="242"/>
      <c r="DS829" s="243"/>
      <c r="DU829" s="242"/>
      <c r="DW829" s="243"/>
      <c r="DY829" s="242"/>
      <c r="EA829" s="243"/>
    </row>
    <row r="830" spans="1:131">
      <c r="A830" s="20"/>
      <c r="B830" s="124" t="str">
        <f t="shared" si="774"/>
        <v/>
      </c>
      <c r="C830" s="235"/>
      <c r="D830" s="24">
        <f>'1% Wind'!$M$90</f>
        <v>5.7</v>
      </c>
      <c r="E830" s="90"/>
      <c r="F830" s="90"/>
      <c r="G830" s="79" t="e">
        <f ca="1">IF(I821=0.9743,$G829,MAX(G829/D829*D830,2))</f>
        <v>#REF!</v>
      </c>
      <c r="H830" s="121" t="e">
        <f t="shared" ca="1" si="775"/>
        <v>#REF!</v>
      </c>
      <c r="J830" s="33"/>
      <c r="K830" s="242">
        <f t="shared" si="776"/>
        <v>1</v>
      </c>
      <c r="L830" s="241" t="e">
        <f t="shared" ca="1" si="777"/>
        <v>#REF!</v>
      </c>
      <c r="M830" s="243" t="e">
        <f ca="1">IF(AND(INDEX(FlowCalConstA,MATCH(J821,FlowCalNumber,0),1,1)*L830^INDEX(FlowCalConstB,MATCH(J821,FlowCalNumber,0),1,1)&gt;INDEX(FlowCalLowSetting,MATCH(J821,FlowCalNumber,0),1,1), (INDEX(FlowCalConstA,MATCH(J821,FlowCalNumber,0),1,1)*L830^INDEX(FlowCalConstB,MATCH(J821,FlowCalNumber,0),1,1)&lt;INDEX(FlowCalHighSetting,MATCH(J821,FlowCalNumber,0),1,1))),INDEX(FlowCalConstA,MATCH(J821,FlowCalNumber,0),1,1)*L830^INDEX(FlowCalConstB,MATCH(J821,FlowCalNumber,0),1,1)," ")</f>
        <v>#REF!</v>
      </c>
      <c r="N830" s="33"/>
      <c r="O830" s="242">
        <f t="shared" si="778"/>
        <v>1</v>
      </c>
      <c r="P830" s="241" t="e">
        <f t="shared" ca="1" si="779"/>
        <v>#REF!</v>
      </c>
      <c r="Q830" s="243" t="e">
        <f ca="1">IF(AND(INDEX(FlowCalConstA,MATCH(N821,FlowCalNumber,0),1,1)*P830^INDEX(FlowCalConstB,MATCH(N821,FlowCalNumber,0),1,1)&gt;INDEX(FlowCalLowSetting,MATCH(N821,FlowCalNumber,0),1,1), (INDEX(FlowCalConstA,MATCH(N821,FlowCalNumber,0),1,1)*P830^INDEX(FlowCalConstB,MATCH(N821,FlowCalNumber,0),1,1)&lt;INDEX(FlowCalHighSetting,MATCH(N821,FlowCalNumber,0),1,1))),INDEX(FlowCalConstA,MATCH(N821,FlowCalNumber,0),1,1)*P830^INDEX(FlowCalConstB,MATCH(N821,FlowCalNumber,0),1,1)," ")</f>
        <v>#REF!</v>
      </c>
      <c r="R830" s="33"/>
      <c r="S830" s="242">
        <f t="shared" si="780"/>
        <v>1</v>
      </c>
      <c r="T830" s="241" t="e">
        <f t="shared" ca="1" si="781"/>
        <v>#REF!</v>
      </c>
      <c r="U830" s="244" t="e">
        <f ca="1">IF(AND(INDEX(FlowCalConstA,MATCH(R821,FlowCalNumber,0),1,1)*T830^INDEX(FlowCalConstB,MATCH(R821,FlowCalNumber,0),1,1)&gt;INDEX(FlowCalLowSetting,MATCH(R821,FlowCalNumber,0),1,1), (INDEX(FlowCalConstA,MATCH(R821,FlowCalNumber,0),1,1)*T830^INDEX(FlowCalConstB,MATCH(R821,FlowCalNumber,0),1,1)&lt;INDEX(FlowCalHighSetting,MATCH(R821,FlowCalNumber,0),1,1))),INDEX(FlowCalConstA,MATCH(R821,FlowCalNumber,0),1,1)*T830^INDEX(FlowCalConstB,MATCH(R821,FlowCalNumber,0),1,1)," ")</f>
        <v>#REF!</v>
      </c>
      <c r="V830" s="33"/>
      <c r="W830" s="242">
        <f t="shared" si="782"/>
        <v>0.1</v>
      </c>
      <c r="X830" s="241" t="e">
        <f t="shared" ca="1" si="783"/>
        <v>#REF!</v>
      </c>
      <c r="Y830" s="243" t="e">
        <f ca="1">IF(AND(INDEX(FlowCalConstA,MATCH(V821,FlowCalNumber,0),1,1)*X830^INDEX(FlowCalConstB,MATCH(V821,FlowCalNumber,0),1,1)&gt;INDEX(FlowCalLowSetting,MATCH(V821,FlowCalNumber,0),1,1), (INDEX(FlowCalConstA,MATCH(V821,FlowCalNumber,0),1,1)*X830^INDEX(FlowCalConstB,MATCH(V821,FlowCalNumber,0),1,1)&lt;INDEX(FlowCalHighSetting,MATCH(V821,FlowCalNumber,0),1,1))),INDEX(FlowCalConstA,MATCH(V821,FlowCalNumber,0),1,1)*X830^INDEX(FlowCalConstB,MATCH(V821,FlowCalNumber,0),1,1)," ")</f>
        <v>#REF!</v>
      </c>
      <c r="Z830" s="33"/>
      <c r="AA830" s="242">
        <f t="shared" si="784"/>
        <v>0.9</v>
      </c>
      <c r="AB830" s="241" t="e">
        <f t="shared" ca="1" si="785"/>
        <v>#REF!</v>
      </c>
      <c r="AC830" s="243" t="e">
        <f ca="1">IF(AND(INDEX(FlowCalConstA,MATCH(Z821,FlowCalNumber,0),1,1)*AB830^INDEX(FlowCalConstB,MATCH(Z821,FlowCalNumber,0),1,1)&gt;INDEX(FlowCalLowSetting,MATCH(Z821,FlowCalNumber,0),1,1), (INDEX(FlowCalConstA,MATCH(Z821,FlowCalNumber,0),1,1)*AB830^INDEX(FlowCalConstB,MATCH(Z821,FlowCalNumber,0),1,1)&lt;INDEX(FlowCalHighSetting,MATCH(Z821,FlowCalNumber,0),1,1))),INDEX(FlowCalConstA,MATCH(Z821,FlowCalNumber,0),1,1)*AB830^INDEX(FlowCalConstB,MATCH(Z821,FlowCalNumber,0),1,1)," ")</f>
        <v>#REF!</v>
      </c>
      <c r="AD830" s="33"/>
      <c r="AE830" s="242">
        <f t="shared" si="786"/>
        <v>0.1</v>
      </c>
      <c r="AF830" s="241" t="e">
        <f t="shared" ca="1" si="787"/>
        <v>#REF!</v>
      </c>
      <c r="AG830" s="243" t="e">
        <f ca="1">IF(AND(INDEX(FlowCalConstA,MATCH(AD821,FlowCalNumber,0),1,1)*AF830^INDEX(FlowCalConstB,MATCH(AD821,FlowCalNumber,0),1,1)&gt;INDEX(FlowCalLowSetting,MATCH(AD821,FlowCalNumber,0),1,1), (INDEX(FlowCalConstA,MATCH(AD821,FlowCalNumber,0),1,1)*AF830^INDEX(FlowCalConstB,MATCH(AD821,FlowCalNumber,0),1,1)&lt;INDEX(FlowCalHighSetting,MATCH(AD821,FlowCalNumber,0),1,1))),INDEX(FlowCalConstA,MATCH(AD821,FlowCalNumber,0),1,1)*AF830^INDEX(FlowCalConstB,MATCH(AD821,FlowCalNumber,0),1,1)," ")</f>
        <v>#REF!</v>
      </c>
      <c r="AH830" s="33"/>
      <c r="AI830" s="242">
        <f t="shared" si="788"/>
        <v>0.9</v>
      </c>
      <c r="AJ830" s="241" t="e">
        <f t="shared" ca="1" si="789"/>
        <v>#REF!</v>
      </c>
      <c r="AK830" s="243" t="e">
        <f ca="1">IF(AND(INDEX(FlowCalConstA,MATCH(AH821,FlowCalNumber,0),1,1)*AJ830^INDEX(FlowCalConstB,MATCH(AH821,FlowCalNumber,0),1,1)&gt;INDEX(FlowCalLowSetting,MATCH(AH821,FlowCalNumber,0),1,1), (INDEX(FlowCalConstA,MATCH(AH821,FlowCalNumber,0),1,1)*AJ830^INDEX(FlowCalConstB,MATCH(AH821,FlowCalNumber,0),1,1)&lt;INDEX(FlowCalHighSetting,MATCH(AH821,FlowCalNumber,0),1,1))),INDEX(FlowCalConstA,MATCH(AH821,FlowCalNumber,0),1,1)*AJ830^INDEX(FlowCalConstB,MATCH(AH821,FlowCalNumber,0),1,1)," ")</f>
        <v>#REF!</v>
      </c>
      <c r="AL830" s="33"/>
      <c r="AM830" s="242"/>
      <c r="AN830" s="241"/>
      <c r="AO830" s="244"/>
      <c r="AQ830" s="242"/>
      <c r="AR830" s="241"/>
      <c r="AS830" s="244"/>
      <c r="AT830" s="33"/>
      <c r="AU830" s="242"/>
      <c r="AV830" s="241"/>
      <c r="AW830" s="244"/>
      <c r="AX830" s="33"/>
      <c r="AY830" s="242"/>
      <c r="AZ830" s="241"/>
      <c r="BA830" s="244"/>
      <c r="BB830" s="33"/>
      <c r="BC830" s="242"/>
      <c r="BD830" s="241"/>
      <c r="BE830" s="244"/>
      <c r="BF830" s="33"/>
      <c r="BG830" s="242"/>
      <c r="BH830" s="241"/>
      <c r="BI830" s="244"/>
      <c r="BJ830" s="33"/>
      <c r="BK830" s="242"/>
      <c r="BL830" s="241"/>
      <c r="BM830" s="244"/>
      <c r="BN830" s="33"/>
      <c r="BO830" s="242"/>
      <c r="BP830" s="241"/>
      <c r="BQ830" s="244"/>
      <c r="BR830" s="33"/>
      <c r="BS830" s="242"/>
      <c r="BT830" s="241"/>
      <c r="BU830" s="244"/>
      <c r="BV830" s="33"/>
      <c r="BW830" s="242"/>
      <c r="BX830" s="241"/>
      <c r="BY830" s="244"/>
      <c r="BZ830" s="33"/>
      <c r="CA830" s="242"/>
      <c r="CB830" s="241"/>
      <c r="CC830" s="244"/>
      <c r="CD830" s="243"/>
      <c r="CE830" s="243"/>
      <c r="CF830" s="243"/>
      <c r="CG830" s="243"/>
      <c r="CH830" s="243"/>
      <c r="CI830" s="243"/>
      <c r="CJ830" s="243"/>
      <c r="CK830" s="243"/>
      <c r="CL830" s="243"/>
      <c r="CM830" s="243"/>
      <c r="CN830" s="243"/>
      <c r="CO830" s="243"/>
      <c r="CP830" s="243"/>
      <c r="CQ830" s="243"/>
      <c r="CR830" s="243"/>
      <c r="CS830" s="243"/>
      <c r="CT830" s="243"/>
      <c r="CU830" s="243"/>
      <c r="CV830" s="243"/>
      <c r="CW830" s="243"/>
      <c r="CX830" s="243"/>
      <c r="CY830" s="243"/>
      <c r="CZ830" s="243"/>
      <c r="DA830" s="243"/>
      <c r="DB830" s="243"/>
      <c r="DC830" s="243"/>
      <c r="DD830" s="243"/>
      <c r="DE830" s="243"/>
      <c r="DF830" s="243"/>
      <c r="DG830" s="243"/>
      <c r="DH830" s="243"/>
      <c r="DI830" s="243"/>
      <c r="DJ830" s="243"/>
      <c r="DK830" s="243"/>
      <c r="DM830" s="242"/>
      <c r="DO830" s="243"/>
      <c r="DQ830" s="242"/>
      <c r="DS830" s="243"/>
      <c r="DU830" s="242"/>
      <c r="DW830" s="243"/>
      <c r="DY830" s="242"/>
      <c r="EA830" s="243"/>
    </row>
    <row r="831" spans="1:131">
      <c r="A831" s="20"/>
      <c r="B831" s="124" t="str">
        <f t="shared" si="774"/>
        <v/>
      </c>
      <c r="C831" s="235"/>
      <c r="D831" s="24">
        <f>'1% Wind'!$M$91</f>
        <v>4.2</v>
      </c>
      <c r="E831" s="90"/>
      <c r="F831" s="90"/>
      <c r="G831" s="79" t="e">
        <f ca="1">IF(I821=0.9743,$G830,MAX(G830/D830*D831,2))</f>
        <v>#REF!</v>
      </c>
      <c r="H831" s="121" t="e">
        <f t="shared" ca="1" si="775"/>
        <v>#REF!</v>
      </c>
      <c r="J831" s="33"/>
      <c r="K831" s="242">
        <f t="shared" si="776"/>
        <v>1</v>
      </c>
      <c r="L831" s="241" t="e">
        <f t="shared" ca="1" si="777"/>
        <v>#REF!</v>
      </c>
      <c r="M831" s="243" t="e">
        <f ca="1">IF(AND(INDEX(FlowCalConstA,MATCH(J821,FlowCalNumber,0),1,1)*L831^INDEX(FlowCalConstB,MATCH(J821,FlowCalNumber,0),1,1)&gt;INDEX(FlowCalLowSetting,MATCH(J821,FlowCalNumber,0),1,1), (INDEX(FlowCalConstA,MATCH(J821,FlowCalNumber,0),1,1)*L831^INDEX(FlowCalConstB,MATCH(J821,FlowCalNumber,0),1,1)&lt;INDEX(FlowCalHighSetting,MATCH(J821,FlowCalNumber,0),1,1))),INDEX(FlowCalConstA,MATCH(J821,FlowCalNumber,0),1,1)*L831^INDEX(FlowCalConstB,MATCH(J821,FlowCalNumber,0),1,1)," ")</f>
        <v>#REF!</v>
      </c>
      <c r="N831" s="33"/>
      <c r="O831" s="242">
        <f t="shared" si="778"/>
        <v>1</v>
      </c>
      <c r="P831" s="241" t="e">
        <f t="shared" ca="1" si="779"/>
        <v>#REF!</v>
      </c>
      <c r="Q831" s="243" t="e">
        <f ca="1">IF(AND(INDEX(FlowCalConstA,MATCH(N821,FlowCalNumber,0),1,1)*P831^INDEX(FlowCalConstB,MATCH(N821,FlowCalNumber,0),1,1)&gt;INDEX(FlowCalLowSetting,MATCH(N821,FlowCalNumber,0),1,1), (INDEX(FlowCalConstA,MATCH(N821,FlowCalNumber,0),1,1)*P831^INDEX(FlowCalConstB,MATCH(N821,FlowCalNumber,0),1,1)&lt;INDEX(FlowCalHighSetting,MATCH(N821,FlowCalNumber,0),1,1))),INDEX(FlowCalConstA,MATCH(N821,FlowCalNumber,0),1,1)*P831^INDEX(FlowCalConstB,MATCH(N821,FlowCalNumber,0),1,1)," ")</f>
        <v>#REF!</v>
      </c>
      <c r="R831" s="33"/>
      <c r="S831" s="242">
        <f t="shared" si="780"/>
        <v>1</v>
      </c>
      <c r="T831" s="241" t="e">
        <f t="shared" ca="1" si="781"/>
        <v>#REF!</v>
      </c>
      <c r="U831" s="244" t="e">
        <f ca="1">IF(AND(INDEX(FlowCalConstA,MATCH(R821,FlowCalNumber,0),1,1)*T831^INDEX(FlowCalConstB,MATCH(R821,FlowCalNumber,0),1,1)&gt;INDEX(FlowCalLowSetting,MATCH(R821,FlowCalNumber,0),1,1), (INDEX(FlowCalConstA,MATCH(R821,FlowCalNumber,0),1,1)*T831^INDEX(FlowCalConstB,MATCH(R821,FlowCalNumber,0),1,1)&lt;INDEX(FlowCalHighSetting,MATCH(R821,FlowCalNumber,0),1,1))),INDEX(FlowCalConstA,MATCH(R821,FlowCalNumber,0),1,1)*T831^INDEX(FlowCalConstB,MATCH(R821,FlowCalNumber,0),1,1)," ")</f>
        <v>#REF!</v>
      </c>
      <c r="V831" s="33"/>
      <c r="W831" s="242">
        <f t="shared" si="782"/>
        <v>0.1</v>
      </c>
      <c r="X831" s="241" t="e">
        <f t="shared" ca="1" si="783"/>
        <v>#REF!</v>
      </c>
      <c r="Y831" s="243" t="e">
        <f ca="1">IF(AND(INDEX(FlowCalConstA,MATCH(V821,FlowCalNumber,0),1,1)*X831^INDEX(FlowCalConstB,MATCH(V821,FlowCalNumber,0),1,1)&gt;INDEX(FlowCalLowSetting,MATCH(V821,FlowCalNumber,0),1,1), (INDEX(FlowCalConstA,MATCH(V821,FlowCalNumber,0),1,1)*X831^INDEX(FlowCalConstB,MATCH(V821,FlowCalNumber,0),1,1)&lt;INDEX(FlowCalHighSetting,MATCH(V821,FlowCalNumber,0),1,1))),INDEX(FlowCalConstA,MATCH(V821,FlowCalNumber,0),1,1)*X831^INDEX(FlowCalConstB,MATCH(V821,FlowCalNumber,0),1,1)," ")</f>
        <v>#REF!</v>
      </c>
      <c r="Z831" s="33"/>
      <c r="AA831" s="242">
        <f t="shared" si="784"/>
        <v>0.9</v>
      </c>
      <c r="AB831" s="241" t="e">
        <f t="shared" ca="1" si="785"/>
        <v>#REF!</v>
      </c>
      <c r="AC831" s="243" t="e">
        <f ca="1">IF(AND(INDEX(FlowCalConstA,MATCH(Z821,FlowCalNumber,0),1,1)*AB831^INDEX(FlowCalConstB,MATCH(Z821,FlowCalNumber,0),1,1)&gt;INDEX(FlowCalLowSetting,MATCH(Z821,FlowCalNumber,0),1,1), (INDEX(FlowCalConstA,MATCH(Z821,FlowCalNumber,0),1,1)*AB831^INDEX(FlowCalConstB,MATCH(Z821,FlowCalNumber,0),1,1)&lt;INDEX(FlowCalHighSetting,MATCH(Z821,FlowCalNumber,0),1,1))),INDEX(FlowCalConstA,MATCH(Z821,FlowCalNumber,0),1,1)*AB831^INDEX(FlowCalConstB,MATCH(Z821,FlowCalNumber,0),1,1)," ")</f>
        <v>#REF!</v>
      </c>
      <c r="AD831" s="33"/>
      <c r="AE831" s="242">
        <f t="shared" si="786"/>
        <v>0.1</v>
      </c>
      <c r="AF831" s="241" t="e">
        <f t="shared" ca="1" si="787"/>
        <v>#REF!</v>
      </c>
      <c r="AG831" s="243" t="e">
        <f ca="1">IF(AND(INDEX(FlowCalConstA,MATCH(AD821,FlowCalNumber,0),1,1)*AF831^INDEX(FlowCalConstB,MATCH(AD821,FlowCalNumber,0),1,1)&gt;INDEX(FlowCalLowSetting,MATCH(AD821,FlowCalNumber,0),1,1), (INDEX(FlowCalConstA,MATCH(AD821,FlowCalNumber,0),1,1)*AF831^INDEX(FlowCalConstB,MATCH(AD821,FlowCalNumber,0),1,1)&lt;INDEX(FlowCalHighSetting,MATCH(AD821,FlowCalNumber,0),1,1))),INDEX(FlowCalConstA,MATCH(AD821,FlowCalNumber,0),1,1)*AF831^INDEX(FlowCalConstB,MATCH(AD821,FlowCalNumber,0),1,1)," ")</f>
        <v>#REF!</v>
      </c>
      <c r="AH831" s="33"/>
      <c r="AI831" s="242">
        <f t="shared" si="788"/>
        <v>0.9</v>
      </c>
      <c r="AJ831" s="241" t="e">
        <f t="shared" ca="1" si="789"/>
        <v>#REF!</v>
      </c>
      <c r="AK831" s="243" t="e">
        <f ca="1">IF(AND(INDEX(FlowCalConstA,MATCH(AH821,FlowCalNumber,0),1,1)*AJ831^INDEX(FlowCalConstB,MATCH(AH821,FlowCalNumber,0),1,1)&gt;INDEX(FlowCalLowSetting,MATCH(AH821,FlowCalNumber,0),1,1), (INDEX(FlowCalConstA,MATCH(AH821,FlowCalNumber,0),1,1)*AJ831^INDEX(FlowCalConstB,MATCH(AH821,FlowCalNumber,0),1,1)&lt;INDEX(FlowCalHighSetting,MATCH(AH821,FlowCalNumber,0),1,1))),INDEX(FlowCalConstA,MATCH(AH821,FlowCalNumber,0),1,1)*AJ831^INDEX(FlowCalConstB,MATCH(AH821,FlowCalNumber,0),1,1)," ")</f>
        <v>#REF!</v>
      </c>
      <c r="AL831" s="33"/>
      <c r="AM831" s="242"/>
      <c r="AN831" s="241"/>
      <c r="AO831" s="244"/>
      <c r="AQ831" s="242"/>
      <c r="AR831" s="241"/>
      <c r="AS831" s="244"/>
      <c r="AT831" s="33"/>
      <c r="AU831" s="242"/>
      <c r="AV831" s="241"/>
      <c r="AW831" s="244"/>
      <c r="AX831" s="33"/>
      <c r="AY831" s="242"/>
      <c r="AZ831" s="241"/>
      <c r="BA831" s="244"/>
      <c r="BB831" s="33"/>
      <c r="BC831" s="242"/>
      <c r="BD831" s="241"/>
      <c r="BE831" s="244"/>
      <c r="BF831" s="33"/>
      <c r="BG831" s="242"/>
      <c r="BH831" s="241"/>
      <c r="BI831" s="244"/>
      <c r="BJ831" s="33"/>
      <c r="BK831" s="242"/>
      <c r="BL831" s="241"/>
      <c r="BM831" s="244"/>
      <c r="BN831" s="33"/>
      <c r="BO831" s="242"/>
      <c r="BP831" s="241"/>
      <c r="BQ831" s="244"/>
      <c r="BR831" s="33"/>
      <c r="BS831" s="242"/>
      <c r="BT831" s="241"/>
      <c r="BU831" s="244"/>
      <c r="BV831" s="33"/>
      <c r="BW831" s="242"/>
      <c r="BX831" s="241"/>
      <c r="BY831" s="244"/>
      <c r="BZ831" s="33"/>
      <c r="CA831" s="242"/>
      <c r="CB831" s="241"/>
      <c r="CC831" s="244"/>
      <c r="CD831" s="243"/>
      <c r="CE831" s="243"/>
      <c r="CF831" s="243"/>
      <c r="CG831" s="243"/>
      <c r="CH831" s="243"/>
      <c r="CI831" s="243"/>
      <c r="CJ831" s="243"/>
      <c r="CK831" s="243"/>
      <c r="CL831" s="243"/>
      <c r="CM831" s="243"/>
      <c r="CN831" s="243"/>
      <c r="CO831" s="243"/>
      <c r="CP831" s="243"/>
      <c r="CQ831" s="243"/>
      <c r="CR831" s="243"/>
      <c r="CS831" s="243"/>
      <c r="CT831" s="243"/>
      <c r="CU831" s="243"/>
      <c r="CV831" s="243"/>
      <c r="CW831" s="243"/>
      <c r="CX831" s="243"/>
      <c r="CY831" s="243"/>
      <c r="CZ831" s="243"/>
      <c r="DA831" s="243"/>
      <c r="DB831" s="243"/>
      <c r="DC831" s="243"/>
      <c r="DD831" s="243"/>
      <c r="DE831" s="243"/>
      <c r="DF831" s="243"/>
      <c r="DG831" s="243"/>
      <c r="DH831" s="243"/>
      <c r="DI831" s="243"/>
      <c r="DJ831" s="243"/>
      <c r="DK831" s="243"/>
      <c r="DM831" s="242"/>
      <c r="DO831" s="243"/>
      <c r="DQ831" s="242"/>
      <c r="DS831" s="243"/>
      <c r="DU831" s="242"/>
      <c r="DW831" s="243"/>
      <c r="DY831" s="242"/>
      <c r="EA831" s="243"/>
    </row>
    <row r="832" spans="1:131">
      <c r="A832" s="20"/>
      <c r="B832" s="124" t="str">
        <f t="shared" si="774"/>
        <v/>
      </c>
      <c r="C832" s="235"/>
      <c r="D832" s="24">
        <f>'1% Wind'!$M$92</f>
        <v>3.2</v>
      </c>
      <c r="E832" s="90"/>
      <c r="F832" s="90"/>
      <c r="G832" s="79" t="e">
        <f ca="1">IF(I821=0.9743,$G831,MAX(G831/D831*D832,2))</f>
        <v>#REF!</v>
      </c>
      <c r="H832" s="121" t="e">
        <f t="shared" ca="1" si="775"/>
        <v>#REF!</v>
      </c>
      <c r="J832" s="33"/>
      <c r="K832" s="242">
        <f t="shared" si="776"/>
        <v>1</v>
      </c>
      <c r="L832" s="241" t="e">
        <f t="shared" ca="1" si="777"/>
        <v>#REF!</v>
      </c>
      <c r="M832" s="243" t="e">
        <f ca="1">IF(AND(INDEX(FlowCalConstA,MATCH(J821,FlowCalNumber,0),1,1)*L832^INDEX(FlowCalConstB,MATCH(J821,FlowCalNumber,0),1,1)&gt;INDEX(FlowCalLowSetting,MATCH(J821,FlowCalNumber,0),1,1), (INDEX(FlowCalConstA,MATCH(J821,FlowCalNumber,0),1,1)*L832^INDEX(FlowCalConstB,MATCH(J821,FlowCalNumber,0),1,1)&lt;INDEX(FlowCalHighSetting,MATCH(J821,FlowCalNumber,0),1,1))),INDEX(FlowCalConstA,MATCH(J821,FlowCalNumber,0),1,1)*L832^INDEX(FlowCalConstB,MATCH(J821,FlowCalNumber,0),1,1)," ")</f>
        <v>#REF!</v>
      </c>
      <c r="N832" s="33"/>
      <c r="O832" s="242">
        <f t="shared" si="778"/>
        <v>1</v>
      </c>
      <c r="P832" s="241" t="e">
        <f t="shared" ca="1" si="779"/>
        <v>#REF!</v>
      </c>
      <c r="Q832" s="243" t="e">
        <f ca="1">IF(AND(INDEX(FlowCalConstA,MATCH(N821,FlowCalNumber,0),1,1)*P832^INDEX(FlowCalConstB,MATCH(N821,FlowCalNumber,0),1,1)&gt;INDEX(FlowCalLowSetting,MATCH(N821,FlowCalNumber,0),1,1), (INDEX(FlowCalConstA,MATCH(N821,FlowCalNumber,0),1,1)*P832^INDEX(FlowCalConstB,MATCH(N821,FlowCalNumber,0),1,1)&lt;INDEX(FlowCalHighSetting,MATCH(N821,FlowCalNumber,0),1,1))),INDEX(FlowCalConstA,MATCH(N821,FlowCalNumber,0),1,1)*P832^INDEX(FlowCalConstB,MATCH(N821,FlowCalNumber,0),1,1)," ")</f>
        <v>#REF!</v>
      </c>
      <c r="R832" s="33"/>
      <c r="S832" s="242">
        <f t="shared" si="780"/>
        <v>1</v>
      </c>
      <c r="T832" s="241" t="e">
        <f t="shared" ca="1" si="781"/>
        <v>#REF!</v>
      </c>
      <c r="U832" s="244" t="e">
        <f ca="1">IF(AND(INDEX(FlowCalConstA,MATCH(R821,FlowCalNumber,0),1,1)*T832^INDEX(FlowCalConstB,MATCH(R821,FlowCalNumber,0),1,1)&gt;INDEX(FlowCalLowSetting,MATCH(R821,FlowCalNumber,0),1,1), (INDEX(FlowCalConstA,MATCH(R821,FlowCalNumber,0),1,1)*T832^INDEX(FlowCalConstB,MATCH(R821,FlowCalNumber,0),1,1)&lt;INDEX(FlowCalHighSetting,MATCH(R821,FlowCalNumber,0),1,1))),INDEX(FlowCalConstA,MATCH(R821,FlowCalNumber,0),1,1)*T832^INDEX(FlowCalConstB,MATCH(R821,FlowCalNumber,0),1,1)," ")</f>
        <v>#REF!</v>
      </c>
      <c r="V832" s="33"/>
      <c r="W832" s="242">
        <f t="shared" si="782"/>
        <v>0.1</v>
      </c>
      <c r="X832" s="241" t="e">
        <f t="shared" ca="1" si="783"/>
        <v>#REF!</v>
      </c>
      <c r="Y832" s="243" t="e">
        <f ca="1">IF(AND(INDEX(FlowCalConstA,MATCH(V821,FlowCalNumber,0),1,1)*X832^INDEX(FlowCalConstB,MATCH(V821,FlowCalNumber,0),1,1)&gt;INDEX(FlowCalLowSetting,MATCH(V821,FlowCalNumber,0),1,1), (INDEX(FlowCalConstA,MATCH(V821,FlowCalNumber,0),1,1)*X832^INDEX(FlowCalConstB,MATCH(V821,FlowCalNumber,0),1,1)&lt;INDEX(FlowCalHighSetting,MATCH(V821,FlowCalNumber,0),1,1))),INDEX(FlowCalConstA,MATCH(V821,FlowCalNumber,0),1,1)*X832^INDEX(FlowCalConstB,MATCH(V821,FlowCalNumber,0),1,1)," ")</f>
        <v>#REF!</v>
      </c>
      <c r="Z832" s="33"/>
      <c r="AA832" s="242">
        <f t="shared" si="784"/>
        <v>0.9</v>
      </c>
      <c r="AB832" s="241" t="e">
        <f t="shared" ca="1" si="785"/>
        <v>#REF!</v>
      </c>
      <c r="AC832" s="243" t="e">
        <f ca="1">IF(AND(INDEX(FlowCalConstA,MATCH(Z821,FlowCalNumber,0),1,1)*AB832^INDEX(FlowCalConstB,MATCH(Z821,FlowCalNumber,0),1,1)&gt;INDEX(FlowCalLowSetting,MATCH(Z821,FlowCalNumber,0),1,1), (INDEX(FlowCalConstA,MATCH(Z821,FlowCalNumber,0),1,1)*AB832^INDEX(FlowCalConstB,MATCH(Z821,FlowCalNumber,0),1,1)&lt;INDEX(FlowCalHighSetting,MATCH(Z821,FlowCalNumber,0),1,1))),INDEX(FlowCalConstA,MATCH(Z821,FlowCalNumber,0),1,1)*AB832^INDEX(FlowCalConstB,MATCH(Z821,FlowCalNumber,0),1,1)," ")</f>
        <v>#REF!</v>
      </c>
      <c r="AD832" s="33"/>
      <c r="AE832" s="242">
        <f t="shared" si="786"/>
        <v>0.1</v>
      </c>
      <c r="AF832" s="241" t="e">
        <f t="shared" ca="1" si="787"/>
        <v>#REF!</v>
      </c>
      <c r="AG832" s="243" t="e">
        <f ca="1">IF(AND(INDEX(FlowCalConstA,MATCH(AD821,FlowCalNumber,0),1,1)*AF832^INDEX(FlowCalConstB,MATCH(AD821,FlowCalNumber,0),1,1)&gt;INDEX(FlowCalLowSetting,MATCH(AD821,FlowCalNumber,0),1,1), (INDEX(FlowCalConstA,MATCH(AD821,FlowCalNumber,0),1,1)*AF832^INDEX(FlowCalConstB,MATCH(AD821,FlowCalNumber,0),1,1)&lt;INDEX(FlowCalHighSetting,MATCH(AD821,FlowCalNumber,0),1,1))),INDEX(FlowCalConstA,MATCH(AD821,FlowCalNumber,0),1,1)*AF832^INDEX(FlowCalConstB,MATCH(AD821,FlowCalNumber,0),1,1)," ")</f>
        <v>#REF!</v>
      </c>
      <c r="AH832" s="33"/>
      <c r="AI832" s="242">
        <f t="shared" si="788"/>
        <v>0.9</v>
      </c>
      <c r="AJ832" s="241" t="e">
        <f t="shared" ca="1" si="789"/>
        <v>#REF!</v>
      </c>
      <c r="AK832" s="243" t="e">
        <f ca="1">IF(AND(INDEX(FlowCalConstA,MATCH(AH821,FlowCalNumber,0),1,1)*AJ832^INDEX(FlowCalConstB,MATCH(AH821,FlowCalNumber,0),1,1)&gt;INDEX(FlowCalLowSetting,MATCH(AH821,FlowCalNumber,0),1,1), (INDEX(FlowCalConstA,MATCH(AH821,FlowCalNumber,0),1,1)*AJ832^INDEX(FlowCalConstB,MATCH(AH821,FlowCalNumber,0),1,1)&lt;INDEX(FlowCalHighSetting,MATCH(AH821,FlowCalNumber,0),1,1))),INDEX(FlowCalConstA,MATCH(AH821,FlowCalNumber,0),1,1)*AJ832^INDEX(FlowCalConstB,MATCH(AH821,FlowCalNumber,0),1,1)," ")</f>
        <v>#REF!</v>
      </c>
      <c r="AL832" s="33"/>
      <c r="AM832" s="242"/>
      <c r="AN832" s="241"/>
      <c r="AO832" s="244"/>
      <c r="AQ832" s="242"/>
      <c r="AR832" s="241"/>
      <c r="AS832" s="244"/>
      <c r="AT832" s="33"/>
      <c r="AU832" s="242"/>
      <c r="AV832" s="241"/>
      <c r="AW832" s="244"/>
      <c r="AX832" s="33"/>
      <c r="AY832" s="242"/>
      <c r="AZ832" s="241"/>
      <c r="BA832" s="244"/>
      <c r="BB832" s="33"/>
      <c r="BC832" s="242"/>
      <c r="BD832" s="241"/>
      <c r="BE832" s="244"/>
      <c r="BF832" s="33"/>
      <c r="BG832" s="242"/>
      <c r="BH832" s="241"/>
      <c r="BI832" s="244"/>
      <c r="BJ832" s="33"/>
      <c r="BK832" s="242"/>
      <c r="BL832" s="241"/>
      <c r="BM832" s="244"/>
      <c r="BN832" s="33"/>
      <c r="BO832" s="242"/>
      <c r="BP832" s="241"/>
      <c r="BQ832" s="244"/>
      <c r="BR832" s="33"/>
      <c r="BS832" s="242"/>
      <c r="BT832" s="241"/>
      <c r="BU832" s="244"/>
      <c r="BV832" s="33"/>
      <c r="BW832" s="242"/>
      <c r="BX832" s="241"/>
      <c r="BY832" s="244"/>
      <c r="BZ832" s="33"/>
      <c r="CA832" s="242"/>
      <c r="CB832" s="241"/>
      <c r="CC832" s="244"/>
      <c r="CD832" s="243"/>
      <c r="CE832" s="243"/>
      <c r="CF832" s="243"/>
      <c r="CG832" s="243"/>
      <c r="CH832" s="243"/>
      <c r="CI832" s="243"/>
      <c r="CJ832" s="243"/>
      <c r="CK832" s="243"/>
      <c r="CL832" s="243"/>
      <c r="CM832" s="243"/>
      <c r="CN832" s="243"/>
      <c r="CO832" s="243"/>
      <c r="CP832" s="243"/>
      <c r="CQ832" s="243"/>
      <c r="CR832" s="243"/>
      <c r="CS832" s="243"/>
      <c r="CT832" s="243"/>
      <c r="CU832" s="243"/>
      <c r="CV832" s="243"/>
      <c r="CW832" s="243"/>
      <c r="CX832" s="243"/>
      <c r="CY832" s="243"/>
      <c r="CZ832" s="243"/>
      <c r="DA832" s="243"/>
      <c r="DB832" s="243"/>
      <c r="DC832" s="243"/>
      <c r="DD832" s="243"/>
      <c r="DE832" s="243"/>
      <c r="DF832" s="243"/>
      <c r="DG832" s="243"/>
      <c r="DH832" s="243"/>
      <c r="DI832" s="243"/>
      <c r="DJ832" s="243"/>
      <c r="DK832" s="243"/>
      <c r="DM832" s="242"/>
      <c r="DO832" s="243"/>
      <c r="DQ832" s="242"/>
      <c r="DS832" s="243"/>
      <c r="DU832" s="242"/>
      <c r="DW832" s="243"/>
      <c r="DY832" s="242"/>
      <c r="EA832" s="243"/>
    </row>
    <row r="833" spans="1:131">
      <c r="A833" s="20"/>
      <c r="B833" s="124" t="str">
        <f t="shared" si="774"/>
        <v/>
      </c>
      <c r="C833" s="235"/>
      <c r="D833" s="24">
        <f>'1% Wind'!$M$93</f>
        <v>2.4</v>
      </c>
      <c r="E833" s="90"/>
      <c r="F833" s="90"/>
      <c r="G833" s="79" t="e">
        <f ca="1">IF(I821=0.9743,$G832,MAX(G832/D832*D833,2))</f>
        <v>#REF!</v>
      </c>
      <c r="H833" s="121" t="e">
        <f t="shared" ca="1" si="775"/>
        <v>#REF!</v>
      </c>
      <c r="J833" s="33"/>
      <c r="K833" s="242">
        <f t="shared" si="776"/>
        <v>1</v>
      </c>
      <c r="L833" s="241" t="e">
        <f t="shared" ca="1" si="777"/>
        <v>#REF!</v>
      </c>
      <c r="M833" s="243" t="e">
        <f ca="1">IF(AND(INDEX(FlowCalConstA,MATCH(J821,FlowCalNumber,0),1,1)*L833^INDEX(FlowCalConstB,MATCH(J821,FlowCalNumber,0),1,1)&gt;INDEX(FlowCalLowSetting,MATCH(J821,FlowCalNumber,0),1,1), (INDEX(FlowCalConstA,MATCH(J821,FlowCalNumber,0),1,1)*L833^INDEX(FlowCalConstB,MATCH(J821,FlowCalNumber,0),1,1)&lt;INDEX(FlowCalHighSetting,MATCH(J821,FlowCalNumber,0),1,1))),INDEX(FlowCalConstA,MATCH(J821,FlowCalNumber,0),1,1)*L833^INDEX(FlowCalConstB,MATCH(J821,FlowCalNumber,0),1,1)," ")</f>
        <v>#REF!</v>
      </c>
      <c r="N833" s="33"/>
      <c r="O833" s="242">
        <f t="shared" si="778"/>
        <v>1</v>
      </c>
      <c r="P833" s="241" t="e">
        <f t="shared" ca="1" si="779"/>
        <v>#REF!</v>
      </c>
      <c r="Q833" s="243" t="e">
        <f ca="1">IF(AND(INDEX(FlowCalConstA,MATCH(N821,FlowCalNumber,0),1,1)*P833^INDEX(FlowCalConstB,MATCH(N821,FlowCalNumber,0),1,1)&gt;INDEX(FlowCalLowSetting,MATCH(N821,FlowCalNumber,0),1,1), (INDEX(FlowCalConstA,MATCH(N821,FlowCalNumber,0),1,1)*P833^INDEX(FlowCalConstB,MATCH(N821,FlowCalNumber,0),1,1)&lt;INDEX(FlowCalHighSetting,MATCH(N821,FlowCalNumber,0),1,1))),INDEX(FlowCalConstA,MATCH(N821,FlowCalNumber,0),1,1)*P833^INDEX(FlowCalConstB,MATCH(N821,FlowCalNumber,0),1,1)," ")</f>
        <v>#REF!</v>
      </c>
      <c r="R833" s="33"/>
      <c r="S833" s="242">
        <f t="shared" si="780"/>
        <v>1</v>
      </c>
      <c r="T833" s="241" t="e">
        <f t="shared" ca="1" si="781"/>
        <v>#REF!</v>
      </c>
      <c r="U833" s="244" t="e">
        <f ca="1">IF(AND(INDEX(FlowCalConstA,MATCH(R821,FlowCalNumber,0),1,1)*T833^INDEX(FlowCalConstB,MATCH(R821,FlowCalNumber,0),1,1)&gt;INDEX(FlowCalLowSetting,MATCH(R821,FlowCalNumber,0),1,1), (INDEX(FlowCalConstA,MATCH(R821,FlowCalNumber,0),1,1)*T833^INDEX(FlowCalConstB,MATCH(R821,FlowCalNumber,0),1,1)&lt;INDEX(FlowCalHighSetting,MATCH(R821,FlowCalNumber,0),1,1))),INDEX(FlowCalConstA,MATCH(R821,FlowCalNumber,0),1,1)*T833^INDEX(FlowCalConstB,MATCH(R821,FlowCalNumber,0),1,1)," ")</f>
        <v>#REF!</v>
      </c>
      <c r="V833" s="33"/>
      <c r="W833" s="242">
        <f t="shared" si="782"/>
        <v>0.1</v>
      </c>
      <c r="X833" s="241" t="e">
        <f t="shared" ca="1" si="783"/>
        <v>#REF!</v>
      </c>
      <c r="Y833" s="243" t="e">
        <f ca="1">IF(AND(INDEX(FlowCalConstA,MATCH(V821,FlowCalNumber,0),1,1)*X833^INDEX(FlowCalConstB,MATCH(V821,FlowCalNumber,0),1,1)&gt;INDEX(FlowCalLowSetting,MATCH(V821,FlowCalNumber,0),1,1), (INDEX(FlowCalConstA,MATCH(V821,FlowCalNumber,0),1,1)*X833^INDEX(FlowCalConstB,MATCH(V821,FlowCalNumber,0),1,1)&lt;INDEX(FlowCalHighSetting,MATCH(V821,FlowCalNumber,0),1,1))),INDEX(FlowCalConstA,MATCH(V821,FlowCalNumber,0),1,1)*X833^INDEX(FlowCalConstB,MATCH(V821,FlowCalNumber,0),1,1)," ")</f>
        <v>#REF!</v>
      </c>
      <c r="Z833" s="33"/>
      <c r="AA833" s="242">
        <f t="shared" si="784"/>
        <v>0.9</v>
      </c>
      <c r="AB833" s="241" t="e">
        <f t="shared" ca="1" si="785"/>
        <v>#REF!</v>
      </c>
      <c r="AC833" s="243" t="e">
        <f ca="1">IF(AND(INDEX(FlowCalConstA,MATCH(Z821,FlowCalNumber,0),1,1)*AB833^INDEX(FlowCalConstB,MATCH(Z821,FlowCalNumber,0),1,1)&gt;INDEX(FlowCalLowSetting,MATCH(Z821,FlowCalNumber,0),1,1), (INDEX(FlowCalConstA,MATCH(Z821,FlowCalNumber,0),1,1)*AB833^INDEX(FlowCalConstB,MATCH(Z821,FlowCalNumber,0),1,1)&lt;INDEX(FlowCalHighSetting,MATCH(Z821,FlowCalNumber,0),1,1))),INDEX(FlowCalConstA,MATCH(Z821,FlowCalNumber,0),1,1)*AB833^INDEX(FlowCalConstB,MATCH(Z821,FlowCalNumber,0),1,1)," ")</f>
        <v>#REF!</v>
      </c>
      <c r="AD833" s="33"/>
      <c r="AE833" s="242">
        <f t="shared" si="786"/>
        <v>0.1</v>
      </c>
      <c r="AF833" s="241" t="e">
        <f t="shared" ca="1" si="787"/>
        <v>#REF!</v>
      </c>
      <c r="AG833" s="243" t="e">
        <f ca="1">IF(AND(INDEX(FlowCalConstA,MATCH(AD821,FlowCalNumber,0),1,1)*AF833^INDEX(FlowCalConstB,MATCH(AD821,FlowCalNumber,0),1,1)&gt;INDEX(FlowCalLowSetting,MATCH(AD821,FlowCalNumber,0),1,1), (INDEX(FlowCalConstA,MATCH(AD821,FlowCalNumber,0),1,1)*AF833^INDEX(FlowCalConstB,MATCH(AD821,FlowCalNumber,0),1,1)&lt;INDEX(FlowCalHighSetting,MATCH(AD821,FlowCalNumber,0),1,1))),INDEX(FlowCalConstA,MATCH(AD821,FlowCalNumber,0),1,1)*AF833^INDEX(FlowCalConstB,MATCH(AD821,FlowCalNumber,0),1,1)," ")</f>
        <v>#REF!</v>
      </c>
      <c r="AH833" s="33"/>
      <c r="AI833" s="242">
        <f t="shared" si="788"/>
        <v>0.9</v>
      </c>
      <c r="AJ833" s="241" t="e">
        <f t="shared" ca="1" si="789"/>
        <v>#REF!</v>
      </c>
      <c r="AK833" s="243" t="e">
        <f ca="1">IF(AND(INDEX(FlowCalConstA,MATCH(AH821,FlowCalNumber,0),1,1)*AJ833^INDEX(FlowCalConstB,MATCH(AH821,FlowCalNumber,0),1,1)&gt;INDEX(FlowCalLowSetting,MATCH(AH821,FlowCalNumber,0),1,1), (INDEX(FlowCalConstA,MATCH(AH821,FlowCalNumber,0),1,1)*AJ833^INDEX(FlowCalConstB,MATCH(AH821,FlowCalNumber,0),1,1)&lt;INDEX(FlowCalHighSetting,MATCH(AH821,FlowCalNumber,0),1,1))),INDEX(FlowCalConstA,MATCH(AH821,FlowCalNumber,0),1,1)*AJ833^INDEX(FlowCalConstB,MATCH(AH821,FlowCalNumber,0),1,1)," ")</f>
        <v>#REF!</v>
      </c>
      <c r="AL833" s="33"/>
      <c r="AM833" s="242"/>
      <c r="AN833" s="241"/>
      <c r="AO833" s="244"/>
      <c r="AQ833" s="242"/>
      <c r="AR833" s="241"/>
      <c r="AS833" s="244"/>
      <c r="AT833" s="33"/>
      <c r="AU833" s="242"/>
      <c r="AV833" s="241"/>
      <c r="AW833" s="244"/>
      <c r="AX833" s="33"/>
      <c r="AY833" s="242"/>
      <c r="AZ833" s="241"/>
      <c r="BA833" s="244"/>
      <c r="BB833" s="33"/>
      <c r="BC833" s="242"/>
      <c r="BD833" s="241"/>
      <c r="BE833" s="244"/>
      <c r="BF833" s="33"/>
      <c r="BG833" s="242"/>
      <c r="BH833" s="241"/>
      <c r="BI833" s="244"/>
      <c r="BJ833" s="33"/>
      <c r="BK833" s="242"/>
      <c r="BL833" s="241"/>
      <c r="BM833" s="244"/>
      <c r="BN833" s="33"/>
      <c r="BO833" s="242"/>
      <c r="BP833" s="241"/>
      <c r="BQ833" s="244"/>
      <c r="BR833" s="33"/>
      <c r="BS833" s="242"/>
      <c r="BT833" s="241"/>
      <c r="BU833" s="244"/>
      <c r="BV833" s="33"/>
      <c r="BW833" s="242"/>
      <c r="BX833" s="241"/>
      <c r="BY833" s="244"/>
      <c r="BZ833" s="33"/>
      <c r="CA833" s="242"/>
      <c r="CB833" s="241"/>
      <c r="CC833" s="244"/>
      <c r="CD833" s="243"/>
      <c r="CE833" s="243"/>
      <c r="CF833" s="243"/>
      <c r="CG833" s="243"/>
      <c r="CH833" s="243"/>
      <c r="CI833" s="243"/>
      <c r="CJ833" s="243"/>
      <c r="CK833" s="243"/>
      <c r="CL833" s="243"/>
      <c r="CM833" s="243"/>
      <c r="CN833" s="243"/>
      <c r="CO833" s="243"/>
      <c r="CP833" s="243"/>
      <c r="CQ833" s="243"/>
      <c r="CR833" s="243"/>
      <c r="CS833" s="243"/>
      <c r="CT833" s="243"/>
      <c r="CU833" s="243"/>
      <c r="CV833" s="243"/>
      <c r="CW833" s="243"/>
      <c r="CX833" s="243"/>
      <c r="CY833" s="243"/>
      <c r="CZ833" s="243"/>
      <c r="DA833" s="243"/>
      <c r="DB833" s="243"/>
      <c r="DC833" s="243"/>
      <c r="DD833" s="243"/>
      <c r="DE833" s="243"/>
      <c r="DF833" s="243"/>
      <c r="DG833" s="243"/>
      <c r="DH833" s="243"/>
      <c r="DI833" s="243"/>
      <c r="DJ833" s="243"/>
      <c r="DK833" s="243"/>
      <c r="DM833" s="242"/>
      <c r="DO833" s="243"/>
      <c r="DQ833" s="242"/>
      <c r="DS833" s="243"/>
      <c r="DU833" s="242"/>
      <c r="DW833" s="243"/>
      <c r="DY833" s="242"/>
      <c r="EA833" s="243"/>
    </row>
    <row r="834" spans="1:131">
      <c r="A834" s="20"/>
      <c r="B834" s="124" t="str">
        <f t="shared" si="774"/>
        <v/>
      </c>
      <c r="C834" s="235"/>
      <c r="D834" s="24">
        <f>'1% Wind'!$M$94</f>
        <v>1.8</v>
      </c>
      <c r="E834" s="90"/>
      <c r="F834" s="90"/>
      <c r="G834" s="79" t="e">
        <f ca="1">IF(I821=0.9743,$G833,MAX(G833/D833*D834,2))</f>
        <v>#REF!</v>
      </c>
      <c r="H834" s="121" t="e">
        <f t="shared" ca="1" si="775"/>
        <v>#REF!</v>
      </c>
      <c r="J834" s="33"/>
      <c r="K834" s="242">
        <f t="shared" si="776"/>
        <v>1</v>
      </c>
      <c r="L834" s="241" t="e">
        <f t="shared" ca="1" si="777"/>
        <v>#REF!</v>
      </c>
      <c r="M834" s="243" t="e">
        <f ca="1">IF(AND(INDEX(FlowCalConstA,MATCH(J821,FlowCalNumber,0),1,1)*L834^INDEX(FlowCalConstB,MATCH(J821,FlowCalNumber,0),1,1)&gt;INDEX(FlowCalLowSetting,MATCH(J821,FlowCalNumber,0),1,1), (INDEX(FlowCalConstA,MATCH(J821,FlowCalNumber,0),1,1)*L834^INDEX(FlowCalConstB,MATCH(J821,FlowCalNumber,0),1,1)&lt;INDEX(FlowCalHighSetting,MATCH(J821,FlowCalNumber,0),1,1))),INDEX(FlowCalConstA,MATCH(J821,FlowCalNumber,0),1,1)*L834^INDEX(FlowCalConstB,MATCH(J821,FlowCalNumber,0),1,1)," ")</f>
        <v>#REF!</v>
      </c>
      <c r="N834" s="33"/>
      <c r="O834" s="242">
        <f t="shared" si="778"/>
        <v>1</v>
      </c>
      <c r="P834" s="241" t="e">
        <f t="shared" ca="1" si="779"/>
        <v>#REF!</v>
      </c>
      <c r="Q834" s="243" t="e">
        <f ca="1">IF(AND(INDEX(FlowCalConstA,MATCH(N821,FlowCalNumber,0),1,1)*P834^INDEX(FlowCalConstB,MATCH(N821,FlowCalNumber,0),1,1)&gt;INDEX(FlowCalLowSetting,MATCH(N821,FlowCalNumber,0),1,1), (INDEX(FlowCalConstA,MATCH(N821,FlowCalNumber,0),1,1)*P834^INDEX(FlowCalConstB,MATCH(N821,FlowCalNumber,0),1,1)&lt;INDEX(FlowCalHighSetting,MATCH(N821,FlowCalNumber,0),1,1))),INDEX(FlowCalConstA,MATCH(N821,FlowCalNumber,0),1,1)*P834^INDEX(FlowCalConstB,MATCH(N821,FlowCalNumber,0),1,1)," ")</f>
        <v>#REF!</v>
      </c>
      <c r="R834" s="33"/>
      <c r="S834" s="242">
        <f t="shared" si="780"/>
        <v>1</v>
      </c>
      <c r="T834" s="241" t="e">
        <f t="shared" ca="1" si="781"/>
        <v>#REF!</v>
      </c>
      <c r="U834" s="244" t="e">
        <f ca="1">IF(AND(INDEX(FlowCalConstA,MATCH(R821,FlowCalNumber,0),1,1)*T834^INDEX(FlowCalConstB,MATCH(R821,FlowCalNumber,0),1,1)&gt;INDEX(FlowCalLowSetting,MATCH(R821,FlowCalNumber,0),1,1), (INDEX(FlowCalConstA,MATCH(R821,FlowCalNumber,0),1,1)*T834^INDEX(FlowCalConstB,MATCH(R821,FlowCalNumber,0),1,1)&lt;INDEX(FlowCalHighSetting,MATCH(R821,FlowCalNumber,0),1,1))),INDEX(FlowCalConstA,MATCH(R821,FlowCalNumber,0),1,1)*T834^INDEX(FlowCalConstB,MATCH(R821,FlowCalNumber,0),1,1)," ")</f>
        <v>#REF!</v>
      </c>
      <c r="V834" s="33"/>
      <c r="W834" s="242">
        <f t="shared" si="782"/>
        <v>0.1</v>
      </c>
      <c r="X834" s="241" t="e">
        <f t="shared" ca="1" si="783"/>
        <v>#REF!</v>
      </c>
      <c r="Y834" s="243" t="e">
        <f ca="1">IF(AND(INDEX(FlowCalConstA,MATCH(V821,FlowCalNumber,0),1,1)*X834^INDEX(FlowCalConstB,MATCH(V821,FlowCalNumber,0),1,1)&gt;INDEX(FlowCalLowSetting,MATCH(V821,FlowCalNumber,0),1,1), (INDEX(FlowCalConstA,MATCH(V821,FlowCalNumber,0),1,1)*X834^INDEX(FlowCalConstB,MATCH(V821,FlowCalNumber,0),1,1)&lt;INDEX(FlowCalHighSetting,MATCH(V821,FlowCalNumber,0),1,1))),INDEX(FlowCalConstA,MATCH(V821,FlowCalNumber,0),1,1)*X834^INDEX(FlowCalConstB,MATCH(V821,FlowCalNumber,0),1,1)," ")</f>
        <v>#REF!</v>
      </c>
      <c r="Z834" s="33"/>
      <c r="AA834" s="242">
        <f t="shared" si="784"/>
        <v>0.9</v>
      </c>
      <c r="AB834" s="241" t="e">
        <f t="shared" ca="1" si="785"/>
        <v>#REF!</v>
      </c>
      <c r="AC834" s="243" t="e">
        <f ca="1">IF(AND(INDEX(FlowCalConstA,MATCH(Z821,FlowCalNumber,0),1,1)*AB834^INDEX(FlowCalConstB,MATCH(Z821,FlowCalNumber,0),1,1)&gt;INDEX(FlowCalLowSetting,MATCH(Z821,FlowCalNumber,0),1,1), (INDEX(FlowCalConstA,MATCH(Z821,FlowCalNumber,0),1,1)*AB834^INDEX(FlowCalConstB,MATCH(Z821,FlowCalNumber,0),1,1)&lt;INDEX(FlowCalHighSetting,MATCH(Z821,FlowCalNumber,0),1,1))),INDEX(FlowCalConstA,MATCH(Z821,FlowCalNumber,0),1,1)*AB834^INDEX(FlowCalConstB,MATCH(Z821,FlowCalNumber,0),1,1)," ")</f>
        <v>#REF!</v>
      </c>
      <c r="AD834" s="33"/>
      <c r="AE834" s="242">
        <f t="shared" si="786"/>
        <v>0.1</v>
      </c>
      <c r="AF834" s="241" t="e">
        <f t="shared" ca="1" si="787"/>
        <v>#REF!</v>
      </c>
      <c r="AG834" s="243" t="e">
        <f ca="1">IF(AND(INDEX(FlowCalConstA,MATCH(AD821,FlowCalNumber,0),1,1)*AF834^INDEX(FlowCalConstB,MATCH(AD821,FlowCalNumber,0),1,1)&gt;INDEX(FlowCalLowSetting,MATCH(AD821,FlowCalNumber,0),1,1), (INDEX(FlowCalConstA,MATCH(AD821,FlowCalNumber,0),1,1)*AF834^INDEX(FlowCalConstB,MATCH(AD821,FlowCalNumber,0),1,1)&lt;INDEX(FlowCalHighSetting,MATCH(AD821,FlowCalNumber,0),1,1))),INDEX(FlowCalConstA,MATCH(AD821,FlowCalNumber,0),1,1)*AF834^INDEX(FlowCalConstB,MATCH(AD821,FlowCalNumber,0),1,1)," ")</f>
        <v>#REF!</v>
      </c>
      <c r="AH834" s="33"/>
      <c r="AI834" s="242">
        <f t="shared" si="788"/>
        <v>0.9</v>
      </c>
      <c r="AJ834" s="241" t="e">
        <f t="shared" ca="1" si="789"/>
        <v>#REF!</v>
      </c>
      <c r="AK834" s="243" t="e">
        <f ca="1">IF(AND(INDEX(FlowCalConstA,MATCH(AH821,FlowCalNumber,0),1,1)*AJ834^INDEX(FlowCalConstB,MATCH(AH821,FlowCalNumber,0),1,1)&gt;INDEX(FlowCalLowSetting,MATCH(AH821,FlowCalNumber,0),1,1), (INDEX(FlowCalConstA,MATCH(AH821,FlowCalNumber,0),1,1)*AJ834^INDEX(FlowCalConstB,MATCH(AH821,FlowCalNumber,0),1,1)&lt;INDEX(FlowCalHighSetting,MATCH(AH821,FlowCalNumber,0),1,1))),INDEX(FlowCalConstA,MATCH(AH821,FlowCalNumber,0),1,1)*AJ834^INDEX(FlowCalConstB,MATCH(AH821,FlowCalNumber,0),1,1)," ")</f>
        <v>#REF!</v>
      </c>
      <c r="AL834" s="33"/>
      <c r="AM834" s="242"/>
      <c r="AN834" s="241"/>
      <c r="AO834" s="244"/>
      <c r="AQ834" s="242"/>
      <c r="AR834" s="241"/>
      <c r="AS834" s="244"/>
      <c r="AT834" s="33"/>
      <c r="AU834" s="242"/>
      <c r="AV834" s="241"/>
      <c r="AW834" s="244"/>
      <c r="AX834" s="33"/>
      <c r="AY834" s="242"/>
      <c r="AZ834" s="241"/>
      <c r="BA834" s="244"/>
      <c r="BB834" s="33"/>
      <c r="BC834" s="242"/>
      <c r="BD834" s="241"/>
      <c r="BE834" s="244"/>
      <c r="BF834" s="33"/>
      <c r="BG834" s="242"/>
      <c r="BH834" s="241"/>
      <c r="BI834" s="244"/>
      <c r="BJ834" s="33"/>
      <c r="BK834" s="242"/>
      <c r="BL834" s="241"/>
      <c r="BM834" s="244"/>
      <c r="BN834" s="33"/>
      <c r="BO834" s="242"/>
      <c r="BP834" s="241"/>
      <c r="BQ834" s="244"/>
      <c r="BR834" s="33"/>
      <c r="BS834" s="242"/>
      <c r="BT834" s="241"/>
      <c r="BU834" s="244"/>
      <c r="BV834" s="33"/>
      <c r="BW834" s="242"/>
      <c r="BX834" s="241"/>
      <c r="BY834" s="244"/>
      <c r="BZ834" s="33"/>
      <c r="CA834" s="242"/>
      <c r="CB834" s="241"/>
      <c r="CC834" s="244"/>
      <c r="CD834" s="243"/>
      <c r="CE834" s="243"/>
      <c r="CF834" s="243"/>
      <c r="CG834" s="243"/>
      <c r="CH834" s="243"/>
      <c r="CI834" s="243"/>
      <c r="CJ834" s="243"/>
      <c r="CK834" s="243"/>
      <c r="CL834" s="243"/>
      <c r="CM834" s="243"/>
      <c r="CN834" s="243"/>
      <c r="CO834" s="243"/>
      <c r="CP834" s="243"/>
      <c r="CQ834" s="243"/>
      <c r="CR834" s="243"/>
      <c r="CS834" s="243"/>
      <c r="CT834" s="243"/>
      <c r="CU834" s="243"/>
      <c r="CV834" s="243"/>
      <c r="CW834" s="243"/>
      <c r="CX834" s="243"/>
      <c r="CY834" s="243"/>
      <c r="CZ834" s="243"/>
      <c r="DA834" s="243"/>
      <c r="DB834" s="243"/>
      <c r="DC834" s="243"/>
      <c r="DD834" s="243"/>
      <c r="DE834" s="243"/>
      <c r="DF834" s="243"/>
      <c r="DG834" s="243"/>
      <c r="DH834" s="243"/>
      <c r="DI834" s="243"/>
      <c r="DJ834" s="243"/>
      <c r="DK834" s="243"/>
      <c r="DM834" s="242"/>
      <c r="DO834" s="243"/>
      <c r="DQ834" s="242"/>
      <c r="DS834" s="243"/>
      <c r="DU834" s="242"/>
      <c r="DW834" s="243"/>
      <c r="DY834" s="242"/>
      <c r="EA834" s="243"/>
    </row>
    <row r="835" spans="1:131">
      <c r="A835" s="20"/>
      <c r="B835" s="124" t="str">
        <f t="shared" si="774"/>
        <v/>
      </c>
      <c r="C835" s="235"/>
      <c r="D835" s="24">
        <f>'1% Wind'!$M$95</f>
        <v>1.3</v>
      </c>
      <c r="E835" s="90"/>
      <c r="F835" s="90"/>
      <c r="G835" s="79" t="e">
        <f ca="1">IF(I821=0.9743,$G834,MAX(G834/D834*D835,2))</f>
        <v>#REF!</v>
      </c>
      <c r="H835" s="121" t="e">
        <f t="shared" ca="1" si="775"/>
        <v>#REF!</v>
      </c>
      <c r="J835" s="33"/>
      <c r="K835" s="242">
        <f t="shared" si="776"/>
        <v>1</v>
      </c>
      <c r="L835" s="241" t="e">
        <f t="shared" ca="1" si="777"/>
        <v>#REF!</v>
      </c>
      <c r="M835" s="243" t="e">
        <f ca="1">IF(AND(INDEX(FlowCalConstA,MATCH(J821,FlowCalNumber,0),1,1)*L835^INDEX(FlowCalConstB,MATCH(J821,FlowCalNumber,0),1,1)&gt;INDEX(FlowCalLowSetting,MATCH(J821,FlowCalNumber,0),1,1), (INDEX(FlowCalConstA,MATCH(J821,FlowCalNumber,0),1,1)*L835^INDEX(FlowCalConstB,MATCH(J821,FlowCalNumber,0),1,1)&lt;INDEX(FlowCalHighSetting,MATCH(J821,FlowCalNumber,0),1,1))),INDEX(FlowCalConstA,MATCH(J821,FlowCalNumber,0),1,1)*L835^INDEX(FlowCalConstB,MATCH(J821,FlowCalNumber,0),1,1)," ")</f>
        <v>#REF!</v>
      </c>
      <c r="N835" s="33"/>
      <c r="O835" s="242">
        <f t="shared" si="778"/>
        <v>1</v>
      </c>
      <c r="P835" s="241" t="e">
        <f t="shared" ca="1" si="779"/>
        <v>#REF!</v>
      </c>
      <c r="Q835" s="243" t="e">
        <f ca="1">IF(AND(INDEX(FlowCalConstA,MATCH(N821,FlowCalNumber,0),1,1)*P835^INDEX(FlowCalConstB,MATCH(N821,FlowCalNumber,0),1,1)&gt;INDEX(FlowCalLowSetting,MATCH(N821,FlowCalNumber,0),1,1), (INDEX(FlowCalConstA,MATCH(N821,FlowCalNumber,0),1,1)*P835^INDEX(FlowCalConstB,MATCH(N821,FlowCalNumber,0),1,1)&lt;INDEX(FlowCalHighSetting,MATCH(N821,FlowCalNumber,0),1,1))),INDEX(FlowCalConstA,MATCH(N821,FlowCalNumber,0),1,1)*P835^INDEX(FlowCalConstB,MATCH(N821,FlowCalNumber,0),1,1)," ")</f>
        <v>#REF!</v>
      </c>
      <c r="R835" s="33"/>
      <c r="S835" s="242">
        <f t="shared" si="780"/>
        <v>1</v>
      </c>
      <c r="T835" s="241" t="e">
        <f t="shared" ca="1" si="781"/>
        <v>#REF!</v>
      </c>
      <c r="U835" s="244" t="e">
        <f ca="1">IF(AND(INDEX(FlowCalConstA,MATCH(R821,FlowCalNumber,0),1,1)*T835^INDEX(FlowCalConstB,MATCH(R821,FlowCalNumber,0),1,1)&gt;INDEX(FlowCalLowSetting,MATCH(R821,FlowCalNumber,0),1,1), (INDEX(FlowCalConstA,MATCH(R821,FlowCalNumber,0),1,1)*T835^INDEX(FlowCalConstB,MATCH(R821,FlowCalNumber,0),1,1)&lt;INDEX(FlowCalHighSetting,MATCH(R821,FlowCalNumber,0),1,1))),INDEX(FlowCalConstA,MATCH(R821,FlowCalNumber,0),1,1)*T835^INDEX(FlowCalConstB,MATCH(R821,FlowCalNumber,0),1,1)," ")</f>
        <v>#REF!</v>
      </c>
      <c r="V835" s="33"/>
      <c r="W835" s="242">
        <f t="shared" si="782"/>
        <v>0.1</v>
      </c>
      <c r="X835" s="241" t="e">
        <f t="shared" ca="1" si="783"/>
        <v>#REF!</v>
      </c>
      <c r="Y835" s="243" t="e">
        <f ca="1">IF(AND(INDEX(FlowCalConstA,MATCH(V821,FlowCalNumber,0),1,1)*X835^INDEX(FlowCalConstB,MATCH(V821,FlowCalNumber,0),1,1)&gt;INDEX(FlowCalLowSetting,MATCH(V821,FlowCalNumber,0),1,1), (INDEX(FlowCalConstA,MATCH(V821,FlowCalNumber,0),1,1)*X835^INDEX(FlowCalConstB,MATCH(V821,FlowCalNumber,0),1,1)&lt;INDEX(FlowCalHighSetting,MATCH(V821,FlowCalNumber,0),1,1))),INDEX(FlowCalConstA,MATCH(V821,FlowCalNumber,0),1,1)*X835^INDEX(FlowCalConstB,MATCH(V821,FlowCalNumber,0),1,1)," ")</f>
        <v>#REF!</v>
      </c>
      <c r="Z835" s="33"/>
      <c r="AA835" s="242">
        <f t="shared" si="784"/>
        <v>0.9</v>
      </c>
      <c r="AB835" s="241" t="e">
        <f t="shared" ca="1" si="785"/>
        <v>#REF!</v>
      </c>
      <c r="AC835" s="243" t="e">
        <f ca="1">IF(AND(INDEX(FlowCalConstA,MATCH(Z821,FlowCalNumber,0),1,1)*AB835^INDEX(FlowCalConstB,MATCH(Z821,FlowCalNumber,0),1,1)&gt;INDEX(FlowCalLowSetting,MATCH(Z821,FlowCalNumber,0),1,1), (INDEX(FlowCalConstA,MATCH(Z821,FlowCalNumber,0),1,1)*AB835^INDEX(FlowCalConstB,MATCH(Z821,FlowCalNumber,0),1,1)&lt;INDEX(FlowCalHighSetting,MATCH(Z821,FlowCalNumber,0),1,1))),INDEX(FlowCalConstA,MATCH(Z821,FlowCalNumber,0),1,1)*AB835^INDEX(FlowCalConstB,MATCH(Z821,FlowCalNumber,0),1,1)," ")</f>
        <v>#REF!</v>
      </c>
      <c r="AD835" s="33"/>
      <c r="AE835" s="242">
        <f t="shared" si="786"/>
        <v>0.1</v>
      </c>
      <c r="AF835" s="241" t="e">
        <f t="shared" ca="1" si="787"/>
        <v>#REF!</v>
      </c>
      <c r="AG835" s="243" t="e">
        <f ca="1">IF(AND(INDEX(FlowCalConstA,MATCH(AD821,FlowCalNumber,0),1,1)*AF835^INDEX(FlowCalConstB,MATCH(AD821,FlowCalNumber,0),1,1)&gt;INDEX(FlowCalLowSetting,MATCH(AD821,FlowCalNumber,0),1,1), (INDEX(FlowCalConstA,MATCH(AD821,FlowCalNumber,0),1,1)*AF835^INDEX(FlowCalConstB,MATCH(AD821,FlowCalNumber,0),1,1)&lt;INDEX(FlowCalHighSetting,MATCH(AD821,FlowCalNumber,0),1,1))),INDEX(FlowCalConstA,MATCH(AD821,FlowCalNumber,0),1,1)*AF835^INDEX(FlowCalConstB,MATCH(AD821,FlowCalNumber,0),1,1)," ")</f>
        <v>#REF!</v>
      </c>
      <c r="AH835" s="33"/>
      <c r="AI835" s="242">
        <f t="shared" si="788"/>
        <v>0.9</v>
      </c>
      <c r="AJ835" s="241" t="e">
        <f t="shared" ca="1" si="789"/>
        <v>#REF!</v>
      </c>
      <c r="AK835" s="243" t="e">
        <f ca="1">IF(AND(INDEX(FlowCalConstA,MATCH(AH821,FlowCalNumber,0),1,1)*AJ835^INDEX(FlowCalConstB,MATCH(AH821,FlowCalNumber,0),1,1)&gt;INDEX(FlowCalLowSetting,MATCH(AH821,FlowCalNumber,0),1,1), (INDEX(FlowCalConstA,MATCH(AH821,FlowCalNumber,0),1,1)*AJ835^INDEX(FlowCalConstB,MATCH(AH821,FlowCalNumber,0),1,1)&lt;INDEX(FlowCalHighSetting,MATCH(AH821,FlowCalNumber,0),1,1))),INDEX(FlowCalConstA,MATCH(AH821,FlowCalNumber,0),1,1)*AJ835^INDEX(FlowCalConstB,MATCH(AH821,FlowCalNumber,0),1,1)," ")</f>
        <v>#REF!</v>
      </c>
      <c r="AL835" s="33"/>
      <c r="AM835" s="242"/>
      <c r="AN835" s="241"/>
      <c r="AO835" s="244"/>
      <c r="AQ835" s="242"/>
      <c r="AR835" s="241"/>
      <c r="AS835" s="244"/>
      <c r="AT835" s="33"/>
      <c r="AU835" s="242"/>
      <c r="AV835" s="241"/>
      <c r="AW835" s="244"/>
      <c r="AX835" s="33"/>
      <c r="AY835" s="242"/>
      <c r="AZ835" s="241"/>
      <c r="BA835" s="244"/>
      <c r="BB835" s="33"/>
      <c r="BC835" s="242"/>
      <c r="BD835" s="241"/>
      <c r="BE835" s="244"/>
      <c r="BF835" s="33"/>
      <c r="BG835" s="242"/>
      <c r="BH835" s="241"/>
      <c r="BI835" s="244"/>
      <c r="BJ835" s="33"/>
      <c r="BK835" s="242"/>
      <c r="BL835" s="241"/>
      <c r="BM835" s="244"/>
      <c r="BN835" s="33"/>
      <c r="BO835" s="242"/>
      <c r="BP835" s="241"/>
      <c r="BQ835" s="244"/>
      <c r="BR835" s="33"/>
      <c r="BS835" s="242"/>
      <c r="BT835" s="241"/>
      <c r="BU835" s="244"/>
      <c r="BV835" s="33"/>
      <c r="BW835" s="242"/>
      <c r="BX835" s="241"/>
      <c r="BY835" s="244"/>
      <c r="BZ835" s="33"/>
      <c r="CA835" s="242"/>
      <c r="CB835" s="241"/>
      <c r="CC835" s="244"/>
      <c r="CD835" s="243"/>
      <c r="CE835" s="243"/>
      <c r="CF835" s="243"/>
      <c r="CG835" s="243"/>
      <c r="CH835" s="243"/>
      <c r="CI835" s="243"/>
      <c r="CJ835" s="243"/>
      <c r="CK835" s="243"/>
      <c r="CL835" s="243"/>
      <c r="CM835" s="243"/>
      <c r="CN835" s="243"/>
      <c r="CO835" s="243"/>
      <c r="CP835" s="243"/>
      <c r="CQ835" s="243"/>
      <c r="CR835" s="243"/>
      <c r="CS835" s="243"/>
      <c r="CT835" s="243"/>
      <c r="CU835" s="243"/>
      <c r="CV835" s="243"/>
      <c r="CW835" s="243"/>
      <c r="CX835" s="243"/>
      <c r="CY835" s="243"/>
      <c r="CZ835" s="243"/>
      <c r="DA835" s="243"/>
      <c r="DB835" s="243"/>
      <c r="DC835" s="243"/>
      <c r="DD835" s="243"/>
      <c r="DE835" s="243"/>
      <c r="DF835" s="243"/>
      <c r="DG835" s="243"/>
      <c r="DH835" s="243"/>
      <c r="DI835" s="243"/>
      <c r="DJ835" s="243"/>
      <c r="DK835" s="243"/>
      <c r="DM835" s="242"/>
      <c r="DO835" s="243"/>
      <c r="DQ835" s="242"/>
      <c r="DS835" s="243"/>
      <c r="DU835" s="242"/>
      <c r="DW835" s="243"/>
      <c r="DY835" s="242"/>
      <c r="EA835" s="243"/>
    </row>
    <row r="836" spans="1:131">
      <c r="A836" s="20"/>
      <c r="B836" s="124" t="str">
        <f t="shared" si="774"/>
        <v/>
      </c>
      <c r="C836" s="235"/>
      <c r="D836" s="24">
        <f>'1% Wind'!$M$96</f>
        <v>1</v>
      </c>
      <c r="E836" s="90"/>
      <c r="F836" s="90"/>
      <c r="G836" s="79" t="e">
        <f ca="1">IF(I821=0.9743,$G835,MAX(G835/D835*D836,2))</f>
        <v>#REF!</v>
      </c>
      <c r="H836" s="121" t="e">
        <f t="shared" ca="1" si="775"/>
        <v>#REF!</v>
      </c>
      <c r="J836" s="33"/>
      <c r="K836" s="242">
        <f t="shared" si="776"/>
        <v>1</v>
      </c>
      <c r="L836" s="241" t="e">
        <f t="shared" ca="1" si="777"/>
        <v>#REF!</v>
      </c>
      <c r="M836" s="243" t="e">
        <f ca="1">IF(AND(INDEX(FlowCalConstA,MATCH(J821,FlowCalNumber,0),1,1)*L836^INDEX(FlowCalConstB,MATCH(J821,FlowCalNumber,0),1,1)&gt;INDEX(FlowCalLowSetting,MATCH(J821,FlowCalNumber,0),1,1), (INDEX(FlowCalConstA,MATCH(J821,FlowCalNumber,0),1,1)*L836^INDEX(FlowCalConstB,MATCH(J821,FlowCalNumber,0),1,1)&lt;INDEX(FlowCalHighSetting,MATCH(J821,FlowCalNumber,0),1,1))),INDEX(FlowCalConstA,MATCH(J821,FlowCalNumber,0),1,1)*L836^INDEX(FlowCalConstB,MATCH(J821,FlowCalNumber,0),1,1)," ")</f>
        <v>#REF!</v>
      </c>
      <c r="N836" s="33"/>
      <c r="O836" s="242">
        <f t="shared" si="778"/>
        <v>1</v>
      </c>
      <c r="P836" s="241" t="e">
        <f t="shared" ca="1" si="779"/>
        <v>#REF!</v>
      </c>
      <c r="Q836" s="243" t="e">
        <f ca="1">IF(AND(INDEX(FlowCalConstA,MATCH(N821,FlowCalNumber,0),1,1)*P836^INDEX(FlowCalConstB,MATCH(N821,FlowCalNumber,0),1,1)&gt;INDEX(FlowCalLowSetting,MATCH(N821,FlowCalNumber,0),1,1), (INDEX(FlowCalConstA,MATCH(N821,FlowCalNumber,0),1,1)*P836^INDEX(FlowCalConstB,MATCH(N821,FlowCalNumber,0),1,1)&lt;INDEX(FlowCalHighSetting,MATCH(N821,FlowCalNumber,0),1,1))),INDEX(FlowCalConstA,MATCH(N821,FlowCalNumber,0),1,1)*P836^INDEX(FlowCalConstB,MATCH(N821,FlowCalNumber,0),1,1)," ")</f>
        <v>#REF!</v>
      </c>
      <c r="R836" s="33"/>
      <c r="S836" s="242">
        <f t="shared" si="780"/>
        <v>1</v>
      </c>
      <c r="T836" s="241" t="e">
        <f t="shared" ca="1" si="781"/>
        <v>#REF!</v>
      </c>
      <c r="U836" s="244" t="e">
        <f ca="1">IF(AND(INDEX(FlowCalConstA,MATCH(R821,FlowCalNumber,0),1,1)*T836^INDEX(FlowCalConstB,MATCH(R821,FlowCalNumber,0),1,1)&gt;INDEX(FlowCalLowSetting,MATCH(R821,FlowCalNumber,0),1,1), (INDEX(FlowCalConstA,MATCH(R821,FlowCalNumber,0),1,1)*T836^INDEX(FlowCalConstB,MATCH(R821,FlowCalNumber,0),1,1)&lt;INDEX(FlowCalHighSetting,MATCH(R821,FlowCalNumber,0),1,1))),INDEX(FlowCalConstA,MATCH(R821,FlowCalNumber,0),1,1)*T836^INDEX(FlowCalConstB,MATCH(R821,FlowCalNumber,0),1,1)," ")</f>
        <v>#REF!</v>
      </c>
      <c r="V836" s="33"/>
      <c r="W836" s="242">
        <f t="shared" si="782"/>
        <v>0.1</v>
      </c>
      <c r="X836" s="241" t="e">
        <f t="shared" ca="1" si="783"/>
        <v>#REF!</v>
      </c>
      <c r="Y836" s="243" t="e">
        <f ca="1">IF(AND(INDEX(FlowCalConstA,MATCH(V821,FlowCalNumber,0),1,1)*X836^INDEX(FlowCalConstB,MATCH(V821,FlowCalNumber,0),1,1)&gt;INDEX(FlowCalLowSetting,MATCH(V821,FlowCalNumber,0),1,1), (INDEX(FlowCalConstA,MATCH(V821,FlowCalNumber,0),1,1)*X836^INDEX(FlowCalConstB,MATCH(V821,FlowCalNumber,0),1,1)&lt;INDEX(FlowCalHighSetting,MATCH(V821,FlowCalNumber,0),1,1))),INDEX(FlowCalConstA,MATCH(V821,FlowCalNumber,0),1,1)*X836^INDEX(FlowCalConstB,MATCH(V821,FlowCalNumber,0),1,1)," ")</f>
        <v>#REF!</v>
      </c>
      <c r="Z836" s="33"/>
      <c r="AA836" s="242">
        <f t="shared" si="784"/>
        <v>0.9</v>
      </c>
      <c r="AB836" s="241" t="e">
        <f t="shared" ca="1" si="785"/>
        <v>#REF!</v>
      </c>
      <c r="AC836" s="243" t="e">
        <f ca="1">IF(AND(INDEX(FlowCalConstA,MATCH(Z821,FlowCalNumber,0),1,1)*AB836^INDEX(FlowCalConstB,MATCH(Z821,FlowCalNumber,0),1,1)&gt;INDEX(FlowCalLowSetting,MATCH(Z821,FlowCalNumber,0),1,1), (INDEX(FlowCalConstA,MATCH(Z821,FlowCalNumber,0),1,1)*AB836^INDEX(FlowCalConstB,MATCH(Z821,FlowCalNumber,0),1,1)&lt;INDEX(FlowCalHighSetting,MATCH(Z821,FlowCalNumber,0),1,1))),INDEX(FlowCalConstA,MATCH(Z821,FlowCalNumber,0),1,1)*AB836^INDEX(FlowCalConstB,MATCH(Z821,FlowCalNumber,0),1,1)," ")</f>
        <v>#REF!</v>
      </c>
      <c r="AD836" s="33"/>
      <c r="AE836" s="242">
        <f t="shared" si="786"/>
        <v>0.1</v>
      </c>
      <c r="AF836" s="241" t="e">
        <f t="shared" ca="1" si="787"/>
        <v>#REF!</v>
      </c>
      <c r="AG836" s="243" t="e">
        <f ca="1">IF(AND(INDEX(FlowCalConstA,MATCH(AD821,FlowCalNumber,0),1,1)*AF836^INDEX(FlowCalConstB,MATCH(AD821,FlowCalNumber,0),1,1)&gt;INDEX(FlowCalLowSetting,MATCH(AD821,FlowCalNumber,0),1,1), (INDEX(FlowCalConstA,MATCH(AD821,FlowCalNumber,0),1,1)*AF836^INDEX(FlowCalConstB,MATCH(AD821,FlowCalNumber,0),1,1)&lt;INDEX(FlowCalHighSetting,MATCH(AD821,FlowCalNumber,0),1,1))),INDEX(FlowCalConstA,MATCH(AD821,FlowCalNumber,0),1,1)*AF836^INDEX(FlowCalConstB,MATCH(AD821,FlowCalNumber,0),1,1)," ")</f>
        <v>#REF!</v>
      </c>
      <c r="AH836" s="33"/>
      <c r="AI836" s="242">
        <f t="shared" si="788"/>
        <v>0.9</v>
      </c>
      <c r="AJ836" s="241" t="e">
        <f t="shared" ca="1" si="789"/>
        <v>#REF!</v>
      </c>
      <c r="AK836" s="243" t="e">
        <f ca="1">IF(AND(INDEX(FlowCalConstA,MATCH(AH821,FlowCalNumber,0),1,1)*AJ836^INDEX(FlowCalConstB,MATCH(AH821,FlowCalNumber,0),1,1)&gt;INDEX(FlowCalLowSetting,MATCH(AH821,FlowCalNumber,0),1,1), (INDEX(FlowCalConstA,MATCH(AH821,FlowCalNumber,0),1,1)*AJ836^INDEX(FlowCalConstB,MATCH(AH821,FlowCalNumber,0),1,1)&lt;INDEX(FlowCalHighSetting,MATCH(AH821,FlowCalNumber,0),1,1))),INDEX(FlowCalConstA,MATCH(AH821,FlowCalNumber,0),1,1)*AJ836^INDEX(FlowCalConstB,MATCH(AH821,FlowCalNumber,0),1,1)," ")</f>
        <v>#REF!</v>
      </c>
      <c r="AL836" s="33"/>
      <c r="AM836" s="242"/>
      <c r="AN836" s="241"/>
      <c r="AO836" s="244"/>
      <c r="AQ836" s="242"/>
      <c r="AR836" s="241"/>
      <c r="AS836" s="244"/>
      <c r="AT836" s="33"/>
      <c r="AU836" s="242"/>
      <c r="AV836" s="241"/>
      <c r="AW836" s="244"/>
      <c r="AX836" s="33"/>
      <c r="AY836" s="242"/>
      <c r="AZ836" s="241"/>
      <c r="BA836" s="244"/>
      <c r="BB836" s="33"/>
      <c r="BC836" s="242"/>
      <c r="BD836" s="241"/>
      <c r="BE836" s="244"/>
      <c r="BF836" s="33"/>
      <c r="BG836" s="242"/>
      <c r="BH836" s="241"/>
      <c r="BI836" s="244"/>
      <c r="BJ836" s="33"/>
      <c r="BK836" s="242"/>
      <c r="BL836" s="241"/>
      <c r="BM836" s="244"/>
      <c r="BN836" s="33"/>
      <c r="BO836" s="242"/>
      <c r="BP836" s="241"/>
      <c r="BQ836" s="244"/>
      <c r="BR836" s="33"/>
      <c r="BS836" s="242"/>
      <c r="BT836" s="241"/>
      <c r="BU836" s="244"/>
      <c r="BV836" s="33"/>
      <c r="BW836" s="242"/>
      <c r="BX836" s="241"/>
      <c r="BY836" s="244"/>
      <c r="BZ836" s="33"/>
      <c r="CA836" s="242"/>
      <c r="CB836" s="241"/>
      <c r="CC836" s="244"/>
      <c r="CD836" s="243"/>
      <c r="CE836" s="243"/>
      <c r="CF836" s="243"/>
      <c r="CG836" s="243"/>
      <c r="CH836" s="243"/>
      <c r="CI836" s="243"/>
      <c r="CJ836" s="243"/>
      <c r="CK836" s="243"/>
      <c r="CL836" s="243"/>
      <c r="CM836" s="243"/>
      <c r="CN836" s="243"/>
      <c r="CO836" s="243"/>
      <c r="CP836" s="243"/>
      <c r="CQ836" s="243"/>
      <c r="CR836" s="243"/>
      <c r="CS836" s="243"/>
      <c r="CT836" s="243"/>
      <c r="CU836" s="243"/>
      <c r="CV836" s="243"/>
      <c r="CW836" s="243"/>
      <c r="CX836" s="243"/>
      <c r="CY836" s="243"/>
      <c r="CZ836" s="243"/>
      <c r="DA836" s="243"/>
      <c r="DB836" s="243"/>
      <c r="DC836" s="243"/>
      <c r="DD836" s="243"/>
      <c r="DE836" s="243"/>
      <c r="DF836" s="243"/>
      <c r="DG836" s="243"/>
      <c r="DH836" s="243"/>
      <c r="DI836" s="243"/>
      <c r="DJ836" s="243"/>
      <c r="DK836" s="243"/>
      <c r="DM836" s="242"/>
      <c r="DO836" s="243"/>
      <c r="DQ836" s="242"/>
      <c r="DS836" s="243"/>
      <c r="DU836" s="242"/>
      <c r="DW836" s="243"/>
      <c r="DY836" s="242"/>
      <c r="EA836" s="243"/>
    </row>
    <row r="837" spans="1:131">
      <c r="A837" s="33"/>
      <c r="B837" s="33"/>
      <c r="C837" s="235"/>
      <c r="E837" s="90"/>
      <c r="F837" s="90"/>
      <c r="G837" s="33"/>
      <c r="J837" s="33"/>
      <c r="N837" s="33"/>
      <c r="Q837" s="243"/>
      <c r="R837" s="33"/>
      <c r="U837" s="244"/>
      <c r="V837" s="33"/>
      <c r="Y837" s="243"/>
      <c r="Z837" s="33"/>
      <c r="AC837" s="243"/>
      <c r="AD837" s="33"/>
      <c r="AG837" s="243"/>
      <c r="AH837" s="33"/>
      <c r="AK837" s="244"/>
      <c r="AL837" s="792"/>
      <c r="AM837" s="243"/>
      <c r="AN837" s="243"/>
      <c r="AO837" s="244"/>
      <c r="AP837" s="243"/>
      <c r="AQ837" s="243"/>
      <c r="AR837" s="243"/>
      <c r="AS837" s="244"/>
      <c r="AT837" s="243"/>
      <c r="AU837" s="243"/>
      <c r="AV837" s="243"/>
      <c r="AW837" s="244"/>
      <c r="AX837" s="243"/>
      <c r="AY837" s="243"/>
      <c r="AZ837" s="243"/>
      <c r="BA837" s="244"/>
      <c r="BB837" s="33"/>
      <c r="BE837" s="244"/>
      <c r="BF837" s="33"/>
      <c r="BI837" s="244"/>
      <c r="BJ837" s="33"/>
      <c r="BM837" s="244"/>
      <c r="BN837" s="243"/>
      <c r="BO837" s="243"/>
      <c r="BP837" s="243"/>
      <c r="BQ837" s="244"/>
      <c r="BR837" s="792"/>
      <c r="BS837" s="243"/>
      <c r="BT837" s="243"/>
      <c r="BU837" s="244"/>
      <c r="BV837" s="792"/>
      <c r="BW837" s="243"/>
      <c r="BX837" s="243"/>
      <c r="BY837" s="244"/>
      <c r="BZ837" s="792"/>
      <c r="CA837" s="243"/>
      <c r="CB837" s="243"/>
      <c r="CC837" s="244"/>
      <c r="CD837" s="243"/>
      <c r="CE837" s="243"/>
      <c r="CF837" s="243"/>
      <c r="CG837" s="243"/>
      <c r="CH837" s="243"/>
      <c r="CI837" s="243"/>
      <c r="CJ837" s="243"/>
      <c r="CK837" s="243"/>
      <c r="CL837" s="243"/>
      <c r="CM837" s="243"/>
      <c r="CN837" s="243"/>
      <c r="CO837" s="243"/>
      <c r="CP837" s="243"/>
      <c r="CQ837" s="243"/>
      <c r="CR837" s="243"/>
      <c r="CS837" s="243"/>
      <c r="CT837" s="243"/>
      <c r="CU837" s="243"/>
      <c r="CV837" s="243"/>
      <c r="CW837" s="243"/>
      <c r="CX837" s="243"/>
      <c r="CY837" s="243"/>
      <c r="CZ837" s="243"/>
      <c r="DA837" s="243"/>
      <c r="DB837" s="243"/>
      <c r="DC837" s="243"/>
      <c r="DD837" s="243"/>
      <c r="DE837" s="243"/>
      <c r="DF837" s="243"/>
      <c r="DG837" s="243"/>
      <c r="DH837" s="243"/>
      <c r="DI837" s="243"/>
      <c r="DJ837" s="243"/>
      <c r="DK837" s="243"/>
      <c r="DO837" s="243"/>
      <c r="DS837" s="243"/>
      <c r="DW837" s="243"/>
      <c r="EA837" s="243"/>
    </row>
    <row r="838" spans="1:131">
      <c r="A838" s="256" t="str">
        <f>IF((RIGHT(A821,1))&lt;&gt;"Z",CHAR(CODE(A821))&amp;CHAR(CODE(RIGHT(A821,1))+1),CHAR(CODE(A821)+1)&amp;"A")</f>
        <v>BW</v>
      </c>
      <c r="B838" s="270" t="e">
        <f>INDEX(SourceID,MATCH($A838,SourceNumber,0),1,1)</f>
        <v>#N/A</v>
      </c>
      <c r="C838" s="354" t="e">
        <f>INDEX(SourceExitDiameter,MATCH($A838,SourceNumber,0),1,1)*3.28*12</f>
        <v>#N/A</v>
      </c>
      <c r="D838" s="24" t="str">
        <f>UAnem1percent</f>
        <v>1% Wind</v>
      </c>
      <c r="E838" s="350" t="e">
        <f ca="1">INDIRECT(ADDRESS(53,6,1,,CONCATENATE("TA",$A838)))</f>
        <v>#REF!</v>
      </c>
      <c r="F838" s="625" t="e">
        <f ca="1">(ROUND((INDIRECT(ADDRESS(15,7,1,,CONCATENATE("TA",$A838)))*3.28*12*32),0)&amp;"/32")</f>
        <v>#REF!</v>
      </c>
      <c r="G838" s="125" t="e">
        <f ca="1">INDIRECT(ADDRESS(29,7,1,,$A838))</f>
        <v>#REF!</v>
      </c>
      <c r="H838" s="24" t="e">
        <f ca="1">INDIRECT(ADDRESS(19,7,1,,$A838))*100^3</f>
        <v>#REF!</v>
      </c>
      <c r="I838" s="941" t="e">
        <f ca="1">INDIRECT(ADDRESS(53,7,1,,$A838))</f>
        <v>#REF!</v>
      </c>
      <c r="J838" s="20" t="e">
        <f ca="1">IF($I838=$I$6,K$16&amp;$G$6&amp;J$6,IF($I838=$I$7,K$16&amp;$G$7&amp;J$7,"Bad"))</f>
        <v>#REF!</v>
      </c>
      <c r="K838" t="e">
        <f ca="1">INDEX(FlowCalGasMixture,MATCH(J838,FlowCalNumber,0),1,1)</f>
        <v>#REF!</v>
      </c>
      <c r="M838" s="944" t="e">
        <f ca="1">INDEX(FlowCalDevice,MATCH(J838,FlowCalNumber,0),1,1)</f>
        <v>#REF!</v>
      </c>
      <c r="N838" s="943" t="e">
        <f ca="1">IF($I838=$I$6,O$16&amp;$G$6&amp;"90"&amp;$H$6&amp;N$6,IF($I838=$I$7,O$16&amp;$G$7&amp;"90"&amp;$H$7&amp;N$7,"Bad"))</f>
        <v>#REF!</v>
      </c>
      <c r="O838" t="e">
        <f ca="1">INDEX(FlowCalGasMixture,MATCH(N838,FlowCalNumber,0),1,1)</f>
        <v>#REF!</v>
      </c>
      <c r="Q838" s="944" t="e">
        <f ca="1">INDEX(FlowCalDevice,MATCH(N838,FlowCalNumber,0),1,1)</f>
        <v>#REF!</v>
      </c>
      <c r="R838" s="943" t="e">
        <f ca="1">IF($I838=$I$6,S$16&amp;$G$6&amp;"90"&amp;$H$6&amp;R$6,IF($I838=$I$7,S$16&amp;$G$7&amp;"90"&amp;$H$7&amp;R$7,"Bad"))</f>
        <v>#REF!</v>
      </c>
      <c r="S838" t="e">
        <f ca="1">INDEX(FlowCalGasMixture,MATCH(R838,FlowCalNumber,0),1,1)</f>
        <v>#REF!</v>
      </c>
      <c r="U838" s="944" t="e">
        <f ca="1">INDEX(FlowCalDevice,MATCH(R838,FlowCalNumber,0),1,1)</f>
        <v>#REF!</v>
      </c>
      <c r="V838" s="20" t="e">
        <f ca="1">IF($I838=$I$6,W$16&amp;$G$6&amp;V$6,IF($I838=$I$7,W$16&amp;$G$7&amp;V$7,"Bad"))</f>
        <v>#REF!</v>
      </c>
      <c r="W838" t="e">
        <f ca="1">INDEX(FlowCalGasMixture,MATCH(V838,FlowCalNumber,0),1,1)</f>
        <v>#REF!</v>
      </c>
      <c r="Y838" s="944" t="e">
        <f ca="1">INDEX(FlowCalDevice,MATCH(V838,FlowCalNumber,0),1,1)</f>
        <v>#REF!</v>
      </c>
      <c r="Z838" s="946" t="e">
        <f ca="1">IF($I838=$I$6,AA$18&amp;$H$6&amp;Z$6,IF($I838=$I$7,AA$18&amp;$H$7&amp;Z$7,"Bad"))</f>
        <v>#REF!</v>
      </c>
      <c r="AA838" t="e">
        <f ca="1">INDEX(FlowCalGasMixture,MATCH(Z838,FlowCalNumber,0),1,1)</f>
        <v>#REF!</v>
      </c>
      <c r="AC838" s="944" t="e">
        <f ca="1">INDEX(FlowCalDevice,MATCH(Z838,FlowCalNumber,0),1,1)</f>
        <v>#REF!</v>
      </c>
      <c r="AD838" s="20" t="e">
        <f ca="1">IF($I838=$I$6,AE$16&amp;$G$6&amp;AD$6,IF($I838=$I$7,AE$16&amp;$G$7&amp;AD$7,"Bad"))</f>
        <v>#REF!</v>
      </c>
      <c r="AE838" t="e">
        <f ca="1">INDEX(FlowCalGasMixture,MATCH(AD838,FlowCalNumber,0),1,1)</f>
        <v>#REF!</v>
      </c>
      <c r="AG838" s="944" t="e">
        <f ca="1">INDEX(FlowCalDevice,MATCH(AD838,FlowCalNumber,0),1,1)</f>
        <v>#REF!</v>
      </c>
      <c r="AH838" s="946" t="e">
        <f ca="1">IF($I838=$I$6,AI$18&amp;$H$6&amp;AH$6,IF($I838=$I$7,AI$18&amp;$H$7&amp;AH$7,"Bad"))</f>
        <v>#REF!</v>
      </c>
      <c r="AI838" t="e">
        <f ca="1">INDEX(FlowCalGasMixture,MATCH(AH838,FlowCalNumber,0),1,1)</f>
        <v>#REF!</v>
      </c>
      <c r="AK838" s="944" t="e">
        <f ca="1">INDEX(FlowCalDevice,MATCH(AH838,FlowCalNumber,0),1,1)</f>
        <v>#REF!</v>
      </c>
      <c r="AL838" s="20"/>
      <c r="AO838" s="982"/>
      <c r="AP838" s="960"/>
      <c r="AS838" s="982"/>
      <c r="AT838" s="20"/>
      <c r="AW838" s="982"/>
      <c r="AX838" s="946"/>
      <c r="BA838" s="982"/>
      <c r="BB838" s="20"/>
      <c r="BC838" s="16"/>
      <c r="BE838" s="982"/>
      <c r="BF838" s="946"/>
      <c r="BG838" s="16"/>
      <c r="BI838" s="982"/>
      <c r="BJ838" s="946"/>
      <c r="BK838" s="16"/>
      <c r="BM838" s="982"/>
      <c r="BN838" s="20"/>
      <c r="BO838" s="16"/>
      <c r="BQ838" s="982"/>
      <c r="BR838" s="946"/>
      <c r="BS838" s="16"/>
      <c r="BU838" s="982"/>
      <c r="BV838" s="946"/>
      <c r="BW838" s="16"/>
      <c r="BY838" s="982"/>
      <c r="BZ838" s="946"/>
      <c r="CA838" s="16"/>
      <c r="CC838" s="982"/>
      <c r="CD838" s="355"/>
      <c r="CE838" s="355"/>
      <c r="CF838" s="355"/>
      <c r="CG838" s="355"/>
      <c r="CH838" s="355"/>
      <c r="CI838" s="355"/>
      <c r="CJ838" s="355"/>
      <c r="CK838" s="355"/>
      <c r="CL838" s="355"/>
      <c r="CM838" s="355"/>
      <c r="CN838" s="355"/>
      <c r="CO838" s="355"/>
      <c r="CP838" s="355"/>
      <c r="CQ838" s="355"/>
      <c r="CR838" s="355"/>
      <c r="CS838" s="355"/>
      <c r="CT838" s="355"/>
      <c r="CU838" s="355"/>
      <c r="CV838" s="355"/>
      <c r="CW838" s="355"/>
      <c r="CX838" s="355"/>
      <c r="CY838" s="355"/>
      <c r="CZ838" s="355"/>
      <c r="DA838" s="355"/>
      <c r="DB838" s="355"/>
      <c r="DC838" s="355"/>
      <c r="DD838" s="355"/>
      <c r="DE838" s="355"/>
      <c r="DF838" s="355"/>
      <c r="DG838" s="355"/>
      <c r="DH838" s="355"/>
      <c r="DI838" s="355"/>
      <c r="DJ838" s="355"/>
      <c r="DK838" s="355"/>
      <c r="DL838" s="46"/>
      <c r="DM838" s="16"/>
      <c r="DO838" s="355"/>
      <c r="DP838" s="42"/>
      <c r="DQ838" s="16"/>
      <c r="DS838" s="355"/>
      <c r="DT838" s="42"/>
      <c r="DU838" s="16"/>
      <c r="DW838" s="355"/>
      <c r="DX838" s="42"/>
      <c r="DY838" s="16"/>
      <c r="EA838" s="355"/>
    </row>
    <row r="839" spans="1:131">
      <c r="A839" s="20"/>
      <c r="B839" s="124" t="str">
        <f t="shared" ref="B839:B853" si="790">IF(D839=UAnem1percent,"1% Wind","")</f>
        <v/>
      </c>
      <c r="C839" s="235"/>
      <c r="D839" s="24">
        <f>'1% Wind'!$M$82</f>
        <v>27</v>
      </c>
      <c r="E839" s="90"/>
      <c r="F839" s="90"/>
      <c r="G839" s="79" t="e">
        <f ca="1">IF(I838=0.9743,$G838,MAX(G838/D838*D839,2))</f>
        <v>#REF!</v>
      </c>
      <c r="H839" s="121" t="e">
        <f t="shared" ref="H839:H853" ca="1" si="791">H838*(D838/D839)*(G839/G838)</f>
        <v>#REF!</v>
      </c>
      <c r="J839" s="33"/>
      <c r="K839" s="260">
        <f>K$17/100</f>
        <v>1</v>
      </c>
      <c r="L839" s="241" t="e">
        <f ca="1">K839*$H839</f>
        <v>#REF!</v>
      </c>
      <c r="M839" s="243" t="e">
        <f ca="1">IF(AND(INDEX(FlowCalConstA,MATCH(J838,FlowCalNumber,0),1,1)*L839^INDEX(FlowCalConstB,MATCH(J838,FlowCalNumber,0),1,1)&gt;INDEX(FlowCalLowSetting,MATCH(J838,FlowCalNumber,0),1,1), (INDEX(FlowCalConstA,MATCH(J838,FlowCalNumber,0),1,1)*L839^INDEX(FlowCalConstB,MATCH(J838,FlowCalNumber,0),1,1)&lt;INDEX(FlowCalHighSetting,MATCH(J838,FlowCalNumber,0),1,1))),INDEX(FlowCalConstA,MATCH(J838,FlowCalNumber,0),1,1)*L839^INDEX(FlowCalConstB,MATCH(J838,FlowCalNumber,0),1,1)," ")</f>
        <v>#REF!</v>
      </c>
      <c r="N839" s="33"/>
      <c r="O839" s="260">
        <f>O$17/100</f>
        <v>1</v>
      </c>
      <c r="P839" s="241" t="e">
        <f ca="1">O839*$H839</f>
        <v>#REF!</v>
      </c>
      <c r="Q839" s="243" t="e">
        <f ca="1">IF(AND(INDEX(FlowCalConstA,MATCH(N838,FlowCalNumber,0),1,1)*P839^INDEX(FlowCalConstB,MATCH(N838,FlowCalNumber,0),1,1)&gt;INDEX(FlowCalLowSetting,MATCH(N838,FlowCalNumber,0),1,1), (INDEX(FlowCalConstA,MATCH(N838,FlowCalNumber,0),1,1)*P839^INDEX(FlowCalConstB,MATCH(N838,FlowCalNumber,0),1,1)&lt;INDEX(FlowCalHighSetting,MATCH(N838,FlowCalNumber,0),1,1))),INDEX(FlowCalConstA,MATCH(N838,FlowCalNumber,0),1,1)*P839^INDEX(FlowCalConstB,MATCH(N838,FlowCalNumber,0),1,1)," ")</f>
        <v>#REF!</v>
      </c>
      <c r="R839" s="33"/>
      <c r="S839" s="260">
        <f>S$17/100</f>
        <v>1</v>
      </c>
      <c r="T839" s="241" t="e">
        <f ca="1">S839*$H839</f>
        <v>#REF!</v>
      </c>
      <c r="U839" s="244" t="e">
        <f ca="1">IF(AND(INDEX(FlowCalConstA,MATCH(R838,FlowCalNumber,0),1,1)*T839^INDEX(FlowCalConstB,MATCH(R838,FlowCalNumber,0),1,1)&gt;INDEX(FlowCalLowSetting,MATCH(R838,FlowCalNumber,0),1,1), (INDEX(FlowCalConstA,MATCH(R838,FlowCalNumber,0),1,1)*T839^INDEX(FlowCalConstB,MATCH(R838,FlowCalNumber,0),1,1)&lt;INDEX(FlowCalHighSetting,MATCH(R838,FlowCalNumber,0),1,1))),INDEX(FlowCalConstA,MATCH(R838,FlowCalNumber,0),1,1)*T839^INDEX(FlowCalConstB,MATCH(R838,FlowCalNumber,0),1,1)," ")</f>
        <v>#REF!</v>
      </c>
      <c r="V839" s="33"/>
      <c r="W839" s="260">
        <f>W$17/100</f>
        <v>0.1</v>
      </c>
      <c r="X839" s="241" t="e">
        <f ca="1">W839*$H839</f>
        <v>#REF!</v>
      </c>
      <c r="Y839" s="243" t="e">
        <f ca="1">IF(AND(INDEX(FlowCalConstA,MATCH(V838,FlowCalNumber,0),1,1)*X839^INDEX(FlowCalConstB,MATCH(V838,FlowCalNumber,0),1,1)&gt;INDEX(FlowCalLowSetting,MATCH(V838,FlowCalNumber,0),1,1), (INDEX(FlowCalConstA,MATCH(V838,FlowCalNumber,0),1,1)*X839^INDEX(FlowCalConstB,MATCH(V838,FlowCalNumber,0),1,1)&lt;INDEX(FlowCalHighSetting,MATCH(V838,FlowCalNumber,0),1,1))),INDEX(FlowCalConstA,MATCH(V838,FlowCalNumber,0),1,1)*X839^INDEX(FlowCalConstB,MATCH(V838,FlowCalNumber,0),1,1)," ")</f>
        <v>#REF!</v>
      </c>
      <c r="Z839" s="33"/>
      <c r="AA839" s="260">
        <f>AA$17/100</f>
        <v>0.9</v>
      </c>
      <c r="AB839" s="241" t="e">
        <f ca="1">AA839*$H839</f>
        <v>#REF!</v>
      </c>
      <c r="AC839" s="243" t="e">
        <f ca="1">IF(AND(INDEX(FlowCalConstA,MATCH(Z838,FlowCalNumber,0),1,1)*AB839^INDEX(FlowCalConstB,MATCH(Z838,FlowCalNumber,0),1,1)&gt;INDEX(FlowCalLowSetting,MATCH(Z838,FlowCalNumber,0),1,1), (INDEX(FlowCalConstA,MATCH(Z838,FlowCalNumber,0),1,1)*AB839^INDEX(FlowCalConstB,MATCH(Z838,FlowCalNumber,0),1,1)&lt;INDEX(FlowCalHighSetting,MATCH(Z838,FlowCalNumber,0),1,1))),INDEX(FlowCalConstA,MATCH(Z838,FlowCalNumber,0),1,1)*AB839^INDEX(FlowCalConstB,MATCH(Z838,FlowCalNumber,0),1,1)," ")</f>
        <v>#REF!</v>
      </c>
      <c r="AD839" s="33"/>
      <c r="AE839" s="260">
        <f>AE$17/100</f>
        <v>0.1</v>
      </c>
      <c r="AF839" s="241" t="e">
        <f ca="1">AE839*$H839</f>
        <v>#REF!</v>
      </c>
      <c r="AG839" s="243" t="e">
        <f ca="1">IF(AND(INDEX(FlowCalConstA,MATCH(AD838,FlowCalNumber,0),1,1)*AF839^INDEX(FlowCalConstB,MATCH(AD838,FlowCalNumber,0),1,1)&gt;INDEX(FlowCalLowSetting,MATCH(AD838,FlowCalNumber,0),1,1), (INDEX(FlowCalConstA,MATCH(AD838,FlowCalNumber,0),1,1)*AF839^INDEX(FlowCalConstB,MATCH(AD838,FlowCalNumber,0),1,1)&lt;INDEX(FlowCalHighSetting,MATCH(AD838,FlowCalNumber,0),1,1))),INDEX(FlowCalConstA,MATCH(AD838,FlowCalNumber,0),1,1)*AF839^INDEX(FlowCalConstB,MATCH(AD838,FlowCalNumber,0),1,1)," ")</f>
        <v>#REF!</v>
      </c>
      <c r="AH839" s="33"/>
      <c r="AI839" s="260">
        <f>AI$17/100</f>
        <v>0.9</v>
      </c>
      <c r="AJ839" s="241" t="e">
        <f ca="1">AI839*$H839</f>
        <v>#REF!</v>
      </c>
      <c r="AK839" s="243" t="e">
        <f ca="1">IF(AND(INDEX(FlowCalConstA,MATCH(AH838,FlowCalNumber,0),1,1)*AJ839^INDEX(FlowCalConstB,MATCH(AH838,FlowCalNumber,0),1,1)&gt;INDEX(FlowCalLowSetting,MATCH(AH838,FlowCalNumber,0),1,1), (INDEX(FlowCalConstA,MATCH(AH838,FlowCalNumber,0),1,1)*AJ839^INDEX(FlowCalConstB,MATCH(AH838,FlowCalNumber,0),1,1)&lt;INDEX(FlowCalHighSetting,MATCH(AH838,FlowCalNumber,0),1,1))),INDEX(FlowCalConstA,MATCH(AH838,FlowCalNumber,0),1,1)*AJ839^INDEX(FlowCalConstB,MATCH(AH838,FlowCalNumber,0),1,1)," ")</f>
        <v>#REF!</v>
      </c>
      <c r="AL839" s="33"/>
      <c r="AM839" s="260"/>
      <c r="AN839" s="241"/>
      <c r="AO839" s="244"/>
      <c r="AQ839" s="260"/>
      <c r="AR839" s="241"/>
      <c r="AS839" s="244"/>
      <c r="AT839" s="33"/>
      <c r="AU839" s="260"/>
      <c r="AV839" s="241"/>
      <c r="AW839" s="244"/>
      <c r="AX839" s="33"/>
      <c r="AY839" s="260"/>
      <c r="AZ839" s="241"/>
      <c r="BA839" s="244"/>
      <c r="BB839" s="33"/>
      <c r="BC839" s="260"/>
      <c r="BD839" s="241"/>
      <c r="BE839" s="244"/>
      <c r="BF839" s="33"/>
      <c r="BG839" s="260"/>
      <c r="BH839" s="241"/>
      <c r="BI839" s="244"/>
      <c r="BJ839" s="33"/>
      <c r="BK839" s="260"/>
      <c r="BL839" s="241"/>
      <c r="BM839" s="244"/>
      <c r="BN839" s="33"/>
      <c r="BO839" s="260"/>
      <c r="BP839" s="241"/>
      <c r="BQ839" s="244"/>
      <c r="BR839" s="33"/>
      <c r="BS839" s="260"/>
      <c r="BT839" s="241"/>
      <c r="BU839" s="244"/>
      <c r="BV839" s="33"/>
      <c r="BW839" s="260"/>
      <c r="BX839" s="241"/>
      <c r="BY839" s="244"/>
      <c r="BZ839" s="33"/>
      <c r="CA839" s="260"/>
      <c r="CB839" s="241"/>
      <c r="CC839" s="244"/>
      <c r="CD839" s="243"/>
      <c r="CE839" s="243"/>
      <c r="CF839" s="243"/>
      <c r="CG839" s="243"/>
      <c r="CH839" s="243"/>
      <c r="CI839" s="243"/>
      <c r="CJ839" s="243"/>
      <c r="CK839" s="243"/>
      <c r="CL839" s="243"/>
      <c r="CM839" s="243"/>
      <c r="CN839" s="243"/>
      <c r="CO839" s="243"/>
      <c r="CP839" s="243"/>
      <c r="CQ839" s="243"/>
      <c r="CR839" s="243"/>
      <c r="CS839" s="243"/>
      <c r="CT839" s="243"/>
      <c r="CU839" s="243"/>
      <c r="CV839" s="243"/>
      <c r="CW839" s="243"/>
      <c r="CX839" s="243"/>
      <c r="CY839" s="243"/>
      <c r="CZ839" s="243"/>
      <c r="DA839" s="243"/>
      <c r="DB839" s="243"/>
      <c r="DC839" s="243"/>
      <c r="DD839" s="243"/>
      <c r="DE839" s="243"/>
      <c r="DF839" s="243"/>
      <c r="DG839" s="243"/>
      <c r="DH839" s="243"/>
      <c r="DI839" s="243"/>
      <c r="DJ839" s="243"/>
      <c r="DK839" s="243"/>
      <c r="DM839" s="259"/>
      <c r="DO839" s="243"/>
      <c r="DQ839" s="259"/>
      <c r="DS839" s="243"/>
      <c r="DU839" s="259"/>
      <c r="DW839" s="243"/>
      <c r="DY839" s="260"/>
      <c r="EA839" s="243"/>
    </row>
    <row r="840" spans="1:131">
      <c r="A840" s="20"/>
      <c r="B840" s="124" t="str">
        <f t="shared" si="790"/>
        <v/>
      </c>
      <c r="C840" s="235"/>
      <c r="D840" s="24">
        <f>'1% Wind'!$M$83</f>
        <v>23.5</v>
      </c>
      <c r="E840" s="90"/>
      <c r="F840" s="90"/>
      <c r="G840" s="79" t="e">
        <f ca="1">IF(I838=0.9743,$G839,MAX(G839/D839*D840,2))</f>
        <v>#REF!</v>
      </c>
      <c r="H840" s="121" t="e">
        <f t="shared" ca="1" si="791"/>
        <v>#REF!</v>
      </c>
      <c r="J840" s="33"/>
      <c r="K840" s="242">
        <f t="shared" ref="K840:K853" si="792">K839</f>
        <v>1</v>
      </c>
      <c r="L840" s="241" t="e">
        <f t="shared" ref="L840:L853" ca="1" si="793">K840*$H840</f>
        <v>#REF!</v>
      </c>
      <c r="M840" s="243" t="e">
        <f ca="1">IF(AND(INDEX(FlowCalConstA,MATCH(J838,FlowCalNumber,0),1,1)*L840^INDEX(FlowCalConstB,MATCH(J838,FlowCalNumber,0),1,1)&gt;INDEX(FlowCalLowSetting,MATCH(J838,FlowCalNumber,0),1,1), (INDEX(FlowCalConstA,MATCH(J838,FlowCalNumber,0),1,1)*L840^INDEX(FlowCalConstB,MATCH(J838,FlowCalNumber,0),1,1)&lt;INDEX(FlowCalHighSetting,MATCH(J838,FlowCalNumber,0),1,1))),INDEX(FlowCalConstA,MATCH(J838,FlowCalNumber,0),1,1)*L840^INDEX(FlowCalConstB,MATCH(J838,FlowCalNumber,0),1,1)," ")</f>
        <v>#REF!</v>
      </c>
      <c r="N840" s="33"/>
      <c r="O840" s="242">
        <f t="shared" ref="O840:O853" si="794">O839</f>
        <v>1</v>
      </c>
      <c r="P840" s="241" t="e">
        <f t="shared" ref="P840:P853" ca="1" si="795">O840*$H840</f>
        <v>#REF!</v>
      </c>
      <c r="Q840" s="243" t="e">
        <f ca="1">IF(AND(INDEX(FlowCalConstA,MATCH(N838,FlowCalNumber,0),1,1)*P840^INDEX(FlowCalConstB,MATCH(N838,FlowCalNumber,0),1,1)&gt;INDEX(FlowCalLowSetting,MATCH(N838,FlowCalNumber,0),1,1), (INDEX(FlowCalConstA,MATCH(N838,FlowCalNumber,0),1,1)*P840^INDEX(FlowCalConstB,MATCH(N838,FlowCalNumber,0),1,1)&lt;INDEX(FlowCalHighSetting,MATCH(N838,FlowCalNumber,0),1,1))),INDEX(FlowCalConstA,MATCH(N838,FlowCalNumber,0),1,1)*P840^INDEX(FlowCalConstB,MATCH(N838,FlowCalNumber,0),1,1)," ")</f>
        <v>#REF!</v>
      </c>
      <c r="R840" s="33"/>
      <c r="S840" s="242">
        <f t="shared" ref="S840:S853" si="796">S839</f>
        <v>1</v>
      </c>
      <c r="T840" s="241" t="e">
        <f t="shared" ref="T840:T853" ca="1" si="797">S840*$H840</f>
        <v>#REF!</v>
      </c>
      <c r="U840" s="244" t="e">
        <f ca="1">IF(AND(INDEX(FlowCalConstA,MATCH(R838,FlowCalNumber,0),1,1)*T840^INDEX(FlowCalConstB,MATCH(R838,FlowCalNumber,0),1,1)&gt;INDEX(FlowCalLowSetting,MATCH(R838,FlowCalNumber,0),1,1), (INDEX(FlowCalConstA,MATCH(R838,FlowCalNumber,0),1,1)*T840^INDEX(FlowCalConstB,MATCH(R838,FlowCalNumber,0),1,1)&lt;INDEX(FlowCalHighSetting,MATCH(R838,FlowCalNumber,0),1,1))),INDEX(FlowCalConstA,MATCH(R838,FlowCalNumber,0),1,1)*T840^INDEX(FlowCalConstB,MATCH(R838,FlowCalNumber,0),1,1)," ")</f>
        <v>#REF!</v>
      </c>
      <c r="V840" s="33"/>
      <c r="W840" s="242">
        <f t="shared" ref="W840:W853" si="798">W839</f>
        <v>0.1</v>
      </c>
      <c r="X840" s="241" t="e">
        <f t="shared" ref="X840:X853" ca="1" si="799">W840*$H840</f>
        <v>#REF!</v>
      </c>
      <c r="Y840" s="243" t="e">
        <f ca="1">IF(AND(INDEX(FlowCalConstA,MATCH(V838,FlowCalNumber,0),1,1)*X840^INDEX(FlowCalConstB,MATCH(V838,FlowCalNumber,0),1,1)&gt;INDEX(FlowCalLowSetting,MATCH(V838,FlowCalNumber,0),1,1), (INDEX(FlowCalConstA,MATCH(V838,FlowCalNumber,0),1,1)*X840^INDEX(FlowCalConstB,MATCH(V838,FlowCalNumber,0),1,1)&lt;INDEX(FlowCalHighSetting,MATCH(V838,FlowCalNumber,0),1,1))),INDEX(FlowCalConstA,MATCH(V838,FlowCalNumber,0),1,1)*X840^INDEX(FlowCalConstB,MATCH(V838,FlowCalNumber,0),1,1)," ")</f>
        <v>#REF!</v>
      </c>
      <c r="Z840" s="33"/>
      <c r="AA840" s="242">
        <f t="shared" ref="AA840:AA853" si="800">AA839</f>
        <v>0.9</v>
      </c>
      <c r="AB840" s="241" t="e">
        <f t="shared" ref="AB840:AB853" ca="1" si="801">AA840*$H840</f>
        <v>#REF!</v>
      </c>
      <c r="AC840" s="243" t="e">
        <f ca="1">IF(AND(INDEX(FlowCalConstA,MATCH(Z838,FlowCalNumber,0),1,1)*AB840^INDEX(FlowCalConstB,MATCH(Z838,FlowCalNumber,0),1,1)&gt;INDEX(FlowCalLowSetting,MATCH(Z838,FlowCalNumber,0),1,1), (INDEX(FlowCalConstA,MATCH(Z838,FlowCalNumber,0),1,1)*AB840^INDEX(FlowCalConstB,MATCH(Z838,FlowCalNumber,0),1,1)&lt;INDEX(FlowCalHighSetting,MATCH(Z838,FlowCalNumber,0),1,1))),INDEX(FlowCalConstA,MATCH(Z838,FlowCalNumber,0),1,1)*AB840^INDEX(FlowCalConstB,MATCH(Z838,FlowCalNumber,0),1,1)," ")</f>
        <v>#REF!</v>
      </c>
      <c r="AD840" s="33"/>
      <c r="AE840" s="242">
        <f t="shared" ref="AE840:AE853" si="802">AE839</f>
        <v>0.1</v>
      </c>
      <c r="AF840" s="241" t="e">
        <f t="shared" ref="AF840:AF853" ca="1" si="803">AE840*$H840</f>
        <v>#REF!</v>
      </c>
      <c r="AG840" s="243" t="e">
        <f ca="1">IF(AND(INDEX(FlowCalConstA,MATCH(AD838,FlowCalNumber,0),1,1)*AF840^INDEX(FlowCalConstB,MATCH(AD838,FlowCalNumber,0),1,1)&gt;INDEX(FlowCalLowSetting,MATCH(AD838,FlowCalNumber,0),1,1), (INDEX(FlowCalConstA,MATCH(AD838,FlowCalNumber,0),1,1)*AF840^INDEX(FlowCalConstB,MATCH(AD838,FlowCalNumber,0),1,1)&lt;INDEX(FlowCalHighSetting,MATCH(AD838,FlowCalNumber,0),1,1))),INDEX(FlowCalConstA,MATCH(AD838,FlowCalNumber,0),1,1)*AF840^INDEX(FlowCalConstB,MATCH(AD838,FlowCalNumber,0),1,1)," ")</f>
        <v>#REF!</v>
      </c>
      <c r="AH840" s="33"/>
      <c r="AI840" s="242">
        <f t="shared" ref="AI840:AI853" si="804">AI839</f>
        <v>0.9</v>
      </c>
      <c r="AJ840" s="241" t="e">
        <f t="shared" ref="AJ840:AJ853" ca="1" si="805">AI840*$H840</f>
        <v>#REF!</v>
      </c>
      <c r="AK840" s="243" t="e">
        <f ca="1">IF(AND(INDEX(FlowCalConstA,MATCH(AH838,FlowCalNumber,0),1,1)*AJ840^INDEX(FlowCalConstB,MATCH(AH838,FlowCalNumber,0),1,1)&gt;INDEX(FlowCalLowSetting,MATCH(AH838,FlowCalNumber,0),1,1), (INDEX(FlowCalConstA,MATCH(AH838,FlowCalNumber,0),1,1)*AJ840^INDEX(FlowCalConstB,MATCH(AH838,FlowCalNumber,0),1,1)&lt;INDEX(FlowCalHighSetting,MATCH(AH838,FlowCalNumber,0),1,1))),INDEX(FlowCalConstA,MATCH(AH838,FlowCalNumber,0),1,1)*AJ840^INDEX(FlowCalConstB,MATCH(AH838,FlowCalNumber,0),1,1)," ")</f>
        <v>#REF!</v>
      </c>
      <c r="AL840" s="33"/>
      <c r="AM840" s="242"/>
      <c r="AN840" s="241"/>
      <c r="AO840" s="244"/>
      <c r="AQ840" s="242"/>
      <c r="AR840" s="241"/>
      <c r="AS840" s="244"/>
      <c r="AT840" s="33"/>
      <c r="AU840" s="242"/>
      <c r="AV840" s="241"/>
      <c r="AW840" s="244"/>
      <c r="AX840" s="33"/>
      <c r="AY840" s="242"/>
      <c r="AZ840" s="241"/>
      <c r="BA840" s="244"/>
      <c r="BB840" s="33"/>
      <c r="BC840" s="242"/>
      <c r="BD840" s="241"/>
      <c r="BE840" s="244"/>
      <c r="BF840" s="33"/>
      <c r="BG840" s="242"/>
      <c r="BH840" s="241"/>
      <c r="BI840" s="244"/>
      <c r="BJ840" s="33"/>
      <c r="BK840" s="242"/>
      <c r="BL840" s="241"/>
      <c r="BM840" s="244"/>
      <c r="BN840" s="33"/>
      <c r="BO840" s="242"/>
      <c r="BP840" s="241"/>
      <c r="BQ840" s="244"/>
      <c r="BR840" s="33"/>
      <c r="BS840" s="242"/>
      <c r="BT840" s="241"/>
      <c r="BU840" s="244"/>
      <c r="BV840" s="33"/>
      <c r="BW840" s="242"/>
      <c r="BX840" s="241"/>
      <c r="BY840" s="244"/>
      <c r="BZ840" s="33"/>
      <c r="CA840" s="242"/>
      <c r="CB840" s="241"/>
      <c r="CC840" s="244"/>
      <c r="CD840" s="243"/>
      <c r="CE840" s="243"/>
      <c r="CF840" s="243"/>
      <c r="CG840" s="243"/>
      <c r="CH840" s="243"/>
      <c r="CI840" s="243"/>
      <c r="CJ840" s="243"/>
      <c r="CK840" s="243"/>
      <c r="CL840" s="243"/>
      <c r="CM840" s="243"/>
      <c r="CN840" s="243"/>
      <c r="CO840" s="243"/>
      <c r="CP840" s="243"/>
      <c r="CQ840" s="243"/>
      <c r="CR840" s="243"/>
      <c r="CS840" s="243"/>
      <c r="CT840" s="243"/>
      <c r="CU840" s="243"/>
      <c r="CV840" s="243"/>
      <c r="CW840" s="243"/>
      <c r="CX840" s="243"/>
      <c r="CY840" s="243"/>
      <c r="CZ840" s="243"/>
      <c r="DA840" s="243"/>
      <c r="DB840" s="243"/>
      <c r="DC840" s="243"/>
      <c r="DD840" s="243"/>
      <c r="DE840" s="243"/>
      <c r="DF840" s="243"/>
      <c r="DG840" s="243"/>
      <c r="DH840" s="243"/>
      <c r="DI840" s="243"/>
      <c r="DJ840" s="243"/>
      <c r="DK840" s="243"/>
      <c r="DM840" s="242"/>
      <c r="DO840" s="243"/>
      <c r="DQ840" s="242"/>
      <c r="DS840" s="243"/>
      <c r="DU840" s="242"/>
      <c r="DW840" s="243"/>
      <c r="DY840" s="242"/>
      <c r="EA840" s="243"/>
    </row>
    <row r="841" spans="1:131">
      <c r="A841" s="20"/>
      <c r="B841" s="124" t="str">
        <f t="shared" si="790"/>
        <v/>
      </c>
      <c r="C841" s="235"/>
      <c r="D841" s="24">
        <f>'1% Wind'!$M$84</f>
        <v>20.5</v>
      </c>
      <c r="E841" s="90"/>
      <c r="F841" s="90"/>
      <c r="G841" s="79" t="e">
        <f ca="1">IF(I838=0.9743,$G840,MAX(G840/D840*D841,2))</f>
        <v>#REF!</v>
      </c>
      <c r="H841" s="121" t="e">
        <f t="shared" ca="1" si="791"/>
        <v>#REF!</v>
      </c>
      <c r="J841" s="33"/>
      <c r="K841" s="242">
        <f t="shared" si="792"/>
        <v>1</v>
      </c>
      <c r="L841" s="241" t="e">
        <f t="shared" ca="1" si="793"/>
        <v>#REF!</v>
      </c>
      <c r="M841" s="243" t="e">
        <f ca="1">IF(AND(INDEX(FlowCalConstA,MATCH(J838,FlowCalNumber,0),1,1)*L841^INDEX(FlowCalConstB,MATCH(J838,FlowCalNumber,0),1,1)&gt;INDEX(FlowCalLowSetting,MATCH(J838,FlowCalNumber,0),1,1), (INDEX(FlowCalConstA,MATCH(J838,FlowCalNumber,0),1,1)*L841^INDEX(FlowCalConstB,MATCH(J838,FlowCalNumber,0),1,1)&lt;INDEX(FlowCalHighSetting,MATCH(J838,FlowCalNumber,0),1,1))),INDEX(FlowCalConstA,MATCH(J838,FlowCalNumber,0),1,1)*L841^INDEX(FlowCalConstB,MATCH(J838,FlowCalNumber,0),1,1)," ")</f>
        <v>#REF!</v>
      </c>
      <c r="N841" s="33"/>
      <c r="O841" s="242">
        <f t="shared" si="794"/>
        <v>1</v>
      </c>
      <c r="P841" s="241" t="e">
        <f t="shared" ca="1" si="795"/>
        <v>#REF!</v>
      </c>
      <c r="Q841" s="243" t="e">
        <f ca="1">IF(AND(INDEX(FlowCalConstA,MATCH(N838,FlowCalNumber,0),1,1)*P841^INDEX(FlowCalConstB,MATCH(N838,FlowCalNumber,0),1,1)&gt;INDEX(FlowCalLowSetting,MATCH(N838,FlowCalNumber,0),1,1), (INDEX(FlowCalConstA,MATCH(N838,FlowCalNumber,0),1,1)*P841^INDEX(FlowCalConstB,MATCH(N838,FlowCalNumber,0),1,1)&lt;INDEX(FlowCalHighSetting,MATCH(N838,FlowCalNumber,0),1,1))),INDEX(FlowCalConstA,MATCH(N838,FlowCalNumber,0),1,1)*P841^INDEX(FlowCalConstB,MATCH(N838,FlowCalNumber,0),1,1)," ")</f>
        <v>#REF!</v>
      </c>
      <c r="R841" s="33"/>
      <c r="S841" s="242">
        <f t="shared" si="796"/>
        <v>1</v>
      </c>
      <c r="T841" s="241" t="e">
        <f t="shared" ca="1" si="797"/>
        <v>#REF!</v>
      </c>
      <c r="U841" s="244" t="e">
        <f ca="1">IF(AND(INDEX(FlowCalConstA,MATCH(R838,FlowCalNumber,0),1,1)*T841^INDEX(FlowCalConstB,MATCH(R838,FlowCalNumber,0),1,1)&gt;INDEX(FlowCalLowSetting,MATCH(R838,FlowCalNumber,0),1,1), (INDEX(FlowCalConstA,MATCH(R838,FlowCalNumber,0),1,1)*T841^INDEX(FlowCalConstB,MATCH(R838,FlowCalNumber,0),1,1)&lt;INDEX(FlowCalHighSetting,MATCH(R838,FlowCalNumber,0),1,1))),INDEX(FlowCalConstA,MATCH(R838,FlowCalNumber,0),1,1)*T841^INDEX(FlowCalConstB,MATCH(R838,FlowCalNumber,0),1,1)," ")</f>
        <v>#REF!</v>
      </c>
      <c r="V841" s="33"/>
      <c r="W841" s="242">
        <f t="shared" si="798"/>
        <v>0.1</v>
      </c>
      <c r="X841" s="241" t="e">
        <f t="shared" ca="1" si="799"/>
        <v>#REF!</v>
      </c>
      <c r="Y841" s="243" t="e">
        <f ca="1">IF(AND(INDEX(FlowCalConstA,MATCH(V838,FlowCalNumber,0),1,1)*X841^INDEX(FlowCalConstB,MATCH(V838,FlowCalNumber,0),1,1)&gt;INDEX(FlowCalLowSetting,MATCH(V838,FlowCalNumber,0),1,1), (INDEX(FlowCalConstA,MATCH(V838,FlowCalNumber,0),1,1)*X841^INDEX(FlowCalConstB,MATCH(V838,FlowCalNumber,0),1,1)&lt;INDEX(FlowCalHighSetting,MATCH(V838,FlowCalNumber,0),1,1))),INDEX(FlowCalConstA,MATCH(V838,FlowCalNumber,0),1,1)*X841^INDEX(FlowCalConstB,MATCH(V838,FlowCalNumber,0),1,1)," ")</f>
        <v>#REF!</v>
      </c>
      <c r="Z841" s="33"/>
      <c r="AA841" s="242">
        <f t="shared" si="800"/>
        <v>0.9</v>
      </c>
      <c r="AB841" s="241" t="e">
        <f t="shared" ca="1" si="801"/>
        <v>#REF!</v>
      </c>
      <c r="AC841" s="243" t="e">
        <f ca="1">IF(AND(INDEX(FlowCalConstA,MATCH(Z838,FlowCalNumber,0),1,1)*AB841^INDEX(FlowCalConstB,MATCH(Z838,FlowCalNumber,0),1,1)&gt;INDEX(FlowCalLowSetting,MATCH(Z838,FlowCalNumber,0),1,1), (INDEX(FlowCalConstA,MATCH(Z838,FlowCalNumber,0),1,1)*AB841^INDEX(FlowCalConstB,MATCH(Z838,FlowCalNumber,0),1,1)&lt;INDEX(FlowCalHighSetting,MATCH(Z838,FlowCalNumber,0),1,1))),INDEX(FlowCalConstA,MATCH(Z838,FlowCalNumber,0),1,1)*AB841^INDEX(FlowCalConstB,MATCH(Z838,FlowCalNumber,0),1,1)," ")</f>
        <v>#REF!</v>
      </c>
      <c r="AD841" s="33"/>
      <c r="AE841" s="242">
        <f t="shared" si="802"/>
        <v>0.1</v>
      </c>
      <c r="AF841" s="241" t="e">
        <f t="shared" ca="1" si="803"/>
        <v>#REF!</v>
      </c>
      <c r="AG841" s="243" t="e">
        <f ca="1">IF(AND(INDEX(FlowCalConstA,MATCH(AD838,FlowCalNumber,0),1,1)*AF841^INDEX(FlowCalConstB,MATCH(AD838,FlowCalNumber,0),1,1)&gt;INDEX(FlowCalLowSetting,MATCH(AD838,FlowCalNumber,0),1,1), (INDEX(FlowCalConstA,MATCH(AD838,FlowCalNumber,0),1,1)*AF841^INDEX(FlowCalConstB,MATCH(AD838,FlowCalNumber,0),1,1)&lt;INDEX(FlowCalHighSetting,MATCH(AD838,FlowCalNumber,0),1,1))),INDEX(FlowCalConstA,MATCH(AD838,FlowCalNumber,0),1,1)*AF841^INDEX(FlowCalConstB,MATCH(AD838,FlowCalNumber,0),1,1)," ")</f>
        <v>#REF!</v>
      </c>
      <c r="AH841" s="33"/>
      <c r="AI841" s="242">
        <f t="shared" si="804"/>
        <v>0.9</v>
      </c>
      <c r="AJ841" s="241" t="e">
        <f t="shared" ca="1" si="805"/>
        <v>#REF!</v>
      </c>
      <c r="AK841" s="243" t="e">
        <f ca="1">IF(AND(INDEX(FlowCalConstA,MATCH(AH838,FlowCalNumber,0),1,1)*AJ841^INDEX(FlowCalConstB,MATCH(AH838,FlowCalNumber,0),1,1)&gt;INDEX(FlowCalLowSetting,MATCH(AH838,FlowCalNumber,0),1,1), (INDEX(FlowCalConstA,MATCH(AH838,FlowCalNumber,0),1,1)*AJ841^INDEX(FlowCalConstB,MATCH(AH838,FlowCalNumber,0),1,1)&lt;INDEX(FlowCalHighSetting,MATCH(AH838,FlowCalNumber,0),1,1))),INDEX(FlowCalConstA,MATCH(AH838,FlowCalNumber,0),1,1)*AJ841^INDEX(FlowCalConstB,MATCH(AH838,FlowCalNumber,0),1,1)," ")</f>
        <v>#REF!</v>
      </c>
      <c r="AL841" s="33"/>
      <c r="AM841" s="242"/>
      <c r="AN841" s="241"/>
      <c r="AO841" s="244"/>
      <c r="AQ841" s="242"/>
      <c r="AR841" s="241"/>
      <c r="AS841" s="244"/>
      <c r="AT841" s="33"/>
      <c r="AU841" s="242"/>
      <c r="AV841" s="241"/>
      <c r="AW841" s="244"/>
      <c r="AX841" s="33"/>
      <c r="AY841" s="242"/>
      <c r="AZ841" s="241"/>
      <c r="BA841" s="244"/>
      <c r="BB841" s="33"/>
      <c r="BC841" s="242"/>
      <c r="BD841" s="241"/>
      <c r="BE841" s="244"/>
      <c r="BF841" s="33"/>
      <c r="BG841" s="242"/>
      <c r="BH841" s="241"/>
      <c r="BI841" s="244"/>
      <c r="BJ841" s="33"/>
      <c r="BK841" s="242"/>
      <c r="BL841" s="241"/>
      <c r="BM841" s="244"/>
      <c r="BN841" s="33"/>
      <c r="BO841" s="242"/>
      <c r="BP841" s="241"/>
      <c r="BQ841" s="244"/>
      <c r="BR841" s="33"/>
      <c r="BS841" s="242"/>
      <c r="BT841" s="241"/>
      <c r="BU841" s="244"/>
      <c r="BV841" s="33"/>
      <c r="BW841" s="242"/>
      <c r="BX841" s="241"/>
      <c r="BY841" s="244"/>
      <c r="BZ841" s="33"/>
      <c r="CA841" s="242"/>
      <c r="CB841" s="241"/>
      <c r="CC841" s="244"/>
      <c r="CD841" s="243"/>
      <c r="CE841" s="243"/>
      <c r="CF841" s="243"/>
      <c r="CG841" s="243"/>
      <c r="CH841" s="243"/>
      <c r="CI841" s="243"/>
      <c r="CJ841" s="243"/>
      <c r="CK841" s="243"/>
      <c r="CL841" s="243"/>
      <c r="CM841" s="243"/>
      <c r="CN841" s="243"/>
      <c r="CO841" s="243"/>
      <c r="CP841" s="243"/>
      <c r="CQ841" s="243"/>
      <c r="CR841" s="243"/>
      <c r="CS841" s="243"/>
      <c r="CT841" s="243"/>
      <c r="CU841" s="243"/>
      <c r="CV841" s="243"/>
      <c r="CW841" s="243"/>
      <c r="CX841" s="243"/>
      <c r="CY841" s="243"/>
      <c r="CZ841" s="243"/>
      <c r="DA841" s="243"/>
      <c r="DB841" s="243"/>
      <c r="DC841" s="243"/>
      <c r="DD841" s="243"/>
      <c r="DE841" s="243"/>
      <c r="DF841" s="243"/>
      <c r="DG841" s="243"/>
      <c r="DH841" s="243"/>
      <c r="DI841" s="243"/>
      <c r="DJ841" s="243"/>
      <c r="DK841" s="243"/>
      <c r="DM841" s="242"/>
      <c r="DO841" s="243"/>
      <c r="DQ841" s="242"/>
      <c r="DS841" s="243"/>
      <c r="DU841" s="242"/>
      <c r="DW841" s="243"/>
      <c r="DY841" s="242"/>
      <c r="EA841" s="243"/>
    </row>
    <row r="842" spans="1:131">
      <c r="A842" s="20"/>
      <c r="B842" s="124" t="str">
        <f t="shared" si="790"/>
        <v/>
      </c>
      <c r="C842" s="235"/>
      <c r="D842" s="24">
        <f>'1% Wind'!$M$85</f>
        <v>17.8</v>
      </c>
      <c r="E842" s="90"/>
      <c r="F842" s="90"/>
      <c r="G842" s="79" t="e">
        <f ca="1">IF(I838=0.9743,$G841,MAX(G841/D841*D842,2))</f>
        <v>#REF!</v>
      </c>
      <c r="H842" s="121" t="e">
        <f t="shared" ca="1" si="791"/>
        <v>#REF!</v>
      </c>
      <c r="J842" s="33"/>
      <c r="K842" s="242">
        <f t="shared" si="792"/>
        <v>1</v>
      </c>
      <c r="L842" s="241" t="e">
        <f t="shared" ca="1" si="793"/>
        <v>#REF!</v>
      </c>
      <c r="M842" s="243" t="e">
        <f ca="1">IF(AND(INDEX(FlowCalConstA,MATCH(J838,FlowCalNumber,0),1,1)*L842^INDEX(FlowCalConstB,MATCH(J838,FlowCalNumber,0),1,1)&gt;INDEX(FlowCalLowSetting,MATCH(J838,FlowCalNumber,0),1,1), (INDEX(FlowCalConstA,MATCH(J838,FlowCalNumber,0),1,1)*L842^INDEX(FlowCalConstB,MATCH(J838,FlowCalNumber,0),1,1)&lt;INDEX(FlowCalHighSetting,MATCH(J838,FlowCalNumber,0),1,1))),INDEX(FlowCalConstA,MATCH(J838,FlowCalNumber,0),1,1)*L842^INDEX(FlowCalConstB,MATCH(J838,FlowCalNumber,0),1,1)," ")</f>
        <v>#REF!</v>
      </c>
      <c r="N842" s="33"/>
      <c r="O842" s="242">
        <f t="shared" si="794"/>
        <v>1</v>
      </c>
      <c r="P842" s="241" t="e">
        <f t="shared" ca="1" si="795"/>
        <v>#REF!</v>
      </c>
      <c r="Q842" s="243" t="e">
        <f ca="1">IF(AND(INDEX(FlowCalConstA,MATCH(N838,FlowCalNumber,0),1,1)*P842^INDEX(FlowCalConstB,MATCH(N838,FlowCalNumber,0),1,1)&gt;INDEX(FlowCalLowSetting,MATCH(N838,FlowCalNumber,0),1,1), (INDEX(FlowCalConstA,MATCH(N838,FlowCalNumber,0),1,1)*P842^INDEX(FlowCalConstB,MATCH(N838,FlowCalNumber,0),1,1)&lt;INDEX(FlowCalHighSetting,MATCH(N838,FlowCalNumber,0),1,1))),INDEX(FlowCalConstA,MATCH(N838,FlowCalNumber,0),1,1)*P842^INDEX(FlowCalConstB,MATCH(N838,FlowCalNumber,0),1,1)," ")</f>
        <v>#REF!</v>
      </c>
      <c r="R842" s="33"/>
      <c r="S842" s="242">
        <f t="shared" si="796"/>
        <v>1</v>
      </c>
      <c r="T842" s="241" t="e">
        <f t="shared" ca="1" si="797"/>
        <v>#REF!</v>
      </c>
      <c r="U842" s="244" t="e">
        <f ca="1">IF(AND(INDEX(FlowCalConstA,MATCH(R838,FlowCalNumber,0),1,1)*T842^INDEX(FlowCalConstB,MATCH(R838,FlowCalNumber,0),1,1)&gt;INDEX(FlowCalLowSetting,MATCH(R838,FlowCalNumber,0),1,1), (INDEX(FlowCalConstA,MATCH(R838,FlowCalNumber,0),1,1)*T842^INDEX(FlowCalConstB,MATCH(R838,FlowCalNumber,0),1,1)&lt;INDEX(FlowCalHighSetting,MATCH(R838,FlowCalNumber,0),1,1))),INDEX(FlowCalConstA,MATCH(R838,FlowCalNumber,0),1,1)*T842^INDEX(FlowCalConstB,MATCH(R838,FlowCalNumber,0),1,1)," ")</f>
        <v>#REF!</v>
      </c>
      <c r="V842" s="33"/>
      <c r="W842" s="242">
        <f t="shared" si="798"/>
        <v>0.1</v>
      </c>
      <c r="X842" s="241" t="e">
        <f t="shared" ca="1" si="799"/>
        <v>#REF!</v>
      </c>
      <c r="Y842" s="243" t="e">
        <f ca="1">IF(AND(INDEX(FlowCalConstA,MATCH(V838,FlowCalNumber,0),1,1)*X842^INDEX(FlowCalConstB,MATCH(V838,FlowCalNumber,0),1,1)&gt;INDEX(FlowCalLowSetting,MATCH(V838,FlowCalNumber,0),1,1), (INDEX(FlowCalConstA,MATCH(V838,FlowCalNumber,0),1,1)*X842^INDEX(FlowCalConstB,MATCH(V838,FlowCalNumber,0),1,1)&lt;INDEX(FlowCalHighSetting,MATCH(V838,FlowCalNumber,0),1,1))),INDEX(FlowCalConstA,MATCH(V838,FlowCalNumber,0),1,1)*X842^INDEX(FlowCalConstB,MATCH(V838,FlowCalNumber,0),1,1)," ")</f>
        <v>#REF!</v>
      </c>
      <c r="Z842" s="33"/>
      <c r="AA842" s="242">
        <f t="shared" si="800"/>
        <v>0.9</v>
      </c>
      <c r="AB842" s="241" t="e">
        <f t="shared" ca="1" si="801"/>
        <v>#REF!</v>
      </c>
      <c r="AC842" s="243" t="e">
        <f ca="1">IF(AND(INDEX(FlowCalConstA,MATCH(Z838,FlowCalNumber,0),1,1)*AB842^INDEX(FlowCalConstB,MATCH(Z838,FlowCalNumber,0),1,1)&gt;INDEX(FlowCalLowSetting,MATCH(Z838,FlowCalNumber,0),1,1), (INDEX(FlowCalConstA,MATCH(Z838,FlowCalNumber,0),1,1)*AB842^INDEX(FlowCalConstB,MATCH(Z838,FlowCalNumber,0),1,1)&lt;INDEX(FlowCalHighSetting,MATCH(Z838,FlowCalNumber,0),1,1))),INDEX(FlowCalConstA,MATCH(Z838,FlowCalNumber,0),1,1)*AB842^INDEX(FlowCalConstB,MATCH(Z838,FlowCalNumber,0),1,1)," ")</f>
        <v>#REF!</v>
      </c>
      <c r="AD842" s="33"/>
      <c r="AE842" s="242">
        <f t="shared" si="802"/>
        <v>0.1</v>
      </c>
      <c r="AF842" s="241" t="e">
        <f t="shared" ca="1" si="803"/>
        <v>#REF!</v>
      </c>
      <c r="AG842" s="243" t="e">
        <f ca="1">IF(AND(INDEX(FlowCalConstA,MATCH(AD838,FlowCalNumber,0),1,1)*AF842^INDEX(FlowCalConstB,MATCH(AD838,FlowCalNumber,0),1,1)&gt;INDEX(FlowCalLowSetting,MATCH(AD838,FlowCalNumber,0),1,1), (INDEX(FlowCalConstA,MATCH(AD838,FlowCalNumber,0),1,1)*AF842^INDEX(FlowCalConstB,MATCH(AD838,FlowCalNumber,0),1,1)&lt;INDEX(FlowCalHighSetting,MATCH(AD838,FlowCalNumber,0),1,1))),INDEX(FlowCalConstA,MATCH(AD838,FlowCalNumber,0),1,1)*AF842^INDEX(FlowCalConstB,MATCH(AD838,FlowCalNumber,0),1,1)," ")</f>
        <v>#REF!</v>
      </c>
      <c r="AH842" s="33"/>
      <c r="AI842" s="242">
        <f t="shared" si="804"/>
        <v>0.9</v>
      </c>
      <c r="AJ842" s="241" t="e">
        <f t="shared" ca="1" si="805"/>
        <v>#REF!</v>
      </c>
      <c r="AK842" s="243" t="e">
        <f ca="1">IF(AND(INDEX(FlowCalConstA,MATCH(AH838,FlowCalNumber,0),1,1)*AJ842^INDEX(FlowCalConstB,MATCH(AH838,FlowCalNumber,0),1,1)&gt;INDEX(FlowCalLowSetting,MATCH(AH838,FlowCalNumber,0),1,1), (INDEX(FlowCalConstA,MATCH(AH838,FlowCalNumber,0),1,1)*AJ842^INDEX(FlowCalConstB,MATCH(AH838,FlowCalNumber,0),1,1)&lt;INDEX(FlowCalHighSetting,MATCH(AH838,FlowCalNumber,0),1,1))),INDEX(FlowCalConstA,MATCH(AH838,FlowCalNumber,0),1,1)*AJ842^INDEX(FlowCalConstB,MATCH(AH838,FlowCalNumber,0),1,1)," ")</f>
        <v>#REF!</v>
      </c>
      <c r="AL842" s="33"/>
      <c r="AM842" s="242"/>
      <c r="AN842" s="241"/>
      <c r="AO842" s="244"/>
      <c r="AQ842" s="242"/>
      <c r="AR842" s="241"/>
      <c r="AS842" s="244"/>
      <c r="AT842" s="33"/>
      <c r="AU842" s="242"/>
      <c r="AV842" s="241"/>
      <c r="AW842" s="244"/>
      <c r="AX842" s="33"/>
      <c r="AY842" s="242"/>
      <c r="AZ842" s="241"/>
      <c r="BA842" s="244"/>
      <c r="BB842" s="33"/>
      <c r="BC842" s="242"/>
      <c r="BD842" s="241"/>
      <c r="BE842" s="244"/>
      <c r="BF842" s="33"/>
      <c r="BG842" s="242"/>
      <c r="BH842" s="241"/>
      <c r="BI842" s="244"/>
      <c r="BJ842" s="33"/>
      <c r="BK842" s="242"/>
      <c r="BL842" s="241"/>
      <c r="BM842" s="244"/>
      <c r="BN842" s="33"/>
      <c r="BO842" s="242"/>
      <c r="BP842" s="241"/>
      <c r="BQ842" s="244"/>
      <c r="BR842" s="33"/>
      <c r="BS842" s="242"/>
      <c r="BT842" s="241"/>
      <c r="BU842" s="244"/>
      <c r="BV842" s="33"/>
      <c r="BW842" s="242"/>
      <c r="BX842" s="241"/>
      <c r="BY842" s="244"/>
      <c r="BZ842" s="33"/>
      <c r="CA842" s="242"/>
      <c r="CB842" s="241"/>
      <c r="CC842" s="244"/>
      <c r="CD842" s="243"/>
      <c r="CE842" s="243"/>
      <c r="CF842" s="243"/>
      <c r="CG842" s="243"/>
      <c r="CH842" s="243"/>
      <c r="CI842" s="243"/>
      <c r="CJ842" s="243"/>
      <c r="CK842" s="243"/>
      <c r="CL842" s="243"/>
      <c r="CM842" s="243"/>
      <c r="CN842" s="243"/>
      <c r="CO842" s="243"/>
      <c r="CP842" s="243"/>
      <c r="CQ842" s="243"/>
      <c r="CR842" s="243"/>
      <c r="CS842" s="243"/>
      <c r="CT842" s="243"/>
      <c r="CU842" s="243"/>
      <c r="CV842" s="243"/>
      <c r="CW842" s="243"/>
      <c r="CX842" s="243"/>
      <c r="CY842" s="243"/>
      <c r="CZ842" s="243"/>
      <c r="DA842" s="243"/>
      <c r="DB842" s="243"/>
      <c r="DC842" s="243"/>
      <c r="DD842" s="243"/>
      <c r="DE842" s="243"/>
      <c r="DF842" s="243"/>
      <c r="DG842" s="243"/>
      <c r="DH842" s="243"/>
      <c r="DI842" s="243"/>
      <c r="DJ842" s="243"/>
      <c r="DK842" s="243"/>
      <c r="DM842" s="242"/>
      <c r="DO842" s="243"/>
      <c r="DQ842" s="242"/>
      <c r="DS842" s="243"/>
      <c r="DU842" s="242"/>
      <c r="DW842" s="243"/>
      <c r="DY842" s="242"/>
      <c r="EA842" s="243"/>
    </row>
    <row r="843" spans="1:131">
      <c r="A843" s="20"/>
      <c r="B843" s="124" t="str">
        <f t="shared" si="790"/>
        <v/>
      </c>
      <c r="C843" s="235"/>
      <c r="D843" s="24">
        <f>'1% Wind'!$M$86</f>
        <v>15.5</v>
      </c>
      <c r="E843" s="90"/>
      <c r="F843" s="90"/>
      <c r="G843" s="79" t="e">
        <f ca="1">IF(I838=0.9743,$G842,MAX(G842/D842*D843,2))</f>
        <v>#REF!</v>
      </c>
      <c r="H843" s="121" t="e">
        <f t="shared" ca="1" si="791"/>
        <v>#REF!</v>
      </c>
      <c r="J843" s="33"/>
      <c r="K843" s="242">
        <f t="shared" si="792"/>
        <v>1</v>
      </c>
      <c r="L843" s="241" t="e">
        <f t="shared" ca="1" si="793"/>
        <v>#REF!</v>
      </c>
      <c r="M843" s="243" t="e">
        <f ca="1">IF(AND(INDEX(FlowCalConstA,MATCH(J838,FlowCalNumber,0),1,1)*L843^INDEX(FlowCalConstB,MATCH(J838,FlowCalNumber,0),1,1)&gt;INDEX(FlowCalLowSetting,MATCH(J838,FlowCalNumber,0),1,1), (INDEX(FlowCalConstA,MATCH(J838,FlowCalNumber,0),1,1)*L843^INDEX(FlowCalConstB,MATCH(J838,FlowCalNumber,0),1,1)&lt;INDEX(FlowCalHighSetting,MATCH(J838,FlowCalNumber,0),1,1))),INDEX(FlowCalConstA,MATCH(J838,FlowCalNumber,0),1,1)*L843^INDEX(FlowCalConstB,MATCH(J838,FlowCalNumber,0),1,1)," ")</f>
        <v>#REF!</v>
      </c>
      <c r="N843" s="33"/>
      <c r="O843" s="242">
        <f t="shared" si="794"/>
        <v>1</v>
      </c>
      <c r="P843" s="241" t="e">
        <f t="shared" ca="1" si="795"/>
        <v>#REF!</v>
      </c>
      <c r="Q843" s="243" t="e">
        <f ca="1">IF(AND(INDEX(FlowCalConstA,MATCH(N838,FlowCalNumber,0),1,1)*P843^INDEX(FlowCalConstB,MATCH(N838,FlowCalNumber,0),1,1)&gt;INDEX(FlowCalLowSetting,MATCH(N838,FlowCalNumber,0),1,1), (INDEX(FlowCalConstA,MATCH(N838,FlowCalNumber,0),1,1)*P843^INDEX(FlowCalConstB,MATCH(N838,FlowCalNumber,0),1,1)&lt;INDEX(FlowCalHighSetting,MATCH(N838,FlowCalNumber,0),1,1))),INDEX(FlowCalConstA,MATCH(N838,FlowCalNumber,0),1,1)*P843^INDEX(FlowCalConstB,MATCH(N838,FlowCalNumber,0),1,1)," ")</f>
        <v>#REF!</v>
      </c>
      <c r="R843" s="33"/>
      <c r="S843" s="242">
        <f t="shared" si="796"/>
        <v>1</v>
      </c>
      <c r="T843" s="241" t="e">
        <f t="shared" ca="1" si="797"/>
        <v>#REF!</v>
      </c>
      <c r="U843" s="244" t="e">
        <f ca="1">IF(AND(INDEX(FlowCalConstA,MATCH(R838,FlowCalNumber,0),1,1)*T843^INDEX(FlowCalConstB,MATCH(R838,FlowCalNumber,0),1,1)&gt;INDEX(FlowCalLowSetting,MATCH(R838,FlowCalNumber,0),1,1), (INDEX(FlowCalConstA,MATCH(R838,FlowCalNumber,0),1,1)*T843^INDEX(FlowCalConstB,MATCH(R838,FlowCalNumber,0),1,1)&lt;INDEX(FlowCalHighSetting,MATCH(R838,FlowCalNumber,0),1,1))),INDEX(FlowCalConstA,MATCH(R838,FlowCalNumber,0),1,1)*T843^INDEX(FlowCalConstB,MATCH(R838,FlowCalNumber,0),1,1)," ")</f>
        <v>#REF!</v>
      </c>
      <c r="V843" s="33"/>
      <c r="W843" s="242">
        <f t="shared" si="798"/>
        <v>0.1</v>
      </c>
      <c r="X843" s="241" t="e">
        <f t="shared" ca="1" si="799"/>
        <v>#REF!</v>
      </c>
      <c r="Y843" s="243" t="e">
        <f ca="1">IF(AND(INDEX(FlowCalConstA,MATCH(V838,FlowCalNumber,0),1,1)*X843^INDEX(FlowCalConstB,MATCH(V838,FlowCalNumber,0),1,1)&gt;INDEX(FlowCalLowSetting,MATCH(V838,FlowCalNumber,0),1,1), (INDEX(FlowCalConstA,MATCH(V838,FlowCalNumber,0),1,1)*X843^INDEX(FlowCalConstB,MATCH(V838,FlowCalNumber,0),1,1)&lt;INDEX(FlowCalHighSetting,MATCH(V838,FlowCalNumber,0),1,1))),INDEX(FlowCalConstA,MATCH(V838,FlowCalNumber,0),1,1)*X843^INDEX(FlowCalConstB,MATCH(V838,FlowCalNumber,0),1,1)," ")</f>
        <v>#REF!</v>
      </c>
      <c r="Z843" s="33"/>
      <c r="AA843" s="242">
        <f t="shared" si="800"/>
        <v>0.9</v>
      </c>
      <c r="AB843" s="241" t="e">
        <f t="shared" ca="1" si="801"/>
        <v>#REF!</v>
      </c>
      <c r="AC843" s="243" t="e">
        <f ca="1">IF(AND(INDEX(FlowCalConstA,MATCH(Z838,FlowCalNumber,0),1,1)*AB843^INDEX(FlowCalConstB,MATCH(Z838,FlowCalNumber,0),1,1)&gt;INDEX(FlowCalLowSetting,MATCH(Z838,FlowCalNumber,0),1,1), (INDEX(FlowCalConstA,MATCH(Z838,FlowCalNumber,0),1,1)*AB843^INDEX(FlowCalConstB,MATCH(Z838,FlowCalNumber,0),1,1)&lt;INDEX(FlowCalHighSetting,MATCH(Z838,FlowCalNumber,0),1,1))),INDEX(FlowCalConstA,MATCH(Z838,FlowCalNumber,0),1,1)*AB843^INDEX(FlowCalConstB,MATCH(Z838,FlowCalNumber,0),1,1)," ")</f>
        <v>#REF!</v>
      </c>
      <c r="AD843" s="33"/>
      <c r="AE843" s="242">
        <f t="shared" si="802"/>
        <v>0.1</v>
      </c>
      <c r="AF843" s="241" t="e">
        <f t="shared" ca="1" si="803"/>
        <v>#REF!</v>
      </c>
      <c r="AG843" s="243" t="e">
        <f ca="1">IF(AND(INDEX(FlowCalConstA,MATCH(AD838,FlowCalNumber,0),1,1)*AF843^INDEX(FlowCalConstB,MATCH(AD838,FlowCalNumber,0),1,1)&gt;INDEX(FlowCalLowSetting,MATCH(AD838,FlowCalNumber,0),1,1), (INDEX(FlowCalConstA,MATCH(AD838,FlowCalNumber,0),1,1)*AF843^INDEX(FlowCalConstB,MATCH(AD838,FlowCalNumber,0),1,1)&lt;INDEX(FlowCalHighSetting,MATCH(AD838,FlowCalNumber,0),1,1))),INDEX(FlowCalConstA,MATCH(AD838,FlowCalNumber,0),1,1)*AF843^INDEX(FlowCalConstB,MATCH(AD838,FlowCalNumber,0),1,1)," ")</f>
        <v>#REF!</v>
      </c>
      <c r="AH843" s="33"/>
      <c r="AI843" s="242">
        <f t="shared" si="804"/>
        <v>0.9</v>
      </c>
      <c r="AJ843" s="241" t="e">
        <f t="shared" ca="1" si="805"/>
        <v>#REF!</v>
      </c>
      <c r="AK843" s="243" t="e">
        <f ca="1">IF(AND(INDEX(FlowCalConstA,MATCH(AH838,FlowCalNumber,0),1,1)*AJ843^INDEX(FlowCalConstB,MATCH(AH838,FlowCalNumber,0),1,1)&gt;INDEX(FlowCalLowSetting,MATCH(AH838,FlowCalNumber,0),1,1), (INDEX(FlowCalConstA,MATCH(AH838,FlowCalNumber,0),1,1)*AJ843^INDEX(FlowCalConstB,MATCH(AH838,FlowCalNumber,0),1,1)&lt;INDEX(FlowCalHighSetting,MATCH(AH838,FlowCalNumber,0),1,1))),INDEX(FlowCalConstA,MATCH(AH838,FlowCalNumber,0),1,1)*AJ843^INDEX(FlowCalConstB,MATCH(AH838,FlowCalNumber,0),1,1)," ")</f>
        <v>#REF!</v>
      </c>
      <c r="AL843" s="33"/>
      <c r="AM843" s="242"/>
      <c r="AN843" s="241"/>
      <c r="AO843" s="244"/>
      <c r="AQ843" s="242"/>
      <c r="AR843" s="241"/>
      <c r="AS843" s="244"/>
      <c r="AT843" s="33"/>
      <c r="AU843" s="242"/>
      <c r="AV843" s="241"/>
      <c r="AW843" s="244"/>
      <c r="AX843" s="33"/>
      <c r="AY843" s="242"/>
      <c r="AZ843" s="241"/>
      <c r="BA843" s="244"/>
      <c r="BB843" s="33"/>
      <c r="BC843" s="242"/>
      <c r="BD843" s="241"/>
      <c r="BE843" s="244"/>
      <c r="BF843" s="33"/>
      <c r="BG843" s="242"/>
      <c r="BH843" s="241"/>
      <c r="BI843" s="244"/>
      <c r="BJ843" s="33"/>
      <c r="BK843" s="242"/>
      <c r="BL843" s="241"/>
      <c r="BM843" s="244"/>
      <c r="BN843" s="33"/>
      <c r="BO843" s="242"/>
      <c r="BP843" s="241"/>
      <c r="BQ843" s="244"/>
      <c r="BR843" s="33"/>
      <c r="BS843" s="242"/>
      <c r="BT843" s="241"/>
      <c r="BU843" s="244"/>
      <c r="BV843" s="33"/>
      <c r="BW843" s="242"/>
      <c r="BX843" s="241"/>
      <c r="BY843" s="244"/>
      <c r="BZ843" s="33"/>
      <c r="CA843" s="242"/>
      <c r="CB843" s="241"/>
      <c r="CC843" s="244"/>
      <c r="CD843" s="243"/>
      <c r="CE843" s="243"/>
      <c r="CF843" s="243"/>
      <c r="CG843" s="243"/>
      <c r="CH843" s="243"/>
      <c r="CI843" s="243"/>
      <c r="CJ843" s="243"/>
      <c r="CK843" s="243"/>
      <c r="CL843" s="243"/>
      <c r="CM843" s="243"/>
      <c r="CN843" s="243"/>
      <c r="CO843" s="243"/>
      <c r="CP843" s="243"/>
      <c r="CQ843" s="243"/>
      <c r="CR843" s="243"/>
      <c r="CS843" s="243"/>
      <c r="CT843" s="243"/>
      <c r="CU843" s="243"/>
      <c r="CV843" s="243"/>
      <c r="CW843" s="243"/>
      <c r="CX843" s="243"/>
      <c r="CY843" s="243"/>
      <c r="CZ843" s="243"/>
      <c r="DA843" s="243"/>
      <c r="DB843" s="243"/>
      <c r="DC843" s="243"/>
      <c r="DD843" s="243"/>
      <c r="DE843" s="243"/>
      <c r="DF843" s="243"/>
      <c r="DG843" s="243"/>
      <c r="DH843" s="243"/>
      <c r="DI843" s="243"/>
      <c r="DJ843" s="243"/>
      <c r="DK843" s="243"/>
      <c r="DM843" s="242"/>
      <c r="DO843" s="243"/>
      <c r="DQ843" s="242"/>
      <c r="DS843" s="243"/>
      <c r="DU843" s="242"/>
      <c r="DW843" s="243"/>
      <c r="DY843" s="242"/>
      <c r="EA843" s="243"/>
    </row>
    <row r="844" spans="1:131">
      <c r="A844" s="20"/>
      <c r="B844" s="124" t="str">
        <f t="shared" si="790"/>
        <v/>
      </c>
      <c r="C844" s="235"/>
      <c r="D844" s="24">
        <f>'1% Wind'!$M$87</f>
        <v>13.5</v>
      </c>
      <c r="E844" s="90"/>
      <c r="F844" s="90"/>
      <c r="G844" s="79" t="e">
        <f ca="1">IF(I838=0.9743,$G843,MAX(G843/D843*D844,2))</f>
        <v>#REF!</v>
      </c>
      <c r="H844" s="121" t="e">
        <f t="shared" ca="1" si="791"/>
        <v>#REF!</v>
      </c>
      <c r="J844" s="33"/>
      <c r="K844" s="242">
        <f t="shared" si="792"/>
        <v>1</v>
      </c>
      <c r="L844" s="241" t="e">
        <f t="shared" ca="1" si="793"/>
        <v>#REF!</v>
      </c>
      <c r="M844" s="243" t="e">
        <f ca="1">IF(AND(INDEX(FlowCalConstA,MATCH(J838,FlowCalNumber,0),1,1)*L844^INDEX(FlowCalConstB,MATCH(J838,FlowCalNumber,0),1,1)&gt;INDEX(FlowCalLowSetting,MATCH(J838,FlowCalNumber,0),1,1), (INDEX(FlowCalConstA,MATCH(J838,FlowCalNumber,0),1,1)*L844^INDEX(FlowCalConstB,MATCH(J838,FlowCalNumber,0),1,1)&lt;INDEX(FlowCalHighSetting,MATCH(J838,FlowCalNumber,0),1,1))),INDEX(FlowCalConstA,MATCH(J838,FlowCalNumber,0),1,1)*L844^INDEX(FlowCalConstB,MATCH(J838,FlowCalNumber,0),1,1)," ")</f>
        <v>#REF!</v>
      </c>
      <c r="N844" s="33"/>
      <c r="O844" s="242">
        <f t="shared" si="794"/>
        <v>1</v>
      </c>
      <c r="P844" s="241" t="e">
        <f t="shared" ca="1" si="795"/>
        <v>#REF!</v>
      </c>
      <c r="Q844" s="243" t="e">
        <f ca="1">IF(AND(INDEX(FlowCalConstA,MATCH(N838,FlowCalNumber,0),1,1)*P844^INDEX(FlowCalConstB,MATCH(N838,FlowCalNumber,0),1,1)&gt;INDEX(FlowCalLowSetting,MATCH(N838,FlowCalNumber,0),1,1), (INDEX(FlowCalConstA,MATCH(N838,FlowCalNumber,0),1,1)*P844^INDEX(FlowCalConstB,MATCH(N838,FlowCalNumber,0),1,1)&lt;INDEX(FlowCalHighSetting,MATCH(N838,FlowCalNumber,0),1,1))),INDEX(FlowCalConstA,MATCH(N838,FlowCalNumber,0),1,1)*P844^INDEX(FlowCalConstB,MATCH(N838,FlowCalNumber,0),1,1)," ")</f>
        <v>#REF!</v>
      </c>
      <c r="R844" s="33"/>
      <c r="S844" s="242">
        <f t="shared" si="796"/>
        <v>1</v>
      </c>
      <c r="T844" s="241" t="e">
        <f t="shared" ca="1" si="797"/>
        <v>#REF!</v>
      </c>
      <c r="U844" s="244" t="e">
        <f ca="1">IF(AND(INDEX(FlowCalConstA,MATCH(R838,FlowCalNumber,0),1,1)*T844^INDEX(FlowCalConstB,MATCH(R838,FlowCalNumber,0),1,1)&gt;INDEX(FlowCalLowSetting,MATCH(R838,FlowCalNumber,0),1,1), (INDEX(FlowCalConstA,MATCH(R838,FlowCalNumber,0),1,1)*T844^INDEX(FlowCalConstB,MATCH(R838,FlowCalNumber,0),1,1)&lt;INDEX(FlowCalHighSetting,MATCH(R838,FlowCalNumber,0),1,1))),INDEX(FlowCalConstA,MATCH(R838,FlowCalNumber,0),1,1)*T844^INDEX(FlowCalConstB,MATCH(R838,FlowCalNumber,0),1,1)," ")</f>
        <v>#REF!</v>
      </c>
      <c r="V844" s="33"/>
      <c r="W844" s="242">
        <f t="shared" si="798"/>
        <v>0.1</v>
      </c>
      <c r="X844" s="241" t="e">
        <f t="shared" ca="1" si="799"/>
        <v>#REF!</v>
      </c>
      <c r="Y844" s="243" t="e">
        <f ca="1">IF(AND(INDEX(FlowCalConstA,MATCH(V838,FlowCalNumber,0),1,1)*X844^INDEX(FlowCalConstB,MATCH(V838,FlowCalNumber,0),1,1)&gt;INDEX(FlowCalLowSetting,MATCH(V838,FlowCalNumber,0),1,1), (INDEX(FlowCalConstA,MATCH(V838,FlowCalNumber,0),1,1)*X844^INDEX(FlowCalConstB,MATCH(V838,FlowCalNumber,0),1,1)&lt;INDEX(FlowCalHighSetting,MATCH(V838,FlowCalNumber,0),1,1))),INDEX(FlowCalConstA,MATCH(V838,FlowCalNumber,0),1,1)*X844^INDEX(FlowCalConstB,MATCH(V838,FlowCalNumber,0),1,1)," ")</f>
        <v>#REF!</v>
      </c>
      <c r="Z844" s="33"/>
      <c r="AA844" s="242">
        <f t="shared" si="800"/>
        <v>0.9</v>
      </c>
      <c r="AB844" s="241" t="e">
        <f t="shared" ca="1" si="801"/>
        <v>#REF!</v>
      </c>
      <c r="AC844" s="243" t="e">
        <f ca="1">IF(AND(INDEX(FlowCalConstA,MATCH(Z838,FlowCalNumber,0),1,1)*AB844^INDEX(FlowCalConstB,MATCH(Z838,FlowCalNumber,0),1,1)&gt;INDEX(FlowCalLowSetting,MATCH(Z838,FlowCalNumber,0),1,1), (INDEX(FlowCalConstA,MATCH(Z838,FlowCalNumber,0),1,1)*AB844^INDEX(FlowCalConstB,MATCH(Z838,FlowCalNumber,0),1,1)&lt;INDEX(FlowCalHighSetting,MATCH(Z838,FlowCalNumber,0),1,1))),INDEX(FlowCalConstA,MATCH(Z838,FlowCalNumber,0),1,1)*AB844^INDEX(FlowCalConstB,MATCH(Z838,FlowCalNumber,0),1,1)," ")</f>
        <v>#REF!</v>
      </c>
      <c r="AD844" s="33"/>
      <c r="AE844" s="242">
        <f t="shared" si="802"/>
        <v>0.1</v>
      </c>
      <c r="AF844" s="241" t="e">
        <f t="shared" ca="1" si="803"/>
        <v>#REF!</v>
      </c>
      <c r="AG844" s="243" t="e">
        <f ca="1">IF(AND(INDEX(FlowCalConstA,MATCH(AD838,FlowCalNumber,0),1,1)*AF844^INDEX(FlowCalConstB,MATCH(AD838,FlowCalNumber,0),1,1)&gt;INDEX(FlowCalLowSetting,MATCH(AD838,FlowCalNumber,0),1,1), (INDEX(FlowCalConstA,MATCH(AD838,FlowCalNumber,0),1,1)*AF844^INDEX(FlowCalConstB,MATCH(AD838,FlowCalNumber,0),1,1)&lt;INDEX(FlowCalHighSetting,MATCH(AD838,FlowCalNumber,0),1,1))),INDEX(FlowCalConstA,MATCH(AD838,FlowCalNumber,0),1,1)*AF844^INDEX(FlowCalConstB,MATCH(AD838,FlowCalNumber,0),1,1)," ")</f>
        <v>#REF!</v>
      </c>
      <c r="AH844" s="33"/>
      <c r="AI844" s="242">
        <f t="shared" si="804"/>
        <v>0.9</v>
      </c>
      <c r="AJ844" s="241" t="e">
        <f t="shared" ca="1" si="805"/>
        <v>#REF!</v>
      </c>
      <c r="AK844" s="243" t="e">
        <f ca="1">IF(AND(INDEX(FlowCalConstA,MATCH(AH838,FlowCalNumber,0),1,1)*AJ844^INDEX(FlowCalConstB,MATCH(AH838,FlowCalNumber,0),1,1)&gt;INDEX(FlowCalLowSetting,MATCH(AH838,FlowCalNumber,0),1,1), (INDEX(FlowCalConstA,MATCH(AH838,FlowCalNumber,0),1,1)*AJ844^INDEX(FlowCalConstB,MATCH(AH838,FlowCalNumber,0),1,1)&lt;INDEX(FlowCalHighSetting,MATCH(AH838,FlowCalNumber,0),1,1))),INDEX(FlowCalConstA,MATCH(AH838,FlowCalNumber,0),1,1)*AJ844^INDEX(FlowCalConstB,MATCH(AH838,FlowCalNumber,0),1,1)," ")</f>
        <v>#REF!</v>
      </c>
      <c r="AL844" s="33"/>
      <c r="AM844" s="242"/>
      <c r="AN844" s="241"/>
      <c r="AO844" s="244"/>
      <c r="AQ844" s="242"/>
      <c r="AR844" s="241"/>
      <c r="AS844" s="244"/>
      <c r="AT844" s="33"/>
      <c r="AU844" s="242"/>
      <c r="AV844" s="241"/>
      <c r="AW844" s="244"/>
      <c r="AX844" s="33"/>
      <c r="AY844" s="242"/>
      <c r="AZ844" s="241"/>
      <c r="BA844" s="244"/>
      <c r="BB844" s="33"/>
      <c r="BC844" s="242"/>
      <c r="BD844" s="241"/>
      <c r="BE844" s="244"/>
      <c r="BF844" s="33"/>
      <c r="BG844" s="242"/>
      <c r="BH844" s="241"/>
      <c r="BI844" s="244"/>
      <c r="BJ844" s="33"/>
      <c r="BK844" s="242"/>
      <c r="BL844" s="241"/>
      <c r="BM844" s="244"/>
      <c r="BN844" s="33"/>
      <c r="BO844" s="242"/>
      <c r="BP844" s="241"/>
      <c r="BQ844" s="244"/>
      <c r="BR844" s="33"/>
      <c r="BS844" s="242"/>
      <c r="BT844" s="241"/>
      <c r="BU844" s="244"/>
      <c r="BV844" s="33"/>
      <c r="BW844" s="242"/>
      <c r="BX844" s="241"/>
      <c r="BY844" s="244"/>
      <c r="BZ844" s="33"/>
      <c r="CA844" s="242"/>
      <c r="CB844" s="241"/>
      <c r="CC844" s="244"/>
      <c r="CD844" s="243"/>
      <c r="CE844" s="243"/>
      <c r="CF844" s="243"/>
      <c r="CG844" s="243"/>
      <c r="CH844" s="243"/>
      <c r="CI844" s="243"/>
      <c r="CJ844" s="243"/>
      <c r="CK844" s="243"/>
      <c r="CL844" s="243"/>
      <c r="CM844" s="243"/>
      <c r="CN844" s="243"/>
      <c r="CO844" s="243"/>
      <c r="CP844" s="243"/>
      <c r="CQ844" s="243"/>
      <c r="CR844" s="243"/>
      <c r="CS844" s="243"/>
      <c r="CT844" s="243"/>
      <c r="CU844" s="243"/>
      <c r="CV844" s="243"/>
      <c r="CW844" s="243"/>
      <c r="CX844" s="243"/>
      <c r="CY844" s="243"/>
      <c r="CZ844" s="243"/>
      <c r="DA844" s="243"/>
      <c r="DB844" s="243"/>
      <c r="DC844" s="243"/>
      <c r="DD844" s="243"/>
      <c r="DE844" s="243"/>
      <c r="DF844" s="243"/>
      <c r="DG844" s="243"/>
      <c r="DH844" s="243"/>
      <c r="DI844" s="243"/>
      <c r="DJ844" s="243"/>
      <c r="DK844" s="243"/>
      <c r="DM844" s="242"/>
      <c r="DO844" s="243"/>
      <c r="DQ844" s="242"/>
      <c r="DS844" s="243"/>
      <c r="DU844" s="242"/>
      <c r="DW844" s="243"/>
      <c r="DY844" s="242"/>
      <c r="EA844" s="243"/>
    </row>
    <row r="845" spans="1:131">
      <c r="A845" s="20"/>
      <c r="B845" s="124" t="str">
        <f t="shared" si="790"/>
        <v/>
      </c>
      <c r="C845" s="235"/>
      <c r="D845" s="24">
        <f>'1% Wind'!$M$88</f>
        <v>10.1</v>
      </c>
      <c r="E845" s="90"/>
      <c r="F845" s="90"/>
      <c r="G845" s="79" t="e">
        <f ca="1">IF(I838=0.9743,$G844,MAX(G844/D844*D845,2))</f>
        <v>#REF!</v>
      </c>
      <c r="H845" s="121" t="e">
        <f t="shared" ca="1" si="791"/>
        <v>#REF!</v>
      </c>
      <c r="J845" s="33"/>
      <c r="K845" s="242">
        <f t="shared" si="792"/>
        <v>1</v>
      </c>
      <c r="L845" s="241" t="e">
        <f t="shared" ca="1" si="793"/>
        <v>#REF!</v>
      </c>
      <c r="M845" s="243" t="e">
        <f ca="1">IF(AND(INDEX(FlowCalConstA,MATCH(J838,FlowCalNumber,0),1,1)*L845^INDEX(FlowCalConstB,MATCH(J838,FlowCalNumber,0),1,1)&gt;INDEX(FlowCalLowSetting,MATCH(J838,FlowCalNumber,0),1,1), (INDEX(FlowCalConstA,MATCH(J838,FlowCalNumber,0),1,1)*L845^INDEX(FlowCalConstB,MATCH(J838,FlowCalNumber,0),1,1)&lt;INDEX(FlowCalHighSetting,MATCH(J838,FlowCalNumber,0),1,1))),INDEX(FlowCalConstA,MATCH(J838,FlowCalNumber,0),1,1)*L845^INDEX(FlowCalConstB,MATCH(J838,FlowCalNumber,0),1,1)," ")</f>
        <v>#REF!</v>
      </c>
      <c r="N845" s="33"/>
      <c r="O845" s="242">
        <f t="shared" si="794"/>
        <v>1</v>
      </c>
      <c r="P845" s="241" t="e">
        <f t="shared" ca="1" si="795"/>
        <v>#REF!</v>
      </c>
      <c r="Q845" s="243" t="e">
        <f ca="1">IF(AND(INDEX(FlowCalConstA,MATCH(N838,FlowCalNumber,0),1,1)*P845^INDEX(FlowCalConstB,MATCH(N838,FlowCalNumber,0),1,1)&gt;INDEX(FlowCalLowSetting,MATCH(N838,FlowCalNumber,0),1,1), (INDEX(FlowCalConstA,MATCH(N838,FlowCalNumber,0),1,1)*P845^INDEX(FlowCalConstB,MATCH(N838,FlowCalNumber,0),1,1)&lt;INDEX(FlowCalHighSetting,MATCH(N838,FlowCalNumber,0),1,1))),INDEX(FlowCalConstA,MATCH(N838,FlowCalNumber,0),1,1)*P845^INDEX(FlowCalConstB,MATCH(N838,FlowCalNumber,0),1,1)," ")</f>
        <v>#REF!</v>
      </c>
      <c r="R845" s="33"/>
      <c r="S845" s="242">
        <f t="shared" si="796"/>
        <v>1</v>
      </c>
      <c r="T845" s="241" t="e">
        <f t="shared" ca="1" si="797"/>
        <v>#REF!</v>
      </c>
      <c r="U845" s="244" t="e">
        <f ca="1">IF(AND(INDEX(FlowCalConstA,MATCH(R838,FlowCalNumber,0),1,1)*T845^INDEX(FlowCalConstB,MATCH(R838,FlowCalNumber,0),1,1)&gt;INDEX(FlowCalLowSetting,MATCH(R838,FlowCalNumber,0),1,1), (INDEX(FlowCalConstA,MATCH(R838,FlowCalNumber,0),1,1)*T845^INDEX(FlowCalConstB,MATCH(R838,FlowCalNumber,0),1,1)&lt;INDEX(FlowCalHighSetting,MATCH(R838,FlowCalNumber,0),1,1))),INDEX(FlowCalConstA,MATCH(R838,FlowCalNumber,0),1,1)*T845^INDEX(FlowCalConstB,MATCH(R838,FlowCalNumber,0),1,1)," ")</f>
        <v>#REF!</v>
      </c>
      <c r="V845" s="33"/>
      <c r="W845" s="242">
        <f t="shared" si="798"/>
        <v>0.1</v>
      </c>
      <c r="X845" s="241" t="e">
        <f t="shared" ca="1" si="799"/>
        <v>#REF!</v>
      </c>
      <c r="Y845" s="243" t="e">
        <f ca="1">IF(AND(INDEX(FlowCalConstA,MATCH(V838,FlowCalNumber,0),1,1)*X845^INDEX(FlowCalConstB,MATCH(V838,FlowCalNumber,0),1,1)&gt;INDEX(FlowCalLowSetting,MATCH(V838,FlowCalNumber,0),1,1), (INDEX(FlowCalConstA,MATCH(V838,FlowCalNumber,0),1,1)*X845^INDEX(FlowCalConstB,MATCH(V838,FlowCalNumber,0),1,1)&lt;INDEX(FlowCalHighSetting,MATCH(V838,FlowCalNumber,0),1,1))),INDEX(FlowCalConstA,MATCH(V838,FlowCalNumber,0),1,1)*X845^INDEX(FlowCalConstB,MATCH(V838,FlowCalNumber,0),1,1)," ")</f>
        <v>#REF!</v>
      </c>
      <c r="Z845" s="33"/>
      <c r="AA845" s="242">
        <f t="shared" si="800"/>
        <v>0.9</v>
      </c>
      <c r="AB845" s="241" t="e">
        <f t="shared" ca="1" si="801"/>
        <v>#REF!</v>
      </c>
      <c r="AC845" s="243" t="e">
        <f ca="1">IF(AND(INDEX(FlowCalConstA,MATCH(Z838,FlowCalNumber,0),1,1)*AB845^INDEX(FlowCalConstB,MATCH(Z838,FlowCalNumber,0),1,1)&gt;INDEX(FlowCalLowSetting,MATCH(Z838,FlowCalNumber,0),1,1), (INDEX(FlowCalConstA,MATCH(Z838,FlowCalNumber,0),1,1)*AB845^INDEX(FlowCalConstB,MATCH(Z838,FlowCalNumber,0),1,1)&lt;INDEX(FlowCalHighSetting,MATCH(Z838,FlowCalNumber,0),1,1))),INDEX(FlowCalConstA,MATCH(Z838,FlowCalNumber,0),1,1)*AB845^INDEX(FlowCalConstB,MATCH(Z838,FlowCalNumber,0),1,1)," ")</f>
        <v>#REF!</v>
      </c>
      <c r="AD845" s="33"/>
      <c r="AE845" s="242">
        <f t="shared" si="802"/>
        <v>0.1</v>
      </c>
      <c r="AF845" s="241" t="e">
        <f t="shared" ca="1" si="803"/>
        <v>#REF!</v>
      </c>
      <c r="AG845" s="243" t="e">
        <f ca="1">IF(AND(INDEX(FlowCalConstA,MATCH(AD838,FlowCalNumber,0),1,1)*AF845^INDEX(FlowCalConstB,MATCH(AD838,FlowCalNumber,0),1,1)&gt;INDEX(FlowCalLowSetting,MATCH(AD838,FlowCalNumber,0),1,1), (INDEX(FlowCalConstA,MATCH(AD838,FlowCalNumber,0),1,1)*AF845^INDEX(FlowCalConstB,MATCH(AD838,FlowCalNumber,0),1,1)&lt;INDEX(FlowCalHighSetting,MATCH(AD838,FlowCalNumber,0),1,1))),INDEX(FlowCalConstA,MATCH(AD838,FlowCalNumber,0),1,1)*AF845^INDEX(FlowCalConstB,MATCH(AD838,FlowCalNumber,0),1,1)," ")</f>
        <v>#REF!</v>
      </c>
      <c r="AH845" s="33"/>
      <c r="AI845" s="242">
        <f t="shared" si="804"/>
        <v>0.9</v>
      </c>
      <c r="AJ845" s="241" t="e">
        <f t="shared" ca="1" si="805"/>
        <v>#REF!</v>
      </c>
      <c r="AK845" s="243" t="e">
        <f ca="1">IF(AND(INDEX(FlowCalConstA,MATCH(AH838,FlowCalNumber,0),1,1)*AJ845^INDEX(FlowCalConstB,MATCH(AH838,FlowCalNumber,0),1,1)&gt;INDEX(FlowCalLowSetting,MATCH(AH838,FlowCalNumber,0),1,1), (INDEX(FlowCalConstA,MATCH(AH838,FlowCalNumber,0),1,1)*AJ845^INDEX(FlowCalConstB,MATCH(AH838,FlowCalNumber,0),1,1)&lt;INDEX(FlowCalHighSetting,MATCH(AH838,FlowCalNumber,0),1,1))),INDEX(FlowCalConstA,MATCH(AH838,FlowCalNumber,0),1,1)*AJ845^INDEX(FlowCalConstB,MATCH(AH838,FlowCalNumber,0),1,1)," ")</f>
        <v>#REF!</v>
      </c>
      <c r="AL845" s="33"/>
      <c r="AM845" s="242"/>
      <c r="AN845" s="241"/>
      <c r="AO845" s="244"/>
      <c r="AQ845" s="242"/>
      <c r="AR845" s="241"/>
      <c r="AS845" s="244"/>
      <c r="AT845" s="33"/>
      <c r="AU845" s="242"/>
      <c r="AV845" s="241"/>
      <c r="AW845" s="244"/>
      <c r="AX845" s="33"/>
      <c r="AY845" s="242"/>
      <c r="AZ845" s="241"/>
      <c r="BA845" s="244"/>
      <c r="BB845" s="33"/>
      <c r="BC845" s="242"/>
      <c r="BD845" s="241"/>
      <c r="BE845" s="244"/>
      <c r="BF845" s="33"/>
      <c r="BG845" s="242"/>
      <c r="BH845" s="241"/>
      <c r="BI845" s="244"/>
      <c r="BJ845" s="33"/>
      <c r="BK845" s="242"/>
      <c r="BL845" s="241"/>
      <c r="BM845" s="244"/>
      <c r="BN845" s="33"/>
      <c r="BO845" s="242"/>
      <c r="BP845" s="241"/>
      <c r="BQ845" s="244"/>
      <c r="BR845" s="33"/>
      <c r="BS845" s="242"/>
      <c r="BT845" s="241"/>
      <c r="BU845" s="244"/>
      <c r="BV845" s="33"/>
      <c r="BW845" s="242"/>
      <c r="BX845" s="241"/>
      <c r="BY845" s="244"/>
      <c r="BZ845" s="33"/>
      <c r="CA845" s="242"/>
      <c r="CB845" s="241"/>
      <c r="CC845" s="244"/>
      <c r="CD845" s="243"/>
      <c r="CE845" s="243"/>
      <c r="CF845" s="243"/>
      <c r="CG845" s="243"/>
      <c r="CH845" s="243"/>
      <c r="CI845" s="243"/>
      <c r="CJ845" s="243"/>
      <c r="CK845" s="243"/>
      <c r="CL845" s="243"/>
      <c r="CM845" s="243"/>
      <c r="CN845" s="243"/>
      <c r="CO845" s="243"/>
      <c r="CP845" s="243"/>
      <c r="CQ845" s="243"/>
      <c r="CR845" s="243"/>
      <c r="CS845" s="243"/>
      <c r="CT845" s="243"/>
      <c r="CU845" s="243"/>
      <c r="CV845" s="243"/>
      <c r="CW845" s="243"/>
      <c r="CX845" s="243"/>
      <c r="CY845" s="243"/>
      <c r="CZ845" s="243"/>
      <c r="DA845" s="243"/>
      <c r="DB845" s="243"/>
      <c r="DC845" s="243"/>
      <c r="DD845" s="243"/>
      <c r="DE845" s="243"/>
      <c r="DF845" s="243"/>
      <c r="DG845" s="243"/>
      <c r="DH845" s="243"/>
      <c r="DI845" s="243"/>
      <c r="DJ845" s="243"/>
      <c r="DK845" s="243"/>
      <c r="DM845" s="242"/>
      <c r="DO845" s="243"/>
      <c r="DQ845" s="242"/>
      <c r="DS845" s="243"/>
      <c r="DU845" s="242"/>
      <c r="DW845" s="243"/>
      <c r="DY845" s="242"/>
      <c r="EA845" s="243"/>
    </row>
    <row r="846" spans="1:131">
      <c r="A846" s="20"/>
      <c r="B846" s="124" t="str">
        <f t="shared" si="790"/>
        <v/>
      </c>
      <c r="C846" s="235"/>
      <c r="D846" s="24">
        <f>'1% Wind'!$M$89</f>
        <v>7.6</v>
      </c>
      <c r="E846" s="90"/>
      <c r="F846" s="90"/>
      <c r="G846" s="79" t="e">
        <f ca="1">IF(I838=0.9743,$G845,MAX(G845/D845*D846,2))</f>
        <v>#REF!</v>
      </c>
      <c r="H846" s="121" t="e">
        <f t="shared" ca="1" si="791"/>
        <v>#REF!</v>
      </c>
      <c r="J846" s="33"/>
      <c r="K846" s="242">
        <f t="shared" si="792"/>
        <v>1</v>
      </c>
      <c r="L846" s="241" t="e">
        <f t="shared" ca="1" si="793"/>
        <v>#REF!</v>
      </c>
      <c r="M846" s="243" t="e">
        <f ca="1">IF(AND(INDEX(FlowCalConstA,MATCH(J838,FlowCalNumber,0),1,1)*L846^INDEX(FlowCalConstB,MATCH(J838,FlowCalNumber,0),1,1)&gt;INDEX(FlowCalLowSetting,MATCH(J838,FlowCalNumber,0),1,1), (INDEX(FlowCalConstA,MATCH(J838,FlowCalNumber,0),1,1)*L846^INDEX(FlowCalConstB,MATCH(J838,FlowCalNumber,0),1,1)&lt;INDEX(FlowCalHighSetting,MATCH(J838,FlowCalNumber,0),1,1))),INDEX(FlowCalConstA,MATCH(J838,FlowCalNumber,0),1,1)*L846^INDEX(FlowCalConstB,MATCH(J838,FlowCalNumber,0),1,1)," ")</f>
        <v>#REF!</v>
      </c>
      <c r="N846" s="33"/>
      <c r="O846" s="242">
        <f t="shared" si="794"/>
        <v>1</v>
      </c>
      <c r="P846" s="241" t="e">
        <f t="shared" ca="1" si="795"/>
        <v>#REF!</v>
      </c>
      <c r="Q846" s="243" t="e">
        <f ca="1">IF(AND(INDEX(FlowCalConstA,MATCH(N838,FlowCalNumber,0),1,1)*P846^INDEX(FlowCalConstB,MATCH(N838,FlowCalNumber,0),1,1)&gt;INDEX(FlowCalLowSetting,MATCH(N838,FlowCalNumber,0),1,1), (INDEX(FlowCalConstA,MATCH(N838,FlowCalNumber,0),1,1)*P846^INDEX(FlowCalConstB,MATCH(N838,FlowCalNumber,0),1,1)&lt;INDEX(FlowCalHighSetting,MATCH(N838,FlowCalNumber,0),1,1))),INDEX(FlowCalConstA,MATCH(N838,FlowCalNumber,0),1,1)*P846^INDEX(FlowCalConstB,MATCH(N838,FlowCalNumber,0),1,1)," ")</f>
        <v>#REF!</v>
      </c>
      <c r="R846" s="33"/>
      <c r="S846" s="242">
        <f t="shared" si="796"/>
        <v>1</v>
      </c>
      <c r="T846" s="241" t="e">
        <f t="shared" ca="1" si="797"/>
        <v>#REF!</v>
      </c>
      <c r="U846" s="244" t="e">
        <f ca="1">IF(AND(INDEX(FlowCalConstA,MATCH(R838,FlowCalNumber,0),1,1)*T846^INDEX(FlowCalConstB,MATCH(R838,FlowCalNumber,0),1,1)&gt;INDEX(FlowCalLowSetting,MATCH(R838,FlowCalNumber,0),1,1), (INDEX(FlowCalConstA,MATCH(R838,FlowCalNumber,0),1,1)*T846^INDEX(FlowCalConstB,MATCH(R838,FlowCalNumber,0),1,1)&lt;INDEX(FlowCalHighSetting,MATCH(R838,FlowCalNumber,0),1,1))),INDEX(FlowCalConstA,MATCH(R838,FlowCalNumber,0),1,1)*T846^INDEX(FlowCalConstB,MATCH(R838,FlowCalNumber,0),1,1)," ")</f>
        <v>#REF!</v>
      </c>
      <c r="V846" s="33"/>
      <c r="W846" s="242">
        <f t="shared" si="798"/>
        <v>0.1</v>
      </c>
      <c r="X846" s="241" t="e">
        <f t="shared" ca="1" si="799"/>
        <v>#REF!</v>
      </c>
      <c r="Y846" s="243" t="e">
        <f ca="1">IF(AND(INDEX(FlowCalConstA,MATCH(V838,FlowCalNumber,0),1,1)*X846^INDEX(FlowCalConstB,MATCH(V838,FlowCalNumber,0),1,1)&gt;INDEX(FlowCalLowSetting,MATCH(V838,FlowCalNumber,0),1,1), (INDEX(FlowCalConstA,MATCH(V838,FlowCalNumber,0),1,1)*X846^INDEX(FlowCalConstB,MATCH(V838,FlowCalNumber,0),1,1)&lt;INDEX(FlowCalHighSetting,MATCH(V838,FlowCalNumber,0),1,1))),INDEX(FlowCalConstA,MATCH(V838,FlowCalNumber,0),1,1)*X846^INDEX(FlowCalConstB,MATCH(V838,FlowCalNumber,0),1,1)," ")</f>
        <v>#REF!</v>
      </c>
      <c r="Z846" s="33"/>
      <c r="AA846" s="242">
        <f t="shared" si="800"/>
        <v>0.9</v>
      </c>
      <c r="AB846" s="241" t="e">
        <f t="shared" ca="1" si="801"/>
        <v>#REF!</v>
      </c>
      <c r="AC846" s="243" t="e">
        <f ca="1">IF(AND(INDEX(FlowCalConstA,MATCH(Z838,FlowCalNumber,0),1,1)*AB846^INDEX(FlowCalConstB,MATCH(Z838,FlowCalNumber,0),1,1)&gt;INDEX(FlowCalLowSetting,MATCH(Z838,FlowCalNumber,0),1,1), (INDEX(FlowCalConstA,MATCH(Z838,FlowCalNumber,0),1,1)*AB846^INDEX(FlowCalConstB,MATCH(Z838,FlowCalNumber,0),1,1)&lt;INDEX(FlowCalHighSetting,MATCH(Z838,FlowCalNumber,0),1,1))),INDEX(FlowCalConstA,MATCH(Z838,FlowCalNumber,0),1,1)*AB846^INDEX(FlowCalConstB,MATCH(Z838,FlowCalNumber,0),1,1)," ")</f>
        <v>#REF!</v>
      </c>
      <c r="AD846" s="33"/>
      <c r="AE846" s="242">
        <f t="shared" si="802"/>
        <v>0.1</v>
      </c>
      <c r="AF846" s="241" t="e">
        <f t="shared" ca="1" si="803"/>
        <v>#REF!</v>
      </c>
      <c r="AG846" s="243" t="e">
        <f ca="1">IF(AND(INDEX(FlowCalConstA,MATCH(AD838,FlowCalNumber,0),1,1)*AF846^INDEX(FlowCalConstB,MATCH(AD838,FlowCalNumber,0),1,1)&gt;INDEX(FlowCalLowSetting,MATCH(AD838,FlowCalNumber,0),1,1), (INDEX(FlowCalConstA,MATCH(AD838,FlowCalNumber,0),1,1)*AF846^INDEX(FlowCalConstB,MATCH(AD838,FlowCalNumber,0),1,1)&lt;INDEX(FlowCalHighSetting,MATCH(AD838,FlowCalNumber,0),1,1))),INDEX(FlowCalConstA,MATCH(AD838,FlowCalNumber,0),1,1)*AF846^INDEX(FlowCalConstB,MATCH(AD838,FlowCalNumber,0),1,1)," ")</f>
        <v>#REF!</v>
      </c>
      <c r="AH846" s="33"/>
      <c r="AI846" s="242">
        <f t="shared" si="804"/>
        <v>0.9</v>
      </c>
      <c r="AJ846" s="241" t="e">
        <f t="shared" ca="1" si="805"/>
        <v>#REF!</v>
      </c>
      <c r="AK846" s="243" t="e">
        <f ca="1">IF(AND(INDEX(FlowCalConstA,MATCH(AH838,FlowCalNumber,0),1,1)*AJ846^INDEX(FlowCalConstB,MATCH(AH838,FlowCalNumber,0),1,1)&gt;INDEX(FlowCalLowSetting,MATCH(AH838,FlowCalNumber,0),1,1), (INDEX(FlowCalConstA,MATCH(AH838,FlowCalNumber,0),1,1)*AJ846^INDEX(FlowCalConstB,MATCH(AH838,FlowCalNumber,0),1,1)&lt;INDEX(FlowCalHighSetting,MATCH(AH838,FlowCalNumber,0),1,1))),INDEX(FlowCalConstA,MATCH(AH838,FlowCalNumber,0),1,1)*AJ846^INDEX(FlowCalConstB,MATCH(AH838,FlowCalNumber,0),1,1)," ")</f>
        <v>#REF!</v>
      </c>
      <c r="AL846" s="33"/>
      <c r="AM846" s="242"/>
      <c r="AN846" s="241"/>
      <c r="AO846" s="244"/>
      <c r="AQ846" s="242"/>
      <c r="AR846" s="241"/>
      <c r="AS846" s="244"/>
      <c r="AT846" s="33"/>
      <c r="AU846" s="242"/>
      <c r="AV846" s="241"/>
      <c r="AW846" s="244"/>
      <c r="AX846" s="33"/>
      <c r="AY846" s="242"/>
      <c r="AZ846" s="241"/>
      <c r="BA846" s="244"/>
      <c r="BB846" s="33"/>
      <c r="BC846" s="242"/>
      <c r="BD846" s="241"/>
      <c r="BE846" s="244"/>
      <c r="BF846" s="33"/>
      <c r="BG846" s="242"/>
      <c r="BH846" s="241"/>
      <c r="BI846" s="244"/>
      <c r="BJ846" s="33"/>
      <c r="BK846" s="242"/>
      <c r="BL846" s="241"/>
      <c r="BM846" s="244"/>
      <c r="BN846" s="33"/>
      <c r="BO846" s="242"/>
      <c r="BP846" s="241"/>
      <c r="BQ846" s="244"/>
      <c r="BR846" s="33"/>
      <c r="BS846" s="242"/>
      <c r="BT846" s="241"/>
      <c r="BU846" s="244"/>
      <c r="BV846" s="33"/>
      <c r="BW846" s="242"/>
      <c r="BX846" s="241"/>
      <c r="BY846" s="244"/>
      <c r="BZ846" s="33"/>
      <c r="CA846" s="242"/>
      <c r="CB846" s="241"/>
      <c r="CC846" s="244"/>
      <c r="CD846" s="243"/>
      <c r="CE846" s="243"/>
      <c r="CF846" s="243"/>
      <c r="CG846" s="243"/>
      <c r="CH846" s="243"/>
      <c r="CI846" s="243"/>
      <c r="CJ846" s="243"/>
      <c r="CK846" s="243"/>
      <c r="CL846" s="243"/>
      <c r="CM846" s="243"/>
      <c r="CN846" s="243"/>
      <c r="CO846" s="243"/>
      <c r="CP846" s="243"/>
      <c r="CQ846" s="243"/>
      <c r="CR846" s="243"/>
      <c r="CS846" s="243"/>
      <c r="CT846" s="243"/>
      <c r="CU846" s="243"/>
      <c r="CV846" s="243"/>
      <c r="CW846" s="243"/>
      <c r="CX846" s="243"/>
      <c r="CY846" s="243"/>
      <c r="CZ846" s="243"/>
      <c r="DA846" s="243"/>
      <c r="DB846" s="243"/>
      <c r="DC846" s="243"/>
      <c r="DD846" s="243"/>
      <c r="DE846" s="243"/>
      <c r="DF846" s="243"/>
      <c r="DG846" s="243"/>
      <c r="DH846" s="243"/>
      <c r="DI846" s="243"/>
      <c r="DJ846" s="243"/>
      <c r="DK846" s="243"/>
      <c r="DM846" s="242"/>
      <c r="DO846" s="243"/>
      <c r="DQ846" s="242"/>
      <c r="DS846" s="243"/>
      <c r="DU846" s="242"/>
      <c r="DW846" s="243"/>
      <c r="DY846" s="242"/>
      <c r="EA846" s="243"/>
    </row>
    <row r="847" spans="1:131">
      <c r="A847" s="20"/>
      <c r="B847" s="124" t="str">
        <f t="shared" si="790"/>
        <v/>
      </c>
      <c r="C847" s="235"/>
      <c r="D847" s="24">
        <f>'1% Wind'!$M$90</f>
        <v>5.7</v>
      </c>
      <c r="E847" s="90"/>
      <c r="F847" s="90"/>
      <c r="G847" s="79" t="e">
        <f ca="1">IF(I838=0.9743,$G846,MAX(G846/D846*D847,2))</f>
        <v>#REF!</v>
      </c>
      <c r="H847" s="121" t="e">
        <f t="shared" ca="1" si="791"/>
        <v>#REF!</v>
      </c>
      <c r="J847" s="33"/>
      <c r="K847" s="242">
        <f t="shared" si="792"/>
        <v>1</v>
      </c>
      <c r="L847" s="241" t="e">
        <f t="shared" ca="1" si="793"/>
        <v>#REF!</v>
      </c>
      <c r="M847" s="243" t="e">
        <f ca="1">IF(AND(INDEX(FlowCalConstA,MATCH(J838,FlowCalNumber,0),1,1)*L847^INDEX(FlowCalConstB,MATCH(J838,FlowCalNumber,0),1,1)&gt;INDEX(FlowCalLowSetting,MATCH(J838,FlowCalNumber,0),1,1), (INDEX(FlowCalConstA,MATCH(J838,FlowCalNumber,0),1,1)*L847^INDEX(FlowCalConstB,MATCH(J838,FlowCalNumber,0),1,1)&lt;INDEX(FlowCalHighSetting,MATCH(J838,FlowCalNumber,0),1,1))),INDEX(FlowCalConstA,MATCH(J838,FlowCalNumber,0),1,1)*L847^INDEX(FlowCalConstB,MATCH(J838,FlowCalNumber,0),1,1)," ")</f>
        <v>#REF!</v>
      </c>
      <c r="N847" s="33"/>
      <c r="O847" s="242">
        <f t="shared" si="794"/>
        <v>1</v>
      </c>
      <c r="P847" s="241" t="e">
        <f t="shared" ca="1" si="795"/>
        <v>#REF!</v>
      </c>
      <c r="Q847" s="243" t="e">
        <f ca="1">IF(AND(INDEX(FlowCalConstA,MATCH(N838,FlowCalNumber,0),1,1)*P847^INDEX(FlowCalConstB,MATCH(N838,FlowCalNumber,0),1,1)&gt;INDEX(FlowCalLowSetting,MATCH(N838,FlowCalNumber,0),1,1), (INDEX(FlowCalConstA,MATCH(N838,FlowCalNumber,0),1,1)*P847^INDEX(FlowCalConstB,MATCH(N838,FlowCalNumber,0),1,1)&lt;INDEX(FlowCalHighSetting,MATCH(N838,FlowCalNumber,0),1,1))),INDEX(FlowCalConstA,MATCH(N838,FlowCalNumber,0),1,1)*P847^INDEX(FlowCalConstB,MATCH(N838,FlowCalNumber,0),1,1)," ")</f>
        <v>#REF!</v>
      </c>
      <c r="R847" s="33"/>
      <c r="S847" s="242">
        <f t="shared" si="796"/>
        <v>1</v>
      </c>
      <c r="T847" s="241" t="e">
        <f t="shared" ca="1" si="797"/>
        <v>#REF!</v>
      </c>
      <c r="U847" s="244" t="e">
        <f ca="1">IF(AND(INDEX(FlowCalConstA,MATCH(R838,FlowCalNumber,0),1,1)*T847^INDEX(FlowCalConstB,MATCH(R838,FlowCalNumber,0),1,1)&gt;INDEX(FlowCalLowSetting,MATCH(R838,FlowCalNumber,0),1,1), (INDEX(FlowCalConstA,MATCH(R838,FlowCalNumber,0),1,1)*T847^INDEX(FlowCalConstB,MATCH(R838,FlowCalNumber,0),1,1)&lt;INDEX(FlowCalHighSetting,MATCH(R838,FlowCalNumber,0),1,1))),INDEX(FlowCalConstA,MATCH(R838,FlowCalNumber,0),1,1)*T847^INDEX(FlowCalConstB,MATCH(R838,FlowCalNumber,0),1,1)," ")</f>
        <v>#REF!</v>
      </c>
      <c r="V847" s="33"/>
      <c r="W847" s="242">
        <f t="shared" si="798"/>
        <v>0.1</v>
      </c>
      <c r="X847" s="241" t="e">
        <f t="shared" ca="1" si="799"/>
        <v>#REF!</v>
      </c>
      <c r="Y847" s="243" t="e">
        <f ca="1">IF(AND(INDEX(FlowCalConstA,MATCH(V838,FlowCalNumber,0),1,1)*X847^INDEX(FlowCalConstB,MATCH(V838,FlowCalNumber,0),1,1)&gt;INDEX(FlowCalLowSetting,MATCH(V838,FlowCalNumber,0),1,1), (INDEX(FlowCalConstA,MATCH(V838,FlowCalNumber,0),1,1)*X847^INDEX(FlowCalConstB,MATCH(V838,FlowCalNumber,0),1,1)&lt;INDEX(FlowCalHighSetting,MATCH(V838,FlowCalNumber,0),1,1))),INDEX(FlowCalConstA,MATCH(V838,FlowCalNumber,0),1,1)*X847^INDEX(FlowCalConstB,MATCH(V838,FlowCalNumber,0),1,1)," ")</f>
        <v>#REF!</v>
      </c>
      <c r="Z847" s="33"/>
      <c r="AA847" s="242">
        <f t="shared" si="800"/>
        <v>0.9</v>
      </c>
      <c r="AB847" s="241" t="e">
        <f t="shared" ca="1" si="801"/>
        <v>#REF!</v>
      </c>
      <c r="AC847" s="243" t="e">
        <f ca="1">IF(AND(INDEX(FlowCalConstA,MATCH(Z838,FlowCalNumber,0),1,1)*AB847^INDEX(FlowCalConstB,MATCH(Z838,FlowCalNumber,0),1,1)&gt;INDEX(FlowCalLowSetting,MATCH(Z838,FlowCalNumber,0),1,1), (INDEX(FlowCalConstA,MATCH(Z838,FlowCalNumber,0),1,1)*AB847^INDEX(FlowCalConstB,MATCH(Z838,FlowCalNumber,0),1,1)&lt;INDEX(FlowCalHighSetting,MATCH(Z838,FlowCalNumber,0),1,1))),INDEX(FlowCalConstA,MATCH(Z838,FlowCalNumber,0),1,1)*AB847^INDEX(FlowCalConstB,MATCH(Z838,FlowCalNumber,0),1,1)," ")</f>
        <v>#REF!</v>
      </c>
      <c r="AD847" s="33"/>
      <c r="AE847" s="242">
        <f t="shared" si="802"/>
        <v>0.1</v>
      </c>
      <c r="AF847" s="241" t="e">
        <f t="shared" ca="1" si="803"/>
        <v>#REF!</v>
      </c>
      <c r="AG847" s="243" t="e">
        <f ca="1">IF(AND(INDEX(FlowCalConstA,MATCH(AD838,FlowCalNumber,0),1,1)*AF847^INDEX(FlowCalConstB,MATCH(AD838,FlowCalNumber,0),1,1)&gt;INDEX(FlowCalLowSetting,MATCH(AD838,FlowCalNumber,0),1,1), (INDEX(FlowCalConstA,MATCH(AD838,FlowCalNumber,0),1,1)*AF847^INDEX(FlowCalConstB,MATCH(AD838,FlowCalNumber,0),1,1)&lt;INDEX(FlowCalHighSetting,MATCH(AD838,FlowCalNumber,0),1,1))),INDEX(FlowCalConstA,MATCH(AD838,FlowCalNumber,0),1,1)*AF847^INDEX(FlowCalConstB,MATCH(AD838,FlowCalNumber,0),1,1)," ")</f>
        <v>#REF!</v>
      </c>
      <c r="AH847" s="33"/>
      <c r="AI847" s="242">
        <f t="shared" si="804"/>
        <v>0.9</v>
      </c>
      <c r="AJ847" s="241" t="e">
        <f t="shared" ca="1" si="805"/>
        <v>#REF!</v>
      </c>
      <c r="AK847" s="243" t="e">
        <f ca="1">IF(AND(INDEX(FlowCalConstA,MATCH(AH838,FlowCalNumber,0),1,1)*AJ847^INDEX(FlowCalConstB,MATCH(AH838,FlowCalNumber,0),1,1)&gt;INDEX(FlowCalLowSetting,MATCH(AH838,FlowCalNumber,0),1,1), (INDEX(FlowCalConstA,MATCH(AH838,FlowCalNumber,0),1,1)*AJ847^INDEX(FlowCalConstB,MATCH(AH838,FlowCalNumber,0),1,1)&lt;INDEX(FlowCalHighSetting,MATCH(AH838,FlowCalNumber,0),1,1))),INDEX(FlowCalConstA,MATCH(AH838,FlowCalNumber,0),1,1)*AJ847^INDEX(FlowCalConstB,MATCH(AH838,FlowCalNumber,0),1,1)," ")</f>
        <v>#REF!</v>
      </c>
      <c r="AL847" s="33"/>
      <c r="AM847" s="242"/>
      <c r="AN847" s="241"/>
      <c r="AO847" s="244"/>
      <c r="AQ847" s="242"/>
      <c r="AR847" s="241"/>
      <c r="AS847" s="244"/>
      <c r="AT847" s="33"/>
      <c r="AU847" s="242"/>
      <c r="AV847" s="241"/>
      <c r="AW847" s="244"/>
      <c r="AX847" s="33"/>
      <c r="AY847" s="242"/>
      <c r="AZ847" s="241"/>
      <c r="BA847" s="244"/>
      <c r="BB847" s="33"/>
      <c r="BC847" s="242"/>
      <c r="BD847" s="241"/>
      <c r="BE847" s="244"/>
      <c r="BF847" s="33"/>
      <c r="BG847" s="242"/>
      <c r="BH847" s="241"/>
      <c r="BI847" s="244"/>
      <c r="BJ847" s="33"/>
      <c r="BK847" s="242"/>
      <c r="BL847" s="241"/>
      <c r="BM847" s="244"/>
      <c r="BN847" s="33"/>
      <c r="BO847" s="242"/>
      <c r="BP847" s="241"/>
      <c r="BQ847" s="244"/>
      <c r="BR847" s="33"/>
      <c r="BS847" s="242"/>
      <c r="BT847" s="241"/>
      <c r="BU847" s="244"/>
      <c r="BV847" s="33"/>
      <c r="BW847" s="242"/>
      <c r="BX847" s="241"/>
      <c r="BY847" s="244"/>
      <c r="BZ847" s="33"/>
      <c r="CA847" s="242"/>
      <c r="CB847" s="241"/>
      <c r="CC847" s="244"/>
      <c r="CD847" s="243"/>
      <c r="CE847" s="243"/>
      <c r="CF847" s="243"/>
      <c r="CG847" s="243"/>
      <c r="CH847" s="243"/>
      <c r="CI847" s="243"/>
      <c r="CJ847" s="243"/>
      <c r="CK847" s="243"/>
      <c r="CL847" s="243"/>
      <c r="CM847" s="243"/>
      <c r="CN847" s="243"/>
      <c r="CO847" s="243"/>
      <c r="CP847" s="243"/>
      <c r="CQ847" s="243"/>
      <c r="CR847" s="243"/>
      <c r="CS847" s="243"/>
      <c r="CT847" s="243"/>
      <c r="CU847" s="243"/>
      <c r="CV847" s="243"/>
      <c r="CW847" s="243"/>
      <c r="CX847" s="243"/>
      <c r="CY847" s="243"/>
      <c r="CZ847" s="243"/>
      <c r="DA847" s="243"/>
      <c r="DB847" s="243"/>
      <c r="DC847" s="243"/>
      <c r="DD847" s="243"/>
      <c r="DE847" s="243"/>
      <c r="DF847" s="243"/>
      <c r="DG847" s="243"/>
      <c r="DH847" s="243"/>
      <c r="DI847" s="243"/>
      <c r="DJ847" s="243"/>
      <c r="DK847" s="243"/>
      <c r="DM847" s="242"/>
      <c r="DO847" s="243"/>
      <c r="DQ847" s="242"/>
      <c r="DS847" s="243"/>
      <c r="DU847" s="242"/>
      <c r="DW847" s="243"/>
      <c r="DY847" s="242"/>
      <c r="EA847" s="243"/>
    </row>
    <row r="848" spans="1:131">
      <c r="A848" s="20"/>
      <c r="B848" s="124" t="str">
        <f t="shared" si="790"/>
        <v/>
      </c>
      <c r="C848" s="235"/>
      <c r="D848" s="24">
        <f>'1% Wind'!$M$91</f>
        <v>4.2</v>
      </c>
      <c r="E848" s="90"/>
      <c r="F848" s="90"/>
      <c r="G848" s="79" t="e">
        <f ca="1">IF(I838=0.9743,$G847,MAX(G847/D847*D848,2))</f>
        <v>#REF!</v>
      </c>
      <c r="H848" s="121" t="e">
        <f t="shared" ca="1" si="791"/>
        <v>#REF!</v>
      </c>
      <c r="J848" s="33"/>
      <c r="K848" s="242">
        <f t="shared" si="792"/>
        <v>1</v>
      </c>
      <c r="L848" s="241" t="e">
        <f t="shared" ca="1" si="793"/>
        <v>#REF!</v>
      </c>
      <c r="M848" s="243" t="e">
        <f ca="1">IF(AND(INDEX(FlowCalConstA,MATCH(J838,FlowCalNumber,0),1,1)*L848^INDEX(FlowCalConstB,MATCH(J838,FlowCalNumber,0),1,1)&gt;INDEX(FlowCalLowSetting,MATCH(J838,FlowCalNumber,0),1,1), (INDEX(FlowCalConstA,MATCH(J838,FlowCalNumber,0),1,1)*L848^INDEX(FlowCalConstB,MATCH(J838,FlowCalNumber,0),1,1)&lt;INDEX(FlowCalHighSetting,MATCH(J838,FlowCalNumber,0),1,1))),INDEX(FlowCalConstA,MATCH(J838,FlowCalNumber,0),1,1)*L848^INDEX(FlowCalConstB,MATCH(J838,FlowCalNumber,0),1,1)," ")</f>
        <v>#REF!</v>
      </c>
      <c r="N848" s="33"/>
      <c r="O848" s="242">
        <f t="shared" si="794"/>
        <v>1</v>
      </c>
      <c r="P848" s="241" t="e">
        <f t="shared" ca="1" si="795"/>
        <v>#REF!</v>
      </c>
      <c r="Q848" s="243" t="e">
        <f ca="1">IF(AND(INDEX(FlowCalConstA,MATCH(N838,FlowCalNumber,0),1,1)*P848^INDEX(FlowCalConstB,MATCH(N838,FlowCalNumber,0),1,1)&gt;INDEX(FlowCalLowSetting,MATCH(N838,FlowCalNumber,0),1,1), (INDEX(FlowCalConstA,MATCH(N838,FlowCalNumber,0),1,1)*P848^INDEX(FlowCalConstB,MATCH(N838,FlowCalNumber,0),1,1)&lt;INDEX(FlowCalHighSetting,MATCH(N838,FlowCalNumber,0),1,1))),INDEX(FlowCalConstA,MATCH(N838,FlowCalNumber,0),1,1)*P848^INDEX(FlowCalConstB,MATCH(N838,FlowCalNumber,0),1,1)," ")</f>
        <v>#REF!</v>
      </c>
      <c r="R848" s="33"/>
      <c r="S848" s="242">
        <f t="shared" si="796"/>
        <v>1</v>
      </c>
      <c r="T848" s="241" t="e">
        <f t="shared" ca="1" si="797"/>
        <v>#REF!</v>
      </c>
      <c r="U848" s="244" t="e">
        <f ca="1">IF(AND(INDEX(FlowCalConstA,MATCH(R838,FlowCalNumber,0),1,1)*T848^INDEX(FlowCalConstB,MATCH(R838,FlowCalNumber,0),1,1)&gt;INDEX(FlowCalLowSetting,MATCH(R838,FlowCalNumber,0),1,1), (INDEX(FlowCalConstA,MATCH(R838,FlowCalNumber,0),1,1)*T848^INDEX(FlowCalConstB,MATCH(R838,FlowCalNumber,0),1,1)&lt;INDEX(FlowCalHighSetting,MATCH(R838,FlowCalNumber,0),1,1))),INDEX(FlowCalConstA,MATCH(R838,FlowCalNumber,0),1,1)*T848^INDEX(FlowCalConstB,MATCH(R838,FlowCalNumber,0),1,1)," ")</f>
        <v>#REF!</v>
      </c>
      <c r="V848" s="33"/>
      <c r="W848" s="242">
        <f t="shared" si="798"/>
        <v>0.1</v>
      </c>
      <c r="X848" s="241" t="e">
        <f t="shared" ca="1" si="799"/>
        <v>#REF!</v>
      </c>
      <c r="Y848" s="243" t="e">
        <f ca="1">IF(AND(INDEX(FlowCalConstA,MATCH(V838,FlowCalNumber,0),1,1)*X848^INDEX(FlowCalConstB,MATCH(V838,FlowCalNumber,0),1,1)&gt;INDEX(FlowCalLowSetting,MATCH(V838,FlowCalNumber,0),1,1), (INDEX(FlowCalConstA,MATCH(V838,FlowCalNumber,0),1,1)*X848^INDEX(FlowCalConstB,MATCH(V838,FlowCalNumber,0),1,1)&lt;INDEX(FlowCalHighSetting,MATCH(V838,FlowCalNumber,0),1,1))),INDEX(FlowCalConstA,MATCH(V838,FlowCalNumber,0),1,1)*X848^INDEX(FlowCalConstB,MATCH(V838,FlowCalNumber,0),1,1)," ")</f>
        <v>#REF!</v>
      </c>
      <c r="Z848" s="33"/>
      <c r="AA848" s="242">
        <f t="shared" si="800"/>
        <v>0.9</v>
      </c>
      <c r="AB848" s="241" t="e">
        <f t="shared" ca="1" si="801"/>
        <v>#REF!</v>
      </c>
      <c r="AC848" s="243" t="e">
        <f ca="1">IF(AND(INDEX(FlowCalConstA,MATCH(Z838,FlowCalNumber,0),1,1)*AB848^INDEX(FlowCalConstB,MATCH(Z838,FlowCalNumber,0),1,1)&gt;INDEX(FlowCalLowSetting,MATCH(Z838,FlowCalNumber,0),1,1), (INDEX(FlowCalConstA,MATCH(Z838,FlowCalNumber,0),1,1)*AB848^INDEX(FlowCalConstB,MATCH(Z838,FlowCalNumber,0),1,1)&lt;INDEX(FlowCalHighSetting,MATCH(Z838,FlowCalNumber,0),1,1))),INDEX(FlowCalConstA,MATCH(Z838,FlowCalNumber,0),1,1)*AB848^INDEX(FlowCalConstB,MATCH(Z838,FlowCalNumber,0),1,1)," ")</f>
        <v>#REF!</v>
      </c>
      <c r="AD848" s="33"/>
      <c r="AE848" s="242">
        <f t="shared" si="802"/>
        <v>0.1</v>
      </c>
      <c r="AF848" s="241" t="e">
        <f t="shared" ca="1" si="803"/>
        <v>#REF!</v>
      </c>
      <c r="AG848" s="243" t="e">
        <f ca="1">IF(AND(INDEX(FlowCalConstA,MATCH(AD838,FlowCalNumber,0),1,1)*AF848^INDEX(FlowCalConstB,MATCH(AD838,FlowCalNumber,0),1,1)&gt;INDEX(FlowCalLowSetting,MATCH(AD838,FlowCalNumber,0),1,1), (INDEX(FlowCalConstA,MATCH(AD838,FlowCalNumber,0),1,1)*AF848^INDEX(FlowCalConstB,MATCH(AD838,FlowCalNumber,0),1,1)&lt;INDEX(FlowCalHighSetting,MATCH(AD838,FlowCalNumber,0),1,1))),INDEX(FlowCalConstA,MATCH(AD838,FlowCalNumber,0),1,1)*AF848^INDEX(FlowCalConstB,MATCH(AD838,FlowCalNumber,0),1,1)," ")</f>
        <v>#REF!</v>
      </c>
      <c r="AH848" s="33"/>
      <c r="AI848" s="242">
        <f t="shared" si="804"/>
        <v>0.9</v>
      </c>
      <c r="AJ848" s="241" t="e">
        <f t="shared" ca="1" si="805"/>
        <v>#REF!</v>
      </c>
      <c r="AK848" s="243" t="e">
        <f ca="1">IF(AND(INDEX(FlowCalConstA,MATCH(AH838,FlowCalNumber,0),1,1)*AJ848^INDEX(FlowCalConstB,MATCH(AH838,FlowCalNumber,0),1,1)&gt;INDEX(FlowCalLowSetting,MATCH(AH838,FlowCalNumber,0),1,1), (INDEX(FlowCalConstA,MATCH(AH838,FlowCalNumber,0),1,1)*AJ848^INDEX(FlowCalConstB,MATCH(AH838,FlowCalNumber,0),1,1)&lt;INDEX(FlowCalHighSetting,MATCH(AH838,FlowCalNumber,0),1,1))),INDEX(FlowCalConstA,MATCH(AH838,FlowCalNumber,0),1,1)*AJ848^INDEX(FlowCalConstB,MATCH(AH838,FlowCalNumber,0),1,1)," ")</f>
        <v>#REF!</v>
      </c>
      <c r="AL848" s="33"/>
      <c r="AM848" s="242"/>
      <c r="AN848" s="241"/>
      <c r="AO848" s="244"/>
      <c r="AQ848" s="242"/>
      <c r="AR848" s="241"/>
      <c r="AS848" s="244"/>
      <c r="AT848" s="33"/>
      <c r="AU848" s="242"/>
      <c r="AV848" s="241"/>
      <c r="AW848" s="244"/>
      <c r="AX848" s="33"/>
      <c r="AY848" s="242"/>
      <c r="AZ848" s="241"/>
      <c r="BA848" s="244"/>
      <c r="BB848" s="33"/>
      <c r="BC848" s="242"/>
      <c r="BD848" s="241"/>
      <c r="BE848" s="244"/>
      <c r="BF848" s="33"/>
      <c r="BG848" s="242"/>
      <c r="BH848" s="241"/>
      <c r="BI848" s="244"/>
      <c r="BJ848" s="33"/>
      <c r="BK848" s="242"/>
      <c r="BL848" s="241"/>
      <c r="BM848" s="244"/>
      <c r="BN848" s="33"/>
      <c r="BO848" s="242"/>
      <c r="BP848" s="241"/>
      <c r="BQ848" s="244"/>
      <c r="BR848" s="33"/>
      <c r="BS848" s="242"/>
      <c r="BT848" s="241"/>
      <c r="BU848" s="244"/>
      <c r="BV848" s="33"/>
      <c r="BW848" s="242"/>
      <c r="BX848" s="241"/>
      <c r="BY848" s="244"/>
      <c r="BZ848" s="33"/>
      <c r="CA848" s="242"/>
      <c r="CB848" s="241"/>
      <c r="CC848" s="244"/>
      <c r="CD848" s="243"/>
      <c r="CE848" s="243"/>
      <c r="CF848" s="243"/>
      <c r="CG848" s="243"/>
      <c r="CH848" s="243"/>
      <c r="CI848" s="243"/>
      <c r="CJ848" s="243"/>
      <c r="CK848" s="243"/>
      <c r="CL848" s="243"/>
      <c r="CM848" s="243"/>
      <c r="CN848" s="243"/>
      <c r="CO848" s="243"/>
      <c r="CP848" s="243"/>
      <c r="CQ848" s="243"/>
      <c r="CR848" s="243"/>
      <c r="CS848" s="243"/>
      <c r="CT848" s="243"/>
      <c r="CU848" s="243"/>
      <c r="CV848" s="243"/>
      <c r="CW848" s="243"/>
      <c r="CX848" s="243"/>
      <c r="CY848" s="243"/>
      <c r="CZ848" s="243"/>
      <c r="DA848" s="243"/>
      <c r="DB848" s="243"/>
      <c r="DC848" s="243"/>
      <c r="DD848" s="243"/>
      <c r="DE848" s="243"/>
      <c r="DF848" s="243"/>
      <c r="DG848" s="243"/>
      <c r="DH848" s="243"/>
      <c r="DI848" s="243"/>
      <c r="DJ848" s="243"/>
      <c r="DK848" s="243"/>
      <c r="DM848" s="242"/>
      <c r="DO848" s="243"/>
      <c r="DQ848" s="242"/>
      <c r="DS848" s="243"/>
      <c r="DU848" s="242"/>
      <c r="DW848" s="243"/>
      <c r="DY848" s="242"/>
      <c r="EA848" s="243"/>
    </row>
    <row r="849" spans="1:131">
      <c r="A849" s="20"/>
      <c r="B849" s="124" t="str">
        <f t="shared" si="790"/>
        <v/>
      </c>
      <c r="C849" s="235"/>
      <c r="D849" s="24">
        <f>'1% Wind'!$M$92</f>
        <v>3.2</v>
      </c>
      <c r="E849" s="90"/>
      <c r="F849" s="90"/>
      <c r="G849" s="79" t="e">
        <f ca="1">IF(I838=0.9743,$G848,MAX(G848/D848*D849,2))</f>
        <v>#REF!</v>
      </c>
      <c r="H849" s="121" t="e">
        <f t="shared" ca="1" si="791"/>
        <v>#REF!</v>
      </c>
      <c r="J849" s="33"/>
      <c r="K849" s="242">
        <f t="shared" si="792"/>
        <v>1</v>
      </c>
      <c r="L849" s="241" t="e">
        <f t="shared" ca="1" si="793"/>
        <v>#REF!</v>
      </c>
      <c r="M849" s="243" t="e">
        <f ca="1">IF(AND(INDEX(FlowCalConstA,MATCH(J838,FlowCalNumber,0),1,1)*L849^INDEX(FlowCalConstB,MATCH(J838,FlowCalNumber,0),1,1)&gt;INDEX(FlowCalLowSetting,MATCH(J838,FlowCalNumber,0),1,1), (INDEX(FlowCalConstA,MATCH(J838,FlowCalNumber,0),1,1)*L849^INDEX(FlowCalConstB,MATCH(J838,FlowCalNumber,0),1,1)&lt;INDEX(FlowCalHighSetting,MATCH(J838,FlowCalNumber,0),1,1))),INDEX(FlowCalConstA,MATCH(J838,FlowCalNumber,0),1,1)*L849^INDEX(FlowCalConstB,MATCH(J838,FlowCalNumber,0),1,1)," ")</f>
        <v>#REF!</v>
      </c>
      <c r="N849" s="33"/>
      <c r="O849" s="242">
        <f t="shared" si="794"/>
        <v>1</v>
      </c>
      <c r="P849" s="241" t="e">
        <f t="shared" ca="1" si="795"/>
        <v>#REF!</v>
      </c>
      <c r="Q849" s="243" t="e">
        <f ca="1">IF(AND(INDEX(FlowCalConstA,MATCH(N838,FlowCalNumber,0),1,1)*P849^INDEX(FlowCalConstB,MATCH(N838,FlowCalNumber,0),1,1)&gt;INDEX(FlowCalLowSetting,MATCH(N838,FlowCalNumber,0),1,1), (INDEX(FlowCalConstA,MATCH(N838,FlowCalNumber,0),1,1)*P849^INDEX(FlowCalConstB,MATCH(N838,FlowCalNumber,0),1,1)&lt;INDEX(FlowCalHighSetting,MATCH(N838,FlowCalNumber,0),1,1))),INDEX(FlowCalConstA,MATCH(N838,FlowCalNumber,0),1,1)*P849^INDEX(FlowCalConstB,MATCH(N838,FlowCalNumber,0),1,1)," ")</f>
        <v>#REF!</v>
      </c>
      <c r="R849" s="33"/>
      <c r="S849" s="242">
        <f t="shared" si="796"/>
        <v>1</v>
      </c>
      <c r="T849" s="241" t="e">
        <f t="shared" ca="1" si="797"/>
        <v>#REF!</v>
      </c>
      <c r="U849" s="244" t="e">
        <f ca="1">IF(AND(INDEX(FlowCalConstA,MATCH(R838,FlowCalNumber,0),1,1)*T849^INDEX(FlowCalConstB,MATCH(R838,FlowCalNumber,0),1,1)&gt;INDEX(FlowCalLowSetting,MATCH(R838,FlowCalNumber,0),1,1), (INDEX(FlowCalConstA,MATCH(R838,FlowCalNumber,0),1,1)*T849^INDEX(FlowCalConstB,MATCH(R838,FlowCalNumber,0),1,1)&lt;INDEX(FlowCalHighSetting,MATCH(R838,FlowCalNumber,0),1,1))),INDEX(FlowCalConstA,MATCH(R838,FlowCalNumber,0),1,1)*T849^INDEX(FlowCalConstB,MATCH(R838,FlowCalNumber,0),1,1)," ")</f>
        <v>#REF!</v>
      </c>
      <c r="V849" s="33"/>
      <c r="W849" s="242">
        <f t="shared" si="798"/>
        <v>0.1</v>
      </c>
      <c r="X849" s="241" t="e">
        <f t="shared" ca="1" si="799"/>
        <v>#REF!</v>
      </c>
      <c r="Y849" s="243" t="e">
        <f ca="1">IF(AND(INDEX(FlowCalConstA,MATCH(V838,FlowCalNumber,0),1,1)*X849^INDEX(FlowCalConstB,MATCH(V838,FlowCalNumber,0),1,1)&gt;INDEX(FlowCalLowSetting,MATCH(V838,FlowCalNumber,0),1,1), (INDEX(FlowCalConstA,MATCH(V838,FlowCalNumber,0),1,1)*X849^INDEX(FlowCalConstB,MATCH(V838,FlowCalNumber,0),1,1)&lt;INDEX(FlowCalHighSetting,MATCH(V838,FlowCalNumber,0),1,1))),INDEX(FlowCalConstA,MATCH(V838,FlowCalNumber,0),1,1)*X849^INDEX(FlowCalConstB,MATCH(V838,FlowCalNumber,0),1,1)," ")</f>
        <v>#REF!</v>
      </c>
      <c r="Z849" s="33"/>
      <c r="AA849" s="242">
        <f t="shared" si="800"/>
        <v>0.9</v>
      </c>
      <c r="AB849" s="241" t="e">
        <f t="shared" ca="1" si="801"/>
        <v>#REF!</v>
      </c>
      <c r="AC849" s="243" t="e">
        <f ca="1">IF(AND(INDEX(FlowCalConstA,MATCH(Z838,FlowCalNumber,0),1,1)*AB849^INDEX(FlowCalConstB,MATCH(Z838,FlowCalNumber,0),1,1)&gt;INDEX(FlowCalLowSetting,MATCH(Z838,FlowCalNumber,0),1,1), (INDEX(FlowCalConstA,MATCH(Z838,FlowCalNumber,0),1,1)*AB849^INDEX(FlowCalConstB,MATCH(Z838,FlowCalNumber,0),1,1)&lt;INDEX(FlowCalHighSetting,MATCH(Z838,FlowCalNumber,0),1,1))),INDEX(FlowCalConstA,MATCH(Z838,FlowCalNumber,0),1,1)*AB849^INDEX(FlowCalConstB,MATCH(Z838,FlowCalNumber,0),1,1)," ")</f>
        <v>#REF!</v>
      </c>
      <c r="AD849" s="33"/>
      <c r="AE849" s="242">
        <f t="shared" si="802"/>
        <v>0.1</v>
      </c>
      <c r="AF849" s="241" t="e">
        <f t="shared" ca="1" si="803"/>
        <v>#REF!</v>
      </c>
      <c r="AG849" s="243" t="e">
        <f ca="1">IF(AND(INDEX(FlowCalConstA,MATCH(AD838,FlowCalNumber,0),1,1)*AF849^INDEX(FlowCalConstB,MATCH(AD838,FlowCalNumber,0),1,1)&gt;INDEX(FlowCalLowSetting,MATCH(AD838,FlowCalNumber,0),1,1), (INDEX(FlowCalConstA,MATCH(AD838,FlowCalNumber,0),1,1)*AF849^INDEX(FlowCalConstB,MATCH(AD838,FlowCalNumber,0),1,1)&lt;INDEX(FlowCalHighSetting,MATCH(AD838,FlowCalNumber,0),1,1))),INDEX(FlowCalConstA,MATCH(AD838,FlowCalNumber,0),1,1)*AF849^INDEX(FlowCalConstB,MATCH(AD838,FlowCalNumber,0),1,1)," ")</f>
        <v>#REF!</v>
      </c>
      <c r="AH849" s="33"/>
      <c r="AI849" s="242">
        <f t="shared" si="804"/>
        <v>0.9</v>
      </c>
      <c r="AJ849" s="241" t="e">
        <f t="shared" ca="1" si="805"/>
        <v>#REF!</v>
      </c>
      <c r="AK849" s="243" t="e">
        <f ca="1">IF(AND(INDEX(FlowCalConstA,MATCH(AH838,FlowCalNumber,0),1,1)*AJ849^INDEX(FlowCalConstB,MATCH(AH838,FlowCalNumber,0),1,1)&gt;INDEX(FlowCalLowSetting,MATCH(AH838,FlowCalNumber,0),1,1), (INDEX(FlowCalConstA,MATCH(AH838,FlowCalNumber,0),1,1)*AJ849^INDEX(FlowCalConstB,MATCH(AH838,FlowCalNumber,0),1,1)&lt;INDEX(FlowCalHighSetting,MATCH(AH838,FlowCalNumber,0),1,1))),INDEX(FlowCalConstA,MATCH(AH838,FlowCalNumber,0),1,1)*AJ849^INDEX(FlowCalConstB,MATCH(AH838,FlowCalNumber,0),1,1)," ")</f>
        <v>#REF!</v>
      </c>
      <c r="AL849" s="33"/>
      <c r="AM849" s="242"/>
      <c r="AN849" s="241"/>
      <c r="AO849" s="244"/>
      <c r="AQ849" s="242"/>
      <c r="AR849" s="241"/>
      <c r="AS849" s="244"/>
      <c r="AT849" s="33"/>
      <c r="AU849" s="242"/>
      <c r="AV849" s="241"/>
      <c r="AW849" s="244"/>
      <c r="AX849" s="33"/>
      <c r="AY849" s="242"/>
      <c r="AZ849" s="241"/>
      <c r="BA849" s="244"/>
      <c r="BB849" s="33"/>
      <c r="BC849" s="242"/>
      <c r="BD849" s="241"/>
      <c r="BE849" s="244"/>
      <c r="BF849" s="33"/>
      <c r="BG849" s="242"/>
      <c r="BH849" s="241"/>
      <c r="BI849" s="244"/>
      <c r="BJ849" s="33"/>
      <c r="BK849" s="242"/>
      <c r="BL849" s="241"/>
      <c r="BM849" s="244"/>
      <c r="BN849" s="33"/>
      <c r="BO849" s="242"/>
      <c r="BP849" s="241"/>
      <c r="BQ849" s="244"/>
      <c r="BR849" s="33"/>
      <c r="BS849" s="242"/>
      <c r="BT849" s="241"/>
      <c r="BU849" s="244"/>
      <c r="BV849" s="33"/>
      <c r="BW849" s="242"/>
      <c r="BX849" s="241"/>
      <c r="BY849" s="244"/>
      <c r="BZ849" s="33"/>
      <c r="CA849" s="242"/>
      <c r="CB849" s="241"/>
      <c r="CC849" s="244"/>
      <c r="CD849" s="243"/>
      <c r="CE849" s="243"/>
      <c r="CF849" s="243"/>
      <c r="CG849" s="243"/>
      <c r="CH849" s="243"/>
      <c r="CI849" s="243"/>
      <c r="CJ849" s="243"/>
      <c r="CK849" s="243"/>
      <c r="CL849" s="243"/>
      <c r="CM849" s="243"/>
      <c r="CN849" s="243"/>
      <c r="CO849" s="243"/>
      <c r="CP849" s="243"/>
      <c r="CQ849" s="243"/>
      <c r="CR849" s="243"/>
      <c r="CS849" s="243"/>
      <c r="CT849" s="243"/>
      <c r="CU849" s="243"/>
      <c r="CV849" s="243"/>
      <c r="CW849" s="243"/>
      <c r="CX849" s="243"/>
      <c r="CY849" s="243"/>
      <c r="CZ849" s="243"/>
      <c r="DA849" s="243"/>
      <c r="DB849" s="243"/>
      <c r="DC849" s="243"/>
      <c r="DD849" s="243"/>
      <c r="DE849" s="243"/>
      <c r="DF849" s="243"/>
      <c r="DG849" s="243"/>
      <c r="DH849" s="243"/>
      <c r="DI849" s="243"/>
      <c r="DJ849" s="243"/>
      <c r="DK849" s="243"/>
      <c r="DM849" s="242"/>
      <c r="DO849" s="243"/>
      <c r="DQ849" s="242"/>
      <c r="DS849" s="243"/>
      <c r="DU849" s="242"/>
      <c r="DW849" s="243"/>
      <c r="DY849" s="242"/>
      <c r="EA849" s="243"/>
    </row>
    <row r="850" spans="1:131">
      <c r="A850" s="20"/>
      <c r="B850" s="124" t="str">
        <f t="shared" si="790"/>
        <v/>
      </c>
      <c r="C850" s="235"/>
      <c r="D850" s="24">
        <f>'1% Wind'!$M$93</f>
        <v>2.4</v>
      </c>
      <c r="E850" s="90"/>
      <c r="F850" s="90"/>
      <c r="G850" s="79" t="e">
        <f ca="1">IF(I838=0.9743,$G849,MAX(G849/D849*D850,2))</f>
        <v>#REF!</v>
      </c>
      <c r="H850" s="121" t="e">
        <f t="shared" ca="1" si="791"/>
        <v>#REF!</v>
      </c>
      <c r="J850" s="33"/>
      <c r="K850" s="242">
        <f t="shared" si="792"/>
        <v>1</v>
      </c>
      <c r="L850" s="241" t="e">
        <f t="shared" ca="1" si="793"/>
        <v>#REF!</v>
      </c>
      <c r="M850" s="243" t="e">
        <f ca="1">IF(AND(INDEX(FlowCalConstA,MATCH(J838,FlowCalNumber,0),1,1)*L850^INDEX(FlowCalConstB,MATCH(J838,FlowCalNumber,0),1,1)&gt;INDEX(FlowCalLowSetting,MATCH(J838,FlowCalNumber,0),1,1), (INDEX(FlowCalConstA,MATCH(J838,FlowCalNumber,0),1,1)*L850^INDEX(FlowCalConstB,MATCH(J838,FlowCalNumber,0),1,1)&lt;INDEX(FlowCalHighSetting,MATCH(J838,FlowCalNumber,0),1,1))),INDEX(FlowCalConstA,MATCH(J838,FlowCalNumber,0),1,1)*L850^INDEX(FlowCalConstB,MATCH(J838,FlowCalNumber,0),1,1)," ")</f>
        <v>#REF!</v>
      </c>
      <c r="N850" s="33"/>
      <c r="O850" s="242">
        <f t="shared" si="794"/>
        <v>1</v>
      </c>
      <c r="P850" s="241" t="e">
        <f t="shared" ca="1" si="795"/>
        <v>#REF!</v>
      </c>
      <c r="Q850" s="243" t="e">
        <f ca="1">IF(AND(INDEX(FlowCalConstA,MATCH(N838,FlowCalNumber,0),1,1)*P850^INDEX(FlowCalConstB,MATCH(N838,FlowCalNumber,0),1,1)&gt;INDEX(FlowCalLowSetting,MATCH(N838,FlowCalNumber,0),1,1), (INDEX(FlowCalConstA,MATCH(N838,FlowCalNumber,0),1,1)*P850^INDEX(FlowCalConstB,MATCH(N838,FlowCalNumber,0),1,1)&lt;INDEX(FlowCalHighSetting,MATCH(N838,FlowCalNumber,0),1,1))),INDEX(FlowCalConstA,MATCH(N838,FlowCalNumber,0),1,1)*P850^INDEX(FlowCalConstB,MATCH(N838,FlowCalNumber,0),1,1)," ")</f>
        <v>#REF!</v>
      </c>
      <c r="R850" s="33"/>
      <c r="S850" s="242">
        <f t="shared" si="796"/>
        <v>1</v>
      </c>
      <c r="T850" s="241" t="e">
        <f t="shared" ca="1" si="797"/>
        <v>#REF!</v>
      </c>
      <c r="U850" s="244" t="e">
        <f ca="1">IF(AND(INDEX(FlowCalConstA,MATCH(R838,FlowCalNumber,0),1,1)*T850^INDEX(FlowCalConstB,MATCH(R838,FlowCalNumber,0),1,1)&gt;INDEX(FlowCalLowSetting,MATCH(R838,FlowCalNumber,0),1,1), (INDEX(FlowCalConstA,MATCH(R838,FlowCalNumber,0),1,1)*T850^INDEX(FlowCalConstB,MATCH(R838,FlowCalNumber,0),1,1)&lt;INDEX(FlowCalHighSetting,MATCH(R838,FlowCalNumber,0),1,1))),INDEX(FlowCalConstA,MATCH(R838,FlowCalNumber,0),1,1)*T850^INDEX(FlowCalConstB,MATCH(R838,FlowCalNumber,0),1,1)," ")</f>
        <v>#REF!</v>
      </c>
      <c r="V850" s="33"/>
      <c r="W850" s="242">
        <f t="shared" si="798"/>
        <v>0.1</v>
      </c>
      <c r="X850" s="241" t="e">
        <f t="shared" ca="1" si="799"/>
        <v>#REF!</v>
      </c>
      <c r="Y850" s="243" t="e">
        <f ca="1">IF(AND(INDEX(FlowCalConstA,MATCH(V838,FlowCalNumber,0),1,1)*X850^INDEX(FlowCalConstB,MATCH(V838,FlowCalNumber,0),1,1)&gt;INDEX(FlowCalLowSetting,MATCH(V838,FlowCalNumber,0),1,1), (INDEX(FlowCalConstA,MATCH(V838,FlowCalNumber,0),1,1)*X850^INDEX(FlowCalConstB,MATCH(V838,FlowCalNumber,0),1,1)&lt;INDEX(FlowCalHighSetting,MATCH(V838,FlowCalNumber,0),1,1))),INDEX(FlowCalConstA,MATCH(V838,FlowCalNumber,0),1,1)*X850^INDEX(FlowCalConstB,MATCH(V838,FlowCalNumber,0),1,1)," ")</f>
        <v>#REF!</v>
      </c>
      <c r="Z850" s="33"/>
      <c r="AA850" s="242">
        <f t="shared" si="800"/>
        <v>0.9</v>
      </c>
      <c r="AB850" s="241" t="e">
        <f t="shared" ca="1" si="801"/>
        <v>#REF!</v>
      </c>
      <c r="AC850" s="243" t="e">
        <f ca="1">IF(AND(INDEX(FlowCalConstA,MATCH(Z838,FlowCalNumber,0),1,1)*AB850^INDEX(FlowCalConstB,MATCH(Z838,FlowCalNumber,0),1,1)&gt;INDEX(FlowCalLowSetting,MATCH(Z838,FlowCalNumber,0),1,1), (INDEX(FlowCalConstA,MATCH(Z838,FlowCalNumber,0),1,1)*AB850^INDEX(FlowCalConstB,MATCH(Z838,FlowCalNumber,0),1,1)&lt;INDEX(FlowCalHighSetting,MATCH(Z838,FlowCalNumber,0),1,1))),INDEX(FlowCalConstA,MATCH(Z838,FlowCalNumber,0),1,1)*AB850^INDEX(FlowCalConstB,MATCH(Z838,FlowCalNumber,0),1,1)," ")</f>
        <v>#REF!</v>
      </c>
      <c r="AD850" s="33"/>
      <c r="AE850" s="242">
        <f t="shared" si="802"/>
        <v>0.1</v>
      </c>
      <c r="AF850" s="241" t="e">
        <f t="shared" ca="1" si="803"/>
        <v>#REF!</v>
      </c>
      <c r="AG850" s="243" t="e">
        <f ca="1">IF(AND(INDEX(FlowCalConstA,MATCH(AD838,FlowCalNumber,0),1,1)*AF850^INDEX(FlowCalConstB,MATCH(AD838,FlowCalNumber,0),1,1)&gt;INDEX(FlowCalLowSetting,MATCH(AD838,FlowCalNumber,0),1,1), (INDEX(FlowCalConstA,MATCH(AD838,FlowCalNumber,0),1,1)*AF850^INDEX(FlowCalConstB,MATCH(AD838,FlowCalNumber,0),1,1)&lt;INDEX(FlowCalHighSetting,MATCH(AD838,FlowCalNumber,0),1,1))),INDEX(FlowCalConstA,MATCH(AD838,FlowCalNumber,0),1,1)*AF850^INDEX(FlowCalConstB,MATCH(AD838,FlowCalNumber,0),1,1)," ")</f>
        <v>#REF!</v>
      </c>
      <c r="AH850" s="33"/>
      <c r="AI850" s="242">
        <f t="shared" si="804"/>
        <v>0.9</v>
      </c>
      <c r="AJ850" s="241" t="e">
        <f t="shared" ca="1" si="805"/>
        <v>#REF!</v>
      </c>
      <c r="AK850" s="243" t="e">
        <f ca="1">IF(AND(INDEX(FlowCalConstA,MATCH(AH838,FlowCalNumber,0),1,1)*AJ850^INDEX(FlowCalConstB,MATCH(AH838,FlowCalNumber,0),1,1)&gt;INDEX(FlowCalLowSetting,MATCH(AH838,FlowCalNumber,0),1,1), (INDEX(FlowCalConstA,MATCH(AH838,FlowCalNumber,0),1,1)*AJ850^INDEX(FlowCalConstB,MATCH(AH838,FlowCalNumber,0),1,1)&lt;INDEX(FlowCalHighSetting,MATCH(AH838,FlowCalNumber,0),1,1))),INDEX(FlowCalConstA,MATCH(AH838,FlowCalNumber,0),1,1)*AJ850^INDEX(FlowCalConstB,MATCH(AH838,FlowCalNumber,0),1,1)," ")</f>
        <v>#REF!</v>
      </c>
      <c r="AL850" s="33"/>
      <c r="AM850" s="242"/>
      <c r="AN850" s="241"/>
      <c r="AO850" s="244"/>
      <c r="AQ850" s="242"/>
      <c r="AR850" s="241"/>
      <c r="AS850" s="244"/>
      <c r="AT850" s="33"/>
      <c r="AU850" s="242"/>
      <c r="AV850" s="241"/>
      <c r="AW850" s="244"/>
      <c r="AX850" s="33"/>
      <c r="AY850" s="242"/>
      <c r="AZ850" s="241"/>
      <c r="BA850" s="244"/>
      <c r="BB850" s="33"/>
      <c r="BC850" s="242"/>
      <c r="BD850" s="241"/>
      <c r="BE850" s="244"/>
      <c r="BF850" s="33"/>
      <c r="BG850" s="242"/>
      <c r="BH850" s="241"/>
      <c r="BI850" s="244"/>
      <c r="BJ850" s="33"/>
      <c r="BK850" s="242"/>
      <c r="BL850" s="241"/>
      <c r="BM850" s="244"/>
      <c r="BN850" s="33"/>
      <c r="BO850" s="242"/>
      <c r="BP850" s="241"/>
      <c r="BQ850" s="244"/>
      <c r="BR850" s="33"/>
      <c r="BS850" s="242"/>
      <c r="BT850" s="241"/>
      <c r="BU850" s="244"/>
      <c r="BV850" s="33"/>
      <c r="BW850" s="242"/>
      <c r="BX850" s="241"/>
      <c r="BY850" s="244"/>
      <c r="BZ850" s="33"/>
      <c r="CA850" s="242"/>
      <c r="CB850" s="241"/>
      <c r="CC850" s="244"/>
      <c r="CD850" s="243"/>
      <c r="CE850" s="243"/>
      <c r="CF850" s="243"/>
      <c r="CG850" s="243"/>
      <c r="CH850" s="243"/>
      <c r="CI850" s="243"/>
      <c r="CJ850" s="243"/>
      <c r="CK850" s="243"/>
      <c r="CL850" s="243"/>
      <c r="CM850" s="243"/>
      <c r="CN850" s="243"/>
      <c r="CO850" s="243"/>
      <c r="CP850" s="243"/>
      <c r="CQ850" s="243"/>
      <c r="CR850" s="243"/>
      <c r="CS850" s="243"/>
      <c r="CT850" s="243"/>
      <c r="CU850" s="243"/>
      <c r="CV850" s="243"/>
      <c r="CW850" s="243"/>
      <c r="CX850" s="243"/>
      <c r="CY850" s="243"/>
      <c r="CZ850" s="243"/>
      <c r="DA850" s="243"/>
      <c r="DB850" s="243"/>
      <c r="DC850" s="243"/>
      <c r="DD850" s="243"/>
      <c r="DE850" s="243"/>
      <c r="DF850" s="243"/>
      <c r="DG850" s="243"/>
      <c r="DH850" s="243"/>
      <c r="DI850" s="243"/>
      <c r="DJ850" s="243"/>
      <c r="DK850" s="243"/>
      <c r="DM850" s="242"/>
      <c r="DO850" s="243"/>
      <c r="DQ850" s="242"/>
      <c r="DS850" s="243"/>
      <c r="DU850" s="242"/>
      <c r="DW850" s="243"/>
      <c r="DY850" s="242"/>
      <c r="EA850" s="243"/>
    </row>
    <row r="851" spans="1:131">
      <c r="A851" s="20"/>
      <c r="B851" s="124" t="str">
        <f t="shared" si="790"/>
        <v/>
      </c>
      <c r="C851" s="235"/>
      <c r="D851" s="24">
        <f>'1% Wind'!$M$94</f>
        <v>1.8</v>
      </c>
      <c r="E851" s="90"/>
      <c r="F851" s="90"/>
      <c r="G851" s="79" t="e">
        <f ca="1">IF(I838=0.9743,$G850,MAX(G850/D850*D851,2))</f>
        <v>#REF!</v>
      </c>
      <c r="H851" s="121" t="e">
        <f t="shared" ca="1" si="791"/>
        <v>#REF!</v>
      </c>
      <c r="J851" s="33"/>
      <c r="K851" s="242">
        <f t="shared" si="792"/>
        <v>1</v>
      </c>
      <c r="L851" s="241" t="e">
        <f t="shared" ca="1" si="793"/>
        <v>#REF!</v>
      </c>
      <c r="M851" s="243" t="e">
        <f ca="1">IF(AND(INDEX(FlowCalConstA,MATCH(J838,FlowCalNumber,0),1,1)*L851^INDEX(FlowCalConstB,MATCH(J838,FlowCalNumber,0),1,1)&gt;INDEX(FlowCalLowSetting,MATCH(J838,FlowCalNumber,0),1,1), (INDEX(FlowCalConstA,MATCH(J838,FlowCalNumber,0),1,1)*L851^INDEX(FlowCalConstB,MATCH(J838,FlowCalNumber,0),1,1)&lt;INDEX(FlowCalHighSetting,MATCH(J838,FlowCalNumber,0),1,1))),INDEX(FlowCalConstA,MATCH(J838,FlowCalNumber,0),1,1)*L851^INDEX(FlowCalConstB,MATCH(J838,FlowCalNumber,0),1,1)," ")</f>
        <v>#REF!</v>
      </c>
      <c r="N851" s="33"/>
      <c r="O851" s="242">
        <f t="shared" si="794"/>
        <v>1</v>
      </c>
      <c r="P851" s="241" t="e">
        <f t="shared" ca="1" si="795"/>
        <v>#REF!</v>
      </c>
      <c r="Q851" s="243" t="e">
        <f ca="1">IF(AND(INDEX(FlowCalConstA,MATCH(N838,FlowCalNumber,0),1,1)*P851^INDEX(FlowCalConstB,MATCH(N838,FlowCalNumber,0),1,1)&gt;INDEX(FlowCalLowSetting,MATCH(N838,FlowCalNumber,0),1,1), (INDEX(FlowCalConstA,MATCH(N838,FlowCalNumber,0),1,1)*P851^INDEX(FlowCalConstB,MATCH(N838,FlowCalNumber,0),1,1)&lt;INDEX(FlowCalHighSetting,MATCH(N838,FlowCalNumber,0),1,1))),INDEX(FlowCalConstA,MATCH(N838,FlowCalNumber,0),1,1)*P851^INDEX(FlowCalConstB,MATCH(N838,FlowCalNumber,0),1,1)," ")</f>
        <v>#REF!</v>
      </c>
      <c r="R851" s="33"/>
      <c r="S851" s="242">
        <f t="shared" si="796"/>
        <v>1</v>
      </c>
      <c r="T851" s="241" t="e">
        <f t="shared" ca="1" si="797"/>
        <v>#REF!</v>
      </c>
      <c r="U851" s="244" t="e">
        <f ca="1">IF(AND(INDEX(FlowCalConstA,MATCH(R838,FlowCalNumber,0),1,1)*T851^INDEX(FlowCalConstB,MATCH(R838,FlowCalNumber,0),1,1)&gt;INDEX(FlowCalLowSetting,MATCH(R838,FlowCalNumber,0),1,1), (INDEX(FlowCalConstA,MATCH(R838,FlowCalNumber,0),1,1)*T851^INDEX(FlowCalConstB,MATCH(R838,FlowCalNumber,0),1,1)&lt;INDEX(FlowCalHighSetting,MATCH(R838,FlowCalNumber,0),1,1))),INDEX(FlowCalConstA,MATCH(R838,FlowCalNumber,0),1,1)*T851^INDEX(FlowCalConstB,MATCH(R838,FlowCalNumber,0),1,1)," ")</f>
        <v>#REF!</v>
      </c>
      <c r="V851" s="33"/>
      <c r="W851" s="242">
        <f t="shared" si="798"/>
        <v>0.1</v>
      </c>
      <c r="X851" s="241" t="e">
        <f t="shared" ca="1" si="799"/>
        <v>#REF!</v>
      </c>
      <c r="Y851" s="243" t="e">
        <f ca="1">IF(AND(INDEX(FlowCalConstA,MATCH(V838,FlowCalNumber,0),1,1)*X851^INDEX(FlowCalConstB,MATCH(V838,FlowCalNumber,0),1,1)&gt;INDEX(FlowCalLowSetting,MATCH(V838,FlowCalNumber,0),1,1), (INDEX(FlowCalConstA,MATCH(V838,FlowCalNumber,0),1,1)*X851^INDEX(FlowCalConstB,MATCH(V838,FlowCalNumber,0),1,1)&lt;INDEX(FlowCalHighSetting,MATCH(V838,FlowCalNumber,0),1,1))),INDEX(FlowCalConstA,MATCH(V838,FlowCalNumber,0),1,1)*X851^INDEX(FlowCalConstB,MATCH(V838,FlowCalNumber,0),1,1)," ")</f>
        <v>#REF!</v>
      </c>
      <c r="Z851" s="33"/>
      <c r="AA851" s="242">
        <f t="shared" si="800"/>
        <v>0.9</v>
      </c>
      <c r="AB851" s="241" t="e">
        <f t="shared" ca="1" si="801"/>
        <v>#REF!</v>
      </c>
      <c r="AC851" s="243" t="e">
        <f ca="1">IF(AND(INDEX(FlowCalConstA,MATCH(Z838,FlowCalNumber,0),1,1)*AB851^INDEX(FlowCalConstB,MATCH(Z838,FlowCalNumber,0),1,1)&gt;INDEX(FlowCalLowSetting,MATCH(Z838,FlowCalNumber,0),1,1), (INDEX(FlowCalConstA,MATCH(Z838,FlowCalNumber,0),1,1)*AB851^INDEX(FlowCalConstB,MATCH(Z838,FlowCalNumber,0),1,1)&lt;INDEX(FlowCalHighSetting,MATCH(Z838,FlowCalNumber,0),1,1))),INDEX(FlowCalConstA,MATCH(Z838,FlowCalNumber,0),1,1)*AB851^INDEX(FlowCalConstB,MATCH(Z838,FlowCalNumber,0),1,1)," ")</f>
        <v>#REF!</v>
      </c>
      <c r="AD851" s="33"/>
      <c r="AE851" s="242">
        <f t="shared" si="802"/>
        <v>0.1</v>
      </c>
      <c r="AF851" s="241" t="e">
        <f t="shared" ca="1" si="803"/>
        <v>#REF!</v>
      </c>
      <c r="AG851" s="243" t="e">
        <f ca="1">IF(AND(INDEX(FlowCalConstA,MATCH(AD838,FlowCalNumber,0),1,1)*AF851^INDEX(FlowCalConstB,MATCH(AD838,FlowCalNumber,0),1,1)&gt;INDEX(FlowCalLowSetting,MATCH(AD838,FlowCalNumber,0),1,1), (INDEX(FlowCalConstA,MATCH(AD838,FlowCalNumber,0),1,1)*AF851^INDEX(FlowCalConstB,MATCH(AD838,FlowCalNumber,0),1,1)&lt;INDEX(FlowCalHighSetting,MATCH(AD838,FlowCalNumber,0),1,1))),INDEX(FlowCalConstA,MATCH(AD838,FlowCalNumber,0),1,1)*AF851^INDEX(FlowCalConstB,MATCH(AD838,FlowCalNumber,0),1,1)," ")</f>
        <v>#REF!</v>
      </c>
      <c r="AH851" s="33"/>
      <c r="AI851" s="242">
        <f t="shared" si="804"/>
        <v>0.9</v>
      </c>
      <c r="AJ851" s="241" t="e">
        <f t="shared" ca="1" si="805"/>
        <v>#REF!</v>
      </c>
      <c r="AK851" s="243" t="e">
        <f ca="1">IF(AND(INDEX(FlowCalConstA,MATCH(AH838,FlowCalNumber,0),1,1)*AJ851^INDEX(FlowCalConstB,MATCH(AH838,FlowCalNumber,0),1,1)&gt;INDEX(FlowCalLowSetting,MATCH(AH838,FlowCalNumber,0),1,1), (INDEX(FlowCalConstA,MATCH(AH838,FlowCalNumber,0),1,1)*AJ851^INDEX(FlowCalConstB,MATCH(AH838,FlowCalNumber,0),1,1)&lt;INDEX(FlowCalHighSetting,MATCH(AH838,FlowCalNumber,0),1,1))),INDEX(FlowCalConstA,MATCH(AH838,FlowCalNumber,0),1,1)*AJ851^INDEX(FlowCalConstB,MATCH(AH838,FlowCalNumber,0),1,1)," ")</f>
        <v>#REF!</v>
      </c>
      <c r="AL851" s="33"/>
      <c r="AM851" s="242"/>
      <c r="AN851" s="241"/>
      <c r="AO851" s="244"/>
      <c r="AQ851" s="242"/>
      <c r="AR851" s="241"/>
      <c r="AS851" s="244"/>
      <c r="AT851" s="33"/>
      <c r="AU851" s="242"/>
      <c r="AV851" s="241"/>
      <c r="AW851" s="244"/>
      <c r="AX851" s="33"/>
      <c r="AY851" s="242"/>
      <c r="AZ851" s="241"/>
      <c r="BA851" s="244"/>
      <c r="BB851" s="33"/>
      <c r="BC851" s="242"/>
      <c r="BD851" s="241"/>
      <c r="BE851" s="244"/>
      <c r="BF851" s="33"/>
      <c r="BG851" s="242"/>
      <c r="BH851" s="241"/>
      <c r="BI851" s="244"/>
      <c r="BJ851" s="33"/>
      <c r="BK851" s="242"/>
      <c r="BL851" s="241"/>
      <c r="BM851" s="244"/>
      <c r="BN851" s="33"/>
      <c r="BO851" s="242"/>
      <c r="BP851" s="241"/>
      <c r="BQ851" s="244"/>
      <c r="BR851" s="33"/>
      <c r="BS851" s="242"/>
      <c r="BT851" s="241"/>
      <c r="BU851" s="244"/>
      <c r="BV851" s="33"/>
      <c r="BW851" s="242"/>
      <c r="BX851" s="241"/>
      <c r="BY851" s="244"/>
      <c r="BZ851" s="33"/>
      <c r="CA851" s="242"/>
      <c r="CB851" s="241"/>
      <c r="CC851" s="244"/>
      <c r="CD851" s="243"/>
      <c r="CE851" s="243"/>
      <c r="CF851" s="243"/>
      <c r="CG851" s="243"/>
      <c r="CH851" s="243"/>
      <c r="CI851" s="243"/>
      <c r="CJ851" s="243"/>
      <c r="CK851" s="243"/>
      <c r="CL851" s="243"/>
      <c r="CM851" s="243"/>
      <c r="CN851" s="243"/>
      <c r="CO851" s="243"/>
      <c r="CP851" s="243"/>
      <c r="CQ851" s="243"/>
      <c r="CR851" s="243"/>
      <c r="CS851" s="243"/>
      <c r="CT851" s="243"/>
      <c r="CU851" s="243"/>
      <c r="CV851" s="243"/>
      <c r="CW851" s="243"/>
      <c r="CX851" s="243"/>
      <c r="CY851" s="243"/>
      <c r="CZ851" s="243"/>
      <c r="DA851" s="243"/>
      <c r="DB851" s="243"/>
      <c r="DC851" s="243"/>
      <c r="DD851" s="243"/>
      <c r="DE851" s="243"/>
      <c r="DF851" s="243"/>
      <c r="DG851" s="243"/>
      <c r="DH851" s="243"/>
      <c r="DI851" s="243"/>
      <c r="DJ851" s="243"/>
      <c r="DK851" s="243"/>
      <c r="DM851" s="242"/>
      <c r="DO851" s="243"/>
      <c r="DQ851" s="242"/>
      <c r="DS851" s="243"/>
      <c r="DU851" s="242"/>
      <c r="DW851" s="243"/>
      <c r="DY851" s="242"/>
      <c r="EA851" s="243"/>
    </row>
    <row r="852" spans="1:131">
      <c r="A852" s="20"/>
      <c r="B852" s="124" t="str">
        <f t="shared" si="790"/>
        <v/>
      </c>
      <c r="C852" s="235"/>
      <c r="D852" s="24">
        <f>'1% Wind'!$M$95</f>
        <v>1.3</v>
      </c>
      <c r="E852" s="90"/>
      <c r="F852" s="90"/>
      <c r="G852" s="79" t="e">
        <f ca="1">IF(I838=0.9743,$G851,MAX(G851/D851*D852,2))</f>
        <v>#REF!</v>
      </c>
      <c r="H852" s="121" t="e">
        <f t="shared" ca="1" si="791"/>
        <v>#REF!</v>
      </c>
      <c r="J852" s="33"/>
      <c r="K852" s="242">
        <f t="shared" si="792"/>
        <v>1</v>
      </c>
      <c r="L852" s="241" t="e">
        <f t="shared" ca="1" si="793"/>
        <v>#REF!</v>
      </c>
      <c r="M852" s="243" t="e">
        <f ca="1">IF(AND(INDEX(FlowCalConstA,MATCH(J838,FlowCalNumber,0),1,1)*L852^INDEX(FlowCalConstB,MATCH(J838,FlowCalNumber,0),1,1)&gt;INDEX(FlowCalLowSetting,MATCH(J838,FlowCalNumber,0),1,1), (INDEX(FlowCalConstA,MATCH(J838,FlowCalNumber,0),1,1)*L852^INDEX(FlowCalConstB,MATCH(J838,FlowCalNumber,0),1,1)&lt;INDEX(FlowCalHighSetting,MATCH(J838,FlowCalNumber,0),1,1))),INDEX(FlowCalConstA,MATCH(J838,FlowCalNumber,0),1,1)*L852^INDEX(FlowCalConstB,MATCH(J838,FlowCalNumber,0),1,1)," ")</f>
        <v>#REF!</v>
      </c>
      <c r="N852" s="33"/>
      <c r="O852" s="242">
        <f t="shared" si="794"/>
        <v>1</v>
      </c>
      <c r="P852" s="241" t="e">
        <f t="shared" ca="1" si="795"/>
        <v>#REF!</v>
      </c>
      <c r="Q852" s="243" t="e">
        <f ca="1">IF(AND(INDEX(FlowCalConstA,MATCH(N838,FlowCalNumber,0),1,1)*P852^INDEX(FlowCalConstB,MATCH(N838,FlowCalNumber,0),1,1)&gt;INDEX(FlowCalLowSetting,MATCH(N838,FlowCalNumber,0),1,1), (INDEX(FlowCalConstA,MATCH(N838,FlowCalNumber,0),1,1)*P852^INDEX(FlowCalConstB,MATCH(N838,FlowCalNumber,0),1,1)&lt;INDEX(FlowCalHighSetting,MATCH(N838,FlowCalNumber,0),1,1))),INDEX(FlowCalConstA,MATCH(N838,FlowCalNumber,0),1,1)*P852^INDEX(FlowCalConstB,MATCH(N838,FlowCalNumber,0),1,1)," ")</f>
        <v>#REF!</v>
      </c>
      <c r="R852" s="33"/>
      <c r="S852" s="242">
        <f t="shared" si="796"/>
        <v>1</v>
      </c>
      <c r="T852" s="241" t="e">
        <f t="shared" ca="1" si="797"/>
        <v>#REF!</v>
      </c>
      <c r="U852" s="244" t="e">
        <f ca="1">IF(AND(INDEX(FlowCalConstA,MATCH(R838,FlowCalNumber,0),1,1)*T852^INDEX(FlowCalConstB,MATCH(R838,FlowCalNumber,0),1,1)&gt;INDEX(FlowCalLowSetting,MATCH(R838,FlowCalNumber,0),1,1), (INDEX(FlowCalConstA,MATCH(R838,FlowCalNumber,0),1,1)*T852^INDEX(FlowCalConstB,MATCH(R838,FlowCalNumber,0),1,1)&lt;INDEX(FlowCalHighSetting,MATCH(R838,FlowCalNumber,0),1,1))),INDEX(FlowCalConstA,MATCH(R838,FlowCalNumber,0),1,1)*T852^INDEX(FlowCalConstB,MATCH(R838,FlowCalNumber,0),1,1)," ")</f>
        <v>#REF!</v>
      </c>
      <c r="V852" s="33"/>
      <c r="W852" s="242">
        <f t="shared" si="798"/>
        <v>0.1</v>
      </c>
      <c r="X852" s="241" t="e">
        <f t="shared" ca="1" si="799"/>
        <v>#REF!</v>
      </c>
      <c r="Y852" s="243" t="e">
        <f ca="1">IF(AND(INDEX(FlowCalConstA,MATCH(V838,FlowCalNumber,0),1,1)*X852^INDEX(FlowCalConstB,MATCH(V838,FlowCalNumber,0),1,1)&gt;INDEX(FlowCalLowSetting,MATCH(V838,FlowCalNumber,0),1,1), (INDEX(FlowCalConstA,MATCH(V838,FlowCalNumber,0),1,1)*X852^INDEX(FlowCalConstB,MATCH(V838,FlowCalNumber,0),1,1)&lt;INDEX(FlowCalHighSetting,MATCH(V838,FlowCalNumber,0),1,1))),INDEX(FlowCalConstA,MATCH(V838,FlowCalNumber,0),1,1)*X852^INDEX(FlowCalConstB,MATCH(V838,FlowCalNumber,0),1,1)," ")</f>
        <v>#REF!</v>
      </c>
      <c r="Z852" s="33"/>
      <c r="AA852" s="242">
        <f t="shared" si="800"/>
        <v>0.9</v>
      </c>
      <c r="AB852" s="241" t="e">
        <f t="shared" ca="1" si="801"/>
        <v>#REF!</v>
      </c>
      <c r="AC852" s="243" t="e">
        <f ca="1">IF(AND(INDEX(FlowCalConstA,MATCH(Z838,FlowCalNumber,0),1,1)*AB852^INDEX(FlowCalConstB,MATCH(Z838,FlowCalNumber,0),1,1)&gt;INDEX(FlowCalLowSetting,MATCH(Z838,FlowCalNumber,0),1,1), (INDEX(FlowCalConstA,MATCH(Z838,FlowCalNumber,0),1,1)*AB852^INDEX(FlowCalConstB,MATCH(Z838,FlowCalNumber,0),1,1)&lt;INDEX(FlowCalHighSetting,MATCH(Z838,FlowCalNumber,0),1,1))),INDEX(FlowCalConstA,MATCH(Z838,FlowCalNumber,0),1,1)*AB852^INDEX(FlowCalConstB,MATCH(Z838,FlowCalNumber,0),1,1)," ")</f>
        <v>#REF!</v>
      </c>
      <c r="AD852" s="33"/>
      <c r="AE852" s="242">
        <f t="shared" si="802"/>
        <v>0.1</v>
      </c>
      <c r="AF852" s="241" t="e">
        <f t="shared" ca="1" si="803"/>
        <v>#REF!</v>
      </c>
      <c r="AG852" s="243" t="e">
        <f ca="1">IF(AND(INDEX(FlowCalConstA,MATCH(AD838,FlowCalNumber,0),1,1)*AF852^INDEX(FlowCalConstB,MATCH(AD838,FlowCalNumber,0),1,1)&gt;INDEX(FlowCalLowSetting,MATCH(AD838,FlowCalNumber,0),1,1), (INDEX(FlowCalConstA,MATCH(AD838,FlowCalNumber,0),1,1)*AF852^INDEX(FlowCalConstB,MATCH(AD838,FlowCalNumber,0),1,1)&lt;INDEX(FlowCalHighSetting,MATCH(AD838,FlowCalNumber,0),1,1))),INDEX(FlowCalConstA,MATCH(AD838,FlowCalNumber,0),1,1)*AF852^INDEX(FlowCalConstB,MATCH(AD838,FlowCalNumber,0),1,1)," ")</f>
        <v>#REF!</v>
      </c>
      <c r="AH852" s="33"/>
      <c r="AI852" s="242">
        <f t="shared" si="804"/>
        <v>0.9</v>
      </c>
      <c r="AJ852" s="241" t="e">
        <f t="shared" ca="1" si="805"/>
        <v>#REF!</v>
      </c>
      <c r="AK852" s="243" t="e">
        <f ca="1">IF(AND(INDEX(FlowCalConstA,MATCH(AH838,FlowCalNumber,0),1,1)*AJ852^INDEX(FlowCalConstB,MATCH(AH838,FlowCalNumber,0),1,1)&gt;INDEX(FlowCalLowSetting,MATCH(AH838,FlowCalNumber,0),1,1), (INDEX(FlowCalConstA,MATCH(AH838,FlowCalNumber,0),1,1)*AJ852^INDEX(FlowCalConstB,MATCH(AH838,FlowCalNumber,0),1,1)&lt;INDEX(FlowCalHighSetting,MATCH(AH838,FlowCalNumber,0),1,1))),INDEX(FlowCalConstA,MATCH(AH838,FlowCalNumber,0),1,1)*AJ852^INDEX(FlowCalConstB,MATCH(AH838,FlowCalNumber,0),1,1)," ")</f>
        <v>#REF!</v>
      </c>
      <c r="AL852" s="33"/>
      <c r="AM852" s="242"/>
      <c r="AN852" s="241"/>
      <c r="AO852" s="244"/>
      <c r="AQ852" s="242"/>
      <c r="AR852" s="241"/>
      <c r="AS852" s="244"/>
      <c r="AT852" s="33"/>
      <c r="AU852" s="242"/>
      <c r="AV852" s="241"/>
      <c r="AW852" s="244"/>
      <c r="AX852" s="33"/>
      <c r="AY852" s="242"/>
      <c r="AZ852" s="241"/>
      <c r="BA852" s="244"/>
      <c r="BB852" s="33"/>
      <c r="BC852" s="242"/>
      <c r="BD852" s="241"/>
      <c r="BE852" s="244"/>
      <c r="BF852" s="33"/>
      <c r="BG852" s="242"/>
      <c r="BH852" s="241"/>
      <c r="BI852" s="244"/>
      <c r="BJ852" s="33"/>
      <c r="BK852" s="242"/>
      <c r="BL852" s="241"/>
      <c r="BM852" s="244"/>
      <c r="BN852" s="33"/>
      <c r="BO852" s="242"/>
      <c r="BP852" s="241"/>
      <c r="BQ852" s="244"/>
      <c r="BR852" s="33"/>
      <c r="BS852" s="242"/>
      <c r="BT852" s="241"/>
      <c r="BU852" s="244"/>
      <c r="BV852" s="33"/>
      <c r="BW852" s="242"/>
      <c r="BX852" s="241"/>
      <c r="BY852" s="244"/>
      <c r="BZ852" s="33"/>
      <c r="CA852" s="242"/>
      <c r="CB852" s="241"/>
      <c r="CC852" s="244"/>
      <c r="CD852" s="243"/>
      <c r="CE852" s="243"/>
      <c r="CF852" s="243"/>
      <c r="CG852" s="243"/>
      <c r="CH852" s="243"/>
      <c r="CI852" s="243"/>
      <c r="CJ852" s="243"/>
      <c r="CK852" s="243"/>
      <c r="CL852" s="243"/>
      <c r="CM852" s="243"/>
      <c r="CN852" s="243"/>
      <c r="CO852" s="243"/>
      <c r="CP852" s="243"/>
      <c r="CQ852" s="243"/>
      <c r="CR852" s="243"/>
      <c r="CS852" s="243"/>
      <c r="CT852" s="243"/>
      <c r="CU852" s="243"/>
      <c r="CV852" s="243"/>
      <c r="CW852" s="243"/>
      <c r="CX852" s="243"/>
      <c r="CY852" s="243"/>
      <c r="CZ852" s="243"/>
      <c r="DA852" s="243"/>
      <c r="DB852" s="243"/>
      <c r="DC852" s="243"/>
      <c r="DD852" s="243"/>
      <c r="DE852" s="243"/>
      <c r="DF852" s="243"/>
      <c r="DG852" s="243"/>
      <c r="DH852" s="243"/>
      <c r="DI852" s="243"/>
      <c r="DJ852" s="243"/>
      <c r="DK852" s="243"/>
      <c r="DM852" s="242"/>
      <c r="DO852" s="243"/>
      <c r="DQ852" s="242"/>
      <c r="DS852" s="243"/>
      <c r="DU852" s="242"/>
      <c r="DW852" s="243"/>
      <c r="DY852" s="242"/>
      <c r="EA852" s="243"/>
    </row>
    <row r="853" spans="1:131">
      <c r="A853" s="20"/>
      <c r="B853" s="124" t="str">
        <f t="shared" si="790"/>
        <v/>
      </c>
      <c r="C853" s="235"/>
      <c r="D853" s="24">
        <f>'1% Wind'!$M$96</f>
        <v>1</v>
      </c>
      <c r="E853" s="90"/>
      <c r="F853" s="90"/>
      <c r="G853" s="79" t="e">
        <f ca="1">IF(I838=0.9743,$G852,MAX(G852/D852*D853,2))</f>
        <v>#REF!</v>
      </c>
      <c r="H853" s="121" t="e">
        <f t="shared" ca="1" si="791"/>
        <v>#REF!</v>
      </c>
      <c r="J853" s="33"/>
      <c r="K853" s="242">
        <f t="shared" si="792"/>
        <v>1</v>
      </c>
      <c r="L853" s="241" t="e">
        <f t="shared" ca="1" si="793"/>
        <v>#REF!</v>
      </c>
      <c r="M853" s="243" t="e">
        <f ca="1">IF(AND(INDEX(FlowCalConstA,MATCH(J838,FlowCalNumber,0),1,1)*L853^INDEX(FlowCalConstB,MATCH(J838,FlowCalNumber,0),1,1)&gt;INDEX(FlowCalLowSetting,MATCH(J838,FlowCalNumber,0),1,1), (INDEX(FlowCalConstA,MATCH(J838,FlowCalNumber,0),1,1)*L853^INDEX(FlowCalConstB,MATCH(J838,FlowCalNumber,0),1,1)&lt;INDEX(FlowCalHighSetting,MATCH(J838,FlowCalNumber,0),1,1))),INDEX(FlowCalConstA,MATCH(J838,FlowCalNumber,0),1,1)*L853^INDEX(FlowCalConstB,MATCH(J838,FlowCalNumber,0),1,1)," ")</f>
        <v>#REF!</v>
      </c>
      <c r="N853" s="33"/>
      <c r="O853" s="242">
        <f t="shared" si="794"/>
        <v>1</v>
      </c>
      <c r="P853" s="241" t="e">
        <f t="shared" ca="1" si="795"/>
        <v>#REF!</v>
      </c>
      <c r="Q853" s="243" t="e">
        <f ca="1">IF(AND(INDEX(FlowCalConstA,MATCH(N838,FlowCalNumber,0),1,1)*P853^INDEX(FlowCalConstB,MATCH(N838,FlowCalNumber,0),1,1)&gt;INDEX(FlowCalLowSetting,MATCH(N838,FlowCalNumber,0),1,1), (INDEX(FlowCalConstA,MATCH(N838,FlowCalNumber,0),1,1)*P853^INDEX(FlowCalConstB,MATCH(N838,FlowCalNumber,0),1,1)&lt;INDEX(FlowCalHighSetting,MATCH(N838,FlowCalNumber,0),1,1))),INDEX(FlowCalConstA,MATCH(N838,FlowCalNumber,0),1,1)*P853^INDEX(FlowCalConstB,MATCH(N838,FlowCalNumber,0),1,1)," ")</f>
        <v>#REF!</v>
      </c>
      <c r="R853" s="33"/>
      <c r="S853" s="242">
        <f t="shared" si="796"/>
        <v>1</v>
      </c>
      <c r="T853" s="241" t="e">
        <f t="shared" ca="1" si="797"/>
        <v>#REF!</v>
      </c>
      <c r="U853" s="244" t="e">
        <f ca="1">IF(AND(INDEX(FlowCalConstA,MATCH(R838,FlowCalNumber,0),1,1)*T853^INDEX(FlowCalConstB,MATCH(R838,FlowCalNumber,0),1,1)&gt;INDEX(FlowCalLowSetting,MATCH(R838,FlowCalNumber,0),1,1), (INDEX(FlowCalConstA,MATCH(R838,FlowCalNumber,0),1,1)*T853^INDEX(FlowCalConstB,MATCH(R838,FlowCalNumber,0),1,1)&lt;INDEX(FlowCalHighSetting,MATCH(R838,FlowCalNumber,0),1,1))),INDEX(FlowCalConstA,MATCH(R838,FlowCalNumber,0),1,1)*T853^INDEX(FlowCalConstB,MATCH(R838,FlowCalNumber,0),1,1)," ")</f>
        <v>#REF!</v>
      </c>
      <c r="V853" s="33"/>
      <c r="W853" s="242">
        <f t="shared" si="798"/>
        <v>0.1</v>
      </c>
      <c r="X853" s="241" t="e">
        <f t="shared" ca="1" si="799"/>
        <v>#REF!</v>
      </c>
      <c r="Y853" s="243" t="e">
        <f ca="1">IF(AND(INDEX(FlowCalConstA,MATCH(V838,FlowCalNumber,0),1,1)*X853^INDEX(FlowCalConstB,MATCH(V838,FlowCalNumber,0),1,1)&gt;INDEX(FlowCalLowSetting,MATCH(V838,FlowCalNumber,0),1,1), (INDEX(FlowCalConstA,MATCH(V838,FlowCalNumber,0),1,1)*X853^INDEX(FlowCalConstB,MATCH(V838,FlowCalNumber,0),1,1)&lt;INDEX(FlowCalHighSetting,MATCH(V838,FlowCalNumber,0),1,1))),INDEX(FlowCalConstA,MATCH(V838,FlowCalNumber,0),1,1)*X853^INDEX(FlowCalConstB,MATCH(V838,FlowCalNumber,0),1,1)," ")</f>
        <v>#REF!</v>
      </c>
      <c r="Z853" s="33"/>
      <c r="AA853" s="242">
        <f t="shared" si="800"/>
        <v>0.9</v>
      </c>
      <c r="AB853" s="241" t="e">
        <f t="shared" ca="1" si="801"/>
        <v>#REF!</v>
      </c>
      <c r="AC853" s="243" t="e">
        <f ca="1">IF(AND(INDEX(FlowCalConstA,MATCH(Z838,FlowCalNumber,0),1,1)*AB853^INDEX(FlowCalConstB,MATCH(Z838,FlowCalNumber,0),1,1)&gt;INDEX(FlowCalLowSetting,MATCH(Z838,FlowCalNumber,0),1,1), (INDEX(FlowCalConstA,MATCH(Z838,FlowCalNumber,0),1,1)*AB853^INDEX(FlowCalConstB,MATCH(Z838,FlowCalNumber,0),1,1)&lt;INDEX(FlowCalHighSetting,MATCH(Z838,FlowCalNumber,0),1,1))),INDEX(FlowCalConstA,MATCH(Z838,FlowCalNumber,0),1,1)*AB853^INDEX(FlowCalConstB,MATCH(Z838,FlowCalNumber,0),1,1)," ")</f>
        <v>#REF!</v>
      </c>
      <c r="AD853" s="33"/>
      <c r="AE853" s="242">
        <f t="shared" si="802"/>
        <v>0.1</v>
      </c>
      <c r="AF853" s="241" t="e">
        <f t="shared" ca="1" si="803"/>
        <v>#REF!</v>
      </c>
      <c r="AG853" s="243" t="e">
        <f ca="1">IF(AND(INDEX(FlowCalConstA,MATCH(AD838,FlowCalNumber,0),1,1)*AF853^INDEX(FlowCalConstB,MATCH(AD838,FlowCalNumber,0),1,1)&gt;INDEX(FlowCalLowSetting,MATCH(AD838,FlowCalNumber,0),1,1), (INDEX(FlowCalConstA,MATCH(AD838,FlowCalNumber,0),1,1)*AF853^INDEX(FlowCalConstB,MATCH(AD838,FlowCalNumber,0),1,1)&lt;INDEX(FlowCalHighSetting,MATCH(AD838,FlowCalNumber,0),1,1))),INDEX(FlowCalConstA,MATCH(AD838,FlowCalNumber,0),1,1)*AF853^INDEX(FlowCalConstB,MATCH(AD838,FlowCalNumber,0),1,1)," ")</f>
        <v>#REF!</v>
      </c>
      <c r="AH853" s="33"/>
      <c r="AI853" s="242">
        <f t="shared" si="804"/>
        <v>0.9</v>
      </c>
      <c r="AJ853" s="241" t="e">
        <f t="shared" ca="1" si="805"/>
        <v>#REF!</v>
      </c>
      <c r="AK853" s="243" t="e">
        <f ca="1">IF(AND(INDEX(FlowCalConstA,MATCH(AH838,FlowCalNumber,0),1,1)*AJ853^INDEX(FlowCalConstB,MATCH(AH838,FlowCalNumber,0),1,1)&gt;INDEX(FlowCalLowSetting,MATCH(AH838,FlowCalNumber,0),1,1), (INDEX(FlowCalConstA,MATCH(AH838,FlowCalNumber,0),1,1)*AJ853^INDEX(FlowCalConstB,MATCH(AH838,FlowCalNumber,0),1,1)&lt;INDEX(FlowCalHighSetting,MATCH(AH838,FlowCalNumber,0),1,1))),INDEX(FlowCalConstA,MATCH(AH838,FlowCalNumber,0),1,1)*AJ853^INDEX(FlowCalConstB,MATCH(AH838,FlowCalNumber,0),1,1)," ")</f>
        <v>#REF!</v>
      </c>
      <c r="AL853" s="33"/>
      <c r="AM853" s="242"/>
      <c r="AN853" s="241"/>
      <c r="AO853" s="244"/>
      <c r="AQ853" s="242"/>
      <c r="AR853" s="241"/>
      <c r="AS853" s="244"/>
      <c r="AT853" s="33"/>
      <c r="AU853" s="242"/>
      <c r="AV853" s="241"/>
      <c r="AW853" s="244"/>
      <c r="AX853" s="33"/>
      <c r="AY853" s="242"/>
      <c r="AZ853" s="241"/>
      <c r="BA853" s="244"/>
      <c r="BB853" s="33"/>
      <c r="BC853" s="242"/>
      <c r="BD853" s="241"/>
      <c r="BE853" s="244"/>
      <c r="BF853" s="33"/>
      <c r="BG853" s="242"/>
      <c r="BH853" s="241"/>
      <c r="BI853" s="244"/>
      <c r="BJ853" s="33"/>
      <c r="BK853" s="242"/>
      <c r="BL853" s="241"/>
      <c r="BM853" s="244"/>
      <c r="BN853" s="33"/>
      <c r="BO853" s="242"/>
      <c r="BP853" s="241"/>
      <c r="BQ853" s="244"/>
      <c r="BR853" s="33"/>
      <c r="BS853" s="242"/>
      <c r="BT853" s="241"/>
      <c r="BU853" s="244"/>
      <c r="BV853" s="33"/>
      <c r="BW853" s="242"/>
      <c r="BX853" s="241"/>
      <c r="BY853" s="244"/>
      <c r="BZ853" s="33"/>
      <c r="CA853" s="242"/>
      <c r="CB853" s="241"/>
      <c r="CC853" s="244"/>
      <c r="CD853" s="243"/>
      <c r="CE853" s="243"/>
      <c r="CF853" s="243"/>
      <c r="CG853" s="243"/>
      <c r="CH853" s="243"/>
      <c r="CI853" s="243"/>
      <c r="CJ853" s="243"/>
      <c r="CK853" s="243"/>
      <c r="CL853" s="243"/>
      <c r="CM853" s="243"/>
      <c r="CN853" s="243"/>
      <c r="CO853" s="243"/>
      <c r="CP853" s="243"/>
      <c r="CQ853" s="243"/>
      <c r="CR853" s="243"/>
      <c r="CS853" s="243"/>
      <c r="CT853" s="243"/>
      <c r="CU853" s="243"/>
      <c r="CV853" s="243"/>
      <c r="CW853" s="243"/>
      <c r="CX853" s="243"/>
      <c r="CY853" s="243"/>
      <c r="CZ853" s="243"/>
      <c r="DA853" s="243"/>
      <c r="DB853" s="243"/>
      <c r="DC853" s="243"/>
      <c r="DD853" s="243"/>
      <c r="DE853" s="243"/>
      <c r="DF853" s="243"/>
      <c r="DG853" s="243"/>
      <c r="DH853" s="243"/>
      <c r="DI853" s="243"/>
      <c r="DJ853" s="243"/>
      <c r="DK853" s="243"/>
      <c r="DM853" s="242"/>
      <c r="DO853" s="243"/>
      <c r="DQ853" s="242"/>
      <c r="DS853" s="243"/>
      <c r="DU853" s="242"/>
      <c r="DW853" s="243"/>
      <c r="DY853" s="242"/>
      <c r="EA853" s="243"/>
    </row>
    <row r="854" spans="1:131">
      <c r="A854" s="33"/>
      <c r="B854" s="33"/>
      <c r="C854" s="235"/>
      <c r="E854" s="90"/>
      <c r="F854" s="90"/>
      <c r="G854" s="33"/>
      <c r="J854" s="33"/>
      <c r="N854" s="33"/>
      <c r="Q854" s="243"/>
      <c r="R854" s="33"/>
      <c r="U854" s="244"/>
      <c r="V854" s="33"/>
      <c r="Y854" s="243"/>
      <c r="Z854" s="33"/>
      <c r="AC854" s="243"/>
      <c r="AD854" s="33"/>
      <c r="AG854" s="243"/>
      <c r="AH854" s="33"/>
      <c r="AK854" s="244"/>
      <c r="AL854" s="792"/>
      <c r="AM854" s="243"/>
      <c r="AN854" s="243"/>
      <c r="AO854" s="244"/>
      <c r="AP854" s="243"/>
      <c r="AQ854" s="243"/>
      <c r="AR854" s="243"/>
      <c r="AS854" s="244"/>
      <c r="AT854" s="243"/>
      <c r="AU854" s="243"/>
      <c r="AV854" s="243"/>
      <c r="AW854" s="244"/>
      <c r="AX854" s="243"/>
      <c r="AY854" s="243"/>
      <c r="AZ854" s="243"/>
      <c r="BA854" s="244"/>
      <c r="BB854" s="33"/>
      <c r="BE854" s="244"/>
      <c r="BF854" s="33"/>
      <c r="BI854" s="244"/>
      <c r="BJ854" s="33"/>
      <c r="BM854" s="244"/>
      <c r="BN854" s="243"/>
      <c r="BO854" s="243"/>
      <c r="BP854" s="243"/>
      <c r="BQ854" s="244"/>
      <c r="BR854" s="792"/>
      <c r="BS854" s="243"/>
      <c r="BT854" s="243"/>
      <c r="BU854" s="244"/>
      <c r="BV854" s="792"/>
      <c r="BW854" s="243"/>
      <c r="BX854" s="243"/>
      <c r="BY854" s="244"/>
      <c r="BZ854" s="792"/>
      <c r="CA854" s="243"/>
      <c r="CB854" s="243"/>
      <c r="CC854" s="244"/>
      <c r="CD854" s="243"/>
      <c r="CE854" s="243"/>
      <c r="CF854" s="243"/>
      <c r="CG854" s="243"/>
      <c r="CH854" s="243"/>
      <c r="CI854" s="243"/>
      <c r="CJ854" s="243"/>
      <c r="CK854" s="243"/>
      <c r="CL854" s="243"/>
      <c r="CM854" s="243"/>
      <c r="CN854" s="243"/>
      <c r="CO854" s="243"/>
      <c r="CP854" s="243"/>
      <c r="CQ854" s="243"/>
      <c r="CR854" s="243"/>
      <c r="CS854" s="243"/>
      <c r="CT854" s="243"/>
      <c r="CU854" s="243"/>
      <c r="CV854" s="243"/>
      <c r="CW854" s="243"/>
      <c r="CX854" s="243"/>
      <c r="CY854" s="243"/>
      <c r="CZ854" s="243"/>
      <c r="DA854" s="243"/>
      <c r="DB854" s="243"/>
      <c r="DC854" s="243"/>
      <c r="DD854" s="243"/>
      <c r="DE854" s="243"/>
      <c r="DF854" s="243"/>
      <c r="DG854" s="243"/>
      <c r="DH854" s="243"/>
      <c r="DI854" s="243"/>
      <c r="DJ854" s="243"/>
      <c r="DK854" s="243"/>
      <c r="DO854" s="243"/>
      <c r="DS854" s="243"/>
      <c r="DW854" s="243"/>
      <c r="EA854" s="243"/>
    </row>
    <row r="855" spans="1:131">
      <c r="A855" s="256" t="str">
        <f>IF((RIGHT(A838,1))&lt;&gt;"Z",CHAR(CODE(A838))&amp;CHAR(CODE(RIGHT(A838,1))+1),CHAR(CODE(A838)+1)&amp;"A")</f>
        <v>BX</v>
      </c>
      <c r="B855" s="270" t="e">
        <f>INDEX(SourceID,MATCH($A855,SourceNumber,0),1,1)</f>
        <v>#N/A</v>
      </c>
      <c r="C855" s="354" t="e">
        <f>INDEX(SourceExitDiameter,MATCH($A855,SourceNumber,0),1,1)*3.28*12</f>
        <v>#N/A</v>
      </c>
      <c r="D855" s="24" t="str">
        <f>UAnem1percent</f>
        <v>1% Wind</v>
      </c>
      <c r="E855" s="350" t="e">
        <f ca="1">INDIRECT(ADDRESS(53,6,1,,CONCATENATE("TA",$A855)))</f>
        <v>#REF!</v>
      </c>
      <c r="F855" s="625" t="e">
        <f ca="1">(ROUND((INDIRECT(ADDRESS(15,7,1,,CONCATENATE("TA",$A855)))*3.28*12*32),0)&amp;"/32")</f>
        <v>#REF!</v>
      </c>
      <c r="G855" s="125" t="e">
        <f ca="1">INDIRECT(ADDRESS(29,7,1,,$A855))</f>
        <v>#REF!</v>
      </c>
      <c r="H855" s="24" t="e">
        <f ca="1">INDIRECT(ADDRESS(19,7,1,,$A855))*100^3</f>
        <v>#REF!</v>
      </c>
      <c r="I855" s="941" t="e">
        <f ca="1">INDIRECT(ADDRESS(53,7,1,,$A855))</f>
        <v>#REF!</v>
      </c>
      <c r="J855" s="20" t="e">
        <f ca="1">IF($I855=$I$6,K$16&amp;$G$6&amp;J$6,IF($I855=$I$7,K$16&amp;$G$7&amp;J$7,"Bad"))</f>
        <v>#REF!</v>
      </c>
      <c r="K855" t="e">
        <f ca="1">INDEX(FlowCalGasMixture,MATCH(J855,FlowCalNumber,0),1,1)</f>
        <v>#REF!</v>
      </c>
      <c r="M855" s="944" t="e">
        <f ca="1">INDEX(FlowCalDevice,MATCH(J855,FlowCalNumber,0),1,1)</f>
        <v>#REF!</v>
      </c>
      <c r="N855" s="943" t="e">
        <f ca="1">IF($I855=$I$6,O$16&amp;$G$6&amp;"90"&amp;$H$6&amp;N$6,IF($I855=$I$7,O$16&amp;$G$7&amp;"90"&amp;$H$7&amp;N$7,"Bad"))</f>
        <v>#REF!</v>
      </c>
      <c r="O855" t="e">
        <f ca="1">INDEX(FlowCalGasMixture,MATCH(N855,FlowCalNumber,0),1,1)</f>
        <v>#REF!</v>
      </c>
      <c r="Q855" s="944" t="e">
        <f ca="1">INDEX(FlowCalDevice,MATCH(N855,FlowCalNumber,0),1,1)</f>
        <v>#REF!</v>
      </c>
      <c r="R855" s="943" t="e">
        <f ca="1">IF($I855=$I$6,S$16&amp;$G$6&amp;"90"&amp;$H$6&amp;R$6,IF($I855=$I$7,S$16&amp;$G$7&amp;"90"&amp;$H$7&amp;R$7,"Bad"))</f>
        <v>#REF!</v>
      </c>
      <c r="S855" t="e">
        <f ca="1">INDEX(FlowCalGasMixture,MATCH(R855,FlowCalNumber,0),1,1)</f>
        <v>#REF!</v>
      </c>
      <c r="U855" s="944" t="e">
        <f ca="1">INDEX(FlowCalDevice,MATCH(R855,FlowCalNumber,0),1,1)</f>
        <v>#REF!</v>
      </c>
      <c r="V855" s="20" t="e">
        <f ca="1">IF($I855=$I$6,W$16&amp;$G$6&amp;V$6,IF($I855=$I$7,W$16&amp;$G$7&amp;V$7,"Bad"))</f>
        <v>#REF!</v>
      </c>
      <c r="W855" t="e">
        <f ca="1">INDEX(FlowCalGasMixture,MATCH(V855,FlowCalNumber,0),1,1)</f>
        <v>#REF!</v>
      </c>
      <c r="Y855" s="944" t="e">
        <f ca="1">INDEX(FlowCalDevice,MATCH(V855,FlowCalNumber,0),1,1)</f>
        <v>#REF!</v>
      </c>
      <c r="Z855" s="946" t="e">
        <f ca="1">IF($I855=$I$6,AA$18&amp;$H$6&amp;Z$6,IF($I855=$I$7,AA$18&amp;$H$7&amp;Z$7,"Bad"))</f>
        <v>#REF!</v>
      </c>
      <c r="AA855" t="e">
        <f ca="1">INDEX(FlowCalGasMixture,MATCH(Z855,FlowCalNumber,0),1,1)</f>
        <v>#REF!</v>
      </c>
      <c r="AC855" s="944" t="e">
        <f ca="1">INDEX(FlowCalDevice,MATCH(Z855,FlowCalNumber,0),1,1)</f>
        <v>#REF!</v>
      </c>
      <c r="AD855" s="20" t="e">
        <f ca="1">IF($I855=$I$6,AE$16&amp;$G$6&amp;AD$6,IF($I855=$I$7,AE$16&amp;$G$7&amp;AD$7,"Bad"))</f>
        <v>#REF!</v>
      </c>
      <c r="AE855" t="e">
        <f ca="1">INDEX(FlowCalGasMixture,MATCH(AD855,FlowCalNumber,0),1,1)</f>
        <v>#REF!</v>
      </c>
      <c r="AG855" s="944" t="e">
        <f ca="1">INDEX(FlowCalDevice,MATCH(AD855,FlowCalNumber,0),1,1)</f>
        <v>#REF!</v>
      </c>
      <c r="AH855" s="946" t="e">
        <f ca="1">IF($I855=$I$6,AI$18&amp;$H$6&amp;AH$6,IF($I855=$I$7,AI$18&amp;$H$7&amp;AH$7,"Bad"))</f>
        <v>#REF!</v>
      </c>
      <c r="AI855" t="e">
        <f ca="1">INDEX(FlowCalGasMixture,MATCH(AH855,FlowCalNumber,0),1,1)</f>
        <v>#REF!</v>
      </c>
      <c r="AK855" s="944" t="e">
        <f ca="1">INDEX(FlowCalDevice,MATCH(AH855,FlowCalNumber,0),1,1)</f>
        <v>#REF!</v>
      </c>
      <c r="AL855" s="20"/>
      <c r="AO855" s="982"/>
      <c r="AP855" s="960"/>
      <c r="AS855" s="982"/>
      <c r="AT855" s="20"/>
      <c r="AW855" s="982"/>
      <c r="AX855" s="946"/>
      <c r="BA855" s="982"/>
      <c r="BB855" s="20"/>
      <c r="BC855" s="16"/>
      <c r="BE855" s="982"/>
      <c r="BF855" s="946"/>
      <c r="BG855" s="16"/>
      <c r="BI855" s="982"/>
      <c r="BJ855" s="946"/>
      <c r="BK855" s="16"/>
      <c r="BM855" s="982"/>
      <c r="BN855" s="20"/>
      <c r="BO855" s="16"/>
      <c r="BQ855" s="982"/>
      <c r="BR855" s="946"/>
      <c r="BS855" s="16"/>
      <c r="BU855" s="982"/>
      <c r="BV855" s="946"/>
      <c r="BW855" s="16"/>
      <c r="BY855" s="982"/>
      <c r="BZ855" s="946"/>
      <c r="CA855" s="16"/>
      <c r="CC855" s="982"/>
      <c r="CD855" s="355"/>
      <c r="CE855" s="355"/>
      <c r="CF855" s="355"/>
      <c r="CG855" s="355"/>
      <c r="CH855" s="355"/>
      <c r="CI855" s="355"/>
      <c r="CJ855" s="355"/>
      <c r="CK855" s="355"/>
      <c r="CL855" s="355"/>
      <c r="CM855" s="355"/>
      <c r="CN855" s="355"/>
      <c r="CO855" s="355"/>
      <c r="CP855" s="355"/>
      <c r="CQ855" s="355"/>
      <c r="CR855" s="355"/>
      <c r="CS855" s="355"/>
      <c r="CT855" s="355"/>
      <c r="CU855" s="355"/>
      <c r="CV855" s="355"/>
      <c r="CW855" s="355"/>
      <c r="CX855" s="355"/>
      <c r="CY855" s="355"/>
      <c r="CZ855" s="355"/>
      <c r="DA855" s="355"/>
      <c r="DB855" s="355"/>
      <c r="DC855" s="355"/>
      <c r="DD855" s="355"/>
      <c r="DE855" s="355"/>
      <c r="DF855" s="355"/>
      <c r="DG855" s="355"/>
      <c r="DH855" s="355"/>
      <c r="DI855" s="355"/>
      <c r="DJ855" s="355"/>
      <c r="DK855" s="355"/>
      <c r="DL855" s="46"/>
      <c r="DM855" s="16"/>
      <c r="DO855" s="355"/>
      <c r="DP855" s="42"/>
      <c r="DQ855" s="16"/>
      <c r="DS855" s="355"/>
      <c r="DT855" s="42"/>
      <c r="DU855" s="16"/>
      <c r="DW855" s="355"/>
      <c r="DX855" s="42"/>
      <c r="DY855" s="16"/>
      <c r="EA855" s="355"/>
    </row>
    <row r="856" spans="1:131">
      <c r="A856" s="20"/>
      <c r="B856" s="124" t="str">
        <f t="shared" ref="B856:B870" si="806">IF(D856=UAnem1percent,"1% Wind","")</f>
        <v/>
      </c>
      <c r="C856" s="235"/>
      <c r="D856" s="24">
        <f>'1% Wind'!$M$82</f>
        <v>27</v>
      </c>
      <c r="E856" s="90"/>
      <c r="F856" s="90"/>
      <c r="G856" s="79" t="e">
        <f ca="1">IF(I855=0.9743,$G855,MAX(G855/D855*D856,2))</f>
        <v>#REF!</v>
      </c>
      <c r="H856" s="121" t="e">
        <f t="shared" ref="H856:H870" ca="1" si="807">H855*(D855/D856)*(G856/G855)</f>
        <v>#REF!</v>
      </c>
      <c r="J856" s="33"/>
      <c r="K856" s="260">
        <f>K$17/100</f>
        <v>1</v>
      </c>
      <c r="L856" s="241" t="e">
        <f ca="1">K856*$H856</f>
        <v>#REF!</v>
      </c>
      <c r="M856" s="243" t="e">
        <f ca="1">IF(AND(INDEX(FlowCalConstA,MATCH(J855,FlowCalNumber,0),1,1)*L856^INDEX(FlowCalConstB,MATCH(J855,FlowCalNumber,0),1,1)&gt;INDEX(FlowCalLowSetting,MATCH(J855,FlowCalNumber,0),1,1), (INDEX(FlowCalConstA,MATCH(J855,FlowCalNumber,0),1,1)*L856^INDEX(FlowCalConstB,MATCH(J855,FlowCalNumber,0),1,1)&lt;INDEX(FlowCalHighSetting,MATCH(J855,FlowCalNumber,0),1,1))),INDEX(FlowCalConstA,MATCH(J855,FlowCalNumber,0),1,1)*L856^INDEX(FlowCalConstB,MATCH(J855,FlowCalNumber,0),1,1)," ")</f>
        <v>#REF!</v>
      </c>
      <c r="N856" s="33"/>
      <c r="O856" s="260">
        <f>O$17/100</f>
        <v>1</v>
      </c>
      <c r="P856" s="241" t="e">
        <f ca="1">O856*$H856</f>
        <v>#REF!</v>
      </c>
      <c r="Q856" s="243" t="e">
        <f ca="1">IF(AND(INDEX(FlowCalConstA,MATCH(N855,FlowCalNumber,0),1,1)*P856^INDEX(FlowCalConstB,MATCH(N855,FlowCalNumber,0),1,1)&gt;INDEX(FlowCalLowSetting,MATCH(N855,FlowCalNumber,0),1,1), (INDEX(FlowCalConstA,MATCH(N855,FlowCalNumber,0),1,1)*P856^INDEX(FlowCalConstB,MATCH(N855,FlowCalNumber,0),1,1)&lt;INDEX(FlowCalHighSetting,MATCH(N855,FlowCalNumber,0),1,1))),INDEX(FlowCalConstA,MATCH(N855,FlowCalNumber,0),1,1)*P856^INDEX(FlowCalConstB,MATCH(N855,FlowCalNumber,0),1,1)," ")</f>
        <v>#REF!</v>
      </c>
      <c r="R856" s="33"/>
      <c r="S856" s="260">
        <f>S$17/100</f>
        <v>1</v>
      </c>
      <c r="T856" s="241" t="e">
        <f ca="1">S856*$H856</f>
        <v>#REF!</v>
      </c>
      <c r="U856" s="244" t="e">
        <f ca="1">IF(AND(INDEX(FlowCalConstA,MATCH(R855,FlowCalNumber,0),1,1)*T856^INDEX(FlowCalConstB,MATCH(R855,FlowCalNumber,0),1,1)&gt;INDEX(FlowCalLowSetting,MATCH(R855,FlowCalNumber,0),1,1), (INDEX(FlowCalConstA,MATCH(R855,FlowCalNumber,0),1,1)*T856^INDEX(FlowCalConstB,MATCH(R855,FlowCalNumber,0),1,1)&lt;INDEX(FlowCalHighSetting,MATCH(R855,FlowCalNumber,0),1,1))),INDEX(FlowCalConstA,MATCH(R855,FlowCalNumber,0),1,1)*T856^INDEX(FlowCalConstB,MATCH(R855,FlowCalNumber,0),1,1)," ")</f>
        <v>#REF!</v>
      </c>
      <c r="V856" s="33"/>
      <c r="W856" s="260">
        <f>W$17/100</f>
        <v>0.1</v>
      </c>
      <c r="X856" s="241" t="e">
        <f ca="1">W856*$H856</f>
        <v>#REF!</v>
      </c>
      <c r="Y856" s="243" t="e">
        <f ca="1">IF(AND(INDEX(FlowCalConstA,MATCH(V855,FlowCalNumber,0),1,1)*X856^INDEX(FlowCalConstB,MATCH(V855,FlowCalNumber,0),1,1)&gt;INDEX(FlowCalLowSetting,MATCH(V855,FlowCalNumber,0),1,1), (INDEX(FlowCalConstA,MATCH(V855,FlowCalNumber,0),1,1)*X856^INDEX(FlowCalConstB,MATCH(V855,FlowCalNumber,0),1,1)&lt;INDEX(FlowCalHighSetting,MATCH(V855,FlowCalNumber,0),1,1))),INDEX(FlowCalConstA,MATCH(V855,FlowCalNumber,0),1,1)*X856^INDEX(FlowCalConstB,MATCH(V855,FlowCalNumber,0),1,1)," ")</f>
        <v>#REF!</v>
      </c>
      <c r="Z856" s="33"/>
      <c r="AA856" s="260">
        <f>AA$17/100</f>
        <v>0.9</v>
      </c>
      <c r="AB856" s="241" t="e">
        <f ca="1">AA856*$H856</f>
        <v>#REF!</v>
      </c>
      <c r="AC856" s="243" t="e">
        <f ca="1">IF(AND(INDEX(FlowCalConstA,MATCH(Z855,FlowCalNumber,0),1,1)*AB856^INDEX(FlowCalConstB,MATCH(Z855,FlowCalNumber,0),1,1)&gt;INDEX(FlowCalLowSetting,MATCH(Z855,FlowCalNumber,0),1,1), (INDEX(FlowCalConstA,MATCH(Z855,FlowCalNumber,0),1,1)*AB856^INDEX(FlowCalConstB,MATCH(Z855,FlowCalNumber,0),1,1)&lt;INDEX(FlowCalHighSetting,MATCH(Z855,FlowCalNumber,0),1,1))),INDEX(FlowCalConstA,MATCH(Z855,FlowCalNumber,0),1,1)*AB856^INDEX(FlowCalConstB,MATCH(Z855,FlowCalNumber,0),1,1)," ")</f>
        <v>#REF!</v>
      </c>
      <c r="AD856" s="33"/>
      <c r="AE856" s="260">
        <f>AE$17/100</f>
        <v>0.1</v>
      </c>
      <c r="AF856" s="241" t="e">
        <f ca="1">AE856*$H856</f>
        <v>#REF!</v>
      </c>
      <c r="AG856" s="243" t="e">
        <f ca="1">IF(AND(INDEX(FlowCalConstA,MATCH(AD855,FlowCalNumber,0),1,1)*AF856^INDEX(FlowCalConstB,MATCH(AD855,FlowCalNumber,0),1,1)&gt;INDEX(FlowCalLowSetting,MATCH(AD855,FlowCalNumber,0),1,1), (INDEX(FlowCalConstA,MATCH(AD855,FlowCalNumber,0),1,1)*AF856^INDEX(FlowCalConstB,MATCH(AD855,FlowCalNumber,0),1,1)&lt;INDEX(FlowCalHighSetting,MATCH(AD855,FlowCalNumber,0),1,1))),INDEX(FlowCalConstA,MATCH(AD855,FlowCalNumber,0),1,1)*AF856^INDEX(FlowCalConstB,MATCH(AD855,FlowCalNumber,0),1,1)," ")</f>
        <v>#REF!</v>
      </c>
      <c r="AH856" s="33"/>
      <c r="AI856" s="260">
        <f>AI$17/100</f>
        <v>0.9</v>
      </c>
      <c r="AJ856" s="241" t="e">
        <f ca="1">AI856*$H856</f>
        <v>#REF!</v>
      </c>
      <c r="AK856" s="243" t="e">
        <f ca="1">IF(AND(INDEX(FlowCalConstA,MATCH(AH855,FlowCalNumber,0),1,1)*AJ856^INDEX(FlowCalConstB,MATCH(AH855,FlowCalNumber,0),1,1)&gt;INDEX(FlowCalLowSetting,MATCH(AH855,FlowCalNumber,0),1,1), (INDEX(FlowCalConstA,MATCH(AH855,FlowCalNumber,0),1,1)*AJ856^INDEX(FlowCalConstB,MATCH(AH855,FlowCalNumber,0),1,1)&lt;INDEX(FlowCalHighSetting,MATCH(AH855,FlowCalNumber,0),1,1))),INDEX(FlowCalConstA,MATCH(AH855,FlowCalNumber,0),1,1)*AJ856^INDEX(FlowCalConstB,MATCH(AH855,FlowCalNumber,0),1,1)," ")</f>
        <v>#REF!</v>
      </c>
      <c r="AL856" s="33"/>
      <c r="AM856" s="260"/>
      <c r="AN856" s="241"/>
      <c r="AO856" s="244"/>
      <c r="AQ856" s="260"/>
      <c r="AR856" s="241"/>
      <c r="AS856" s="244"/>
      <c r="AT856" s="33"/>
      <c r="AU856" s="260"/>
      <c r="AV856" s="241"/>
      <c r="AW856" s="244"/>
      <c r="AX856" s="33"/>
      <c r="AY856" s="260"/>
      <c r="AZ856" s="241"/>
      <c r="BA856" s="244"/>
      <c r="BB856" s="33"/>
      <c r="BC856" s="260"/>
      <c r="BD856" s="241"/>
      <c r="BE856" s="244"/>
      <c r="BF856" s="33"/>
      <c r="BG856" s="260"/>
      <c r="BH856" s="241"/>
      <c r="BI856" s="244"/>
      <c r="BJ856" s="33"/>
      <c r="BK856" s="260"/>
      <c r="BL856" s="241"/>
      <c r="BM856" s="244"/>
      <c r="BN856" s="33"/>
      <c r="BO856" s="260"/>
      <c r="BP856" s="241"/>
      <c r="BQ856" s="244"/>
      <c r="BR856" s="33"/>
      <c r="BS856" s="260"/>
      <c r="BT856" s="241"/>
      <c r="BU856" s="244"/>
      <c r="BV856" s="33"/>
      <c r="BW856" s="260"/>
      <c r="BX856" s="241"/>
      <c r="BY856" s="244"/>
      <c r="BZ856" s="33"/>
      <c r="CA856" s="260"/>
      <c r="CB856" s="241"/>
      <c r="CC856" s="244"/>
      <c r="CD856" s="243"/>
      <c r="CE856" s="243"/>
      <c r="CF856" s="243"/>
      <c r="CG856" s="243"/>
      <c r="CH856" s="243"/>
      <c r="CI856" s="243"/>
      <c r="CJ856" s="243"/>
      <c r="CK856" s="243"/>
      <c r="CL856" s="243"/>
      <c r="CM856" s="243"/>
      <c r="CN856" s="243"/>
      <c r="CO856" s="243"/>
      <c r="CP856" s="243"/>
      <c r="CQ856" s="243"/>
      <c r="CR856" s="243"/>
      <c r="CS856" s="243"/>
      <c r="CT856" s="243"/>
      <c r="CU856" s="243"/>
      <c r="CV856" s="243"/>
      <c r="CW856" s="243"/>
      <c r="CX856" s="243"/>
      <c r="CY856" s="243"/>
      <c r="CZ856" s="243"/>
      <c r="DA856" s="243"/>
      <c r="DB856" s="243"/>
      <c r="DC856" s="243"/>
      <c r="DD856" s="243"/>
      <c r="DE856" s="243"/>
      <c r="DF856" s="243"/>
      <c r="DG856" s="243"/>
      <c r="DH856" s="243"/>
      <c r="DI856" s="243"/>
      <c r="DJ856" s="243"/>
      <c r="DK856" s="243"/>
      <c r="DM856" s="259"/>
      <c r="DO856" s="243"/>
      <c r="DQ856" s="259"/>
      <c r="DS856" s="243"/>
      <c r="DU856" s="259"/>
      <c r="DW856" s="243"/>
      <c r="DY856" s="260"/>
      <c r="EA856" s="243"/>
    </row>
    <row r="857" spans="1:131">
      <c r="A857" s="20"/>
      <c r="B857" s="124" t="str">
        <f t="shared" si="806"/>
        <v/>
      </c>
      <c r="C857" s="235"/>
      <c r="D857" s="24">
        <f>'1% Wind'!$M$83</f>
        <v>23.5</v>
      </c>
      <c r="E857" s="90"/>
      <c r="F857" s="90"/>
      <c r="G857" s="79" t="e">
        <f ca="1">IF(I855=0.9743,$G856,MAX(G856/D856*D857,2))</f>
        <v>#REF!</v>
      </c>
      <c r="H857" s="121" t="e">
        <f t="shared" ca="1" si="807"/>
        <v>#REF!</v>
      </c>
      <c r="J857" s="33"/>
      <c r="K857" s="242">
        <f t="shared" ref="K857:K870" si="808">K856</f>
        <v>1</v>
      </c>
      <c r="L857" s="241" t="e">
        <f t="shared" ref="L857:L870" ca="1" si="809">K857*$H857</f>
        <v>#REF!</v>
      </c>
      <c r="M857" s="243" t="e">
        <f ca="1">IF(AND(INDEX(FlowCalConstA,MATCH(J855,FlowCalNumber,0),1,1)*L857^INDEX(FlowCalConstB,MATCH(J855,FlowCalNumber,0),1,1)&gt;INDEX(FlowCalLowSetting,MATCH(J855,FlowCalNumber,0),1,1), (INDEX(FlowCalConstA,MATCH(J855,FlowCalNumber,0),1,1)*L857^INDEX(FlowCalConstB,MATCH(J855,FlowCalNumber,0),1,1)&lt;INDEX(FlowCalHighSetting,MATCH(J855,FlowCalNumber,0),1,1))),INDEX(FlowCalConstA,MATCH(J855,FlowCalNumber,0),1,1)*L857^INDEX(FlowCalConstB,MATCH(J855,FlowCalNumber,0),1,1)," ")</f>
        <v>#REF!</v>
      </c>
      <c r="N857" s="33"/>
      <c r="O857" s="242">
        <f t="shared" ref="O857:O870" si="810">O856</f>
        <v>1</v>
      </c>
      <c r="P857" s="241" t="e">
        <f t="shared" ref="P857:P870" ca="1" si="811">O857*$H857</f>
        <v>#REF!</v>
      </c>
      <c r="Q857" s="243" t="e">
        <f ca="1">IF(AND(INDEX(FlowCalConstA,MATCH(N855,FlowCalNumber,0),1,1)*P857^INDEX(FlowCalConstB,MATCH(N855,FlowCalNumber,0),1,1)&gt;INDEX(FlowCalLowSetting,MATCH(N855,FlowCalNumber,0),1,1), (INDEX(FlowCalConstA,MATCH(N855,FlowCalNumber,0),1,1)*P857^INDEX(FlowCalConstB,MATCH(N855,FlowCalNumber,0),1,1)&lt;INDEX(FlowCalHighSetting,MATCH(N855,FlowCalNumber,0),1,1))),INDEX(FlowCalConstA,MATCH(N855,FlowCalNumber,0),1,1)*P857^INDEX(FlowCalConstB,MATCH(N855,FlowCalNumber,0),1,1)," ")</f>
        <v>#REF!</v>
      </c>
      <c r="R857" s="33"/>
      <c r="S857" s="242">
        <f t="shared" ref="S857:S870" si="812">S856</f>
        <v>1</v>
      </c>
      <c r="T857" s="241" t="e">
        <f t="shared" ref="T857:T870" ca="1" si="813">S857*$H857</f>
        <v>#REF!</v>
      </c>
      <c r="U857" s="244" t="e">
        <f ca="1">IF(AND(INDEX(FlowCalConstA,MATCH(R855,FlowCalNumber,0),1,1)*T857^INDEX(FlowCalConstB,MATCH(R855,FlowCalNumber,0),1,1)&gt;INDEX(FlowCalLowSetting,MATCH(R855,FlowCalNumber,0),1,1), (INDEX(FlowCalConstA,MATCH(R855,FlowCalNumber,0),1,1)*T857^INDEX(FlowCalConstB,MATCH(R855,FlowCalNumber,0),1,1)&lt;INDEX(FlowCalHighSetting,MATCH(R855,FlowCalNumber,0),1,1))),INDEX(FlowCalConstA,MATCH(R855,FlowCalNumber,0),1,1)*T857^INDEX(FlowCalConstB,MATCH(R855,FlowCalNumber,0),1,1)," ")</f>
        <v>#REF!</v>
      </c>
      <c r="V857" s="33"/>
      <c r="W857" s="242">
        <f t="shared" ref="W857:W870" si="814">W856</f>
        <v>0.1</v>
      </c>
      <c r="X857" s="241" t="e">
        <f t="shared" ref="X857:X870" ca="1" si="815">W857*$H857</f>
        <v>#REF!</v>
      </c>
      <c r="Y857" s="243" t="e">
        <f ca="1">IF(AND(INDEX(FlowCalConstA,MATCH(V855,FlowCalNumber,0),1,1)*X857^INDEX(FlowCalConstB,MATCH(V855,FlowCalNumber,0),1,1)&gt;INDEX(FlowCalLowSetting,MATCH(V855,FlowCalNumber,0),1,1), (INDEX(FlowCalConstA,MATCH(V855,FlowCalNumber,0),1,1)*X857^INDEX(FlowCalConstB,MATCH(V855,FlowCalNumber,0),1,1)&lt;INDEX(FlowCalHighSetting,MATCH(V855,FlowCalNumber,0),1,1))),INDEX(FlowCalConstA,MATCH(V855,FlowCalNumber,0),1,1)*X857^INDEX(FlowCalConstB,MATCH(V855,FlowCalNumber,0),1,1)," ")</f>
        <v>#REF!</v>
      </c>
      <c r="Z857" s="33"/>
      <c r="AA857" s="242">
        <f t="shared" ref="AA857:AA870" si="816">AA856</f>
        <v>0.9</v>
      </c>
      <c r="AB857" s="241" t="e">
        <f t="shared" ref="AB857:AB870" ca="1" si="817">AA857*$H857</f>
        <v>#REF!</v>
      </c>
      <c r="AC857" s="243" t="e">
        <f ca="1">IF(AND(INDEX(FlowCalConstA,MATCH(Z855,FlowCalNumber,0),1,1)*AB857^INDEX(FlowCalConstB,MATCH(Z855,FlowCalNumber,0),1,1)&gt;INDEX(FlowCalLowSetting,MATCH(Z855,FlowCalNumber,0),1,1), (INDEX(FlowCalConstA,MATCH(Z855,FlowCalNumber,0),1,1)*AB857^INDEX(FlowCalConstB,MATCH(Z855,FlowCalNumber,0),1,1)&lt;INDEX(FlowCalHighSetting,MATCH(Z855,FlowCalNumber,0),1,1))),INDEX(FlowCalConstA,MATCH(Z855,FlowCalNumber,0),1,1)*AB857^INDEX(FlowCalConstB,MATCH(Z855,FlowCalNumber,0),1,1)," ")</f>
        <v>#REF!</v>
      </c>
      <c r="AD857" s="33"/>
      <c r="AE857" s="242">
        <f t="shared" ref="AE857:AE870" si="818">AE856</f>
        <v>0.1</v>
      </c>
      <c r="AF857" s="241" t="e">
        <f t="shared" ref="AF857:AF870" ca="1" si="819">AE857*$H857</f>
        <v>#REF!</v>
      </c>
      <c r="AG857" s="243" t="e">
        <f ca="1">IF(AND(INDEX(FlowCalConstA,MATCH(AD855,FlowCalNumber,0),1,1)*AF857^INDEX(FlowCalConstB,MATCH(AD855,FlowCalNumber,0),1,1)&gt;INDEX(FlowCalLowSetting,MATCH(AD855,FlowCalNumber,0),1,1), (INDEX(FlowCalConstA,MATCH(AD855,FlowCalNumber,0),1,1)*AF857^INDEX(FlowCalConstB,MATCH(AD855,FlowCalNumber,0),1,1)&lt;INDEX(FlowCalHighSetting,MATCH(AD855,FlowCalNumber,0),1,1))),INDEX(FlowCalConstA,MATCH(AD855,FlowCalNumber,0),1,1)*AF857^INDEX(FlowCalConstB,MATCH(AD855,FlowCalNumber,0),1,1)," ")</f>
        <v>#REF!</v>
      </c>
      <c r="AH857" s="33"/>
      <c r="AI857" s="242">
        <f t="shared" ref="AI857:AI870" si="820">AI856</f>
        <v>0.9</v>
      </c>
      <c r="AJ857" s="241" t="e">
        <f t="shared" ref="AJ857:AJ870" ca="1" si="821">AI857*$H857</f>
        <v>#REF!</v>
      </c>
      <c r="AK857" s="243" t="e">
        <f ca="1">IF(AND(INDEX(FlowCalConstA,MATCH(AH855,FlowCalNumber,0),1,1)*AJ857^INDEX(FlowCalConstB,MATCH(AH855,FlowCalNumber,0),1,1)&gt;INDEX(FlowCalLowSetting,MATCH(AH855,FlowCalNumber,0),1,1), (INDEX(FlowCalConstA,MATCH(AH855,FlowCalNumber,0),1,1)*AJ857^INDEX(FlowCalConstB,MATCH(AH855,FlowCalNumber,0),1,1)&lt;INDEX(FlowCalHighSetting,MATCH(AH855,FlowCalNumber,0),1,1))),INDEX(FlowCalConstA,MATCH(AH855,FlowCalNumber,0),1,1)*AJ857^INDEX(FlowCalConstB,MATCH(AH855,FlowCalNumber,0),1,1)," ")</f>
        <v>#REF!</v>
      </c>
      <c r="AL857" s="33"/>
      <c r="AM857" s="242"/>
      <c r="AN857" s="241"/>
      <c r="AO857" s="244"/>
      <c r="AQ857" s="242"/>
      <c r="AR857" s="241"/>
      <c r="AS857" s="244"/>
      <c r="AT857" s="33"/>
      <c r="AU857" s="242"/>
      <c r="AV857" s="241"/>
      <c r="AW857" s="244"/>
      <c r="AX857" s="33"/>
      <c r="AY857" s="242"/>
      <c r="AZ857" s="241"/>
      <c r="BA857" s="244"/>
      <c r="BB857" s="33"/>
      <c r="BC857" s="242"/>
      <c r="BD857" s="241"/>
      <c r="BE857" s="244"/>
      <c r="BF857" s="33"/>
      <c r="BG857" s="242"/>
      <c r="BH857" s="241"/>
      <c r="BI857" s="244"/>
      <c r="BJ857" s="33"/>
      <c r="BK857" s="242"/>
      <c r="BL857" s="241"/>
      <c r="BM857" s="244"/>
      <c r="BN857" s="33"/>
      <c r="BO857" s="242"/>
      <c r="BP857" s="241"/>
      <c r="BQ857" s="244"/>
      <c r="BR857" s="33"/>
      <c r="BS857" s="242"/>
      <c r="BT857" s="241"/>
      <c r="BU857" s="244"/>
      <c r="BV857" s="33"/>
      <c r="BW857" s="242"/>
      <c r="BX857" s="241"/>
      <c r="BY857" s="244"/>
      <c r="BZ857" s="33"/>
      <c r="CA857" s="242"/>
      <c r="CB857" s="241"/>
      <c r="CC857" s="244"/>
      <c r="CD857" s="243"/>
      <c r="CE857" s="243"/>
      <c r="CF857" s="243"/>
      <c r="CG857" s="243"/>
      <c r="CH857" s="243"/>
      <c r="CI857" s="243"/>
      <c r="CJ857" s="243"/>
      <c r="CK857" s="243"/>
      <c r="CL857" s="243"/>
      <c r="CM857" s="243"/>
      <c r="CN857" s="243"/>
      <c r="CO857" s="243"/>
      <c r="CP857" s="243"/>
      <c r="CQ857" s="243"/>
      <c r="CR857" s="243"/>
      <c r="CS857" s="243"/>
      <c r="CT857" s="243"/>
      <c r="CU857" s="243"/>
      <c r="CV857" s="243"/>
      <c r="CW857" s="243"/>
      <c r="CX857" s="243"/>
      <c r="CY857" s="243"/>
      <c r="CZ857" s="243"/>
      <c r="DA857" s="243"/>
      <c r="DB857" s="243"/>
      <c r="DC857" s="243"/>
      <c r="DD857" s="243"/>
      <c r="DE857" s="243"/>
      <c r="DF857" s="243"/>
      <c r="DG857" s="243"/>
      <c r="DH857" s="243"/>
      <c r="DI857" s="243"/>
      <c r="DJ857" s="243"/>
      <c r="DK857" s="243"/>
      <c r="DM857" s="242"/>
      <c r="DO857" s="243"/>
      <c r="DQ857" s="242"/>
      <c r="DS857" s="243"/>
      <c r="DU857" s="242"/>
      <c r="DW857" s="243"/>
      <c r="DY857" s="242"/>
      <c r="EA857" s="243"/>
    </row>
    <row r="858" spans="1:131">
      <c r="A858" s="20"/>
      <c r="B858" s="124" t="str">
        <f t="shared" si="806"/>
        <v/>
      </c>
      <c r="C858" s="235"/>
      <c r="D858" s="24">
        <f>'1% Wind'!$M$84</f>
        <v>20.5</v>
      </c>
      <c r="E858" s="90"/>
      <c r="F858" s="90"/>
      <c r="G858" s="79" t="e">
        <f ca="1">IF(I855=0.9743,$G857,MAX(G857/D857*D858,2))</f>
        <v>#REF!</v>
      </c>
      <c r="H858" s="121" t="e">
        <f t="shared" ca="1" si="807"/>
        <v>#REF!</v>
      </c>
      <c r="J858" s="33"/>
      <c r="K858" s="242">
        <f t="shared" si="808"/>
        <v>1</v>
      </c>
      <c r="L858" s="241" t="e">
        <f t="shared" ca="1" si="809"/>
        <v>#REF!</v>
      </c>
      <c r="M858" s="243" t="e">
        <f ca="1">IF(AND(INDEX(FlowCalConstA,MATCH(J855,FlowCalNumber,0),1,1)*L858^INDEX(FlowCalConstB,MATCH(J855,FlowCalNumber,0),1,1)&gt;INDEX(FlowCalLowSetting,MATCH(J855,FlowCalNumber,0),1,1), (INDEX(FlowCalConstA,MATCH(J855,FlowCalNumber,0),1,1)*L858^INDEX(FlowCalConstB,MATCH(J855,FlowCalNumber,0),1,1)&lt;INDEX(FlowCalHighSetting,MATCH(J855,FlowCalNumber,0),1,1))),INDEX(FlowCalConstA,MATCH(J855,FlowCalNumber,0),1,1)*L858^INDEX(FlowCalConstB,MATCH(J855,FlowCalNumber,0),1,1)," ")</f>
        <v>#REF!</v>
      </c>
      <c r="N858" s="33"/>
      <c r="O858" s="242">
        <f t="shared" si="810"/>
        <v>1</v>
      </c>
      <c r="P858" s="241" t="e">
        <f t="shared" ca="1" si="811"/>
        <v>#REF!</v>
      </c>
      <c r="Q858" s="243" t="e">
        <f ca="1">IF(AND(INDEX(FlowCalConstA,MATCH(N855,FlowCalNumber,0),1,1)*P858^INDEX(FlowCalConstB,MATCH(N855,FlowCalNumber,0),1,1)&gt;INDEX(FlowCalLowSetting,MATCH(N855,FlowCalNumber,0),1,1), (INDEX(FlowCalConstA,MATCH(N855,FlowCalNumber,0),1,1)*P858^INDEX(FlowCalConstB,MATCH(N855,FlowCalNumber,0),1,1)&lt;INDEX(FlowCalHighSetting,MATCH(N855,FlowCalNumber,0),1,1))),INDEX(FlowCalConstA,MATCH(N855,FlowCalNumber,0),1,1)*P858^INDEX(FlowCalConstB,MATCH(N855,FlowCalNumber,0),1,1)," ")</f>
        <v>#REF!</v>
      </c>
      <c r="R858" s="33"/>
      <c r="S858" s="242">
        <f t="shared" si="812"/>
        <v>1</v>
      </c>
      <c r="T858" s="241" t="e">
        <f t="shared" ca="1" si="813"/>
        <v>#REF!</v>
      </c>
      <c r="U858" s="244" t="e">
        <f ca="1">IF(AND(INDEX(FlowCalConstA,MATCH(R855,FlowCalNumber,0),1,1)*T858^INDEX(FlowCalConstB,MATCH(R855,FlowCalNumber,0),1,1)&gt;INDEX(FlowCalLowSetting,MATCH(R855,FlowCalNumber,0),1,1), (INDEX(FlowCalConstA,MATCH(R855,FlowCalNumber,0),1,1)*T858^INDEX(FlowCalConstB,MATCH(R855,FlowCalNumber,0),1,1)&lt;INDEX(FlowCalHighSetting,MATCH(R855,FlowCalNumber,0),1,1))),INDEX(FlowCalConstA,MATCH(R855,FlowCalNumber,0),1,1)*T858^INDEX(FlowCalConstB,MATCH(R855,FlowCalNumber,0),1,1)," ")</f>
        <v>#REF!</v>
      </c>
      <c r="V858" s="33"/>
      <c r="W858" s="242">
        <f t="shared" si="814"/>
        <v>0.1</v>
      </c>
      <c r="X858" s="241" t="e">
        <f t="shared" ca="1" si="815"/>
        <v>#REF!</v>
      </c>
      <c r="Y858" s="243" t="e">
        <f ca="1">IF(AND(INDEX(FlowCalConstA,MATCH(V855,FlowCalNumber,0),1,1)*X858^INDEX(FlowCalConstB,MATCH(V855,FlowCalNumber,0),1,1)&gt;INDEX(FlowCalLowSetting,MATCH(V855,FlowCalNumber,0),1,1), (INDEX(FlowCalConstA,MATCH(V855,FlowCalNumber,0),1,1)*X858^INDEX(FlowCalConstB,MATCH(V855,FlowCalNumber,0),1,1)&lt;INDEX(FlowCalHighSetting,MATCH(V855,FlowCalNumber,0),1,1))),INDEX(FlowCalConstA,MATCH(V855,FlowCalNumber,0),1,1)*X858^INDEX(FlowCalConstB,MATCH(V855,FlowCalNumber,0),1,1)," ")</f>
        <v>#REF!</v>
      </c>
      <c r="Z858" s="33"/>
      <c r="AA858" s="242">
        <f t="shared" si="816"/>
        <v>0.9</v>
      </c>
      <c r="AB858" s="241" t="e">
        <f t="shared" ca="1" si="817"/>
        <v>#REF!</v>
      </c>
      <c r="AC858" s="243" t="e">
        <f ca="1">IF(AND(INDEX(FlowCalConstA,MATCH(Z855,FlowCalNumber,0),1,1)*AB858^INDEX(FlowCalConstB,MATCH(Z855,FlowCalNumber,0),1,1)&gt;INDEX(FlowCalLowSetting,MATCH(Z855,FlowCalNumber,0),1,1), (INDEX(FlowCalConstA,MATCH(Z855,FlowCalNumber,0),1,1)*AB858^INDEX(FlowCalConstB,MATCH(Z855,FlowCalNumber,0),1,1)&lt;INDEX(FlowCalHighSetting,MATCH(Z855,FlowCalNumber,0),1,1))),INDEX(FlowCalConstA,MATCH(Z855,FlowCalNumber,0),1,1)*AB858^INDEX(FlowCalConstB,MATCH(Z855,FlowCalNumber,0),1,1)," ")</f>
        <v>#REF!</v>
      </c>
      <c r="AD858" s="33"/>
      <c r="AE858" s="242">
        <f t="shared" si="818"/>
        <v>0.1</v>
      </c>
      <c r="AF858" s="241" t="e">
        <f t="shared" ca="1" si="819"/>
        <v>#REF!</v>
      </c>
      <c r="AG858" s="243" t="e">
        <f ca="1">IF(AND(INDEX(FlowCalConstA,MATCH(AD855,FlowCalNumber,0),1,1)*AF858^INDEX(FlowCalConstB,MATCH(AD855,FlowCalNumber,0),1,1)&gt;INDEX(FlowCalLowSetting,MATCH(AD855,FlowCalNumber,0),1,1), (INDEX(FlowCalConstA,MATCH(AD855,FlowCalNumber,0),1,1)*AF858^INDEX(FlowCalConstB,MATCH(AD855,FlowCalNumber,0),1,1)&lt;INDEX(FlowCalHighSetting,MATCH(AD855,FlowCalNumber,0),1,1))),INDEX(FlowCalConstA,MATCH(AD855,FlowCalNumber,0),1,1)*AF858^INDEX(FlowCalConstB,MATCH(AD855,FlowCalNumber,0),1,1)," ")</f>
        <v>#REF!</v>
      </c>
      <c r="AH858" s="33"/>
      <c r="AI858" s="242">
        <f t="shared" si="820"/>
        <v>0.9</v>
      </c>
      <c r="AJ858" s="241" t="e">
        <f t="shared" ca="1" si="821"/>
        <v>#REF!</v>
      </c>
      <c r="AK858" s="243" t="e">
        <f ca="1">IF(AND(INDEX(FlowCalConstA,MATCH(AH855,FlowCalNumber,0),1,1)*AJ858^INDEX(FlowCalConstB,MATCH(AH855,FlowCalNumber,0),1,1)&gt;INDEX(FlowCalLowSetting,MATCH(AH855,FlowCalNumber,0),1,1), (INDEX(FlowCalConstA,MATCH(AH855,FlowCalNumber,0),1,1)*AJ858^INDEX(FlowCalConstB,MATCH(AH855,FlowCalNumber,0),1,1)&lt;INDEX(FlowCalHighSetting,MATCH(AH855,FlowCalNumber,0),1,1))),INDEX(FlowCalConstA,MATCH(AH855,FlowCalNumber,0),1,1)*AJ858^INDEX(FlowCalConstB,MATCH(AH855,FlowCalNumber,0),1,1)," ")</f>
        <v>#REF!</v>
      </c>
      <c r="AL858" s="33"/>
      <c r="AM858" s="242"/>
      <c r="AN858" s="241"/>
      <c r="AO858" s="244"/>
      <c r="AQ858" s="242"/>
      <c r="AR858" s="241"/>
      <c r="AS858" s="244"/>
      <c r="AT858" s="33"/>
      <c r="AU858" s="242"/>
      <c r="AV858" s="241"/>
      <c r="AW858" s="244"/>
      <c r="AX858" s="33"/>
      <c r="AY858" s="242"/>
      <c r="AZ858" s="241"/>
      <c r="BA858" s="244"/>
      <c r="BB858" s="33"/>
      <c r="BC858" s="242"/>
      <c r="BD858" s="241"/>
      <c r="BE858" s="244"/>
      <c r="BF858" s="33"/>
      <c r="BG858" s="242"/>
      <c r="BH858" s="241"/>
      <c r="BI858" s="244"/>
      <c r="BJ858" s="33"/>
      <c r="BK858" s="242"/>
      <c r="BL858" s="241"/>
      <c r="BM858" s="244"/>
      <c r="BN858" s="33"/>
      <c r="BO858" s="242"/>
      <c r="BP858" s="241"/>
      <c r="BQ858" s="244"/>
      <c r="BR858" s="33"/>
      <c r="BS858" s="242"/>
      <c r="BT858" s="241"/>
      <c r="BU858" s="244"/>
      <c r="BV858" s="33"/>
      <c r="BW858" s="242"/>
      <c r="BX858" s="241"/>
      <c r="BY858" s="244"/>
      <c r="BZ858" s="33"/>
      <c r="CA858" s="242"/>
      <c r="CB858" s="241"/>
      <c r="CC858" s="244"/>
      <c r="CD858" s="243"/>
      <c r="CE858" s="243"/>
      <c r="CF858" s="243"/>
      <c r="CG858" s="243"/>
      <c r="CH858" s="243"/>
      <c r="CI858" s="243"/>
      <c r="CJ858" s="243"/>
      <c r="CK858" s="243"/>
      <c r="CL858" s="243"/>
      <c r="CM858" s="243"/>
      <c r="CN858" s="243"/>
      <c r="CO858" s="243"/>
      <c r="CP858" s="243"/>
      <c r="CQ858" s="243"/>
      <c r="CR858" s="243"/>
      <c r="CS858" s="243"/>
      <c r="CT858" s="243"/>
      <c r="CU858" s="243"/>
      <c r="CV858" s="243"/>
      <c r="CW858" s="243"/>
      <c r="CX858" s="243"/>
      <c r="CY858" s="243"/>
      <c r="CZ858" s="243"/>
      <c r="DA858" s="243"/>
      <c r="DB858" s="243"/>
      <c r="DC858" s="243"/>
      <c r="DD858" s="243"/>
      <c r="DE858" s="243"/>
      <c r="DF858" s="243"/>
      <c r="DG858" s="243"/>
      <c r="DH858" s="243"/>
      <c r="DI858" s="243"/>
      <c r="DJ858" s="243"/>
      <c r="DK858" s="243"/>
      <c r="DM858" s="242"/>
      <c r="DO858" s="243"/>
      <c r="DQ858" s="242"/>
      <c r="DS858" s="243"/>
      <c r="DU858" s="242"/>
      <c r="DW858" s="243"/>
      <c r="DY858" s="242"/>
      <c r="EA858" s="243"/>
    </row>
    <row r="859" spans="1:131">
      <c r="A859" s="20"/>
      <c r="B859" s="124" t="str">
        <f t="shared" si="806"/>
        <v/>
      </c>
      <c r="C859" s="235"/>
      <c r="D859" s="24">
        <f>'1% Wind'!$M$85</f>
        <v>17.8</v>
      </c>
      <c r="E859" s="90"/>
      <c r="F859" s="90"/>
      <c r="G859" s="79" t="e">
        <f ca="1">IF(I855=0.9743,$G858,MAX(G858/D858*D859,2))</f>
        <v>#REF!</v>
      </c>
      <c r="H859" s="121" t="e">
        <f t="shared" ca="1" si="807"/>
        <v>#REF!</v>
      </c>
      <c r="J859" s="33"/>
      <c r="K859" s="242">
        <f t="shared" si="808"/>
        <v>1</v>
      </c>
      <c r="L859" s="241" t="e">
        <f t="shared" ca="1" si="809"/>
        <v>#REF!</v>
      </c>
      <c r="M859" s="243" t="e">
        <f ca="1">IF(AND(INDEX(FlowCalConstA,MATCH(J855,FlowCalNumber,0),1,1)*L859^INDEX(FlowCalConstB,MATCH(J855,FlowCalNumber,0),1,1)&gt;INDEX(FlowCalLowSetting,MATCH(J855,FlowCalNumber,0),1,1), (INDEX(FlowCalConstA,MATCH(J855,FlowCalNumber,0),1,1)*L859^INDEX(FlowCalConstB,MATCH(J855,FlowCalNumber,0),1,1)&lt;INDEX(FlowCalHighSetting,MATCH(J855,FlowCalNumber,0),1,1))),INDEX(FlowCalConstA,MATCH(J855,FlowCalNumber,0),1,1)*L859^INDEX(FlowCalConstB,MATCH(J855,FlowCalNumber,0),1,1)," ")</f>
        <v>#REF!</v>
      </c>
      <c r="N859" s="33"/>
      <c r="O859" s="242">
        <f t="shared" si="810"/>
        <v>1</v>
      </c>
      <c r="P859" s="241" t="e">
        <f t="shared" ca="1" si="811"/>
        <v>#REF!</v>
      </c>
      <c r="Q859" s="243" t="e">
        <f ca="1">IF(AND(INDEX(FlowCalConstA,MATCH(N855,FlowCalNumber,0),1,1)*P859^INDEX(FlowCalConstB,MATCH(N855,FlowCalNumber,0),1,1)&gt;INDEX(FlowCalLowSetting,MATCH(N855,FlowCalNumber,0),1,1), (INDEX(FlowCalConstA,MATCH(N855,FlowCalNumber,0),1,1)*P859^INDEX(FlowCalConstB,MATCH(N855,FlowCalNumber,0),1,1)&lt;INDEX(FlowCalHighSetting,MATCH(N855,FlowCalNumber,0),1,1))),INDEX(FlowCalConstA,MATCH(N855,FlowCalNumber,0),1,1)*P859^INDEX(FlowCalConstB,MATCH(N855,FlowCalNumber,0),1,1)," ")</f>
        <v>#REF!</v>
      </c>
      <c r="R859" s="33"/>
      <c r="S859" s="242">
        <f t="shared" si="812"/>
        <v>1</v>
      </c>
      <c r="T859" s="241" t="e">
        <f t="shared" ca="1" si="813"/>
        <v>#REF!</v>
      </c>
      <c r="U859" s="244" t="e">
        <f ca="1">IF(AND(INDEX(FlowCalConstA,MATCH(R855,FlowCalNumber,0),1,1)*T859^INDEX(FlowCalConstB,MATCH(R855,FlowCalNumber,0),1,1)&gt;INDEX(FlowCalLowSetting,MATCH(R855,FlowCalNumber,0),1,1), (INDEX(FlowCalConstA,MATCH(R855,FlowCalNumber,0),1,1)*T859^INDEX(FlowCalConstB,MATCH(R855,FlowCalNumber,0),1,1)&lt;INDEX(FlowCalHighSetting,MATCH(R855,FlowCalNumber,0),1,1))),INDEX(FlowCalConstA,MATCH(R855,FlowCalNumber,0),1,1)*T859^INDEX(FlowCalConstB,MATCH(R855,FlowCalNumber,0),1,1)," ")</f>
        <v>#REF!</v>
      </c>
      <c r="V859" s="33"/>
      <c r="W859" s="242">
        <f t="shared" si="814"/>
        <v>0.1</v>
      </c>
      <c r="X859" s="241" t="e">
        <f t="shared" ca="1" si="815"/>
        <v>#REF!</v>
      </c>
      <c r="Y859" s="243" t="e">
        <f ca="1">IF(AND(INDEX(FlowCalConstA,MATCH(V855,FlowCalNumber,0),1,1)*X859^INDEX(FlowCalConstB,MATCH(V855,FlowCalNumber,0),1,1)&gt;INDEX(FlowCalLowSetting,MATCH(V855,FlowCalNumber,0),1,1), (INDEX(FlowCalConstA,MATCH(V855,FlowCalNumber,0),1,1)*X859^INDEX(FlowCalConstB,MATCH(V855,FlowCalNumber,0),1,1)&lt;INDEX(FlowCalHighSetting,MATCH(V855,FlowCalNumber,0),1,1))),INDEX(FlowCalConstA,MATCH(V855,FlowCalNumber,0),1,1)*X859^INDEX(FlowCalConstB,MATCH(V855,FlowCalNumber,0),1,1)," ")</f>
        <v>#REF!</v>
      </c>
      <c r="Z859" s="33"/>
      <c r="AA859" s="242">
        <f t="shared" si="816"/>
        <v>0.9</v>
      </c>
      <c r="AB859" s="241" t="e">
        <f t="shared" ca="1" si="817"/>
        <v>#REF!</v>
      </c>
      <c r="AC859" s="243" t="e">
        <f ca="1">IF(AND(INDEX(FlowCalConstA,MATCH(Z855,FlowCalNumber,0),1,1)*AB859^INDEX(FlowCalConstB,MATCH(Z855,FlowCalNumber,0),1,1)&gt;INDEX(FlowCalLowSetting,MATCH(Z855,FlowCalNumber,0),1,1), (INDEX(FlowCalConstA,MATCH(Z855,FlowCalNumber,0),1,1)*AB859^INDEX(FlowCalConstB,MATCH(Z855,FlowCalNumber,0),1,1)&lt;INDEX(FlowCalHighSetting,MATCH(Z855,FlowCalNumber,0),1,1))),INDEX(FlowCalConstA,MATCH(Z855,FlowCalNumber,0),1,1)*AB859^INDEX(FlowCalConstB,MATCH(Z855,FlowCalNumber,0),1,1)," ")</f>
        <v>#REF!</v>
      </c>
      <c r="AD859" s="33"/>
      <c r="AE859" s="242">
        <f t="shared" si="818"/>
        <v>0.1</v>
      </c>
      <c r="AF859" s="241" t="e">
        <f t="shared" ca="1" si="819"/>
        <v>#REF!</v>
      </c>
      <c r="AG859" s="243" t="e">
        <f ca="1">IF(AND(INDEX(FlowCalConstA,MATCH(AD855,FlowCalNumber,0),1,1)*AF859^INDEX(FlowCalConstB,MATCH(AD855,FlowCalNumber,0),1,1)&gt;INDEX(FlowCalLowSetting,MATCH(AD855,FlowCalNumber,0),1,1), (INDEX(FlowCalConstA,MATCH(AD855,FlowCalNumber,0),1,1)*AF859^INDEX(FlowCalConstB,MATCH(AD855,FlowCalNumber,0),1,1)&lt;INDEX(FlowCalHighSetting,MATCH(AD855,FlowCalNumber,0),1,1))),INDEX(FlowCalConstA,MATCH(AD855,FlowCalNumber,0),1,1)*AF859^INDEX(FlowCalConstB,MATCH(AD855,FlowCalNumber,0),1,1)," ")</f>
        <v>#REF!</v>
      </c>
      <c r="AH859" s="33"/>
      <c r="AI859" s="242">
        <f t="shared" si="820"/>
        <v>0.9</v>
      </c>
      <c r="AJ859" s="241" t="e">
        <f t="shared" ca="1" si="821"/>
        <v>#REF!</v>
      </c>
      <c r="AK859" s="243" t="e">
        <f ca="1">IF(AND(INDEX(FlowCalConstA,MATCH(AH855,FlowCalNumber,0),1,1)*AJ859^INDEX(FlowCalConstB,MATCH(AH855,FlowCalNumber,0),1,1)&gt;INDEX(FlowCalLowSetting,MATCH(AH855,FlowCalNumber,0),1,1), (INDEX(FlowCalConstA,MATCH(AH855,FlowCalNumber,0),1,1)*AJ859^INDEX(FlowCalConstB,MATCH(AH855,FlowCalNumber,0),1,1)&lt;INDEX(FlowCalHighSetting,MATCH(AH855,FlowCalNumber,0),1,1))),INDEX(FlowCalConstA,MATCH(AH855,FlowCalNumber,0),1,1)*AJ859^INDEX(FlowCalConstB,MATCH(AH855,FlowCalNumber,0),1,1)," ")</f>
        <v>#REF!</v>
      </c>
      <c r="AL859" s="33"/>
      <c r="AM859" s="242"/>
      <c r="AN859" s="241"/>
      <c r="AO859" s="244"/>
      <c r="AQ859" s="242"/>
      <c r="AR859" s="241"/>
      <c r="AS859" s="244"/>
      <c r="AT859" s="33"/>
      <c r="AU859" s="242"/>
      <c r="AV859" s="241"/>
      <c r="AW859" s="244"/>
      <c r="AX859" s="33"/>
      <c r="AY859" s="242"/>
      <c r="AZ859" s="241"/>
      <c r="BA859" s="244"/>
      <c r="BB859" s="33"/>
      <c r="BC859" s="242"/>
      <c r="BD859" s="241"/>
      <c r="BE859" s="244"/>
      <c r="BF859" s="33"/>
      <c r="BG859" s="242"/>
      <c r="BH859" s="241"/>
      <c r="BI859" s="244"/>
      <c r="BJ859" s="33"/>
      <c r="BK859" s="242"/>
      <c r="BL859" s="241"/>
      <c r="BM859" s="244"/>
      <c r="BN859" s="33"/>
      <c r="BO859" s="242"/>
      <c r="BP859" s="241"/>
      <c r="BQ859" s="244"/>
      <c r="BR859" s="33"/>
      <c r="BS859" s="242"/>
      <c r="BT859" s="241"/>
      <c r="BU859" s="244"/>
      <c r="BV859" s="33"/>
      <c r="BW859" s="242"/>
      <c r="BX859" s="241"/>
      <c r="BY859" s="244"/>
      <c r="BZ859" s="33"/>
      <c r="CA859" s="242"/>
      <c r="CB859" s="241"/>
      <c r="CC859" s="244"/>
      <c r="CD859" s="243"/>
      <c r="CE859" s="243"/>
      <c r="CF859" s="243"/>
      <c r="CG859" s="243"/>
      <c r="CH859" s="243"/>
      <c r="CI859" s="243"/>
      <c r="CJ859" s="243"/>
      <c r="CK859" s="243"/>
      <c r="CL859" s="243"/>
      <c r="CM859" s="243"/>
      <c r="CN859" s="243"/>
      <c r="CO859" s="243"/>
      <c r="CP859" s="243"/>
      <c r="CQ859" s="243"/>
      <c r="CR859" s="243"/>
      <c r="CS859" s="243"/>
      <c r="CT859" s="243"/>
      <c r="CU859" s="243"/>
      <c r="CV859" s="243"/>
      <c r="CW859" s="243"/>
      <c r="CX859" s="243"/>
      <c r="CY859" s="243"/>
      <c r="CZ859" s="243"/>
      <c r="DA859" s="243"/>
      <c r="DB859" s="243"/>
      <c r="DC859" s="243"/>
      <c r="DD859" s="243"/>
      <c r="DE859" s="243"/>
      <c r="DF859" s="243"/>
      <c r="DG859" s="243"/>
      <c r="DH859" s="243"/>
      <c r="DI859" s="243"/>
      <c r="DJ859" s="243"/>
      <c r="DK859" s="243"/>
      <c r="DM859" s="242"/>
      <c r="DO859" s="243"/>
      <c r="DQ859" s="242"/>
      <c r="DS859" s="243"/>
      <c r="DU859" s="242"/>
      <c r="DW859" s="243"/>
      <c r="DY859" s="242"/>
      <c r="EA859" s="243"/>
    </row>
    <row r="860" spans="1:131">
      <c r="A860" s="20"/>
      <c r="B860" s="124" t="str">
        <f t="shared" si="806"/>
        <v/>
      </c>
      <c r="C860" s="235"/>
      <c r="D860" s="24">
        <f>'1% Wind'!$M$86</f>
        <v>15.5</v>
      </c>
      <c r="E860" s="90"/>
      <c r="F860" s="90"/>
      <c r="G860" s="79" t="e">
        <f ca="1">IF(I855=0.9743,$G859,MAX(G859/D859*D860,2))</f>
        <v>#REF!</v>
      </c>
      <c r="H860" s="121" t="e">
        <f t="shared" ca="1" si="807"/>
        <v>#REF!</v>
      </c>
      <c r="J860" s="33"/>
      <c r="K860" s="242">
        <f t="shared" si="808"/>
        <v>1</v>
      </c>
      <c r="L860" s="241" t="e">
        <f t="shared" ca="1" si="809"/>
        <v>#REF!</v>
      </c>
      <c r="M860" s="243" t="e">
        <f ca="1">IF(AND(INDEX(FlowCalConstA,MATCH(J855,FlowCalNumber,0),1,1)*L860^INDEX(FlowCalConstB,MATCH(J855,FlowCalNumber,0),1,1)&gt;INDEX(FlowCalLowSetting,MATCH(J855,FlowCalNumber,0),1,1), (INDEX(FlowCalConstA,MATCH(J855,FlowCalNumber,0),1,1)*L860^INDEX(FlowCalConstB,MATCH(J855,FlowCalNumber,0),1,1)&lt;INDEX(FlowCalHighSetting,MATCH(J855,FlowCalNumber,0),1,1))),INDEX(FlowCalConstA,MATCH(J855,FlowCalNumber,0),1,1)*L860^INDEX(FlowCalConstB,MATCH(J855,FlowCalNumber,0),1,1)," ")</f>
        <v>#REF!</v>
      </c>
      <c r="N860" s="33"/>
      <c r="O860" s="242">
        <f t="shared" si="810"/>
        <v>1</v>
      </c>
      <c r="P860" s="241" t="e">
        <f t="shared" ca="1" si="811"/>
        <v>#REF!</v>
      </c>
      <c r="Q860" s="243" t="e">
        <f ca="1">IF(AND(INDEX(FlowCalConstA,MATCH(N855,FlowCalNumber,0),1,1)*P860^INDEX(FlowCalConstB,MATCH(N855,FlowCalNumber,0),1,1)&gt;INDEX(FlowCalLowSetting,MATCH(N855,FlowCalNumber,0),1,1), (INDEX(FlowCalConstA,MATCH(N855,FlowCalNumber,0),1,1)*P860^INDEX(FlowCalConstB,MATCH(N855,FlowCalNumber,0),1,1)&lt;INDEX(FlowCalHighSetting,MATCH(N855,FlowCalNumber,0),1,1))),INDEX(FlowCalConstA,MATCH(N855,FlowCalNumber,0),1,1)*P860^INDEX(FlowCalConstB,MATCH(N855,FlowCalNumber,0),1,1)," ")</f>
        <v>#REF!</v>
      </c>
      <c r="R860" s="33"/>
      <c r="S860" s="242">
        <f t="shared" si="812"/>
        <v>1</v>
      </c>
      <c r="T860" s="241" t="e">
        <f t="shared" ca="1" si="813"/>
        <v>#REF!</v>
      </c>
      <c r="U860" s="244" t="e">
        <f ca="1">IF(AND(INDEX(FlowCalConstA,MATCH(R855,FlowCalNumber,0),1,1)*T860^INDEX(FlowCalConstB,MATCH(R855,FlowCalNumber,0),1,1)&gt;INDEX(FlowCalLowSetting,MATCH(R855,FlowCalNumber,0),1,1), (INDEX(FlowCalConstA,MATCH(R855,FlowCalNumber,0),1,1)*T860^INDEX(FlowCalConstB,MATCH(R855,FlowCalNumber,0),1,1)&lt;INDEX(FlowCalHighSetting,MATCH(R855,FlowCalNumber,0),1,1))),INDEX(FlowCalConstA,MATCH(R855,FlowCalNumber,0),1,1)*T860^INDEX(FlowCalConstB,MATCH(R855,FlowCalNumber,0),1,1)," ")</f>
        <v>#REF!</v>
      </c>
      <c r="V860" s="33"/>
      <c r="W860" s="242">
        <f t="shared" si="814"/>
        <v>0.1</v>
      </c>
      <c r="X860" s="241" t="e">
        <f t="shared" ca="1" si="815"/>
        <v>#REF!</v>
      </c>
      <c r="Y860" s="243" t="e">
        <f ca="1">IF(AND(INDEX(FlowCalConstA,MATCH(V855,FlowCalNumber,0),1,1)*X860^INDEX(FlowCalConstB,MATCH(V855,FlowCalNumber,0),1,1)&gt;INDEX(FlowCalLowSetting,MATCH(V855,FlowCalNumber,0),1,1), (INDEX(FlowCalConstA,MATCH(V855,FlowCalNumber,0),1,1)*X860^INDEX(FlowCalConstB,MATCH(V855,FlowCalNumber,0),1,1)&lt;INDEX(FlowCalHighSetting,MATCH(V855,FlowCalNumber,0),1,1))),INDEX(FlowCalConstA,MATCH(V855,FlowCalNumber,0),1,1)*X860^INDEX(FlowCalConstB,MATCH(V855,FlowCalNumber,0),1,1)," ")</f>
        <v>#REF!</v>
      </c>
      <c r="Z860" s="33"/>
      <c r="AA860" s="242">
        <f t="shared" si="816"/>
        <v>0.9</v>
      </c>
      <c r="AB860" s="241" t="e">
        <f t="shared" ca="1" si="817"/>
        <v>#REF!</v>
      </c>
      <c r="AC860" s="243" t="e">
        <f ca="1">IF(AND(INDEX(FlowCalConstA,MATCH(Z855,FlowCalNumber,0),1,1)*AB860^INDEX(FlowCalConstB,MATCH(Z855,FlowCalNumber,0),1,1)&gt;INDEX(FlowCalLowSetting,MATCH(Z855,FlowCalNumber,0),1,1), (INDEX(FlowCalConstA,MATCH(Z855,FlowCalNumber,0),1,1)*AB860^INDEX(FlowCalConstB,MATCH(Z855,FlowCalNumber,0),1,1)&lt;INDEX(FlowCalHighSetting,MATCH(Z855,FlowCalNumber,0),1,1))),INDEX(FlowCalConstA,MATCH(Z855,FlowCalNumber,0),1,1)*AB860^INDEX(FlowCalConstB,MATCH(Z855,FlowCalNumber,0),1,1)," ")</f>
        <v>#REF!</v>
      </c>
      <c r="AD860" s="33"/>
      <c r="AE860" s="242">
        <f t="shared" si="818"/>
        <v>0.1</v>
      </c>
      <c r="AF860" s="241" t="e">
        <f t="shared" ca="1" si="819"/>
        <v>#REF!</v>
      </c>
      <c r="AG860" s="243" t="e">
        <f ca="1">IF(AND(INDEX(FlowCalConstA,MATCH(AD855,FlowCalNumber,0),1,1)*AF860^INDEX(FlowCalConstB,MATCH(AD855,FlowCalNumber,0),1,1)&gt;INDEX(FlowCalLowSetting,MATCH(AD855,FlowCalNumber,0),1,1), (INDEX(FlowCalConstA,MATCH(AD855,FlowCalNumber,0),1,1)*AF860^INDEX(FlowCalConstB,MATCH(AD855,FlowCalNumber,0),1,1)&lt;INDEX(FlowCalHighSetting,MATCH(AD855,FlowCalNumber,0),1,1))),INDEX(FlowCalConstA,MATCH(AD855,FlowCalNumber,0),1,1)*AF860^INDEX(FlowCalConstB,MATCH(AD855,FlowCalNumber,0),1,1)," ")</f>
        <v>#REF!</v>
      </c>
      <c r="AH860" s="33"/>
      <c r="AI860" s="242">
        <f t="shared" si="820"/>
        <v>0.9</v>
      </c>
      <c r="AJ860" s="241" t="e">
        <f t="shared" ca="1" si="821"/>
        <v>#REF!</v>
      </c>
      <c r="AK860" s="243" t="e">
        <f ca="1">IF(AND(INDEX(FlowCalConstA,MATCH(AH855,FlowCalNumber,0),1,1)*AJ860^INDEX(FlowCalConstB,MATCH(AH855,FlowCalNumber,0),1,1)&gt;INDEX(FlowCalLowSetting,MATCH(AH855,FlowCalNumber,0),1,1), (INDEX(FlowCalConstA,MATCH(AH855,FlowCalNumber,0),1,1)*AJ860^INDEX(FlowCalConstB,MATCH(AH855,FlowCalNumber,0),1,1)&lt;INDEX(FlowCalHighSetting,MATCH(AH855,FlowCalNumber,0),1,1))),INDEX(FlowCalConstA,MATCH(AH855,FlowCalNumber,0),1,1)*AJ860^INDEX(FlowCalConstB,MATCH(AH855,FlowCalNumber,0),1,1)," ")</f>
        <v>#REF!</v>
      </c>
      <c r="AL860" s="33"/>
      <c r="AM860" s="242"/>
      <c r="AN860" s="241"/>
      <c r="AO860" s="244"/>
      <c r="AQ860" s="242"/>
      <c r="AR860" s="241"/>
      <c r="AS860" s="244"/>
      <c r="AT860" s="33"/>
      <c r="AU860" s="242"/>
      <c r="AV860" s="241"/>
      <c r="AW860" s="244"/>
      <c r="AX860" s="33"/>
      <c r="AY860" s="242"/>
      <c r="AZ860" s="241"/>
      <c r="BA860" s="244"/>
      <c r="BB860" s="33"/>
      <c r="BC860" s="242"/>
      <c r="BD860" s="241"/>
      <c r="BE860" s="244"/>
      <c r="BF860" s="33"/>
      <c r="BG860" s="242"/>
      <c r="BH860" s="241"/>
      <c r="BI860" s="244"/>
      <c r="BJ860" s="33"/>
      <c r="BK860" s="242"/>
      <c r="BL860" s="241"/>
      <c r="BM860" s="244"/>
      <c r="BN860" s="33"/>
      <c r="BO860" s="242"/>
      <c r="BP860" s="241"/>
      <c r="BQ860" s="244"/>
      <c r="BR860" s="33"/>
      <c r="BS860" s="242"/>
      <c r="BT860" s="241"/>
      <c r="BU860" s="244"/>
      <c r="BV860" s="33"/>
      <c r="BW860" s="242"/>
      <c r="BX860" s="241"/>
      <c r="BY860" s="244"/>
      <c r="BZ860" s="33"/>
      <c r="CA860" s="242"/>
      <c r="CB860" s="241"/>
      <c r="CC860" s="244"/>
      <c r="CD860" s="243"/>
      <c r="CE860" s="243"/>
      <c r="CF860" s="243"/>
      <c r="CG860" s="243"/>
      <c r="CH860" s="243"/>
      <c r="CI860" s="243"/>
      <c r="CJ860" s="243"/>
      <c r="CK860" s="243"/>
      <c r="CL860" s="243"/>
      <c r="CM860" s="243"/>
      <c r="CN860" s="243"/>
      <c r="CO860" s="243"/>
      <c r="CP860" s="243"/>
      <c r="CQ860" s="243"/>
      <c r="CR860" s="243"/>
      <c r="CS860" s="243"/>
      <c r="CT860" s="243"/>
      <c r="CU860" s="243"/>
      <c r="CV860" s="243"/>
      <c r="CW860" s="243"/>
      <c r="CX860" s="243"/>
      <c r="CY860" s="243"/>
      <c r="CZ860" s="243"/>
      <c r="DA860" s="243"/>
      <c r="DB860" s="243"/>
      <c r="DC860" s="243"/>
      <c r="DD860" s="243"/>
      <c r="DE860" s="243"/>
      <c r="DF860" s="243"/>
      <c r="DG860" s="243"/>
      <c r="DH860" s="243"/>
      <c r="DI860" s="243"/>
      <c r="DJ860" s="243"/>
      <c r="DK860" s="243"/>
      <c r="DM860" s="242"/>
      <c r="DO860" s="243"/>
      <c r="DQ860" s="242"/>
      <c r="DS860" s="243"/>
      <c r="DU860" s="242"/>
      <c r="DW860" s="243"/>
      <c r="DY860" s="242"/>
      <c r="EA860" s="243"/>
    </row>
    <row r="861" spans="1:131">
      <c r="A861" s="20"/>
      <c r="B861" s="124" t="str">
        <f t="shared" si="806"/>
        <v/>
      </c>
      <c r="C861" s="235"/>
      <c r="D861" s="24">
        <f>'1% Wind'!$M$87</f>
        <v>13.5</v>
      </c>
      <c r="E861" s="90"/>
      <c r="F861" s="90"/>
      <c r="G861" s="79" t="e">
        <f ca="1">IF(I855=0.9743,$G860,MAX(G860/D860*D861,2))</f>
        <v>#REF!</v>
      </c>
      <c r="H861" s="121" t="e">
        <f t="shared" ca="1" si="807"/>
        <v>#REF!</v>
      </c>
      <c r="J861" s="33"/>
      <c r="K861" s="242">
        <f t="shared" si="808"/>
        <v>1</v>
      </c>
      <c r="L861" s="241" t="e">
        <f t="shared" ca="1" si="809"/>
        <v>#REF!</v>
      </c>
      <c r="M861" s="243" t="e">
        <f ca="1">IF(AND(INDEX(FlowCalConstA,MATCH(J855,FlowCalNumber,0),1,1)*L861^INDEX(FlowCalConstB,MATCH(J855,FlowCalNumber,0),1,1)&gt;INDEX(FlowCalLowSetting,MATCH(J855,FlowCalNumber,0),1,1), (INDEX(FlowCalConstA,MATCH(J855,FlowCalNumber,0),1,1)*L861^INDEX(FlowCalConstB,MATCH(J855,FlowCalNumber,0),1,1)&lt;INDEX(FlowCalHighSetting,MATCH(J855,FlowCalNumber,0),1,1))),INDEX(FlowCalConstA,MATCH(J855,FlowCalNumber,0),1,1)*L861^INDEX(FlowCalConstB,MATCH(J855,FlowCalNumber,0),1,1)," ")</f>
        <v>#REF!</v>
      </c>
      <c r="N861" s="33"/>
      <c r="O861" s="242">
        <f t="shared" si="810"/>
        <v>1</v>
      </c>
      <c r="P861" s="241" t="e">
        <f t="shared" ca="1" si="811"/>
        <v>#REF!</v>
      </c>
      <c r="Q861" s="243" t="e">
        <f ca="1">IF(AND(INDEX(FlowCalConstA,MATCH(N855,FlowCalNumber,0),1,1)*P861^INDEX(FlowCalConstB,MATCH(N855,FlowCalNumber,0),1,1)&gt;INDEX(FlowCalLowSetting,MATCH(N855,FlowCalNumber,0),1,1), (INDEX(FlowCalConstA,MATCH(N855,FlowCalNumber,0),1,1)*P861^INDEX(FlowCalConstB,MATCH(N855,FlowCalNumber,0),1,1)&lt;INDEX(FlowCalHighSetting,MATCH(N855,FlowCalNumber,0),1,1))),INDEX(FlowCalConstA,MATCH(N855,FlowCalNumber,0),1,1)*P861^INDEX(FlowCalConstB,MATCH(N855,FlowCalNumber,0),1,1)," ")</f>
        <v>#REF!</v>
      </c>
      <c r="R861" s="33"/>
      <c r="S861" s="242">
        <f t="shared" si="812"/>
        <v>1</v>
      </c>
      <c r="T861" s="241" t="e">
        <f t="shared" ca="1" si="813"/>
        <v>#REF!</v>
      </c>
      <c r="U861" s="244" t="e">
        <f ca="1">IF(AND(INDEX(FlowCalConstA,MATCH(R855,FlowCalNumber,0),1,1)*T861^INDEX(FlowCalConstB,MATCH(R855,FlowCalNumber,0),1,1)&gt;INDEX(FlowCalLowSetting,MATCH(R855,FlowCalNumber,0),1,1), (INDEX(FlowCalConstA,MATCH(R855,FlowCalNumber,0),1,1)*T861^INDEX(FlowCalConstB,MATCH(R855,FlowCalNumber,0),1,1)&lt;INDEX(FlowCalHighSetting,MATCH(R855,FlowCalNumber,0),1,1))),INDEX(FlowCalConstA,MATCH(R855,FlowCalNumber,0),1,1)*T861^INDEX(FlowCalConstB,MATCH(R855,FlowCalNumber,0),1,1)," ")</f>
        <v>#REF!</v>
      </c>
      <c r="V861" s="33"/>
      <c r="W861" s="242">
        <f t="shared" si="814"/>
        <v>0.1</v>
      </c>
      <c r="X861" s="241" t="e">
        <f t="shared" ca="1" si="815"/>
        <v>#REF!</v>
      </c>
      <c r="Y861" s="243" t="e">
        <f ca="1">IF(AND(INDEX(FlowCalConstA,MATCH(V855,FlowCalNumber,0),1,1)*X861^INDEX(FlowCalConstB,MATCH(V855,FlowCalNumber,0),1,1)&gt;INDEX(FlowCalLowSetting,MATCH(V855,FlowCalNumber,0),1,1), (INDEX(FlowCalConstA,MATCH(V855,FlowCalNumber,0),1,1)*X861^INDEX(FlowCalConstB,MATCH(V855,FlowCalNumber,0),1,1)&lt;INDEX(FlowCalHighSetting,MATCH(V855,FlowCalNumber,0),1,1))),INDEX(FlowCalConstA,MATCH(V855,FlowCalNumber,0),1,1)*X861^INDEX(FlowCalConstB,MATCH(V855,FlowCalNumber,0),1,1)," ")</f>
        <v>#REF!</v>
      </c>
      <c r="Z861" s="33"/>
      <c r="AA861" s="242">
        <f t="shared" si="816"/>
        <v>0.9</v>
      </c>
      <c r="AB861" s="241" t="e">
        <f t="shared" ca="1" si="817"/>
        <v>#REF!</v>
      </c>
      <c r="AC861" s="243" t="e">
        <f ca="1">IF(AND(INDEX(FlowCalConstA,MATCH(Z855,FlowCalNumber,0),1,1)*AB861^INDEX(FlowCalConstB,MATCH(Z855,FlowCalNumber,0),1,1)&gt;INDEX(FlowCalLowSetting,MATCH(Z855,FlowCalNumber,0),1,1), (INDEX(FlowCalConstA,MATCH(Z855,FlowCalNumber,0),1,1)*AB861^INDEX(FlowCalConstB,MATCH(Z855,FlowCalNumber,0),1,1)&lt;INDEX(FlowCalHighSetting,MATCH(Z855,FlowCalNumber,0),1,1))),INDEX(FlowCalConstA,MATCH(Z855,FlowCalNumber,0),1,1)*AB861^INDEX(FlowCalConstB,MATCH(Z855,FlowCalNumber,0),1,1)," ")</f>
        <v>#REF!</v>
      </c>
      <c r="AD861" s="33"/>
      <c r="AE861" s="242">
        <f t="shared" si="818"/>
        <v>0.1</v>
      </c>
      <c r="AF861" s="241" t="e">
        <f t="shared" ca="1" si="819"/>
        <v>#REF!</v>
      </c>
      <c r="AG861" s="243" t="e">
        <f ca="1">IF(AND(INDEX(FlowCalConstA,MATCH(AD855,FlowCalNumber,0),1,1)*AF861^INDEX(FlowCalConstB,MATCH(AD855,FlowCalNumber,0),1,1)&gt;INDEX(FlowCalLowSetting,MATCH(AD855,FlowCalNumber,0),1,1), (INDEX(FlowCalConstA,MATCH(AD855,FlowCalNumber,0),1,1)*AF861^INDEX(FlowCalConstB,MATCH(AD855,FlowCalNumber,0),1,1)&lt;INDEX(FlowCalHighSetting,MATCH(AD855,FlowCalNumber,0),1,1))),INDEX(FlowCalConstA,MATCH(AD855,FlowCalNumber,0),1,1)*AF861^INDEX(FlowCalConstB,MATCH(AD855,FlowCalNumber,0),1,1)," ")</f>
        <v>#REF!</v>
      </c>
      <c r="AH861" s="33"/>
      <c r="AI861" s="242">
        <f t="shared" si="820"/>
        <v>0.9</v>
      </c>
      <c r="AJ861" s="241" t="e">
        <f t="shared" ca="1" si="821"/>
        <v>#REF!</v>
      </c>
      <c r="AK861" s="243" t="e">
        <f ca="1">IF(AND(INDEX(FlowCalConstA,MATCH(AH855,FlowCalNumber,0),1,1)*AJ861^INDEX(FlowCalConstB,MATCH(AH855,FlowCalNumber,0),1,1)&gt;INDEX(FlowCalLowSetting,MATCH(AH855,FlowCalNumber,0),1,1), (INDEX(FlowCalConstA,MATCH(AH855,FlowCalNumber,0),1,1)*AJ861^INDEX(FlowCalConstB,MATCH(AH855,FlowCalNumber,0),1,1)&lt;INDEX(FlowCalHighSetting,MATCH(AH855,FlowCalNumber,0),1,1))),INDEX(FlowCalConstA,MATCH(AH855,FlowCalNumber,0),1,1)*AJ861^INDEX(FlowCalConstB,MATCH(AH855,FlowCalNumber,0),1,1)," ")</f>
        <v>#REF!</v>
      </c>
      <c r="AL861" s="33"/>
      <c r="AM861" s="242"/>
      <c r="AN861" s="241"/>
      <c r="AO861" s="244"/>
      <c r="AQ861" s="242"/>
      <c r="AR861" s="241"/>
      <c r="AS861" s="244"/>
      <c r="AT861" s="33"/>
      <c r="AU861" s="242"/>
      <c r="AV861" s="241"/>
      <c r="AW861" s="244"/>
      <c r="AX861" s="33"/>
      <c r="AY861" s="242"/>
      <c r="AZ861" s="241"/>
      <c r="BA861" s="244"/>
      <c r="BB861" s="33"/>
      <c r="BC861" s="242"/>
      <c r="BD861" s="241"/>
      <c r="BE861" s="244"/>
      <c r="BF861" s="33"/>
      <c r="BG861" s="242"/>
      <c r="BH861" s="241"/>
      <c r="BI861" s="244"/>
      <c r="BJ861" s="33"/>
      <c r="BK861" s="242"/>
      <c r="BL861" s="241"/>
      <c r="BM861" s="244"/>
      <c r="BN861" s="33"/>
      <c r="BO861" s="242"/>
      <c r="BP861" s="241"/>
      <c r="BQ861" s="244"/>
      <c r="BR861" s="33"/>
      <c r="BS861" s="242"/>
      <c r="BT861" s="241"/>
      <c r="BU861" s="244"/>
      <c r="BV861" s="33"/>
      <c r="BW861" s="242"/>
      <c r="BX861" s="241"/>
      <c r="BY861" s="244"/>
      <c r="BZ861" s="33"/>
      <c r="CA861" s="242"/>
      <c r="CB861" s="241"/>
      <c r="CC861" s="244"/>
      <c r="CD861" s="243"/>
      <c r="CE861" s="243"/>
      <c r="CF861" s="243"/>
      <c r="CG861" s="243"/>
      <c r="CH861" s="243"/>
      <c r="CI861" s="243"/>
      <c r="CJ861" s="243"/>
      <c r="CK861" s="243"/>
      <c r="CL861" s="243"/>
      <c r="CM861" s="243"/>
      <c r="CN861" s="243"/>
      <c r="CO861" s="243"/>
      <c r="CP861" s="243"/>
      <c r="CQ861" s="243"/>
      <c r="CR861" s="243"/>
      <c r="CS861" s="243"/>
      <c r="CT861" s="243"/>
      <c r="CU861" s="243"/>
      <c r="CV861" s="243"/>
      <c r="CW861" s="243"/>
      <c r="CX861" s="243"/>
      <c r="CY861" s="243"/>
      <c r="CZ861" s="243"/>
      <c r="DA861" s="243"/>
      <c r="DB861" s="243"/>
      <c r="DC861" s="243"/>
      <c r="DD861" s="243"/>
      <c r="DE861" s="243"/>
      <c r="DF861" s="243"/>
      <c r="DG861" s="243"/>
      <c r="DH861" s="243"/>
      <c r="DI861" s="243"/>
      <c r="DJ861" s="243"/>
      <c r="DK861" s="243"/>
      <c r="DM861" s="242"/>
      <c r="DO861" s="243"/>
      <c r="DQ861" s="242"/>
      <c r="DS861" s="243"/>
      <c r="DU861" s="242"/>
      <c r="DW861" s="243"/>
      <c r="DY861" s="242"/>
      <c r="EA861" s="243"/>
    </row>
    <row r="862" spans="1:131">
      <c r="A862" s="20"/>
      <c r="B862" s="124" t="str">
        <f t="shared" si="806"/>
        <v/>
      </c>
      <c r="C862" s="235"/>
      <c r="D862" s="24">
        <f>'1% Wind'!$M$88</f>
        <v>10.1</v>
      </c>
      <c r="E862" s="90"/>
      <c r="F862" s="90"/>
      <c r="G862" s="79" t="e">
        <f ca="1">IF(I855=0.9743,$G861,MAX(G861/D861*D862,2))</f>
        <v>#REF!</v>
      </c>
      <c r="H862" s="121" t="e">
        <f t="shared" ca="1" si="807"/>
        <v>#REF!</v>
      </c>
      <c r="J862" s="33"/>
      <c r="K862" s="242">
        <f t="shared" si="808"/>
        <v>1</v>
      </c>
      <c r="L862" s="241" t="e">
        <f t="shared" ca="1" si="809"/>
        <v>#REF!</v>
      </c>
      <c r="M862" s="243" t="e">
        <f ca="1">IF(AND(INDEX(FlowCalConstA,MATCH(J855,FlowCalNumber,0),1,1)*L862^INDEX(FlowCalConstB,MATCH(J855,FlowCalNumber,0),1,1)&gt;INDEX(FlowCalLowSetting,MATCH(J855,FlowCalNumber,0),1,1), (INDEX(FlowCalConstA,MATCH(J855,FlowCalNumber,0),1,1)*L862^INDEX(FlowCalConstB,MATCH(J855,FlowCalNumber,0),1,1)&lt;INDEX(FlowCalHighSetting,MATCH(J855,FlowCalNumber,0),1,1))),INDEX(FlowCalConstA,MATCH(J855,FlowCalNumber,0),1,1)*L862^INDEX(FlowCalConstB,MATCH(J855,FlowCalNumber,0),1,1)," ")</f>
        <v>#REF!</v>
      </c>
      <c r="N862" s="33"/>
      <c r="O862" s="242">
        <f t="shared" si="810"/>
        <v>1</v>
      </c>
      <c r="P862" s="241" t="e">
        <f t="shared" ca="1" si="811"/>
        <v>#REF!</v>
      </c>
      <c r="Q862" s="243" t="e">
        <f ca="1">IF(AND(INDEX(FlowCalConstA,MATCH(N855,FlowCalNumber,0),1,1)*P862^INDEX(FlowCalConstB,MATCH(N855,FlowCalNumber,0),1,1)&gt;INDEX(FlowCalLowSetting,MATCH(N855,FlowCalNumber,0),1,1), (INDEX(FlowCalConstA,MATCH(N855,FlowCalNumber,0),1,1)*P862^INDEX(FlowCalConstB,MATCH(N855,FlowCalNumber,0),1,1)&lt;INDEX(FlowCalHighSetting,MATCH(N855,FlowCalNumber,0),1,1))),INDEX(FlowCalConstA,MATCH(N855,FlowCalNumber,0),1,1)*P862^INDEX(FlowCalConstB,MATCH(N855,FlowCalNumber,0),1,1)," ")</f>
        <v>#REF!</v>
      </c>
      <c r="R862" s="33"/>
      <c r="S862" s="242">
        <f t="shared" si="812"/>
        <v>1</v>
      </c>
      <c r="T862" s="241" t="e">
        <f t="shared" ca="1" si="813"/>
        <v>#REF!</v>
      </c>
      <c r="U862" s="244" t="e">
        <f ca="1">IF(AND(INDEX(FlowCalConstA,MATCH(R855,FlowCalNumber,0),1,1)*T862^INDEX(FlowCalConstB,MATCH(R855,FlowCalNumber,0),1,1)&gt;INDEX(FlowCalLowSetting,MATCH(R855,FlowCalNumber,0),1,1), (INDEX(FlowCalConstA,MATCH(R855,FlowCalNumber,0),1,1)*T862^INDEX(FlowCalConstB,MATCH(R855,FlowCalNumber,0),1,1)&lt;INDEX(FlowCalHighSetting,MATCH(R855,FlowCalNumber,0),1,1))),INDEX(FlowCalConstA,MATCH(R855,FlowCalNumber,0),1,1)*T862^INDEX(FlowCalConstB,MATCH(R855,FlowCalNumber,0),1,1)," ")</f>
        <v>#REF!</v>
      </c>
      <c r="V862" s="33"/>
      <c r="W862" s="242">
        <f t="shared" si="814"/>
        <v>0.1</v>
      </c>
      <c r="X862" s="241" t="e">
        <f t="shared" ca="1" si="815"/>
        <v>#REF!</v>
      </c>
      <c r="Y862" s="243" t="e">
        <f ca="1">IF(AND(INDEX(FlowCalConstA,MATCH(V855,FlowCalNumber,0),1,1)*X862^INDEX(FlowCalConstB,MATCH(V855,FlowCalNumber,0),1,1)&gt;INDEX(FlowCalLowSetting,MATCH(V855,FlowCalNumber,0),1,1), (INDEX(FlowCalConstA,MATCH(V855,FlowCalNumber,0),1,1)*X862^INDEX(FlowCalConstB,MATCH(V855,FlowCalNumber,0),1,1)&lt;INDEX(FlowCalHighSetting,MATCH(V855,FlowCalNumber,0),1,1))),INDEX(FlowCalConstA,MATCH(V855,FlowCalNumber,0),1,1)*X862^INDEX(FlowCalConstB,MATCH(V855,FlowCalNumber,0),1,1)," ")</f>
        <v>#REF!</v>
      </c>
      <c r="Z862" s="33"/>
      <c r="AA862" s="242">
        <f t="shared" si="816"/>
        <v>0.9</v>
      </c>
      <c r="AB862" s="241" t="e">
        <f t="shared" ca="1" si="817"/>
        <v>#REF!</v>
      </c>
      <c r="AC862" s="243" t="e">
        <f ca="1">IF(AND(INDEX(FlowCalConstA,MATCH(Z855,FlowCalNumber,0),1,1)*AB862^INDEX(FlowCalConstB,MATCH(Z855,FlowCalNumber,0),1,1)&gt;INDEX(FlowCalLowSetting,MATCH(Z855,FlowCalNumber,0),1,1), (INDEX(FlowCalConstA,MATCH(Z855,FlowCalNumber,0),1,1)*AB862^INDEX(FlowCalConstB,MATCH(Z855,FlowCalNumber,0),1,1)&lt;INDEX(FlowCalHighSetting,MATCH(Z855,FlowCalNumber,0),1,1))),INDEX(FlowCalConstA,MATCH(Z855,FlowCalNumber,0),1,1)*AB862^INDEX(FlowCalConstB,MATCH(Z855,FlowCalNumber,0),1,1)," ")</f>
        <v>#REF!</v>
      </c>
      <c r="AD862" s="33"/>
      <c r="AE862" s="242">
        <f t="shared" si="818"/>
        <v>0.1</v>
      </c>
      <c r="AF862" s="241" t="e">
        <f t="shared" ca="1" si="819"/>
        <v>#REF!</v>
      </c>
      <c r="AG862" s="243" t="e">
        <f ca="1">IF(AND(INDEX(FlowCalConstA,MATCH(AD855,FlowCalNumber,0),1,1)*AF862^INDEX(FlowCalConstB,MATCH(AD855,FlowCalNumber,0),1,1)&gt;INDEX(FlowCalLowSetting,MATCH(AD855,FlowCalNumber,0),1,1), (INDEX(FlowCalConstA,MATCH(AD855,FlowCalNumber,0),1,1)*AF862^INDEX(FlowCalConstB,MATCH(AD855,FlowCalNumber,0),1,1)&lt;INDEX(FlowCalHighSetting,MATCH(AD855,FlowCalNumber,0),1,1))),INDEX(FlowCalConstA,MATCH(AD855,FlowCalNumber,0),1,1)*AF862^INDEX(FlowCalConstB,MATCH(AD855,FlowCalNumber,0),1,1)," ")</f>
        <v>#REF!</v>
      </c>
      <c r="AH862" s="33"/>
      <c r="AI862" s="242">
        <f t="shared" si="820"/>
        <v>0.9</v>
      </c>
      <c r="AJ862" s="241" t="e">
        <f t="shared" ca="1" si="821"/>
        <v>#REF!</v>
      </c>
      <c r="AK862" s="243" t="e">
        <f ca="1">IF(AND(INDEX(FlowCalConstA,MATCH(AH855,FlowCalNumber,0),1,1)*AJ862^INDEX(FlowCalConstB,MATCH(AH855,FlowCalNumber,0),1,1)&gt;INDEX(FlowCalLowSetting,MATCH(AH855,FlowCalNumber,0),1,1), (INDEX(FlowCalConstA,MATCH(AH855,FlowCalNumber,0),1,1)*AJ862^INDEX(FlowCalConstB,MATCH(AH855,FlowCalNumber,0),1,1)&lt;INDEX(FlowCalHighSetting,MATCH(AH855,FlowCalNumber,0),1,1))),INDEX(FlowCalConstA,MATCH(AH855,FlowCalNumber,0),1,1)*AJ862^INDEX(FlowCalConstB,MATCH(AH855,FlowCalNumber,0),1,1)," ")</f>
        <v>#REF!</v>
      </c>
      <c r="AL862" s="33"/>
      <c r="AM862" s="242"/>
      <c r="AN862" s="241"/>
      <c r="AO862" s="244"/>
      <c r="AQ862" s="242"/>
      <c r="AR862" s="241"/>
      <c r="AS862" s="244"/>
      <c r="AT862" s="33"/>
      <c r="AU862" s="242"/>
      <c r="AV862" s="241"/>
      <c r="AW862" s="244"/>
      <c r="AX862" s="33"/>
      <c r="AY862" s="242"/>
      <c r="AZ862" s="241"/>
      <c r="BA862" s="244"/>
      <c r="BB862" s="33"/>
      <c r="BC862" s="242"/>
      <c r="BD862" s="241"/>
      <c r="BE862" s="244"/>
      <c r="BF862" s="33"/>
      <c r="BG862" s="242"/>
      <c r="BH862" s="241"/>
      <c r="BI862" s="244"/>
      <c r="BJ862" s="33"/>
      <c r="BK862" s="242"/>
      <c r="BL862" s="241"/>
      <c r="BM862" s="244"/>
      <c r="BN862" s="33"/>
      <c r="BO862" s="242"/>
      <c r="BP862" s="241"/>
      <c r="BQ862" s="244"/>
      <c r="BR862" s="33"/>
      <c r="BS862" s="242"/>
      <c r="BT862" s="241"/>
      <c r="BU862" s="244"/>
      <c r="BV862" s="33"/>
      <c r="BW862" s="242"/>
      <c r="BX862" s="241"/>
      <c r="BY862" s="244"/>
      <c r="BZ862" s="33"/>
      <c r="CA862" s="242"/>
      <c r="CB862" s="241"/>
      <c r="CC862" s="244"/>
      <c r="CD862" s="243"/>
      <c r="CE862" s="243"/>
      <c r="CF862" s="243"/>
      <c r="CG862" s="243"/>
      <c r="CH862" s="243"/>
      <c r="CI862" s="243"/>
      <c r="CJ862" s="243"/>
      <c r="CK862" s="243"/>
      <c r="CL862" s="243"/>
      <c r="CM862" s="243"/>
      <c r="CN862" s="243"/>
      <c r="CO862" s="243"/>
      <c r="CP862" s="243"/>
      <c r="CQ862" s="243"/>
      <c r="CR862" s="243"/>
      <c r="CS862" s="243"/>
      <c r="CT862" s="243"/>
      <c r="CU862" s="243"/>
      <c r="CV862" s="243"/>
      <c r="CW862" s="243"/>
      <c r="CX862" s="243"/>
      <c r="CY862" s="243"/>
      <c r="CZ862" s="243"/>
      <c r="DA862" s="243"/>
      <c r="DB862" s="243"/>
      <c r="DC862" s="243"/>
      <c r="DD862" s="243"/>
      <c r="DE862" s="243"/>
      <c r="DF862" s="243"/>
      <c r="DG862" s="243"/>
      <c r="DH862" s="243"/>
      <c r="DI862" s="243"/>
      <c r="DJ862" s="243"/>
      <c r="DK862" s="243"/>
      <c r="DM862" s="242"/>
      <c r="DO862" s="243"/>
      <c r="DQ862" s="242"/>
      <c r="DS862" s="243"/>
      <c r="DU862" s="242"/>
      <c r="DW862" s="243"/>
      <c r="DY862" s="242"/>
      <c r="EA862" s="243"/>
    </row>
    <row r="863" spans="1:131">
      <c r="A863" s="20"/>
      <c r="B863" s="124" t="str">
        <f t="shared" si="806"/>
        <v/>
      </c>
      <c r="C863" s="235"/>
      <c r="D863" s="24">
        <f>'1% Wind'!$M$89</f>
        <v>7.6</v>
      </c>
      <c r="E863" s="90"/>
      <c r="F863" s="90"/>
      <c r="G863" s="79" t="e">
        <f ca="1">IF(I855=0.9743,$G862,MAX(G862/D862*D863,2))</f>
        <v>#REF!</v>
      </c>
      <c r="H863" s="121" t="e">
        <f t="shared" ca="1" si="807"/>
        <v>#REF!</v>
      </c>
      <c r="J863" s="33"/>
      <c r="K863" s="242">
        <f t="shared" si="808"/>
        <v>1</v>
      </c>
      <c r="L863" s="241" t="e">
        <f t="shared" ca="1" si="809"/>
        <v>#REF!</v>
      </c>
      <c r="M863" s="243" t="e">
        <f ca="1">IF(AND(INDEX(FlowCalConstA,MATCH(J855,FlowCalNumber,0),1,1)*L863^INDEX(FlowCalConstB,MATCH(J855,FlowCalNumber,0),1,1)&gt;INDEX(FlowCalLowSetting,MATCH(J855,FlowCalNumber,0),1,1), (INDEX(FlowCalConstA,MATCH(J855,FlowCalNumber,0),1,1)*L863^INDEX(FlowCalConstB,MATCH(J855,FlowCalNumber,0),1,1)&lt;INDEX(FlowCalHighSetting,MATCH(J855,FlowCalNumber,0),1,1))),INDEX(FlowCalConstA,MATCH(J855,FlowCalNumber,0),1,1)*L863^INDEX(FlowCalConstB,MATCH(J855,FlowCalNumber,0),1,1)," ")</f>
        <v>#REF!</v>
      </c>
      <c r="N863" s="33"/>
      <c r="O863" s="242">
        <f t="shared" si="810"/>
        <v>1</v>
      </c>
      <c r="P863" s="241" t="e">
        <f t="shared" ca="1" si="811"/>
        <v>#REF!</v>
      </c>
      <c r="Q863" s="243" t="e">
        <f ca="1">IF(AND(INDEX(FlowCalConstA,MATCH(N855,FlowCalNumber,0),1,1)*P863^INDEX(FlowCalConstB,MATCH(N855,FlowCalNumber,0),1,1)&gt;INDEX(FlowCalLowSetting,MATCH(N855,FlowCalNumber,0),1,1), (INDEX(FlowCalConstA,MATCH(N855,FlowCalNumber,0),1,1)*P863^INDEX(FlowCalConstB,MATCH(N855,FlowCalNumber,0),1,1)&lt;INDEX(FlowCalHighSetting,MATCH(N855,FlowCalNumber,0),1,1))),INDEX(FlowCalConstA,MATCH(N855,FlowCalNumber,0),1,1)*P863^INDEX(FlowCalConstB,MATCH(N855,FlowCalNumber,0),1,1)," ")</f>
        <v>#REF!</v>
      </c>
      <c r="R863" s="33"/>
      <c r="S863" s="242">
        <f t="shared" si="812"/>
        <v>1</v>
      </c>
      <c r="T863" s="241" t="e">
        <f t="shared" ca="1" si="813"/>
        <v>#REF!</v>
      </c>
      <c r="U863" s="244" t="e">
        <f ca="1">IF(AND(INDEX(FlowCalConstA,MATCH(R855,FlowCalNumber,0),1,1)*T863^INDEX(FlowCalConstB,MATCH(R855,FlowCalNumber,0),1,1)&gt;INDEX(FlowCalLowSetting,MATCH(R855,FlowCalNumber,0),1,1), (INDEX(FlowCalConstA,MATCH(R855,FlowCalNumber,0),1,1)*T863^INDEX(FlowCalConstB,MATCH(R855,FlowCalNumber,0),1,1)&lt;INDEX(FlowCalHighSetting,MATCH(R855,FlowCalNumber,0),1,1))),INDEX(FlowCalConstA,MATCH(R855,FlowCalNumber,0),1,1)*T863^INDEX(FlowCalConstB,MATCH(R855,FlowCalNumber,0),1,1)," ")</f>
        <v>#REF!</v>
      </c>
      <c r="V863" s="33"/>
      <c r="W863" s="242">
        <f t="shared" si="814"/>
        <v>0.1</v>
      </c>
      <c r="X863" s="241" t="e">
        <f t="shared" ca="1" si="815"/>
        <v>#REF!</v>
      </c>
      <c r="Y863" s="243" t="e">
        <f ca="1">IF(AND(INDEX(FlowCalConstA,MATCH(V855,FlowCalNumber,0),1,1)*X863^INDEX(FlowCalConstB,MATCH(V855,FlowCalNumber,0),1,1)&gt;INDEX(FlowCalLowSetting,MATCH(V855,FlowCalNumber,0),1,1), (INDEX(FlowCalConstA,MATCH(V855,FlowCalNumber,0),1,1)*X863^INDEX(FlowCalConstB,MATCH(V855,FlowCalNumber,0),1,1)&lt;INDEX(FlowCalHighSetting,MATCH(V855,FlowCalNumber,0),1,1))),INDEX(FlowCalConstA,MATCH(V855,FlowCalNumber,0),1,1)*X863^INDEX(FlowCalConstB,MATCH(V855,FlowCalNumber,0),1,1)," ")</f>
        <v>#REF!</v>
      </c>
      <c r="Z863" s="33"/>
      <c r="AA863" s="242">
        <f t="shared" si="816"/>
        <v>0.9</v>
      </c>
      <c r="AB863" s="241" t="e">
        <f t="shared" ca="1" si="817"/>
        <v>#REF!</v>
      </c>
      <c r="AC863" s="243" t="e">
        <f ca="1">IF(AND(INDEX(FlowCalConstA,MATCH(Z855,FlowCalNumber,0),1,1)*AB863^INDEX(FlowCalConstB,MATCH(Z855,FlowCalNumber,0),1,1)&gt;INDEX(FlowCalLowSetting,MATCH(Z855,FlowCalNumber,0),1,1), (INDEX(FlowCalConstA,MATCH(Z855,FlowCalNumber,0),1,1)*AB863^INDEX(FlowCalConstB,MATCH(Z855,FlowCalNumber,0),1,1)&lt;INDEX(FlowCalHighSetting,MATCH(Z855,FlowCalNumber,0),1,1))),INDEX(FlowCalConstA,MATCH(Z855,FlowCalNumber,0),1,1)*AB863^INDEX(FlowCalConstB,MATCH(Z855,FlowCalNumber,0),1,1)," ")</f>
        <v>#REF!</v>
      </c>
      <c r="AD863" s="33"/>
      <c r="AE863" s="242">
        <f t="shared" si="818"/>
        <v>0.1</v>
      </c>
      <c r="AF863" s="241" t="e">
        <f t="shared" ca="1" si="819"/>
        <v>#REF!</v>
      </c>
      <c r="AG863" s="243" t="e">
        <f ca="1">IF(AND(INDEX(FlowCalConstA,MATCH(AD855,FlowCalNumber,0),1,1)*AF863^INDEX(FlowCalConstB,MATCH(AD855,FlowCalNumber,0),1,1)&gt;INDEX(FlowCalLowSetting,MATCH(AD855,FlowCalNumber,0),1,1), (INDEX(FlowCalConstA,MATCH(AD855,FlowCalNumber,0),1,1)*AF863^INDEX(FlowCalConstB,MATCH(AD855,FlowCalNumber,0),1,1)&lt;INDEX(FlowCalHighSetting,MATCH(AD855,FlowCalNumber,0),1,1))),INDEX(FlowCalConstA,MATCH(AD855,FlowCalNumber,0),1,1)*AF863^INDEX(FlowCalConstB,MATCH(AD855,FlowCalNumber,0),1,1)," ")</f>
        <v>#REF!</v>
      </c>
      <c r="AH863" s="33"/>
      <c r="AI863" s="242">
        <f t="shared" si="820"/>
        <v>0.9</v>
      </c>
      <c r="AJ863" s="241" t="e">
        <f t="shared" ca="1" si="821"/>
        <v>#REF!</v>
      </c>
      <c r="AK863" s="243" t="e">
        <f ca="1">IF(AND(INDEX(FlowCalConstA,MATCH(AH855,FlowCalNumber,0),1,1)*AJ863^INDEX(FlowCalConstB,MATCH(AH855,FlowCalNumber,0),1,1)&gt;INDEX(FlowCalLowSetting,MATCH(AH855,FlowCalNumber,0),1,1), (INDEX(FlowCalConstA,MATCH(AH855,FlowCalNumber,0),1,1)*AJ863^INDEX(FlowCalConstB,MATCH(AH855,FlowCalNumber,0),1,1)&lt;INDEX(FlowCalHighSetting,MATCH(AH855,FlowCalNumber,0),1,1))),INDEX(FlowCalConstA,MATCH(AH855,FlowCalNumber,0),1,1)*AJ863^INDEX(FlowCalConstB,MATCH(AH855,FlowCalNumber,0),1,1)," ")</f>
        <v>#REF!</v>
      </c>
      <c r="AL863" s="33"/>
      <c r="AM863" s="242"/>
      <c r="AN863" s="241"/>
      <c r="AO863" s="244"/>
      <c r="AQ863" s="242"/>
      <c r="AR863" s="241"/>
      <c r="AS863" s="244"/>
      <c r="AT863" s="33"/>
      <c r="AU863" s="242"/>
      <c r="AV863" s="241"/>
      <c r="AW863" s="244"/>
      <c r="AX863" s="33"/>
      <c r="AY863" s="242"/>
      <c r="AZ863" s="241"/>
      <c r="BA863" s="244"/>
      <c r="BB863" s="33"/>
      <c r="BC863" s="242"/>
      <c r="BD863" s="241"/>
      <c r="BE863" s="244"/>
      <c r="BF863" s="33"/>
      <c r="BG863" s="242"/>
      <c r="BH863" s="241"/>
      <c r="BI863" s="244"/>
      <c r="BJ863" s="33"/>
      <c r="BK863" s="242"/>
      <c r="BL863" s="241"/>
      <c r="BM863" s="244"/>
      <c r="BN863" s="33"/>
      <c r="BO863" s="242"/>
      <c r="BP863" s="241"/>
      <c r="BQ863" s="244"/>
      <c r="BR863" s="33"/>
      <c r="BS863" s="242"/>
      <c r="BT863" s="241"/>
      <c r="BU863" s="244"/>
      <c r="BV863" s="33"/>
      <c r="BW863" s="242"/>
      <c r="BX863" s="241"/>
      <c r="BY863" s="244"/>
      <c r="BZ863" s="33"/>
      <c r="CA863" s="242"/>
      <c r="CB863" s="241"/>
      <c r="CC863" s="244"/>
      <c r="CD863" s="243"/>
      <c r="CE863" s="243"/>
      <c r="CF863" s="243"/>
      <c r="CG863" s="243"/>
      <c r="CH863" s="243"/>
      <c r="CI863" s="243"/>
      <c r="CJ863" s="243"/>
      <c r="CK863" s="243"/>
      <c r="CL863" s="243"/>
      <c r="CM863" s="243"/>
      <c r="CN863" s="243"/>
      <c r="CO863" s="243"/>
      <c r="CP863" s="243"/>
      <c r="CQ863" s="243"/>
      <c r="CR863" s="243"/>
      <c r="CS863" s="243"/>
      <c r="CT863" s="243"/>
      <c r="CU863" s="243"/>
      <c r="CV863" s="243"/>
      <c r="CW863" s="243"/>
      <c r="CX863" s="243"/>
      <c r="CY863" s="243"/>
      <c r="CZ863" s="243"/>
      <c r="DA863" s="243"/>
      <c r="DB863" s="243"/>
      <c r="DC863" s="243"/>
      <c r="DD863" s="243"/>
      <c r="DE863" s="243"/>
      <c r="DF863" s="243"/>
      <c r="DG863" s="243"/>
      <c r="DH863" s="243"/>
      <c r="DI863" s="243"/>
      <c r="DJ863" s="243"/>
      <c r="DK863" s="243"/>
      <c r="DM863" s="242"/>
      <c r="DO863" s="243"/>
      <c r="DQ863" s="242"/>
      <c r="DS863" s="243"/>
      <c r="DU863" s="242"/>
      <c r="DW863" s="243"/>
      <c r="DY863" s="242"/>
      <c r="EA863" s="243"/>
    </row>
    <row r="864" spans="1:131">
      <c r="A864" s="20"/>
      <c r="B864" s="124" t="str">
        <f t="shared" si="806"/>
        <v/>
      </c>
      <c r="C864" s="235"/>
      <c r="D864" s="24">
        <f>'1% Wind'!$M$90</f>
        <v>5.7</v>
      </c>
      <c r="E864" s="90"/>
      <c r="F864" s="90"/>
      <c r="G864" s="79" t="e">
        <f ca="1">IF(I855=0.9743,$G863,MAX(G863/D863*D864,2))</f>
        <v>#REF!</v>
      </c>
      <c r="H864" s="121" t="e">
        <f t="shared" ca="1" si="807"/>
        <v>#REF!</v>
      </c>
      <c r="J864" s="33"/>
      <c r="K864" s="242">
        <f t="shared" si="808"/>
        <v>1</v>
      </c>
      <c r="L864" s="241" t="e">
        <f t="shared" ca="1" si="809"/>
        <v>#REF!</v>
      </c>
      <c r="M864" s="243" t="e">
        <f ca="1">IF(AND(INDEX(FlowCalConstA,MATCH(J855,FlowCalNumber,0),1,1)*L864^INDEX(FlowCalConstB,MATCH(J855,FlowCalNumber,0),1,1)&gt;INDEX(FlowCalLowSetting,MATCH(J855,FlowCalNumber,0),1,1), (INDEX(FlowCalConstA,MATCH(J855,FlowCalNumber,0),1,1)*L864^INDEX(FlowCalConstB,MATCH(J855,FlowCalNumber,0),1,1)&lt;INDEX(FlowCalHighSetting,MATCH(J855,FlowCalNumber,0),1,1))),INDEX(FlowCalConstA,MATCH(J855,FlowCalNumber,0),1,1)*L864^INDEX(FlowCalConstB,MATCH(J855,FlowCalNumber,0),1,1)," ")</f>
        <v>#REF!</v>
      </c>
      <c r="N864" s="33"/>
      <c r="O864" s="242">
        <f t="shared" si="810"/>
        <v>1</v>
      </c>
      <c r="P864" s="241" t="e">
        <f t="shared" ca="1" si="811"/>
        <v>#REF!</v>
      </c>
      <c r="Q864" s="243" t="e">
        <f ca="1">IF(AND(INDEX(FlowCalConstA,MATCH(N855,FlowCalNumber,0),1,1)*P864^INDEX(FlowCalConstB,MATCH(N855,FlowCalNumber,0),1,1)&gt;INDEX(FlowCalLowSetting,MATCH(N855,FlowCalNumber,0),1,1), (INDEX(FlowCalConstA,MATCH(N855,FlowCalNumber,0),1,1)*P864^INDEX(FlowCalConstB,MATCH(N855,FlowCalNumber,0),1,1)&lt;INDEX(FlowCalHighSetting,MATCH(N855,FlowCalNumber,0),1,1))),INDEX(FlowCalConstA,MATCH(N855,FlowCalNumber,0),1,1)*P864^INDEX(FlowCalConstB,MATCH(N855,FlowCalNumber,0),1,1)," ")</f>
        <v>#REF!</v>
      </c>
      <c r="R864" s="33"/>
      <c r="S864" s="242">
        <f t="shared" si="812"/>
        <v>1</v>
      </c>
      <c r="T864" s="241" t="e">
        <f t="shared" ca="1" si="813"/>
        <v>#REF!</v>
      </c>
      <c r="U864" s="244" t="e">
        <f ca="1">IF(AND(INDEX(FlowCalConstA,MATCH(R855,FlowCalNumber,0),1,1)*T864^INDEX(FlowCalConstB,MATCH(R855,FlowCalNumber,0),1,1)&gt;INDEX(FlowCalLowSetting,MATCH(R855,FlowCalNumber,0),1,1), (INDEX(FlowCalConstA,MATCH(R855,FlowCalNumber,0),1,1)*T864^INDEX(FlowCalConstB,MATCH(R855,FlowCalNumber,0),1,1)&lt;INDEX(FlowCalHighSetting,MATCH(R855,FlowCalNumber,0),1,1))),INDEX(FlowCalConstA,MATCH(R855,FlowCalNumber,0),1,1)*T864^INDEX(FlowCalConstB,MATCH(R855,FlowCalNumber,0),1,1)," ")</f>
        <v>#REF!</v>
      </c>
      <c r="V864" s="33"/>
      <c r="W864" s="242">
        <f t="shared" si="814"/>
        <v>0.1</v>
      </c>
      <c r="X864" s="241" t="e">
        <f t="shared" ca="1" si="815"/>
        <v>#REF!</v>
      </c>
      <c r="Y864" s="243" t="e">
        <f ca="1">IF(AND(INDEX(FlowCalConstA,MATCH(V855,FlowCalNumber,0),1,1)*X864^INDEX(FlowCalConstB,MATCH(V855,FlowCalNumber,0),1,1)&gt;INDEX(FlowCalLowSetting,MATCH(V855,FlowCalNumber,0),1,1), (INDEX(FlowCalConstA,MATCH(V855,FlowCalNumber,0),1,1)*X864^INDEX(FlowCalConstB,MATCH(V855,FlowCalNumber,0),1,1)&lt;INDEX(FlowCalHighSetting,MATCH(V855,FlowCalNumber,0),1,1))),INDEX(FlowCalConstA,MATCH(V855,FlowCalNumber,0),1,1)*X864^INDEX(FlowCalConstB,MATCH(V855,FlowCalNumber,0),1,1)," ")</f>
        <v>#REF!</v>
      </c>
      <c r="Z864" s="33"/>
      <c r="AA864" s="242">
        <f t="shared" si="816"/>
        <v>0.9</v>
      </c>
      <c r="AB864" s="241" t="e">
        <f t="shared" ca="1" si="817"/>
        <v>#REF!</v>
      </c>
      <c r="AC864" s="243" t="e">
        <f ca="1">IF(AND(INDEX(FlowCalConstA,MATCH(Z855,FlowCalNumber,0),1,1)*AB864^INDEX(FlowCalConstB,MATCH(Z855,FlowCalNumber,0),1,1)&gt;INDEX(FlowCalLowSetting,MATCH(Z855,FlowCalNumber,0),1,1), (INDEX(FlowCalConstA,MATCH(Z855,FlowCalNumber,0),1,1)*AB864^INDEX(FlowCalConstB,MATCH(Z855,FlowCalNumber,0),1,1)&lt;INDEX(FlowCalHighSetting,MATCH(Z855,FlowCalNumber,0),1,1))),INDEX(FlowCalConstA,MATCH(Z855,FlowCalNumber,0),1,1)*AB864^INDEX(FlowCalConstB,MATCH(Z855,FlowCalNumber,0),1,1)," ")</f>
        <v>#REF!</v>
      </c>
      <c r="AD864" s="33"/>
      <c r="AE864" s="242">
        <f t="shared" si="818"/>
        <v>0.1</v>
      </c>
      <c r="AF864" s="241" t="e">
        <f t="shared" ca="1" si="819"/>
        <v>#REF!</v>
      </c>
      <c r="AG864" s="243" t="e">
        <f ca="1">IF(AND(INDEX(FlowCalConstA,MATCH(AD855,FlowCalNumber,0),1,1)*AF864^INDEX(FlowCalConstB,MATCH(AD855,FlowCalNumber,0),1,1)&gt;INDEX(FlowCalLowSetting,MATCH(AD855,FlowCalNumber,0),1,1), (INDEX(FlowCalConstA,MATCH(AD855,FlowCalNumber,0),1,1)*AF864^INDEX(FlowCalConstB,MATCH(AD855,FlowCalNumber,0),1,1)&lt;INDEX(FlowCalHighSetting,MATCH(AD855,FlowCalNumber,0),1,1))),INDEX(FlowCalConstA,MATCH(AD855,FlowCalNumber,0),1,1)*AF864^INDEX(FlowCalConstB,MATCH(AD855,FlowCalNumber,0),1,1)," ")</f>
        <v>#REF!</v>
      </c>
      <c r="AH864" s="33"/>
      <c r="AI864" s="242">
        <f t="shared" si="820"/>
        <v>0.9</v>
      </c>
      <c r="AJ864" s="241" t="e">
        <f t="shared" ca="1" si="821"/>
        <v>#REF!</v>
      </c>
      <c r="AK864" s="243" t="e">
        <f ca="1">IF(AND(INDEX(FlowCalConstA,MATCH(AH855,FlowCalNumber,0),1,1)*AJ864^INDEX(FlowCalConstB,MATCH(AH855,FlowCalNumber,0),1,1)&gt;INDEX(FlowCalLowSetting,MATCH(AH855,FlowCalNumber,0),1,1), (INDEX(FlowCalConstA,MATCH(AH855,FlowCalNumber,0),1,1)*AJ864^INDEX(FlowCalConstB,MATCH(AH855,FlowCalNumber,0),1,1)&lt;INDEX(FlowCalHighSetting,MATCH(AH855,FlowCalNumber,0),1,1))),INDEX(FlowCalConstA,MATCH(AH855,FlowCalNumber,0),1,1)*AJ864^INDEX(FlowCalConstB,MATCH(AH855,FlowCalNumber,0),1,1)," ")</f>
        <v>#REF!</v>
      </c>
      <c r="AL864" s="33"/>
      <c r="AM864" s="242"/>
      <c r="AN864" s="241"/>
      <c r="AO864" s="244"/>
      <c r="AQ864" s="242"/>
      <c r="AR864" s="241"/>
      <c r="AS864" s="244"/>
      <c r="AT864" s="33"/>
      <c r="AU864" s="242"/>
      <c r="AV864" s="241"/>
      <c r="AW864" s="244"/>
      <c r="AX864" s="33"/>
      <c r="AY864" s="242"/>
      <c r="AZ864" s="241"/>
      <c r="BA864" s="244"/>
      <c r="BB864" s="33"/>
      <c r="BC864" s="242"/>
      <c r="BD864" s="241"/>
      <c r="BE864" s="244"/>
      <c r="BF864" s="33"/>
      <c r="BG864" s="242"/>
      <c r="BH864" s="241"/>
      <c r="BI864" s="244"/>
      <c r="BJ864" s="33"/>
      <c r="BK864" s="242"/>
      <c r="BL864" s="241"/>
      <c r="BM864" s="244"/>
      <c r="BN864" s="33"/>
      <c r="BO864" s="242"/>
      <c r="BP864" s="241"/>
      <c r="BQ864" s="244"/>
      <c r="BR864" s="33"/>
      <c r="BS864" s="242"/>
      <c r="BT864" s="241"/>
      <c r="BU864" s="244"/>
      <c r="BV864" s="33"/>
      <c r="BW864" s="242"/>
      <c r="BX864" s="241"/>
      <c r="BY864" s="244"/>
      <c r="BZ864" s="33"/>
      <c r="CA864" s="242"/>
      <c r="CB864" s="241"/>
      <c r="CC864" s="244"/>
      <c r="CD864" s="243"/>
      <c r="CE864" s="243"/>
      <c r="CF864" s="243"/>
      <c r="CG864" s="243"/>
      <c r="CH864" s="243"/>
      <c r="CI864" s="243"/>
      <c r="CJ864" s="243"/>
      <c r="CK864" s="243"/>
      <c r="CL864" s="243"/>
      <c r="CM864" s="243"/>
      <c r="CN864" s="243"/>
      <c r="CO864" s="243"/>
      <c r="CP864" s="243"/>
      <c r="CQ864" s="243"/>
      <c r="CR864" s="243"/>
      <c r="CS864" s="243"/>
      <c r="CT864" s="243"/>
      <c r="CU864" s="243"/>
      <c r="CV864" s="243"/>
      <c r="CW864" s="243"/>
      <c r="CX864" s="243"/>
      <c r="CY864" s="243"/>
      <c r="CZ864" s="243"/>
      <c r="DA864" s="243"/>
      <c r="DB864" s="243"/>
      <c r="DC864" s="243"/>
      <c r="DD864" s="243"/>
      <c r="DE864" s="243"/>
      <c r="DF864" s="243"/>
      <c r="DG864" s="243"/>
      <c r="DH864" s="243"/>
      <c r="DI864" s="243"/>
      <c r="DJ864" s="243"/>
      <c r="DK864" s="243"/>
      <c r="DM864" s="242"/>
      <c r="DO864" s="243"/>
      <c r="DQ864" s="242"/>
      <c r="DS864" s="243"/>
      <c r="DU864" s="242"/>
      <c r="DW864" s="243"/>
      <c r="DY864" s="242"/>
      <c r="EA864" s="243"/>
    </row>
    <row r="865" spans="1:131">
      <c r="A865" s="20"/>
      <c r="B865" s="124" t="str">
        <f t="shared" si="806"/>
        <v/>
      </c>
      <c r="C865" s="235"/>
      <c r="D865" s="24">
        <f>'1% Wind'!$M$91</f>
        <v>4.2</v>
      </c>
      <c r="E865" s="90"/>
      <c r="F865" s="90"/>
      <c r="G865" s="79" t="e">
        <f ca="1">IF(I855=0.9743,$G864,MAX(G864/D864*D865,2))</f>
        <v>#REF!</v>
      </c>
      <c r="H865" s="121" t="e">
        <f t="shared" ca="1" si="807"/>
        <v>#REF!</v>
      </c>
      <c r="J865" s="33"/>
      <c r="K865" s="242">
        <f t="shared" si="808"/>
        <v>1</v>
      </c>
      <c r="L865" s="241" t="e">
        <f t="shared" ca="1" si="809"/>
        <v>#REF!</v>
      </c>
      <c r="M865" s="243" t="e">
        <f ca="1">IF(AND(INDEX(FlowCalConstA,MATCH(J855,FlowCalNumber,0),1,1)*L865^INDEX(FlowCalConstB,MATCH(J855,FlowCalNumber,0),1,1)&gt;INDEX(FlowCalLowSetting,MATCH(J855,FlowCalNumber,0),1,1), (INDEX(FlowCalConstA,MATCH(J855,FlowCalNumber,0),1,1)*L865^INDEX(FlowCalConstB,MATCH(J855,FlowCalNumber,0),1,1)&lt;INDEX(FlowCalHighSetting,MATCH(J855,FlowCalNumber,0),1,1))),INDEX(FlowCalConstA,MATCH(J855,FlowCalNumber,0),1,1)*L865^INDEX(FlowCalConstB,MATCH(J855,FlowCalNumber,0),1,1)," ")</f>
        <v>#REF!</v>
      </c>
      <c r="N865" s="33"/>
      <c r="O865" s="242">
        <f t="shared" si="810"/>
        <v>1</v>
      </c>
      <c r="P865" s="241" t="e">
        <f t="shared" ca="1" si="811"/>
        <v>#REF!</v>
      </c>
      <c r="Q865" s="243" t="e">
        <f ca="1">IF(AND(INDEX(FlowCalConstA,MATCH(N855,FlowCalNumber,0),1,1)*P865^INDEX(FlowCalConstB,MATCH(N855,FlowCalNumber,0),1,1)&gt;INDEX(FlowCalLowSetting,MATCH(N855,FlowCalNumber,0),1,1), (INDEX(FlowCalConstA,MATCH(N855,FlowCalNumber,0),1,1)*P865^INDEX(FlowCalConstB,MATCH(N855,FlowCalNumber,0),1,1)&lt;INDEX(FlowCalHighSetting,MATCH(N855,FlowCalNumber,0),1,1))),INDEX(FlowCalConstA,MATCH(N855,FlowCalNumber,0),1,1)*P865^INDEX(FlowCalConstB,MATCH(N855,FlowCalNumber,0),1,1)," ")</f>
        <v>#REF!</v>
      </c>
      <c r="R865" s="33"/>
      <c r="S865" s="242">
        <f t="shared" si="812"/>
        <v>1</v>
      </c>
      <c r="T865" s="241" t="e">
        <f t="shared" ca="1" si="813"/>
        <v>#REF!</v>
      </c>
      <c r="U865" s="244" t="e">
        <f ca="1">IF(AND(INDEX(FlowCalConstA,MATCH(R855,FlowCalNumber,0),1,1)*T865^INDEX(FlowCalConstB,MATCH(R855,FlowCalNumber,0),1,1)&gt;INDEX(FlowCalLowSetting,MATCH(R855,FlowCalNumber,0),1,1), (INDEX(FlowCalConstA,MATCH(R855,FlowCalNumber,0),1,1)*T865^INDEX(FlowCalConstB,MATCH(R855,FlowCalNumber,0),1,1)&lt;INDEX(FlowCalHighSetting,MATCH(R855,FlowCalNumber,0),1,1))),INDEX(FlowCalConstA,MATCH(R855,FlowCalNumber,0),1,1)*T865^INDEX(FlowCalConstB,MATCH(R855,FlowCalNumber,0),1,1)," ")</f>
        <v>#REF!</v>
      </c>
      <c r="V865" s="33"/>
      <c r="W865" s="242">
        <f t="shared" si="814"/>
        <v>0.1</v>
      </c>
      <c r="X865" s="241" t="e">
        <f t="shared" ca="1" si="815"/>
        <v>#REF!</v>
      </c>
      <c r="Y865" s="243" t="e">
        <f ca="1">IF(AND(INDEX(FlowCalConstA,MATCH(V855,FlowCalNumber,0),1,1)*X865^INDEX(FlowCalConstB,MATCH(V855,FlowCalNumber,0),1,1)&gt;INDEX(FlowCalLowSetting,MATCH(V855,FlowCalNumber,0),1,1), (INDEX(FlowCalConstA,MATCH(V855,FlowCalNumber,0),1,1)*X865^INDEX(FlowCalConstB,MATCH(V855,FlowCalNumber,0),1,1)&lt;INDEX(FlowCalHighSetting,MATCH(V855,FlowCalNumber,0),1,1))),INDEX(FlowCalConstA,MATCH(V855,FlowCalNumber,0),1,1)*X865^INDEX(FlowCalConstB,MATCH(V855,FlowCalNumber,0),1,1)," ")</f>
        <v>#REF!</v>
      </c>
      <c r="Z865" s="33"/>
      <c r="AA865" s="242">
        <f t="shared" si="816"/>
        <v>0.9</v>
      </c>
      <c r="AB865" s="241" t="e">
        <f t="shared" ca="1" si="817"/>
        <v>#REF!</v>
      </c>
      <c r="AC865" s="243" t="e">
        <f ca="1">IF(AND(INDEX(FlowCalConstA,MATCH(Z855,FlowCalNumber,0),1,1)*AB865^INDEX(FlowCalConstB,MATCH(Z855,FlowCalNumber,0),1,1)&gt;INDEX(FlowCalLowSetting,MATCH(Z855,FlowCalNumber,0),1,1), (INDEX(FlowCalConstA,MATCH(Z855,FlowCalNumber,0),1,1)*AB865^INDEX(FlowCalConstB,MATCH(Z855,FlowCalNumber,0),1,1)&lt;INDEX(FlowCalHighSetting,MATCH(Z855,FlowCalNumber,0),1,1))),INDEX(FlowCalConstA,MATCH(Z855,FlowCalNumber,0),1,1)*AB865^INDEX(FlowCalConstB,MATCH(Z855,FlowCalNumber,0),1,1)," ")</f>
        <v>#REF!</v>
      </c>
      <c r="AD865" s="33"/>
      <c r="AE865" s="242">
        <f t="shared" si="818"/>
        <v>0.1</v>
      </c>
      <c r="AF865" s="241" t="e">
        <f t="shared" ca="1" si="819"/>
        <v>#REF!</v>
      </c>
      <c r="AG865" s="243" t="e">
        <f ca="1">IF(AND(INDEX(FlowCalConstA,MATCH(AD855,FlowCalNumber,0),1,1)*AF865^INDEX(FlowCalConstB,MATCH(AD855,FlowCalNumber,0),1,1)&gt;INDEX(FlowCalLowSetting,MATCH(AD855,FlowCalNumber,0),1,1), (INDEX(FlowCalConstA,MATCH(AD855,FlowCalNumber,0),1,1)*AF865^INDEX(FlowCalConstB,MATCH(AD855,FlowCalNumber,0),1,1)&lt;INDEX(FlowCalHighSetting,MATCH(AD855,FlowCalNumber,0),1,1))),INDEX(FlowCalConstA,MATCH(AD855,FlowCalNumber,0),1,1)*AF865^INDEX(FlowCalConstB,MATCH(AD855,FlowCalNumber,0),1,1)," ")</f>
        <v>#REF!</v>
      </c>
      <c r="AH865" s="33"/>
      <c r="AI865" s="242">
        <f t="shared" si="820"/>
        <v>0.9</v>
      </c>
      <c r="AJ865" s="241" t="e">
        <f t="shared" ca="1" si="821"/>
        <v>#REF!</v>
      </c>
      <c r="AK865" s="243" t="e">
        <f ca="1">IF(AND(INDEX(FlowCalConstA,MATCH(AH855,FlowCalNumber,0),1,1)*AJ865^INDEX(FlowCalConstB,MATCH(AH855,FlowCalNumber,0),1,1)&gt;INDEX(FlowCalLowSetting,MATCH(AH855,FlowCalNumber,0),1,1), (INDEX(FlowCalConstA,MATCH(AH855,FlowCalNumber,0),1,1)*AJ865^INDEX(FlowCalConstB,MATCH(AH855,FlowCalNumber,0),1,1)&lt;INDEX(FlowCalHighSetting,MATCH(AH855,FlowCalNumber,0),1,1))),INDEX(FlowCalConstA,MATCH(AH855,FlowCalNumber,0),1,1)*AJ865^INDEX(FlowCalConstB,MATCH(AH855,FlowCalNumber,0),1,1)," ")</f>
        <v>#REF!</v>
      </c>
      <c r="AL865" s="33"/>
      <c r="AM865" s="242"/>
      <c r="AN865" s="241"/>
      <c r="AO865" s="244"/>
      <c r="AQ865" s="242"/>
      <c r="AR865" s="241"/>
      <c r="AS865" s="244"/>
      <c r="AT865" s="33"/>
      <c r="AU865" s="242"/>
      <c r="AV865" s="241"/>
      <c r="AW865" s="244"/>
      <c r="AX865" s="33"/>
      <c r="AY865" s="242"/>
      <c r="AZ865" s="241"/>
      <c r="BA865" s="244"/>
      <c r="BB865" s="33"/>
      <c r="BC865" s="242"/>
      <c r="BD865" s="241"/>
      <c r="BE865" s="244"/>
      <c r="BF865" s="33"/>
      <c r="BG865" s="242"/>
      <c r="BH865" s="241"/>
      <c r="BI865" s="244"/>
      <c r="BJ865" s="33"/>
      <c r="BK865" s="242"/>
      <c r="BL865" s="241"/>
      <c r="BM865" s="244"/>
      <c r="BN865" s="33"/>
      <c r="BO865" s="242"/>
      <c r="BP865" s="241"/>
      <c r="BQ865" s="244"/>
      <c r="BR865" s="33"/>
      <c r="BS865" s="242"/>
      <c r="BT865" s="241"/>
      <c r="BU865" s="244"/>
      <c r="BV865" s="33"/>
      <c r="BW865" s="242"/>
      <c r="BX865" s="241"/>
      <c r="BY865" s="244"/>
      <c r="BZ865" s="33"/>
      <c r="CA865" s="242"/>
      <c r="CB865" s="241"/>
      <c r="CC865" s="244"/>
      <c r="CD865" s="243"/>
      <c r="CE865" s="243"/>
      <c r="CF865" s="243"/>
      <c r="CG865" s="243"/>
      <c r="CH865" s="243"/>
      <c r="CI865" s="243"/>
      <c r="CJ865" s="243"/>
      <c r="CK865" s="243"/>
      <c r="CL865" s="243"/>
      <c r="CM865" s="243"/>
      <c r="CN865" s="243"/>
      <c r="CO865" s="243"/>
      <c r="CP865" s="243"/>
      <c r="CQ865" s="243"/>
      <c r="CR865" s="243"/>
      <c r="CS865" s="243"/>
      <c r="CT865" s="243"/>
      <c r="CU865" s="243"/>
      <c r="CV865" s="243"/>
      <c r="CW865" s="243"/>
      <c r="CX865" s="243"/>
      <c r="CY865" s="243"/>
      <c r="CZ865" s="243"/>
      <c r="DA865" s="243"/>
      <c r="DB865" s="243"/>
      <c r="DC865" s="243"/>
      <c r="DD865" s="243"/>
      <c r="DE865" s="243"/>
      <c r="DF865" s="243"/>
      <c r="DG865" s="243"/>
      <c r="DH865" s="243"/>
      <c r="DI865" s="243"/>
      <c r="DJ865" s="243"/>
      <c r="DK865" s="243"/>
      <c r="DM865" s="242"/>
      <c r="DO865" s="243"/>
      <c r="DQ865" s="242"/>
      <c r="DS865" s="243"/>
      <c r="DU865" s="242"/>
      <c r="DW865" s="243"/>
      <c r="DY865" s="242"/>
      <c r="EA865" s="243"/>
    </row>
    <row r="866" spans="1:131">
      <c r="A866" s="20"/>
      <c r="B866" s="124" t="str">
        <f t="shared" si="806"/>
        <v/>
      </c>
      <c r="C866" s="235"/>
      <c r="D866" s="24">
        <f>'1% Wind'!$M$92</f>
        <v>3.2</v>
      </c>
      <c r="E866" s="90"/>
      <c r="F866" s="90"/>
      <c r="G866" s="79" t="e">
        <f ca="1">IF(I855=0.9743,$G865,MAX(G865/D865*D866,2))</f>
        <v>#REF!</v>
      </c>
      <c r="H866" s="121" t="e">
        <f t="shared" ca="1" si="807"/>
        <v>#REF!</v>
      </c>
      <c r="J866" s="33"/>
      <c r="K866" s="242">
        <f t="shared" si="808"/>
        <v>1</v>
      </c>
      <c r="L866" s="241" t="e">
        <f t="shared" ca="1" si="809"/>
        <v>#REF!</v>
      </c>
      <c r="M866" s="243" t="e">
        <f ca="1">IF(AND(INDEX(FlowCalConstA,MATCH(J855,FlowCalNumber,0),1,1)*L866^INDEX(FlowCalConstB,MATCH(J855,FlowCalNumber,0),1,1)&gt;INDEX(FlowCalLowSetting,MATCH(J855,FlowCalNumber,0),1,1), (INDEX(FlowCalConstA,MATCH(J855,FlowCalNumber,0),1,1)*L866^INDEX(FlowCalConstB,MATCH(J855,FlowCalNumber,0),1,1)&lt;INDEX(FlowCalHighSetting,MATCH(J855,FlowCalNumber,0),1,1))),INDEX(FlowCalConstA,MATCH(J855,FlowCalNumber,0),1,1)*L866^INDEX(FlowCalConstB,MATCH(J855,FlowCalNumber,0),1,1)," ")</f>
        <v>#REF!</v>
      </c>
      <c r="N866" s="33"/>
      <c r="O866" s="242">
        <f t="shared" si="810"/>
        <v>1</v>
      </c>
      <c r="P866" s="241" t="e">
        <f t="shared" ca="1" si="811"/>
        <v>#REF!</v>
      </c>
      <c r="Q866" s="243" t="e">
        <f ca="1">IF(AND(INDEX(FlowCalConstA,MATCH(N855,FlowCalNumber,0),1,1)*P866^INDEX(FlowCalConstB,MATCH(N855,FlowCalNumber,0),1,1)&gt;INDEX(FlowCalLowSetting,MATCH(N855,FlowCalNumber,0),1,1), (INDEX(FlowCalConstA,MATCH(N855,FlowCalNumber,0),1,1)*P866^INDEX(FlowCalConstB,MATCH(N855,FlowCalNumber,0),1,1)&lt;INDEX(FlowCalHighSetting,MATCH(N855,FlowCalNumber,0),1,1))),INDEX(FlowCalConstA,MATCH(N855,FlowCalNumber,0),1,1)*P866^INDEX(FlowCalConstB,MATCH(N855,FlowCalNumber,0),1,1)," ")</f>
        <v>#REF!</v>
      </c>
      <c r="R866" s="33"/>
      <c r="S866" s="242">
        <f t="shared" si="812"/>
        <v>1</v>
      </c>
      <c r="T866" s="241" t="e">
        <f t="shared" ca="1" si="813"/>
        <v>#REF!</v>
      </c>
      <c r="U866" s="244" t="e">
        <f ca="1">IF(AND(INDEX(FlowCalConstA,MATCH(R855,FlowCalNumber,0),1,1)*T866^INDEX(FlowCalConstB,MATCH(R855,FlowCalNumber,0),1,1)&gt;INDEX(FlowCalLowSetting,MATCH(R855,FlowCalNumber,0),1,1), (INDEX(FlowCalConstA,MATCH(R855,FlowCalNumber,0),1,1)*T866^INDEX(FlowCalConstB,MATCH(R855,FlowCalNumber,0),1,1)&lt;INDEX(FlowCalHighSetting,MATCH(R855,FlowCalNumber,0),1,1))),INDEX(FlowCalConstA,MATCH(R855,FlowCalNumber,0),1,1)*T866^INDEX(FlowCalConstB,MATCH(R855,FlowCalNumber,0),1,1)," ")</f>
        <v>#REF!</v>
      </c>
      <c r="V866" s="33"/>
      <c r="W866" s="242">
        <f t="shared" si="814"/>
        <v>0.1</v>
      </c>
      <c r="X866" s="241" t="e">
        <f t="shared" ca="1" si="815"/>
        <v>#REF!</v>
      </c>
      <c r="Y866" s="243" t="e">
        <f ca="1">IF(AND(INDEX(FlowCalConstA,MATCH(V855,FlowCalNumber,0),1,1)*X866^INDEX(FlowCalConstB,MATCH(V855,FlowCalNumber,0),1,1)&gt;INDEX(FlowCalLowSetting,MATCH(V855,FlowCalNumber,0),1,1), (INDEX(FlowCalConstA,MATCH(V855,FlowCalNumber,0),1,1)*X866^INDEX(FlowCalConstB,MATCH(V855,FlowCalNumber,0),1,1)&lt;INDEX(FlowCalHighSetting,MATCH(V855,FlowCalNumber,0),1,1))),INDEX(FlowCalConstA,MATCH(V855,FlowCalNumber,0),1,1)*X866^INDEX(FlowCalConstB,MATCH(V855,FlowCalNumber,0),1,1)," ")</f>
        <v>#REF!</v>
      </c>
      <c r="Z866" s="33"/>
      <c r="AA866" s="242">
        <f t="shared" si="816"/>
        <v>0.9</v>
      </c>
      <c r="AB866" s="241" t="e">
        <f t="shared" ca="1" si="817"/>
        <v>#REF!</v>
      </c>
      <c r="AC866" s="243" t="e">
        <f ca="1">IF(AND(INDEX(FlowCalConstA,MATCH(Z855,FlowCalNumber,0),1,1)*AB866^INDEX(FlowCalConstB,MATCH(Z855,FlowCalNumber,0),1,1)&gt;INDEX(FlowCalLowSetting,MATCH(Z855,FlowCalNumber,0),1,1), (INDEX(FlowCalConstA,MATCH(Z855,FlowCalNumber,0),1,1)*AB866^INDEX(FlowCalConstB,MATCH(Z855,FlowCalNumber,0),1,1)&lt;INDEX(FlowCalHighSetting,MATCH(Z855,FlowCalNumber,0),1,1))),INDEX(FlowCalConstA,MATCH(Z855,FlowCalNumber,0),1,1)*AB866^INDEX(FlowCalConstB,MATCH(Z855,FlowCalNumber,0),1,1)," ")</f>
        <v>#REF!</v>
      </c>
      <c r="AD866" s="33"/>
      <c r="AE866" s="242">
        <f t="shared" si="818"/>
        <v>0.1</v>
      </c>
      <c r="AF866" s="241" t="e">
        <f t="shared" ca="1" si="819"/>
        <v>#REF!</v>
      </c>
      <c r="AG866" s="243" t="e">
        <f ca="1">IF(AND(INDEX(FlowCalConstA,MATCH(AD855,FlowCalNumber,0),1,1)*AF866^INDEX(FlowCalConstB,MATCH(AD855,FlowCalNumber,0),1,1)&gt;INDEX(FlowCalLowSetting,MATCH(AD855,FlowCalNumber,0),1,1), (INDEX(FlowCalConstA,MATCH(AD855,FlowCalNumber,0),1,1)*AF866^INDEX(FlowCalConstB,MATCH(AD855,FlowCalNumber,0),1,1)&lt;INDEX(FlowCalHighSetting,MATCH(AD855,FlowCalNumber,0),1,1))),INDEX(FlowCalConstA,MATCH(AD855,FlowCalNumber,0),1,1)*AF866^INDEX(FlowCalConstB,MATCH(AD855,FlowCalNumber,0),1,1)," ")</f>
        <v>#REF!</v>
      </c>
      <c r="AH866" s="33"/>
      <c r="AI866" s="242">
        <f t="shared" si="820"/>
        <v>0.9</v>
      </c>
      <c r="AJ866" s="241" t="e">
        <f t="shared" ca="1" si="821"/>
        <v>#REF!</v>
      </c>
      <c r="AK866" s="243" t="e">
        <f ca="1">IF(AND(INDEX(FlowCalConstA,MATCH(AH855,FlowCalNumber,0),1,1)*AJ866^INDEX(FlowCalConstB,MATCH(AH855,FlowCalNumber,0),1,1)&gt;INDEX(FlowCalLowSetting,MATCH(AH855,FlowCalNumber,0),1,1), (INDEX(FlowCalConstA,MATCH(AH855,FlowCalNumber,0),1,1)*AJ866^INDEX(FlowCalConstB,MATCH(AH855,FlowCalNumber,0),1,1)&lt;INDEX(FlowCalHighSetting,MATCH(AH855,FlowCalNumber,0),1,1))),INDEX(FlowCalConstA,MATCH(AH855,FlowCalNumber,0),1,1)*AJ866^INDEX(FlowCalConstB,MATCH(AH855,FlowCalNumber,0),1,1)," ")</f>
        <v>#REF!</v>
      </c>
      <c r="AL866" s="33"/>
      <c r="AM866" s="242"/>
      <c r="AN866" s="241"/>
      <c r="AO866" s="244"/>
      <c r="AQ866" s="242"/>
      <c r="AR866" s="241"/>
      <c r="AS866" s="244"/>
      <c r="AT866" s="33"/>
      <c r="AU866" s="242"/>
      <c r="AV866" s="241"/>
      <c r="AW866" s="244"/>
      <c r="AX866" s="33"/>
      <c r="AY866" s="242"/>
      <c r="AZ866" s="241"/>
      <c r="BA866" s="244"/>
      <c r="BB866" s="33"/>
      <c r="BC866" s="242"/>
      <c r="BD866" s="241"/>
      <c r="BE866" s="244"/>
      <c r="BF866" s="33"/>
      <c r="BG866" s="242"/>
      <c r="BH866" s="241"/>
      <c r="BI866" s="244"/>
      <c r="BJ866" s="33"/>
      <c r="BK866" s="242"/>
      <c r="BL866" s="241"/>
      <c r="BM866" s="244"/>
      <c r="BN866" s="33"/>
      <c r="BO866" s="242"/>
      <c r="BP866" s="241"/>
      <c r="BQ866" s="244"/>
      <c r="BR866" s="33"/>
      <c r="BS866" s="242"/>
      <c r="BT866" s="241"/>
      <c r="BU866" s="244"/>
      <c r="BV866" s="33"/>
      <c r="BW866" s="242"/>
      <c r="BX866" s="241"/>
      <c r="BY866" s="244"/>
      <c r="BZ866" s="33"/>
      <c r="CA866" s="242"/>
      <c r="CB866" s="241"/>
      <c r="CC866" s="244"/>
      <c r="CD866" s="243"/>
      <c r="CE866" s="243"/>
      <c r="CF866" s="243"/>
      <c r="CG866" s="243"/>
      <c r="CH866" s="243"/>
      <c r="CI866" s="243"/>
      <c r="CJ866" s="243"/>
      <c r="CK866" s="243"/>
      <c r="CL866" s="243"/>
      <c r="CM866" s="243"/>
      <c r="CN866" s="243"/>
      <c r="CO866" s="243"/>
      <c r="CP866" s="243"/>
      <c r="CQ866" s="243"/>
      <c r="CR866" s="243"/>
      <c r="CS866" s="243"/>
      <c r="CT866" s="243"/>
      <c r="CU866" s="243"/>
      <c r="CV866" s="243"/>
      <c r="CW866" s="243"/>
      <c r="CX866" s="243"/>
      <c r="CY866" s="243"/>
      <c r="CZ866" s="243"/>
      <c r="DA866" s="243"/>
      <c r="DB866" s="243"/>
      <c r="DC866" s="243"/>
      <c r="DD866" s="243"/>
      <c r="DE866" s="243"/>
      <c r="DF866" s="243"/>
      <c r="DG866" s="243"/>
      <c r="DH866" s="243"/>
      <c r="DI866" s="243"/>
      <c r="DJ866" s="243"/>
      <c r="DK866" s="243"/>
      <c r="DM866" s="242"/>
      <c r="DO866" s="243"/>
      <c r="DQ866" s="242"/>
      <c r="DS866" s="243"/>
      <c r="DU866" s="242"/>
      <c r="DW866" s="243"/>
      <c r="DY866" s="242"/>
      <c r="EA866" s="243"/>
    </row>
    <row r="867" spans="1:131">
      <c r="A867" s="20"/>
      <c r="B867" s="124" t="str">
        <f t="shared" si="806"/>
        <v/>
      </c>
      <c r="C867" s="235"/>
      <c r="D867" s="24">
        <f>'1% Wind'!$M$93</f>
        <v>2.4</v>
      </c>
      <c r="E867" s="90"/>
      <c r="F867" s="90"/>
      <c r="G867" s="79" t="e">
        <f ca="1">IF(I855=0.9743,$G866,MAX(G866/D866*D867,2))</f>
        <v>#REF!</v>
      </c>
      <c r="H867" s="121" t="e">
        <f t="shared" ca="1" si="807"/>
        <v>#REF!</v>
      </c>
      <c r="J867" s="33"/>
      <c r="K867" s="242">
        <f t="shared" si="808"/>
        <v>1</v>
      </c>
      <c r="L867" s="241" t="e">
        <f t="shared" ca="1" si="809"/>
        <v>#REF!</v>
      </c>
      <c r="M867" s="243" t="e">
        <f ca="1">IF(AND(INDEX(FlowCalConstA,MATCH(J855,FlowCalNumber,0),1,1)*L867^INDEX(FlowCalConstB,MATCH(J855,FlowCalNumber,0),1,1)&gt;INDEX(FlowCalLowSetting,MATCH(J855,FlowCalNumber,0),1,1), (INDEX(FlowCalConstA,MATCH(J855,FlowCalNumber,0),1,1)*L867^INDEX(FlowCalConstB,MATCH(J855,FlowCalNumber,0),1,1)&lt;INDEX(FlowCalHighSetting,MATCH(J855,FlowCalNumber,0),1,1))),INDEX(FlowCalConstA,MATCH(J855,FlowCalNumber,0),1,1)*L867^INDEX(FlowCalConstB,MATCH(J855,FlowCalNumber,0),1,1)," ")</f>
        <v>#REF!</v>
      </c>
      <c r="N867" s="33"/>
      <c r="O867" s="242">
        <f t="shared" si="810"/>
        <v>1</v>
      </c>
      <c r="P867" s="241" t="e">
        <f t="shared" ca="1" si="811"/>
        <v>#REF!</v>
      </c>
      <c r="Q867" s="243" t="e">
        <f ca="1">IF(AND(INDEX(FlowCalConstA,MATCH(N855,FlowCalNumber,0),1,1)*P867^INDEX(FlowCalConstB,MATCH(N855,FlowCalNumber,0),1,1)&gt;INDEX(FlowCalLowSetting,MATCH(N855,FlowCalNumber,0),1,1), (INDEX(FlowCalConstA,MATCH(N855,FlowCalNumber,0),1,1)*P867^INDEX(FlowCalConstB,MATCH(N855,FlowCalNumber,0),1,1)&lt;INDEX(FlowCalHighSetting,MATCH(N855,FlowCalNumber,0),1,1))),INDEX(FlowCalConstA,MATCH(N855,FlowCalNumber,0),1,1)*P867^INDEX(FlowCalConstB,MATCH(N855,FlowCalNumber,0),1,1)," ")</f>
        <v>#REF!</v>
      </c>
      <c r="R867" s="33"/>
      <c r="S867" s="242">
        <f t="shared" si="812"/>
        <v>1</v>
      </c>
      <c r="T867" s="241" t="e">
        <f t="shared" ca="1" si="813"/>
        <v>#REF!</v>
      </c>
      <c r="U867" s="244" t="e">
        <f ca="1">IF(AND(INDEX(FlowCalConstA,MATCH(R855,FlowCalNumber,0),1,1)*T867^INDEX(FlowCalConstB,MATCH(R855,FlowCalNumber,0),1,1)&gt;INDEX(FlowCalLowSetting,MATCH(R855,FlowCalNumber,0),1,1), (INDEX(FlowCalConstA,MATCH(R855,FlowCalNumber,0),1,1)*T867^INDEX(FlowCalConstB,MATCH(R855,FlowCalNumber,0),1,1)&lt;INDEX(FlowCalHighSetting,MATCH(R855,FlowCalNumber,0),1,1))),INDEX(FlowCalConstA,MATCH(R855,FlowCalNumber,0),1,1)*T867^INDEX(FlowCalConstB,MATCH(R855,FlowCalNumber,0),1,1)," ")</f>
        <v>#REF!</v>
      </c>
      <c r="V867" s="33"/>
      <c r="W867" s="242">
        <f t="shared" si="814"/>
        <v>0.1</v>
      </c>
      <c r="X867" s="241" t="e">
        <f t="shared" ca="1" si="815"/>
        <v>#REF!</v>
      </c>
      <c r="Y867" s="243" t="e">
        <f ca="1">IF(AND(INDEX(FlowCalConstA,MATCH(V855,FlowCalNumber,0),1,1)*X867^INDEX(FlowCalConstB,MATCH(V855,FlowCalNumber,0),1,1)&gt;INDEX(FlowCalLowSetting,MATCH(V855,FlowCalNumber,0),1,1), (INDEX(FlowCalConstA,MATCH(V855,FlowCalNumber,0),1,1)*X867^INDEX(FlowCalConstB,MATCH(V855,FlowCalNumber,0),1,1)&lt;INDEX(FlowCalHighSetting,MATCH(V855,FlowCalNumber,0),1,1))),INDEX(FlowCalConstA,MATCH(V855,FlowCalNumber,0),1,1)*X867^INDEX(FlowCalConstB,MATCH(V855,FlowCalNumber,0),1,1)," ")</f>
        <v>#REF!</v>
      </c>
      <c r="Z867" s="33"/>
      <c r="AA867" s="242">
        <f t="shared" si="816"/>
        <v>0.9</v>
      </c>
      <c r="AB867" s="241" t="e">
        <f t="shared" ca="1" si="817"/>
        <v>#REF!</v>
      </c>
      <c r="AC867" s="243" t="e">
        <f ca="1">IF(AND(INDEX(FlowCalConstA,MATCH(Z855,FlowCalNumber,0),1,1)*AB867^INDEX(FlowCalConstB,MATCH(Z855,FlowCalNumber,0),1,1)&gt;INDEX(FlowCalLowSetting,MATCH(Z855,FlowCalNumber,0),1,1), (INDEX(FlowCalConstA,MATCH(Z855,FlowCalNumber,0),1,1)*AB867^INDEX(FlowCalConstB,MATCH(Z855,FlowCalNumber,0),1,1)&lt;INDEX(FlowCalHighSetting,MATCH(Z855,FlowCalNumber,0),1,1))),INDEX(FlowCalConstA,MATCH(Z855,FlowCalNumber,0),1,1)*AB867^INDEX(FlowCalConstB,MATCH(Z855,FlowCalNumber,0),1,1)," ")</f>
        <v>#REF!</v>
      </c>
      <c r="AD867" s="33"/>
      <c r="AE867" s="242">
        <f t="shared" si="818"/>
        <v>0.1</v>
      </c>
      <c r="AF867" s="241" t="e">
        <f t="shared" ca="1" si="819"/>
        <v>#REF!</v>
      </c>
      <c r="AG867" s="243" t="e">
        <f ca="1">IF(AND(INDEX(FlowCalConstA,MATCH(AD855,FlowCalNumber,0),1,1)*AF867^INDEX(FlowCalConstB,MATCH(AD855,FlowCalNumber,0),1,1)&gt;INDEX(FlowCalLowSetting,MATCH(AD855,FlowCalNumber,0),1,1), (INDEX(FlowCalConstA,MATCH(AD855,FlowCalNumber,0),1,1)*AF867^INDEX(FlowCalConstB,MATCH(AD855,FlowCalNumber,0),1,1)&lt;INDEX(FlowCalHighSetting,MATCH(AD855,FlowCalNumber,0),1,1))),INDEX(FlowCalConstA,MATCH(AD855,FlowCalNumber,0),1,1)*AF867^INDEX(FlowCalConstB,MATCH(AD855,FlowCalNumber,0),1,1)," ")</f>
        <v>#REF!</v>
      </c>
      <c r="AH867" s="33"/>
      <c r="AI867" s="242">
        <f t="shared" si="820"/>
        <v>0.9</v>
      </c>
      <c r="AJ867" s="241" t="e">
        <f t="shared" ca="1" si="821"/>
        <v>#REF!</v>
      </c>
      <c r="AK867" s="243" t="e">
        <f ca="1">IF(AND(INDEX(FlowCalConstA,MATCH(AH855,FlowCalNumber,0),1,1)*AJ867^INDEX(FlowCalConstB,MATCH(AH855,FlowCalNumber,0),1,1)&gt;INDEX(FlowCalLowSetting,MATCH(AH855,FlowCalNumber,0),1,1), (INDEX(FlowCalConstA,MATCH(AH855,FlowCalNumber,0),1,1)*AJ867^INDEX(FlowCalConstB,MATCH(AH855,FlowCalNumber,0),1,1)&lt;INDEX(FlowCalHighSetting,MATCH(AH855,FlowCalNumber,0),1,1))),INDEX(FlowCalConstA,MATCH(AH855,FlowCalNumber,0),1,1)*AJ867^INDEX(FlowCalConstB,MATCH(AH855,FlowCalNumber,0),1,1)," ")</f>
        <v>#REF!</v>
      </c>
      <c r="AL867" s="33"/>
      <c r="AM867" s="242"/>
      <c r="AN867" s="241"/>
      <c r="AO867" s="244"/>
      <c r="AQ867" s="242"/>
      <c r="AR867" s="241"/>
      <c r="AS867" s="244"/>
      <c r="AT867" s="33"/>
      <c r="AU867" s="242"/>
      <c r="AV867" s="241"/>
      <c r="AW867" s="244"/>
      <c r="AX867" s="33"/>
      <c r="AY867" s="242"/>
      <c r="AZ867" s="241"/>
      <c r="BA867" s="244"/>
      <c r="BB867" s="33"/>
      <c r="BC867" s="242"/>
      <c r="BD867" s="241"/>
      <c r="BE867" s="244"/>
      <c r="BF867" s="33"/>
      <c r="BG867" s="242"/>
      <c r="BH867" s="241"/>
      <c r="BI867" s="244"/>
      <c r="BJ867" s="33"/>
      <c r="BK867" s="242"/>
      <c r="BL867" s="241"/>
      <c r="BM867" s="244"/>
      <c r="BN867" s="33"/>
      <c r="BO867" s="242"/>
      <c r="BP867" s="241"/>
      <c r="BQ867" s="244"/>
      <c r="BR867" s="33"/>
      <c r="BS867" s="242"/>
      <c r="BT867" s="241"/>
      <c r="BU867" s="244"/>
      <c r="BV867" s="33"/>
      <c r="BW867" s="242"/>
      <c r="BX867" s="241"/>
      <c r="BY867" s="244"/>
      <c r="BZ867" s="33"/>
      <c r="CA867" s="242"/>
      <c r="CB867" s="241"/>
      <c r="CC867" s="244"/>
      <c r="CD867" s="243"/>
      <c r="CE867" s="243"/>
      <c r="CF867" s="243"/>
      <c r="CG867" s="243"/>
      <c r="CH867" s="243"/>
      <c r="CI867" s="243"/>
      <c r="CJ867" s="243"/>
      <c r="CK867" s="243"/>
      <c r="CL867" s="243"/>
      <c r="CM867" s="243"/>
      <c r="CN867" s="243"/>
      <c r="CO867" s="243"/>
      <c r="CP867" s="243"/>
      <c r="CQ867" s="243"/>
      <c r="CR867" s="243"/>
      <c r="CS867" s="243"/>
      <c r="CT867" s="243"/>
      <c r="CU867" s="243"/>
      <c r="CV867" s="243"/>
      <c r="CW867" s="243"/>
      <c r="CX867" s="243"/>
      <c r="CY867" s="243"/>
      <c r="CZ867" s="243"/>
      <c r="DA867" s="243"/>
      <c r="DB867" s="243"/>
      <c r="DC867" s="243"/>
      <c r="DD867" s="243"/>
      <c r="DE867" s="243"/>
      <c r="DF867" s="243"/>
      <c r="DG867" s="243"/>
      <c r="DH867" s="243"/>
      <c r="DI867" s="243"/>
      <c r="DJ867" s="243"/>
      <c r="DK867" s="243"/>
      <c r="DM867" s="242"/>
      <c r="DO867" s="243"/>
      <c r="DQ867" s="242"/>
      <c r="DS867" s="243"/>
      <c r="DU867" s="242"/>
      <c r="DW867" s="243"/>
      <c r="DY867" s="242"/>
      <c r="EA867" s="243"/>
    </row>
    <row r="868" spans="1:131">
      <c r="A868" s="20"/>
      <c r="B868" s="124" t="str">
        <f t="shared" si="806"/>
        <v/>
      </c>
      <c r="C868" s="235"/>
      <c r="D868" s="24">
        <f>'1% Wind'!$M$94</f>
        <v>1.8</v>
      </c>
      <c r="E868" s="90"/>
      <c r="F868" s="90"/>
      <c r="G868" s="79" t="e">
        <f ca="1">IF(I855=0.9743,$G867,MAX(G867/D867*D868,2))</f>
        <v>#REF!</v>
      </c>
      <c r="H868" s="121" t="e">
        <f t="shared" ca="1" si="807"/>
        <v>#REF!</v>
      </c>
      <c r="J868" s="33"/>
      <c r="K868" s="242">
        <f t="shared" si="808"/>
        <v>1</v>
      </c>
      <c r="L868" s="241" t="e">
        <f t="shared" ca="1" si="809"/>
        <v>#REF!</v>
      </c>
      <c r="M868" s="243" t="e">
        <f ca="1">IF(AND(INDEX(FlowCalConstA,MATCH(J855,FlowCalNumber,0),1,1)*L868^INDEX(FlowCalConstB,MATCH(J855,FlowCalNumber,0),1,1)&gt;INDEX(FlowCalLowSetting,MATCH(J855,FlowCalNumber,0),1,1), (INDEX(FlowCalConstA,MATCH(J855,FlowCalNumber,0),1,1)*L868^INDEX(FlowCalConstB,MATCH(J855,FlowCalNumber,0),1,1)&lt;INDEX(FlowCalHighSetting,MATCH(J855,FlowCalNumber,0),1,1))),INDEX(FlowCalConstA,MATCH(J855,FlowCalNumber,0),1,1)*L868^INDEX(FlowCalConstB,MATCH(J855,FlowCalNumber,0),1,1)," ")</f>
        <v>#REF!</v>
      </c>
      <c r="N868" s="33"/>
      <c r="O868" s="242">
        <f t="shared" si="810"/>
        <v>1</v>
      </c>
      <c r="P868" s="241" t="e">
        <f t="shared" ca="1" si="811"/>
        <v>#REF!</v>
      </c>
      <c r="Q868" s="243" t="e">
        <f ca="1">IF(AND(INDEX(FlowCalConstA,MATCH(N855,FlowCalNumber,0),1,1)*P868^INDEX(FlowCalConstB,MATCH(N855,FlowCalNumber,0),1,1)&gt;INDEX(FlowCalLowSetting,MATCH(N855,FlowCalNumber,0),1,1), (INDEX(FlowCalConstA,MATCH(N855,FlowCalNumber,0),1,1)*P868^INDEX(FlowCalConstB,MATCH(N855,FlowCalNumber,0),1,1)&lt;INDEX(FlowCalHighSetting,MATCH(N855,FlowCalNumber,0),1,1))),INDEX(FlowCalConstA,MATCH(N855,FlowCalNumber,0),1,1)*P868^INDEX(FlowCalConstB,MATCH(N855,FlowCalNumber,0),1,1)," ")</f>
        <v>#REF!</v>
      </c>
      <c r="R868" s="33"/>
      <c r="S868" s="242">
        <f t="shared" si="812"/>
        <v>1</v>
      </c>
      <c r="T868" s="241" t="e">
        <f t="shared" ca="1" si="813"/>
        <v>#REF!</v>
      </c>
      <c r="U868" s="244" t="e">
        <f ca="1">IF(AND(INDEX(FlowCalConstA,MATCH(R855,FlowCalNumber,0),1,1)*T868^INDEX(FlowCalConstB,MATCH(R855,FlowCalNumber,0),1,1)&gt;INDEX(FlowCalLowSetting,MATCH(R855,FlowCalNumber,0),1,1), (INDEX(FlowCalConstA,MATCH(R855,FlowCalNumber,0),1,1)*T868^INDEX(FlowCalConstB,MATCH(R855,FlowCalNumber,0),1,1)&lt;INDEX(FlowCalHighSetting,MATCH(R855,FlowCalNumber,0),1,1))),INDEX(FlowCalConstA,MATCH(R855,FlowCalNumber,0),1,1)*T868^INDEX(FlowCalConstB,MATCH(R855,FlowCalNumber,0),1,1)," ")</f>
        <v>#REF!</v>
      </c>
      <c r="V868" s="33"/>
      <c r="W868" s="242">
        <f t="shared" si="814"/>
        <v>0.1</v>
      </c>
      <c r="X868" s="241" t="e">
        <f t="shared" ca="1" si="815"/>
        <v>#REF!</v>
      </c>
      <c r="Y868" s="243" t="e">
        <f ca="1">IF(AND(INDEX(FlowCalConstA,MATCH(V855,FlowCalNumber,0),1,1)*X868^INDEX(FlowCalConstB,MATCH(V855,FlowCalNumber,0),1,1)&gt;INDEX(FlowCalLowSetting,MATCH(V855,FlowCalNumber,0),1,1), (INDEX(FlowCalConstA,MATCH(V855,FlowCalNumber,0),1,1)*X868^INDEX(FlowCalConstB,MATCH(V855,FlowCalNumber,0),1,1)&lt;INDEX(FlowCalHighSetting,MATCH(V855,FlowCalNumber,0),1,1))),INDEX(FlowCalConstA,MATCH(V855,FlowCalNumber,0),1,1)*X868^INDEX(FlowCalConstB,MATCH(V855,FlowCalNumber,0),1,1)," ")</f>
        <v>#REF!</v>
      </c>
      <c r="Z868" s="33"/>
      <c r="AA868" s="242">
        <f t="shared" si="816"/>
        <v>0.9</v>
      </c>
      <c r="AB868" s="241" t="e">
        <f t="shared" ca="1" si="817"/>
        <v>#REF!</v>
      </c>
      <c r="AC868" s="243" t="e">
        <f ca="1">IF(AND(INDEX(FlowCalConstA,MATCH(Z855,FlowCalNumber,0),1,1)*AB868^INDEX(FlowCalConstB,MATCH(Z855,FlowCalNumber,0),1,1)&gt;INDEX(FlowCalLowSetting,MATCH(Z855,FlowCalNumber,0),1,1), (INDEX(FlowCalConstA,MATCH(Z855,FlowCalNumber,0),1,1)*AB868^INDEX(FlowCalConstB,MATCH(Z855,FlowCalNumber,0),1,1)&lt;INDEX(FlowCalHighSetting,MATCH(Z855,FlowCalNumber,0),1,1))),INDEX(FlowCalConstA,MATCH(Z855,FlowCalNumber,0),1,1)*AB868^INDEX(FlowCalConstB,MATCH(Z855,FlowCalNumber,0),1,1)," ")</f>
        <v>#REF!</v>
      </c>
      <c r="AD868" s="33"/>
      <c r="AE868" s="242">
        <f t="shared" si="818"/>
        <v>0.1</v>
      </c>
      <c r="AF868" s="241" t="e">
        <f t="shared" ca="1" si="819"/>
        <v>#REF!</v>
      </c>
      <c r="AG868" s="243" t="e">
        <f ca="1">IF(AND(INDEX(FlowCalConstA,MATCH(AD855,FlowCalNumber,0),1,1)*AF868^INDEX(FlowCalConstB,MATCH(AD855,FlowCalNumber,0),1,1)&gt;INDEX(FlowCalLowSetting,MATCH(AD855,FlowCalNumber,0),1,1), (INDEX(FlowCalConstA,MATCH(AD855,FlowCalNumber,0),1,1)*AF868^INDEX(FlowCalConstB,MATCH(AD855,FlowCalNumber,0),1,1)&lt;INDEX(FlowCalHighSetting,MATCH(AD855,FlowCalNumber,0),1,1))),INDEX(FlowCalConstA,MATCH(AD855,FlowCalNumber,0),1,1)*AF868^INDEX(FlowCalConstB,MATCH(AD855,FlowCalNumber,0),1,1)," ")</f>
        <v>#REF!</v>
      </c>
      <c r="AH868" s="33"/>
      <c r="AI868" s="242">
        <f t="shared" si="820"/>
        <v>0.9</v>
      </c>
      <c r="AJ868" s="241" t="e">
        <f t="shared" ca="1" si="821"/>
        <v>#REF!</v>
      </c>
      <c r="AK868" s="243" t="e">
        <f ca="1">IF(AND(INDEX(FlowCalConstA,MATCH(AH855,FlowCalNumber,0),1,1)*AJ868^INDEX(FlowCalConstB,MATCH(AH855,FlowCalNumber,0),1,1)&gt;INDEX(FlowCalLowSetting,MATCH(AH855,FlowCalNumber,0),1,1), (INDEX(FlowCalConstA,MATCH(AH855,FlowCalNumber,0),1,1)*AJ868^INDEX(FlowCalConstB,MATCH(AH855,FlowCalNumber,0),1,1)&lt;INDEX(FlowCalHighSetting,MATCH(AH855,FlowCalNumber,0),1,1))),INDEX(FlowCalConstA,MATCH(AH855,FlowCalNumber,0),1,1)*AJ868^INDEX(FlowCalConstB,MATCH(AH855,FlowCalNumber,0),1,1)," ")</f>
        <v>#REF!</v>
      </c>
      <c r="AL868" s="33"/>
      <c r="AM868" s="242"/>
      <c r="AN868" s="241"/>
      <c r="AO868" s="244"/>
      <c r="AQ868" s="242"/>
      <c r="AR868" s="241"/>
      <c r="AS868" s="244"/>
      <c r="AT868" s="33"/>
      <c r="AU868" s="242"/>
      <c r="AV868" s="241"/>
      <c r="AW868" s="244"/>
      <c r="AX868" s="33"/>
      <c r="AY868" s="242"/>
      <c r="AZ868" s="241"/>
      <c r="BA868" s="244"/>
      <c r="BB868" s="33"/>
      <c r="BC868" s="242"/>
      <c r="BD868" s="241"/>
      <c r="BE868" s="244"/>
      <c r="BF868" s="33"/>
      <c r="BG868" s="242"/>
      <c r="BH868" s="241"/>
      <c r="BI868" s="244"/>
      <c r="BJ868" s="33"/>
      <c r="BK868" s="242"/>
      <c r="BL868" s="241"/>
      <c r="BM868" s="244"/>
      <c r="BN868" s="33"/>
      <c r="BO868" s="242"/>
      <c r="BP868" s="241"/>
      <c r="BQ868" s="244"/>
      <c r="BR868" s="33"/>
      <c r="BS868" s="242"/>
      <c r="BT868" s="241"/>
      <c r="BU868" s="244"/>
      <c r="BV868" s="33"/>
      <c r="BW868" s="242"/>
      <c r="BX868" s="241"/>
      <c r="BY868" s="244"/>
      <c r="BZ868" s="33"/>
      <c r="CA868" s="242"/>
      <c r="CB868" s="241"/>
      <c r="CC868" s="244"/>
      <c r="CD868" s="243"/>
      <c r="CE868" s="243"/>
      <c r="CF868" s="243"/>
      <c r="CG868" s="243"/>
      <c r="CH868" s="243"/>
      <c r="CI868" s="243"/>
      <c r="CJ868" s="243"/>
      <c r="CK868" s="243"/>
      <c r="CL868" s="243"/>
      <c r="CM868" s="243"/>
      <c r="CN868" s="243"/>
      <c r="CO868" s="243"/>
      <c r="CP868" s="243"/>
      <c r="CQ868" s="243"/>
      <c r="CR868" s="243"/>
      <c r="CS868" s="243"/>
      <c r="CT868" s="243"/>
      <c r="CU868" s="243"/>
      <c r="CV868" s="243"/>
      <c r="CW868" s="243"/>
      <c r="CX868" s="243"/>
      <c r="CY868" s="243"/>
      <c r="CZ868" s="243"/>
      <c r="DA868" s="243"/>
      <c r="DB868" s="243"/>
      <c r="DC868" s="243"/>
      <c r="DD868" s="243"/>
      <c r="DE868" s="243"/>
      <c r="DF868" s="243"/>
      <c r="DG868" s="243"/>
      <c r="DH868" s="243"/>
      <c r="DI868" s="243"/>
      <c r="DJ868" s="243"/>
      <c r="DK868" s="243"/>
      <c r="DM868" s="242"/>
      <c r="DO868" s="243"/>
      <c r="DQ868" s="242"/>
      <c r="DS868" s="243"/>
      <c r="DU868" s="242"/>
      <c r="DW868" s="243"/>
      <c r="DY868" s="242"/>
      <c r="EA868" s="243"/>
    </row>
    <row r="869" spans="1:131">
      <c r="A869" s="20"/>
      <c r="B869" s="124" t="str">
        <f t="shared" si="806"/>
        <v/>
      </c>
      <c r="C869" s="235"/>
      <c r="D869" s="24">
        <f>'1% Wind'!$M$95</f>
        <v>1.3</v>
      </c>
      <c r="E869" s="90"/>
      <c r="F869" s="90"/>
      <c r="G869" s="79" t="e">
        <f ca="1">IF(I855=0.9743,$G868,MAX(G868/D868*D869,2))</f>
        <v>#REF!</v>
      </c>
      <c r="H869" s="121" t="e">
        <f t="shared" ca="1" si="807"/>
        <v>#REF!</v>
      </c>
      <c r="J869" s="33"/>
      <c r="K869" s="242">
        <f t="shared" si="808"/>
        <v>1</v>
      </c>
      <c r="L869" s="241" t="e">
        <f t="shared" ca="1" si="809"/>
        <v>#REF!</v>
      </c>
      <c r="M869" s="243" t="e">
        <f ca="1">IF(AND(INDEX(FlowCalConstA,MATCH(J855,FlowCalNumber,0),1,1)*L869^INDEX(FlowCalConstB,MATCH(J855,FlowCalNumber,0),1,1)&gt;INDEX(FlowCalLowSetting,MATCH(J855,FlowCalNumber,0),1,1), (INDEX(FlowCalConstA,MATCH(J855,FlowCalNumber,0),1,1)*L869^INDEX(FlowCalConstB,MATCH(J855,FlowCalNumber,0),1,1)&lt;INDEX(FlowCalHighSetting,MATCH(J855,FlowCalNumber,0),1,1))),INDEX(FlowCalConstA,MATCH(J855,FlowCalNumber,0),1,1)*L869^INDEX(FlowCalConstB,MATCH(J855,FlowCalNumber,0),1,1)," ")</f>
        <v>#REF!</v>
      </c>
      <c r="N869" s="33"/>
      <c r="O869" s="242">
        <f t="shared" si="810"/>
        <v>1</v>
      </c>
      <c r="P869" s="241" t="e">
        <f t="shared" ca="1" si="811"/>
        <v>#REF!</v>
      </c>
      <c r="Q869" s="243" t="e">
        <f ca="1">IF(AND(INDEX(FlowCalConstA,MATCH(N855,FlowCalNumber,0),1,1)*P869^INDEX(FlowCalConstB,MATCH(N855,FlowCalNumber,0),1,1)&gt;INDEX(FlowCalLowSetting,MATCH(N855,FlowCalNumber,0),1,1), (INDEX(FlowCalConstA,MATCH(N855,FlowCalNumber,0),1,1)*P869^INDEX(FlowCalConstB,MATCH(N855,FlowCalNumber,0),1,1)&lt;INDEX(FlowCalHighSetting,MATCH(N855,FlowCalNumber,0),1,1))),INDEX(FlowCalConstA,MATCH(N855,FlowCalNumber,0),1,1)*P869^INDEX(FlowCalConstB,MATCH(N855,FlowCalNumber,0),1,1)," ")</f>
        <v>#REF!</v>
      </c>
      <c r="R869" s="33"/>
      <c r="S869" s="242">
        <f t="shared" si="812"/>
        <v>1</v>
      </c>
      <c r="T869" s="241" t="e">
        <f t="shared" ca="1" si="813"/>
        <v>#REF!</v>
      </c>
      <c r="U869" s="244" t="e">
        <f ca="1">IF(AND(INDEX(FlowCalConstA,MATCH(R855,FlowCalNumber,0),1,1)*T869^INDEX(FlowCalConstB,MATCH(R855,FlowCalNumber,0),1,1)&gt;INDEX(FlowCalLowSetting,MATCH(R855,FlowCalNumber,0),1,1), (INDEX(FlowCalConstA,MATCH(R855,FlowCalNumber,0),1,1)*T869^INDEX(FlowCalConstB,MATCH(R855,FlowCalNumber,0),1,1)&lt;INDEX(FlowCalHighSetting,MATCH(R855,FlowCalNumber,0),1,1))),INDEX(FlowCalConstA,MATCH(R855,FlowCalNumber,0),1,1)*T869^INDEX(FlowCalConstB,MATCH(R855,FlowCalNumber,0),1,1)," ")</f>
        <v>#REF!</v>
      </c>
      <c r="V869" s="33"/>
      <c r="W869" s="242">
        <f t="shared" si="814"/>
        <v>0.1</v>
      </c>
      <c r="X869" s="241" t="e">
        <f t="shared" ca="1" si="815"/>
        <v>#REF!</v>
      </c>
      <c r="Y869" s="243" t="e">
        <f ca="1">IF(AND(INDEX(FlowCalConstA,MATCH(V855,FlowCalNumber,0),1,1)*X869^INDEX(FlowCalConstB,MATCH(V855,FlowCalNumber,0),1,1)&gt;INDEX(FlowCalLowSetting,MATCH(V855,FlowCalNumber,0),1,1), (INDEX(FlowCalConstA,MATCH(V855,FlowCalNumber,0),1,1)*X869^INDEX(FlowCalConstB,MATCH(V855,FlowCalNumber,0),1,1)&lt;INDEX(FlowCalHighSetting,MATCH(V855,FlowCalNumber,0),1,1))),INDEX(FlowCalConstA,MATCH(V855,FlowCalNumber,0),1,1)*X869^INDEX(FlowCalConstB,MATCH(V855,FlowCalNumber,0),1,1)," ")</f>
        <v>#REF!</v>
      </c>
      <c r="Z869" s="33"/>
      <c r="AA869" s="242">
        <f t="shared" si="816"/>
        <v>0.9</v>
      </c>
      <c r="AB869" s="241" t="e">
        <f t="shared" ca="1" si="817"/>
        <v>#REF!</v>
      </c>
      <c r="AC869" s="243" t="e">
        <f ca="1">IF(AND(INDEX(FlowCalConstA,MATCH(Z855,FlowCalNumber,0),1,1)*AB869^INDEX(FlowCalConstB,MATCH(Z855,FlowCalNumber,0),1,1)&gt;INDEX(FlowCalLowSetting,MATCH(Z855,FlowCalNumber,0),1,1), (INDEX(FlowCalConstA,MATCH(Z855,FlowCalNumber,0),1,1)*AB869^INDEX(FlowCalConstB,MATCH(Z855,FlowCalNumber,0),1,1)&lt;INDEX(FlowCalHighSetting,MATCH(Z855,FlowCalNumber,0),1,1))),INDEX(FlowCalConstA,MATCH(Z855,FlowCalNumber,0),1,1)*AB869^INDEX(FlowCalConstB,MATCH(Z855,FlowCalNumber,0),1,1)," ")</f>
        <v>#REF!</v>
      </c>
      <c r="AD869" s="33"/>
      <c r="AE869" s="242">
        <f t="shared" si="818"/>
        <v>0.1</v>
      </c>
      <c r="AF869" s="241" t="e">
        <f t="shared" ca="1" si="819"/>
        <v>#REF!</v>
      </c>
      <c r="AG869" s="243" t="e">
        <f ca="1">IF(AND(INDEX(FlowCalConstA,MATCH(AD855,FlowCalNumber,0),1,1)*AF869^INDEX(FlowCalConstB,MATCH(AD855,FlowCalNumber,0),1,1)&gt;INDEX(FlowCalLowSetting,MATCH(AD855,FlowCalNumber,0),1,1), (INDEX(FlowCalConstA,MATCH(AD855,FlowCalNumber,0),1,1)*AF869^INDEX(FlowCalConstB,MATCH(AD855,FlowCalNumber,0),1,1)&lt;INDEX(FlowCalHighSetting,MATCH(AD855,FlowCalNumber,0),1,1))),INDEX(FlowCalConstA,MATCH(AD855,FlowCalNumber,0),1,1)*AF869^INDEX(FlowCalConstB,MATCH(AD855,FlowCalNumber,0),1,1)," ")</f>
        <v>#REF!</v>
      </c>
      <c r="AH869" s="33"/>
      <c r="AI869" s="242">
        <f t="shared" si="820"/>
        <v>0.9</v>
      </c>
      <c r="AJ869" s="241" t="e">
        <f t="shared" ca="1" si="821"/>
        <v>#REF!</v>
      </c>
      <c r="AK869" s="243" t="e">
        <f ca="1">IF(AND(INDEX(FlowCalConstA,MATCH(AH855,FlowCalNumber,0),1,1)*AJ869^INDEX(FlowCalConstB,MATCH(AH855,FlowCalNumber,0),1,1)&gt;INDEX(FlowCalLowSetting,MATCH(AH855,FlowCalNumber,0),1,1), (INDEX(FlowCalConstA,MATCH(AH855,FlowCalNumber,0),1,1)*AJ869^INDEX(FlowCalConstB,MATCH(AH855,FlowCalNumber,0),1,1)&lt;INDEX(FlowCalHighSetting,MATCH(AH855,FlowCalNumber,0),1,1))),INDEX(FlowCalConstA,MATCH(AH855,FlowCalNumber,0),1,1)*AJ869^INDEX(FlowCalConstB,MATCH(AH855,FlowCalNumber,0),1,1)," ")</f>
        <v>#REF!</v>
      </c>
      <c r="AL869" s="33"/>
      <c r="AM869" s="242"/>
      <c r="AN869" s="241"/>
      <c r="AO869" s="244"/>
      <c r="AQ869" s="242"/>
      <c r="AR869" s="241"/>
      <c r="AS869" s="244"/>
      <c r="AT869" s="33"/>
      <c r="AU869" s="242"/>
      <c r="AV869" s="241"/>
      <c r="AW869" s="244"/>
      <c r="AX869" s="33"/>
      <c r="AY869" s="242"/>
      <c r="AZ869" s="241"/>
      <c r="BA869" s="244"/>
      <c r="BB869" s="33"/>
      <c r="BC869" s="242"/>
      <c r="BD869" s="241"/>
      <c r="BE869" s="244"/>
      <c r="BF869" s="33"/>
      <c r="BG869" s="242"/>
      <c r="BH869" s="241"/>
      <c r="BI869" s="244"/>
      <c r="BJ869" s="33"/>
      <c r="BK869" s="242"/>
      <c r="BL869" s="241"/>
      <c r="BM869" s="244"/>
      <c r="BN869" s="33"/>
      <c r="BO869" s="242"/>
      <c r="BP869" s="241"/>
      <c r="BQ869" s="244"/>
      <c r="BR869" s="33"/>
      <c r="BS869" s="242"/>
      <c r="BT869" s="241"/>
      <c r="BU869" s="244"/>
      <c r="BV869" s="33"/>
      <c r="BW869" s="242"/>
      <c r="BX869" s="241"/>
      <c r="BY869" s="244"/>
      <c r="BZ869" s="33"/>
      <c r="CA869" s="242"/>
      <c r="CB869" s="241"/>
      <c r="CC869" s="244"/>
      <c r="CD869" s="243"/>
      <c r="CE869" s="243"/>
      <c r="CF869" s="243"/>
      <c r="CG869" s="243"/>
      <c r="CH869" s="243"/>
      <c r="CI869" s="243"/>
      <c r="CJ869" s="243"/>
      <c r="CK869" s="243"/>
      <c r="CL869" s="243"/>
      <c r="CM869" s="243"/>
      <c r="CN869" s="243"/>
      <c r="CO869" s="243"/>
      <c r="CP869" s="243"/>
      <c r="CQ869" s="243"/>
      <c r="CR869" s="243"/>
      <c r="CS869" s="243"/>
      <c r="CT869" s="243"/>
      <c r="CU869" s="243"/>
      <c r="CV869" s="243"/>
      <c r="CW869" s="243"/>
      <c r="CX869" s="243"/>
      <c r="CY869" s="243"/>
      <c r="CZ869" s="243"/>
      <c r="DA869" s="243"/>
      <c r="DB869" s="243"/>
      <c r="DC869" s="243"/>
      <c r="DD869" s="243"/>
      <c r="DE869" s="243"/>
      <c r="DF869" s="243"/>
      <c r="DG869" s="243"/>
      <c r="DH869" s="243"/>
      <c r="DI869" s="243"/>
      <c r="DJ869" s="243"/>
      <c r="DK869" s="243"/>
      <c r="DM869" s="242"/>
      <c r="DO869" s="243"/>
      <c r="DQ869" s="242"/>
      <c r="DS869" s="243"/>
      <c r="DU869" s="242"/>
      <c r="DW869" s="243"/>
      <c r="DY869" s="242"/>
      <c r="EA869" s="243"/>
    </row>
    <row r="870" spans="1:131">
      <c r="A870" s="20"/>
      <c r="B870" s="124" t="str">
        <f t="shared" si="806"/>
        <v/>
      </c>
      <c r="C870" s="235"/>
      <c r="D870" s="24">
        <f>'1% Wind'!$M$96</f>
        <v>1</v>
      </c>
      <c r="E870" s="90"/>
      <c r="F870" s="90"/>
      <c r="G870" s="79" t="e">
        <f ca="1">IF(I855=0.9743,$G869,MAX(G869/D869*D870,2))</f>
        <v>#REF!</v>
      </c>
      <c r="H870" s="121" t="e">
        <f t="shared" ca="1" si="807"/>
        <v>#REF!</v>
      </c>
      <c r="J870" s="33"/>
      <c r="K870" s="242">
        <f t="shared" si="808"/>
        <v>1</v>
      </c>
      <c r="L870" s="241" t="e">
        <f t="shared" ca="1" si="809"/>
        <v>#REF!</v>
      </c>
      <c r="M870" s="243" t="e">
        <f ca="1">IF(AND(INDEX(FlowCalConstA,MATCH(J855,FlowCalNumber,0),1,1)*L870^INDEX(FlowCalConstB,MATCH(J855,FlowCalNumber,0),1,1)&gt;INDEX(FlowCalLowSetting,MATCH(J855,FlowCalNumber,0),1,1), (INDEX(FlowCalConstA,MATCH(J855,FlowCalNumber,0),1,1)*L870^INDEX(FlowCalConstB,MATCH(J855,FlowCalNumber,0),1,1)&lt;INDEX(FlowCalHighSetting,MATCH(J855,FlowCalNumber,0),1,1))),INDEX(FlowCalConstA,MATCH(J855,FlowCalNumber,0),1,1)*L870^INDEX(FlowCalConstB,MATCH(J855,FlowCalNumber,0),1,1)," ")</f>
        <v>#REF!</v>
      </c>
      <c r="N870" s="33"/>
      <c r="O870" s="242">
        <f t="shared" si="810"/>
        <v>1</v>
      </c>
      <c r="P870" s="241" t="e">
        <f t="shared" ca="1" si="811"/>
        <v>#REF!</v>
      </c>
      <c r="Q870" s="243" t="e">
        <f ca="1">IF(AND(INDEX(FlowCalConstA,MATCH(N855,FlowCalNumber,0),1,1)*P870^INDEX(FlowCalConstB,MATCH(N855,FlowCalNumber,0),1,1)&gt;INDEX(FlowCalLowSetting,MATCH(N855,FlowCalNumber,0),1,1), (INDEX(FlowCalConstA,MATCH(N855,FlowCalNumber,0),1,1)*P870^INDEX(FlowCalConstB,MATCH(N855,FlowCalNumber,0),1,1)&lt;INDEX(FlowCalHighSetting,MATCH(N855,FlowCalNumber,0),1,1))),INDEX(FlowCalConstA,MATCH(N855,FlowCalNumber,0),1,1)*P870^INDEX(FlowCalConstB,MATCH(N855,FlowCalNumber,0),1,1)," ")</f>
        <v>#REF!</v>
      </c>
      <c r="R870" s="33"/>
      <c r="S870" s="242">
        <f t="shared" si="812"/>
        <v>1</v>
      </c>
      <c r="T870" s="241" t="e">
        <f t="shared" ca="1" si="813"/>
        <v>#REF!</v>
      </c>
      <c r="U870" s="244" t="e">
        <f ca="1">IF(AND(INDEX(FlowCalConstA,MATCH(R855,FlowCalNumber,0),1,1)*T870^INDEX(FlowCalConstB,MATCH(R855,FlowCalNumber,0),1,1)&gt;INDEX(FlowCalLowSetting,MATCH(R855,FlowCalNumber,0),1,1), (INDEX(FlowCalConstA,MATCH(R855,FlowCalNumber,0),1,1)*T870^INDEX(FlowCalConstB,MATCH(R855,FlowCalNumber,0),1,1)&lt;INDEX(FlowCalHighSetting,MATCH(R855,FlowCalNumber,0),1,1))),INDEX(FlowCalConstA,MATCH(R855,FlowCalNumber,0),1,1)*T870^INDEX(FlowCalConstB,MATCH(R855,FlowCalNumber,0),1,1)," ")</f>
        <v>#REF!</v>
      </c>
      <c r="V870" s="33"/>
      <c r="W870" s="242">
        <f t="shared" si="814"/>
        <v>0.1</v>
      </c>
      <c r="X870" s="241" t="e">
        <f t="shared" ca="1" si="815"/>
        <v>#REF!</v>
      </c>
      <c r="Y870" s="243" t="e">
        <f ca="1">IF(AND(INDEX(FlowCalConstA,MATCH(V855,FlowCalNumber,0),1,1)*X870^INDEX(FlowCalConstB,MATCH(V855,FlowCalNumber,0),1,1)&gt;INDEX(FlowCalLowSetting,MATCH(V855,FlowCalNumber,0),1,1), (INDEX(FlowCalConstA,MATCH(V855,FlowCalNumber,0),1,1)*X870^INDEX(FlowCalConstB,MATCH(V855,FlowCalNumber,0),1,1)&lt;INDEX(FlowCalHighSetting,MATCH(V855,FlowCalNumber,0),1,1))),INDEX(FlowCalConstA,MATCH(V855,FlowCalNumber,0),1,1)*X870^INDEX(FlowCalConstB,MATCH(V855,FlowCalNumber,0),1,1)," ")</f>
        <v>#REF!</v>
      </c>
      <c r="Z870" s="33"/>
      <c r="AA870" s="242">
        <f t="shared" si="816"/>
        <v>0.9</v>
      </c>
      <c r="AB870" s="241" t="e">
        <f t="shared" ca="1" si="817"/>
        <v>#REF!</v>
      </c>
      <c r="AC870" s="243" t="e">
        <f ca="1">IF(AND(INDEX(FlowCalConstA,MATCH(Z855,FlowCalNumber,0),1,1)*AB870^INDEX(FlowCalConstB,MATCH(Z855,FlowCalNumber,0),1,1)&gt;INDEX(FlowCalLowSetting,MATCH(Z855,FlowCalNumber,0),1,1), (INDEX(FlowCalConstA,MATCH(Z855,FlowCalNumber,0),1,1)*AB870^INDEX(FlowCalConstB,MATCH(Z855,FlowCalNumber,0),1,1)&lt;INDEX(FlowCalHighSetting,MATCH(Z855,FlowCalNumber,0),1,1))),INDEX(FlowCalConstA,MATCH(Z855,FlowCalNumber,0),1,1)*AB870^INDEX(FlowCalConstB,MATCH(Z855,FlowCalNumber,0),1,1)," ")</f>
        <v>#REF!</v>
      </c>
      <c r="AD870" s="33"/>
      <c r="AE870" s="242">
        <f t="shared" si="818"/>
        <v>0.1</v>
      </c>
      <c r="AF870" s="241" t="e">
        <f t="shared" ca="1" si="819"/>
        <v>#REF!</v>
      </c>
      <c r="AG870" s="243" t="e">
        <f ca="1">IF(AND(INDEX(FlowCalConstA,MATCH(AD855,FlowCalNumber,0),1,1)*AF870^INDEX(FlowCalConstB,MATCH(AD855,FlowCalNumber,0),1,1)&gt;INDEX(FlowCalLowSetting,MATCH(AD855,FlowCalNumber,0),1,1), (INDEX(FlowCalConstA,MATCH(AD855,FlowCalNumber,0),1,1)*AF870^INDEX(FlowCalConstB,MATCH(AD855,FlowCalNumber,0),1,1)&lt;INDEX(FlowCalHighSetting,MATCH(AD855,FlowCalNumber,0),1,1))),INDEX(FlowCalConstA,MATCH(AD855,FlowCalNumber,0),1,1)*AF870^INDEX(FlowCalConstB,MATCH(AD855,FlowCalNumber,0),1,1)," ")</f>
        <v>#REF!</v>
      </c>
      <c r="AH870" s="33"/>
      <c r="AI870" s="242">
        <f t="shared" si="820"/>
        <v>0.9</v>
      </c>
      <c r="AJ870" s="241" t="e">
        <f t="shared" ca="1" si="821"/>
        <v>#REF!</v>
      </c>
      <c r="AK870" s="243" t="e">
        <f ca="1">IF(AND(INDEX(FlowCalConstA,MATCH(AH855,FlowCalNumber,0),1,1)*AJ870^INDEX(FlowCalConstB,MATCH(AH855,FlowCalNumber,0),1,1)&gt;INDEX(FlowCalLowSetting,MATCH(AH855,FlowCalNumber,0),1,1), (INDEX(FlowCalConstA,MATCH(AH855,FlowCalNumber,0),1,1)*AJ870^INDEX(FlowCalConstB,MATCH(AH855,FlowCalNumber,0),1,1)&lt;INDEX(FlowCalHighSetting,MATCH(AH855,FlowCalNumber,0),1,1))),INDEX(FlowCalConstA,MATCH(AH855,FlowCalNumber,0),1,1)*AJ870^INDEX(FlowCalConstB,MATCH(AH855,FlowCalNumber,0),1,1)," ")</f>
        <v>#REF!</v>
      </c>
      <c r="AL870" s="33"/>
      <c r="AM870" s="242"/>
      <c r="AN870" s="241"/>
      <c r="AO870" s="244"/>
      <c r="AQ870" s="242"/>
      <c r="AR870" s="241"/>
      <c r="AS870" s="244"/>
      <c r="AT870" s="33"/>
      <c r="AU870" s="242"/>
      <c r="AV870" s="241"/>
      <c r="AW870" s="244"/>
      <c r="AX870" s="33"/>
      <c r="AY870" s="242"/>
      <c r="AZ870" s="241"/>
      <c r="BA870" s="244"/>
      <c r="BB870" s="33"/>
      <c r="BC870" s="242"/>
      <c r="BD870" s="241"/>
      <c r="BE870" s="244"/>
      <c r="BF870" s="33"/>
      <c r="BG870" s="242"/>
      <c r="BH870" s="241"/>
      <c r="BI870" s="244"/>
      <c r="BJ870" s="33"/>
      <c r="BK870" s="242"/>
      <c r="BL870" s="241"/>
      <c r="BM870" s="244"/>
      <c r="BN870" s="33"/>
      <c r="BO870" s="242"/>
      <c r="BP870" s="241"/>
      <c r="BQ870" s="244"/>
      <c r="BR870" s="33"/>
      <c r="BS870" s="242"/>
      <c r="BT870" s="241"/>
      <c r="BU870" s="244"/>
      <c r="BV870" s="33"/>
      <c r="BW870" s="242"/>
      <c r="BX870" s="241"/>
      <c r="BY870" s="244"/>
      <c r="BZ870" s="33"/>
      <c r="CA870" s="242"/>
      <c r="CB870" s="241"/>
      <c r="CC870" s="244"/>
      <c r="CD870" s="243"/>
      <c r="CE870" s="243"/>
      <c r="CF870" s="243"/>
      <c r="CG870" s="243"/>
      <c r="CH870" s="243"/>
      <c r="CI870" s="243"/>
      <c r="CJ870" s="243"/>
      <c r="CK870" s="243"/>
      <c r="CL870" s="243"/>
      <c r="CM870" s="243"/>
      <c r="CN870" s="243"/>
      <c r="CO870" s="243"/>
      <c r="CP870" s="243"/>
      <c r="CQ870" s="243"/>
      <c r="CR870" s="243"/>
      <c r="CS870" s="243"/>
      <c r="CT870" s="243"/>
      <c r="CU870" s="243"/>
      <c r="CV870" s="243"/>
      <c r="CW870" s="243"/>
      <c r="CX870" s="243"/>
      <c r="CY870" s="243"/>
      <c r="CZ870" s="243"/>
      <c r="DA870" s="243"/>
      <c r="DB870" s="243"/>
      <c r="DC870" s="243"/>
      <c r="DD870" s="243"/>
      <c r="DE870" s="243"/>
      <c r="DF870" s="243"/>
      <c r="DG870" s="243"/>
      <c r="DH870" s="243"/>
      <c r="DI870" s="243"/>
      <c r="DJ870" s="243"/>
      <c r="DK870" s="243"/>
      <c r="DM870" s="242"/>
      <c r="DO870" s="243"/>
      <c r="DQ870" s="242"/>
      <c r="DS870" s="243"/>
      <c r="DU870" s="242"/>
      <c r="DW870" s="243"/>
      <c r="DY870" s="242"/>
      <c r="EA870" s="243"/>
    </row>
    <row r="871" spans="1:131">
      <c r="A871" s="33"/>
      <c r="B871" s="33"/>
      <c r="C871" s="235"/>
      <c r="E871" s="90"/>
      <c r="F871" s="90"/>
      <c r="G871" s="33"/>
      <c r="J871" s="33"/>
      <c r="N871" s="33"/>
      <c r="Q871" s="243"/>
      <c r="R871" s="33"/>
      <c r="U871" s="244"/>
      <c r="V871" s="33"/>
      <c r="Y871" s="243"/>
      <c r="Z871" s="33"/>
      <c r="AC871" s="243"/>
      <c r="AD871" s="33"/>
      <c r="AG871" s="243"/>
      <c r="AH871" s="33"/>
      <c r="AK871" s="244"/>
      <c r="AL871" s="792"/>
      <c r="AM871" s="243"/>
      <c r="AN871" s="243"/>
      <c r="AO871" s="244"/>
      <c r="AP871" s="243"/>
      <c r="AQ871" s="243"/>
      <c r="AR871" s="243"/>
      <c r="AS871" s="244"/>
      <c r="AT871" s="243"/>
      <c r="AU871" s="243"/>
      <c r="AV871" s="243"/>
      <c r="AW871" s="244"/>
      <c r="AX871" s="243"/>
      <c r="AY871" s="243"/>
      <c r="AZ871" s="243"/>
      <c r="BA871" s="244"/>
      <c r="BB871" s="33"/>
      <c r="BE871" s="244"/>
      <c r="BF871" s="33"/>
      <c r="BI871" s="244"/>
      <c r="BJ871" s="33"/>
      <c r="BM871" s="244"/>
      <c r="BN871" s="243"/>
      <c r="BO871" s="243"/>
      <c r="BP871" s="243"/>
      <c r="BQ871" s="244"/>
      <c r="BR871" s="792"/>
      <c r="BS871" s="243"/>
      <c r="BT871" s="243"/>
      <c r="BU871" s="244"/>
      <c r="BV871" s="792"/>
      <c r="BW871" s="243"/>
      <c r="BX871" s="243"/>
      <c r="BY871" s="244"/>
      <c r="BZ871" s="792"/>
      <c r="CA871" s="243"/>
      <c r="CB871" s="243"/>
      <c r="CC871" s="244"/>
      <c r="CD871" s="243"/>
      <c r="CE871" s="243"/>
      <c r="CF871" s="243"/>
      <c r="CG871" s="243"/>
      <c r="CH871" s="243"/>
      <c r="CI871" s="243"/>
      <c r="CJ871" s="243"/>
      <c r="CK871" s="243"/>
      <c r="CL871" s="243"/>
      <c r="CM871" s="243"/>
      <c r="CN871" s="243"/>
      <c r="CO871" s="243"/>
      <c r="CP871" s="243"/>
      <c r="CQ871" s="243"/>
      <c r="CR871" s="243"/>
      <c r="CS871" s="243"/>
      <c r="CT871" s="243"/>
      <c r="CU871" s="243"/>
      <c r="CV871" s="243"/>
      <c r="CW871" s="243"/>
      <c r="CX871" s="243"/>
      <c r="CY871" s="243"/>
      <c r="CZ871" s="243"/>
      <c r="DA871" s="243"/>
      <c r="DB871" s="243"/>
      <c r="DC871" s="243"/>
      <c r="DD871" s="243"/>
      <c r="DE871" s="243"/>
      <c r="DF871" s="243"/>
      <c r="DG871" s="243"/>
      <c r="DH871" s="243"/>
      <c r="DI871" s="243"/>
      <c r="DJ871" s="243"/>
      <c r="DK871" s="243"/>
      <c r="DO871" s="243"/>
      <c r="DS871" s="243"/>
      <c r="DW871" s="243"/>
      <c r="EA871" s="243"/>
    </row>
    <row r="872" spans="1:131">
      <c r="A872" s="256" t="str">
        <f>IF((RIGHT(A855,1))&lt;&gt;"Z",CHAR(CODE(A855))&amp;CHAR(CODE(RIGHT(A855,1))+1),CHAR(CODE(A855)+1)&amp;"A")</f>
        <v>BY</v>
      </c>
      <c r="B872" s="270" t="e">
        <f>INDEX(SourceID,MATCH($A872,SourceNumber,0),1,1)</f>
        <v>#N/A</v>
      </c>
      <c r="C872" s="354" t="e">
        <f>INDEX(SourceExitDiameter,MATCH($A872,SourceNumber,0),1,1)*3.28*12</f>
        <v>#N/A</v>
      </c>
      <c r="D872" s="24" t="str">
        <f>UAnem1percent</f>
        <v>1% Wind</v>
      </c>
      <c r="E872" s="350" t="e">
        <f ca="1">INDIRECT(ADDRESS(53,6,1,,CONCATENATE("TA",$A872)))</f>
        <v>#REF!</v>
      </c>
      <c r="F872" s="625" t="e">
        <f ca="1">(ROUND((INDIRECT(ADDRESS(15,7,1,,CONCATENATE("TA",$A872)))*3.28*12*32),0)&amp;"/32")</f>
        <v>#REF!</v>
      </c>
      <c r="G872" s="125" t="e">
        <f ca="1">INDIRECT(ADDRESS(29,7,1,,$A872))</f>
        <v>#REF!</v>
      </c>
      <c r="H872" s="24" t="e">
        <f ca="1">INDIRECT(ADDRESS(19,7,1,,$A872))*100^3</f>
        <v>#REF!</v>
      </c>
      <c r="I872" s="941" t="e">
        <f ca="1">INDIRECT(ADDRESS(53,7,1,,$A872))</f>
        <v>#REF!</v>
      </c>
      <c r="J872" s="20" t="e">
        <f ca="1">IF($I872=$I$6,K$16&amp;$G$6&amp;J$6,IF($I872=$I$7,K$16&amp;$G$7&amp;J$7,"Bad"))</f>
        <v>#REF!</v>
      </c>
      <c r="K872" t="e">
        <f ca="1">INDEX(FlowCalGasMixture,MATCH(J872,FlowCalNumber,0),1,1)</f>
        <v>#REF!</v>
      </c>
      <c r="M872" s="944" t="e">
        <f ca="1">INDEX(FlowCalDevice,MATCH(J872,FlowCalNumber,0),1,1)</f>
        <v>#REF!</v>
      </c>
      <c r="N872" s="943" t="e">
        <f ca="1">IF($I872=$I$6,O$16&amp;$G$6&amp;"90"&amp;$H$6&amp;N$6,IF($I872=$I$7,O$16&amp;$G$7&amp;"90"&amp;$H$7&amp;N$7,"Bad"))</f>
        <v>#REF!</v>
      </c>
      <c r="O872" t="e">
        <f ca="1">INDEX(FlowCalGasMixture,MATCH(N872,FlowCalNumber,0),1,1)</f>
        <v>#REF!</v>
      </c>
      <c r="Q872" s="944" t="e">
        <f ca="1">INDEX(FlowCalDevice,MATCH(N872,FlowCalNumber,0),1,1)</f>
        <v>#REF!</v>
      </c>
      <c r="R872" s="943" t="e">
        <f ca="1">IF($I872=$I$6,S$16&amp;$G$6&amp;"90"&amp;$H$6&amp;R$6,IF($I872=$I$7,S$16&amp;$G$7&amp;"90"&amp;$H$7&amp;R$7,"Bad"))</f>
        <v>#REF!</v>
      </c>
      <c r="S872" t="e">
        <f ca="1">INDEX(FlowCalGasMixture,MATCH(R872,FlowCalNumber,0),1,1)</f>
        <v>#REF!</v>
      </c>
      <c r="U872" s="944" t="e">
        <f ca="1">INDEX(FlowCalDevice,MATCH(R872,FlowCalNumber,0),1,1)</f>
        <v>#REF!</v>
      </c>
      <c r="V872" s="20" t="e">
        <f ca="1">IF($I872=$I$6,W$16&amp;$G$6&amp;V$6,IF($I872=$I$7,W$16&amp;$G$7&amp;V$7,"Bad"))</f>
        <v>#REF!</v>
      </c>
      <c r="W872" t="e">
        <f ca="1">INDEX(FlowCalGasMixture,MATCH(V872,FlowCalNumber,0),1,1)</f>
        <v>#REF!</v>
      </c>
      <c r="Y872" s="944" t="e">
        <f ca="1">INDEX(FlowCalDevice,MATCH(V872,FlowCalNumber,0),1,1)</f>
        <v>#REF!</v>
      </c>
      <c r="Z872" s="946" t="e">
        <f ca="1">IF($I872=$I$6,AA$18&amp;$H$6&amp;Z$6,IF($I872=$I$7,AA$18&amp;$H$7&amp;Z$7,"Bad"))</f>
        <v>#REF!</v>
      </c>
      <c r="AA872" t="e">
        <f ca="1">INDEX(FlowCalGasMixture,MATCH(Z872,FlowCalNumber,0),1,1)</f>
        <v>#REF!</v>
      </c>
      <c r="AC872" s="944" t="e">
        <f ca="1">INDEX(FlowCalDevice,MATCH(Z872,FlowCalNumber,0),1,1)</f>
        <v>#REF!</v>
      </c>
      <c r="AD872" s="20" t="e">
        <f ca="1">IF($I872=$I$6,AE$16&amp;$G$6&amp;AD$6,IF($I872=$I$7,AE$16&amp;$G$7&amp;AD$7,"Bad"))</f>
        <v>#REF!</v>
      </c>
      <c r="AE872" t="e">
        <f ca="1">INDEX(FlowCalGasMixture,MATCH(AD872,FlowCalNumber,0),1,1)</f>
        <v>#REF!</v>
      </c>
      <c r="AG872" s="944" t="e">
        <f ca="1">INDEX(FlowCalDevice,MATCH(AD872,FlowCalNumber,0),1,1)</f>
        <v>#REF!</v>
      </c>
      <c r="AH872" s="946" t="e">
        <f ca="1">IF($I872=$I$6,AI$18&amp;$H$6&amp;AH$6,IF($I872=$I$7,AI$18&amp;$H$7&amp;AH$7,"Bad"))</f>
        <v>#REF!</v>
      </c>
      <c r="AI872" t="e">
        <f ca="1">INDEX(FlowCalGasMixture,MATCH(AH872,FlowCalNumber,0),1,1)</f>
        <v>#REF!</v>
      </c>
      <c r="AK872" s="944" t="e">
        <f ca="1">INDEX(FlowCalDevice,MATCH(AH872,FlowCalNumber,0),1,1)</f>
        <v>#REF!</v>
      </c>
      <c r="AL872" s="20"/>
      <c r="AO872" s="982"/>
      <c r="AP872" s="960"/>
      <c r="AS872" s="982"/>
      <c r="AT872" s="20"/>
      <c r="AW872" s="982"/>
      <c r="AX872" s="946"/>
      <c r="BA872" s="982"/>
      <c r="BB872" s="20"/>
      <c r="BC872" s="16"/>
      <c r="BE872" s="982"/>
      <c r="BF872" s="946"/>
      <c r="BG872" s="16"/>
      <c r="BI872" s="982"/>
      <c r="BJ872" s="946"/>
      <c r="BK872" s="16"/>
      <c r="BM872" s="982"/>
      <c r="BN872" s="20"/>
      <c r="BO872" s="16"/>
      <c r="BQ872" s="982"/>
      <c r="BR872" s="946"/>
      <c r="BS872" s="16"/>
      <c r="BU872" s="982"/>
      <c r="BV872" s="946"/>
      <c r="BW872" s="16"/>
      <c r="BY872" s="982"/>
      <c r="BZ872" s="946"/>
      <c r="CA872" s="16"/>
      <c r="CC872" s="982"/>
      <c r="CD872" s="355"/>
      <c r="CE872" s="355"/>
      <c r="CF872" s="355"/>
      <c r="CG872" s="355"/>
      <c r="CH872" s="355"/>
      <c r="CI872" s="355"/>
      <c r="CJ872" s="355"/>
      <c r="CK872" s="355"/>
      <c r="CL872" s="355"/>
      <c r="CM872" s="355"/>
      <c r="CN872" s="355"/>
      <c r="CO872" s="355"/>
      <c r="CP872" s="355"/>
      <c r="CQ872" s="355"/>
      <c r="CR872" s="355"/>
      <c r="CS872" s="355"/>
      <c r="CT872" s="355"/>
      <c r="CU872" s="355"/>
      <c r="CV872" s="355"/>
      <c r="CW872" s="355"/>
      <c r="CX872" s="355"/>
      <c r="CY872" s="355"/>
      <c r="CZ872" s="355"/>
      <c r="DA872" s="355"/>
      <c r="DB872" s="355"/>
      <c r="DC872" s="355"/>
      <c r="DD872" s="355"/>
      <c r="DE872" s="355"/>
      <c r="DF872" s="355"/>
      <c r="DG872" s="355"/>
      <c r="DH872" s="355"/>
      <c r="DI872" s="355"/>
      <c r="DJ872" s="355"/>
      <c r="DK872" s="355"/>
      <c r="DL872" s="46"/>
      <c r="DM872" s="16"/>
      <c r="DO872" s="355"/>
      <c r="DP872" s="42"/>
      <c r="DQ872" s="16"/>
      <c r="DS872" s="355"/>
      <c r="DT872" s="42"/>
      <c r="DU872" s="16"/>
      <c r="DW872" s="355"/>
      <c r="DX872" s="42"/>
      <c r="DY872" s="16"/>
      <c r="EA872" s="355"/>
    </row>
    <row r="873" spans="1:131">
      <c r="A873" s="20"/>
      <c r="B873" s="124" t="str">
        <f t="shared" ref="B873:B887" si="822">IF(D873=UAnem1percent,"1% Wind","")</f>
        <v/>
      </c>
      <c r="C873" s="235"/>
      <c r="D873" s="24">
        <f>'1% Wind'!$M$82</f>
        <v>27</v>
      </c>
      <c r="E873" s="90"/>
      <c r="F873" s="90"/>
      <c r="G873" s="79" t="e">
        <f ca="1">IF(I872=0.9743,$G872,MAX(G872/D872*D873,2))</f>
        <v>#REF!</v>
      </c>
      <c r="H873" s="121" t="e">
        <f t="shared" ref="H873:H887" ca="1" si="823">H872*(D872/D873)*(G873/G872)</f>
        <v>#REF!</v>
      </c>
      <c r="J873" s="33"/>
      <c r="K873" s="260">
        <f>K$17/100</f>
        <v>1</v>
      </c>
      <c r="L873" s="241" t="e">
        <f ca="1">K873*$H873</f>
        <v>#REF!</v>
      </c>
      <c r="M873" s="243" t="e">
        <f ca="1">IF(AND(INDEX(FlowCalConstA,MATCH(J872,FlowCalNumber,0),1,1)*L873^INDEX(FlowCalConstB,MATCH(J872,FlowCalNumber,0),1,1)&gt;INDEX(FlowCalLowSetting,MATCH(J872,FlowCalNumber,0),1,1), (INDEX(FlowCalConstA,MATCH(J872,FlowCalNumber,0),1,1)*L873^INDEX(FlowCalConstB,MATCH(J872,FlowCalNumber,0),1,1)&lt;INDEX(FlowCalHighSetting,MATCH(J872,FlowCalNumber,0),1,1))),INDEX(FlowCalConstA,MATCH(J872,FlowCalNumber,0),1,1)*L873^INDEX(FlowCalConstB,MATCH(J872,FlowCalNumber,0),1,1)," ")</f>
        <v>#REF!</v>
      </c>
      <c r="N873" s="33"/>
      <c r="O873" s="260">
        <f>O$17/100</f>
        <v>1</v>
      </c>
      <c r="P873" s="241" t="e">
        <f ca="1">O873*$H873</f>
        <v>#REF!</v>
      </c>
      <c r="Q873" s="243" t="e">
        <f ca="1">IF(AND(INDEX(FlowCalConstA,MATCH(N872,FlowCalNumber,0),1,1)*P873^INDEX(FlowCalConstB,MATCH(N872,FlowCalNumber,0),1,1)&gt;INDEX(FlowCalLowSetting,MATCH(N872,FlowCalNumber,0),1,1), (INDEX(FlowCalConstA,MATCH(N872,FlowCalNumber,0),1,1)*P873^INDEX(FlowCalConstB,MATCH(N872,FlowCalNumber,0),1,1)&lt;INDEX(FlowCalHighSetting,MATCH(N872,FlowCalNumber,0),1,1))),INDEX(FlowCalConstA,MATCH(N872,FlowCalNumber,0),1,1)*P873^INDEX(FlowCalConstB,MATCH(N872,FlowCalNumber,0),1,1)," ")</f>
        <v>#REF!</v>
      </c>
      <c r="R873" s="33"/>
      <c r="S873" s="260">
        <f>S$17/100</f>
        <v>1</v>
      </c>
      <c r="T873" s="241" t="e">
        <f ca="1">S873*$H873</f>
        <v>#REF!</v>
      </c>
      <c r="U873" s="244" t="e">
        <f ca="1">IF(AND(INDEX(FlowCalConstA,MATCH(R872,FlowCalNumber,0),1,1)*T873^INDEX(FlowCalConstB,MATCH(R872,FlowCalNumber,0),1,1)&gt;INDEX(FlowCalLowSetting,MATCH(R872,FlowCalNumber,0),1,1), (INDEX(FlowCalConstA,MATCH(R872,FlowCalNumber,0),1,1)*T873^INDEX(FlowCalConstB,MATCH(R872,FlowCalNumber,0),1,1)&lt;INDEX(FlowCalHighSetting,MATCH(R872,FlowCalNumber,0),1,1))),INDEX(FlowCalConstA,MATCH(R872,FlowCalNumber,0),1,1)*T873^INDEX(FlowCalConstB,MATCH(R872,FlowCalNumber,0),1,1)," ")</f>
        <v>#REF!</v>
      </c>
      <c r="V873" s="33"/>
      <c r="W873" s="260">
        <f>W$17/100</f>
        <v>0.1</v>
      </c>
      <c r="X873" s="241" t="e">
        <f ca="1">W873*$H873</f>
        <v>#REF!</v>
      </c>
      <c r="Y873" s="243" t="e">
        <f ca="1">IF(AND(INDEX(FlowCalConstA,MATCH(V872,FlowCalNumber,0),1,1)*X873^INDEX(FlowCalConstB,MATCH(V872,FlowCalNumber,0),1,1)&gt;INDEX(FlowCalLowSetting,MATCH(V872,FlowCalNumber,0),1,1), (INDEX(FlowCalConstA,MATCH(V872,FlowCalNumber,0),1,1)*X873^INDEX(FlowCalConstB,MATCH(V872,FlowCalNumber,0),1,1)&lt;INDEX(FlowCalHighSetting,MATCH(V872,FlowCalNumber,0),1,1))),INDEX(FlowCalConstA,MATCH(V872,FlowCalNumber,0),1,1)*X873^INDEX(FlowCalConstB,MATCH(V872,FlowCalNumber,0),1,1)," ")</f>
        <v>#REF!</v>
      </c>
      <c r="Z873" s="33"/>
      <c r="AA873" s="260">
        <f>AA$17/100</f>
        <v>0.9</v>
      </c>
      <c r="AB873" s="241" t="e">
        <f ca="1">AA873*$H873</f>
        <v>#REF!</v>
      </c>
      <c r="AC873" s="243" t="e">
        <f ca="1">IF(AND(INDEX(FlowCalConstA,MATCH(Z872,FlowCalNumber,0),1,1)*AB873^INDEX(FlowCalConstB,MATCH(Z872,FlowCalNumber,0),1,1)&gt;INDEX(FlowCalLowSetting,MATCH(Z872,FlowCalNumber,0),1,1), (INDEX(FlowCalConstA,MATCH(Z872,FlowCalNumber,0),1,1)*AB873^INDEX(FlowCalConstB,MATCH(Z872,FlowCalNumber,0),1,1)&lt;INDEX(FlowCalHighSetting,MATCH(Z872,FlowCalNumber,0),1,1))),INDEX(FlowCalConstA,MATCH(Z872,FlowCalNumber,0),1,1)*AB873^INDEX(FlowCalConstB,MATCH(Z872,FlowCalNumber,0),1,1)," ")</f>
        <v>#REF!</v>
      </c>
      <c r="AD873" s="33"/>
      <c r="AE873" s="260">
        <f>AE$17/100</f>
        <v>0.1</v>
      </c>
      <c r="AF873" s="241" t="e">
        <f ca="1">AE873*$H873</f>
        <v>#REF!</v>
      </c>
      <c r="AG873" s="243" t="e">
        <f ca="1">IF(AND(INDEX(FlowCalConstA,MATCH(AD872,FlowCalNumber,0),1,1)*AF873^INDEX(FlowCalConstB,MATCH(AD872,FlowCalNumber,0),1,1)&gt;INDEX(FlowCalLowSetting,MATCH(AD872,FlowCalNumber,0),1,1), (INDEX(FlowCalConstA,MATCH(AD872,FlowCalNumber,0),1,1)*AF873^INDEX(FlowCalConstB,MATCH(AD872,FlowCalNumber,0),1,1)&lt;INDEX(FlowCalHighSetting,MATCH(AD872,FlowCalNumber,0),1,1))),INDEX(FlowCalConstA,MATCH(AD872,FlowCalNumber,0),1,1)*AF873^INDEX(FlowCalConstB,MATCH(AD872,FlowCalNumber,0),1,1)," ")</f>
        <v>#REF!</v>
      </c>
      <c r="AH873" s="33"/>
      <c r="AI873" s="260">
        <f>AI$17/100</f>
        <v>0.9</v>
      </c>
      <c r="AJ873" s="241" t="e">
        <f ca="1">AI873*$H873</f>
        <v>#REF!</v>
      </c>
      <c r="AK873" s="243" t="e">
        <f ca="1">IF(AND(INDEX(FlowCalConstA,MATCH(AH872,FlowCalNumber,0),1,1)*AJ873^INDEX(FlowCalConstB,MATCH(AH872,FlowCalNumber,0),1,1)&gt;INDEX(FlowCalLowSetting,MATCH(AH872,FlowCalNumber,0),1,1), (INDEX(FlowCalConstA,MATCH(AH872,FlowCalNumber,0),1,1)*AJ873^INDEX(FlowCalConstB,MATCH(AH872,FlowCalNumber,0),1,1)&lt;INDEX(FlowCalHighSetting,MATCH(AH872,FlowCalNumber,0),1,1))),INDEX(FlowCalConstA,MATCH(AH872,FlowCalNumber,0),1,1)*AJ873^INDEX(FlowCalConstB,MATCH(AH872,FlowCalNumber,0),1,1)," ")</f>
        <v>#REF!</v>
      </c>
      <c r="AL873" s="33"/>
      <c r="AM873" s="260"/>
      <c r="AN873" s="241"/>
      <c r="AO873" s="244"/>
      <c r="AQ873" s="260"/>
      <c r="AR873" s="241"/>
      <c r="AS873" s="244"/>
      <c r="AT873" s="33"/>
      <c r="AU873" s="260"/>
      <c r="AV873" s="241"/>
      <c r="AW873" s="244"/>
      <c r="AX873" s="33"/>
      <c r="AY873" s="260"/>
      <c r="AZ873" s="241"/>
      <c r="BA873" s="244"/>
      <c r="BB873" s="33"/>
      <c r="BC873" s="260"/>
      <c r="BD873" s="241"/>
      <c r="BE873" s="244"/>
      <c r="BF873" s="33"/>
      <c r="BG873" s="260"/>
      <c r="BH873" s="241"/>
      <c r="BI873" s="244"/>
      <c r="BJ873" s="33"/>
      <c r="BK873" s="260"/>
      <c r="BL873" s="241"/>
      <c r="BM873" s="244"/>
      <c r="BN873" s="33"/>
      <c r="BO873" s="260"/>
      <c r="BP873" s="241"/>
      <c r="BQ873" s="244"/>
      <c r="BR873" s="33"/>
      <c r="BS873" s="260"/>
      <c r="BT873" s="241"/>
      <c r="BU873" s="244"/>
      <c r="BV873" s="33"/>
      <c r="BW873" s="260"/>
      <c r="BX873" s="241"/>
      <c r="BY873" s="244"/>
      <c r="BZ873" s="33"/>
      <c r="CA873" s="260"/>
      <c r="CB873" s="241"/>
      <c r="CC873" s="244"/>
      <c r="CD873" s="243"/>
      <c r="CE873" s="243"/>
      <c r="CF873" s="243"/>
      <c r="CG873" s="243"/>
      <c r="CH873" s="243"/>
      <c r="CI873" s="243"/>
      <c r="CJ873" s="243"/>
      <c r="CK873" s="243"/>
      <c r="CL873" s="243"/>
      <c r="CM873" s="243"/>
      <c r="CN873" s="243"/>
      <c r="CO873" s="243"/>
      <c r="CP873" s="243"/>
      <c r="CQ873" s="243"/>
      <c r="CR873" s="243"/>
      <c r="CS873" s="243"/>
      <c r="CT873" s="243"/>
      <c r="CU873" s="243"/>
      <c r="CV873" s="243"/>
      <c r="CW873" s="243"/>
      <c r="CX873" s="243"/>
      <c r="CY873" s="243"/>
      <c r="CZ873" s="243"/>
      <c r="DA873" s="243"/>
      <c r="DB873" s="243"/>
      <c r="DC873" s="243"/>
      <c r="DD873" s="243"/>
      <c r="DE873" s="243"/>
      <c r="DF873" s="243"/>
      <c r="DG873" s="243"/>
      <c r="DH873" s="243"/>
      <c r="DI873" s="243"/>
      <c r="DJ873" s="243"/>
      <c r="DK873" s="243"/>
      <c r="DM873" s="259"/>
      <c r="DO873" s="243"/>
      <c r="DQ873" s="259"/>
      <c r="DS873" s="243"/>
      <c r="DU873" s="259"/>
      <c r="DW873" s="243"/>
      <c r="DY873" s="260"/>
      <c r="EA873" s="243"/>
    </row>
    <row r="874" spans="1:131">
      <c r="A874" s="20"/>
      <c r="B874" s="124" t="str">
        <f t="shared" si="822"/>
        <v/>
      </c>
      <c r="C874" s="235"/>
      <c r="D874" s="24">
        <f>'1% Wind'!$M$83</f>
        <v>23.5</v>
      </c>
      <c r="E874" s="90"/>
      <c r="F874" s="90"/>
      <c r="G874" s="79" t="e">
        <f ca="1">IF(I872=0.9743,$G873,MAX(G873/D873*D874,2))</f>
        <v>#REF!</v>
      </c>
      <c r="H874" s="121" t="e">
        <f t="shared" ca="1" si="823"/>
        <v>#REF!</v>
      </c>
      <c r="J874" s="33"/>
      <c r="K874" s="242">
        <f t="shared" ref="K874:K887" si="824">K873</f>
        <v>1</v>
      </c>
      <c r="L874" s="241" t="e">
        <f t="shared" ref="L874:L887" ca="1" si="825">K874*$H874</f>
        <v>#REF!</v>
      </c>
      <c r="M874" s="243" t="e">
        <f ca="1">IF(AND(INDEX(FlowCalConstA,MATCH(J872,FlowCalNumber,0),1,1)*L874^INDEX(FlowCalConstB,MATCH(J872,FlowCalNumber,0),1,1)&gt;INDEX(FlowCalLowSetting,MATCH(J872,FlowCalNumber,0),1,1), (INDEX(FlowCalConstA,MATCH(J872,FlowCalNumber,0),1,1)*L874^INDEX(FlowCalConstB,MATCH(J872,FlowCalNumber,0),1,1)&lt;INDEX(FlowCalHighSetting,MATCH(J872,FlowCalNumber,0),1,1))),INDEX(FlowCalConstA,MATCH(J872,FlowCalNumber,0),1,1)*L874^INDEX(FlowCalConstB,MATCH(J872,FlowCalNumber,0),1,1)," ")</f>
        <v>#REF!</v>
      </c>
      <c r="N874" s="33"/>
      <c r="O874" s="242">
        <f t="shared" ref="O874:O887" si="826">O873</f>
        <v>1</v>
      </c>
      <c r="P874" s="241" t="e">
        <f t="shared" ref="P874:P887" ca="1" si="827">O874*$H874</f>
        <v>#REF!</v>
      </c>
      <c r="Q874" s="243" t="e">
        <f ca="1">IF(AND(INDEX(FlowCalConstA,MATCH(N872,FlowCalNumber,0),1,1)*P874^INDEX(FlowCalConstB,MATCH(N872,FlowCalNumber,0),1,1)&gt;INDEX(FlowCalLowSetting,MATCH(N872,FlowCalNumber,0),1,1), (INDEX(FlowCalConstA,MATCH(N872,FlowCalNumber,0),1,1)*P874^INDEX(FlowCalConstB,MATCH(N872,FlowCalNumber,0),1,1)&lt;INDEX(FlowCalHighSetting,MATCH(N872,FlowCalNumber,0),1,1))),INDEX(FlowCalConstA,MATCH(N872,FlowCalNumber,0),1,1)*P874^INDEX(FlowCalConstB,MATCH(N872,FlowCalNumber,0),1,1)," ")</f>
        <v>#REF!</v>
      </c>
      <c r="R874" s="33"/>
      <c r="S874" s="242">
        <f t="shared" ref="S874:S887" si="828">S873</f>
        <v>1</v>
      </c>
      <c r="T874" s="241" t="e">
        <f t="shared" ref="T874:T887" ca="1" si="829">S874*$H874</f>
        <v>#REF!</v>
      </c>
      <c r="U874" s="244" t="e">
        <f ca="1">IF(AND(INDEX(FlowCalConstA,MATCH(R872,FlowCalNumber,0),1,1)*T874^INDEX(FlowCalConstB,MATCH(R872,FlowCalNumber,0),1,1)&gt;INDEX(FlowCalLowSetting,MATCH(R872,FlowCalNumber,0),1,1), (INDEX(FlowCalConstA,MATCH(R872,FlowCalNumber,0),1,1)*T874^INDEX(FlowCalConstB,MATCH(R872,FlowCalNumber,0),1,1)&lt;INDEX(FlowCalHighSetting,MATCH(R872,FlowCalNumber,0),1,1))),INDEX(FlowCalConstA,MATCH(R872,FlowCalNumber,0),1,1)*T874^INDEX(FlowCalConstB,MATCH(R872,FlowCalNumber,0),1,1)," ")</f>
        <v>#REF!</v>
      </c>
      <c r="V874" s="33"/>
      <c r="W874" s="242">
        <f t="shared" ref="W874:W887" si="830">W873</f>
        <v>0.1</v>
      </c>
      <c r="X874" s="241" t="e">
        <f t="shared" ref="X874:X887" ca="1" si="831">W874*$H874</f>
        <v>#REF!</v>
      </c>
      <c r="Y874" s="243" t="e">
        <f ca="1">IF(AND(INDEX(FlowCalConstA,MATCH(V872,FlowCalNumber,0),1,1)*X874^INDEX(FlowCalConstB,MATCH(V872,FlowCalNumber,0),1,1)&gt;INDEX(FlowCalLowSetting,MATCH(V872,FlowCalNumber,0),1,1), (INDEX(FlowCalConstA,MATCH(V872,FlowCalNumber,0),1,1)*X874^INDEX(FlowCalConstB,MATCH(V872,FlowCalNumber,0),1,1)&lt;INDEX(FlowCalHighSetting,MATCH(V872,FlowCalNumber,0),1,1))),INDEX(FlowCalConstA,MATCH(V872,FlowCalNumber,0),1,1)*X874^INDEX(FlowCalConstB,MATCH(V872,FlowCalNumber,0),1,1)," ")</f>
        <v>#REF!</v>
      </c>
      <c r="Z874" s="33"/>
      <c r="AA874" s="242">
        <f t="shared" ref="AA874:AA887" si="832">AA873</f>
        <v>0.9</v>
      </c>
      <c r="AB874" s="241" t="e">
        <f t="shared" ref="AB874:AB887" ca="1" si="833">AA874*$H874</f>
        <v>#REF!</v>
      </c>
      <c r="AC874" s="243" t="e">
        <f ca="1">IF(AND(INDEX(FlowCalConstA,MATCH(Z872,FlowCalNumber,0),1,1)*AB874^INDEX(FlowCalConstB,MATCH(Z872,FlowCalNumber,0),1,1)&gt;INDEX(FlowCalLowSetting,MATCH(Z872,FlowCalNumber,0),1,1), (INDEX(FlowCalConstA,MATCH(Z872,FlowCalNumber,0),1,1)*AB874^INDEX(FlowCalConstB,MATCH(Z872,FlowCalNumber,0),1,1)&lt;INDEX(FlowCalHighSetting,MATCH(Z872,FlowCalNumber,0),1,1))),INDEX(FlowCalConstA,MATCH(Z872,FlowCalNumber,0),1,1)*AB874^INDEX(FlowCalConstB,MATCH(Z872,FlowCalNumber,0),1,1)," ")</f>
        <v>#REF!</v>
      </c>
      <c r="AD874" s="33"/>
      <c r="AE874" s="242">
        <f t="shared" ref="AE874:AE887" si="834">AE873</f>
        <v>0.1</v>
      </c>
      <c r="AF874" s="241" t="e">
        <f t="shared" ref="AF874:AF887" ca="1" si="835">AE874*$H874</f>
        <v>#REF!</v>
      </c>
      <c r="AG874" s="243" t="e">
        <f ca="1">IF(AND(INDEX(FlowCalConstA,MATCH(AD872,FlowCalNumber,0),1,1)*AF874^INDEX(FlowCalConstB,MATCH(AD872,FlowCalNumber,0),1,1)&gt;INDEX(FlowCalLowSetting,MATCH(AD872,FlowCalNumber,0),1,1), (INDEX(FlowCalConstA,MATCH(AD872,FlowCalNumber,0),1,1)*AF874^INDEX(FlowCalConstB,MATCH(AD872,FlowCalNumber,0),1,1)&lt;INDEX(FlowCalHighSetting,MATCH(AD872,FlowCalNumber,0),1,1))),INDEX(FlowCalConstA,MATCH(AD872,FlowCalNumber,0),1,1)*AF874^INDEX(FlowCalConstB,MATCH(AD872,FlowCalNumber,0),1,1)," ")</f>
        <v>#REF!</v>
      </c>
      <c r="AH874" s="33"/>
      <c r="AI874" s="242">
        <f t="shared" ref="AI874:AI887" si="836">AI873</f>
        <v>0.9</v>
      </c>
      <c r="AJ874" s="241" t="e">
        <f t="shared" ref="AJ874:AJ887" ca="1" si="837">AI874*$H874</f>
        <v>#REF!</v>
      </c>
      <c r="AK874" s="243" t="e">
        <f ca="1">IF(AND(INDEX(FlowCalConstA,MATCH(AH872,FlowCalNumber,0),1,1)*AJ874^INDEX(FlowCalConstB,MATCH(AH872,FlowCalNumber,0),1,1)&gt;INDEX(FlowCalLowSetting,MATCH(AH872,FlowCalNumber,0),1,1), (INDEX(FlowCalConstA,MATCH(AH872,FlowCalNumber,0),1,1)*AJ874^INDEX(FlowCalConstB,MATCH(AH872,FlowCalNumber,0),1,1)&lt;INDEX(FlowCalHighSetting,MATCH(AH872,FlowCalNumber,0),1,1))),INDEX(FlowCalConstA,MATCH(AH872,FlowCalNumber,0),1,1)*AJ874^INDEX(FlowCalConstB,MATCH(AH872,FlowCalNumber,0),1,1)," ")</f>
        <v>#REF!</v>
      </c>
      <c r="AL874" s="33"/>
      <c r="AM874" s="242"/>
      <c r="AN874" s="241"/>
      <c r="AO874" s="244"/>
      <c r="AQ874" s="242"/>
      <c r="AR874" s="241"/>
      <c r="AS874" s="244"/>
      <c r="AT874" s="33"/>
      <c r="AU874" s="242"/>
      <c r="AV874" s="241"/>
      <c r="AW874" s="244"/>
      <c r="AX874" s="33"/>
      <c r="AY874" s="242"/>
      <c r="AZ874" s="241"/>
      <c r="BA874" s="244"/>
      <c r="BB874" s="33"/>
      <c r="BC874" s="242"/>
      <c r="BD874" s="241"/>
      <c r="BE874" s="244"/>
      <c r="BF874" s="33"/>
      <c r="BG874" s="242"/>
      <c r="BH874" s="241"/>
      <c r="BI874" s="244"/>
      <c r="BJ874" s="33"/>
      <c r="BK874" s="242"/>
      <c r="BL874" s="241"/>
      <c r="BM874" s="244"/>
      <c r="BN874" s="33"/>
      <c r="BO874" s="242"/>
      <c r="BP874" s="241"/>
      <c r="BQ874" s="244"/>
      <c r="BR874" s="33"/>
      <c r="BS874" s="242"/>
      <c r="BT874" s="241"/>
      <c r="BU874" s="244"/>
      <c r="BV874" s="33"/>
      <c r="BW874" s="242"/>
      <c r="BX874" s="241"/>
      <c r="BY874" s="244"/>
      <c r="BZ874" s="33"/>
      <c r="CA874" s="242"/>
      <c r="CB874" s="241"/>
      <c r="CC874" s="244"/>
      <c r="CD874" s="243"/>
      <c r="CE874" s="243"/>
      <c r="CF874" s="243"/>
      <c r="CG874" s="243"/>
      <c r="CH874" s="243"/>
      <c r="CI874" s="243"/>
      <c r="CJ874" s="243"/>
      <c r="CK874" s="243"/>
      <c r="CL874" s="243"/>
      <c r="CM874" s="243"/>
      <c r="CN874" s="243"/>
      <c r="CO874" s="243"/>
      <c r="CP874" s="243"/>
      <c r="CQ874" s="243"/>
      <c r="CR874" s="243"/>
      <c r="CS874" s="243"/>
      <c r="CT874" s="243"/>
      <c r="CU874" s="243"/>
      <c r="CV874" s="243"/>
      <c r="CW874" s="243"/>
      <c r="CX874" s="243"/>
      <c r="CY874" s="243"/>
      <c r="CZ874" s="243"/>
      <c r="DA874" s="243"/>
      <c r="DB874" s="243"/>
      <c r="DC874" s="243"/>
      <c r="DD874" s="243"/>
      <c r="DE874" s="243"/>
      <c r="DF874" s="243"/>
      <c r="DG874" s="243"/>
      <c r="DH874" s="243"/>
      <c r="DI874" s="243"/>
      <c r="DJ874" s="243"/>
      <c r="DK874" s="243"/>
      <c r="DM874" s="242"/>
      <c r="DO874" s="243"/>
      <c r="DQ874" s="242"/>
      <c r="DS874" s="243"/>
      <c r="DU874" s="242"/>
      <c r="DW874" s="243"/>
      <c r="DY874" s="242"/>
      <c r="EA874" s="243"/>
    </row>
    <row r="875" spans="1:131">
      <c r="A875" s="20"/>
      <c r="B875" s="124" t="str">
        <f t="shared" si="822"/>
        <v/>
      </c>
      <c r="C875" s="235"/>
      <c r="D875" s="24">
        <f>'1% Wind'!$M$84</f>
        <v>20.5</v>
      </c>
      <c r="E875" s="90"/>
      <c r="F875" s="90"/>
      <c r="G875" s="79" t="e">
        <f ca="1">IF(I872=0.9743,$G874,MAX(G874/D874*D875,2))</f>
        <v>#REF!</v>
      </c>
      <c r="H875" s="121" t="e">
        <f t="shared" ca="1" si="823"/>
        <v>#REF!</v>
      </c>
      <c r="J875" s="33"/>
      <c r="K875" s="242">
        <f t="shared" si="824"/>
        <v>1</v>
      </c>
      <c r="L875" s="241" t="e">
        <f t="shared" ca="1" si="825"/>
        <v>#REF!</v>
      </c>
      <c r="M875" s="243" t="e">
        <f ca="1">IF(AND(INDEX(FlowCalConstA,MATCH(J872,FlowCalNumber,0),1,1)*L875^INDEX(FlowCalConstB,MATCH(J872,FlowCalNumber,0),1,1)&gt;INDEX(FlowCalLowSetting,MATCH(J872,FlowCalNumber,0),1,1), (INDEX(FlowCalConstA,MATCH(J872,FlowCalNumber,0),1,1)*L875^INDEX(FlowCalConstB,MATCH(J872,FlowCalNumber,0),1,1)&lt;INDEX(FlowCalHighSetting,MATCH(J872,FlowCalNumber,0),1,1))),INDEX(FlowCalConstA,MATCH(J872,FlowCalNumber,0),1,1)*L875^INDEX(FlowCalConstB,MATCH(J872,FlowCalNumber,0),1,1)," ")</f>
        <v>#REF!</v>
      </c>
      <c r="N875" s="33"/>
      <c r="O875" s="242">
        <f t="shared" si="826"/>
        <v>1</v>
      </c>
      <c r="P875" s="241" t="e">
        <f t="shared" ca="1" si="827"/>
        <v>#REF!</v>
      </c>
      <c r="Q875" s="243" t="e">
        <f ca="1">IF(AND(INDEX(FlowCalConstA,MATCH(N872,FlowCalNumber,0),1,1)*P875^INDEX(FlowCalConstB,MATCH(N872,FlowCalNumber,0),1,1)&gt;INDEX(FlowCalLowSetting,MATCH(N872,FlowCalNumber,0),1,1), (INDEX(FlowCalConstA,MATCH(N872,FlowCalNumber,0),1,1)*P875^INDEX(FlowCalConstB,MATCH(N872,FlowCalNumber,0),1,1)&lt;INDEX(FlowCalHighSetting,MATCH(N872,FlowCalNumber,0),1,1))),INDEX(FlowCalConstA,MATCH(N872,FlowCalNumber,0),1,1)*P875^INDEX(FlowCalConstB,MATCH(N872,FlowCalNumber,0),1,1)," ")</f>
        <v>#REF!</v>
      </c>
      <c r="R875" s="33"/>
      <c r="S875" s="242">
        <f t="shared" si="828"/>
        <v>1</v>
      </c>
      <c r="T875" s="241" t="e">
        <f t="shared" ca="1" si="829"/>
        <v>#REF!</v>
      </c>
      <c r="U875" s="244" t="e">
        <f ca="1">IF(AND(INDEX(FlowCalConstA,MATCH(R872,FlowCalNumber,0),1,1)*T875^INDEX(FlowCalConstB,MATCH(R872,FlowCalNumber,0),1,1)&gt;INDEX(FlowCalLowSetting,MATCH(R872,FlowCalNumber,0),1,1), (INDEX(FlowCalConstA,MATCH(R872,FlowCalNumber,0),1,1)*T875^INDEX(FlowCalConstB,MATCH(R872,FlowCalNumber,0),1,1)&lt;INDEX(FlowCalHighSetting,MATCH(R872,FlowCalNumber,0),1,1))),INDEX(FlowCalConstA,MATCH(R872,FlowCalNumber,0),1,1)*T875^INDEX(FlowCalConstB,MATCH(R872,FlowCalNumber,0),1,1)," ")</f>
        <v>#REF!</v>
      </c>
      <c r="V875" s="33"/>
      <c r="W875" s="242">
        <f t="shared" si="830"/>
        <v>0.1</v>
      </c>
      <c r="X875" s="241" t="e">
        <f t="shared" ca="1" si="831"/>
        <v>#REF!</v>
      </c>
      <c r="Y875" s="243" t="e">
        <f ca="1">IF(AND(INDEX(FlowCalConstA,MATCH(V872,FlowCalNumber,0),1,1)*X875^INDEX(FlowCalConstB,MATCH(V872,FlowCalNumber,0),1,1)&gt;INDEX(FlowCalLowSetting,MATCH(V872,FlowCalNumber,0),1,1), (INDEX(FlowCalConstA,MATCH(V872,FlowCalNumber,0),1,1)*X875^INDEX(FlowCalConstB,MATCH(V872,FlowCalNumber,0),1,1)&lt;INDEX(FlowCalHighSetting,MATCH(V872,FlowCalNumber,0),1,1))),INDEX(FlowCalConstA,MATCH(V872,FlowCalNumber,0),1,1)*X875^INDEX(FlowCalConstB,MATCH(V872,FlowCalNumber,0),1,1)," ")</f>
        <v>#REF!</v>
      </c>
      <c r="Z875" s="33"/>
      <c r="AA875" s="242">
        <f t="shared" si="832"/>
        <v>0.9</v>
      </c>
      <c r="AB875" s="241" t="e">
        <f t="shared" ca="1" si="833"/>
        <v>#REF!</v>
      </c>
      <c r="AC875" s="243" t="e">
        <f ca="1">IF(AND(INDEX(FlowCalConstA,MATCH(Z872,FlowCalNumber,0),1,1)*AB875^INDEX(FlowCalConstB,MATCH(Z872,FlowCalNumber,0),1,1)&gt;INDEX(FlowCalLowSetting,MATCH(Z872,FlowCalNumber,0),1,1), (INDEX(FlowCalConstA,MATCH(Z872,FlowCalNumber,0),1,1)*AB875^INDEX(FlowCalConstB,MATCH(Z872,FlowCalNumber,0),1,1)&lt;INDEX(FlowCalHighSetting,MATCH(Z872,FlowCalNumber,0),1,1))),INDEX(FlowCalConstA,MATCH(Z872,FlowCalNumber,0),1,1)*AB875^INDEX(FlowCalConstB,MATCH(Z872,FlowCalNumber,0),1,1)," ")</f>
        <v>#REF!</v>
      </c>
      <c r="AD875" s="33"/>
      <c r="AE875" s="242">
        <f t="shared" si="834"/>
        <v>0.1</v>
      </c>
      <c r="AF875" s="241" t="e">
        <f t="shared" ca="1" si="835"/>
        <v>#REF!</v>
      </c>
      <c r="AG875" s="243" t="e">
        <f ca="1">IF(AND(INDEX(FlowCalConstA,MATCH(AD872,FlowCalNumber,0),1,1)*AF875^INDEX(FlowCalConstB,MATCH(AD872,FlowCalNumber,0),1,1)&gt;INDEX(FlowCalLowSetting,MATCH(AD872,FlowCalNumber,0),1,1), (INDEX(FlowCalConstA,MATCH(AD872,FlowCalNumber,0),1,1)*AF875^INDEX(FlowCalConstB,MATCH(AD872,FlowCalNumber,0),1,1)&lt;INDEX(FlowCalHighSetting,MATCH(AD872,FlowCalNumber,0),1,1))),INDEX(FlowCalConstA,MATCH(AD872,FlowCalNumber,0),1,1)*AF875^INDEX(FlowCalConstB,MATCH(AD872,FlowCalNumber,0),1,1)," ")</f>
        <v>#REF!</v>
      </c>
      <c r="AH875" s="33"/>
      <c r="AI875" s="242">
        <f t="shared" si="836"/>
        <v>0.9</v>
      </c>
      <c r="AJ875" s="241" t="e">
        <f t="shared" ca="1" si="837"/>
        <v>#REF!</v>
      </c>
      <c r="AK875" s="243" t="e">
        <f ca="1">IF(AND(INDEX(FlowCalConstA,MATCH(AH872,FlowCalNumber,0),1,1)*AJ875^INDEX(FlowCalConstB,MATCH(AH872,FlowCalNumber,0),1,1)&gt;INDEX(FlowCalLowSetting,MATCH(AH872,FlowCalNumber,0),1,1), (INDEX(FlowCalConstA,MATCH(AH872,FlowCalNumber,0),1,1)*AJ875^INDEX(FlowCalConstB,MATCH(AH872,FlowCalNumber,0),1,1)&lt;INDEX(FlowCalHighSetting,MATCH(AH872,FlowCalNumber,0),1,1))),INDEX(FlowCalConstA,MATCH(AH872,FlowCalNumber,0),1,1)*AJ875^INDEX(FlowCalConstB,MATCH(AH872,FlowCalNumber,0),1,1)," ")</f>
        <v>#REF!</v>
      </c>
      <c r="AL875" s="33"/>
      <c r="AM875" s="242"/>
      <c r="AN875" s="241"/>
      <c r="AO875" s="244"/>
      <c r="AQ875" s="242"/>
      <c r="AR875" s="241"/>
      <c r="AS875" s="244"/>
      <c r="AT875" s="33"/>
      <c r="AU875" s="242"/>
      <c r="AV875" s="241"/>
      <c r="AW875" s="244"/>
      <c r="AX875" s="33"/>
      <c r="AY875" s="242"/>
      <c r="AZ875" s="241"/>
      <c r="BA875" s="244"/>
      <c r="BB875" s="33"/>
      <c r="BC875" s="242"/>
      <c r="BD875" s="241"/>
      <c r="BE875" s="244"/>
      <c r="BF875" s="33"/>
      <c r="BG875" s="242"/>
      <c r="BH875" s="241"/>
      <c r="BI875" s="244"/>
      <c r="BJ875" s="33"/>
      <c r="BK875" s="242"/>
      <c r="BL875" s="241"/>
      <c r="BM875" s="244"/>
      <c r="BN875" s="33"/>
      <c r="BO875" s="242"/>
      <c r="BP875" s="241"/>
      <c r="BQ875" s="244"/>
      <c r="BR875" s="33"/>
      <c r="BS875" s="242"/>
      <c r="BT875" s="241"/>
      <c r="BU875" s="244"/>
      <c r="BV875" s="33"/>
      <c r="BW875" s="242"/>
      <c r="BX875" s="241"/>
      <c r="BY875" s="244"/>
      <c r="BZ875" s="33"/>
      <c r="CA875" s="242"/>
      <c r="CB875" s="241"/>
      <c r="CC875" s="244"/>
      <c r="CD875" s="243"/>
      <c r="CE875" s="243"/>
      <c r="CF875" s="243"/>
      <c r="CG875" s="243"/>
      <c r="CH875" s="243"/>
      <c r="CI875" s="243"/>
      <c r="CJ875" s="243"/>
      <c r="CK875" s="243"/>
      <c r="CL875" s="243"/>
      <c r="CM875" s="243"/>
      <c r="CN875" s="243"/>
      <c r="CO875" s="243"/>
      <c r="CP875" s="243"/>
      <c r="CQ875" s="243"/>
      <c r="CR875" s="243"/>
      <c r="CS875" s="243"/>
      <c r="CT875" s="243"/>
      <c r="CU875" s="243"/>
      <c r="CV875" s="243"/>
      <c r="CW875" s="243"/>
      <c r="CX875" s="243"/>
      <c r="CY875" s="243"/>
      <c r="CZ875" s="243"/>
      <c r="DA875" s="243"/>
      <c r="DB875" s="243"/>
      <c r="DC875" s="243"/>
      <c r="DD875" s="243"/>
      <c r="DE875" s="243"/>
      <c r="DF875" s="243"/>
      <c r="DG875" s="243"/>
      <c r="DH875" s="243"/>
      <c r="DI875" s="243"/>
      <c r="DJ875" s="243"/>
      <c r="DK875" s="243"/>
      <c r="DM875" s="242"/>
      <c r="DO875" s="243"/>
      <c r="DQ875" s="242"/>
      <c r="DS875" s="243"/>
      <c r="DU875" s="242"/>
      <c r="DW875" s="243"/>
      <c r="DY875" s="242"/>
      <c r="EA875" s="243"/>
    </row>
    <row r="876" spans="1:131">
      <c r="A876" s="20"/>
      <c r="B876" s="124" t="str">
        <f t="shared" si="822"/>
        <v/>
      </c>
      <c r="C876" s="235"/>
      <c r="D876" s="24">
        <f>'1% Wind'!$M$85</f>
        <v>17.8</v>
      </c>
      <c r="E876" s="90"/>
      <c r="F876" s="90"/>
      <c r="G876" s="79" t="e">
        <f ca="1">IF(I872=0.9743,$G875,MAX(G875/D875*D876,2))</f>
        <v>#REF!</v>
      </c>
      <c r="H876" s="121" t="e">
        <f t="shared" ca="1" si="823"/>
        <v>#REF!</v>
      </c>
      <c r="J876" s="33"/>
      <c r="K876" s="242">
        <f t="shared" si="824"/>
        <v>1</v>
      </c>
      <c r="L876" s="241" t="e">
        <f t="shared" ca="1" si="825"/>
        <v>#REF!</v>
      </c>
      <c r="M876" s="243" t="e">
        <f ca="1">IF(AND(INDEX(FlowCalConstA,MATCH(J872,FlowCalNumber,0),1,1)*L876^INDEX(FlowCalConstB,MATCH(J872,FlowCalNumber,0),1,1)&gt;INDEX(FlowCalLowSetting,MATCH(J872,FlowCalNumber,0),1,1), (INDEX(FlowCalConstA,MATCH(J872,FlowCalNumber,0),1,1)*L876^INDEX(FlowCalConstB,MATCH(J872,FlowCalNumber,0),1,1)&lt;INDEX(FlowCalHighSetting,MATCH(J872,FlowCalNumber,0),1,1))),INDEX(FlowCalConstA,MATCH(J872,FlowCalNumber,0),1,1)*L876^INDEX(FlowCalConstB,MATCH(J872,FlowCalNumber,0),1,1)," ")</f>
        <v>#REF!</v>
      </c>
      <c r="N876" s="33"/>
      <c r="O876" s="242">
        <f t="shared" si="826"/>
        <v>1</v>
      </c>
      <c r="P876" s="241" t="e">
        <f t="shared" ca="1" si="827"/>
        <v>#REF!</v>
      </c>
      <c r="Q876" s="243" t="e">
        <f ca="1">IF(AND(INDEX(FlowCalConstA,MATCH(N872,FlowCalNumber,0),1,1)*P876^INDEX(FlowCalConstB,MATCH(N872,FlowCalNumber,0),1,1)&gt;INDEX(FlowCalLowSetting,MATCH(N872,FlowCalNumber,0),1,1), (INDEX(FlowCalConstA,MATCH(N872,FlowCalNumber,0),1,1)*P876^INDEX(FlowCalConstB,MATCH(N872,FlowCalNumber,0),1,1)&lt;INDEX(FlowCalHighSetting,MATCH(N872,FlowCalNumber,0),1,1))),INDEX(FlowCalConstA,MATCH(N872,FlowCalNumber,0),1,1)*P876^INDEX(FlowCalConstB,MATCH(N872,FlowCalNumber,0),1,1)," ")</f>
        <v>#REF!</v>
      </c>
      <c r="R876" s="33"/>
      <c r="S876" s="242">
        <f t="shared" si="828"/>
        <v>1</v>
      </c>
      <c r="T876" s="241" t="e">
        <f t="shared" ca="1" si="829"/>
        <v>#REF!</v>
      </c>
      <c r="U876" s="244" t="e">
        <f ca="1">IF(AND(INDEX(FlowCalConstA,MATCH(R872,FlowCalNumber,0),1,1)*T876^INDEX(FlowCalConstB,MATCH(R872,FlowCalNumber,0),1,1)&gt;INDEX(FlowCalLowSetting,MATCH(R872,FlowCalNumber,0),1,1), (INDEX(FlowCalConstA,MATCH(R872,FlowCalNumber,0),1,1)*T876^INDEX(FlowCalConstB,MATCH(R872,FlowCalNumber,0),1,1)&lt;INDEX(FlowCalHighSetting,MATCH(R872,FlowCalNumber,0),1,1))),INDEX(FlowCalConstA,MATCH(R872,FlowCalNumber,0),1,1)*T876^INDEX(FlowCalConstB,MATCH(R872,FlowCalNumber,0),1,1)," ")</f>
        <v>#REF!</v>
      </c>
      <c r="V876" s="33"/>
      <c r="W876" s="242">
        <f t="shared" si="830"/>
        <v>0.1</v>
      </c>
      <c r="X876" s="241" t="e">
        <f t="shared" ca="1" si="831"/>
        <v>#REF!</v>
      </c>
      <c r="Y876" s="243" t="e">
        <f ca="1">IF(AND(INDEX(FlowCalConstA,MATCH(V872,FlowCalNumber,0),1,1)*X876^INDEX(FlowCalConstB,MATCH(V872,FlowCalNumber,0),1,1)&gt;INDEX(FlowCalLowSetting,MATCH(V872,FlowCalNumber,0),1,1), (INDEX(FlowCalConstA,MATCH(V872,FlowCalNumber,0),1,1)*X876^INDEX(FlowCalConstB,MATCH(V872,FlowCalNumber,0),1,1)&lt;INDEX(FlowCalHighSetting,MATCH(V872,FlowCalNumber,0),1,1))),INDEX(FlowCalConstA,MATCH(V872,FlowCalNumber,0),1,1)*X876^INDEX(FlowCalConstB,MATCH(V872,FlowCalNumber,0),1,1)," ")</f>
        <v>#REF!</v>
      </c>
      <c r="Z876" s="33"/>
      <c r="AA876" s="242">
        <f t="shared" si="832"/>
        <v>0.9</v>
      </c>
      <c r="AB876" s="241" t="e">
        <f t="shared" ca="1" si="833"/>
        <v>#REF!</v>
      </c>
      <c r="AC876" s="243" t="e">
        <f ca="1">IF(AND(INDEX(FlowCalConstA,MATCH(Z872,FlowCalNumber,0),1,1)*AB876^INDEX(FlowCalConstB,MATCH(Z872,FlowCalNumber,0),1,1)&gt;INDEX(FlowCalLowSetting,MATCH(Z872,FlowCalNumber,0),1,1), (INDEX(FlowCalConstA,MATCH(Z872,FlowCalNumber,0),1,1)*AB876^INDEX(FlowCalConstB,MATCH(Z872,FlowCalNumber,0),1,1)&lt;INDEX(FlowCalHighSetting,MATCH(Z872,FlowCalNumber,0),1,1))),INDEX(FlowCalConstA,MATCH(Z872,FlowCalNumber,0),1,1)*AB876^INDEX(FlowCalConstB,MATCH(Z872,FlowCalNumber,0),1,1)," ")</f>
        <v>#REF!</v>
      </c>
      <c r="AD876" s="33"/>
      <c r="AE876" s="242">
        <f t="shared" si="834"/>
        <v>0.1</v>
      </c>
      <c r="AF876" s="241" t="e">
        <f t="shared" ca="1" si="835"/>
        <v>#REF!</v>
      </c>
      <c r="AG876" s="243" t="e">
        <f ca="1">IF(AND(INDEX(FlowCalConstA,MATCH(AD872,FlowCalNumber,0),1,1)*AF876^INDEX(FlowCalConstB,MATCH(AD872,FlowCalNumber,0),1,1)&gt;INDEX(FlowCalLowSetting,MATCH(AD872,FlowCalNumber,0),1,1), (INDEX(FlowCalConstA,MATCH(AD872,FlowCalNumber,0),1,1)*AF876^INDEX(FlowCalConstB,MATCH(AD872,FlowCalNumber,0),1,1)&lt;INDEX(FlowCalHighSetting,MATCH(AD872,FlowCalNumber,0),1,1))),INDEX(FlowCalConstA,MATCH(AD872,FlowCalNumber,0),1,1)*AF876^INDEX(FlowCalConstB,MATCH(AD872,FlowCalNumber,0),1,1)," ")</f>
        <v>#REF!</v>
      </c>
      <c r="AH876" s="33"/>
      <c r="AI876" s="242">
        <f t="shared" si="836"/>
        <v>0.9</v>
      </c>
      <c r="AJ876" s="241" t="e">
        <f t="shared" ca="1" si="837"/>
        <v>#REF!</v>
      </c>
      <c r="AK876" s="243" t="e">
        <f ca="1">IF(AND(INDEX(FlowCalConstA,MATCH(AH872,FlowCalNumber,0),1,1)*AJ876^INDEX(FlowCalConstB,MATCH(AH872,FlowCalNumber,0),1,1)&gt;INDEX(FlowCalLowSetting,MATCH(AH872,FlowCalNumber,0),1,1), (INDEX(FlowCalConstA,MATCH(AH872,FlowCalNumber,0),1,1)*AJ876^INDEX(FlowCalConstB,MATCH(AH872,FlowCalNumber,0),1,1)&lt;INDEX(FlowCalHighSetting,MATCH(AH872,FlowCalNumber,0),1,1))),INDEX(FlowCalConstA,MATCH(AH872,FlowCalNumber,0),1,1)*AJ876^INDEX(FlowCalConstB,MATCH(AH872,FlowCalNumber,0),1,1)," ")</f>
        <v>#REF!</v>
      </c>
      <c r="AL876" s="33"/>
      <c r="AM876" s="242"/>
      <c r="AN876" s="241"/>
      <c r="AO876" s="244"/>
      <c r="AQ876" s="242"/>
      <c r="AR876" s="241"/>
      <c r="AS876" s="244"/>
      <c r="AT876" s="33"/>
      <c r="AU876" s="242"/>
      <c r="AV876" s="241"/>
      <c r="AW876" s="244"/>
      <c r="AX876" s="33"/>
      <c r="AY876" s="242"/>
      <c r="AZ876" s="241"/>
      <c r="BA876" s="244"/>
      <c r="BB876" s="33"/>
      <c r="BC876" s="242"/>
      <c r="BD876" s="241"/>
      <c r="BE876" s="244"/>
      <c r="BF876" s="33"/>
      <c r="BG876" s="242"/>
      <c r="BH876" s="241"/>
      <c r="BI876" s="244"/>
      <c r="BJ876" s="33"/>
      <c r="BK876" s="242"/>
      <c r="BL876" s="241"/>
      <c r="BM876" s="244"/>
      <c r="BN876" s="33"/>
      <c r="BO876" s="242"/>
      <c r="BP876" s="241"/>
      <c r="BQ876" s="244"/>
      <c r="BR876" s="33"/>
      <c r="BS876" s="242"/>
      <c r="BT876" s="241"/>
      <c r="BU876" s="244"/>
      <c r="BV876" s="33"/>
      <c r="BW876" s="242"/>
      <c r="BX876" s="241"/>
      <c r="BY876" s="244"/>
      <c r="BZ876" s="33"/>
      <c r="CA876" s="242"/>
      <c r="CB876" s="241"/>
      <c r="CC876" s="244"/>
      <c r="CD876" s="243"/>
      <c r="CE876" s="243"/>
      <c r="CF876" s="243"/>
      <c r="CG876" s="243"/>
      <c r="CH876" s="243"/>
      <c r="CI876" s="243"/>
      <c r="CJ876" s="243"/>
      <c r="CK876" s="243"/>
      <c r="CL876" s="243"/>
      <c r="CM876" s="243"/>
      <c r="CN876" s="243"/>
      <c r="CO876" s="243"/>
      <c r="CP876" s="243"/>
      <c r="CQ876" s="243"/>
      <c r="CR876" s="243"/>
      <c r="CS876" s="243"/>
      <c r="CT876" s="243"/>
      <c r="CU876" s="243"/>
      <c r="CV876" s="243"/>
      <c r="CW876" s="243"/>
      <c r="CX876" s="243"/>
      <c r="CY876" s="243"/>
      <c r="CZ876" s="243"/>
      <c r="DA876" s="243"/>
      <c r="DB876" s="243"/>
      <c r="DC876" s="243"/>
      <c r="DD876" s="243"/>
      <c r="DE876" s="243"/>
      <c r="DF876" s="243"/>
      <c r="DG876" s="243"/>
      <c r="DH876" s="243"/>
      <c r="DI876" s="243"/>
      <c r="DJ876" s="243"/>
      <c r="DK876" s="243"/>
      <c r="DM876" s="242"/>
      <c r="DO876" s="243"/>
      <c r="DQ876" s="242"/>
      <c r="DS876" s="243"/>
      <c r="DU876" s="242"/>
      <c r="DW876" s="243"/>
      <c r="DY876" s="242"/>
      <c r="EA876" s="243"/>
    </row>
    <row r="877" spans="1:131">
      <c r="A877" s="20"/>
      <c r="B877" s="124" t="str">
        <f t="shared" si="822"/>
        <v/>
      </c>
      <c r="C877" s="235"/>
      <c r="D877" s="24">
        <f>'1% Wind'!$M$86</f>
        <v>15.5</v>
      </c>
      <c r="E877" s="90"/>
      <c r="F877" s="90"/>
      <c r="G877" s="79" t="e">
        <f ca="1">IF(I872=0.9743,$G876,MAX(G876/D876*D877,2))</f>
        <v>#REF!</v>
      </c>
      <c r="H877" s="121" t="e">
        <f t="shared" ca="1" si="823"/>
        <v>#REF!</v>
      </c>
      <c r="J877" s="33"/>
      <c r="K877" s="242">
        <f t="shared" si="824"/>
        <v>1</v>
      </c>
      <c r="L877" s="241" t="e">
        <f t="shared" ca="1" si="825"/>
        <v>#REF!</v>
      </c>
      <c r="M877" s="243" t="e">
        <f ca="1">IF(AND(INDEX(FlowCalConstA,MATCH(J872,FlowCalNumber,0),1,1)*L877^INDEX(FlowCalConstB,MATCH(J872,FlowCalNumber,0),1,1)&gt;INDEX(FlowCalLowSetting,MATCH(J872,FlowCalNumber,0),1,1), (INDEX(FlowCalConstA,MATCH(J872,FlowCalNumber,0),1,1)*L877^INDEX(FlowCalConstB,MATCH(J872,FlowCalNumber,0),1,1)&lt;INDEX(FlowCalHighSetting,MATCH(J872,FlowCalNumber,0),1,1))),INDEX(FlowCalConstA,MATCH(J872,FlowCalNumber,0),1,1)*L877^INDEX(FlowCalConstB,MATCH(J872,FlowCalNumber,0),1,1)," ")</f>
        <v>#REF!</v>
      </c>
      <c r="N877" s="33"/>
      <c r="O877" s="242">
        <f t="shared" si="826"/>
        <v>1</v>
      </c>
      <c r="P877" s="241" t="e">
        <f t="shared" ca="1" si="827"/>
        <v>#REF!</v>
      </c>
      <c r="Q877" s="243" t="e">
        <f ca="1">IF(AND(INDEX(FlowCalConstA,MATCH(N872,FlowCalNumber,0),1,1)*P877^INDEX(FlowCalConstB,MATCH(N872,FlowCalNumber,0),1,1)&gt;INDEX(FlowCalLowSetting,MATCH(N872,FlowCalNumber,0),1,1), (INDEX(FlowCalConstA,MATCH(N872,FlowCalNumber,0),1,1)*P877^INDEX(FlowCalConstB,MATCH(N872,FlowCalNumber,0),1,1)&lt;INDEX(FlowCalHighSetting,MATCH(N872,FlowCalNumber,0),1,1))),INDEX(FlowCalConstA,MATCH(N872,FlowCalNumber,0),1,1)*P877^INDEX(FlowCalConstB,MATCH(N872,FlowCalNumber,0),1,1)," ")</f>
        <v>#REF!</v>
      </c>
      <c r="R877" s="33"/>
      <c r="S877" s="242">
        <f t="shared" si="828"/>
        <v>1</v>
      </c>
      <c r="T877" s="241" t="e">
        <f t="shared" ca="1" si="829"/>
        <v>#REF!</v>
      </c>
      <c r="U877" s="244" t="e">
        <f ca="1">IF(AND(INDEX(FlowCalConstA,MATCH(R872,FlowCalNumber,0),1,1)*T877^INDEX(FlowCalConstB,MATCH(R872,FlowCalNumber,0),1,1)&gt;INDEX(FlowCalLowSetting,MATCH(R872,FlowCalNumber,0),1,1), (INDEX(FlowCalConstA,MATCH(R872,FlowCalNumber,0),1,1)*T877^INDEX(FlowCalConstB,MATCH(R872,FlowCalNumber,0),1,1)&lt;INDEX(FlowCalHighSetting,MATCH(R872,FlowCalNumber,0),1,1))),INDEX(FlowCalConstA,MATCH(R872,FlowCalNumber,0),1,1)*T877^INDEX(FlowCalConstB,MATCH(R872,FlowCalNumber,0),1,1)," ")</f>
        <v>#REF!</v>
      </c>
      <c r="V877" s="33"/>
      <c r="W877" s="242">
        <f t="shared" si="830"/>
        <v>0.1</v>
      </c>
      <c r="X877" s="241" t="e">
        <f t="shared" ca="1" si="831"/>
        <v>#REF!</v>
      </c>
      <c r="Y877" s="243" t="e">
        <f ca="1">IF(AND(INDEX(FlowCalConstA,MATCH(V872,FlowCalNumber,0),1,1)*X877^INDEX(FlowCalConstB,MATCH(V872,FlowCalNumber,0),1,1)&gt;INDEX(FlowCalLowSetting,MATCH(V872,FlowCalNumber,0),1,1), (INDEX(FlowCalConstA,MATCH(V872,FlowCalNumber,0),1,1)*X877^INDEX(FlowCalConstB,MATCH(V872,FlowCalNumber,0),1,1)&lt;INDEX(FlowCalHighSetting,MATCH(V872,FlowCalNumber,0),1,1))),INDEX(FlowCalConstA,MATCH(V872,FlowCalNumber,0),1,1)*X877^INDEX(FlowCalConstB,MATCH(V872,FlowCalNumber,0),1,1)," ")</f>
        <v>#REF!</v>
      </c>
      <c r="Z877" s="33"/>
      <c r="AA877" s="242">
        <f t="shared" si="832"/>
        <v>0.9</v>
      </c>
      <c r="AB877" s="241" t="e">
        <f t="shared" ca="1" si="833"/>
        <v>#REF!</v>
      </c>
      <c r="AC877" s="243" t="e">
        <f ca="1">IF(AND(INDEX(FlowCalConstA,MATCH(Z872,FlowCalNumber,0),1,1)*AB877^INDEX(FlowCalConstB,MATCH(Z872,FlowCalNumber,0),1,1)&gt;INDEX(FlowCalLowSetting,MATCH(Z872,FlowCalNumber,0),1,1), (INDEX(FlowCalConstA,MATCH(Z872,FlowCalNumber,0),1,1)*AB877^INDEX(FlowCalConstB,MATCH(Z872,FlowCalNumber,0),1,1)&lt;INDEX(FlowCalHighSetting,MATCH(Z872,FlowCalNumber,0),1,1))),INDEX(FlowCalConstA,MATCH(Z872,FlowCalNumber,0),1,1)*AB877^INDEX(FlowCalConstB,MATCH(Z872,FlowCalNumber,0),1,1)," ")</f>
        <v>#REF!</v>
      </c>
      <c r="AD877" s="33"/>
      <c r="AE877" s="242">
        <f t="shared" si="834"/>
        <v>0.1</v>
      </c>
      <c r="AF877" s="241" t="e">
        <f t="shared" ca="1" si="835"/>
        <v>#REF!</v>
      </c>
      <c r="AG877" s="243" t="e">
        <f ca="1">IF(AND(INDEX(FlowCalConstA,MATCH(AD872,FlowCalNumber,0),1,1)*AF877^INDEX(FlowCalConstB,MATCH(AD872,FlowCalNumber,0),1,1)&gt;INDEX(FlowCalLowSetting,MATCH(AD872,FlowCalNumber,0),1,1), (INDEX(FlowCalConstA,MATCH(AD872,FlowCalNumber,0),1,1)*AF877^INDEX(FlowCalConstB,MATCH(AD872,FlowCalNumber,0),1,1)&lt;INDEX(FlowCalHighSetting,MATCH(AD872,FlowCalNumber,0),1,1))),INDEX(FlowCalConstA,MATCH(AD872,FlowCalNumber,0),1,1)*AF877^INDEX(FlowCalConstB,MATCH(AD872,FlowCalNumber,0),1,1)," ")</f>
        <v>#REF!</v>
      </c>
      <c r="AH877" s="33"/>
      <c r="AI877" s="242">
        <f t="shared" si="836"/>
        <v>0.9</v>
      </c>
      <c r="AJ877" s="241" t="e">
        <f t="shared" ca="1" si="837"/>
        <v>#REF!</v>
      </c>
      <c r="AK877" s="243" t="e">
        <f ca="1">IF(AND(INDEX(FlowCalConstA,MATCH(AH872,FlowCalNumber,0),1,1)*AJ877^INDEX(FlowCalConstB,MATCH(AH872,FlowCalNumber,0),1,1)&gt;INDEX(FlowCalLowSetting,MATCH(AH872,FlowCalNumber,0),1,1), (INDEX(FlowCalConstA,MATCH(AH872,FlowCalNumber,0),1,1)*AJ877^INDEX(FlowCalConstB,MATCH(AH872,FlowCalNumber,0),1,1)&lt;INDEX(FlowCalHighSetting,MATCH(AH872,FlowCalNumber,0),1,1))),INDEX(FlowCalConstA,MATCH(AH872,FlowCalNumber,0),1,1)*AJ877^INDEX(FlowCalConstB,MATCH(AH872,FlowCalNumber,0),1,1)," ")</f>
        <v>#REF!</v>
      </c>
      <c r="AL877" s="33"/>
      <c r="AM877" s="242"/>
      <c r="AN877" s="241"/>
      <c r="AO877" s="244"/>
      <c r="AQ877" s="242"/>
      <c r="AR877" s="241"/>
      <c r="AS877" s="244"/>
      <c r="AT877" s="33"/>
      <c r="AU877" s="242"/>
      <c r="AV877" s="241"/>
      <c r="AW877" s="244"/>
      <c r="AX877" s="33"/>
      <c r="AY877" s="242"/>
      <c r="AZ877" s="241"/>
      <c r="BA877" s="244"/>
      <c r="BB877" s="33"/>
      <c r="BC877" s="242"/>
      <c r="BD877" s="241"/>
      <c r="BE877" s="244"/>
      <c r="BF877" s="33"/>
      <c r="BG877" s="242"/>
      <c r="BH877" s="241"/>
      <c r="BI877" s="244"/>
      <c r="BJ877" s="33"/>
      <c r="BK877" s="242"/>
      <c r="BL877" s="241"/>
      <c r="BM877" s="244"/>
      <c r="BN877" s="33"/>
      <c r="BO877" s="242"/>
      <c r="BP877" s="241"/>
      <c r="BQ877" s="244"/>
      <c r="BR877" s="33"/>
      <c r="BS877" s="242"/>
      <c r="BT877" s="241"/>
      <c r="BU877" s="244"/>
      <c r="BV877" s="33"/>
      <c r="BW877" s="242"/>
      <c r="BX877" s="241"/>
      <c r="BY877" s="244"/>
      <c r="BZ877" s="33"/>
      <c r="CA877" s="242"/>
      <c r="CB877" s="241"/>
      <c r="CC877" s="244"/>
      <c r="CD877" s="243"/>
      <c r="CE877" s="243"/>
      <c r="CF877" s="243"/>
      <c r="CG877" s="243"/>
      <c r="CH877" s="243"/>
      <c r="CI877" s="243"/>
      <c r="CJ877" s="243"/>
      <c r="CK877" s="243"/>
      <c r="CL877" s="243"/>
      <c r="CM877" s="243"/>
      <c r="CN877" s="243"/>
      <c r="CO877" s="243"/>
      <c r="CP877" s="243"/>
      <c r="CQ877" s="243"/>
      <c r="CR877" s="243"/>
      <c r="CS877" s="243"/>
      <c r="CT877" s="243"/>
      <c r="CU877" s="243"/>
      <c r="CV877" s="243"/>
      <c r="CW877" s="243"/>
      <c r="CX877" s="243"/>
      <c r="CY877" s="243"/>
      <c r="CZ877" s="243"/>
      <c r="DA877" s="243"/>
      <c r="DB877" s="243"/>
      <c r="DC877" s="243"/>
      <c r="DD877" s="243"/>
      <c r="DE877" s="243"/>
      <c r="DF877" s="243"/>
      <c r="DG877" s="243"/>
      <c r="DH877" s="243"/>
      <c r="DI877" s="243"/>
      <c r="DJ877" s="243"/>
      <c r="DK877" s="243"/>
      <c r="DM877" s="242"/>
      <c r="DO877" s="243"/>
      <c r="DQ877" s="242"/>
      <c r="DS877" s="243"/>
      <c r="DU877" s="242"/>
      <c r="DW877" s="243"/>
      <c r="DY877" s="242"/>
      <c r="EA877" s="243"/>
    </row>
    <row r="878" spans="1:131">
      <c r="A878" s="20"/>
      <c r="B878" s="124" t="str">
        <f t="shared" si="822"/>
        <v/>
      </c>
      <c r="C878" s="235"/>
      <c r="D878" s="24">
        <f>'1% Wind'!$M$87</f>
        <v>13.5</v>
      </c>
      <c r="E878" s="90"/>
      <c r="F878" s="90"/>
      <c r="G878" s="79" t="e">
        <f ca="1">IF(I872=0.9743,$G877,MAX(G877/D877*D878,2))</f>
        <v>#REF!</v>
      </c>
      <c r="H878" s="121" t="e">
        <f t="shared" ca="1" si="823"/>
        <v>#REF!</v>
      </c>
      <c r="J878" s="33"/>
      <c r="K878" s="242">
        <f t="shared" si="824"/>
        <v>1</v>
      </c>
      <c r="L878" s="241" t="e">
        <f t="shared" ca="1" si="825"/>
        <v>#REF!</v>
      </c>
      <c r="M878" s="243" t="e">
        <f ca="1">IF(AND(INDEX(FlowCalConstA,MATCH(J872,FlowCalNumber,0),1,1)*L878^INDEX(FlowCalConstB,MATCH(J872,FlowCalNumber,0),1,1)&gt;INDEX(FlowCalLowSetting,MATCH(J872,FlowCalNumber,0),1,1), (INDEX(FlowCalConstA,MATCH(J872,FlowCalNumber,0),1,1)*L878^INDEX(FlowCalConstB,MATCH(J872,FlowCalNumber,0),1,1)&lt;INDEX(FlowCalHighSetting,MATCH(J872,FlowCalNumber,0),1,1))),INDEX(FlowCalConstA,MATCH(J872,FlowCalNumber,0),1,1)*L878^INDEX(FlowCalConstB,MATCH(J872,FlowCalNumber,0),1,1)," ")</f>
        <v>#REF!</v>
      </c>
      <c r="N878" s="33"/>
      <c r="O878" s="242">
        <f t="shared" si="826"/>
        <v>1</v>
      </c>
      <c r="P878" s="241" t="e">
        <f t="shared" ca="1" si="827"/>
        <v>#REF!</v>
      </c>
      <c r="Q878" s="243" t="e">
        <f ca="1">IF(AND(INDEX(FlowCalConstA,MATCH(N872,FlowCalNumber,0),1,1)*P878^INDEX(FlowCalConstB,MATCH(N872,FlowCalNumber,0),1,1)&gt;INDEX(FlowCalLowSetting,MATCH(N872,FlowCalNumber,0),1,1), (INDEX(FlowCalConstA,MATCH(N872,FlowCalNumber,0),1,1)*P878^INDEX(FlowCalConstB,MATCH(N872,FlowCalNumber,0),1,1)&lt;INDEX(FlowCalHighSetting,MATCH(N872,FlowCalNumber,0),1,1))),INDEX(FlowCalConstA,MATCH(N872,FlowCalNumber,0),1,1)*P878^INDEX(FlowCalConstB,MATCH(N872,FlowCalNumber,0),1,1)," ")</f>
        <v>#REF!</v>
      </c>
      <c r="R878" s="33"/>
      <c r="S878" s="242">
        <f t="shared" si="828"/>
        <v>1</v>
      </c>
      <c r="T878" s="241" t="e">
        <f t="shared" ca="1" si="829"/>
        <v>#REF!</v>
      </c>
      <c r="U878" s="244" t="e">
        <f ca="1">IF(AND(INDEX(FlowCalConstA,MATCH(R872,FlowCalNumber,0),1,1)*T878^INDEX(FlowCalConstB,MATCH(R872,FlowCalNumber,0),1,1)&gt;INDEX(FlowCalLowSetting,MATCH(R872,FlowCalNumber,0),1,1), (INDEX(FlowCalConstA,MATCH(R872,FlowCalNumber,0),1,1)*T878^INDEX(FlowCalConstB,MATCH(R872,FlowCalNumber,0),1,1)&lt;INDEX(FlowCalHighSetting,MATCH(R872,FlowCalNumber,0),1,1))),INDEX(FlowCalConstA,MATCH(R872,FlowCalNumber,0),1,1)*T878^INDEX(FlowCalConstB,MATCH(R872,FlowCalNumber,0),1,1)," ")</f>
        <v>#REF!</v>
      </c>
      <c r="V878" s="33"/>
      <c r="W878" s="242">
        <f t="shared" si="830"/>
        <v>0.1</v>
      </c>
      <c r="X878" s="241" t="e">
        <f t="shared" ca="1" si="831"/>
        <v>#REF!</v>
      </c>
      <c r="Y878" s="243" t="e">
        <f ca="1">IF(AND(INDEX(FlowCalConstA,MATCH(V872,FlowCalNumber,0),1,1)*X878^INDEX(FlowCalConstB,MATCH(V872,FlowCalNumber,0),1,1)&gt;INDEX(FlowCalLowSetting,MATCH(V872,FlowCalNumber,0),1,1), (INDEX(FlowCalConstA,MATCH(V872,FlowCalNumber,0),1,1)*X878^INDEX(FlowCalConstB,MATCH(V872,FlowCalNumber,0),1,1)&lt;INDEX(FlowCalHighSetting,MATCH(V872,FlowCalNumber,0),1,1))),INDEX(FlowCalConstA,MATCH(V872,FlowCalNumber,0),1,1)*X878^INDEX(FlowCalConstB,MATCH(V872,FlowCalNumber,0),1,1)," ")</f>
        <v>#REF!</v>
      </c>
      <c r="Z878" s="33"/>
      <c r="AA878" s="242">
        <f t="shared" si="832"/>
        <v>0.9</v>
      </c>
      <c r="AB878" s="241" t="e">
        <f t="shared" ca="1" si="833"/>
        <v>#REF!</v>
      </c>
      <c r="AC878" s="243" t="e">
        <f ca="1">IF(AND(INDEX(FlowCalConstA,MATCH(Z872,FlowCalNumber,0),1,1)*AB878^INDEX(FlowCalConstB,MATCH(Z872,FlowCalNumber,0),1,1)&gt;INDEX(FlowCalLowSetting,MATCH(Z872,FlowCalNumber,0),1,1), (INDEX(FlowCalConstA,MATCH(Z872,FlowCalNumber,0),1,1)*AB878^INDEX(FlowCalConstB,MATCH(Z872,FlowCalNumber,0),1,1)&lt;INDEX(FlowCalHighSetting,MATCH(Z872,FlowCalNumber,0),1,1))),INDEX(FlowCalConstA,MATCH(Z872,FlowCalNumber,0),1,1)*AB878^INDEX(FlowCalConstB,MATCH(Z872,FlowCalNumber,0),1,1)," ")</f>
        <v>#REF!</v>
      </c>
      <c r="AD878" s="33"/>
      <c r="AE878" s="242">
        <f t="shared" si="834"/>
        <v>0.1</v>
      </c>
      <c r="AF878" s="241" t="e">
        <f t="shared" ca="1" si="835"/>
        <v>#REF!</v>
      </c>
      <c r="AG878" s="243" t="e">
        <f ca="1">IF(AND(INDEX(FlowCalConstA,MATCH(AD872,FlowCalNumber,0),1,1)*AF878^INDEX(FlowCalConstB,MATCH(AD872,FlowCalNumber,0),1,1)&gt;INDEX(FlowCalLowSetting,MATCH(AD872,FlowCalNumber,0),1,1), (INDEX(FlowCalConstA,MATCH(AD872,FlowCalNumber,0),1,1)*AF878^INDEX(FlowCalConstB,MATCH(AD872,FlowCalNumber,0),1,1)&lt;INDEX(FlowCalHighSetting,MATCH(AD872,FlowCalNumber,0),1,1))),INDEX(FlowCalConstA,MATCH(AD872,FlowCalNumber,0),1,1)*AF878^INDEX(FlowCalConstB,MATCH(AD872,FlowCalNumber,0),1,1)," ")</f>
        <v>#REF!</v>
      </c>
      <c r="AH878" s="33"/>
      <c r="AI878" s="242">
        <f t="shared" si="836"/>
        <v>0.9</v>
      </c>
      <c r="AJ878" s="241" t="e">
        <f t="shared" ca="1" si="837"/>
        <v>#REF!</v>
      </c>
      <c r="AK878" s="243" t="e">
        <f ca="1">IF(AND(INDEX(FlowCalConstA,MATCH(AH872,FlowCalNumber,0),1,1)*AJ878^INDEX(FlowCalConstB,MATCH(AH872,FlowCalNumber,0),1,1)&gt;INDEX(FlowCalLowSetting,MATCH(AH872,FlowCalNumber,0),1,1), (INDEX(FlowCalConstA,MATCH(AH872,FlowCalNumber,0),1,1)*AJ878^INDEX(FlowCalConstB,MATCH(AH872,FlowCalNumber,0),1,1)&lt;INDEX(FlowCalHighSetting,MATCH(AH872,FlowCalNumber,0),1,1))),INDEX(FlowCalConstA,MATCH(AH872,FlowCalNumber,0),1,1)*AJ878^INDEX(FlowCalConstB,MATCH(AH872,FlowCalNumber,0),1,1)," ")</f>
        <v>#REF!</v>
      </c>
      <c r="AL878" s="33"/>
      <c r="AM878" s="242"/>
      <c r="AN878" s="241"/>
      <c r="AO878" s="244"/>
      <c r="AQ878" s="242"/>
      <c r="AR878" s="241"/>
      <c r="AS878" s="244"/>
      <c r="AT878" s="33"/>
      <c r="AU878" s="242"/>
      <c r="AV878" s="241"/>
      <c r="AW878" s="244"/>
      <c r="AX878" s="33"/>
      <c r="AY878" s="242"/>
      <c r="AZ878" s="241"/>
      <c r="BA878" s="244"/>
      <c r="BB878" s="33"/>
      <c r="BC878" s="242"/>
      <c r="BD878" s="241"/>
      <c r="BE878" s="244"/>
      <c r="BF878" s="33"/>
      <c r="BG878" s="242"/>
      <c r="BH878" s="241"/>
      <c r="BI878" s="244"/>
      <c r="BJ878" s="33"/>
      <c r="BK878" s="242"/>
      <c r="BL878" s="241"/>
      <c r="BM878" s="244"/>
      <c r="BN878" s="33"/>
      <c r="BO878" s="242"/>
      <c r="BP878" s="241"/>
      <c r="BQ878" s="244"/>
      <c r="BR878" s="33"/>
      <c r="BS878" s="242"/>
      <c r="BT878" s="241"/>
      <c r="BU878" s="244"/>
      <c r="BV878" s="33"/>
      <c r="BW878" s="242"/>
      <c r="BX878" s="241"/>
      <c r="BY878" s="244"/>
      <c r="BZ878" s="33"/>
      <c r="CA878" s="242"/>
      <c r="CB878" s="241"/>
      <c r="CC878" s="244"/>
      <c r="CD878" s="243"/>
      <c r="CE878" s="243"/>
      <c r="CF878" s="243"/>
      <c r="CG878" s="243"/>
      <c r="CH878" s="243"/>
      <c r="CI878" s="243"/>
      <c r="CJ878" s="243"/>
      <c r="CK878" s="243"/>
      <c r="CL878" s="243"/>
      <c r="CM878" s="243"/>
      <c r="CN878" s="243"/>
      <c r="CO878" s="243"/>
      <c r="CP878" s="243"/>
      <c r="CQ878" s="243"/>
      <c r="CR878" s="243"/>
      <c r="CS878" s="243"/>
      <c r="CT878" s="243"/>
      <c r="CU878" s="243"/>
      <c r="CV878" s="243"/>
      <c r="CW878" s="243"/>
      <c r="CX878" s="243"/>
      <c r="CY878" s="243"/>
      <c r="CZ878" s="243"/>
      <c r="DA878" s="243"/>
      <c r="DB878" s="243"/>
      <c r="DC878" s="243"/>
      <c r="DD878" s="243"/>
      <c r="DE878" s="243"/>
      <c r="DF878" s="243"/>
      <c r="DG878" s="243"/>
      <c r="DH878" s="243"/>
      <c r="DI878" s="243"/>
      <c r="DJ878" s="243"/>
      <c r="DK878" s="243"/>
      <c r="DM878" s="242"/>
      <c r="DO878" s="243"/>
      <c r="DQ878" s="242"/>
      <c r="DS878" s="243"/>
      <c r="DU878" s="242"/>
      <c r="DW878" s="243"/>
      <c r="DY878" s="242"/>
      <c r="EA878" s="243"/>
    </row>
    <row r="879" spans="1:131">
      <c r="A879" s="20"/>
      <c r="B879" s="124" t="str">
        <f t="shared" si="822"/>
        <v/>
      </c>
      <c r="C879" s="235"/>
      <c r="D879" s="24">
        <f>'1% Wind'!$M$88</f>
        <v>10.1</v>
      </c>
      <c r="E879" s="90"/>
      <c r="F879" s="90"/>
      <c r="G879" s="79" t="e">
        <f ca="1">IF(I872=0.9743,$G878,MAX(G878/D878*D879,2))</f>
        <v>#REF!</v>
      </c>
      <c r="H879" s="121" t="e">
        <f t="shared" ca="1" si="823"/>
        <v>#REF!</v>
      </c>
      <c r="J879" s="33"/>
      <c r="K879" s="242">
        <f t="shared" si="824"/>
        <v>1</v>
      </c>
      <c r="L879" s="241" t="e">
        <f t="shared" ca="1" si="825"/>
        <v>#REF!</v>
      </c>
      <c r="M879" s="243" t="e">
        <f ca="1">IF(AND(INDEX(FlowCalConstA,MATCH(J872,FlowCalNumber,0),1,1)*L879^INDEX(FlowCalConstB,MATCH(J872,FlowCalNumber,0),1,1)&gt;INDEX(FlowCalLowSetting,MATCH(J872,FlowCalNumber,0),1,1), (INDEX(FlowCalConstA,MATCH(J872,FlowCalNumber,0),1,1)*L879^INDEX(FlowCalConstB,MATCH(J872,FlowCalNumber,0),1,1)&lt;INDEX(FlowCalHighSetting,MATCH(J872,FlowCalNumber,0),1,1))),INDEX(FlowCalConstA,MATCH(J872,FlowCalNumber,0),1,1)*L879^INDEX(FlowCalConstB,MATCH(J872,FlowCalNumber,0),1,1)," ")</f>
        <v>#REF!</v>
      </c>
      <c r="N879" s="33"/>
      <c r="O879" s="242">
        <f t="shared" si="826"/>
        <v>1</v>
      </c>
      <c r="P879" s="241" t="e">
        <f t="shared" ca="1" si="827"/>
        <v>#REF!</v>
      </c>
      <c r="Q879" s="243" t="e">
        <f ca="1">IF(AND(INDEX(FlowCalConstA,MATCH(N872,FlowCalNumber,0),1,1)*P879^INDEX(FlowCalConstB,MATCH(N872,FlowCalNumber,0),1,1)&gt;INDEX(FlowCalLowSetting,MATCH(N872,FlowCalNumber,0),1,1), (INDEX(FlowCalConstA,MATCH(N872,FlowCalNumber,0),1,1)*P879^INDEX(FlowCalConstB,MATCH(N872,FlowCalNumber,0),1,1)&lt;INDEX(FlowCalHighSetting,MATCH(N872,FlowCalNumber,0),1,1))),INDEX(FlowCalConstA,MATCH(N872,FlowCalNumber,0),1,1)*P879^INDEX(FlowCalConstB,MATCH(N872,FlowCalNumber,0),1,1)," ")</f>
        <v>#REF!</v>
      </c>
      <c r="R879" s="33"/>
      <c r="S879" s="242">
        <f t="shared" si="828"/>
        <v>1</v>
      </c>
      <c r="T879" s="241" t="e">
        <f t="shared" ca="1" si="829"/>
        <v>#REF!</v>
      </c>
      <c r="U879" s="244" t="e">
        <f ca="1">IF(AND(INDEX(FlowCalConstA,MATCH(R872,FlowCalNumber,0),1,1)*T879^INDEX(FlowCalConstB,MATCH(R872,FlowCalNumber,0),1,1)&gt;INDEX(FlowCalLowSetting,MATCH(R872,FlowCalNumber,0),1,1), (INDEX(FlowCalConstA,MATCH(R872,FlowCalNumber,0),1,1)*T879^INDEX(FlowCalConstB,MATCH(R872,FlowCalNumber,0),1,1)&lt;INDEX(FlowCalHighSetting,MATCH(R872,FlowCalNumber,0),1,1))),INDEX(FlowCalConstA,MATCH(R872,FlowCalNumber,0),1,1)*T879^INDEX(FlowCalConstB,MATCH(R872,FlowCalNumber,0),1,1)," ")</f>
        <v>#REF!</v>
      </c>
      <c r="V879" s="33"/>
      <c r="W879" s="242">
        <f t="shared" si="830"/>
        <v>0.1</v>
      </c>
      <c r="X879" s="241" t="e">
        <f t="shared" ca="1" si="831"/>
        <v>#REF!</v>
      </c>
      <c r="Y879" s="243" t="e">
        <f ca="1">IF(AND(INDEX(FlowCalConstA,MATCH(V872,FlowCalNumber,0),1,1)*X879^INDEX(FlowCalConstB,MATCH(V872,FlowCalNumber,0),1,1)&gt;INDEX(FlowCalLowSetting,MATCH(V872,FlowCalNumber,0),1,1), (INDEX(FlowCalConstA,MATCH(V872,FlowCalNumber,0),1,1)*X879^INDEX(FlowCalConstB,MATCH(V872,FlowCalNumber,0),1,1)&lt;INDEX(FlowCalHighSetting,MATCH(V872,FlowCalNumber,0),1,1))),INDEX(FlowCalConstA,MATCH(V872,FlowCalNumber,0),1,1)*X879^INDEX(FlowCalConstB,MATCH(V872,FlowCalNumber,0),1,1)," ")</f>
        <v>#REF!</v>
      </c>
      <c r="Z879" s="33"/>
      <c r="AA879" s="242">
        <f t="shared" si="832"/>
        <v>0.9</v>
      </c>
      <c r="AB879" s="241" t="e">
        <f t="shared" ca="1" si="833"/>
        <v>#REF!</v>
      </c>
      <c r="AC879" s="243" t="e">
        <f ca="1">IF(AND(INDEX(FlowCalConstA,MATCH(Z872,FlowCalNumber,0),1,1)*AB879^INDEX(FlowCalConstB,MATCH(Z872,FlowCalNumber,0),1,1)&gt;INDEX(FlowCalLowSetting,MATCH(Z872,FlowCalNumber,0),1,1), (INDEX(FlowCalConstA,MATCH(Z872,FlowCalNumber,0),1,1)*AB879^INDEX(FlowCalConstB,MATCH(Z872,FlowCalNumber,0),1,1)&lt;INDEX(FlowCalHighSetting,MATCH(Z872,FlowCalNumber,0),1,1))),INDEX(FlowCalConstA,MATCH(Z872,FlowCalNumber,0),1,1)*AB879^INDEX(FlowCalConstB,MATCH(Z872,FlowCalNumber,0),1,1)," ")</f>
        <v>#REF!</v>
      </c>
      <c r="AD879" s="33"/>
      <c r="AE879" s="242">
        <f t="shared" si="834"/>
        <v>0.1</v>
      </c>
      <c r="AF879" s="241" t="e">
        <f t="shared" ca="1" si="835"/>
        <v>#REF!</v>
      </c>
      <c r="AG879" s="243" t="e">
        <f ca="1">IF(AND(INDEX(FlowCalConstA,MATCH(AD872,FlowCalNumber,0),1,1)*AF879^INDEX(FlowCalConstB,MATCH(AD872,FlowCalNumber,0),1,1)&gt;INDEX(FlowCalLowSetting,MATCH(AD872,FlowCalNumber,0),1,1), (INDEX(FlowCalConstA,MATCH(AD872,FlowCalNumber,0),1,1)*AF879^INDEX(FlowCalConstB,MATCH(AD872,FlowCalNumber,0),1,1)&lt;INDEX(FlowCalHighSetting,MATCH(AD872,FlowCalNumber,0),1,1))),INDEX(FlowCalConstA,MATCH(AD872,FlowCalNumber,0),1,1)*AF879^INDEX(FlowCalConstB,MATCH(AD872,FlowCalNumber,0),1,1)," ")</f>
        <v>#REF!</v>
      </c>
      <c r="AH879" s="33"/>
      <c r="AI879" s="242">
        <f t="shared" si="836"/>
        <v>0.9</v>
      </c>
      <c r="AJ879" s="241" t="e">
        <f t="shared" ca="1" si="837"/>
        <v>#REF!</v>
      </c>
      <c r="AK879" s="243" t="e">
        <f ca="1">IF(AND(INDEX(FlowCalConstA,MATCH(AH872,FlowCalNumber,0),1,1)*AJ879^INDEX(FlowCalConstB,MATCH(AH872,FlowCalNumber,0),1,1)&gt;INDEX(FlowCalLowSetting,MATCH(AH872,FlowCalNumber,0),1,1), (INDEX(FlowCalConstA,MATCH(AH872,FlowCalNumber,0),1,1)*AJ879^INDEX(FlowCalConstB,MATCH(AH872,FlowCalNumber,0),1,1)&lt;INDEX(FlowCalHighSetting,MATCH(AH872,FlowCalNumber,0),1,1))),INDEX(FlowCalConstA,MATCH(AH872,FlowCalNumber,0),1,1)*AJ879^INDEX(FlowCalConstB,MATCH(AH872,FlowCalNumber,0),1,1)," ")</f>
        <v>#REF!</v>
      </c>
      <c r="AL879" s="33"/>
      <c r="AM879" s="242"/>
      <c r="AN879" s="241"/>
      <c r="AO879" s="244"/>
      <c r="AQ879" s="242"/>
      <c r="AR879" s="241"/>
      <c r="AS879" s="244"/>
      <c r="AT879" s="33"/>
      <c r="AU879" s="242"/>
      <c r="AV879" s="241"/>
      <c r="AW879" s="244"/>
      <c r="AX879" s="33"/>
      <c r="AY879" s="242"/>
      <c r="AZ879" s="241"/>
      <c r="BA879" s="244"/>
      <c r="BB879" s="33"/>
      <c r="BC879" s="242"/>
      <c r="BD879" s="241"/>
      <c r="BE879" s="244"/>
      <c r="BF879" s="33"/>
      <c r="BG879" s="242"/>
      <c r="BH879" s="241"/>
      <c r="BI879" s="244"/>
      <c r="BJ879" s="33"/>
      <c r="BK879" s="242"/>
      <c r="BL879" s="241"/>
      <c r="BM879" s="244"/>
      <c r="BN879" s="33"/>
      <c r="BO879" s="242"/>
      <c r="BP879" s="241"/>
      <c r="BQ879" s="244"/>
      <c r="BR879" s="33"/>
      <c r="BS879" s="242"/>
      <c r="BT879" s="241"/>
      <c r="BU879" s="244"/>
      <c r="BV879" s="33"/>
      <c r="BW879" s="242"/>
      <c r="BX879" s="241"/>
      <c r="BY879" s="244"/>
      <c r="BZ879" s="33"/>
      <c r="CA879" s="242"/>
      <c r="CB879" s="241"/>
      <c r="CC879" s="244"/>
      <c r="CD879" s="243"/>
      <c r="CE879" s="243"/>
      <c r="CF879" s="243"/>
      <c r="CG879" s="243"/>
      <c r="CH879" s="243"/>
      <c r="CI879" s="243"/>
      <c r="CJ879" s="243"/>
      <c r="CK879" s="243"/>
      <c r="CL879" s="243"/>
      <c r="CM879" s="243"/>
      <c r="CN879" s="243"/>
      <c r="CO879" s="243"/>
      <c r="CP879" s="243"/>
      <c r="CQ879" s="243"/>
      <c r="CR879" s="243"/>
      <c r="CS879" s="243"/>
      <c r="CT879" s="243"/>
      <c r="CU879" s="243"/>
      <c r="CV879" s="243"/>
      <c r="CW879" s="243"/>
      <c r="CX879" s="243"/>
      <c r="CY879" s="243"/>
      <c r="CZ879" s="243"/>
      <c r="DA879" s="243"/>
      <c r="DB879" s="243"/>
      <c r="DC879" s="243"/>
      <c r="DD879" s="243"/>
      <c r="DE879" s="243"/>
      <c r="DF879" s="243"/>
      <c r="DG879" s="243"/>
      <c r="DH879" s="243"/>
      <c r="DI879" s="243"/>
      <c r="DJ879" s="243"/>
      <c r="DK879" s="243"/>
      <c r="DM879" s="242"/>
      <c r="DO879" s="243"/>
      <c r="DQ879" s="242"/>
      <c r="DS879" s="243"/>
      <c r="DU879" s="242"/>
      <c r="DW879" s="243"/>
      <c r="DY879" s="242"/>
      <c r="EA879" s="243"/>
    </row>
    <row r="880" spans="1:131">
      <c r="A880" s="20"/>
      <c r="B880" s="124" t="str">
        <f t="shared" si="822"/>
        <v/>
      </c>
      <c r="C880" s="235"/>
      <c r="D880" s="24">
        <f>'1% Wind'!$M$89</f>
        <v>7.6</v>
      </c>
      <c r="E880" s="90"/>
      <c r="F880" s="90"/>
      <c r="G880" s="79" t="e">
        <f ca="1">IF(I872=0.9743,$G879,MAX(G879/D879*D880,2))</f>
        <v>#REF!</v>
      </c>
      <c r="H880" s="121" t="e">
        <f t="shared" ca="1" si="823"/>
        <v>#REF!</v>
      </c>
      <c r="J880" s="33"/>
      <c r="K880" s="242">
        <f t="shared" si="824"/>
        <v>1</v>
      </c>
      <c r="L880" s="241" t="e">
        <f t="shared" ca="1" si="825"/>
        <v>#REF!</v>
      </c>
      <c r="M880" s="243" t="e">
        <f ca="1">IF(AND(INDEX(FlowCalConstA,MATCH(J872,FlowCalNumber,0),1,1)*L880^INDEX(FlowCalConstB,MATCH(J872,FlowCalNumber,0),1,1)&gt;INDEX(FlowCalLowSetting,MATCH(J872,FlowCalNumber,0),1,1), (INDEX(FlowCalConstA,MATCH(J872,FlowCalNumber,0),1,1)*L880^INDEX(FlowCalConstB,MATCH(J872,FlowCalNumber,0),1,1)&lt;INDEX(FlowCalHighSetting,MATCH(J872,FlowCalNumber,0),1,1))),INDEX(FlowCalConstA,MATCH(J872,FlowCalNumber,0),1,1)*L880^INDEX(FlowCalConstB,MATCH(J872,FlowCalNumber,0),1,1)," ")</f>
        <v>#REF!</v>
      </c>
      <c r="N880" s="33"/>
      <c r="O880" s="242">
        <f t="shared" si="826"/>
        <v>1</v>
      </c>
      <c r="P880" s="241" t="e">
        <f t="shared" ca="1" si="827"/>
        <v>#REF!</v>
      </c>
      <c r="Q880" s="243" t="e">
        <f ca="1">IF(AND(INDEX(FlowCalConstA,MATCH(N872,FlowCalNumber,0),1,1)*P880^INDEX(FlowCalConstB,MATCH(N872,FlowCalNumber,0),1,1)&gt;INDEX(FlowCalLowSetting,MATCH(N872,FlowCalNumber,0),1,1), (INDEX(FlowCalConstA,MATCH(N872,FlowCalNumber,0),1,1)*P880^INDEX(FlowCalConstB,MATCH(N872,FlowCalNumber,0),1,1)&lt;INDEX(FlowCalHighSetting,MATCH(N872,FlowCalNumber,0),1,1))),INDEX(FlowCalConstA,MATCH(N872,FlowCalNumber,0),1,1)*P880^INDEX(FlowCalConstB,MATCH(N872,FlowCalNumber,0),1,1)," ")</f>
        <v>#REF!</v>
      </c>
      <c r="R880" s="33"/>
      <c r="S880" s="242">
        <f t="shared" si="828"/>
        <v>1</v>
      </c>
      <c r="T880" s="241" t="e">
        <f t="shared" ca="1" si="829"/>
        <v>#REF!</v>
      </c>
      <c r="U880" s="244" t="e">
        <f ca="1">IF(AND(INDEX(FlowCalConstA,MATCH(R872,FlowCalNumber,0),1,1)*T880^INDEX(FlowCalConstB,MATCH(R872,FlowCalNumber,0),1,1)&gt;INDEX(FlowCalLowSetting,MATCH(R872,FlowCalNumber,0),1,1), (INDEX(FlowCalConstA,MATCH(R872,FlowCalNumber,0),1,1)*T880^INDEX(FlowCalConstB,MATCH(R872,FlowCalNumber,0),1,1)&lt;INDEX(FlowCalHighSetting,MATCH(R872,FlowCalNumber,0),1,1))),INDEX(FlowCalConstA,MATCH(R872,FlowCalNumber,0),1,1)*T880^INDEX(FlowCalConstB,MATCH(R872,FlowCalNumber,0),1,1)," ")</f>
        <v>#REF!</v>
      </c>
      <c r="V880" s="33"/>
      <c r="W880" s="242">
        <f t="shared" si="830"/>
        <v>0.1</v>
      </c>
      <c r="X880" s="241" t="e">
        <f t="shared" ca="1" si="831"/>
        <v>#REF!</v>
      </c>
      <c r="Y880" s="243" t="e">
        <f ca="1">IF(AND(INDEX(FlowCalConstA,MATCH(V872,FlowCalNumber,0),1,1)*X880^INDEX(FlowCalConstB,MATCH(V872,FlowCalNumber,0),1,1)&gt;INDEX(FlowCalLowSetting,MATCH(V872,FlowCalNumber,0),1,1), (INDEX(FlowCalConstA,MATCH(V872,FlowCalNumber,0),1,1)*X880^INDEX(FlowCalConstB,MATCH(V872,FlowCalNumber,0),1,1)&lt;INDEX(FlowCalHighSetting,MATCH(V872,FlowCalNumber,0),1,1))),INDEX(FlowCalConstA,MATCH(V872,FlowCalNumber,0),1,1)*X880^INDEX(FlowCalConstB,MATCH(V872,FlowCalNumber,0),1,1)," ")</f>
        <v>#REF!</v>
      </c>
      <c r="Z880" s="33"/>
      <c r="AA880" s="242">
        <f t="shared" si="832"/>
        <v>0.9</v>
      </c>
      <c r="AB880" s="241" t="e">
        <f t="shared" ca="1" si="833"/>
        <v>#REF!</v>
      </c>
      <c r="AC880" s="243" t="e">
        <f ca="1">IF(AND(INDEX(FlowCalConstA,MATCH(Z872,FlowCalNumber,0),1,1)*AB880^INDEX(FlowCalConstB,MATCH(Z872,FlowCalNumber,0),1,1)&gt;INDEX(FlowCalLowSetting,MATCH(Z872,FlowCalNumber,0),1,1), (INDEX(FlowCalConstA,MATCH(Z872,FlowCalNumber,0),1,1)*AB880^INDEX(FlowCalConstB,MATCH(Z872,FlowCalNumber,0),1,1)&lt;INDEX(FlowCalHighSetting,MATCH(Z872,FlowCalNumber,0),1,1))),INDEX(FlowCalConstA,MATCH(Z872,FlowCalNumber,0),1,1)*AB880^INDEX(FlowCalConstB,MATCH(Z872,FlowCalNumber,0),1,1)," ")</f>
        <v>#REF!</v>
      </c>
      <c r="AD880" s="33"/>
      <c r="AE880" s="242">
        <f t="shared" si="834"/>
        <v>0.1</v>
      </c>
      <c r="AF880" s="241" t="e">
        <f t="shared" ca="1" si="835"/>
        <v>#REF!</v>
      </c>
      <c r="AG880" s="243" t="e">
        <f ca="1">IF(AND(INDEX(FlowCalConstA,MATCH(AD872,FlowCalNumber,0),1,1)*AF880^INDEX(FlowCalConstB,MATCH(AD872,FlowCalNumber,0),1,1)&gt;INDEX(FlowCalLowSetting,MATCH(AD872,FlowCalNumber,0),1,1), (INDEX(FlowCalConstA,MATCH(AD872,FlowCalNumber,0),1,1)*AF880^INDEX(FlowCalConstB,MATCH(AD872,FlowCalNumber,0),1,1)&lt;INDEX(FlowCalHighSetting,MATCH(AD872,FlowCalNumber,0),1,1))),INDEX(FlowCalConstA,MATCH(AD872,FlowCalNumber,0),1,1)*AF880^INDEX(FlowCalConstB,MATCH(AD872,FlowCalNumber,0),1,1)," ")</f>
        <v>#REF!</v>
      </c>
      <c r="AH880" s="33"/>
      <c r="AI880" s="242">
        <f t="shared" si="836"/>
        <v>0.9</v>
      </c>
      <c r="AJ880" s="241" t="e">
        <f t="shared" ca="1" si="837"/>
        <v>#REF!</v>
      </c>
      <c r="AK880" s="243" t="e">
        <f ca="1">IF(AND(INDEX(FlowCalConstA,MATCH(AH872,FlowCalNumber,0),1,1)*AJ880^INDEX(FlowCalConstB,MATCH(AH872,FlowCalNumber,0),1,1)&gt;INDEX(FlowCalLowSetting,MATCH(AH872,FlowCalNumber,0),1,1), (INDEX(FlowCalConstA,MATCH(AH872,FlowCalNumber,0),1,1)*AJ880^INDEX(FlowCalConstB,MATCH(AH872,FlowCalNumber,0),1,1)&lt;INDEX(FlowCalHighSetting,MATCH(AH872,FlowCalNumber,0),1,1))),INDEX(FlowCalConstA,MATCH(AH872,FlowCalNumber,0),1,1)*AJ880^INDEX(FlowCalConstB,MATCH(AH872,FlowCalNumber,0),1,1)," ")</f>
        <v>#REF!</v>
      </c>
      <c r="AL880" s="33"/>
      <c r="AM880" s="242"/>
      <c r="AN880" s="241"/>
      <c r="AO880" s="244"/>
      <c r="AQ880" s="242"/>
      <c r="AR880" s="241"/>
      <c r="AS880" s="244"/>
      <c r="AT880" s="33"/>
      <c r="AU880" s="242"/>
      <c r="AV880" s="241"/>
      <c r="AW880" s="244"/>
      <c r="AX880" s="33"/>
      <c r="AY880" s="242"/>
      <c r="AZ880" s="241"/>
      <c r="BA880" s="244"/>
      <c r="BB880" s="33"/>
      <c r="BC880" s="242"/>
      <c r="BD880" s="241"/>
      <c r="BE880" s="244"/>
      <c r="BF880" s="33"/>
      <c r="BG880" s="242"/>
      <c r="BH880" s="241"/>
      <c r="BI880" s="244"/>
      <c r="BJ880" s="33"/>
      <c r="BK880" s="242"/>
      <c r="BL880" s="241"/>
      <c r="BM880" s="244"/>
      <c r="BN880" s="33"/>
      <c r="BO880" s="242"/>
      <c r="BP880" s="241"/>
      <c r="BQ880" s="244"/>
      <c r="BR880" s="33"/>
      <c r="BS880" s="242"/>
      <c r="BT880" s="241"/>
      <c r="BU880" s="244"/>
      <c r="BV880" s="33"/>
      <c r="BW880" s="242"/>
      <c r="BX880" s="241"/>
      <c r="BY880" s="244"/>
      <c r="BZ880" s="33"/>
      <c r="CA880" s="242"/>
      <c r="CB880" s="241"/>
      <c r="CC880" s="244"/>
      <c r="CD880" s="243"/>
      <c r="CE880" s="243"/>
      <c r="CF880" s="243"/>
      <c r="CG880" s="243"/>
      <c r="CH880" s="243"/>
      <c r="CI880" s="243"/>
      <c r="CJ880" s="243"/>
      <c r="CK880" s="243"/>
      <c r="CL880" s="243"/>
      <c r="CM880" s="243"/>
      <c r="CN880" s="243"/>
      <c r="CO880" s="243"/>
      <c r="CP880" s="243"/>
      <c r="CQ880" s="243"/>
      <c r="CR880" s="243"/>
      <c r="CS880" s="243"/>
      <c r="CT880" s="243"/>
      <c r="CU880" s="243"/>
      <c r="CV880" s="243"/>
      <c r="CW880" s="243"/>
      <c r="CX880" s="243"/>
      <c r="CY880" s="243"/>
      <c r="CZ880" s="243"/>
      <c r="DA880" s="243"/>
      <c r="DB880" s="243"/>
      <c r="DC880" s="243"/>
      <c r="DD880" s="243"/>
      <c r="DE880" s="243"/>
      <c r="DF880" s="243"/>
      <c r="DG880" s="243"/>
      <c r="DH880" s="243"/>
      <c r="DI880" s="243"/>
      <c r="DJ880" s="243"/>
      <c r="DK880" s="243"/>
      <c r="DM880" s="242"/>
      <c r="DO880" s="243"/>
      <c r="DQ880" s="242"/>
      <c r="DS880" s="243"/>
      <c r="DU880" s="242"/>
      <c r="DW880" s="243"/>
      <c r="DY880" s="242"/>
      <c r="EA880" s="243"/>
    </row>
    <row r="881" spans="1:131">
      <c r="A881" s="20"/>
      <c r="B881" s="124" t="str">
        <f t="shared" si="822"/>
        <v/>
      </c>
      <c r="C881" s="235"/>
      <c r="D881" s="24">
        <f>'1% Wind'!$M$90</f>
        <v>5.7</v>
      </c>
      <c r="E881" s="90"/>
      <c r="F881" s="90"/>
      <c r="G881" s="79" t="e">
        <f ca="1">IF(I872=0.9743,$G880,MAX(G880/D880*D881,2))</f>
        <v>#REF!</v>
      </c>
      <c r="H881" s="121" t="e">
        <f t="shared" ca="1" si="823"/>
        <v>#REF!</v>
      </c>
      <c r="J881" s="33"/>
      <c r="K881" s="242">
        <f t="shared" si="824"/>
        <v>1</v>
      </c>
      <c r="L881" s="241" t="e">
        <f t="shared" ca="1" si="825"/>
        <v>#REF!</v>
      </c>
      <c r="M881" s="243" t="e">
        <f ca="1">IF(AND(INDEX(FlowCalConstA,MATCH(J872,FlowCalNumber,0),1,1)*L881^INDEX(FlowCalConstB,MATCH(J872,FlowCalNumber,0),1,1)&gt;INDEX(FlowCalLowSetting,MATCH(J872,FlowCalNumber,0),1,1), (INDEX(FlowCalConstA,MATCH(J872,FlowCalNumber,0),1,1)*L881^INDEX(FlowCalConstB,MATCH(J872,FlowCalNumber,0),1,1)&lt;INDEX(FlowCalHighSetting,MATCH(J872,FlowCalNumber,0),1,1))),INDEX(FlowCalConstA,MATCH(J872,FlowCalNumber,0),1,1)*L881^INDEX(FlowCalConstB,MATCH(J872,FlowCalNumber,0),1,1)," ")</f>
        <v>#REF!</v>
      </c>
      <c r="N881" s="33"/>
      <c r="O881" s="242">
        <f t="shared" si="826"/>
        <v>1</v>
      </c>
      <c r="P881" s="241" t="e">
        <f t="shared" ca="1" si="827"/>
        <v>#REF!</v>
      </c>
      <c r="Q881" s="243" t="e">
        <f ca="1">IF(AND(INDEX(FlowCalConstA,MATCH(N872,FlowCalNumber,0),1,1)*P881^INDEX(FlowCalConstB,MATCH(N872,FlowCalNumber,0),1,1)&gt;INDEX(FlowCalLowSetting,MATCH(N872,FlowCalNumber,0),1,1), (INDEX(FlowCalConstA,MATCH(N872,FlowCalNumber,0),1,1)*P881^INDEX(FlowCalConstB,MATCH(N872,FlowCalNumber,0),1,1)&lt;INDEX(FlowCalHighSetting,MATCH(N872,FlowCalNumber,0),1,1))),INDEX(FlowCalConstA,MATCH(N872,FlowCalNumber,0),1,1)*P881^INDEX(FlowCalConstB,MATCH(N872,FlowCalNumber,0),1,1)," ")</f>
        <v>#REF!</v>
      </c>
      <c r="R881" s="33"/>
      <c r="S881" s="242">
        <f t="shared" si="828"/>
        <v>1</v>
      </c>
      <c r="T881" s="241" t="e">
        <f t="shared" ca="1" si="829"/>
        <v>#REF!</v>
      </c>
      <c r="U881" s="244" t="e">
        <f ca="1">IF(AND(INDEX(FlowCalConstA,MATCH(R872,FlowCalNumber,0),1,1)*T881^INDEX(FlowCalConstB,MATCH(R872,FlowCalNumber,0),1,1)&gt;INDEX(FlowCalLowSetting,MATCH(R872,FlowCalNumber,0),1,1), (INDEX(FlowCalConstA,MATCH(R872,FlowCalNumber,0),1,1)*T881^INDEX(FlowCalConstB,MATCH(R872,FlowCalNumber,0),1,1)&lt;INDEX(FlowCalHighSetting,MATCH(R872,FlowCalNumber,0),1,1))),INDEX(FlowCalConstA,MATCH(R872,FlowCalNumber,0),1,1)*T881^INDEX(FlowCalConstB,MATCH(R872,FlowCalNumber,0),1,1)," ")</f>
        <v>#REF!</v>
      </c>
      <c r="V881" s="33"/>
      <c r="W881" s="242">
        <f t="shared" si="830"/>
        <v>0.1</v>
      </c>
      <c r="X881" s="241" t="e">
        <f t="shared" ca="1" si="831"/>
        <v>#REF!</v>
      </c>
      <c r="Y881" s="243" t="e">
        <f ca="1">IF(AND(INDEX(FlowCalConstA,MATCH(V872,FlowCalNumber,0),1,1)*X881^INDEX(FlowCalConstB,MATCH(V872,FlowCalNumber,0),1,1)&gt;INDEX(FlowCalLowSetting,MATCH(V872,FlowCalNumber,0),1,1), (INDEX(FlowCalConstA,MATCH(V872,FlowCalNumber,0),1,1)*X881^INDEX(FlowCalConstB,MATCH(V872,FlowCalNumber,0),1,1)&lt;INDEX(FlowCalHighSetting,MATCH(V872,FlowCalNumber,0),1,1))),INDEX(FlowCalConstA,MATCH(V872,FlowCalNumber,0),1,1)*X881^INDEX(FlowCalConstB,MATCH(V872,FlowCalNumber,0),1,1)," ")</f>
        <v>#REF!</v>
      </c>
      <c r="Z881" s="33"/>
      <c r="AA881" s="242">
        <f t="shared" si="832"/>
        <v>0.9</v>
      </c>
      <c r="AB881" s="241" t="e">
        <f t="shared" ca="1" si="833"/>
        <v>#REF!</v>
      </c>
      <c r="AC881" s="243" t="e">
        <f ca="1">IF(AND(INDEX(FlowCalConstA,MATCH(Z872,FlowCalNumber,0),1,1)*AB881^INDEX(FlowCalConstB,MATCH(Z872,FlowCalNumber,0),1,1)&gt;INDEX(FlowCalLowSetting,MATCH(Z872,FlowCalNumber,0),1,1), (INDEX(FlowCalConstA,MATCH(Z872,FlowCalNumber,0),1,1)*AB881^INDEX(FlowCalConstB,MATCH(Z872,FlowCalNumber,0),1,1)&lt;INDEX(FlowCalHighSetting,MATCH(Z872,FlowCalNumber,0),1,1))),INDEX(FlowCalConstA,MATCH(Z872,FlowCalNumber,0),1,1)*AB881^INDEX(FlowCalConstB,MATCH(Z872,FlowCalNumber,0),1,1)," ")</f>
        <v>#REF!</v>
      </c>
      <c r="AD881" s="33"/>
      <c r="AE881" s="242">
        <f t="shared" si="834"/>
        <v>0.1</v>
      </c>
      <c r="AF881" s="241" t="e">
        <f t="shared" ca="1" si="835"/>
        <v>#REF!</v>
      </c>
      <c r="AG881" s="243" t="e">
        <f ca="1">IF(AND(INDEX(FlowCalConstA,MATCH(AD872,FlowCalNumber,0),1,1)*AF881^INDEX(FlowCalConstB,MATCH(AD872,FlowCalNumber,0),1,1)&gt;INDEX(FlowCalLowSetting,MATCH(AD872,FlowCalNumber,0),1,1), (INDEX(FlowCalConstA,MATCH(AD872,FlowCalNumber,0),1,1)*AF881^INDEX(FlowCalConstB,MATCH(AD872,FlowCalNumber,0),1,1)&lt;INDEX(FlowCalHighSetting,MATCH(AD872,FlowCalNumber,0),1,1))),INDEX(FlowCalConstA,MATCH(AD872,FlowCalNumber,0),1,1)*AF881^INDEX(FlowCalConstB,MATCH(AD872,FlowCalNumber,0),1,1)," ")</f>
        <v>#REF!</v>
      </c>
      <c r="AH881" s="33"/>
      <c r="AI881" s="242">
        <f t="shared" si="836"/>
        <v>0.9</v>
      </c>
      <c r="AJ881" s="241" t="e">
        <f t="shared" ca="1" si="837"/>
        <v>#REF!</v>
      </c>
      <c r="AK881" s="243" t="e">
        <f ca="1">IF(AND(INDEX(FlowCalConstA,MATCH(AH872,FlowCalNumber,0),1,1)*AJ881^INDEX(FlowCalConstB,MATCH(AH872,FlowCalNumber,0),1,1)&gt;INDEX(FlowCalLowSetting,MATCH(AH872,FlowCalNumber,0),1,1), (INDEX(FlowCalConstA,MATCH(AH872,FlowCalNumber,0),1,1)*AJ881^INDEX(FlowCalConstB,MATCH(AH872,FlowCalNumber,0),1,1)&lt;INDEX(FlowCalHighSetting,MATCH(AH872,FlowCalNumber,0),1,1))),INDEX(FlowCalConstA,MATCH(AH872,FlowCalNumber,0),1,1)*AJ881^INDEX(FlowCalConstB,MATCH(AH872,FlowCalNumber,0),1,1)," ")</f>
        <v>#REF!</v>
      </c>
      <c r="AL881" s="33"/>
      <c r="AM881" s="242"/>
      <c r="AN881" s="241"/>
      <c r="AO881" s="244"/>
      <c r="AQ881" s="242"/>
      <c r="AR881" s="241"/>
      <c r="AS881" s="244"/>
      <c r="AT881" s="33"/>
      <c r="AU881" s="242"/>
      <c r="AV881" s="241"/>
      <c r="AW881" s="244"/>
      <c r="AX881" s="33"/>
      <c r="AY881" s="242"/>
      <c r="AZ881" s="241"/>
      <c r="BA881" s="244"/>
      <c r="BB881" s="33"/>
      <c r="BC881" s="242"/>
      <c r="BD881" s="241"/>
      <c r="BE881" s="244"/>
      <c r="BF881" s="33"/>
      <c r="BG881" s="242"/>
      <c r="BH881" s="241"/>
      <c r="BI881" s="244"/>
      <c r="BJ881" s="33"/>
      <c r="BK881" s="242"/>
      <c r="BL881" s="241"/>
      <c r="BM881" s="244"/>
      <c r="BN881" s="33"/>
      <c r="BO881" s="242"/>
      <c r="BP881" s="241"/>
      <c r="BQ881" s="244"/>
      <c r="BR881" s="33"/>
      <c r="BS881" s="242"/>
      <c r="BT881" s="241"/>
      <c r="BU881" s="244"/>
      <c r="BV881" s="33"/>
      <c r="BW881" s="242"/>
      <c r="BX881" s="241"/>
      <c r="BY881" s="244"/>
      <c r="BZ881" s="33"/>
      <c r="CA881" s="242"/>
      <c r="CB881" s="241"/>
      <c r="CC881" s="244"/>
      <c r="CD881" s="243"/>
      <c r="CE881" s="243"/>
      <c r="CF881" s="243"/>
      <c r="CG881" s="243"/>
      <c r="CH881" s="243"/>
      <c r="CI881" s="243"/>
      <c r="CJ881" s="243"/>
      <c r="CK881" s="243"/>
      <c r="CL881" s="243"/>
      <c r="CM881" s="243"/>
      <c r="CN881" s="243"/>
      <c r="CO881" s="243"/>
      <c r="CP881" s="243"/>
      <c r="CQ881" s="243"/>
      <c r="CR881" s="243"/>
      <c r="CS881" s="243"/>
      <c r="CT881" s="243"/>
      <c r="CU881" s="243"/>
      <c r="CV881" s="243"/>
      <c r="CW881" s="243"/>
      <c r="CX881" s="243"/>
      <c r="CY881" s="243"/>
      <c r="CZ881" s="243"/>
      <c r="DA881" s="243"/>
      <c r="DB881" s="243"/>
      <c r="DC881" s="243"/>
      <c r="DD881" s="243"/>
      <c r="DE881" s="243"/>
      <c r="DF881" s="243"/>
      <c r="DG881" s="243"/>
      <c r="DH881" s="243"/>
      <c r="DI881" s="243"/>
      <c r="DJ881" s="243"/>
      <c r="DK881" s="243"/>
      <c r="DM881" s="242"/>
      <c r="DO881" s="243"/>
      <c r="DQ881" s="242"/>
      <c r="DS881" s="243"/>
      <c r="DU881" s="242"/>
      <c r="DW881" s="243"/>
      <c r="DY881" s="242"/>
      <c r="EA881" s="243"/>
    </row>
    <row r="882" spans="1:131">
      <c r="A882" s="20"/>
      <c r="B882" s="124" t="str">
        <f t="shared" si="822"/>
        <v/>
      </c>
      <c r="C882" s="235"/>
      <c r="D882" s="24">
        <f>'1% Wind'!$M$91</f>
        <v>4.2</v>
      </c>
      <c r="E882" s="90"/>
      <c r="F882" s="90"/>
      <c r="G882" s="79" t="e">
        <f ca="1">IF(I872=0.9743,$G881,MAX(G881/D881*D882,2))</f>
        <v>#REF!</v>
      </c>
      <c r="H882" s="121" t="e">
        <f t="shared" ca="1" si="823"/>
        <v>#REF!</v>
      </c>
      <c r="J882" s="33"/>
      <c r="K882" s="242">
        <f t="shared" si="824"/>
        <v>1</v>
      </c>
      <c r="L882" s="241" t="e">
        <f t="shared" ca="1" si="825"/>
        <v>#REF!</v>
      </c>
      <c r="M882" s="243" t="e">
        <f ca="1">IF(AND(INDEX(FlowCalConstA,MATCH(J872,FlowCalNumber,0),1,1)*L882^INDEX(FlowCalConstB,MATCH(J872,FlowCalNumber,0),1,1)&gt;INDEX(FlowCalLowSetting,MATCH(J872,FlowCalNumber,0),1,1), (INDEX(FlowCalConstA,MATCH(J872,FlowCalNumber,0),1,1)*L882^INDEX(FlowCalConstB,MATCH(J872,FlowCalNumber,0),1,1)&lt;INDEX(FlowCalHighSetting,MATCH(J872,FlowCalNumber,0),1,1))),INDEX(FlowCalConstA,MATCH(J872,FlowCalNumber,0),1,1)*L882^INDEX(FlowCalConstB,MATCH(J872,FlowCalNumber,0),1,1)," ")</f>
        <v>#REF!</v>
      </c>
      <c r="N882" s="33"/>
      <c r="O882" s="242">
        <f t="shared" si="826"/>
        <v>1</v>
      </c>
      <c r="P882" s="241" t="e">
        <f t="shared" ca="1" si="827"/>
        <v>#REF!</v>
      </c>
      <c r="Q882" s="243" t="e">
        <f ca="1">IF(AND(INDEX(FlowCalConstA,MATCH(N872,FlowCalNumber,0),1,1)*P882^INDEX(FlowCalConstB,MATCH(N872,FlowCalNumber,0),1,1)&gt;INDEX(FlowCalLowSetting,MATCH(N872,FlowCalNumber,0),1,1), (INDEX(FlowCalConstA,MATCH(N872,FlowCalNumber,0),1,1)*P882^INDEX(FlowCalConstB,MATCH(N872,FlowCalNumber,0),1,1)&lt;INDEX(FlowCalHighSetting,MATCH(N872,FlowCalNumber,0),1,1))),INDEX(FlowCalConstA,MATCH(N872,FlowCalNumber,0),1,1)*P882^INDEX(FlowCalConstB,MATCH(N872,FlowCalNumber,0),1,1)," ")</f>
        <v>#REF!</v>
      </c>
      <c r="R882" s="33"/>
      <c r="S882" s="242">
        <f t="shared" si="828"/>
        <v>1</v>
      </c>
      <c r="T882" s="241" t="e">
        <f t="shared" ca="1" si="829"/>
        <v>#REF!</v>
      </c>
      <c r="U882" s="244" t="e">
        <f ca="1">IF(AND(INDEX(FlowCalConstA,MATCH(R872,FlowCalNumber,0),1,1)*T882^INDEX(FlowCalConstB,MATCH(R872,FlowCalNumber,0),1,1)&gt;INDEX(FlowCalLowSetting,MATCH(R872,FlowCalNumber,0),1,1), (INDEX(FlowCalConstA,MATCH(R872,FlowCalNumber,0),1,1)*T882^INDEX(FlowCalConstB,MATCH(R872,FlowCalNumber,0),1,1)&lt;INDEX(FlowCalHighSetting,MATCH(R872,FlowCalNumber,0),1,1))),INDEX(FlowCalConstA,MATCH(R872,FlowCalNumber,0),1,1)*T882^INDEX(FlowCalConstB,MATCH(R872,FlowCalNumber,0),1,1)," ")</f>
        <v>#REF!</v>
      </c>
      <c r="V882" s="33"/>
      <c r="W882" s="242">
        <f t="shared" si="830"/>
        <v>0.1</v>
      </c>
      <c r="X882" s="241" t="e">
        <f t="shared" ca="1" si="831"/>
        <v>#REF!</v>
      </c>
      <c r="Y882" s="243" t="e">
        <f ca="1">IF(AND(INDEX(FlowCalConstA,MATCH(V872,FlowCalNumber,0),1,1)*X882^INDEX(FlowCalConstB,MATCH(V872,FlowCalNumber,0),1,1)&gt;INDEX(FlowCalLowSetting,MATCH(V872,FlowCalNumber,0),1,1), (INDEX(FlowCalConstA,MATCH(V872,FlowCalNumber,0),1,1)*X882^INDEX(FlowCalConstB,MATCH(V872,FlowCalNumber,0),1,1)&lt;INDEX(FlowCalHighSetting,MATCH(V872,FlowCalNumber,0),1,1))),INDEX(FlowCalConstA,MATCH(V872,FlowCalNumber,0),1,1)*X882^INDEX(FlowCalConstB,MATCH(V872,FlowCalNumber,0),1,1)," ")</f>
        <v>#REF!</v>
      </c>
      <c r="Z882" s="33"/>
      <c r="AA882" s="242">
        <f t="shared" si="832"/>
        <v>0.9</v>
      </c>
      <c r="AB882" s="241" t="e">
        <f t="shared" ca="1" si="833"/>
        <v>#REF!</v>
      </c>
      <c r="AC882" s="243" t="e">
        <f ca="1">IF(AND(INDEX(FlowCalConstA,MATCH(Z872,FlowCalNumber,0),1,1)*AB882^INDEX(FlowCalConstB,MATCH(Z872,FlowCalNumber,0),1,1)&gt;INDEX(FlowCalLowSetting,MATCH(Z872,FlowCalNumber,0),1,1), (INDEX(FlowCalConstA,MATCH(Z872,FlowCalNumber,0),1,1)*AB882^INDEX(FlowCalConstB,MATCH(Z872,FlowCalNumber,0),1,1)&lt;INDEX(FlowCalHighSetting,MATCH(Z872,FlowCalNumber,0),1,1))),INDEX(FlowCalConstA,MATCH(Z872,FlowCalNumber,0),1,1)*AB882^INDEX(FlowCalConstB,MATCH(Z872,FlowCalNumber,0),1,1)," ")</f>
        <v>#REF!</v>
      </c>
      <c r="AD882" s="33"/>
      <c r="AE882" s="242">
        <f t="shared" si="834"/>
        <v>0.1</v>
      </c>
      <c r="AF882" s="241" t="e">
        <f t="shared" ca="1" si="835"/>
        <v>#REF!</v>
      </c>
      <c r="AG882" s="243" t="e">
        <f ca="1">IF(AND(INDEX(FlowCalConstA,MATCH(AD872,FlowCalNumber,0),1,1)*AF882^INDEX(FlowCalConstB,MATCH(AD872,FlowCalNumber,0),1,1)&gt;INDEX(FlowCalLowSetting,MATCH(AD872,FlowCalNumber,0),1,1), (INDEX(FlowCalConstA,MATCH(AD872,FlowCalNumber,0),1,1)*AF882^INDEX(FlowCalConstB,MATCH(AD872,FlowCalNumber,0),1,1)&lt;INDEX(FlowCalHighSetting,MATCH(AD872,FlowCalNumber,0),1,1))),INDEX(FlowCalConstA,MATCH(AD872,FlowCalNumber,0),1,1)*AF882^INDEX(FlowCalConstB,MATCH(AD872,FlowCalNumber,0),1,1)," ")</f>
        <v>#REF!</v>
      </c>
      <c r="AH882" s="33"/>
      <c r="AI882" s="242">
        <f t="shared" si="836"/>
        <v>0.9</v>
      </c>
      <c r="AJ882" s="241" t="e">
        <f t="shared" ca="1" si="837"/>
        <v>#REF!</v>
      </c>
      <c r="AK882" s="243" t="e">
        <f ca="1">IF(AND(INDEX(FlowCalConstA,MATCH(AH872,FlowCalNumber,0),1,1)*AJ882^INDEX(FlowCalConstB,MATCH(AH872,FlowCalNumber,0),1,1)&gt;INDEX(FlowCalLowSetting,MATCH(AH872,FlowCalNumber,0),1,1), (INDEX(FlowCalConstA,MATCH(AH872,FlowCalNumber,0),1,1)*AJ882^INDEX(FlowCalConstB,MATCH(AH872,FlowCalNumber,0),1,1)&lt;INDEX(FlowCalHighSetting,MATCH(AH872,FlowCalNumber,0),1,1))),INDEX(FlowCalConstA,MATCH(AH872,FlowCalNumber,0),1,1)*AJ882^INDEX(FlowCalConstB,MATCH(AH872,FlowCalNumber,0),1,1)," ")</f>
        <v>#REF!</v>
      </c>
      <c r="AL882" s="33"/>
      <c r="AM882" s="242"/>
      <c r="AN882" s="241"/>
      <c r="AO882" s="244"/>
      <c r="AQ882" s="242"/>
      <c r="AR882" s="241"/>
      <c r="AS882" s="244"/>
      <c r="AT882" s="33"/>
      <c r="AU882" s="242"/>
      <c r="AV882" s="241"/>
      <c r="AW882" s="244"/>
      <c r="AX882" s="33"/>
      <c r="AY882" s="242"/>
      <c r="AZ882" s="241"/>
      <c r="BA882" s="244"/>
      <c r="BB882" s="33"/>
      <c r="BC882" s="242"/>
      <c r="BD882" s="241"/>
      <c r="BE882" s="244"/>
      <c r="BF882" s="33"/>
      <c r="BG882" s="242"/>
      <c r="BH882" s="241"/>
      <c r="BI882" s="244"/>
      <c r="BJ882" s="33"/>
      <c r="BK882" s="242"/>
      <c r="BL882" s="241"/>
      <c r="BM882" s="244"/>
      <c r="BN882" s="33"/>
      <c r="BO882" s="242"/>
      <c r="BP882" s="241"/>
      <c r="BQ882" s="244"/>
      <c r="BR882" s="33"/>
      <c r="BS882" s="242"/>
      <c r="BT882" s="241"/>
      <c r="BU882" s="244"/>
      <c r="BV882" s="33"/>
      <c r="BW882" s="242"/>
      <c r="BX882" s="241"/>
      <c r="BY882" s="244"/>
      <c r="BZ882" s="33"/>
      <c r="CA882" s="242"/>
      <c r="CB882" s="241"/>
      <c r="CC882" s="244"/>
      <c r="CD882" s="243"/>
      <c r="CE882" s="243"/>
      <c r="CF882" s="243"/>
      <c r="CG882" s="243"/>
      <c r="CH882" s="243"/>
      <c r="CI882" s="243"/>
      <c r="CJ882" s="243"/>
      <c r="CK882" s="243"/>
      <c r="CL882" s="243"/>
      <c r="CM882" s="243"/>
      <c r="CN882" s="243"/>
      <c r="CO882" s="243"/>
      <c r="CP882" s="243"/>
      <c r="CQ882" s="243"/>
      <c r="CR882" s="243"/>
      <c r="CS882" s="243"/>
      <c r="CT882" s="243"/>
      <c r="CU882" s="243"/>
      <c r="CV882" s="243"/>
      <c r="CW882" s="243"/>
      <c r="CX882" s="243"/>
      <c r="CY882" s="243"/>
      <c r="CZ882" s="243"/>
      <c r="DA882" s="243"/>
      <c r="DB882" s="243"/>
      <c r="DC882" s="243"/>
      <c r="DD882" s="243"/>
      <c r="DE882" s="243"/>
      <c r="DF882" s="243"/>
      <c r="DG882" s="243"/>
      <c r="DH882" s="243"/>
      <c r="DI882" s="243"/>
      <c r="DJ882" s="243"/>
      <c r="DK882" s="243"/>
      <c r="DM882" s="242"/>
      <c r="DO882" s="243"/>
      <c r="DQ882" s="242"/>
      <c r="DS882" s="243"/>
      <c r="DU882" s="242"/>
      <c r="DW882" s="243"/>
      <c r="DY882" s="242"/>
      <c r="EA882" s="243"/>
    </row>
    <row r="883" spans="1:131">
      <c r="A883" s="20"/>
      <c r="B883" s="124" t="str">
        <f t="shared" si="822"/>
        <v/>
      </c>
      <c r="C883" s="235"/>
      <c r="D883" s="24">
        <f>'1% Wind'!$M$92</f>
        <v>3.2</v>
      </c>
      <c r="E883" s="90"/>
      <c r="F883" s="90"/>
      <c r="G883" s="79" t="e">
        <f ca="1">IF(I872=0.9743,$G882,MAX(G882/D882*D883,2))</f>
        <v>#REF!</v>
      </c>
      <c r="H883" s="121" t="e">
        <f t="shared" ca="1" si="823"/>
        <v>#REF!</v>
      </c>
      <c r="J883" s="33"/>
      <c r="K883" s="242">
        <f t="shared" si="824"/>
        <v>1</v>
      </c>
      <c r="L883" s="241" t="e">
        <f t="shared" ca="1" si="825"/>
        <v>#REF!</v>
      </c>
      <c r="M883" s="243" t="e">
        <f ca="1">IF(AND(INDEX(FlowCalConstA,MATCH(J872,FlowCalNumber,0),1,1)*L883^INDEX(FlowCalConstB,MATCH(J872,FlowCalNumber,0),1,1)&gt;INDEX(FlowCalLowSetting,MATCH(J872,FlowCalNumber,0),1,1), (INDEX(FlowCalConstA,MATCH(J872,FlowCalNumber,0),1,1)*L883^INDEX(FlowCalConstB,MATCH(J872,FlowCalNumber,0),1,1)&lt;INDEX(FlowCalHighSetting,MATCH(J872,FlowCalNumber,0),1,1))),INDEX(FlowCalConstA,MATCH(J872,FlowCalNumber,0),1,1)*L883^INDEX(FlowCalConstB,MATCH(J872,FlowCalNumber,0),1,1)," ")</f>
        <v>#REF!</v>
      </c>
      <c r="N883" s="33"/>
      <c r="O883" s="242">
        <f t="shared" si="826"/>
        <v>1</v>
      </c>
      <c r="P883" s="241" t="e">
        <f t="shared" ca="1" si="827"/>
        <v>#REF!</v>
      </c>
      <c r="Q883" s="243" t="e">
        <f ca="1">IF(AND(INDEX(FlowCalConstA,MATCH(N872,FlowCalNumber,0),1,1)*P883^INDEX(FlowCalConstB,MATCH(N872,FlowCalNumber,0),1,1)&gt;INDEX(FlowCalLowSetting,MATCH(N872,FlowCalNumber,0),1,1), (INDEX(FlowCalConstA,MATCH(N872,FlowCalNumber,0),1,1)*P883^INDEX(FlowCalConstB,MATCH(N872,FlowCalNumber,0),1,1)&lt;INDEX(FlowCalHighSetting,MATCH(N872,FlowCalNumber,0),1,1))),INDEX(FlowCalConstA,MATCH(N872,FlowCalNumber,0),1,1)*P883^INDEX(FlowCalConstB,MATCH(N872,FlowCalNumber,0),1,1)," ")</f>
        <v>#REF!</v>
      </c>
      <c r="R883" s="33"/>
      <c r="S883" s="242">
        <f t="shared" si="828"/>
        <v>1</v>
      </c>
      <c r="T883" s="241" t="e">
        <f t="shared" ca="1" si="829"/>
        <v>#REF!</v>
      </c>
      <c r="U883" s="244" t="e">
        <f ca="1">IF(AND(INDEX(FlowCalConstA,MATCH(R872,FlowCalNumber,0),1,1)*T883^INDEX(FlowCalConstB,MATCH(R872,FlowCalNumber,0),1,1)&gt;INDEX(FlowCalLowSetting,MATCH(R872,FlowCalNumber,0),1,1), (INDEX(FlowCalConstA,MATCH(R872,FlowCalNumber,0),1,1)*T883^INDEX(FlowCalConstB,MATCH(R872,FlowCalNumber,0),1,1)&lt;INDEX(FlowCalHighSetting,MATCH(R872,FlowCalNumber,0),1,1))),INDEX(FlowCalConstA,MATCH(R872,FlowCalNumber,0),1,1)*T883^INDEX(FlowCalConstB,MATCH(R872,FlowCalNumber,0),1,1)," ")</f>
        <v>#REF!</v>
      </c>
      <c r="V883" s="33"/>
      <c r="W883" s="242">
        <f t="shared" si="830"/>
        <v>0.1</v>
      </c>
      <c r="X883" s="241" t="e">
        <f t="shared" ca="1" si="831"/>
        <v>#REF!</v>
      </c>
      <c r="Y883" s="243" t="e">
        <f ca="1">IF(AND(INDEX(FlowCalConstA,MATCH(V872,FlowCalNumber,0),1,1)*X883^INDEX(FlowCalConstB,MATCH(V872,FlowCalNumber,0),1,1)&gt;INDEX(FlowCalLowSetting,MATCH(V872,FlowCalNumber,0),1,1), (INDEX(FlowCalConstA,MATCH(V872,FlowCalNumber,0),1,1)*X883^INDEX(FlowCalConstB,MATCH(V872,FlowCalNumber,0),1,1)&lt;INDEX(FlowCalHighSetting,MATCH(V872,FlowCalNumber,0),1,1))),INDEX(FlowCalConstA,MATCH(V872,FlowCalNumber,0),1,1)*X883^INDEX(FlowCalConstB,MATCH(V872,FlowCalNumber,0),1,1)," ")</f>
        <v>#REF!</v>
      </c>
      <c r="Z883" s="33"/>
      <c r="AA883" s="242">
        <f t="shared" si="832"/>
        <v>0.9</v>
      </c>
      <c r="AB883" s="241" t="e">
        <f t="shared" ca="1" si="833"/>
        <v>#REF!</v>
      </c>
      <c r="AC883" s="243" t="e">
        <f ca="1">IF(AND(INDEX(FlowCalConstA,MATCH(Z872,FlowCalNumber,0),1,1)*AB883^INDEX(FlowCalConstB,MATCH(Z872,FlowCalNumber,0),1,1)&gt;INDEX(FlowCalLowSetting,MATCH(Z872,FlowCalNumber,0),1,1), (INDEX(FlowCalConstA,MATCH(Z872,FlowCalNumber,0),1,1)*AB883^INDEX(FlowCalConstB,MATCH(Z872,FlowCalNumber,0),1,1)&lt;INDEX(FlowCalHighSetting,MATCH(Z872,FlowCalNumber,0),1,1))),INDEX(FlowCalConstA,MATCH(Z872,FlowCalNumber,0),1,1)*AB883^INDEX(FlowCalConstB,MATCH(Z872,FlowCalNumber,0),1,1)," ")</f>
        <v>#REF!</v>
      </c>
      <c r="AD883" s="33"/>
      <c r="AE883" s="242">
        <f t="shared" si="834"/>
        <v>0.1</v>
      </c>
      <c r="AF883" s="241" t="e">
        <f t="shared" ca="1" si="835"/>
        <v>#REF!</v>
      </c>
      <c r="AG883" s="243" t="e">
        <f ca="1">IF(AND(INDEX(FlowCalConstA,MATCH(AD872,FlowCalNumber,0),1,1)*AF883^INDEX(FlowCalConstB,MATCH(AD872,FlowCalNumber,0),1,1)&gt;INDEX(FlowCalLowSetting,MATCH(AD872,FlowCalNumber,0),1,1), (INDEX(FlowCalConstA,MATCH(AD872,FlowCalNumber,0),1,1)*AF883^INDEX(FlowCalConstB,MATCH(AD872,FlowCalNumber,0),1,1)&lt;INDEX(FlowCalHighSetting,MATCH(AD872,FlowCalNumber,0),1,1))),INDEX(FlowCalConstA,MATCH(AD872,FlowCalNumber,0),1,1)*AF883^INDEX(FlowCalConstB,MATCH(AD872,FlowCalNumber,0),1,1)," ")</f>
        <v>#REF!</v>
      </c>
      <c r="AH883" s="33"/>
      <c r="AI883" s="242">
        <f t="shared" si="836"/>
        <v>0.9</v>
      </c>
      <c r="AJ883" s="241" t="e">
        <f t="shared" ca="1" si="837"/>
        <v>#REF!</v>
      </c>
      <c r="AK883" s="243" t="e">
        <f ca="1">IF(AND(INDEX(FlowCalConstA,MATCH(AH872,FlowCalNumber,0),1,1)*AJ883^INDEX(FlowCalConstB,MATCH(AH872,FlowCalNumber,0),1,1)&gt;INDEX(FlowCalLowSetting,MATCH(AH872,FlowCalNumber,0),1,1), (INDEX(FlowCalConstA,MATCH(AH872,FlowCalNumber,0),1,1)*AJ883^INDEX(FlowCalConstB,MATCH(AH872,FlowCalNumber,0),1,1)&lt;INDEX(FlowCalHighSetting,MATCH(AH872,FlowCalNumber,0),1,1))),INDEX(FlowCalConstA,MATCH(AH872,FlowCalNumber,0),1,1)*AJ883^INDEX(FlowCalConstB,MATCH(AH872,FlowCalNumber,0),1,1)," ")</f>
        <v>#REF!</v>
      </c>
      <c r="AL883" s="33"/>
      <c r="AM883" s="242"/>
      <c r="AN883" s="241"/>
      <c r="AO883" s="244"/>
      <c r="AQ883" s="242"/>
      <c r="AR883" s="241"/>
      <c r="AS883" s="244"/>
      <c r="AT883" s="33"/>
      <c r="AU883" s="242"/>
      <c r="AV883" s="241"/>
      <c r="AW883" s="244"/>
      <c r="AX883" s="33"/>
      <c r="AY883" s="242"/>
      <c r="AZ883" s="241"/>
      <c r="BA883" s="244"/>
      <c r="BB883" s="33"/>
      <c r="BC883" s="242"/>
      <c r="BD883" s="241"/>
      <c r="BE883" s="244"/>
      <c r="BF883" s="33"/>
      <c r="BG883" s="242"/>
      <c r="BH883" s="241"/>
      <c r="BI883" s="244"/>
      <c r="BJ883" s="33"/>
      <c r="BK883" s="242"/>
      <c r="BL883" s="241"/>
      <c r="BM883" s="244"/>
      <c r="BN883" s="33"/>
      <c r="BO883" s="242"/>
      <c r="BP883" s="241"/>
      <c r="BQ883" s="244"/>
      <c r="BR883" s="33"/>
      <c r="BS883" s="242"/>
      <c r="BT883" s="241"/>
      <c r="BU883" s="244"/>
      <c r="BV883" s="33"/>
      <c r="BW883" s="242"/>
      <c r="BX883" s="241"/>
      <c r="BY883" s="244"/>
      <c r="BZ883" s="33"/>
      <c r="CA883" s="242"/>
      <c r="CB883" s="241"/>
      <c r="CC883" s="244"/>
      <c r="CD883" s="243"/>
      <c r="CE883" s="243"/>
      <c r="CF883" s="243"/>
      <c r="CG883" s="243"/>
      <c r="CH883" s="243"/>
      <c r="CI883" s="243"/>
      <c r="CJ883" s="243"/>
      <c r="CK883" s="243"/>
      <c r="CL883" s="243"/>
      <c r="CM883" s="243"/>
      <c r="CN883" s="243"/>
      <c r="CO883" s="243"/>
      <c r="CP883" s="243"/>
      <c r="CQ883" s="243"/>
      <c r="CR883" s="243"/>
      <c r="CS883" s="243"/>
      <c r="CT883" s="243"/>
      <c r="CU883" s="243"/>
      <c r="CV883" s="243"/>
      <c r="CW883" s="243"/>
      <c r="CX883" s="243"/>
      <c r="CY883" s="243"/>
      <c r="CZ883" s="243"/>
      <c r="DA883" s="243"/>
      <c r="DB883" s="243"/>
      <c r="DC883" s="243"/>
      <c r="DD883" s="243"/>
      <c r="DE883" s="243"/>
      <c r="DF883" s="243"/>
      <c r="DG883" s="243"/>
      <c r="DH883" s="243"/>
      <c r="DI883" s="243"/>
      <c r="DJ883" s="243"/>
      <c r="DK883" s="243"/>
      <c r="DM883" s="242"/>
      <c r="DO883" s="243"/>
      <c r="DQ883" s="242"/>
      <c r="DS883" s="243"/>
      <c r="DU883" s="242"/>
      <c r="DW883" s="243"/>
      <c r="DY883" s="242"/>
      <c r="EA883" s="243"/>
    </row>
    <row r="884" spans="1:131">
      <c r="A884" s="20"/>
      <c r="B884" s="124" t="str">
        <f t="shared" si="822"/>
        <v/>
      </c>
      <c r="C884" s="235"/>
      <c r="D884" s="24">
        <f>'1% Wind'!$M$93</f>
        <v>2.4</v>
      </c>
      <c r="E884" s="90"/>
      <c r="F884" s="90"/>
      <c r="G884" s="79" t="e">
        <f ca="1">IF(I872=0.9743,$G883,MAX(G883/D883*D884,2))</f>
        <v>#REF!</v>
      </c>
      <c r="H884" s="121" t="e">
        <f t="shared" ca="1" si="823"/>
        <v>#REF!</v>
      </c>
      <c r="J884" s="33"/>
      <c r="K884" s="242">
        <f t="shared" si="824"/>
        <v>1</v>
      </c>
      <c r="L884" s="241" t="e">
        <f t="shared" ca="1" si="825"/>
        <v>#REF!</v>
      </c>
      <c r="M884" s="243" t="e">
        <f ca="1">IF(AND(INDEX(FlowCalConstA,MATCH(J872,FlowCalNumber,0),1,1)*L884^INDEX(FlowCalConstB,MATCH(J872,FlowCalNumber,0),1,1)&gt;INDEX(FlowCalLowSetting,MATCH(J872,FlowCalNumber,0),1,1), (INDEX(FlowCalConstA,MATCH(J872,FlowCalNumber,0),1,1)*L884^INDEX(FlowCalConstB,MATCH(J872,FlowCalNumber,0),1,1)&lt;INDEX(FlowCalHighSetting,MATCH(J872,FlowCalNumber,0),1,1))),INDEX(FlowCalConstA,MATCH(J872,FlowCalNumber,0),1,1)*L884^INDEX(FlowCalConstB,MATCH(J872,FlowCalNumber,0),1,1)," ")</f>
        <v>#REF!</v>
      </c>
      <c r="N884" s="33"/>
      <c r="O884" s="242">
        <f t="shared" si="826"/>
        <v>1</v>
      </c>
      <c r="P884" s="241" t="e">
        <f t="shared" ca="1" si="827"/>
        <v>#REF!</v>
      </c>
      <c r="Q884" s="243" t="e">
        <f ca="1">IF(AND(INDEX(FlowCalConstA,MATCH(N872,FlowCalNumber,0),1,1)*P884^INDEX(FlowCalConstB,MATCH(N872,FlowCalNumber,0),1,1)&gt;INDEX(FlowCalLowSetting,MATCH(N872,FlowCalNumber,0),1,1), (INDEX(FlowCalConstA,MATCH(N872,FlowCalNumber,0),1,1)*P884^INDEX(FlowCalConstB,MATCH(N872,FlowCalNumber,0),1,1)&lt;INDEX(FlowCalHighSetting,MATCH(N872,FlowCalNumber,0),1,1))),INDEX(FlowCalConstA,MATCH(N872,FlowCalNumber,0),1,1)*P884^INDEX(FlowCalConstB,MATCH(N872,FlowCalNumber,0),1,1)," ")</f>
        <v>#REF!</v>
      </c>
      <c r="R884" s="33"/>
      <c r="S884" s="242">
        <f t="shared" si="828"/>
        <v>1</v>
      </c>
      <c r="T884" s="241" t="e">
        <f t="shared" ca="1" si="829"/>
        <v>#REF!</v>
      </c>
      <c r="U884" s="244" t="e">
        <f ca="1">IF(AND(INDEX(FlowCalConstA,MATCH(R872,FlowCalNumber,0),1,1)*T884^INDEX(FlowCalConstB,MATCH(R872,FlowCalNumber,0),1,1)&gt;INDEX(FlowCalLowSetting,MATCH(R872,FlowCalNumber,0),1,1), (INDEX(FlowCalConstA,MATCH(R872,FlowCalNumber,0),1,1)*T884^INDEX(FlowCalConstB,MATCH(R872,FlowCalNumber,0),1,1)&lt;INDEX(FlowCalHighSetting,MATCH(R872,FlowCalNumber,0),1,1))),INDEX(FlowCalConstA,MATCH(R872,FlowCalNumber,0),1,1)*T884^INDEX(FlowCalConstB,MATCH(R872,FlowCalNumber,0),1,1)," ")</f>
        <v>#REF!</v>
      </c>
      <c r="V884" s="33"/>
      <c r="W884" s="242">
        <f t="shared" si="830"/>
        <v>0.1</v>
      </c>
      <c r="X884" s="241" t="e">
        <f t="shared" ca="1" si="831"/>
        <v>#REF!</v>
      </c>
      <c r="Y884" s="243" t="e">
        <f ca="1">IF(AND(INDEX(FlowCalConstA,MATCH(V872,FlowCalNumber,0),1,1)*X884^INDEX(FlowCalConstB,MATCH(V872,FlowCalNumber,0),1,1)&gt;INDEX(FlowCalLowSetting,MATCH(V872,FlowCalNumber,0),1,1), (INDEX(FlowCalConstA,MATCH(V872,FlowCalNumber,0),1,1)*X884^INDEX(FlowCalConstB,MATCH(V872,FlowCalNumber,0),1,1)&lt;INDEX(FlowCalHighSetting,MATCH(V872,FlowCalNumber,0),1,1))),INDEX(FlowCalConstA,MATCH(V872,FlowCalNumber,0),1,1)*X884^INDEX(FlowCalConstB,MATCH(V872,FlowCalNumber,0),1,1)," ")</f>
        <v>#REF!</v>
      </c>
      <c r="Z884" s="33"/>
      <c r="AA884" s="242">
        <f t="shared" si="832"/>
        <v>0.9</v>
      </c>
      <c r="AB884" s="241" t="e">
        <f t="shared" ca="1" si="833"/>
        <v>#REF!</v>
      </c>
      <c r="AC884" s="243" t="e">
        <f ca="1">IF(AND(INDEX(FlowCalConstA,MATCH(Z872,FlowCalNumber,0),1,1)*AB884^INDEX(FlowCalConstB,MATCH(Z872,FlowCalNumber,0),1,1)&gt;INDEX(FlowCalLowSetting,MATCH(Z872,FlowCalNumber,0),1,1), (INDEX(FlowCalConstA,MATCH(Z872,FlowCalNumber,0),1,1)*AB884^INDEX(FlowCalConstB,MATCH(Z872,FlowCalNumber,0),1,1)&lt;INDEX(FlowCalHighSetting,MATCH(Z872,FlowCalNumber,0),1,1))),INDEX(FlowCalConstA,MATCH(Z872,FlowCalNumber,0),1,1)*AB884^INDEX(FlowCalConstB,MATCH(Z872,FlowCalNumber,0),1,1)," ")</f>
        <v>#REF!</v>
      </c>
      <c r="AD884" s="33"/>
      <c r="AE884" s="242">
        <f t="shared" si="834"/>
        <v>0.1</v>
      </c>
      <c r="AF884" s="241" t="e">
        <f t="shared" ca="1" si="835"/>
        <v>#REF!</v>
      </c>
      <c r="AG884" s="243" t="e">
        <f ca="1">IF(AND(INDEX(FlowCalConstA,MATCH(AD872,FlowCalNumber,0),1,1)*AF884^INDEX(FlowCalConstB,MATCH(AD872,FlowCalNumber,0),1,1)&gt;INDEX(FlowCalLowSetting,MATCH(AD872,FlowCalNumber,0),1,1), (INDEX(FlowCalConstA,MATCH(AD872,FlowCalNumber,0),1,1)*AF884^INDEX(FlowCalConstB,MATCH(AD872,FlowCalNumber,0),1,1)&lt;INDEX(FlowCalHighSetting,MATCH(AD872,FlowCalNumber,0),1,1))),INDEX(FlowCalConstA,MATCH(AD872,FlowCalNumber,0),1,1)*AF884^INDEX(FlowCalConstB,MATCH(AD872,FlowCalNumber,0),1,1)," ")</f>
        <v>#REF!</v>
      </c>
      <c r="AH884" s="33"/>
      <c r="AI884" s="242">
        <f t="shared" si="836"/>
        <v>0.9</v>
      </c>
      <c r="AJ884" s="241" t="e">
        <f t="shared" ca="1" si="837"/>
        <v>#REF!</v>
      </c>
      <c r="AK884" s="243" t="e">
        <f ca="1">IF(AND(INDEX(FlowCalConstA,MATCH(AH872,FlowCalNumber,0),1,1)*AJ884^INDEX(FlowCalConstB,MATCH(AH872,FlowCalNumber,0),1,1)&gt;INDEX(FlowCalLowSetting,MATCH(AH872,FlowCalNumber,0),1,1), (INDEX(FlowCalConstA,MATCH(AH872,FlowCalNumber,0),1,1)*AJ884^INDEX(FlowCalConstB,MATCH(AH872,FlowCalNumber,0),1,1)&lt;INDEX(FlowCalHighSetting,MATCH(AH872,FlowCalNumber,0),1,1))),INDEX(FlowCalConstA,MATCH(AH872,FlowCalNumber,0),1,1)*AJ884^INDEX(FlowCalConstB,MATCH(AH872,FlowCalNumber,0),1,1)," ")</f>
        <v>#REF!</v>
      </c>
      <c r="AL884" s="33"/>
      <c r="AM884" s="242"/>
      <c r="AN884" s="241"/>
      <c r="AO884" s="244"/>
      <c r="AQ884" s="242"/>
      <c r="AR884" s="241"/>
      <c r="AS884" s="244"/>
      <c r="AT884" s="33"/>
      <c r="AU884" s="242"/>
      <c r="AV884" s="241"/>
      <c r="AW884" s="244"/>
      <c r="AX884" s="33"/>
      <c r="AY884" s="242"/>
      <c r="AZ884" s="241"/>
      <c r="BA884" s="244"/>
      <c r="BB884" s="33"/>
      <c r="BC884" s="242"/>
      <c r="BD884" s="241"/>
      <c r="BE884" s="244"/>
      <c r="BF884" s="33"/>
      <c r="BG884" s="242"/>
      <c r="BH884" s="241"/>
      <c r="BI884" s="244"/>
      <c r="BJ884" s="33"/>
      <c r="BK884" s="242"/>
      <c r="BL884" s="241"/>
      <c r="BM884" s="244"/>
      <c r="BN884" s="33"/>
      <c r="BO884" s="242"/>
      <c r="BP884" s="241"/>
      <c r="BQ884" s="244"/>
      <c r="BR884" s="33"/>
      <c r="BS884" s="242"/>
      <c r="BT884" s="241"/>
      <c r="BU884" s="244"/>
      <c r="BV884" s="33"/>
      <c r="BW884" s="242"/>
      <c r="BX884" s="241"/>
      <c r="BY884" s="244"/>
      <c r="BZ884" s="33"/>
      <c r="CA884" s="242"/>
      <c r="CB884" s="241"/>
      <c r="CC884" s="244"/>
      <c r="CD884" s="243"/>
      <c r="CE884" s="243"/>
      <c r="CF884" s="243"/>
      <c r="CG884" s="243"/>
      <c r="CH884" s="243"/>
      <c r="CI884" s="243"/>
      <c r="CJ884" s="243"/>
      <c r="CK884" s="243"/>
      <c r="CL884" s="243"/>
      <c r="CM884" s="243"/>
      <c r="CN884" s="243"/>
      <c r="CO884" s="243"/>
      <c r="CP884" s="243"/>
      <c r="CQ884" s="243"/>
      <c r="CR884" s="243"/>
      <c r="CS884" s="243"/>
      <c r="CT884" s="243"/>
      <c r="CU884" s="243"/>
      <c r="CV884" s="243"/>
      <c r="CW884" s="243"/>
      <c r="CX884" s="243"/>
      <c r="CY884" s="243"/>
      <c r="CZ884" s="243"/>
      <c r="DA884" s="243"/>
      <c r="DB884" s="243"/>
      <c r="DC884" s="243"/>
      <c r="DD884" s="243"/>
      <c r="DE884" s="243"/>
      <c r="DF884" s="243"/>
      <c r="DG884" s="243"/>
      <c r="DH884" s="243"/>
      <c r="DI884" s="243"/>
      <c r="DJ884" s="243"/>
      <c r="DK884" s="243"/>
      <c r="DM884" s="242"/>
      <c r="DO884" s="243"/>
      <c r="DQ884" s="242"/>
      <c r="DS884" s="243"/>
      <c r="DU884" s="242"/>
      <c r="DW884" s="243"/>
      <c r="DY884" s="242"/>
      <c r="EA884" s="243"/>
    </row>
    <row r="885" spans="1:131">
      <c r="A885" s="20"/>
      <c r="B885" s="124" t="str">
        <f t="shared" si="822"/>
        <v/>
      </c>
      <c r="C885" s="235"/>
      <c r="D885" s="24">
        <f>'1% Wind'!$M$94</f>
        <v>1.8</v>
      </c>
      <c r="E885" s="90"/>
      <c r="F885" s="90"/>
      <c r="G885" s="79" t="e">
        <f ca="1">IF(I872=0.9743,$G884,MAX(G884/D884*D885,2))</f>
        <v>#REF!</v>
      </c>
      <c r="H885" s="121" t="e">
        <f t="shared" ca="1" si="823"/>
        <v>#REF!</v>
      </c>
      <c r="J885" s="33"/>
      <c r="K885" s="242">
        <f t="shared" si="824"/>
        <v>1</v>
      </c>
      <c r="L885" s="241" t="e">
        <f t="shared" ca="1" si="825"/>
        <v>#REF!</v>
      </c>
      <c r="M885" s="243" t="e">
        <f ca="1">IF(AND(INDEX(FlowCalConstA,MATCH(J872,FlowCalNumber,0),1,1)*L885^INDEX(FlowCalConstB,MATCH(J872,FlowCalNumber,0),1,1)&gt;INDEX(FlowCalLowSetting,MATCH(J872,FlowCalNumber,0),1,1), (INDEX(FlowCalConstA,MATCH(J872,FlowCalNumber,0),1,1)*L885^INDEX(FlowCalConstB,MATCH(J872,FlowCalNumber,0),1,1)&lt;INDEX(FlowCalHighSetting,MATCH(J872,FlowCalNumber,0),1,1))),INDEX(FlowCalConstA,MATCH(J872,FlowCalNumber,0),1,1)*L885^INDEX(FlowCalConstB,MATCH(J872,FlowCalNumber,0),1,1)," ")</f>
        <v>#REF!</v>
      </c>
      <c r="N885" s="33"/>
      <c r="O885" s="242">
        <f t="shared" si="826"/>
        <v>1</v>
      </c>
      <c r="P885" s="241" t="e">
        <f t="shared" ca="1" si="827"/>
        <v>#REF!</v>
      </c>
      <c r="Q885" s="243" t="e">
        <f ca="1">IF(AND(INDEX(FlowCalConstA,MATCH(N872,FlowCalNumber,0),1,1)*P885^INDEX(FlowCalConstB,MATCH(N872,FlowCalNumber,0),1,1)&gt;INDEX(FlowCalLowSetting,MATCH(N872,FlowCalNumber,0),1,1), (INDEX(FlowCalConstA,MATCH(N872,FlowCalNumber,0),1,1)*P885^INDEX(FlowCalConstB,MATCH(N872,FlowCalNumber,0),1,1)&lt;INDEX(FlowCalHighSetting,MATCH(N872,FlowCalNumber,0),1,1))),INDEX(FlowCalConstA,MATCH(N872,FlowCalNumber,0),1,1)*P885^INDEX(FlowCalConstB,MATCH(N872,FlowCalNumber,0),1,1)," ")</f>
        <v>#REF!</v>
      </c>
      <c r="R885" s="33"/>
      <c r="S885" s="242">
        <f t="shared" si="828"/>
        <v>1</v>
      </c>
      <c r="T885" s="241" t="e">
        <f t="shared" ca="1" si="829"/>
        <v>#REF!</v>
      </c>
      <c r="U885" s="244" t="e">
        <f ca="1">IF(AND(INDEX(FlowCalConstA,MATCH(R872,FlowCalNumber,0),1,1)*T885^INDEX(FlowCalConstB,MATCH(R872,FlowCalNumber,0),1,1)&gt;INDEX(FlowCalLowSetting,MATCH(R872,FlowCalNumber,0),1,1), (INDEX(FlowCalConstA,MATCH(R872,FlowCalNumber,0),1,1)*T885^INDEX(FlowCalConstB,MATCH(R872,FlowCalNumber,0),1,1)&lt;INDEX(FlowCalHighSetting,MATCH(R872,FlowCalNumber,0),1,1))),INDEX(FlowCalConstA,MATCH(R872,FlowCalNumber,0),1,1)*T885^INDEX(FlowCalConstB,MATCH(R872,FlowCalNumber,0),1,1)," ")</f>
        <v>#REF!</v>
      </c>
      <c r="V885" s="33"/>
      <c r="W885" s="242">
        <f t="shared" si="830"/>
        <v>0.1</v>
      </c>
      <c r="X885" s="241" t="e">
        <f t="shared" ca="1" si="831"/>
        <v>#REF!</v>
      </c>
      <c r="Y885" s="243" t="e">
        <f ca="1">IF(AND(INDEX(FlowCalConstA,MATCH(V872,FlowCalNumber,0),1,1)*X885^INDEX(FlowCalConstB,MATCH(V872,FlowCalNumber,0),1,1)&gt;INDEX(FlowCalLowSetting,MATCH(V872,FlowCalNumber,0),1,1), (INDEX(FlowCalConstA,MATCH(V872,FlowCalNumber,0),1,1)*X885^INDEX(FlowCalConstB,MATCH(V872,FlowCalNumber,0),1,1)&lt;INDEX(FlowCalHighSetting,MATCH(V872,FlowCalNumber,0),1,1))),INDEX(FlowCalConstA,MATCH(V872,FlowCalNumber,0),1,1)*X885^INDEX(FlowCalConstB,MATCH(V872,FlowCalNumber,0),1,1)," ")</f>
        <v>#REF!</v>
      </c>
      <c r="Z885" s="33"/>
      <c r="AA885" s="242">
        <f t="shared" si="832"/>
        <v>0.9</v>
      </c>
      <c r="AB885" s="241" t="e">
        <f t="shared" ca="1" si="833"/>
        <v>#REF!</v>
      </c>
      <c r="AC885" s="243" t="e">
        <f ca="1">IF(AND(INDEX(FlowCalConstA,MATCH(Z872,FlowCalNumber,0),1,1)*AB885^INDEX(FlowCalConstB,MATCH(Z872,FlowCalNumber,0),1,1)&gt;INDEX(FlowCalLowSetting,MATCH(Z872,FlowCalNumber,0),1,1), (INDEX(FlowCalConstA,MATCH(Z872,FlowCalNumber,0),1,1)*AB885^INDEX(FlowCalConstB,MATCH(Z872,FlowCalNumber,0),1,1)&lt;INDEX(FlowCalHighSetting,MATCH(Z872,FlowCalNumber,0),1,1))),INDEX(FlowCalConstA,MATCH(Z872,FlowCalNumber,0),1,1)*AB885^INDEX(FlowCalConstB,MATCH(Z872,FlowCalNumber,0),1,1)," ")</f>
        <v>#REF!</v>
      </c>
      <c r="AD885" s="33"/>
      <c r="AE885" s="242">
        <f t="shared" si="834"/>
        <v>0.1</v>
      </c>
      <c r="AF885" s="241" t="e">
        <f t="shared" ca="1" si="835"/>
        <v>#REF!</v>
      </c>
      <c r="AG885" s="243" t="e">
        <f ca="1">IF(AND(INDEX(FlowCalConstA,MATCH(AD872,FlowCalNumber,0),1,1)*AF885^INDEX(FlowCalConstB,MATCH(AD872,FlowCalNumber,0),1,1)&gt;INDEX(FlowCalLowSetting,MATCH(AD872,FlowCalNumber,0),1,1), (INDEX(FlowCalConstA,MATCH(AD872,FlowCalNumber,0),1,1)*AF885^INDEX(FlowCalConstB,MATCH(AD872,FlowCalNumber,0),1,1)&lt;INDEX(FlowCalHighSetting,MATCH(AD872,FlowCalNumber,0),1,1))),INDEX(FlowCalConstA,MATCH(AD872,FlowCalNumber,0),1,1)*AF885^INDEX(FlowCalConstB,MATCH(AD872,FlowCalNumber,0),1,1)," ")</f>
        <v>#REF!</v>
      </c>
      <c r="AH885" s="33"/>
      <c r="AI885" s="242">
        <f t="shared" si="836"/>
        <v>0.9</v>
      </c>
      <c r="AJ885" s="241" t="e">
        <f t="shared" ca="1" si="837"/>
        <v>#REF!</v>
      </c>
      <c r="AK885" s="243" t="e">
        <f ca="1">IF(AND(INDEX(FlowCalConstA,MATCH(AH872,FlowCalNumber,0),1,1)*AJ885^INDEX(FlowCalConstB,MATCH(AH872,FlowCalNumber,0),1,1)&gt;INDEX(FlowCalLowSetting,MATCH(AH872,FlowCalNumber,0),1,1), (INDEX(FlowCalConstA,MATCH(AH872,FlowCalNumber,0),1,1)*AJ885^INDEX(FlowCalConstB,MATCH(AH872,FlowCalNumber,0),1,1)&lt;INDEX(FlowCalHighSetting,MATCH(AH872,FlowCalNumber,0),1,1))),INDEX(FlowCalConstA,MATCH(AH872,FlowCalNumber,0),1,1)*AJ885^INDEX(FlowCalConstB,MATCH(AH872,FlowCalNumber,0),1,1)," ")</f>
        <v>#REF!</v>
      </c>
      <c r="AL885" s="33"/>
      <c r="AM885" s="242"/>
      <c r="AN885" s="241"/>
      <c r="AO885" s="244"/>
      <c r="AQ885" s="242"/>
      <c r="AR885" s="241"/>
      <c r="AS885" s="244"/>
      <c r="AT885" s="33"/>
      <c r="AU885" s="242"/>
      <c r="AV885" s="241"/>
      <c r="AW885" s="244"/>
      <c r="AX885" s="33"/>
      <c r="AY885" s="242"/>
      <c r="AZ885" s="241"/>
      <c r="BA885" s="244"/>
      <c r="BB885" s="33"/>
      <c r="BC885" s="242"/>
      <c r="BD885" s="241"/>
      <c r="BE885" s="244"/>
      <c r="BF885" s="33"/>
      <c r="BG885" s="242"/>
      <c r="BH885" s="241"/>
      <c r="BI885" s="244"/>
      <c r="BJ885" s="33"/>
      <c r="BK885" s="242"/>
      <c r="BL885" s="241"/>
      <c r="BM885" s="244"/>
      <c r="BN885" s="33"/>
      <c r="BO885" s="242"/>
      <c r="BP885" s="241"/>
      <c r="BQ885" s="244"/>
      <c r="BR885" s="33"/>
      <c r="BS885" s="242"/>
      <c r="BT885" s="241"/>
      <c r="BU885" s="244"/>
      <c r="BV885" s="33"/>
      <c r="BW885" s="242"/>
      <c r="BX885" s="241"/>
      <c r="BY885" s="244"/>
      <c r="BZ885" s="33"/>
      <c r="CA885" s="242"/>
      <c r="CB885" s="241"/>
      <c r="CC885" s="244"/>
      <c r="CD885" s="243"/>
      <c r="CE885" s="243"/>
      <c r="CF885" s="243"/>
      <c r="CG885" s="243"/>
      <c r="CH885" s="243"/>
      <c r="CI885" s="243"/>
      <c r="CJ885" s="243"/>
      <c r="CK885" s="243"/>
      <c r="CL885" s="243"/>
      <c r="CM885" s="243"/>
      <c r="CN885" s="243"/>
      <c r="CO885" s="243"/>
      <c r="CP885" s="243"/>
      <c r="CQ885" s="243"/>
      <c r="CR885" s="243"/>
      <c r="CS885" s="243"/>
      <c r="CT885" s="243"/>
      <c r="CU885" s="243"/>
      <c r="CV885" s="243"/>
      <c r="CW885" s="243"/>
      <c r="CX885" s="243"/>
      <c r="CY885" s="243"/>
      <c r="CZ885" s="243"/>
      <c r="DA885" s="243"/>
      <c r="DB885" s="243"/>
      <c r="DC885" s="243"/>
      <c r="DD885" s="243"/>
      <c r="DE885" s="243"/>
      <c r="DF885" s="243"/>
      <c r="DG885" s="243"/>
      <c r="DH885" s="243"/>
      <c r="DI885" s="243"/>
      <c r="DJ885" s="243"/>
      <c r="DK885" s="243"/>
      <c r="DM885" s="242"/>
      <c r="DO885" s="243"/>
      <c r="DQ885" s="242"/>
      <c r="DS885" s="243"/>
      <c r="DU885" s="242"/>
      <c r="DW885" s="243"/>
      <c r="DY885" s="242"/>
      <c r="EA885" s="243"/>
    </row>
    <row r="886" spans="1:131">
      <c r="A886" s="20"/>
      <c r="B886" s="124" t="str">
        <f t="shared" si="822"/>
        <v/>
      </c>
      <c r="C886" s="235"/>
      <c r="D886" s="24">
        <f>'1% Wind'!$M$95</f>
        <v>1.3</v>
      </c>
      <c r="E886" s="90"/>
      <c r="F886" s="90"/>
      <c r="G886" s="79" t="e">
        <f ca="1">IF(I872=0.9743,$G885,MAX(G885/D885*D886,2))</f>
        <v>#REF!</v>
      </c>
      <c r="H886" s="121" t="e">
        <f t="shared" ca="1" si="823"/>
        <v>#REF!</v>
      </c>
      <c r="J886" s="33"/>
      <c r="K886" s="242">
        <f t="shared" si="824"/>
        <v>1</v>
      </c>
      <c r="L886" s="241" t="e">
        <f t="shared" ca="1" si="825"/>
        <v>#REF!</v>
      </c>
      <c r="M886" s="243" t="e">
        <f ca="1">IF(AND(INDEX(FlowCalConstA,MATCH(J872,FlowCalNumber,0),1,1)*L886^INDEX(FlowCalConstB,MATCH(J872,FlowCalNumber,0),1,1)&gt;INDEX(FlowCalLowSetting,MATCH(J872,FlowCalNumber,0),1,1), (INDEX(FlowCalConstA,MATCH(J872,FlowCalNumber,0),1,1)*L886^INDEX(FlowCalConstB,MATCH(J872,FlowCalNumber,0),1,1)&lt;INDEX(FlowCalHighSetting,MATCH(J872,FlowCalNumber,0),1,1))),INDEX(FlowCalConstA,MATCH(J872,FlowCalNumber,0),1,1)*L886^INDEX(FlowCalConstB,MATCH(J872,FlowCalNumber,0),1,1)," ")</f>
        <v>#REF!</v>
      </c>
      <c r="N886" s="33"/>
      <c r="O886" s="242">
        <f t="shared" si="826"/>
        <v>1</v>
      </c>
      <c r="P886" s="241" t="e">
        <f t="shared" ca="1" si="827"/>
        <v>#REF!</v>
      </c>
      <c r="Q886" s="243" t="e">
        <f ca="1">IF(AND(INDEX(FlowCalConstA,MATCH(N872,FlowCalNumber,0),1,1)*P886^INDEX(FlowCalConstB,MATCH(N872,FlowCalNumber,0),1,1)&gt;INDEX(FlowCalLowSetting,MATCH(N872,FlowCalNumber,0),1,1), (INDEX(FlowCalConstA,MATCH(N872,FlowCalNumber,0),1,1)*P886^INDEX(FlowCalConstB,MATCH(N872,FlowCalNumber,0),1,1)&lt;INDEX(FlowCalHighSetting,MATCH(N872,FlowCalNumber,0),1,1))),INDEX(FlowCalConstA,MATCH(N872,FlowCalNumber,0),1,1)*P886^INDEX(FlowCalConstB,MATCH(N872,FlowCalNumber,0),1,1)," ")</f>
        <v>#REF!</v>
      </c>
      <c r="R886" s="33"/>
      <c r="S886" s="242">
        <f t="shared" si="828"/>
        <v>1</v>
      </c>
      <c r="T886" s="241" t="e">
        <f t="shared" ca="1" si="829"/>
        <v>#REF!</v>
      </c>
      <c r="U886" s="244" t="e">
        <f ca="1">IF(AND(INDEX(FlowCalConstA,MATCH(R872,FlowCalNumber,0),1,1)*T886^INDEX(FlowCalConstB,MATCH(R872,FlowCalNumber,0),1,1)&gt;INDEX(FlowCalLowSetting,MATCH(R872,FlowCalNumber,0),1,1), (INDEX(FlowCalConstA,MATCH(R872,FlowCalNumber,0),1,1)*T886^INDEX(FlowCalConstB,MATCH(R872,FlowCalNumber,0),1,1)&lt;INDEX(FlowCalHighSetting,MATCH(R872,FlowCalNumber,0),1,1))),INDEX(FlowCalConstA,MATCH(R872,FlowCalNumber,0),1,1)*T886^INDEX(FlowCalConstB,MATCH(R872,FlowCalNumber,0),1,1)," ")</f>
        <v>#REF!</v>
      </c>
      <c r="V886" s="33"/>
      <c r="W886" s="242">
        <f t="shared" si="830"/>
        <v>0.1</v>
      </c>
      <c r="X886" s="241" t="e">
        <f t="shared" ca="1" si="831"/>
        <v>#REF!</v>
      </c>
      <c r="Y886" s="243" t="e">
        <f ca="1">IF(AND(INDEX(FlowCalConstA,MATCH(V872,FlowCalNumber,0),1,1)*X886^INDEX(FlowCalConstB,MATCH(V872,FlowCalNumber,0),1,1)&gt;INDEX(FlowCalLowSetting,MATCH(V872,FlowCalNumber,0),1,1), (INDEX(FlowCalConstA,MATCH(V872,FlowCalNumber,0),1,1)*X886^INDEX(FlowCalConstB,MATCH(V872,FlowCalNumber,0),1,1)&lt;INDEX(FlowCalHighSetting,MATCH(V872,FlowCalNumber,0),1,1))),INDEX(FlowCalConstA,MATCH(V872,FlowCalNumber,0),1,1)*X886^INDEX(FlowCalConstB,MATCH(V872,FlowCalNumber,0),1,1)," ")</f>
        <v>#REF!</v>
      </c>
      <c r="Z886" s="33"/>
      <c r="AA886" s="242">
        <f t="shared" si="832"/>
        <v>0.9</v>
      </c>
      <c r="AB886" s="241" t="e">
        <f t="shared" ca="1" si="833"/>
        <v>#REF!</v>
      </c>
      <c r="AC886" s="243" t="e">
        <f ca="1">IF(AND(INDEX(FlowCalConstA,MATCH(Z872,FlowCalNumber,0),1,1)*AB886^INDEX(FlowCalConstB,MATCH(Z872,FlowCalNumber,0),1,1)&gt;INDEX(FlowCalLowSetting,MATCH(Z872,FlowCalNumber,0),1,1), (INDEX(FlowCalConstA,MATCH(Z872,FlowCalNumber,0),1,1)*AB886^INDEX(FlowCalConstB,MATCH(Z872,FlowCalNumber,0),1,1)&lt;INDEX(FlowCalHighSetting,MATCH(Z872,FlowCalNumber,0),1,1))),INDEX(FlowCalConstA,MATCH(Z872,FlowCalNumber,0),1,1)*AB886^INDEX(FlowCalConstB,MATCH(Z872,FlowCalNumber,0),1,1)," ")</f>
        <v>#REF!</v>
      </c>
      <c r="AD886" s="33"/>
      <c r="AE886" s="242">
        <f t="shared" si="834"/>
        <v>0.1</v>
      </c>
      <c r="AF886" s="241" t="e">
        <f t="shared" ca="1" si="835"/>
        <v>#REF!</v>
      </c>
      <c r="AG886" s="243" t="e">
        <f ca="1">IF(AND(INDEX(FlowCalConstA,MATCH(AD872,FlowCalNumber,0),1,1)*AF886^INDEX(FlowCalConstB,MATCH(AD872,FlowCalNumber,0),1,1)&gt;INDEX(FlowCalLowSetting,MATCH(AD872,FlowCalNumber,0),1,1), (INDEX(FlowCalConstA,MATCH(AD872,FlowCalNumber,0),1,1)*AF886^INDEX(FlowCalConstB,MATCH(AD872,FlowCalNumber,0),1,1)&lt;INDEX(FlowCalHighSetting,MATCH(AD872,FlowCalNumber,0),1,1))),INDEX(FlowCalConstA,MATCH(AD872,FlowCalNumber,0),1,1)*AF886^INDEX(FlowCalConstB,MATCH(AD872,FlowCalNumber,0),1,1)," ")</f>
        <v>#REF!</v>
      </c>
      <c r="AH886" s="33"/>
      <c r="AI886" s="242">
        <f t="shared" si="836"/>
        <v>0.9</v>
      </c>
      <c r="AJ886" s="241" t="e">
        <f t="shared" ca="1" si="837"/>
        <v>#REF!</v>
      </c>
      <c r="AK886" s="243" t="e">
        <f ca="1">IF(AND(INDEX(FlowCalConstA,MATCH(AH872,FlowCalNumber,0),1,1)*AJ886^INDEX(FlowCalConstB,MATCH(AH872,FlowCalNumber,0),1,1)&gt;INDEX(FlowCalLowSetting,MATCH(AH872,FlowCalNumber,0),1,1), (INDEX(FlowCalConstA,MATCH(AH872,FlowCalNumber,0),1,1)*AJ886^INDEX(FlowCalConstB,MATCH(AH872,FlowCalNumber,0),1,1)&lt;INDEX(FlowCalHighSetting,MATCH(AH872,FlowCalNumber,0),1,1))),INDEX(FlowCalConstA,MATCH(AH872,FlowCalNumber,0),1,1)*AJ886^INDEX(FlowCalConstB,MATCH(AH872,FlowCalNumber,0),1,1)," ")</f>
        <v>#REF!</v>
      </c>
      <c r="AL886" s="33"/>
      <c r="AM886" s="242"/>
      <c r="AN886" s="241"/>
      <c r="AO886" s="244"/>
      <c r="AQ886" s="242"/>
      <c r="AR886" s="241"/>
      <c r="AS886" s="244"/>
      <c r="AT886" s="33"/>
      <c r="AU886" s="242"/>
      <c r="AV886" s="241"/>
      <c r="AW886" s="244"/>
      <c r="AX886" s="33"/>
      <c r="AY886" s="242"/>
      <c r="AZ886" s="241"/>
      <c r="BA886" s="244"/>
      <c r="BB886" s="33"/>
      <c r="BC886" s="242"/>
      <c r="BD886" s="241"/>
      <c r="BE886" s="244"/>
      <c r="BF886" s="33"/>
      <c r="BG886" s="242"/>
      <c r="BH886" s="241"/>
      <c r="BI886" s="244"/>
      <c r="BJ886" s="33"/>
      <c r="BK886" s="242"/>
      <c r="BL886" s="241"/>
      <c r="BM886" s="244"/>
      <c r="BN886" s="33"/>
      <c r="BO886" s="242"/>
      <c r="BP886" s="241"/>
      <c r="BQ886" s="244"/>
      <c r="BR886" s="33"/>
      <c r="BS886" s="242"/>
      <c r="BT886" s="241"/>
      <c r="BU886" s="244"/>
      <c r="BV886" s="33"/>
      <c r="BW886" s="242"/>
      <c r="BX886" s="241"/>
      <c r="BY886" s="244"/>
      <c r="BZ886" s="33"/>
      <c r="CA886" s="242"/>
      <c r="CB886" s="241"/>
      <c r="CC886" s="244"/>
      <c r="CD886" s="243"/>
      <c r="CE886" s="243"/>
      <c r="CF886" s="243"/>
      <c r="CG886" s="243"/>
      <c r="CH886" s="243"/>
      <c r="CI886" s="243"/>
      <c r="CJ886" s="243"/>
      <c r="CK886" s="243"/>
      <c r="CL886" s="243"/>
      <c r="CM886" s="243"/>
      <c r="CN886" s="243"/>
      <c r="CO886" s="243"/>
      <c r="CP886" s="243"/>
      <c r="CQ886" s="243"/>
      <c r="CR886" s="243"/>
      <c r="CS886" s="243"/>
      <c r="CT886" s="243"/>
      <c r="CU886" s="243"/>
      <c r="CV886" s="243"/>
      <c r="CW886" s="243"/>
      <c r="CX886" s="243"/>
      <c r="CY886" s="243"/>
      <c r="CZ886" s="243"/>
      <c r="DA886" s="243"/>
      <c r="DB886" s="243"/>
      <c r="DC886" s="243"/>
      <c r="DD886" s="243"/>
      <c r="DE886" s="243"/>
      <c r="DF886" s="243"/>
      <c r="DG886" s="243"/>
      <c r="DH886" s="243"/>
      <c r="DI886" s="243"/>
      <c r="DJ886" s="243"/>
      <c r="DK886" s="243"/>
      <c r="DM886" s="242"/>
      <c r="DO886" s="243"/>
      <c r="DQ886" s="242"/>
      <c r="DS886" s="243"/>
      <c r="DU886" s="242"/>
      <c r="DW886" s="243"/>
      <c r="DY886" s="242"/>
      <c r="EA886" s="243"/>
    </row>
    <row r="887" spans="1:131">
      <c r="A887" s="20"/>
      <c r="B887" s="124" t="str">
        <f t="shared" si="822"/>
        <v/>
      </c>
      <c r="C887" s="235"/>
      <c r="D887" s="24">
        <f>'1% Wind'!$M$96</f>
        <v>1</v>
      </c>
      <c r="E887" s="90"/>
      <c r="F887" s="90"/>
      <c r="G887" s="79" t="e">
        <f ca="1">IF(I872=0.9743,$G886,MAX(G886/D886*D887,2))</f>
        <v>#REF!</v>
      </c>
      <c r="H887" s="121" t="e">
        <f t="shared" ca="1" si="823"/>
        <v>#REF!</v>
      </c>
      <c r="J887" s="33"/>
      <c r="K887" s="242">
        <f t="shared" si="824"/>
        <v>1</v>
      </c>
      <c r="L887" s="241" t="e">
        <f t="shared" ca="1" si="825"/>
        <v>#REF!</v>
      </c>
      <c r="M887" s="243" t="e">
        <f ca="1">IF(AND(INDEX(FlowCalConstA,MATCH(J872,FlowCalNumber,0),1,1)*L887^INDEX(FlowCalConstB,MATCH(J872,FlowCalNumber,0),1,1)&gt;INDEX(FlowCalLowSetting,MATCH(J872,FlowCalNumber,0),1,1), (INDEX(FlowCalConstA,MATCH(J872,FlowCalNumber,0),1,1)*L887^INDEX(FlowCalConstB,MATCH(J872,FlowCalNumber,0),1,1)&lt;INDEX(FlowCalHighSetting,MATCH(J872,FlowCalNumber,0),1,1))),INDEX(FlowCalConstA,MATCH(J872,FlowCalNumber,0),1,1)*L887^INDEX(FlowCalConstB,MATCH(J872,FlowCalNumber,0),1,1)," ")</f>
        <v>#REF!</v>
      </c>
      <c r="N887" s="33"/>
      <c r="O887" s="242">
        <f t="shared" si="826"/>
        <v>1</v>
      </c>
      <c r="P887" s="241" t="e">
        <f t="shared" ca="1" si="827"/>
        <v>#REF!</v>
      </c>
      <c r="Q887" s="243" t="e">
        <f ca="1">IF(AND(INDEX(FlowCalConstA,MATCH(N872,FlowCalNumber,0),1,1)*P887^INDEX(FlowCalConstB,MATCH(N872,FlowCalNumber,0),1,1)&gt;INDEX(FlowCalLowSetting,MATCH(N872,FlowCalNumber,0),1,1), (INDEX(FlowCalConstA,MATCH(N872,FlowCalNumber,0),1,1)*P887^INDEX(FlowCalConstB,MATCH(N872,FlowCalNumber,0),1,1)&lt;INDEX(FlowCalHighSetting,MATCH(N872,FlowCalNumber,0),1,1))),INDEX(FlowCalConstA,MATCH(N872,FlowCalNumber,0),1,1)*P887^INDEX(FlowCalConstB,MATCH(N872,FlowCalNumber,0),1,1)," ")</f>
        <v>#REF!</v>
      </c>
      <c r="R887" s="33"/>
      <c r="S887" s="242">
        <f t="shared" si="828"/>
        <v>1</v>
      </c>
      <c r="T887" s="241" t="e">
        <f t="shared" ca="1" si="829"/>
        <v>#REF!</v>
      </c>
      <c r="U887" s="244" t="e">
        <f ca="1">IF(AND(INDEX(FlowCalConstA,MATCH(R872,FlowCalNumber,0),1,1)*T887^INDEX(FlowCalConstB,MATCH(R872,FlowCalNumber,0),1,1)&gt;INDEX(FlowCalLowSetting,MATCH(R872,FlowCalNumber,0),1,1), (INDEX(FlowCalConstA,MATCH(R872,FlowCalNumber,0),1,1)*T887^INDEX(FlowCalConstB,MATCH(R872,FlowCalNumber,0),1,1)&lt;INDEX(FlowCalHighSetting,MATCH(R872,FlowCalNumber,0),1,1))),INDEX(FlowCalConstA,MATCH(R872,FlowCalNumber,0),1,1)*T887^INDEX(FlowCalConstB,MATCH(R872,FlowCalNumber,0),1,1)," ")</f>
        <v>#REF!</v>
      </c>
      <c r="V887" s="33"/>
      <c r="W887" s="242">
        <f t="shared" si="830"/>
        <v>0.1</v>
      </c>
      <c r="X887" s="241" t="e">
        <f t="shared" ca="1" si="831"/>
        <v>#REF!</v>
      </c>
      <c r="Y887" s="243" t="e">
        <f ca="1">IF(AND(INDEX(FlowCalConstA,MATCH(V872,FlowCalNumber,0),1,1)*X887^INDEX(FlowCalConstB,MATCH(V872,FlowCalNumber,0),1,1)&gt;INDEX(FlowCalLowSetting,MATCH(V872,FlowCalNumber,0),1,1), (INDEX(FlowCalConstA,MATCH(V872,FlowCalNumber,0),1,1)*X887^INDEX(FlowCalConstB,MATCH(V872,FlowCalNumber,0),1,1)&lt;INDEX(FlowCalHighSetting,MATCH(V872,FlowCalNumber,0),1,1))),INDEX(FlowCalConstA,MATCH(V872,FlowCalNumber,0),1,1)*X887^INDEX(FlowCalConstB,MATCH(V872,FlowCalNumber,0),1,1)," ")</f>
        <v>#REF!</v>
      </c>
      <c r="Z887" s="33"/>
      <c r="AA887" s="242">
        <f t="shared" si="832"/>
        <v>0.9</v>
      </c>
      <c r="AB887" s="241" t="e">
        <f t="shared" ca="1" si="833"/>
        <v>#REF!</v>
      </c>
      <c r="AC887" s="243" t="e">
        <f ca="1">IF(AND(INDEX(FlowCalConstA,MATCH(Z872,FlowCalNumber,0),1,1)*AB887^INDEX(FlowCalConstB,MATCH(Z872,FlowCalNumber,0),1,1)&gt;INDEX(FlowCalLowSetting,MATCH(Z872,FlowCalNumber,0),1,1), (INDEX(FlowCalConstA,MATCH(Z872,FlowCalNumber,0),1,1)*AB887^INDEX(FlowCalConstB,MATCH(Z872,FlowCalNumber,0),1,1)&lt;INDEX(FlowCalHighSetting,MATCH(Z872,FlowCalNumber,0),1,1))),INDEX(FlowCalConstA,MATCH(Z872,FlowCalNumber,0),1,1)*AB887^INDEX(FlowCalConstB,MATCH(Z872,FlowCalNumber,0),1,1)," ")</f>
        <v>#REF!</v>
      </c>
      <c r="AD887" s="33"/>
      <c r="AE887" s="242">
        <f t="shared" si="834"/>
        <v>0.1</v>
      </c>
      <c r="AF887" s="241" t="e">
        <f t="shared" ca="1" si="835"/>
        <v>#REF!</v>
      </c>
      <c r="AG887" s="243" t="e">
        <f ca="1">IF(AND(INDEX(FlowCalConstA,MATCH(AD872,FlowCalNumber,0),1,1)*AF887^INDEX(FlowCalConstB,MATCH(AD872,FlowCalNumber,0),1,1)&gt;INDEX(FlowCalLowSetting,MATCH(AD872,FlowCalNumber,0),1,1), (INDEX(FlowCalConstA,MATCH(AD872,FlowCalNumber,0),1,1)*AF887^INDEX(FlowCalConstB,MATCH(AD872,FlowCalNumber,0),1,1)&lt;INDEX(FlowCalHighSetting,MATCH(AD872,FlowCalNumber,0),1,1))),INDEX(FlowCalConstA,MATCH(AD872,FlowCalNumber,0),1,1)*AF887^INDEX(FlowCalConstB,MATCH(AD872,FlowCalNumber,0),1,1)," ")</f>
        <v>#REF!</v>
      </c>
      <c r="AH887" s="33"/>
      <c r="AI887" s="242">
        <f t="shared" si="836"/>
        <v>0.9</v>
      </c>
      <c r="AJ887" s="241" t="e">
        <f t="shared" ca="1" si="837"/>
        <v>#REF!</v>
      </c>
      <c r="AK887" s="243" t="e">
        <f ca="1">IF(AND(INDEX(FlowCalConstA,MATCH(AH872,FlowCalNumber,0),1,1)*AJ887^INDEX(FlowCalConstB,MATCH(AH872,FlowCalNumber,0),1,1)&gt;INDEX(FlowCalLowSetting,MATCH(AH872,FlowCalNumber,0),1,1), (INDEX(FlowCalConstA,MATCH(AH872,FlowCalNumber,0),1,1)*AJ887^INDEX(FlowCalConstB,MATCH(AH872,FlowCalNumber,0),1,1)&lt;INDEX(FlowCalHighSetting,MATCH(AH872,FlowCalNumber,0),1,1))),INDEX(FlowCalConstA,MATCH(AH872,FlowCalNumber,0),1,1)*AJ887^INDEX(FlowCalConstB,MATCH(AH872,FlowCalNumber,0),1,1)," ")</f>
        <v>#REF!</v>
      </c>
      <c r="AL887" s="33"/>
      <c r="AM887" s="242"/>
      <c r="AN887" s="241"/>
      <c r="AO887" s="244"/>
      <c r="AQ887" s="242"/>
      <c r="AR887" s="241"/>
      <c r="AS887" s="244"/>
      <c r="AT887" s="33"/>
      <c r="AU887" s="242"/>
      <c r="AV887" s="241"/>
      <c r="AW887" s="244"/>
      <c r="AX887" s="33"/>
      <c r="AY887" s="242"/>
      <c r="AZ887" s="241"/>
      <c r="BA887" s="244"/>
      <c r="BB887" s="33"/>
      <c r="BC887" s="242"/>
      <c r="BD887" s="241"/>
      <c r="BE887" s="244"/>
      <c r="BF887" s="33"/>
      <c r="BG887" s="242"/>
      <c r="BH887" s="241"/>
      <c r="BI887" s="244"/>
      <c r="BJ887" s="33"/>
      <c r="BK887" s="242"/>
      <c r="BL887" s="241"/>
      <c r="BM887" s="244"/>
      <c r="BN887" s="33"/>
      <c r="BO887" s="242"/>
      <c r="BP887" s="241"/>
      <c r="BQ887" s="244"/>
      <c r="BR887" s="33"/>
      <c r="BS887" s="242"/>
      <c r="BT887" s="241"/>
      <c r="BU887" s="244"/>
      <c r="BV887" s="33"/>
      <c r="BW887" s="242"/>
      <c r="BX887" s="241"/>
      <c r="BY887" s="244"/>
      <c r="BZ887" s="33"/>
      <c r="CA887" s="242"/>
      <c r="CB887" s="241"/>
      <c r="CC887" s="244"/>
      <c r="CD887" s="243"/>
      <c r="CE887" s="243"/>
      <c r="CF887" s="243"/>
      <c r="CG887" s="243"/>
      <c r="CH887" s="243"/>
      <c r="CI887" s="243"/>
      <c r="CJ887" s="243"/>
      <c r="CK887" s="243"/>
      <c r="CL887" s="243"/>
      <c r="CM887" s="243"/>
      <c r="CN887" s="243"/>
      <c r="CO887" s="243"/>
      <c r="CP887" s="243"/>
      <c r="CQ887" s="243"/>
      <c r="CR887" s="243"/>
      <c r="CS887" s="243"/>
      <c r="CT887" s="243"/>
      <c r="CU887" s="243"/>
      <c r="CV887" s="243"/>
      <c r="CW887" s="243"/>
      <c r="CX887" s="243"/>
      <c r="CY887" s="243"/>
      <c r="CZ887" s="243"/>
      <c r="DA887" s="243"/>
      <c r="DB887" s="243"/>
      <c r="DC887" s="243"/>
      <c r="DD887" s="243"/>
      <c r="DE887" s="243"/>
      <c r="DF887" s="243"/>
      <c r="DG887" s="243"/>
      <c r="DH887" s="243"/>
      <c r="DI887" s="243"/>
      <c r="DJ887" s="243"/>
      <c r="DK887" s="243"/>
      <c r="DM887" s="242"/>
      <c r="DO887" s="243"/>
      <c r="DQ887" s="242"/>
      <c r="DS887" s="243"/>
      <c r="DU887" s="242"/>
      <c r="DW887" s="243"/>
      <c r="DY887" s="242"/>
      <c r="EA887" s="243"/>
    </row>
    <row r="888" spans="1:131">
      <c r="A888" s="33"/>
      <c r="B888" s="33"/>
      <c r="C888" s="235"/>
      <c r="E888" s="90"/>
      <c r="F888" s="90"/>
      <c r="G888" s="33"/>
      <c r="J888" s="33"/>
      <c r="N888" s="33"/>
      <c r="Q888" s="243"/>
      <c r="R888" s="33"/>
      <c r="U888" s="244"/>
      <c r="V888" s="33"/>
      <c r="Y888" s="243"/>
      <c r="Z888" s="33"/>
      <c r="AC888" s="243"/>
      <c r="AD888" s="33"/>
      <c r="AG888" s="243"/>
      <c r="AH888" s="33"/>
      <c r="AK888" s="244"/>
      <c r="AL888" s="792"/>
      <c r="AM888" s="243"/>
      <c r="AN888" s="243"/>
      <c r="AO888" s="244"/>
      <c r="AP888" s="243"/>
      <c r="AQ888" s="243"/>
      <c r="AR888" s="243"/>
      <c r="AS888" s="244"/>
      <c r="AT888" s="243"/>
      <c r="AU888" s="243"/>
      <c r="AV888" s="243"/>
      <c r="AW888" s="244"/>
      <c r="AX888" s="243"/>
      <c r="AY888" s="243"/>
      <c r="AZ888" s="243"/>
      <c r="BA888" s="244"/>
      <c r="BB888" s="33"/>
      <c r="BE888" s="244"/>
      <c r="BF888" s="33"/>
      <c r="BI888" s="244"/>
      <c r="BJ888" s="33"/>
      <c r="BM888" s="244"/>
      <c r="BN888" s="243"/>
      <c r="BO888" s="243"/>
      <c r="BP888" s="243"/>
      <c r="BQ888" s="244"/>
      <c r="BR888" s="792"/>
      <c r="BS888" s="243"/>
      <c r="BT888" s="243"/>
      <c r="BU888" s="244"/>
      <c r="BV888" s="792"/>
      <c r="BW888" s="243"/>
      <c r="BX888" s="243"/>
      <c r="BY888" s="244"/>
      <c r="BZ888" s="792"/>
      <c r="CA888" s="243"/>
      <c r="CB888" s="243"/>
      <c r="CC888" s="244"/>
      <c r="CD888" s="243"/>
      <c r="CE888" s="243"/>
      <c r="CF888" s="243"/>
      <c r="CG888" s="243"/>
      <c r="CH888" s="243"/>
      <c r="CI888" s="243"/>
      <c r="CJ888" s="243"/>
      <c r="CK888" s="243"/>
      <c r="CL888" s="243"/>
      <c r="CM888" s="243"/>
      <c r="CN888" s="243"/>
      <c r="CO888" s="243"/>
      <c r="CP888" s="243"/>
      <c r="CQ888" s="243"/>
      <c r="CR888" s="243"/>
      <c r="CS888" s="243"/>
      <c r="CT888" s="243"/>
      <c r="CU888" s="243"/>
      <c r="CV888" s="243"/>
      <c r="CW888" s="243"/>
      <c r="CX888" s="243"/>
      <c r="CY888" s="243"/>
      <c r="CZ888" s="243"/>
      <c r="DA888" s="243"/>
      <c r="DB888" s="243"/>
      <c r="DC888" s="243"/>
      <c r="DD888" s="243"/>
      <c r="DE888" s="243"/>
      <c r="DF888" s="243"/>
      <c r="DG888" s="243"/>
      <c r="DH888" s="243"/>
      <c r="DI888" s="243"/>
      <c r="DJ888" s="243"/>
      <c r="DK888" s="243"/>
      <c r="DO888" s="243"/>
      <c r="DS888" s="243"/>
      <c r="DW888" s="243"/>
      <c r="EA888" s="243"/>
    </row>
    <row r="889" spans="1:131">
      <c r="A889" s="256" t="str">
        <f>IF((RIGHT(A872,1))&lt;&gt;"Z",CHAR(CODE(A872))&amp;CHAR(CODE(RIGHT(A872,1))+1),CHAR(CODE(A872)+1)&amp;"A")</f>
        <v>BZ</v>
      </c>
      <c r="B889" s="270" t="e">
        <f>INDEX(SourceID,MATCH($A889,SourceNumber,0),1,1)</f>
        <v>#N/A</v>
      </c>
      <c r="C889" s="354" t="e">
        <f>INDEX(SourceExitDiameter,MATCH($A889,SourceNumber,0),1,1)*3.28*12</f>
        <v>#N/A</v>
      </c>
      <c r="D889" s="24" t="str">
        <f>UAnem1percent</f>
        <v>1% Wind</v>
      </c>
      <c r="E889" s="350" t="e">
        <f ca="1">INDIRECT(ADDRESS(53,6,1,,CONCATENATE("TA",$A889)))</f>
        <v>#REF!</v>
      </c>
      <c r="F889" s="625" t="e">
        <f ca="1">(ROUND((INDIRECT(ADDRESS(15,7,1,,CONCATENATE("TA",$A889)))*3.28*12*32),0)&amp;"/32")</f>
        <v>#REF!</v>
      </c>
      <c r="G889" s="125" t="e">
        <f ca="1">INDIRECT(ADDRESS(29,7,1,,$A889))</f>
        <v>#REF!</v>
      </c>
      <c r="H889" s="24" t="e">
        <f ca="1">INDIRECT(ADDRESS(19,7,1,,$A889))*100^3</f>
        <v>#REF!</v>
      </c>
      <c r="I889" s="941" t="e">
        <f ca="1">INDIRECT(ADDRESS(53,7,1,,$A889))</f>
        <v>#REF!</v>
      </c>
      <c r="J889" s="20" t="e">
        <f ca="1">IF($I889=$I$6,K$16&amp;$G$6&amp;J$6,IF($I889=$I$7,K$16&amp;$G$7&amp;J$7,"Bad"))</f>
        <v>#REF!</v>
      </c>
      <c r="K889" t="e">
        <f ca="1">INDEX(FlowCalGasMixture,MATCH(J889,FlowCalNumber,0),1,1)</f>
        <v>#REF!</v>
      </c>
      <c r="M889" s="944" t="e">
        <f ca="1">INDEX(FlowCalDevice,MATCH(J889,FlowCalNumber,0),1,1)</f>
        <v>#REF!</v>
      </c>
      <c r="N889" s="943" t="e">
        <f ca="1">IF($I889=$I$6,O$16&amp;$G$6&amp;"90"&amp;$H$6&amp;N$6,IF($I889=$I$7,O$16&amp;$G$7&amp;"90"&amp;$H$7&amp;N$7,"Bad"))</f>
        <v>#REF!</v>
      </c>
      <c r="O889" t="e">
        <f ca="1">INDEX(FlowCalGasMixture,MATCH(N889,FlowCalNumber,0),1,1)</f>
        <v>#REF!</v>
      </c>
      <c r="Q889" s="944" t="e">
        <f ca="1">INDEX(FlowCalDevice,MATCH(N889,FlowCalNumber,0),1,1)</f>
        <v>#REF!</v>
      </c>
      <c r="R889" s="943" t="e">
        <f ca="1">IF($I889=$I$6,S$16&amp;$G$6&amp;"90"&amp;$H$6&amp;R$6,IF($I889=$I$7,S$16&amp;$G$7&amp;"90"&amp;$H$7&amp;R$7,"Bad"))</f>
        <v>#REF!</v>
      </c>
      <c r="S889" t="e">
        <f ca="1">INDEX(FlowCalGasMixture,MATCH(R889,FlowCalNumber,0),1,1)</f>
        <v>#REF!</v>
      </c>
      <c r="U889" s="944" t="e">
        <f ca="1">INDEX(FlowCalDevice,MATCH(R889,FlowCalNumber,0),1,1)</f>
        <v>#REF!</v>
      </c>
      <c r="V889" s="20" t="e">
        <f ca="1">IF($I889=$I$6,W$16&amp;$G$6&amp;V$6,IF($I889=$I$7,W$16&amp;$G$7&amp;V$7,"Bad"))</f>
        <v>#REF!</v>
      </c>
      <c r="W889" t="e">
        <f ca="1">INDEX(FlowCalGasMixture,MATCH(V889,FlowCalNumber,0),1,1)</f>
        <v>#REF!</v>
      </c>
      <c r="Y889" s="944" t="e">
        <f ca="1">INDEX(FlowCalDevice,MATCH(V889,FlowCalNumber,0),1,1)</f>
        <v>#REF!</v>
      </c>
      <c r="Z889" s="946" t="e">
        <f ca="1">IF($I889=$I$6,AA$18&amp;$H$6&amp;Z$6,IF($I889=$I$7,AA$18&amp;$H$7&amp;Z$7,"Bad"))</f>
        <v>#REF!</v>
      </c>
      <c r="AA889" t="e">
        <f ca="1">INDEX(FlowCalGasMixture,MATCH(Z889,FlowCalNumber,0),1,1)</f>
        <v>#REF!</v>
      </c>
      <c r="AC889" s="944" t="e">
        <f ca="1">INDEX(FlowCalDevice,MATCH(Z889,FlowCalNumber,0),1,1)</f>
        <v>#REF!</v>
      </c>
      <c r="AD889" s="20" t="e">
        <f ca="1">IF($I889=$I$6,AE$16&amp;$G$6&amp;AD$6,IF($I889=$I$7,AE$16&amp;$G$7&amp;AD$7,"Bad"))</f>
        <v>#REF!</v>
      </c>
      <c r="AE889" t="e">
        <f ca="1">INDEX(FlowCalGasMixture,MATCH(AD889,FlowCalNumber,0),1,1)</f>
        <v>#REF!</v>
      </c>
      <c r="AG889" s="944" t="e">
        <f ca="1">INDEX(FlowCalDevice,MATCH(AD889,FlowCalNumber,0),1,1)</f>
        <v>#REF!</v>
      </c>
      <c r="AH889" s="946" t="e">
        <f ca="1">IF($I889=$I$6,AI$18&amp;$H$6&amp;AH$6,IF($I889=$I$7,AI$18&amp;$H$7&amp;AH$7,"Bad"))</f>
        <v>#REF!</v>
      </c>
      <c r="AI889" t="e">
        <f ca="1">INDEX(FlowCalGasMixture,MATCH(AH889,FlowCalNumber,0),1,1)</f>
        <v>#REF!</v>
      </c>
      <c r="AK889" s="944" t="e">
        <f ca="1">INDEX(FlowCalDevice,MATCH(AH889,FlowCalNumber,0),1,1)</f>
        <v>#REF!</v>
      </c>
      <c r="AL889" s="20"/>
      <c r="AO889" s="982"/>
      <c r="AP889" s="960"/>
      <c r="AS889" s="982"/>
      <c r="AT889" s="20"/>
      <c r="AW889" s="982"/>
      <c r="AX889" s="946"/>
      <c r="BA889" s="982"/>
      <c r="BB889" s="20"/>
      <c r="BC889" s="16"/>
      <c r="BE889" s="982"/>
      <c r="BF889" s="946"/>
      <c r="BG889" s="16"/>
      <c r="BI889" s="982"/>
      <c r="BJ889" s="946"/>
      <c r="BK889" s="16"/>
      <c r="BM889" s="982"/>
      <c r="BN889" s="20"/>
      <c r="BO889" s="16"/>
      <c r="BQ889" s="982"/>
      <c r="BR889" s="946"/>
      <c r="BS889" s="16"/>
      <c r="BU889" s="982"/>
      <c r="BV889" s="946"/>
      <c r="BW889" s="16"/>
      <c r="BY889" s="982"/>
      <c r="BZ889" s="946"/>
      <c r="CA889" s="16"/>
      <c r="CC889" s="982"/>
      <c r="CD889" s="355"/>
      <c r="CE889" s="355"/>
      <c r="CF889" s="355"/>
      <c r="CG889" s="355"/>
      <c r="CH889" s="355"/>
      <c r="CI889" s="355"/>
      <c r="CJ889" s="355"/>
      <c r="CK889" s="355"/>
      <c r="CL889" s="355"/>
      <c r="CM889" s="355"/>
      <c r="CN889" s="355"/>
      <c r="CO889" s="355"/>
      <c r="CP889" s="355"/>
      <c r="CQ889" s="355"/>
      <c r="CR889" s="355"/>
      <c r="CS889" s="355"/>
      <c r="CT889" s="355"/>
      <c r="CU889" s="355"/>
      <c r="CV889" s="355"/>
      <c r="CW889" s="355"/>
      <c r="CX889" s="355"/>
      <c r="CY889" s="355"/>
      <c r="CZ889" s="355"/>
      <c r="DA889" s="355"/>
      <c r="DB889" s="355"/>
      <c r="DC889" s="355"/>
      <c r="DD889" s="355"/>
      <c r="DE889" s="355"/>
      <c r="DF889" s="355"/>
      <c r="DG889" s="355"/>
      <c r="DH889" s="355"/>
      <c r="DI889" s="355"/>
      <c r="DJ889" s="355"/>
      <c r="DK889" s="355"/>
      <c r="DL889" s="46"/>
      <c r="DM889" s="16"/>
      <c r="DO889" s="355"/>
      <c r="DP889" s="42"/>
      <c r="DQ889" s="16"/>
      <c r="DS889" s="355"/>
      <c r="DT889" s="42"/>
      <c r="DU889" s="16"/>
      <c r="DW889" s="355"/>
      <c r="DX889" s="42"/>
      <c r="DY889" s="16"/>
      <c r="EA889" s="355"/>
    </row>
    <row r="890" spans="1:131">
      <c r="A890" s="20"/>
      <c r="B890" s="124" t="str">
        <f t="shared" ref="B890:B904" si="838">IF(D890=UAnem1percent,"1% Wind","")</f>
        <v/>
      </c>
      <c r="C890" s="235"/>
      <c r="D890" s="24">
        <f>'1% Wind'!$M$82</f>
        <v>27</v>
      </c>
      <c r="E890" s="90"/>
      <c r="F890" s="90"/>
      <c r="G890" s="79" t="e">
        <f ca="1">IF(I889=0.9743,$G889,MAX(G889/D889*D890,2))</f>
        <v>#REF!</v>
      </c>
      <c r="H890" s="121" t="e">
        <f t="shared" ref="H890:H904" ca="1" si="839">H889*(D889/D890)*(G890/G889)</f>
        <v>#REF!</v>
      </c>
      <c r="J890" s="33"/>
      <c r="K890" s="260">
        <f>K$17/100</f>
        <v>1</v>
      </c>
      <c r="L890" s="241" t="e">
        <f ca="1">K890*$H890</f>
        <v>#REF!</v>
      </c>
      <c r="M890" s="243" t="e">
        <f ca="1">IF(AND(INDEX(FlowCalConstA,MATCH(J889,FlowCalNumber,0),1,1)*L890^INDEX(FlowCalConstB,MATCH(J889,FlowCalNumber,0),1,1)&gt;INDEX(FlowCalLowSetting,MATCH(J889,FlowCalNumber,0),1,1), (INDEX(FlowCalConstA,MATCH(J889,FlowCalNumber,0),1,1)*L890^INDEX(FlowCalConstB,MATCH(J889,FlowCalNumber,0),1,1)&lt;INDEX(FlowCalHighSetting,MATCH(J889,FlowCalNumber,0),1,1))),INDEX(FlowCalConstA,MATCH(J889,FlowCalNumber,0),1,1)*L890^INDEX(FlowCalConstB,MATCH(J889,FlowCalNumber,0),1,1)," ")</f>
        <v>#REF!</v>
      </c>
      <c r="N890" s="33"/>
      <c r="O890" s="260">
        <f>O$17/100</f>
        <v>1</v>
      </c>
      <c r="P890" s="241" t="e">
        <f ca="1">O890*$H890</f>
        <v>#REF!</v>
      </c>
      <c r="Q890" s="243" t="e">
        <f ca="1">IF(AND(INDEX(FlowCalConstA,MATCH(N889,FlowCalNumber,0),1,1)*P890^INDEX(FlowCalConstB,MATCH(N889,FlowCalNumber,0),1,1)&gt;INDEX(FlowCalLowSetting,MATCH(N889,FlowCalNumber,0),1,1), (INDEX(FlowCalConstA,MATCH(N889,FlowCalNumber,0),1,1)*P890^INDEX(FlowCalConstB,MATCH(N889,FlowCalNumber,0),1,1)&lt;INDEX(FlowCalHighSetting,MATCH(N889,FlowCalNumber,0),1,1))),INDEX(FlowCalConstA,MATCH(N889,FlowCalNumber,0),1,1)*P890^INDEX(FlowCalConstB,MATCH(N889,FlowCalNumber,0),1,1)," ")</f>
        <v>#REF!</v>
      </c>
      <c r="R890" s="33"/>
      <c r="S890" s="260">
        <f>S$17/100</f>
        <v>1</v>
      </c>
      <c r="T890" s="241" t="e">
        <f ca="1">S890*$H890</f>
        <v>#REF!</v>
      </c>
      <c r="U890" s="244" t="e">
        <f ca="1">IF(AND(INDEX(FlowCalConstA,MATCH(R889,FlowCalNumber,0),1,1)*T890^INDEX(FlowCalConstB,MATCH(R889,FlowCalNumber,0),1,1)&gt;INDEX(FlowCalLowSetting,MATCH(R889,FlowCalNumber,0),1,1), (INDEX(FlowCalConstA,MATCH(R889,FlowCalNumber,0),1,1)*T890^INDEX(FlowCalConstB,MATCH(R889,FlowCalNumber,0),1,1)&lt;INDEX(FlowCalHighSetting,MATCH(R889,FlowCalNumber,0),1,1))),INDEX(FlowCalConstA,MATCH(R889,FlowCalNumber,0),1,1)*T890^INDEX(FlowCalConstB,MATCH(R889,FlowCalNumber,0),1,1)," ")</f>
        <v>#REF!</v>
      </c>
      <c r="V890" s="33"/>
      <c r="W890" s="260">
        <f>W$17/100</f>
        <v>0.1</v>
      </c>
      <c r="X890" s="241" t="e">
        <f ca="1">W890*$H890</f>
        <v>#REF!</v>
      </c>
      <c r="Y890" s="243" t="e">
        <f ca="1">IF(AND(INDEX(FlowCalConstA,MATCH(V889,FlowCalNumber,0),1,1)*X890^INDEX(FlowCalConstB,MATCH(V889,FlowCalNumber,0),1,1)&gt;INDEX(FlowCalLowSetting,MATCH(V889,FlowCalNumber,0),1,1), (INDEX(FlowCalConstA,MATCH(V889,FlowCalNumber,0),1,1)*X890^INDEX(FlowCalConstB,MATCH(V889,FlowCalNumber,0),1,1)&lt;INDEX(FlowCalHighSetting,MATCH(V889,FlowCalNumber,0),1,1))),INDEX(FlowCalConstA,MATCH(V889,FlowCalNumber,0),1,1)*X890^INDEX(FlowCalConstB,MATCH(V889,FlowCalNumber,0),1,1)," ")</f>
        <v>#REF!</v>
      </c>
      <c r="Z890" s="33"/>
      <c r="AA890" s="260">
        <f>AA$17/100</f>
        <v>0.9</v>
      </c>
      <c r="AB890" s="241" t="e">
        <f ca="1">AA890*$H890</f>
        <v>#REF!</v>
      </c>
      <c r="AC890" s="243" t="e">
        <f ca="1">IF(AND(INDEX(FlowCalConstA,MATCH(Z889,FlowCalNumber,0),1,1)*AB890^INDEX(FlowCalConstB,MATCH(Z889,FlowCalNumber,0),1,1)&gt;INDEX(FlowCalLowSetting,MATCH(Z889,FlowCalNumber,0),1,1), (INDEX(FlowCalConstA,MATCH(Z889,FlowCalNumber,0),1,1)*AB890^INDEX(FlowCalConstB,MATCH(Z889,FlowCalNumber,0),1,1)&lt;INDEX(FlowCalHighSetting,MATCH(Z889,FlowCalNumber,0),1,1))),INDEX(FlowCalConstA,MATCH(Z889,FlowCalNumber,0),1,1)*AB890^INDEX(FlowCalConstB,MATCH(Z889,FlowCalNumber,0),1,1)," ")</f>
        <v>#REF!</v>
      </c>
      <c r="AD890" s="33"/>
      <c r="AE890" s="260">
        <f>AE$17/100</f>
        <v>0.1</v>
      </c>
      <c r="AF890" s="241" t="e">
        <f ca="1">AE890*$H890</f>
        <v>#REF!</v>
      </c>
      <c r="AG890" s="243" t="e">
        <f ca="1">IF(AND(INDEX(FlowCalConstA,MATCH(AD889,FlowCalNumber,0),1,1)*AF890^INDEX(FlowCalConstB,MATCH(AD889,FlowCalNumber,0),1,1)&gt;INDEX(FlowCalLowSetting,MATCH(AD889,FlowCalNumber,0),1,1), (INDEX(FlowCalConstA,MATCH(AD889,FlowCalNumber,0),1,1)*AF890^INDEX(FlowCalConstB,MATCH(AD889,FlowCalNumber,0),1,1)&lt;INDEX(FlowCalHighSetting,MATCH(AD889,FlowCalNumber,0),1,1))),INDEX(FlowCalConstA,MATCH(AD889,FlowCalNumber,0),1,1)*AF890^INDEX(FlowCalConstB,MATCH(AD889,FlowCalNumber,0),1,1)," ")</f>
        <v>#REF!</v>
      </c>
      <c r="AH890" s="33"/>
      <c r="AI890" s="260">
        <f>AI$17/100</f>
        <v>0.9</v>
      </c>
      <c r="AJ890" s="241" t="e">
        <f ca="1">AI890*$H890</f>
        <v>#REF!</v>
      </c>
      <c r="AK890" s="243" t="e">
        <f ca="1">IF(AND(INDEX(FlowCalConstA,MATCH(AH889,FlowCalNumber,0),1,1)*AJ890^INDEX(FlowCalConstB,MATCH(AH889,FlowCalNumber,0),1,1)&gt;INDEX(FlowCalLowSetting,MATCH(AH889,FlowCalNumber,0),1,1), (INDEX(FlowCalConstA,MATCH(AH889,FlowCalNumber,0),1,1)*AJ890^INDEX(FlowCalConstB,MATCH(AH889,FlowCalNumber,0),1,1)&lt;INDEX(FlowCalHighSetting,MATCH(AH889,FlowCalNumber,0),1,1))),INDEX(FlowCalConstA,MATCH(AH889,FlowCalNumber,0),1,1)*AJ890^INDEX(FlowCalConstB,MATCH(AH889,FlowCalNumber,0),1,1)," ")</f>
        <v>#REF!</v>
      </c>
      <c r="AL890" s="33"/>
      <c r="AM890" s="260"/>
      <c r="AN890" s="241"/>
      <c r="AO890" s="244"/>
      <c r="AQ890" s="260"/>
      <c r="AR890" s="241"/>
      <c r="AS890" s="244"/>
      <c r="AT890" s="33"/>
      <c r="AU890" s="260"/>
      <c r="AV890" s="241"/>
      <c r="AW890" s="244"/>
      <c r="AX890" s="33"/>
      <c r="AY890" s="260"/>
      <c r="AZ890" s="241"/>
      <c r="BA890" s="244"/>
      <c r="BB890" s="33"/>
      <c r="BC890" s="260"/>
      <c r="BD890" s="241"/>
      <c r="BE890" s="244"/>
      <c r="BF890" s="33"/>
      <c r="BG890" s="260"/>
      <c r="BH890" s="241"/>
      <c r="BI890" s="244"/>
      <c r="BJ890" s="33"/>
      <c r="BK890" s="260"/>
      <c r="BL890" s="241"/>
      <c r="BM890" s="244"/>
      <c r="BN890" s="33"/>
      <c r="BO890" s="260"/>
      <c r="BP890" s="241"/>
      <c r="BQ890" s="244"/>
      <c r="BR890" s="33"/>
      <c r="BS890" s="260"/>
      <c r="BT890" s="241"/>
      <c r="BU890" s="244"/>
      <c r="BV890" s="33"/>
      <c r="BW890" s="260"/>
      <c r="BX890" s="241"/>
      <c r="BY890" s="244"/>
      <c r="BZ890" s="33"/>
      <c r="CA890" s="260"/>
      <c r="CB890" s="241"/>
      <c r="CC890" s="244"/>
      <c r="CD890" s="243"/>
      <c r="CE890" s="243"/>
      <c r="CF890" s="243"/>
      <c r="CG890" s="243"/>
      <c r="CH890" s="243"/>
      <c r="CI890" s="243"/>
      <c r="CJ890" s="243"/>
      <c r="CK890" s="243"/>
      <c r="CL890" s="243"/>
      <c r="CM890" s="243"/>
      <c r="CN890" s="243"/>
      <c r="CO890" s="243"/>
      <c r="CP890" s="243"/>
      <c r="CQ890" s="243"/>
      <c r="CR890" s="243"/>
      <c r="CS890" s="243"/>
      <c r="CT890" s="243"/>
      <c r="CU890" s="243"/>
      <c r="CV890" s="243"/>
      <c r="CW890" s="243"/>
      <c r="CX890" s="243"/>
      <c r="CY890" s="243"/>
      <c r="CZ890" s="243"/>
      <c r="DA890" s="243"/>
      <c r="DB890" s="243"/>
      <c r="DC890" s="243"/>
      <c r="DD890" s="243"/>
      <c r="DE890" s="243"/>
      <c r="DF890" s="243"/>
      <c r="DG890" s="243"/>
      <c r="DH890" s="243"/>
      <c r="DI890" s="243"/>
      <c r="DJ890" s="243"/>
      <c r="DK890" s="243"/>
      <c r="DM890" s="259"/>
      <c r="DO890" s="243"/>
      <c r="DQ890" s="259"/>
      <c r="DS890" s="243"/>
      <c r="DU890" s="259"/>
      <c r="DW890" s="243"/>
      <c r="DY890" s="260"/>
      <c r="EA890" s="243"/>
    </row>
    <row r="891" spans="1:131">
      <c r="A891" s="20"/>
      <c r="B891" s="124" t="str">
        <f t="shared" si="838"/>
        <v/>
      </c>
      <c r="C891" s="235"/>
      <c r="D891" s="24">
        <f>'1% Wind'!$M$83</f>
        <v>23.5</v>
      </c>
      <c r="E891" s="90"/>
      <c r="F891" s="90"/>
      <c r="G891" s="79" t="e">
        <f ca="1">IF(I889=0.9743,$G890,MAX(G890/D890*D891,2))</f>
        <v>#REF!</v>
      </c>
      <c r="H891" s="121" t="e">
        <f t="shared" ca="1" si="839"/>
        <v>#REF!</v>
      </c>
      <c r="J891" s="33"/>
      <c r="K891" s="242">
        <f t="shared" ref="K891:K904" si="840">K890</f>
        <v>1</v>
      </c>
      <c r="L891" s="241" t="e">
        <f t="shared" ref="L891:L904" ca="1" si="841">K891*$H891</f>
        <v>#REF!</v>
      </c>
      <c r="M891" s="243" t="e">
        <f ca="1">IF(AND(INDEX(FlowCalConstA,MATCH(J889,FlowCalNumber,0),1,1)*L891^INDEX(FlowCalConstB,MATCH(J889,FlowCalNumber,0),1,1)&gt;INDEX(FlowCalLowSetting,MATCH(J889,FlowCalNumber,0),1,1), (INDEX(FlowCalConstA,MATCH(J889,FlowCalNumber,0),1,1)*L891^INDEX(FlowCalConstB,MATCH(J889,FlowCalNumber,0),1,1)&lt;INDEX(FlowCalHighSetting,MATCH(J889,FlowCalNumber,0),1,1))),INDEX(FlowCalConstA,MATCH(J889,FlowCalNumber,0),1,1)*L891^INDEX(FlowCalConstB,MATCH(J889,FlowCalNumber,0),1,1)," ")</f>
        <v>#REF!</v>
      </c>
      <c r="N891" s="33"/>
      <c r="O891" s="242">
        <f t="shared" ref="O891:O904" si="842">O890</f>
        <v>1</v>
      </c>
      <c r="P891" s="241" t="e">
        <f t="shared" ref="P891:P904" ca="1" si="843">O891*$H891</f>
        <v>#REF!</v>
      </c>
      <c r="Q891" s="243" t="e">
        <f ca="1">IF(AND(INDEX(FlowCalConstA,MATCH(N889,FlowCalNumber,0),1,1)*P891^INDEX(FlowCalConstB,MATCH(N889,FlowCalNumber,0),1,1)&gt;INDEX(FlowCalLowSetting,MATCH(N889,FlowCalNumber,0),1,1), (INDEX(FlowCalConstA,MATCH(N889,FlowCalNumber,0),1,1)*P891^INDEX(FlowCalConstB,MATCH(N889,FlowCalNumber,0),1,1)&lt;INDEX(FlowCalHighSetting,MATCH(N889,FlowCalNumber,0),1,1))),INDEX(FlowCalConstA,MATCH(N889,FlowCalNumber,0),1,1)*P891^INDEX(FlowCalConstB,MATCH(N889,FlowCalNumber,0),1,1)," ")</f>
        <v>#REF!</v>
      </c>
      <c r="R891" s="33"/>
      <c r="S891" s="242">
        <f t="shared" ref="S891:S904" si="844">S890</f>
        <v>1</v>
      </c>
      <c r="T891" s="241" t="e">
        <f t="shared" ref="T891:T904" ca="1" si="845">S891*$H891</f>
        <v>#REF!</v>
      </c>
      <c r="U891" s="244" t="e">
        <f ca="1">IF(AND(INDEX(FlowCalConstA,MATCH(R889,FlowCalNumber,0),1,1)*T891^INDEX(FlowCalConstB,MATCH(R889,FlowCalNumber,0),1,1)&gt;INDEX(FlowCalLowSetting,MATCH(R889,FlowCalNumber,0),1,1), (INDEX(FlowCalConstA,MATCH(R889,FlowCalNumber,0),1,1)*T891^INDEX(FlowCalConstB,MATCH(R889,FlowCalNumber,0),1,1)&lt;INDEX(FlowCalHighSetting,MATCH(R889,FlowCalNumber,0),1,1))),INDEX(FlowCalConstA,MATCH(R889,FlowCalNumber,0),1,1)*T891^INDEX(FlowCalConstB,MATCH(R889,FlowCalNumber,0),1,1)," ")</f>
        <v>#REF!</v>
      </c>
      <c r="V891" s="33"/>
      <c r="W891" s="242">
        <f t="shared" ref="W891:W904" si="846">W890</f>
        <v>0.1</v>
      </c>
      <c r="X891" s="241" t="e">
        <f t="shared" ref="X891:X904" ca="1" si="847">W891*$H891</f>
        <v>#REF!</v>
      </c>
      <c r="Y891" s="243" t="e">
        <f ca="1">IF(AND(INDEX(FlowCalConstA,MATCH(V889,FlowCalNumber,0),1,1)*X891^INDEX(FlowCalConstB,MATCH(V889,FlowCalNumber,0),1,1)&gt;INDEX(FlowCalLowSetting,MATCH(V889,FlowCalNumber,0),1,1), (INDEX(FlowCalConstA,MATCH(V889,FlowCalNumber,0),1,1)*X891^INDEX(FlowCalConstB,MATCH(V889,FlowCalNumber,0),1,1)&lt;INDEX(FlowCalHighSetting,MATCH(V889,FlowCalNumber,0),1,1))),INDEX(FlowCalConstA,MATCH(V889,FlowCalNumber,0),1,1)*X891^INDEX(FlowCalConstB,MATCH(V889,FlowCalNumber,0),1,1)," ")</f>
        <v>#REF!</v>
      </c>
      <c r="Z891" s="33"/>
      <c r="AA891" s="242">
        <f t="shared" ref="AA891:AA904" si="848">AA890</f>
        <v>0.9</v>
      </c>
      <c r="AB891" s="241" t="e">
        <f t="shared" ref="AB891:AB904" ca="1" si="849">AA891*$H891</f>
        <v>#REF!</v>
      </c>
      <c r="AC891" s="243" t="e">
        <f ca="1">IF(AND(INDEX(FlowCalConstA,MATCH(Z889,FlowCalNumber,0),1,1)*AB891^INDEX(FlowCalConstB,MATCH(Z889,FlowCalNumber,0),1,1)&gt;INDEX(FlowCalLowSetting,MATCH(Z889,FlowCalNumber,0),1,1), (INDEX(FlowCalConstA,MATCH(Z889,FlowCalNumber,0),1,1)*AB891^INDEX(FlowCalConstB,MATCH(Z889,FlowCalNumber,0),1,1)&lt;INDEX(FlowCalHighSetting,MATCH(Z889,FlowCalNumber,0),1,1))),INDEX(FlowCalConstA,MATCH(Z889,FlowCalNumber,0),1,1)*AB891^INDEX(FlowCalConstB,MATCH(Z889,FlowCalNumber,0),1,1)," ")</f>
        <v>#REF!</v>
      </c>
      <c r="AD891" s="33"/>
      <c r="AE891" s="242">
        <f t="shared" ref="AE891:AE904" si="850">AE890</f>
        <v>0.1</v>
      </c>
      <c r="AF891" s="241" t="e">
        <f t="shared" ref="AF891:AF904" ca="1" si="851">AE891*$H891</f>
        <v>#REF!</v>
      </c>
      <c r="AG891" s="243" t="e">
        <f ca="1">IF(AND(INDEX(FlowCalConstA,MATCH(AD889,FlowCalNumber,0),1,1)*AF891^INDEX(FlowCalConstB,MATCH(AD889,FlowCalNumber,0),1,1)&gt;INDEX(FlowCalLowSetting,MATCH(AD889,FlowCalNumber,0),1,1), (INDEX(FlowCalConstA,MATCH(AD889,FlowCalNumber,0),1,1)*AF891^INDEX(FlowCalConstB,MATCH(AD889,FlowCalNumber,0),1,1)&lt;INDEX(FlowCalHighSetting,MATCH(AD889,FlowCalNumber,0),1,1))),INDEX(FlowCalConstA,MATCH(AD889,FlowCalNumber,0),1,1)*AF891^INDEX(FlowCalConstB,MATCH(AD889,FlowCalNumber,0),1,1)," ")</f>
        <v>#REF!</v>
      </c>
      <c r="AH891" s="33"/>
      <c r="AI891" s="242">
        <f t="shared" ref="AI891:AI904" si="852">AI890</f>
        <v>0.9</v>
      </c>
      <c r="AJ891" s="241" t="e">
        <f t="shared" ref="AJ891:AJ904" ca="1" si="853">AI891*$H891</f>
        <v>#REF!</v>
      </c>
      <c r="AK891" s="243" t="e">
        <f ca="1">IF(AND(INDEX(FlowCalConstA,MATCH(AH889,FlowCalNumber,0),1,1)*AJ891^INDEX(FlowCalConstB,MATCH(AH889,FlowCalNumber,0),1,1)&gt;INDEX(FlowCalLowSetting,MATCH(AH889,FlowCalNumber,0),1,1), (INDEX(FlowCalConstA,MATCH(AH889,FlowCalNumber,0),1,1)*AJ891^INDEX(FlowCalConstB,MATCH(AH889,FlowCalNumber,0),1,1)&lt;INDEX(FlowCalHighSetting,MATCH(AH889,FlowCalNumber,0),1,1))),INDEX(FlowCalConstA,MATCH(AH889,FlowCalNumber,0),1,1)*AJ891^INDEX(FlowCalConstB,MATCH(AH889,FlowCalNumber,0),1,1)," ")</f>
        <v>#REF!</v>
      </c>
      <c r="AL891" s="33"/>
      <c r="AM891" s="242"/>
      <c r="AN891" s="241"/>
      <c r="AO891" s="244"/>
      <c r="AQ891" s="242"/>
      <c r="AR891" s="241"/>
      <c r="AS891" s="244"/>
      <c r="AT891" s="33"/>
      <c r="AU891" s="242"/>
      <c r="AV891" s="241"/>
      <c r="AW891" s="244"/>
      <c r="AX891" s="33"/>
      <c r="AY891" s="242"/>
      <c r="AZ891" s="241"/>
      <c r="BA891" s="244"/>
      <c r="BB891" s="33"/>
      <c r="BC891" s="242"/>
      <c r="BD891" s="241"/>
      <c r="BE891" s="244"/>
      <c r="BF891" s="33"/>
      <c r="BG891" s="242"/>
      <c r="BH891" s="241"/>
      <c r="BI891" s="244"/>
      <c r="BJ891" s="33"/>
      <c r="BK891" s="242"/>
      <c r="BL891" s="241"/>
      <c r="BM891" s="244"/>
      <c r="BN891" s="33"/>
      <c r="BO891" s="242"/>
      <c r="BP891" s="241"/>
      <c r="BQ891" s="244"/>
      <c r="BR891" s="33"/>
      <c r="BS891" s="242"/>
      <c r="BT891" s="241"/>
      <c r="BU891" s="244"/>
      <c r="BV891" s="33"/>
      <c r="BW891" s="242"/>
      <c r="BX891" s="241"/>
      <c r="BY891" s="244"/>
      <c r="BZ891" s="33"/>
      <c r="CA891" s="242"/>
      <c r="CB891" s="241"/>
      <c r="CC891" s="244"/>
      <c r="CD891" s="243"/>
      <c r="CE891" s="243"/>
      <c r="CF891" s="243"/>
      <c r="CG891" s="243"/>
      <c r="CH891" s="243"/>
      <c r="CI891" s="243"/>
      <c r="CJ891" s="243"/>
      <c r="CK891" s="243"/>
      <c r="CL891" s="243"/>
      <c r="CM891" s="243"/>
      <c r="CN891" s="243"/>
      <c r="CO891" s="243"/>
      <c r="CP891" s="243"/>
      <c r="CQ891" s="243"/>
      <c r="CR891" s="243"/>
      <c r="CS891" s="243"/>
      <c r="CT891" s="243"/>
      <c r="CU891" s="243"/>
      <c r="CV891" s="243"/>
      <c r="CW891" s="243"/>
      <c r="CX891" s="243"/>
      <c r="CY891" s="243"/>
      <c r="CZ891" s="243"/>
      <c r="DA891" s="243"/>
      <c r="DB891" s="243"/>
      <c r="DC891" s="243"/>
      <c r="DD891" s="243"/>
      <c r="DE891" s="243"/>
      <c r="DF891" s="243"/>
      <c r="DG891" s="243"/>
      <c r="DH891" s="243"/>
      <c r="DI891" s="243"/>
      <c r="DJ891" s="243"/>
      <c r="DK891" s="243"/>
      <c r="DM891" s="242"/>
      <c r="DO891" s="243"/>
      <c r="DQ891" s="242"/>
      <c r="DS891" s="243"/>
      <c r="DU891" s="242"/>
      <c r="DW891" s="243"/>
      <c r="DY891" s="242"/>
      <c r="EA891" s="243"/>
    </row>
    <row r="892" spans="1:131">
      <c r="A892" s="20"/>
      <c r="B892" s="124" t="str">
        <f t="shared" si="838"/>
        <v/>
      </c>
      <c r="C892" s="235"/>
      <c r="D892" s="24">
        <f>'1% Wind'!$M$84</f>
        <v>20.5</v>
      </c>
      <c r="E892" s="90"/>
      <c r="F892" s="90"/>
      <c r="G892" s="79" t="e">
        <f ca="1">IF(I889=0.9743,$G891,MAX(G891/D891*D892,2))</f>
        <v>#REF!</v>
      </c>
      <c r="H892" s="121" t="e">
        <f t="shared" ca="1" si="839"/>
        <v>#REF!</v>
      </c>
      <c r="J892" s="33"/>
      <c r="K892" s="242">
        <f t="shared" si="840"/>
        <v>1</v>
      </c>
      <c r="L892" s="241" t="e">
        <f t="shared" ca="1" si="841"/>
        <v>#REF!</v>
      </c>
      <c r="M892" s="243" t="e">
        <f ca="1">IF(AND(INDEX(FlowCalConstA,MATCH(J889,FlowCalNumber,0),1,1)*L892^INDEX(FlowCalConstB,MATCH(J889,FlowCalNumber,0),1,1)&gt;INDEX(FlowCalLowSetting,MATCH(J889,FlowCalNumber,0),1,1), (INDEX(FlowCalConstA,MATCH(J889,FlowCalNumber,0),1,1)*L892^INDEX(FlowCalConstB,MATCH(J889,FlowCalNumber,0),1,1)&lt;INDEX(FlowCalHighSetting,MATCH(J889,FlowCalNumber,0),1,1))),INDEX(FlowCalConstA,MATCH(J889,FlowCalNumber,0),1,1)*L892^INDEX(FlowCalConstB,MATCH(J889,FlowCalNumber,0),1,1)," ")</f>
        <v>#REF!</v>
      </c>
      <c r="N892" s="33"/>
      <c r="O892" s="242">
        <f t="shared" si="842"/>
        <v>1</v>
      </c>
      <c r="P892" s="241" t="e">
        <f t="shared" ca="1" si="843"/>
        <v>#REF!</v>
      </c>
      <c r="Q892" s="243" t="e">
        <f ca="1">IF(AND(INDEX(FlowCalConstA,MATCH(N889,FlowCalNumber,0),1,1)*P892^INDEX(FlowCalConstB,MATCH(N889,FlowCalNumber,0),1,1)&gt;INDEX(FlowCalLowSetting,MATCH(N889,FlowCalNumber,0),1,1), (INDEX(FlowCalConstA,MATCH(N889,FlowCalNumber,0),1,1)*P892^INDEX(FlowCalConstB,MATCH(N889,FlowCalNumber,0),1,1)&lt;INDEX(FlowCalHighSetting,MATCH(N889,FlowCalNumber,0),1,1))),INDEX(FlowCalConstA,MATCH(N889,FlowCalNumber,0),1,1)*P892^INDEX(FlowCalConstB,MATCH(N889,FlowCalNumber,0),1,1)," ")</f>
        <v>#REF!</v>
      </c>
      <c r="R892" s="33"/>
      <c r="S892" s="242">
        <f t="shared" si="844"/>
        <v>1</v>
      </c>
      <c r="T892" s="241" t="e">
        <f t="shared" ca="1" si="845"/>
        <v>#REF!</v>
      </c>
      <c r="U892" s="244" t="e">
        <f ca="1">IF(AND(INDEX(FlowCalConstA,MATCH(R889,FlowCalNumber,0),1,1)*T892^INDEX(FlowCalConstB,MATCH(R889,FlowCalNumber,0),1,1)&gt;INDEX(FlowCalLowSetting,MATCH(R889,FlowCalNumber,0),1,1), (INDEX(FlowCalConstA,MATCH(R889,FlowCalNumber,0),1,1)*T892^INDEX(FlowCalConstB,MATCH(R889,FlowCalNumber,0),1,1)&lt;INDEX(FlowCalHighSetting,MATCH(R889,FlowCalNumber,0),1,1))),INDEX(FlowCalConstA,MATCH(R889,FlowCalNumber,0),1,1)*T892^INDEX(FlowCalConstB,MATCH(R889,FlowCalNumber,0),1,1)," ")</f>
        <v>#REF!</v>
      </c>
      <c r="V892" s="33"/>
      <c r="W892" s="242">
        <f t="shared" si="846"/>
        <v>0.1</v>
      </c>
      <c r="X892" s="241" t="e">
        <f t="shared" ca="1" si="847"/>
        <v>#REF!</v>
      </c>
      <c r="Y892" s="243" t="e">
        <f ca="1">IF(AND(INDEX(FlowCalConstA,MATCH(V889,FlowCalNumber,0),1,1)*X892^INDEX(FlowCalConstB,MATCH(V889,FlowCalNumber,0),1,1)&gt;INDEX(FlowCalLowSetting,MATCH(V889,FlowCalNumber,0),1,1), (INDEX(FlowCalConstA,MATCH(V889,FlowCalNumber,0),1,1)*X892^INDEX(FlowCalConstB,MATCH(V889,FlowCalNumber,0),1,1)&lt;INDEX(FlowCalHighSetting,MATCH(V889,FlowCalNumber,0),1,1))),INDEX(FlowCalConstA,MATCH(V889,FlowCalNumber,0),1,1)*X892^INDEX(FlowCalConstB,MATCH(V889,FlowCalNumber,0),1,1)," ")</f>
        <v>#REF!</v>
      </c>
      <c r="Z892" s="33"/>
      <c r="AA892" s="242">
        <f t="shared" si="848"/>
        <v>0.9</v>
      </c>
      <c r="AB892" s="241" t="e">
        <f t="shared" ca="1" si="849"/>
        <v>#REF!</v>
      </c>
      <c r="AC892" s="243" t="e">
        <f ca="1">IF(AND(INDEX(FlowCalConstA,MATCH(Z889,FlowCalNumber,0),1,1)*AB892^INDEX(FlowCalConstB,MATCH(Z889,FlowCalNumber,0),1,1)&gt;INDEX(FlowCalLowSetting,MATCH(Z889,FlowCalNumber,0),1,1), (INDEX(FlowCalConstA,MATCH(Z889,FlowCalNumber,0),1,1)*AB892^INDEX(FlowCalConstB,MATCH(Z889,FlowCalNumber,0),1,1)&lt;INDEX(FlowCalHighSetting,MATCH(Z889,FlowCalNumber,0),1,1))),INDEX(FlowCalConstA,MATCH(Z889,FlowCalNumber,0),1,1)*AB892^INDEX(FlowCalConstB,MATCH(Z889,FlowCalNumber,0),1,1)," ")</f>
        <v>#REF!</v>
      </c>
      <c r="AD892" s="33"/>
      <c r="AE892" s="242">
        <f t="shared" si="850"/>
        <v>0.1</v>
      </c>
      <c r="AF892" s="241" t="e">
        <f t="shared" ca="1" si="851"/>
        <v>#REF!</v>
      </c>
      <c r="AG892" s="243" t="e">
        <f ca="1">IF(AND(INDEX(FlowCalConstA,MATCH(AD889,FlowCalNumber,0),1,1)*AF892^INDEX(FlowCalConstB,MATCH(AD889,FlowCalNumber,0),1,1)&gt;INDEX(FlowCalLowSetting,MATCH(AD889,FlowCalNumber,0),1,1), (INDEX(FlowCalConstA,MATCH(AD889,FlowCalNumber,0),1,1)*AF892^INDEX(FlowCalConstB,MATCH(AD889,FlowCalNumber,0),1,1)&lt;INDEX(FlowCalHighSetting,MATCH(AD889,FlowCalNumber,0),1,1))),INDEX(FlowCalConstA,MATCH(AD889,FlowCalNumber,0),1,1)*AF892^INDEX(FlowCalConstB,MATCH(AD889,FlowCalNumber,0),1,1)," ")</f>
        <v>#REF!</v>
      </c>
      <c r="AH892" s="33"/>
      <c r="AI892" s="242">
        <f t="shared" si="852"/>
        <v>0.9</v>
      </c>
      <c r="AJ892" s="241" t="e">
        <f t="shared" ca="1" si="853"/>
        <v>#REF!</v>
      </c>
      <c r="AK892" s="243" t="e">
        <f ca="1">IF(AND(INDEX(FlowCalConstA,MATCH(AH889,FlowCalNumber,0),1,1)*AJ892^INDEX(FlowCalConstB,MATCH(AH889,FlowCalNumber,0),1,1)&gt;INDEX(FlowCalLowSetting,MATCH(AH889,FlowCalNumber,0),1,1), (INDEX(FlowCalConstA,MATCH(AH889,FlowCalNumber,0),1,1)*AJ892^INDEX(FlowCalConstB,MATCH(AH889,FlowCalNumber,0),1,1)&lt;INDEX(FlowCalHighSetting,MATCH(AH889,FlowCalNumber,0),1,1))),INDEX(FlowCalConstA,MATCH(AH889,FlowCalNumber,0),1,1)*AJ892^INDEX(FlowCalConstB,MATCH(AH889,FlowCalNumber,0),1,1)," ")</f>
        <v>#REF!</v>
      </c>
      <c r="AL892" s="33"/>
      <c r="AM892" s="242"/>
      <c r="AN892" s="241"/>
      <c r="AO892" s="244"/>
      <c r="AQ892" s="242"/>
      <c r="AR892" s="241"/>
      <c r="AS892" s="244"/>
      <c r="AT892" s="33"/>
      <c r="AU892" s="242"/>
      <c r="AV892" s="241"/>
      <c r="AW892" s="244"/>
      <c r="AX892" s="33"/>
      <c r="AY892" s="242"/>
      <c r="AZ892" s="241"/>
      <c r="BA892" s="244"/>
      <c r="BB892" s="33"/>
      <c r="BC892" s="242"/>
      <c r="BD892" s="241"/>
      <c r="BE892" s="244"/>
      <c r="BF892" s="33"/>
      <c r="BG892" s="242"/>
      <c r="BH892" s="241"/>
      <c r="BI892" s="244"/>
      <c r="BJ892" s="33"/>
      <c r="BK892" s="242"/>
      <c r="BL892" s="241"/>
      <c r="BM892" s="244"/>
      <c r="BN892" s="33"/>
      <c r="BO892" s="242"/>
      <c r="BP892" s="241"/>
      <c r="BQ892" s="244"/>
      <c r="BR892" s="33"/>
      <c r="BS892" s="242"/>
      <c r="BT892" s="241"/>
      <c r="BU892" s="244"/>
      <c r="BV892" s="33"/>
      <c r="BW892" s="242"/>
      <c r="BX892" s="241"/>
      <c r="BY892" s="244"/>
      <c r="BZ892" s="33"/>
      <c r="CA892" s="242"/>
      <c r="CB892" s="241"/>
      <c r="CC892" s="244"/>
      <c r="CD892" s="243"/>
      <c r="CE892" s="243"/>
      <c r="CF892" s="243"/>
      <c r="CG892" s="243"/>
      <c r="CH892" s="243"/>
      <c r="CI892" s="243"/>
      <c r="CJ892" s="243"/>
      <c r="CK892" s="243"/>
      <c r="CL892" s="243"/>
      <c r="CM892" s="243"/>
      <c r="CN892" s="243"/>
      <c r="CO892" s="243"/>
      <c r="CP892" s="243"/>
      <c r="CQ892" s="243"/>
      <c r="CR892" s="243"/>
      <c r="CS892" s="243"/>
      <c r="CT892" s="243"/>
      <c r="CU892" s="243"/>
      <c r="CV892" s="243"/>
      <c r="CW892" s="243"/>
      <c r="CX892" s="243"/>
      <c r="CY892" s="243"/>
      <c r="CZ892" s="243"/>
      <c r="DA892" s="243"/>
      <c r="DB892" s="243"/>
      <c r="DC892" s="243"/>
      <c r="DD892" s="243"/>
      <c r="DE892" s="243"/>
      <c r="DF892" s="243"/>
      <c r="DG892" s="243"/>
      <c r="DH892" s="243"/>
      <c r="DI892" s="243"/>
      <c r="DJ892" s="243"/>
      <c r="DK892" s="243"/>
      <c r="DM892" s="242"/>
      <c r="DO892" s="243"/>
      <c r="DQ892" s="242"/>
      <c r="DS892" s="243"/>
      <c r="DU892" s="242"/>
      <c r="DW892" s="243"/>
      <c r="DY892" s="242"/>
      <c r="EA892" s="243"/>
    </row>
    <row r="893" spans="1:131">
      <c r="A893" s="20"/>
      <c r="B893" s="124" t="str">
        <f t="shared" si="838"/>
        <v/>
      </c>
      <c r="C893" s="235"/>
      <c r="D893" s="24">
        <f>'1% Wind'!$M$85</f>
        <v>17.8</v>
      </c>
      <c r="E893" s="90"/>
      <c r="F893" s="90"/>
      <c r="G893" s="79" t="e">
        <f ca="1">IF(I889=0.9743,$G892,MAX(G892/D892*D893,2))</f>
        <v>#REF!</v>
      </c>
      <c r="H893" s="121" t="e">
        <f t="shared" ca="1" si="839"/>
        <v>#REF!</v>
      </c>
      <c r="J893" s="33"/>
      <c r="K893" s="242">
        <f t="shared" si="840"/>
        <v>1</v>
      </c>
      <c r="L893" s="241" t="e">
        <f t="shared" ca="1" si="841"/>
        <v>#REF!</v>
      </c>
      <c r="M893" s="243" t="e">
        <f ca="1">IF(AND(INDEX(FlowCalConstA,MATCH(J889,FlowCalNumber,0),1,1)*L893^INDEX(FlowCalConstB,MATCH(J889,FlowCalNumber,0),1,1)&gt;INDEX(FlowCalLowSetting,MATCH(J889,FlowCalNumber,0),1,1), (INDEX(FlowCalConstA,MATCH(J889,FlowCalNumber,0),1,1)*L893^INDEX(FlowCalConstB,MATCH(J889,FlowCalNumber,0),1,1)&lt;INDEX(FlowCalHighSetting,MATCH(J889,FlowCalNumber,0),1,1))),INDEX(FlowCalConstA,MATCH(J889,FlowCalNumber,0),1,1)*L893^INDEX(FlowCalConstB,MATCH(J889,FlowCalNumber,0),1,1)," ")</f>
        <v>#REF!</v>
      </c>
      <c r="N893" s="33"/>
      <c r="O893" s="242">
        <f t="shared" si="842"/>
        <v>1</v>
      </c>
      <c r="P893" s="241" t="e">
        <f t="shared" ca="1" si="843"/>
        <v>#REF!</v>
      </c>
      <c r="Q893" s="243" t="e">
        <f ca="1">IF(AND(INDEX(FlowCalConstA,MATCH(N889,FlowCalNumber,0),1,1)*P893^INDEX(FlowCalConstB,MATCH(N889,FlowCalNumber,0),1,1)&gt;INDEX(FlowCalLowSetting,MATCH(N889,FlowCalNumber,0),1,1), (INDEX(FlowCalConstA,MATCH(N889,FlowCalNumber,0),1,1)*P893^INDEX(FlowCalConstB,MATCH(N889,FlowCalNumber,0),1,1)&lt;INDEX(FlowCalHighSetting,MATCH(N889,FlowCalNumber,0),1,1))),INDEX(FlowCalConstA,MATCH(N889,FlowCalNumber,0),1,1)*P893^INDEX(FlowCalConstB,MATCH(N889,FlowCalNumber,0),1,1)," ")</f>
        <v>#REF!</v>
      </c>
      <c r="R893" s="33"/>
      <c r="S893" s="242">
        <f t="shared" si="844"/>
        <v>1</v>
      </c>
      <c r="T893" s="241" t="e">
        <f t="shared" ca="1" si="845"/>
        <v>#REF!</v>
      </c>
      <c r="U893" s="244" t="e">
        <f ca="1">IF(AND(INDEX(FlowCalConstA,MATCH(R889,FlowCalNumber,0),1,1)*T893^INDEX(FlowCalConstB,MATCH(R889,FlowCalNumber,0),1,1)&gt;INDEX(FlowCalLowSetting,MATCH(R889,FlowCalNumber,0),1,1), (INDEX(FlowCalConstA,MATCH(R889,FlowCalNumber,0),1,1)*T893^INDEX(FlowCalConstB,MATCH(R889,FlowCalNumber,0),1,1)&lt;INDEX(FlowCalHighSetting,MATCH(R889,FlowCalNumber,0),1,1))),INDEX(FlowCalConstA,MATCH(R889,FlowCalNumber,0),1,1)*T893^INDEX(FlowCalConstB,MATCH(R889,FlowCalNumber,0),1,1)," ")</f>
        <v>#REF!</v>
      </c>
      <c r="V893" s="33"/>
      <c r="W893" s="242">
        <f t="shared" si="846"/>
        <v>0.1</v>
      </c>
      <c r="X893" s="241" t="e">
        <f t="shared" ca="1" si="847"/>
        <v>#REF!</v>
      </c>
      <c r="Y893" s="243" t="e">
        <f ca="1">IF(AND(INDEX(FlowCalConstA,MATCH(V889,FlowCalNumber,0),1,1)*X893^INDEX(FlowCalConstB,MATCH(V889,FlowCalNumber,0),1,1)&gt;INDEX(FlowCalLowSetting,MATCH(V889,FlowCalNumber,0),1,1), (INDEX(FlowCalConstA,MATCH(V889,FlowCalNumber,0),1,1)*X893^INDEX(FlowCalConstB,MATCH(V889,FlowCalNumber,0),1,1)&lt;INDEX(FlowCalHighSetting,MATCH(V889,FlowCalNumber,0),1,1))),INDEX(FlowCalConstA,MATCH(V889,FlowCalNumber,0),1,1)*X893^INDEX(FlowCalConstB,MATCH(V889,FlowCalNumber,0),1,1)," ")</f>
        <v>#REF!</v>
      </c>
      <c r="Z893" s="33"/>
      <c r="AA893" s="242">
        <f t="shared" si="848"/>
        <v>0.9</v>
      </c>
      <c r="AB893" s="241" t="e">
        <f t="shared" ca="1" si="849"/>
        <v>#REF!</v>
      </c>
      <c r="AC893" s="243" t="e">
        <f ca="1">IF(AND(INDEX(FlowCalConstA,MATCH(Z889,FlowCalNumber,0),1,1)*AB893^INDEX(FlowCalConstB,MATCH(Z889,FlowCalNumber,0),1,1)&gt;INDEX(FlowCalLowSetting,MATCH(Z889,FlowCalNumber,0),1,1), (INDEX(FlowCalConstA,MATCH(Z889,FlowCalNumber,0),1,1)*AB893^INDEX(FlowCalConstB,MATCH(Z889,FlowCalNumber,0),1,1)&lt;INDEX(FlowCalHighSetting,MATCH(Z889,FlowCalNumber,0),1,1))),INDEX(FlowCalConstA,MATCH(Z889,FlowCalNumber,0),1,1)*AB893^INDEX(FlowCalConstB,MATCH(Z889,FlowCalNumber,0),1,1)," ")</f>
        <v>#REF!</v>
      </c>
      <c r="AD893" s="33"/>
      <c r="AE893" s="242">
        <f t="shared" si="850"/>
        <v>0.1</v>
      </c>
      <c r="AF893" s="241" t="e">
        <f t="shared" ca="1" si="851"/>
        <v>#REF!</v>
      </c>
      <c r="AG893" s="243" t="e">
        <f ca="1">IF(AND(INDEX(FlowCalConstA,MATCH(AD889,FlowCalNumber,0),1,1)*AF893^INDEX(FlowCalConstB,MATCH(AD889,FlowCalNumber,0),1,1)&gt;INDEX(FlowCalLowSetting,MATCH(AD889,FlowCalNumber,0),1,1), (INDEX(FlowCalConstA,MATCH(AD889,FlowCalNumber,0),1,1)*AF893^INDEX(FlowCalConstB,MATCH(AD889,FlowCalNumber,0),1,1)&lt;INDEX(FlowCalHighSetting,MATCH(AD889,FlowCalNumber,0),1,1))),INDEX(FlowCalConstA,MATCH(AD889,FlowCalNumber,0),1,1)*AF893^INDEX(FlowCalConstB,MATCH(AD889,FlowCalNumber,0),1,1)," ")</f>
        <v>#REF!</v>
      </c>
      <c r="AH893" s="33"/>
      <c r="AI893" s="242">
        <f t="shared" si="852"/>
        <v>0.9</v>
      </c>
      <c r="AJ893" s="241" t="e">
        <f t="shared" ca="1" si="853"/>
        <v>#REF!</v>
      </c>
      <c r="AK893" s="243" t="e">
        <f ca="1">IF(AND(INDEX(FlowCalConstA,MATCH(AH889,FlowCalNumber,0),1,1)*AJ893^INDEX(FlowCalConstB,MATCH(AH889,FlowCalNumber,0),1,1)&gt;INDEX(FlowCalLowSetting,MATCH(AH889,FlowCalNumber,0),1,1), (INDEX(FlowCalConstA,MATCH(AH889,FlowCalNumber,0),1,1)*AJ893^INDEX(FlowCalConstB,MATCH(AH889,FlowCalNumber,0),1,1)&lt;INDEX(FlowCalHighSetting,MATCH(AH889,FlowCalNumber,0),1,1))),INDEX(FlowCalConstA,MATCH(AH889,FlowCalNumber,0),1,1)*AJ893^INDEX(FlowCalConstB,MATCH(AH889,FlowCalNumber,0),1,1)," ")</f>
        <v>#REF!</v>
      </c>
      <c r="AL893" s="33"/>
      <c r="AM893" s="242"/>
      <c r="AN893" s="241"/>
      <c r="AO893" s="244"/>
      <c r="AQ893" s="242"/>
      <c r="AR893" s="241"/>
      <c r="AS893" s="244"/>
      <c r="AT893" s="33"/>
      <c r="AU893" s="242"/>
      <c r="AV893" s="241"/>
      <c r="AW893" s="244"/>
      <c r="AX893" s="33"/>
      <c r="AY893" s="242"/>
      <c r="AZ893" s="241"/>
      <c r="BA893" s="244"/>
      <c r="BB893" s="33"/>
      <c r="BC893" s="242"/>
      <c r="BD893" s="241"/>
      <c r="BE893" s="244"/>
      <c r="BF893" s="33"/>
      <c r="BG893" s="242"/>
      <c r="BH893" s="241"/>
      <c r="BI893" s="244"/>
      <c r="BJ893" s="33"/>
      <c r="BK893" s="242"/>
      <c r="BL893" s="241"/>
      <c r="BM893" s="244"/>
      <c r="BN893" s="33"/>
      <c r="BO893" s="242"/>
      <c r="BP893" s="241"/>
      <c r="BQ893" s="244"/>
      <c r="BR893" s="33"/>
      <c r="BS893" s="242"/>
      <c r="BT893" s="241"/>
      <c r="BU893" s="244"/>
      <c r="BV893" s="33"/>
      <c r="BW893" s="242"/>
      <c r="BX893" s="241"/>
      <c r="BY893" s="244"/>
      <c r="BZ893" s="33"/>
      <c r="CA893" s="242"/>
      <c r="CB893" s="241"/>
      <c r="CC893" s="244"/>
      <c r="CD893" s="243"/>
      <c r="CE893" s="243"/>
      <c r="CF893" s="243"/>
      <c r="CG893" s="243"/>
      <c r="CH893" s="243"/>
      <c r="CI893" s="243"/>
      <c r="CJ893" s="243"/>
      <c r="CK893" s="243"/>
      <c r="CL893" s="243"/>
      <c r="CM893" s="243"/>
      <c r="CN893" s="243"/>
      <c r="CO893" s="243"/>
      <c r="CP893" s="243"/>
      <c r="CQ893" s="243"/>
      <c r="CR893" s="243"/>
      <c r="CS893" s="243"/>
      <c r="CT893" s="243"/>
      <c r="CU893" s="243"/>
      <c r="CV893" s="243"/>
      <c r="CW893" s="243"/>
      <c r="CX893" s="243"/>
      <c r="CY893" s="243"/>
      <c r="CZ893" s="243"/>
      <c r="DA893" s="243"/>
      <c r="DB893" s="243"/>
      <c r="DC893" s="243"/>
      <c r="DD893" s="243"/>
      <c r="DE893" s="243"/>
      <c r="DF893" s="243"/>
      <c r="DG893" s="243"/>
      <c r="DH893" s="243"/>
      <c r="DI893" s="243"/>
      <c r="DJ893" s="243"/>
      <c r="DK893" s="243"/>
      <c r="DM893" s="242"/>
      <c r="DO893" s="243"/>
      <c r="DQ893" s="242"/>
      <c r="DS893" s="243"/>
      <c r="DU893" s="242"/>
      <c r="DW893" s="243"/>
      <c r="DY893" s="242"/>
      <c r="EA893" s="243"/>
    </row>
    <row r="894" spans="1:131">
      <c r="A894" s="20"/>
      <c r="B894" s="124" t="str">
        <f t="shared" si="838"/>
        <v/>
      </c>
      <c r="C894" s="235"/>
      <c r="D894" s="24">
        <f>'1% Wind'!$M$86</f>
        <v>15.5</v>
      </c>
      <c r="E894" s="90"/>
      <c r="F894" s="90"/>
      <c r="G894" s="79" t="e">
        <f ca="1">IF(I889=0.9743,$G893,MAX(G893/D893*D894,2))</f>
        <v>#REF!</v>
      </c>
      <c r="H894" s="121" t="e">
        <f t="shared" ca="1" si="839"/>
        <v>#REF!</v>
      </c>
      <c r="J894" s="33"/>
      <c r="K894" s="242">
        <f t="shared" si="840"/>
        <v>1</v>
      </c>
      <c r="L894" s="241" t="e">
        <f t="shared" ca="1" si="841"/>
        <v>#REF!</v>
      </c>
      <c r="M894" s="243" t="e">
        <f ca="1">IF(AND(INDEX(FlowCalConstA,MATCH(J889,FlowCalNumber,0),1,1)*L894^INDEX(FlowCalConstB,MATCH(J889,FlowCalNumber,0),1,1)&gt;INDEX(FlowCalLowSetting,MATCH(J889,FlowCalNumber,0),1,1), (INDEX(FlowCalConstA,MATCH(J889,FlowCalNumber,0),1,1)*L894^INDEX(FlowCalConstB,MATCH(J889,FlowCalNumber,0),1,1)&lt;INDEX(FlowCalHighSetting,MATCH(J889,FlowCalNumber,0),1,1))),INDEX(FlowCalConstA,MATCH(J889,FlowCalNumber,0),1,1)*L894^INDEX(FlowCalConstB,MATCH(J889,FlowCalNumber,0),1,1)," ")</f>
        <v>#REF!</v>
      </c>
      <c r="N894" s="33"/>
      <c r="O894" s="242">
        <f t="shared" si="842"/>
        <v>1</v>
      </c>
      <c r="P894" s="241" t="e">
        <f t="shared" ca="1" si="843"/>
        <v>#REF!</v>
      </c>
      <c r="Q894" s="243" t="e">
        <f ca="1">IF(AND(INDEX(FlowCalConstA,MATCH(N889,FlowCalNumber,0),1,1)*P894^INDEX(FlowCalConstB,MATCH(N889,FlowCalNumber,0),1,1)&gt;INDEX(FlowCalLowSetting,MATCH(N889,FlowCalNumber,0),1,1), (INDEX(FlowCalConstA,MATCH(N889,FlowCalNumber,0),1,1)*P894^INDEX(FlowCalConstB,MATCH(N889,FlowCalNumber,0),1,1)&lt;INDEX(FlowCalHighSetting,MATCH(N889,FlowCalNumber,0),1,1))),INDEX(FlowCalConstA,MATCH(N889,FlowCalNumber,0),1,1)*P894^INDEX(FlowCalConstB,MATCH(N889,FlowCalNumber,0),1,1)," ")</f>
        <v>#REF!</v>
      </c>
      <c r="R894" s="33"/>
      <c r="S894" s="242">
        <f t="shared" si="844"/>
        <v>1</v>
      </c>
      <c r="T894" s="241" t="e">
        <f t="shared" ca="1" si="845"/>
        <v>#REF!</v>
      </c>
      <c r="U894" s="244" t="e">
        <f ca="1">IF(AND(INDEX(FlowCalConstA,MATCH(R889,FlowCalNumber,0),1,1)*T894^INDEX(FlowCalConstB,MATCH(R889,FlowCalNumber,0),1,1)&gt;INDEX(FlowCalLowSetting,MATCH(R889,FlowCalNumber,0),1,1), (INDEX(FlowCalConstA,MATCH(R889,FlowCalNumber,0),1,1)*T894^INDEX(FlowCalConstB,MATCH(R889,FlowCalNumber,0),1,1)&lt;INDEX(FlowCalHighSetting,MATCH(R889,FlowCalNumber,0),1,1))),INDEX(FlowCalConstA,MATCH(R889,FlowCalNumber,0),1,1)*T894^INDEX(FlowCalConstB,MATCH(R889,FlowCalNumber,0),1,1)," ")</f>
        <v>#REF!</v>
      </c>
      <c r="V894" s="33"/>
      <c r="W894" s="242">
        <f t="shared" si="846"/>
        <v>0.1</v>
      </c>
      <c r="X894" s="241" t="e">
        <f t="shared" ca="1" si="847"/>
        <v>#REF!</v>
      </c>
      <c r="Y894" s="243" t="e">
        <f ca="1">IF(AND(INDEX(FlowCalConstA,MATCH(V889,FlowCalNumber,0),1,1)*X894^INDEX(FlowCalConstB,MATCH(V889,FlowCalNumber,0),1,1)&gt;INDEX(FlowCalLowSetting,MATCH(V889,FlowCalNumber,0),1,1), (INDEX(FlowCalConstA,MATCH(V889,FlowCalNumber,0),1,1)*X894^INDEX(FlowCalConstB,MATCH(V889,FlowCalNumber,0),1,1)&lt;INDEX(FlowCalHighSetting,MATCH(V889,FlowCalNumber,0),1,1))),INDEX(FlowCalConstA,MATCH(V889,FlowCalNumber,0),1,1)*X894^INDEX(FlowCalConstB,MATCH(V889,FlowCalNumber,0),1,1)," ")</f>
        <v>#REF!</v>
      </c>
      <c r="Z894" s="33"/>
      <c r="AA894" s="242">
        <f t="shared" si="848"/>
        <v>0.9</v>
      </c>
      <c r="AB894" s="241" t="e">
        <f t="shared" ca="1" si="849"/>
        <v>#REF!</v>
      </c>
      <c r="AC894" s="243" t="e">
        <f ca="1">IF(AND(INDEX(FlowCalConstA,MATCH(Z889,FlowCalNumber,0),1,1)*AB894^INDEX(FlowCalConstB,MATCH(Z889,FlowCalNumber,0),1,1)&gt;INDEX(FlowCalLowSetting,MATCH(Z889,FlowCalNumber,0),1,1), (INDEX(FlowCalConstA,MATCH(Z889,FlowCalNumber,0),1,1)*AB894^INDEX(FlowCalConstB,MATCH(Z889,FlowCalNumber,0),1,1)&lt;INDEX(FlowCalHighSetting,MATCH(Z889,FlowCalNumber,0),1,1))),INDEX(FlowCalConstA,MATCH(Z889,FlowCalNumber,0),1,1)*AB894^INDEX(FlowCalConstB,MATCH(Z889,FlowCalNumber,0),1,1)," ")</f>
        <v>#REF!</v>
      </c>
      <c r="AD894" s="33"/>
      <c r="AE894" s="242">
        <f t="shared" si="850"/>
        <v>0.1</v>
      </c>
      <c r="AF894" s="241" t="e">
        <f t="shared" ca="1" si="851"/>
        <v>#REF!</v>
      </c>
      <c r="AG894" s="243" t="e">
        <f ca="1">IF(AND(INDEX(FlowCalConstA,MATCH(AD889,FlowCalNumber,0),1,1)*AF894^INDEX(FlowCalConstB,MATCH(AD889,FlowCalNumber,0),1,1)&gt;INDEX(FlowCalLowSetting,MATCH(AD889,FlowCalNumber,0),1,1), (INDEX(FlowCalConstA,MATCH(AD889,FlowCalNumber,0),1,1)*AF894^INDEX(FlowCalConstB,MATCH(AD889,FlowCalNumber,0),1,1)&lt;INDEX(FlowCalHighSetting,MATCH(AD889,FlowCalNumber,0),1,1))),INDEX(FlowCalConstA,MATCH(AD889,FlowCalNumber,0),1,1)*AF894^INDEX(FlowCalConstB,MATCH(AD889,FlowCalNumber,0),1,1)," ")</f>
        <v>#REF!</v>
      </c>
      <c r="AH894" s="33"/>
      <c r="AI894" s="242">
        <f t="shared" si="852"/>
        <v>0.9</v>
      </c>
      <c r="AJ894" s="241" t="e">
        <f t="shared" ca="1" si="853"/>
        <v>#REF!</v>
      </c>
      <c r="AK894" s="243" t="e">
        <f ca="1">IF(AND(INDEX(FlowCalConstA,MATCH(AH889,FlowCalNumber,0),1,1)*AJ894^INDEX(FlowCalConstB,MATCH(AH889,FlowCalNumber,0),1,1)&gt;INDEX(FlowCalLowSetting,MATCH(AH889,FlowCalNumber,0),1,1), (INDEX(FlowCalConstA,MATCH(AH889,FlowCalNumber,0),1,1)*AJ894^INDEX(FlowCalConstB,MATCH(AH889,FlowCalNumber,0),1,1)&lt;INDEX(FlowCalHighSetting,MATCH(AH889,FlowCalNumber,0),1,1))),INDEX(FlowCalConstA,MATCH(AH889,FlowCalNumber,0),1,1)*AJ894^INDEX(FlowCalConstB,MATCH(AH889,FlowCalNumber,0),1,1)," ")</f>
        <v>#REF!</v>
      </c>
      <c r="AL894" s="33"/>
      <c r="AM894" s="242"/>
      <c r="AN894" s="241"/>
      <c r="AO894" s="244"/>
      <c r="AQ894" s="242"/>
      <c r="AR894" s="241"/>
      <c r="AS894" s="244"/>
      <c r="AT894" s="33"/>
      <c r="AU894" s="242"/>
      <c r="AV894" s="241"/>
      <c r="AW894" s="244"/>
      <c r="AX894" s="33"/>
      <c r="AY894" s="242"/>
      <c r="AZ894" s="241"/>
      <c r="BA894" s="244"/>
      <c r="BB894" s="33"/>
      <c r="BC894" s="242"/>
      <c r="BD894" s="241"/>
      <c r="BE894" s="244"/>
      <c r="BF894" s="33"/>
      <c r="BG894" s="242"/>
      <c r="BH894" s="241"/>
      <c r="BI894" s="244"/>
      <c r="BJ894" s="33"/>
      <c r="BK894" s="242"/>
      <c r="BL894" s="241"/>
      <c r="BM894" s="244"/>
      <c r="BN894" s="33"/>
      <c r="BO894" s="242"/>
      <c r="BP894" s="241"/>
      <c r="BQ894" s="244"/>
      <c r="BR894" s="33"/>
      <c r="BS894" s="242"/>
      <c r="BT894" s="241"/>
      <c r="BU894" s="244"/>
      <c r="BV894" s="33"/>
      <c r="BW894" s="242"/>
      <c r="BX894" s="241"/>
      <c r="BY894" s="244"/>
      <c r="BZ894" s="33"/>
      <c r="CA894" s="242"/>
      <c r="CB894" s="241"/>
      <c r="CC894" s="244"/>
      <c r="CD894" s="243"/>
      <c r="CE894" s="243"/>
      <c r="CF894" s="243"/>
      <c r="CG894" s="243"/>
      <c r="CH894" s="243"/>
      <c r="CI894" s="243"/>
      <c r="CJ894" s="243"/>
      <c r="CK894" s="243"/>
      <c r="CL894" s="243"/>
      <c r="CM894" s="243"/>
      <c r="CN894" s="243"/>
      <c r="CO894" s="243"/>
      <c r="CP894" s="243"/>
      <c r="CQ894" s="243"/>
      <c r="CR894" s="243"/>
      <c r="CS894" s="243"/>
      <c r="CT894" s="243"/>
      <c r="CU894" s="243"/>
      <c r="CV894" s="243"/>
      <c r="CW894" s="243"/>
      <c r="CX894" s="243"/>
      <c r="CY894" s="243"/>
      <c r="CZ894" s="243"/>
      <c r="DA894" s="243"/>
      <c r="DB894" s="243"/>
      <c r="DC894" s="243"/>
      <c r="DD894" s="243"/>
      <c r="DE894" s="243"/>
      <c r="DF894" s="243"/>
      <c r="DG894" s="243"/>
      <c r="DH894" s="243"/>
      <c r="DI894" s="243"/>
      <c r="DJ894" s="243"/>
      <c r="DK894" s="243"/>
      <c r="DM894" s="242"/>
      <c r="DO894" s="243"/>
      <c r="DQ894" s="242"/>
      <c r="DS894" s="243"/>
      <c r="DU894" s="242"/>
      <c r="DW894" s="243"/>
      <c r="DY894" s="242"/>
      <c r="EA894" s="243"/>
    </row>
    <row r="895" spans="1:131">
      <c r="A895" s="20"/>
      <c r="B895" s="124" t="str">
        <f t="shared" si="838"/>
        <v/>
      </c>
      <c r="C895" s="235"/>
      <c r="D895" s="24">
        <f>'1% Wind'!$M$87</f>
        <v>13.5</v>
      </c>
      <c r="E895" s="90"/>
      <c r="F895" s="90"/>
      <c r="G895" s="79" t="e">
        <f ca="1">IF(I889=0.9743,$G894,MAX(G894/D894*D895,2))</f>
        <v>#REF!</v>
      </c>
      <c r="H895" s="121" t="e">
        <f t="shared" ca="1" si="839"/>
        <v>#REF!</v>
      </c>
      <c r="J895" s="33"/>
      <c r="K895" s="242">
        <f t="shared" si="840"/>
        <v>1</v>
      </c>
      <c r="L895" s="241" t="e">
        <f t="shared" ca="1" si="841"/>
        <v>#REF!</v>
      </c>
      <c r="M895" s="243" t="e">
        <f ca="1">IF(AND(INDEX(FlowCalConstA,MATCH(J889,FlowCalNumber,0),1,1)*L895^INDEX(FlowCalConstB,MATCH(J889,FlowCalNumber,0),1,1)&gt;INDEX(FlowCalLowSetting,MATCH(J889,FlowCalNumber,0),1,1), (INDEX(FlowCalConstA,MATCH(J889,FlowCalNumber,0),1,1)*L895^INDEX(FlowCalConstB,MATCH(J889,FlowCalNumber,0),1,1)&lt;INDEX(FlowCalHighSetting,MATCH(J889,FlowCalNumber,0),1,1))),INDEX(FlowCalConstA,MATCH(J889,FlowCalNumber,0),1,1)*L895^INDEX(FlowCalConstB,MATCH(J889,FlowCalNumber,0),1,1)," ")</f>
        <v>#REF!</v>
      </c>
      <c r="N895" s="33"/>
      <c r="O895" s="242">
        <f t="shared" si="842"/>
        <v>1</v>
      </c>
      <c r="P895" s="241" t="e">
        <f t="shared" ca="1" si="843"/>
        <v>#REF!</v>
      </c>
      <c r="Q895" s="243" t="e">
        <f ca="1">IF(AND(INDEX(FlowCalConstA,MATCH(N889,FlowCalNumber,0),1,1)*P895^INDEX(FlowCalConstB,MATCH(N889,FlowCalNumber,0),1,1)&gt;INDEX(FlowCalLowSetting,MATCH(N889,FlowCalNumber,0),1,1), (INDEX(FlowCalConstA,MATCH(N889,FlowCalNumber,0),1,1)*P895^INDEX(FlowCalConstB,MATCH(N889,FlowCalNumber,0),1,1)&lt;INDEX(FlowCalHighSetting,MATCH(N889,FlowCalNumber,0),1,1))),INDEX(FlowCalConstA,MATCH(N889,FlowCalNumber,0),1,1)*P895^INDEX(FlowCalConstB,MATCH(N889,FlowCalNumber,0),1,1)," ")</f>
        <v>#REF!</v>
      </c>
      <c r="R895" s="33"/>
      <c r="S895" s="242">
        <f t="shared" si="844"/>
        <v>1</v>
      </c>
      <c r="T895" s="241" t="e">
        <f t="shared" ca="1" si="845"/>
        <v>#REF!</v>
      </c>
      <c r="U895" s="244" t="e">
        <f ca="1">IF(AND(INDEX(FlowCalConstA,MATCH(R889,FlowCalNumber,0),1,1)*T895^INDEX(FlowCalConstB,MATCH(R889,FlowCalNumber,0),1,1)&gt;INDEX(FlowCalLowSetting,MATCH(R889,FlowCalNumber,0),1,1), (INDEX(FlowCalConstA,MATCH(R889,FlowCalNumber,0),1,1)*T895^INDEX(FlowCalConstB,MATCH(R889,FlowCalNumber,0),1,1)&lt;INDEX(FlowCalHighSetting,MATCH(R889,FlowCalNumber,0),1,1))),INDEX(FlowCalConstA,MATCH(R889,FlowCalNumber,0),1,1)*T895^INDEX(FlowCalConstB,MATCH(R889,FlowCalNumber,0),1,1)," ")</f>
        <v>#REF!</v>
      </c>
      <c r="V895" s="33"/>
      <c r="W895" s="242">
        <f t="shared" si="846"/>
        <v>0.1</v>
      </c>
      <c r="X895" s="241" t="e">
        <f t="shared" ca="1" si="847"/>
        <v>#REF!</v>
      </c>
      <c r="Y895" s="243" t="e">
        <f ca="1">IF(AND(INDEX(FlowCalConstA,MATCH(V889,FlowCalNumber,0),1,1)*X895^INDEX(FlowCalConstB,MATCH(V889,FlowCalNumber,0),1,1)&gt;INDEX(FlowCalLowSetting,MATCH(V889,FlowCalNumber,0),1,1), (INDEX(FlowCalConstA,MATCH(V889,FlowCalNumber,0),1,1)*X895^INDEX(FlowCalConstB,MATCH(V889,FlowCalNumber,0),1,1)&lt;INDEX(FlowCalHighSetting,MATCH(V889,FlowCalNumber,0),1,1))),INDEX(FlowCalConstA,MATCH(V889,FlowCalNumber,0),1,1)*X895^INDEX(FlowCalConstB,MATCH(V889,FlowCalNumber,0),1,1)," ")</f>
        <v>#REF!</v>
      </c>
      <c r="Z895" s="33"/>
      <c r="AA895" s="242">
        <f t="shared" si="848"/>
        <v>0.9</v>
      </c>
      <c r="AB895" s="241" t="e">
        <f t="shared" ca="1" si="849"/>
        <v>#REF!</v>
      </c>
      <c r="AC895" s="243" t="e">
        <f ca="1">IF(AND(INDEX(FlowCalConstA,MATCH(Z889,FlowCalNumber,0),1,1)*AB895^INDEX(FlowCalConstB,MATCH(Z889,FlowCalNumber,0),1,1)&gt;INDEX(FlowCalLowSetting,MATCH(Z889,FlowCalNumber,0),1,1), (INDEX(FlowCalConstA,MATCH(Z889,FlowCalNumber,0),1,1)*AB895^INDEX(FlowCalConstB,MATCH(Z889,FlowCalNumber,0),1,1)&lt;INDEX(FlowCalHighSetting,MATCH(Z889,FlowCalNumber,0),1,1))),INDEX(FlowCalConstA,MATCH(Z889,FlowCalNumber,0),1,1)*AB895^INDEX(FlowCalConstB,MATCH(Z889,FlowCalNumber,0),1,1)," ")</f>
        <v>#REF!</v>
      </c>
      <c r="AD895" s="33"/>
      <c r="AE895" s="242">
        <f t="shared" si="850"/>
        <v>0.1</v>
      </c>
      <c r="AF895" s="241" t="e">
        <f t="shared" ca="1" si="851"/>
        <v>#REF!</v>
      </c>
      <c r="AG895" s="243" t="e">
        <f ca="1">IF(AND(INDEX(FlowCalConstA,MATCH(AD889,FlowCalNumber,0),1,1)*AF895^INDEX(FlowCalConstB,MATCH(AD889,FlowCalNumber,0),1,1)&gt;INDEX(FlowCalLowSetting,MATCH(AD889,FlowCalNumber,0),1,1), (INDEX(FlowCalConstA,MATCH(AD889,FlowCalNumber,0),1,1)*AF895^INDEX(FlowCalConstB,MATCH(AD889,FlowCalNumber,0),1,1)&lt;INDEX(FlowCalHighSetting,MATCH(AD889,FlowCalNumber,0),1,1))),INDEX(FlowCalConstA,MATCH(AD889,FlowCalNumber,0),1,1)*AF895^INDEX(FlowCalConstB,MATCH(AD889,FlowCalNumber,0),1,1)," ")</f>
        <v>#REF!</v>
      </c>
      <c r="AH895" s="33"/>
      <c r="AI895" s="242">
        <f t="shared" si="852"/>
        <v>0.9</v>
      </c>
      <c r="AJ895" s="241" t="e">
        <f t="shared" ca="1" si="853"/>
        <v>#REF!</v>
      </c>
      <c r="AK895" s="243" t="e">
        <f ca="1">IF(AND(INDEX(FlowCalConstA,MATCH(AH889,FlowCalNumber,0),1,1)*AJ895^INDEX(FlowCalConstB,MATCH(AH889,FlowCalNumber,0),1,1)&gt;INDEX(FlowCalLowSetting,MATCH(AH889,FlowCalNumber,0),1,1), (INDEX(FlowCalConstA,MATCH(AH889,FlowCalNumber,0),1,1)*AJ895^INDEX(FlowCalConstB,MATCH(AH889,FlowCalNumber,0),1,1)&lt;INDEX(FlowCalHighSetting,MATCH(AH889,FlowCalNumber,0),1,1))),INDEX(FlowCalConstA,MATCH(AH889,FlowCalNumber,0),1,1)*AJ895^INDEX(FlowCalConstB,MATCH(AH889,FlowCalNumber,0),1,1)," ")</f>
        <v>#REF!</v>
      </c>
      <c r="AL895" s="33"/>
      <c r="AM895" s="242"/>
      <c r="AN895" s="241"/>
      <c r="AO895" s="244"/>
      <c r="AQ895" s="242"/>
      <c r="AR895" s="241"/>
      <c r="AS895" s="244"/>
      <c r="AT895" s="33"/>
      <c r="AU895" s="242"/>
      <c r="AV895" s="241"/>
      <c r="AW895" s="244"/>
      <c r="AX895" s="33"/>
      <c r="AY895" s="242"/>
      <c r="AZ895" s="241"/>
      <c r="BA895" s="244"/>
      <c r="BB895" s="33"/>
      <c r="BC895" s="242"/>
      <c r="BD895" s="241"/>
      <c r="BE895" s="244"/>
      <c r="BF895" s="33"/>
      <c r="BG895" s="242"/>
      <c r="BH895" s="241"/>
      <c r="BI895" s="244"/>
      <c r="BJ895" s="33"/>
      <c r="BK895" s="242"/>
      <c r="BL895" s="241"/>
      <c r="BM895" s="244"/>
      <c r="BN895" s="33"/>
      <c r="BO895" s="242"/>
      <c r="BP895" s="241"/>
      <c r="BQ895" s="244"/>
      <c r="BR895" s="33"/>
      <c r="BS895" s="242"/>
      <c r="BT895" s="241"/>
      <c r="BU895" s="244"/>
      <c r="BV895" s="33"/>
      <c r="BW895" s="242"/>
      <c r="BX895" s="241"/>
      <c r="BY895" s="244"/>
      <c r="BZ895" s="33"/>
      <c r="CA895" s="242"/>
      <c r="CB895" s="241"/>
      <c r="CC895" s="244"/>
      <c r="CD895" s="243"/>
      <c r="CE895" s="243"/>
      <c r="CF895" s="243"/>
      <c r="CG895" s="243"/>
      <c r="CH895" s="243"/>
      <c r="CI895" s="243"/>
      <c r="CJ895" s="243"/>
      <c r="CK895" s="243"/>
      <c r="CL895" s="243"/>
      <c r="CM895" s="243"/>
      <c r="CN895" s="243"/>
      <c r="CO895" s="243"/>
      <c r="CP895" s="243"/>
      <c r="CQ895" s="243"/>
      <c r="CR895" s="243"/>
      <c r="CS895" s="243"/>
      <c r="CT895" s="243"/>
      <c r="CU895" s="243"/>
      <c r="CV895" s="243"/>
      <c r="CW895" s="243"/>
      <c r="CX895" s="243"/>
      <c r="CY895" s="243"/>
      <c r="CZ895" s="243"/>
      <c r="DA895" s="243"/>
      <c r="DB895" s="243"/>
      <c r="DC895" s="243"/>
      <c r="DD895" s="243"/>
      <c r="DE895" s="243"/>
      <c r="DF895" s="243"/>
      <c r="DG895" s="243"/>
      <c r="DH895" s="243"/>
      <c r="DI895" s="243"/>
      <c r="DJ895" s="243"/>
      <c r="DK895" s="243"/>
      <c r="DM895" s="242"/>
      <c r="DO895" s="243"/>
      <c r="DQ895" s="242"/>
      <c r="DS895" s="243"/>
      <c r="DU895" s="242"/>
      <c r="DW895" s="243"/>
      <c r="DY895" s="242"/>
      <c r="EA895" s="243"/>
    </row>
    <row r="896" spans="1:131">
      <c r="A896" s="20"/>
      <c r="B896" s="124" t="str">
        <f t="shared" si="838"/>
        <v/>
      </c>
      <c r="C896" s="235"/>
      <c r="D896" s="24">
        <f>'1% Wind'!$M$88</f>
        <v>10.1</v>
      </c>
      <c r="E896" s="90"/>
      <c r="F896" s="90"/>
      <c r="G896" s="79" t="e">
        <f ca="1">IF(I889=0.9743,$G895,MAX(G895/D895*D896,2))</f>
        <v>#REF!</v>
      </c>
      <c r="H896" s="121" t="e">
        <f t="shared" ca="1" si="839"/>
        <v>#REF!</v>
      </c>
      <c r="J896" s="33"/>
      <c r="K896" s="242">
        <f t="shared" si="840"/>
        <v>1</v>
      </c>
      <c r="L896" s="241" t="e">
        <f t="shared" ca="1" si="841"/>
        <v>#REF!</v>
      </c>
      <c r="M896" s="243" t="e">
        <f ca="1">IF(AND(INDEX(FlowCalConstA,MATCH(J889,FlowCalNumber,0),1,1)*L896^INDEX(FlowCalConstB,MATCH(J889,FlowCalNumber,0),1,1)&gt;INDEX(FlowCalLowSetting,MATCH(J889,FlowCalNumber,0),1,1), (INDEX(FlowCalConstA,MATCH(J889,FlowCalNumber,0),1,1)*L896^INDEX(FlowCalConstB,MATCH(J889,FlowCalNumber,0),1,1)&lt;INDEX(FlowCalHighSetting,MATCH(J889,FlowCalNumber,0),1,1))),INDEX(FlowCalConstA,MATCH(J889,FlowCalNumber,0),1,1)*L896^INDEX(FlowCalConstB,MATCH(J889,FlowCalNumber,0),1,1)," ")</f>
        <v>#REF!</v>
      </c>
      <c r="N896" s="33"/>
      <c r="O896" s="242">
        <f t="shared" si="842"/>
        <v>1</v>
      </c>
      <c r="P896" s="241" t="e">
        <f t="shared" ca="1" si="843"/>
        <v>#REF!</v>
      </c>
      <c r="Q896" s="243" t="e">
        <f ca="1">IF(AND(INDEX(FlowCalConstA,MATCH(N889,FlowCalNumber,0),1,1)*P896^INDEX(FlowCalConstB,MATCH(N889,FlowCalNumber,0),1,1)&gt;INDEX(FlowCalLowSetting,MATCH(N889,FlowCalNumber,0),1,1), (INDEX(FlowCalConstA,MATCH(N889,FlowCalNumber,0),1,1)*P896^INDEX(FlowCalConstB,MATCH(N889,FlowCalNumber,0),1,1)&lt;INDEX(FlowCalHighSetting,MATCH(N889,FlowCalNumber,0),1,1))),INDEX(FlowCalConstA,MATCH(N889,FlowCalNumber,0),1,1)*P896^INDEX(FlowCalConstB,MATCH(N889,FlowCalNumber,0),1,1)," ")</f>
        <v>#REF!</v>
      </c>
      <c r="R896" s="33"/>
      <c r="S896" s="242">
        <f t="shared" si="844"/>
        <v>1</v>
      </c>
      <c r="T896" s="241" t="e">
        <f t="shared" ca="1" si="845"/>
        <v>#REF!</v>
      </c>
      <c r="U896" s="244" t="e">
        <f ca="1">IF(AND(INDEX(FlowCalConstA,MATCH(R889,FlowCalNumber,0),1,1)*T896^INDEX(FlowCalConstB,MATCH(R889,FlowCalNumber,0),1,1)&gt;INDEX(FlowCalLowSetting,MATCH(R889,FlowCalNumber,0),1,1), (INDEX(FlowCalConstA,MATCH(R889,FlowCalNumber,0),1,1)*T896^INDEX(FlowCalConstB,MATCH(R889,FlowCalNumber,0),1,1)&lt;INDEX(FlowCalHighSetting,MATCH(R889,FlowCalNumber,0),1,1))),INDEX(FlowCalConstA,MATCH(R889,FlowCalNumber,0),1,1)*T896^INDEX(FlowCalConstB,MATCH(R889,FlowCalNumber,0),1,1)," ")</f>
        <v>#REF!</v>
      </c>
      <c r="V896" s="33"/>
      <c r="W896" s="242">
        <f t="shared" si="846"/>
        <v>0.1</v>
      </c>
      <c r="X896" s="241" t="e">
        <f t="shared" ca="1" si="847"/>
        <v>#REF!</v>
      </c>
      <c r="Y896" s="243" t="e">
        <f ca="1">IF(AND(INDEX(FlowCalConstA,MATCH(V889,FlowCalNumber,0),1,1)*X896^INDEX(FlowCalConstB,MATCH(V889,FlowCalNumber,0),1,1)&gt;INDEX(FlowCalLowSetting,MATCH(V889,FlowCalNumber,0),1,1), (INDEX(FlowCalConstA,MATCH(V889,FlowCalNumber,0),1,1)*X896^INDEX(FlowCalConstB,MATCH(V889,FlowCalNumber,0),1,1)&lt;INDEX(FlowCalHighSetting,MATCH(V889,FlowCalNumber,0),1,1))),INDEX(FlowCalConstA,MATCH(V889,FlowCalNumber,0),1,1)*X896^INDEX(FlowCalConstB,MATCH(V889,FlowCalNumber,0),1,1)," ")</f>
        <v>#REF!</v>
      </c>
      <c r="Z896" s="33"/>
      <c r="AA896" s="242">
        <f t="shared" si="848"/>
        <v>0.9</v>
      </c>
      <c r="AB896" s="241" t="e">
        <f t="shared" ca="1" si="849"/>
        <v>#REF!</v>
      </c>
      <c r="AC896" s="243" t="e">
        <f ca="1">IF(AND(INDEX(FlowCalConstA,MATCH(Z889,FlowCalNumber,0),1,1)*AB896^INDEX(FlowCalConstB,MATCH(Z889,FlowCalNumber,0),1,1)&gt;INDEX(FlowCalLowSetting,MATCH(Z889,FlowCalNumber,0),1,1), (INDEX(FlowCalConstA,MATCH(Z889,FlowCalNumber,0),1,1)*AB896^INDEX(FlowCalConstB,MATCH(Z889,FlowCalNumber,0),1,1)&lt;INDEX(FlowCalHighSetting,MATCH(Z889,FlowCalNumber,0),1,1))),INDEX(FlowCalConstA,MATCH(Z889,FlowCalNumber,0),1,1)*AB896^INDEX(FlowCalConstB,MATCH(Z889,FlowCalNumber,0),1,1)," ")</f>
        <v>#REF!</v>
      </c>
      <c r="AD896" s="33"/>
      <c r="AE896" s="242">
        <f t="shared" si="850"/>
        <v>0.1</v>
      </c>
      <c r="AF896" s="241" t="e">
        <f t="shared" ca="1" si="851"/>
        <v>#REF!</v>
      </c>
      <c r="AG896" s="243" t="e">
        <f ca="1">IF(AND(INDEX(FlowCalConstA,MATCH(AD889,FlowCalNumber,0),1,1)*AF896^INDEX(FlowCalConstB,MATCH(AD889,FlowCalNumber,0),1,1)&gt;INDEX(FlowCalLowSetting,MATCH(AD889,FlowCalNumber,0),1,1), (INDEX(FlowCalConstA,MATCH(AD889,FlowCalNumber,0),1,1)*AF896^INDEX(FlowCalConstB,MATCH(AD889,FlowCalNumber,0),1,1)&lt;INDEX(FlowCalHighSetting,MATCH(AD889,FlowCalNumber,0),1,1))),INDEX(FlowCalConstA,MATCH(AD889,FlowCalNumber,0),1,1)*AF896^INDEX(FlowCalConstB,MATCH(AD889,FlowCalNumber,0),1,1)," ")</f>
        <v>#REF!</v>
      </c>
      <c r="AH896" s="33"/>
      <c r="AI896" s="242">
        <f t="shared" si="852"/>
        <v>0.9</v>
      </c>
      <c r="AJ896" s="241" t="e">
        <f t="shared" ca="1" si="853"/>
        <v>#REF!</v>
      </c>
      <c r="AK896" s="243" t="e">
        <f ca="1">IF(AND(INDEX(FlowCalConstA,MATCH(AH889,FlowCalNumber,0),1,1)*AJ896^INDEX(FlowCalConstB,MATCH(AH889,FlowCalNumber,0),1,1)&gt;INDEX(FlowCalLowSetting,MATCH(AH889,FlowCalNumber,0),1,1), (INDEX(FlowCalConstA,MATCH(AH889,FlowCalNumber,0),1,1)*AJ896^INDEX(FlowCalConstB,MATCH(AH889,FlowCalNumber,0),1,1)&lt;INDEX(FlowCalHighSetting,MATCH(AH889,FlowCalNumber,0),1,1))),INDEX(FlowCalConstA,MATCH(AH889,FlowCalNumber,0),1,1)*AJ896^INDEX(FlowCalConstB,MATCH(AH889,FlowCalNumber,0),1,1)," ")</f>
        <v>#REF!</v>
      </c>
      <c r="AL896" s="33"/>
      <c r="AM896" s="242"/>
      <c r="AN896" s="241"/>
      <c r="AO896" s="244"/>
      <c r="AQ896" s="242"/>
      <c r="AR896" s="241"/>
      <c r="AS896" s="244"/>
      <c r="AT896" s="33"/>
      <c r="AU896" s="242"/>
      <c r="AV896" s="241"/>
      <c r="AW896" s="244"/>
      <c r="AX896" s="33"/>
      <c r="AY896" s="242"/>
      <c r="AZ896" s="241"/>
      <c r="BA896" s="244"/>
      <c r="BB896" s="33"/>
      <c r="BC896" s="242"/>
      <c r="BD896" s="241"/>
      <c r="BE896" s="244"/>
      <c r="BF896" s="33"/>
      <c r="BG896" s="242"/>
      <c r="BH896" s="241"/>
      <c r="BI896" s="244"/>
      <c r="BJ896" s="33"/>
      <c r="BK896" s="242"/>
      <c r="BL896" s="241"/>
      <c r="BM896" s="244"/>
      <c r="BN896" s="33"/>
      <c r="BO896" s="242"/>
      <c r="BP896" s="241"/>
      <c r="BQ896" s="244"/>
      <c r="BR896" s="33"/>
      <c r="BS896" s="242"/>
      <c r="BT896" s="241"/>
      <c r="BU896" s="244"/>
      <c r="BV896" s="33"/>
      <c r="BW896" s="242"/>
      <c r="BX896" s="241"/>
      <c r="BY896" s="244"/>
      <c r="BZ896" s="33"/>
      <c r="CA896" s="242"/>
      <c r="CB896" s="241"/>
      <c r="CC896" s="244"/>
      <c r="CD896" s="243"/>
      <c r="CE896" s="243"/>
      <c r="CF896" s="243"/>
      <c r="CG896" s="243"/>
      <c r="CH896" s="243"/>
      <c r="CI896" s="243"/>
      <c r="CJ896" s="243"/>
      <c r="CK896" s="243"/>
      <c r="CL896" s="243"/>
      <c r="CM896" s="243"/>
      <c r="CN896" s="243"/>
      <c r="CO896" s="243"/>
      <c r="CP896" s="243"/>
      <c r="CQ896" s="243"/>
      <c r="CR896" s="243"/>
      <c r="CS896" s="243"/>
      <c r="CT896" s="243"/>
      <c r="CU896" s="243"/>
      <c r="CV896" s="243"/>
      <c r="CW896" s="243"/>
      <c r="CX896" s="243"/>
      <c r="CY896" s="243"/>
      <c r="CZ896" s="243"/>
      <c r="DA896" s="243"/>
      <c r="DB896" s="243"/>
      <c r="DC896" s="243"/>
      <c r="DD896" s="243"/>
      <c r="DE896" s="243"/>
      <c r="DF896" s="243"/>
      <c r="DG896" s="243"/>
      <c r="DH896" s="243"/>
      <c r="DI896" s="243"/>
      <c r="DJ896" s="243"/>
      <c r="DK896" s="243"/>
      <c r="DM896" s="242"/>
      <c r="DO896" s="243"/>
      <c r="DQ896" s="242"/>
      <c r="DS896" s="243"/>
      <c r="DU896" s="242"/>
      <c r="DW896" s="243"/>
      <c r="DY896" s="242"/>
      <c r="EA896" s="243"/>
    </row>
    <row r="897" spans="1:131">
      <c r="A897" s="20"/>
      <c r="B897" s="124" t="str">
        <f t="shared" si="838"/>
        <v/>
      </c>
      <c r="C897" s="235"/>
      <c r="D897" s="24">
        <f>'1% Wind'!$M$89</f>
        <v>7.6</v>
      </c>
      <c r="E897" s="90"/>
      <c r="F897" s="90"/>
      <c r="G897" s="79" t="e">
        <f ca="1">IF(I889=0.9743,$G896,MAX(G896/D896*D897,2))</f>
        <v>#REF!</v>
      </c>
      <c r="H897" s="121" t="e">
        <f t="shared" ca="1" si="839"/>
        <v>#REF!</v>
      </c>
      <c r="J897" s="33"/>
      <c r="K897" s="242">
        <f t="shared" si="840"/>
        <v>1</v>
      </c>
      <c r="L897" s="241" t="e">
        <f t="shared" ca="1" si="841"/>
        <v>#REF!</v>
      </c>
      <c r="M897" s="243" t="e">
        <f ca="1">IF(AND(INDEX(FlowCalConstA,MATCH(J889,FlowCalNumber,0),1,1)*L897^INDEX(FlowCalConstB,MATCH(J889,FlowCalNumber,0),1,1)&gt;INDEX(FlowCalLowSetting,MATCH(J889,FlowCalNumber,0),1,1), (INDEX(FlowCalConstA,MATCH(J889,FlowCalNumber,0),1,1)*L897^INDEX(FlowCalConstB,MATCH(J889,FlowCalNumber,0),1,1)&lt;INDEX(FlowCalHighSetting,MATCH(J889,FlowCalNumber,0),1,1))),INDEX(FlowCalConstA,MATCH(J889,FlowCalNumber,0),1,1)*L897^INDEX(FlowCalConstB,MATCH(J889,FlowCalNumber,0),1,1)," ")</f>
        <v>#REF!</v>
      </c>
      <c r="N897" s="33"/>
      <c r="O897" s="242">
        <f t="shared" si="842"/>
        <v>1</v>
      </c>
      <c r="P897" s="241" t="e">
        <f t="shared" ca="1" si="843"/>
        <v>#REF!</v>
      </c>
      <c r="Q897" s="243" t="e">
        <f ca="1">IF(AND(INDEX(FlowCalConstA,MATCH(N889,FlowCalNumber,0),1,1)*P897^INDEX(FlowCalConstB,MATCH(N889,FlowCalNumber,0),1,1)&gt;INDEX(FlowCalLowSetting,MATCH(N889,FlowCalNumber,0),1,1), (INDEX(FlowCalConstA,MATCH(N889,FlowCalNumber,0),1,1)*P897^INDEX(FlowCalConstB,MATCH(N889,FlowCalNumber,0),1,1)&lt;INDEX(FlowCalHighSetting,MATCH(N889,FlowCalNumber,0),1,1))),INDEX(FlowCalConstA,MATCH(N889,FlowCalNumber,0),1,1)*P897^INDEX(FlowCalConstB,MATCH(N889,FlowCalNumber,0),1,1)," ")</f>
        <v>#REF!</v>
      </c>
      <c r="R897" s="33"/>
      <c r="S897" s="242">
        <f t="shared" si="844"/>
        <v>1</v>
      </c>
      <c r="T897" s="241" t="e">
        <f t="shared" ca="1" si="845"/>
        <v>#REF!</v>
      </c>
      <c r="U897" s="244" t="e">
        <f ca="1">IF(AND(INDEX(FlowCalConstA,MATCH(R889,FlowCalNumber,0),1,1)*T897^INDEX(FlowCalConstB,MATCH(R889,FlowCalNumber,0),1,1)&gt;INDEX(FlowCalLowSetting,MATCH(R889,FlowCalNumber,0),1,1), (INDEX(FlowCalConstA,MATCH(R889,FlowCalNumber,0),1,1)*T897^INDEX(FlowCalConstB,MATCH(R889,FlowCalNumber,0),1,1)&lt;INDEX(FlowCalHighSetting,MATCH(R889,FlowCalNumber,0),1,1))),INDEX(FlowCalConstA,MATCH(R889,FlowCalNumber,0),1,1)*T897^INDEX(FlowCalConstB,MATCH(R889,FlowCalNumber,0),1,1)," ")</f>
        <v>#REF!</v>
      </c>
      <c r="V897" s="33"/>
      <c r="W897" s="242">
        <f t="shared" si="846"/>
        <v>0.1</v>
      </c>
      <c r="X897" s="241" t="e">
        <f t="shared" ca="1" si="847"/>
        <v>#REF!</v>
      </c>
      <c r="Y897" s="243" t="e">
        <f ca="1">IF(AND(INDEX(FlowCalConstA,MATCH(V889,FlowCalNumber,0),1,1)*X897^INDEX(FlowCalConstB,MATCH(V889,FlowCalNumber,0),1,1)&gt;INDEX(FlowCalLowSetting,MATCH(V889,FlowCalNumber,0),1,1), (INDEX(FlowCalConstA,MATCH(V889,FlowCalNumber,0),1,1)*X897^INDEX(FlowCalConstB,MATCH(V889,FlowCalNumber,0),1,1)&lt;INDEX(FlowCalHighSetting,MATCH(V889,FlowCalNumber,0),1,1))),INDEX(FlowCalConstA,MATCH(V889,FlowCalNumber,0),1,1)*X897^INDEX(FlowCalConstB,MATCH(V889,FlowCalNumber,0),1,1)," ")</f>
        <v>#REF!</v>
      </c>
      <c r="Z897" s="33"/>
      <c r="AA897" s="242">
        <f t="shared" si="848"/>
        <v>0.9</v>
      </c>
      <c r="AB897" s="241" t="e">
        <f t="shared" ca="1" si="849"/>
        <v>#REF!</v>
      </c>
      <c r="AC897" s="243" t="e">
        <f ca="1">IF(AND(INDEX(FlowCalConstA,MATCH(Z889,FlowCalNumber,0),1,1)*AB897^INDEX(FlowCalConstB,MATCH(Z889,FlowCalNumber,0),1,1)&gt;INDEX(FlowCalLowSetting,MATCH(Z889,FlowCalNumber,0),1,1), (INDEX(FlowCalConstA,MATCH(Z889,FlowCalNumber,0),1,1)*AB897^INDEX(FlowCalConstB,MATCH(Z889,FlowCalNumber,0),1,1)&lt;INDEX(FlowCalHighSetting,MATCH(Z889,FlowCalNumber,0),1,1))),INDEX(FlowCalConstA,MATCH(Z889,FlowCalNumber,0),1,1)*AB897^INDEX(FlowCalConstB,MATCH(Z889,FlowCalNumber,0),1,1)," ")</f>
        <v>#REF!</v>
      </c>
      <c r="AD897" s="33"/>
      <c r="AE897" s="242">
        <f t="shared" si="850"/>
        <v>0.1</v>
      </c>
      <c r="AF897" s="241" t="e">
        <f t="shared" ca="1" si="851"/>
        <v>#REF!</v>
      </c>
      <c r="AG897" s="243" t="e">
        <f ca="1">IF(AND(INDEX(FlowCalConstA,MATCH(AD889,FlowCalNumber,0),1,1)*AF897^INDEX(FlowCalConstB,MATCH(AD889,FlowCalNumber,0),1,1)&gt;INDEX(FlowCalLowSetting,MATCH(AD889,FlowCalNumber,0),1,1), (INDEX(FlowCalConstA,MATCH(AD889,FlowCalNumber,0),1,1)*AF897^INDEX(FlowCalConstB,MATCH(AD889,FlowCalNumber,0),1,1)&lt;INDEX(FlowCalHighSetting,MATCH(AD889,FlowCalNumber,0),1,1))),INDEX(FlowCalConstA,MATCH(AD889,FlowCalNumber,0),1,1)*AF897^INDEX(FlowCalConstB,MATCH(AD889,FlowCalNumber,0),1,1)," ")</f>
        <v>#REF!</v>
      </c>
      <c r="AH897" s="33"/>
      <c r="AI897" s="242">
        <f t="shared" si="852"/>
        <v>0.9</v>
      </c>
      <c r="AJ897" s="241" t="e">
        <f t="shared" ca="1" si="853"/>
        <v>#REF!</v>
      </c>
      <c r="AK897" s="243" t="e">
        <f ca="1">IF(AND(INDEX(FlowCalConstA,MATCH(AH889,FlowCalNumber,0),1,1)*AJ897^INDEX(FlowCalConstB,MATCH(AH889,FlowCalNumber,0),1,1)&gt;INDEX(FlowCalLowSetting,MATCH(AH889,FlowCalNumber,0),1,1), (INDEX(FlowCalConstA,MATCH(AH889,FlowCalNumber,0),1,1)*AJ897^INDEX(FlowCalConstB,MATCH(AH889,FlowCalNumber,0),1,1)&lt;INDEX(FlowCalHighSetting,MATCH(AH889,FlowCalNumber,0),1,1))),INDEX(FlowCalConstA,MATCH(AH889,FlowCalNumber,0),1,1)*AJ897^INDEX(FlowCalConstB,MATCH(AH889,FlowCalNumber,0),1,1)," ")</f>
        <v>#REF!</v>
      </c>
      <c r="AL897" s="33"/>
      <c r="AM897" s="242"/>
      <c r="AN897" s="241"/>
      <c r="AO897" s="244"/>
      <c r="AQ897" s="242"/>
      <c r="AR897" s="241"/>
      <c r="AS897" s="244"/>
      <c r="AT897" s="33"/>
      <c r="AU897" s="242"/>
      <c r="AV897" s="241"/>
      <c r="AW897" s="244"/>
      <c r="AX897" s="33"/>
      <c r="AY897" s="242"/>
      <c r="AZ897" s="241"/>
      <c r="BA897" s="244"/>
      <c r="BB897" s="33"/>
      <c r="BC897" s="242"/>
      <c r="BD897" s="241"/>
      <c r="BE897" s="244"/>
      <c r="BF897" s="33"/>
      <c r="BG897" s="242"/>
      <c r="BH897" s="241"/>
      <c r="BI897" s="244"/>
      <c r="BJ897" s="33"/>
      <c r="BK897" s="242"/>
      <c r="BL897" s="241"/>
      <c r="BM897" s="244"/>
      <c r="BN897" s="33"/>
      <c r="BO897" s="242"/>
      <c r="BP897" s="241"/>
      <c r="BQ897" s="244"/>
      <c r="BR897" s="33"/>
      <c r="BS897" s="242"/>
      <c r="BT897" s="241"/>
      <c r="BU897" s="244"/>
      <c r="BV897" s="33"/>
      <c r="BW897" s="242"/>
      <c r="BX897" s="241"/>
      <c r="BY897" s="244"/>
      <c r="BZ897" s="33"/>
      <c r="CA897" s="242"/>
      <c r="CB897" s="241"/>
      <c r="CC897" s="244"/>
      <c r="CD897" s="243"/>
      <c r="CE897" s="243"/>
      <c r="CF897" s="243"/>
      <c r="CG897" s="243"/>
      <c r="CH897" s="243"/>
      <c r="CI897" s="243"/>
      <c r="CJ897" s="243"/>
      <c r="CK897" s="243"/>
      <c r="CL897" s="243"/>
      <c r="CM897" s="243"/>
      <c r="CN897" s="243"/>
      <c r="CO897" s="243"/>
      <c r="CP897" s="243"/>
      <c r="CQ897" s="243"/>
      <c r="CR897" s="243"/>
      <c r="CS897" s="243"/>
      <c r="CT897" s="243"/>
      <c r="CU897" s="243"/>
      <c r="CV897" s="243"/>
      <c r="CW897" s="243"/>
      <c r="CX897" s="243"/>
      <c r="CY897" s="243"/>
      <c r="CZ897" s="243"/>
      <c r="DA897" s="243"/>
      <c r="DB897" s="243"/>
      <c r="DC897" s="243"/>
      <c r="DD897" s="243"/>
      <c r="DE897" s="243"/>
      <c r="DF897" s="243"/>
      <c r="DG897" s="243"/>
      <c r="DH897" s="243"/>
      <c r="DI897" s="243"/>
      <c r="DJ897" s="243"/>
      <c r="DK897" s="243"/>
      <c r="DM897" s="242"/>
      <c r="DO897" s="243"/>
      <c r="DQ897" s="242"/>
      <c r="DS897" s="243"/>
      <c r="DU897" s="242"/>
      <c r="DW897" s="243"/>
      <c r="DY897" s="242"/>
      <c r="EA897" s="243"/>
    </row>
    <row r="898" spans="1:131">
      <c r="A898" s="20"/>
      <c r="B898" s="124" t="str">
        <f t="shared" si="838"/>
        <v/>
      </c>
      <c r="C898" s="235"/>
      <c r="D898" s="24">
        <f>'1% Wind'!$M$90</f>
        <v>5.7</v>
      </c>
      <c r="E898" s="90"/>
      <c r="F898" s="90"/>
      <c r="G898" s="79" t="e">
        <f ca="1">IF(I889=0.9743,$G897,MAX(G897/D897*D898,2))</f>
        <v>#REF!</v>
      </c>
      <c r="H898" s="121" t="e">
        <f t="shared" ca="1" si="839"/>
        <v>#REF!</v>
      </c>
      <c r="J898" s="33"/>
      <c r="K898" s="242">
        <f t="shared" si="840"/>
        <v>1</v>
      </c>
      <c r="L898" s="241" t="e">
        <f t="shared" ca="1" si="841"/>
        <v>#REF!</v>
      </c>
      <c r="M898" s="243" t="e">
        <f ca="1">IF(AND(INDEX(FlowCalConstA,MATCH(J889,FlowCalNumber,0),1,1)*L898^INDEX(FlowCalConstB,MATCH(J889,FlowCalNumber,0),1,1)&gt;INDEX(FlowCalLowSetting,MATCH(J889,FlowCalNumber,0),1,1), (INDEX(FlowCalConstA,MATCH(J889,FlowCalNumber,0),1,1)*L898^INDEX(FlowCalConstB,MATCH(J889,FlowCalNumber,0),1,1)&lt;INDEX(FlowCalHighSetting,MATCH(J889,FlowCalNumber,0),1,1))),INDEX(FlowCalConstA,MATCH(J889,FlowCalNumber,0),1,1)*L898^INDEX(FlowCalConstB,MATCH(J889,FlowCalNumber,0),1,1)," ")</f>
        <v>#REF!</v>
      </c>
      <c r="N898" s="33"/>
      <c r="O898" s="242">
        <f t="shared" si="842"/>
        <v>1</v>
      </c>
      <c r="P898" s="241" t="e">
        <f t="shared" ca="1" si="843"/>
        <v>#REF!</v>
      </c>
      <c r="Q898" s="243" t="e">
        <f ca="1">IF(AND(INDEX(FlowCalConstA,MATCH(N889,FlowCalNumber,0),1,1)*P898^INDEX(FlowCalConstB,MATCH(N889,FlowCalNumber,0),1,1)&gt;INDEX(FlowCalLowSetting,MATCH(N889,FlowCalNumber,0),1,1), (INDEX(FlowCalConstA,MATCH(N889,FlowCalNumber,0),1,1)*P898^INDEX(FlowCalConstB,MATCH(N889,FlowCalNumber,0),1,1)&lt;INDEX(FlowCalHighSetting,MATCH(N889,FlowCalNumber,0),1,1))),INDEX(FlowCalConstA,MATCH(N889,FlowCalNumber,0),1,1)*P898^INDEX(FlowCalConstB,MATCH(N889,FlowCalNumber,0),1,1)," ")</f>
        <v>#REF!</v>
      </c>
      <c r="R898" s="33"/>
      <c r="S898" s="242">
        <f t="shared" si="844"/>
        <v>1</v>
      </c>
      <c r="T898" s="241" t="e">
        <f t="shared" ca="1" si="845"/>
        <v>#REF!</v>
      </c>
      <c r="U898" s="244" t="e">
        <f ca="1">IF(AND(INDEX(FlowCalConstA,MATCH(R889,FlowCalNumber,0),1,1)*T898^INDEX(FlowCalConstB,MATCH(R889,FlowCalNumber,0),1,1)&gt;INDEX(FlowCalLowSetting,MATCH(R889,FlowCalNumber,0),1,1), (INDEX(FlowCalConstA,MATCH(R889,FlowCalNumber,0),1,1)*T898^INDEX(FlowCalConstB,MATCH(R889,FlowCalNumber,0),1,1)&lt;INDEX(FlowCalHighSetting,MATCH(R889,FlowCalNumber,0),1,1))),INDEX(FlowCalConstA,MATCH(R889,FlowCalNumber,0),1,1)*T898^INDEX(FlowCalConstB,MATCH(R889,FlowCalNumber,0),1,1)," ")</f>
        <v>#REF!</v>
      </c>
      <c r="V898" s="33"/>
      <c r="W898" s="242">
        <f t="shared" si="846"/>
        <v>0.1</v>
      </c>
      <c r="X898" s="241" t="e">
        <f t="shared" ca="1" si="847"/>
        <v>#REF!</v>
      </c>
      <c r="Y898" s="243" t="e">
        <f ca="1">IF(AND(INDEX(FlowCalConstA,MATCH(V889,FlowCalNumber,0),1,1)*X898^INDEX(FlowCalConstB,MATCH(V889,FlowCalNumber,0),1,1)&gt;INDEX(FlowCalLowSetting,MATCH(V889,FlowCalNumber,0),1,1), (INDEX(FlowCalConstA,MATCH(V889,FlowCalNumber,0),1,1)*X898^INDEX(FlowCalConstB,MATCH(V889,FlowCalNumber,0),1,1)&lt;INDEX(FlowCalHighSetting,MATCH(V889,FlowCalNumber,0),1,1))),INDEX(FlowCalConstA,MATCH(V889,FlowCalNumber,0),1,1)*X898^INDEX(FlowCalConstB,MATCH(V889,FlowCalNumber,0),1,1)," ")</f>
        <v>#REF!</v>
      </c>
      <c r="Z898" s="33"/>
      <c r="AA898" s="242">
        <f t="shared" si="848"/>
        <v>0.9</v>
      </c>
      <c r="AB898" s="241" t="e">
        <f t="shared" ca="1" si="849"/>
        <v>#REF!</v>
      </c>
      <c r="AC898" s="243" t="e">
        <f ca="1">IF(AND(INDEX(FlowCalConstA,MATCH(Z889,FlowCalNumber,0),1,1)*AB898^INDEX(FlowCalConstB,MATCH(Z889,FlowCalNumber,0),1,1)&gt;INDEX(FlowCalLowSetting,MATCH(Z889,FlowCalNumber,0),1,1), (INDEX(FlowCalConstA,MATCH(Z889,FlowCalNumber,0),1,1)*AB898^INDEX(FlowCalConstB,MATCH(Z889,FlowCalNumber,0),1,1)&lt;INDEX(FlowCalHighSetting,MATCH(Z889,FlowCalNumber,0),1,1))),INDEX(FlowCalConstA,MATCH(Z889,FlowCalNumber,0),1,1)*AB898^INDEX(FlowCalConstB,MATCH(Z889,FlowCalNumber,0),1,1)," ")</f>
        <v>#REF!</v>
      </c>
      <c r="AD898" s="33"/>
      <c r="AE898" s="242">
        <f t="shared" si="850"/>
        <v>0.1</v>
      </c>
      <c r="AF898" s="241" t="e">
        <f t="shared" ca="1" si="851"/>
        <v>#REF!</v>
      </c>
      <c r="AG898" s="243" t="e">
        <f ca="1">IF(AND(INDEX(FlowCalConstA,MATCH(AD889,FlowCalNumber,0),1,1)*AF898^INDEX(FlowCalConstB,MATCH(AD889,FlowCalNumber,0),1,1)&gt;INDEX(FlowCalLowSetting,MATCH(AD889,FlowCalNumber,0),1,1), (INDEX(FlowCalConstA,MATCH(AD889,FlowCalNumber,0),1,1)*AF898^INDEX(FlowCalConstB,MATCH(AD889,FlowCalNumber,0),1,1)&lt;INDEX(FlowCalHighSetting,MATCH(AD889,FlowCalNumber,0),1,1))),INDEX(FlowCalConstA,MATCH(AD889,FlowCalNumber,0),1,1)*AF898^INDEX(FlowCalConstB,MATCH(AD889,FlowCalNumber,0),1,1)," ")</f>
        <v>#REF!</v>
      </c>
      <c r="AH898" s="33"/>
      <c r="AI898" s="242">
        <f t="shared" si="852"/>
        <v>0.9</v>
      </c>
      <c r="AJ898" s="241" t="e">
        <f t="shared" ca="1" si="853"/>
        <v>#REF!</v>
      </c>
      <c r="AK898" s="243" t="e">
        <f ca="1">IF(AND(INDEX(FlowCalConstA,MATCH(AH889,FlowCalNumber,0),1,1)*AJ898^INDEX(FlowCalConstB,MATCH(AH889,FlowCalNumber,0),1,1)&gt;INDEX(FlowCalLowSetting,MATCH(AH889,FlowCalNumber,0),1,1), (INDEX(FlowCalConstA,MATCH(AH889,FlowCalNumber,0),1,1)*AJ898^INDEX(FlowCalConstB,MATCH(AH889,FlowCalNumber,0),1,1)&lt;INDEX(FlowCalHighSetting,MATCH(AH889,FlowCalNumber,0),1,1))),INDEX(FlowCalConstA,MATCH(AH889,FlowCalNumber,0),1,1)*AJ898^INDEX(FlowCalConstB,MATCH(AH889,FlowCalNumber,0),1,1)," ")</f>
        <v>#REF!</v>
      </c>
      <c r="AL898" s="33"/>
      <c r="AM898" s="242"/>
      <c r="AN898" s="241"/>
      <c r="AO898" s="244"/>
      <c r="AQ898" s="242"/>
      <c r="AR898" s="241"/>
      <c r="AS898" s="244"/>
      <c r="AT898" s="33"/>
      <c r="AU898" s="242"/>
      <c r="AV898" s="241"/>
      <c r="AW898" s="244"/>
      <c r="AX898" s="33"/>
      <c r="AY898" s="242"/>
      <c r="AZ898" s="241"/>
      <c r="BA898" s="244"/>
      <c r="BB898" s="33"/>
      <c r="BC898" s="242"/>
      <c r="BD898" s="241"/>
      <c r="BE898" s="244"/>
      <c r="BF898" s="33"/>
      <c r="BG898" s="242"/>
      <c r="BH898" s="241"/>
      <c r="BI898" s="244"/>
      <c r="BJ898" s="33"/>
      <c r="BK898" s="242"/>
      <c r="BL898" s="241"/>
      <c r="BM898" s="244"/>
      <c r="BN898" s="33"/>
      <c r="BO898" s="242"/>
      <c r="BP898" s="241"/>
      <c r="BQ898" s="244"/>
      <c r="BR898" s="33"/>
      <c r="BS898" s="242"/>
      <c r="BT898" s="241"/>
      <c r="BU898" s="244"/>
      <c r="BV898" s="33"/>
      <c r="BW898" s="242"/>
      <c r="BX898" s="241"/>
      <c r="BY898" s="244"/>
      <c r="BZ898" s="33"/>
      <c r="CA898" s="242"/>
      <c r="CB898" s="241"/>
      <c r="CC898" s="244"/>
      <c r="CD898" s="243"/>
      <c r="CE898" s="243"/>
      <c r="CF898" s="243"/>
      <c r="CG898" s="243"/>
      <c r="CH898" s="243"/>
      <c r="CI898" s="243"/>
      <c r="CJ898" s="243"/>
      <c r="CK898" s="243"/>
      <c r="CL898" s="243"/>
      <c r="CM898" s="243"/>
      <c r="CN898" s="243"/>
      <c r="CO898" s="243"/>
      <c r="CP898" s="243"/>
      <c r="CQ898" s="243"/>
      <c r="CR898" s="243"/>
      <c r="CS898" s="243"/>
      <c r="CT898" s="243"/>
      <c r="CU898" s="243"/>
      <c r="CV898" s="243"/>
      <c r="CW898" s="243"/>
      <c r="CX898" s="243"/>
      <c r="CY898" s="243"/>
      <c r="CZ898" s="243"/>
      <c r="DA898" s="243"/>
      <c r="DB898" s="243"/>
      <c r="DC898" s="243"/>
      <c r="DD898" s="243"/>
      <c r="DE898" s="243"/>
      <c r="DF898" s="243"/>
      <c r="DG898" s="243"/>
      <c r="DH898" s="243"/>
      <c r="DI898" s="243"/>
      <c r="DJ898" s="243"/>
      <c r="DK898" s="243"/>
      <c r="DM898" s="242"/>
      <c r="DO898" s="243"/>
      <c r="DQ898" s="242"/>
      <c r="DS898" s="243"/>
      <c r="DU898" s="242"/>
      <c r="DW898" s="243"/>
      <c r="DY898" s="242"/>
      <c r="EA898" s="243"/>
    </row>
    <row r="899" spans="1:131">
      <c r="A899" s="20"/>
      <c r="B899" s="124" t="str">
        <f t="shared" si="838"/>
        <v/>
      </c>
      <c r="C899" s="235"/>
      <c r="D899" s="24">
        <f>'1% Wind'!$M$91</f>
        <v>4.2</v>
      </c>
      <c r="E899" s="90"/>
      <c r="F899" s="90"/>
      <c r="G899" s="79" t="e">
        <f ca="1">IF(I889=0.9743,$G898,MAX(G898/D898*D899,2))</f>
        <v>#REF!</v>
      </c>
      <c r="H899" s="121" t="e">
        <f t="shared" ca="1" si="839"/>
        <v>#REF!</v>
      </c>
      <c r="J899" s="33"/>
      <c r="K899" s="242">
        <f t="shared" si="840"/>
        <v>1</v>
      </c>
      <c r="L899" s="241" t="e">
        <f t="shared" ca="1" si="841"/>
        <v>#REF!</v>
      </c>
      <c r="M899" s="243" t="e">
        <f ca="1">IF(AND(INDEX(FlowCalConstA,MATCH(J889,FlowCalNumber,0),1,1)*L899^INDEX(FlowCalConstB,MATCH(J889,FlowCalNumber,0),1,1)&gt;INDEX(FlowCalLowSetting,MATCH(J889,FlowCalNumber,0),1,1), (INDEX(FlowCalConstA,MATCH(J889,FlowCalNumber,0),1,1)*L899^INDEX(FlowCalConstB,MATCH(J889,FlowCalNumber,0),1,1)&lt;INDEX(FlowCalHighSetting,MATCH(J889,FlowCalNumber,0),1,1))),INDEX(FlowCalConstA,MATCH(J889,FlowCalNumber,0),1,1)*L899^INDEX(FlowCalConstB,MATCH(J889,FlowCalNumber,0),1,1)," ")</f>
        <v>#REF!</v>
      </c>
      <c r="N899" s="33"/>
      <c r="O899" s="242">
        <f t="shared" si="842"/>
        <v>1</v>
      </c>
      <c r="P899" s="241" t="e">
        <f t="shared" ca="1" si="843"/>
        <v>#REF!</v>
      </c>
      <c r="Q899" s="243" t="e">
        <f ca="1">IF(AND(INDEX(FlowCalConstA,MATCH(N889,FlowCalNumber,0),1,1)*P899^INDEX(FlowCalConstB,MATCH(N889,FlowCalNumber,0),1,1)&gt;INDEX(FlowCalLowSetting,MATCH(N889,FlowCalNumber,0),1,1), (INDEX(FlowCalConstA,MATCH(N889,FlowCalNumber,0),1,1)*P899^INDEX(FlowCalConstB,MATCH(N889,FlowCalNumber,0),1,1)&lt;INDEX(FlowCalHighSetting,MATCH(N889,FlowCalNumber,0),1,1))),INDEX(FlowCalConstA,MATCH(N889,FlowCalNumber,0),1,1)*P899^INDEX(FlowCalConstB,MATCH(N889,FlowCalNumber,0),1,1)," ")</f>
        <v>#REF!</v>
      </c>
      <c r="R899" s="33"/>
      <c r="S899" s="242">
        <f t="shared" si="844"/>
        <v>1</v>
      </c>
      <c r="T899" s="241" t="e">
        <f t="shared" ca="1" si="845"/>
        <v>#REF!</v>
      </c>
      <c r="U899" s="244" t="e">
        <f ca="1">IF(AND(INDEX(FlowCalConstA,MATCH(R889,FlowCalNumber,0),1,1)*T899^INDEX(FlowCalConstB,MATCH(R889,FlowCalNumber,0),1,1)&gt;INDEX(FlowCalLowSetting,MATCH(R889,FlowCalNumber,0),1,1), (INDEX(FlowCalConstA,MATCH(R889,FlowCalNumber,0),1,1)*T899^INDEX(FlowCalConstB,MATCH(R889,FlowCalNumber,0),1,1)&lt;INDEX(FlowCalHighSetting,MATCH(R889,FlowCalNumber,0),1,1))),INDEX(FlowCalConstA,MATCH(R889,FlowCalNumber,0),1,1)*T899^INDEX(FlowCalConstB,MATCH(R889,FlowCalNumber,0),1,1)," ")</f>
        <v>#REF!</v>
      </c>
      <c r="V899" s="33"/>
      <c r="W899" s="242">
        <f t="shared" si="846"/>
        <v>0.1</v>
      </c>
      <c r="X899" s="241" t="e">
        <f t="shared" ca="1" si="847"/>
        <v>#REF!</v>
      </c>
      <c r="Y899" s="243" t="e">
        <f ca="1">IF(AND(INDEX(FlowCalConstA,MATCH(V889,FlowCalNumber,0),1,1)*X899^INDEX(FlowCalConstB,MATCH(V889,FlowCalNumber,0),1,1)&gt;INDEX(FlowCalLowSetting,MATCH(V889,FlowCalNumber,0),1,1), (INDEX(FlowCalConstA,MATCH(V889,FlowCalNumber,0),1,1)*X899^INDEX(FlowCalConstB,MATCH(V889,FlowCalNumber,0),1,1)&lt;INDEX(FlowCalHighSetting,MATCH(V889,FlowCalNumber,0),1,1))),INDEX(FlowCalConstA,MATCH(V889,FlowCalNumber,0),1,1)*X899^INDEX(FlowCalConstB,MATCH(V889,FlowCalNumber,0),1,1)," ")</f>
        <v>#REF!</v>
      </c>
      <c r="Z899" s="33"/>
      <c r="AA899" s="242">
        <f t="shared" si="848"/>
        <v>0.9</v>
      </c>
      <c r="AB899" s="241" t="e">
        <f t="shared" ca="1" si="849"/>
        <v>#REF!</v>
      </c>
      <c r="AC899" s="243" t="e">
        <f ca="1">IF(AND(INDEX(FlowCalConstA,MATCH(Z889,FlowCalNumber,0),1,1)*AB899^INDEX(FlowCalConstB,MATCH(Z889,FlowCalNumber,0),1,1)&gt;INDEX(FlowCalLowSetting,MATCH(Z889,FlowCalNumber,0),1,1), (INDEX(FlowCalConstA,MATCH(Z889,FlowCalNumber,0),1,1)*AB899^INDEX(FlowCalConstB,MATCH(Z889,FlowCalNumber,0),1,1)&lt;INDEX(FlowCalHighSetting,MATCH(Z889,FlowCalNumber,0),1,1))),INDEX(FlowCalConstA,MATCH(Z889,FlowCalNumber,0),1,1)*AB899^INDEX(FlowCalConstB,MATCH(Z889,FlowCalNumber,0),1,1)," ")</f>
        <v>#REF!</v>
      </c>
      <c r="AD899" s="33"/>
      <c r="AE899" s="242">
        <f t="shared" si="850"/>
        <v>0.1</v>
      </c>
      <c r="AF899" s="241" t="e">
        <f t="shared" ca="1" si="851"/>
        <v>#REF!</v>
      </c>
      <c r="AG899" s="243" t="e">
        <f ca="1">IF(AND(INDEX(FlowCalConstA,MATCH(AD889,FlowCalNumber,0),1,1)*AF899^INDEX(FlowCalConstB,MATCH(AD889,FlowCalNumber,0),1,1)&gt;INDEX(FlowCalLowSetting,MATCH(AD889,FlowCalNumber,0),1,1), (INDEX(FlowCalConstA,MATCH(AD889,FlowCalNumber,0),1,1)*AF899^INDEX(FlowCalConstB,MATCH(AD889,FlowCalNumber,0),1,1)&lt;INDEX(FlowCalHighSetting,MATCH(AD889,FlowCalNumber,0),1,1))),INDEX(FlowCalConstA,MATCH(AD889,FlowCalNumber,0),1,1)*AF899^INDEX(FlowCalConstB,MATCH(AD889,FlowCalNumber,0),1,1)," ")</f>
        <v>#REF!</v>
      </c>
      <c r="AH899" s="33"/>
      <c r="AI899" s="242">
        <f t="shared" si="852"/>
        <v>0.9</v>
      </c>
      <c r="AJ899" s="241" t="e">
        <f t="shared" ca="1" si="853"/>
        <v>#REF!</v>
      </c>
      <c r="AK899" s="243" t="e">
        <f ca="1">IF(AND(INDEX(FlowCalConstA,MATCH(AH889,FlowCalNumber,0),1,1)*AJ899^INDEX(FlowCalConstB,MATCH(AH889,FlowCalNumber,0),1,1)&gt;INDEX(FlowCalLowSetting,MATCH(AH889,FlowCalNumber,0),1,1), (INDEX(FlowCalConstA,MATCH(AH889,FlowCalNumber,0),1,1)*AJ899^INDEX(FlowCalConstB,MATCH(AH889,FlowCalNumber,0),1,1)&lt;INDEX(FlowCalHighSetting,MATCH(AH889,FlowCalNumber,0),1,1))),INDEX(FlowCalConstA,MATCH(AH889,FlowCalNumber,0),1,1)*AJ899^INDEX(FlowCalConstB,MATCH(AH889,FlowCalNumber,0),1,1)," ")</f>
        <v>#REF!</v>
      </c>
      <c r="AL899" s="33"/>
      <c r="AM899" s="242"/>
      <c r="AN899" s="241"/>
      <c r="AO899" s="244"/>
      <c r="AQ899" s="242"/>
      <c r="AR899" s="241"/>
      <c r="AS899" s="244"/>
      <c r="AT899" s="33"/>
      <c r="AU899" s="242"/>
      <c r="AV899" s="241"/>
      <c r="AW899" s="244"/>
      <c r="AX899" s="33"/>
      <c r="AY899" s="242"/>
      <c r="AZ899" s="241"/>
      <c r="BA899" s="244"/>
      <c r="BB899" s="33"/>
      <c r="BC899" s="242"/>
      <c r="BD899" s="241"/>
      <c r="BE899" s="244"/>
      <c r="BF899" s="33"/>
      <c r="BG899" s="242"/>
      <c r="BH899" s="241"/>
      <c r="BI899" s="244"/>
      <c r="BJ899" s="33"/>
      <c r="BK899" s="242"/>
      <c r="BL899" s="241"/>
      <c r="BM899" s="244"/>
      <c r="BN899" s="33"/>
      <c r="BO899" s="242"/>
      <c r="BP899" s="241"/>
      <c r="BQ899" s="244"/>
      <c r="BR899" s="33"/>
      <c r="BS899" s="242"/>
      <c r="BT899" s="241"/>
      <c r="BU899" s="244"/>
      <c r="BV899" s="33"/>
      <c r="BW899" s="242"/>
      <c r="BX899" s="241"/>
      <c r="BY899" s="244"/>
      <c r="BZ899" s="33"/>
      <c r="CA899" s="242"/>
      <c r="CB899" s="241"/>
      <c r="CC899" s="244"/>
      <c r="CD899" s="243"/>
      <c r="CE899" s="243"/>
      <c r="CF899" s="243"/>
      <c r="CG899" s="243"/>
      <c r="CH899" s="243"/>
      <c r="CI899" s="243"/>
      <c r="CJ899" s="243"/>
      <c r="CK899" s="243"/>
      <c r="CL899" s="243"/>
      <c r="CM899" s="243"/>
      <c r="CN899" s="243"/>
      <c r="CO899" s="243"/>
      <c r="CP899" s="243"/>
      <c r="CQ899" s="243"/>
      <c r="CR899" s="243"/>
      <c r="CS899" s="243"/>
      <c r="CT899" s="243"/>
      <c r="CU899" s="243"/>
      <c r="CV899" s="243"/>
      <c r="CW899" s="243"/>
      <c r="CX899" s="243"/>
      <c r="CY899" s="243"/>
      <c r="CZ899" s="243"/>
      <c r="DA899" s="243"/>
      <c r="DB899" s="243"/>
      <c r="DC899" s="243"/>
      <c r="DD899" s="243"/>
      <c r="DE899" s="243"/>
      <c r="DF899" s="243"/>
      <c r="DG899" s="243"/>
      <c r="DH899" s="243"/>
      <c r="DI899" s="243"/>
      <c r="DJ899" s="243"/>
      <c r="DK899" s="243"/>
      <c r="DM899" s="242"/>
      <c r="DO899" s="243"/>
      <c r="DQ899" s="242"/>
      <c r="DS899" s="243"/>
      <c r="DU899" s="242"/>
      <c r="DW899" s="243"/>
      <c r="DY899" s="242"/>
      <c r="EA899" s="243"/>
    </row>
    <row r="900" spans="1:131">
      <c r="A900" s="20"/>
      <c r="B900" s="124" t="str">
        <f t="shared" si="838"/>
        <v/>
      </c>
      <c r="C900" s="235"/>
      <c r="D900" s="24">
        <f>'1% Wind'!$M$92</f>
        <v>3.2</v>
      </c>
      <c r="E900" s="90"/>
      <c r="F900" s="90"/>
      <c r="G900" s="79" t="e">
        <f ca="1">IF(I889=0.9743,$G899,MAX(G899/D899*D900,2))</f>
        <v>#REF!</v>
      </c>
      <c r="H900" s="121" t="e">
        <f t="shared" ca="1" si="839"/>
        <v>#REF!</v>
      </c>
      <c r="J900" s="33"/>
      <c r="K900" s="242">
        <f t="shared" si="840"/>
        <v>1</v>
      </c>
      <c r="L900" s="241" t="e">
        <f t="shared" ca="1" si="841"/>
        <v>#REF!</v>
      </c>
      <c r="M900" s="243" t="e">
        <f ca="1">IF(AND(INDEX(FlowCalConstA,MATCH(J889,FlowCalNumber,0),1,1)*L900^INDEX(FlowCalConstB,MATCH(J889,FlowCalNumber,0),1,1)&gt;INDEX(FlowCalLowSetting,MATCH(J889,FlowCalNumber,0),1,1), (INDEX(FlowCalConstA,MATCH(J889,FlowCalNumber,0),1,1)*L900^INDEX(FlowCalConstB,MATCH(J889,FlowCalNumber,0),1,1)&lt;INDEX(FlowCalHighSetting,MATCH(J889,FlowCalNumber,0),1,1))),INDEX(FlowCalConstA,MATCH(J889,FlowCalNumber,0),1,1)*L900^INDEX(FlowCalConstB,MATCH(J889,FlowCalNumber,0),1,1)," ")</f>
        <v>#REF!</v>
      </c>
      <c r="N900" s="33"/>
      <c r="O900" s="242">
        <f t="shared" si="842"/>
        <v>1</v>
      </c>
      <c r="P900" s="241" t="e">
        <f t="shared" ca="1" si="843"/>
        <v>#REF!</v>
      </c>
      <c r="Q900" s="243" t="e">
        <f ca="1">IF(AND(INDEX(FlowCalConstA,MATCH(N889,FlowCalNumber,0),1,1)*P900^INDEX(FlowCalConstB,MATCH(N889,FlowCalNumber,0),1,1)&gt;INDEX(FlowCalLowSetting,MATCH(N889,FlowCalNumber,0),1,1), (INDEX(FlowCalConstA,MATCH(N889,FlowCalNumber,0),1,1)*P900^INDEX(FlowCalConstB,MATCH(N889,FlowCalNumber,0),1,1)&lt;INDEX(FlowCalHighSetting,MATCH(N889,FlowCalNumber,0),1,1))),INDEX(FlowCalConstA,MATCH(N889,FlowCalNumber,0),1,1)*P900^INDEX(FlowCalConstB,MATCH(N889,FlowCalNumber,0),1,1)," ")</f>
        <v>#REF!</v>
      </c>
      <c r="R900" s="33"/>
      <c r="S900" s="242">
        <f t="shared" si="844"/>
        <v>1</v>
      </c>
      <c r="T900" s="241" t="e">
        <f t="shared" ca="1" si="845"/>
        <v>#REF!</v>
      </c>
      <c r="U900" s="244" t="e">
        <f ca="1">IF(AND(INDEX(FlowCalConstA,MATCH(R889,FlowCalNumber,0),1,1)*T900^INDEX(FlowCalConstB,MATCH(R889,FlowCalNumber,0),1,1)&gt;INDEX(FlowCalLowSetting,MATCH(R889,FlowCalNumber,0),1,1), (INDEX(FlowCalConstA,MATCH(R889,FlowCalNumber,0),1,1)*T900^INDEX(FlowCalConstB,MATCH(R889,FlowCalNumber,0),1,1)&lt;INDEX(FlowCalHighSetting,MATCH(R889,FlowCalNumber,0),1,1))),INDEX(FlowCalConstA,MATCH(R889,FlowCalNumber,0),1,1)*T900^INDEX(FlowCalConstB,MATCH(R889,FlowCalNumber,0),1,1)," ")</f>
        <v>#REF!</v>
      </c>
      <c r="V900" s="33"/>
      <c r="W900" s="242">
        <f t="shared" si="846"/>
        <v>0.1</v>
      </c>
      <c r="X900" s="241" t="e">
        <f t="shared" ca="1" si="847"/>
        <v>#REF!</v>
      </c>
      <c r="Y900" s="243" t="e">
        <f ca="1">IF(AND(INDEX(FlowCalConstA,MATCH(V889,FlowCalNumber,0),1,1)*X900^INDEX(FlowCalConstB,MATCH(V889,FlowCalNumber,0),1,1)&gt;INDEX(FlowCalLowSetting,MATCH(V889,FlowCalNumber,0),1,1), (INDEX(FlowCalConstA,MATCH(V889,FlowCalNumber,0),1,1)*X900^INDEX(FlowCalConstB,MATCH(V889,FlowCalNumber,0),1,1)&lt;INDEX(FlowCalHighSetting,MATCH(V889,FlowCalNumber,0),1,1))),INDEX(FlowCalConstA,MATCH(V889,FlowCalNumber,0),1,1)*X900^INDEX(FlowCalConstB,MATCH(V889,FlowCalNumber,0),1,1)," ")</f>
        <v>#REF!</v>
      </c>
      <c r="Z900" s="33"/>
      <c r="AA900" s="242">
        <f t="shared" si="848"/>
        <v>0.9</v>
      </c>
      <c r="AB900" s="241" t="e">
        <f t="shared" ca="1" si="849"/>
        <v>#REF!</v>
      </c>
      <c r="AC900" s="243" t="e">
        <f ca="1">IF(AND(INDEX(FlowCalConstA,MATCH(Z889,FlowCalNumber,0),1,1)*AB900^INDEX(FlowCalConstB,MATCH(Z889,FlowCalNumber,0),1,1)&gt;INDEX(FlowCalLowSetting,MATCH(Z889,FlowCalNumber,0),1,1), (INDEX(FlowCalConstA,MATCH(Z889,FlowCalNumber,0),1,1)*AB900^INDEX(FlowCalConstB,MATCH(Z889,FlowCalNumber,0),1,1)&lt;INDEX(FlowCalHighSetting,MATCH(Z889,FlowCalNumber,0),1,1))),INDEX(FlowCalConstA,MATCH(Z889,FlowCalNumber,0),1,1)*AB900^INDEX(FlowCalConstB,MATCH(Z889,FlowCalNumber,0),1,1)," ")</f>
        <v>#REF!</v>
      </c>
      <c r="AD900" s="33"/>
      <c r="AE900" s="242">
        <f t="shared" si="850"/>
        <v>0.1</v>
      </c>
      <c r="AF900" s="241" t="e">
        <f t="shared" ca="1" si="851"/>
        <v>#REF!</v>
      </c>
      <c r="AG900" s="243" t="e">
        <f ca="1">IF(AND(INDEX(FlowCalConstA,MATCH(AD889,FlowCalNumber,0),1,1)*AF900^INDEX(FlowCalConstB,MATCH(AD889,FlowCalNumber,0),1,1)&gt;INDEX(FlowCalLowSetting,MATCH(AD889,FlowCalNumber,0),1,1), (INDEX(FlowCalConstA,MATCH(AD889,FlowCalNumber,0),1,1)*AF900^INDEX(FlowCalConstB,MATCH(AD889,FlowCalNumber,0),1,1)&lt;INDEX(FlowCalHighSetting,MATCH(AD889,FlowCalNumber,0),1,1))),INDEX(FlowCalConstA,MATCH(AD889,FlowCalNumber,0),1,1)*AF900^INDEX(FlowCalConstB,MATCH(AD889,FlowCalNumber,0),1,1)," ")</f>
        <v>#REF!</v>
      </c>
      <c r="AH900" s="33"/>
      <c r="AI900" s="242">
        <f t="shared" si="852"/>
        <v>0.9</v>
      </c>
      <c r="AJ900" s="241" t="e">
        <f t="shared" ca="1" si="853"/>
        <v>#REF!</v>
      </c>
      <c r="AK900" s="243" t="e">
        <f ca="1">IF(AND(INDEX(FlowCalConstA,MATCH(AH889,FlowCalNumber,0),1,1)*AJ900^INDEX(FlowCalConstB,MATCH(AH889,FlowCalNumber,0),1,1)&gt;INDEX(FlowCalLowSetting,MATCH(AH889,FlowCalNumber,0),1,1), (INDEX(FlowCalConstA,MATCH(AH889,FlowCalNumber,0),1,1)*AJ900^INDEX(FlowCalConstB,MATCH(AH889,FlowCalNumber,0),1,1)&lt;INDEX(FlowCalHighSetting,MATCH(AH889,FlowCalNumber,0),1,1))),INDEX(FlowCalConstA,MATCH(AH889,FlowCalNumber,0),1,1)*AJ900^INDEX(FlowCalConstB,MATCH(AH889,FlowCalNumber,0),1,1)," ")</f>
        <v>#REF!</v>
      </c>
      <c r="AL900" s="33"/>
      <c r="AM900" s="242"/>
      <c r="AN900" s="241"/>
      <c r="AO900" s="244"/>
      <c r="AQ900" s="242"/>
      <c r="AR900" s="241"/>
      <c r="AS900" s="244"/>
      <c r="AT900" s="33"/>
      <c r="AU900" s="242"/>
      <c r="AV900" s="241"/>
      <c r="AW900" s="244"/>
      <c r="AX900" s="33"/>
      <c r="AY900" s="242"/>
      <c r="AZ900" s="241"/>
      <c r="BA900" s="244"/>
      <c r="BB900" s="33"/>
      <c r="BC900" s="242"/>
      <c r="BD900" s="241"/>
      <c r="BE900" s="244"/>
      <c r="BF900" s="33"/>
      <c r="BG900" s="242"/>
      <c r="BH900" s="241"/>
      <c r="BI900" s="244"/>
      <c r="BJ900" s="33"/>
      <c r="BK900" s="242"/>
      <c r="BL900" s="241"/>
      <c r="BM900" s="244"/>
      <c r="BN900" s="33"/>
      <c r="BO900" s="242"/>
      <c r="BP900" s="241"/>
      <c r="BQ900" s="244"/>
      <c r="BR900" s="33"/>
      <c r="BS900" s="242"/>
      <c r="BT900" s="241"/>
      <c r="BU900" s="244"/>
      <c r="BV900" s="33"/>
      <c r="BW900" s="242"/>
      <c r="BX900" s="241"/>
      <c r="BY900" s="244"/>
      <c r="BZ900" s="33"/>
      <c r="CA900" s="242"/>
      <c r="CB900" s="241"/>
      <c r="CC900" s="244"/>
      <c r="CD900" s="243"/>
      <c r="CE900" s="243"/>
      <c r="CF900" s="243"/>
      <c r="CG900" s="243"/>
      <c r="CH900" s="243"/>
      <c r="CI900" s="243"/>
      <c r="CJ900" s="243"/>
      <c r="CK900" s="243"/>
      <c r="CL900" s="243"/>
      <c r="CM900" s="243"/>
      <c r="CN900" s="243"/>
      <c r="CO900" s="243"/>
      <c r="CP900" s="243"/>
      <c r="CQ900" s="243"/>
      <c r="CR900" s="243"/>
      <c r="CS900" s="243"/>
      <c r="CT900" s="243"/>
      <c r="CU900" s="243"/>
      <c r="CV900" s="243"/>
      <c r="CW900" s="243"/>
      <c r="CX900" s="243"/>
      <c r="CY900" s="243"/>
      <c r="CZ900" s="243"/>
      <c r="DA900" s="243"/>
      <c r="DB900" s="243"/>
      <c r="DC900" s="243"/>
      <c r="DD900" s="243"/>
      <c r="DE900" s="243"/>
      <c r="DF900" s="243"/>
      <c r="DG900" s="243"/>
      <c r="DH900" s="243"/>
      <c r="DI900" s="243"/>
      <c r="DJ900" s="243"/>
      <c r="DK900" s="243"/>
      <c r="DM900" s="242"/>
      <c r="DO900" s="243"/>
      <c r="DQ900" s="242"/>
      <c r="DS900" s="243"/>
      <c r="DU900" s="242"/>
      <c r="DW900" s="243"/>
      <c r="DY900" s="242"/>
      <c r="EA900" s="243"/>
    </row>
    <row r="901" spans="1:131">
      <c r="A901" s="20"/>
      <c r="B901" s="124" t="str">
        <f t="shared" si="838"/>
        <v/>
      </c>
      <c r="C901" s="235"/>
      <c r="D901" s="24">
        <f>'1% Wind'!$M$93</f>
        <v>2.4</v>
      </c>
      <c r="E901" s="90"/>
      <c r="F901" s="90"/>
      <c r="G901" s="79" t="e">
        <f ca="1">IF(I889=0.9743,$G900,MAX(G900/D900*D901,2))</f>
        <v>#REF!</v>
      </c>
      <c r="H901" s="121" t="e">
        <f t="shared" ca="1" si="839"/>
        <v>#REF!</v>
      </c>
      <c r="J901" s="33"/>
      <c r="K901" s="242">
        <f t="shared" si="840"/>
        <v>1</v>
      </c>
      <c r="L901" s="241" t="e">
        <f t="shared" ca="1" si="841"/>
        <v>#REF!</v>
      </c>
      <c r="M901" s="243" t="e">
        <f ca="1">IF(AND(INDEX(FlowCalConstA,MATCH(J889,FlowCalNumber,0),1,1)*L901^INDEX(FlowCalConstB,MATCH(J889,FlowCalNumber,0),1,1)&gt;INDEX(FlowCalLowSetting,MATCH(J889,FlowCalNumber,0),1,1), (INDEX(FlowCalConstA,MATCH(J889,FlowCalNumber,0),1,1)*L901^INDEX(FlowCalConstB,MATCH(J889,FlowCalNumber,0),1,1)&lt;INDEX(FlowCalHighSetting,MATCH(J889,FlowCalNumber,0),1,1))),INDEX(FlowCalConstA,MATCH(J889,FlowCalNumber,0),1,1)*L901^INDEX(FlowCalConstB,MATCH(J889,FlowCalNumber,0),1,1)," ")</f>
        <v>#REF!</v>
      </c>
      <c r="N901" s="33"/>
      <c r="O901" s="242">
        <f t="shared" si="842"/>
        <v>1</v>
      </c>
      <c r="P901" s="241" t="e">
        <f t="shared" ca="1" si="843"/>
        <v>#REF!</v>
      </c>
      <c r="Q901" s="243" t="e">
        <f ca="1">IF(AND(INDEX(FlowCalConstA,MATCH(N889,FlowCalNumber,0),1,1)*P901^INDEX(FlowCalConstB,MATCH(N889,FlowCalNumber,0),1,1)&gt;INDEX(FlowCalLowSetting,MATCH(N889,FlowCalNumber,0),1,1), (INDEX(FlowCalConstA,MATCH(N889,FlowCalNumber,0),1,1)*P901^INDEX(FlowCalConstB,MATCH(N889,FlowCalNumber,0),1,1)&lt;INDEX(FlowCalHighSetting,MATCH(N889,FlowCalNumber,0),1,1))),INDEX(FlowCalConstA,MATCH(N889,FlowCalNumber,0),1,1)*P901^INDEX(FlowCalConstB,MATCH(N889,FlowCalNumber,0),1,1)," ")</f>
        <v>#REF!</v>
      </c>
      <c r="R901" s="33"/>
      <c r="S901" s="242">
        <f t="shared" si="844"/>
        <v>1</v>
      </c>
      <c r="T901" s="241" t="e">
        <f t="shared" ca="1" si="845"/>
        <v>#REF!</v>
      </c>
      <c r="U901" s="244" t="e">
        <f ca="1">IF(AND(INDEX(FlowCalConstA,MATCH(R889,FlowCalNumber,0),1,1)*T901^INDEX(FlowCalConstB,MATCH(R889,FlowCalNumber,0),1,1)&gt;INDEX(FlowCalLowSetting,MATCH(R889,FlowCalNumber,0),1,1), (INDEX(FlowCalConstA,MATCH(R889,FlowCalNumber,0),1,1)*T901^INDEX(FlowCalConstB,MATCH(R889,FlowCalNumber,0),1,1)&lt;INDEX(FlowCalHighSetting,MATCH(R889,FlowCalNumber,0),1,1))),INDEX(FlowCalConstA,MATCH(R889,FlowCalNumber,0),1,1)*T901^INDEX(FlowCalConstB,MATCH(R889,FlowCalNumber,0),1,1)," ")</f>
        <v>#REF!</v>
      </c>
      <c r="V901" s="33"/>
      <c r="W901" s="242">
        <f t="shared" si="846"/>
        <v>0.1</v>
      </c>
      <c r="X901" s="241" t="e">
        <f t="shared" ca="1" si="847"/>
        <v>#REF!</v>
      </c>
      <c r="Y901" s="243" t="e">
        <f ca="1">IF(AND(INDEX(FlowCalConstA,MATCH(V889,FlowCalNumber,0),1,1)*X901^INDEX(FlowCalConstB,MATCH(V889,FlowCalNumber,0),1,1)&gt;INDEX(FlowCalLowSetting,MATCH(V889,FlowCalNumber,0),1,1), (INDEX(FlowCalConstA,MATCH(V889,FlowCalNumber,0),1,1)*X901^INDEX(FlowCalConstB,MATCH(V889,FlowCalNumber,0),1,1)&lt;INDEX(FlowCalHighSetting,MATCH(V889,FlowCalNumber,0),1,1))),INDEX(FlowCalConstA,MATCH(V889,FlowCalNumber,0),1,1)*X901^INDEX(FlowCalConstB,MATCH(V889,FlowCalNumber,0),1,1)," ")</f>
        <v>#REF!</v>
      </c>
      <c r="Z901" s="33"/>
      <c r="AA901" s="242">
        <f t="shared" si="848"/>
        <v>0.9</v>
      </c>
      <c r="AB901" s="241" t="e">
        <f t="shared" ca="1" si="849"/>
        <v>#REF!</v>
      </c>
      <c r="AC901" s="243" t="e">
        <f ca="1">IF(AND(INDEX(FlowCalConstA,MATCH(Z889,FlowCalNumber,0),1,1)*AB901^INDEX(FlowCalConstB,MATCH(Z889,FlowCalNumber,0),1,1)&gt;INDEX(FlowCalLowSetting,MATCH(Z889,FlowCalNumber,0),1,1), (INDEX(FlowCalConstA,MATCH(Z889,FlowCalNumber,0),1,1)*AB901^INDEX(FlowCalConstB,MATCH(Z889,FlowCalNumber,0),1,1)&lt;INDEX(FlowCalHighSetting,MATCH(Z889,FlowCalNumber,0),1,1))),INDEX(FlowCalConstA,MATCH(Z889,FlowCalNumber,0),1,1)*AB901^INDEX(FlowCalConstB,MATCH(Z889,FlowCalNumber,0),1,1)," ")</f>
        <v>#REF!</v>
      </c>
      <c r="AD901" s="33"/>
      <c r="AE901" s="242">
        <f t="shared" si="850"/>
        <v>0.1</v>
      </c>
      <c r="AF901" s="241" t="e">
        <f t="shared" ca="1" si="851"/>
        <v>#REF!</v>
      </c>
      <c r="AG901" s="243" t="e">
        <f ca="1">IF(AND(INDEX(FlowCalConstA,MATCH(AD889,FlowCalNumber,0),1,1)*AF901^INDEX(FlowCalConstB,MATCH(AD889,FlowCalNumber,0),1,1)&gt;INDEX(FlowCalLowSetting,MATCH(AD889,FlowCalNumber,0),1,1), (INDEX(FlowCalConstA,MATCH(AD889,FlowCalNumber,0),1,1)*AF901^INDEX(FlowCalConstB,MATCH(AD889,FlowCalNumber,0),1,1)&lt;INDEX(FlowCalHighSetting,MATCH(AD889,FlowCalNumber,0),1,1))),INDEX(FlowCalConstA,MATCH(AD889,FlowCalNumber,0),1,1)*AF901^INDEX(FlowCalConstB,MATCH(AD889,FlowCalNumber,0),1,1)," ")</f>
        <v>#REF!</v>
      </c>
      <c r="AH901" s="33"/>
      <c r="AI901" s="242">
        <f t="shared" si="852"/>
        <v>0.9</v>
      </c>
      <c r="AJ901" s="241" t="e">
        <f t="shared" ca="1" si="853"/>
        <v>#REF!</v>
      </c>
      <c r="AK901" s="243" t="e">
        <f ca="1">IF(AND(INDEX(FlowCalConstA,MATCH(AH889,FlowCalNumber,0),1,1)*AJ901^INDEX(FlowCalConstB,MATCH(AH889,FlowCalNumber,0),1,1)&gt;INDEX(FlowCalLowSetting,MATCH(AH889,FlowCalNumber,0),1,1), (INDEX(FlowCalConstA,MATCH(AH889,FlowCalNumber,0),1,1)*AJ901^INDEX(FlowCalConstB,MATCH(AH889,FlowCalNumber,0),1,1)&lt;INDEX(FlowCalHighSetting,MATCH(AH889,FlowCalNumber,0),1,1))),INDEX(FlowCalConstA,MATCH(AH889,FlowCalNumber,0),1,1)*AJ901^INDEX(FlowCalConstB,MATCH(AH889,FlowCalNumber,0),1,1)," ")</f>
        <v>#REF!</v>
      </c>
      <c r="AL901" s="33"/>
      <c r="AM901" s="242"/>
      <c r="AN901" s="241"/>
      <c r="AO901" s="244"/>
      <c r="AQ901" s="242"/>
      <c r="AR901" s="241"/>
      <c r="AS901" s="244"/>
      <c r="AT901" s="33"/>
      <c r="AU901" s="242"/>
      <c r="AV901" s="241"/>
      <c r="AW901" s="244"/>
      <c r="AX901" s="33"/>
      <c r="AY901" s="242"/>
      <c r="AZ901" s="241"/>
      <c r="BA901" s="244"/>
      <c r="BB901" s="33"/>
      <c r="BC901" s="242"/>
      <c r="BD901" s="241"/>
      <c r="BE901" s="244"/>
      <c r="BF901" s="33"/>
      <c r="BG901" s="242"/>
      <c r="BH901" s="241"/>
      <c r="BI901" s="244"/>
      <c r="BJ901" s="33"/>
      <c r="BK901" s="242"/>
      <c r="BL901" s="241"/>
      <c r="BM901" s="244"/>
      <c r="BN901" s="33"/>
      <c r="BO901" s="242"/>
      <c r="BP901" s="241"/>
      <c r="BQ901" s="244"/>
      <c r="BR901" s="33"/>
      <c r="BS901" s="242"/>
      <c r="BT901" s="241"/>
      <c r="BU901" s="244"/>
      <c r="BV901" s="33"/>
      <c r="BW901" s="242"/>
      <c r="BX901" s="241"/>
      <c r="BY901" s="244"/>
      <c r="BZ901" s="33"/>
      <c r="CA901" s="242"/>
      <c r="CB901" s="241"/>
      <c r="CC901" s="244"/>
      <c r="CD901" s="243"/>
      <c r="CE901" s="243"/>
      <c r="CF901" s="243"/>
      <c r="CG901" s="243"/>
      <c r="CH901" s="243"/>
      <c r="CI901" s="243"/>
      <c r="CJ901" s="243"/>
      <c r="CK901" s="243"/>
      <c r="CL901" s="243"/>
      <c r="CM901" s="243"/>
      <c r="CN901" s="243"/>
      <c r="CO901" s="243"/>
      <c r="CP901" s="243"/>
      <c r="CQ901" s="243"/>
      <c r="CR901" s="243"/>
      <c r="CS901" s="243"/>
      <c r="CT901" s="243"/>
      <c r="CU901" s="243"/>
      <c r="CV901" s="243"/>
      <c r="CW901" s="243"/>
      <c r="CX901" s="243"/>
      <c r="CY901" s="243"/>
      <c r="CZ901" s="243"/>
      <c r="DA901" s="243"/>
      <c r="DB901" s="243"/>
      <c r="DC901" s="243"/>
      <c r="DD901" s="243"/>
      <c r="DE901" s="243"/>
      <c r="DF901" s="243"/>
      <c r="DG901" s="243"/>
      <c r="DH901" s="243"/>
      <c r="DI901" s="243"/>
      <c r="DJ901" s="243"/>
      <c r="DK901" s="243"/>
      <c r="DM901" s="242"/>
      <c r="DO901" s="243"/>
      <c r="DQ901" s="242"/>
      <c r="DS901" s="243"/>
      <c r="DU901" s="242"/>
      <c r="DW901" s="243"/>
      <c r="DY901" s="242"/>
      <c r="EA901" s="243"/>
    </row>
    <row r="902" spans="1:131">
      <c r="A902" s="20"/>
      <c r="B902" s="124" t="str">
        <f t="shared" si="838"/>
        <v/>
      </c>
      <c r="C902" s="235"/>
      <c r="D902" s="24">
        <f>'1% Wind'!$M$94</f>
        <v>1.8</v>
      </c>
      <c r="E902" s="90"/>
      <c r="F902" s="90"/>
      <c r="G902" s="79" t="e">
        <f ca="1">IF(I889=0.9743,$G901,MAX(G901/D901*D902,2))</f>
        <v>#REF!</v>
      </c>
      <c r="H902" s="121" t="e">
        <f t="shared" ca="1" si="839"/>
        <v>#REF!</v>
      </c>
      <c r="J902" s="33"/>
      <c r="K902" s="242">
        <f t="shared" si="840"/>
        <v>1</v>
      </c>
      <c r="L902" s="241" t="e">
        <f t="shared" ca="1" si="841"/>
        <v>#REF!</v>
      </c>
      <c r="M902" s="243" t="e">
        <f ca="1">IF(AND(INDEX(FlowCalConstA,MATCH(J889,FlowCalNumber,0),1,1)*L902^INDEX(FlowCalConstB,MATCH(J889,FlowCalNumber,0),1,1)&gt;INDEX(FlowCalLowSetting,MATCH(J889,FlowCalNumber,0),1,1), (INDEX(FlowCalConstA,MATCH(J889,FlowCalNumber,0),1,1)*L902^INDEX(FlowCalConstB,MATCH(J889,FlowCalNumber,0),1,1)&lt;INDEX(FlowCalHighSetting,MATCH(J889,FlowCalNumber,0),1,1))),INDEX(FlowCalConstA,MATCH(J889,FlowCalNumber,0),1,1)*L902^INDEX(FlowCalConstB,MATCH(J889,FlowCalNumber,0),1,1)," ")</f>
        <v>#REF!</v>
      </c>
      <c r="N902" s="33"/>
      <c r="O902" s="242">
        <f t="shared" si="842"/>
        <v>1</v>
      </c>
      <c r="P902" s="241" t="e">
        <f t="shared" ca="1" si="843"/>
        <v>#REF!</v>
      </c>
      <c r="Q902" s="243" t="e">
        <f ca="1">IF(AND(INDEX(FlowCalConstA,MATCH(N889,FlowCalNumber,0),1,1)*P902^INDEX(FlowCalConstB,MATCH(N889,FlowCalNumber,0),1,1)&gt;INDEX(FlowCalLowSetting,MATCH(N889,FlowCalNumber,0),1,1), (INDEX(FlowCalConstA,MATCH(N889,FlowCalNumber,0),1,1)*P902^INDEX(FlowCalConstB,MATCH(N889,FlowCalNumber,0),1,1)&lt;INDEX(FlowCalHighSetting,MATCH(N889,FlowCalNumber,0),1,1))),INDEX(FlowCalConstA,MATCH(N889,FlowCalNumber,0),1,1)*P902^INDEX(FlowCalConstB,MATCH(N889,FlowCalNumber,0),1,1)," ")</f>
        <v>#REF!</v>
      </c>
      <c r="R902" s="33"/>
      <c r="S902" s="242">
        <f t="shared" si="844"/>
        <v>1</v>
      </c>
      <c r="T902" s="241" t="e">
        <f t="shared" ca="1" si="845"/>
        <v>#REF!</v>
      </c>
      <c r="U902" s="244" t="e">
        <f ca="1">IF(AND(INDEX(FlowCalConstA,MATCH(R889,FlowCalNumber,0),1,1)*T902^INDEX(FlowCalConstB,MATCH(R889,FlowCalNumber,0),1,1)&gt;INDEX(FlowCalLowSetting,MATCH(R889,FlowCalNumber,0),1,1), (INDEX(FlowCalConstA,MATCH(R889,FlowCalNumber,0),1,1)*T902^INDEX(FlowCalConstB,MATCH(R889,FlowCalNumber,0),1,1)&lt;INDEX(FlowCalHighSetting,MATCH(R889,FlowCalNumber,0),1,1))),INDEX(FlowCalConstA,MATCH(R889,FlowCalNumber,0),1,1)*T902^INDEX(FlowCalConstB,MATCH(R889,FlowCalNumber,0),1,1)," ")</f>
        <v>#REF!</v>
      </c>
      <c r="V902" s="33"/>
      <c r="W902" s="242">
        <f t="shared" si="846"/>
        <v>0.1</v>
      </c>
      <c r="X902" s="241" t="e">
        <f t="shared" ca="1" si="847"/>
        <v>#REF!</v>
      </c>
      <c r="Y902" s="243" t="e">
        <f ca="1">IF(AND(INDEX(FlowCalConstA,MATCH(V889,FlowCalNumber,0),1,1)*X902^INDEX(FlowCalConstB,MATCH(V889,FlowCalNumber,0),1,1)&gt;INDEX(FlowCalLowSetting,MATCH(V889,FlowCalNumber,0),1,1), (INDEX(FlowCalConstA,MATCH(V889,FlowCalNumber,0),1,1)*X902^INDEX(FlowCalConstB,MATCH(V889,FlowCalNumber,0),1,1)&lt;INDEX(FlowCalHighSetting,MATCH(V889,FlowCalNumber,0),1,1))),INDEX(FlowCalConstA,MATCH(V889,FlowCalNumber,0),1,1)*X902^INDEX(FlowCalConstB,MATCH(V889,FlowCalNumber,0),1,1)," ")</f>
        <v>#REF!</v>
      </c>
      <c r="Z902" s="33"/>
      <c r="AA902" s="242">
        <f t="shared" si="848"/>
        <v>0.9</v>
      </c>
      <c r="AB902" s="241" t="e">
        <f t="shared" ca="1" si="849"/>
        <v>#REF!</v>
      </c>
      <c r="AC902" s="243" t="e">
        <f ca="1">IF(AND(INDEX(FlowCalConstA,MATCH(Z889,FlowCalNumber,0),1,1)*AB902^INDEX(FlowCalConstB,MATCH(Z889,FlowCalNumber,0),1,1)&gt;INDEX(FlowCalLowSetting,MATCH(Z889,FlowCalNumber,0),1,1), (INDEX(FlowCalConstA,MATCH(Z889,FlowCalNumber,0),1,1)*AB902^INDEX(FlowCalConstB,MATCH(Z889,FlowCalNumber,0),1,1)&lt;INDEX(FlowCalHighSetting,MATCH(Z889,FlowCalNumber,0),1,1))),INDEX(FlowCalConstA,MATCH(Z889,FlowCalNumber,0),1,1)*AB902^INDEX(FlowCalConstB,MATCH(Z889,FlowCalNumber,0),1,1)," ")</f>
        <v>#REF!</v>
      </c>
      <c r="AD902" s="33"/>
      <c r="AE902" s="242">
        <f t="shared" si="850"/>
        <v>0.1</v>
      </c>
      <c r="AF902" s="241" t="e">
        <f t="shared" ca="1" si="851"/>
        <v>#REF!</v>
      </c>
      <c r="AG902" s="243" t="e">
        <f ca="1">IF(AND(INDEX(FlowCalConstA,MATCH(AD889,FlowCalNumber,0),1,1)*AF902^INDEX(FlowCalConstB,MATCH(AD889,FlowCalNumber,0),1,1)&gt;INDEX(FlowCalLowSetting,MATCH(AD889,FlowCalNumber,0),1,1), (INDEX(FlowCalConstA,MATCH(AD889,FlowCalNumber,0),1,1)*AF902^INDEX(FlowCalConstB,MATCH(AD889,FlowCalNumber,0),1,1)&lt;INDEX(FlowCalHighSetting,MATCH(AD889,FlowCalNumber,0),1,1))),INDEX(FlowCalConstA,MATCH(AD889,FlowCalNumber,0),1,1)*AF902^INDEX(FlowCalConstB,MATCH(AD889,FlowCalNumber,0),1,1)," ")</f>
        <v>#REF!</v>
      </c>
      <c r="AH902" s="33"/>
      <c r="AI902" s="242">
        <f t="shared" si="852"/>
        <v>0.9</v>
      </c>
      <c r="AJ902" s="241" t="e">
        <f t="shared" ca="1" si="853"/>
        <v>#REF!</v>
      </c>
      <c r="AK902" s="243" t="e">
        <f ca="1">IF(AND(INDEX(FlowCalConstA,MATCH(AH889,FlowCalNumber,0),1,1)*AJ902^INDEX(FlowCalConstB,MATCH(AH889,FlowCalNumber,0),1,1)&gt;INDEX(FlowCalLowSetting,MATCH(AH889,FlowCalNumber,0),1,1), (INDEX(FlowCalConstA,MATCH(AH889,FlowCalNumber,0),1,1)*AJ902^INDEX(FlowCalConstB,MATCH(AH889,FlowCalNumber,0),1,1)&lt;INDEX(FlowCalHighSetting,MATCH(AH889,FlowCalNumber,0),1,1))),INDEX(FlowCalConstA,MATCH(AH889,FlowCalNumber,0),1,1)*AJ902^INDEX(FlowCalConstB,MATCH(AH889,FlowCalNumber,0),1,1)," ")</f>
        <v>#REF!</v>
      </c>
      <c r="AL902" s="33"/>
      <c r="AM902" s="242"/>
      <c r="AN902" s="241"/>
      <c r="AO902" s="244"/>
      <c r="AQ902" s="242"/>
      <c r="AR902" s="241"/>
      <c r="AS902" s="244"/>
      <c r="AT902" s="33"/>
      <c r="AU902" s="242"/>
      <c r="AV902" s="241"/>
      <c r="AW902" s="244"/>
      <c r="AX902" s="33"/>
      <c r="AY902" s="242"/>
      <c r="AZ902" s="241"/>
      <c r="BA902" s="244"/>
      <c r="BB902" s="33"/>
      <c r="BC902" s="242"/>
      <c r="BD902" s="241"/>
      <c r="BE902" s="244"/>
      <c r="BF902" s="33"/>
      <c r="BG902" s="242"/>
      <c r="BH902" s="241"/>
      <c r="BI902" s="244"/>
      <c r="BJ902" s="33"/>
      <c r="BK902" s="242"/>
      <c r="BL902" s="241"/>
      <c r="BM902" s="244"/>
      <c r="BN902" s="33"/>
      <c r="BO902" s="242"/>
      <c r="BP902" s="241"/>
      <c r="BQ902" s="244"/>
      <c r="BR902" s="33"/>
      <c r="BS902" s="242"/>
      <c r="BT902" s="241"/>
      <c r="BU902" s="244"/>
      <c r="BV902" s="33"/>
      <c r="BW902" s="242"/>
      <c r="BX902" s="241"/>
      <c r="BY902" s="244"/>
      <c r="BZ902" s="33"/>
      <c r="CA902" s="242"/>
      <c r="CB902" s="241"/>
      <c r="CC902" s="244"/>
      <c r="CD902" s="243"/>
      <c r="CE902" s="243"/>
      <c r="CF902" s="243"/>
      <c r="CG902" s="243"/>
      <c r="CH902" s="243"/>
      <c r="CI902" s="243"/>
      <c r="CJ902" s="243"/>
      <c r="CK902" s="243"/>
      <c r="CL902" s="243"/>
      <c r="CM902" s="243"/>
      <c r="CN902" s="243"/>
      <c r="CO902" s="243"/>
      <c r="CP902" s="243"/>
      <c r="CQ902" s="243"/>
      <c r="CR902" s="243"/>
      <c r="CS902" s="243"/>
      <c r="CT902" s="243"/>
      <c r="CU902" s="243"/>
      <c r="CV902" s="243"/>
      <c r="CW902" s="243"/>
      <c r="CX902" s="243"/>
      <c r="CY902" s="243"/>
      <c r="CZ902" s="243"/>
      <c r="DA902" s="243"/>
      <c r="DB902" s="243"/>
      <c r="DC902" s="243"/>
      <c r="DD902" s="243"/>
      <c r="DE902" s="243"/>
      <c r="DF902" s="243"/>
      <c r="DG902" s="243"/>
      <c r="DH902" s="243"/>
      <c r="DI902" s="243"/>
      <c r="DJ902" s="243"/>
      <c r="DK902" s="243"/>
      <c r="DM902" s="242"/>
      <c r="DO902" s="243"/>
      <c r="DQ902" s="242"/>
      <c r="DS902" s="243"/>
      <c r="DU902" s="242"/>
      <c r="DW902" s="243"/>
      <c r="DY902" s="242"/>
      <c r="EA902" s="243"/>
    </row>
    <row r="903" spans="1:131">
      <c r="A903" s="20"/>
      <c r="B903" s="124" t="str">
        <f t="shared" si="838"/>
        <v/>
      </c>
      <c r="C903" s="235"/>
      <c r="D903" s="24">
        <f>'1% Wind'!$M$95</f>
        <v>1.3</v>
      </c>
      <c r="E903" s="90"/>
      <c r="F903" s="90"/>
      <c r="G903" s="79" t="e">
        <f ca="1">IF(I889=0.9743,$G902,MAX(G902/D902*D903,2))</f>
        <v>#REF!</v>
      </c>
      <c r="H903" s="121" t="e">
        <f t="shared" ca="1" si="839"/>
        <v>#REF!</v>
      </c>
      <c r="J903" s="33"/>
      <c r="K903" s="242">
        <f t="shared" si="840"/>
        <v>1</v>
      </c>
      <c r="L903" s="241" t="e">
        <f t="shared" ca="1" si="841"/>
        <v>#REF!</v>
      </c>
      <c r="M903" s="243" t="e">
        <f ca="1">IF(AND(INDEX(FlowCalConstA,MATCH(J889,FlowCalNumber,0),1,1)*L903^INDEX(FlowCalConstB,MATCH(J889,FlowCalNumber,0),1,1)&gt;INDEX(FlowCalLowSetting,MATCH(J889,FlowCalNumber,0),1,1), (INDEX(FlowCalConstA,MATCH(J889,FlowCalNumber,0),1,1)*L903^INDEX(FlowCalConstB,MATCH(J889,FlowCalNumber,0),1,1)&lt;INDEX(FlowCalHighSetting,MATCH(J889,FlowCalNumber,0),1,1))),INDEX(FlowCalConstA,MATCH(J889,FlowCalNumber,0),1,1)*L903^INDEX(FlowCalConstB,MATCH(J889,FlowCalNumber,0),1,1)," ")</f>
        <v>#REF!</v>
      </c>
      <c r="N903" s="33"/>
      <c r="O903" s="242">
        <f t="shared" si="842"/>
        <v>1</v>
      </c>
      <c r="P903" s="241" t="e">
        <f t="shared" ca="1" si="843"/>
        <v>#REF!</v>
      </c>
      <c r="Q903" s="243" t="e">
        <f ca="1">IF(AND(INDEX(FlowCalConstA,MATCH(N889,FlowCalNumber,0),1,1)*P903^INDEX(FlowCalConstB,MATCH(N889,FlowCalNumber,0),1,1)&gt;INDEX(FlowCalLowSetting,MATCH(N889,FlowCalNumber,0),1,1), (INDEX(FlowCalConstA,MATCH(N889,FlowCalNumber,0),1,1)*P903^INDEX(FlowCalConstB,MATCH(N889,FlowCalNumber,0),1,1)&lt;INDEX(FlowCalHighSetting,MATCH(N889,FlowCalNumber,0),1,1))),INDEX(FlowCalConstA,MATCH(N889,FlowCalNumber,0),1,1)*P903^INDEX(FlowCalConstB,MATCH(N889,FlowCalNumber,0),1,1)," ")</f>
        <v>#REF!</v>
      </c>
      <c r="R903" s="33"/>
      <c r="S903" s="242">
        <f t="shared" si="844"/>
        <v>1</v>
      </c>
      <c r="T903" s="241" t="e">
        <f t="shared" ca="1" si="845"/>
        <v>#REF!</v>
      </c>
      <c r="U903" s="244" t="e">
        <f ca="1">IF(AND(INDEX(FlowCalConstA,MATCH(R889,FlowCalNumber,0),1,1)*T903^INDEX(FlowCalConstB,MATCH(R889,FlowCalNumber,0),1,1)&gt;INDEX(FlowCalLowSetting,MATCH(R889,FlowCalNumber,0),1,1), (INDEX(FlowCalConstA,MATCH(R889,FlowCalNumber,0),1,1)*T903^INDEX(FlowCalConstB,MATCH(R889,FlowCalNumber,0),1,1)&lt;INDEX(FlowCalHighSetting,MATCH(R889,FlowCalNumber,0),1,1))),INDEX(FlowCalConstA,MATCH(R889,FlowCalNumber,0),1,1)*T903^INDEX(FlowCalConstB,MATCH(R889,FlowCalNumber,0),1,1)," ")</f>
        <v>#REF!</v>
      </c>
      <c r="V903" s="33"/>
      <c r="W903" s="242">
        <f t="shared" si="846"/>
        <v>0.1</v>
      </c>
      <c r="X903" s="241" t="e">
        <f t="shared" ca="1" si="847"/>
        <v>#REF!</v>
      </c>
      <c r="Y903" s="243" t="e">
        <f ca="1">IF(AND(INDEX(FlowCalConstA,MATCH(V889,FlowCalNumber,0),1,1)*X903^INDEX(FlowCalConstB,MATCH(V889,FlowCalNumber,0),1,1)&gt;INDEX(FlowCalLowSetting,MATCH(V889,FlowCalNumber,0),1,1), (INDEX(FlowCalConstA,MATCH(V889,FlowCalNumber,0),1,1)*X903^INDEX(FlowCalConstB,MATCH(V889,FlowCalNumber,0),1,1)&lt;INDEX(FlowCalHighSetting,MATCH(V889,FlowCalNumber,0),1,1))),INDEX(FlowCalConstA,MATCH(V889,FlowCalNumber,0),1,1)*X903^INDEX(FlowCalConstB,MATCH(V889,FlowCalNumber,0),1,1)," ")</f>
        <v>#REF!</v>
      </c>
      <c r="Z903" s="33"/>
      <c r="AA903" s="242">
        <f t="shared" si="848"/>
        <v>0.9</v>
      </c>
      <c r="AB903" s="241" t="e">
        <f t="shared" ca="1" si="849"/>
        <v>#REF!</v>
      </c>
      <c r="AC903" s="243" t="e">
        <f ca="1">IF(AND(INDEX(FlowCalConstA,MATCH(Z889,FlowCalNumber,0),1,1)*AB903^INDEX(FlowCalConstB,MATCH(Z889,FlowCalNumber,0),1,1)&gt;INDEX(FlowCalLowSetting,MATCH(Z889,FlowCalNumber,0),1,1), (INDEX(FlowCalConstA,MATCH(Z889,FlowCalNumber,0),1,1)*AB903^INDEX(FlowCalConstB,MATCH(Z889,FlowCalNumber,0),1,1)&lt;INDEX(FlowCalHighSetting,MATCH(Z889,FlowCalNumber,0),1,1))),INDEX(FlowCalConstA,MATCH(Z889,FlowCalNumber,0),1,1)*AB903^INDEX(FlowCalConstB,MATCH(Z889,FlowCalNumber,0),1,1)," ")</f>
        <v>#REF!</v>
      </c>
      <c r="AD903" s="33"/>
      <c r="AE903" s="242">
        <f t="shared" si="850"/>
        <v>0.1</v>
      </c>
      <c r="AF903" s="241" t="e">
        <f t="shared" ca="1" si="851"/>
        <v>#REF!</v>
      </c>
      <c r="AG903" s="243" t="e">
        <f ca="1">IF(AND(INDEX(FlowCalConstA,MATCH(AD889,FlowCalNumber,0),1,1)*AF903^INDEX(FlowCalConstB,MATCH(AD889,FlowCalNumber,0),1,1)&gt;INDEX(FlowCalLowSetting,MATCH(AD889,FlowCalNumber,0),1,1), (INDEX(FlowCalConstA,MATCH(AD889,FlowCalNumber,0),1,1)*AF903^INDEX(FlowCalConstB,MATCH(AD889,FlowCalNumber,0),1,1)&lt;INDEX(FlowCalHighSetting,MATCH(AD889,FlowCalNumber,0),1,1))),INDEX(FlowCalConstA,MATCH(AD889,FlowCalNumber,0),1,1)*AF903^INDEX(FlowCalConstB,MATCH(AD889,FlowCalNumber,0),1,1)," ")</f>
        <v>#REF!</v>
      </c>
      <c r="AH903" s="33"/>
      <c r="AI903" s="242">
        <f t="shared" si="852"/>
        <v>0.9</v>
      </c>
      <c r="AJ903" s="241" t="e">
        <f t="shared" ca="1" si="853"/>
        <v>#REF!</v>
      </c>
      <c r="AK903" s="243" t="e">
        <f ca="1">IF(AND(INDEX(FlowCalConstA,MATCH(AH889,FlowCalNumber,0),1,1)*AJ903^INDEX(FlowCalConstB,MATCH(AH889,FlowCalNumber,0),1,1)&gt;INDEX(FlowCalLowSetting,MATCH(AH889,FlowCalNumber,0),1,1), (INDEX(FlowCalConstA,MATCH(AH889,FlowCalNumber,0),1,1)*AJ903^INDEX(FlowCalConstB,MATCH(AH889,FlowCalNumber,0),1,1)&lt;INDEX(FlowCalHighSetting,MATCH(AH889,FlowCalNumber,0),1,1))),INDEX(FlowCalConstA,MATCH(AH889,FlowCalNumber,0),1,1)*AJ903^INDEX(FlowCalConstB,MATCH(AH889,FlowCalNumber,0),1,1)," ")</f>
        <v>#REF!</v>
      </c>
      <c r="AL903" s="33"/>
      <c r="AM903" s="242"/>
      <c r="AN903" s="241"/>
      <c r="AO903" s="244"/>
      <c r="AQ903" s="242"/>
      <c r="AR903" s="241"/>
      <c r="AS903" s="244"/>
      <c r="AT903" s="33"/>
      <c r="AU903" s="242"/>
      <c r="AV903" s="241"/>
      <c r="AW903" s="244"/>
      <c r="AX903" s="33"/>
      <c r="AY903" s="242"/>
      <c r="AZ903" s="241"/>
      <c r="BA903" s="244"/>
      <c r="BB903" s="33"/>
      <c r="BC903" s="242"/>
      <c r="BD903" s="241"/>
      <c r="BE903" s="244"/>
      <c r="BF903" s="33"/>
      <c r="BG903" s="242"/>
      <c r="BH903" s="241"/>
      <c r="BI903" s="244"/>
      <c r="BJ903" s="33"/>
      <c r="BK903" s="242"/>
      <c r="BL903" s="241"/>
      <c r="BM903" s="244"/>
      <c r="BN903" s="33"/>
      <c r="BO903" s="242"/>
      <c r="BP903" s="241"/>
      <c r="BQ903" s="244"/>
      <c r="BR903" s="33"/>
      <c r="BS903" s="242"/>
      <c r="BT903" s="241"/>
      <c r="BU903" s="244"/>
      <c r="BV903" s="33"/>
      <c r="BW903" s="242"/>
      <c r="BX903" s="241"/>
      <c r="BY903" s="244"/>
      <c r="BZ903" s="33"/>
      <c r="CA903" s="242"/>
      <c r="CB903" s="241"/>
      <c r="CC903" s="244"/>
      <c r="CD903" s="243"/>
      <c r="CE903" s="243"/>
      <c r="CF903" s="243"/>
      <c r="CG903" s="243"/>
      <c r="CH903" s="243"/>
      <c r="CI903" s="243"/>
      <c r="CJ903" s="243"/>
      <c r="CK903" s="243"/>
      <c r="CL903" s="243"/>
      <c r="CM903" s="243"/>
      <c r="CN903" s="243"/>
      <c r="CO903" s="243"/>
      <c r="CP903" s="243"/>
      <c r="CQ903" s="243"/>
      <c r="CR903" s="243"/>
      <c r="CS903" s="243"/>
      <c r="CT903" s="243"/>
      <c r="CU903" s="243"/>
      <c r="CV903" s="243"/>
      <c r="CW903" s="243"/>
      <c r="CX903" s="243"/>
      <c r="CY903" s="243"/>
      <c r="CZ903" s="243"/>
      <c r="DA903" s="243"/>
      <c r="DB903" s="243"/>
      <c r="DC903" s="243"/>
      <c r="DD903" s="243"/>
      <c r="DE903" s="243"/>
      <c r="DF903" s="243"/>
      <c r="DG903" s="243"/>
      <c r="DH903" s="243"/>
      <c r="DI903" s="243"/>
      <c r="DJ903" s="243"/>
      <c r="DK903" s="243"/>
      <c r="DM903" s="242"/>
      <c r="DO903" s="243"/>
      <c r="DQ903" s="242"/>
      <c r="DS903" s="243"/>
      <c r="DU903" s="242"/>
      <c r="DW903" s="243"/>
      <c r="DY903" s="242"/>
      <c r="EA903" s="243"/>
    </row>
    <row r="904" spans="1:131">
      <c r="A904" s="20"/>
      <c r="B904" s="124" t="str">
        <f t="shared" si="838"/>
        <v/>
      </c>
      <c r="C904" s="235"/>
      <c r="D904" s="24">
        <f>'1% Wind'!$M$96</f>
        <v>1</v>
      </c>
      <c r="E904" s="90"/>
      <c r="F904" s="90"/>
      <c r="G904" s="79" t="e">
        <f ca="1">IF(I889=0.9743,$G903,MAX(G903/D903*D904,2))</f>
        <v>#REF!</v>
      </c>
      <c r="H904" s="121" t="e">
        <f t="shared" ca="1" si="839"/>
        <v>#REF!</v>
      </c>
      <c r="J904" s="33"/>
      <c r="K904" s="242">
        <f t="shared" si="840"/>
        <v>1</v>
      </c>
      <c r="L904" s="241" t="e">
        <f t="shared" ca="1" si="841"/>
        <v>#REF!</v>
      </c>
      <c r="M904" s="243" t="e">
        <f ca="1">IF(AND(INDEX(FlowCalConstA,MATCH(J889,FlowCalNumber,0),1,1)*L904^INDEX(FlowCalConstB,MATCH(J889,FlowCalNumber,0),1,1)&gt;INDEX(FlowCalLowSetting,MATCH(J889,FlowCalNumber,0),1,1), (INDEX(FlowCalConstA,MATCH(J889,FlowCalNumber,0),1,1)*L904^INDEX(FlowCalConstB,MATCH(J889,FlowCalNumber,0),1,1)&lt;INDEX(FlowCalHighSetting,MATCH(J889,FlowCalNumber,0),1,1))),INDEX(FlowCalConstA,MATCH(J889,FlowCalNumber,0),1,1)*L904^INDEX(FlowCalConstB,MATCH(J889,FlowCalNumber,0),1,1)," ")</f>
        <v>#REF!</v>
      </c>
      <c r="N904" s="33"/>
      <c r="O904" s="242">
        <f t="shared" si="842"/>
        <v>1</v>
      </c>
      <c r="P904" s="241" t="e">
        <f t="shared" ca="1" si="843"/>
        <v>#REF!</v>
      </c>
      <c r="Q904" s="243" t="e">
        <f ca="1">IF(AND(INDEX(FlowCalConstA,MATCH(N889,FlowCalNumber,0),1,1)*P904^INDEX(FlowCalConstB,MATCH(N889,FlowCalNumber,0),1,1)&gt;INDEX(FlowCalLowSetting,MATCH(N889,FlowCalNumber,0),1,1), (INDEX(FlowCalConstA,MATCH(N889,FlowCalNumber,0),1,1)*P904^INDEX(FlowCalConstB,MATCH(N889,FlowCalNumber,0),1,1)&lt;INDEX(FlowCalHighSetting,MATCH(N889,FlowCalNumber,0),1,1))),INDEX(FlowCalConstA,MATCH(N889,FlowCalNumber,0),1,1)*P904^INDEX(FlowCalConstB,MATCH(N889,FlowCalNumber,0),1,1)," ")</f>
        <v>#REF!</v>
      </c>
      <c r="R904" s="33"/>
      <c r="S904" s="242">
        <f t="shared" si="844"/>
        <v>1</v>
      </c>
      <c r="T904" s="241" t="e">
        <f t="shared" ca="1" si="845"/>
        <v>#REF!</v>
      </c>
      <c r="U904" s="244" t="e">
        <f ca="1">IF(AND(INDEX(FlowCalConstA,MATCH(R889,FlowCalNumber,0),1,1)*T904^INDEX(FlowCalConstB,MATCH(R889,FlowCalNumber,0),1,1)&gt;INDEX(FlowCalLowSetting,MATCH(R889,FlowCalNumber,0),1,1), (INDEX(FlowCalConstA,MATCH(R889,FlowCalNumber,0),1,1)*T904^INDEX(FlowCalConstB,MATCH(R889,FlowCalNumber,0),1,1)&lt;INDEX(FlowCalHighSetting,MATCH(R889,FlowCalNumber,0),1,1))),INDEX(FlowCalConstA,MATCH(R889,FlowCalNumber,0),1,1)*T904^INDEX(FlowCalConstB,MATCH(R889,FlowCalNumber,0),1,1)," ")</f>
        <v>#REF!</v>
      </c>
      <c r="V904" s="33"/>
      <c r="W904" s="242">
        <f t="shared" si="846"/>
        <v>0.1</v>
      </c>
      <c r="X904" s="241" t="e">
        <f t="shared" ca="1" si="847"/>
        <v>#REF!</v>
      </c>
      <c r="Y904" s="243" t="e">
        <f ca="1">IF(AND(INDEX(FlowCalConstA,MATCH(V889,FlowCalNumber,0),1,1)*X904^INDEX(FlowCalConstB,MATCH(V889,FlowCalNumber,0),1,1)&gt;INDEX(FlowCalLowSetting,MATCH(V889,FlowCalNumber,0),1,1), (INDEX(FlowCalConstA,MATCH(V889,FlowCalNumber,0),1,1)*X904^INDEX(FlowCalConstB,MATCH(V889,FlowCalNumber,0),1,1)&lt;INDEX(FlowCalHighSetting,MATCH(V889,FlowCalNumber,0),1,1))),INDEX(FlowCalConstA,MATCH(V889,FlowCalNumber,0),1,1)*X904^INDEX(FlowCalConstB,MATCH(V889,FlowCalNumber,0),1,1)," ")</f>
        <v>#REF!</v>
      </c>
      <c r="Z904" s="33"/>
      <c r="AA904" s="242">
        <f t="shared" si="848"/>
        <v>0.9</v>
      </c>
      <c r="AB904" s="241" t="e">
        <f t="shared" ca="1" si="849"/>
        <v>#REF!</v>
      </c>
      <c r="AC904" s="243" t="e">
        <f ca="1">IF(AND(INDEX(FlowCalConstA,MATCH(Z889,FlowCalNumber,0),1,1)*AB904^INDEX(FlowCalConstB,MATCH(Z889,FlowCalNumber,0),1,1)&gt;INDEX(FlowCalLowSetting,MATCH(Z889,FlowCalNumber,0),1,1), (INDEX(FlowCalConstA,MATCH(Z889,FlowCalNumber,0),1,1)*AB904^INDEX(FlowCalConstB,MATCH(Z889,FlowCalNumber,0),1,1)&lt;INDEX(FlowCalHighSetting,MATCH(Z889,FlowCalNumber,0),1,1))),INDEX(FlowCalConstA,MATCH(Z889,FlowCalNumber,0),1,1)*AB904^INDEX(FlowCalConstB,MATCH(Z889,FlowCalNumber,0),1,1)," ")</f>
        <v>#REF!</v>
      </c>
      <c r="AD904" s="33"/>
      <c r="AE904" s="242">
        <f t="shared" si="850"/>
        <v>0.1</v>
      </c>
      <c r="AF904" s="241" t="e">
        <f t="shared" ca="1" si="851"/>
        <v>#REF!</v>
      </c>
      <c r="AG904" s="243" t="e">
        <f ca="1">IF(AND(INDEX(FlowCalConstA,MATCH(AD889,FlowCalNumber,0),1,1)*AF904^INDEX(FlowCalConstB,MATCH(AD889,FlowCalNumber,0),1,1)&gt;INDEX(FlowCalLowSetting,MATCH(AD889,FlowCalNumber,0),1,1), (INDEX(FlowCalConstA,MATCH(AD889,FlowCalNumber,0),1,1)*AF904^INDEX(FlowCalConstB,MATCH(AD889,FlowCalNumber,0),1,1)&lt;INDEX(FlowCalHighSetting,MATCH(AD889,FlowCalNumber,0),1,1))),INDEX(FlowCalConstA,MATCH(AD889,FlowCalNumber,0),1,1)*AF904^INDEX(FlowCalConstB,MATCH(AD889,FlowCalNumber,0),1,1)," ")</f>
        <v>#REF!</v>
      </c>
      <c r="AH904" s="33"/>
      <c r="AI904" s="242">
        <f t="shared" si="852"/>
        <v>0.9</v>
      </c>
      <c r="AJ904" s="241" t="e">
        <f t="shared" ca="1" si="853"/>
        <v>#REF!</v>
      </c>
      <c r="AK904" s="243" t="e">
        <f ca="1">IF(AND(INDEX(FlowCalConstA,MATCH(AH889,FlowCalNumber,0),1,1)*AJ904^INDEX(FlowCalConstB,MATCH(AH889,FlowCalNumber,0),1,1)&gt;INDEX(FlowCalLowSetting,MATCH(AH889,FlowCalNumber,0),1,1), (INDEX(FlowCalConstA,MATCH(AH889,FlowCalNumber,0),1,1)*AJ904^INDEX(FlowCalConstB,MATCH(AH889,FlowCalNumber,0),1,1)&lt;INDEX(FlowCalHighSetting,MATCH(AH889,FlowCalNumber,0),1,1))),INDEX(FlowCalConstA,MATCH(AH889,FlowCalNumber,0),1,1)*AJ904^INDEX(FlowCalConstB,MATCH(AH889,FlowCalNumber,0),1,1)," ")</f>
        <v>#REF!</v>
      </c>
      <c r="AL904" s="33"/>
      <c r="AM904" s="242"/>
      <c r="AN904" s="241"/>
      <c r="AO904" s="244"/>
      <c r="AQ904" s="242"/>
      <c r="AR904" s="241"/>
      <c r="AS904" s="244"/>
      <c r="AT904" s="33"/>
      <c r="AU904" s="242"/>
      <c r="AV904" s="241"/>
      <c r="AW904" s="244"/>
      <c r="AX904" s="33"/>
      <c r="AY904" s="242"/>
      <c r="AZ904" s="241"/>
      <c r="BA904" s="244"/>
      <c r="BB904" s="33"/>
      <c r="BC904" s="242"/>
      <c r="BD904" s="241"/>
      <c r="BE904" s="244"/>
      <c r="BF904" s="33"/>
      <c r="BG904" s="242"/>
      <c r="BH904" s="241"/>
      <c r="BI904" s="244"/>
      <c r="BJ904" s="33"/>
      <c r="BK904" s="242"/>
      <c r="BL904" s="241"/>
      <c r="BM904" s="244"/>
      <c r="BN904" s="33"/>
      <c r="BO904" s="242"/>
      <c r="BP904" s="241"/>
      <c r="BQ904" s="244"/>
      <c r="BR904" s="33"/>
      <c r="BS904" s="242"/>
      <c r="BT904" s="241"/>
      <c r="BU904" s="244"/>
      <c r="BV904" s="33"/>
      <c r="BW904" s="242"/>
      <c r="BX904" s="241"/>
      <c r="BY904" s="244"/>
      <c r="BZ904" s="33"/>
      <c r="CA904" s="242"/>
      <c r="CB904" s="241"/>
      <c r="CC904" s="244"/>
      <c r="CD904" s="243"/>
      <c r="CE904" s="243"/>
      <c r="CF904" s="243"/>
      <c r="CG904" s="243"/>
      <c r="CH904" s="243"/>
      <c r="CI904" s="243"/>
      <c r="CJ904" s="243"/>
      <c r="CK904" s="243"/>
      <c r="CL904" s="243"/>
      <c r="CM904" s="243"/>
      <c r="CN904" s="243"/>
      <c r="CO904" s="243"/>
      <c r="CP904" s="243"/>
      <c r="CQ904" s="243"/>
      <c r="CR904" s="243"/>
      <c r="CS904" s="243"/>
      <c r="CT904" s="243"/>
      <c r="CU904" s="243"/>
      <c r="CV904" s="243"/>
      <c r="CW904" s="243"/>
      <c r="CX904" s="243"/>
      <c r="CY904" s="243"/>
      <c r="CZ904" s="243"/>
      <c r="DA904" s="243"/>
      <c r="DB904" s="243"/>
      <c r="DC904" s="243"/>
      <c r="DD904" s="243"/>
      <c r="DE904" s="243"/>
      <c r="DF904" s="243"/>
      <c r="DG904" s="243"/>
      <c r="DH904" s="243"/>
      <c r="DI904" s="243"/>
      <c r="DJ904" s="243"/>
      <c r="DK904" s="243"/>
      <c r="DM904" s="242"/>
      <c r="DO904" s="243"/>
      <c r="DQ904" s="242"/>
      <c r="DS904" s="243"/>
      <c r="DU904" s="242"/>
      <c r="DW904" s="243"/>
      <c r="DY904" s="242"/>
      <c r="EA904" s="243"/>
    </row>
    <row r="905" spans="1:131">
      <c r="Q905" s="243"/>
      <c r="U905" s="243"/>
      <c r="Y905" s="243"/>
      <c r="AC905" s="243"/>
      <c r="AG905" s="243"/>
      <c r="AK905" s="243"/>
      <c r="AL905" s="243"/>
      <c r="AM905" s="243"/>
      <c r="AN905" s="243"/>
      <c r="AO905" s="243"/>
      <c r="AP905" s="243"/>
      <c r="AQ905" s="243"/>
      <c r="AR905" s="243"/>
      <c r="AS905" s="243"/>
      <c r="AT905" s="243"/>
      <c r="AU905" s="243"/>
      <c r="AV905" s="243"/>
      <c r="AW905" s="243"/>
      <c r="AX905" s="243"/>
      <c r="AY905" s="243"/>
      <c r="AZ905" s="243"/>
      <c r="BA905" s="243"/>
      <c r="BE905" s="243"/>
      <c r="BI905" s="243"/>
      <c r="BM905" s="243"/>
      <c r="BN905" s="243"/>
      <c r="BO905" s="243"/>
      <c r="BP905" s="243"/>
      <c r="BQ905" s="243"/>
      <c r="BR905" s="243"/>
      <c r="BS905" s="243"/>
      <c r="BT905" s="243"/>
      <c r="BU905" s="243"/>
      <c r="BV905" s="243"/>
      <c r="BW905" s="243"/>
      <c r="BX905" s="243"/>
      <c r="BY905" s="243"/>
      <c r="BZ905" s="243"/>
      <c r="CA905" s="243"/>
      <c r="CB905" s="243"/>
      <c r="CC905" s="243"/>
    </row>
    <row r="906" spans="1:131">
      <c r="J906" s="5"/>
      <c r="M906" s="944"/>
      <c r="N906" s="961"/>
      <c r="Q906" s="944"/>
      <c r="R906" s="961"/>
      <c r="U906" s="944"/>
      <c r="V906" s="5"/>
      <c r="Y906" s="944"/>
      <c r="Z906" s="960"/>
      <c r="AC906" s="944"/>
      <c r="AD906" s="5"/>
      <c r="AG906" s="944"/>
      <c r="AH906" s="960"/>
      <c r="AK906" s="944"/>
      <c r="AL906" s="5"/>
      <c r="AO906" s="944"/>
      <c r="AP906" s="960"/>
      <c r="AS906" s="944"/>
      <c r="AT906" s="5"/>
      <c r="AW906" s="944"/>
      <c r="AX906" s="960"/>
      <c r="BA906" s="944"/>
      <c r="BB906" s="5"/>
      <c r="BC906" s="16"/>
      <c r="BE906" s="355"/>
      <c r="BF906" s="960"/>
      <c r="BG906" s="16"/>
      <c r="BI906" s="355"/>
      <c r="BJ906" s="960"/>
      <c r="BK906" s="16"/>
      <c r="BM906" s="355"/>
      <c r="BN906" s="5"/>
      <c r="BO906" s="16"/>
      <c r="BQ906" s="355"/>
      <c r="BR906" s="960"/>
      <c r="BS906" s="16"/>
      <c r="BU906" s="355"/>
      <c r="BV906" s="960"/>
      <c r="BW906" s="16"/>
      <c r="BY906" s="355"/>
      <c r="BZ906" s="960"/>
      <c r="CA906" s="16"/>
      <c r="CC906" s="355"/>
    </row>
    <row r="907" spans="1:131">
      <c r="K907" s="260"/>
      <c r="L907" s="241"/>
      <c r="M907" s="243"/>
      <c r="O907" s="260"/>
      <c r="P907" s="241"/>
      <c r="Q907" s="243"/>
      <c r="S907" s="260"/>
      <c r="T907" s="241"/>
      <c r="U907" s="243"/>
      <c r="W907" s="260"/>
      <c r="X907" s="241"/>
      <c r="Y907" s="243"/>
      <c r="AA907" s="260"/>
      <c r="AB907" s="241"/>
      <c r="AC907" s="243"/>
      <c r="AE907" s="260"/>
      <c r="AF907" s="241"/>
      <c r="AG907" s="243"/>
      <c r="AI907" s="260"/>
      <c r="AJ907" s="241"/>
      <c r="AK907" s="243"/>
      <c r="AM907" s="260"/>
      <c r="AN907" s="241"/>
      <c r="AO907" s="243"/>
      <c r="AQ907" s="260"/>
      <c r="AR907" s="241"/>
      <c r="AS907" s="243"/>
      <c r="AU907" s="260"/>
      <c r="AV907" s="241"/>
      <c r="AW907" s="243"/>
      <c r="AY907" s="260"/>
      <c r="AZ907" s="241"/>
      <c r="BA907" s="243"/>
      <c r="BC907" s="260"/>
      <c r="BD907" s="241"/>
      <c r="BE907" s="243"/>
      <c r="BG907" s="260"/>
      <c r="BH907" s="241"/>
      <c r="BI907" s="243"/>
      <c r="BK907" s="260"/>
      <c r="BL907" s="241"/>
      <c r="BM907" s="243"/>
      <c r="BO907" s="260"/>
      <c r="BP907" s="241"/>
      <c r="BQ907" s="243"/>
      <c r="BS907" s="260"/>
      <c r="BT907" s="241"/>
      <c r="BU907" s="243"/>
      <c r="BW907" s="260"/>
      <c r="BX907" s="241"/>
      <c r="BY907" s="243"/>
      <c r="CA907" s="260"/>
      <c r="CB907" s="241"/>
      <c r="CC907" s="243"/>
    </row>
    <row r="908" spans="1:131">
      <c r="K908" s="242"/>
      <c r="L908" s="241"/>
      <c r="M908" s="243"/>
      <c r="O908" s="242"/>
      <c r="P908" s="241"/>
      <c r="Q908" s="243"/>
      <c r="S908" s="242"/>
      <c r="T908" s="241"/>
      <c r="U908" s="243"/>
      <c r="W908" s="242"/>
      <c r="X908" s="241"/>
      <c r="Y908" s="243"/>
      <c r="AA908" s="242"/>
      <c r="AB908" s="241"/>
      <c r="AC908" s="243"/>
      <c r="AE908" s="242"/>
      <c r="AF908" s="241"/>
      <c r="AG908" s="243"/>
      <c r="AI908" s="242"/>
      <c r="AJ908" s="241"/>
      <c r="AK908" s="243"/>
      <c r="AM908" s="242"/>
      <c r="AN908" s="241"/>
      <c r="AO908" s="243"/>
      <c r="AQ908" s="242"/>
      <c r="AR908" s="241"/>
      <c r="AS908" s="243"/>
      <c r="AU908" s="242"/>
      <c r="AV908" s="241"/>
      <c r="AW908" s="243"/>
      <c r="AY908" s="242"/>
      <c r="AZ908" s="241"/>
      <c r="BA908" s="243"/>
      <c r="BC908" s="242"/>
      <c r="BD908" s="241"/>
      <c r="BE908" s="243"/>
      <c r="BG908" s="242"/>
      <c r="BH908" s="241"/>
      <c r="BI908" s="243"/>
      <c r="BK908" s="242"/>
      <c r="BL908" s="241"/>
      <c r="BM908" s="243"/>
      <c r="BO908" s="242"/>
      <c r="BP908" s="241"/>
      <c r="BQ908" s="243"/>
      <c r="BS908" s="242"/>
      <c r="BT908" s="241"/>
      <c r="BU908" s="243"/>
      <c r="BW908" s="242"/>
      <c r="BX908" s="241"/>
      <c r="BY908" s="243"/>
      <c r="CA908" s="242"/>
      <c r="CB908" s="241"/>
      <c r="CC908" s="243"/>
    </row>
    <row r="909" spans="1:131">
      <c r="K909" s="242"/>
      <c r="L909" s="241"/>
      <c r="M909" s="243"/>
      <c r="O909" s="242"/>
      <c r="P909" s="241"/>
      <c r="Q909" s="243"/>
      <c r="S909" s="242"/>
      <c r="T909" s="241"/>
      <c r="U909" s="243"/>
      <c r="W909" s="242"/>
      <c r="X909" s="241"/>
      <c r="Y909" s="243"/>
      <c r="AA909" s="242"/>
      <c r="AB909" s="241"/>
      <c r="AC909" s="243"/>
      <c r="AE909" s="242"/>
      <c r="AF909" s="241"/>
      <c r="AG909" s="243"/>
      <c r="AI909" s="242"/>
      <c r="AJ909" s="241"/>
      <c r="AK909" s="243"/>
      <c r="AM909" s="242"/>
      <c r="AN909" s="241"/>
      <c r="AO909" s="243"/>
      <c r="AQ909" s="242"/>
      <c r="AR909" s="241"/>
      <c r="AS909" s="243"/>
      <c r="AU909" s="242"/>
      <c r="AV909" s="241"/>
      <c r="AW909" s="243"/>
      <c r="AY909" s="242"/>
      <c r="AZ909" s="241"/>
      <c r="BA909" s="243"/>
      <c r="BC909" s="242"/>
      <c r="BD909" s="241"/>
      <c r="BE909" s="243"/>
      <c r="BG909" s="242"/>
      <c r="BH909" s="241"/>
      <c r="BI909" s="243"/>
      <c r="BK909" s="242"/>
      <c r="BL909" s="241"/>
      <c r="BM909" s="243"/>
      <c r="BO909" s="242"/>
      <c r="BP909" s="241"/>
      <c r="BQ909" s="243"/>
      <c r="BS909" s="242"/>
      <c r="BT909" s="241"/>
      <c r="BU909" s="243"/>
      <c r="BW909" s="242"/>
      <c r="BX909" s="241"/>
      <c r="BY909" s="243"/>
      <c r="CA909" s="242"/>
      <c r="CB909" s="241"/>
      <c r="CC909" s="243"/>
    </row>
    <row r="910" spans="1:131">
      <c r="K910" s="242"/>
      <c r="L910" s="241"/>
      <c r="M910" s="243"/>
      <c r="O910" s="242"/>
      <c r="P910" s="241"/>
      <c r="Q910" s="243"/>
      <c r="S910" s="242"/>
      <c r="T910" s="241"/>
      <c r="U910" s="243"/>
      <c r="W910" s="242"/>
      <c r="X910" s="241"/>
      <c r="Y910" s="243"/>
      <c r="AA910" s="242"/>
      <c r="AB910" s="241"/>
      <c r="AC910" s="243"/>
      <c r="AE910" s="242"/>
      <c r="AF910" s="241"/>
      <c r="AG910" s="243"/>
      <c r="AI910" s="242"/>
      <c r="AJ910" s="241"/>
      <c r="AK910" s="243"/>
      <c r="AM910" s="242"/>
      <c r="AN910" s="241"/>
      <c r="AO910" s="243"/>
      <c r="AQ910" s="242"/>
      <c r="AR910" s="241"/>
      <c r="AS910" s="243"/>
      <c r="AU910" s="242"/>
      <c r="AV910" s="241"/>
      <c r="AW910" s="243"/>
      <c r="AY910" s="242"/>
      <c r="AZ910" s="241"/>
      <c r="BA910" s="243"/>
      <c r="BC910" s="242"/>
      <c r="BD910" s="241"/>
      <c r="BE910" s="243"/>
      <c r="BG910" s="242"/>
      <c r="BH910" s="241"/>
      <c r="BI910" s="243"/>
      <c r="BK910" s="242"/>
      <c r="BL910" s="241"/>
      <c r="BM910" s="243"/>
      <c r="BO910" s="242"/>
      <c r="BP910" s="241"/>
      <c r="BQ910" s="243"/>
      <c r="BS910" s="242"/>
      <c r="BT910" s="241"/>
      <c r="BU910" s="243"/>
      <c r="BW910" s="242"/>
      <c r="BX910" s="241"/>
      <c r="BY910" s="243"/>
      <c r="CA910" s="242"/>
      <c r="CB910" s="241"/>
      <c r="CC910" s="243"/>
    </row>
    <row r="911" spans="1:131">
      <c r="K911" s="242"/>
      <c r="L911" s="241"/>
      <c r="M911" s="243"/>
      <c r="O911" s="242"/>
      <c r="P911" s="241"/>
      <c r="Q911" s="243"/>
      <c r="S911" s="242"/>
      <c r="T911" s="241"/>
      <c r="U911" s="243"/>
      <c r="W911" s="242"/>
      <c r="X911" s="241"/>
      <c r="Y911" s="243"/>
      <c r="AA911" s="242"/>
      <c r="AB911" s="241"/>
      <c r="AC911" s="243"/>
      <c r="AE911" s="242"/>
      <c r="AF911" s="241"/>
      <c r="AG911" s="243"/>
      <c r="AI911" s="242"/>
      <c r="AJ911" s="241"/>
      <c r="AK911" s="243"/>
      <c r="AM911" s="242"/>
      <c r="AN911" s="241"/>
      <c r="AO911" s="243"/>
      <c r="AQ911" s="242"/>
      <c r="AR911" s="241"/>
      <c r="AS911" s="243"/>
      <c r="AU911" s="242"/>
      <c r="AV911" s="241"/>
      <c r="AW911" s="243"/>
      <c r="AY911" s="242"/>
      <c r="AZ911" s="241"/>
      <c r="BA911" s="243"/>
      <c r="BC911" s="242"/>
      <c r="BD911" s="241"/>
      <c r="BE911" s="243"/>
      <c r="BG911" s="242"/>
      <c r="BH911" s="241"/>
      <c r="BI911" s="243"/>
      <c r="BK911" s="242"/>
      <c r="BL911" s="241"/>
      <c r="BM911" s="243"/>
      <c r="BO911" s="242"/>
      <c r="BP911" s="241"/>
      <c r="BQ911" s="243"/>
      <c r="BS911" s="242"/>
      <c r="BT911" s="241"/>
      <c r="BU911" s="243"/>
      <c r="BW911" s="242"/>
      <c r="BX911" s="241"/>
      <c r="BY911" s="243"/>
      <c r="CA911" s="242"/>
      <c r="CB911" s="241"/>
      <c r="CC911" s="243"/>
    </row>
    <row r="912" spans="1:131">
      <c r="K912" s="242"/>
      <c r="L912" s="241"/>
      <c r="M912" s="243"/>
      <c r="O912" s="242"/>
      <c r="P912" s="241"/>
      <c r="Q912" s="243"/>
      <c r="S912" s="242"/>
      <c r="T912" s="241"/>
      <c r="U912" s="243"/>
      <c r="W912" s="242"/>
      <c r="X912" s="241"/>
      <c r="Y912" s="243"/>
      <c r="AA912" s="242"/>
      <c r="AB912" s="241"/>
      <c r="AC912" s="243"/>
      <c r="AE912" s="242"/>
      <c r="AF912" s="241"/>
      <c r="AG912" s="243"/>
      <c r="AI912" s="242"/>
      <c r="AJ912" s="241"/>
      <c r="AK912" s="243"/>
      <c r="AM912" s="242"/>
      <c r="AN912" s="241"/>
      <c r="AO912" s="243"/>
      <c r="AQ912" s="242"/>
      <c r="AR912" s="241"/>
      <c r="AS912" s="243"/>
      <c r="AU912" s="242"/>
      <c r="AV912" s="241"/>
      <c r="AW912" s="243"/>
      <c r="AY912" s="242"/>
      <c r="AZ912" s="241"/>
      <c r="BA912" s="243"/>
      <c r="BC912" s="242"/>
      <c r="BD912" s="241"/>
      <c r="BE912" s="243"/>
      <c r="BG912" s="242"/>
      <c r="BH912" s="241"/>
      <c r="BI912" s="243"/>
      <c r="BK912" s="242"/>
      <c r="BL912" s="241"/>
      <c r="BM912" s="243"/>
      <c r="BO912" s="242"/>
      <c r="BP912" s="241"/>
      <c r="BQ912" s="243"/>
      <c r="BS912" s="242"/>
      <c r="BT912" s="241"/>
      <c r="BU912" s="243"/>
      <c r="BW912" s="242"/>
      <c r="BX912" s="241"/>
      <c r="BY912" s="243"/>
      <c r="CA912" s="242"/>
      <c r="CB912" s="241"/>
      <c r="CC912" s="243"/>
    </row>
    <row r="913" spans="10:81">
      <c r="K913" s="242"/>
      <c r="L913" s="241"/>
      <c r="M913" s="243"/>
      <c r="O913" s="242"/>
      <c r="P913" s="241"/>
      <c r="Q913" s="243"/>
      <c r="S913" s="242"/>
      <c r="T913" s="241"/>
      <c r="U913" s="243"/>
      <c r="W913" s="242"/>
      <c r="X913" s="241"/>
      <c r="Y913" s="243"/>
      <c r="AA913" s="242"/>
      <c r="AB913" s="241"/>
      <c r="AC913" s="243"/>
      <c r="AE913" s="242"/>
      <c r="AF913" s="241"/>
      <c r="AG913" s="243"/>
      <c r="AI913" s="242"/>
      <c r="AJ913" s="241"/>
      <c r="AK913" s="243"/>
      <c r="AM913" s="242"/>
      <c r="AN913" s="241"/>
      <c r="AO913" s="243"/>
      <c r="AQ913" s="242"/>
      <c r="AR913" s="241"/>
      <c r="AS913" s="243"/>
      <c r="AU913" s="242"/>
      <c r="AV913" s="241"/>
      <c r="AW913" s="243"/>
      <c r="AY913" s="242"/>
      <c r="AZ913" s="241"/>
      <c r="BA913" s="243"/>
      <c r="BC913" s="242"/>
      <c r="BD913" s="241"/>
      <c r="BE913" s="243"/>
      <c r="BG913" s="242"/>
      <c r="BH913" s="241"/>
      <c r="BI913" s="243"/>
      <c r="BK913" s="242"/>
      <c r="BL913" s="241"/>
      <c r="BM913" s="243"/>
      <c r="BO913" s="242"/>
      <c r="BP913" s="241"/>
      <c r="BQ913" s="243"/>
      <c r="BS913" s="242"/>
      <c r="BT913" s="241"/>
      <c r="BU913" s="243"/>
      <c r="BW913" s="242"/>
      <c r="BX913" s="241"/>
      <c r="BY913" s="243"/>
      <c r="CA913" s="242"/>
      <c r="CB913" s="241"/>
      <c r="CC913" s="243"/>
    </row>
    <row r="914" spans="10:81">
      <c r="K914" s="242"/>
      <c r="L914" s="241"/>
      <c r="M914" s="243"/>
      <c r="O914" s="242"/>
      <c r="P914" s="241"/>
      <c r="Q914" s="243"/>
      <c r="S914" s="242"/>
      <c r="T914" s="241"/>
      <c r="U914" s="243"/>
      <c r="W914" s="242"/>
      <c r="X914" s="241"/>
      <c r="Y914" s="243"/>
      <c r="AA914" s="242"/>
      <c r="AB914" s="241"/>
      <c r="AC914" s="243"/>
      <c r="AE914" s="242"/>
      <c r="AF914" s="241"/>
      <c r="AG914" s="243"/>
      <c r="AI914" s="242"/>
      <c r="AJ914" s="241"/>
      <c r="AK914" s="243"/>
      <c r="AM914" s="242"/>
      <c r="AN914" s="241"/>
      <c r="AO914" s="243"/>
      <c r="AQ914" s="242"/>
      <c r="AR914" s="241"/>
      <c r="AS914" s="243"/>
      <c r="AU914" s="242"/>
      <c r="AV914" s="241"/>
      <c r="AW914" s="243"/>
      <c r="AY914" s="242"/>
      <c r="AZ914" s="241"/>
      <c r="BA914" s="243"/>
      <c r="BC914" s="242"/>
      <c r="BD914" s="241"/>
      <c r="BE914" s="243"/>
      <c r="BG914" s="242"/>
      <c r="BH914" s="241"/>
      <c r="BI914" s="243"/>
      <c r="BK914" s="242"/>
      <c r="BL914" s="241"/>
      <c r="BM914" s="243"/>
      <c r="BO914" s="242"/>
      <c r="BP914" s="241"/>
      <c r="BQ914" s="243"/>
      <c r="BS914" s="242"/>
      <c r="BT914" s="241"/>
      <c r="BU914" s="243"/>
      <c r="BW914" s="242"/>
      <c r="BX914" s="241"/>
      <c r="BY914" s="243"/>
      <c r="CA914" s="242"/>
      <c r="CB914" s="241"/>
      <c r="CC914" s="243"/>
    </row>
    <row r="915" spans="10:81">
      <c r="K915" s="242"/>
      <c r="L915" s="241"/>
      <c r="M915" s="243"/>
      <c r="O915" s="242"/>
      <c r="P915" s="241"/>
      <c r="Q915" s="243"/>
      <c r="S915" s="242"/>
      <c r="T915" s="241"/>
      <c r="U915" s="243"/>
      <c r="W915" s="242"/>
      <c r="X915" s="241"/>
      <c r="Y915" s="243"/>
      <c r="AA915" s="242"/>
      <c r="AB915" s="241"/>
      <c r="AC915" s="243"/>
      <c r="AE915" s="242"/>
      <c r="AF915" s="241"/>
      <c r="AG915" s="243"/>
      <c r="AI915" s="242"/>
      <c r="AJ915" s="241"/>
      <c r="AK915" s="243"/>
      <c r="AM915" s="242"/>
      <c r="AN915" s="241"/>
      <c r="AO915" s="243"/>
      <c r="AQ915" s="242"/>
      <c r="AR915" s="241"/>
      <c r="AS915" s="243"/>
      <c r="AU915" s="242"/>
      <c r="AV915" s="241"/>
      <c r="AW915" s="243"/>
      <c r="AY915" s="242"/>
      <c r="AZ915" s="241"/>
      <c r="BA915" s="243"/>
      <c r="BC915" s="242"/>
      <c r="BD915" s="241"/>
      <c r="BE915" s="243"/>
      <c r="BG915" s="242"/>
      <c r="BH915" s="241"/>
      <c r="BI915" s="243"/>
      <c r="BK915" s="242"/>
      <c r="BL915" s="241"/>
      <c r="BM915" s="243"/>
      <c r="BO915" s="242"/>
      <c r="BP915" s="241"/>
      <c r="BQ915" s="243"/>
      <c r="BS915" s="242"/>
      <c r="BT915" s="241"/>
      <c r="BU915" s="243"/>
      <c r="BW915" s="242"/>
      <c r="BX915" s="241"/>
      <c r="BY915" s="243"/>
      <c r="CA915" s="242"/>
      <c r="CB915" s="241"/>
      <c r="CC915" s="243"/>
    </row>
    <row r="916" spans="10:81">
      <c r="K916" s="242"/>
      <c r="L916" s="241"/>
      <c r="M916" s="243"/>
      <c r="O916" s="242"/>
      <c r="P916" s="241"/>
      <c r="Q916" s="243"/>
      <c r="S916" s="242"/>
      <c r="T916" s="241"/>
      <c r="U916" s="243"/>
      <c r="W916" s="242"/>
      <c r="X916" s="241"/>
      <c r="Y916" s="243"/>
      <c r="AA916" s="242"/>
      <c r="AB916" s="241"/>
      <c r="AC916" s="243"/>
      <c r="AE916" s="242"/>
      <c r="AF916" s="241"/>
      <c r="AG916" s="243"/>
      <c r="AI916" s="242"/>
      <c r="AJ916" s="241"/>
      <c r="AK916" s="243"/>
      <c r="AM916" s="242"/>
      <c r="AN916" s="241"/>
      <c r="AO916" s="243"/>
      <c r="AQ916" s="242"/>
      <c r="AR916" s="241"/>
      <c r="AS916" s="243"/>
      <c r="AU916" s="242"/>
      <c r="AV916" s="241"/>
      <c r="AW916" s="243"/>
      <c r="AY916" s="242"/>
      <c r="AZ916" s="241"/>
      <c r="BA916" s="243"/>
      <c r="BC916" s="242"/>
      <c r="BD916" s="241"/>
      <c r="BE916" s="243"/>
      <c r="BG916" s="242"/>
      <c r="BH916" s="241"/>
      <c r="BI916" s="243"/>
      <c r="BK916" s="242"/>
      <c r="BL916" s="241"/>
      <c r="BM916" s="243"/>
      <c r="BO916" s="242"/>
      <c r="BP916" s="241"/>
      <c r="BQ916" s="243"/>
      <c r="BS916" s="242"/>
      <c r="BT916" s="241"/>
      <c r="BU916" s="243"/>
      <c r="BW916" s="242"/>
      <c r="BX916" s="241"/>
      <c r="BY916" s="243"/>
      <c r="CA916" s="242"/>
      <c r="CB916" s="241"/>
      <c r="CC916" s="243"/>
    </row>
    <row r="917" spans="10:81">
      <c r="K917" s="242"/>
      <c r="L917" s="241"/>
      <c r="M917" s="243"/>
      <c r="O917" s="242"/>
      <c r="P917" s="241"/>
      <c r="Q917" s="243"/>
      <c r="S917" s="242"/>
      <c r="T917" s="241"/>
      <c r="U917" s="243"/>
      <c r="W917" s="242"/>
      <c r="X917" s="241"/>
      <c r="Y917" s="243"/>
      <c r="AA917" s="242"/>
      <c r="AB917" s="241"/>
      <c r="AC917" s="243"/>
      <c r="AE917" s="242"/>
      <c r="AF917" s="241"/>
      <c r="AG917" s="243"/>
      <c r="AI917" s="242"/>
      <c r="AJ917" s="241"/>
      <c r="AK917" s="243"/>
      <c r="AM917" s="242"/>
      <c r="AN917" s="241"/>
      <c r="AO917" s="243"/>
      <c r="AQ917" s="242"/>
      <c r="AR917" s="241"/>
      <c r="AS917" s="243"/>
      <c r="AU917" s="242"/>
      <c r="AV917" s="241"/>
      <c r="AW917" s="243"/>
      <c r="AY917" s="242"/>
      <c r="AZ917" s="241"/>
      <c r="BA917" s="243"/>
      <c r="BC917" s="242"/>
      <c r="BD917" s="241"/>
      <c r="BE917" s="243"/>
      <c r="BG917" s="242"/>
      <c r="BH917" s="241"/>
      <c r="BI917" s="243"/>
      <c r="BK917" s="242"/>
      <c r="BL917" s="241"/>
      <c r="BM917" s="243"/>
      <c r="BO917" s="242"/>
      <c r="BP917" s="241"/>
      <c r="BQ917" s="243"/>
      <c r="BS917" s="242"/>
      <c r="BT917" s="241"/>
      <c r="BU917" s="243"/>
      <c r="BW917" s="242"/>
      <c r="BX917" s="241"/>
      <c r="BY917" s="243"/>
      <c r="CA917" s="242"/>
      <c r="CB917" s="241"/>
      <c r="CC917" s="243"/>
    </row>
    <row r="918" spans="10:81">
      <c r="K918" s="242"/>
      <c r="L918" s="241"/>
      <c r="M918" s="243"/>
      <c r="O918" s="242"/>
      <c r="P918" s="241"/>
      <c r="Q918" s="243"/>
      <c r="S918" s="242"/>
      <c r="T918" s="241"/>
      <c r="U918" s="243"/>
      <c r="W918" s="242"/>
      <c r="X918" s="241"/>
      <c r="Y918" s="243"/>
      <c r="AA918" s="242"/>
      <c r="AB918" s="241"/>
      <c r="AC918" s="243"/>
      <c r="AE918" s="242"/>
      <c r="AF918" s="241"/>
      <c r="AG918" s="243"/>
      <c r="AI918" s="242"/>
      <c r="AJ918" s="241"/>
      <c r="AK918" s="243"/>
      <c r="AM918" s="242"/>
      <c r="AN918" s="241"/>
      <c r="AO918" s="243"/>
      <c r="AQ918" s="242"/>
      <c r="AR918" s="241"/>
      <c r="AS918" s="243"/>
      <c r="AU918" s="242"/>
      <c r="AV918" s="241"/>
      <c r="AW918" s="243"/>
      <c r="AY918" s="242"/>
      <c r="AZ918" s="241"/>
      <c r="BA918" s="243"/>
      <c r="BC918" s="242"/>
      <c r="BD918" s="241"/>
      <c r="BE918" s="243"/>
      <c r="BG918" s="242"/>
      <c r="BH918" s="241"/>
      <c r="BI918" s="243"/>
      <c r="BK918" s="242"/>
      <c r="BL918" s="241"/>
      <c r="BM918" s="243"/>
      <c r="BO918" s="242"/>
      <c r="BP918" s="241"/>
      <c r="BQ918" s="243"/>
      <c r="BS918" s="242"/>
      <c r="BT918" s="241"/>
      <c r="BU918" s="243"/>
      <c r="BW918" s="242"/>
      <c r="BX918" s="241"/>
      <c r="BY918" s="243"/>
      <c r="CA918" s="242"/>
      <c r="CB918" s="241"/>
      <c r="CC918" s="243"/>
    </row>
    <row r="919" spans="10:81">
      <c r="K919" s="242"/>
      <c r="L919" s="241"/>
      <c r="M919" s="243"/>
      <c r="O919" s="242"/>
      <c r="P919" s="241"/>
      <c r="Q919" s="243"/>
      <c r="S919" s="242"/>
      <c r="T919" s="241"/>
      <c r="U919" s="243"/>
      <c r="W919" s="242"/>
      <c r="X919" s="241"/>
      <c r="Y919" s="243"/>
      <c r="AA919" s="242"/>
      <c r="AB919" s="241"/>
      <c r="AC919" s="243"/>
      <c r="AE919" s="242"/>
      <c r="AF919" s="241"/>
      <c r="AG919" s="243"/>
      <c r="AI919" s="242"/>
      <c r="AJ919" s="241"/>
      <c r="AK919" s="243"/>
      <c r="AM919" s="242"/>
      <c r="AN919" s="241"/>
      <c r="AO919" s="243"/>
      <c r="AQ919" s="242"/>
      <c r="AR919" s="241"/>
      <c r="AS919" s="243"/>
      <c r="AU919" s="242"/>
      <c r="AV919" s="241"/>
      <c r="AW919" s="243"/>
      <c r="AY919" s="242"/>
      <c r="AZ919" s="241"/>
      <c r="BA919" s="243"/>
      <c r="BC919" s="242"/>
      <c r="BD919" s="241"/>
      <c r="BE919" s="243"/>
      <c r="BG919" s="242"/>
      <c r="BH919" s="241"/>
      <c r="BI919" s="243"/>
      <c r="BK919" s="242"/>
      <c r="BL919" s="241"/>
      <c r="BM919" s="243"/>
      <c r="BO919" s="242"/>
      <c r="BP919" s="241"/>
      <c r="BQ919" s="243"/>
      <c r="BS919" s="242"/>
      <c r="BT919" s="241"/>
      <c r="BU919" s="243"/>
      <c r="BW919" s="242"/>
      <c r="BX919" s="241"/>
      <c r="BY919" s="243"/>
      <c r="CA919" s="242"/>
      <c r="CB919" s="241"/>
      <c r="CC919" s="243"/>
    </row>
    <row r="920" spans="10:81">
      <c r="K920" s="242"/>
      <c r="L920" s="241"/>
      <c r="M920" s="243"/>
      <c r="O920" s="242"/>
      <c r="P920" s="241"/>
      <c r="Q920" s="243"/>
      <c r="S920" s="242"/>
      <c r="T920" s="241"/>
      <c r="U920" s="243"/>
      <c r="W920" s="242"/>
      <c r="X920" s="241"/>
      <c r="Y920" s="243"/>
      <c r="AA920" s="242"/>
      <c r="AB920" s="241"/>
      <c r="AC920" s="243"/>
      <c r="AE920" s="242"/>
      <c r="AF920" s="241"/>
      <c r="AG920" s="243"/>
      <c r="AI920" s="242"/>
      <c r="AJ920" s="241"/>
      <c r="AK920" s="243"/>
      <c r="AM920" s="242"/>
      <c r="AN920" s="241"/>
      <c r="AO920" s="243"/>
      <c r="AQ920" s="242"/>
      <c r="AR920" s="241"/>
      <c r="AS920" s="243"/>
      <c r="AU920" s="242"/>
      <c r="AV920" s="241"/>
      <c r="AW920" s="243"/>
      <c r="AY920" s="242"/>
      <c r="AZ920" s="241"/>
      <c r="BA920" s="243"/>
      <c r="BC920" s="242"/>
      <c r="BD920" s="241"/>
      <c r="BE920" s="243"/>
      <c r="BG920" s="242"/>
      <c r="BH920" s="241"/>
      <c r="BI920" s="243"/>
      <c r="BK920" s="242"/>
      <c r="BL920" s="241"/>
      <c r="BM920" s="243"/>
      <c r="BO920" s="242"/>
      <c r="BP920" s="241"/>
      <c r="BQ920" s="243"/>
      <c r="BS920" s="242"/>
      <c r="BT920" s="241"/>
      <c r="BU920" s="243"/>
      <c r="BW920" s="242"/>
      <c r="BX920" s="241"/>
      <c r="BY920" s="243"/>
      <c r="CA920" s="242"/>
      <c r="CB920" s="241"/>
      <c r="CC920" s="243"/>
    </row>
    <row r="921" spans="10:81">
      <c r="K921" s="242"/>
      <c r="L921" s="241"/>
      <c r="M921" s="243"/>
      <c r="O921" s="242"/>
      <c r="P921" s="241"/>
      <c r="Q921" s="243"/>
      <c r="S921" s="242"/>
      <c r="T921" s="241"/>
      <c r="U921" s="243"/>
      <c r="W921" s="242"/>
      <c r="X921" s="241"/>
      <c r="Y921" s="243"/>
      <c r="AA921" s="242"/>
      <c r="AB921" s="241"/>
      <c r="AC921" s="243"/>
      <c r="AE921" s="242"/>
      <c r="AF921" s="241"/>
      <c r="AG921" s="243"/>
      <c r="AI921" s="242"/>
      <c r="AJ921" s="241"/>
      <c r="AK921" s="243"/>
      <c r="AM921" s="242"/>
      <c r="AN921" s="241"/>
      <c r="AO921" s="243"/>
      <c r="AQ921" s="242"/>
      <c r="AR921" s="241"/>
      <c r="AS921" s="243"/>
      <c r="AU921" s="242"/>
      <c r="AV921" s="241"/>
      <c r="AW921" s="243"/>
      <c r="AY921" s="242"/>
      <c r="AZ921" s="241"/>
      <c r="BA921" s="243"/>
      <c r="BC921" s="242"/>
      <c r="BD921" s="241"/>
      <c r="BE921" s="243"/>
      <c r="BG921" s="242"/>
      <c r="BH921" s="241"/>
      <c r="BI921" s="243"/>
      <c r="BK921" s="242"/>
      <c r="BL921" s="241"/>
      <c r="BM921" s="243"/>
      <c r="BO921" s="242"/>
      <c r="BP921" s="241"/>
      <c r="BQ921" s="243"/>
      <c r="BS921" s="242"/>
      <c r="BT921" s="241"/>
      <c r="BU921" s="243"/>
      <c r="BW921" s="242"/>
      <c r="BX921" s="241"/>
      <c r="BY921" s="243"/>
      <c r="CA921" s="242"/>
      <c r="CB921" s="241"/>
      <c r="CC921" s="243"/>
    </row>
    <row r="922" spans="10:81">
      <c r="Q922" s="243"/>
      <c r="U922" s="243"/>
      <c r="Y922" s="243"/>
      <c r="AC922" s="243"/>
      <c r="AG922" s="243"/>
      <c r="AK922" s="243"/>
      <c r="AL922" s="243"/>
      <c r="AM922" s="243"/>
      <c r="AN922" s="243"/>
      <c r="AO922" s="243"/>
      <c r="AP922" s="243"/>
      <c r="AQ922" s="243"/>
      <c r="AR922" s="243"/>
      <c r="AS922" s="243"/>
      <c r="AT922" s="243"/>
      <c r="AU922" s="243"/>
      <c r="AV922" s="243"/>
      <c r="AW922" s="243"/>
      <c r="AX922" s="243"/>
      <c r="AY922" s="243"/>
      <c r="AZ922" s="243"/>
      <c r="BA922" s="243"/>
      <c r="BE922" s="243"/>
      <c r="BI922" s="243"/>
      <c r="BM922" s="243"/>
      <c r="BN922" s="243"/>
      <c r="BO922" s="243"/>
      <c r="BP922" s="243"/>
      <c r="BQ922" s="243"/>
      <c r="BR922" s="243"/>
      <c r="BS922" s="243"/>
      <c r="BT922" s="243"/>
      <c r="BU922" s="243"/>
      <c r="BV922" s="243"/>
      <c r="BW922" s="243"/>
      <c r="BX922" s="243"/>
      <c r="BY922" s="243"/>
      <c r="BZ922" s="243"/>
      <c r="CA922" s="243"/>
      <c r="CB922" s="243"/>
      <c r="CC922" s="243"/>
    </row>
    <row r="923" spans="10:81">
      <c r="J923" s="5"/>
      <c r="M923" s="944"/>
      <c r="N923" s="961"/>
      <c r="Q923" s="944"/>
      <c r="R923" s="961"/>
      <c r="U923" s="944"/>
      <c r="V923" s="5"/>
      <c r="Y923" s="944"/>
      <c r="Z923" s="960"/>
      <c r="AC923" s="944"/>
      <c r="AD923" s="5"/>
      <c r="AG923" s="944"/>
      <c r="AH923" s="960"/>
      <c r="AK923" s="944"/>
      <c r="AL923" s="5"/>
      <c r="AO923" s="944"/>
      <c r="AP923" s="960"/>
      <c r="AS923" s="944"/>
      <c r="AT923" s="5"/>
      <c r="AW923" s="944"/>
      <c r="AX923" s="960"/>
      <c r="BA923" s="944"/>
      <c r="BB923" s="5"/>
      <c r="BC923" s="16"/>
      <c r="BE923" s="355"/>
      <c r="BF923" s="960"/>
      <c r="BG923" s="16"/>
      <c r="BI923" s="355"/>
      <c r="BJ923" s="960"/>
      <c r="BK923" s="16"/>
      <c r="BM923" s="355"/>
      <c r="BN923" s="5"/>
      <c r="BO923" s="16"/>
      <c r="BQ923" s="355"/>
      <c r="BR923" s="960"/>
      <c r="BS923" s="16"/>
      <c r="BU923" s="355"/>
      <c r="BV923" s="960"/>
      <c r="BW923" s="16"/>
      <c r="BY923" s="355"/>
      <c r="BZ923" s="960"/>
      <c r="CA923" s="16"/>
      <c r="CC923" s="355"/>
    </row>
    <row r="924" spans="10:81">
      <c r="K924" s="260"/>
      <c r="L924" s="241"/>
      <c r="M924" s="243"/>
      <c r="O924" s="260"/>
      <c r="P924" s="241"/>
      <c r="Q924" s="243"/>
      <c r="S924" s="260"/>
      <c r="T924" s="241"/>
      <c r="U924" s="243"/>
      <c r="W924" s="260"/>
      <c r="X924" s="241"/>
      <c r="Y924" s="243"/>
      <c r="AA924" s="260"/>
      <c r="AB924" s="241"/>
      <c r="AC924" s="243"/>
      <c r="AE924" s="260"/>
      <c r="AF924" s="241"/>
      <c r="AG924" s="243"/>
      <c r="AI924" s="260"/>
      <c r="AJ924" s="241"/>
      <c r="AK924" s="243"/>
      <c r="AM924" s="260"/>
      <c r="AN924" s="241"/>
      <c r="AO924" s="243"/>
      <c r="AQ924" s="260"/>
      <c r="AR924" s="241"/>
      <c r="AS924" s="243"/>
      <c r="AU924" s="260"/>
      <c r="AV924" s="241"/>
      <c r="AW924" s="243"/>
      <c r="AY924" s="260"/>
      <c r="AZ924" s="241"/>
      <c r="BA924" s="243"/>
      <c r="BC924" s="260"/>
      <c r="BD924" s="241"/>
      <c r="BE924" s="243"/>
      <c r="BG924" s="260"/>
      <c r="BH924" s="241"/>
      <c r="BI924" s="243"/>
      <c r="BK924" s="260"/>
      <c r="BL924" s="241"/>
      <c r="BM924" s="243"/>
      <c r="BO924" s="260"/>
      <c r="BP924" s="241"/>
      <c r="BQ924" s="243"/>
      <c r="BS924" s="260"/>
      <c r="BT924" s="241"/>
      <c r="BU924" s="243"/>
      <c r="BW924" s="260"/>
      <c r="BX924" s="241"/>
      <c r="BY924" s="243"/>
      <c r="CA924" s="260"/>
      <c r="CB924" s="241"/>
      <c r="CC924" s="243"/>
    </row>
    <row r="925" spans="10:81">
      <c r="K925" s="242"/>
      <c r="L925" s="241"/>
      <c r="M925" s="243"/>
      <c r="O925" s="242"/>
      <c r="P925" s="241"/>
      <c r="Q925" s="243"/>
      <c r="S925" s="242"/>
      <c r="T925" s="241"/>
      <c r="U925" s="243"/>
      <c r="W925" s="242"/>
      <c r="X925" s="241"/>
      <c r="Y925" s="243"/>
      <c r="AA925" s="242"/>
      <c r="AB925" s="241"/>
      <c r="AC925" s="243"/>
      <c r="AE925" s="242"/>
      <c r="AF925" s="241"/>
      <c r="AG925" s="243"/>
      <c r="AI925" s="242"/>
      <c r="AJ925" s="241"/>
      <c r="AK925" s="243"/>
      <c r="AM925" s="242"/>
      <c r="AN925" s="241"/>
      <c r="AO925" s="243"/>
      <c r="AQ925" s="242"/>
      <c r="AR925" s="241"/>
      <c r="AS925" s="243"/>
      <c r="AU925" s="242"/>
      <c r="AV925" s="241"/>
      <c r="AW925" s="243"/>
      <c r="AY925" s="242"/>
      <c r="AZ925" s="241"/>
      <c r="BA925" s="243"/>
      <c r="BC925" s="242"/>
      <c r="BD925" s="241"/>
      <c r="BE925" s="243"/>
      <c r="BG925" s="242"/>
      <c r="BH925" s="241"/>
      <c r="BI925" s="243"/>
      <c r="BK925" s="242"/>
      <c r="BL925" s="241"/>
      <c r="BM925" s="243"/>
      <c r="BO925" s="242"/>
      <c r="BP925" s="241"/>
      <c r="BQ925" s="243"/>
      <c r="BS925" s="242"/>
      <c r="BT925" s="241"/>
      <c r="BU925" s="243"/>
      <c r="BW925" s="242"/>
      <c r="BX925" s="241"/>
      <c r="BY925" s="243"/>
      <c r="CA925" s="242"/>
      <c r="CB925" s="241"/>
      <c r="CC925" s="243"/>
    </row>
    <row r="926" spans="10:81">
      <c r="K926" s="242"/>
      <c r="L926" s="241"/>
      <c r="M926" s="243"/>
      <c r="O926" s="242"/>
      <c r="P926" s="241"/>
      <c r="Q926" s="243"/>
      <c r="S926" s="242"/>
      <c r="T926" s="241"/>
      <c r="U926" s="243"/>
      <c r="W926" s="242"/>
      <c r="X926" s="241"/>
      <c r="Y926" s="243"/>
      <c r="AA926" s="242"/>
      <c r="AB926" s="241"/>
      <c r="AC926" s="243"/>
      <c r="AE926" s="242"/>
      <c r="AF926" s="241"/>
      <c r="AG926" s="243"/>
      <c r="AI926" s="242"/>
      <c r="AJ926" s="241"/>
      <c r="AK926" s="243"/>
      <c r="AM926" s="242"/>
      <c r="AN926" s="241"/>
      <c r="AO926" s="243"/>
      <c r="AQ926" s="242"/>
      <c r="AR926" s="241"/>
      <c r="AS926" s="243"/>
      <c r="AU926" s="242"/>
      <c r="AV926" s="241"/>
      <c r="AW926" s="243"/>
      <c r="AY926" s="242"/>
      <c r="AZ926" s="241"/>
      <c r="BA926" s="243"/>
      <c r="BC926" s="242"/>
      <c r="BD926" s="241"/>
      <c r="BE926" s="243"/>
      <c r="BG926" s="242"/>
      <c r="BH926" s="241"/>
      <c r="BI926" s="243"/>
      <c r="BK926" s="242"/>
      <c r="BL926" s="241"/>
      <c r="BM926" s="243"/>
      <c r="BO926" s="242"/>
      <c r="BP926" s="241"/>
      <c r="BQ926" s="243"/>
      <c r="BS926" s="242"/>
      <c r="BT926" s="241"/>
      <c r="BU926" s="243"/>
      <c r="BW926" s="242"/>
      <c r="BX926" s="241"/>
      <c r="BY926" s="243"/>
      <c r="CA926" s="242"/>
      <c r="CB926" s="241"/>
      <c r="CC926" s="243"/>
    </row>
    <row r="927" spans="10:81">
      <c r="K927" s="242"/>
      <c r="L927" s="241"/>
      <c r="M927" s="243"/>
      <c r="O927" s="242"/>
      <c r="P927" s="241"/>
      <c r="Q927" s="243"/>
      <c r="S927" s="242"/>
      <c r="T927" s="241"/>
      <c r="U927" s="243"/>
      <c r="W927" s="242"/>
      <c r="X927" s="241"/>
      <c r="Y927" s="243"/>
      <c r="AA927" s="242"/>
      <c r="AB927" s="241"/>
      <c r="AC927" s="243"/>
      <c r="AE927" s="242"/>
      <c r="AF927" s="241"/>
      <c r="AG927" s="243"/>
      <c r="AI927" s="242"/>
      <c r="AJ927" s="241"/>
      <c r="AK927" s="243"/>
      <c r="AM927" s="242"/>
      <c r="AN927" s="241"/>
      <c r="AO927" s="243"/>
      <c r="AQ927" s="242"/>
      <c r="AR927" s="241"/>
      <c r="AS927" s="243"/>
      <c r="AU927" s="242"/>
      <c r="AV927" s="241"/>
      <c r="AW927" s="243"/>
      <c r="AY927" s="242"/>
      <c r="AZ927" s="241"/>
      <c r="BA927" s="243"/>
      <c r="BC927" s="242"/>
      <c r="BD927" s="241"/>
      <c r="BE927" s="243"/>
      <c r="BG927" s="242"/>
      <c r="BH927" s="241"/>
      <c r="BI927" s="243"/>
      <c r="BK927" s="242"/>
      <c r="BL927" s="241"/>
      <c r="BM927" s="243"/>
      <c r="BO927" s="242"/>
      <c r="BP927" s="241"/>
      <c r="BQ927" s="243"/>
      <c r="BS927" s="242"/>
      <c r="BT927" s="241"/>
      <c r="BU927" s="243"/>
      <c r="BW927" s="242"/>
      <c r="BX927" s="241"/>
      <c r="BY927" s="243"/>
      <c r="CA927" s="242"/>
      <c r="CB927" s="241"/>
      <c r="CC927" s="243"/>
    </row>
    <row r="928" spans="10:81">
      <c r="K928" s="242"/>
      <c r="L928" s="241"/>
      <c r="M928" s="243"/>
      <c r="O928" s="242"/>
      <c r="P928" s="241"/>
      <c r="Q928" s="243"/>
      <c r="S928" s="242"/>
      <c r="T928" s="241"/>
      <c r="U928" s="243"/>
      <c r="W928" s="242"/>
      <c r="X928" s="241"/>
      <c r="Y928" s="243"/>
      <c r="AA928" s="242"/>
      <c r="AB928" s="241"/>
      <c r="AC928" s="243"/>
      <c r="AE928" s="242"/>
      <c r="AF928" s="241"/>
      <c r="AG928" s="243"/>
      <c r="AI928" s="242"/>
      <c r="AJ928" s="241"/>
      <c r="AK928" s="243"/>
      <c r="AM928" s="242"/>
      <c r="AN928" s="241"/>
      <c r="AO928" s="243"/>
      <c r="AQ928" s="242"/>
      <c r="AR928" s="241"/>
      <c r="AS928" s="243"/>
      <c r="AU928" s="242"/>
      <c r="AV928" s="241"/>
      <c r="AW928" s="243"/>
      <c r="AY928" s="242"/>
      <c r="AZ928" s="241"/>
      <c r="BA928" s="243"/>
      <c r="BC928" s="242"/>
      <c r="BD928" s="241"/>
      <c r="BE928" s="243"/>
      <c r="BG928" s="242"/>
      <c r="BH928" s="241"/>
      <c r="BI928" s="243"/>
      <c r="BK928" s="242"/>
      <c r="BL928" s="241"/>
      <c r="BM928" s="243"/>
      <c r="BO928" s="242"/>
      <c r="BP928" s="241"/>
      <c r="BQ928" s="243"/>
      <c r="BS928" s="242"/>
      <c r="BT928" s="241"/>
      <c r="BU928" s="243"/>
      <c r="BW928" s="242"/>
      <c r="BX928" s="241"/>
      <c r="BY928" s="243"/>
      <c r="CA928" s="242"/>
      <c r="CB928" s="241"/>
      <c r="CC928" s="243"/>
    </row>
    <row r="929" spans="11:81">
      <c r="K929" s="242"/>
      <c r="L929" s="241"/>
      <c r="M929" s="243"/>
      <c r="O929" s="242"/>
      <c r="P929" s="241"/>
      <c r="Q929" s="243"/>
      <c r="S929" s="242"/>
      <c r="T929" s="241"/>
      <c r="U929" s="243"/>
      <c r="W929" s="242"/>
      <c r="X929" s="241"/>
      <c r="Y929" s="243"/>
      <c r="AA929" s="242"/>
      <c r="AB929" s="241"/>
      <c r="AC929" s="243"/>
      <c r="AE929" s="242"/>
      <c r="AF929" s="241"/>
      <c r="AG929" s="243"/>
      <c r="AI929" s="242"/>
      <c r="AJ929" s="241"/>
      <c r="AK929" s="243"/>
      <c r="AM929" s="242"/>
      <c r="AN929" s="241"/>
      <c r="AO929" s="243"/>
      <c r="AQ929" s="242"/>
      <c r="AR929" s="241"/>
      <c r="AS929" s="243"/>
      <c r="AU929" s="242"/>
      <c r="AV929" s="241"/>
      <c r="AW929" s="243"/>
      <c r="AY929" s="242"/>
      <c r="AZ929" s="241"/>
      <c r="BA929" s="243"/>
      <c r="BC929" s="242"/>
      <c r="BD929" s="241"/>
      <c r="BE929" s="243"/>
      <c r="BG929" s="242"/>
      <c r="BH929" s="241"/>
      <c r="BI929" s="243"/>
      <c r="BK929" s="242"/>
      <c r="BL929" s="241"/>
      <c r="BM929" s="243"/>
      <c r="BO929" s="242"/>
      <c r="BP929" s="241"/>
      <c r="BQ929" s="243"/>
      <c r="BS929" s="242"/>
      <c r="BT929" s="241"/>
      <c r="BU929" s="243"/>
      <c r="BW929" s="242"/>
      <c r="BX929" s="241"/>
      <c r="BY929" s="243"/>
      <c r="CA929" s="242"/>
      <c r="CB929" s="241"/>
      <c r="CC929" s="243"/>
    </row>
    <row r="930" spans="11:81">
      <c r="K930" s="242"/>
      <c r="L930" s="241"/>
      <c r="M930" s="243"/>
      <c r="O930" s="242"/>
      <c r="P930" s="241"/>
      <c r="Q930" s="243"/>
      <c r="S930" s="242"/>
      <c r="T930" s="241"/>
      <c r="U930" s="243"/>
      <c r="W930" s="242"/>
      <c r="X930" s="241"/>
      <c r="Y930" s="243"/>
      <c r="AA930" s="242"/>
      <c r="AB930" s="241"/>
      <c r="AC930" s="243"/>
      <c r="AE930" s="242"/>
      <c r="AF930" s="241"/>
      <c r="AG930" s="243"/>
      <c r="AI930" s="242"/>
      <c r="AJ930" s="241"/>
      <c r="AK930" s="243"/>
      <c r="AM930" s="242"/>
      <c r="AN930" s="241"/>
      <c r="AO930" s="243"/>
      <c r="AQ930" s="242"/>
      <c r="AR930" s="241"/>
      <c r="AS930" s="243"/>
      <c r="AU930" s="242"/>
      <c r="AV930" s="241"/>
      <c r="AW930" s="243"/>
      <c r="AY930" s="242"/>
      <c r="AZ930" s="241"/>
      <c r="BA930" s="243"/>
      <c r="BC930" s="242"/>
      <c r="BD930" s="241"/>
      <c r="BE930" s="243"/>
      <c r="BG930" s="242"/>
      <c r="BH930" s="241"/>
      <c r="BI930" s="243"/>
      <c r="BK930" s="242"/>
      <c r="BL930" s="241"/>
      <c r="BM930" s="243"/>
      <c r="BO930" s="242"/>
      <c r="BP930" s="241"/>
      <c r="BQ930" s="243"/>
      <c r="BS930" s="242"/>
      <c r="BT930" s="241"/>
      <c r="BU930" s="243"/>
      <c r="BW930" s="242"/>
      <c r="BX930" s="241"/>
      <c r="BY930" s="243"/>
      <c r="CA930" s="242"/>
      <c r="CB930" s="241"/>
      <c r="CC930" s="243"/>
    </row>
    <row r="931" spans="11:81">
      <c r="K931" s="242"/>
      <c r="L931" s="241"/>
      <c r="M931" s="243"/>
      <c r="O931" s="242"/>
      <c r="P931" s="241"/>
      <c r="Q931" s="243"/>
      <c r="S931" s="242"/>
      <c r="T931" s="241"/>
      <c r="U931" s="243"/>
      <c r="W931" s="242"/>
      <c r="X931" s="241"/>
      <c r="Y931" s="243"/>
      <c r="AA931" s="242"/>
      <c r="AB931" s="241"/>
      <c r="AC931" s="243"/>
      <c r="AE931" s="242"/>
      <c r="AF931" s="241"/>
      <c r="AG931" s="243"/>
      <c r="AI931" s="242"/>
      <c r="AJ931" s="241"/>
      <c r="AK931" s="243"/>
      <c r="AM931" s="242"/>
      <c r="AN931" s="241"/>
      <c r="AO931" s="243"/>
      <c r="AQ931" s="242"/>
      <c r="AR931" s="241"/>
      <c r="AS931" s="243"/>
      <c r="AU931" s="242"/>
      <c r="AV931" s="241"/>
      <c r="AW931" s="243"/>
      <c r="AY931" s="242"/>
      <c r="AZ931" s="241"/>
      <c r="BA931" s="243"/>
      <c r="BC931" s="242"/>
      <c r="BD931" s="241"/>
      <c r="BE931" s="243"/>
      <c r="BG931" s="242"/>
      <c r="BH931" s="241"/>
      <c r="BI931" s="243"/>
      <c r="BK931" s="242"/>
      <c r="BL931" s="241"/>
      <c r="BM931" s="243"/>
      <c r="BO931" s="242"/>
      <c r="BP931" s="241"/>
      <c r="BQ931" s="243"/>
      <c r="BS931" s="242"/>
      <c r="BT931" s="241"/>
      <c r="BU931" s="243"/>
      <c r="BW931" s="242"/>
      <c r="BX931" s="241"/>
      <c r="BY931" s="243"/>
      <c r="CA931" s="242"/>
      <c r="CB931" s="241"/>
      <c r="CC931" s="243"/>
    </row>
    <row r="932" spans="11:81">
      <c r="K932" s="242"/>
      <c r="L932" s="241"/>
      <c r="M932" s="243"/>
      <c r="O932" s="242"/>
      <c r="P932" s="241"/>
      <c r="Q932" s="243"/>
      <c r="S932" s="242"/>
      <c r="T932" s="241"/>
      <c r="U932" s="243"/>
      <c r="W932" s="242"/>
      <c r="X932" s="241"/>
      <c r="Y932" s="243"/>
      <c r="AA932" s="242"/>
      <c r="AB932" s="241"/>
      <c r="AC932" s="243"/>
      <c r="AE932" s="242"/>
      <c r="AF932" s="241"/>
      <c r="AG932" s="243"/>
      <c r="AI932" s="242"/>
      <c r="AJ932" s="241"/>
      <c r="AK932" s="243"/>
      <c r="AM932" s="242"/>
      <c r="AN932" s="241"/>
      <c r="AO932" s="243"/>
      <c r="AQ932" s="242"/>
      <c r="AR932" s="241"/>
      <c r="AS932" s="243"/>
      <c r="AU932" s="242"/>
      <c r="AV932" s="241"/>
      <c r="AW932" s="243"/>
      <c r="AY932" s="242"/>
      <c r="AZ932" s="241"/>
      <c r="BA932" s="243"/>
      <c r="BC932" s="242"/>
      <c r="BD932" s="241"/>
      <c r="BE932" s="243"/>
      <c r="BG932" s="242"/>
      <c r="BH932" s="241"/>
      <c r="BI932" s="243"/>
      <c r="BK932" s="242"/>
      <c r="BL932" s="241"/>
      <c r="BM932" s="243"/>
      <c r="BO932" s="242"/>
      <c r="BP932" s="241"/>
      <c r="BQ932" s="243"/>
      <c r="BS932" s="242"/>
      <c r="BT932" s="241"/>
      <c r="BU932" s="243"/>
      <c r="BW932" s="242"/>
      <c r="BX932" s="241"/>
      <c r="BY932" s="243"/>
      <c r="CA932" s="242"/>
      <c r="CB932" s="241"/>
      <c r="CC932" s="243"/>
    </row>
    <row r="933" spans="11:81">
      <c r="K933" s="242"/>
      <c r="L933" s="241"/>
      <c r="M933" s="243"/>
      <c r="O933" s="242"/>
      <c r="P933" s="241"/>
      <c r="Q933" s="243"/>
      <c r="S933" s="242"/>
      <c r="T933" s="241"/>
      <c r="U933" s="243"/>
      <c r="W933" s="242"/>
      <c r="X933" s="241"/>
      <c r="Y933" s="243"/>
      <c r="AA933" s="242"/>
      <c r="AB933" s="241"/>
      <c r="AC933" s="243"/>
      <c r="AE933" s="242"/>
      <c r="AF933" s="241"/>
      <c r="AG933" s="243"/>
      <c r="AI933" s="242"/>
      <c r="AJ933" s="241"/>
      <c r="AK933" s="243"/>
      <c r="AM933" s="242"/>
      <c r="AN933" s="241"/>
      <c r="AO933" s="243"/>
      <c r="AQ933" s="242"/>
      <c r="AR933" s="241"/>
      <c r="AS933" s="243"/>
      <c r="AU933" s="242"/>
      <c r="AV933" s="241"/>
      <c r="AW933" s="243"/>
      <c r="AY933" s="242"/>
      <c r="AZ933" s="241"/>
      <c r="BA933" s="243"/>
      <c r="BC933" s="242"/>
      <c r="BD933" s="241"/>
      <c r="BE933" s="243"/>
      <c r="BG933" s="242"/>
      <c r="BH933" s="241"/>
      <c r="BI933" s="243"/>
      <c r="BK933" s="242"/>
      <c r="BL933" s="241"/>
      <c r="BM933" s="243"/>
      <c r="BO933" s="242"/>
      <c r="BP933" s="241"/>
      <c r="BQ933" s="243"/>
      <c r="BS933" s="242"/>
      <c r="BT933" s="241"/>
      <c r="BU933" s="243"/>
      <c r="BW933" s="242"/>
      <c r="BX933" s="241"/>
      <c r="BY933" s="243"/>
      <c r="CA933" s="242"/>
      <c r="CB933" s="241"/>
      <c r="CC933" s="243"/>
    </row>
    <row r="934" spans="11:81">
      <c r="K934" s="242"/>
      <c r="L934" s="241"/>
      <c r="M934" s="243"/>
      <c r="O934" s="242"/>
      <c r="P934" s="241"/>
      <c r="Q934" s="243"/>
      <c r="S934" s="242"/>
      <c r="T934" s="241"/>
      <c r="U934" s="243"/>
      <c r="W934" s="242"/>
      <c r="X934" s="241"/>
      <c r="Y934" s="243"/>
      <c r="AA934" s="242"/>
      <c r="AB934" s="241"/>
      <c r="AC934" s="243"/>
      <c r="AE934" s="242"/>
      <c r="AF934" s="241"/>
      <c r="AG934" s="243"/>
      <c r="AI934" s="242"/>
      <c r="AJ934" s="241"/>
      <c r="AK934" s="243"/>
      <c r="AM934" s="242"/>
      <c r="AN934" s="241"/>
      <c r="AO934" s="243"/>
      <c r="AQ934" s="242"/>
      <c r="AR934" s="241"/>
      <c r="AS934" s="243"/>
      <c r="AU934" s="242"/>
      <c r="AV934" s="241"/>
      <c r="AW934" s="243"/>
      <c r="AY934" s="242"/>
      <c r="AZ934" s="241"/>
      <c r="BA934" s="243"/>
      <c r="BC934" s="242"/>
      <c r="BD934" s="241"/>
      <c r="BE934" s="243"/>
      <c r="BG934" s="242"/>
      <c r="BH934" s="241"/>
      <c r="BI934" s="243"/>
      <c r="BK934" s="242"/>
      <c r="BL934" s="241"/>
      <c r="BM934" s="243"/>
      <c r="BO934" s="242"/>
      <c r="BP934" s="241"/>
      <c r="BQ934" s="243"/>
      <c r="BS934" s="242"/>
      <c r="BT934" s="241"/>
      <c r="BU934" s="243"/>
      <c r="BW934" s="242"/>
      <c r="BX934" s="241"/>
      <c r="BY934" s="243"/>
      <c r="CA934" s="242"/>
      <c r="CB934" s="241"/>
      <c r="CC934" s="243"/>
    </row>
    <row r="935" spans="11:81">
      <c r="K935" s="242"/>
      <c r="L935" s="241"/>
      <c r="M935" s="243"/>
      <c r="O935" s="242"/>
      <c r="P935" s="241"/>
      <c r="Q935" s="243"/>
      <c r="S935" s="242"/>
      <c r="T935" s="241"/>
      <c r="U935" s="243"/>
      <c r="W935" s="242"/>
      <c r="X935" s="241"/>
      <c r="Y935" s="243"/>
      <c r="AA935" s="242"/>
      <c r="AB935" s="241"/>
      <c r="AC935" s="243"/>
      <c r="AE935" s="242"/>
      <c r="AF935" s="241"/>
      <c r="AG935" s="243"/>
      <c r="AI935" s="242"/>
      <c r="AJ935" s="241"/>
      <c r="AK935" s="243"/>
      <c r="AM935" s="242"/>
      <c r="AN935" s="241"/>
      <c r="AO935" s="243"/>
      <c r="AQ935" s="242"/>
      <c r="AR935" s="241"/>
      <c r="AS935" s="243"/>
      <c r="AU935" s="242"/>
      <c r="AV935" s="241"/>
      <c r="AW935" s="243"/>
      <c r="AY935" s="242"/>
      <c r="AZ935" s="241"/>
      <c r="BA935" s="243"/>
      <c r="BC935" s="242"/>
      <c r="BD935" s="241"/>
      <c r="BE935" s="243"/>
      <c r="BG935" s="242"/>
      <c r="BH935" s="241"/>
      <c r="BI935" s="243"/>
      <c r="BK935" s="242"/>
      <c r="BL935" s="241"/>
      <c r="BM935" s="243"/>
      <c r="BO935" s="242"/>
      <c r="BP935" s="241"/>
      <c r="BQ935" s="243"/>
      <c r="BS935" s="242"/>
      <c r="BT935" s="241"/>
      <c r="BU935" s="243"/>
      <c r="BW935" s="242"/>
      <c r="BX935" s="241"/>
      <c r="BY935" s="243"/>
      <c r="CA935" s="242"/>
      <c r="CB935" s="241"/>
      <c r="CC935" s="243"/>
    </row>
    <row r="936" spans="11:81">
      <c r="K936" s="242"/>
      <c r="L936" s="241"/>
      <c r="M936" s="243"/>
      <c r="O936" s="242"/>
      <c r="P936" s="241"/>
      <c r="Q936" s="243"/>
      <c r="S936" s="242"/>
      <c r="T936" s="241"/>
      <c r="U936" s="243"/>
      <c r="W936" s="242"/>
      <c r="X936" s="241"/>
      <c r="Y936" s="243"/>
      <c r="AA936" s="242"/>
      <c r="AB936" s="241"/>
      <c r="AC936" s="243"/>
      <c r="AE936" s="242"/>
      <c r="AF936" s="241"/>
      <c r="AG936" s="243"/>
      <c r="AI936" s="242"/>
      <c r="AJ936" s="241"/>
      <c r="AK936" s="243"/>
      <c r="AM936" s="242"/>
      <c r="AN936" s="241"/>
      <c r="AO936" s="243"/>
      <c r="AQ936" s="242"/>
      <c r="AR936" s="241"/>
      <c r="AS936" s="243"/>
      <c r="AU936" s="242"/>
      <c r="AV936" s="241"/>
      <c r="AW936" s="243"/>
      <c r="AY936" s="242"/>
      <c r="AZ936" s="241"/>
      <c r="BA936" s="243"/>
      <c r="BC936" s="242"/>
      <c r="BD936" s="241"/>
      <c r="BE936" s="243"/>
      <c r="BG936" s="242"/>
      <c r="BH936" s="241"/>
      <c r="BI936" s="243"/>
      <c r="BK936" s="242"/>
      <c r="BL936" s="241"/>
      <c r="BM936" s="243"/>
      <c r="BO936" s="242"/>
      <c r="BP936" s="241"/>
      <c r="BQ936" s="243"/>
      <c r="BS936" s="242"/>
      <c r="BT936" s="241"/>
      <c r="BU936" s="243"/>
      <c r="BW936" s="242"/>
      <c r="BX936" s="241"/>
      <c r="BY936" s="243"/>
      <c r="CA936" s="242"/>
      <c r="CB936" s="241"/>
      <c r="CC936" s="243"/>
    </row>
    <row r="937" spans="11:81">
      <c r="K937" s="242"/>
      <c r="L937" s="241"/>
      <c r="M937" s="243"/>
      <c r="O937" s="242"/>
      <c r="P937" s="241"/>
      <c r="Q937" s="243"/>
      <c r="S937" s="242"/>
      <c r="T937" s="241"/>
      <c r="U937" s="243"/>
      <c r="W937" s="242"/>
      <c r="X937" s="241"/>
      <c r="Y937" s="243"/>
      <c r="AA937" s="242"/>
      <c r="AB937" s="241"/>
      <c r="AC937" s="243"/>
      <c r="AE937" s="242"/>
      <c r="AF937" s="241"/>
      <c r="AG937" s="243"/>
      <c r="AI937" s="242"/>
      <c r="AJ937" s="241"/>
      <c r="AK937" s="243"/>
      <c r="AM937" s="242"/>
      <c r="AN937" s="241"/>
      <c r="AO937" s="243"/>
      <c r="AQ937" s="242"/>
      <c r="AR937" s="241"/>
      <c r="AS937" s="243"/>
      <c r="AU937" s="242"/>
      <c r="AV937" s="241"/>
      <c r="AW937" s="243"/>
      <c r="AY937" s="242"/>
      <c r="AZ937" s="241"/>
      <c r="BA937" s="243"/>
      <c r="BC937" s="242"/>
      <c r="BD937" s="241"/>
      <c r="BE937" s="243"/>
      <c r="BG937" s="242"/>
      <c r="BH937" s="241"/>
      <c r="BI937" s="243"/>
      <c r="BK937" s="242"/>
      <c r="BL937" s="241"/>
      <c r="BM937" s="243"/>
      <c r="BO937" s="242"/>
      <c r="BP937" s="241"/>
      <c r="BQ937" s="243"/>
      <c r="BS937" s="242"/>
      <c r="BT937" s="241"/>
      <c r="BU937" s="243"/>
      <c r="BW937" s="242"/>
      <c r="BX937" s="241"/>
      <c r="BY937" s="243"/>
      <c r="CA937" s="242"/>
      <c r="CB937" s="241"/>
      <c r="CC937" s="243"/>
    </row>
    <row r="938" spans="11:81">
      <c r="K938" s="242"/>
      <c r="L938" s="241"/>
      <c r="M938" s="243"/>
      <c r="O938" s="242"/>
      <c r="P938" s="241"/>
      <c r="Q938" s="243"/>
      <c r="S938" s="242"/>
      <c r="T938" s="241"/>
      <c r="U938" s="243"/>
      <c r="W938" s="242"/>
      <c r="X938" s="241"/>
      <c r="Y938" s="243"/>
      <c r="AA938" s="242"/>
      <c r="AB938" s="241"/>
      <c r="AC938" s="243"/>
      <c r="AE938" s="242"/>
      <c r="AF938" s="241"/>
      <c r="AG938" s="243"/>
      <c r="AI938" s="242"/>
      <c r="AJ938" s="241"/>
      <c r="AK938" s="243"/>
      <c r="AM938" s="242"/>
      <c r="AN938" s="241"/>
      <c r="AO938" s="243"/>
      <c r="AQ938" s="242"/>
      <c r="AR938" s="241"/>
      <c r="AS938" s="243"/>
      <c r="AU938" s="242"/>
      <c r="AV938" s="241"/>
      <c r="AW938" s="243"/>
      <c r="AY938" s="242"/>
      <c r="AZ938" s="241"/>
      <c r="BA938" s="243"/>
      <c r="BC938" s="242"/>
      <c r="BD938" s="241"/>
      <c r="BE938" s="243"/>
      <c r="BG938" s="242"/>
      <c r="BH938" s="241"/>
      <c r="BI938" s="243"/>
      <c r="BK938" s="242"/>
      <c r="BL938" s="241"/>
      <c r="BM938" s="243"/>
      <c r="BO938" s="242"/>
      <c r="BP938" s="241"/>
      <c r="BQ938" s="243"/>
      <c r="BS938" s="242"/>
      <c r="BT938" s="241"/>
      <c r="BU938" s="243"/>
      <c r="BW938" s="242"/>
      <c r="BX938" s="241"/>
      <c r="BY938" s="243"/>
      <c r="CA938" s="242"/>
      <c r="CB938" s="241"/>
      <c r="CC938" s="243"/>
    </row>
    <row r="939" spans="11:81">
      <c r="Q939" s="243"/>
      <c r="U939" s="243"/>
      <c r="Y939" s="243"/>
      <c r="AC939" s="243"/>
      <c r="AG939" s="243"/>
      <c r="AK939" s="243"/>
      <c r="AL939" s="243"/>
      <c r="AM939" s="243"/>
      <c r="AN939" s="243"/>
      <c r="AO939" s="243"/>
      <c r="AP939" s="243"/>
      <c r="AQ939" s="243"/>
      <c r="AR939" s="243"/>
      <c r="AS939" s="243"/>
      <c r="AT939" s="243"/>
      <c r="AU939" s="243"/>
      <c r="AV939" s="243"/>
      <c r="AW939" s="243"/>
      <c r="AX939" s="243"/>
      <c r="AY939" s="243"/>
      <c r="AZ939" s="243"/>
      <c r="BA939" s="243"/>
      <c r="BE939" s="243"/>
      <c r="BI939" s="243"/>
      <c r="BM939" s="243"/>
      <c r="BN939" s="243"/>
      <c r="BO939" s="243"/>
      <c r="BP939" s="243"/>
      <c r="BQ939" s="243"/>
      <c r="BR939" s="243"/>
      <c r="BS939" s="243"/>
      <c r="BT939" s="243"/>
      <c r="BU939" s="243"/>
      <c r="BV939" s="243"/>
      <c r="BW939" s="243"/>
      <c r="BX939" s="243"/>
      <c r="BY939" s="243"/>
      <c r="BZ939" s="243"/>
      <c r="CA939" s="243"/>
      <c r="CB939" s="243"/>
      <c r="CC939" s="243"/>
    </row>
    <row r="1048576" spans="9:9">
      <c r="I1048576" s="941"/>
    </row>
  </sheetData>
  <mergeCells count="39">
    <mergeCell ref="BN13:CC13"/>
    <mergeCell ref="BN14:CC14"/>
    <mergeCell ref="H1:H3"/>
    <mergeCell ref="J13:M13"/>
    <mergeCell ref="N13:U13"/>
    <mergeCell ref="V14:AC14"/>
    <mergeCell ref="AD14:AK14"/>
    <mergeCell ref="V13:AK13"/>
    <mergeCell ref="BB13:BM13"/>
    <mergeCell ref="AL14:AS14"/>
    <mergeCell ref="AT14:BA14"/>
    <mergeCell ref="AL13:BA13"/>
    <mergeCell ref="AH15:AK15"/>
    <mergeCell ref="B14:I14"/>
    <mergeCell ref="N14:Q14"/>
    <mergeCell ref="R14:U14"/>
    <mergeCell ref="J14:M14"/>
    <mergeCell ref="B15:E15"/>
    <mergeCell ref="F15:I15"/>
    <mergeCell ref="V15:Y15"/>
    <mergeCell ref="Z15:AC15"/>
    <mergeCell ref="AD15:AG15"/>
    <mergeCell ref="DT15:DW15"/>
    <mergeCell ref="BF15:BI15"/>
    <mergeCell ref="BR15:BU15"/>
    <mergeCell ref="BB14:BM14"/>
    <mergeCell ref="BV15:BY15"/>
    <mergeCell ref="BZ15:CC15"/>
    <mergeCell ref="BN15:BQ15"/>
    <mergeCell ref="DL14:EA14"/>
    <mergeCell ref="DL15:DO15"/>
    <mergeCell ref="DP15:DS15"/>
    <mergeCell ref="DX15:EA15"/>
    <mergeCell ref="BJ15:BM15"/>
    <mergeCell ref="AL15:AO15"/>
    <mergeCell ref="AP15:AS15"/>
    <mergeCell ref="AT15:AW15"/>
    <mergeCell ref="AX15:BA15"/>
    <mergeCell ref="BB15:BE15"/>
  </mergeCells>
  <phoneticPr fontId="0" type="noConversion"/>
  <pageMargins left="0.25" right="0.25" top="0.35" bottom="0.35" header="0" footer="0"/>
  <pageSetup scale="53" fitToHeight="0" orientation="portrait" r:id="rId1"/>
  <headerFooter scaleWithDoc="0" alignWithMargins="0">
    <oddHeader>&amp;L&amp;9&amp;D; &amp;T</oddHeader>
    <oddFooter>&amp;C&amp;9Page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1"/>
    <pageSetUpPr fitToPage="1"/>
  </sheetPr>
  <dimension ref="A1:W254"/>
  <sheetViews>
    <sheetView topLeftCell="A10" zoomScale="75" workbookViewId="0">
      <selection activeCell="J25" sqref="J25:K25"/>
    </sheetView>
  </sheetViews>
  <sheetFormatPr defaultRowHeight="15.75"/>
  <cols>
    <col min="1" max="1" width="8.75" customWidth="1"/>
    <col min="2" max="2" width="13.25" customWidth="1"/>
    <col min="3" max="3" width="1.75" customWidth="1"/>
    <col min="4" max="4" width="12.875" customWidth="1"/>
    <col min="5" max="5" width="8.375" customWidth="1"/>
    <col min="6" max="6" width="6.125" customWidth="1"/>
    <col min="7" max="7" width="5.75" customWidth="1"/>
    <col min="8" max="11" width="7.875" customWidth="1"/>
    <col min="12" max="16" width="7" customWidth="1"/>
    <col min="17" max="22" width="7" bestFit="1" customWidth="1"/>
    <col min="23" max="23" width="10.375" bestFit="1" customWidth="1"/>
    <col min="26" max="26" width="12.875" bestFit="1" customWidth="1"/>
    <col min="27" max="27" width="10.375" bestFit="1" customWidth="1"/>
    <col min="31" max="31" width="10.375" customWidth="1"/>
    <col min="32" max="33" width="9.125" customWidth="1"/>
    <col min="34" max="34" width="9.875" customWidth="1"/>
    <col min="35" max="35" width="10.375" customWidth="1"/>
  </cols>
  <sheetData>
    <row r="1" spans="1:23" ht="20.25">
      <c r="A1" s="120" t="str">
        <f>SourceProjectName1</f>
        <v>Project Name 1</v>
      </c>
    </row>
    <row r="2" spans="1:23" ht="20.25">
      <c r="A2" s="120" t="str">
        <f>SourceProjectName2</f>
        <v>Project Name 2</v>
      </c>
    </row>
    <row r="3" spans="1:23" ht="20.25">
      <c r="A3" s="120" t="str">
        <f>SourceProjectNumber</f>
        <v>Project Number</v>
      </c>
      <c r="B3" s="120"/>
    </row>
    <row r="4" spans="1:23" ht="20.25">
      <c r="A4" s="2" t="s">
        <v>792</v>
      </c>
      <c r="B4" s="120"/>
    </row>
    <row r="5" spans="1:23" ht="20.25">
      <c r="A5" t="s">
        <v>388</v>
      </c>
      <c r="B5" s="120"/>
    </row>
    <row r="6" spans="1:23" ht="20.25">
      <c r="A6" t="s">
        <v>389</v>
      </c>
      <c r="B6" s="120"/>
    </row>
    <row r="7" spans="1:23" ht="20.25">
      <c r="A7" t="s">
        <v>390</v>
      </c>
      <c r="B7" s="120"/>
    </row>
    <row r="8" spans="1:23">
      <c r="A8" t="s">
        <v>391</v>
      </c>
    </row>
    <row r="9" spans="1:23" ht="20.25">
      <c r="A9" t="s">
        <v>392</v>
      </c>
      <c r="B9" s="120"/>
    </row>
    <row r="10" spans="1:23">
      <c r="B10" s="3" t="s">
        <v>396</v>
      </c>
    </row>
    <row r="11" spans="1:23" ht="20.25">
      <c r="A11" t="s">
        <v>393</v>
      </c>
      <c r="B11" s="120"/>
    </row>
    <row r="12" spans="1:23" ht="20.25">
      <c r="A12" t="s">
        <v>394</v>
      </c>
      <c r="B12" s="120"/>
    </row>
    <row r="14" spans="1:23" ht="20.25">
      <c r="B14" s="120"/>
    </row>
    <row r="15" spans="1:23">
      <c r="A15" s="432">
        <v>1</v>
      </c>
      <c r="B15" s="432" t="s">
        <v>381</v>
      </c>
      <c r="C15" s="424" t="s">
        <v>255</v>
      </c>
      <c r="D15" s="424" t="str">
        <f>"Stack Flow Rate vs. Wind Speed Input file: "&amp;RIGHT(A3,5)&amp;"FLOW.INP"</f>
        <v>Stack Flow Rate vs. Wind Speed Input file: umberFLOW.INP</v>
      </c>
      <c r="E15" s="424"/>
      <c r="F15" s="424"/>
      <c r="G15" s="424"/>
      <c r="H15" s="424"/>
      <c r="I15" s="424"/>
      <c r="J15" s="424"/>
      <c r="K15" s="424"/>
      <c r="L15" s="424"/>
      <c r="M15" s="424"/>
      <c r="N15" s="424"/>
      <c r="O15" s="424"/>
      <c r="P15" s="424"/>
      <c r="Q15" s="424"/>
      <c r="R15" s="424"/>
      <c r="S15" s="424"/>
      <c r="T15" s="424"/>
      <c r="U15" s="424"/>
      <c r="V15" s="424"/>
      <c r="W15" s="424"/>
    </row>
    <row r="16" spans="1:23">
      <c r="A16" s="432">
        <v>2</v>
      </c>
      <c r="B16" s="432" t="s">
        <v>382</v>
      </c>
      <c r="C16" s="424" t="s">
        <v>255</v>
      </c>
      <c r="D16" s="424" t="s">
        <v>304</v>
      </c>
      <c r="E16" s="424"/>
      <c r="F16" s="424"/>
      <c r="G16" s="424"/>
      <c r="H16" s="424"/>
      <c r="I16" s="424"/>
      <c r="J16" s="424"/>
      <c r="K16" s="424"/>
      <c r="L16" s="424"/>
      <c r="M16" s="424"/>
      <c r="N16" s="424"/>
      <c r="O16" s="424"/>
      <c r="P16" s="424"/>
      <c r="Q16" s="424"/>
      <c r="R16" s="424"/>
      <c r="S16" s="424"/>
      <c r="T16" s="424"/>
      <c r="U16" s="424"/>
      <c r="V16" s="424"/>
      <c r="W16" s="424"/>
    </row>
    <row r="17" spans="1:23">
      <c r="A17" s="433" t="s">
        <v>311</v>
      </c>
      <c r="B17" s="432"/>
      <c r="C17" s="424" t="s">
        <v>255</v>
      </c>
      <c r="D17" s="424"/>
      <c r="E17" s="424"/>
      <c r="F17" s="424"/>
      <c r="G17" s="424"/>
      <c r="H17" s="424"/>
      <c r="I17" s="424"/>
      <c r="J17" s="424"/>
      <c r="K17" s="424"/>
      <c r="L17" s="424"/>
      <c r="M17" s="424"/>
      <c r="N17" s="424"/>
      <c r="O17" s="424"/>
      <c r="P17" s="424"/>
      <c r="Q17" s="424"/>
      <c r="R17" s="424"/>
      <c r="S17" s="424"/>
      <c r="T17" s="424"/>
      <c r="U17" s="424"/>
      <c r="V17" s="424"/>
      <c r="W17" s="424"/>
    </row>
    <row r="18" spans="1:23">
      <c r="A18" s="424"/>
      <c r="B18" s="424"/>
      <c r="C18" s="424" t="s">
        <v>255</v>
      </c>
      <c r="D18" s="424" t="s">
        <v>305</v>
      </c>
      <c r="E18" s="424"/>
      <c r="F18" s="424"/>
      <c r="G18" s="424"/>
      <c r="H18" s="424"/>
      <c r="I18" s="424"/>
      <c r="J18" s="424"/>
      <c r="K18" s="424"/>
      <c r="L18" s="424"/>
      <c r="M18" s="424"/>
      <c r="N18" s="424"/>
      <c r="O18" s="424"/>
      <c r="P18" s="424"/>
      <c r="Q18" s="424"/>
      <c r="R18" s="424"/>
      <c r="S18" s="424"/>
      <c r="T18" s="424"/>
      <c r="U18" s="424"/>
      <c r="V18" s="424"/>
      <c r="W18" s="424"/>
    </row>
    <row r="19" spans="1:23">
      <c r="A19" s="424"/>
      <c r="B19" s="424"/>
      <c r="C19" s="424" t="s">
        <v>255</v>
      </c>
      <c r="D19" s="424" t="s">
        <v>306</v>
      </c>
      <c r="E19" s="424"/>
      <c r="F19" s="424"/>
      <c r="G19" s="424"/>
      <c r="H19" s="424"/>
      <c r="I19" s="424"/>
      <c r="J19" s="424"/>
      <c r="K19" s="424"/>
      <c r="L19" s="424"/>
      <c r="M19" s="424"/>
      <c r="N19" s="424"/>
      <c r="O19" s="424"/>
      <c r="P19" s="424"/>
      <c r="Q19" s="424"/>
      <c r="R19" s="424"/>
      <c r="S19" s="424"/>
      <c r="T19" s="424"/>
      <c r="U19" s="424"/>
      <c r="V19" s="424"/>
      <c r="W19" s="424"/>
    </row>
    <row r="20" spans="1:23">
      <c r="A20" s="424"/>
      <c r="B20" s="424"/>
      <c r="C20" s="424" t="s">
        <v>255</v>
      </c>
      <c r="D20" s="424" t="s">
        <v>307</v>
      </c>
      <c r="E20" s="424"/>
      <c r="F20" s="424"/>
      <c r="G20" s="424"/>
      <c r="H20" s="424"/>
      <c r="I20" s="424"/>
      <c r="J20" s="424"/>
      <c r="K20" s="424"/>
      <c r="L20" s="424"/>
      <c r="M20" s="424"/>
      <c r="N20" s="424"/>
      <c r="O20" s="424"/>
      <c r="P20" s="424"/>
      <c r="Q20" s="424"/>
      <c r="R20" s="424"/>
      <c r="S20" s="424"/>
      <c r="T20" s="424"/>
      <c r="U20" s="424"/>
      <c r="V20" s="424"/>
      <c r="W20" s="424"/>
    </row>
    <row r="21" spans="1:23">
      <c r="A21" s="424"/>
      <c r="B21" s="424"/>
      <c r="C21" s="424" t="s">
        <v>255</v>
      </c>
      <c r="D21" s="425" t="s">
        <v>315</v>
      </c>
      <c r="E21" s="424"/>
      <c r="F21" s="424"/>
      <c r="G21" s="424"/>
      <c r="H21" s="424"/>
      <c r="I21" s="424"/>
      <c r="J21" s="424"/>
      <c r="K21" s="424"/>
      <c r="L21" s="424"/>
      <c r="M21" s="424"/>
      <c r="N21" s="424"/>
      <c r="O21" s="424"/>
      <c r="P21" s="424"/>
      <c r="Q21" s="424"/>
      <c r="R21" s="424"/>
      <c r="S21" s="424"/>
      <c r="T21" s="424"/>
      <c r="U21" s="424"/>
      <c r="V21" s="424"/>
      <c r="W21" s="424"/>
    </row>
    <row r="22" spans="1:23">
      <c r="A22" s="424"/>
      <c r="B22" s="433" t="s">
        <v>314</v>
      </c>
      <c r="C22" s="424"/>
      <c r="D22" s="424">
        <f>COUNT(A39:A2208)</f>
        <v>52</v>
      </c>
      <c r="E22" s="424"/>
      <c r="F22" s="424"/>
      <c r="G22" s="424"/>
      <c r="H22" s="424"/>
      <c r="I22" s="424"/>
      <c r="J22" s="424"/>
      <c r="K22" s="424"/>
      <c r="L22" s="424"/>
      <c r="M22" s="424"/>
      <c r="N22" s="424"/>
      <c r="O22" s="424"/>
      <c r="P22" s="424"/>
      <c r="Q22" s="424"/>
      <c r="R22" s="424"/>
      <c r="S22" s="424"/>
      <c r="T22" s="424"/>
      <c r="U22" s="424"/>
      <c r="V22" s="424"/>
      <c r="W22" s="424"/>
    </row>
    <row r="23" spans="1:23">
      <c r="A23" s="424"/>
      <c r="B23" s="424"/>
      <c r="C23" s="424" t="s">
        <v>255</v>
      </c>
      <c r="D23" s="424"/>
      <c r="E23" s="424"/>
      <c r="F23" s="424"/>
      <c r="G23" s="424"/>
      <c r="H23" s="424"/>
      <c r="I23" s="424"/>
      <c r="J23" s="424"/>
      <c r="K23" s="424"/>
      <c r="L23" s="424"/>
      <c r="M23" s="424"/>
      <c r="N23" s="424"/>
      <c r="O23" s="424"/>
      <c r="P23" s="424"/>
      <c r="Q23" s="424"/>
      <c r="R23" s="424"/>
      <c r="S23" s="424"/>
      <c r="T23" s="424"/>
      <c r="U23" s="424"/>
      <c r="V23" s="424"/>
      <c r="W23" s="424"/>
    </row>
    <row r="24" spans="1:23">
      <c r="A24" s="424"/>
      <c r="B24" s="424"/>
      <c r="C24" s="424" t="s">
        <v>255</v>
      </c>
      <c r="D24" s="424" t="s">
        <v>308</v>
      </c>
      <c r="E24" s="424"/>
      <c r="F24" s="424"/>
      <c r="G24" s="424"/>
      <c r="H24" s="424"/>
      <c r="I24" s="424"/>
      <c r="J24" s="424"/>
      <c r="K24" s="424"/>
      <c r="L24" s="424"/>
      <c r="M24" s="424"/>
      <c r="N24" s="424"/>
      <c r="O24" s="424"/>
      <c r="P24" s="424"/>
      <c r="Q24" s="424"/>
      <c r="R24" s="424"/>
      <c r="S24" s="424"/>
      <c r="T24" s="424"/>
      <c r="U24" s="424"/>
      <c r="V24" s="424"/>
      <c r="W24" s="424"/>
    </row>
    <row r="25" spans="1:23">
      <c r="A25" s="424"/>
      <c r="B25" s="424"/>
      <c r="C25" s="424" t="s">
        <v>255</v>
      </c>
      <c r="D25" s="425" t="s">
        <v>315</v>
      </c>
      <c r="E25" s="424"/>
      <c r="F25" s="424"/>
      <c r="G25" s="424"/>
      <c r="H25" s="424"/>
      <c r="I25" s="424"/>
      <c r="J25" s="424"/>
      <c r="K25" s="424"/>
      <c r="L25" s="424"/>
      <c r="M25" s="424"/>
      <c r="N25" s="424"/>
      <c r="O25" s="424"/>
      <c r="P25" s="424"/>
      <c r="Q25" s="424"/>
      <c r="R25" s="424"/>
      <c r="S25" s="424"/>
      <c r="T25" s="424"/>
      <c r="U25" s="424"/>
      <c r="V25" s="424"/>
      <c r="W25" s="424"/>
    </row>
    <row r="26" spans="1:23">
      <c r="A26" s="424"/>
      <c r="B26" s="433" t="s">
        <v>314</v>
      </c>
      <c r="C26" s="424"/>
      <c r="D26" s="424">
        <f>COUNT(H32:V32)</f>
        <v>15</v>
      </c>
      <c r="E26" s="424"/>
      <c r="F26" s="424"/>
      <c r="G26" s="424"/>
      <c r="H26" s="424"/>
      <c r="I26" s="424"/>
      <c r="J26" s="424"/>
      <c r="K26" s="424"/>
      <c r="L26" s="424"/>
      <c r="M26" s="424"/>
      <c r="N26" s="424"/>
      <c r="O26" s="424"/>
      <c r="P26" s="424"/>
      <c r="Q26" s="424"/>
      <c r="R26" s="424"/>
      <c r="S26" s="424"/>
      <c r="T26" s="424"/>
      <c r="U26" s="424"/>
      <c r="V26" s="424"/>
      <c r="W26" s="424"/>
    </row>
    <row r="27" spans="1:23">
      <c r="A27" s="424"/>
      <c r="B27" s="424"/>
      <c r="C27" s="424" t="s">
        <v>255</v>
      </c>
      <c r="D27" s="424"/>
      <c r="E27" s="424"/>
      <c r="F27" s="424"/>
      <c r="G27" s="424"/>
      <c r="H27" s="424"/>
      <c r="I27" s="424"/>
      <c r="J27" s="424"/>
      <c r="K27" s="424"/>
      <c r="L27" s="424"/>
      <c r="M27" s="424"/>
      <c r="N27" s="424"/>
      <c r="O27" s="424"/>
      <c r="P27" s="424"/>
      <c r="Q27" s="424"/>
      <c r="R27" s="424"/>
      <c r="S27" s="424"/>
      <c r="T27" s="424"/>
      <c r="U27" s="424"/>
      <c r="V27" s="424"/>
      <c r="W27" s="424"/>
    </row>
    <row r="28" spans="1:23">
      <c r="A28" s="424"/>
      <c r="B28" s="424"/>
      <c r="C28" s="424" t="s">
        <v>255</v>
      </c>
      <c r="D28" s="424" t="s">
        <v>309</v>
      </c>
      <c r="E28" s="424"/>
      <c r="F28" s="424"/>
      <c r="G28" s="424"/>
      <c r="H28" s="424"/>
      <c r="I28" s="424"/>
      <c r="J28" s="424"/>
      <c r="K28" s="424"/>
      <c r="L28" s="424"/>
      <c r="M28" s="424"/>
      <c r="N28" s="424"/>
      <c r="O28" s="424"/>
      <c r="P28" s="424"/>
      <c r="Q28" s="424"/>
      <c r="R28" s="424"/>
      <c r="S28" s="424"/>
      <c r="T28" s="424"/>
      <c r="U28" s="424"/>
      <c r="V28" s="424"/>
      <c r="W28" s="424"/>
    </row>
    <row r="29" spans="1:23">
      <c r="A29" s="424"/>
      <c r="B29" s="424"/>
      <c r="C29" s="424" t="s">
        <v>255</v>
      </c>
      <c r="D29" s="424"/>
      <c r="E29" s="424"/>
      <c r="F29" s="424"/>
      <c r="G29" s="424"/>
      <c r="H29" s="424"/>
      <c r="I29" s="424"/>
      <c r="J29" s="424"/>
      <c r="K29" s="424"/>
      <c r="L29" s="424"/>
      <c r="M29" s="424"/>
      <c r="N29" s="424"/>
      <c r="O29" s="424"/>
      <c r="P29" s="424"/>
      <c r="Q29" s="424"/>
      <c r="R29" s="424"/>
      <c r="S29" s="424"/>
      <c r="T29" s="424"/>
      <c r="U29" s="424"/>
      <c r="V29" s="424"/>
      <c r="W29" s="424"/>
    </row>
    <row r="30" spans="1:23">
      <c r="A30" s="424"/>
      <c r="B30" s="424"/>
      <c r="C30" s="424" t="s">
        <v>255</v>
      </c>
      <c r="D30" s="424" t="s">
        <v>310</v>
      </c>
      <c r="E30" s="424"/>
      <c r="F30" s="424"/>
      <c r="G30" s="424"/>
      <c r="H30" s="424"/>
      <c r="I30" s="424"/>
      <c r="J30" s="424"/>
      <c r="K30" s="424"/>
      <c r="L30" s="424"/>
      <c r="M30" s="424"/>
      <c r="N30" s="424"/>
      <c r="O30" s="424"/>
      <c r="P30" s="424"/>
      <c r="Q30" s="424"/>
      <c r="R30" s="424"/>
      <c r="S30" s="424"/>
      <c r="T30" s="424"/>
      <c r="U30" s="424"/>
      <c r="V30" s="424"/>
      <c r="W30" s="424"/>
    </row>
    <row r="31" spans="1:23">
      <c r="A31" s="424"/>
      <c r="B31" s="434" t="s">
        <v>32</v>
      </c>
      <c r="C31" s="424" t="s">
        <v>255</v>
      </c>
      <c r="D31" s="425" t="s">
        <v>315</v>
      </c>
      <c r="E31" s="424"/>
      <c r="F31" s="424"/>
      <c r="G31" s="424"/>
      <c r="H31" s="424"/>
      <c r="I31" s="424"/>
      <c r="J31" s="424"/>
      <c r="K31" s="424"/>
      <c r="L31" s="424"/>
      <c r="M31" s="424"/>
      <c r="N31" s="424"/>
      <c r="O31" s="424"/>
      <c r="P31" s="424"/>
      <c r="Q31" s="424"/>
      <c r="R31" s="424"/>
      <c r="S31" s="424"/>
      <c r="T31" s="424"/>
      <c r="U31" s="424"/>
      <c r="V31" s="424"/>
      <c r="W31" s="424"/>
    </row>
    <row r="32" spans="1:23">
      <c r="A32" s="424"/>
      <c r="B32" s="698" t="str">
        <f>AA!$F$31</f>
        <v>1% Wind</v>
      </c>
      <c r="C32" s="424"/>
      <c r="D32" s="424" t="s">
        <v>379</v>
      </c>
      <c r="E32" s="424"/>
      <c r="F32" s="424"/>
      <c r="H32" s="698">
        <f>'1% Wind'!$M$82</f>
        <v>27</v>
      </c>
      <c r="I32" s="698">
        <f>'1% Wind'!$M$83</f>
        <v>23.5</v>
      </c>
      <c r="J32" s="698">
        <f>'1% Wind'!$M$84</f>
        <v>20.5</v>
      </c>
      <c r="K32" s="698">
        <f>'1% Wind'!$M$85</f>
        <v>17.8</v>
      </c>
      <c r="L32" s="698">
        <f>'1% Wind'!$M$86</f>
        <v>15.5</v>
      </c>
      <c r="M32" s="698">
        <f>'1% Wind'!$M$87</f>
        <v>13.5</v>
      </c>
      <c r="N32" s="698">
        <f>'1% Wind'!$M$88</f>
        <v>10.1</v>
      </c>
      <c r="O32" s="698">
        <f>'1% Wind'!$M$89</f>
        <v>7.6</v>
      </c>
      <c r="P32" s="698">
        <f>'1% Wind'!$M$90</f>
        <v>5.7</v>
      </c>
      <c r="Q32" s="698">
        <f>'1% Wind'!$M$91</f>
        <v>4.2</v>
      </c>
      <c r="R32" s="698">
        <f>'1% Wind'!$M$92</f>
        <v>3.2</v>
      </c>
      <c r="S32" s="698">
        <f>'1% Wind'!$M$93</f>
        <v>2.4</v>
      </c>
      <c r="T32" s="698">
        <f>'1% Wind'!$M$94</f>
        <v>1.8</v>
      </c>
      <c r="U32" s="698">
        <f>'1% Wind'!$M$95</f>
        <v>1.3</v>
      </c>
      <c r="V32" s="698">
        <f>'1% Wind'!$M$96</f>
        <v>1</v>
      </c>
      <c r="W32" s="424"/>
    </row>
    <row r="33" spans="1:23">
      <c r="A33" s="424"/>
      <c r="B33" s="698" t="e">
        <f>AA!$F$29</f>
        <v>#VALUE!</v>
      </c>
      <c r="C33" s="424"/>
      <c r="D33" s="424" t="s">
        <v>380</v>
      </c>
      <c r="E33" s="424"/>
      <c r="F33" s="1621" t="s">
        <v>1684</v>
      </c>
      <c r="G33" s="424" t="s">
        <v>1685</v>
      </c>
      <c r="H33" s="426" t="e">
        <f t="shared" ref="H33:V33" si="0">ROUND($B$33/$B$32*H32,2)</f>
        <v>#VALUE!</v>
      </c>
      <c r="I33" s="426" t="e">
        <f t="shared" si="0"/>
        <v>#VALUE!</v>
      </c>
      <c r="J33" s="426" t="e">
        <f t="shared" si="0"/>
        <v>#VALUE!</v>
      </c>
      <c r="K33" s="426" t="e">
        <f t="shared" si="0"/>
        <v>#VALUE!</v>
      </c>
      <c r="L33" s="426" t="e">
        <f t="shared" si="0"/>
        <v>#VALUE!</v>
      </c>
      <c r="M33" s="426" t="e">
        <f t="shared" si="0"/>
        <v>#VALUE!</v>
      </c>
      <c r="N33" s="426" t="e">
        <f t="shared" si="0"/>
        <v>#VALUE!</v>
      </c>
      <c r="O33" s="426" t="e">
        <f t="shared" si="0"/>
        <v>#VALUE!</v>
      </c>
      <c r="P33" s="426" t="e">
        <f t="shared" si="0"/>
        <v>#VALUE!</v>
      </c>
      <c r="Q33" s="426" t="e">
        <f t="shared" si="0"/>
        <v>#VALUE!</v>
      </c>
      <c r="R33" s="426" t="e">
        <f t="shared" si="0"/>
        <v>#VALUE!</v>
      </c>
      <c r="S33" s="426" t="e">
        <f t="shared" si="0"/>
        <v>#VALUE!</v>
      </c>
      <c r="T33" s="426" t="e">
        <f t="shared" si="0"/>
        <v>#VALUE!</v>
      </c>
      <c r="U33" s="426" t="e">
        <f t="shared" si="0"/>
        <v>#VALUE!</v>
      </c>
      <c r="V33" s="426" t="e">
        <f t="shared" si="0"/>
        <v>#VALUE!</v>
      </c>
      <c r="W33" s="424"/>
    </row>
    <row r="34" spans="1:23">
      <c r="A34" s="424"/>
      <c r="B34" s="424"/>
      <c r="C34" s="424" t="s">
        <v>255</v>
      </c>
      <c r="D34" s="425" t="s">
        <v>315</v>
      </c>
      <c r="E34" s="424"/>
      <c r="F34" s="424"/>
      <c r="G34" s="424"/>
      <c r="H34" s="424"/>
      <c r="I34" s="424"/>
      <c r="J34" s="424"/>
      <c r="K34" s="424"/>
      <c r="L34" s="424"/>
      <c r="M34" s="424"/>
      <c r="N34" s="424"/>
      <c r="O34" s="424"/>
      <c r="P34" s="424"/>
      <c r="Q34" s="424"/>
      <c r="R34" s="424"/>
      <c r="S34" s="424"/>
      <c r="T34" s="424"/>
      <c r="U34" s="424"/>
      <c r="V34" s="424"/>
      <c r="W34" s="424"/>
    </row>
    <row r="35" spans="1:23">
      <c r="A35" s="427" t="s">
        <v>383</v>
      </c>
      <c r="B35" s="424"/>
      <c r="C35" s="424" t="s">
        <v>255</v>
      </c>
      <c r="D35" s="425" t="s">
        <v>1158</v>
      </c>
      <c r="E35" s="424" t="s">
        <v>386</v>
      </c>
      <c r="F35" s="427" t="s">
        <v>1159</v>
      </c>
      <c r="G35" s="425" t="str">
        <f>CONCATENATE("+",REPT("-",8*$D$26))</f>
        <v>+------------------------------------------------------------------------------------------------------------------------</v>
      </c>
      <c r="H35" s="424"/>
      <c r="I35" s="424"/>
      <c r="J35" s="424"/>
      <c r="K35" s="424"/>
      <c r="L35" s="424"/>
      <c r="M35" s="424"/>
      <c r="N35" s="424"/>
      <c r="O35" s="424"/>
      <c r="P35" s="424"/>
      <c r="Q35" s="424"/>
      <c r="R35" s="424"/>
      <c r="S35" s="424"/>
      <c r="T35" s="424"/>
      <c r="U35" s="424"/>
      <c r="V35" s="424"/>
      <c r="W35" s="424"/>
    </row>
    <row r="36" spans="1:23">
      <c r="A36" s="427" t="s">
        <v>120</v>
      </c>
      <c r="B36" s="424"/>
      <c r="C36" s="424" t="s">
        <v>255</v>
      </c>
      <c r="D36" s="424" t="s">
        <v>1160</v>
      </c>
      <c r="E36" s="428" t="s">
        <v>1161</v>
      </c>
      <c r="F36" s="427" t="s">
        <v>708</v>
      </c>
      <c r="G36" s="424" t="s">
        <v>316</v>
      </c>
      <c r="H36" s="424"/>
      <c r="I36" s="424"/>
      <c r="J36" s="424"/>
      <c r="K36" s="424"/>
      <c r="L36" s="424"/>
      <c r="M36" s="424"/>
      <c r="N36" s="424"/>
      <c r="O36" s="424"/>
      <c r="P36" s="424"/>
      <c r="Q36" s="424"/>
      <c r="R36" s="424"/>
      <c r="S36" s="424"/>
      <c r="T36" s="424"/>
      <c r="U36" s="424"/>
      <c r="V36" s="424"/>
      <c r="W36" s="424"/>
    </row>
    <row r="37" spans="1:23">
      <c r="A37" s="427" t="s">
        <v>385</v>
      </c>
      <c r="B37" s="427" t="s">
        <v>119</v>
      </c>
      <c r="C37" s="424" t="s">
        <v>255</v>
      </c>
      <c r="D37" s="425" t="s">
        <v>1162</v>
      </c>
      <c r="E37" s="425" t="s">
        <v>1163</v>
      </c>
      <c r="F37" s="425" t="s">
        <v>1164</v>
      </c>
      <c r="G37" s="424" t="s">
        <v>317</v>
      </c>
      <c r="H37" s="424"/>
      <c r="I37" s="424"/>
      <c r="J37" s="424"/>
      <c r="K37" s="424"/>
      <c r="L37" s="424"/>
      <c r="M37" s="424"/>
      <c r="N37" s="424"/>
      <c r="O37" s="424"/>
      <c r="P37" s="424"/>
      <c r="Q37" s="424"/>
      <c r="R37" s="424"/>
      <c r="S37" s="424"/>
      <c r="T37" s="424"/>
      <c r="U37" s="424"/>
      <c r="V37" s="424"/>
      <c r="W37" s="424"/>
    </row>
    <row r="38" spans="1:23">
      <c r="A38" s="427" t="s">
        <v>384</v>
      </c>
      <c r="B38" s="427" t="s">
        <v>120</v>
      </c>
      <c r="C38" s="424" t="s">
        <v>255</v>
      </c>
      <c r="D38" s="424" t="s">
        <v>1157</v>
      </c>
      <c r="E38" s="425" t="s">
        <v>1165</v>
      </c>
      <c r="F38" s="424"/>
      <c r="G38" s="425" t="str">
        <f>CONCATENATE("+",REPT("-",8*$D$26))</f>
        <v>+------------------------------------------------------------------------------------------------------------------------</v>
      </c>
      <c r="H38" s="424"/>
      <c r="I38" s="424"/>
      <c r="J38" s="424"/>
      <c r="K38" s="424"/>
      <c r="L38" s="424"/>
      <c r="M38" s="424"/>
      <c r="N38" s="424"/>
      <c r="O38" s="424"/>
      <c r="P38" s="424"/>
      <c r="Q38" s="424"/>
      <c r="R38" s="424"/>
      <c r="S38" s="424"/>
      <c r="T38" s="424"/>
      <c r="U38" s="424"/>
      <c r="V38" s="424"/>
      <c r="W38" s="424"/>
    </row>
    <row r="39" spans="1:23">
      <c r="A39" s="435">
        <v>1</v>
      </c>
      <c r="B39" s="435" t="s">
        <v>885</v>
      </c>
      <c r="C39" s="424"/>
      <c r="D39" s="429" t="str">
        <f>CONCATENATE($A$17,B39, ":",RIGHT(INDEX(FlowSetWTSettings,(MATCH($B39,FlowSetSimulationNumbers,0)),2),9),REPT(" ",9-MIN(9,LEN(INDEX(FlowSetWTSettings,(MATCH($B39,FlowSetSimulationNumbers,0)),2)))),$A$17,"  ")</f>
        <v xml:space="preserve">"AA:EF-1     "  </v>
      </c>
      <c r="E39" s="429" t="str">
        <f>CONCATENATE($A$17,VLOOKUP(A39,$A$15:$B$16,2),REPT(" ",9-LEN(VLOOKUP(A39,$A$15:$B$16,2))),$A$17)</f>
        <v>"Land     "</v>
      </c>
      <c r="F39" s="430">
        <f ca="1">INDEX(FlowSetWTSettings,(MATCH($B39,FlowSetSimulationNumbers,0)),9)</f>
        <v>0.97430000000000005</v>
      </c>
      <c r="G39" s="424" t="s">
        <v>312</v>
      </c>
      <c r="H39" s="431" t="e">
        <f t="shared" ref="H39:V39" ca="1" si="1">ROUND(INDEX(FlowSetWTSettings,(MATCH($B39,FlowSetSimulationNumbers,0)+MATCH(H$32,FlowSetAnemometerWindSpeeds,0)),8),2)</f>
        <v>#VALUE!</v>
      </c>
      <c r="I39" s="431" t="e">
        <f t="shared" ca="1" si="1"/>
        <v>#VALUE!</v>
      </c>
      <c r="J39" s="431" t="e">
        <f t="shared" ca="1" si="1"/>
        <v>#VALUE!</v>
      </c>
      <c r="K39" s="431" t="e">
        <f t="shared" ca="1" si="1"/>
        <v>#VALUE!</v>
      </c>
      <c r="L39" s="431" t="e">
        <f t="shared" ca="1" si="1"/>
        <v>#VALUE!</v>
      </c>
      <c r="M39" s="431" t="e">
        <f t="shared" ca="1" si="1"/>
        <v>#VALUE!</v>
      </c>
      <c r="N39" s="431" t="e">
        <f t="shared" ca="1" si="1"/>
        <v>#VALUE!</v>
      </c>
      <c r="O39" s="431" t="e">
        <f t="shared" ca="1" si="1"/>
        <v>#VALUE!</v>
      </c>
      <c r="P39" s="431" t="e">
        <f t="shared" ca="1" si="1"/>
        <v>#VALUE!</v>
      </c>
      <c r="Q39" s="431" t="e">
        <f t="shared" ca="1" si="1"/>
        <v>#VALUE!</v>
      </c>
      <c r="R39" s="431" t="e">
        <f t="shared" ca="1" si="1"/>
        <v>#VALUE!</v>
      </c>
      <c r="S39" s="431" t="e">
        <f t="shared" ca="1" si="1"/>
        <v>#VALUE!</v>
      </c>
      <c r="T39" s="431" t="e">
        <f t="shared" ca="1" si="1"/>
        <v>#VALUE!</v>
      </c>
      <c r="U39" s="431" t="e">
        <f t="shared" ca="1" si="1"/>
        <v>#VALUE!</v>
      </c>
      <c r="V39" s="431" t="e">
        <f t="shared" ca="1" si="1"/>
        <v>#VALUE!</v>
      </c>
      <c r="W39" s="424"/>
    </row>
    <row r="40" spans="1:23">
      <c r="A40" s="424"/>
      <c r="B40" s="424"/>
      <c r="C40" s="424"/>
      <c r="D40" s="424" t="s">
        <v>573</v>
      </c>
      <c r="E40" s="424" t="s">
        <v>386</v>
      </c>
      <c r="F40" s="424"/>
      <c r="G40" s="424" t="s">
        <v>313</v>
      </c>
      <c r="H40" s="431">
        <f t="shared" ref="H40:V40" ca="1" si="2">ROUND(INDEX(FlowSetWTSettings,(MATCH($B39,FlowSetSimulationNumbers,0)+MATCH(H$32,FlowSetAnemometerWindSpeeds,0)),7),2)</f>
        <v>6</v>
      </c>
      <c r="I40" s="431">
        <f t="shared" ca="1" si="2"/>
        <v>6</v>
      </c>
      <c r="J40" s="431">
        <f t="shared" ca="1" si="2"/>
        <v>6</v>
      </c>
      <c r="K40" s="431">
        <f t="shared" ca="1" si="2"/>
        <v>6</v>
      </c>
      <c r="L40" s="431">
        <f t="shared" ca="1" si="2"/>
        <v>6</v>
      </c>
      <c r="M40" s="431">
        <f t="shared" ca="1" si="2"/>
        <v>6</v>
      </c>
      <c r="N40" s="431">
        <f t="shared" ca="1" si="2"/>
        <v>6</v>
      </c>
      <c r="O40" s="431">
        <f t="shared" ca="1" si="2"/>
        <v>6</v>
      </c>
      <c r="P40" s="431">
        <f t="shared" ca="1" si="2"/>
        <v>6</v>
      </c>
      <c r="Q40" s="431">
        <f t="shared" ca="1" si="2"/>
        <v>6</v>
      </c>
      <c r="R40" s="431">
        <f t="shared" ca="1" si="2"/>
        <v>6</v>
      </c>
      <c r="S40" s="431">
        <f t="shared" ca="1" si="2"/>
        <v>6</v>
      </c>
      <c r="T40" s="431">
        <f t="shared" ca="1" si="2"/>
        <v>6</v>
      </c>
      <c r="U40" s="431">
        <f t="shared" ca="1" si="2"/>
        <v>6</v>
      </c>
      <c r="V40" s="431">
        <f t="shared" ca="1" si="2"/>
        <v>6</v>
      </c>
      <c r="W40" s="424"/>
    </row>
    <row r="41" spans="1:23">
      <c r="A41" s="424"/>
      <c r="B41" s="424"/>
      <c r="C41" s="424" t="s">
        <v>255</v>
      </c>
      <c r="D41" s="424" t="s">
        <v>387</v>
      </c>
      <c r="E41" s="424" t="s">
        <v>386</v>
      </c>
      <c r="F41" s="424"/>
      <c r="G41" s="424"/>
      <c r="H41" s="426"/>
      <c r="I41" s="426"/>
      <c r="J41" s="426"/>
      <c r="K41" s="426"/>
      <c r="L41" s="426"/>
      <c r="M41" s="426"/>
      <c r="N41" s="426"/>
      <c r="O41" s="426"/>
      <c r="P41" s="426"/>
      <c r="Q41" s="426"/>
      <c r="R41" s="426"/>
      <c r="S41" s="424"/>
      <c r="T41" s="424"/>
      <c r="U41" s="424"/>
      <c r="V41" s="424"/>
      <c r="W41" s="424"/>
    </row>
    <row r="42" spans="1:23">
      <c r="A42" s="1081">
        <f>A39</f>
        <v>1</v>
      </c>
      <c r="B42" s="726" t="str">
        <f>IF((RIGHT(B39,1))&lt;&gt;"Z",CHAR(CODE(B39))&amp;CHAR(CODE(RIGHT(B39,1))+1),CHAR(CODE(B39)+1)&amp;"A")</f>
        <v>AB</v>
      </c>
      <c r="C42" s="424"/>
      <c r="D42" s="429" t="str">
        <f>CONCATENATE($A$17,B42, ":",RIGHT(INDEX(FlowSetWTSettings,(MATCH($B42,FlowSetSimulationNumbers,0)),2),9),REPT(" ",9-MIN(9,LEN(INDEX(FlowSetWTSettings,(MATCH($B42,FlowSetSimulationNumbers,0)),2)))),$A$17,"  ")</f>
        <v xml:space="preserve">"AB:EF-2     "  </v>
      </c>
      <c r="E42" s="429" t="str">
        <f>CONCATENATE($A$17,VLOOKUP(A42,$A$15:$B$16,2),REPT(" ",9-LEN(VLOOKUP(A42,$A$15:$B$16,2))),$A$17)</f>
        <v>"Land     "</v>
      </c>
      <c r="F42" s="430">
        <f ca="1">INDEX(FlowSetWTSettings,(MATCH($B42,FlowSetSimulationNumbers,0)),9)</f>
        <v>0.97430000000000005</v>
      </c>
      <c r="G42" s="424" t="s">
        <v>312</v>
      </c>
      <c r="H42" s="431" t="e">
        <f t="shared" ref="H42:V42" ca="1" si="3">ROUND(INDEX(FlowSetWTSettings,(MATCH($B42,FlowSetSimulationNumbers,0)+MATCH(H$32,FlowSetAnemometerWindSpeeds,0)),8),2)</f>
        <v>#VALUE!</v>
      </c>
      <c r="I42" s="431" t="e">
        <f t="shared" ca="1" si="3"/>
        <v>#VALUE!</v>
      </c>
      <c r="J42" s="431" t="e">
        <f t="shared" ca="1" si="3"/>
        <v>#VALUE!</v>
      </c>
      <c r="K42" s="431" t="e">
        <f t="shared" ca="1" si="3"/>
        <v>#VALUE!</v>
      </c>
      <c r="L42" s="431" t="e">
        <f t="shared" ca="1" si="3"/>
        <v>#VALUE!</v>
      </c>
      <c r="M42" s="431" t="e">
        <f t="shared" ca="1" si="3"/>
        <v>#VALUE!</v>
      </c>
      <c r="N42" s="431" t="e">
        <f t="shared" ca="1" si="3"/>
        <v>#VALUE!</v>
      </c>
      <c r="O42" s="431" t="e">
        <f t="shared" ca="1" si="3"/>
        <v>#VALUE!</v>
      </c>
      <c r="P42" s="431" t="e">
        <f t="shared" ca="1" si="3"/>
        <v>#VALUE!</v>
      </c>
      <c r="Q42" s="431" t="e">
        <f t="shared" ca="1" si="3"/>
        <v>#VALUE!</v>
      </c>
      <c r="R42" s="431" t="e">
        <f t="shared" ca="1" si="3"/>
        <v>#VALUE!</v>
      </c>
      <c r="S42" s="431" t="e">
        <f t="shared" ca="1" si="3"/>
        <v>#VALUE!</v>
      </c>
      <c r="T42" s="431" t="e">
        <f t="shared" ca="1" si="3"/>
        <v>#VALUE!</v>
      </c>
      <c r="U42" s="431" t="e">
        <f t="shared" ca="1" si="3"/>
        <v>#VALUE!</v>
      </c>
      <c r="V42" s="431" t="e">
        <f t="shared" ca="1" si="3"/>
        <v>#VALUE!</v>
      </c>
      <c r="W42" s="424"/>
    </row>
    <row r="43" spans="1:23">
      <c r="A43" s="424"/>
      <c r="B43" s="424"/>
      <c r="C43" s="424"/>
      <c r="D43" s="424" t="s">
        <v>573</v>
      </c>
      <c r="E43" s="424" t="s">
        <v>386</v>
      </c>
      <c r="F43" s="424"/>
      <c r="G43" s="424" t="s">
        <v>313</v>
      </c>
      <c r="H43" s="431">
        <f t="shared" ref="H43:V43" ca="1" si="4">ROUND(INDEX(FlowSetWTSettings,(MATCH($B42,FlowSetSimulationNumbers,0)+MATCH(H$32,FlowSetAnemometerWindSpeeds,0)),7),2)</f>
        <v>6</v>
      </c>
      <c r="I43" s="431">
        <f t="shared" ca="1" si="4"/>
        <v>6</v>
      </c>
      <c r="J43" s="431">
        <f t="shared" ca="1" si="4"/>
        <v>6</v>
      </c>
      <c r="K43" s="431">
        <f t="shared" ca="1" si="4"/>
        <v>6</v>
      </c>
      <c r="L43" s="431">
        <f t="shared" ca="1" si="4"/>
        <v>6</v>
      </c>
      <c r="M43" s="431">
        <f t="shared" ca="1" si="4"/>
        <v>6</v>
      </c>
      <c r="N43" s="431">
        <f t="shared" ca="1" si="4"/>
        <v>6</v>
      </c>
      <c r="O43" s="431">
        <f t="shared" ca="1" si="4"/>
        <v>6</v>
      </c>
      <c r="P43" s="431">
        <f t="shared" ca="1" si="4"/>
        <v>6</v>
      </c>
      <c r="Q43" s="431">
        <f t="shared" ca="1" si="4"/>
        <v>6</v>
      </c>
      <c r="R43" s="431">
        <f t="shared" ca="1" si="4"/>
        <v>6</v>
      </c>
      <c r="S43" s="431">
        <f t="shared" ca="1" si="4"/>
        <v>6</v>
      </c>
      <c r="T43" s="431">
        <f t="shared" ca="1" si="4"/>
        <v>6</v>
      </c>
      <c r="U43" s="431">
        <f t="shared" ca="1" si="4"/>
        <v>6</v>
      </c>
      <c r="V43" s="431">
        <f t="shared" ca="1" si="4"/>
        <v>6</v>
      </c>
      <c r="W43" s="424"/>
    </row>
    <row r="44" spans="1:23">
      <c r="A44" s="424"/>
      <c r="B44" s="424"/>
      <c r="C44" s="424" t="s">
        <v>255</v>
      </c>
      <c r="D44" s="424" t="s">
        <v>387</v>
      </c>
      <c r="E44" s="424" t="s">
        <v>386</v>
      </c>
      <c r="F44" s="424"/>
      <c r="G44" s="424"/>
      <c r="H44" s="426"/>
      <c r="I44" s="426"/>
      <c r="J44" s="426"/>
      <c r="K44" s="426"/>
      <c r="L44" s="426"/>
      <c r="M44" s="426"/>
      <c r="N44" s="426"/>
      <c r="O44" s="426"/>
      <c r="P44" s="426"/>
      <c r="Q44" s="426"/>
      <c r="R44" s="426"/>
      <c r="S44" s="424"/>
      <c r="T44" s="424"/>
      <c r="U44" s="424"/>
      <c r="V44" s="424"/>
      <c r="W44" s="424"/>
    </row>
    <row r="45" spans="1:23">
      <c r="A45" s="1081">
        <f>A42</f>
        <v>1</v>
      </c>
      <c r="B45" s="726" t="str">
        <f>IF((RIGHT(B42,1))&lt;&gt;"Z",CHAR(CODE(B42))&amp;CHAR(CODE(RIGHT(B42,1))+1),CHAR(CODE(B42)+1)&amp;"A")</f>
        <v>AC</v>
      </c>
      <c r="C45" s="424"/>
      <c r="D45" s="429" t="str">
        <f>CONCATENATE($A$17,B45, ":",RIGHT(INDEX(FlowSetWTSettings,(MATCH($B45,FlowSetSimulationNumbers,0)),2),9),REPT(" ",9-MIN(9,LEN(INDEX(FlowSetWTSettings,(MATCH($B45,FlowSetSimulationNumbers,0)),2)))),$A$17,"  ")</f>
        <v xml:space="preserve">"AC:EF-3     "  </v>
      </c>
      <c r="E45" s="429" t="str">
        <f>CONCATENATE($A$17,VLOOKUP(A45,$A$15:$B$16,2),REPT(" ",9-LEN(VLOOKUP(A45,$A$15:$B$16,2))),$A$17)</f>
        <v>"Land     "</v>
      </c>
      <c r="F45" s="430">
        <f ca="1">INDEX(FlowSetWTSettings,(MATCH($B45,FlowSetSimulationNumbers,0)),9)</f>
        <v>0.97430000000000005</v>
      </c>
      <c r="G45" s="424" t="s">
        <v>312</v>
      </c>
      <c r="H45" s="431" t="e">
        <f t="shared" ref="H45:V45" ca="1" si="5">ROUND(INDEX(FlowSetWTSettings,(MATCH($B45,FlowSetSimulationNumbers,0)+MATCH(H$32,FlowSetAnemometerWindSpeeds,0)),8),2)</f>
        <v>#VALUE!</v>
      </c>
      <c r="I45" s="431" t="e">
        <f t="shared" ca="1" si="5"/>
        <v>#VALUE!</v>
      </c>
      <c r="J45" s="431" t="e">
        <f t="shared" ca="1" si="5"/>
        <v>#VALUE!</v>
      </c>
      <c r="K45" s="431" t="e">
        <f t="shared" ca="1" si="5"/>
        <v>#VALUE!</v>
      </c>
      <c r="L45" s="431" t="e">
        <f t="shared" ca="1" si="5"/>
        <v>#VALUE!</v>
      </c>
      <c r="M45" s="431" t="e">
        <f t="shared" ca="1" si="5"/>
        <v>#VALUE!</v>
      </c>
      <c r="N45" s="431" t="e">
        <f t="shared" ca="1" si="5"/>
        <v>#VALUE!</v>
      </c>
      <c r="O45" s="431" t="e">
        <f t="shared" ca="1" si="5"/>
        <v>#VALUE!</v>
      </c>
      <c r="P45" s="431" t="e">
        <f t="shared" ca="1" si="5"/>
        <v>#VALUE!</v>
      </c>
      <c r="Q45" s="431" t="e">
        <f t="shared" ca="1" si="5"/>
        <v>#VALUE!</v>
      </c>
      <c r="R45" s="431" t="e">
        <f t="shared" ca="1" si="5"/>
        <v>#VALUE!</v>
      </c>
      <c r="S45" s="431" t="e">
        <f t="shared" ca="1" si="5"/>
        <v>#VALUE!</v>
      </c>
      <c r="T45" s="431" t="e">
        <f t="shared" ca="1" si="5"/>
        <v>#VALUE!</v>
      </c>
      <c r="U45" s="431" t="e">
        <f t="shared" ca="1" si="5"/>
        <v>#VALUE!</v>
      </c>
      <c r="V45" s="431" t="e">
        <f t="shared" ca="1" si="5"/>
        <v>#VALUE!</v>
      </c>
      <c r="W45" s="424"/>
    </row>
    <row r="46" spans="1:23">
      <c r="A46" s="424"/>
      <c r="B46" s="424"/>
      <c r="C46" s="424"/>
      <c r="D46" s="424" t="s">
        <v>573</v>
      </c>
      <c r="E46" s="424" t="s">
        <v>386</v>
      </c>
      <c r="F46" s="424"/>
      <c r="G46" s="424" t="s">
        <v>313</v>
      </c>
      <c r="H46" s="431">
        <f t="shared" ref="H46:V46" ca="1" si="6">ROUND(INDEX(FlowSetWTSettings,(MATCH($B45,FlowSetSimulationNumbers,0)+MATCH(H$32,FlowSetAnemometerWindSpeeds,0)),7),2)</f>
        <v>6</v>
      </c>
      <c r="I46" s="431">
        <f t="shared" ca="1" si="6"/>
        <v>6</v>
      </c>
      <c r="J46" s="431">
        <f t="shared" ca="1" si="6"/>
        <v>6</v>
      </c>
      <c r="K46" s="431">
        <f t="shared" ca="1" si="6"/>
        <v>6</v>
      </c>
      <c r="L46" s="431">
        <f t="shared" ca="1" si="6"/>
        <v>6</v>
      </c>
      <c r="M46" s="431">
        <f t="shared" ca="1" si="6"/>
        <v>6</v>
      </c>
      <c r="N46" s="431">
        <f t="shared" ca="1" si="6"/>
        <v>6</v>
      </c>
      <c r="O46" s="431">
        <f t="shared" ca="1" si="6"/>
        <v>6</v>
      </c>
      <c r="P46" s="431">
        <f t="shared" ca="1" si="6"/>
        <v>6</v>
      </c>
      <c r="Q46" s="431">
        <f t="shared" ca="1" si="6"/>
        <v>6</v>
      </c>
      <c r="R46" s="431">
        <f t="shared" ca="1" si="6"/>
        <v>6</v>
      </c>
      <c r="S46" s="431">
        <f t="shared" ca="1" si="6"/>
        <v>6</v>
      </c>
      <c r="T46" s="431">
        <f t="shared" ca="1" si="6"/>
        <v>6</v>
      </c>
      <c r="U46" s="431">
        <f t="shared" ca="1" si="6"/>
        <v>6</v>
      </c>
      <c r="V46" s="431">
        <f t="shared" ca="1" si="6"/>
        <v>6</v>
      </c>
      <c r="W46" s="424"/>
    </row>
    <row r="47" spans="1:23">
      <c r="A47" s="424"/>
      <c r="B47" s="424"/>
      <c r="C47" s="424" t="s">
        <v>255</v>
      </c>
      <c r="D47" s="424" t="s">
        <v>387</v>
      </c>
      <c r="E47" s="424" t="s">
        <v>386</v>
      </c>
      <c r="F47" s="424"/>
      <c r="G47" s="424"/>
      <c r="H47" s="426"/>
      <c r="I47" s="426"/>
      <c r="J47" s="426"/>
      <c r="K47" s="426"/>
      <c r="L47" s="426"/>
      <c r="M47" s="426"/>
      <c r="N47" s="426"/>
      <c r="O47" s="426"/>
      <c r="P47" s="426"/>
      <c r="Q47" s="426"/>
      <c r="R47" s="426"/>
      <c r="S47" s="424"/>
      <c r="T47" s="424"/>
      <c r="U47" s="424"/>
      <c r="V47" s="424"/>
      <c r="W47" s="424"/>
    </row>
    <row r="48" spans="1:23">
      <c r="A48" s="1081">
        <f>A45</f>
        <v>1</v>
      </c>
      <c r="B48" s="726" t="str">
        <f>IF((RIGHT(B45,1))&lt;&gt;"Z",CHAR(CODE(B45))&amp;CHAR(CODE(RIGHT(B45,1))+1),CHAR(CODE(B45)+1)&amp;"A")</f>
        <v>AD</v>
      </c>
      <c r="C48" s="424"/>
      <c r="D48" s="429" t="str">
        <f>CONCATENATE($A$17,B48, ":",RIGHT(INDEX(FlowSetWTSettings,(MATCH($B48,FlowSetSimulationNumbers,0)),2),9),REPT(" ",9-MIN(9,LEN(INDEX(FlowSetWTSettings,(MATCH($B48,FlowSetSimulationNumbers,0)),2)))),$A$17,"  ")</f>
        <v xml:space="preserve">"AD:EF-4     "  </v>
      </c>
      <c r="E48" s="429" t="str">
        <f>CONCATENATE($A$17,VLOOKUP(A48,$A$15:$B$16,2),REPT(" ",9-LEN(VLOOKUP(A48,$A$15:$B$16,2))),$A$17)</f>
        <v>"Land     "</v>
      </c>
      <c r="F48" s="430">
        <f ca="1">INDEX(FlowSetWTSettings,(MATCH($B48,FlowSetSimulationNumbers,0)),9)</f>
        <v>0.97430000000000005</v>
      </c>
      <c r="G48" s="424" t="s">
        <v>312</v>
      </c>
      <c r="H48" s="431" t="e">
        <f t="shared" ref="H48:V48" ca="1" si="7">ROUND(INDEX(FlowSetWTSettings,(MATCH($B48,FlowSetSimulationNumbers,0)+MATCH(H$32,FlowSetAnemometerWindSpeeds,0)),8),2)</f>
        <v>#VALUE!</v>
      </c>
      <c r="I48" s="431" t="e">
        <f t="shared" ca="1" si="7"/>
        <v>#VALUE!</v>
      </c>
      <c r="J48" s="431" t="e">
        <f t="shared" ca="1" si="7"/>
        <v>#VALUE!</v>
      </c>
      <c r="K48" s="431" t="e">
        <f t="shared" ca="1" si="7"/>
        <v>#VALUE!</v>
      </c>
      <c r="L48" s="431" t="e">
        <f t="shared" ca="1" si="7"/>
        <v>#VALUE!</v>
      </c>
      <c r="M48" s="431" t="e">
        <f t="shared" ca="1" si="7"/>
        <v>#VALUE!</v>
      </c>
      <c r="N48" s="431" t="e">
        <f t="shared" ca="1" si="7"/>
        <v>#VALUE!</v>
      </c>
      <c r="O48" s="431" t="e">
        <f t="shared" ca="1" si="7"/>
        <v>#VALUE!</v>
      </c>
      <c r="P48" s="431" t="e">
        <f t="shared" ca="1" si="7"/>
        <v>#VALUE!</v>
      </c>
      <c r="Q48" s="431" t="e">
        <f t="shared" ca="1" si="7"/>
        <v>#VALUE!</v>
      </c>
      <c r="R48" s="431" t="e">
        <f t="shared" ca="1" si="7"/>
        <v>#VALUE!</v>
      </c>
      <c r="S48" s="431" t="e">
        <f t="shared" ca="1" si="7"/>
        <v>#VALUE!</v>
      </c>
      <c r="T48" s="431" t="e">
        <f t="shared" ca="1" si="7"/>
        <v>#VALUE!</v>
      </c>
      <c r="U48" s="431" t="e">
        <f t="shared" ca="1" si="7"/>
        <v>#VALUE!</v>
      </c>
      <c r="V48" s="431" t="e">
        <f t="shared" ca="1" si="7"/>
        <v>#VALUE!</v>
      </c>
      <c r="W48" s="424"/>
    </row>
    <row r="49" spans="1:23">
      <c r="A49" s="424"/>
      <c r="B49" s="424"/>
      <c r="C49" s="424"/>
      <c r="D49" s="424" t="s">
        <v>573</v>
      </c>
      <c r="E49" s="424" t="s">
        <v>386</v>
      </c>
      <c r="F49" s="424"/>
      <c r="G49" s="424" t="s">
        <v>313</v>
      </c>
      <c r="H49" s="431">
        <f t="shared" ref="H49:V49" ca="1" si="8">ROUND(INDEX(FlowSetWTSettings,(MATCH($B48,FlowSetSimulationNumbers,0)+MATCH(H$32,FlowSetAnemometerWindSpeeds,0)),7),2)</f>
        <v>6</v>
      </c>
      <c r="I49" s="431">
        <f t="shared" ca="1" si="8"/>
        <v>6</v>
      </c>
      <c r="J49" s="431">
        <f t="shared" ca="1" si="8"/>
        <v>6</v>
      </c>
      <c r="K49" s="431">
        <f t="shared" ca="1" si="8"/>
        <v>6</v>
      </c>
      <c r="L49" s="431">
        <f t="shared" ca="1" si="8"/>
        <v>6</v>
      </c>
      <c r="M49" s="431">
        <f t="shared" ca="1" si="8"/>
        <v>6</v>
      </c>
      <c r="N49" s="431">
        <f t="shared" ca="1" si="8"/>
        <v>6</v>
      </c>
      <c r="O49" s="431">
        <f t="shared" ca="1" si="8"/>
        <v>6</v>
      </c>
      <c r="P49" s="431">
        <f t="shared" ca="1" si="8"/>
        <v>6</v>
      </c>
      <c r="Q49" s="431">
        <f t="shared" ca="1" si="8"/>
        <v>6</v>
      </c>
      <c r="R49" s="431">
        <f t="shared" ca="1" si="8"/>
        <v>6</v>
      </c>
      <c r="S49" s="431">
        <f t="shared" ca="1" si="8"/>
        <v>6</v>
      </c>
      <c r="T49" s="431">
        <f t="shared" ca="1" si="8"/>
        <v>6</v>
      </c>
      <c r="U49" s="431">
        <f t="shared" ca="1" si="8"/>
        <v>6</v>
      </c>
      <c r="V49" s="431">
        <f t="shared" ca="1" si="8"/>
        <v>6</v>
      </c>
      <c r="W49" s="424"/>
    </row>
    <row r="50" spans="1:23">
      <c r="A50" s="424"/>
      <c r="B50" s="424"/>
      <c r="C50" s="424" t="s">
        <v>255</v>
      </c>
      <c r="D50" s="424" t="s">
        <v>387</v>
      </c>
      <c r="E50" s="424" t="s">
        <v>386</v>
      </c>
      <c r="F50" s="424"/>
      <c r="G50" s="424"/>
      <c r="H50" s="426"/>
      <c r="I50" s="426"/>
      <c r="J50" s="426"/>
      <c r="K50" s="426"/>
      <c r="L50" s="426"/>
      <c r="M50" s="426"/>
      <c r="N50" s="426"/>
      <c r="O50" s="426"/>
      <c r="P50" s="426"/>
      <c r="Q50" s="426"/>
      <c r="R50" s="426"/>
      <c r="S50" s="424"/>
      <c r="T50" s="424"/>
      <c r="U50" s="424"/>
      <c r="V50" s="424"/>
      <c r="W50" s="424"/>
    </row>
    <row r="51" spans="1:23">
      <c r="A51" s="1081">
        <f>A48</f>
        <v>1</v>
      </c>
      <c r="B51" s="726" t="str">
        <f>IF((RIGHT(B48,1))&lt;&gt;"Z",CHAR(CODE(B48))&amp;CHAR(CODE(RIGHT(B48,1))+1),CHAR(CODE(B48)+1)&amp;"A")</f>
        <v>AE</v>
      </c>
      <c r="C51" s="424"/>
      <c r="D51" s="429" t="str">
        <f>CONCATENATE($A$17,B51, ":",RIGHT(INDEX(FlowSetWTSettings,(MATCH($B51,FlowSetSimulationNumbers,0)),2),9),REPT(" ",9-MIN(9,LEN(INDEX(FlowSetWTSettings,(MATCH($B51,FlowSetSimulationNumbers,0)),2)))),$A$17,"  ")</f>
        <v xml:space="preserve">"AE:EF-5     "  </v>
      </c>
      <c r="E51" s="429" t="str">
        <f>CONCATENATE($A$17,VLOOKUP(A51,$A$15:$B$16,2),REPT(" ",9-LEN(VLOOKUP(A51,$A$15:$B$16,2))),$A$17)</f>
        <v>"Land     "</v>
      </c>
      <c r="F51" s="430">
        <f ca="1">INDEX(FlowSetWTSettings,(MATCH($B51,FlowSetSimulationNumbers,0)),9)</f>
        <v>0.97430000000000005</v>
      </c>
      <c r="G51" s="424" t="s">
        <v>312</v>
      </c>
      <c r="H51" s="431" t="e">
        <f t="shared" ref="H51:V51" ca="1" si="9">ROUND(INDEX(FlowSetWTSettings,(MATCH($B51,FlowSetSimulationNumbers,0)+MATCH(H$32,FlowSetAnemometerWindSpeeds,0)),8),2)</f>
        <v>#VALUE!</v>
      </c>
      <c r="I51" s="431" t="e">
        <f t="shared" ca="1" si="9"/>
        <v>#VALUE!</v>
      </c>
      <c r="J51" s="431" t="e">
        <f t="shared" ca="1" si="9"/>
        <v>#VALUE!</v>
      </c>
      <c r="K51" s="431" t="e">
        <f t="shared" ca="1" si="9"/>
        <v>#VALUE!</v>
      </c>
      <c r="L51" s="431" t="e">
        <f t="shared" ca="1" si="9"/>
        <v>#VALUE!</v>
      </c>
      <c r="M51" s="431" t="e">
        <f t="shared" ca="1" si="9"/>
        <v>#VALUE!</v>
      </c>
      <c r="N51" s="431" t="e">
        <f t="shared" ca="1" si="9"/>
        <v>#VALUE!</v>
      </c>
      <c r="O51" s="431" t="e">
        <f t="shared" ca="1" si="9"/>
        <v>#VALUE!</v>
      </c>
      <c r="P51" s="431" t="e">
        <f t="shared" ca="1" si="9"/>
        <v>#VALUE!</v>
      </c>
      <c r="Q51" s="431" t="e">
        <f t="shared" ca="1" si="9"/>
        <v>#VALUE!</v>
      </c>
      <c r="R51" s="431" t="e">
        <f t="shared" ca="1" si="9"/>
        <v>#VALUE!</v>
      </c>
      <c r="S51" s="431" t="e">
        <f t="shared" ca="1" si="9"/>
        <v>#VALUE!</v>
      </c>
      <c r="T51" s="431" t="e">
        <f t="shared" ca="1" si="9"/>
        <v>#VALUE!</v>
      </c>
      <c r="U51" s="431" t="e">
        <f t="shared" ca="1" si="9"/>
        <v>#VALUE!</v>
      </c>
      <c r="V51" s="431" t="e">
        <f t="shared" ca="1" si="9"/>
        <v>#VALUE!</v>
      </c>
      <c r="W51" s="424"/>
    </row>
    <row r="52" spans="1:23">
      <c r="A52" s="424"/>
      <c r="B52" s="424"/>
      <c r="C52" s="424"/>
      <c r="D52" s="424" t="s">
        <v>573</v>
      </c>
      <c r="E52" s="424" t="s">
        <v>386</v>
      </c>
      <c r="F52" s="424"/>
      <c r="G52" s="424" t="s">
        <v>313</v>
      </c>
      <c r="H52" s="431">
        <f t="shared" ref="H52:V52" ca="1" si="10">ROUND(INDEX(FlowSetWTSettings,(MATCH($B51,FlowSetSimulationNumbers,0)+MATCH(H$32,FlowSetAnemometerWindSpeeds,0)),7),2)</f>
        <v>6</v>
      </c>
      <c r="I52" s="431">
        <f t="shared" ca="1" si="10"/>
        <v>6</v>
      </c>
      <c r="J52" s="431">
        <f t="shared" ca="1" si="10"/>
        <v>6</v>
      </c>
      <c r="K52" s="431">
        <f t="shared" ca="1" si="10"/>
        <v>6</v>
      </c>
      <c r="L52" s="431">
        <f t="shared" ca="1" si="10"/>
        <v>6</v>
      </c>
      <c r="M52" s="431">
        <f t="shared" ca="1" si="10"/>
        <v>6</v>
      </c>
      <c r="N52" s="431">
        <f t="shared" ca="1" si="10"/>
        <v>6</v>
      </c>
      <c r="O52" s="431">
        <f t="shared" ca="1" si="10"/>
        <v>6</v>
      </c>
      <c r="P52" s="431">
        <f t="shared" ca="1" si="10"/>
        <v>6</v>
      </c>
      <c r="Q52" s="431">
        <f t="shared" ca="1" si="10"/>
        <v>6</v>
      </c>
      <c r="R52" s="431">
        <f t="shared" ca="1" si="10"/>
        <v>6</v>
      </c>
      <c r="S52" s="431">
        <f t="shared" ca="1" si="10"/>
        <v>6</v>
      </c>
      <c r="T52" s="431">
        <f t="shared" ca="1" si="10"/>
        <v>6</v>
      </c>
      <c r="U52" s="431">
        <f t="shared" ca="1" si="10"/>
        <v>6</v>
      </c>
      <c r="V52" s="431">
        <f t="shared" ca="1" si="10"/>
        <v>6</v>
      </c>
      <c r="W52" s="424"/>
    </row>
    <row r="53" spans="1:23">
      <c r="A53" s="424"/>
      <c r="B53" s="424"/>
      <c r="C53" s="424" t="s">
        <v>255</v>
      </c>
      <c r="D53" s="424" t="s">
        <v>387</v>
      </c>
      <c r="E53" s="424" t="s">
        <v>386</v>
      </c>
      <c r="F53" s="424"/>
      <c r="G53" s="424"/>
      <c r="H53" s="426"/>
      <c r="I53" s="426"/>
      <c r="J53" s="426"/>
      <c r="K53" s="426"/>
      <c r="L53" s="426"/>
      <c r="M53" s="426"/>
      <c r="N53" s="426"/>
      <c r="O53" s="426"/>
      <c r="P53" s="426"/>
      <c r="Q53" s="426"/>
      <c r="R53" s="426"/>
      <c r="S53" s="424"/>
      <c r="T53" s="424"/>
      <c r="U53" s="424"/>
      <c r="V53" s="424"/>
      <c r="W53" s="424"/>
    </row>
    <row r="54" spans="1:23">
      <c r="A54" s="1081">
        <f>A51</f>
        <v>1</v>
      </c>
      <c r="B54" s="726" t="str">
        <f>IF((RIGHT(B51,1))&lt;&gt;"Z",CHAR(CODE(B51))&amp;CHAR(CODE(RIGHT(B51,1))+1),CHAR(CODE(B51)+1)&amp;"A")</f>
        <v>AF</v>
      </c>
      <c r="C54" s="424"/>
      <c r="D54" s="429" t="str">
        <f>CONCATENATE($A$17,B54, ":",RIGHT(INDEX(FlowSetWTSettings,(MATCH($B54,FlowSetSimulationNumbers,0)),2),9),REPT(" ",9-MIN(9,LEN(INDEX(FlowSetWTSettings,(MATCH($B54,FlowSetSimulationNumbers,0)),2)))),$A$17,"  ")</f>
        <v xml:space="preserve">"AF:EF-6     "  </v>
      </c>
      <c r="E54" s="429" t="str">
        <f>CONCATENATE($A$17,VLOOKUP(A54,$A$15:$B$16,2),REPT(" ",9-LEN(VLOOKUP(A54,$A$15:$B$16,2))),$A$17)</f>
        <v>"Land     "</v>
      </c>
      <c r="F54" s="430">
        <f ca="1">INDEX(FlowSetWTSettings,(MATCH($B54,FlowSetSimulationNumbers,0)),9)</f>
        <v>0.97430000000000005</v>
      </c>
      <c r="G54" s="424" t="s">
        <v>312</v>
      </c>
      <c r="H54" s="431" t="e">
        <f t="shared" ref="H54:V54" ca="1" si="11">ROUND(INDEX(FlowSetWTSettings,(MATCH($B54,FlowSetSimulationNumbers,0)+MATCH(H$32,FlowSetAnemometerWindSpeeds,0)),8),2)</f>
        <v>#VALUE!</v>
      </c>
      <c r="I54" s="431" t="e">
        <f t="shared" ca="1" si="11"/>
        <v>#VALUE!</v>
      </c>
      <c r="J54" s="431" t="e">
        <f t="shared" ca="1" si="11"/>
        <v>#VALUE!</v>
      </c>
      <c r="K54" s="431" t="e">
        <f t="shared" ca="1" si="11"/>
        <v>#VALUE!</v>
      </c>
      <c r="L54" s="431" t="e">
        <f t="shared" ca="1" si="11"/>
        <v>#VALUE!</v>
      </c>
      <c r="M54" s="431" t="e">
        <f t="shared" ca="1" si="11"/>
        <v>#VALUE!</v>
      </c>
      <c r="N54" s="431" t="e">
        <f t="shared" ca="1" si="11"/>
        <v>#VALUE!</v>
      </c>
      <c r="O54" s="431" t="e">
        <f t="shared" ca="1" si="11"/>
        <v>#VALUE!</v>
      </c>
      <c r="P54" s="431" t="e">
        <f t="shared" ca="1" si="11"/>
        <v>#VALUE!</v>
      </c>
      <c r="Q54" s="431" t="e">
        <f t="shared" ca="1" si="11"/>
        <v>#VALUE!</v>
      </c>
      <c r="R54" s="431" t="e">
        <f t="shared" ca="1" si="11"/>
        <v>#VALUE!</v>
      </c>
      <c r="S54" s="431" t="e">
        <f t="shared" ca="1" si="11"/>
        <v>#VALUE!</v>
      </c>
      <c r="T54" s="431" t="e">
        <f t="shared" ca="1" si="11"/>
        <v>#VALUE!</v>
      </c>
      <c r="U54" s="431" t="e">
        <f t="shared" ca="1" si="11"/>
        <v>#VALUE!</v>
      </c>
      <c r="V54" s="431" t="e">
        <f t="shared" ca="1" si="11"/>
        <v>#VALUE!</v>
      </c>
      <c r="W54" s="424"/>
    </row>
    <row r="55" spans="1:23">
      <c r="A55" s="424"/>
      <c r="B55" s="424"/>
      <c r="C55" s="424"/>
      <c r="D55" s="424" t="s">
        <v>573</v>
      </c>
      <c r="E55" s="424" t="s">
        <v>386</v>
      </c>
      <c r="F55" s="424"/>
      <c r="G55" s="424" t="s">
        <v>313</v>
      </c>
      <c r="H55" s="431">
        <f t="shared" ref="H55:V55" ca="1" si="12">ROUND(INDEX(FlowSetWTSettings,(MATCH($B54,FlowSetSimulationNumbers,0)+MATCH(H$32,FlowSetAnemometerWindSpeeds,0)),7),2)</f>
        <v>6</v>
      </c>
      <c r="I55" s="431">
        <f t="shared" ca="1" si="12"/>
        <v>6</v>
      </c>
      <c r="J55" s="431">
        <f t="shared" ca="1" si="12"/>
        <v>6</v>
      </c>
      <c r="K55" s="431">
        <f t="shared" ca="1" si="12"/>
        <v>6</v>
      </c>
      <c r="L55" s="431">
        <f t="shared" ca="1" si="12"/>
        <v>6</v>
      </c>
      <c r="M55" s="431">
        <f t="shared" ca="1" si="12"/>
        <v>6</v>
      </c>
      <c r="N55" s="431">
        <f t="shared" ca="1" si="12"/>
        <v>6</v>
      </c>
      <c r="O55" s="431">
        <f t="shared" ca="1" si="12"/>
        <v>6</v>
      </c>
      <c r="P55" s="431">
        <f t="shared" ca="1" si="12"/>
        <v>6</v>
      </c>
      <c r="Q55" s="431">
        <f t="shared" ca="1" si="12"/>
        <v>6</v>
      </c>
      <c r="R55" s="431">
        <f t="shared" ca="1" si="12"/>
        <v>6</v>
      </c>
      <c r="S55" s="431">
        <f t="shared" ca="1" si="12"/>
        <v>6</v>
      </c>
      <c r="T55" s="431">
        <f t="shared" ca="1" si="12"/>
        <v>6</v>
      </c>
      <c r="U55" s="431">
        <f t="shared" ca="1" si="12"/>
        <v>6</v>
      </c>
      <c r="V55" s="431">
        <f t="shared" ca="1" si="12"/>
        <v>6</v>
      </c>
      <c r="W55" s="424"/>
    </row>
    <row r="56" spans="1:23">
      <c r="A56" s="424"/>
      <c r="B56" s="424"/>
      <c r="C56" s="424" t="s">
        <v>255</v>
      </c>
      <c r="D56" s="424" t="s">
        <v>387</v>
      </c>
      <c r="E56" s="424" t="s">
        <v>386</v>
      </c>
      <c r="F56" s="424"/>
      <c r="G56" s="424"/>
      <c r="H56" s="426"/>
      <c r="I56" s="426"/>
      <c r="J56" s="426"/>
      <c r="K56" s="426"/>
      <c r="L56" s="426"/>
      <c r="M56" s="426"/>
      <c r="N56" s="426"/>
      <c r="O56" s="426"/>
      <c r="P56" s="426"/>
      <c r="Q56" s="426"/>
      <c r="R56" s="426"/>
      <c r="S56" s="424"/>
      <c r="T56" s="424"/>
      <c r="U56" s="424"/>
      <c r="V56" s="424"/>
      <c r="W56" s="424"/>
    </row>
    <row r="57" spans="1:23">
      <c r="A57" s="1081">
        <f>A54</f>
        <v>1</v>
      </c>
      <c r="B57" s="726" t="str">
        <f>IF((RIGHT(B54,1))&lt;&gt;"Z",CHAR(CODE(B54))&amp;CHAR(CODE(RIGHT(B54,1))+1),CHAR(CODE(B54)+1)&amp;"A")</f>
        <v>AG</v>
      </c>
      <c r="C57" s="424"/>
      <c r="D57" s="429" t="str">
        <f>CONCATENATE($A$17,B57, ":",RIGHT(INDEX(FlowSetWTSettings,(MATCH($B57,FlowSetSimulationNumbers,0)),2),9),REPT(" ",9-MIN(9,LEN(INDEX(FlowSetWTSettings,(MATCH($B57,FlowSetSimulationNumbers,0)),2)))),$A$17,"  ")</f>
        <v xml:space="preserve">"AG:EF-7     "  </v>
      </c>
      <c r="E57" s="429" t="str">
        <f>CONCATENATE($A$17,VLOOKUP(A57,$A$15:$B$16,2),REPT(" ",9-LEN(VLOOKUP(A57,$A$15:$B$16,2))),$A$17)</f>
        <v>"Land     "</v>
      </c>
      <c r="F57" s="430">
        <f ca="1">INDEX(FlowSetWTSettings,(MATCH($B57,FlowSetSimulationNumbers,0)),9)</f>
        <v>0.97430000000000005</v>
      </c>
      <c r="G57" s="424" t="s">
        <v>312</v>
      </c>
      <c r="H57" s="431" t="e">
        <f t="shared" ref="H57:V57" ca="1" si="13">ROUND(INDEX(FlowSetWTSettings,(MATCH($B57,FlowSetSimulationNumbers,0)+MATCH(H$32,FlowSetAnemometerWindSpeeds,0)),8),2)</f>
        <v>#VALUE!</v>
      </c>
      <c r="I57" s="431" t="e">
        <f t="shared" ca="1" si="13"/>
        <v>#VALUE!</v>
      </c>
      <c r="J57" s="431" t="e">
        <f t="shared" ca="1" si="13"/>
        <v>#VALUE!</v>
      </c>
      <c r="K57" s="431" t="e">
        <f t="shared" ca="1" si="13"/>
        <v>#VALUE!</v>
      </c>
      <c r="L57" s="431" t="e">
        <f t="shared" ca="1" si="13"/>
        <v>#VALUE!</v>
      </c>
      <c r="M57" s="431" t="e">
        <f t="shared" ca="1" si="13"/>
        <v>#VALUE!</v>
      </c>
      <c r="N57" s="431" t="e">
        <f t="shared" ca="1" si="13"/>
        <v>#VALUE!</v>
      </c>
      <c r="O57" s="431" t="e">
        <f t="shared" ca="1" si="13"/>
        <v>#VALUE!</v>
      </c>
      <c r="P57" s="431" t="e">
        <f t="shared" ca="1" si="13"/>
        <v>#VALUE!</v>
      </c>
      <c r="Q57" s="431" t="e">
        <f t="shared" ca="1" si="13"/>
        <v>#VALUE!</v>
      </c>
      <c r="R57" s="431" t="e">
        <f t="shared" ca="1" si="13"/>
        <v>#VALUE!</v>
      </c>
      <c r="S57" s="431" t="e">
        <f t="shared" ca="1" si="13"/>
        <v>#VALUE!</v>
      </c>
      <c r="T57" s="431" t="e">
        <f t="shared" ca="1" si="13"/>
        <v>#VALUE!</v>
      </c>
      <c r="U57" s="431" t="e">
        <f t="shared" ca="1" si="13"/>
        <v>#VALUE!</v>
      </c>
      <c r="V57" s="431" t="e">
        <f t="shared" ca="1" si="13"/>
        <v>#VALUE!</v>
      </c>
      <c r="W57" s="424"/>
    </row>
    <row r="58" spans="1:23">
      <c r="A58" s="424"/>
      <c r="B58" s="424"/>
      <c r="C58" s="424"/>
      <c r="D58" s="424" t="s">
        <v>573</v>
      </c>
      <c r="E58" s="424" t="s">
        <v>386</v>
      </c>
      <c r="F58" s="424"/>
      <c r="G58" s="424" t="s">
        <v>313</v>
      </c>
      <c r="H58" s="431">
        <f t="shared" ref="H58:V58" ca="1" si="14">ROUND(INDEX(FlowSetWTSettings,(MATCH($B57,FlowSetSimulationNumbers,0)+MATCH(H$32,FlowSetAnemometerWindSpeeds,0)),7),2)</f>
        <v>6</v>
      </c>
      <c r="I58" s="431">
        <f t="shared" ca="1" si="14"/>
        <v>6</v>
      </c>
      <c r="J58" s="431">
        <f t="shared" ca="1" si="14"/>
        <v>6</v>
      </c>
      <c r="K58" s="431">
        <f t="shared" ca="1" si="14"/>
        <v>6</v>
      </c>
      <c r="L58" s="431">
        <f t="shared" ca="1" si="14"/>
        <v>6</v>
      </c>
      <c r="M58" s="431">
        <f t="shared" ca="1" si="14"/>
        <v>6</v>
      </c>
      <c r="N58" s="431">
        <f t="shared" ca="1" si="14"/>
        <v>6</v>
      </c>
      <c r="O58" s="431">
        <f t="shared" ca="1" si="14"/>
        <v>6</v>
      </c>
      <c r="P58" s="431">
        <f t="shared" ca="1" si="14"/>
        <v>6</v>
      </c>
      <c r="Q58" s="431">
        <f t="shared" ca="1" si="14"/>
        <v>6</v>
      </c>
      <c r="R58" s="431">
        <f t="shared" ca="1" si="14"/>
        <v>6</v>
      </c>
      <c r="S58" s="431">
        <f t="shared" ca="1" si="14"/>
        <v>6</v>
      </c>
      <c r="T58" s="431">
        <f t="shared" ca="1" si="14"/>
        <v>6</v>
      </c>
      <c r="U58" s="431">
        <f t="shared" ca="1" si="14"/>
        <v>6</v>
      </c>
      <c r="V58" s="431">
        <f t="shared" ca="1" si="14"/>
        <v>6</v>
      </c>
      <c r="W58" s="424"/>
    </row>
    <row r="59" spans="1:23">
      <c r="A59" s="424"/>
      <c r="B59" s="424"/>
      <c r="C59" s="424" t="s">
        <v>255</v>
      </c>
      <c r="D59" s="424" t="s">
        <v>387</v>
      </c>
      <c r="E59" s="424" t="s">
        <v>386</v>
      </c>
      <c r="F59" s="424"/>
      <c r="G59" s="424"/>
      <c r="H59" s="426"/>
      <c r="I59" s="426"/>
      <c r="J59" s="426"/>
      <c r="K59" s="426"/>
      <c r="L59" s="426"/>
      <c r="M59" s="426"/>
      <c r="N59" s="426"/>
      <c r="O59" s="426"/>
      <c r="P59" s="426"/>
      <c r="Q59" s="426"/>
      <c r="R59" s="426"/>
      <c r="S59" s="424"/>
      <c r="T59" s="424"/>
      <c r="U59" s="424"/>
      <c r="V59" s="424"/>
      <c r="W59" s="424"/>
    </row>
    <row r="60" spans="1:23">
      <c r="A60" s="1081">
        <f>A57</f>
        <v>1</v>
      </c>
      <c r="B60" s="726" t="str">
        <f>IF((RIGHT(B57,1))&lt;&gt;"Z",CHAR(CODE(B57))&amp;CHAR(CODE(RIGHT(B57,1))+1),CHAR(CODE(B57)+1)&amp;"A")</f>
        <v>AH</v>
      </c>
      <c r="C60" s="424"/>
      <c r="D60" s="429" t="str">
        <f>CONCATENATE($A$17,B60, ":",RIGHT(INDEX(FlowSetWTSettings,(MATCH($B60,FlowSetSimulationNumbers,0)),2),9),REPT(" ",9-MIN(9,LEN(INDEX(FlowSetWTSettings,(MATCH($B60,FlowSetSimulationNumbers,0)),2)))),$A$17,"  ")</f>
        <v xml:space="preserve">"AH:EF-8     "  </v>
      </c>
      <c r="E60" s="429" t="str">
        <f>CONCATENATE($A$17,VLOOKUP(A60,$A$15:$B$16,2),REPT(" ",9-LEN(VLOOKUP(A60,$A$15:$B$16,2))),$A$17)</f>
        <v>"Land     "</v>
      </c>
      <c r="F60" s="430">
        <f ca="1">INDEX(FlowSetWTSettings,(MATCH($B60,FlowSetSimulationNumbers,0)),9)</f>
        <v>0.97430000000000005</v>
      </c>
      <c r="G60" s="424" t="s">
        <v>312</v>
      </c>
      <c r="H60" s="431" t="e">
        <f t="shared" ref="H60:V60" ca="1" si="15">ROUND(INDEX(FlowSetWTSettings,(MATCH($B60,FlowSetSimulationNumbers,0)+MATCH(H$32,FlowSetAnemometerWindSpeeds,0)),8),2)</f>
        <v>#VALUE!</v>
      </c>
      <c r="I60" s="431" t="e">
        <f t="shared" ca="1" si="15"/>
        <v>#VALUE!</v>
      </c>
      <c r="J60" s="431" t="e">
        <f t="shared" ca="1" si="15"/>
        <v>#VALUE!</v>
      </c>
      <c r="K60" s="431" t="e">
        <f t="shared" ca="1" si="15"/>
        <v>#VALUE!</v>
      </c>
      <c r="L60" s="431" t="e">
        <f t="shared" ca="1" si="15"/>
        <v>#VALUE!</v>
      </c>
      <c r="M60" s="431" t="e">
        <f t="shared" ca="1" si="15"/>
        <v>#VALUE!</v>
      </c>
      <c r="N60" s="431" t="e">
        <f t="shared" ca="1" si="15"/>
        <v>#VALUE!</v>
      </c>
      <c r="O60" s="431" t="e">
        <f t="shared" ca="1" si="15"/>
        <v>#VALUE!</v>
      </c>
      <c r="P60" s="431" t="e">
        <f t="shared" ca="1" si="15"/>
        <v>#VALUE!</v>
      </c>
      <c r="Q60" s="431" t="e">
        <f t="shared" ca="1" si="15"/>
        <v>#VALUE!</v>
      </c>
      <c r="R60" s="431" t="e">
        <f t="shared" ca="1" si="15"/>
        <v>#VALUE!</v>
      </c>
      <c r="S60" s="431" t="e">
        <f t="shared" ca="1" si="15"/>
        <v>#VALUE!</v>
      </c>
      <c r="T60" s="431" t="e">
        <f t="shared" ca="1" si="15"/>
        <v>#VALUE!</v>
      </c>
      <c r="U60" s="431" t="e">
        <f t="shared" ca="1" si="15"/>
        <v>#VALUE!</v>
      </c>
      <c r="V60" s="431" t="e">
        <f t="shared" ca="1" si="15"/>
        <v>#VALUE!</v>
      </c>
      <c r="W60" s="424"/>
    </row>
    <row r="61" spans="1:23">
      <c r="A61" s="424"/>
      <c r="B61" s="424"/>
      <c r="C61" s="424"/>
      <c r="D61" s="424" t="s">
        <v>573</v>
      </c>
      <c r="E61" s="424" t="s">
        <v>386</v>
      </c>
      <c r="F61" s="424"/>
      <c r="G61" s="424" t="s">
        <v>313</v>
      </c>
      <c r="H61" s="431">
        <f t="shared" ref="H61:V61" ca="1" si="16">ROUND(INDEX(FlowSetWTSettings,(MATCH($B60,FlowSetSimulationNumbers,0)+MATCH(H$32,FlowSetAnemometerWindSpeeds,0)),7),2)</f>
        <v>6</v>
      </c>
      <c r="I61" s="431">
        <f t="shared" ca="1" si="16"/>
        <v>6</v>
      </c>
      <c r="J61" s="431">
        <f t="shared" ca="1" si="16"/>
        <v>6</v>
      </c>
      <c r="K61" s="431">
        <f t="shared" ca="1" si="16"/>
        <v>6</v>
      </c>
      <c r="L61" s="431">
        <f t="shared" ca="1" si="16"/>
        <v>6</v>
      </c>
      <c r="M61" s="431">
        <f t="shared" ca="1" si="16"/>
        <v>6</v>
      </c>
      <c r="N61" s="431">
        <f t="shared" ca="1" si="16"/>
        <v>6</v>
      </c>
      <c r="O61" s="431">
        <f t="shared" ca="1" si="16"/>
        <v>6</v>
      </c>
      <c r="P61" s="431">
        <f t="shared" ca="1" si="16"/>
        <v>6</v>
      </c>
      <c r="Q61" s="431">
        <f t="shared" ca="1" si="16"/>
        <v>6</v>
      </c>
      <c r="R61" s="431">
        <f t="shared" ca="1" si="16"/>
        <v>6</v>
      </c>
      <c r="S61" s="431">
        <f t="shared" ca="1" si="16"/>
        <v>6</v>
      </c>
      <c r="T61" s="431">
        <f t="shared" ca="1" si="16"/>
        <v>6</v>
      </c>
      <c r="U61" s="431">
        <f t="shared" ca="1" si="16"/>
        <v>6</v>
      </c>
      <c r="V61" s="431">
        <f t="shared" ca="1" si="16"/>
        <v>6</v>
      </c>
      <c r="W61" s="424"/>
    </row>
    <row r="62" spans="1:23">
      <c r="A62" s="424"/>
      <c r="B62" s="424"/>
      <c r="C62" s="424" t="s">
        <v>255</v>
      </c>
      <c r="D62" s="424" t="s">
        <v>387</v>
      </c>
      <c r="E62" s="424" t="s">
        <v>386</v>
      </c>
      <c r="F62" s="424"/>
      <c r="G62" s="424"/>
      <c r="H62" s="426"/>
      <c r="I62" s="426"/>
      <c r="J62" s="426"/>
      <c r="K62" s="426"/>
      <c r="L62" s="426"/>
      <c r="M62" s="426"/>
      <c r="N62" s="426"/>
      <c r="O62" s="426"/>
      <c r="P62" s="426"/>
      <c r="Q62" s="426"/>
      <c r="R62" s="426"/>
      <c r="S62" s="424"/>
      <c r="T62" s="424"/>
      <c r="U62" s="424"/>
      <c r="V62" s="424"/>
      <c r="W62" s="424"/>
    </row>
    <row r="63" spans="1:23">
      <c r="A63" s="1081">
        <f>A60</f>
        <v>1</v>
      </c>
      <c r="B63" s="726" t="str">
        <f>IF((RIGHT(B60,1))&lt;&gt;"Z",CHAR(CODE(B60))&amp;CHAR(CODE(RIGHT(B60,1))+1),CHAR(CODE(B60)+1)&amp;"A")</f>
        <v>AI</v>
      </c>
      <c r="C63" s="424"/>
      <c r="D63" s="429" t="str">
        <f>CONCATENATE($A$17,B63, ":",RIGHT(INDEX(FlowSetWTSettings,(MATCH($B63,FlowSetSimulationNumbers,0)),2),9),REPT(" ",9-MIN(9,LEN(INDEX(FlowSetWTSettings,(MATCH($B63,FlowSetSimulationNumbers,0)),2)))),$A$17,"  ")</f>
        <v xml:space="preserve">"AI:EF-9     "  </v>
      </c>
      <c r="E63" s="429" t="str">
        <f>CONCATENATE($A$17,VLOOKUP(A63,$A$15:$B$16,2),REPT(" ",9-LEN(VLOOKUP(A63,$A$15:$B$16,2))),$A$17)</f>
        <v>"Land     "</v>
      </c>
      <c r="F63" s="430">
        <f ca="1">INDEX(FlowSetWTSettings,(MATCH($B63,FlowSetSimulationNumbers,0)),9)</f>
        <v>0.97430000000000005</v>
      </c>
      <c r="G63" s="424" t="s">
        <v>312</v>
      </c>
      <c r="H63" s="431" t="e">
        <f t="shared" ref="H63:V63" ca="1" si="17">ROUND(INDEX(FlowSetWTSettings,(MATCH($B63,FlowSetSimulationNumbers,0)+MATCH(H$32,FlowSetAnemometerWindSpeeds,0)),8),2)</f>
        <v>#VALUE!</v>
      </c>
      <c r="I63" s="431" t="e">
        <f t="shared" ca="1" si="17"/>
        <v>#VALUE!</v>
      </c>
      <c r="J63" s="431" t="e">
        <f t="shared" ca="1" si="17"/>
        <v>#VALUE!</v>
      </c>
      <c r="K63" s="431" t="e">
        <f t="shared" ca="1" si="17"/>
        <v>#VALUE!</v>
      </c>
      <c r="L63" s="431" t="e">
        <f t="shared" ca="1" si="17"/>
        <v>#VALUE!</v>
      </c>
      <c r="M63" s="431" t="e">
        <f t="shared" ca="1" si="17"/>
        <v>#VALUE!</v>
      </c>
      <c r="N63" s="431" t="e">
        <f t="shared" ca="1" si="17"/>
        <v>#VALUE!</v>
      </c>
      <c r="O63" s="431" t="e">
        <f t="shared" ca="1" si="17"/>
        <v>#VALUE!</v>
      </c>
      <c r="P63" s="431" t="e">
        <f t="shared" ca="1" si="17"/>
        <v>#VALUE!</v>
      </c>
      <c r="Q63" s="431" t="e">
        <f t="shared" ca="1" si="17"/>
        <v>#VALUE!</v>
      </c>
      <c r="R63" s="431" t="e">
        <f t="shared" ca="1" si="17"/>
        <v>#VALUE!</v>
      </c>
      <c r="S63" s="431" t="e">
        <f t="shared" ca="1" si="17"/>
        <v>#VALUE!</v>
      </c>
      <c r="T63" s="431" t="e">
        <f t="shared" ca="1" si="17"/>
        <v>#VALUE!</v>
      </c>
      <c r="U63" s="431" t="e">
        <f t="shared" ca="1" si="17"/>
        <v>#VALUE!</v>
      </c>
      <c r="V63" s="431" t="e">
        <f t="shared" ca="1" si="17"/>
        <v>#VALUE!</v>
      </c>
      <c r="W63" s="424"/>
    </row>
    <row r="64" spans="1:23">
      <c r="A64" s="424"/>
      <c r="B64" s="424"/>
      <c r="C64" s="424"/>
      <c r="D64" s="424" t="s">
        <v>573</v>
      </c>
      <c r="E64" s="424" t="s">
        <v>386</v>
      </c>
      <c r="F64" s="424"/>
      <c r="G64" s="424" t="s">
        <v>313</v>
      </c>
      <c r="H64" s="431">
        <f t="shared" ref="H64:V64" ca="1" si="18">ROUND(INDEX(FlowSetWTSettings,(MATCH($B63,FlowSetSimulationNumbers,0)+MATCH(H$32,FlowSetAnemometerWindSpeeds,0)),7),2)</f>
        <v>6</v>
      </c>
      <c r="I64" s="431">
        <f t="shared" ca="1" si="18"/>
        <v>6</v>
      </c>
      <c r="J64" s="431">
        <f t="shared" ca="1" si="18"/>
        <v>6</v>
      </c>
      <c r="K64" s="431">
        <f t="shared" ca="1" si="18"/>
        <v>6</v>
      </c>
      <c r="L64" s="431">
        <f t="shared" ca="1" si="18"/>
        <v>6</v>
      </c>
      <c r="M64" s="431">
        <f t="shared" ca="1" si="18"/>
        <v>6</v>
      </c>
      <c r="N64" s="431">
        <f t="shared" ca="1" si="18"/>
        <v>6</v>
      </c>
      <c r="O64" s="431">
        <f t="shared" ca="1" si="18"/>
        <v>6</v>
      </c>
      <c r="P64" s="431">
        <f t="shared" ca="1" si="18"/>
        <v>6</v>
      </c>
      <c r="Q64" s="431">
        <f t="shared" ca="1" si="18"/>
        <v>6</v>
      </c>
      <c r="R64" s="431">
        <f t="shared" ca="1" si="18"/>
        <v>6</v>
      </c>
      <c r="S64" s="431">
        <f t="shared" ca="1" si="18"/>
        <v>6</v>
      </c>
      <c r="T64" s="431">
        <f t="shared" ca="1" si="18"/>
        <v>6</v>
      </c>
      <c r="U64" s="431">
        <f t="shared" ca="1" si="18"/>
        <v>6</v>
      </c>
      <c r="V64" s="431">
        <f t="shared" ca="1" si="18"/>
        <v>6</v>
      </c>
      <c r="W64" s="424"/>
    </row>
    <row r="65" spans="1:23">
      <c r="A65" s="424"/>
      <c r="B65" s="424"/>
      <c r="C65" s="424" t="s">
        <v>255</v>
      </c>
      <c r="D65" s="424" t="s">
        <v>387</v>
      </c>
      <c r="E65" s="424" t="s">
        <v>386</v>
      </c>
      <c r="F65" s="424"/>
      <c r="G65" s="424"/>
      <c r="H65" s="426"/>
      <c r="I65" s="426"/>
      <c r="J65" s="426"/>
      <c r="K65" s="426"/>
      <c r="L65" s="426"/>
      <c r="M65" s="426"/>
      <c r="N65" s="426"/>
      <c r="O65" s="426"/>
      <c r="P65" s="426"/>
      <c r="Q65" s="426"/>
      <c r="R65" s="426"/>
      <c r="S65" s="424"/>
      <c r="T65" s="424"/>
      <c r="U65" s="424"/>
      <c r="V65" s="424"/>
      <c r="W65" s="424"/>
    </row>
    <row r="66" spans="1:23">
      <c r="A66" s="1081">
        <f>A63</f>
        <v>1</v>
      </c>
      <c r="B66" s="726" t="str">
        <f>IF((RIGHT(B63,1))&lt;&gt;"Z",CHAR(CODE(B63))&amp;CHAR(CODE(RIGHT(B63,1))+1),CHAR(CODE(B63)+1)&amp;"A")</f>
        <v>AJ</v>
      </c>
      <c r="C66" s="424"/>
      <c r="D66" s="429" t="str">
        <f>CONCATENATE($A$17,B66, ":",RIGHT(INDEX(FlowSetWTSettings,(MATCH($B66,FlowSetSimulationNumbers,0)),2),9),REPT(" ",9-MIN(9,LEN(INDEX(FlowSetWTSettings,(MATCH($B66,FlowSetSimulationNumbers,0)),2)))),$A$17,"  ")</f>
        <v xml:space="preserve">"AJ:BSL3-2   "  </v>
      </c>
      <c r="E66" s="429" t="str">
        <f>CONCATENATE($A$17,VLOOKUP(A66,$A$15:$B$16,2),REPT(" ",9-LEN(VLOOKUP(A66,$A$15:$B$16,2))),$A$17)</f>
        <v>"Land     "</v>
      </c>
      <c r="F66" s="430">
        <f ca="1">INDEX(FlowSetWTSettings,(MATCH($B66,FlowSetSimulationNumbers,0)),9)</f>
        <v>0.97430000000000005</v>
      </c>
      <c r="G66" s="424" t="s">
        <v>312</v>
      </c>
      <c r="H66" s="431" t="e">
        <f t="shared" ref="H66:V66" ca="1" si="19">ROUND(INDEX(FlowSetWTSettings,(MATCH($B66,FlowSetSimulationNumbers,0)+MATCH(H$32,FlowSetAnemometerWindSpeeds,0)),8),2)</f>
        <v>#VALUE!</v>
      </c>
      <c r="I66" s="431" t="e">
        <f t="shared" ca="1" si="19"/>
        <v>#VALUE!</v>
      </c>
      <c r="J66" s="431" t="e">
        <f t="shared" ca="1" si="19"/>
        <v>#VALUE!</v>
      </c>
      <c r="K66" s="431" t="e">
        <f t="shared" ca="1" si="19"/>
        <v>#VALUE!</v>
      </c>
      <c r="L66" s="431" t="e">
        <f t="shared" ca="1" si="19"/>
        <v>#VALUE!</v>
      </c>
      <c r="M66" s="431" t="e">
        <f t="shared" ca="1" si="19"/>
        <v>#VALUE!</v>
      </c>
      <c r="N66" s="431" t="e">
        <f t="shared" ca="1" si="19"/>
        <v>#VALUE!</v>
      </c>
      <c r="O66" s="431" t="e">
        <f t="shared" ca="1" si="19"/>
        <v>#VALUE!</v>
      </c>
      <c r="P66" s="431" t="e">
        <f t="shared" ca="1" si="19"/>
        <v>#VALUE!</v>
      </c>
      <c r="Q66" s="431" t="e">
        <f t="shared" ca="1" si="19"/>
        <v>#VALUE!</v>
      </c>
      <c r="R66" s="431" t="e">
        <f t="shared" ca="1" si="19"/>
        <v>#VALUE!</v>
      </c>
      <c r="S66" s="431" t="e">
        <f t="shared" ca="1" si="19"/>
        <v>#VALUE!</v>
      </c>
      <c r="T66" s="431" t="e">
        <f t="shared" ca="1" si="19"/>
        <v>#VALUE!</v>
      </c>
      <c r="U66" s="431" t="e">
        <f t="shared" ca="1" si="19"/>
        <v>#VALUE!</v>
      </c>
      <c r="V66" s="431" t="e">
        <f t="shared" ca="1" si="19"/>
        <v>#VALUE!</v>
      </c>
      <c r="W66" s="424"/>
    </row>
    <row r="67" spans="1:23">
      <c r="A67" s="424"/>
      <c r="B67" s="424"/>
      <c r="C67" s="424"/>
      <c r="D67" s="424" t="s">
        <v>573</v>
      </c>
      <c r="E67" s="424" t="s">
        <v>386</v>
      </c>
      <c r="F67" s="424"/>
      <c r="G67" s="424" t="s">
        <v>313</v>
      </c>
      <c r="H67" s="431">
        <f t="shared" ref="H67:V67" ca="1" si="20">ROUND(INDEX(FlowSetWTSettings,(MATCH($B66,FlowSetSimulationNumbers,0)+MATCH(H$32,FlowSetAnemometerWindSpeeds,0)),7),2)</f>
        <v>6</v>
      </c>
      <c r="I67" s="431">
        <f t="shared" ca="1" si="20"/>
        <v>6</v>
      </c>
      <c r="J67" s="431">
        <f t="shared" ca="1" si="20"/>
        <v>6</v>
      </c>
      <c r="K67" s="431">
        <f t="shared" ca="1" si="20"/>
        <v>6</v>
      </c>
      <c r="L67" s="431">
        <f t="shared" ca="1" si="20"/>
        <v>6</v>
      </c>
      <c r="M67" s="431">
        <f t="shared" ca="1" si="20"/>
        <v>6</v>
      </c>
      <c r="N67" s="431">
        <f t="shared" ca="1" si="20"/>
        <v>6</v>
      </c>
      <c r="O67" s="431">
        <f t="shared" ca="1" si="20"/>
        <v>6</v>
      </c>
      <c r="P67" s="431">
        <f t="shared" ca="1" si="20"/>
        <v>6</v>
      </c>
      <c r="Q67" s="431">
        <f t="shared" ca="1" si="20"/>
        <v>6</v>
      </c>
      <c r="R67" s="431">
        <f t="shared" ca="1" si="20"/>
        <v>6</v>
      </c>
      <c r="S67" s="431">
        <f t="shared" ca="1" si="20"/>
        <v>6</v>
      </c>
      <c r="T67" s="431">
        <f t="shared" ca="1" si="20"/>
        <v>6</v>
      </c>
      <c r="U67" s="431">
        <f t="shared" ca="1" si="20"/>
        <v>6</v>
      </c>
      <c r="V67" s="431">
        <f t="shared" ca="1" si="20"/>
        <v>6</v>
      </c>
      <c r="W67" s="424"/>
    </row>
    <row r="68" spans="1:23">
      <c r="A68" s="424"/>
      <c r="B68" s="424"/>
      <c r="C68" s="424" t="s">
        <v>255</v>
      </c>
      <c r="D68" s="424" t="s">
        <v>387</v>
      </c>
      <c r="E68" s="424" t="s">
        <v>386</v>
      </c>
      <c r="F68" s="424"/>
      <c r="G68" s="424"/>
      <c r="H68" s="426"/>
      <c r="I68" s="426"/>
      <c r="J68" s="426"/>
      <c r="K68" s="426"/>
      <c r="L68" s="426"/>
      <c r="M68" s="426"/>
      <c r="N68" s="426"/>
      <c r="O68" s="426"/>
      <c r="P68" s="426"/>
      <c r="Q68" s="426"/>
      <c r="R68" s="426"/>
      <c r="S68" s="424"/>
      <c r="T68" s="424"/>
      <c r="U68" s="424"/>
      <c r="V68" s="424"/>
      <c r="W68" s="424"/>
    </row>
    <row r="69" spans="1:23">
      <c r="A69" s="1081">
        <f>A66</f>
        <v>1</v>
      </c>
      <c r="B69" s="726" t="str">
        <f>IF((RIGHT(B66,1))&lt;&gt;"Z",CHAR(CODE(B66))&amp;CHAR(CODE(RIGHT(B66,1))+1),CHAR(CODE(B66)+1)&amp;"A")</f>
        <v>AK</v>
      </c>
      <c r="C69" s="424"/>
      <c r="D69" s="429" t="str">
        <f>CONCATENATE($A$17,B69, ":",RIGHT(INDEX(FlowSetWTSettings,(MATCH($B69,FlowSetSimulationNumbers,0)),2),9),REPT(" ",9-MIN(9,LEN(INDEX(FlowSetWTSettings,(MATCH($B69,FlowSetSimulationNumbers,0)),2)))),$A$17,"  ")</f>
        <v xml:space="preserve">"AK:DT       "  </v>
      </c>
      <c r="E69" s="429" t="str">
        <f>CONCATENATE($A$17,VLOOKUP(A69,$A$15:$B$16,2),REPT(" ",9-LEN(VLOOKUP(A69,$A$15:$B$16,2))),$A$17)</f>
        <v>"Land     "</v>
      </c>
      <c r="F69" s="430">
        <f ca="1">INDEX(FlowSetWTSettings,(MATCH($B69,FlowSetSimulationNumbers,0)),9)</f>
        <v>0.97430000000000005</v>
      </c>
      <c r="G69" s="424" t="s">
        <v>312</v>
      </c>
      <c r="H69" s="431" t="e">
        <f t="shared" ref="H69:V69" ca="1" si="21">ROUND(INDEX(FlowSetWTSettings,(MATCH($B69,FlowSetSimulationNumbers,0)+MATCH(H$32,FlowSetAnemometerWindSpeeds,0)),8),2)</f>
        <v>#VALUE!</v>
      </c>
      <c r="I69" s="431" t="e">
        <f t="shared" ca="1" si="21"/>
        <v>#VALUE!</v>
      </c>
      <c r="J69" s="431" t="e">
        <f t="shared" ca="1" si="21"/>
        <v>#VALUE!</v>
      </c>
      <c r="K69" s="431" t="e">
        <f t="shared" ca="1" si="21"/>
        <v>#VALUE!</v>
      </c>
      <c r="L69" s="431" t="e">
        <f t="shared" ca="1" si="21"/>
        <v>#VALUE!</v>
      </c>
      <c r="M69" s="431" t="e">
        <f t="shared" ca="1" si="21"/>
        <v>#VALUE!</v>
      </c>
      <c r="N69" s="431" t="e">
        <f t="shared" ca="1" si="21"/>
        <v>#VALUE!</v>
      </c>
      <c r="O69" s="431" t="e">
        <f t="shared" ca="1" si="21"/>
        <v>#VALUE!</v>
      </c>
      <c r="P69" s="431" t="e">
        <f t="shared" ca="1" si="21"/>
        <v>#VALUE!</v>
      </c>
      <c r="Q69" s="431" t="e">
        <f t="shared" ca="1" si="21"/>
        <v>#VALUE!</v>
      </c>
      <c r="R69" s="431" t="e">
        <f t="shared" ca="1" si="21"/>
        <v>#VALUE!</v>
      </c>
      <c r="S69" s="431" t="e">
        <f t="shared" ca="1" si="21"/>
        <v>#VALUE!</v>
      </c>
      <c r="T69" s="431" t="e">
        <f t="shared" ca="1" si="21"/>
        <v>#VALUE!</v>
      </c>
      <c r="U69" s="431" t="e">
        <f t="shared" ca="1" si="21"/>
        <v>#VALUE!</v>
      </c>
      <c r="V69" s="431" t="e">
        <f t="shared" ca="1" si="21"/>
        <v>#VALUE!</v>
      </c>
      <c r="W69" s="424"/>
    </row>
    <row r="70" spans="1:23">
      <c r="A70" s="424"/>
      <c r="B70" s="424"/>
      <c r="C70" s="424"/>
      <c r="D70" s="424" t="s">
        <v>573</v>
      </c>
      <c r="E70" s="424" t="s">
        <v>386</v>
      </c>
      <c r="F70" s="424"/>
      <c r="G70" s="424" t="s">
        <v>313</v>
      </c>
      <c r="H70" s="431">
        <f t="shared" ref="H70:V70" ca="1" si="22">ROUND(INDEX(FlowSetWTSettings,(MATCH($B69,FlowSetSimulationNumbers,0)+MATCH(H$32,FlowSetAnemometerWindSpeeds,0)),7),2)</f>
        <v>6</v>
      </c>
      <c r="I70" s="431">
        <f t="shared" ca="1" si="22"/>
        <v>6</v>
      </c>
      <c r="J70" s="431">
        <f t="shared" ca="1" si="22"/>
        <v>6</v>
      </c>
      <c r="K70" s="431">
        <f t="shared" ca="1" si="22"/>
        <v>6</v>
      </c>
      <c r="L70" s="431">
        <f t="shared" ca="1" si="22"/>
        <v>6</v>
      </c>
      <c r="M70" s="431">
        <f t="shared" ca="1" si="22"/>
        <v>6</v>
      </c>
      <c r="N70" s="431">
        <f t="shared" ca="1" si="22"/>
        <v>6</v>
      </c>
      <c r="O70" s="431">
        <f t="shared" ca="1" si="22"/>
        <v>6</v>
      </c>
      <c r="P70" s="431">
        <f t="shared" ca="1" si="22"/>
        <v>6</v>
      </c>
      <c r="Q70" s="431">
        <f t="shared" ca="1" si="22"/>
        <v>6</v>
      </c>
      <c r="R70" s="431">
        <f t="shared" ca="1" si="22"/>
        <v>6</v>
      </c>
      <c r="S70" s="431">
        <f t="shared" ca="1" si="22"/>
        <v>6</v>
      </c>
      <c r="T70" s="431">
        <f t="shared" ca="1" si="22"/>
        <v>6</v>
      </c>
      <c r="U70" s="431">
        <f t="shared" ca="1" si="22"/>
        <v>6</v>
      </c>
      <c r="V70" s="431">
        <f t="shared" ca="1" si="22"/>
        <v>6</v>
      </c>
      <c r="W70" s="424"/>
    </row>
    <row r="71" spans="1:23">
      <c r="A71" s="424"/>
      <c r="B71" s="424"/>
      <c r="C71" s="424" t="s">
        <v>255</v>
      </c>
      <c r="D71" s="424" t="s">
        <v>387</v>
      </c>
      <c r="E71" s="424" t="s">
        <v>386</v>
      </c>
      <c r="F71" s="424"/>
      <c r="G71" s="424"/>
      <c r="H71" s="426"/>
      <c r="I71" s="426"/>
      <c r="J71" s="426"/>
      <c r="K71" s="426"/>
      <c r="L71" s="426"/>
      <c r="M71" s="426"/>
      <c r="N71" s="426"/>
      <c r="O71" s="426"/>
      <c r="P71" s="426"/>
      <c r="Q71" s="426"/>
      <c r="R71" s="426"/>
      <c r="S71" s="424"/>
      <c r="T71" s="424"/>
      <c r="U71" s="424"/>
      <c r="V71" s="424"/>
      <c r="W71" s="424"/>
    </row>
    <row r="72" spans="1:23">
      <c r="A72" s="1081">
        <f>A69</f>
        <v>1</v>
      </c>
      <c r="B72" s="726" t="str">
        <f>IF((RIGHT(B69,1))&lt;&gt;"Z",CHAR(CODE(B69))&amp;CHAR(CODE(RIGHT(B69,1))+1),CHAR(CODE(B69)+1)&amp;"A")</f>
        <v>AL</v>
      </c>
      <c r="C72" s="424"/>
      <c r="D72" s="429" t="str">
        <f>CONCATENATE($A$17,B72, ":",RIGHT(INDEX(FlowSetWTSettings,(MATCH($B72,FlowSetSimulationNumbers,0)),2),9),REPT(" ",9-MIN(9,LEN(INDEX(FlowSetWTSettings,(MATCH($B72,FlowSetSimulationNumbers,0)),2)))),$A$17,"  ")</f>
        <v xml:space="preserve">"AL:DG       "  </v>
      </c>
      <c r="E72" s="429" t="str">
        <f>CONCATENATE($A$17,VLOOKUP(A72,$A$15:$B$16,2),REPT(" ",9-LEN(VLOOKUP(A72,$A$15:$B$16,2))),$A$17)</f>
        <v>"Land     "</v>
      </c>
      <c r="F72" s="430">
        <f ca="1">INDEX(FlowSetWTSettings,(MATCH($B72,FlowSetSimulationNumbers,0)),9)</f>
        <v>0.97430000000000005</v>
      </c>
      <c r="G72" s="424" t="s">
        <v>312</v>
      </c>
      <c r="H72" s="431" t="e">
        <f t="shared" ref="H72:V72" ca="1" si="23">ROUND(INDEX(FlowSetWTSettings,(MATCH($B72,FlowSetSimulationNumbers,0)+MATCH(H$32,FlowSetAnemometerWindSpeeds,0)),8),2)</f>
        <v>#VALUE!</v>
      </c>
      <c r="I72" s="431" t="e">
        <f t="shared" ca="1" si="23"/>
        <v>#VALUE!</v>
      </c>
      <c r="J72" s="431" t="e">
        <f t="shared" ca="1" si="23"/>
        <v>#VALUE!</v>
      </c>
      <c r="K72" s="431" t="e">
        <f t="shared" ca="1" si="23"/>
        <v>#VALUE!</v>
      </c>
      <c r="L72" s="431" t="e">
        <f t="shared" ca="1" si="23"/>
        <v>#VALUE!</v>
      </c>
      <c r="M72" s="431" t="e">
        <f t="shared" ca="1" si="23"/>
        <v>#VALUE!</v>
      </c>
      <c r="N72" s="431" t="e">
        <f t="shared" ca="1" si="23"/>
        <v>#VALUE!</v>
      </c>
      <c r="O72" s="431" t="e">
        <f t="shared" ca="1" si="23"/>
        <v>#VALUE!</v>
      </c>
      <c r="P72" s="431" t="e">
        <f t="shared" ca="1" si="23"/>
        <v>#VALUE!</v>
      </c>
      <c r="Q72" s="431" t="e">
        <f t="shared" ca="1" si="23"/>
        <v>#VALUE!</v>
      </c>
      <c r="R72" s="431" t="e">
        <f t="shared" ca="1" si="23"/>
        <v>#VALUE!</v>
      </c>
      <c r="S72" s="431" t="e">
        <f t="shared" ca="1" si="23"/>
        <v>#VALUE!</v>
      </c>
      <c r="T72" s="431" t="e">
        <f t="shared" ca="1" si="23"/>
        <v>#VALUE!</v>
      </c>
      <c r="U72" s="431" t="e">
        <f t="shared" ca="1" si="23"/>
        <v>#VALUE!</v>
      </c>
      <c r="V72" s="431" t="e">
        <f t="shared" ca="1" si="23"/>
        <v>#VALUE!</v>
      </c>
      <c r="W72" s="424"/>
    </row>
    <row r="73" spans="1:23">
      <c r="A73" s="424"/>
      <c r="B73" s="424"/>
      <c r="C73" s="424"/>
      <c r="D73" s="424" t="s">
        <v>573</v>
      </c>
      <c r="E73" s="424" t="s">
        <v>386</v>
      </c>
      <c r="F73" s="424"/>
      <c r="G73" s="424" t="s">
        <v>313</v>
      </c>
      <c r="H73" s="431">
        <f t="shared" ref="H73:V73" ca="1" si="24">ROUND(INDEX(FlowSetWTSettings,(MATCH($B72,FlowSetSimulationNumbers,0)+MATCH(H$32,FlowSetAnemometerWindSpeeds,0)),7),2)</f>
        <v>6</v>
      </c>
      <c r="I73" s="431">
        <f t="shared" ca="1" si="24"/>
        <v>6</v>
      </c>
      <c r="J73" s="431">
        <f t="shared" ca="1" si="24"/>
        <v>6</v>
      </c>
      <c r="K73" s="431">
        <f t="shared" ca="1" si="24"/>
        <v>6</v>
      </c>
      <c r="L73" s="431">
        <f t="shared" ca="1" si="24"/>
        <v>6</v>
      </c>
      <c r="M73" s="431">
        <f t="shared" ca="1" si="24"/>
        <v>6</v>
      </c>
      <c r="N73" s="431">
        <f t="shared" ca="1" si="24"/>
        <v>6</v>
      </c>
      <c r="O73" s="431">
        <f t="shared" ca="1" si="24"/>
        <v>6</v>
      </c>
      <c r="P73" s="431">
        <f t="shared" ca="1" si="24"/>
        <v>6</v>
      </c>
      <c r="Q73" s="431">
        <f t="shared" ca="1" si="24"/>
        <v>6</v>
      </c>
      <c r="R73" s="431">
        <f t="shared" ca="1" si="24"/>
        <v>6</v>
      </c>
      <c r="S73" s="431">
        <f t="shared" ca="1" si="24"/>
        <v>6</v>
      </c>
      <c r="T73" s="431">
        <f t="shared" ca="1" si="24"/>
        <v>6</v>
      </c>
      <c r="U73" s="431">
        <f t="shared" ca="1" si="24"/>
        <v>6</v>
      </c>
      <c r="V73" s="431">
        <f t="shared" ca="1" si="24"/>
        <v>6</v>
      </c>
      <c r="W73" s="424"/>
    </row>
    <row r="74" spans="1:23">
      <c r="A74" s="424"/>
      <c r="B74" s="424"/>
      <c r="C74" s="424" t="s">
        <v>255</v>
      </c>
      <c r="D74" s="424" t="s">
        <v>387</v>
      </c>
      <c r="E74" s="424" t="s">
        <v>386</v>
      </c>
      <c r="F74" s="424"/>
      <c r="G74" s="424"/>
      <c r="H74" s="426"/>
      <c r="I74" s="426"/>
      <c r="J74" s="426"/>
      <c r="K74" s="426"/>
      <c r="L74" s="426"/>
      <c r="M74" s="426"/>
      <c r="N74" s="426"/>
      <c r="O74" s="426"/>
      <c r="P74" s="426"/>
      <c r="Q74" s="426"/>
      <c r="R74" s="426"/>
      <c r="S74" s="424"/>
      <c r="T74" s="424"/>
      <c r="U74" s="424"/>
      <c r="V74" s="424"/>
      <c r="W74" s="424"/>
    </row>
    <row r="75" spans="1:23">
      <c r="A75" s="1081">
        <f>A72</f>
        <v>1</v>
      </c>
      <c r="B75" s="726" t="str">
        <f>IF((RIGHT(B72,1))&lt;&gt;"Z",CHAR(CODE(B72))&amp;CHAR(CODE(RIGHT(B72,1))+1),CHAR(CODE(B72)+1)&amp;"A")</f>
        <v>AM</v>
      </c>
      <c r="C75" s="424"/>
      <c r="D75" s="429" t="e">
        <f>CONCATENATE($A$17,B75, ":",RIGHT(INDEX(FlowSetWTSettings,(MATCH($B75,FlowSetSimulationNumbers,0)),2),9),REPT(" ",9-MIN(9,LEN(INDEX(FlowSetWTSettings,(MATCH($B75,FlowSetSimulationNumbers,0)),2)))),$A$17,"  ")</f>
        <v>#N/A</v>
      </c>
      <c r="E75" s="429" t="str">
        <f>CONCATENATE($A$17,VLOOKUP(A75,$A$15:$B$16,2),REPT(" ",9-LEN(VLOOKUP(A75,$A$15:$B$16,2))),$A$17)</f>
        <v>"Land     "</v>
      </c>
      <c r="F75" s="430" t="e">
        <f ca="1">INDEX(FlowSetWTSettings,(MATCH($B75,FlowSetSimulationNumbers,0)),9)</f>
        <v>#N/A</v>
      </c>
      <c r="G75" s="424" t="s">
        <v>312</v>
      </c>
      <c r="H75" s="431" t="e">
        <f t="shared" ref="H75:V75" ca="1" si="25">ROUND(INDEX(FlowSetWTSettings,(MATCH($B75,FlowSetSimulationNumbers,0)+MATCH(H$32,FlowSetAnemometerWindSpeeds,0)),8),2)</f>
        <v>#N/A</v>
      </c>
      <c r="I75" s="431" t="e">
        <f t="shared" ca="1" si="25"/>
        <v>#N/A</v>
      </c>
      <c r="J75" s="431" t="e">
        <f t="shared" ca="1" si="25"/>
        <v>#N/A</v>
      </c>
      <c r="K75" s="431" t="e">
        <f t="shared" ca="1" si="25"/>
        <v>#N/A</v>
      </c>
      <c r="L75" s="431" t="e">
        <f t="shared" ca="1" si="25"/>
        <v>#N/A</v>
      </c>
      <c r="M75" s="431" t="e">
        <f t="shared" ca="1" si="25"/>
        <v>#N/A</v>
      </c>
      <c r="N75" s="431" t="e">
        <f t="shared" ca="1" si="25"/>
        <v>#N/A</v>
      </c>
      <c r="O75" s="431" t="e">
        <f t="shared" ca="1" si="25"/>
        <v>#N/A</v>
      </c>
      <c r="P75" s="431" t="e">
        <f t="shared" ca="1" si="25"/>
        <v>#N/A</v>
      </c>
      <c r="Q75" s="431" t="e">
        <f t="shared" ca="1" si="25"/>
        <v>#N/A</v>
      </c>
      <c r="R75" s="431" t="e">
        <f t="shared" ca="1" si="25"/>
        <v>#N/A</v>
      </c>
      <c r="S75" s="431" t="e">
        <f t="shared" ca="1" si="25"/>
        <v>#N/A</v>
      </c>
      <c r="T75" s="431" t="e">
        <f t="shared" ca="1" si="25"/>
        <v>#N/A</v>
      </c>
      <c r="U75" s="431" t="e">
        <f t="shared" ca="1" si="25"/>
        <v>#N/A</v>
      </c>
      <c r="V75" s="431" t="e">
        <f t="shared" ca="1" si="25"/>
        <v>#N/A</v>
      </c>
      <c r="W75" s="424"/>
    </row>
    <row r="76" spans="1:23">
      <c r="A76" s="424"/>
      <c r="B76" s="424"/>
      <c r="C76" s="424"/>
      <c r="D76" s="424" t="s">
        <v>573</v>
      </c>
      <c r="E76" s="424" t="s">
        <v>386</v>
      </c>
      <c r="F76" s="424"/>
      <c r="G76" s="424" t="s">
        <v>313</v>
      </c>
      <c r="H76" s="431" t="e">
        <f t="shared" ref="H76:V76" ca="1" si="26">ROUND(INDEX(FlowSetWTSettings,(MATCH($B75,FlowSetSimulationNumbers,0)+MATCH(H$32,FlowSetAnemometerWindSpeeds,0)),7),2)</f>
        <v>#N/A</v>
      </c>
      <c r="I76" s="431" t="e">
        <f t="shared" ca="1" si="26"/>
        <v>#N/A</v>
      </c>
      <c r="J76" s="431" t="e">
        <f t="shared" ca="1" si="26"/>
        <v>#N/A</v>
      </c>
      <c r="K76" s="431" t="e">
        <f t="shared" ca="1" si="26"/>
        <v>#N/A</v>
      </c>
      <c r="L76" s="431" t="e">
        <f t="shared" ca="1" si="26"/>
        <v>#N/A</v>
      </c>
      <c r="M76" s="431" t="e">
        <f t="shared" ca="1" si="26"/>
        <v>#N/A</v>
      </c>
      <c r="N76" s="431" t="e">
        <f t="shared" ca="1" si="26"/>
        <v>#N/A</v>
      </c>
      <c r="O76" s="431" t="e">
        <f t="shared" ca="1" si="26"/>
        <v>#N/A</v>
      </c>
      <c r="P76" s="431" t="e">
        <f t="shared" ca="1" si="26"/>
        <v>#N/A</v>
      </c>
      <c r="Q76" s="431" t="e">
        <f t="shared" ca="1" si="26"/>
        <v>#N/A</v>
      </c>
      <c r="R76" s="431" t="e">
        <f t="shared" ca="1" si="26"/>
        <v>#N/A</v>
      </c>
      <c r="S76" s="431" t="e">
        <f t="shared" ca="1" si="26"/>
        <v>#N/A</v>
      </c>
      <c r="T76" s="431" t="e">
        <f t="shared" ca="1" si="26"/>
        <v>#N/A</v>
      </c>
      <c r="U76" s="431" t="e">
        <f t="shared" ca="1" si="26"/>
        <v>#N/A</v>
      </c>
      <c r="V76" s="431" t="e">
        <f t="shared" ca="1" si="26"/>
        <v>#N/A</v>
      </c>
      <c r="W76" s="424"/>
    </row>
    <row r="77" spans="1:23">
      <c r="A77" s="424"/>
      <c r="B77" s="424"/>
      <c r="C77" s="424" t="s">
        <v>255</v>
      </c>
      <c r="D77" s="424" t="s">
        <v>387</v>
      </c>
      <c r="E77" s="424" t="s">
        <v>386</v>
      </c>
      <c r="F77" s="424"/>
      <c r="G77" s="424"/>
      <c r="H77" s="426"/>
      <c r="I77" s="426"/>
      <c r="J77" s="426"/>
      <c r="K77" s="426"/>
      <c r="L77" s="426"/>
      <c r="M77" s="426"/>
      <c r="N77" s="426"/>
      <c r="O77" s="426"/>
      <c r="P77" s="426"/>
      <c r="Q77" s="426"/>
      <c r="R77" s="426"/>
      <c r="S77" s="424"/>
      <c r="T77" s="424"/>
      <c r="U77" s="424"/>
      <c r="V77" s="424"/>
      <c r="W77" s="424"/>
    </row>
    <row r="78" spans="1:23">
      <c r="A78" s="1081">
        <f>A75</f>
        <v>1</v>
      </c>
      <c r="B78" s="726" t="str">
        <f>IF((RIGHT(B75,1))&lt;&gt;"Z",CHAR(CODE(B75))&amp;CHAR(CODE(RIGHT(B75,1))+1),CHAR(CODE(B75)+1)&amp;"A")</f>
        <v>AN</v>
      </c>
      <c r="C78" s="424"/>
      <c r="D78" s="429" t="e">
        <f>CONCATENATE($A$17,B78, ":",RIGHT(INDEX(FlowSetWTSettings,(MATCH($B78,FlowSetSimulationNumbers,0)),2),9),REPT(" ",9-MIN(9,LEN(INDEX(FlowSetWTSettings,(MATCH($B78,FlowSetSimulationNumbers,0)),2)))),$A$17,"  ")</f>
        <v>#N/A</v>
      </c>
      <c r="E78" s="429" t="str">
        <f>CONCATENATE($A$17,VLOOKUP(A78,$A$15:$B$16,2),REPT(" ",9-LEN(VLOOKUP(A78,$A$15:$B$16,2))),$A$17)</f>
        <v>"Land     "</v>
      </c>
      <c r="F78" s="430" t="e">
        <f ca="1">INDEX(FlowSetWTSettings,(MATCH($B78,FlowSetSimulationNumbers,0)),9)</f>
        <v>#N/A</v>
      </c>
      <c r="G78" s="424" t="s">
        <v>312</v>
      </c>
      <c r="H78" s="431" t="e">
        <f t="shared" ref="H78:V78" ca="1" si="27">ROUND(INDEX(FlowSetWTSettings,(MATCH($B78,FlowSetSimulationNumbers,0)+MATCH(H$32,FlowSetAnemometerWindSpeeds,0)),8),2)</f>
        <v>#N/A</v>
      </c>
      <c r="I78" s="431" t="e">
        <f t="shared" ca="1" si="27"/>
        <v>#N/A</v>
      </c>
      <c r="J78" s="431" t="e">
        <f t="shared" ca="1" si="27"/>
        <v>#N/A</v>
      </c>
      <c r="K78" s="431" t="e">
        <f t="shared" ca="1" si="27"/>
        <v>#N/A</v>
      </c>
      <c r="L78" s="431" t="e">
        <f t="shared" ca="1" si="27"/>
        <v>#N/A</v>
      </c>
      <c r="M78" s="431" t="e">
        <f t="shared" ca="1" si="27"/>
        <v>#N/A</v>
      </c>
      <c r="N78" s="431" t="e">
        <f t="shared" ca="1" si="27"/>
        <v>#N/A</v>
      </c>
      <c r="O78" s="431" t="e">
        <f t="shared" ca="1" si="27"/>
        <v>#N/A</v>
      </c>
      <c r="P78" s="431" t="e">
        <f t="shared" ca="1" si="27"/>
        <v>#N/A</v>
      </c>
      <c r="Q78" s="431" t="e">
        <f t="shared" ca="1" si="27"/>
        <v>#N/A</v>
      </c>
      <c r="R78" s="431" t="e">
        <f t="shared" ca="1" si="27"/>
        <v>#N/A</v>
      </c>
      <c r="S78" s="431" t="e">
        <f t="shared" ca="1" si="27"/>
        <v>#N/A</v>
      </c>
      <c r="T78" s="431" t="e">
        <f t="shared" ca="1" si="27"/>
        <v>#N/A</v>
      </c>
      <c r="U78" s="431" t="e">
        <f t="shared" ca="1" si="27"/>
        <v>#N/A</v>
      </c>
      <c r="V78" s="431" t="e">
        <f t="shared" ca="1" si="27"/>
        <v>#N/A</v>
      </c>
      <c r="W78" s="424"/>
    </row>
    <row r="79" spans="1:23">
      <c r="A79" s="424"/>
      <c r="B79" s="424"/>
      <c r="C79" s="424"/>
      <c r="D79" s="424" t="s">
        <v>573</v>
      </c>
      <c r="E79" s="424" t="s">
        <v>386</v>
      </c>
      <c r="F79" s="424"/>
      <c r="G79" s="424" t="s">
        <v>313</v>
      </c>
      <c r="H79" s="431" t="e">
        <f t="shared" ref="H79:V79" ca="1" si="28">ROUND(INDEX(FlowSetWTSettings,(MATCH($B78,FlowSetSimulationNumbers,0)+MATCH(H$32,FlowSetAnemometerWindSpeeds,0)),7),2)</f>
        <v>#N/A</v>
      </c>
      <c r="I79" s="431" t="e">
        <f t="shared" ca="1" si="28"/>
        <v>#N/A</v>
      </c>
      <c r="J79" s="431" t="e">
        <f t="shared" ca="1" si="28"/>
        <v>#N/A</v>
      </c>
      <c r="K79" s="431" t="e">
        <f t="shared" ca="1" si="28"/>
        <v>#N/A</v>
      </c>
      <c r="L79" s="431" t="e">
        <f t="shared" ca="1" si="28"/>
        <v>#N/A</v>
      </c>
      <c r="M79" s="431" t="e">
        <f t="shared" ca="1" si="28"/>
        <v>#N/A</v>
      </c>
      <c r="N79" s="431" t="e">
        <f t="shared" ca="1" si="28"/>
        <v>#N/A</v>
      </c>
      <c r="O79" s="431" t="e">
        <f t="shared" ca="1" si="28"/>
        <v>#N/A</v>
      </c>
      <c r="P79" s="431" t="e">
        <f t="shared" ca="1" si="28"/>
        <v>#N/A</v>
      </c>
      <c r="Q79" s="431" t="e">
        <f t="shared" ca="1" si="28"/>
        <v>#N/A</v>
      </c>
      <c r="R79" s="431" t="e">
        <f t="shared" ca="1" si="28"/>
        <v>#N/A</v>
      </c>
      <c r="S79" s="431" t="e">
        <f t="shared" ca="1" si="28"/>
        <v>#N/A</v>
      </c>
      <c r="T79" s="431" t="e">
        <f t="shared" ca="1" si="28"/>
        <v>#N/A</v>
      </c>
      <c r="U79" s="431" t="e">
        <f t="shared" ca="1" si="28"/>
        <v>#N/A</v>
      </c>
      <c r="V79" s="431" t="e">
        <f t="shared" ca="1" si="28"/>
        <v>#N/A</v>
      </c>
      <c r="W79" s="424"/>
    </row>
    <row r="80" spans="1:23">
      <c r="A80" s="424"/>
      <c r="B80" s="424"/>
      <c r="C80" s="424" t="s">
        <v>255</v>
      </c>
      <c r="D80" s="424" t="s">
        <v>387</v>
      </c>
      <c r="E80" s="424" t="s">
        <v>386</v>
      </c>
      <c r="F80" s="424"/>
      <c r="G80" s="424"/>
      <c r="H80" s="426"/>
      <c r="I80" s="426"/>
      <c r="J80" s="426"/>
      <c r="K80" s="426"/>
      <c r="L80" s="426"/>
      <c r="M80" s="426"/>
      <c r="N80" s="426"/>
      <c r="O80" s="426"/>
      <c r="P80" s="426"/>
      <c r="Q80" s="426"/>
      <c r="R80" s="426"/>
      <c r="S80" s="424"/>
      <c r="T80" s="424"/>
      <c r="U80" s="424"/>
      <c r="V80" s="424"/>
      <c r="W80" s="424"/>
    </row>
    <row r="81" spans="1:23">
      <c r="A81" s="1081">
        <f>A78</f>
        <v>1</v>
      </c>
      <c r="B81" s="726" t="str">
        <f>IF((RIGHT(B78,1))&lt;&gt;"Z",CHAR(CODE(B78))&amp;CHAR(CODE(RIGHT(B78,1))+1),CHAR(CODE(B78)+1)&amp;"A")</f>
        <v>AO</v>
      </c>
      <c r="C81" s="424"/>
      <c r="D81" s="429" t="e">
        <f>CONCATENATE($A$17,B81, ":",RIGHT(INDEX(FlowSetWTSettings,(MATCH($B81,FlowSetSimulationNumbers,0)),2),9),REPT(" ",9-MIN(9,LEN(INDEX(FlowSetWTSettings,(MATCH($B81,FlowSetSimulationNumbers,0)),2)))),$A$17,"  ")</f>
        <v>#N/A</v>
      </c>
      <c r="E81" s="429" t="str">
        <f>CONCATENATE($A$17,VLOOKUP(A81,$A$15:$B$16,2),REPT(" ",9-LEN(VLOOKUP(A81,$A$15:$B$16,2))),$A$17)</f>
        <v>"Land     "</v>
      </c>
      <c r="F81" s="430" t="e">
        <f ca="1">INDEX(FlowSetWTSettings,(MATCH($B81,FlowSetSimulationNumbers,0)),9)</f>
        <v>#N/A</v>
      </c>
      <c r="G81" s="424" t="s">
        <v>312</v>
      </c>
      <c r="H81" s="431" t="e">
        <f t="shared" ref="H81:V81" ca="1" si="29">ROUND(INDEX(FlowSetWTSettings,(MATCH($B81,FlowSetSimulationNumbers,0)+MATCH(H$32,FlowSetAnemometerWindSpeeds,0)),8),2)</f>
        <v>#N/A</v>
      </c>
      <c r="I81" s="431" t="e">
        <f t="shared" ca="1" si="29"/>
        <v>#N/A</v>
      </c>
      <c r="J81" s="431" t="e">
        <f t="shared" ca="1" si="29"/>
        <v>#N/A</v>
      </c>
      <c r="K81" s="431" t="e">
        <f t="shared" ca="1" si="29"/>
        <v>#N/A</v>
      </c>
      <c r="L81" s="431" t="e">
        <f t="shared" ca="1" si="29"/>
        <v>#N/A</v>
      </c>
      <c r="M81" s="431" t="e">
        <f t="shared" ca="1" si="29"/>
        <v>#N/A</v>
      </c>
      <c r="N81" s="431" t="e">
        <f t="shared" ca="1" si="29"/>
        <v>#N/A</v>
      </c>
      <c r="O81" s="431" t="e">
        <f t="shared" ca="1" si="29"/>
        <v>#N/A</v>
      </c>
      <c r="P81" s="431" t="e">
        <f t="shared" ca="1" si="29"/>
        <v>#N/A</v>
      </c>
      <c r="Q81" s="431" t="e">
        <f t="shared" ca="1" si="29"/>
        <v>#N/A</v>
      </c>
      <c r="R81" s="431" t="e">
        <f t="shared" ca="1" si="29"/>
        <v>#N/A</v>
      </c>
      <c r="S81" s="431" t="e">
        <f t="shared" ca="1" si="29"/>
        <v>#N/A</v>
      </c>
      <c r="T81" s="431" t="e">
        <f t="shared" ca="1" si="29"/>
        <v>#N/A</v>
      </c>
      <c r="U81" s="431" t="e">
        <f t="shared" ca="1" si="29"/>
        <v>#N/A</v>
      </c>
      <c r="V81" s="431" t="e">
        <f t="shared" ca="1" si="29"/>
        <v>#N/A</v>
      </c>
      <c r="W81" s="424"/>
    </row>
    <row r="82" spans="1:23">
      <c r="A82" s="424"/>
      <c r="B82" s="424"/>
      <c r="C82" s="424"/>
      <c r="D82" s="424" t="s">
        <v>573</v>
      </c>
      <c r="E82" s="424" t="s">
        <v>386</v>
      </c>
      <c r="F82" s="424"/>
      <c r="G82" s="424" t="s">
        <v>313</v>
      </c>
      <c r="H82" s="431" t="e">
        <f t="shared" ref="H82:V82" ca="1" si="30">ROUND(INDEX(FlowSetWTSettings,(MATCH($B81,FlowSetSimulationNumbers,0)+MATCH(H$32,FlowSetAnemometerWindSpeeds,0)),7),2)</f>
        <v>#N/A</v>
      </c>
      <c r="I82" s="431" t="e">
        <f t="shared" ca="1" si="30"/>
        <v>#N/A</v>
      </c>
      <c r="J82" s="431" t="e">
        <f t="shared" ca="1" si="30"/>
        <v>#N/A</v>
      </c>
      <c r="K82" s="431" t="e">
        <f t="shared" ca="1" si="30"/>
        <v>#N/A</v>
      </c>
      <c r="L82" s="431" t="e">
        <f t="shared" ca="1" si="30"/>
        <v>#N/A</v>
      </c>
      <c r="M82" s="431" t="e">
        <f t="shared" ca="1" si="30"/>
        <v>#N/A</v>
      </c>
      <c r="N82" s="431" t="e">
        <f t="shared" ca="1" si="30"/>
        <v>#N/A</v>
      </c>
      <c r="O82" s="431" t="e">
        <f t="shared" ca="1" si="30"/>
        <v>#N/A</v>
      </c>
      <c r="P82" s="431" t="e">
        <f t="shared" ca="1" si="30"/>
        <v>#N/A</v>
      </c>
      <c r="Q82" s="431" t="e">
        <f t="shared" ca="1" si="30"/>
        <v>#N/A</v>
      </c>
      <c r="R82" s="431" t="e">
        <f t="shared" ca="1" si="30"/>
        <v>#N/A</v>
      </c>
      <c r="S82" s="431" t="e">
        <f t="shared" ca="1" si="30"/>
        <v>#N/A</v>
      </c>
      <c r="T82" s="431" t="e">
        <f t="shared" ca="1" si="30"/>
        <v>#N/A</v>
      </c>
      <c r="U82" s="431" t="e">
        <f t="shared" ca="1" si="30"/>
        <v>#N/A</v>
      </c>
      <c r="V82" s="431" t="e">
        <f t="shared" ca="1" si="30"/>
        <v>#N/A</v>
      </c>
      <c r="W82" s="424"/>
    </row>
    <row r="83" spans="1:23">
      <c r="A83" s="424"/>
      <c r="B83" s="424"/>
      <c r="C83" s="424" t="s">
        <v>255</v>
      </c>
      <c r="D83" s="424" t="s">
        <v>387</v>
      </c>
      <c r="E83" s="424" t="s">
        <v>386</v>
      </c>
      <c r="F83" s="424"/>
      <c r="G83" s="424"/>
      <c r="H83" s="426"/>
      <c r="I83" s="426"/>
      <c r="J83" s="426"/>
      <c r="K83" s="426"/>
      <c r="L83" s="426"/>
      <c r="M83" s="426"/>
      <c r="N83" s="426"/>
      <c r="O83" s="426"/>
      <c r="P83" s="426"/>
      <c r="Q83" s="426"/>
      <c r="R83" s="426"/>
      <c r="S83" s="424"/>
      <c r="T83" s="424"/>
      <c r="U83" s="424"/>
      <c r="V83" s="424"/>
      <c r="W83" s="424"/>
    </row>
    <row r="84" spans="1:23">
      <c r="A84" s="1081">
        <f>A81</f>
        <v>1</v>
      </c>
      <c r="B84" s="726" t="str">
        <f>IF((RIGHT(B81,1))&lt;&gt;"Z",CHAR(CODE(B81))&amp;CHAR(CODE(RIGHT(B81,1))+1),CHAR(CODE(B81)+1)&amp;"A")</f>
        <v>AP</v>
      </c>
      <c r="C84" s="424"/>
      <c r="D84" s="429" t="e">
        <f>CONCATENATE($A$17,B84, ":",RIGHT(INDEX(FlowSetWTSettings,(MATCH($B84,FlowSetSimulationNumbers,0)),2),9),REPT(" ",9-MIN(9,LEN(INDEX(FlowSetWTSettings,(MATCH($B84,FlowSetSimulationNumbers,0)),2)))),$A$17,"  ")</f>
        <v>#N/A</v>
      </c>
      <c r="E84" s="429" t="str">
        <f>CONCATENATE($A$17,VLOOKUP(A84,$A$15:$B$16,2),REPT(" ",9-LEN(VLOOKUP(A84,$A$15:$B$16,2))),$A$17)</f>
        <v>"Land     "</v>
      </c>
      <c r="F84" s="430" t="e">
        <f ca="1">INDEX(FlowSetWTSettings,(MATCH($B84,FlowSetSimulationNumbers,0)),9)</f>
        <v>#N/A</v>
      </c>
      <c r="G84" s="424" t="s">
        <v>312</v>
      </c>
      <c r="H84" s="431" t="e">
        <f t="shared" ref="H84:V84" ca="1" si="31">ROUND(INDEX(FlowSetWTSettings,(MATCH($B84,FlowSetSimulationNumbers,0)+MATCH(H$32,FlowSetAnemometerWindSpeeds,0)),8),2)</f>
        <v>#N/A</v>
      </c>
      <c r="I84" s="431" t="e">
        <f t="shared" ca="1" si="31"/>
        <v>#N/A</v>
      </c>
      <c r="J84" s="431" t="e">
        <f t="shared" ca="1" si="31"/>
        <v>#N/A</v>
      </c>
      <c r="K84" s="431" t="e">
        <f t="shared" ca="1" si="31"/>
        <v>#N/A</v>
      </c>
      <c r="L84" s="431" t="e">
        <f t="shared" ca="1" si="31"/>
        <v>#N/A</v>
      </c>
      <c r="M84" s="431" t="e">
        <f t="shared" ca="1" si="31"/>
        <v>#N/A</v>
      </c>
      <c r="N84" s="431" t="e">
        <f t="shared" ca="1" si="31"/>
        <v>#N/A</v>
      </c>
      <c r="O84" s="431" t="e">
        <f t="shared" ca="1" si="31"/>
        <v>#N/A</v>
      </c>
      <c r="P84" s="431" t="e">
        <f t="shared" ca="1" si="31"/>
        <v>#N/A</v>
      </c>
      <c r="Q84" s="431" t="e">
        <f t="shared" ca="1" si="31"/>
        <v>#N/A</v>
      </c>
      <c r="R84" s="431" t="e">
        <f t="shared" ca="1" si="31"/>
        <v>#N/A</v>
      </c>
      <c r="S84" s="431" t="e">
        <f t="shared" ca="1" si="31"/>
        <v>#N/A</v>
      </c>
      <c r="T84" s="431" t="e">
        <f t="shared" ca="1" si="31"/>
        <v>#N/A</v>
      </c>
      <c r="U84" s="431" t="e">
        <f t="shared" ca="1" si="31"/>
        <v>#N/A</v>
      </c>
      <c r="V84" s="431" t="e">
        <f t="shared" ca="1" si="31"/>
        <v>#N/A</v>
      </c>
      <c r="W84" s="424"/>
    </row>
    <row r="85" spans="1:23">
      <c r="A85" s="424"/>
      <c r="B85" s="424"/>
      <c r="C85" s="424"/>
      <c r="D85" s="424" t="s">
        <v>573</v>
      </c>
      <c r="E85" s="424" t="s">
        <v>386</v>
      </c>
      <c r="F85" s="424"/>
      <c r="G85" s="424" t="s">
        <v>313</v>
      </c>
      <c r="H85" s="431" t="e">
        <f t="shared" ref="H85:V85" ca="1" si="32">ROUND(INDEX(FlowSetWTSettings,(MATCH($B84,FlowSetSimulationNumbers,0)+MATCH(H$32,FlowSetAnemometerWindSpeeds,0)),7),2)</f>
        <v>#N/A</v>
      </c>
      <c r="I85" s="431" t="e">
        <f t="shared" ca="1" si="32"/>
        <v>#N/A</v>
      </c>
      <c r="J85" s="431" t="e">
        <f t="shared" ca="1" si="32"/>
        <v>#N/A</v>
      </c>
      <c r="K85" s="431" t="e">
        <f t="shared" ca="1" si="32"/>
        <v>#N/A</v>
      </c>
      <c r="L85" s="431" t="e">
        <f t="shared" ca="1" si="32"/>
        <v>#N/A</v>
      </c>
      <c r="M85" s="431" t="e">
        <f t="shared" ca="1" si="32"/>
        <v>#N/A</v>
      </c>
      <c r="N85" s="431" t="e">
        <f t="shared" ca="1" si="32"/>
        <v>#N/A</v>
      </c>
      <c r="O85" s="431" t="e">
        <f t="shared" ca="1" si="32"/>
        <v>#N/A</v>
      </c>
      <c r="P85" s="431" t="e">
        <f t="shared" ca="1" si="32"/>
        <v>#N/A</v>
      </c>
      <c r="Q85" s="431" t="e">
        <f t="shared" ca="1" si="32"/>
        <v>#N/A</v>
      </c>
      <c r="R85" s="431" t="e">
        <f t="shared" ca="1" si="32"/>
        <v>#N/A</v>
      </c>
      <c r="S85" s="431" t="e">
        <f t="shared" ca="1" si="32"/>
        <v>#N/A</v>
      </c>
      <c r="T85" s="431" t="e">
        <f t="shared" ca="1" si="32"/>
        <v>#N/A</v>
      </c>
      <c r="U85" s="431" t="e">
        <f t="shared" ca="1" si="32"/>
        <v>#N/A</v>
      </c>
      <c r="V85" s="431" t="e">
        <f t="shared" ca="1" si="32"/>
        <v>#N/A</v>
      </c>
      <c r="W85" s="424"/>
    </row>
    <row r="86" spans="1:23">
      <c r="A86" s="424"/>
      <c r="B86" s="424"/>
      <c r="C86" s="424" t="s">
        <v>255</v>
      </c>
      <c r="D86" s="424" t="s">
        <v>387</v>
      </c>
      <c r="E86" s="424" t="s">
        <v>386</v>
      </c>
      <c r="F86" s="424"/>
      <c r="G86" s="424"/>
      <c r="H86" s="426"/>
      <c r="I86" s="426"/>
      <c r="J86" s="426"/>
      <c r="K86" s="426"/>
      <c r="L86" s="426"/>
      <c r="M86" s="426"/>
      <c r="N86" s="426"/>
      <c r="O86" s="426"/>
      <c r="P86" s="426"/>
      <c r="Q86" s="426"/>
      <c r="R86" s="426"/>
      <c r="S86" s="424"/>
      <c r="T86" s="424"/>
      <c r="U86" s="424"/>
      <c r="V86" s="424"/>
      <c r="W86" s="424"/>
    </row>
    <row r="87" spans="1:23">
      <c r="A87" s="1081">
        <f>A84</f>
        <v>1</v>
      </c>
      <c r="B87" s="726" t="str">
        <f>IF((RIGHT(B84,1))&lt;&gt;"Z",CHAR(CODE(B84))&amp;CHAR(CODE(RIGHT(B84,1))+1),CHAR(CODE(B84)+1)&amp;"A")</f>
        <v>AQ</v>
      </c>
      <c r="C87" s="424"/>
      <c r="D87" s="429" t="e">
        <f>CONCATENATE($A$17,B87, ":",RIGHT(INDEX(FlowSetWTSettings,(MATCH($B87,FlowSetSimulationNumbers,0)),2),9),REPT(" ",9-MIN(9,LEN(INDEX(FlowSetWTSettings,(MATCH($B87,FlowSetSimulationNumbers,0)),2)))),$A$17,"  ")</f>
        <v>#N/A</v>
      </c>
      <c r="E87" s="429" t="str">
        <f>CONCATENATE($A$17,VLOOKUP(A87,$A$15:$B$16,2),REPT(" ",9-LEN(VLOOKUP(A87,$A$15:$B$16,2))),$A$17)</f>
        <v>"Land     "</v>
      </c>
      <c r="F87" s="430" t="e">
        <f ca="1">INDEX(FlowSetWTSettings,(MATCH($B87,FlowSetSimulationNumbers,0)),9)</f>
        <v>#N/A</v>
      </c>
      <c r="G87" s="424" t="s">
        <v>312</v>
      </c>
      <c r="H87" s="431" t="e">
        <f t="shared" ref="H87:V87" ca="1" si="33">ROUND(INDEX(FlowSetWTSettings,(MATCH($B87,FlowSetSimulationNumbers,0)+MATCH(H$32,FlowSetAnemometerWindSpeeds,0)),8),2)</f>
        <v>#N/A</v>
      </c>
      <c r="I87" s="431" t="e">
        <f t="shared" ca="1" si="33"/>
        <v>#N/A</v>
      </c>
      <c r="J87" s="431" t="e">
        <f t="shared" ca="1" si="33"/>
        <v>#N/A</v>
      </c>
      <c r="K87" s="431" t="e">
        <f t="shared" ca="1" si="33"/>
        <v>#N/A</v>
      </c>
      <c r="L87" s="431" t="e">
        <f t="shared" ca="1" si="33"/>
        <v>#N/A</v>
      </c>
      <c r="M87" s="431" t="e">
        <f t="shared" ca="1" si="33"/>
        <v>#N/A</v>
      </c>
      <c r="N87" s="431" t="e">
        <f t="shared" ca="1" si="33"/>
        <v>#N/A</v>
      </c>
      <c r="O87" s="431" t="e">
        <f t="shared" ca="1" si="33"/>
        <v>#N/A</v>
      </c>
      <c r="P87" s="431" t="e">
        <f t="shared" ca="1" si="33"/>
        <v>#N/A</v>
      </c>
      <c r="Q87" s="431" t="e">
        <f t="shared" ca="1" si="33"/>
        <v>#N/A</v>
      </c>
      <c r="R87" s="431" t="e">
        <f t="shared" ca="1" si="33"/>
        <v>#N/A</v>
      </c>
      <c r="S87" s="431" t="e">
        <f t="shared" ca="1" si="33"/>
        <v>#N/A</v>
      </c>
      <c r="T87" s="431" t="e">
        <f t="shared" ca="1" si="33"/>
        <v>#N/A</v>
      </c>
      <c r="U87" s="431" t="e">
        <f t="shared" ca="1" si="33"/>
        <v>#N/A</v>
      </c>
      <c r="V87" s="431" t="e">
        <f t="shared" ca="1" si="33"/>
        <v>#N/A</v>
      </c>
      <c r="W87" s="424"/>
    </row>
    <row r="88" spans="1:23">
      <c r="A88" s="424"/>
      <c r="B88" s="424"/>
      <c r="C88" s="424"/>
      <c r="D88" s="424" t="s">
        <v>573</v>
      </c>
      <c r="E88" s="424" t="s">
        <v>386</v>
      </c>
      <c r="F88" s="424"/>
      <c r="G88" s="424" t="s">
        <v>313</v>
      </c>
      <c r="H88" s="431" t="e">
        <f t="shared" ref="H88:V88" ca="1" si="34">ROUND(INDEX(FlowSetWTSettings,(MATCH($B87,FlowSetSimulationNumbers,0)+MATCH(H$32,FlowSetAnemometerWindSpeeds,0)),7),2)</f>
        <v>#N/A</v>
      </c>
      <c r="I88" s="431" t="e">
        <f t="shared" ca="1" si="34"/>
        <v>#N/A</v>
      </c>
      <c r="J88" s="431" t="e">
        <f t="shared" ca="1" si="34"/>
        <v>#N/A</v>
      </c>
      <c r="K88" s="431" t="e">
        <f t="shared" ca="1" si="34"/>
        <v>#N/A</v>
      </c>
      <c r="L88" s="431" t="e">
        <f t="shared" ca="1" si="34"/>
        <v>#N/A</v>
      </c>
      <c r="M88" s="431" t="e">
        <f t="shared" ca="1" si="34"/>
        <v>#N/A</v>
      </c>
      <c r="N88" s="431" t="e">
        <f t="shared" ca="1" si="34"/>
        <v>#N/A</v>
      </c>
      <c r="O88" s="431" t="e">
        <f t="shared" ca="1" si="34"/>
        <v>#N/A</v>
      </c>
      <c r="P88" s="431" t="e">
        <f t="shared" ca="1" si="34"/>
        <v>#N/A</v>
      </c>
      <c r="Q88" s="431" t="e">
        <f t="shared" ca="1" si="34"/>
        <v>#N/A</v>
      </c>
      <c r="R88" s="431" t="e">
        <f t="shared" ca="1" si="34"/>
        <v>#N/A</v>
      </c>
      <c r="S88" s="431" t="e">
        <f t="shared" ca="1" si="34"/>
        <v>#N/A</v>
      </c>
      <c r="T88" s="431" t="e">
        <f t="shared" ca="1" si="34"/>
        <v>#N/A</v>
      </c>
      <c r="U88" s="431" t="e">
        <f t="shared" ca="1" si="34"/>
        <v>#N/A</v>
      </c>
      <c r="V88" s="431" t="e">
        <f t="shared" ca="1" si="34"/>
        <v>#N/A</v>
      </c>
      <c r="W88" s="424"/>
    </row>
    <row r="89" spans="1:23">
      <c r="A89" s="424"/>
      <c r="B89" s="424"/>
      <c r="C89" s="424" t="s">
        <v>255</v>
      </c>
      <c r="D89" s="424" t="s">
        <v>387</v>
      </c>
      <c r="E89" s="424" t="s">
        <v>386</v>
      </c>
      <c r="F89" s="424"/>
      <c r="G89" s="424"/>
      <c r="H89" s="426"/>
      <c r="I89" s="426"/>
      <c r="J89" s="426"/>
      <c r="K89" s="426"/>
      <c r="L89" s="426"/>
      <c r="M89" s="426"/>
      <c r="N89" s="426"/>
      <c r="O89" s="426"/>
      <c r="P89" s="426"/>
      <c r="Q89" s="426"/>
      <c r="R89" s="426"/>
      <c r="S89" s="424"/>
      <c r="T89" s="424"/>
      <c r="U89" s="424"/>
      <c r="V89" s="424"/>
      <c r="W89" s="424"/>
    </row>
    <row r="90" spans="1:23">
      <c r="A90" s="1081">
        <f>A87</f>
        <v>1</v>
      </c>
      <c r="B90" s="726" t="str">
        <f>IF((RIGHT(B87,1))&lt;&gt;"Z",CHAR(CODE(B87))&amp;CHAR(CODE(RIGHT(B87,1))+1),CHAR(CODE(B87)+1)&amp;"A")</f>
        <v>AR</v>
      </c>
      <c r="C90" s="424"/>
      <c r="D90" s="429" t="e">
        <f>CONCATENATE($A$17,B90, ":",RIGHT(INDEX(FlowSetWTSettings,(MATCH($B90,FlowSetSimulationNumbers,0)),2),9),REPT(" ",9-MIN(9,LEN(INDEX(FlowSetWTSettings,(MATCH($B90,FlowSetSimulationNumbers,0)),2)))),$A$17,"  ")</f>
        <v>#N/A</v>
      </c>
      <c r="E90" s="429" t="str">
        <f>CONCATENATE($A$17,VLOOKUP(A90,$A$15:$B$16,2),REPT(" ",9-LEN(VLOOKUP(A90,$A$15:$B$16,2))),$A$17)</f>
        <v>"Land     "</v>
      </c>
      <c r="F90" s="430" t="e">
        <f ca="1">INDEX(FlowSetWTSettings,(MATCH($B90,FlowSetSimulationNumbers,0)),9)</f>
        <v>#REF!</v>
      </c>
      <c r="G90" s="424" t="s">
        <v>312</v>
      </c>
      <c r="H90" s="431" t="e">
        <f t="shared" ref="H90:V90" ca="1" si="35">ROUND(INDEX(FlowSetWTSettings,(MATCH($B90,FlowSetSimulationNumbers,0)+MATCH(H$32,FlowSetAnemometerWindSpeeds,0)),8),2)</f>
        <v>#REF!</v>
      </c>
      <c r="I90" s="431" t="e">
        <f t="shared" ca="1" si="35"/>
        <v>#REF!</v>
      </c>
      <c r="J90" s="431" t="e">
        <f t="shared" ca="1" si="35"/>
        <v>#REF!</v>
      </c>
      <c r="K90" s="431" t="e">
        <f t="shared" ca="1" si="35"/>
        <v>#REF!</v>
      </c>
      <c r="L90" s="431" t="e">
        <f t="shared" ca="1" si="35"/>
        <v>#REF!</v>
      </c>
      <c r="M90" s="431" t="e">
        <f t="shared" ca="1" si="35"/>
        <v>#REF!</v>
      </c>
      <c r="N90" s="431" t="e">
        <f t="shared" ca="1" si="35"/>
        <v>#REF!</v>
      </c>
      <c r="O90" s="431" t="e">
        <f t="shared" ca="1" si="35"/>
        <v>#REF!</v>
      </c>
      <c r="P90" s="431" t="e">
        <f t="shared" ca="1" si="35"/>
        <v>#REF!</v>
      </c>
      <c r="Q90" s="431" t="e">
        <f t="shared" ca="1" si="35"/>
        <v>#REF!</v>
      </c>
      <c r="R90" s="431" t="e">
        <f t="shared" ca="1" si="35"/>
        <v>#REF!</v>
      </c>
      <c r="S90" s="431" t="e">
        <f t="shared" ca="1" si="35"/>
        <v>#REF!</v>
      </c>
      <c r="T90" s="431" t="e">
        <f t="shared" ca="1" si="35"/>
        <v>#REF!</v>
      </c>
      <c r="U90" s="431" t="e">
        <f t="shared" ca="1" si="35"/>
        <v>#REF!</v>
      </c>
      <c r="V90" s="431" t="e">
        <f t="shared" ca="1" si="35"/>
        <v>#REF!</v>
      </c>
      <c r="W90" s="424"/>
    </row>
    <row r="91" spans="1:23">
      <c r="A91" s="424"/>
      <c r="B91" s="424"/>
      <c r="C91" s="424"/>
      <c r="D91" s="424" t="s">
        <v>573</v>
      </c>
      <c r="E91" s="424" t="s">
        <v>386</v>
      </c>
      <c r="F91" s="424"/>
      <c r="G91" s="424" t="s">
        <v>313</v>
      </c>
      <c r="H91" s="431" t="e">
        <f t="shared" ref="H91:V91" ca="1" si="36">ROUND(INDEX(FlowSetWTSettings,(MATCH($B90,FlowSetSimulationNumbers,0)+MATCH(H$32,FlowSetAnemometerWindSpeeds,0)),7),2)</f>
        <v>#REF!</v>
      </c>
      <c r="I91" s="431" t="e">
        <f t="shared" ca="1" si="36"/>
        <v>#REF!</v>
      </c>
      <c r="J91" s="431" t="e">
        <f t="shared" ca="1" si="36"/>
        <v>#REF!</v>
      </c>
      <c r="K91" s="431" t="e">
        <f t="shared" ca="1" si="36"/>
        <v>#REF!</v>
      </c>
      <c r="L91" s="431" t="e">
        <f t="shared" ca="1" si="36"/>
        <v>#REF!</v>
      </c>
      <c r="M91" s="431" t="e">
        <f t="shared" ca="1" si="36"/>
        <v>#REF!</v>
      </c>
      <c r="N91" s="431" t="e">
        <f t="shared" ca="1" si="36"/>
        <v>#REF!</v>
      </c>
      <c r="O91" s="431" t="e">
        <f t="shared" ca="1" si="36"/>
        <v>#REF!</v>
      </c>
      <c r="P91" s="431" t="e">
        <f t="shared" ca="1" si="36"/>
        <v>#REF!</v>
      </c>
      <c r="Q91" s="431" t="e">
        <f t="shared" ca="1" si="36"/>
        <v>#REF!</v>
      </c>
      <c r="R91" s="431" t="e">
        <f t="shared" ca="1" si="36"/>
        <v>#REF!</v>
      </c>
      <c r="S91" s="431" t="e">
        <f t="shared" ca="1" si="36"/>
        <v>#REF!</v>
      </c>
      <c r="T91" s="431" t="e">
        <f t="shared" ca="1" si="36"/>
        <v>#REF!</v>
      </c>
      <c r="U91" s="431" t="e">
        <f t="shared" ca="1" si="36"/>
        <v>#REF!</v>
      </c>
      <c r="V91" s="431" t="e">
        <f t="shared" ca="1" si="36"/>
        <v>#REF!</v>
      </c>
      <c r="W91" s="424"/>
    </row>
    <row r="92" spans="1:23">
      <c r="A92" s="424"/>
      <c r="B92" s="424"/>
      <c r="C92" s="424" t="s">
        <v>255</v>
      </c>
      <c r="D92" s="424" t="s">
        <v>387</v>
      </c>
      <c r="E92" s="424" t="s">
        <v>386</v>
      </c>
      <c r="F92" s="424"/>
      <c r="G92" s="424"/>
      <c r="H92" s="426"/>
      <c r="I92" s="426"/>
      <c r="J92" s="426"/>
      <c r="K92" s="426"/>
      <c r="L92" s="426"/>
      <c r="M92" s="426"/>
      <c r="N92" s="426"/>
      <c r="O92" s="426"/>
      <c r="P92" s="426"/>
      <c r="Q92" s="426"/>
      <c r="R92" s="426"/>
      <c r="S92" s="424"/>
      <c r="T92" s="424"/>
      <c r="U92" s="424"/>
      <c r="V92" s="424"/>
      <c r="W92" s="424"/>
    </row>
    <row r="93" spans="1:23">
      <c r="A93" s="1081">
        <f>A90</f>
        <v>1</v>
      </c>
      <c r="B93" s="726" t="str">
        <f>IF((RIGHT(B90,1))&lt;&gt;"Z",CHAR(CODE(B90))&amp;CHAR(CODE(RIGHT(B90,1))+1),CHAR(CODE(B90)+1)&amp;"A")</f>
        <v>AS</v>
      </c>
      <c r="C93" s="424"/>
      <c r="D93" s="429" t="e">
        <f>CONCATENATE($A$17,B93, ":",RIGHT(INDEX(FlowSetWTSettings,(MATCH($B93,FlowSetSimulationNumbers,0)),2),9),REPT(" ",9-MIN(9,LEN(INDEX(FlowSetWTSettings,(MATCH($B93,FlowSetSimulationNumbers,0)),2)))),$A$17,"  ")</f>
        <v>#N/A</v>
      </c>
      <c r="E93" s="429" t="str">
        <f>CONCATENATE($A$17,VLOOKUP(A93,$A$15:$B$16,2),REPT(" ",9-LEN(VLOOKUP(A93,$A$15:$B$16,2))),$A$17)</f>
        <v>"Land     "</v>
      </c>
      <c r="F93" s="430" t="e">
        <f ca="1">INDEX(FlowSetWTSettings,(MATCH($B93,FlowSetSimulationNumbers,0)),9)</f>
        <v>#REF!</v>
      </c>
      <c r="G93" s="424" t="s">
        <v>312</v>
      </c>
      <c r="H93" s="431" t="e">
        <f t="shared" ref="H93:V93" ca="1" si="37">ROUND(INDEX(FlowSetWTSettings,(MATCH($B93,FlowSetSimulationNumbers,0)+MATCH(H$32,FlowSetAnemometerWindSpeeds,0)),8),2)</f>
        <v>#REF!</v>
      </c>
      <c r="I93" s="431" t="e">
        <f t="shared" ca="1" si="37"/>
        <v>#REF!</v>
      </c>
      <c r="J93" s="431" t="e">
        <f t="shared" ca="1" si="37"/>
        <v>#REF!</v>
      </c>
      <c r="K93" s="431" t="e">
        <f t="shared" ca="1" si="37"/>
        <v>#REF!</v>
      </c>
      <c r="L93" s="431" t="e">
        <f t="shared" ca="1" si="37"/>
        <v>#REF!</v>
      </c>
      <c r="M93" s="431" t="e">
        <f t="shared" ca="1" si="37"/>
        <v>#REF!</v>
      </c>
      <c r="N93" s="431" t="e">
        <f t="shared" ca="1" si="37"/>
        <v>#REF!</v>
      </c>
      <c r="O93" s="431" t="e">
        <f t="shared" ca="1" si="37"/>
        <v>#REF!</v>
      </c>
      <c r="P93" s="431" t="e">
        <f t="shared" ca="1" si="37"/>
        <v>#REF!</v>
      </c>
      <c r="Q93" s="431" t="e">
        <f t="shared" ca="1" si="37"/>
        <v>#REF!</v>
      </c>
      <c r="R93" s="431" t="e">
        <f t="shared" ca="1" si="37"/>
        <v>#REF!</v>
      </c>
      <c r="S93" s="431" t="e">
        <f t="shared" ca="1" si="37"/>
        <v>#REF!</v>
      </c>
      <c r="T93" s="431" t="e">
        <f t="shared" ca="1" si="37"/>
        <v>#REF!</v>
      </c>
      <c r="U93" s="431" t="e">
        <f t="shared" ca="1" si="37"/>
        <v>#REF!</v>
      </c>
      <c r="V93" s="431" t="e">
        <f t="shared" ca="1" si="37"/>
        <v>#REF!</v>
      </c>
      <c r="W93" s="424"/>
    </row>
    <row r="94" spans="1:23">
      <c r="A94" s="424"/>
      <c r="B94" s="424"/>
      <c r="C94" s="424"/>
      <c r="D94" s="424" t="s">
        <v>573</v>
      </c>
      <c r="E94" s="424" t="s">
        <v>386</v>
      </c>
      <c r="F94" s="424"/>
      <c r="G94" s="424" t="s">
        <v>313</v>
      </c>
      <c r="H94" s="431" t="e">
        <f t="shared" ref="H94:V94" ca="1" si="38">ROUND(INDEX(FlowSetWTSettings,(MATCH($B93,FlowSetSimulationNumbers,0)+MATCH(H$32,FlowSetAnemometerWindSpeeds,0)),7),2)</f>
        <v>#REF!</v>
      </c>
      <c r="I94" s="431" t="e">
        <f t="shared" ca="1" si="38"/>
        <v>#REF!</v>
      </c>
      <c r="J94" s="431" t="e">
        <f t="shared" ca="1" si="38"/>
        <v>#REF!</v>
      </c>
      <c r="K94" s="431" t="e">
        <f t="shared" ca="1" si="38"/>
        <v>#REF!</v>
      </c>
      <c r="L94" s="431" t="e">
        <f t="shared" ca="1" si="38"/>
        <v>#REF!</v>
      </c>
      <c r="M94" s="431" t="e">
        <f t="shared" ca="1" si="38"/>
        <v>#REF!</v>
      </c>
      <c r="N94" s="431" t="e">
        <f t="shared" ca="1" si="38"/>
        <v>#REF!</v>
      </c>
      <c r="O94" s="431" t="e">
        <f t="shared" ca="1" si="38"/>
        <v>#REF!</v>
      </c>
      <c r="P94" s="431" t="e">
        <f t="shared" ca="1" si="38"/>
        <v>#REF!</v>
      </c>
      <c r="Q94" s="431" t="e">
        <f t="shared" ca="1" si="38"/>
        <v>#REF!</v>
      </c>
      <c r="R94" s="431" t="e">
        <f t="shared" ca="1" si="38"/>
        <v>#REF!</v>
      </c>
      <c r="S94" s="431" t="e">
        <f t="shared" ca="1" si="38"/>
        <v>#REF!</v>
      </c>
      <c r="T94" s="431" t="e">
        <f t="shared" ca="1" si="38"/>
        <v>#REF!</v>
      </c>
      <c r="U94" s="431" t="e">
        <f t="shared" ca="1" si="38"/>
        <v>#REF!</v>
      </c>
      <c r="V94" s="431" t="e">
        <f t="shared" ca="1" si="38"/>
        <v>#REF!</v>
      </c>
      <c r="W94" s="424"/>
    </row>
    <row r="95" spans="1:23">
      <c r="A95" s="424"/>
      <c r="B95" s="424"/>
      <c r="C95" s="424" t="s">
        <v>255</v>
      </c>
      <c r="D95" s="424" t="s">
        <v>387</v>
      </c>
      <c r="E95" s="424" t="s">
        <v>386</v>
      </c>
      <c r="F95" s="424"/>
      <c r="G95" s="424"/>
      <c r="H95" s="426"/>
      <c r="I95" s="426"/>
      <c r="J95" s="426"/>
      <c r="K95" s="426"/>
      <c r="L95" s="426"/>
      <c r="M95" s="426"/>
      <c r="N95" s="426"/>
      <c r="O95" s="426"/>
      <c r="P95" s="426"/>
      <c r="Q95" s="426"/>
      <c r="R95" s="426"/>
      <c r="S95" s="424"/>
      <c r="T95" s="424"/>
      <c r="U95" s="424"/>
      <c r="V95" s="424"/>
      <c r="W95" s="424"/>
    </row>
    <row r="96" spans="1:23">
      <c r="A96" s="1081">
        <f>A93</f>
        <v>1</v>
      </c>
      <c r="B96" s="726" t="str">
        <f>IF((RIGHT(B93,1))&lt;&gt;"Z",CHAR(CODE(B93))&amp;CHAR(CODE(RIGHT(B93,1))+1),CHAR(CODE(B93)+1)&amp;"A")</f>
        <v>AT</v>
      </c>
      <c r="C96" s="424"/>
      <c r="D96" s="429" t="e">
        <f>CONCATENATE($A$17,B96, ":",RIGHT(INDEX(FlowSetWTSettings,(MATCH($B96,FlowSetSimulationNumbers,0)),2),9),REPT(" ",9-MIN(9,LEN(INDEX(FlowSetWTSettings,(MATCH($B96,FlowSetSimulationNumbers,0)),2)))),$A$17,"  ")</f>
        <v>#N/A</v>
      </c>
      <c r="E96" s="429" t="str">
        <f>CONCATENATE($A$17,VLOOKUP(A96,$A$15:$B$16,2),REPT(" ",9-LEN(VLOOKUP(A96,$A$15:$B$16,2))),$A$17)</f>
        <v>"Land     "</v>
      </c>
      <c r="F96" s="430" t="e">
        <f ca="1">INDEX(FlowSetWTSettings,(MATCH($B96,FlowSetSimulationNumbers,0)),9)</f>
        <v>#REF!</v>
      </c>
      <c r="G96" s="424" t="s">
        <v>312</v>
      </c>
      <c r="H96" s="431" t="e">
        <f t="shared" ref="H96:V96" ca="1" si="39">ROUND(INDEX(FlowSetWTSettings,(MATCH($B96,FlowSetSimulationNumbers,0)+MATCH(H$32,FlowSetAnemometerWindSpeeds,0)),8),2)</f>
        <v>#REF!</v>
      </c>
      <c r="I96" s="431" t="e">
        <f t="shared" ca="1" si="39"/>
        <v>#REF!</v>
      </c>
      <c r="J96" s="431" t="e">
        <f t="shared" ca="1" si="39"/>
        <v>#REF!</v>
      </c>
      <c r="K96" s="431" t="e">
        <f t="shared" ca="1" si="39"/>
        <v>#REF!</v>
      </c>
      <c r="L96" s="431" t="e">
        <f t="shared" ca="1" si="39"/>
        <v>#REF!</v>
      </c>
      <c r="M96" s="431" t="e">
        <f t="shared" ca="1" si="39"/>
        <v>#REF!</v>
      </c>
      <c r="N96" s="431" t="e">
        <f t="shared" ca="1" si="39"/>
        <v>#REF!</v>
      </c>
      <c r="O96" s="431" t="e">
        <f t="shared" ca="1" si="39"/>
        <v>#REF!</v>
      </c>
      <c r="P96" s="431" t="e">
        <f t="shared" ca="1" si="39"/>
        <v>#REF!</v>
      </c>
      <c r="Q96" s="431" t="e">
        <f t="shared" ca="1" si="39"/>
        <v>#REF!</v>
      </c>
      <c r="R96" s="431" t="e">
        <f t="shared" ca="1" si="39"/>
        <v>#REF!</v>
      </c>
      <c r="S96" s="431" t="e">
        <f t="shared" ca="1" si="39"/>
        <v>#REF!</v>
      </c>
      <c r="T96" s="431" t="e">
        <f t="shared" ca="1" si="39"/>
        <v>#REF!</v>
      </c>
      <c r="U96" s="431" t="e">
        <f t="shared" ca="1" si="39"/>
        <v>#REF!</v>
      </c>
      <c r="V96" s="431" t="e">
        <f t="shared" ca="1" si="39"/>
        <v>#REF!</v>
      </c>
      <c r="W96" s="424"/>
    </row>
    <row r="97" spans="1:23">
      <c r="A97" s="424"/>
      <c r="B97" s="424"/>
      <c r="C97" s="424"/>
      <c r="D97" s="424" t="s">
        <v>573</v>
      </c>
      <c r="E97" s="424" t="s">
        <v>386</v>
      </c>
      <c r="F97" s="424"/>
      <c r="G97" s="424" t="s">
        <v>313</v>
      </c>
      <c r="H97" s="431" t="e">
        <f t="shared" ref="H97:V97" ca="1" si="40">ROUND(INDEX(FlowSetWTSettings,(MATCH($B96,FlowSetSimulationNumbers,0)+MATCH(H$32,FlowSetAnemometerWindSpeeds,0)),7),2)</f>
        <v>#REF!</v>
      </c>
      <c r="I97" s="431" t="e">
        <f t="shared" ca="1" si="40"/>
        <v>#REF!</v>
      </c>
      <c r="J97" s="431" t="e">
        <f t="shared" ca="1" si="40"/>
        <v>#REF!</v>
      </c>
      <c r="K97" s="431" t="e">
        <f t="shared" ca="1" si="40"/>
        <v>#REF!</v>
      </c>
      <c r="L97" s="431" t="e">
        <f t="shared" ca="1" si="40"/>
        <v>#REF!</v>
      </c>
      <c r="M97" s="431" t="e">
        <f t="shared" ca="1" si="40"/>
        <v>#REF!</v>
      </c>
      <c r="N97" s="431" t="e">
        <f t="shared" ca="1" si="40"/>
        <v>#REF!</v>
      </c>
      <c r="O97" s="431" t="e">
        <f t="shared" ca="1" si="40"/>
        <v>#REF!</v>
      </c>
      <c r="P97" s="431" t="e">
        <f t="shared" ca="1" si="40"/>
        <v>#REF!</v>
      </c>
      <c r="Q97" s="431" t="e">
        <f t="shared" ca="1" si="40"/>
        <v>#REF!</v>
      </c>
      <c r="R97" s="431" t="e">
        <f t="shared" ca="1" si="40"/>
        <v>#REF!</v>
      </c>
      <c r="S97" s="431" t="e">
        <f t="shared" ca="1" si="40"/>
        <v>#REF!</v>
      </c>
      <c r="T97" s="431" t="e">
        <f t="shared" ca="1" si="40"/>
        <v>#REF!</v>
      </c>
      <c r="U97" s="431" t="e">
        <f t="shared" ca="1" si="40"/>
        <v>#REF!</v>
      </c>
      <c r="V97" s="431" t="e">
        <f t="shared" ca="1" si="40"/>
        <v>#REF!</v>
      </c>
      <c r="W97" s="424"/>
    </row>
    <row r="98" spans="1:23">
      <c r="A98" s="424"/>
      <c r="B98" s="424"/>
      <c r="C98" s="424" t="s">
        <v>255</v>
      </c>
      <c r="D98" s="424" t="s">
        <v>387</v>
      </c>
      <c r="E98" s="424" t="s">
        <v>386</v>
      </c>
      <c r="F98" s="424"/>
      <c r="G98" s="424"/>
      <c r="H98" s="426"/>
      <c r="I98" s="426"/>
      <c r="J98" s="426"/>
      <c r="K98" s="426"/>
      <c r="L98" s="426"/>
      <c r="M98" s="426"/>
      <c r="N98" s="426"/>
      <c r="O98" s="426"/>
      <c r="P98" s="426"/>
      <c r="Q98" s="426"/>
      <c r="R98" s="426"/>
      <c r="S98" s="424"/>
      <c r="T98" s="424"/>
      <c r="U98" s="424"/>
      <c r="V98" s="424"/>
      <c r="W98" s="424"/>
    </row>
    <row r="99" spans="1:23">
      <c r="A99" s="1081">
        <f>A96</f>
        <v>1</v>
      </c>
      <c r="B99" s="726" t="str">
        <f>IF((RIGHT(B96,1))&lt;&gt;"Z",CHAR(CODE(B96))&amp;CHAR(CODE(RIGHT(B96,1))+1),CHAR(CODE(B96)+1)&amp;"A")</f>
        <v>AU</v>
      </c>
      <c r="C99" s="424"/>
      <c r="D99" s="429" t="e">
        <f>CONCATENATE($A$17,B99, ":",RIGHT(INDEX(FlowSetWTSettings,(MATCH($B99,FlowSetSimulationNumbers,0)),2),9),REPT(" ",9-MIN(9,LEN(INDEX(FlowSetWTSettings,(MATCH($B99,FlowSetSimulationNumbers,0)),2)))),$A$17,"  ")</f>
        <v>#N/A</v>
      </c>
      <c r="E99" s="429" t="str">
        <f>CONCATENATE($A$17,VLOOKUP(A99,$A$15:$B$16,2),REPT(" ",9-LEN(VLOOKUP(A99,$A$15:$B$16,2))),$A$17)</f>
        <v>"Land     "</v>
      </c>
      <c r="F99" s="430" t="e">
        <f ca="1">INDEX(FlowSetWTSettings,(MATCH($B99,FlowSetSimulationNumbers,0)),9)</f>
        <v>#REF!</v>
      </c>
      <c r="G99" s="424" t="s">
        <v>312</v>
      </c>
      <c r="H99" s="431" t="e">
        <f t="shared" ref="H99:V99" ca="1" si="41">ROUND(INDEX(FlowSetWTSettings,(MATCH($B99,FlowSetSimulationNumbers,0)+MATCH(H$32,FlowSetAnemometerWindSpeeds,0)),8),2)</f>
        <v>#REF!</v>
      </c>
      <c r="I99" s="431" t="e">
        <f t="shared" ca="1" si="41"/>
        <v>#REF!</v>
      </c>
      <c r="J99" s="431" t="e">
        <f t="shared" ca="1" si="41"/>
        <v>#REF!</v>
      </c>
      <c r="K99" s="431" t="e">
        <f t="shared" ca="1" si="41"/>
        <v>#REF!</v>
      </c>
      <c r="L99" s="431" t="e">
        <f t="shared" ca="1" si="41"/>
        <v>#REF!</v>
      </c>
      <c r="M99" s="431" t="e">
        <f t="shared" ca="1" si="41"/>
        <v>#REF!</v>
      </c>
      <c r="N99" s="431" t="e">
        <f t="shared" ca="1" si="41"/>
        <v>#REF!</v>
      </c>
      <c r="O99" s="431" t="e">
        <f t="shared" ca="1" si="41"/>
        <v>#REF!</v>
      </c>
      <c r="P99" s="431" t="e">
        <f t="shared" ca="1" si="41"/>
        <v>#REF!</v>
      </c>
      <c r="Q99" s="431" t="e">
        <f t="shared" ca="1" si="41"/>
        <v>#REF!</v>
      </c>
      <c r="R99" s="431" t="e">
        <f t="shared" ca="1" si="41"/>
        <v>#REF!</v>
      </c>
      <c r="S99" s="431" t="e">
        <f t="shared" ca="1" si="41"/>
        <v>#REF!</v>
      </c>
      <c r="T99" s="431" t="e">
        <f t="shared" ca="1" si="41"/>
        <v>#REF!</v>
      </c>
      <c r="U99" s="431" t="e">
        <f t="shared" ca="1" si="41"/>
        <v>#REF!</v>
      </c>
      <c r="V99" s="431" t="e">
        <f t="shared" ca="1" si="41"/>
        <v>#REF!</v>
      </c>
      <c r="W99" s="424"/>
    </row>
    <row r="100" spans="1:23">
      <c r="A100" s="424"/>
      <c r="B100" s="424"/>
      <c r="C100" s="424"/>
      <c r="D100" s="424" t="s">
        <v>573</v>
      </c>
      <c r="E100" s="424" t="s">
        <v>386</v>
      </c>
      <c r="F100" s="424"/>
      <c r="G100" s="424" t="s">
        <v>313</v>
      </c>
      <c r="H100" s="431" t="e">
        <f t="shared" ref="H100:V100" ca="1" si="42">ROUND(INDEX(FlowSetWTSettings,(MATCH($B99,FlowSetSimulationNumbers,0)+MATCH(H$32,FlowSetAnemometerWindSpeeds,0)),7),2)</f>
        <v>#REF!</v>
      </c>
      <c r="I100" s="431" t="e">
        <f t="shared" ca="1" si="42"/>
        <v>#REF!</v>
      </c>
      <c r="J100" s="431" t="e">
        <f t="shared" ca="1" si="42"/>
        <v>#REF!</v>
      </c>
      <c r="K100" s="431" t="e">
        <f t="shared" ca="1" si="42"/>
        <v>#REF!</v>
      </c>
      <c r="L100" s="431" t="e">
        <f t="shared" ca="1" si="42"/>
        <v>#REF!</v>
      </c>
      <c r="M100" s="431" t="e">
        <f t="shared" ca="1" si="42"/>
        <v>#REF!</v>
      </c>
      <c r="N100" s="431" t="e">
        <f t="shared" ca="1" si="42"/>
        <v>#REF!</v>
      </c>
      <c r="O100" s="431" t="e">
        <f t="shared" ca="1" si="42"/>
        <v>#REF!</v>
      </c>
      <c r="P100" s="431" t="e">
        <f t="shared" ca="1" si="42"/>
        <v>#REF!</v>
      </c>
      <c r="Q100" s="431" t="e">
        <f t="shared" ca="1" si="42"/>
        <v>#REF!</v>
      </c>
      <c r="R100" s="431" t="e">
        <f t="shared" ca="1" si="42"/>
        <v>#REF!</v>
      </c>
      <c r="S100" s="431" t="e">
        <f t="shared" ca="1" si="42"/>
        <v>#REF!</v>
      </c>
      <c r="T100" s="431" t="e">
        <f t="shared" ca="1" si="42"/>
        <v>#REF!</v>
      </c>
      <c r="U100" s="431" t="e">
        <f t="shared" ca="1" si="42"/>
        <v>#REF!</v>
      </c>
      <c r="V100" s="431" t="e">
        <f t="shared" ca="1" si="42"/>
        <v>#REF!</v>
      </c>
      <c r="W100" s="424"/>
    </row>
    <row r="101" spans="1:23">
      <c r="A101" s="424"/>
      <c r="B101" s="424"/>
      <c r="C101" s="424" t="s">
        <v>255</v>
      </c>
      <c r="D101" s="424" t="s">
        <v>387</v>
      </c>
      <c r="E101" s="424" t="s">
        <v>386</v>
      </c>
      <c r="F101" s="424"/>
      <c r="G101" s="424"/>
      <c r="H101" s="426"/>
      <c r="I101" s="426"/>
      <c r="J101" s="426"/>
      <c r="K101" s="426"/>
      <c r="L101" s="426"/>
      <c r="M101" s="426"/>
      <c r="N101" s="426"/>
      <c r="O101" s="426"/>
      <c r="P101" s="426"/>
      <c r="Q101" s="426"/>
      <c r="R101" s="426"/>
      <c r="S101" s="424"/>
      <c r="T101" s="424"/>
      <c r="U101" s="424"/>
      <c r="V101" s="424"/>
      <c r="W101" s="424"/>
    </row>
    <row r="102" spans="1:23">
      <c r="A102" s="1081">
        <f>A99</f>
        <v>1</v>
      </c>
      <c r="B102" s="726" t="str">
        <f>IF((RIGHT(B99,1))&lt;&gt;"Z",CHAR(CODE(B99))&amp;CHAR(CODE(RIGHT(B99,1))+1),CHAR(CODE(B99)+1)&amp;"A")</f>
        <v>AV</v>
      </c>
      <c r="C102" s="424"/>
      <c r="D102" s="429" t="e">
        <f>CONCATENATE($A$17,B102, ":",RIGHT(INDEX(FlowSetWTSettings,(MATCH($B102,FlowSetSimulationNumbers,0)),2),9),REPT(" ",9-MIN(9,LEN(INDEX(FlowSetWTSettings,(MATCH($B102,FlowSetSimulationNumbers,0)),2)))),$A$17,"  ")</f>
        <v>#N/A</v>
      </c>
      <c r="E102" s="429" t="str">
        <f>CONCATENATE($A$17,VLOOKUP(A102,$A$15:$B$16,2),REPT(" ",9-LEN(VLOOKUP(A102,$A$15:$B$16,2))),$A$17)</f>
        <v>"Land     "</v>
      </c>
      <c r="F102" s="430" t="e">
        <f ca="1">INDEX(FlowSetWTSettings,(MATCH($B102,FlowSetSimulationNumbers,0)),9)</f>
        <v>#REF!</v>
      </c>
      <c r="G102" s="424" t="s">
        <v>312</v>
      </c>
      <c r="H102" s="431" t="e">
        <f t="shared" ref="H102:V102" ca="1" si="43">ROUND(INDEX(FlowSetWTSettings,(MATCH($B102,FlowSetSimulationNumbers,0)+MATCH(H$32,FlowSetAnemometerWindSpeeds,0)),8),2)</f>
        <v>#REF!</v>
      </c>
      <c r="I102" s="431" t="e">
        <f t="shared" ca="1" si="43"/>
        <v>#REF!</v>
      </c>
      <c r="J102" s="431" t="e">
        <f t="shared" ca="1" si="43"/>
        <v>#REF!</v>
      </c>
      <c r="K102" s="431" t="e">
        <f t="shared" ca="1" si="43"/>
        <v>#REF!</v>
      </c>
      <c r="L102" s="431" t="e">
        <f t="shared" ca="1" si="43"/>
        <v>#REF!</v>
      </c>
      <c r="M102" s="431" t="e">
        <f t="shared" ca="1" si="43"/>
        <v>#REF!</v>
      </c>
      <c r="N102" s="431" t="e">
        <f t="shared" ca="1" si="43"/>
        <v>#REF!</v>
      </c>
      <c r="O102" s="431" t="e">
        <f t="shared" ca="1" si="43"/>
        <v>#REF!</v>
      </c>
      <c r="P102" s="431" t="e">
        <f t="shared" ca="1" si="43"/>
        <v>#REF!</v>
      </c>
      <c r="Q102" s="431" t="e">
        <f t="shared" ca="1" si="43"/>
        <v>#REF!</v>
      </c>
      <c r="R102" s="431" t="e">
        <f t="shared" ca="1" si="43"/>
        <v>#REF!</v>
      </c>
      <c r="S102" s="431" t="e">
        <f t="shared" ca="1" si="43"/>
        <v>#REF!</v>
      </c>
      <c r="T102" s="431" t="e">
        <f t="shared" ca="1" si="43"/>
        <v>#REF!</v>
      </c>
      <c r="U102" s="431" t="e">
        <f t="shared" ca="1" si="43"/>
        <v>#REF!</v>
      </c>
      <c r="V102" s="431" t="e">
        <f t="shared" ca="1" si="43"/>
        <v>#REF!</v>
      </c>
      <c r="W102" s="424"/>
    </row>
    <row r="103" spans="1:23">
      <c r="A103" s="424"/>
      <c r="B103" s="424"/>
      <c r="C103" s="424"/>
      <c r="D103" s="424" t="s">
        <v>573</v>
      </c>
      <c r="E103" s="424" t="s">
        <v>386</v>
      </c>
      <c r="F103" s="424"/>
      <c r="G103" s="424" t="s">
        <v>313</v>
      </c>
      <c r="H103" s="431" t="e">
        <f t="shared" ref="H103:V103" ca="1" si="44">ROUND(INDEX(FlowSetWTSettings,(MATCH($B102,FlowSetSimulationNumbers,0)+MATCH(H$32,FlowSetAnemometerWindSpeeds,0)),7),2)</f>
        <v>#REF!</v>
      </c>
      <c r="I103" s="431" t="e">
        <f t="shared" ca="1" si="44"/>
        <v>#REF!</v>
      </c>
      <c r="J103" s="431" t="e">
        <f t="shared" ca="1" si="44"/>
        <v>#REF!</v>
      </c>
      <c r="K103" s="431" t="e">
        <f t="shared" ca="1" si="44"/>
        <v>#REF!</v>
      </c>
      <c r="L103" s="431" t="e">
        <f t="shared" ca="1" si="44"/>
        <v>#REF!</v>
      </c>
      <c r="M103" s="431" t="e">
        <f t="shared" ca="1" si="44"/>
        <v>#REF!</v>
      </c>
      <c r="N103" s="431" t="e">
        <f t="shared" ca="1" si="44"/>
        <v>#REF!</v>
      </c>
      <c r="O103" s="431" t="e">
        <f t="shared" ca="1" si="44"/>
        <v>#REF!</v>
      </c>
      <c r="P103" s="431" t="e">
        <f t="shared" ca="1" si="44"/>
        <v>#REF!</v>
      </c>
      <c r="Q103" s="431" t="e">
        <f t="shared" ca="1" si="44"/>
        <v>#REF!</v>
      </c>
      <c r="R103" s="431" t="e">
        <f t="shared" ca="1" si="44"/>
        <v>#REF!</v>
      </c>
      <c r="S103" s="431" t="e">
        <f t="shared" ca="1" si="44"/>
        <v>#REF!</v>
      </c>
      <c r="T103" s="431" t="e">
        <f t="shared" ca="1" si="44"/>
        <v>#REF!</v>
      </c>
      <c r="U103" s="431" t="e">
        <f t="shared" ca="1" si="44"/>
        <v>#REF!</v>
      </c>
      <c r="V103" s="431" t="e">
        <f t="shared" ca="1" si="44"/>
        <v>#REF!</v>
      </c>
      <c r="W103" s="424"/>
    </row>
    <row r="104" spans="1:23">
      <c r="A104" s="424"/>
      <c r="B104" s="424"/>
      <c r="C104" s="424" t="s">
        <v>255</v>
      </c>
      <c r="D104" s="424" t="s">
        <v>387</v>
      </c>
      <c r="E104" s="424" t="s">
        <v>386</v>
      </c>
      <c r="F104" s="424"/>
      <c r="G104" s="424"/>
      <c r="H104" s="426"/>
      <c r="I104" s="426"/>
      <c r="J104" s="426"/>
      <c r="K104" s="426"/>
      <c r="L104" s="426"/>
      <c r="M104" s="426"/>
      <c r="N104" s="426"/>
      <c r="O104" s="426"/>
      <c r="P104" s="426"/>
      <c r="Q104" s="426"/>
      <c r="R104" s="426"/>
      <c r="S104" s="424"/>
      <c r="T104" s="424"/>
      <c r="U104" s="424"/>
      <c r="V104" s="424"/>
      <c r="W104" s="424"/>
    </row>
    <row r="105" spans="1:23">
      <c r="A105" s="1081">
        <f>A102</f>
        <v>1</v>
      </c>
      <c r="B105" s="726" t="str">
        <f>IF((RIGHT(B102,1))&lt;&gt;"Z",CHAR(CODE(B102))&amp;CHAR(CODE(RIGHT(B102,1))+1),CHAR(CODE(B102)+1)&amp;"A")</f>
        <v>AW</v>
      </c>
      <c r="C105" s="424"/>
      <c r="D105" s="429" t="e">
        <f>CONCATENATE($A$17,B105, ":",RIGHT(INDEX(FlowSetWTSettings,(MATCH($B105,FlowSetSimulationNumbers,0)),2),9),REPT(" ",9-MIN(9,LEN(INDEX(FlowSetWTSettings,(MATCH($B105,FlowSetSimulationNumbers,0)),2)))),$A$17,"  ")</f>
        <v>#N/A</v>
      </c>
      <c r="E105" s="429" t="str">
        <f>CONCATENATE($A$17,VLOOKUP(A105,$A$15:$B$16,2),REPT(" ",9-LEN(VLOOKUP(A105,$A$15:$B$16,2))),$A$17)</f>
        <v>"Land     "</v>
      </c>
      <c r="F105" s="430" t="e">
        <f ca="1">INDEX(FlowSetWTSettings,(MATCH($B105,FlowSetSimulationNumbers,0)),9)</f>
        <v>#REF!</v>
      </c>
      <c r="G105" s="424" t="s">
        <v>312</v>
      </c>
      <c r="H105" s="431" t="e">
        <f t="shared" ref="H105:V105" ca="1" si="45">ROUND(INDEX(FlowSetWTSettings,(MATCH($B105,FlowSetSimulationNumbers,0)+MATCH(H$32,FlowSetAnemometerWindSpeeds,0)),8),2)</f>
        <v>#REF!</v>
      </c>
      <c r="I105" s="431" t="e">
        <f t="shared" ca="1" si="45"/>
        <v>#REF!</v>
      </c>
      <c r="J105" s="431" t="e">
        <f t="shared" ca="1" si="45"/>
        <v>#REF!</v>
      </c>
      <c r="K105" s="431" t="e">
        <f t="shared" ca="1" si="45"/>
        <v>#REF!</v>
      </c>
      <c r="L105" s="431" t="e">
        <f t="shared" ca="1" si="45"/>
        <v>#REF!</v>
      </c>
      <c r="M105" s="431" t="e">
        <f t="shared" ca="1" si="45"/>
        <v>#REF!</v>
      </c>
      <c r="N105" s="431" t="e">
        <f t="shared" ca="1" si="45"/>
        <v>#REF!</v>
      </c>
      <c r="O105" s="431" t="e">
        <f t="shared" ca="1" si="45"/>
        <v>#REF!</v>
      </c>
      <c r="P105" s="431" t="e">
        <f t="shared" ca="1" si="45"/>
        <v>#REF!</v>
      </c>
      <c r="Q105" s="431" t="e">
        <f t="shared" ca="1" si="45"/>
        <v>#REF!</v>
      </c>
      <c r="R105" s="431" t="e">
        <f t="shared" ca="1" si="45"/>
        <v>#REF!</v>
      </c>
      <c r="S105" s="431" t="e">
        <f t="shared" ca="1" si="45"/>
        <v>#REF!</v>
      </c>
      <c r="T105" s="431" t="e">
        <f t="shared" ca="1" si="45"/>
        <v>#REF!</v>
      </c>
      <c r="U105" s="431" t="e">
        <f t="shared" ca="1" si="45"/>
        <v>#REF!</v>
      </c>
      <c r="V105" s="431" t="e">
        <f t="shared" ca="1" si="45"/>
        <v>#REF!</v>
      </c>
      <c r="W105" s="424"/>
    </row>
    <row r="106" spans="1:23">
      <c r="A106" s="424"/>
      <c r="B106" s="424"/>
      <c r="C106" s="424"/>
      <c r="D106" s="424" t="s">
        <v>573</v>
      </c>
      <c r="E106" s="424" t="s">
        <v>386</v>
      </c>
      <c r="F106" s="424"/>
      <c r="G106" s="424" t="s">
        <v>313</v>
      </c>
      <c r="H106" s="431" t="e">
        <f t="shared" ref="H106:V106" ca="1" si="46">ROUND(INDEX(FlowSetWTSettings,(MATCH($B105,FlowSetSimulationNumbers,0)+MATCH(H$32,FlowSetAnemometerWindSpeeds,0)),7),2)</f>
        <v>#REF!</v>
      </c>
      <c r="I106" s="431" t="e">
        <f t="shared" ca="1" si="46"/>
        <v>#REF!</v>
      </c>
      <c r="J106" s="431" t="e">
        <f t="shared" ca="1" si="46"/>
        <v>#REF!</v>
      </c>
      <c r="K106" s="431" t="e">
        <f t="shared" ca="1" si="46"/>
        <v>#REF!</v>
      </c>
      <c r="L106" s="431" t="e">
        <f t="shared" ca="1" si="46"/>
        <v>#REF!</v>
      </c>
      <c r="M106" s="431" t="e">
        <f t="shared" ca="1" si="46"/>
        <v>#REF!</v>
      </c>
      <c r="N106" s="431" t="e">
        <f t="shared" ca="1" si="46"/>
        <v>#REF!</v>
      </c>
      <c r="O106" s="431" t="e">
        <f t="shared" ca="1" si="46"/>
        <v>#REF!</v>
      </c>
      <c r="P106" s="431" t="e">
        <f t="shared" ca="1" si="46"/>
        <v>#REF!</v>
      </c>
      <c r="Q106" s="431" t="e">
        <f t="shared" ca="1" si="46"/>
        <v>#REF!</v>
      </c>
      <c r="R106" s="431" t="e">
        <f t="shared" ca="1" si="46"/>
        <v>#REF!</v>
      </c>
      <c r="S106" s="431" t="e">
        <f t="shared" ca="1" si="46"/>
        <v>#REF!</v>
      </c>
      <c r="T106" s="431" t="e">
        <f t="shared" ca="1" si="46"/>
        <v>#REF!</v>
      </c>
      <c r="U106" s="431" t="e">
        <f t="shared" ca="1" si="46"/>
        <v>#REF!</v>
      </c>
      <c r="V106" s="431" t="e">
        <f t="shared" ca="1" si="46"/>
        <v>#REF!</v>
      </c>
      <c r="W106" s="424"/>
    </row>
    <row r="107" spans="1:23">
      <c r="A107" s="424"/>
      <c r="B107" s="424"/>
      <c r="C107" s="424" t="s">
        <v>255</v>
      </c>
      <c r="D107" s="424" t="s">
        <v>387</v>
      </c>
      <c r="E107" s="424" t="s">
        <v>386</v>
      </c>
      <c r="F107" s="424"/>
      <c r="G107" s="424"/>
      <c r="H107" s="426"/>
      <c r="I107" s="426"/>
      <c r="J107" s="426"/>
      <c r="K107" s="426"/>
      <c r="L107" s="426"/>
      <c r="M107" s="426"/>
      <c r="N107" s="426"/>
      <c r="O107" s="426"/>
      <c r="P107" s="426"/>
      <c r="Q107" s="426"/>
      <c r="R107" s="426"/>
      <c r="S107" s="424"/>
      <c r="T107" s="424"/>
      <c r="U107" s="424"/>
      <c r="V107" s="424"/>
      <c r="W107" s="424"/>
    </row>
    <row r="108" spans="1:23">
      <c r="A108" s="1081">
        <f>A105</f>
        <v>1</v>
      </c>
      <c r="B108" s="726" t="str">
        <f>IF((RIGHT(B105,1))&lt;&gt;"Z",CHAR(CODE(B105))&amp;CHAR(CODE(RIGHT(B105,1))+1),CHAR(CODE(B105)+1)&amp;"A")</f>
        <v>AX</v>
      </c>
      <c r="C108" s="424"/>
      <c r="D108" s="429" t="e">
        <f>CONCATENATE($A$17,B108, ":",RIGHT(INDEX(FlowSetWTSettings,(MATCH($B108,FlowSetSimulationNumbers,0)),2),9),REPT(" ",9-MIN(9,LEN(INDEX(FlowSetWTSettings,(MATCH($B108,FlowSetSimulationNumbers,0)),2)))),$A$17,"  ")</f>
        <v>#N/A</v>
      </c>
      <c r="E108" s="429" t="str">
        <f>CONCATENATE($A$17,VLOOKUP(A108,$A$15:$B$16,2),REPT(" ",9-LEN(VLOOKUP(A108,$A$15:$B$16,2))),$A$17)</f>
        <v>"Land     "</v>
      </c>
      <c r="F108" s="430" t="e">
        <f ca="1">INDEX(FlowSetWTSettings,(MATCH($B108,FlowSetSimulationNumbers,0)),9)</f>
        <v>#REF!</v>
      </c>
      <c r="G108" s="424" t="s">
        <v>312</v>
      </c>
      <c r="H108" s="431" t="e">
        <f t="shared" ref="H108:V108" ca="1" si="47">ROUND(INDEX(FlowSetWTSettings,(MATCH($B108,FlowSetSimulationNumbers,0)+MATCH(H$32,FlowSetAnemometerWindSpeeds,0)),8),2)</f>
        <v>#REF!</v>
      </c>
      <c r="I108" s="431" t="e">
        <f t="shared" ca="1" si="47"/>
        <v>#REF!</v>
      </c>
      <c r="J108" s="431" t="e">
        <f t="shared" ca="1" si="47"/>
        <v>#REF!</v>
      </c>
      <c r="K108" s="431" t="e">
        <f t="shared" ca="1" si="47"/>
        <v>#REF!</v>
      </c>
      <c r="L108" s="431" t="e">
        <f t="shared" ca="1" si="47"/>
        <v>#REF!</v>
      </c>
      <c r="M108" s="431" t="e">
        <f t="shared" ca="1" si="47"/>
        <v>#REF!</v>
      </c>
      <c r="N108" s="431" t="e">
        <f t="shared" ca="1" si="47"/>
        <v>#REF!</v>
      </c>
      <c r="O108" s="431" t="e">
        <f t="shared" ca="1" si="47"/>
        <v>#REF!</v>
      </c>
      <c r="P108" s="431" t="e">
        <f t="shared" ca="1" si="47"/>
        <v>#REF!</v>
      </c>
      <c r="Q108" s="431" t="e">
        <f t="shared" ca="1" si="47"/>
        <v>#REF!</v>
      </c>
      <c r="R108" s="431" t="e">
        <f t="shared" ca="1" si="47"/>
        <v>#REF!</v>
      </c>
      <c r="S108" s="431" t="e">
        <f t="shared" ca="1" si="47"/>
        <v>#REF!</v>
      </c>
      <c r="T108" s="431" t="e">
        <f t="shared" ca="1" si="47"/>
        <v>#REF!</v>
      </c>
      <c r="U108" s="431" t="e">
        <f t="shared" ca="1" si="47"/>
        <v>#REF!</v>
      </c>
      <c r="V108" s="431" t="e">
        <f t="shared" ca="1" si="47"/>
        <v>#REF!</v>
      </c>
      <c r="W108" s="424"/>
    </row>
    <row r="109" spans="1:23">
      <c r="A109" s="424"/>
      <c r="B109" s="424"/>
      <c r="C109" s="424"/>
      <c r="D109" s="424" t="s">
        <v>573</v>
      </c>
      <c r="E109" s="424" t="s">
        <v>386</v>
      </c>
      <c r="F109" s="424"/>
      <c r="G109" s="424" t="s">
        <v>313</v>
      </c>
      <c r="H109" s="431" t="e">
        <f t="shared" ref="H109:V109" ca="1" si="48">ROUND(INDEX(FlowSetWTSettings,(MATCH($B108,FlowSetSimulationNumbers,0)+MATCH(H$32,FlowSetAnemometerWindSpeeds,0)),7),2)</f>
        <v>#REF!</v>
      </c>
      <c r="I109" s="431" t="e">
        <f t="shared" ca="1" si="48"/>
        <v>#REF!</v>
      </c>
      <c r="J109" s="431" t="e">
        <f t="shared" ca="1" si="48"/>
        <v>#REF!</v>
      </c>
      <c r="K109" s="431" t="e">
        <f t="shared" ca="1" si="48"/>
        <v>#REF!</v>
      </c>
      <c r="L109" s="431" t="e">
        <f t="shared" ca="1" si="48"/>
        <v>#REF!</v>
      </c>
      <c r="M109" s="431" t="e">
        <f t="shared" ca="1" si="48"/>
        <v>#REF!</v>
      </c>
      <c r="N109" s="431" t="e">
        <f t="shared" ca="1" si="48"/>
        <v>#REF!</v>
      </c>
      <c r="O109" s="431" t="e">
        <f t="shared" ca="1" si="48"/>
        <v>#REF!</v>
      </c>
      <c r="P109" s="431" t="e">
        <f t="shared" ca="1" si="48"/>
        <v>#REF!</v>
      </c>
      <c r="Q109" s="431" t="e">
        <f t="shared" ca="1" si="48"/>
        <v>#REF!</v>
      </c>
      <c r="R109" s="431" t="e">
        <f t="shared" ca="1" si="48"/>
        <v>#REF!</v>
      </c>
      <c r="S109" s="431" t="e">
        <f t="shared" ca="1" si="48"/>
        <v>#REF!</v>
      </c>
      <c r="T109" s="431" t="e">
        <f t="shared" ca="1" si="48"/>
        <v>#REF!</v>
      </c>
      <c r="U109" s="431" t="e">
        <f t="shared" ca="1" si="48"/>
        <v>#REF!</v>
      </c>
      <c r="V109" s="431" t="e">
        <f t="shared" ca="1" si="48"/>
        <v>#REF!</v>
      </c>
      <c r="W109" s="424"/>
    </row>
    <row r="110" spans="1:23">
      <c r="A110" s="424"/>
      <c r="B110" s="424"/>
      <c r="C110" s="424" t="s">
        <v>255</v>
      </c>
      <c r="D110" s="424" t="s">
        <v>387</v>
      </c>
      <c r="E110" s="424" t="s">
        <v>386</v>
      </c>
      <c r="F110" s="424"/>
      <c r="G110" s="424"/>
      <c r="H110" s="426"/>
      <c r="I110" s="426"/>
      <c r="J110" s="426"/>
      <c r="K110" s="426"/>
      <c r="L110" s="426"/>
      <c r="M110" s="426"/>
      <c r="N110" s="426"/>
      <c r="O110" s="426"/>
      <c r="P110" s="426"/>
      <c r="Q110" s="426"/>
      <c r="R110" s="426"/>
      <c r="S110" s="424"/>
      <c r="T110" s="424"/>
      <c r="U110" s="424"/>
      <c r="V110" s="424"/>
      <c r="W110" s="424"/>
    </row>
    <row r="111" spans="1:23">
      <c r="A111" s="1081">
        <f>A108</f>
        <v>1</v>
      </c>
      <c r="B111" s="726" t="str">
        <f>IF((RIGHT(B108,1))&lt;&gt;"Z",CHAR(CODE(B108))&amp;CHAR(CODE(RIGHT(B108,1))+1),CHAR(CODE(B108)+1)&amp;"A")</f>
        <v>AY</v>
      </c>
      <c r="C111" s="424"/>
      <c r="D111" s="429" t="e">
        <f>CONCATENATE($A$17,B111, ":",RIGHT(INDEX(FlowSetWTSettings,(MATCH($B111,FlowSetSimulationNumbers,0)),2),9),REPT(" ",9-MIN(9,LEN(INDEX(FlowSetWTSettings,(MATCH($B111,FlowSetSimulationNumbers,0)),2)))),$A$17,"  ")</f>
        <v>#N/A</v>
      </c>
      <c r="E111" s="429" t="str">
        <f>CONCATENATE($A$17,VLOOKUP(A111,$A$15:$B$16,2),REPT(" ",9-LEN(VLOOKUP(A111,$A$15:$B$16,2))),$A$17)</f>
        <v>"Land     "</v>
      </c>
      <c r="F111" s="430" t="e">
        <f ca="1">INDEX(FlowSetWTSettings,(MATCH($B111,FlowSetSimulationNumbers,0)),9)</f>
        <v>#REF!</v>
      </c>
      <c r="G111" s="424" t="s">
        <v>312</v>
      </c>
      <c r="H111" s="431" t="e">
        <f t="shared" ref="H111:V111" ca="1" si="49">ROUND(INDEX(FlowSetWTSettings,(MATCH($B111,FlowSetSimulationNumbers,0)+MATCH(H$32,FlowSetAnemometerWindSpeeds,0)),8),2)</f>
        <v>#REF!</v>
      </c>
      <c r="I111" s="431" t="e">
        <f t="shared" ca="1" si="49"/>
        <v>#REF!</v>
      </c>
      <c r="J111" s="431" t="e">
        <f t="shared" ca="1" si="49"/>
        <v>#REF!</v>
      </c>
      <c r="K111" s="431" t="e">
        <f t="shared" ca="1" si="49"/>
        <v>#REF!</v>
      </c>
      <c r="L111" s="431" t="e">
        <f t="shared" ca="1" si="49"/>
        <v>#REF!</v>
      </c>
      <c r="M111" s="431" t="e">
        <f t="shared" ca="1" si="49"/>
        <v>#REF!</v>
      </c>
      <c r="N111" s="431" t="e">
        <f t="shared" ca="1" si="49"/>
        <v>#REF!</v>
      </c>
      <c r="O111" s="431" t="e">
        <f t="shared" ca="1" si="49"/>
        <v>#REF!</v>
      </c>
      <c r="P111" s="431" t="e">
        <f t="shared" ca="1" si="49"/>
        <v>#REF!</v>
      </c>
      <c r="Q111" s="431" t="e">
        <f t="shared" ca="1" si="49"/>
        <v>#REF!</v>
      </c>
      <c r="R111" s="431" t="e">
        <f t="shared" ca="1" si="49"/>
        <v>#REF!</v>
      </c>
      <c r="S111" s="431" t="e">
        <f t="shared" ca="1" si="49"/>
        <v>#REF!</v>
      </c>
      <c r="T111" s="431" t="e">
        <f t="shared" ca="1" si="49"/>
        <v>#REF!</v>
      </c>
      <c r="U111" s="431" t="e">
        <f t="shared" ca="1" si="49"/>
        <v>#REF!</v>
      </c>
      <c r="V111" s="431" t="e">
        <f t="shared" ca="1" si="49"/>
        <v>#REF!</v>
      </c>
      <c r="W111" s="424"/>
    </row>
    <row r="112" spans="1:23">
      <c r="A112" s="424"/>
      <c r="B112" s="424"/>
      <c r="C112" s="424"/>
      <c r="D112" s="424" t="s">
        <v>573</v>
      </c>
      <c r="E112" s="424" t="s">
        <v>386</v>
      </c>
      <c r="F112" s="424"/>
      <c r="G112" s="424" t="s">
        <v>313</v>
      </c>
      <c r="H112" s="431" t="e">
        <f t="shared" ref="H112:V112" ca="1" si="50">ROUND(INDEX(FlowSetWTSettings,(MATCH($B111,FlowSetSimulationNumbers,0)+MATCH(H$32,FlowSetAnemometerWindSpeeds,0)),7),2)</f>
        <v>#REF!</v>
      </c>
      <c r="I112" s="431" t="e">
        <f t="shared" ca="1" si="50"/>
        <v>#REF!</v>
      </c>
      <c r="J112" s="431" t="e">
        <f t="shared" ca="1" si="50"/>
        <v>#REF!</v>
      </c>
      <c r="K112" s="431" t="e">
        <f t="shared" ca="1" si="50"/>
        <v>#REF!</v>
      </c>
      <c r="L112" s="431" t="e">
        <f t="shared" ca="1" si="50"/>
        <v>#REF!</v>
      </c>
      <c r="M112" s="431" t="e">
        <f t="shared" ca="1" si="50"/>
        <v>#REF!</v>
      </c>
      <c r="N112" s="431" t="e">
        <f t="shared" ca="1" si="50"/>
        <v>#REF!</v>
      </c>
      <c r="O112" s="431" t="e">
        <f t="shared" ca="1" si="50"/>
        <v>#REF!</v>
      </c>
      <c r="P112" s="431" t="e">
        <f t="shared" ca="1" si="50"/>
        <v>#REF!</v>
      </c>
      <c r="Q112" s="431" t="e">
        <f t="shared" ca="1" si="50"/>
        <v>#REF!</v>
      </c>
      <c r="R112" s="431" t="e">
        <f t="shared" ca="1" si="50"/>
        <v>#REF!</v>
      </c>
      <c r="S112" s="431" t="e">
        <f t="shared" ca="1" si="50"/>
        <v>#REF!</v>
      </c>
      <c r="T112" s="431" t="e">
        <f t="shared" ca="1" si="50"/>
        <v>#REF!</v>
      </c>
      <c r="U112" s="431" t="e">
        <f t="shared" ca="1" si="50"/>
        <v>#REF!</v>
      </c>
      <c r="V112" s="431" t="e">
        <f t="shared" ca="1" si="50"/>
        <v>#REF!</v>
      </c>
      <c r="W112" s="424"/>
    </row>
    <row r="113" spans="1:23">
      <c r="A113" s="424"/>
      <c r="B113" s="424"/>
      <c r="C113" s="424" t="s">
        <v>255</v>
      </c>
      <c r="D113" s="424" t="s">
        <v>387</v>
      </c>
      <c r="E113" s="424" t="s">
        <v>386</v>
      </c>
      <c r="F113" s="424"/>
      <c r="G113" s="424"/>
      <c r="H113" s="426"/>
      <c r="I113" s="426"/>
      <c r="J113" s="426"/>
      <c r="K113" s="426"/>
      <c r="L113" s="426"/>
      <c r="M113" s="426"/>
      <c r="N113" s="426"/>
      <c r="O113" s="426"/>
      <c r="P113" s="426"/>
      <c r="Q113" s="426"/>
      <c r="R113" s="426"/>
      <c r="S113" s="424"/>
      <c r="T113" s="424"/>
      <c r="U113" s="424"/>
      <c r="V113" s="424"/>
      <c r="W113" s="424"/>
    </row>
    <row r="114" spans="1:23">
      <c r="A114" s="1081">
        <f>A111</f>
        <v>1</v>
      </c>
      <c r="B114" s="726" t="str">
        <f>IF((RIGHT(B111,1))&lt;&gt;"Z",CHAR(CODE(B111))&amp;CHAR(CODE(RIGHT(B111,1))+1),CHAR(CODE(B111)+1)&amp;"A")</f>
        <v>AZ</v>
      </c>
      <c r="C114" s="424"/>
      <c r="D114" s="429" t="e">
        <f>CONCATENATE($A$17,B114, ":",RIGHT(INDEX(FlowSetWTSettings,(MATCH($B114,FlowSetSimulationNumbers,0)),2),9),REPT(" ",9-MIN(9,LEN(INDEX(FlowSetWTSettings,(MATCH($B114,FlowSetSimulationNumbers,0)),2)))),$A$17,"  ")</f>
        <v>#N/A</v>
      </c>
      <c r="E114" s="429" t="str">
        <f>CONCATENATE($A$17,VLOOKUP(A114,$A$15:$B$16,2),REPT(" ",9-LEN(VLOOKUP(A114,$A$15:$B$16,2))),$A$17)</f>
        <v>"Land     "</v>
      </c>
      <c r="F114" s="430" t="e">
        <f ca="1">INDEX(FlowSetWTSettings,(MATCH($B114,FlowSetSimulationNumbers,0)),9)</f>
        <v>#REF!</v>
      </c>
      <c r="G114" s="424" t="s">
        <v>312</v>
      </c>
      <c r="H114" s="431" t="e">
        <f t="shared" ref="H114:V114" ca="1" si="51">ROUND(INDEX(FlowSetWTSettings,(MATCH($B114,FlowSetSimulationNumbers,0)+MATCH(H$32,FlowSetAnemometerWindSpeeds,0)),8),2)</f>
        <v>#REF!</v>
      </c>
      <c r="I114" s="431" t="e">
        <f t="shared" ca="1" si="51"/>
        <v>#REF!</v>
      </c>
      <c r="J114" s="431" t="e">
        <f t="shared" ca="1" si="51"/>
        <v>#REF!</v>
      </c>
      <c r="K114" s="431" t="e">
        <f t="shared" ca="1" si="51"/>
        <v>#REF!</v>
      </c>
      <c r="L114" s="431" t="e">
        <f t="shared" ca="1" si="51"/>
        <v>#REF!</v>
      </c>
      <c r="M114" s="431" t="e">
        <f t="shared" ca="1" si="51"/>
        <v>#REF!</v>
      </c>
      <c r="N114" s="431" t="e">
        <f t="shared" ca="1" si="51"/>
        <v>#REF!</v>
      </c>
      <c r="O114" s="431" t="e">
        <f t="shared" ca="1" si="51"/>
        <v>#REF!</v>
      </c>
      <c r="P114" s="431" t="e">
        <f t="shared" ca="1" si="51"/>
        <v>#REF!</v>
      </c>
      <c r="Q114" s="431" t="e">
        <f t="shared" ca="1" si="51"/>
        <v>#REF!</v>
      </c>
      <c r="R114" s="431" t="e">
        <f t="shared" ca="1" si="51"/>
        <v>#REF!</v>
      </c>
      <c r="S114" s="431" t="e">
        <f t="shared" ca="1" si="51"/>
        <v>#REF!</v>
      </c>
      <c r="T114" s="431" t="e">
        <f t="shared" ca="1" si="51"/>
        <v>#REF!</v>
      </c>
      <c r="U114" s="431" t="e">
        <f t="shared" ca="1" si="51"/>
        <v>#REF!</v>
      </c>
      <c r="V114" s="431" t="e">
        <f t="shared" ca="1" si="51"/>
        <v>#REF!</v>
      </c>
      <c r="W114" s="424"/>
    </row>
    <row r="115" spans="1:23">
      <c r="A115" s="424"/>
      <c r="B115" s="424"/>
      <c r="C115" s="424"/>
      <c r="D115" s="424" t="s">
        <v>573</v>
      </c>
      <c r="E115" s="424" t="s">
        <v>386</v>
      </c>
      <c r="F115" s="424"/>
      <c r="G115" s="424" t="s">
        <v>313</v>
      </c>
      <c r="H115" s="431" t="e">
        <f t="shared" ref="H115:V115" ca="1" si="52">ROUND(INDEX(FlowSetWTSettings,(MATCH($B114,FlowSetSimulationNumbers,0)+MATCH(H$32,FlowSetAnemometerWindSpeeds,0)),7),2)</f>
        <v>#REF!</v>
      </c>
      <c r="I115" s="431" t="e">
        <f t="shared" ca="1" si="52"/>
        <v>#REF!</v>
      </c>
      <c r="J115" s="431" t="e">
        <f t="shared" ca="1" si="52"/>
        <v>#REF!</v>
      </c>
      <c r="K115" s="431" t="e">
        <f t="shared" ca="1" si="52"/>
        <v>#REF!</v>
      </c>
      <c r="L115" s="431" t="e">
        <f t="shared" ca="1" si="52"/>
        <v>#REF!</v>
      </c>
      <c r="M115" s="431" t="e">
        <f t="shared" ca="1" si="52"/>
        <v>#REF!</v>
      </c>
      <c r="N115" s="431" t="e">
        <f t="shared" ca="1" si="52"/>
        <v>#REF!</v>
      </c>
      <c r="O115" s="431" t="e">
        <f t="shared" ca="1" si="52"/>
        <v>#REF!</v>
      </c>
      <c r="P115" s="431" t="e">
        <f t="shared" ca="1" si="52"/>
        <v>#REF!</v>
      </c>
      <c r="Q115" s="431" t="e">
        <f t="shared" ca="1" si="52"/>
        <v>#REF!</v>
      </c>
      <c r="R115" s="431" t="e">
        <f t="shared" ca="1" si="52"/>
        <v>#REF!</v>
      </c>
      <c r="S115" s="431" t="e">
        <f t="shared" ca="1" si="52"/>
        <v>#REF!</v>
      </c>
      <c r="T115" s="431" t="e">
        <f t="shared" ca="1" si="52"/>
        <v>#REF!</v>
      </c>
      <c r="U115" s="431" t="e">
        <f t="shared" ca="1" si="52"/>
        <v>#REF!</v>
      </c>
      <c r="V115" s="431" t="e">
        <f t="shared" ca="1" si="52"/>
        <v>#REF!</v>
      </c>
      <c r="W115" s="424"/>
    </row>
    <row r="116" spans="1:23">
      <c r="A116" s="424"/>
      <c r="B116" s="424"/>
      <c r="C116" s="424" t="s">
        <v>255</v>
      </c>
      <c r="D116" s="424" t="s">
        <v>387</v>
      </c>
      <c r="E116" s="424" t="s">
        <v>386</v>
      </c>
      <c r="F116" s="424"/>
      <c r="G116" s="424"/>
      <c r="H116" s="426"/>
      <c r="I116" s="426"/>
      <c r="J116" s="426"/>
      <c r="K116" s="426"/>
      <c r="L116" s="426"/>
      <c r="M116" s="426"/>
      <c r="N116" s="426"/>
      <c r="O116" s="426"/>
      <c r="P116" s="426"/>
      <c r="Q116" s="426"/>
      <c r="R116" s="426"/>
      <c r="S116" s="424"/>
      <c r="T116" s="424"/>
      <c r="U116" s="424"/>
      <c r="V116" s="424"/>
      <c r="W116" s="424"/>
    </row>
    <row r="117" spans="1:23">
      <c r="A117" s="1081">
        <f>A114</f>
        <v>1</v>
      </c>
      <c r="B117" s="726" t="str">
        <f>IF((RIGHT(B114,1))&lt;&gt;"Z",CHAR(CODE(B114))&amp;CHAR(CODE(RIGHT(B114,1))+1),CHAR(CODE(B114)+1)&amp;"A")</f>
        <v>BA</v>
      </c>
      <c r="C117" s="424"/>
      <c r="D117" s="429" t="str">
        <f>CONCATENATE($A$17,B117, ":",RIGHT(INDEX(FlowSetWTSettings,(MATCH($B117,FlowSetSimulationNumbers,0)),2),9),REPT(" ",9-MIN(9,LEN(INDEX(FlowSetWTSettings,(MATCH($B117,FlowSetSimulationNumbers,0)),2)))),$A$17,"  ")</f>
        <v xml:space="preserve">"BA:B2 Gen-1 "  </v>
      </c>
      <c r="E117" s="429" t="str">
        <f>CONCATENATE($A$17,VLOOKUP(A117,$A$15:$B$16,2),REPT(" ",9-LEN(VLOOKUP(A117,$A$15:$B$16,2))),$A$17)</f>
        <v>"Land     "</v>
      </c>
      <c r="F117" s="430">
        <f ca="1">INDEX(FlowSetWTSettings,(MATCH($B117,FlowSetSimulationNumbers,0)),9)</f>
        <v>0.97430000000000005</v>
      </c>
      <c r="G117" s="424" t="s">
        <v>312</v>
      </c>
      <c r="H117" s="431" t="e">
        <f t="shared" ref="H117:V117" ca="1" si="53">ROUND(INDEX(FlowSetWTSettings,(MATCH($B117,FlowSetSimulationNumbers,0)+MATCH(H$32,FlowSetAnemometerWindSpeeds,0)),8),2)</f>
        <v>#VALUE!</v>
      </c>
      <c r="I117" s="431" t="e">
        <f t="shared" ca="1" si="53"/>
        <v>#VALUE!</v>
      </c>
      <c r="J117" s="431" t="e">
        <f t="shared" ca="1" si="53"/>
        <v>#VALUE!</v>
      </c>
      <c r="K117" s="431" t="e">
        <f t="shared" ca="1" si="53"/>
        <v>#VALUE!</v>
      </c>
      <c r="L117" s="431" t="e">
        <f t="shared" ca="1" si="53"/>
        <v>#VALUE!</v>
      </c>
      <c r="M117" s="431" t="e">
        <f t="shared" ca="1" si="53"/>
        <v>#VALUE!</v>
      </c>
      <c r="N117" s="431" t="e">
        <f t="shared" ca="1" si="53"/>
        <v>#VALUE!</v>
      </c>
      <c r="O117" s="431" t="e">
        <f t="shared" ca="1" si="53"/>
        <v>#VALUE!</v>
      </c>
      <c r="P117" s="431" t="e">
        <f t="shared" ca="1" si="53"/>
        <v>#VALUE!</v>
      </c>
      <c r="Q117" s="431" t="e">
        <f t="shared" ca="1" si="53"/>
        <v>#VALUE!</v>
      </c>
      <c r="R117" s="431" t="e">
        <f t="shared" ca="1" si="53"/>
        <v>#VALUE!</v>
      </c>
      <c r="S117" s="431" t="e">
        <f t="shared" ca="1" si="53"/>
        <v>#VALUE!</v>
      </c>
      <c r="T117" s="431" t="e">
        <f t="shared" ca="1" si="53"/>
        <v>#VALUE!</v>
      </c>
      <c r="U117" s="431" t="e">
        <f t="shared" ca="1" si="53"/>
        <v>#VALUE!</v>
      </c>
      <c r="V117" s="431" t="e">
        <f t="shared" ca="1" si="53"/>
        <v>#VALUE!</v>
      </c>
      <c r="W117" s="424"/>
    </row>
    <row r="118" spans="1:23">
      <c r="A118" s="424"/>
      <c r="B118" s="424"/>
      <c r="C118" s="424"/>
      <c r="D118" s="424" t="s">
        <v>573</v>
      </c>
      <c r="E118" s="424" t="s">
        <v>386</v>
      </c>
      <c r="F118" s="424"/>
      <c r="G118" s="424" t="s">
        <v>313</v>
      </c>
      <c r="H118" s="431">
        <f t="shared" ref="H118:V118" ca="1" si="54">ROUND(INDEX(FlowSetWTSettings,(MATCH($B117,FlowSetSimulationNumbers,0)+MATCH(H$32,FlowSetAnemometerWindSpeeds,0)),7),2)</f>
        <v>6</v>
      </c>
      <c r="I118" s="431">
        <f t="shared" ca="1" si="54"/>
        <v>6</v>
      </c>
      <c r="J118" s="431">
        <f t="shared" ca="1" si="54"/>
        <v>6</v>
      </c>
      <c r="K118" s="431">
        <f t="shared" ca="1" si="54"/>
        <v>6</v>
      </c>
      <c r="L118" s="431">
        <f t="shared" ca="1" si="54"/>
        <v>6</v>
      </c>
      <c r="M118" s="431">
        <f t="shared" ca="1" si="54"/>
        <v>6</v>
      </c>
      <c r="N118" s="431">
        <f t="shared" ca="1" si="54"/>
        <v>6</v>
      </c>
      <c r="O118" s="431">
        <f t="shared" ca="1" si="54"/>
        <v>6</v>
      </c>
      <c r="P118" s="431">
        <f t="shared" ca="1" si="54"/>
        <v>6</v>
      </c>
      <c r="Q118" s="431">
        <f t="shared" ca="1" si="54"/>
        <v>6</v>
      </c>
      <c r="R118" s="431">
        <f t="shared" ca="1" si="54"/>
        <v>6</v>
      </c>
      <c r="S118" s="431">
        <f t="shared" ca="1" si="54"/>
        <v>6</v>
      </c>
      <c r="T118" s="431">
        <f t="shared" ca="1" si="54"/>
        <v>6</v>
      </c>
      <c r="U118" s="431">
        <f t="shared" ca="1" si="54"/>
        <v>6</v>
      </c>
      <c r="V118" s="431">
        <f t="shared" ca="1" si="54"/>
        <v>6</v>
      </c>
      <c r="W118" s="424"/>
    </row>
    <row r="119" spans="1:23">
      <c r="A119" s="424"/>
      <c r="B119" s="424"/>
      <c r="C119" s="424" t="s">
        <v>255</v>
      </c>
      <c r="D119" s="424" t="s">
        <v>387</v>
      </c>
      <c r="E119" s="424" t="s">
        <v>386</v>
      </c>
      <c r="F119" s="424"/>
      <c r="G119" s="424"/>
      <c r="H119" s="426"/>
      <c r="I119" s="426"/>
      <c r="J119" s="426"/>
      <c r="K119" s="426"/>
      <c r="L119" s="426"/>
      <c r="M119" s="426"/>
      <c r="N119" s="426"/>
      <c r="O119" s="426"/>
      <c r="P119" s="426"/>
      <c r="Q119" s="426"/>
      <c r="R119" s="426"/>
      <c r="S119" s="424"/>
      <c r="T119" s="424"/>
      <c r="U119" s="424"/>
      <c r="V119" s="424"/>
      <c r="W119" s="424"/>
    </row>
    <row r="120" spans="1:23">
      <c r="A120" s="1081">
        <f>A117</f>
        <v>1</v>
      </c>
      <c r="B120" s="726" t="str">
        <f>IF((RIGHT(B117,1))&lt;&gt;"Z",CHAR(CODE(B117))&amp;CHAR(CODE(RIGHT(B117,1))+1),CHAR(CODE(B117)+1)&amp;"A")</f>
        <v>BB</v>
      </c>
      <c r="C120" s="424"/>
      <c r="D120" s="429" t="str">
        <f>CONCATENATE($A$17,B120, ":",RIGHT(INDEX(FlowSetWTSettings,(MATCH($B120,FlowSetSimulationNumbers,0)),2),9),REPT(" ",9-MIN(9,LEN(INDEX(FlowSetWTSettings,(MATCH($B120,FlowSetSimulationNumbers,0)),2)))),$A$17,"  ")</f>
        <v xml:space="preserve">"BB:B2 Gen-2 "  </v>
      </c>
      <c r="E120" s="429" t="str">
        <f>CONCATENATE($A$17,VLOOKUP(A120,$A$15:$B$16,2),REPT(" ",9-LEN(VLOOKUP(A120,$A$15:$B$16,2))),$A$17)</f>
        <v>"Land     "</v>
      </c>
      <c r="F120" s="430">
        <f ca="1">INDEX(FlowSetWTSettings,(MATCH($B120,FlowSetSimulationNumbers,0)),9)</f>
        <v>0.97430000000000005</v>
      </c>
      <c r="G120" s="424" t="s">
        <v>312</v>
      </c>
      <c r="H120" s="431" t="e">
        <f t="shared" ref="H120:V120" ca="1" si="55">ROUND(INDEX(FlowSetWTSettings,(MATCH($B120,FlowSetSimulationNumbers,0)+MATCH(H$32,FlowSetAnemometerWindSpeeds,0)),8),2)</f>
        <v>#VALUE!</v>
      </c>
      <c r="I120" s="431" t="e">
        <f t="shared" ca="1" si="55"/>
        <v>#VALUE!</v>
      </c>
      <c r="J120" s="431" t="e">
        <f t="shared" ca="1" si="55"/>
        <v>#VALUE!</v>
      </c>
      <c r="K120" s="431" t="e">
        <f t="shared" ca="1" si="55"/>
        <v>#VALUE!</v>
      </c>
      <c r="L120" s="431" t="e">
        <f t="shared" ca="1" si="55"/>
        <v>#VALUE!</v>
      </c>
      <c r="M120" s="431" t="e">
        <f t="shared" ca="1" si="55"/>
        <v>#VALUE!</v>
      </c>
      <c r="N120" s="431" t="e">
        <f t="shared" ca="1" si="55"/>
        <v>#VALUE!</v>
      </c>
      <c r="O120" s="431" t="e">
        <f t="shared" ca="1" si="55"/>
        <v>#VALUE!</v>
      </c>
      <c r="P120" s="431" t="e">
        <f t="shared" ca="1" si="55"/>
        <v>#VALUE!</v>
      </c>
      <c r="Q120" s="431" t="e">
        <f t="shared" ca="1" si="55"/>
        <v>#VALUE!</v>
      </c>
      <c r="R120" s="431" t="e">
        <f t="shared" ca="1" si="55"/>
        <v>#VALUE!</v>
      </c>
      <c r="S120" s="431" t="e">
        <f t="shared" ca="1" si="55"/>
        <v>#VALUE!</v>
      </c>
      <c r="T120" s="431" t="e">
        <f t="shared" ca="1" si="55"/>
        <v>#VALUE!</v>
      </c>
      <c r="U120" s="431" t="e">
        <f t="shared" ca="1" si="55"/>
        <v>#VALUE!</v>
      </c>
      <c r="V120" s="431" t="e">
        <f t="shared" ca="1" si="55"/>
        <v>#VALUE!</v>
      </c>
      <c r="W120" s="424"/>
    </row>
    <row r="121" spans="1:23">
      <c r="A121" s="424"/>
      <c r="B121" s="424"/>
      <c r="C121" s="424"/>
      <c r="D121" s="424" t="s">
        <v>573</v>
      </c>
      <c r="E121" s="424" t="s">
        <v>386</v>
      </c>
      <c r="F121" s="424"/>
      <c r="G121" s="424" t="s">
        <v>313</v>
      </c>
      <c r="H121" s="431">
        <f t="shared" ref="H121:V121" ca="1" si="56">ROUND(INDEX(FlowSetWTSettings,(MATCH($B120,FlowSetSimulationNumbers,0)+MATCH(H$32,FlowSetAnemometerWindSpeeds,0)),7),2)</f>
        <v>6</v>
      </c>
      <c r="I121" s="431">
        <f t="shared" ca="1" si="56"/>
        <v>6</v>
      </c>
      <c r="J121" s="431">
        <f t="shared" ca="1" si="56"/>
        <v>6</v>
      </c>
      <c r="K121" s="431">
        <f t="shared" ca="1" si="56"/>
        <v>6</v>
      </c>
      <c r="L121" s="431">
        <f t="shared" ca="1" si="56"/>
        <v>6</v>
      </c>
      <c r="M121" s="431">
        <f t="shared" ca="1" si="56"/>
        <v>6</v>
      </c>
      <c r="N121" s="431">
        <f t="shared" ca="1" si="56"/>
        <v>6</v>
      </c>
      <c r="O121" s="431">
        <f t="shared" ca="1" si="56"/>
        <v>6</v>
      </c>
      <c r="P121" s="431">
        <f t="shared" ca="1" si="56"/>
        <v>6</v>
      </c>
      <c r="Q121" s="431">
        <f t="shared" ca="1" si="56"/>
        <v>6</v>
      </c>
      <c r="R121" s="431">
        <f t="shared" ca="1" si="56"/>
        <v>6</v>
      </c>
      <c r="S121" s="431">
        <f t="shared" ca="1" si="56"/>
        <v>6</v>
      </c>
      <c r="T121" s="431">
        <f t="shared" ca="1" si="56"/>
        <v>6</v>
      </c>
      <c r="U121" s="431">
        <f t="shared" ca="1" si="56"/>
        <v>6</v>
      </c>
      <c r="V121" s="431">
        <f t="shared" ca="1" si="56"/>
        <v>6</v>
      </c>
      <c r="W121" s="424"/>
    </row>
    <row r="122" spans="1:23">
      <c r="A122" s="424"/>
      <c r="B122" s="424"/>
      <c r="C122" s="424" t="s">
        <v>255</v>
      </c>
      <c r="D122" s="424" t="s">
        <v>387</v>
      </c>
      <c r="E122" s="424" t="s">
        <v>386</v>
      </c>
      <c r="F122" s="424"/>
      <c r="G122" s="424"/>
      <c r="H122" s="426"/>
      <c r="I122" s="426"/>
      <c r="J122" s="426"/>
      <c r="K122" s="426"/>
      <c r="L122" s="426"/>
      <c r="M122" s="426"/>
      <c r="N122" s="426"/>
      <c r="O122" s="426"/>
      <c r="P122" s="426"/>
      <c r="Q122" s="426"/>
      <c r="R122" s="426"/>
      <c r="S122" s="424"/>
      <c r="T122" s="424"/>
      <c r="U122" s="424"/>
      <c r="V122" s="424"/>
      <c r="W122" s="424"/>
    </row>
    <row r="123" spans="1:23">
      <c r="A123" s="1081">
        <f>A120</f>
        <v>1</v>
      </c>
      <c r="B123" s="726" t="str">
        <f>IF((RIGHT(B120,1))&lt;&gt;"Z",CHAR(CODE(B120))&amp;CHAR(CODE(RIGHT(B120,1))+1),CHAR(CODE(B120)+1)&amp;"A")</f>
        <v>BC</v>
      </c>
      <c r="C123" s="424"/>
      <c r="D123" s="429" t="str">
        <f>CONCATENATE($A$17,B123, ":",RIGHT(INDEX(FlowSetWTSettings,(MATCH($B123,FlowSetSimulationNumbers,0)),2),9),REPT(" ",9-MIN(9,LEN(INDEX(FlowSetWTSettings,(MATCH($B123,FlowSetSimulationNumbers,0)),2)))),$A$17,"  ")</f>
        <v xml:space="preserve">"BC:B2 FE-1  "  </v>
      </c>
      <c r="E123" s="429" t="str">
        <f>CONCATENATE($A$17,VLOOKUP(A123,$A$15:$B$16,2),REPT(" ",9-LEN(VLOOKUP(A123,$A$15:$B$16,2))),$A$17)</f>
        <v>"Land     "</v>
      </c>
      <c r="F123" s="430">
        <f ca="1">INDEX(FlowSetWTSettings,(MATCH($B123,FlowSetSimulationNumbers,0)),9)</f>
        <v>0.97430000000000005</v>
      </c>
      <c r="G123" s="424" t="s">
        <v>312</v>
      </c>
      <c r="H123" s="431" t="e">
        <f t="shared" ref="H123:V123" ca="1" si="57">ROUND(INDEX(FlowSetWTSettings,(MATCH($B123,FlowSetSimulationNumbers,0)+MATCH(H$32,FlowSetAnemometerWindSpeeds,0)),8),2)</f>
        <v>#VALUE!</v>
      </c>
      <c r="I123" s="431" t="e">
        <f t="shared" ca="1" si="57"/>
        <v>#VALUE!</v>
      </c>
      <c r="J123" s="431" t="e">
        <f t="shared" ca="1" si="57"/>
        <v>#VALUE!</v>
      </c>
      <c r="K123" s="431" t="e">
        <f t="shared" ca="1" si="57"/>
        <v>#VALUE!</v>
      </c>
      <c r="L123" s="431" t="e">
        <f t="shared" ca="1" si="57"/>
        <v>#VALUE!</v>
      </c>
      <c r="M123" s="431" t="e">
        <f t="shared" ca="1" si="57"/>
        <v>#VALUE!</v>
      </c>
      <c r="N123" s="431" t="e">
        <f t="shared" ca="1" si="57"/>
        <v>#VALUE!</v>
      </c>
      <c r="O123" s="431" t="e">
        <f t="shared" ca="1" si="57"/>
        <v>#VALUE!</v>
      </c>
      <c r="P123" s="431" t="e">
        <f t="shared" ca="1" si="57"/>
        <v>#VALUE!</v>
      </c>
      <c r="Q123" s="431" t="e">
        <f t="shared" ca="1" si="57"/>
        <v>#VALUE!</v>
      </c>
      <c r="R123" s="431" t="e">
        <f t="shared" ca="1" si="57"/>
        <v>#VALUE!</v>
      </c>
      <c r="S123" s="431" t="e">
        <f t="shared" ca="1" si="57"/>
        <v>#VALUE!</v>
      </c>
      <c r="T123" s="431" t="e">
        <f t="shared" ca="1" si="57"/>
        <v>#VALUE!</v>
      </c>
      <c r="U123" s="431" t="e">
        <f t="shared" ca="1" si="57"/>
        <v>#VALUE!</v>
      </c>
      <c r="V123" s="431" t="e">
        <f t="shared" ca="1" si="57"/>
        <v>#VALUE!</v>
      </c>
      <c r="W123" s="424"/>
    </row>
    <row r="124" spans="1:23">
      <c r="A124" s="424"/>
      <c r="B124" s="424"/>
      <c r="C124" s="424"/>
      <c r="D124" s="424" t="s">
        <v>573</v>
      </c>
      <c r="E124" s="424" t="s">
        <v>386</v>
      </c>
      <c r="F124" s="424"/>
      <c r="G124" s="424" t="s">
        <v>313</v>
      </c>
      <c r="H124" s="431">
        <f t="shared" ref="H124:V124" ca="1" si="58">ROUND(INDEX(FlowSetWTSettings,(MATCH($B123,FlowSetSimulationNumbers,0)+MATCH(H$32,FlowSetAnemometerWindSpeeds,0)),7),2)</f>
        <v>6</v>
      </c>
      <c r="I124" s="431">
        <f t="shared" ca="1" si="58"/>
        <v>6</v>
      </c>
      <c r="J124" s="431">
        <f t="shared" ca="1" si="58"/>
        <v>6</v>
      </c>
      <c r="K124" s="431">
        <f t="shared" ca="1" si="58"/>
        <v>6</v>
      </c>
      <c r="L124" s="431">
        <f t="shared" ca="1" si="58"/>
        <v>6</v>
      </c>
      <c r="M124" s="431">
        <f t="shared" ca="1" si="58"/>
        <v>6</v>
      </c>
      <c r="N124" s="431">
        <f t="shared" ca="1" si="58"/>
        <v>6</v>
      </c>
      <c r="O124" s="431">
        <f t="shared" ca="1" si="58"/>
        <v>6</v>
      </c>
      <c r="P124" s="431">
        <f t="shared" ca="1" si="58"/>
        <v>6</v>
      </c>
      <c r="Q124" s="431">
        <f t="shared" ca="1" si="58"/>
        <v>6</v>
      </c>
      <c r="R124" s="431">
        <f t="shared" ca="1" si="58"/>
        <v>6</v>
      </c>
      <c r="S124" s="431">
        <f t="shared" ca="1" si="58"/>
        <v>6</v>
      </c>
      <c r="T124" s="431">
        <f t="shared" ca="1" si="58"/>
        <v>6</v>
      </c>
      <c r="U124" s="431">
        <f t="shared" ca="1" si="58"/>
        <v>6</v>
      </c>
      <c r="V124" s="431">
        <f t="shared" ca="1" si="58"/>
        <v>6</v>
      </c>
      <c r="W124" s="424"/>
    </row>
    <row r="125" spans="1:23">
      <c r="A125" s="424"/>
      <c r="B125" s="424"/>
      <c r="C125" s="424" t="s">
        <v>255</v>
      </c>
      <c r="D125" s="424" t="s">
        <v>387</v>
      </c>
      <c r="E125" s="424" t="s">
        <v>386</v>
      </c>
      <c r="F125" s="424"/>
      <c r="G125" s="424"/>
      <c r="H125" s="426"/>
      <c r="I125" s="426"/>
      <c r="J125" s="426"/>
      <c r="K125" s="426"/>
      <c r="L125" s="426"/>
      <c r="M125" s="426"/>
      <c r="N125" s="426"/>
      <c r="O125" s="426"/>
      <c r="P125" s="426"/>
      <c r="Q125" s="426"/>
      <c r="R125" s="426"/>
      <c r="S125" s="424"/>
      <c r="T125" s="424"/>
      <c r="U125" s="424"/>
      <c r="V125" s="424"/>
      <c r="W125" s="424"/>
    </row>
    <row r="126" spans="1:23">
      <c r="A126" s="1081">
        <f>A123</f>
        <v>1</v>
      </c>
      <c r="B126" s="726" t="str">
        <f>IF((RIGHT(B123,1))&lt;&gt;"Z",CHAR(CODE(B123))&amp;CHAR(CODE(RIGHT(B123,1))+1),CHAR(CODE(B123)+1)&amp;"A")</f>
        <v>BD</v>
      </c>
      <c r="C126" s="424"/>
      <c r="D126" s="429" t="str">
        <f>CONCATENATE($A$17,B126, ":",RIGHT(INDEX(FlowSetWTSettings,(MATCH($B126,FlowSetSimulationNumbers,0)),2),9),REPT(" ",9-MIN(9,LEN(INDEX(FlowSetWTSettings,(MATCH($B126,FlowSetSimulationNumbers,0)),2)))),$A$17,"  ")</f>
        <v xml:space="preserve">"BD:B2 FE-2  "  </v>
      </c>
      <c r="E126" s="429" t="str">
        <f>CONCATENATE($A$17,VLOOKUP(A126,$A$15:$B$16,2),REPT(" ",9-LEN(VLOOKUP(A126,$A$15:$B$16,2))),$A$17)</f>
        <v>"Land     "</v>
      </c>
      <c r="F126" s="430">
        <f ca="1">INDEX(FlowSetWTSettings,(MATCH($B126,FlowSetSimulationNumbers,0)),9)</f>
        <v>0.97430000000000005</v>
      </c>
      <c r="G126" s="424" t="s">
        <v>312</v>
      </c>
      <c r="H126" s="431" t="e">
        <f t="shared" ref="H126:V126" ca="1" si="59">ROUND(INDEX(FlowSetWTSettings,(MATCH($B126,FlowSetSimulationNumbers,0)+MATCH(H$32,FlowSetAnemometerWindSpeeds,0)),8),2)</f>
        <v>#VALUE!</v>
      </c>
      <c r="I126" s="431" t="e">
        <f t="shared" ca="1" si="59"/>
        <v>#VALUE!</v>
      </c>
      <c r="J126" s="431" t="e">
        <f t="shared" ca="1" si="59"/>
        <v>#VALUE!</v>
      </c>
      <c r="K126" s="431" t="e">
        <f t="shared" ca="1" si="59"/>
        <v>#VALUE!</v>
      </c>
      <c r="L126" s="431" t="e">
        <f t="shared" ca="1" si="59"/>
        <v>#VALUE!</v>
      </c>
      <c r="M126" s="431" t="e">
        <f t="shared" ca="1" si="59"/>
        <v>#VALUE!</v>
      </c>
      <c r="N126" s="431" t="e">
        <f t="shared" ca="1" si="59"/>
        <v>#VALUE!</v>
      </c>
      <c r="O126" s="431" t="e">
        <f t="shared" ca="1" si="59"/>
        <v>#VALUE!</v>
      </c>
      <c r="P126" s="431" t="e">
        <f t="shared" ca="1" si="59"/>
        <v>#VALUE!</v>
      </c>
      <c r="Q126" s="431" t="e">
        <f t="shared" ca="1" si="59"/>
        <v>#VALUE!</v>
      </c>
      <c r="R126" s="431" t="e">
        <f t="shared" ca="1" si="59"/>
        <v>#VALUE!</v>
      </c>
      <c r="S126" s="431" t="e">
        <f t="shared" ca="1" si="59"/>
        <v>#VALUE!</v>
      </c>
      <c r="T126" s="431" t="e">
        <f t="shared" ca="1" si="59"/>
        <v>#VALUE!</v>
      </c>
      <c r="U126" s="431" t="e">
        <f t="shared" ca="1" si="59"/>
        <v>#VALUE!</v>
      </c>
      <c r="V126" s="431" t="e">
        <f t="shared" ca="1" si="59"/>
        <v>#VALUE!</v>
      </c>
      <c r="W126" s="424"/>
    </row>
    <row r="127" spans="1:23">
      <c r="A127" s="424"/>
      <c r="B127" s="424"/>
      <c r="C127" s="424"/>
      <c r="D127" s="424" t="s">
        <v>573</v>
      </c>
      <c r="E127" s="424" t="s">
        <v>386</v>
      </c>
      <c r="F127" s="424"/>
      <c r="G127" s="424" t="s">
        <v>313</v>
      </c>
      <c r="H127" s="431">
        <f t="shared" ref="H127:V127" ca="1" si="60">ROUND(INDEX(FlowSetWTSettings,(MATCH($B126,FlowSetSimulationNumbers,0)+MATCH(H$32,FlowSetAnemometerWindSpeeds,0)),7),2)</f>
        <v>6</v>
      </c>
      <c r="I127" s="431">
        <f t="shared" ca="1" si="60"/>
        <v>6</v>
      </c>
      <c r="J127" s="431">
        <f t="shared" ca="1" si="60"/>
        <v>6</v>
      </c>
      <c r="K127" s="431">
        <f t="shared" ca="1" si="60"/>
        <v>6</v>
      </c>
      <c r="L127" s="431">
        <f t="shared" ca="1" si="60"/>
        <v>6</v>
      </c>
      <c r="M127" s="431">
        <f t="shared" ca="1" si="60"/>
        <v>6</v>
      </c>
      <c r="N127" s="431">
        <f t="shared" ca="1" si="60"/>
        <v>6</v>
      </c>
      <c r="O127" s="431">
        <f t="shared" ca="1" si="60"/>
        <v>6</v>
      </c>
      <c r="P127" s="431">
        <f t="shared" ca="1" si="60"/>
        <v>6</v>
      </c>
      <c r="Q127" s="431">
        <f t="shared" ca="1" si="60"/>
        <v>6</v>
      </c>
      <c r="R127" s="431">
        <f t="shared" ca="1" si="60"/>
        <v>6</v>
      </c>
      <c r="S127" s="431">
        <f t="shared" ca="1" si="60"/>
        <v>6</v>
      </c>
      <c r="T127" s="431">
        <f t="shared" ca="1" si="60"/>
        <v>6</v>
      </c>
      <c r="U127" s="431">
        <f t="shared" ca="1" si="60"/>
        <v>6</v>
      </c>
      <c r="V127" s="431">
        <f t="shared" ca="1" si="60"/>
        <v>6</v>
      </c>
      <c r="W127" s="424"/>
    </row>
    <row r="128" spans="1:23">
      <c r="A128" s="424"/>
      <c r="B128" s="424"/>
      <c r="C128" s="424" t="s">
        <v>255</v>
      </c>
      <c r="D128" s="424" t="s">
        <v>387</v>
      </c>
      <c r="E128" s="424" t="s">
        <v>386</v>
      </c>
      <c r="F128" s="424"/>
      <c r="G128" s="424"/>
      <c r="H128" s="426"/>
      <c r="I128" s="426"/>
      <c r="J128" s="426"/>
      <c r="K128" s="426"/>
      <c r="L128" s="426"/>
      <c r="M128" s="426"/>
      <c r="N128" s="426"/>
      <c r="O128" s="426"/>
      <c r="P128" s="426"/>
      <c r="Q128" s="426"/>
      <c r="R128" s="426"/>
      <c r="S128" s="424"/>
      <c r="T128" s="424"/>
      <c r="U128" s="424"/>
      <c r="V128" s="424"/>
      <c r="W128" s="424"/>
    </row>
    <row r="129" spans="1:23">
      <c r="A129" s="1081">
        <f>A126</f>
        <v>1</v>
      </c>
      <c r="B129" s="726" t="str">
        <f>IF((RIGHT(B126,1))&lt;&gt;"Z",CHAR(CODE(B126))&amp;CHAR(CODE(RIGHT(B126,1))+1),CHAR(CODE(B126)+1)&amp;"A")</f>
        <v>BE</v>
      </c>
      <c r="C129" s="424"/>
      <c r="D129" s="429" t="str">
        <f>CONCATENATE($A$17,B129, ":",RIGHT(INDEX(FlowSetWTSettings,(MATCH($B129,FlowSetSimulationNumbers,0)),2),9),REPT(" ",9-MIN(9,LEN(INDEX(FlowSetWTSettings,(MATCH($B129,FlowSetSimulationNumbers,0)),2)))),$A$17,"  ")</f>
        <v xml:space="preserve">"BE:B2 FE-3  "  </v>
      </c>
      <c r="E129" s="429" t="str">
        <f>CONCATENATE($A$17,VLOOKUP(A129,$A$15:$B$16,2),REPT(" ",9-LEN(VLOOKUP(A129,$A$15:$B$16,2))),$A$17)</f>
        <v>"Land     "</v>
      </c>
      <c r="F129" s="430">
        <f ca="1">INDEX(FlowSetWTSettings,(MATCH($B129,FlowSetSimulationNumbers,0)),9)</f>
        <v>0.97430000000000005</v>
      </c>
      <c r="G129" s="424" t="s">
        <v>312</v>
      </c>
      <c r="H129" s="431" t="e">
        <f t="shared" ref="H129:V129" ca="1" si="61">ROUND(INDEX(FlowSetWTSettings,(MATCH($B129,FlowSetSimulationNumbers,0)+MATCH(H$32,FlowSetAnemometerWindSpeeds,0)),8),2)</f>
        <v>#VALUE!</v>
      </c>
      <c r="I129" s="431" t="e">
        <f t="shared" ca="1" si="61"/>
        <v>#VALUE!</v>
      </c>
      <c r="J129" s="431" t="e">
        <f t="shared" ca="1" si="61"/>
        <v>#VALUE!</v>
      </c>
      <c r="K129" s="431" t="e">
        <f t="shared" ca="1" si="61"/>
        <v>#VALUE!</v>
      </c>
      <c r="L129" s="431" t="e">
        <f t="shared" ca="1" si="61"/>
        <v>#VALUE!</v>
      </c>
      <c r="M129" s="431" t="e">
        <f t="shared" ca="1" si="61"/>
        <v>#VALUE!</v>
      </c>
      <c r="N129" s="431" t="e">
        <f t="shared" ca="1" si="61"/>
        <v>#VALUE!</v>
      </c>
      <c r="O129" s="431" t="e">
        <f t="shared" ca="1" si="61"/>
        <v>#VALUE!</v>
      </c>
      <c r="P129" s="431" t="e">
        <f t="shared" ca="1" si="61"/>
        <v>#VALUE!</v>
      </c>
      <c r="Q129" s="431" t="e">
        <f t="shared" ca="1" si="61"/>
        <v>#VALUE!</v>
      </c>
      <c r="R129" s="431" t="e">
        <f t="shared" ca="1" si="61"/>
        <v>#VALUE!</v>
      </c>
      <c r="S129" s="431" t="e">
        <f t="shared" ca="1" si="61"/>
        <v>#VALUE!</v>
      </c>
      <c r="T129" s="431" t="e">
        <f t="shared" ca="1" si="61"/>
        <v>#VALUE!</v>
      </c>
      <c r="U129" s="431" t="e">
        <f t="shared" ca="1" si="61"/>
        <v>#VALUE!</v>
      </c>
      <c r="V129" s="431" t="e">
        <f t="shared" ca="1" si="61"/>
        <v>#VALUE!</v>
      </c>
      <c r="W129" s="424"/>
    </row>
    <row r="130" spans="1:23">
      <c r="A130" s="424"/>
      <c r="B130" s="424"/>
      <c r="C130" s="424"/>
      <c r="D130" s="424" t="s">
        <v>573</v>
      </c>
      <c r="E130" s="424" t="s">
        <v>386</v>
      </c>
      <c r="F130" s="424"/>
      <c r="G130" s="424" t="s">
        <v>313</v>
      </c>
      <c r="H130" s="431">
        <f t="shared" ref="H130:V130" ca="1" si="62">ROUND(INDEX(FlowSetWTSettings,(MATCH($B129,FlowSetSimulationNumbers,0)+MATCH(H$32,FlowSetAnemometerWindSpeeds,0)),7),2)</f>
        <v>6</v>
      </c>
      <c r="I130" s="431">
        <f t="shared" ca="1" si="62"/>
        <v>6</v>
      </c>
      <c r="J130" s="431">
        <f t="shared" ca="1" si="62"/>
        <v>6</v>
      </c>
      <c r="K130" s="431">
        <f t="shared" ca="1" si="62"/>
        <v>6</v>
      </c>
      <c r="L130" s="431">
        <f t="shared" ca="1" si="62"/>
        <v>6</v>
      </c>
      <c r="M130" s="431">
        <f t="shared" ca="1" si="62"/>
        <v>6</v>
      </c>
      <c r="N130" s="431">
        <f t="shared" ca="1" si="62"/>
        <v>6</v>
      </c>
      <c r="O130" s="431">
        <f t="shared" ca="1" si="62"/>
        <v>6</v>
      </c>
      <c r="P130" s="431">
        <f t="shared" ca="1" si="62"/>
        <v>6</v>
      </c>
      <c r="Q130" s="431">
        <f t="shared" ca="1" si="62"/>
        <v>6</v>
      </c>
      <c r="R130" s="431">
        <f t="shared" ca="1" si="62"/>
        <v>6</v>
      </c>
      <c r="S130" s="431">
        <f t="shared" ca="1" si="62"/>
        <v>6</v>
      </c>
      <c r="T130" s="431">
        <f t="shared" ca="1" si="62"/>
        <v>6</v>
      </c>
      <c r="U130" s="431">
        <f t="shared" ca="1" si="62"/>
        <v>6</v>
      </c>
      <c r="V130" s="431">
        <f t="shared" ca="1" si="62"/>
        <v>6</v>
      </c>
      <c r="W130" s="424"/>
    </row>
    <row r="131" spans="1:23">
      <c r="A131" s="424"/>
      <c r="B131" s="424"/>
      <c r="C131" s="424" t="s">
        <v>255</v>
      </c>
      <c r="D131" s="424" t="s">
        <v>387</v>
      </c>
      <c r="E131" s="424" t="s">
        <v>386</v>
      </c>
      <c r="F131" s="424"/>
      <c r="G131" s="424"/>
      <c r="H131" s="426"/>
      <c r="I131" s="426"/>
      <c r="J131" s="426"/>
      <c r="K131" s="426"/>
      <c r="L131" s="426"/>
      <c r="M131" s="426"/>
      <c r="N131" s="426"/>
      <c r="O131" s="426"/>
      <c r="P131" s="426"/>
      <c r="Q131" s="426"/>
      <c r="R131" s="426"/>
      <c r="S131" s="424"/>
      <c r="T131" s="424"/>
      <c r="U131" s="424"/>
      <c r="V131" s="424"/>
      <c r="W131" s="424"/>
    </row>
    <row r="132" spans="1:23">
      <c r="A132" s="1081">
        <f>A129</f>
        <v>1</v>
      </c>
      <c r="B132" s="726" t="str">
        <f>IF((RIGHT(B129,1))&lt;&gt;"Z",CHAR(CODE(B129))&amp;CHAR(CODE(RIGHT(B129,1))+1),CHAR(CODE(B129)+1)&amp;"A")</f>
        <v>BF</v>
      </c>
      <c r="C132" s="424"/>
      <c r="D132" s="429" t="str">
        <f>CONCATENATE($A$17,B132, ":",RIGHT(INDEX(FlowSetWTSettings,(MATCH($B132,FlowSetSimulationNumbers,0)),2),9),REPT(" ",9-MIN(9,LEN(INDEX(FlowSetWTSettings,(MATCH($B132,FlowSetSimulationNumbers,0)),2)))),$A$17,"  ")</f>
        <v xml:space="preserve">"BF:B2 Viv-1 "  </v>
      </c>
      <c r="E132" s="429" t="str">
        <f>CONCATENATE($A$17,VLOOKUP(A132,$A$15:$B$16,2),REPT(" ",9-LEN(VLOOKUP(A132,$A$15:$B$16,2))),$A$17)</f>
        <v>"Land     "</v>
      </c>
      <c r="F132" s="430">
        <f ca="1">INDEX(FlowSetWTSettings,(MATCH($B132,FlowSetSimulationNumbers,0)),9)</f>
        <v>0.97430000000000005</v>
      </c>
      <c r="G132" s="424" t="s">
        <v>312</v>
      </c>
      <c r="H132" s="431" t="e">
        <f t="shared" ref="H132:V132" ca="1" si="63">ROUND(INDEX(FlowSetWTSettings,(MATCH($B132,FlowSetSimulationNumbers,0)+MATCH(H$32,FlowSetAnemometerWindSpeeds,0)),8),2)</f>
        <v>#VALUE!</v>
      </c>
      <c r="I132" s="431" t="e">
        <f t="shared" ca="1" si="63"/>
        <v>#VALUE!</v>
      </c>
      <c r="J132" s="431" t="e">
        <f t="shared" ca="1" si="63"/>
        <v>#VALUE!</v>
      </c>
      <c r="K132" s="431" t="e">
        <f t="shared" ca="1" si="63"/>
        <v>#VALUE!</v>
      </c>
      <c r="L132" s="431" t="e">
        <f t="shared" ca="1" si="63"/>
        <v>#VALUE!</v>
      </c>
      <c r="M132" s="431" t="e">
        <f t="shared" ca="1" si="63"/>
        <v>#VALUE!</v>
      </c>
      <c r="N132" s="431" t="e">
        <f t="shared" ca="1" si="63"/>
        <v>#VALUE!</v>
      </c>
      <c r="O132" s="431" t="e">
        <f t="shared" ca="1" si="63"/>
        <v>#VALUE!</v>
      </c>
      <c r="P132" s="431" t="e">
        <f t="shared" ca="1" si="63"/>
        <v>#VALUE!</v>
      </c>
      <c r="Q132" s="431" t="e">
        <f t="shared" ca="1" si="63"/>
        <v>#VALUE!</v>
      </c>
      <c r="R132" s="431" t="e">
        <f t="shared" ca="1" si="63"/>
        <v>#VALUE!</v>
      </c>
      <c r="S132" s="431" t="e">
        <f t="shared" ca="1" si="63"/>
        <v>#VALUE!</v>
      </c>
      <c r="T132" s="431" t="e">
        <f t="shared" ca="1" si="63"/>
        <v>#VALUE!</v>
      </c>
      <c r="U132" s="431" t="e">
        <f t="shared" ca="1" si="63"/>
        <v>#VALUE!</v>
      </c>
      <c r="V132" s="431" t="e">
        <f t="shared" ca="1" si="63"/>
        <v>#VALUE!</v>
      </c>
      <c r="W132" s="424"/>
    </row>
    <row r="133" spans="1:23">
      <c r="A133" s="424"/>
      <c r="B133" s="424"/>
      <c r="C133" s="424"/>
      <c r="D133" s="424" t="s">
        <v>573</v>
      </c>
      <c r="E133" s="424" t="s">
        <v>386</v>
      </c>
      <c r="F133" s="424"/>
      <c r="G133" s="424" t="s">
        <v>313</v>
      </c>
      <c r="H133" s="431">
        <f t="shared" ref="H133:V133" ca="1" si="64">ROUND(INDEX(FlowSetWTSettings,(MATCH($B132,FlowSetSimulationNumbers,0)+MATCH(H$32,FlowSetAnemometerWindSpeeds,0)),7),2)</f>
        <v>6</v>
      </c>
      <c r="I133" s="431">
        <f t="shared" ca="1" si="64"/>
        <v>6</v>
      </c>
      <c r="J133" s="431">
        <f t="shared" ca="1" si="64"/>
        <v>6</v>
      </c>
      <c r="K133" s="431">
        <f t="shared" ca="1" si="64"/>
        <v>6</v>
      </c>
      <c r="L133" s="431">
        <f t="shared" ca="1" si="64"/>
        <v>6</v>
      </c>
      <c r="M133" s="431">
        <f t="shared" ca="1" si="64"/>
        <v>6</v>
      </c>
      <c r="N133" s="431">
        <f t="shared" ca="1" si="64"/>
        <v>6</v>
      </c>
      <c r="O133" s="431">
        <f t="shared" ca="1" si="64"/>
        <v>6</v>
      </c>
      <c r="P133" s="431">
        <f t="shared" ca="1" si="64"/>
        <v>6</v>
      </c>
      <c r="Q133" s="431">
        <f t="shared" ca="1" si="64"/>
        <v>6</v>
      </c>
      <c r="R133" s="431">
        <f t="shared" ca="1" si="64"/>
        <v>6</v>
      </c>
      <c r="S133" s="431">
        <f t="shared" ca="1" si="64"/>
        <v>6</v>
      </c>
      <c r="T133" s="431">
        <f t="shared" ca="1" si="64"/>
        <v>6</v>
      </c>
      <c r="U133" s="431">
        <f t="shared" ca="1" si="64"/>
        <v>6</v>
      </c>
      <c r="V133" s="431">
        <f t="shared" ca="1" si="64"/>
        <v>6</v>
      </c>
      <c r="W133" s="424"/>
    </row>
    <row r="134" spans="1:23">
      <c r="A134" s="424"/>
      <c r="B134" s="424"/>
      <c r="C134" s="424" t="s">
        <v>255</v>
      </c>
      <c r="D134" s="424" t="s">
        <v>387</v>
      </c>
      <c r="E134" s="424" t="s">
        <v>386</v>
      </c>
      <c r="F134" s="424"/>
      <c r="G134" s="424"/>
      <c r="H134" s="426"/>
      <c r="I134" s="426"/>
      <c r="J134" s="426"/>
      <c r="K134" s="426"/>
      <c r="L134" s="426"/>
      <c r="M134" s="426"/>
      <c r="N134" s="426"/>
      <c r="O134" s="426"/>
      <c r="P134" s="426"/>
      <c r="Q134" s="426"/>
      <c r="R134" s="426"/>
      <c r="S134" s="424"/>
      <c r="T134" s="424"/>
      <c r="U134" s="424"/>
      <c r="V134" s="424"/>
      <c r="W134" s="424"/>
    </row>
    <row r="135" spans="1:23">
      <c r="A135" s="1081">
        <f>A132</f>
        <v>1</v>
      </c>
      <c r="B135" s="726" t="str">
        <f>IF((RIGHT(B132,1))&lt;&gt;"Z",CHAR(CODE(B132))&amp;CHAR(CODE(RIGHT(B132,1))+1),CHAR(CODE(B132)+1)&amp;"A")</f>
        <v>BG</v>
      </c>
      <c r="C135" s="424"/>
      <c r="D135" s="429" t="str">
        <f>CONCATENATE($A$17,B135, ":",RIGHT(INDEX(FlowSetWTSettings,(MATCH($B135,FlowSetSimulationNumbers,0)),2),9),REPT(" ",9-MIN(9,LEN(INDEX(FlowSetWTSettings,(MATCH($B135,FlowSetSimulationNumbers,0)),2)))),$A$17,"  ")</f>
        <v xml:space="preserve">"BG:B2 Viv-2 "  </v>
      </c>
      <c r="E135" s="429" t="str">
        <f>CONCATENATE($A$17,VLOOKUP(A135,$A$15:$B$16,2),REPT(" ",9-LEN(VLOOKUP(A135,$A$15:$B$16,2))),$A$17)</f>
        <v>"Land     "</v>
      </c>
      <c r="F135" s="430">
        <f ca="1">INDEX(FlowSetWTSettings,(MATCH($B135,FlowSetSimulationNumbers,0)),9)</f>
        <v>0.97430000000000005</v>
      </c>
      <c r="G135" s="424" t="s">
        <v>312</v>
      </c>
      <c r="H135" s="431" t="e">
        <f t="shared" ref="H135:V135" ca="1" si="65">ROUND(INDEX(FlowSetWTSettings,(MATCH($B135,FlowSetSimulationNumbers,0)+MATCH(H$32,FlowSetAnemometerWindSpeeds,0)),8),2)</f>
        <v>#VALUE!</v>
      </c>
      <c r="I135" s="431" t="e">
        <f t="shared" ca="1" si="65"/>
        <v>#VALUE!</v>
      </c>
      <c r="J135" s="431" t="e">
        <f t="shared" ca="1" si="65"/>
        <v>#VALUE!</v>
      </c>
      <c r="K135" s="431" t="e">
        <f t="shared" ca="1" si="65"/>
        <v>#VALUE!</v>
      </c>
      <c r="L135" s="431" t="e">
        <f t="shared" ca="1" si="65"/>
        <v>#VALUE!</v>
      </c>
      <c r="M135" s="431" t="e">
        <f t="shared" ca="1" si="65"/>
        <v>#VALUE!</v>
      </c>
      <c r="N135" s="431" t="e">
        <f t="shared" ca="1" si="65"/>
        <v>#VALUE!</v>
      </c>
      <c r="O135" s="431" t="e">
        <f t="shared" ca="1" si="65"/>
        <v>#VALUE!</v>
      </c>
      <c r="P135" s="431" t="e">
        <f t="shared" ca="1" si="65"/>
        <v>#VALUE!</v>
      </c>
      <c r="Q135" s="431" t="e">
        <f t="shared" ca="1" si="65"/>
        <v>#VALUE!</v>
      </c>
      <c r="R135" s="431" t="e">
        <f t="shared" ca="1" si="65"/>
        <v>#VALUE!</v>
      </c>
      <c r="S135" s="431" t="e">
        <f t="shared" ca="1" si="65"/>
        <v>#VALUE!</v>
      </c>
      <c r="T135" s="431" t="e">
        <f t="shared" ca="1" si="65"/>
        <v>#VALUE!</v>
      </c>
      <c r="U135" s="431" t="e">
        <f t="shared" ca="1" si="65"/>
        <v>#VALUE!</v>
      </c>
      <c r="V135" s="431" t="e">
        <f t="shared" ca="1" si="65"/>
        <v>#VALUE!</v>
      </c>
      <c r="W135" s="424"/>
    </row>
    <row r="136" spans="1:23">
      <c r="A136" s="424"/>
      <c r="B136" s="424"/>
      <c r="C136" s="424"/>
      <c r="D136" s="424" t="s">
        <v>573</v>
      </c>
      <c r="E136" s="424" t="s">
        <v>386</v>
      </c>
      <c r="F136" s="424"/>
      <c r="G136" s="424" t="s">
        <v>313</v>
      </c>
      <c r="H136" s="431">
        <f t="shared" ref="H136:V136" ca="1" si="66">ROUND(INDEX(FlowSetWTSettings,(MATCH($B135,FlowSetSimulationNumbers,0)+MATCH(H$32,FlowSetAnemometerWindSpeeds,0)),7),2)</f>
        <v>6</v>
      </c>
      <c r="I136" s="431">
        <f t="shared" ca="1" si="66"/>
        <v>6</v>
      </c>
      <c r="J136" s="431">
        <f t="shared" ca="1" si="66"/>
        <v>6</v>
      </c>
      <c r="K136" s="431">
        <f t="shared" ca="1" si="66"/>
        <v>6</v>
      </c>
      <c r="L136" s="431">
        <f t="shared" ca="1" si="66"/>
        <v>6</v>
      </c>
      <c r="M136" s="431">
        <f t="shared" ca="1" si="66"/>
        <v>6</v>
      </c>
      <c r="N136" s="431">
        <f t="shared" ca="1" si="66"/>
        <v>6</v>
      </c>
      <c r="O136" s="431">
        <f t="shared" ca="1" si="66"/>
        <v>6</v>
      </c>
      <c r="P136" s="431">
        <f t="shared" ca="1" si="66"/>
        <v>6</v>
      </c>
      <c r="Q136" s="431">
        <f t="shared" ca="1" si="66"/>
        <v>6</v>
      </c>
      <c r="R136" s="431">
        <f t="shared" ca="1" si="66"/>
        <v>6</v>
      </c>
      <c r="S136" s="431">
        <f t="shared" ca="1" si="66"/>
        <v>6</v>
      </c>
      <c r="T136" s="431">
        <f t="shared" ca="1" si="66"/>
        <v>6</v>
      </c>
      <c r="U136" s="431">
        <f t="shared" ca="1" si="66"/>
        <v>6</v>
      </c>
      <c r="V136" s="431">
        <f t="shared" ca="1" si="66"/>
        <v>6</v>
      </c>
      <c r="W136" s="424"/>
    </row>
    <row r="137" spans="1:23">
      <c r="A137" s="424"/>
      <c r="B137" s="424"/>
      <c r="C137" s="424" t="s">
        <v>255</v>
      </c>
      <c r="D137" s="424" t="s">
        <v>387</v>
      </c>
      <c r="E137" s="424" t="s">
        <v>386</v>
      </c>
      <c r="F137" s="424"/>
      <c r="G137" s="424"/>
      <c r="H137" s="426"/>
      <c r="I137" s="426"/>
      <c r="J137" s="426"/>
      <c r="K137" s="426"/>
      <c r="L137" s="426"/>
      <c r="M137" s="426"/>
      <c r="N137" s="426"/>
      <c r="O137" s="426"/>
      <c r="P137" s="426"/>
      <c r="Q137" s="426"/>
      <c r="R137" s="426"/>
      <c r="S137" s="424"/>
      <c r="T137" s="424"/>
      <c r="U137" s="424"/>
      <c r="V137" s="424"/>
      <c r="W137" s="424"/>
    </row>
    <row r="138" spans="1:23">
      <c r="A138" s="1081">
        <f>A135</f>
        <v>1</v>
      </c>
      <c r="B138" s="726" t="str">
        <f>IF((RIGHT(B135,1))&lt;&gt;"Z",CHAR(CODE(B135))&amp;CHAR(CODE(RIGHT(B135,1))+1),CHAR(CODE(B135)+1)&amp;"A")</f>
        <v>BH</v>
      </c>
      <c r="C138" s="424"/>
      <c r="D138" s="429" t="str">
        <f>CONCATENATE($A$17,B138, ":",RIGHT(INDEX(FlowSetWTSettings,(MATCH($B138,FlowSetSimulationNumbers,0)),2),9),REPT(" ",9-MIN(9,LEN(INDEX(FlowSetWTSettings,(MATCH($B138,FlowSetSimulationNumbers,0)),2)))),$A$17,"  ")</f>
        <v xml:space="preserve">"BH:B2 Viv-3 "  </v>
      </c>
      <c r="E138" s="429" t="str">
        <f>CONCATENATE($A$17,VLOOKUP(A138,$A$15:$B$16,2),REPT(" ",9-LEN(VLOOKUP(A138,$A$15:$B$16,2))),$A$17)</f>
        <v>"Land     "</v>
      </c>
      <c r="F138" s="430">
        <f ca="1">INDEX(FlowSetWTSettings,(MATCH($B138,FlowSetSimulationNumbers,0)),9)</f>
        <v>0.97430000000000005</v>
      </c>
      <c r="G138" s="424" t="s">
        <v>312</v>
      </c>
      <c r="H138" s="431" t="e">
        <f t="shared" ref="H138:V138" ca="1" si="67">ROUND(INDEX(FlowSetWTSettings,(MATCH($B138,FlowSetSimulationNumbers,0)+MATCH(H$32,FlowSetAnemometerWindSpeeds,0)),8),2)</f>
        <v>#VALUE!</v>
      </c>
      <c r="I138" s="431" t="e">
        <f t="shared" ca="1" si="67"/>
        <v>#VALUE!</v>
      </c>
      <c r="J138" s="431" t="e">
        <f t="shared" ca="1" si="67"/>
        <v>#VALUE!</v>
      </c>
      <c r="K138" s="431" t="e">
        <f t="shared" ca="1" si="67"/>
        <v>#VALUE!</v>
      </c>
      <c r="L138" s="431" t="e">
        <f t="shared" ca="1" si="67"/>
        <v>#VALUE!</v>
      </c>
      <c r="M138" s="431" t="e">
        <f t="shared" ca="1" si="67"/>
        <v>#VALUE!</v>
      </c>
      <c r="N138" s="431" t="e">
        <f t="shared" ca="1" si="67"/>
        <v>#VALUE!</v>
      </c>
      <c r="O138" s="431" t="e">
        <f t="shared" ca="1" si="67"/>
        <v>#VALUE!</v>
      </c>
      <c r="P138" s="431" t="e">
        <f t="shared" ca="1" si="67"/>
        <v>#VALUE!</v>
      </c>
      <c r="Q138" s="431" t="e">
        <f t="shared" ca="1" si="67"/>
        <v>#VALUE!</v>
      </c>
      <c r="R138" s="431" t="e">
        <f t="shared" ca="1" si="67"/>
        <v>#VALUE!</v>
      </c>
      <c r="S138" s="431" t="e">
        <f t="shared" ca="1" si="67"/>
        <v>#VALUE!</v>
      </c>
      <c r="T138" s="431" t="e">
        <f t="shared" ca="1" si="67"/>
        <v>#VALUE!</v>
      </c>
      <c r="U138" s="431" t="e">
        <f t="shared" ca="1" si="67"/>
        <v>#VALUE!</v>
      </c>
      <c r="V138" s="431" t="e">
        <f t="shared" ca="1" si="67"/>
        <v>#VALUE!</v>
      </c>
      <c r="W138" s="424"/>
    </row>
    <row r="139" spans="1:23">
      <c r="A139" s="424"/>
      <c r="B139" s="424"/>
      <c r="C139" s="424"/>
      <c r="D139" s="424" t="s">
        <v>573</v>
      </c>
      <c r="E139" s="424" t="s">
        <v>386</v>
      </c>
      <c r="F139" s="424"/>
      <c r="G139" s="424" t="s">
        <v>313</v>
      </c>
      <c r="H139" s="431">
        <f t="shared" ref="H139:V139" ca="1" si="68">ROUND(INDEX(FlowSetWTSettings,(MATCH($B138,FlowSetSimulationNumbers,0)+MATCH(H$32,FlowSetAnemometerWindSpeeds,0)),7),2)</f>
        <v>6</v>
      </c>
      <c r="I139" s="431">
        <f t="shared" ca="1" si="68"/>
        <v>6</v>
      </c>
      <c r="J139" s="431">
        <f t="shared" ca="1" si="68"/>
        <v>6</v>
      </c>
      <c r="K139" s="431">
        <f t="shared" ca="1" si="68"/>
        <v>6</v>
      </c>
      <c r="L139" s="431">
        <f t="shared" ca="1" si="68"/>
        <v>6</v>
      </c>
      <c r="M139" s="431">
        <f t="shared" ca="1" si="68"/>
        <v>6</v>
      </c>
      <c r="N139" s="431">
        <f t="shared" ca="1" si="68"/>
        <v>6</v>
      </c>
      <c r="O139" s="431">
        <f t="shared" ca="1" si="68"/>
        <v>6</v>
      </c>
      <c r="P139" s="431">
        <f t="shared" ca="1" si="68"/>
        <v>6</v>
      </c>
      <c r="Q139" s="431">
        <f t="shared" ca="1" si="68"/>
        <v>6</v>
      </c>
      <c r="R139" s="431">
        <f t="shared" ca="1" si="68"/>
        <v>6</v>
      </c>
      <c r="S139" s="431">
        <f t="shared" ca="1" si="68"/>
        <v>6</v>
      </c>
      <c r="T139" s="431">
        <f t="shared" ca="1" si="68"/>
        <v>6</v>
      </c>
      <c r="U139" s="431">
        <f t="shared" ca="1" si="68"/>
        <v>6</v>
      </c>
      <c r="V139" s="431">
        <f t="shared" ca="1" si="68"/>
        <v>6</v>
      </c>
      <c r="W139" s="424"/>
    </row>
    <row r="140" spans="1:23">
      <c r="A140" s="424"/>
      <c r="B140" s="424"/>
      <c r="C140" s="424" t="s">
        <v>255</v>
      </c>
      <c r="D140" s="424" t="s">
        <v>387</v>
      </c>
      <c r="E140" s="424" t="s">
        <v>386</v>
      </c>
      <c r="F140" s="424"/>
      <c r="G140" s="424"/>
      <c r="H140" s="426"/>
      <c r="I140" s="426"/>
      <c r="J140" s="426"/>
      <c r="K140" s="426"/>
      <c r="L140" s="426"/>
      <c r="M140" s="426"/>
      <c r="N140" s="426"/>
      <c r="O140" s="426"/>
      <c r="P140" s="426"/>
      <c r="Q140" s="426"/>
      <c r="R140" s="426"/>
      <c r="S140" s="424"/>
      <c r="T140" s="424"/>
      <c r="U140" s="424"/>
      <c r="V140" s="424"/>
      <c r="W140" s="424"/>
    </row>
    <row r="141" spans="1:23">
      <c r="A141" s="1081">
        <f>A138</f>
        <v>1</v>
      </c>
      <c r="B141" s="726" t="str">
        <f>IF((RIGHT(B138,1))&lt;&gt;"Z",CHAR(CODE(B138))&amp;CHAR(CODE(RIGHT(B138,1))+1),CHAR(CODE(B138)+1)&amp;"A")</f>
        <v>BI</v>
      </c>
      <c r="C141" s="424"/>
      <c r="D141" s="429" t="str">
        <f>CONCATENATE($A$17,B141, ":",RIGHT(INDEX(FlowSetWTSettings,(MATCH($B141,FlowSetSimulationNumbers,0)),2),9),REPT(" ",9-MIN(9,LEN(INDEX(FlowSetWTSettings,(MATCH($B141,FlowSetSimulationNumbers,0)),2)))),$A$17,"  ")</f>
        <v xml:space="preserve">"BI:B2 Kit-1 "  </v>
      </c>
      <c r="E141" s="429" t="str">
        <f>CONCATENATE($A$17,VLOOKUP(A141,$A$15:$B$16,2),REPT(" ",9-LEN(VLOOKUP(A141,$A$15:$B$16,2))),$A$17)</f>
        <v>"Land     "</v>
      </c>
      <c r="F141" s="430">
        <f ca="1">INDEX(FlowSetWTSettings,(MATCH($B141,FlowSetSimulationNumbers,0)),9)</f>
        <v>0.97430000000000005</v>
      </c>
      <c r="G141" s="424" t="s">
        <v>312</v>
      </c>
      <c r="H141" s="431" t="e">
        <f t="shared" ref="H141:V141" ca="1" si="69">ROUND(INDEX(FlowSetWTSettings,(MATCH($B141,FlowSetSimulationNumbers,0)+MATCH(H$32,FlowSetAnemometerWindSpeeds,0)),8),2)</f>
        <v>#VALUE!</v>
      </c>
      <c r="I141" s="431" t="e">
        <f t="shared" ca="1" si="69"/>
        <v>#VALUE!</v>
      </c>
      <c r="J141" s="431" t="e">
        <f t="shared" ca="1" si="69"/>
        <v>#VALUE!</v>
      </c>
      <c r="K141" s="431" t="e">
        <f t="shared" ca="1" si="69"/>
        <v>#VALUE!</v>
      </c>
      <c r="L141" s="431" t="e">
        <f t="shared" ca="1" si="69"/>
        <v>#VALUE!</v>
      </c>
      <c r="M141" s="431" t="e">
        <f t="shared" ca="1" si="69"/>
        <v>#VALUE!</v>
      </c>
      <c r="N141" s="431" t="e">
        <f t="shared" ca="1" si="69"/>
        <v>#VALUE!</v>
      </c>
      <c r="O141" s="431" t="e">
        <f t="shared" ca="1" si="69"/>
        <v>#VALUE!</v>
      </c>
      <c r="P141" s="431" t="e">
        <f t="shared" ca="1" si="69"/>
        <v>#VALUE!</v>
      </c>
      <c r="Q141" s="431" t="e">
        <f t="shared" ca="1" si="69"/>
        <v>#VALUE!</v>
      </c>
      <c r="R141" s="431" t="e">
        <f t="shared" ca="1" si="69"/>
        <v>#VALUE!</v>
      </c>
      <c r="S141" s="431" t="e">
        <f t="shared" ca="1" si="69"/>
        <v>#VALUE!</v>
      </c>
      <c r="T141" s="431" t="e">
        <f t="shared" ca="1" si="69"/>
        <v>#VALUE!</v>
      </c>
      <c r="U141" s="431" t="e">
        <f t="shared" ca="1" si="69"/>
        <v>#VALUE!</v>
      </c>
      <c r="V141" s="431" t="e">
        <f t="shared" ca="1" si="69"/>
        <v>#VALUE!</v>
      </c>
      <c r="W141" s="424"/>
    </row>
    <row r="142" spans="1:23">
      <c r="A142" s="424"/>
      <c r="B142" s="424"/>
      <c r="C142" s="424"/>
      <c r="D142" s="424" t="s">
        <v>573</v>
      </c>
      <c r="E142" s="424" t="s">
        <v>386</v>
      </c>
      <c r="F142" s="424"/>
      <c r="G142" s="424" t="s">
        <v>313</v>
      </c>
      <c r="H142" s="431">
        <f t="shared" ref="H142:V142" ca="1" si="70">ROUND(INDEX(FlowSetWTSettings,(MATCH($B141,FlowSetSimulationNumbers,0)+MATCH(H$32,FlowSetAnemometerWindSpeeds,0)),7),2)</f>
        <v>6</v>
      </c>
      <c r="I142" s="431">
        <f t="shared" ca="1" si="70"/>
        <v>6</v>
      </c>
      <c r="J142" s="431">
        <f t="shared" ca="1" si="70"/>
        <v>6</v>
      </c>
      <c r="K142" s="431">
        <f t="shared" ca="1" si="70"/>
        <v>6</v>
      </c>
      <c r="L142" s="431">
        <f t="shared" ca="1" si="70"/>
        <v>6</v>
      </c>
      <c r="M142" s="431">
        <f t="shared" ca="1" si="70"/>
        <v>6</v>
      </c>
      <c r="N142" s="431">
        <f t="shared" ca="1" si="70"/>
        <v>6</v>
      </c>
      <c r="O142" s="431">
        <f t="shared" ca="1" si="70"/>
        <v>6</v>
      </c>
      <c r="P142" s="431">
        <f t="shared" ca="1" si="70"/>
        <v>6</v>
      </c>
      <c r="Q142" s="431">
        <f t="shared" ca="1" si="70"/>
        <v>6</v>
      </c>
      <c r="R142" s="431">
        <f t="shared" ca="1" si="70"/>
        <v>6</v>
      </c>
      <c r="S142" s="431">
        <f t="shared" ca="1" si="70"/>
        <v>6</v>
      </c>
      <c r="T142" s="431">
        <f t="shared" ca="1" si="70"/>
        <v>6</v>
      </c>
      <c r="U142" s="431">
        <f t="shared" ca="1" si="70"/>
        <v>6</v>
      </c>
      <c r="V142" s="431">
        <f t="shared" ca="1" si="70"/>
        <v>6</v>
      </c>
      <c r="W142" s="424"/>
    </row>
    <row r="143" spans="1:23">
      <c r="A143" s="424"/>
      <c r="B143" s="424"/>
      <c r="C143" s="424" t="s">
        <v>255</v>
      </c>
      <c r="D143" s="424" t="s">
        <v>387</v>
      </c>
      <c r="E143" s="424" t="s">
        <v>386</v>
      </c>
      <c r="F143" s="424"/>
      <c r="G143" s="424"/>
      <c r="H143" s="426"/>
      <c r="I143" s="426"/>
      <c r="J143" s="426"/>
      <c r="K143" s="426"/>
      <c r="L143" s="426"/>
      <c r="M143" s="426"/>
      <c r="N143" s="426"/>
      <c r="O143" s="426"/>
      <c r="P143" s="426"/>
      <c r="Q143" s="426"/>
      <c r="R143" s="426"/>
      <c r="S143" s="424"/>
      <c r="T143" s="424"/>
      <c r="U143" s="424"/>
      <c r="V143" s="424"/>
      <c r="W143" s="424"/>
    </row>
    <row r="144" spans="1:23">
      <c r="A144" s="1081">
        <f>A141</f>
        <v>1</v>
      </c>
      <c r="B144" s="726" t="str">
        <f>IF((RIGHT(B141,1))&lt;&gt;"Z",CHAR(CODE(B141))&amp;CHAR(CODE(RIGHT(B141,1))+1),CHAR(CODE(B141)+1)&amp;"A")</f>
        <v>BJ</v>
      </c>
      <c r="C144" s="424"/>
      <c r="D144" s="429" t="str">
        <f>CONCATENATE($A$17,B144, ":",RIGHT(INDEX(FlowSetWTSettings,(MATCH($B144,FlowSetSimulationNumbers,0)),2),9),REPT(" ",9-MIN(9,LEN(INDEX(FlowSetWTSettings,(MATCH($B144,FlowSetSimulationNumbers,0)),2)))),$A$17,"  ")</f>
        <v xml:space="preserve">"BJ:B2 Kit-2 "  </v>
      </c>
      <c r="E144" s="429" t="str">
        <f>CONCATENATE($A$17,VLOOKUP(A144,$A$15:$B$16,2),REPT(" ",9-LEN(VLOOKUP(A144,$A$15:$B$16,2))),$A$17)</f>
        <v>"Land     "</v>
      </c>
      <c r="F144" s="430">
        <f ca="1">INDEX(FlowSetWTSettings,(MATCH($B144,FlowSetSimulationNumbers,0)),9)</f>
        <v>0.97430000000000005</v>
      </c>
      <c r="G144" s="424" t="s">
        <v>312</v>
      </c>
      <c r="H144" s="431" t="e">
        <f t="shared" ref="H144:V144" ca="1" si="71">ROUND(INDEX(FlowSetWTSettings,(MATCH($B144,FlowSetSimulationNumbers,0)+MATCH(H$32,FlowSetAnemometerWindSpeeds,0)),8),2)</f>
        <v>#VALUE!</v>
      </c>
      <c r="I144" s="431" t="e">
        <f t="shared" ca="1" si="71"/>
        <v>#VALUE!</v>
      </c>
      <c r="J144" s="431" t="e">
        <f t="shared" ca="1" si="71"/>
        <v>#VALUE!</v>
      </c>
      <c r="K144" s="431" t="e">
        <f t="shared" ca="1" si="71"/>
        <v>#VALUE!</v>
      </c>
      <c r="L144" s="431" t="e">
        <f t="shared" ca="1" si="71"/>
        <v>#VALUE!</v>
      </c>
      <c r="M144" s="431" t="e">
        <f t="shared" ca="1" si="71"/>
        <v>#VALUE!</v>
      </c>
      <c r="N144" s="431" t="e">
        <f t="shared" ca="1" si="71"/>
        <v>#VALUE!</v>
      </c>
      <c r="O144" s="431" t="e">
        <f t="shared" ca="1" si="71"/>
        <v>#VALUE!</v>
      </c>
      <c r="P144" s="431" t="e">
        <f t="shared" ca="1" si="71"/>
        <v>#VALUE!</v>
      </c>
      <c r="Q144" s="431" t="e">
        <f t="shared" ca="1" si="71"/>
        <v>#VALUE!</v>
      </c>
      <c r="R144" s="431" t="e">
        <f t="shared" ca="1" si="71"/>
        <v>#VALUE!</v>
      </c>
      <c r="S144" s="431" t="e">
        <f t="shared" ca="1" si="71"/>
        <v>#VALUE!</v>
      </c>
      <c r="T144" s="431" t="e">
        <f t="shared" ca="1" si="71"/>
        <v>#VALUE!</v>
      </c>
      <c r="U144" s="431" t="e">
        <f t="shared" ca="1" si="71"/>
        <v>#VALUE!</v>
      </c>
      <c r="V144" s="431" t="e">
        <f t="shared" ca="1" si="71"/>
        <v>#VALUE!</v>
      </c>
      <c r="W144" s="424"/>
    </row>
    <row r="145" spans="1:23">
      <c r="A145" s="424"/>
      <c r="B145" s="424"/>
      <c r="C145" s="424"/>
      <c r="D145" s="424" t="s">
        <v>573</v>
      </c>
      <c r="E145" s="424" t="s">
        <v>386</v>
      </c>
      <c r="F145" s="424"/>
      <c r="G145" s="424" t="s">
        <v>313</v>
      </c>
      <c r="H145" s="431">
        <f t="shared" ref="H145:V145" ca="1" si="72">ROUND(INDEX(FlowSetWTSettings,(MATCH($B144,FlowSetSimulationNumbers,0)+MATCH(H$32,FlowSetAnemometerWindSpeeds,0)),7),2)</f>
        <v>6</v>
      </c>
      <c r="I145" s="431">
        <f t="shared" ca="1" si="72"/>
        <v>6</v>
      </c>
      <c r="J145" s="431">
        <f t="shared" ca="1" si="72"/>
        <v>6</v>
      </c>
      <c r="K145" s="431">
        <f t="shared" ca="1" si="72"/>
        <v>6</v>
      </c>
      <c r="L145" s="431">
        <f t="shared" ca="1" si="72"/>
        <v>6</v>
      </c>
      <c r="M145" s="431">
        <f t="shared" ca="1" si="72"/>
        <v>6</v>
      </c>
      <c r="N145" s="431">
        <f t="shared" ca="1" si="72"/>
        <v>6</v>
      </c>
      <c r="O145" s="431">
        <f t="shared" ca="1" si="72"/>
        <v>6</v>
      </c>
      <c r="P145" s="431">
        <f t="shared" ca="1" si="72"/>
        <v>6</v>
      </c>
      <c r="Q145" s="431">
        <f t="shared" ca="1" si="72"/>
        <v>6</v>
      </c>
      <c r="R145" s="431">
        <f t="shared" ca="1" si="72"/>
        <v>6</v>
      </c>
      <c r="S145" s="431">
        <f t="shared" ca="1" si="72"/>
        <v>6</v>
      </c>
      <c r="T145" s="431">
        <f t="shared" ca="1" si="72"/>
        <v>6</v>
      </c>
      <c r="U145" s="431">
        <f t="shared" ca="1" si="72"/>
        <v>6</v>
      </c>
      <c r="V145" s="431">
        <f t="shared" ca="1" si="72"/>
        <v>6</v>
      </c>
      <c r="W145" s="424"/>
    </row>
    <row r="146" spans="1:23">
      <c r="A146" s="424"/>
      <c r="B146" s="424"/>
      <c r="C146" s="424" t="s">
        <v>255</v>
      </c>
      <c r="D146" s="424" t="s">
        <v>387</v>
      </c>
      <c r="E146" s="424" t="s">
        <v>386</v>
      </c>
      <c r="F146" s="424"/>
      <c r="G146" s="424"/>
      <c r="H146" s="426"/>
      <c r="I146" s="426"/>
      <c r="J146" s="426"/>
      <c r="K146" s="426"/>
      <c r="L146" s="426"/>
      <c r="M146" s="426"/>
      <c r="N146" s="426"/>
      <c r="O146" s="426"/>
      <c r="P146" s="426"/>
      <c r="Q146" s="426"/>
      <c r="R146" s="426"/>
      <c r="S146" s="424"/>
      <c r="T146" s="424"/>
      <c r="U146" s="424"/>
      <c r="V146" s="424"/>
      <c r="W146" s="424"/>
    </row>
    <row r="147" spans="1:23">
      <c r="A147" s="1081">
        <f>A144</f>
        <v>1</v>
      </c>
      <c r="B147" s="726" t="str">
        <f>IF((RIGHT(B144,1))&lt;&gt;"Z",CHAR(CODE(B144))&amp;CHAR(CODE(RIGHT(B144,1))+1),CHAR(CODE(B144)+1)&amp;"A")</f>
        <v>BK</v>
      </c>
      <c r="C147" s="424"/>
      <c r="D147" s="429" t="str">
        <f>CONCATENATE($A$17,B147, ":",RIGHT(INDEX(FlowSetWTSettings,(MATCH($B147,FlowSetSimulationNumbers,0)),2),9),REPT(" ",9-MIN(9,LEN(INDEX(FlowSetWTSettings,(MATCH($B147,FlowSetSimulationNumbers,0)),2)))),$A$17,"  ")</f>
        <v xml:space="preserve">"BK:B2 BSL3-1"  </v>
      </c>
      <c r="E147" s="429" t="str">
        <f>CONCATENATE($A$17,VLOOKUP(A147,$A$15:$B$16,2),REPT(" ",9-LEN(VLOOKUP(A147,$A$15:$B$16,2))),$A$17)</f>
        <v>"Land     "</v>
      </c>
      <c r="F147" s="430">
        <f ca="1">INDEX(FlowSetWTSettings,(MATCH($B147,FlowSetSimulationNumbers,0)),9)</f>
        <v>0.97430000000000005</v>
      </c>
      <c r="G147" s="424" t="s">
        <v>312</v>
      </c>
      <c r="H147" s="431" t="e">
        <f t="shared" ref="H147:V147" ca="1" si="73">ROUND(INDEX(FlowSetWTSettings,(MATCH($B147,FlowSetSimulationNumbers,0)+MATCH(H$32,FlowSetAnemometerWindSpeeds,0)),8),2)</f>
        <v>#VALUE!</v>
      </c>
      <c r="I147" s="431" t="e">
        <f t="shared" ca="1" si="73"/>
        <v>#VALUE!</v>
      </c>
      <c r="J147" s="431" t="e">
        <f t="shared" ca="1" si="73"/>
        <v>#VALUE!</v>
      </c>
      <c r="K147" s="431" t="e">
        <f t="shared" ca="1" si="73"/>
        <v>#VALUE!</v>
      </c>
      <c r="L147" s="431" t="e">
        <f t="shared" ca="1" si="73"/>
        <v>#VALUE!</v>
      </c>
      <c r="M147" s="431" t="e">
        <f t="shared" ca="1" si="73"/>
        <v>#VALUE!</v>
      </c>
      <c r="N147" s="431" t="e">
        <f t="shared" ca="1" si="73"/>
        <v>#VALUE!</v>
      </c>
      <c r="O147" s="431" t="e">
        <f t="shared" ca="1" si="73"/>
        <v>#VALUE!</v>
      </c>
      <c r="P147" s="431" t="e">
        <f t="shared" ca="1" si="73"/>
        <v>#VALUE!</v>
      </c>
      <c r="Q147" s="431" t="e">
        <f t="shared" ca="1" si="73"/>
        <v>#VALUE!</v>
      </c>
      <c r="R147" s="431" t="e">
        <f t="shared" ca="1" si="73"/>
        <v>#VALUE!</v>
      </c>
      <c r="S147" s="431" t="e">
        <f t="shared" ca="1" si="73"/>
        <v>#VALUE!</v>
      </c>
      <c r="T147" s="431" t="e">
        <f t="shared" ca="1" si="73"/>
        <v>#VALUE!</v>
      </c>
      <c r="U147" s="431" t="e">
        <f t="shared" ca="1" si="73"/>
        <v>#VALUE!</v>
      </c>
      <c r="V147" s="431" t="e">
        <f t="shared" ca="1" si="73"/>
        <v>#VALUE!</v>
      </c>
      <c r="W147" s="424"/>
    </row>
    <row r="148" spans="1:23">
      <c r="A148" s="424"/>
      <c r="B148" s="424"/>
      <c r="C148" s="424"/>
      <c r="D148" s="424" t="s">
        <v>573</v>
      </c>
      <c r="E148" s="424" t="s">
        <v>386</v>
      </c>
      <c r="F148" s="424"/>
      <c r="G148" s="424" t="s">
        <v>313</v>
      </c>
      <c r="H148" s="431">
        <f t="shared" ref="H148:V148" ca="1" si="74">ROUND(INDEX(FlowSetWTSettings,(MATCH($B147,FlowSetSimulationNumbers,0)+MATCH(H$32,FlowSetAnemometerWindSpeeds,0)),7),2)</f>
        <v>6</v>
      </c>
      <c r="I148" s="431">
        <f t="shared" ca="1" si="74"/>
        <v>6</v>
      </c>
      <c r="J148" s="431">
        <f t="shared" ca="1" si="74"/>
        <v>6</v>
      </c>
      <c r="K148" s="431">
        <f t="shared" ca="1" si="74"/>
        <v>6</v>
      </c>
      <c r="L148" s="431">
        <f t="shared" ca="1" si="74"/>
        <v>6</v>
      </c>
      <c r="M148" s="431">
        <f t="shared" ca="1" si="74"/>
        <v>6</v>
      </c>
      <c r="N148" s="431">
        <f t="shared" ca="1" si="74"/>
        <v>6</v>
      </c>
      <c r="O148" s="431">
        <f t="shared" ca="1" si="74"/>
        <v>6</v>
      </c>
      <c r="P148" s="431">
        <f t="shared" ca="1" si="74"/>
        <v>6</v>
      </c>
      <c r="Q148" s="431">
        <f t="shared" ca="1" si="74"/>
        <v>6</v>
      </c>
      <c r="R148" s="431">
        <f t="shared" ca="1" si="74"/>
        <v>6</v>
      </c>
      <c r="S148" s="431">
        <f t="shared" ca="1" si="74"/>
        <v>6</v>
      </c>
      <c r="T148" s="431">
        <f t="shared" ca="1" si="74"/>
        <v>6</v>
      </c>
      <c r="U148" s="431">
        <f t="shared" ca="1" si="74"/>
        <v>6</v>
      </c>
      <c r="V148" s="431">
        <f t="shared" ca="1" si="74"/>
        <v>6</v>
      </c>
      <c r="W148" s="424"/>
    </row>
    <row r="149" spans="1:23">
      <c r="A149" s="424"/>
      <c r="B149" s="424"/>
      <c r="C149" s="424" t="s">
        <v>255</v>
      </c>
      <c r="D149" s="424" t="s">
        <v>387</v>
      </c>
      <c r="E149" s="424" t="s">
        <v>386</v>
      </c>
      <c r="F149" s="424"/>
      <c r="G149" s="424"/>
      <c r="H149" s="426"/>
      <c r="I149" s="426"/>
      <c r="J149" s="426"/>
      <c r="K149" s="426"/>
      <c r="L149" s="426"/>
      <c r="M149" s="426"/>
      <c r="N149" s="426"/>
      <c r="O149" s="426"/>
      <c r="P149" s="426"/>
      <c r="Q149" s="426"/>
      <c r="R149" s="426"/>
      <c r="S149" s="424"/>
      <c r="T149" s="424"/>
      <c r="U149" s="424"/>
      <c r="V149" s="424"/>
      <c r="W149" s="424"/>
    </row>
    <row r="150" spans="1:23">
      <c r="A150" s="1081">
        <f>A147</f>
        <v>1</v>
      </c>
      <c r="B150" s="726" t="str">
        <f>IF((RIGHT(B147,1))&lt;&gt;"Z",CHAR(CODE(B147))&amp;CHAR(CODE(RIGHT(B147,1))+1),CHAR(CODE(B147)+1)&amp;"A")</f>
        <v>BL</v>
      </c>
      <c r="C150" s="424"/>
      <c r="D150" s="429" t="str">
        <f>CONCATENATE($A$17,B150, ":",RIGHT(INDEX(FlowSetWTSettings,(MATCH($B150,FlowSetSimulationNumbers,0)),2),9),REPT(" ",9-MIN(9,LEN(INDEX(FlowSetWTSettings,(MATCH($B150,FlowSetSimulationNumbers,0)),2)))),$A$17,"  ")</f>
        <v xml:space="preserve">"BL:B2 BSL3-2"  </v>
      </c>
      <c r="E150" s="429" t="str">
        <f>CONCATENATE($A$17,VLOOKUP(A150,$A$15:$B$16,2),REPT(" ",9-LEN(VLOOKUP(A150,$A$15:$B$16,2))),$A$17)</f>
        <v>"Land     "</v>
      </c>
      <c r="F150" s="430">
        <f ca="1">INDEX(FlowSetWTSettings,(MATCH($B150,FlowSetSimulationNumbers,0)),9)</f>
        <v>0.97430000000000005</v>
      </c>
      <c r="G150" s="424" t="s">
        <v>312</v>
      </c>
      <c r="H150" s="431" t="e">
        <f t="shared" ref="H150:V150" ca="1" si="75">ROUND(INDEX(FlowSetWTSettings,(MATCH($B150,FlowSetSimulationNumbers,0)+MATCH(H$32,FlowSetAnemometerWindSpeeds,0)),8),2)</f>
        <v>#VALUE!</v>
      </c>
      <c r="I150" s="431" t="e">
        <f t="shared" ca="1" si="75"/>
        <v>#VALUE!</v>
      </c>
      <c r="J150" s="431" t="e">
        <f t="shared" ca="1" si="75"/>
        <v>#VALUE!</v>
      </c>
      <c r="K150" s="431" t="e">
        <f t="shared" ca="1" si="75"/>
        <v>#VALUE!</v>
      </c>
      <c r="L150" s="431" t="e">
        <f t="shared" ca="1" si="75"/>
        <v>#VALUE!</v>
      </c>
      <c r="M150" s="431" t="e">
        <f t="shared" ca="1" si="75"/>
        <v>#VALUE!</v>
      </c>
      <c r="N150" s="431" t="e">
        <f t="shared" ca="1" si="75"/>
        <v>#VALUE!</v>
      </c>
      <c r="O150" s="431" t="e">
        <f t="shared" ca="1" si="75"/>
        <v>#VALUE!</v>
      </c>
      <c r="P150" s="431" t="e">
        <f t="shared" ca="1" si="75"/>
        <v>#VALUE!</v>
      </c>
      <c r="Q150" s="431" t="e">
        <f t="shared" ca="1" si="75"/>
        <v>#VALUE!</v>
      </c>
      <c r="R150" s="431" t="e">
        <f t="shared" ca="1" si="75"/>
        <v>#VALUE!</v>
      </c>
      <c r="S150" s="431" t="e">
        <f t="shared" ca="1" si="75"/>
        <v>#VALUE!</v>
      </c>
      <c r="T150" s="431" t="e">
        <f t="shared" ca="1" si="75"/>
        <v>#VALUE!</v>
      </c>
      <c r="U150" s="431" t="e">
        <f t="shared" ca="1" si="75"/>
        <v>#VALUE!</v>
      </c>
      <c r="V150" s="431" t="e">
        <f t="shared" ca="1" si="75"/>
        <v>#VALUE!</v>
      </c>
      <c r="W150" s="424"/>
    </row>
    <row r="151" spans="1:23">
      <c r="A151" s="424"/>
      <c r="B151" s="424"/>
      <c r="C151" s="424"/>
      <c r="D151" s="424" t="s">
        <v>573</v>
      </c>
      <c r="E151" s="424" t="s">
        <v>386</v>
      </c>
      <c r="F151" s="424"/>
      <c r="G151" s="424" t="s">
        <v>313</v>
      </c>
      <c r="H151" s="431">
        <f t="shared" ref="H151:V151" ca="1" si="76">ROUND(INDEX(FlowSetWTSettings,(MATCH($B150,FlowSetSimulationNumbers,0)+MATCH(H$32,FlowSetAnemometerWindSpeeds,0)),7),2)</f>
        <v>6</v>
      </c>
      <c r="I151" s="431">
        <f t="shared" ca="1" si="76"/>
        <v>6</v>
      </c>
      <c r="J151" s="431">
        <f t="shared" ca="1" si="76"/>
        <v>6</v>
      </c>
      <c r="K151" s="431">
        <f t="shared" ca="1" si="76"/>
        <v>6</v>
      </c>
      <c r="L151" s="431">
        <f t="shared" ca="1" si="76"/>
        <v>6</v>
      </c>
      <c r="M151" s="431">
        <f t="shared" ca="1" si="76"/>
        <v>6</v>
      </c>
      <c r="N151" s="431">
        <f t="shared" ca="1" si="76"/>
        <v>6</v>
      </c>
      <c r="O151" s="431">
        <f t="shared" ca="1" si="76"/>
        <v>6</v>
      </c>
      <c r="P151" s="431">
        <f t="shared" ca="1" si="76"/>
        <v>6</v>
      </c>
      <c r="Q151" s="431">
        <f t="shared" ca="1" si="76"/>
        <v>6</v>
      </c>
      <c r="R151" s="431">
        <f t="shared" ca="1" si="76"/>
        <v>6</v>
      </c>
      <c r="S151" s="431">
        <f t="shared" ca="1" si="76"/>
        <v>6</v>
      </c>
      <c r="T151" s="431">
        <f t="shared" ca="1" si="76"/>
        <v>6</v>
      </c>
      <c r="U151" s="431">
        <f t="shared" ca="1" si="76"/>
        <v>6</v>
      </c>
      <c r="V151" s="431">
        <f t="shared" ca="1" si="76"/>
        <v>6</v>
      </c>
      <c r="W151" s="424"/>
    </row>
    <row r="152" spans="1:23">
      <c r="A152" s="424"/>
      <c r="B152" s="424"/>
      <c r="C152" s="424" t="s">
        <v>255</v>
      </c>
      <c r="D152" s="424" t="s">
        <v>387</v>
      </c>
      <c r="E152" s="424" t="s">
        <v>386</v>
      </c>
      <c r="F152" s="424"/>
      <c r="G152" s="424"/>
      <c r="H152" s="426"/>
      <c r="I152" s="426"/>
      <c r="J152" s="426"/>
      <c r="K152" s="426"/>
      <c r="L152" s="426"/>
      <c r="M152" s="426"/>
      <c r="N152" s="426"/>
      <c r="O152" s="426"/>
      <c r="P152" s="426"/>
      <c r="Q152" s="426"/>
      <c r="R152" s="426"/>
      <c r="S152" s="424"/>
      <c r="T152" s="424"/>
      <c r="U152" s="424"/>
      <c r="V152" s="424"/>
      <c r="W152" s="424"/>
    </row>
    <row r="153" spans="1:23">
      <c r="A153" s="1081">
        <f>A150</f>
        <v>1</v>
      </c>
      <c r="B153" s="726" t="str">
        <f>IF((RIGHT(B150,1))&lt;&gt;"Z",CHAR(CODE(B150))&amp;CHAR(CODE(RIGHT(B150,1))+1),CHAR(CODE(B150)+1)&amp;"A")</f>
        <v>BM</v>
      </c>
      <c r="C153" s="424"/>
      <c r="D153" s="429" t="str">
        <f>CONCATENATE($A$17,B153, ":",RIGHT(INDEX(FlowSetWTSettings,(MATCH($B153,FlowSetSimulationNumbers,0)),2),9),REPT(" ",9-MIN(9,LEN(INDEX(FlowSetWTSettings,(MATCH($B153,FlowSetSimulationNumbers,0)),2)))),$A$17,"  ")</f>
        <v xml:space="preserve">"BM:B2 DT    "  </v>
      </c>
      <c r="E153" s="429" t="str">
        <f>CONCATENATE($A$17,VLOOKUP(A153,$A$15:$B$16,2),REPT(" ",9-LEN(VLOOKUP(A153,$A$15:$B$16,2))),$A$17)</f>
        <v>"Land     "</v>
      </c>
      <c r="F153" s="430">
        <f ca="1">INDEX(FlowSetWTSettings,(MATCH($B153,FlowSetSimulationNumbers,0)),9)</f>
        <v>0.97430000000000005</v>
      </c>
      <c r="G153" s="424" t="s">
        <v>312</v>
      </c>
      <c r="H153" s="431" t="e">
        <f t="shared" ref="H153:V153" ca="1" si="77">ROUND(INDEX(FlowSetWTSettings,(MATCH($B153,FlowSetSimulationNumbers,0)+MATCH(H$32,FlowSetAnemometerWindSpeeds,0)),8),2)</f>
        <v>#VALUE!</v>
      </c>
      <c r="I153" s="431" t="e">
        <f t="shared" ca="1" si="77"/>
        <v>#VALUE!</v>
      </c>
      <c r="J153" s="431" t="e">
        <f t="shared" ca="1" si="77"/>
        <v>#VALUE!</v>
      </c>
      <c r="K153" s="431" t="e">
        <f t="shared" ca="1" si="77"/>
        <v>#VALUE!</v>
      </c>
      <c r="L153" s="431" t="e">
        <f t="shared" ca="1" si="77"/>
        <v>#VALUE!</v>
      </c>
      <c r="M153" s="431" t="e">
        <f t="shared" ca="1" si="77"/>
        <v>#VALUE!</v>
      </c>
      <c r="N153" s="431" t="e">
        <f t="shared" ca="1" si="77"/>
        <v>#VALUE!</v>
      </c>
      <c r="O153" s="431" t="e">
        <f t="shared" ca="1" si="77"/>
        <v>#VALUE!</v>
      </c>
      <c r="P153" s="431" t="e">
        <f t="shared" ca="1" si="77"/>
        <v>#VALUE!</v>
      </c>
      <c r="Q153" s="431" t="e">
        <f t="shared" ca="1" si="77"/>
        <v>#VALUE!</v>
      </c>
      <c r="R153" s="431" t="e">
        <f t="shared" ca="1" si="77"/>
        <v>#VALUE!</v>
      </c>
      <c r="S153" s="431" t="e">
        <f t="shared" ca="1" si="77"/>
        <v>#VALUE!</v>
      </c>
      <c r="T153" s="431" t="e">
        <f t="shared" ca="1" si="77"/>
        <v>#VALUE!</v>
      </c>
      <c r="U153" s="431" t="e">
        <f t="shared" ca="1" si="77"/>
        <v>#VALUE!</v>
      </c>
      <c r="V153" s="431" t="e">
        <f t="shared" ca="1" si="77"/>
        <v>#VALUE!</v>
      </c>
      <c r="W153" s="424"/>
    </row>
    <row r="154" spans="1:23">
      <c r="A154" s="424"/>
      <c r="B154" s="424"/>
      <c r="C154" s="424"/>
      <c r="D154" s="424" t="s">
        <v>573</v>
      </c>
      <c r="E154" s="424" t="s">
        <v>386</v>
      </c>
      <c r="F154" s="424"/>
      <c r="G154" s="424" t="s">
        <v>313</v>
      </c>
      <c r="H154" s="431">
        <f t="shared" ref="H154:V154" ca="1" si="78">ROUND(INDEX(FlowSetWTSettings,(MATCH($B153,FlowSetSimulationNumbers,0)+MATCH(H$32,FlowSetAnemometerWindSpeeds,0)),7),2)</f>
        <v>6</v>
      </c>
      <c r="I154" s="431">
        <f t="shared" ca="1" si="78"/>
        <v>6</v>
      </c>
      <c r="J154" s="431">
        <f t="shared" ca="1" si="78"/>
        <v>6</v>
      </c>
      <c r="K154" s="431">
        <f t="shared" ca="1" si="78"/>
        <v>6</v>
      </c>
      <c r="L154" s="431">
        <f t="shared" ca="1" si="78"/>
        <v>6</v>
      </c>
      <c r="M154" s="431">
        <f t="shared" ca="1" si="78"/>
        <v>6</v>
      </c>
      <c r="N154" s="431">
        <f t="shared" ca="1" si="78"/>
        <v>6</v>
      </c>
      <c r="O154" s="431">
        <f t="shared" ca="1" si="78"/>
        <v>6</v>
      </c>
      <c r="P154" s="431">
        <f t="shared" ca="1" si="78"/>
        <v>6</v>
      </c>
      <c r="Q154" s="431">
        <f t="shared" ca="1" si="78"/>
        <v>6</v>
      </c>
      <c r="R154" s="431">
        <f t="shared" ca="1" si="78"/>
        <v>6</v>
      </c>
      <c r="S154" s="431">
        <f t="shared" ca="1" si="78"/>
        <v>6</v>
      </c>
      <c r="T154" s="431">
        <f t="shared" ca="1" si="78"/>
        <v>6</v>
      </c>
      <c r="U154" s="431">
        <f t="shared" ca="1" si="78"/>
        <v>6</v>
      </c>
      <c r="V154" s="431">
        <f t="shared" ca="1" si="78"/>
        <v>6</v>
      </c>
      <c r="W154" s="424"/>
    </row>
    <row r="155" spans="1:23">
      <c r="A155" s="424"/>
      <c r="B155" s="424"/>
      <c r="C155" s="424" t="s">
        <v>255</v>
      </c>
      <c r="D155" s="424" t="s">
        <v>387</v>
      </c>
      <c r="E155" s="424" t="s">
        <v>386</v>
      </c>
      <c r="F155" s="424"/>
      <c r="G155" s="424"/>
      <c r="H155" s="426"/>
      <c r="I155" s="426"/>
      <c r="J155" s="426"/>
      <c r="K155" s="426"/>
      <c r="L155" s="426"/>
      <c r="M155" s="426"/>
      <c r="N155" s="426"/>
      <c r="O155" s="426"/>
      <c r="P155" s="426"/>
      <c r="Q155" s="426"/>
      <c r="R155" s="426"/>
      <c r="S155" s="424"/>
      <c r="T155" s="424"/>
      <c r="U155" s="424"/>
      <c r="V155" s="424"/>
      <c r="W155" s="424"/>
    </row>
    <row r="156" spans="1:23">
      <c r="A156" s="1081">
        <f>A153</f>
        <v>1</v>
      </c>
      <c r="B156" s="726" t="str">
        <f>IF((RIGHT(B153,1))&lt;&gt;"Z",CHAR(CODE(B153))&amp;CHAR(CODE(RIGHT(B153,1))+1),CHAR(CODE(B153)+1)&amp;"A")</f>
        <v>BN</v>
      </c>
      <c r="C156" s="424"/>
      <c r="D156" s="429" t="str">
        <f>CONCATENATE($A$17,B156, ":",RIGHT(INDEX(FlowSetWTSettings,(MATCH($B156,FlowSetSimulationNumbers,0)),2),9),REPT(" ",9-MIN(9,LEN(INDEX(FlowSetWTSettings,(MATCH($B156,FlowSetSimulationNumbers,0)),2)))),$A$17,"  ")</f>
        <v xml:space="preserve">"BN:B2 DG    "  </v>
      </c>
      <c r="E156" s="429" t="str">
        <f>CONCATENATE($A$17,VLOOKUP(A156,$A$15:$B$16,2),REPT(" ",9-LEN(VLOOKUP(A156,$A$15:$B$16,2))),$A$17)</f>
        <v>"Land     "</v>
      </c>
      <c r="F156" s="430">
        <f ca="1">INDEX(FlowSetWTSettings,(MATCH($B156,FlowSetSimulationNumbers,0)),9)</f>
        <v>0.97430000000000005</v>
      </c>
      <c r="G156" s="424" t="s">
        <v>312</v>
      </c>
      <c r="H156" s="431" t="e">
        <f t="shared" ref="H156:V156" ca="1" si="79">ROUND(INDEX(FlowSetWTSettings,(MATCH($B156,FlowSetSimulationNumbers,0)+MATCH(H$32,FlowSetAnemometerWindSpeeds,0)),8),2)</f>
        <v>#VALUE!</v>
      </c>
      <c r="I156" s="431" t="e">
        <f t="shared" ca="1" si="79"/>
        <v>#VALUE!</v>
      </c>
      <c r="J156" s="431" t="e">
        <f t="shared" ca="1" si="79"/>
        <v>#VALUE!</v>
      </c>
      <c r="K156" s="431" t="e">
        <f t="shared" ca="1" si="79"/>
        <v>#VALUE!</v>
      </c>
      <c r="L156" s="431" t="e">
        <f t="shared" ca="1" si="79"/>
        <v>#VALUE!</v>
      </c>
      <c r="M156" s="431" t="e">
        <f t="shared" ca="1" si="79"/>
        <v>#VALUE!</v>
      </c>
      <c r="N156" s="431" t="e">
        <f t="shared" ca="1" si="79"/>
        <v>#VALUE!</v>
      </c>
      <c r="O156" s="431" t="e">
        <f t="shared" ca="1" si="79"/>
        <v>#VALUE!</v>
      </c>
      <c r="P156" s="431" t="e">
        <f t="shared" ca="1" si="79"/>
        <v>#VALUE!</v>
      </c>
      <c r="Q156" s="431" t="e">
        <f t="shared" ca="1" si="79"/>
        <v>#VALUE!</v>
      </c>
      <c r="R156" s="431" t="e">
        <f t="shared" ca="1" si="79"/>
        <v>#VALUE!</v>
      </c>
      <c r="S156" s="431" t="e">
        <f t="shared" ca="1" si="79"/>
        <v>#VALUE!</v>
      </c>
      <c r="T156" s="431" t="e">
        <f t="shared" ca="1" si="79"/>
        <v>#VALUE!</v>
      </c>
      <c r="U156" s="431" t="e">
        <f t="shared" ca="1" si="79"/>
        <v>#VALUE!</v>
      </c>
      <c r="V156" s="431" t="e">
        <f t="shared" ca="1" si="79"/>
        <v>#VALUE!</v>
      </c>
      <c r="W156" s="424"/>
    </row>
    <row r="157" spans="1:23">
      <c r="A157" s="424"/>
      <c r="B157" s="424"/>
      <c r="C157" s="424"/>
      <c r="D157" s="424" t="s">
        <v>573</v>
      </c>
      <c r="E157" s="424" t="s">
        <v>386</v>
      </c>
      <c r="F157" s="424"/>
      <c r="G157" s="424" t="s">
        <v>313</v>
      </c>
      <c r="H157" s="431">
        <f t="shared" ref="H157:V157" ca="1" si="80">ROUND(INDEX(FlowSetWTSettings,(MATCH($B156,FlowSetSimulationNumbers,0)+MATCH(H$32,FlowSetAnemometerWindSpeeds,0)),7),2)</f>
        <v>6</v>
      </c>
      <c r="I157" s="431">
        <f t="shared" ca="1" si="80"/>
        <v>6</v>
      </c>
      <c r="J157" s="431">
        <f t="shared" ca="1" si="80"/>
        <v>6</v>
      </c>
      <c r="K157" s="431">
        <f t="shared" ca="1" si="80"/>
        <v>6</v>
      </c>
      <c r="L157" s="431">
        <f t="shared" ca="1" si="80"/>
        <v>6</v>
      </c>
      <c r="M157" s="431">
        <f t="shared" ca="1" si="80"/>
        <v>6</v>
      </c>
      <c r="N157" s="431">
        <f t="shared" ca="1" si="80"/>
        <v>6</v>
      </c>
      <c r="O157" s="431">
        <f t="shared" ca="1" si="80"/>
        <v>6</v>
      </c>
      <c r="P157" s="431">
        <f t="shared" ca="1" si="80"/>
        <v>6</v>
      </c>
      <c r="Q157" s="431">
        <f t="shared" ca="1" si="80"/>
        <v>6</v>
      </c>
      <c r="R157" s="431">
        <f t="shared" ca="1" si="80"/>
        <v>6</v>
      </c>
      <c r="S157" s="431">
        <f t="shared" ca="1" si="80"/>
        <v>6</v>
      </c>
      <c r="T157" s="431">
        <f t="shared" ca="1" si="80"/>
        <v>6</v>
      </c>
      <c r="U157" s="431">
        <f t="shared" ca="1" si="80"/>
        <v>6</v>
      </c>
      <c r="V157" s="431">
        <f t="shared" ca="1" si="80"/>
        <v>6</v>
      </c>
      <c r="W157" s="424"/>
    </row>
    <row r="158" spans="1:23">
      <c r="A158" s="424"/>
      <c r="B158" s="424"/>
      <c r="C158" s="424" t="s">
        <v>255</v>
      </c>
      <c r="D158" s="424" t="s">
        <v>387</v>
      </c>
      <c r="E158" s="424" t="s">
        <v>386</v>
      </c>
      <c r="F158" s="424"/>
      <c r="G158" s="424"/>
      <c r="H158" s="426"/>
      <c r="I158" s="426"/>
      <c r="J158" s="426"/>
      <c r="K158" s="426"/>
      <c r="L158" s="426"/>
      <c r="M158" s="426"/>
      <c r="N158" s="426"/>
      <c r="O158" s="426"/>
      <c r="P158" s="426"/>
      <c r="Q158" s="426"/>
      <c r="R158" s="426"/>
      <c r="S158" s="424"/>
      <c r="T158" s="424"/>
      <c r="U158" s="424"/>
      <c r="V158" s="424"/>
      <c r="W158" s="424"/>
    </row>
    <row r="159" spans="1:23">
      <c r="A159" s="1081">
        <f>A156</f>
        <v>1</v>
      </c>
      <c r="B159" s="726" t="str">
        <f>IF((RIGHT(B156,1))&lt;&gt;"Z",CHAR(CODE(B156))&amp;CHAR(CODE(RIGHT(B156,1))+1),CHAR(CODE(B156)+1)&amp;"A")</f>
        <v>BO</v>
      </c>
      <c r="C159" s="424"/>
      <c r="D159" s="429" t="e">
        <f>CONCATENATE($A$17,B159, ":",RIGHT(INDEX(FlowSetWTSettings,(MATCH($B159,FlowSetSimulationNumbers,0)),2),9),REPT(" ",9-MIN(9,LEN(INDEX(FlowSetWTSettings,(MATCH($B159,FlowSetSimulationNumbers,0)),2)))),$A$17,"  ")</f>
        <v>#N/A</v>
      </c>
      <c r="E159" s="429" t="str">
        <f>CONCATENATE($A$17,VLOOKUP(A159,$A$15:$B$16,2),REPT(" ",9-LEN(VLOOKUP(A159,$A$15:$B$16,2))),$A$17)</f>
        <v>"Land     "</v>
      </c>
      <c r="F159" s="430" t="e">
        <f ca="1">INDEX(FlowSetWTSettings,(MATCH($B159,FlowSetSimulationNumbers,0)),9)</f>
        <v>#N/A</v>
      </c>
      <c r="G159" s="424" t="s">
        <v>312</v>
      </c>
      <c r="H159" s="431" t="e">
        <f t="shared" ref="H159:V159" ca="1" si="81">ROUND(INDEX(FlowSetWTSettings,(MATCH($B159,FlowSetSimulationNumbers,0)+MATCH(H$32,FlowSetAnemometerWindSpeeds,0)),8),2)</f>
        <v>#N/A</v>
      </c>
      <c r="I159" s="431" t="e">
        <f t="shared" ca="1" si="81"/>
        <v>#N/A</v>
      </c>
      <c r="J159" s="431" t="e">
        <f t="shared" ca="1" si="81"/>
        <v>#N/A</v>
      </c>
      <c r="K159" s="431" t="e">
        <f t="shared" ca="1" si="81"/>
        <v>#N/A</v>
      </c>
      <c r="L159" s="431" t="e">
        <f t="shared" ca="1" si="81"/>
        <v>#N/A</v>
      </c>
      <c r="M159" s="431" t="e">
        <f t="shared" ca="1" si="81"/>
        <v>#N/A</v>
      </c>
      <c r="N159" s="431" t="e">
        <f t="shared" ca="1" si="81"/>
        <v>#N/A</v>
      </c>
      <c r="O159" s="431" t="e">
        <f t="shared" ca="1" si="81"/>
        <v>#N/A</v>
      </c>
      <c r="P159" s="431" t="e">
        <f t="shared" ca="1" si="81"/>
        <v>#N/A</v>
      </c>
      <c r="Q159" s="431" t="e">
        <f t="shared" ca="1" si="81"/>
        <v>#N/A</v>
      </c>
      <c r="R159" s="431" t="e">
        <f t="shared" ca="1" si="81"/>
        <v>#N/A</v>
      </c>
      <c r="S159" s="431" t="e">
        <f t="shared" ca="1" si="81"/>
        <v>#N/A</v>
      </c>
      <c r="T159" s="431" t="e">
        <f t="shared" ca="1" si="81"/>
        <v>#N/A</v>
      </c>
      <c r="U159" s="431" t="e">
        <f t="shared" ca="1" si="81"/>
        <v>#N/A</v>
      </c>
      <c r="V159" s="431" t="e">
        <f t="shared" ca="1" si="81"/>
        <v>#N/A</v>
      </c>
      <c r="W159" s="424"/>
    </row>
    <row r="160" spans="1:23">
      <c r="A160" s="424"/>
      <c r="B160" s="424"/>
      <c r="C160" s="424"/>
      <c r="D160" s="424" t="s">
        <v>573</v>
      </c>
      <c r="E160" s="424" t="s">
        <v>386</v>
      </c>
      <c r="F160" s="424"/>
      <c r="G160" s="424" t="s">
        <v>313</v>
      </c>
      <c r="H160" s="431" t="e">
        <f t="shared" ref="H160:V160" ca="1" si="82">ROUND(INDEX(FlowSetWTSettings,(MATCH($B159,FlowSetSimulationNumbers,0)+MATCH(H$32,FlowSetAnemometerWindSpeeds,0)),7),2)</f>
        <v>#N/A</v>
      </c>
      <c r="I160" s="431" t="e">
        <f t="shared" ca="1" si="82"/>
        <v>#N/A</v>
      </c>
      <c r="J160" s="431" t="e">
        <f t="shared" ca="1" si="82"/>
        <v>#N/A</v>
      </c>
      <c r="K160" s="431" t="e">
        <f t="shared" ca="1" si="82"/>
        <v>#N/A</v>
      </c>
      <c r="L160" s="431" t="e">
        <f t="shared" ca="1" si="82"/>
        <v>#N/A</v>
      </c>
      <c r="M160" s="431" t="e">
        <f t="shared" ca="1" si="82"/>
        <v>#N/A</v>
      </c>
      <c r="N160" s="431" t="e">
        <f t="shared" ca="1" si="82"/>
        <v>#N/A</v>
      </c>
      <c r="O160" s="431" t="e">
        <f t="shared" ca="1" si="82"/>
        <v>#N/A</v>
      </c>
      <c r="P160" s="431" t="e">
        <f t="shared" ca="1" si="82"/>
        <v>#N/A</v>
      </c>
      <c r="Q160" s="431" t="e">
        <f t="shared" ca="1" si="82"/>
        <v>#N/A</v>
      </c>
      <c r="R160" s="431" t="e">
        <f t="shared" ca="1" si="82"/>
        <v>#N/A</v>
      </c>
      <c r="S160" s="431" t="e">
        <f t="shared" ca="1" si="82"/>
        <v>#N/A</v>
      </c>
      <c r="T160" s="431" t="e">
        <f t="shared" ca="1" si="82"/>
        <v>#N/A</v>
      </c>
      <c r="U160" s="431" t="e">
        <f t="shared" ca="1" si="82"/>
        <v>#N/A</v>
      </c>
      <c r="V160" s="431" t="e">
        <f t="shared" ca="1" si="82"/>
        <v>#N/A</v>
      </c>
      <c r="W160" s="424"/>
    </row>
    <row r="161" spans="1:23">
      <c r="A161" s="424"/>
      <c r="B161" s="424"/>
      <c r="C161" s="424" t="s">
        <v>255</v>
      </c>
      <c r="D161" s="424" t="s">
        <v>387</v>
      </c>
      <c r="E161" s="424" t="s">
        <v>386</v>
      </c>
      <c r="F161" s="424"/>
      <c r="G161" s="424"/>
      <c r="H161" s="426"/>
      <c r="I161" s="426"/>
      <c r="J161" s="426"/>
      <c r="K161" s="426"/>
      <c r="L161" s="426"/>
      <c r="M161" s="426"/>
      <c r="N161" s="426"/>
      <c r="O161" s="426"/>
      <c r="P161" s="426"/>
      <c r="Q161" s="426"/>
      <c r="R161" s="426"/>
      <c r="S161" s="424"/>
      <c r="T161" s="424"/>
      <c r="U161" s="424"/>
      <c r="V161" s="424"/>
      <c r="W161" s="424"/>
    </row>
    <row r="162" spans="1:23">
      <c r="A162" s="1081">
        <f>A159</f>
        <v>1</v>
      </c>
      <c r="B162" s="726" t="str">
        <f>IF((RIGHT(B159,1))&lt;&gt;"Z",CHAR(CODE(B159))&amp;CHAR(CODE(RIGHT(B159,1))+1),CHAR(CODE(B159)+1)&amp;"A")</f>
        <v>BP</v>
      </c>
      <c r="C162" s="424"/>
      <c r="D162" s="429" t="e">
        <f>CONCATENATE($A$17,B162, ":",RIGHT(INDEX(FlowSetWTSettings,(MATCH($B162,FlowSetSimulationNumbers,0)),2),9),REPT(" ",9-MIN(9,LEN(INDEX(FlowSetWTSettings,(MATCH($B162,FlowSetSimulationNumbers,0)),2)))),$A$17,"  ")</f>
        <v>#N/A</v>
      </c>
      <c r="E162" s="429" t="str">
        <f>CONCATENATE($A$17,VLOOKUP(A162,$A$15:$B$16,2),REPT(" ",9-LEN(VLOOKUP(A162,$A$15:$B$16,2))),$A$17)</f>
        <v>"Land     "</v>
      </c>
      <c r="F162" s="430" t="e">
        <f ca="1">INDEX(FlowSetWTSettings,(MATCH($B162,FlowSetSimulationNumbers,0)),9)</f>
        <v>#N/A</v>
      </c>
      <c r="G162" s="424" t="s">
        <v>312</v>
      </c>
      <c r="H162" s="431" t="e">
        <f t="shared" ref="H162:V162" ca="1" si="83">ROUND(INDEX(FlowSetWTSettings,(MATCH($B162,FlowSetSimulationNumbers,0)+MATCH(H$32,FlowSetAnemometerWindSpeeds,0)),8),2)</f>
        <v>#N/A</v>
      </c>
      <c r="I162" s="431" t="e">
        <f t="shared" ca="1" si="83"/>
        <v>#N/A</v>
      </c>
      <c r="J162" s="431" t="e">
        <f t="shared" ca="1" si="83"/>
        <v>#N/A</v>
      </c>
      <c r="K162" s="431" t="e">
        <f t="shared" ca="1" si="83"/>
        <v>#N/A</v>
      </c>
      <c r="L162" s="431" t="e">
        <f t="shared" ca="1" si="83"/>
        <v>#N/A</v>
      </c>
      <c r="M162" s="431" t="e">
        <f t="shared" ca="1" si="83"/>
        <v>#N/A</v>
      </c>
      <c r="N162" s="431" t="e">
        <f t="shared" ca="1" si="83"/>
        <v>#N/A</v>
      </c>
      <c r="O162" s="431" t="e">
        <f t="shared" ca="1" si="83"/>
        <v>#N/A</v>
      </c>
      <c r="P162" s="431" t="e">
        <f t="shared" ca="1" si="83"/>
        <v>#N/A</v>
      </c>
      <c r="Q162" s="431" t="e">
        <f t="shared" ca="1" si="83"/>
        <v>#N/A</v>
      </c>
      <c r="R162" s="431" t="e">
        <f t="shared" ca="1" si="83"/>
        <v>#N/A</v>
      </c>
      <c r="S162" s="431" t="e">
        <f t="shared" ca="1" si="83"/>
        <v>#N/A</v>
      </c>
      <c r="T162" s="431" t="e">
        <f t="shared" ca="1" si="83"/>
        <v>#N/A</v>
      </c>
      <c r="U162" s="431" t="e">
        <f t="shared" ca="1" si="83"/>
        <v>#N/A</v>
      </c>
      <c r="V162" s="431" t="e">
        <f t="shared" ca="1" si="83"/>
        <v>#N/A</v>
      </c>
      <c r="W162" s="424"/>
    </row>
    <row r="163" spans="1:23">
      <c r="A163" s="424"/>
      <c r="B163" s="424"/>
      <c r="C163" s="424"/>
      <c r="D163" s="424" t="s">
        <v>573</v>
      </c>
      <c r="E163" s="424" t="s">
        <v>386</v>
      </c>
      <c r="F163" s="424"/>
      <c r="G163" s="424" t="s">
        <v>313</v>
      </c>
      <c r="H163" s="431" t="e">
        <f t="shared" ref="H163:V163" ca="1" si="84">ROUND(INDEX(FlowSetWTSettings,(MATCH($B162,FlowSetSimulationNumbers,0)+MATCH(H$32,FlowSetAnemometerWindSpeeds,0)),7),2)</f>
        <v>#N/A</v>
      </c>
      <c r="I163" s="431" t="e">
        <f t="shared" ca="1" si="84"/>
        <v>#N/A</v>
      </c>
      <c r="J163" s="431" t="e">
        <f t="shared" ca="1" si="84"/>
        <v>#N/A</v>
      </c>
      <c r="K163" s="431" t="e">
        <f t="shared" ca="1" si="84"/>
        <v>#N/A</v>
      </c>
      <c r="L163" s="431" t="e">
        <f t="shared" ca="1" si="84"/>
        <v>#N/A</v>
      </c>
      <c r="M163" s="431" t="e">
        <f t="shared" ca="1" si="84"/>
        <v>#N/A</v>
      </c>
      <c r="N163" s="431" t="e">
        <f t="shared" ca="1" si="84"/>
        <v>#N/A</v>
      </c>
      <c r="O163" s="431" t="e">
        <f t="shared" ca="1" si="84"/>
        <v>#N/A</v>
      </c>
      <c r="P163" s="431" t="e">
        <f t="shared" ca="1" si="84"/>
        <v>#N/A</v>
      </c>
      <c r="Q163" s="431" t="e">
        <f t="shared" ca="1" si="84"/>
        <v>#N/A</v>
      </c>
      <c r="R163" s="431" t="e">
        <f t="shared" ca="1" si="84"/>
        <v>#N/A</v>
      </c>
      <c r="S163" s="431" t="e">
        <f t="shared" ca="1" si="84"/>
        <v>#N/A</v>
      </c>
      <c r="T163" s="431" t="e">
        <f t="shared" ca="1" si="84"/>
        <v>#N/A</v>
      </c>
      <c r="U163" s="431" t="e">
        <f t="shared" ca="1" si="84"/>
        <v>#N/A</v>
      </c>
      <c r="V163" s="431" t="e">
        <f t="shared" ca="1" si="84"/>
        <v>#N/A</v>
      </c>
      <c r="W163" s="424"/>
    </row>
    <row r="164" spans="1:23">
      <c r="A164" s="424"/>
      <c r="B164" s="424"/>
      <c r="C164" s="424" t="s">
        <v>255</v>
      </c>
      <c r="D164" s="424" t="s">
        <v>387</v>
      </c>
      <c r="E164" s="424" t="s">
        <v>386</v>
      </c>
      <c r="F164" s="424"/>
      <c r="G164" s="424"/>
      <c r="H164" s="426"/>
      <c r="I164" s="426"/>
      <c r="J164" s="426"/>
      <c r="K164" s="426"/>
      <c r="L164" s="426"/>
      <c r="M164" s="426"/>
      <c r="N164" s="426"/>
      <c r="O164" s="426"/>
      <c r="P164" s="426"/>
      <c r="Q164" s="426"/>
      <c r="R164" s="426"/>
      <c r="S164" s="424"/>
      <c r="T164" s="424"/>
      <c r="U164" s="424"/>
      <c r="V164" s="424"/>
      <c r="W164" s="424"/>
    </row>
    <row r="165" spans="1:23">
      <c r="A165" s="1081">
        <f>A162</f>
        <v>1</v>
      </c>
      <c r="B165" s="726" t="str">
        <f>IF((RIGHT(B162,1))&lt;&gt;"Z",CHAR(CODE(B162))&amp;CHAR(CODE(RIGHT(B162,1))+1),CHAR(CODE(B162)+1)&amp;"A")</f>
        <v>BQ</v>
      </c>
      <c r="C165" s="424"/>
      <c r="D165" s="429" t="e">
        <f>CONCATENATE($A$17,B165, ":",RIGHT(INDEX(FlowSetWTSettings,(MATCH($B165,FlowSetSimulationNumbers,0)),2),9),REPT(" ",9-MIN(9,LEN(INDEX(FlowSetWTSettings,(MATCH($B165,FlowSetSimulationNumbers,0)),2)))),$A$17,"  ")</f>
        <v>#N/A</v>
      </c>
      <c r="E165" s="429" t="str">
        <f>CONCATENATE($A$17,VLOOKUP(A165,$A$15:$B$16,2),REPT(" ",9-LEN(VLOOKUP(A165,$A$15:$B$16,2))),$A$17)</f>
        <v>"Land     "</v>
      </c>
      <c r="F165" s="430" t="e">
        <f ca="1">INDEX(FlowSetWTSettings,(MATCH($B165,FlowSetSimulationNumbers,0)),9)</f>
        <v>#N/A</v>
      </c>
      <c r="G165" s="424" t="s">
        <v>312</v>
      </c>
      <c r="H165" s="431" t="e">
        <f t="shared" ref="H165:V165" ca="1" si="85">ROUND(INDEX(FlowSetWTSettings,(MATCH($B165,FlowSetSimulationNumbers,0)+MATCH(H$32,FlowSetAnemometerWindSpeeds,0)),8),2)</f>
        <v>#N/A</v>
      </c>
      <c r="I165" s="431" t="e">
        <f t="shared" ca="1" si="85"/>
        <v>#N/A</v>
      </c>
      <c r="J165" s="431" t="e">
        <f t="shared" ca="1" si="85"/>
        <v>#N/A</v>
      </c>
      <c r="K165" s="431" t="e">
        <f t="shared" ca="1" si="85"/>
        <v>#N/A</v>
      </c>
      <c r="L165" s="431" t="e">
        <f t="shared" ca="1" si="85"/>
        <v>#N/A</v>
      </c>
      <c r="M165" s="431" t="e">
        <f t="shared" ca="1" si="85"/>
        <v>#N/A</v>
      </c>
      <c r="N165" s="431" t="e">
        <f t="shared" ca="1" si="85"/>
        <v>#N/A</v>
      </c>
      <c r="O165" s="431" t="e">
        <f t="shared" ca="1" si="85"/>
        <v>#N/A</v>
      </c>
      <c r="P165" s="431" t="e">
        <f t="shared" ca="1" si="85"/>
        <v>#N/A</v>
      </c>
      <c r="Q165" s="431" t="e">
        <f t="shared" ca="1" si="85"/>
        <v>#N/A</v>
      </c>
      <c r="R165" s="431" t="e">
        <f t="shared" ca="1" si="85"/>
        <v>#N/A</v>
      </c>
      <c r="S165" s="431" t="e">
        <f t="shared" ca="1" si="85"/>
        <v>#N/A</v>
      </c>
      <c r="T165" s="431" t="e">
        <f t="shared" ca="1" si="85"/>
        <v>#N/A</v>
      </c>
      <c r="U165" s="431" t="e">
        <f t="shared" ca="1" si="85"/>
        <v>#N/A</v>
      </c>
      <c r="V165" s="431" t="e">
        <f t="shared" ca="1" si="85"/>
        <v>#N/A</v>
      </c>
      <c r="W165" s="424"/>
    </row>
    <row r="166" spans="1:23">
      <c r="A166" s="424"/>
      <c r="B166" s="424"/>
      <c r="C166" s="424"/>
      <c r="D166" s="424" t="s">
        <v>573</v>
      </c>
      <c r="E166" s="424" t="s">
        <v>386</v>
      </c>
      <c r="F166" s="424"/>
      <c r="G166" s="424" t="s">
        <v>313</v>
      </c>
      <c r="H166" s="431" t="e">
        <f t="shared" ref="H166:V166" ca="1" si="86">ROUND(INDEX(FlowSetWTSettings,(MATCH($B165,FlowSetSimulationNumbers,0)+MATCH(H$32,FlowSetAnemometerWindSpeeds,0)),7),2)</f>
        <v>#N/A</v>
      </c>
      <c r="I166" s="431" t="e">
        <f t="shared" ca="1" si="86"/>
        <v>#N/A</v>
      </c>
      <c r="J166" s="431" t="e">
        <f t="shared" ca="1" si="86"/>
        <v>#N/A</v>
      </c>
      <c r="K166" s="431" t="e">
        <f t="shared" ca="1" si="86"/>
        <v>#N/A</v>
      </c>
      <c r="L166" s="431" t="e">
        <f t="shared" ca="1" si="86"/>
        <v>#N/A</v>
      </c>
      <c r="M166" s="431" t="e">
        <f t="shared" ca="1" si="86"/>
        <v>#N/A</v>
      </c>
      <c r="N166" s="431" t="e">
        <f t="shared" ca="1" si="86"/>
        <v>#N/A</v>
      </c>
      <c r="O166" s="431" t="e">
        <f t="shared" ca="1" si="86"/>
        <v>#N/A</v>
      </c>
      <c r="P166" s="431" t="e">
        <f t="shared" ca="1" si="86"/>
        <v>#N/A</v>
      </c>
      <c r="Q166" s="431" t="e">
        <f t="shared" ca="1" si="86"/>
        <v>#N/A</v>
      </c>
      <c r="R166" s="431" t="e">
        <f t="shared" ca="1" si="86"/>
        <v>#N/A</v>
      </c>
      <c r="S166" s="431" t="e">
        <f t="shared" ca="1" si="86"/>
        <v>#N/A</v>
      </c>
      <c r="T166" s="431" t="e">
        <f t="shared" ca="1" si="86"/>
        <v>#N/A</v>
      </c>
      <c r="U166" s="431" t="e">
        <f t="shared" ca="1" si="86"/>
        <v>#N/A</v>
      </c>
      <c r="V166" s="431" t="e">
        <f t="shared" ca="1" si="86"/>
        <v>#N/A</v>
      </c>
      <c r="W166" s="424"/>
    </row>
    <row r="167" spans="1:23">
      <c r="A167" s="424"/>
      <c r="B167" s="424"/>
      <c r="C167" s="424" t="s">
        <v>255</v>
      </c>
      <c r="D167" s="424" t="s">
        <v>387</v>
      </c>
      <c r="E167" s="424" t="s">
        <v>386</v>
      </c>
      <c r="F167" s="424"/>
      <c r="G167" s="424"/>
      <c r="H167" s="426"/>
      <c r="I167" s="426"/>
      <c r="J167" s="426"/>
      <c r="K167" s="426"/>
      <c r="L167" s="426"/>
      <c r="M167" s="426"/>
      <c r="N167" s="426"/>
      <c r="O167" s="426"/>
      <c r="P167" s="426"/>
      <c r="Q167" s="426"/>
      <c r="R167" s="426"/>
      <c r="S167" s="424"/>
      <c r="T167" s="424"/>
      <c r="U167" s="424"/>
      <c r="V167" s="424"/>
      <c r="W167" s="424"/>
    </row>
    <row r="168" spans="1:23">
      <c r="A168" s="1081">
        <f>A165</f>
        <v>1</v>
      </c>
      <c r="B168" s="726" t="str">
        <f>IF((RIGHT(B165,1))&lt;&gt;"Z",CHAR(CODE(B165))&amp;CHAR(CODE(RIGHT(B165,1))+1),CHAR(CODE(B165)+1)&amp;"A")</f>
        <v>BR</v>
      </c>
      <c r="C168" s="424"/>
      <c r="D168" s="429" t="e">
        <f>CONCATENATE($A$17,B168, ":",RIGHT(INDEX(FlowSetWTSettings,(MATCH($B168,FlowSetSimulationNumbers,0)),2),9),REPT(" ",9-MIN(9,LEN(INDEX(FlowSetWTSettings,(MATCH($B168,FlowSetSimulationNumbers,0)),2)))),$A$17,"  ")</f>
        <v>#N/A</v>
      </c>
      <c r="E168" s="429" t="str">
        <f>CONCATENATE($A$17,VLOOKUP(A168,$A$15:$B$16,2),REPT(" ",9-LEN(VLOOKUP(A168,$A$15:$B$16,2))),$A$17)</f>
        <v>"Land     "</v>
      </c>
      <c r="F168" s="430" t="e">
        <f ca="1">INDEX(FlowSetWTSettings,(MATCH($B168,FlowSetSimulationNumbers,0)),9)</f>
        <v>#REF!</v>
      </c>
      <c r="G168" s="424" t="s">
        <v>312</v>
      </c>
      <c r="H168" s="431" t="e">
        <f t="shared" ref="H168:V168" ca="1" si="87">ROUND(INDEX(FlowSetWTSettings,(MATCH($B168,FlowSetSimulationNumbers,0)+MATCH(H$32,FlowSetAnemometerWindSpeeds,0)),8),2)</f>
        <v>#REF!</v>
      </c>
      <c r="I168" s="431" t="e">
        <f t="shared" ca="1" si="87"/>
        <v>#REF!</v>
      </c>
      <c r="J168" s="431" t="e">
        <f t="shared" ca="1" si="87"/>
        <v>#REF!</v>
      </c>
      <c r="K168" s="431" t="e">
        <f t="shared" ca="1" si="87"/>
        <v>#REF!</v>
      </c>
      <c r="L168" s="431" t="e">
        <f t="shared" ca="1" si="87"/>
        <v>#REF!</v>
      </c>
      <c r="M168" s="431" t="e">
        <f t="shared" ca="1" si="87"/>
        <v>#REF!</v>
      </c>
      <c r="N168" s="431" t="e">
        <f t="shared" ca="1" si="87"/>
        <v>#REF!</v>
      </c>
      <c r="O168" s="431" t="e">
        <f t="shared" ca="1" si="87"/>
        <v>#REF!</v>
      </c>
      <c r="P168" s="431" t="e">
        <f t="shared" ca="1" si="87"/>
        <v>#REF!</v>
      </c>
      <c r="Q168" s="431" t="e">
        <f t="shared" ca="1" si="87"/>
        <v>#REF!</v>
      </c>
      <c r="R168" s="431" t="e">
        <f t="shared" ca="1" si="87"/>
        <v>#REF!</v>
      </c>
      <c r="S168" s="431" t="e">
        <f t="shared" ca="1" si="87"/>
        <v>#REF!</v>
      </c>
      <c r="T168" s="431" t="e">
        <f t="shared" ca="1" si="87"/>
        <v>#REF!</v>
      </c>
      <c r="U168" s="431" t="e">
        <f t="shared" ca="1" si="87"/>
        <v>#REF!</v>
      </c>
      <c r="V168" s="431" t="e">
        <f t="shared" ca="1" si="87"/>
        <v>#REF!</v>
      </c>
      <c r="W168" s="424"/>
    </row>
    <row r="169" spans="1:23">
      <c r="A169" s="424"/>
      <c r="B169" s="424"/>
      <c r="C169" s="424"/>
      <c r="D169" s="424" t="s">
        <v>573</v>
      </c>
      <c r="E169" s="424" t="s">
        <v>386</v>
      </c>
      <c r="F169" s="424"/>
      <c r="G169" s="424" t="s">
        <v>313</v>
      </c>
      <c r="H169" s="431" t="e">
        <f t="shared" ref="H169:V169" ca="1" si="88">ROUND(INDEX(FlowSetWTSettings,(MATCH($B168,FlowSetSimulationNumbers,0)+MATCH(H$32,FlowSetAnemometerWindSpeeds,0)),7),2)</f>
        <v>#REF!</v>
      </c>
      <c r="I169" s="431" t="e">
        <f t="shared" ca="1" si="88"/>
        <v>#REF!</v>
      </c>
      <c r="J169" s="431" t="e">
        <f t="shared" ca="1" si="88"/>
        <v>#REF!</v>
      </c>
      <c r="K169" s="431" t="e">
        <f t="shared" ca="1" si="88"/>
        <v>#REF!</v>
      </c>
      <c r="L169" s="431" t="e">
        <f t="shared" ca="1" si="88"/>
        <v>#REF!</v>
      </c>
      <c r="M169" s="431" t="e">
        <f t="shared" ca="1" si="88"/>
        <v>#REF!</v>
      </c>
      <c r="N169" s="431" t="e">
        <f t="shared" ca="1" si="88"/>
        <v>#REF!</v>
      </c>
      <c r="O169" s="431" t="e">
        <f t="shared" ca="1" si="88"/>
        <v>#REF!</v>
      </c>
      <c r="P169" s="431" t="e">
        <f t="shared" ca="1" si="88"/>
        <v>#REF!</v>
      </c>
      <c r="Q169" s="431" t="e">
        <f t="shared" ca="1" si="88"/>
        <v>#REF!</v>
      </c>
      <c r="R169" s="431" t="e">
        <f t="shared" ca="1" si="88"/>
        <v>#REF!</v>
      </c>
      <c r="S169" s="431" t="e">
        <f t="shared" ca="1" si="88"/>
        <v>#REF!</v>
      </c>
      <c r="T169" s="431" t="e">
        <f t="shared" ca="1" si="88"/>
        <v>#REF!</v>
      </c>
      <c r="U169" s="431" t="e">
        <f t="shared" ca="1" si="88"/>
        <v>#REF!</v>
      </c>
      <c r="V169" s="431" t="e">
        <f t="shared" ca="1" si="88"/>
        <v>#REF!</v>
      </c>
      <c r="W169" s="424"/>
    </row>
    <row r="170" spans="1:23">
      <c r="A170" s="424"/>
      <c r="B170" s="424"/>
      <c r="C170" s="424" t="s">
        <v>255</v>
      </c>
      <c r="D170" s="424" t="s">
        <v>387</v>
      </c>
      <c r="E170" s="424" t="s">
        <v>386</v>
      </c>
      <c r="F170" s="424"/>
      <c r="G170" s="424"/>
      <c r="H170" s="426"/>
      <c r="I170" s="426"/>
      <c r="J170" s="426"/>
      <c r="K170" s="426"/>
      <c r="L170" s="426"/>
      <c r="M170" s="426"/>
      <c r="N170" s="426"/>
      <c r="O170" s="426"/>
      <c r="P170" s="426"/>
      <c r="Q170" s="426"/>
      <c r="R170" s="426"/>
      <c r="S170" s="424"/>
      <c r="T170" s="424"/>
      <c r="U170" s="424"/>
      <c r="V170" s="424"/>
      <c r="W170" s="424"/>
    </row>
    <row r="171" spans="1:23">
      <c r="A171" s="1081">
        <f>A168</f>
        <v>1</v>
      </c>
      <c r="B171" s="726" t="str">
        <f>IF((RIGHT(B168,1))&lt;&gt;"Z",CHAR(CODE(B168))&amp;CHAR(CODE(RIGHT(B168,1))+1),CHAR(CODE(B168)+1)&amp;"A")</f>
        <v>BS</v>
      </c>
      <c r="C171" s="424"/>
      <c r="D171" s="429" t="e">
        <f>CONCATENATE($A$17,B171, ":",RIGHT(INDEX(FlowSetWTSettings,(MATCH($B171,FlowSetSimulationNumbers,0)),2),9),REPT(" ",9-MIN(9,LEN(INDEX(FlowSetWTSettings,(MATCH($B171,FlowSetSimulationNumbers,0)),2)))),$A$17,"  ")</f>
        <v>#N/A</v>
      </c>
      <c r="E171" s="429" t="str">
        <f>CONCATENATE($A$17,VLOOKUP(A171,$A$15:$B$16,2),REPT(" ",9-LEN(VLOOKUP(A171,$A$15:$B$16,2))),$A$17)</f>
        <v>"Land     "</v>
      </c>
      <c r="F171" s="430" t="e">
        <f ca="1">INDEX(FlowSetWTSettings,(MATCH($B171,FlowSetSimulationNumbers,0)),9)</f>
        <v>#REF!</v>
      </c>
      <c r="G171" s="424" t="s">
        <v>312</v>
      </c>
      <c r="H171" s="431" t="e">
        <f t="shared" ref="H171:V171" ca="1" si="89">ROUND(INDEX(FlowSetWTSettings,(MATCH($B171,FlowSetSimulationNumbers,0)+MATCH(H$32,FlowSetAnemometerWindSpeeds,0)),8),2)</f>
        <v>#REF!</v>
      </c>
      <c r="I171" s="431" t="e">
        <f t="shared" ca="1" si="89"/>
        <v>#REF!</v>
      </c>
      <c r="J171" s="431" t="e">
        <f t="shared" ca="1" si="89"/>
        <v>#REF!</v>
      </c>
      <c r="K171" s="431" t="e">
        <f t="shared" ca="1" si="89"/>
        <v>#REF!</v>
      </c>
      <c r="L171" s="431" t="e">
        <f t="shared" ca="1" si="89"/>
        <v>#REF!</v>
      </c>
      <c r="M171" s="431" t="e">
        <f t="shared" ca="1" si="89"/>
        <v>#REF!</v>
      </c>
      <c r="N171" s="431" t="e">
        <f t="shared" ca="1" si="89"/>
        <v>#REF!</v>
      </c>
      <c r="O171" s="431" t="e">
        <f t="shared" ca="1" si="89"/>
        <v>#REF!</v>
      </c>
      <c r="P171" s="431" t="e">
        <f t="shared" ca="1" si="89"/>
        <v>#REF!</v>
      </c>
      <c r="Q171" s="431" t="e">
        <f t="shared" ca="1" si="89"/>
        <v>#REF!</v>
      </c>
      <c r="R171" s="431" t="e">
        <f t="shared" ca="1" si="89"/>
        <v>#REF!</v>
      </c>
      <c r="S171" s="431" t="e">
        <f t="shared" ca="1" si="89"/>
        <v>#REF!</v>
      </c>
      <c r="T171" s="431" t="e">
        <f t="shared" ca="1" si="89"/>
        <v>#REF!</v>
      </c>
      <c r="U171" s="431" t="e">
        <f t="shared" ca="1" si="89"/>
        <v>#REF!</v>
      </c>
      <c r="V171" s="431" t="e">
        <f t="shared" ca="1" si="89"/>
        <v>#REF!</v>
      </c>
      <c r="W171" s="424"/>
    </row>
    <row r="172" spans="1:23">
      <c r="A172" s="424"/>
      <c r="B172" s="424"/>
      <c r="C172" s="424"/>
      <c r="D172" s="424" t="s">
        <v>573</v>
      </c>
      <c r="E172" s="424" t="s">
        <v>386</v>
      </c>
      <c r="F172" s="424"/>
      <c r="G172" s="424" t="s">
        <v>313</v>
      </c>
      <c r="H172" s="431" t="e">
        <f t="shared" ref="H172:V172" ca="1" si="90">ROUND(INDEX(FlowSetWTSettings,(MATCH($B171,FlowSetSimulationNumbers,0)+MATCH(H$32,FlowSetAnemometerWindSpeeds,0)),7),2)</f>
        <v>#REF!</v>
      </c>
      <c r="I172" s="431" t="e">
        <f t="shared" ca="1" si="90"/>
        <v>#REF!</v>
      </c>
      <c r="J172" s="431" t="e">
        <f t="shared" ca="1" si="90"/>
        <v>#REF!</v>
      </c>
      <c r="K172" s="431" t="e">
        <f t="shared" ca="1" si="90"/>
        <v>#REF!</v>
      </c>
      <c r="L172" s="431" t="e">
        <f t="shared" ca="1" si="90"/>
        <v>#REF!</v>
      </c>
      <c r="M172" s="431" t="e">
        <f t="shared" ca="1" si="90"/>
        <v>#REF!</v>
      </c>
      <c r="N172" s="431" t="e">
        <f t="shared" ca="1" si="90"/>
        <v>#REF!</v>
      </c>
      <c r="O172" s="431" t="e">
        <f t="shared" ca="1" si="90"/>
        <v>#REF!</v>
      </c>
      <c r="P172" s="431" t="e">
        <f t="shared" ca="1" si="90"/>
        <v>#REF!</v>
      </c>
      <c r="Q172" s="431" t="e">
        <f t="shared" ca="1" si="90"/>
        <v>#REF!</v>
      </c>
      <c r="R172" s="431" t="e">
        <f t="shared" ca="1" si="90"/>
        <v>#REF!</v>
      </c>
      <c r="S172" s="431" t="e">
        <f t="shared" ca="1" si="90"/>
        <v>#REF!</v>
      </c>
      <c r="T172" s="431" t="e">
        <f t="shared" ca="1" si="90"/>
        <v>#REF!</v>
      </c>
      <c r="U172" s="431" t="e">
        <f t="shared" ca="1" si="90"/>
        <v>#REF!</v>
      </c>
      <c r="V172" s="431" t="e">
        <f t="shared" ca="1" si="90"/>
        <v>#REF!</v>
      </c>
      <c r="W172" s="424"/>
    </row>
    <row r="173" spans="1:23">
      <c r="A173" s="424"/>
      <c r="B173" s="424"/>
      <c r="C173" s="424" t="s">
        <v>255</v>
      </c>
      <c r="D173" s="424" t="s">
        <v>387</v>
      </c>
      <c r="E173" s="424" t="s">
        <v>386</v>
      </c>
      <c r="F173" s="424"/>
      <c r="G173" s="424"/>
      <c r="H173" s="426"/>
      <c r="I173" s="426"/>
      <c r="J173" s="426"/>
      <c r="K173" s="426"/>
      <c r="L173" s="426"/>
      <c r="M173" s="426"/>
      <c r="N173" s="426"/>
      <c r="O173" s="426"/>
      <c r="P173" s="426"/>
      <c r="Q173" s="426"/>
      <c r="R173" s="426"/>
      <c r="S173" s="424"/>
      <c r="T173" s="424"/>
      <c r="U173" s="424"/>
      <c r="V173" s="424"/>
      <c r="W173" s="424"/>
    </row>
    <row r="174" spans="1:23">
      <c r="A174" s="1081">
        <f>A171</f>
        <v>1</v>
      </c>
      <c r="B174" s="726" t="str">
        <f>IF((RIGHT(B171,1))&lt;&gt;"Z",CHAR(CODE(B171))&amp;CHAR(CODE(RIGHT(B171,1))+1),CHAR(CODE(B171)+1)&amp;"A")</f>
        <v>BT</v>
      </c>
      <c r="C174" s="424"/>
      <c r="D174" s="429" t="e">
        <f>CONCATENATE($A$17,B174, ":",RIGHT(INDEX(FlowSetWTSettings,(MATCH($B174,FlowSetSimulationNumbers,0)),2),9),REPT(" ",9-MIN(9,LEN(INDEX(FlowSetWTSettings,(MATCH($B174,FlowSetSimulationNumbers,0)),2)))),$A$17,"  ")</f>
        <v>#N/A</v>
      </c>
      <c r="E174" s="429" t="str">
        <f>CONCATENATE($A$17,VLOOKUP(A174,$A$15:$B$16,2),REPT(" ",9-LEN(VLOOKUP(A174,$A$15:$B$16,2))),$A$17)</f>
        <v>"Land     "</v>
      </c>
      <c r="F174" s="430" t="e">
        <f ca="1">INDEX(FlowSetWTSettings,(MATCH($B174,FlowSetSimulationNumbers,0)),9)</f>
        <v>#REF!</v>
      </c>
      <c r="G174" s="424" t="s">
        <v>312</v>
      </c>
      <c r="H174" s="431" t="e">
        <f t="shared" ref="H174:V174" ca="1" si="91">ROUND(INDEX(FlowSetWTSettings,(MATCH($B174,FlowSetSimulationNumbers,0)+MATCH(H$32,FlowSetAnemometerWindSpeeds,0)),8),2)</f>
        <v>#REF!</v>
      </c>
      <c r="I174" s="431" t="e">
        <f t="shared" ca="1" si="91"/>
        <v>#REF!</v>
      </c>
      <c r="J174" s="431" t="e">
        <f t="shared" ca="1" si="91"/>
        <v>#REF!</v>
      </c>
      <c r="K174" s="431" t="e">
        <f t="shared" ca="1" si="91"/>
        <v>#REF!</v>
      </c>
      <c r="L174" s="431" t="e">
        <f t="shared" ca="1" si="91"/>
        <v>#REF!</v>
      </c>
      <c r="M174" s="431" t="e">
        <f t="shared" ca="1" si="91"/>
        <v>#REF!</v>
      </c>
      <c r="N174" s="431" t="e">
        <f t="shared" ca="1" si="91"/>
        <v>#REF!</v>
      </c>
      <c r="O174" s="431" t="e">
        <f t="shared" ca="1" si="91"/>
        <v>#REF!</v>
      </c>
      <c r="P174" s="431" t="e">
        <f t="shared" ca="1" si="91"/>
        <v>#REF!</v>
      </c>
      <c r="Q174" s="431" t="e">
        <f t="shared" ca="1" si="91"/>
        <v>#REF!</v>
      </c>
      <c r="R174" s="431" t="e">
        <f t="shared" ca="1" si="91"/>
        <v>#REF!</v>
      </c>
      <c r="S174" s="431" t="e">
        <f t="shared" ca="1" si="91"/>
        <v>#REF!</v>
      </c>
      <c r="T174" s="431" t="e">
        <f t="shared" ca="1" si="91"/>
        <v>#REF!</v>
      </c>
      <c r="U174" s="431" t="e">
        <f t="shared" ca="1" si="91"/>
        <v>#REF!</v>
      </c>
      <c r="V174" s="431" t="e">
        <f t="shared" ca="1" si="91"/>
        <v>#REF!</v>
      </c>
      <c r="W174" s="424"/>
    </row>
    <row r="175" spans="1:23">
      <c r="A175" s="424"/>
      <c r="B175" s="424"/>
      <c r="C175" s="424"/>
      <c r="D175" s="424" t="s">
        <v>573</v>
      </c>
      <c r="E175" s="424" t="s">
        <v>386</v>
      </c>
      <c r="F175" s="424"/>
      <c r="G175" s="424" t="s">
        <v>313</v>
      </c>
      <c r="H175" s="431" t="e">
        <f t="shared" ref="H175:V175" ca="1" si="92">ROUND(INDEX(FlowSetWTSettings,(MATCH($B174,FlowSetSimulationNumbers,0)+MATCH(H$32,FlowSetAnemometerWindSpeeds,0)),7),2)</f>
        <v>#REF!</v>
      </c>
      <c r="I175" s="431" t="e">
        <f t="shared" ca="1" si="92"/>
        <v>#REF!</v>
      </c>
      <c r="J175" s="431" t="e">
        <f t="shared" ca="1" si="92"/>
        <v>#REF!</v>
      </c>
      <c r="K175" s="431" t="e">
        <f t="shared" ca="1" si="92"/>
        <v>#REF!</v>
      </c>
      <c r="L175" s="431" t="e">
        <f t="shared" ca="1" si="92"/>
        <v>#REF!</v>
      </c>
      <c r="M175" s="431" t="e">
        <f t="shared" ca="1" si="92"/>
        <v>#REF!</v>
      </c>
      <c r="N175" s="431" t="e">
        <f t="shared" ca="1" si="92"/>
        <v>#REF!</v>
      </c>
      <c r="O175" s="431" t="e">
        <f t="shared" ca="1" si="92"/>
        <v>#REF!</v>
      </c>
      <c r="P175" s="431" t="e">
        <f t="shared" ca="1" si="92"/>
        <v>#REF!</v>
      </c>
      <c r="Q175" s="431" t="e">
        <f t="shared" ca="1" si="92"/>
        <v>#REF!</v>
      </c>
      <c r="R175" s="431" t="e">
        <f t="shared" ca="1" si="92"/>
        <v>#REF!</v>
      </c>
      <c r="S175" s="431" t="e">
        <f t="shared" ca="1" si="92"/>
        <v>#REF!</v>
      </c>
      <c r="T175" s="431" t="e">
        <f t="shared" ca="1" si="92"/>
        <v>#REF!</v>
      </c>
      <c r="U175" s="431" t="e">
        <f t="shared" ca="1" si="92"/>
        <v>#REF!</v>
      </c>
      <c r="V175" s="431" t="e">
        <f t="shared" ca="1" si="92"/>
        <v>#REF!</v>
      </c>
      <c r="W175" s="424"/>
    </row>
    <row r="176" spans="1:23">
      <c r="A176" s="424"/>
      <c r="B176" s="424"/>
      <c r="C176" s="424" t="s">
        <v>255</v>
      </c>
      <c r="D176" s="424" t="s">
        <v>387</v>
      </c>
      <c r="E176" s="424" t="s">
        <v>386</v>
      </c>
      <c r="F176" s="424"/>
      <c r="G176" s="424"/>
      <c r="H176" s="426"/>
      <c r="I176" s="426"/>
      <c r="J176" s="426"/>
      <c r="K176" s="426"/>
      <c r="L176" s="426"/>
      <c r="M176" s="426"/>
      <c r="N176" s="426"/>
      <c r="O176" s="426"/>
      <c r="P176" s="426"/>
      <c r="Q176" s="426"/>
      <c r="R176" s="426"/>
      <c r="S176" s="424"/>
      <c r="T176" s="424"/>
      <c r="U176" s="424"/>
      <c r="V176" s="424"/>
      <c r="W176" s="424"/>
    </row>
    <row r="177" spans="1:23">
      <c r="A177" s="1081">
        <f>A174</f>
        <v>1</v>
      </c>
      <c r="B177" s="726" t="str">
        <f>IF((RIGHT(B174,1))&lt;&gt;"Z",CHAR(CODE(B174))&amp;CHAR(CODE(RIGHT(B174,1))+1),CHAR(CODE(B174)+1)&amp;"A")</f>
        <v>BU</v>
      </c>
      <c r="C177" s="424"/>
      <c r="D177" s="429" t="e">
        <f>CONCATENATE($A$17,B177, ":",RIGHT(INDEX(FlowSetWTSettings,(MATCH($B177,FlowSetSimulationNumbers,0)),2),9),REPT(" ",9-MIN(9,LEN(INDEX(FlowSetWTSettings,(MATCH($B177,FlowSetSimulationNumbers,0)),2)))),$A$17,"  ")</f>
        <v>#N/A</v>
      </c>
      <c r="E177" s="429" t="str">
        <f>CONCATENATE($A$17,VLOOKUP(A177,$A$15:$B$16,2),REPT(" ",9-LEN(VLOOKUP(A177,$A$15:$B$16,2))),$A$17)</f>
        <v>"Land     "</v>
      </c>
      <c r="F177" s="430" t="e">
        <f ca="1">INDEX(FlowSetWTSettings,(MATCH($B177,FlowSetSimulationNumbers,0)),9)</f>
        <v>#REF!</v>
      </c>
      <c r="G177" s="424" t="s">
        <v>312</v>
      </c>
      <c r="H177" s="431" t="e">
        <f t="shared" ref="H177:V177" ca="1" si="93">ROUND(INDEX(FlowSetWTSettings,(MATCH($B177,FlowSetSimulationNumbers,0)+MATCH(H$32,FlowSetAnemometerWindSpeeds,0)),8),2)</f>
        <v>#REF!</v>
      </c>
      <c r="I177" s="431" t="e">
        <f t="shared" ca="1" si="93"/>
        <v>#REF!</v>
      </c>
      <c r="J177" s="431" t="e">
        <f t="shared" ca="1" si="93"/>
        <v>#REF!</v>
      </c>
      <c r="K177" s="431" t="e">
        <f t="shared" ca="1" si="93"/>
        <v>#REF!</v>
      </c>
      <c r="L177" s="431" t="e">
        <f t="shared" ca="1" si="93"/>
        <v>#REF!</v>
      </c>
      <c r="M177" s="431" t="e">
        <f t="shared" ca="1" si="93"/>
        <v>#REF!</v>
      </c>
      <c r="N177" s="431" t="e">
        <f t="shared" ca="1" si="93"/>
        <v>#REF!</v>
      </c>
      <c r="O177" s="431" t="e">
        <f t="shared" ca="1" si="93"/>
        <v>#REF!</v>
      </c>
      <c r="P177" s="431" t="e">
        <f t="shared" ca="1" si="93"/>
        <v>#REF!</v>
      </c>
      <c r="Q177" s="431" t="e">
        <f t="shared" ca="1" si="93"/>
        <v>#REF!</v>
      </c>
      <c r="R177" s="431" t="e">
        <f t="shared" ca="1" si="93"/>
        <v>#REF!</v>
      </c>
      <c r="S177" s="431" t="e">
        <f t="shared" ca="1" si="93"/>
        <v>#REF!</v>
      </c>
      <c r="T177" s="431" t="e">
        <f t="shared" ca="1" si="93"/>
        <v>#REF!</v>
      </c>
      <c r="U177" s="431" t="e">
        <f t="shared" ca="1" si="93"/>
        <v>#REF!</v>
      </c>
      <c r="V177" s="431" t="e">
        <f t="shared" ca="1" si="93"/>
        <v>#REF!</v>
      </c>
      <c r="W177" s="424"/>
    </row>
    <row r="178" spans="1:23">
      <c r="A178" s="424"/>
      <c r="B178" s="424"/>
      <c r="C178" s="424"/>
      <c r="D178" s="424" t="s">
        <v>573</v>
      </c>
      <c r="E178" s="424" t="s">
        <v>386</v>
      </c>
      <c r="F178" s="424"/>
      <c r="G178" s="424" t="s">
        <v>313</v>
      </c>
      <c r="H178" s="431" t="e">
        <f t="shared" ref="H178:V178" ca="1" si="94">ROUND(INDEX(FlowSetWTSettings,(MATCH($B177,FlowSetSimulationNumbers,0)+MATCH(H$32,FlowSetAnemometerWindSpeeds,0)),7),2)</f>
        <v>#REF!</v>
      </c>
      <c r="I178" s="431" t="e">
        <f t="shared" ca="1" si="94"/>
        <v>#REF!</v>
      </c>
      <c r="J178" s="431" t="e">
        <f t="shared" ca="1" si="94"/>
        <v>#REF!</v>
      </c>
      <c r="K178" s="431" t="e">
        <f t="shared" ca="1" si="94"/>
        <v>#REF!</v>
      </c>
      <c r="L178" s="431" t="e">
        <f t="shared" ca="1" si="94"/>
        <v>#REF!</v>
      </c>
      <c r="M178" s="431" t="e">
        <f t="shared" ca="1" si="94"/>
        <v>#REF!</v>
      </c>
      <c r="N178" s="431" t="e">
        <f t="shared" ca="1" si="94"/>
        <v>#REF!</v>
      </c>
      <c r="O178" s="431" t="e">
        <f t="shared" ca="1" si="94"/>
        <v>#REF!</v>
      </c>
      <c r="P178" s="431" t="e">
        <f t="shared" ca="1" si="94"/>
        <v>#REF!</v>
      </c>
      <c r="Q178" s="431" t="e">
        <f t="shared" ca="1" si="94"/>
        <v>#REF!</v>
      </c>
      <c r="R178" s="431" t="e">
        <f t="shared" ca="1" si="94"/>
        <v>#REF!</v>
      </c>
      <c r="S178" s="431" t="e">
        <f t="shared" ca="1" si="94"/>
        <v>#REF!</v>
      </c>
      <c r="T178" s="431" t="e">
        <f t="shared" ca="1" si="94"/>
        <v>#REF!</v>
      </c>
      <c r="U178" s="431" t="e">
        <f t="shared" ca="1" si="94"/>
        <v>#REF!</v>
      </c>
      <c r="V178" s="431" t="e">
        <f t="shared" ca="1" si="94"/>
        <v>#REF!</v>
      </c>
      <c r="W178" s="424"/>
    </row>
    <row r="179" spans="1:23">
      <c r="A179" s="424"/>
      <c r="B179" s="424"/>
      <c r="C179" s="424" t="s">
        <v>255</v>
      </c>
      <c r="D179" s="424" t="s">
        <v>387</v>
      </c>
      <c r="E179" s="424" t="s">
        <v>386</v>
      </c>
      <c r="F179" s="424"/>
      <c r="G179" s="424"/>
      <c r="H179" s="426"/>
      <c r="I179" s="426"/>
      <c r="J179" s="426"/>
      <c r="K179" s="426"/>
      <c r="L179" s="426"/>
      <c r="M179" s="426"/>
      <c r="N179" s="426"/>
      <c r="O179" s="426"/>
      <c r="P179" s="426"/>
      <c r="Q179" s="426"/>
      <c r="R179" s="426"/>
      <c r="S179" s="424"/>
      <c r="T179" s="424"/>
      <c r="U179" s="424"/>
      <c r="V179" s="424"/>
      <c r="W179" s="424"/>
    </row>
    <row r="180" spans="1:23">
      <c r="A180" s="1081">
        <f>A177</f>
        <v>1</v>
      </c>
      <c r="B180" s="726" t="str">
        <f>IF((RIGHT(B177,1))&lt;&gt;"Z",CHAR(CODE(B177))&amp;CHAR(CODE(RIGHT(B177,1))+1),CHAR(CODE(B177)+1)&amp;"A")</f>
        <v>BV</v>
      </c>
      <c r="C180" s="424"/>
      <c r="D180" s="429" t="e">
        <f>CONCATENATE($A$17,B180, ":",RIGHT(INDEX(FlowSetWTSettings,(MATCH($B180,FlowSetSimulationNumbers,0)),2),9),REPT(" ",9-MIN(9,LEN(INDEX(FlowSetWTSettings,(MATCH($B180,FlowSetSimulationNumbers,0)),2)))),$A$17,"  ")</f>
        <v>#N/A</v>
      </c>
      <c r="E180" s="429" t="str">
        <f>CONCATENATE($A$17,VLOOKUP(A180,$A$15:$B$16,2),REPT(" ",9-LEN(VLOOKUP(A180,$A$15:$B$16,2))),$A$17)</f>
        <v>"Land     "</v>
      </c>
      <c r="F180" s="430" t="e">
        <f ca="1">INDEX(FlowSetWTSettings,(MATCH($B180,FlowSetSimulationNumbers,0)),9)</f>
        <v>#REF!</v>
      </c>
      <c r="G180" s="424" t="s">
        <v>312</v>
      </c>
      <c r="H180" s="431" t="e">
        <f t="shared" ref="H180:V180" ca="1" si="95">ROUND(INDEX(FlowSetWTSettings,(MATCH($B180,FlowSetSimulationNumbers,0)+MATCH(H$32,FlowSetAnemometerWindSpeeds,0)),8),2)</f>
        <v>#REF!</v>
      </c>
      <c r="I180" s="431" t="e">
        <f t="shared" ca="1" si="95"/>
        <v>#REF!</v>
      </c>
      <c r="J180" s="431" t="e">
        <f t="shared" ca="1" si="95"/>
        <v>#REF!</v>
      </c>
      <c r="K180" s="431" t="e">
        <f t="shared" ca="1" si="95"/>
        <v>#REF!</v>
      </c>
      <c r="L180" s="431" t="e">
        <f t="shared" ca="1" si="95"/>
        <v>#REF!</v>
      </c>
      <c r="M180" s="431" t="e">
        <f t="shared" ca="1" si="95"/>
        <v>#REF!</v>
      </c>
      <c r="N180" s="431" t="e">
        <f t="shared" ca="1" si="95"/>
        <v>#REF!</v>
      </c>
      <c r="O180" s="431" t="e">
        <f t="shared" ca="1" si="95"/>
        <v>#REF!</v>
      </c>
      <c r="P180" s="431" t="e">
        <f t="shared" ca="1" si="95"/>
        <v>#REF!</v>
      </c>
      <c r="Q180" s="431" t="e">
        <f t="shared" ca="1" si="95"/>
        <v>#REF!</v>
      </c>
      <c r="R180" s="431" t="e">
        <f t="shared" ca="1" si="95"/>
        <v>#REF!</v>
      </c>
      <c r="S180" s="431" t="e">
        <f t="shared" ca="1" si="95"/>
        <v>#REF!</v>
      </c>
      <c r="T180" s="431" t="e">
        <f t="shared" ca="1" si="95"/>
        <v>#REF!</v>
      </c>
      <c r="U180" s="431" t="e">
        <f t="shared" ca="1" si="95"/>
        <v>#REF!</v>
      </c>
      <c r="V180" s="431" t="e">
        <f t="shared" ca="1" si="95"/>
        <v>#REF!</v>
      </c>
      <c r="W180" s="424"/>
    </row>
    <row r="181" spans="1:23">
      <c r="A181" s="424"/>
      <c r="B181" s="424"/>
      <c r="C181" s="424"/>
      <c r="D181" s="424" t="s">
        <v>573</v>
      </c>
      <c r="E181" s="424" t="s">
        <v>386</v>
      </c>
      <c r="F181" s="424"/>
      <c r="G181" s="424" t="s">
        <v>313</v>
      </c>
      <c r="H181" s="431" t="e">
        <f t="shared" ref="H181:V181" ca="1" si="96">ROUND(INDEX(FlowSetWTSettings,(MATCH($B180,FlowSetSimulationNumbers,0)+MATCH(H$32,FlowSetAnemometerWindSpeeds,0)),7),2)</f>
        <v>#REF!</v>
      </c>
      <c r="I181" s="431" t="e">
        <f t="shared" ca="1" si="96"/>
        <v>#REF!</v>
      </c>
      <c r="J181" s="431" t="e">
        <f t="shared" ca="1" si="96"/>
        <v>#REF!</v>
      </c>
      <c r="K181" s="431" t="e">
        <f t="shared" ca="1" si="96"/>
        <v>#REF!</v>
      </c>
      <c r="L181" s="431" t="e">
        <f t="shared" ca="1" si="96"/>
        <v>#REF!</v>
      </c>
      <c r="M181" s="431" t="e">
        <f t="shared" ca="1" si="96"/>
        <v>#REF!</v>
      </c>
      <c r="N181" s="431" t="e">
        <f t="shared" ca="1" si="96"/>
        <v>#REF!</v>
      </c>
      <c r="O181" s="431" t="e">
        <f t="shared" ca="1" si="96"/>
        <v>#REF!</v>
      </c>
      <c r="P181" s="431" t="e">
        <f t="shared" ca="1" si="96"/>
        <v>#REF!</v>
      </c>
      <c r="Q181" s="431" t="e">
        <f t="shared" ca="1" si="96"/>
        <v>#REF!</v>
      </c>
      <c r="R181" s="431" t="e">
        <f t="shared" ca="1" si="96"/>
        <v>#REF!</v>
      </c>
      <c r="S181" s="431" t="e">
        <f t="shared" ca="1" si="96"/>
        <v>#REF!</v>
      </c>
      <c r="T181" s="431" t="e">
        <f t="shared" ca="1" si="96"/>
        <v>#REF!</v>
      </c>
      <c r="U181" s="431" t="e">
        <f t="shared" ca="1" si="96"/>
        <v>#REF!</v>
      </c>
      <c r="V181" s="431" t="e">
        <f t="shared" ca="1" si="96"/>
        <v>#REF!</v>
      </c>
      <c r="W181" s="424"/>
    </row>
    <row r="182" spans="1:23">
      <c r="A182" s="424"/>
      <c r="B182" s="424"/>
      <c r="C182" s="424" t="s">
        <v>255</v>
      </c>
      <c r="D182" s="424" t="s">
        <v>387</v>
      </c>
      <c r="E182" s="424" t="s">
        <v>386</v>
      </c>
      <c r="F182" s="424"/>
      <c r="G182" s="424"/>
      <c r="H182" s="426"/>
      <c r="I182" s="426"/>
      <c r="J182" s="426"/>
      <c r="K182" s="426"/>
      <c r="L182" s="426"/>
      <c r="M182" s="426"/>
      <c r="N182" s="426"/>
      <c r="O182" s="426"/>
      <c r="P182" s="426"/>
      <c r="Q182" s="426"/>
      <c r="R182" s="426"/>
      <c r="S182" s="424"/>
      <c r="T182" s="424"/>
      <c r="U182" s="424"/>
      <c r="V182" s="424"/>
      <c r="W182" s="424"/>
    </row>
    <row r="183" spans="1:23">
      <c r="A183" s="1081">
        <f>A180</f>
        <v>1</v>
      </c>
      <c r="B183" s="726" t="str">
        <f>IF((RIGHT(B180,1))&lt;&gt;"Z",CHAR(CODE(B180))&amp;CHAR(CODE(RIGHT(B180,1))+1),CHAR(CODE(B180)+1)&amp;"A")</f>
        <v>BW</v>
      </c>
      <c r="C183" s="424"/>
      <c r="D183" s="429" t="e">
        <f>CONCATENATE($A$17,B183, ":",RIGHT(INDEX(FlowSetWTSettings,(MATCH($B183,FlowSetSimulationNumbers,0)),2),9),REPT(" ",9-MIN(9,LEN(INDEX(FlowSetWTSettings,(MATCH($B183,FlowSetSimulationNumbers,0)),2)))),$A$17,"  ")</f>
        <v>#N/A</v>
      </c>
      <c r="E183" s="429" t="str">
        <f>CONCATENATE($A$17,VLOOKUP(A183,$A$15:$B$16,2),REPT(" ",9-LEN(VLOOKUP(A183,$A$15:$B$16,2))),$A$17)</f>
        <v>"Land     "</v>
      </c>
      <c r="F183" s="430" t="e">
        <f ca="1">INDEX(FlowSetWTSettings,(MATCH($B183,FlowSetSimulationNumbers,0)),9)</f>
        <v>#REF!</v>
      </c>
      <c r="G183" s="424" t="s">
        <v>312</v>
      </c>
      <c r="H183" s="431" t="e">
        <f t="shared" ref="H183:V183" ca="1" si="97">ROUND(INDEX(FlowSetWTSettings,(MATCH($B183,FlowSetSimulationNumbers,0)+MATCH(H$32,FlowSetAnemometerWindSpeeds,0)),8),2)</f>
        <v>#REF!</v>
      </c>
      <c r="I183" s="431" t="e">
        <f t="shared" ca="1" si="97"/>
        <v>#REF!</v>
      </c>
      <c r="J183" s="431" t="e">
        <f t="shared" ca="1" si="97"/>
        <v>#REF!</v>
      </c>
      <c r="K183" s="431" t="e">
        <f t="shared" ca="1" si="97"/>
        <v>#REF!</v>
      </c>
      <c r="L183" s="431" t="e">
        <f t="shared" ca="1" si="97"/>
        <v>#REF!</v>
      </c>
      <c r="M183" s="431" t="e">
        <f t="shared" ca="1" si="97"/>
        <v>#REF!</v>
      </c>
      <c r="N183" s="431" t="e">
        <f t="shared" ca="1" si="97"/>
        <v>#REF!</v>
      </c>
      <c r="O183" s="431" t="e">
        <f t="shared" ca="1" si="97"/>
        <v>#REF!</v>
      </c>
      <c r="P183" s="431" t="e">
        <f t="shared" ca="1" si="97"/>
        <v>#REF!</v>
      </c>
      <c r="Q183" s="431" t="e">
        <f t="shared" ca="1" si="97"/>
        <v>#REF!</v>
      </c>
      <c r="R183" s="431" t="e">
        <f t="shared" ca="1" si="97"/>
        <v>#REF!</v>
      </c>
      <c r="S183" s="431" t="e">
        <f t="shared" ca="1" si="97"/>
        <v>#REF!</v>
      </c>
      <c r="T183" s="431" t="e">
        <f t="shared" ca="1" si="97"/>
        <v>#REF!</v>
      </c>
      <c r="U183" s="431" t="e">
        <f t="shared" ca="1" si="97"/>
        <v>#REF!</v>
      </c>
      <c r="V183" s="431" t="e">
        <f t="shared" ca="1" si="97"/>
        <v>#REF!</v>
      </c>
      <c r="W183" s="424"/>
    </row>
    <row r="184" spans="1:23">
      <c r="A184" s="424"/>
      <c r="B184" s="424"/>
      <c r="C184" s="424"/>
      <c r="D184" s="424" t="s">
        <v>573</v>
      </c>
      <c r="E184" s="424" t="s">
        <v>386</v>
      </c>
      <c r="F184" s="424"/>
      <c r="G184" s="424" t="s">
        <v>313</v>
      </c>
      <c r="H184" s="431" t="e">
        <f t="shared" ref="H184:V184" ca="1" si="98">ROUND(INDEX(FlowSetWTSettings,(MATCH($B183,FlowSetSimulationNumbers,0)+MATCH(H$32,FlowSetAnemometerWindSpeeds,0)),7),2)</f>
        <v>#REF!</v>
      </c>
      <c r="I184" s="431" t="e">
        <f t="shared" ca="1" si="98"/>
        <v>#REF!</v>
      </c>
      <c r="J184" s="431" t="e">
        <f t="shared" ca="1" si="98"/>
        <v>#REF!</v>
      </c>
      <c r="K184" s="431" t="e">
        <f t="shared" ca="1" si="98"/>
        <v>#REF!</v>
      </c>
      <c r="L184" s="431" t="e">
        <f t="shared" ca="1" si="98"/>
        <v>#REF!</v>
      </c>
      <c r="M184" s="431" t="e">
        <f t="shared" ca="1" si="98"/>
        <v>#REF!</v>
      </c>
      <c r="N184" s="431" t="e">
        <f t="shared" ca="1" si="98"/>
        <v>#REF!</v>
      </c>
      <c r="O184" s="431" t="e">
        <f t="shared" ca="1" si="98"/>
        <v>#REF!</v>
      </c>
      <c r="P184" s="431" t="e">
        <f t="shared" ca="1" si="98"/>
        <v>#REF!</v>
      </c>
      <c r="Q184" s="431" t="e">
        <f t="shared" ca="1" si="98"/>
        <v>#REF!</v>
      </c>
      <c r="R184" s="431" t="e">
        <f t="shared" ca="1" si="98"/>
        <v>#REF!</v>
      </c>
      <c r="S184" s="431" t="e">
        <f t="shared" ca="1" si="98"/>
        <v>#REF!</v>
      </c>
      <c r="T184" s="431" t="e">
        <f t="shared" ca="1" si="98"/>
        <v>#REF!</v>
      </c>
      <c r="U184" s="431" t="e">
        <f t="shared" ca="1" si="98"/>
        <v>#REF!</v>
      </c>
      <c r="V184" s="431" t="e">
        <f t="shared" ca="1" si="98"/>
        <v>#REF!</v>
      </c>
      <c r="W184" s="424"/>
    </row>
    <row r="185" spans="1:23">
      <c r="A185" s="424"/>
      <c r="B185" s="424"/>
      <c r="C185" s="424" t="s">
        <v>255</v>
      </c>
      <c r="D185" s="424" t="s">
        <v>387</v>
      </c>
      <c r="E185" s="424" t="s">
        <v>386</v>
      </c>
      <c r="F185" s="424"/>
      <c r="G185" s="424"/>
      <c r="H185" s="426"/>
      <c r="I185" s="426"/>
      <c r="J185" s="426"/>
      <c r="K185" s="426"/>
      <c r="L185" s="426"/>
      <c r="M185" s="426"/>
      <c r="N185" s="426"/>
      <c r="O185" s="426"/>
      <c r="P185" s="426"/>
      <c r="Q185" s="426"/>
      <c r="R185" s="426"/>
      <c r="S185" s="424"/>
      <c r="T185" s="424"/>
      <c r="U185" s="424"/>
      <c r="V185" s="424"/>
      <c r="W185" s="424"/>
    </row>
    <row r="186" spans="1:23">
      <c r="A186" s="1081">
        <f>A183</f>
        <v>1</v>
      </c>
      <c r="B186" s="726" t="str">
        <f>IF((RIGHT(B183,1))&lt;&gt;"Z",CHAR(CODE(B183))&amp;CHAR(CODE(RIGHT(B183,1))+1),CHAR(CODE(B183)+1)&amp;"A")</f>
        <v>BX</v>
      </c>
      <c r="C186" s="424"/>
      <c r="D186" s="429" t="e">
        <f>CONCATENATE($A$17,B186, ":",RIGHT(INDEX(FlowSetWTSettings,(MATCH($B186,FlowSetSimulationNumbers,0)),2),9),REPT(" ",9-MIN(9,LEN(INDEX(FlowSetWTSettings,(MATCH($B186,FlowSetSimulationNumbers,0)),2)))),$A$17,"  ")</f>
        <v>#N/A</v>
      </c>
      <c r="E186" s="429" t="str">
        <f>CONCATENATE($A$17,VLOOKUP(A186,$A$15:$B$16,2),REPT(" ",9-LEN(VLOOKUP(A186,$A$15:$B$16,2))),$A$17)</f>
        <v>"Land     "</v>
      </c>
      <c r="F186" s="430" t="e">
        <f ca="1">INDEX(FlowSetWTSettings,(MATCH($B186,FlowSetSimulationNumbers,0)),9)</f>
        <v>#REF!</v>
      </c>
      <c r="G186" s="424" t="s">
        <v>312</v>
      </c>
      <c r="H186" s="431" t="e">
        <f t="shared" ref="H186:V186" ca="1" si="99">ROUND(INDEX(FlowSetWTSettings,(MATCH($B186,FlowSetSimulationNumbers,0)+MATCH(H$32,FlowSetAnemometerWindSpeeds,0)),8),2)</f>
        <v>#REF!</v>
      </c>
      <c r="I186" s="431" t="e">
        <f t="shared" ca="1" si="99"/>
        <v>#REF!</v>
      </c>
      <c r="J186" s="431" t="e">
        <f t="shared" ca="1" si="99"/>
        <v>#REF!</v>
      </c>
      <c r="K186" s="431" t="e">
        <f t="shared" ca="1" si="99"/>
        <v>#REF!</v>
      </c>
      <c r="L186" s="431" t="e">
        <f t="shared" ca="1" si="99"/>
        <v>#REF!</v>
      </c>
      <c r="M186" s="431" t="e">
        <f t="shared" ca="1" si="99"/>
        <v>#REF!</v>
      </c>
      <c r="N186" s="431" t="e">
        <f t="shared" ca="1" si="99"/>
        <v>#REF!</v>
      </c>
      <c r="O186" s="431" t="e">
        <f t="shared" ca="1" si="99"/>
        <v>#REF!</v>
      </c>
      <c r="P186" s="431" t="e">
        <f t="shared" ca="1" si="99"/>
        <v>#REF!</v>
      </c>
      <c r="Q186" s="431" t="e">
        <f t="shared" ca="1" si="99"/>
        <v>#REF!</v>
      </c>
      <c r="R186" s="431" t="e">
        <f t="shared" ca="1" si="99"/>
        <v>#REF!</v>
      </c>
      <c r="S186" s="431" t="e">
        <f t="shared" ca="1" si="99"/>
        <v>#REF!</v>
      </c>
      <c r="T186" s="431" t="e">
        <f t="shared" ca="1" si="99"/>
        <v>#REF!</v>
      </c>
      <c r="U186" s="431" t="e">
        <f t="shared" ca="1" si="99"/>
        <v>#REF!</v>
      </c>
      <c r="V186" s="431" t="e">
        <f t="shared" ca="1" si="99"/>
        <v>#REF!</v>
      </c>
      <c r="W186" s="424"/>
    </row>
    <row r="187" spans="1:23">
      <c r="A187" s="424"/>
      <c r="B187" s="424"/>
      <c r="C187" s="424"/>
      <c r="D187" s="429"/>
      <c r="E187" s="424" t="s">
        <v>386</v>
      </c>
      <c r="F187" s="424"/>
      <c r="G187" s="424" t="s">
        <v>313</v>
      </c>
      <c r="H187" s="431" t="e">
        <f t="shared" ref="H187:V187" ca="1" si="100">ROUND(INDEX(FlowSetWTSettings,(MATCH($B186,FlowSetSimulationNumbers,0)+MATCH(H$32,FlowSetAnemometerWindSpeeds,0)),7),2)</f>
        <v>#REF!</v>
      </c>
      <c r="I187" s="431" t="e">
        <f t="shared" ca="1" si="100"/>
        <v>#REF!</v>
      </c>
      <c r="J187" s="431" t="e">
        <f t="shared" ca="1" si="100"/>
        <v>#REF!</v>
      </c>
      <c r="K187" s="431" t="e">
        <f t="shared" ca="1" si="100"/>
        <v>#REF!</v>
      </c>
      <c r="L187" s="431" t="e">
        <f t="shared" ca="1" si="100"/>
        <v>#REF!</v>
      </c>
      <c r="M187" s="431" t="e">
        <f t="shared" ca="1" si="100"/>
        <v>#REF!</v>
      </c>
      <c r="N187" s="431" t="e">
        <f t="shared" ca="1" si="100"/>
        <v>#REF!</v>
      </c>
      <c r="O187" s="431" t="e">
        <f t="shared" ca="1" si="100"/>
        <v>#REF!</v>
      </c>
      <c r="P187" s="431" t="e">
        <f t="shared" ca="1" si="100"/>
        <v>#REF!</v>
      </c>
      <c r="Q187" s="431" t="e">
        <f t="shared" ca="1" si="100"/>
        <v>#REF!</v>
      </c>
      <c r="R187" s="431" t="e">
        <f t="shared" ca="1" si="100"/>
        <v>#REF!</v>
      </c>
      <c r="S187" s="431" t="e">
        <f t="shared" ca="1" si="100"/>
        <v>#REF!</v>
      </c>
      <c r="T187" s="431" t="e">
        <f t="shared" ca="1" si="100"/>
        <v>#REF!</v>
      </c>
      <c r="U187" s="431" t="e">
        <f t="shared" ca="1" si="100"/>
        <v>#REF!</v>
      </c>
      <c r="V187" s="431" t="e">
        <f t="shared" ca="1" si="100"/>
        <v>#REF!</v>
      </c>
      <c r="W187" s="424"/>
    </row>
    <row r="188" spans="1:23">
      <c r="A188" s="424"/>
      <c r="B188" s="424"/>
      <c r="C188" s="424" t="s">
        <v>255</v>
      </c>
      <c r="D188" s="424" t="s">
        <v>387</v>
      </c>
      <c r="E188" s="424" t="s">
        <v>386</v>
      </c>
      <c r="F188" s="424"/>
      <c r="G188" s="424"/>
      <c r="H188" s="426"/>
      <c r="I188" s="426"/>
      <c r="J188" s="426"/>
      <c r="K188" s="426"/>
      <c r="L188" s="426"/>
      <c r="M188" s="426"/>
      <c r="N188" s="426"/>
      <c r="O188" s="426"/>
      <c r="P188" s="426"/>
      <c r="Q188" s="426"/>
      <c r="R188" s="426"/>
      <c r="S188" s="424"/>
      <c r="T188" s="424"/>
      <c r="U188" s="424"/>
      <c r="V188" s="424"/>
      <c r="W188" s="424"/>
    </row>
    <row r="189" spans="1:23">
      <c r="A189" s="1081">
        <f>A186</f>
        <v>1</v>
      </c>
      <c r="B189" s="726" t="str">
        <f>IF((RIGHT(B186,1))&lt;&gt;"Z",CHAR(CODE(B186))&amp;CHAR(CODE(RIGHT(B186,1))+1),CHAR(CODE(B186)+1)&amp;"A")</f>
        <v>BY</v>
      </c>
      <c r="C189" s="424"/>
      <c r="D189" s="429" t="e">
        <f>CONCATENATE($A$17,B189, ":",RIGHT(INDEX(FlowSetWTSettings,(MATCH($B189,FlowSetSimulationNumbers,0)),2),9),REPT(" ",9-MIN(9,LEN(INDEX(FlowSetWTSettings,(MATCH($B189,FlowSetSimulationNumbers,0)),2)))),$A$17,"  ")</f>
        <v>#N/A</v>
      </c>
      <c r="E189" s="429" t="str">
        <f>CONCATENATE($A$17,VLOOKUP(A189,$A$15:$B$16,2),REPT(" ",9-LEN(VLOOKUP(A189,$A$15:$B$16,2))),$A$17)</f>
        <v>"Land     "</v>
      </c>
      <c r="F189" s="430" t="e">
        <f ca="1">INDEX(FlowSetWTSettings,(MATCH($B189,FlowSetSimulationNumbers,0)),9)</f>
        <v>#REF!</v>
      </c>
      <c r="G189" s="424" t="s">
        <v>312</v>
      </c>
      <c r="H189" s="431" t="e">
        <f t="shared" ref="H189:V189" ca="1" si="101">ROUND(INDEX(FlowSetWTSettings,(MATCH($B189,FlowSetSimulationNumbers,0)+MATCH(H$32,FlowSetAnemometerWindSpeeds,0)),8),2)</f>
        <v>#REF!</v>
      </c>
      <c r="I189" s="431" t="e">
        <f t="shared" ca="1" si="101"/>
        <v>#REF!</v>
      </c>
      <c r="J189" s="431" t="e">
        <f t="shared" ca="1" si="101"/>
        <v>#REF!</v>
      </c>
      <c r="K189" s="431" t="e">
        <f t="shared" ca="1" si="101"/>
        <v>#REF!</v>
      </c>
      <c r="L189" s="431" t="e">
        <f t="shared" ca="1" si="101"/>
        <v>#REF!</v>
      </c>
      <c r="M189" s="431" t="e">
        <f t="shared" ca="1" si="101"/>
        <v>#REF!</v>
      </c>
      <c r="N189" s="431" t="e">
        <f t="shared" ca="1" si="101"/>
        <v>#REF!</v>
      </c>
      <c r="O189" s="431" t="e">
        <f t="shared" ca="1" si="101"/>
        <v>#REF!</v>
      </c>
      <c r="P189" s="431" t="e">
        <f t="shared" ca="1" si="101"/>
        <v>#REF!</v>
      </c>
      <c r="Q189" s="431" t="e">
        <f t="shared" ca="1" si="101"/>
        <v>#REF!</v>
      </c>
      <c r="R189" s="431" t="e">
        <f t="shared" ca="1" si="101"/>
        <v>#REF!</v>
      </c>
      <c r="S189" s="431" t="e">
        <f t="shared" ca="1" si="101"/>
        <v>#REF!</v>
      </c>
      <c r="T189" s="431" t="e">
        <f t="shared" ca="1" si="101"/>
        <v>#REF!</v>
      </c>
      <c r="U189" s="431" t="e">
        <f t="shared" ca="1" si="101"/>
        <v>#REF!</v>
      </c>
      <c r="V189" s="431" t="e">
        <f t="shared" ca="1" si="101"/>
        <v>#REF!</v>
      </c>
      <c r="W189" s="424"/>
    </row>
    <row r="190" spans="1:23">
      <c r="A190" s="424"/>
      <c r="B190" s="424"/>
      <c r="C190" s="424"/>
      <c r="D190" s="424" t="s">
        <v>573</v>
      </c>
      <c r="E190" s="424" t="s">
        <v>386</v>
      </c>
      <c r="F190" s="424"/>
      <c r="G190" s="424" t="s">
        <v>313</v>
      </c>
      <c r="H190" s="431" t="e">
        <f t="shared" ref="H190:V190" ca="1" si="102">ROUND(INDEX(FlowSetWTSettings,(MATCH($B189,FlowSetSimulationNumbers,0)+MATCH(H$32,FlowSetAnemometerWindSpeeds,0)),7),2)</f>
        <v>#REF!</v>
      </c>
      <c r="I190" s="431" t="e">
        <f t="shared" ca="1" si="102"/>
        <v>#REF!</v>
      </c>
      <c r="J190" s="431" t="e">
        <f t="shared" ca="1" si="102"/>
        <v>#REF!</v>
      </c>
      <c r="K190" s="431" t="e">
        <f t="shared" ca="1" si="102"/>
        <v>#REF!</v>
      </c>
      <c r="L190" s="431" t="e">
        <f t="shared" ca="1" si="102"/>
        <v>#REF!</v>
      </c>
      <c r="M190" s="431" t="e">
        <f t="shared" ca="1" si="102"/>
        <v>#REF!</v>
      </c>
      <c r="N190" s="431" t="e">
        <f t="shared" ca="1" si="102"/>
        <v>#REF!</v>
      </c>
      <c r="O190" s="431" t="e">
        <f t="shared" ca="1" si="102"/>
        <v>#REF!</v>
      </c>
      <c r="P190" s="431" t="e">
        <f t="shared" ca="1" si="102"/>
        <v>#REF!</v>
      </c>
      <c r="Q190" s="431" t="e">
        <f t="shared" ca="1" si="102"/>
        <v>#REF!</v>
      </c>
      <c r="R190" s="431" t="e">
        <f t="shared" ca="1" si="102"/>
        <v>#REF!</v>
      </c>
      <c r="S190" s="431" t="e">
        <f t="shared" ca="1" si="102"/>
        <v>#REF!</v>
      </c>
      <c r="T190" s="431" t="e">
        <f t="shared" ca="1" si="102"/>
        <v>#REF!</v>
      </c>
      <c r="U190" s="431" t="e">
        <f t="shared" ca="1" si="102"/>
        <v>#REF!</v>
      </c>
      <c r="V190" s="431" t="e">
        <f t="shared" ca="1" si="102"/>
        <v>#REF!</v>
      </c>
      <c r="W190" s="424"/>
    </row>
    <row r="191" spans="1:23">
      <c r="A191" s="424"/>
      <c r="B191" s="424"/>
      <c r="C191" s="424" t="s">
        <v>255</v>
      </c>
      <c r="D191" s="424" t="s">
        <v>387</v>
      </c>
      <c r="E191" s="424" t="s">
        <v>386</v>
      </c>
      <c r="F191" s="424"/>
      <c r="G191" s="424"/>
      <c r="H191" s="426"/>
      <c r="I191" s="426"/>
      <c r="J191" s="426"/>
      <c r="K191" s="426"/>
      <c r="L191" s="426"/>
      <c r="M191" s="426"/>
      <c r="N191" s="426"/>
      <c r="O191" s="426"/>
      <c r="P191" s="426"/>
      <c r="Q191" s="426"/>
      <c r="R191" s="426"/>
      <c r="S191" s="424"/>
      <c r="T191" s="424"/>
      <c r="U191" s="424"/>
      <c r="V191" s="424"/>
      <c r="W191" s="424"/>
    </row>
    <row r="192" spans="1:23">
      <c r="A192" s="1081">
        <f>A189</f>
        <v>1</v>
      </c>
      <c r="B192" s="726" t="str">
        <f>IF((RIGHT(B189,1))&lt;&gt;"Z",CHAR(CODE(B189))&amp;CHAR(CODE(RIGHT(B189,1))+1),CHAR(CODE(B189)+1)&amp;"A")</f>
        <v>BZ</v>
      </c>
      <c r="C192" s="424"/>
      <c r="D192" s="429" t="e">
        <f>CONCATENATE($A$17,B192, ":",RIGHT(INDEX(FlowSetWTSettings,(MATCH($B192,FlowSetSimulationNumbers,0)),2),9),REPT(" ",9-MIN(9,LEN(INDEX(FlowSetWTSettings,(MATCH($B192,FlowSetSimulationNumbers,0)),2)))),$A$17,"  ")</f>
        <v>#N/A</v>
      </c>
      <c r="E192" s="429" t="str">
        <f>CONCATENATE($A$17,VLOOKUP(A192,$A$15:$B$16,2),REPT(" ",9-LEN(VLOOKUP(A192,$A$15:$B$16,2))),$A$17)</f>
        <v>"Land     "</v>
      </c>
      <c r="F192" s="430" t="e">
        <f ca="1">INDEX(FlowSetWTSettings,(MATCH($B192,FlowSetSimulationNumbers,0)),9)</f>
        <v>#REF!</v>
      </c>
      <c r="G192" s="424" t="s">
        <v>312</v>
      </c>
      <c r="H192" s="431" t="e">
        <f t="shared" ref="H192:V192" ca="1" si="103">ROUND(INDEX(FlowSetWTSettings,(MATCH($B192,FlowSetSimulationNumbers,0)+MATCH(H$32,FlowSetAnemometerWindSpeeds,0)),8),2)</f>
        <v>#REF!</v>
      </c>
      <c r="I192" s="431" t="e">
        <f t="shared" ca="1" si="103"/>
        <v>#REF!</v>
      </c>
      <c r="J192" s="431" t="e">
        <f t="shared" ca="1" si="103"/>
        <v>#REF!</v>
      </c>
      <c r="K192" s="431" t="e">
        <f t="shared" ca="1" si="103"/>
        <v>#REF!</v>
      </c>
      <c r="L192" s="431" t="e">
        <f t="shared" ca="1" si="103"/>
        <v>#REF!</v>
      </c>
      <c r="M192" s="431" t="e">
        <f t="shared" ca="1" si="103"/>
        <v>#REF!</v>
      </c>
      <c r="N192" s="431" t="e">
        <f t="shared" ca="1" si="103"/>
        <v>#REF!</v>
      </c>
      <c r="O192" s="431" t="e">
        <f t="shared" ca="1" si="103"/>
        <v>#REF!</v>
      </c>
      <c r="P192" s="431" t="e">
        <f t="shared" ca="1" si="103"/>
        <v>#REF!</v>
      </c>
      <c r="Q192" s="431" t="e">
        <f t="shared" ca="1" si="103"/>
        <v>#REF!</v>
      </c>
      <c r="R192" s="431" t="e">
        <f t="shared" ca="1" si="103"/>
        <v>#REF!</v>
      </c>
      <c r="S192" s="431" t="e">
        <f t="shared" ca="1" si="103"/>
        <v>#REF!</v>
      </c>
      <c r="T192" s="431" t="e">
        <f t="shared" ca="1" si="103"/>
        <v>#REF!</v>
      </c>
      <c r="U192" s="431" t="e">
        <f t="shared" ca="1" si="103"/>
        <v>#REF!</v>
      </c>
      <c r="V192" s="431" t="e">
        <f t="shared" ca="1" si="103"/>
        <v>#REF!</v>
      </c>
      <c r="W192" s="424"/>
    </row>
    <row r="193" spans="1:23">
      <c r="A193" s="424"/>
      <c r="B193" s="424"/>
      <c r="C193" s="424"/>
      <c r="D193" s="424" t="s">
        <v>573</v>
      </c>
      <c r="E193" s="424" t="s">
        <v>386</v>
      </c>
      <c r="F193" s="424"/>
      <c r="G193" s="424" t="s">
        <v>313</v>
      </c>
      <c r="H193" s="431" t="e">
        <f t="shared" ref="H193:V193" ca="1" si="104">ROUND(INDEX(FlowSetWTSettings,(MATCH($B192,FlowSetSimulationNumbers,0)+MATCH(H$32,FlowSetAnemometerWindSpeeds,0)),7),2)</f>
        <v>#REF!</v>
      </c>
      <c r="I193" s="431" t="e">
        <f t="shared" ca="1" si="104"/>
        <v>#REF!</v>
      </c>
      <c r="J193" s="431" t="e">
        <f t="shared" ca="1" si="104"/>
        <v>#REF!</v>
      </c>
      <c r="K193" s="431" t="e">
        <f t="shared" ca="1" si="104"/>
        <v>#REF!</v>
      </c>
      <c r="L193" s="431" t="e">
        <f t="shared" ca="1" si="104"/>
        <v>#REF!</v>
      </c>
      <c r="M193" s="431" t="e">
        <f t="shared" ca="1" si="104"/>
        <v>#REF!</v>
      </c>
      <c r="N193" s="431" t="e">
        <f t="shared" ca="1" si="104"/>
        <v>#REF!</v>
      </c>
      <c r="O193" s="431" t="e">
        <f t="shared" ca="1" si="104"/>
        <v>#REF!</v>
      </c>
      <c r="P193" s="431" t="e">
        <f t="shared" ca="1" si="104"/>
        <v>#REF!</v>
      </c>
      <c r="Q193" s="431" t="e">
        <f t="shared" ca="1" si="104"/>
        <v>#REF!</v>
      </c>
      <c r="R193" s="431" t="e">
        <f t="shared" ca="1" si="104"/>
        <v>#REF!</v>
      </c>
      <c r="S193" s="431" t="e">
        <f t="shared" ca="1" si="104"/>
        <v>#REF!</v>
      </c>
      <c r="T193" s="431" t="e">
        <f t="shared" ca="1" si="104"/>
        <v>#REF!</v>
      </c>
      <c r="U193" s="431" t="e">
        <f t="shared" ca="1" si="104"/>
        <v>#REF!</v>
      </c>
      <c r="V193" s="431" t="e">
        <f t="shared" ca="1" si="104"/>
        <v>#REF!</v>
      </c>
      <c r="W193" s="424"/>
    </row>
    <row r="194" spans="1:23">
      <c r="A194" s="424"/>
      <c r="B194" s="424"/>
      <c r="C194" s="424" t="s">
        <v>255</v>
      </c>
      <c r="D194" s="424" t="s">
        <v>387</v>
      </c>
      <c r="E194" s="424" t="s">
        <v>386</v>
      </c>
      <c r="F194" s="424"/>
      <c r="G194" s="424"/>
      <c r="H194" s="426"/>
      <c r="I194" s="426"/>
      <c r="J194" s="426"/>
      <c r="K194" s="426"/>
      <c r="L194" s="426"/>
      <c r="M194" s="426"/>
      <c r="N194" s="426"/>
      <c r="O194" s="426"/>
      <c r="P194" s="426"/>
      <c r="Q194" s="426"/>
      <c r="R194" s="426"/>
      <c r="S194" s="424"/>
      <c r="T194" s="424"/>
      <c r="U194" s="424"/>
      <c r="V194" s="424"/>
      <c r="W194" s="424"/>
    </row>
    <row r="195" spans="1:23">
      <c r="A195" s="424"/>
      <c r="B195" s="424"/>
      <c r="C195" s="424"/>
      <c r="D195" s="424"/>
      <c r="E195" s="424"/>
      <c r="F195" s="424"/>
      <c r="G195" s="424"/>
      <c r="H195" s="424"/>
      <c r="I195" s="424"/>
      <c r="J195" s="424"/>
      <c r="K195" s="424"/>
      <c r="L195" s="424"/>
      <c r="M195" s="424"/>
      <c r="N195" s="424"/>
      <c r="O195" s="424"/>
      <c r="P195" s="424"/>
      <c r="Q195" s="424"/>
      <c r="R195" s="424"/>
      <c r="S195" s="424"/>
      <c r="T195" s="424"/>
      <c r="U195" s="424"/>
      <c r="V195" s="424"/>
      <c r="W195" s="424"/>
    </row>
    <row r="196" spans="1:23">
      <c r="A196" s="424"/>
      <c r="B196" s="424"/>
      <c r="C196" s="424"/>
      <c r="D196" s="424"/>
      <c r="E196" s="424"/>
      <c r="F196" s="424"/>
      <c r="G196" s="424"/>
      <c r="H196" s="424"/>
      <c r="I196" s="424"/>
      <c r="J196" s="424"/>
      <c r="K196" s="424"/>
      <c r="L196" s="424"/>
      <c r="M196" s="424"/>
      <c r="N196" s="424"/>
      <c r="O196" s="424"/>
      <c r="P196" s="424"/>
      <c r="Q196" s="424"/>
      <c r="R196" s="424"/>
      <c r="S196" s="424"/>
      <c r="T196" s="424"/>
      <c r="U196" s="424"/>
      <c r="V196" s="424"/>
      <c r="W196" s="424"/>
    </row>
    <row r="197" spans="1:23">
      <c r="A197" s="424"/>
      <c r="B197" s="424"/>
      <c r="C197" s="424"/>
      <c r="D197" s="424"/>
      <c r="E197" s="424"/>
      <c r="F197" s="424"/>
      <c r="G197" s="424"/>
      <c r="H197" s="424"/>
      <c r="I197" s="424"/>
      <c r="J197" s="424"/>
      <c r="K197" s="424"/>
      <c r="L197" s="424"/>
      <c r="M197" s="424"/>
      <c r="N197" s="424"/>
      <c r="O197" s="424"/>
      <c r="P197" s="424"/>
      <c r="Q197" s="424"/>
      <c r="R197" s="424"/>
      <c r="S197" s="424"/>
      <c r="T197" s="424"/>
      <c r="U197" s="424"/>
      <c r="V197" s="424"/>
      <c r="W197" s="424"/>
    </row>
    <row r="198" spans="1:23">
      <c r="A198" s="424"/>
      <c r="B198" s="424"/>
      <c r="C198" s="424"/>
      <c r="D198" s="424"/>
      <c r="E198" s="424"/>
      <c r="F198" s="424"/>
      <c r="G198" s="424"/>
      <c r="H198" s="424"/>
      <c r="I198" s="424"/>
      <c r="J198" s="424"/>
      <c r="K198" s="424"/>
      <c r="L198" s="424"/>
      <c r="M198" s="424"/>
      <c r="N198" s="424"/>
      <c r="O198" s="424"/>
      <c r="P198" s="424"/>
      <c r="Q198" s="424"/>
      <c r="R198" s="424"/>
      <c r="S198" s="424"/>
      <c r="T198" s="424"/>
      <c r="U198" s="424"/>
      <c r="V198" s="424"/>
      <c r="W198" s="424"/>
    </row>
    <row r="199" spans="1:23">
      <c r="A199" s="424"/>
      <c r="B199" s="424"/>
      <c r="C199" s="424"/>
      <c r="D199" s="424"/>
      <c r="E199" s="424"/>
      <c r="F199" s="424"/>
      <c r="G199" s="424"/>
      <c r="H199" s="424"/>
      <c r="I199" s="424"/>
      <c r="J199" s="424"/>
      <c r="K199" s="424"/>
      <c r="L199" s="424"/>
      <c r="M199" s="424"/>
      <c r="N199" s="424"/>
      <c r="O199" s="424"/>
      <c r="P199" s="424"/>
      <c r="Q199" s="424"/>
      <c r="R199" s="424"/>
      <c r="S199" s="424"/>
      <c r="T199" s="424"/>
      <c r="U199" s="424"/>
      <c r="V199" s="424"/>
      <c r="W199" s="424"/>
    </row>
    <row r="200" spans="1:23">
      <c r="A200" s="424"/>
      <c r="B200" s="424"/>
      <c r="C200" s="424"/>
      <c r="D200" s="424"/>
      <c r="E200" s="424"/>
      <c r="F200" s="424"/>
      <c r="G200" s="424"/>
      <c r="H200" s="424"/>
      <c r="I200" s="424"/>
      <c r="J200" s="424"/>
      <c r="K200" s="424"/>
      <c r="L200" s="424"/>
      <c r="M200" s="424"/>
      <c r="N200" s="424"/>
      <c r="O200" s="424"/>
      <c r="P200" s="424"/>
      <c r="Q200" s="424"/>
      <c r="R200" s="424"/>
      <c r="S200" s="424"/>
      <c r="T200" s="424"/>
      <c r="U200" s="424"/>
      <c r="V200" s="424"/>
      <c r="W200" s="424"/>
    </row>
    <row r="201" spans="1:23">
      <c r="A201" s="424"/>
      <c r="B201" s="424"/>
      <c r="C201" s="424"/>
      <c r="D201" s="424"/>
      <c r="E201" s="424"/>
      <c r="F201" s="424"/>
      <c r="G201" s="424"/>
      <c r="H201" s="424"/>
      <c r="I201" s="424"/>
      <c r="J201" s="424"/>
      <c r="K201" s="424"/>
      <c r="L201" s="424"/>
      <c r="M201" s="424"/>
      <c r="N201" s="424"/>
      <c r="O201" s="424"/>
      <c r="P201" s="424"/>
      <c r="Q201" s="424"/>
      <c r="R201" s="424"/>
      <c r="S201" s="424"/>
      <c r="T201" s="424"/>
      <c r="U201" s="424"/>
      <c r="V201" s="424"/>
      <c r="W201" s="424"/>
    </row>
    <row r="202" spans="1:23">
      <c r="A202" s="424"/>
      <c r="B202" s="424"/>
      <c r="C202" s="424"/>
      <c r="D202" s="424"/>
      <c r="E202" s="424"/>
      <c r="F202" s="424"/>
      <c r="G202" s="424"/>
      <c r="H202" s="424"/>
      <c r="I202" s="424"/>
      <c r="J202" s="424"/>
      <c r="K202" s="424"/>
      <c r="L202" s="424"/>
      <c r="M202" s="424"/>
      <c r="N202" s="424"/>
      <c r="O202" s="424"/>
      <c r="P202" s="424"/>
      <c r="Q202" s="424"/>
      <c r="R202" s="424"/>
      <c r="S202" s="424"/>
      <c r="T202" s="424"/>
      <c r="U202" s="424"/>
      <c r="V202" s="424"/>
      <c r="W202" s="424"/>
    </row>
    <row r="203" spans="1:23">
      <c r="A203" s="424"/>
      <c r="B203" s="424"/>
      <c r="C203" s="424"/>
      <c r="D203" s="424"/>
      <c r="E203" s="424"/>
      <c r="F203" s="424"/>
      <c r="G203" s="424"/>
      <c r="H203" s="424"/>
      <c r="I203" s="424"/>
      <c r="J203" s="424"/>
      <c r="K203" s="424"/>
      <c r="L203" s="424"/>
      <c r="M203" s="424"/>
      <c r="N203" s="424"/>
      <c r="O203" s="424"/>
      <c r="P203" s="424"/>
      <c r="Q203" s="424"/>
      <c r="R203" s="424"/>
      <c r="S203" s="424"/>
      <c r="T203" s="424"/>
      <c r="U203" s="424"/>
      <c r="V203" s="424"/>
      <c r="W203" s="424"/>
    </row>
    <row r="204" spans="1:23">
      <c r="A204" s="424"/>
      <c r="B204" s="424"/>
      <c r="C204" s="424"/>
      <c r="D204" s="424"/>
      <c r="E204" s="424"/>
      <c r="F204" s="424"/>
      <c r="G204" s="424"/>
      <c r="H204" s="424"/>
      <c r="I204" s="424"/>
      <c r="J204" s="424"/>
      <c r="K204" s="424"/>
      <c r="L204" s="424"/>
      <c r="M204" s="424"/>
      <c r="N204" s="424"/>
      <c r="O204" s="424"/>
      <c r="P204" s="424"/>
      <c r="Q204" s="424"/>
      <c r="R204" s="424"/>
      <c r="S204" s="424"/>
      <c r="T204" s="424"/>
      <c r="U204" s="424"/>
      <c r="V204" s="424"/>
      <c r="W204" s="424"/>
    </row>
    <row r="205" spans="1:23">
      <c r="B205" s="640"/>
      <c r="C205" s="424"/>
      <c r="D205" s="424"/>
      <c r="E205" s="424"/>
      <c r="F205" s="424"/>
      <c r="G205" s="424"/>
      <c r="H205" s="424"/>
      <c r="I205" s="424"/>
      <c r="J205" s="424"/>
      <c r="K205" s="424"/>
      <c r="L205" s="424"/>
      <c r="M205" s="424"/>
      <c r="N205" s="424"/>
      <c r="O205" s="424"/>
      <c r="P205" s="424"/>
      <c r="Q205" s="424"/>
      <c r="R205" s="424"/>
      <c r="S205" s="424"/>
      <c r="T205" s="424"/>
      <c r="U205" s="424"/>
      <c r="V205" s="424"/>
      <c r="W205" s="424"/>
    </row>
    <row r="206" spans="1:23">
      <c r="B206" s="640"/>
      <c r="C206" s="424"/>
      <c r="D206" s="424"/>
      <c r="E206" s="424"/>
      <c r="F206" s="424"/>
      <c r="G206" s="424"/>
      <c r="H206" s="424"/>
      <c r="I206" s="424"/>
      <c r="J206" s="424"/>
      <c r="K206" s="424"/>
      <c r="L206" s="424"/>
      <c r="M206" s="424"/>
      <c r="N206" s="424"/>
      <c r="O206" s="424"/>
      <c r="P206" s="424"/>
      <c r="Q206" s="424"/>
      <c r="R206" s="424"/>
      <c r="S206" s="424"/>
      <c r="T206" s="424"/>
      <c r="U206" s="424"/>
      <c r="V206" s="424"/>
      <c r="W206" s="424"/>
    </row>
    <row r="207" spans="1:23">
      <c r="B207" s="640"/>
      <c r="C207" s="424"/>
      <c r="D207" s="424"/>
      <c r="E207" s="424"/>
      <c r="F207" s="424"/>
      <c r="G207" s="424"/>
      <c r="H207" s="424"/>
      <c r="I207" s="424"/>
      <c r="J207" s="424"/>
      <c r="K207" s="424"/>
      <c r="L207" s="424"/>
      <c r="M207" s="424"/>
      <c r="N207" s="424"/>
      <c r="O207" s="424"/>
      <c r="P207" s="424"/>
      <c r="Q207" s="424"/>
      <c r="R207" s="424"/>
      <c r="S207" s="424"/>
      <c r="T207" s="424"/>
      <c r="U207" s="424"/>
      <c r="V207" s="424"/>
      <c r="W207" s="424"/>
    </row>
    <row r="208" spans="1:23">
      <c r="B208" s="640"/>
      <c r="C208" s="424"/>
      <c r="D208" s="424"/>
      <c r="E208" s="424"/>
      <c r="F208" s="424"/>
      <c r="G208" s="424"/>
      <c r="H208" s="424"/>
      <c r="I208" s="424"/>
      <c r="J208" s="424"/>
      <c r="K208" s="424"/>
      <c r="L208" s="424"/>
      <c r="M208" s="424"/>
      <c r="N208" s="424"/>
      <c r="O208" s="424"/>
      <c r="P208" s="424"/>
      <c r="Q208" s="424"/>
      <c r="R208" s="424"/>
      <c r="S208" s="424"/>
      <c r="T208" s="424"/>
      <c r="U208" s="424"/>
      <c r="V208" s="424"/>
      <c r="W208" s="424"/>
    </row>
    <row r="209" spans="2:23">
      <c r="B209" s="640"/>
      <c r="C209" s="424"/>
      <c r="D209" s="424"/>
      <c r="E209" s="424"/>
      <c r="F209" s="424"/>
      <c r="G209" s="424"/>
      <c r="H209" s="424"/>
      <c r="I209" s="424"/>
      <c r="J209" s="424"/>
      <c r="K209" s="424"/>
      <c r="L209" s="424"/>
      <c r="M209" s="424"/>
      <c r="N209" s="424"/>
      <c r="O209" s="424"/>
      <c r="P209" s="424"/>
      <c r="Q209" s="424"/>
      <c r="R209" s="424"/>
      <c r="S209" s="424"/>
      <c r="T209" s="424"/>
      <c r="U209" s="424"/>
      <c r="V209" s="424"/>
      <c r="W209" s="424"/>
    </row>
    <row r="210" spans="2:23">
      <c r="B210" s="640"/>
      <c r="C210" s="424"/>
      <c r="D210" s="424"/>
      <c r="E210" s="424"/>
      <c r="F210" s="424"/>
      <c r="G210" s="424"/>
      <c r="H210" s="424"/>
      <c r="I210" s="424"/>
      <c r="J210" s="424"/>
      <c r="K210" s="424"/>
      <c r="L210" s="424"/>
      <c r="M210" s="424"/>
      <c r="N210" s="424"/>
      <c r="O210" s="424"/>
      <c r="P210" s="424"/>
      <c r="Q210" s="424"/>
      <c r="R210" s="424"/>
      <c r="S210" s="424"/>
      <c r="T210" s="424"/>
      <c r="U210" s="424"/>
      <c r="V210" s="424"/>
      <c r="W210" s="424"/>
    </row>
    <row r="211" spans="2:23">
      <c r="B211" s="640"/>
      <c r="C211" s="424"/>
      <c r="D211" s="424"/>
      <c r="E211" s="424"/>
      <c r="F211" s="424"/>
      <c r="G211" s="424"/>
      <c r="H211" s="424"/>
      <c r="I211" s="424"/>
      <c r="J211" s="424"/>
      <c r="K211" s="424"/>
      <c r="L211" s="424"/>
      <c r="M211" s="424"/>
      <c r="N211" s="424"/>
      <c r="O211" s="424"/>
      <c r="P211" s="424"/>
      <c r="Q211" s="424"/>
      <c r="R211" s="424"/>
      <c r="S211" s="424"/>
      <c r="T211" s="424"/>
      <c r="U211" s="424"/>
      <c r="V211" s="424"/>
      <c r="W211" s="424"/>
    </row>
    <row r="212" spans="2:23">
      <c r="B212" s="640"/>
      <c r="C212" s="424"/>
      <c r="D212" s="424"/>
      <c r="E212" s="424"/>
      <c r="F212" s="424"/>
      <c r="G212" s="424"/>
      <c r="H212" s="424"/>
      <c r="I212" s="424"/>
      <c r="J212" s="424"/>
      <c r="K212" s="424"/>
      <c r="L212" s="424"/>
      <c r="M212" s="424"/>
      <c r="N212" s="424"/>
      <c r="O212" s="424"/>
      <c r="P212" s="424"/>
      <c r="Q212" s="424"/>
      <c r="R212" s="424"/>
      <c r="S212" s="424"/>
      <c r="T212" s="424"/>
      <c r="U212" s="424"/>
      <c r="V212" s="424"/>
      <c r="W212" s="424"/>
    </row>
    <row r="213" spans="2:23">
      <c r="B213" s="640"/>
      <c r="C213" s="424"/>
      <c r="D213" s="424"/>
      <c r="E213" s="424"/>
      <c r="F213" s="424"/>
      <c r="G213" s="424"/>
      <c r="H213" s="424"/>
      <c r="I213" s="424"/>
      <c r="J213" s="424"/>
      <c r="K213" s="424"/>
      <c r="L213" s="424"/>
      <c r="M213" s="424"/>
      <c r="N213" s="424"/>
      <c r="O213" s="424"/>
      <c r="P213" s="424"/>
      <c r="Q213" s="424"/>
      <c r="R213" s="424"/>
      <c r="S213" s="424"/>
      <c r="T213" s="424"/>
      <c r="U213" s="424"/>
      <c r="V213" s="424"/>
      <c r="W213" s="424"/>
    </row>
    <row r="214" spans="2:23">
      <c r="B214" s="640"/>
      <c r="C214" s="424"/>
      <c r="D214" s="424"/>
      <c r="E214" s="424"/>
      <c r="F214" s="424"/>
      <c r="G214" s="424"/>
      <c r="H214" s="424"/>
      <c r="I214" s="424"/>
      <c r="J214" s="424"/>
      <c r="K214" s="424"/>
      <c r="L214" s="424"/>
      <c r="M214" s="424"/>
      <c r="N214" s="424"/>
      <c r="O214" s="424"/>
      <c r="P214" s="424"/>
      <c r="Q214" s="424"/>
      <c r="R214" s="424"/>
      <c r="S214" s="424"/>
      <c r="T214" s="424"/>
      <c r="U214" s="424"/>
      <c r="V214" s="424"/>
      <c r="W214" s="424"/>
    </row>
    <row r="215" spans="2:23">
      <c r="B215" s="640"/>
      <c r="C215" s="424"/>
      <c r="D215" s="424"/>
      <c r="E215" s="424"/>
      <c r="F215" s="424"/>
      <c r="G215" s="424"/>
      <c r="H215" s="424"/>
      <c r="I215" s="424"/>
      <c r="J215" s="424"/>
      <c r="K215" s="424"/>
      <c r="L215" s="424"/>
      <c r="M215" s="424"/>
      <c r="N215" s="424"/>
      <c r="O215" s="424"/>
      <c r="P215" s="424"/>
      <c r="Q215" s="424"/>
      <c r="R215" s="424"/>
      <c r="S215" s="424"/>
      <c r="T215" s="424"/>
      <c r="U215" s="424"/>
      <c r="V215" s="424"/>
      <c r="W215" s="424"/>
    </row>
    <row r="216" spans="2:23">
      <c r="B216" s="640"/>
      <c r="C216" s="424"/>
      <c r="D216" s="424"/>
      <c r="E216" s="424"/>
      <c r="F216" s="424"/>
      <c r="G216" s="424"/>
      <c r="H216" s="424"/>
      <c r="I216" s="424"/>
      <c r="J216" s="424"/>
      <c r="K216" s="424"/>
      <c r="L216" s="424"/>
      <c r="M216" s="424"/>
      <c r="N216" s="424"/>
      <c r="O216" s="424"/>
      <c r="P216" s="424"/>
      <c r="Q216" s="424"/>
      <c r="R216" s="424"/>
      <c r="S216" s="424"/>
      <c r="T216" s="424"/>
      <c r="U216" s="424"/>
      <c r="V216" s="424"/>
      <c r="W216" s="424"/>
    </row>
    <row r="217" spans="2:23">
      <c r="B217" s="640"/>
      <c r="C217" s="424"/>
      <c r="D217" s="424"/>
      <c r="E217" s="424"/>
      <c r="F217" s="424"/>
      <c r="G217" s="424"/>
      <c r="H217" s="424"/>
      <c r="I217" s="424"/>
      <c r="J217" s="424"/>
      <c r="K217" s="424"/>
      <c r="L217" s="424"/>
      <c r="M217" s="424"/>
      <c r="N217" s="424"/>
      <c r="O217" s="424"/>
      <c r="P217" s="424"/>
      <c r="Q217" s="424"/>
      <c r="R217" s="424"/>
      <c r="S217" s="424"/>
      <c r="T217" s="424"/>
      <c r="U217" s="424"/>
      <c r="V217" s="424"/>
      <c r="W217" s="424"/>
    </row>
    <row r="218" spans="2:23">
      <c r="B218" s="640"/>
      <c r="C218" s="424"/>
      <c r="D218" s="424"/>
      <c r="E218" s="424"/>
      <c r="F218" s="424"/>
      <c r="G218" s="424"/>
      <c r="H218" s="424"/>
      <c r="I218" s="424"/>
      <c r="J218" s="424"/>
      <c r="K218" s="424"/>
      <c r="L218" s="424"/>
      <c r="M218" s="424"/>
      <c r="N218" s="424"/>
      <c r="O218" s="424"/>
      <c r="P218" s="424"/>
      <c r="Q218" s="424"/>
      <c r="R218" s="424"/>
      <c r="S218" s="424"/>
      <c r="T218" s="424"/>
      <c r="U218" s="424"/>
      <c r="V218" s="424"/>
      <c r="W218" s="424"/>
    </row>
    <row r="219" spans="2:23">
      <c r="B219" s="640"/>
      <c r="C219" s="424"/>
      <c r="D219" s="424"/>
      <c r="E219" s="424"/>
      <c r="F219" s="424"/>
      <c r="G219" s="424"/>
      <c r="H219" s="424"/>
      <c r="I219" s="424"/>
      <c r="J219" s="424"/>
      <c r="K219" s="424"/>
      <c r="L219" s="424"/>
      <c r="M219" s="424"/>
      <c r="N219" s="424"/>
      <c r="O219" s="424"/>
      <c r="P219" s="424"/>
      <c r="Q219" s="424"/>
      <c r="R219" s="424"/>
      <c r="S219" s="424"/>
      <c r="T219" s="424"/>
      <c r="U219" s="424"/>
      <c r="V219" s="424"/>
      <c r="W219" s="424"/>
    </row>
    <row r="220" spans="2:23">
      <c r="B220" s="640"/>
      <c r="C220" s="424"/>
      <c r="D220" s="424"/>
      <c r="E220" s="424"/>
      <c r="F220" s="424"/>
      <c r="G220" s="424"/>
      <c r="H220" s="424"/>
      <c r="I220" s="424"/>
      <c r="J220" s="424"/>
      <c r="K220" s="424"/>
      <c r="L220" s="424"/>
      <c r="M220" s="424"/>
      <c r="N220" s="424"/>
      <c r="O220" s="424"/>
      <c r="P220" s="424"/>
      <c r="Q220" s="424"/>
      <c r="R220" s="424"/>
      <c r="S220" s="424"/>
      <c r="T220" s="424"/>
      <c r="U220" s="424"/>
      <c r="V220" s="424"/>
      <c r="W220" s="424"/>
    </row>
    <row r="221" spans="2:23">
      <c r="B221" s="640"/>
      <c r="C221" s="424"/>
      <c r="D221" s="424"/>
      <c r="E221" s="424"/>
      <c r="F221" s="424"/>
      <c r="G221" s="424"/>
      <c r="H221" s="424"/>
      <c r="I221" s="424"/>
      <c r="J221" s="424"/>
      <c r="K221" s="424"/>
      <c r="L221" s="424"/>
      <c r="M221" s="424"/>
      <c r="N221" s="424"/>
      <c r="O221" s="424"/>
      <c r="P221" s="424"/>
      <c r="Q221" s="424"/>
      <c r="R221" s="424"/>
      <c r="S221" s="424"/>
      <c r="T221" s="424"/>
      <c r="U221" s="424"/>
      <c r="V221" s="424"/>
      <c r="W221" s="424"/>
    </row>
    <row r="222" spans="2:23">
      <c r="B222" s="640"/>
      <c r="C222" s="424"/>
      <c r="D222" s="424"/>
      <c r="E222" s="424"/>
      <c r="F222" s="424"/>
      <c r="G222" s="424"/>
      <c r="H222" s="424"/>
      <c r="I222" s="424"/>
      <c r="J222" s="424"/>
      <c r="K222" s="424"/>
      <c r="L222" s="424"/>
      <c r="M222" s="424"/>
      <c r="N222" s="424"/>
      <c r="O222" s="424"/>
      <c r="P222" s="424"/>
      <c r="Q222" s="424"/>
      <c r="R222" s="424"/>
      <c r="S222" s="424"/>
      <c r="T222" s="424"/>
      <c r="U222" s="424"/>
      <c r="V222" s="424"/>
      <c r="W222" s="424"/>
    </row>
    <row r="223" spans="2:23">
      <c r="B223" s="640"/>
      <c r="C223" s="424"/>
      <c r="D223" s="424"/>
      <c r="E223" s="424"/>
      <c r="F223" s="424"/>
      <c r="G223" s="424"/>
      <c r="H223" s="424"/>
      <c r="I223" s="424"/>
      <c r="J223" s="424"/>
      <c r="K223" s="424"/>
      <c r="L223" s="424"/>
      <c r="M223" s="424"/>
      <c r="N223" s="424"/>
      <c r="O223" s="424"/>
      <c r="P223" s="424"/>
      <c r="Q223" s="424"/>
      <c r="R223" s="424"/>
      <c r="S223" s="424"/>
      <c r="T223" s="424"/>
      <c r="U223" s="424"/>
      <c r="V223" s="424"/>
      <c r="W223" s="424"/>
    </row>
    <row r="224" spans="2:23">
      <c r="B224" s="640"/>
      <c r="C224" s="424"/>
      <c r="D224" s="424"/>
      <c r="E224" s="424"/>
      <c r="F224" s="424"/>
      <c r="G224" s="424"/>
      <c r="H224" s="424"/>
      <c r="I224" s="424"/>
      <c r="J224" s="424"/>
      <c r="K224" s="424"/>
      <c r="L224" s="424"/>
      <c r="M224" s="424"/>
      <c r="N224" s="424"/>
      <c r="O224" s="424"/>
      <c r="P224" s="424"/>
      <c r="Q224" s="424"/>
      <c r="R224" s="424"/>
      <c r="S224" s="424"/>
      <c r="T224" s="424"/>
      <c r="U224" s="424"/>
      <c r="V224" s="424"/>
      <c r="W224" s="424"/>
    </row>
    <row r="225" spans="2:23">
      <c r="B225" s="640"/>
      <c r="C225" s="424"/>
      <c r="D225" s="424"/>
      <c r="E225" s="424"/>
      <c r="F225" s="424"/>
      <c r="G225" s="424"/>
      <c r="H225" s="424"/>
      <c r="I225" s="424"/>
      <c r="J225" s="424"/>
      <c r="K225" s="424"/>
      <c r="L225" s="424"/>
      <c r="M225" s="424"/>
      <c r="N225" s="424"/>
      <c r="O225" s="424"/>
      <c r="P225" s="424"/>
      <c r="Q225" s="424"/>
      <c r="R225" s="424"/>
      <c r="S225" s="424"/>
      <c r="T225" s="424"/>
      <c r="U225" s="424"/>
      <c r="V225" s="424"/>
      <c r="W225" s="424"/>
    </row>
    <row r="226" spans="2:23">
      <c r="B226" s="640"/>
      <c r="C226" s="424"/>
      <c r="D226" s="424"/>
      <c r="E226" s="424"/>
      <c r="F226" s="424"/>
      <c r="G226" s="424"/>
      <c r="H226" s="424"/>
      <c r="I226" s="424"/>
      <c r="J226" s="424"/>
      <c r="K226" s="424"/>
      <c r="L226" s="424"/>
      <c r="M226" s="424"/>
      <c r="N226" s="424"/>
      <c r="O226" s="424"/>
      <c r="P226" s="424"/>
      <c r="Q226" s="424"/>
      <c r="R226" s="424"/>
      <c r="S226" s="424"/>
      <c r="T226" s="424"/>
      <c r="U226" s="424"/>
      <c r="V226" s="424"/>
      <c r="W226" s="424"/>
    </row>
    <row r="227" spans="2:23">
      <c r="B227" s="640"/>
      <c r="C227" s="424"/>
      <c r="D227" s="424"/>
      <c r="E227" s="424"/>
      <c r="F227" s="424"/>
      <c r="G227" s="424"/>
      <c r="H227" s="424"/>
      <c r="I227" s="424"/>
      <c r="J227" s="424"/>
      <c r="K227" s="424"/>
      <c r="L227" s="424"/>
      <c r="M227" s="424"/>
      <c r="N227" s="424"/>
      <c r="O227" s="424"/>
      <c r="P227" s="424"/>
      <c r="Q227" s="424"/>
      <c r="R227" s="424"/>
      <c r="S227" s="424"/>
      <c r="T227" s="424"/>
      <c r="U227" s="424"/>
      <c r="V227" s="424"/>
      <c r="W227" s="424"/>
    </row>
    <row r="228" spans="2:23">
      <c r="B228" s="640"/>
      <c r="C228" s="424"/>
      <c r="D228" s="424"/>
      <c r="E228" s="424"/>
      <c r="F228" s="424"/>
      <c r="G228" s="424"/>
      <c r="H228" s="424"/>
      <c r="I228" s="424"/>
      <c r="J228" s="424"/>
      <c r="K228" s="424"/>
      <c r="L228" s="424"/>
      <c r="M228" s="424"/>
      <c r="N228" s="424"/>
      <c r="O228" s="424"/>
      <c r="P228" s="424"/>
      <c r="Q228" s="424"/>
      <c r="R228" s="424"/>
      <c r="S228" s="424"/>
      <c r="T228" s="424"/>
      <c r="U228" s="424"/>
      <c r="V228" s="424"/>
      <c r="W228" s="424"/>
    </row>
    <row r="229" spans="2:23">
      <c r="B229" s="640"/>
      <c r="C229" s="424"/>
      <c r="D229" s="424"/>
      <c r="E229" s="424"/>
      <c r="F229" s="424"/>
      <c r="G229" s="424"/>
      <c r="H229" s="424"/>
      <c r="I229" s="424"/>
      <c r="J229" s="424"/>
      <c r="K229" s="424"/>
      <c r="L229" s="424"/>
      <c r="M229" s="424"/>
      <c r="N229" s="424"/>
      <c r="O229" s="424"/>
      <c r="P229" s="424"/>
      <c r="Q229" s="424"/>
      <c r="R229" s="424"/>
      <c r="S229" s="424"/>
      <c r="T229" s="424"/>
      <c r="U229" s="424"/>
      <c r="V229" s="424"/>
      <c r="W229" s="424"/>
    </row>
    <row r="230" spans="2:23">
      <c r="B230" s="640"/>
      <c r="C230" s="424"/>
      <c r="D230" s="424"/>
      <c r="E230" s="424"/>
      <c r="F230" s="424"/>
      <c r="G230" s="424"/>
      <c r="H230" s="424"/>
      <c r="I230" s="424"/>
      <c r="J230" s="424"/>
      <c r="K230" s="424"/>
      <c r="L230" s="424"/>
      <c r="M230" s="424"/>
      <c r="N230" s="424"/>
      <c r="O230" s="424"/>
      <c r="P230" s="424"/>
      <c r="Q230" s="424"/>
      <c r="R230" s="424"/>
      <c r="S230" s="424"/>
      <c r="T230" s="424"/>
      <c r="U230" s="424"/>
      <c r="V230" s="424"/>
      <c r="W230" s="424"/>
    </row>
    <row r="231" spans="2:23">
      <c r="B231" s="640"/>
      <c r="C231" s="424"/>
      <c r="D231" s="424"/>
      <c r="E231" s="424"/>
      <c r="F231" s="424"/>
      <c r="G231" s="424"/>
      <c r="H231" s="424"/>
      <c r="I231" s="424"/>
      <c r="J231" s="424"/>
      <c r="K231" s="424"/>
      <c r="L231" s="424"/>
      <c r="M231" s="424"/>
      <c r="N231" s="424"/>
      <c r="O231" s="424"/>
      <c r="P231" s="424"/>
      <c r="Q231" s="424"/>
      <c r="R231" s="424"/>
      <c r="S231" s="424"/>
      <c r="T231" s="424"/>
      <c r="U231" s="424"/>
      <c r="V231" s="424"/>
      <c r="W231" s="424"/>
    </row>
    <row r="232" spans="2:23">
      <c r="B232" s="640"/>
      <c r="C232" s="424"/>
      <c r="D232" s="424"/>
      <c r="E232" s="424"/>
      <c r="F232" s="424"/>
      <c r="G232" s="424"/>
      <c r="H232" s="424"/>
      <c r="I232" s="424"/>
      <c r="J232" s="424"/>
      <c r="K232" s="424"/>
      <c r="L232" s="424"/>
      <c r="M232" s="424"/>
      <c r="N232" s="424"/>
      <c r="O232" s="424"/>
      <c r="P232" s="424"/>
      <c r="Q232" s="424"/>
      <c r="R232" s="424"/>
      <c r="S232" s="424"/>
      <c r="T232" s="424"/>
      <c r="U232" s="424"/>
      <c r="V232" s="424"/>
      <c r="W232" s="424"/>
    </row>
    <row r="233" spans="2:23">
      <c r="B233" s="640"/>
      <c r="C233" s="424"/>
      <c r="D233" s="424"/>
      <c r="E233" s="424"/>
      <c r="F233" s="424"/>
      <c r="G233" s="424"/>
      <c r="H233" s="424"/>
      <c r="I233" s="424"/>
      <c r="J233" s="424"/>
      <c r="K233" s="424"/>
      <c r="L233" s="424"/>
      <c r="M233" s="424"/>
      <c r="N233" s="424"/>
      <c r="O233" s="424"/>
      <c r="P233" s="424"/>
      <c r="Q233" s="424"/>
      <c r="R233" s="424"/>
      <c r="S233" s="424"/>
      <c r="T233" s="424"/>
      <c r="U233" s="424"/>
      <c r="V233" s="424"/>
      <c r="W233" s="424"/>
    </row>
    <row r="234" spans="2:23">
      <c r="B234" s="640"/>
      <c r="C234" s="424"/>
      <c r="D234" s="424"/>
      <c r="E234" s="424"/>
      <c r="F234" s="424"/>
      <c r="G234" s="424"/>
      <c r="H234" s="424"/>
      <c r="I234" s="424"/>
      <c r="J234" s="424"/>
      <c r="K234" s="424"/>
      <c r="L234" s="424"/>
      <c r="M234" s="424"/>
      <c r="N234" s="424"/>
      <c r="O234" s="424"/>
      <c r="P234" s="424"/>
      <c r="Q234" s="424"/>
      <c r="R234" s="424"/>
      <c r="S234" s="424"/>
      <c r="T234" s="424"/>
      <c r="U234" s="424"/>
      <c r="V234" s="424"/>
      <c r="W234" s="424"/>
    </row>
    <row r="235" spans="2:23">
      <c r="B235" s="640"/>
      <c r="C235" s="424"/>
      <c r="D235" s="424"/>
      <c r="E235" s="424"/>
      <c r="F235" s="424"/>
      <c r="G235" s="424"/>
      <c r="H235" s="424"/>
      <c r="I235" s="424"/>
      <c r="J235" s="424"/>
      <c r="K235" s="424"/>
      <c r="L235" s="424"/>
      <c r="M235" s="424"/>
      <c r="N235" s="424"/>
      <c r="O235" s="424"/>
      <c r="P235" s="424"/>
      <c r="Q235" s="424"/>
      <c r="R235" s="424"/>
      <c r="S235" s="424"/>
      <c r="T235" s="424"/>
      <c r="U235" s="424"/>
      <c r="V235" s="424"/>
      <c r="W235" s="424"/>
    </row>
    <row r="236" spans="2:23">
      <c r="B236" s="640"/>
      <c r="C236" s="424"/>
      <c r="D236" s="424"/>
      <c r="E236" s="424"/>
      <c r="F236" s="424"/>
      <c r="G236" s="424"/>
      <c r="H236" s="424"/>
      <c r="I236" s="424"/>
      <c r="J236" s="424"/>
      <c r="K236" s="424"/>
      <c r="L236" s="424"/>
      <c r="M236" s="424"/>
      <c r="N236" s="424"/>
      <c r="O236" s="424"/>
      <c r="P236" s="424"/>
      <c r="Q236" s="424"/>
      <c r="R236" s="424"/>
      <c r="S236" s="424"/>
      <c r="T236" s="424"/>
      <c r="U236" s="424"/>
      <c r="V236" s="424"/>
      <c r="W236" s="424"/>
    </row>
    <row r="237" spans="2:23">
      <c r="B237" s="640"/>
      <c r="C237" s="424"/>
      <c r="D237" s="424"/>
      <c r="E237" s="424"/>
      <c r="F237" s="424"/>
      <c r="G237" s="424"/>
      <c r="H237" s="424"/>
      <c r="I237" s="424"/>
      <c r="J237" s="424"/>
      <c r="K237" s="424"/>
      <c r="L237" s="424"/>
      <c r="M237" s="424"/>
      <c r="N237" s="424"/>
      <c r="O237" s="424"/>
      <c r="P237" s="424"/>
      <c r="Q237" s="424"/>
      <c r="R237" s="424"/>
      <c r="S237" s="424"/>
      <c r="T237" s="424"/>
      <c r="U237" s="424"/>
      <c r="V237" s="424"/>
      <c r="W237" s="424"/>
    </row>
    <row r="238" spans="2:23">
      <c r="B238" s="640"/>
      <c r="C238" s="424"/>
      <c r="D238" s="424"/>
      <c r="E238" s="424"/>
      <c r="F238" s="424"/>
      <c r="G238" s="424"/>
      <c r="H238" s="424"/>
      <c r="I238" s="424"/>
      <c r="J238" s="424"/>
      <c r="K238" s="424"/>
      <c r="L238" s="424"/>
      <c r="M238" s="424"/>
      <c r="N238" s="424"/>
      <c r="O238" s="424"/>
      <c r="P238" s="424"/>
      <c r="Q238" s="424"/>
      <c r="R238" s="424"/>
      <c r="S238" s="424"/>
      <c r="T238" s="424"/>
      <c r="U238" s="424"/>
      <c r="V238" s="424"/>
      <c r="W238" s="424"/>
    </row>
    <row r="239" spans="2:23">
      <c r="B239" s="640"/>
      <c r="C239" s="424"/>
      <c r="D239" s="424"/>
      <c r="E239" s="424"/>
      <c r="F239" s="424"/>
      <c r="G239" s="424"/>
      <c r="H239" s="424"/>
      <c r="I239" s="424"/>
      <c r="J239" s="424"/>
      <c r="K239" s="424"/>
      <c r="L239" s="424"/>
      <c r="M239" s="424"/>
      <c r="N239" s="424"/>
      <c r="O239" s="424"/>
      <c r="P239" s="424"/>
      <c r="Q239" s="424"/>
      <c r="R239" s="424"/>
      <c r="S239" s="424"/>
      <c r="T239" s="424"/>
      <c r="U239" s="424"/>
      <c r="V239" s="424"/>
      <c r="W239" s="424"/>
    </row>
    <row r="240" spans="2:23">
      <c r="B240" s="640"/>
      <c r="C240" s="424"/>
      <c r="D240" s="424"/>
      <c r="E240" s="424"/>
      <c r="F240" s="424"/>
      <c r="G240" s="424"/>
      <c r="H240" s="424"/>
      <c r="I240" s="424"/>
      <c r="J240" s="424"/>
      <c r="K240" s="424"/>
      <c r="L240" s="424"/>
      <c r="M240" s="424"/>
      <c r="N240" s="424"/>
      <c r="O240" s="424"/>
      <c r="P240" s="424"/>
      <c r="Q240" s="424"/>
      <c r="R240" s="424"/>
      <c r="S240" s="424"/>
      <c r="T240" s="424"/>
      <c r="U240" s="424"/>
      <c r="V240" s="424"/>
      <c r="W240" s="424"/>
    </row>
    <row r="241" spans="2:23">
      <c r="B241" s="640"/>
      <c r="C241" s="424"/>
      <c r="D241" s="424"/>
      <c r="E241" s="424"/>
      <c r="F241" s="424"/>
      <c r="G241" s="424"/>
      <c r="H241" s="424"/>
      <c r="I241" s="424"/>
      <c r="J241" s="424"/>
      <c r="K241" s="424"/>
      <c r="L241" s="424"/>
      <c r="M241" s="424"/>
      <c r="N241" s="424"/>
      <c r="O241" s="424"/>
      <c r="P241" s="424"/>
      <c r="Q241" s="424"/>
      <c r="R241" s="424"/>
      <c r="S241" s="424"/>
      <c r="T241" s="424"/>
      <c r="U241" s="424"/>
      <c r="V241" s="424"/>
      <c r="W241" s="424"/>
    </row>
    <row r="242" spans="2:23">
      <c r="B242" s="640"/>
      <c r="C242" s="424"/>
      <c r="D242" s="424"/>
      <c r="E242" s="424"/>
      <c r="F242" s="424"/>
      <c r="G242" s="424"/>
      <c r="H242" s="424"/>
      <c r="I242" s="424"/>
      <c r="J242" s="424"/>
      <c r="K242" s="424"/>
      <c r="L242" s="424"/>
      <c r="M242" s="424"/>
      <c r="N242" s="424"/>
      <c r="O242" s="424"/>
      <c r="P242" s="424"/>
      <c r="Q242" s="424"/>
      <c r="R242" s="424"/>
      <c r="S242" s="424"/>
      <c r="T242" s="424"/>
      <c r="U242" s="424"/>
      <c r="V242" s="424"/>
      <c r="W242" s="424"/>
    </row>
    <row r="243" spans="2:23">
      <c r="B243" s="640"/>
      <c r="C243" s="424"/>
      <c r="D243" s="424"/>
      <c r="E243" s="424"/>
      <c r="F243" s="424"/>
      <c r="G243" s="424"/>
      <c r="H243" s="424"/>
      <c r="I243" s="424"/>
      <c r="J243" s="424"/>
      <c r="K243" s="424"/>
      <c r="L243" s="424"/>
      <c r="M243" s="424"/>
      <c r="N243" s="424"/>
      <c r="O243" s="424"/>
      <c r="P243" s="424"/>
      <c r="Q243" s="424"/>
      <c r="R243" s="424"/>
      <c r="S243" s="424"/>
      <c r="T243" s="424"/>
      <c r="U243" s="424"/>
      <c r="V243" s="424"/>
      <c r="W243" s="424"/>
    </row>
    <row r="244" spans="2:23">
      <c r="B244" s="640"/>
      <c r="C244" s="424"/>
      <c r="D244" s="424"/>
      <c r="E244" s="424"/>
      <c r="F244" s="424"/>
      <c r="G244" s="424"/>
      <c r="H244" s="424"/>
      <c r="I244" s="424"/>
      <c r="J244" s="424"/>
      <c r="K244" s="424"/>
      <c r="L244" s="424"/>
      <c r="M244" s="424"/>
      <c r="N244" s="424"/>
      <c r="O244" s="424"/>
      <c r="P244" s="424"/>
      <c r="Q244" s="424"/>
      <c r="R244" s="424"/>
      <c r="S244" s="424"/>
      <c r="T244" s="424"/>
      <c r="U244" s="424"/>
      <c r="V244" s="424"/>
      <c r="W244" s="424"/>
    </row>
    <row r="245" spans="2:23">
      <c r="B245" s="640"/>
      <c r="C245" s="424"/>
      <c r="D245" s="424"/>
      <c r="E245" s="424"/>
      <c r="F245" s="424"/>
      <c r="G245" s="424"/>
      <c r="H245" s="424"/>
      <c r="I245" s="424"/>
      <c r="J245" s="424"/>
      <c r="K245" s="424"/>
      <c r="L245" s="424"/>
      <c r="M245" s="424"/>
      <c r="N245" s="424"/>
      <c r="O245" s="424"/>
      <c r="P245" s="424"/>
      <c r="Q245" s="424"/>
      <c r="R245" s="424"/>
      <c r="S245" s="424"/>
      <c r="T245" s="424"/>
      <c r="U245" s="424"/>
      <c r="V245" s="424"/>
      <c r="W245" s="424"/>
    </row>
    <row r="246" spans="2:23">
      <c r="C246" s="424"/>
      <c r="D246" s="424"/>
      <c r="E246" s="424"/>
      <c r="F246" s="424"/>
      <c r="G246" s="424"/>
      <c r="H246" s="424"/>
      <c r="I246" s="424"/>
      <c r="J246" s="424"/>
      <c r="K246" s="424"/>
      <c r="L246" s="424"/>
      <c r="M246" s="424"/>
      <c r="N246" s="424"/>
      <c r="O246" s="424"/>
      <c r="P246" s="424"/>
      <c r="Q246" s="424"/>
      <c r="R246" s="424"/>
      <c r="S246" s="424"/>
      <c r="T246" s="424"/>
      <c r="U246" s="424"/>
      <c r="V246" s="424"/>
      <c r="W246" s="424"/>
    </row>
    <row r="247" spans="2:23">
      <c r="C247" s="424"/>
      <c r="D247" s="424"/>
      <c r="E247" s="424"/>
      <c r="F247" s="424"/>
      <c r="G247" s="424"/>
      <c r="H247" s="424"/>
      <c r="I247" s="424"/>
      <c r="J247" s="424"/>
      <c r="K247" s="424"/>
      <c r="L247" s="424"/>
      <c r="M247" s="424"/>
      <c r="N247" s="424"/>
      <c r="O247" s="424"/>
      <c r="P247" s="424"/>
      <c r="Q247" s="424"/>
      <c r="R247" s="424"/>
      <c r="S247" s="424"/>
      <c r="T247" s="424"/>
      <c r="U247" s="424"/>
      <c r="V247" s="424"/>
      <c r="W247" s="424"/>
    </row>
    <row r="248" spans="2:23">
      <c r="C248" s="424"/>
      <c r="D248" s="424"/>
      <c r="E248" s="424"/>
      <c r="F248" s="424"/>
      <c r="G248" s="424"/>
      <c r="H248" s="424"/>
      <c r="I248" s="424"/>
      <c r="J248" s="424"/>
      <c r="K248" s="424"/>
      <c r="L248" s="424"/>
      <c r="M248" s="424"/>
      <c r="N248" s="424"/>
      <c r="O248" s="424"/>
      <c r="P248" s="424"/>
      <c r="Q248" s="424"/>
      <c r="R248" s="424"/>
      <c r="S248" s="424"/>
      <c r="T248" s="424"/>
      <c r="U248" s="424"/>
      <c r="V248" s="424"/>
      <c r="W248" s="424"/>
    </row>
    <row r="249" spans="2:23">
      <c r="C249" s="424"/>
      <c r="D249" s="424"/>
      <c r="E249" s="424"/>
      <c r="F249" s="424"/>
      <c r="G249" s="424"/>
      <c r="H249" s="424"/>
      <c r="I249" s="424"/>
      <c r="J249" s="424"/>
      <c r="K249" s="424"/>
      <c r="L249" s="424"/>
      <c r="M249" s="424"/>
      <c r="N249" s="424"/>
      <c r="O249" s="424"/>
      <c r="P249" s="424"/>
      <c r="Q249" s="424"/>
      <c r="R249" s="424"/>
      <c r="S249" s="424"/>
      <c r="T249" s="424"/>
      <c r="U249" s="424"/>
      <c r="V249" s="424"/>
      <c r="W249" s="424"/>
    </row>
    <row r="250" spans="2:23">
      <c r="C250" s="424"/>
      <c r="D250" s="424"/>
      <c r="E250" s="424"/>
      <c r="F250" s="424"/>
      <c r="G250" s="424"/>
      <c r="H250" s="424"/>
      <c r="I250" s="424"/>
      <c r="J250" s="424"/>
      <c r="K250" s="424"/>
      <c r="L250" s="424"/>
      <c r="M250" s="424"/>
      <c r="N250" s="424"/>
      <c r="O250" s="424"/>
      <c r="P250" s="424"/>
      <c r="Q250" s="424"/>
      <c r="R250" s="424"/>
      <c r="S250" s="424"/>
      <c r="T250" s="424"/>
      <c r="U250" s="424"/>
      <c r="V250" s="424"/>
      <c r="W250" s="424"/>
    </row>
    <row r="251" spans="2:23">
      <c r="C251" s="424"/>
      <c r="D251" s="424"/>
      <c r="E251" s="424"/>
      <c r="F251" s="424"/>
      <c r="G251" s="424"/>
      <c r="H251" s="424"/>
      <c r="I251" s="424"/>
      <c r="J251" s="424"/>
      <c r="K251" s="424"/>
      <c r="L251" s="424"/>
      <c r="M251" s="424"/>
      <c r="N251" s="424"/>
      <c r="O251" s="424"/>
      <c r="P251" s="424"/>
      <c r="Q251" s="424"/>
      <c r="R251" s="424"/>
      <c r="S251" s="424"/>
      <c r="T251" s="424"/>
      <c r="U251" s="424"/>
      <c r="V251" s="424"/>
      <c r="W251" s="424"/>
    </row>
    <row r="252" spans="2:23">
      <c r="C252" s="424"/>
      <c r="D252" s="424"/>
      <c r="E252" s="424"/>
      <c r="F252" s="424"/>
      <c r="G252" s="424"/>
      <c r="H252" s="424"/>
      <c r="I252" s="424"/>
      <c r="J252" s="424"/>
      <c r="K252" s="424"/>
      <c r="L252" s="424"/>
      <c r="M252" s="424"/>
      <c r="N252" s="424"/>
      <c r="O252" s="424"/>
      <c r="P252" s="424"/>
      <c r="Q252" s="424"/>
      <c r="R252" s="424"/>
      <c r="S252" s="424"/>
      <c r="T252" s="424"/>
      <c r="U252" s="424"/>
      <c r="V252" s="424"/>
      <c r="W252" s="424"/>
    </row>
    <row r="253" spans="2:23">
      <c r="C253" s="424"/>
      <c r="D253" s="424"/>
      <c r="E253" s="424"/>
      <c r="F253" s="424"/>
      <c r="G253" s="424"/>
      <c r="H253" s="424"/>
      <c r="I253" s="424"/>
      <c r="J253" s="424"/>
      <c r="K253" s="424"/>
      <c r="L253" s="424"/>
      <c r="M253" s="424"/>
      <c r="N253" s="424"/>
      <c r="O253" s="424"/>
      <c r="P253" s="424"/>
      <c r="Q253" s="424"/>
      <c r="R253" s="424"/>
      <c r="S253" s="424"/>
      <c r="T253" s="424"/>
      <c r="U253" s="424"/>
      <c r="V253" s="424"/>
      <c r="W253" s="424"/>
    </row>
    <row r="254" spans="2:23">
      <c r="C254" s="424"/>
      <c r="D254" s="424"/>
      <c r="E254" s="424"/>
      <c r="F254" s="424"/>
      <c r="G254" s="424"/>
      <c r="H254" s="424"/>
      <c r="I254" s="424"/>
      <c r="J254" s="424"/>
      <c r="K254" s="424"/>
      <c r="L254" s="424"/>
      <c r="M254" s="424"/>
      <c r="N254" s="424"/>
      <c r="O254" s="424"/>
      <c r="P254" s="424"/>
      <c r="Q254" s="424"/>
      <c r="R254" s="424"/>
      <c r="S254" s="424"/>
      <c r="T254" s="424"/>
      <c r="U254" s="424"/>
      <c r="V254" s="424"/>
      <c r="W254" s="424"/>
    </row>
  </sheetData>
  <phoneticPr fontId="0" type="noConversion"/>
  <printOptions horizontalCentered="1"/>
  <pageMargins left="0.25" right="0.25" top="0.25" bottom="0.5" header="0" footer="0"/>
  <pageSetup scale="71" fitToHeight="0" orientation="landscape" blackAndWhite="1" horizontalDpi="360" verticalDpi="360" r:id="rId1"/>
  <headerFooter alignWithMargins="0">
    <oddFooter>Page &amp;P of &amp;N</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theme="1"/>
    <pageSetUpPr fitToPage="1"/>
  </sheetPr>
  <dimension ref="A1:AE133"/>
  <sheetViews>
    <sheetView zoomScale="75" zoomScaleNormal="75" workbookViewId="0">
      <selection activeCell="J4" sqref="J4"/>
    </sheetView>
  </sheetViews>
  <sheetFormatPr defaultRowHeight="15.75"/>
  <cols>
    <col min="5" max="5" width="12.5" bestFit="1" customWidth="1"/>
    <col min="6" max="6" width="6.875" customWidth="1"/>
    <col min="8" max="8" width="6" customWidth="1"/>
    <col min="10" max="10" width="4.75" customWidth="1"/>
    <col min="12" max="12" width="4.875" customWidth="1"/>
    <col min="28" max="28" width="9" style="419"/>
  </cols>
  <sheetData>
    <row r="1" spans="1:31">
      <c r="I1" t="s">
        <v>647</v>
      </c>
    </row>
    <row r="2" spans="1:31">
      <c r="I2" t="s">
        <v>649</v>
      </c>
    </row>
    <row r="3" spans="1:31">
      <c r="I3" t="s">
        <v>650</v>
      </c>
    </row>
    <row r="4" spans="1:31">
      <c r="I4" t="s">
        <v>651</v>
      </c>
    </row>
    <row r="5" spans="1:31">
      <c r="I5" t="s">
        <v>613</v>
      </c>
      <c r="AC5" s="419"/>
      <c r="AD5" s="419"/>
      <c r="AE5" s="419"/>
    </row>
    <row r="6" spans="1:31" ht="20.25">
      <c r="B6" s="120" t="str">
        <f>SourceProjectName1</f>
        <v>Project Name 1</v>
      </c>
      <c r="I6" s="1"/>
      <c r="AC6" s="419"/>
      <c r="AD6" s="419"/>
      <c r="AE6" s="419"/>
    </row>
    <row r="7" spans="1:31" ht="20.25">
      <c r="B7" s="120" t="str">
        <f>SourceProjectName2</f>
        <v>Project Name 2</v>
      </c>
      <c r="AC7" s="419"/>
      <c r="AD7" s="419"/>
      <c r="AE7" s="419"/>
    </row>
    <row r="8" spans="1:31" ht="20.25">
      <c r="B8" s="120" t="str">
        <f>SourceProjectNumber</f>
        <v>Project Number</v>
      </c>
      <c r="AC8" s="419"/>
      <c r="AD8" s="419"/>
      <c r="AE8" s="419"/>
    </row>
    <row r="9" spans="1:31">
      <c r="M9" s="700"/>
      <c r="P9" s="259"/>
      <c r="Q9" s="9"/>
      <c r="R9" s="9"/>
      <c r="S9" s="1"/>
      <c r="T9" s="259"/>
      <c r="AC9" s="419"/>
      <c r="AD9" s="419"/>
      <c r="AE9" s="419"/>
    </row>
    <row r="10" spans="1:31">
      <c r="B10" s="2" t="s">
        <v>648</v>
      </c>
      <c r="P10" s="259"/>
      <c r="Q10" s="9"/>
      <c r="R10" s="9"/>
      <c r="S10" s="1"/>
      <c r="T10" s="259"/>
      <c r="AC10" s="419"/>
      <c r="AD10" s="419"/>
      <c r="AE10" s="419"/>
    </row>
    <row r="11" spans="1:31">
      <c r="AC11" s="419"/>
      <c r="AD11" s="419"/>
      <c r="AE11" s="419"/>
    </row>
    <row r="12" spans="1:31">
      <c r="B12" s="2"/>
      <c r="C12" s="2"/>
      <c r="D12" s="2"/>
      <c r="E12" s="142" t="s">
        <v>660</v>
      </c>
      <c r="F12" s="143"/>
      <c r="G12" s="142"/>
      <c r="H12" s="143"/>
      <c r="I12" s="142"/>
      <c r="J12" s="143"/>
      <c r="K12" s="142"/>
      <c r="L12" s="143"/>
      <c r="AC12" s="419"/>
      <c r="AD12" s="419"/>
      <c r="AE12" s="419"/>
    </row>
    <row r="13" spans="1:31">
      <c r="B13" s="418" t="s">
        <v>661</v>
      </c>
      <c r="C13" s="375" t="s">
        <v>653</v>
      </c>
      <c r="D13" s="375" t="s">
        <v>660</v>
      </c>
      <c r="E13" s="74" t="s">
        <v>658</v>
      </c>
      <c r="F13" s="75"/>
      <c r="G13" s="74" t="s">
        <v>658</v>
      </c>
      <c r="H13" s="75"/>
      <c r="I13" s="74" t="s">
        <v>658</v>
      </c>
      <c r="J13" s="75"/>
      <c r="K13" s="74" t="s">
        <v>658</v>
      </c>
      <c r="L13" s="75"/>
      <c r="AC13" s="419"/>
      <c r="AD13" s="419"/>
      <c r="AE13" s="419"/>
    </row>
    <row r="14" spans="1:31">
      <c r="B14" s="132" t="s">
        <v>660</v>
      </c>
      <c r="C14" s="76" t="s">
        <v>737</v>
      </c>
      <c r="D14" s="76" t="s">
        <v>778</v>
      </c>
      <c r="E14" s="77" t="s">
        <v>120</v>
      </c>
      <c r="F14" s="145" t="s">
        <v>84</v>
      </c>
      <c r="G14" s="77" t="s">
        <v>120</v>
      </c>
      <c r="H14" s="145" t="s">
        <v>84</v>
      </c>
      <c r="I14" s="77" t="s">
        <v>120</v>
      </c>
      <c r="J14" s="145" t="s">
        <v>84</v>
      </c>
      <c r="K14" s="77" t="s">
        <v>120</v>
      </c>
      <c r="L14" s="145" t="s">
        <v>84</v>
      </c>
      <c r="M14" s="1754" t="s">
        <v>659</v>
      </c>
      <c r="N14" s="1755"/>
      <c r="O14" s="1755"/>
      <c r="P14" s="1755"/>
      <c r="Q14" s="1755"/>
      <c r="R14" s="1755"/>
      <c r="AC14" s="419"/>
      <c r="AD14" s="419"/>
      <c r="AE14" s="419"/>
    </row>
    <row r="15" spans="1:31">
      <c r="B15" s="73"/>
      <c r="E15" s="33"/>
      <c r="F15" s="37"/>
      <c r="G15" s="33"/>
      <c r="H15" s="37"/>
      <c r="I15" s="33"/>
      <c r="J15" s="37"/>
      <c r="K15" s="33"/>
      <c r="L15" s="37"/>
      <c r="AC15" s="419"/>
      <c r="AD15" s="419"/>
      <c r="AE15" s="419"/>
    </row>
    <row r="16" spans="1:31">
      <c r="A16" t="s">
        <v>966</v>
      </c>
      <c r="B16" s="1003">
        <v>1</v>
      </c>
      <c r="C16" s="1004">
        <v>0.97430000000000005</v>
      </c>
      <c r="D16" s="9" t="s">
        <v>762</v>
      </c>
      <c r="E16" s="989" t="s">
        <v>1114</v>
      </c>
      <c r="F16" s="416">
        <v>1</v>
      </c>
      <c r="G16" s="33"/>
      <c r="H16" s="37"/>
      <c r="I16" s="377"/>
      <c r="J16" s="417"/>
      <c r="K16" s="377"/>
      <c r="L16" s="417"/>
      <c r="M16" s="415" t="str">
        <f t="shared" ref="M16:M22" si="0">ROUND(F16*100,2) &amp; "% of " &amp; INDEX(FlowCalGasMixture,MATCH(E16,FlowCalNumber,0),1,1)&amp;" on " &amp;INDEX(FlowCalDevice,MATCH(E16,FlowCalNumber,0),1,1) &amp; IF(G16&gt;0," || " &amp;ROUND(H16*100,2) &amp; "% of " &amp; INDEX(FlowCalGasMixture,MATCH(G16,FlowCalNumber,0),1,1)&amp;" on " &amp;INDEX(FlowCalDevice,MATCH(G16,FlowCalNumber,0),1,1),"") &amp; IF(I16&gt;0," || " &amp;ROUND(J16*100,2) &amp; "% of " &amp; INDEX(FlowCalGasMixture,MATCH(I16,FlowCalNumber,0),1,1)&amp;" on " &amp;INDEX(FlowCalDevice,MATCH(I16,FlowCalNumber,0),1,1),"")&amp; IF(K16&gt;0," || " &amp;ROUND(L16*100,2) &amp; "% of " &amp; INDEX(FlowCalGasMixture,MATCH(K16,FlowCalNumber,0),1,1)&amp;" on " &amp;INDEX(FlowCalDevice,MATCH(K16,FlowCalNumber,0),1,1),"")</f>
        <v>100% of 100Eth on MFC-32</v>
      </c>
      <c r="AC16" s="419"/>
      <c r="AD16" s="419"/>
      <c r="AE16" s="419"/>
    </row>
    <row r="17" spans="2:31">
      <c r="B17" s="1003">
        <v>0.1</v>
      </c>
      <c r="C17" s="1004">
        <v>0.97430000000000005</v>
      </c>
      <c r="D17" s="9" t="s">
        <v>762</v>
      </c>
      <c r="E17" s="989" t="s">
        <v>690</v>
      </c>
      <c r="F17" s="416">
        <v>1</v>
      </c>
      <c r="G17" s="377"/>
      <c r="H17" s="417"/>
      <c r="I17" s="377"/>
      <c r="J17" s="417"/>
      <c r="K17" s="377"/>
      <c r="L17" s="417"/>
      <c r="M17" s="415" t="str">
        <f t="shared" si="0"/>
        <v>100% of 10Eth90N2 on MFC-31</v>
      </c>
      <c r="AC17" s="419"/>
      <c r="AD17" s="419"/>
      <c r="AE17" s="419"/>
    </row>
    <row r="18" spans="2:31">
      <c r="B18" s="1003">
        <v>0.1</v>
      </c>
      <c r="C18" s="1004">
        <v>0.97430000000000005</v>
      </c>
      <c r="D18" s="9" t="s">
        <v>762</v>
      </c>
      <c r="E18" s="989" t="s">
        <v>1114</v>
      </c>
      <c r="F18" s="990">
        <v>0.1</v>
      </c>
      <c r="G18" s="989" t="s">
        <v>1492</v>
      </c>
      <c r="H18" s="991">
        <f>1-F18</f>
        <v>0.9</v>
      </c>
      <c r="I18" s="377"/>
      <c r="J18" s="417"/>
      <c r="K18" s="377"/>
      <c r="L18" s="417"/>
      <c r="M18" s="415" t="str">
        <f t="shared" si="0"/>
        <v>10% of 100Eth on MFC-32 || 90% of 100N2 on MFC-31</v>
      </c>
      <c r="AC18" s="419"/>
      <c r="AD18" s="419"/>
      <c r="AE18" s="419"/>
    </row>
    <row r="19" spans="2:31">
      <c r="B19" s="1003">
        <v>0.1</v>
      </c>
      <c r="C19" s="1004">
        <v>0.97430000000000005</v>
      </c>
      <c r="D19" s="9" t="s">
        <v>762</v>
      </c>
      <c r="E19" s="989" t="s">
        <v>1114</v>
      </c>
      <c r="F19" s="990">
        <v>0.1</v>
      </c>
      <c r="G19" s="989" t="s">
        <v>1130</v>
      </c>
      <c r="H19" s="991">
        <f>1-F19</f>
        <v>0.9</v>
      </c>
      <c r="I19" s="377"/>
      <c r="J19" s="417"/>
      <c r="K19" s="377"/>
      <c r="L19" s="417"/>
      <c r="M19" s="415" t="str">
        <f>ROUND(F19*100,2) &amp; "% of " &amp; INDEX(FlowCalGasMixture,MATCH(E19,FlowCalNumber,0),1,1)&amp;" on " &amp;INDEX(FlowCalDevice,MATCH(E19,FlowCalNumber,0),1,1) &amp; IF(G19&gt;0," || " &amp;ROUND(H19*100,2) &amp; "% of " &amp; INDEX(FlowCalGasMixture,MATCH(G19,FlowCalNumber,0),1,1)&amp;" on " &amp;INDEX(FlowCalDevice,MATCH(G19,FlowCalNumber,0),1,1),"") &amp; IF(I19&gt;0," || " &amp;ROUND(J19*100,2) &amp; "% of " &amp; INDEX(FlowCalGasMixture,MATCH(I19,FlowCalNumber,0),1,1)&amp;" on " &amp;INDEX(FlowCalDevice,MATCH(I19,FlowCalNumber,0),1,1),"")&amp; IF(K19&gt;0," || " &amp;ROUND(L19*100,2) &amp; "% of " &amp; INDEX(FlowCalGasMixture,MATCH(K19,FlowCalNumber,0),1,1)&amp;" on " &amp;INDEX(FlowCalDevice,MATCH(K19,FlowCalNumber,0),1,1),"")</f>
        <v>10% of 100Eth on MFC-32 || 90% of 100N2 on MFC-25</v>
      </c>
      <c r="AC19" s="419"/>
      <c r="AD19" s="419"/>
      <c r="AE19" s="419"/>
    </row>
    <row r="20" spans="2:31">
      <c r="B20" s="1003">
        <v>0.1</v>
      </c>
      <c r="C20" s="1004">
        <v>0.97430000000000005</v>
      </c>
      <c r="D20" s="9" t="s">
        <v>762</v>
      </c>
      <c r="E20" s="989" t="s">
        <v>1114</v>
      </c>
      <c r="F20" s="990">
        <v>0.1</v>
      </c>
      <c r="G20" s="989" t="s">
        <v>1117</v>
      </c>
      <c r="H20" s="991">
        <f>1-F20</f>
        <v>0.9</v>
      </c>
      <c r="I20" s="377"/>
      <c r="J20" s="416"/>
      <c r="K20" s="377"/>
      <c r="L20" s="417"/>
      <c r="M20" s="415" t="str">
        <f t="shared" si="0"/>
        <v>10% of 100Eth on MFC-32 || 90% of 100N2 on MFC-12</v>
      </c>
      <c r="AC20" s="419"/>
      <c r="AD20" s="419"/>
      <c r="AE20" s="419"/>
    </row>
    <row r="21" spans="2:31">
      <c r="B21" s="1002">
        <v>0.1</v>
      </c>
      <c r="C21" s="994">
        <v>0.97430000000000005</v>
      </c>
      <c r="D21" s="995" t="s">
        <v>762</v>
      </c>
      <c r="E21" s="1302" t="s">
        <v>1118</v>
      </c>
      <c r="F21" s="1303">
        <v>0.1</v>
      </c>
      <c r="G21" s="1302" t="s">
        <v>1117</v>
      </c>
      <c r="H21" s="1303">
        <v>0.45</v>
      </c>
      <c r="I21" s="1302" t="s">
        <v>652</v>
      </c>
      <c r="J21" s="991">
        <f>1-H21-F21</f>
        <v>0.45000000000000007</v>
      </c>
      <c r="K21" s="377"/>
      <c r="L21" s="417"/>
      <c r="M21" s="415" t="str">
        <f t="shared" si="0"/>
        <v>10% of 100Eth on MFC-21 || 45% of 100N2 on MFC-12 || 45% of 100N2 on MFC-13</v>
      </c>
      <c r="AC21" s="419"/>
      <c r="AD21" s="419"/>
      <c r="AE21" s="419"/>
    </row>
    <row r="22" spans="2:31">
      <c r="B22" s="1002">
        <v>0.1</v>
      </c>
      <c r="C22" s="994">
        <v>0.97430000000000005</v>
      </c>
      <c r="D22" s="995" t="s">
        <v>762</v>
      </c>
      <c r="E22" s="1302" t="s">
        <v>1118</v>
      </c>
      <c r="F22" s="993">
        <v>0.1</v>
      </c>
      <c r="G22" s="1302" t="s">
        <v>1117</v>
      </c>
      <c r="H22" s="993">
        <v>0.35</v>
      </c>
      <c r="I22" s="1302" t="s">
        <v>652</v>
      </c>
      <c r="J22" s="993">
        <v>0.35</v>
      </c>
      <c r="K22" s="1302" t="s">
        <v>1130</v>
      </c>
      <c r="L22" s="991">
        <f>1-J22-H22-F22</f>
        <v>0.20000000000000004</v>
      </c>
      <c r="M22" s="415" t="str">
        <f t="shared" si="0"/>
        <v>10% of 100Eth on MFC-21 || 35% of 100N2 on MFC-12 || 35% of 100N2 on MFC-13 || 20% of 100N2 on MFC-25</v>
      </c>
      <c r="AC22" s="419"/>
      <c r="AD22" s="419"/>
      <c r="AE22" s="419"/>
    </row>
    <row r="23" spans="2:31">
      <c r="B23" s="1003">
        <v>0.1</v>
      </c>
      <c r="C23" s="1004">
        <v>0.97430000000000005</v>
      </c>
      <c r="D23" s="9" t="s">
        <v>762</v>
      </c>
      <c r="E23" s="1182" t="s">
        <v>1118</v>
      </c>
      <c r="F23" s="1304">
        <v>0.1</v>
      </c>
      <c r="G23" s="1182" t="s">
        <v>1117</v>
      </c>
      <c r="H23" s="991">
        <f>1-F23</f>
        <v>0.9</v>
      </c>
      <c r="I23" s="377"/>
      <c r="J23" s="416"/>
      <c r="K23" s="377"/>
      <c r="L23" s="417"/>
      <c r="M23" s="415" t="str">
        <f t="shared" ref="M23" si="1">ROUND(F23*100,2) &amp; "% of " &amp; INDEX(FlowCalGasMixture,MATCH(E23,FlowCalNumber,0),1,1)&amp;" on " &amp;INDEX(FlowCalDevice,MATCH(E23,FlowCalNumber,0),1,1) &amp; IF(G23&gt;0," || " &amp;ROUND(H23*100,2) &amp; "% of " &amp; INDEX(FlowCalGasMixture,MATCH(G23,FlowCalNumber,0),1,1)&amp;" on " &amp;INDEX(FlowCalDevice,MATCH(G23,FlowCalNumber,0),1,1),"") &amp; IF(I23&gt;0," || " &amp;ROUND(J23*100,2) &amp; "% of " &amp; INDEX(FlowCalGasMixture,MATCH(I23,FlowCalNumber,0),1,1)&amp;" on " &amp;INDEX(FlowCalDevice,MATCH(I23,FlowCalNumber,0),1,1),"")&amp; IF(K23&gt;0," || " &amp;ROUND(L23*100,2) &amp; "% of " &amp; INDEX(FlowCalGasMixture,MATCH(K23,FlowCalNumber,0),1,1)&amp;" on " &amp;INDEX(FlowCalDevice,MATCH(K23,FlowCalNumber,0),1,1),"")</f>
        <v>10% of 100Eth on MFC-21 || 90% of 100N2 on MFC-12</v>
      </c>
      <c r="AC23" s="419"/>
      <c r="AD23" s="419"/>
      <c r="AE23" s="419"/>
    </row>
    <row r="24" spans="2:31">
      <c r="B24" s="1003">
        <v>0.05</v>
      </c>
      <c r="C24" s="1004">
        <v>0.97430000000000005</v>
      </c>
      <c r="D24" s="9" t="s">
        <v>762</v>
      </c>
      <c r="E24" s="989" t="s">
        <v>1114</v>
      </c>
      <c r="F24" s="416">
        <v>0.05</v>
      </c>
      <c r="G24" s="989" t="s">
        <v>1130</v>
      </c>
      <c r="H24" s="991">
        <f>1-F24</f>
        <v>0.95</v>
      </c>
      <c r="I24" s="377"/>
      <c r="J24" s="417"/>
      <c r="K24" s="377"/>
      <c r="L24" s="417"/>
      <c r="M24" s="415" t="str">
        <f>ROUND(F24*100,2) &amp; "% of " &amp; INDEX(FlowCalGasMixture,MATCH(E24,FlowCalNumber,0),1,1)&amp;" on " &amp;INDEX(FlowCalDevice,MATCH(E24,FlowCalNumber,0),1,1) &amp; IF(G24&gt;0," || " &amp;ROUND(H24*100,2) &amp; "% of " &amp; INDEX(FlowCalGasMixture,MATCH(G24,FlowCalNumber,0),1,1)&amp;" on " &amp;INDEX(FlowCalDevice,MATCH(G24,FlowCalNumber,0),1,1),"") &amp; IF(I24&gt;0," || " &amp;ROUND(J24*100,2) &amp; "% of " &amp; INDEX(FlowCalGasMixture,MATCH(I24,FlowCalNumber,0),1,1)&amp;" on " &amp;INDEX(FlowCalDevice,MATCH(I24,FlowCalNumber,0),1,1),"")&amp; IF(K24&gt;0," || " &amp;ROUND(L24*100,2) &amp; "% of " &amp; INDEX(FlowCalGasMixture,MATCH(K24,FlowCalNumber,0),1,1)&amp;" on " &amp;INDEX(FlowCalDevice,MATCH(K24,FlowCalNumber,0),1,1),"")</f>
        <v>5% of 100Eth on MFC-32 || 95% of 100N2 on MFC-25</v>
      </c>
      <c r="AC24" s="419"/>
      <c r="AD24" s="419"/>
      <c r="AE24" s="419"/>
    </row>
    <row r="25" spans="2:31">
      <c r="B25" s="1003">
        <v>0.05</v>
      </c>
      <c r="C25" s="1004">
        <v>0.97430000000000005</v>
      </c>
      <c r="D25" s="9" t="s">
        <v>762</v>
      </c>
      <c r="E25" s="1302" t="s">
        <v>1118</v>
      </c>
      <c r="F25" s="416">
        <v>0.05</v>
      </c>
      <c r="G25" s="1302" t="s">
        <v>1117</v>
      </c>
      <c r="H25" s="991">
        <f>1-F25</f>
        <v>0.95</v>
      </c>
      <c r="I25" s="377"/>
      <c r="J25" s="416"/>
      <c r="K25" s="377"/>
      <c r="L25" s="417"/>
      <c r="M25" s="415" t="str">
        <f t="shared" ref="M25:M27" si="2">ROUND(F25*100,2) &amp; "% of " &amp; INDEX(FlowCalGasMixture,MATCH(E25,FlowCalNumber,0),1,1)&amp;" on " &amp;INDEX(FlowCalDevice,MATCH(E25,FlowCalNumber,0),1,1) &amp; IF(G25&gt;0," || " &amp;ROUND(H25*100,2) &amp; "% of " &amp; INDEX(FlowCalGasMixture,MATCH(G25,FlowCalNumber,0),1,1)&amp;" on " &amp;INDEX(FlowCalDevice,MATCH(G25,FlowCalNumber,0),1,1),"") &amp; IF(I25&gt;0," || " &amp;ROUND(J25*100,2) &amp; "% of " &amp; INDEX(FlowCalGasMixture,MATCH(I25,FlowCalNumber,0),1,1)&amp;" on " &amp;INDEX(FlowCalDevice,MATCH(I25,FlowCalNumber,0),1,1),"")&amp; IF(K25&gt;0," || " &amp;ROUND(L25*100,2) &amp; "% of " &amp; INDEX(FlowCalGasMixture,MATCH(K25,FlowCalNumber,0),1,1)&amp;" on " &amp;INDEX(FlowCalDevice,MATCH(K25,FlowCalNumber,0),1,1),"")</f>
        <v>5% of 100Eth on MFC-21 || 95% of 100N2 on MFC-12</v>
      </c>
      <c r="AC25" s="419"/>
      <c r="AD25" s="419"/>
      <c r="AE25" s="419"/>
    </row>
    <row r="26" spans="2:31">
      <c r="B26" s="1003">
        <v>0.05</v>
      </c>
      <c r="C26" s="994">
        <v>0.97430000000000005</v>
      </c>
      <c r="D26" s="995" t="s">
        <v>762</v>
      </c>
      <c r="E26" s="1302" t="s">
        <v>1118</v>
      </c>
      <c r="F26" s="416">
        <v>0.05</v>
      </c>
      <c r="G26" s="1302" t="s">
        <v>1117</v>
      </c>
      <c r="H26" s="993">
        <v>0.48</v>
      </c>
      <c r="I26" s="1302" t="s">
        <v>652</v>
      </c>
      <c r="J26" s="991">
        <f>1-H26-F26</f>
        <v>0.47000000000000003</v>
      </c>
      <c r="K26" s="377"/>
      <c r="L26" s="417"/>
      <c r="M26" s="415" t="str">
        <f t="shared" si="2"/>
        <v>5% of 100Eth on MFC-21 || 48% of 100N2 on MFC-12 || 47% of 100N2 on MFC-13</v>
      </c>
      <c r="AC26" s="419"/>
      <c r="AD26" s="419"/>
      <c r="AE26" s="419"/>
    </row>
    <row r="27" spans="2:31">
      <c r="B27" s="1003">
        <v>0.05</v>
      </c>
      <c r="C27" s="994">
        <v>0.97430000000000005</v>
      </c>
      <c r="D27" s="995" t="s">
        <v>762</v>
      </c>
      <c r="E27" s="1302" t="s">
        <v>1118</v>
      </c>
      <c r="F27" s="416">
        <v>0.05</v>
      </c>
      <c r="G27" s="1302" t="s">
        <v>1117</v>
      </c>
      <c r="H27" s="993">
        <v>0.45</v>
      </c>
      <c r="I27" s="1302" t="s">
        <v>652</v>
      </c>
      <c r="J27" s="993">
        <v>0.4</v>
      </c>
      <c r="K27" s="1302" t="s">
        <v>1130</v>
      </c>
      <c r="L27" s="991">
        <f>1-J27-H27-F27</f>
        <v>9.9999999999999964E-2</v>
      </c>
      <c r="M27" s="415" t="str">
        <f t="shared" si="2"/>
        <v>5% of 100Eth on MFC-21 || 45% of 100N2 on MFC-12 || 40% of 100N2 on MFC-13 || 10% of 100N2 on MFC-25</v>
      </c>
      <c r="AC27" s="419"/>
      <c r="AD27" s="419"/>
      <c r="AE27" s="419"/>
    </row>
    <row r="28" spans="2:31">
      <c r="B28" s="1003">
        <v>0.01</v>
      </c>
      <c r="C28" s="1004">
        <v>0.97430000000000005</v>
      </c>
      <c r="D28" s="9" t="s">
        <v>762</v>
      </c>
      <c r="E28" s="989" t="s">
        <v>690</v>
      </c>
      <c r="F28" s="416">
        <v>0.1</v>
      </c>
      <c r="G28" s="1302" t="s">
        <v>1117</v>
      </c>
      <c r="H28" s="991">
        <f>1-F28</f>
        <v>0.9</v>
      </c>
      <c r="I28" s="377"/>
      <c r="J28" s="417"/>
      <c r="K28" s="377"/>
      <c r="L28" s="417"/>
      <c r="M28" s="415" t="str">
        <f>ROUND(F28*100,2) &amp; "% of " &amp; INDEX(FlowCalGasMixture,MATCH(E28,FlowCalNumber,0),1,1)&amp;" on " &amp;INDEX(FlowCalDevice,MATCH(E28,FlowCalNumber,0),1,1) &amp; IF(G28&gt;0," || " &amp;ROUND(H28*100,2) &amp; "% of " &amp; INDEX(FlowCalGasMixture,MATCH(G28,FlowCalNumber,0),1,1)&amp;" on " &amp;INDEX(FlowCalDevice,MATCH(G28,FlowCalNumber,0),1,1),"") &amp; IF(I28&gt;0," || " &amp;ROUND(J28*100,2) &amp; "% of " &amp; INDEX(FlowCalGasMixture,MATCH(I28,FlowCalNumber,0),1,1)&amp;" on " &amp;INDEX(FlowCalDevice,MATCH(I28,FlowCalNumber,0),1,1),"")&amp; IF(K28&gt;0," || " &amp;ROUND(L28*100,2) &amp; "% of " &amp; INDEX(FlowCalGasMixture,MATCH(K28,FlowCalNumber,0),1,1)&amp;" on " &amp;INDEX(FlowCalDevice,MATCH(K28,FlowCalNumber,0),1,1),"")</f>
        <v>10% of 10Eth90N2 on MFC-31 || 90% of 100N2 on MFC-12</v>
      </c>
      <c r="AC28" s="419"/>
      <c r="AD28" s="419"/>
      <c r="AE28" s="419"/>
    </row>
    <row r="29" spans="2:31">
      <c r="B29" s="1003">
        <v>0.01</v>
      </c>
      <c r="C29" s="994">
        <v>0.97430000000000005</v>
      </c>
      <c r="D29" s="995" t="s">
        <v>762</v>
      </c>
      <c r="E29" s="989" t="s">
        <v>690</v>
      </c>
      <c r="F29" s="416">
        <v>0.1</v>
      </c>
      <c r="G29" s="1302" t="s">
        <v>1117</v>
      </c>
      <c r="H29" s="993">
        <v>0.45</v>
      </c>
      <c r="I29" s="1302" t="s">
        <v>652</v>
      </c>
      <c r="J29" s="991">
        <f>1-H29-F29</f>
        <v>0.45000000000000007</v>
      </c>
      <c r="K29" s="377"/>
      <c r="L29" s="417"/>
      <c r="M29" s="415" t="str">
        <f>ROUND(F29*100,2) &amp; "% of " &amp; INDEX(FlowCalGasMixture,MATCH(E29,FlowCalNumber,0),1,1)&amp;" on " &amp;INDEX(FlowCalDevice,MATCH(E29,FlowCalNumber,0),1,1) &amp; IF(G29&gt;0," || " &amp;ROUND(H29*100,2) &amp; "% of " &amp; INDEX(FlowCalGasMixture,MATCH(G29,FlowCalNumber,0),1,1)&amp;" on " &amp;INDEX(FlowCalDevice,MATCH(G29,FlowCalNumber,0),1,1),"") &amp; IF(I29&gt;0," || " &amp;ROUND(J29*100,2) &amp; "% of " &amp; INDEX(FlowCalGasMixture,MATCH(I29,FlowCalNumber,0),1,1)&amp;" on " &amp;INDEX(FlowCalDevice,MATCH(I29,FlowCalNumber,0),1,1),"")&amp; IF(K29&gt;0," || " &amp;ROUND(L29*100,2) &amp; "% of " &amp; INDEX(FlowCalGasMixture,MATCH(K29,FlowCalNumber,0),1,1)&amp;" on " &amp;INDEX(FlowCalDevice,MATCH(K29,FlowCalNumber,0),1,1),"")</f>
        <v>10% of 10Eth90N2 on MFC-31 || 45% of 100N2 on MFC-12 || 45% of 100N2 on MFC-13</v>
      </c>
      <c r="AC29" s="419"/>
      <c r="AD29" s="419"/>
      <c r="AE29" s="419"/>
    </row>
    <row r="30" spans="2:31">
      <c r="B30" s="1003">
        <v>0.01</v>
      </c>
      <c r="C30" s="994">
        <v>0.97430000000000005</v>
      </c>
      <c r="D30" s="995" t="s">
        <v>762</v>
      </c>
      <c r="E30" s="989" t="s">
        <v>690</v>
      </c>
      <c r="F30" s="416">
        <v>0.1</v>
      </c>
      <c r="G30" s="1302" t="s">
        <v>1117</v>
      </c>
      <c r="H30" s="993">
        <v>0.3</v>
      </c>
      <c r="I30" s="1302" t="s">
        <v>652</v>
      </c>
      <c r="J30" s="993">
        <v>0.3</v>
      </c>
      <c r="K30" s="1302" t="s">
        <v>1130</v>
      </c>
      <c r="L30" s="991">
        <f>1-J30-H30-F30</f>
        <v>0.29999999999999993</v>
      </c>
      <c r="M30" s="415" t="str">
        <f t="shared" ref="M30:M31" si="3">ROUND(F30*100,2) &amp; "% of " &amp; INDEX(FlowCalGasMixture,MATCH(E30,FlowCalNumber,0),1,1)&amp;" on " &amp;INDEX(FlowCalDevice,MATCH(E30,FlowCalNumber,0),1,1) &amp; IF(G30&gt;0," || " &amp;ROUND(H30*100,2) &amp; "% of " &amp; INDEX(FlowCalGasMixture,MATCH(G30,FlowCalNumber,0),1,1)&amp;" on " &amp;INDEX(FlowCalDevice,MATCH(G30,FlowCalNumber,0),1,1),"") &amp; IF(I30&gt;0," || " &amp;ROUND(J30*100,2) &amp; "% of " &amp; INDEX(FlowCalGasMixture,MATCH(I30,FlowCalNumber,0),1,1)&amp;" on " &amp;INDEX(FlowCalDevice,MATCH(I30,FlowCalNumber,0),1,1),"")&amp; IF(K30&gt;0," || " &amp;ROUND(L30*100,2) &amp; "% of " &amp; INDEX(FlowCalGasMixture,MATCH(K30,FlowCalNumber,0),1,1)&amp;" on " &amp;INDEX(FlowCalDevice,MATCH(K30,FlowCalNumber,0),1,1),"")</f>
        <v>10% of 10Eth90N2 on MFC-31 || 30% of 100N2 on MFC-12 || 30% of 100N2 on MFC-13 || 30% of 100N2 on MFC-25</v>
      </c>
      <c r="AC30" s="419"/>
      <c r="AD30" s="419"/>
      <c r="AE30" s="419"/>
    </row>
    <row r="31" spans="2:31">
      <c r="B31" s="1003">
        <v>0.01</v>
      </c>
      <c r="C31" s="1004">
        <v>0.97430000000000005</v>
      </c>
      <c r="D31" s="9" t="s">
        <v>762</v>
      </c>
      <c r="E31" s="1302" t="s">
        <v>1118</v>
      </c>
      <c r="F31" s="416">
        <v>0.01</v>
      </c>
      <c r="G31" s="1302" t="s">
        <v>1117</v>
      </c>
      <c r="H31" s="991">
        <f>1-F31</f>
        <v>0.99</v>
      </c>
      <c r="I31" s="377"/>
      <c r="J31" s="417"/>
      <c r="K31" s="377"/>
      <c r="L31" s="417"/>
      <c r="M31" s="415" t="str">
        <f t="shared" si="3"/>
        <v>1% of 100Eth on MFC-21 || 99% of 100N2 on MFC-12</v>
      </c>
      <c r="AC31" s="419"/>
      <c r="AD31" s="419"/>
      <c r="AE31" s="419"/>
    </row>
    <row r="32" spans="2:31">
      <c r="B32" s="1003">
        <v>0.01</v>
      </c>
      <c r="C32" s="994">
        <v>0.97430000000000005</v>
      </c>
      <c r="D32" s="995" t="s">
        <v>762</v>
      </c>
      <c r="E32" s="1302" t="s">
        <v>1118</v>
      </c>
      <c r="F32" s="416">
        <v>0.01</v>
      </c>
      <c r="G32" s="1302" t="s">
        <v>1117</v>
      </c>
      <c r="H32" s="993">
        <v>0.5</v>
      </c>
      <c r="I32" s="1302" t="s">
        <v>652</v>
      </c>
      <c r="J32" s="991">
        <f>1-H32-F32</f>
        <v>0.49</v>
      </c>
      <c r="K32" s="377"/>
      <c r="L32" s="417"/>
      <c r="M32" s="415" t="str">
        <f>ROUND(F32*100,2) &amp; "% of " &amp; INDEX(FlowCalGasMixture,MATCH(E32,FlowCalNumber,0),1,1)&amp;" on " &amp;INDEX(FlowCalDevice,MATCH(E32,FlowCalNumber,0),1,1) &amp; IF(G32&gt;0," || " &amp;ROUND(H32*100,2) &amp; "% of " &amp; INDEX(FlowCalGasMixture,MATCH(G32,FlowCalNumber,0),1,1)&amp;" on " &amp;INDEX(FlowCalDevice,MATCH(G32,FlowCalNumber,0),1,1),"") &amp; IF(I32&gt;0," || " &amp;ROUND(J32*100,2) &amp; "% of " &amp; INDEX(FlowCalGasMixture,MATCH(I32,FlowCalNumber,0),1,1)&amp;" on " &amp;INDEX(FlowCalDevice,MATCH(I32,FlowCalNumber,0),1,1),"")&amp; IF(K32&gt;0," || " &amp;ROUND(L32*100,2) &amp; "% of " &amp; INDEX(FlowCalGasMixture,MATCH(K32,FlowCalNumber,0),1,1)&amp;" on " &amp;INDEX(FlowCalDevice,MATCH(K32,FlowCalNumber,0),1,1),"")</f>
        <v>1% of 100Eth on MFC-21 || 50% of 100N2 on MFC-12 || 49% of 100N2 on MFC-13</v>
      </c>
      <c r="AC32" s="419"/>
      <c r="AD32" s="419"/>
      <c r="AE32" s="419"/>
    </row>
    <row r="33" spans="1:31">
      <c r="B33" s="1003">
        <v>0.01</v>
      </c>
      <c r="C33" s="994">
        <v>0.97430000000000005</v>
      </c>
      <c r="D33" s="995" t="s">
        <v>762</v>
      </c>
      <c r="E33" s="1302" t="s">
        <v>1118</v>
      </c>
      <c r="F33" s="416">
        <v>0.01</v>
      </c>
      <c r="G33" s="1302" t="s">
        <v>1117</v>
      </c>
      <c r="H33" s="993">
        <v>0.33</v>
      </c>
      <c r="I33" s="1302" t="s">
        <v>652</v>
      </c>
      <c r="J33" s="993">
        <v>0.33</v>
      </c>
      <c r="K33" s="1302" t="s">
        <v>1130</v>
      </c>
      <c r="L33" s="991">
        <f>1-J33-H33-F33</f>
        <v>0.3299999999999999</v>
      </c>
      <c r="M33" s="415" t="str">
        <f t="shared" ref="M33" si="4">ROUND(F33*100,2) &amp; "% of " &amp; INDEX(FlowCalGasMixture,MATCH(E33,FlowCalNumber,0),1,1)&amp;" on " &amp;INDEX(FlowCalDevice,MATCH(E33,FlowCalNumber,0),1,1) &amp; IF(G33&gt;0," || " &amp;ROUND(H33*100,2) &amp; "% of " &amp; INDEX(FlowCalGasMixture,MATCH(G33,FlowCalNumber,0),1,1)&amp;" on " &amp;INDEX(FlowCalDevice,MATCH(G33,FlowCalNumber,0),1,1),"") &amp; IF(I33&gt;0," || " &amp;ROUND(J33*100,2) &amp; "% of " &amp; INDEX(FlowCalGasMixture,MATCH(I33,FlowCalNumber,0),1,1)&amp;" on " &amp;INDEX(FlowCalDevice,MATCH(I33,FlowCalNumber,0),1,1),"")&amp; IF(K33&gt;0," || " &amp;ROUND(L33*100,2) &amp; "% of " &amp; INDEX(FlowCalGasMixture,MATCH(K33,FlowCalNumber,0),1,1)&amp;" on " &amp;INDEX(FlowCalDevice,MATCH(K33,FlowCalNumber,0),1,1),"")</f>
        <v>1% of 100Eth on MFC-21 || 33% of 100N2 on MFC-12 || 33% of 100N2 on MFC-13 || 33% of 100N2 on MFC-25</v>
      </c>
      <c r="AC33" s="419"/>
      <c r="AD33" s="419"/>
      <c r="AE33" s="419"/>
    </row>
    <row r="34" spans="1:31" s="1006" customFormat="1">
      <c r="A34" s="1006" t="s">
        <v>1134</v>
      </c>
      <c r="B34" s="1005"/>
      <c r="E34" s="997"/>
      <c r="F34" s="1001"/>
      <c r="G34" s="997"/>
      <c r="H34" s="1001"/>
      <c r="I34" s="997"/>
      <c r="J34" s="1001"/>
      <c r="K34" s="997"/>
      <c r="L34" s="1001"/>
      <c r="AB34" s="998"/>
      <c r="AC34" s="998"/>
      <c r="AD34" s="998"/>
      <c r="AE34" s="998"/>
    </row>
    <row r="35" spans="1:31">
      <c r="A35" t="s">
        <v>951</v>
      </c>
      <c r="B35" s="1003">
        <v>1</v>
      </c>
      <c r="C35" s="1004">
        <v>0.97430000000000005</v>
      </c>
      <c r="D35" s="9" t="s">
        <v>762</v>
      </c>
      <c r="E35" s="377" t="s">
        <v>1114</v>
      </c>
      <c r="F35" s="416">
        <v>1</v>
      </c>
      <c r="G35" s="33"/>
      <c r="H35" s="37"/>
      <c r="I35" s="377"/>
      <c r="J35" s="417"/>
      <c r="K35" s="377"/>
      <c r="L35" s="417"/>
      <c r="M35" s="415" t="str">
        <f t="shared" ref="M35:M60" si="5">ROUND(F35*100,2) &amp; "% of " &amp; INDEX(FlowCalGasMixture,MATCH(E35,FlowCalNumber,0),1,1)&amp;" on " &amp;INDEX(FlowCalDevice,MATCH(E35,FlowCalNumber,0),1,1) &amp; IF(G35&gt;0," || " &amp;ROUND(H35*100,2) &amp; "% of " &amp; INDEX(FlowCalGasMixture,MATCH(G35,FlowCalNumber,0),1,1)&amp;" on " &amp;INDEX(FlowCalDevice,MATCH(G35,FlowCalNumber,0),1,1),"") &amp; IF(I35&gt;0," || " &amp;ROUND(J35*100,2) &amp; "% of " &amp; INDEX(FlowCalGasMixture,MATCH(I35,FlowCalNumber,0),1,1)&amp;" on " &amp;INDEX(FlowCalDevice,MATCH(I35,FlowCalNumber,0),1,1),"")&amp; IF(K35&gt;0," || " &amp;ROUND(L35*100,2) &amp; "% of " &amp; INDEX(FlowCalGasMixture,MATCH(K35,FlowCalNumber,0),1,1)&amp;" on " &amp;INDEX(FlowCalDevice,MATCH(K35,FlowCalNumber,0),1,1),"")</f>
        <v>100% of 100Eth on MFC-32</v>
      </c>
      <c r="Y35" s="713"/>
      <c r="AC35" s="419"/>
      <c r="AD35" s="419"/>
      <c r="AE35" s="419"/>
    </row>
    <row r="36" spans="1:31">
      <c r="B36" s="1003">
        <v>0.1</v>
      </c>
      <c r="C36" s="1004">
        <v>0.97430000000000005</v>
      </c>
      <c r="D36" s="9" t="s">
        <v>762</v>
      </c>
      <c r="E36" s="377" t="s">
        <v>690</v>
      </c>
      <c r="F36" s="416">
        <v>1</v>
      </c>
      <c r="G36" s="377"/>
      <c r="H36" s="417"/>
      <c r="I36" s="377"/>
      <c r="J36" s="417"/>
      <c r="K36" s="377"/>
      <c r="L36" s="417"/>
      <c r="M36" s="415" t="str">
        <f t="shared" si="5"/>
        <v>100% of 10Eth90N2 on MFC-31</v>
      </c>
      <c r="N36" s="16"/>
      <c r="Y36" s="713"/>
      <c r="AC36" s="419"/>
      <c r="AD36" s="419"/>
      <c r="AE36" s="419"/>
    </row>
    <row r="37" spans="1:31">
      <c r="B37" s="1003">
        <v>0.1</v>
      </c>
      <c r="C37" s="1004">
        <v>0.97430000000000005</v>
      </c>
      <c r="D37" s="9" t="s">
        <v>762</v>
      </c>
      <c r="E37" s="377" t="s">
        <v>1115</v>
      </c>
      <c r="F37" s="416">
        <v>1</v>
      </c>
      <c r="G37" s="377"/>
      <c r="H37" s="416"/>
      <c r="I37" s="377"/>
      <c r="J37" s="417"/>
      <c r="K37" s="377"/>
      <c r="L37" s="417"/>
      <c r="M37" s="415" t="str">
        <f t="shared" si="5"/>
        <v>100% of 10Eth90N2 on MFC-21</v>
      </c>
      <c r="Y37" s="713"/>
      <c r="AC37" s="419"/>
      <c r="AD37" s="419"/>
      <c r="AE37" s="419"/>
    </row>
    <row r="38" spans="1:31">
      <c r="B38" s="1003">
        <v>0.1</v>
      </c>
      <c r="C38" s="1004">
        <v>0.97430000000000005</v>
      </c>
      <c r="D38" s="9" t="s">
        <v>762</v>
      </c>
      <c r="E38" s="377" t="s">
        <v>1114</v>
      </c>
      <c r="F38" s="416">
        <v>0.1</v>
      </c>
      <c r="G38" s="1182" t="s">
        <v>1130</v>
      </c>
      <c r="H38" s="991">
        <f>1-F38</f>
        <v>0.9</v>
      </c>
      <c r="I38" s="377"/>
      <c r="J38" s="417"/>
      <c r="K38" s="377"/>
      <c r="L38" s="417"/>
      <c r="M38" s="415" t="str">
        <f>ROUND(F38*100,2) &amp; "% of " &amp; INDEX(FlowCalGasMixture,MATCH(E38,FlowCalNumber,0),1,1)&amp;" on " &amp;INDEX(FlowCalDevice,MATCH(E38,FlowCalNumber,0),1,1) &amp; IF(G38&gt;0," || " &amp;ROUND(H38*100,2) &amp; "% of " &amp; INDEX(FlowCalGasMixture,MATCH(G38,FlowCalNumber,0),1,1)&amp;" on " &amp;INDEX(FlowCalDevice,MATCH(G38,FlowCalNumber,0),1,1),"") &amp; IF(I38&gt;0," || " &amp;ROUND(J38*100,2) &amp; "% of " &amp; INDEX(FlowCalGasMixture,MATCH(I38,FlowCalNumber,0),1,1)&amp;" on " &amp;INDEX(FlowCalDevice,MATCH(I38,FlowCalNumber,0),1,1),"")&amp; IF(K38&gt;0," || " &amp;ROUND(L38*100,2) &amp; "% of " &amp; INDEX(FlowCalGasMixture,MATCH(K38,FlowCalNumber,0),1,1)&amp;" on " &amp;INDEX(FlowCalDevice,MATCH(K38,FlowCalNumber,0),1,1),"")</f>
        <v>10% of 100Eth on MFC-32 || 90% of 100N2 on MFC-25</v>
      </c>
      <c r="Y38" s="713"/>
      <c r="AC38" s="419"/>
      <c r="AD38" s="419"/>
      <c r="AE38" s="419"/>
    </row>
    <row r="39" spans="1:31">
      <c r="B39" s="1003">
        <v>0.1</v>
      </c>
      <c r="C39" s="1004">
        <v>0.97430000000000005</v>
      </c>
      <c r="D39" s="9" t="s">
        <v>762</v>
      </c>
      <c r="E39" s="377" t="s">
        <v>1114</v>
      </c>
      <c r="F39" s="416">
        <v>0.1</v>
      </c>
      <c r="G39" s="377" t="s">
        <v>1117</v>
      </c>
      <c r="H39" s="991">
        <f>1-F39</f>
        <v>0.9</v>
      </c>
      <c r="I39" s="377"/>
      <c r="J39" s="417"/>
      <c r="K39" s="377"/>
      <c r="L39" s="417"/>
      <c r="M39" s="415" t="str">
        <f t="shared" si="5"/>
        <v>10% of 100Eth on MFC-32 || 90% of 100N2 on MFC-12</v>
      </c>
      <c r="Y39" s="713"/>
      <c r="AC39" s="419"/>
      <c r="AD39" s="419"/>
      <c r="AE39" s="419"/>
    </row>
    <row r="40" spans="1:31">
      <c r="B40" s="1003">
        <v>0.1</v>
      </c>
      <c r="C40" s="1004">
        <v>0.97430000000000005</v>
      </c>
      <c r="D40" s="9" t="s">
        <v>762</v>
      </c>
      <c r="E40" s="377" t="s">
        <v>1118</v>
      </c>
      <c r="F40" s="416">
        <v>0.1</v>
      </c>
      <c r="G40" s="1182" t="s">
        <v>1130</v>
      </c>
      <c r="H40" s="991">
        <f>1-F40</f>
        <v>0.9</v>
      </c>
      <c r="I40" s="377"/>
      <c r="J40" s="416"/>
      <c r="K40" s="377"/>
      <c r="L40" s="417"/>
      <c r="M40" s="415" t="str">
        <f t="shared" si="5"/>
        <v>10% of 100Eth on MFC-21 || 90% of 100N2 on MFC-25</v>
      </c>
      <c r="Y40" s="713"/>
      <c r="AC40" s="419"/>
      <c r="AD40" s="419"/>
      <c r="AE40" s="419"/>
    </row>
    <row r="41" spans="1:31">
      <c r="B41" s="1002">
        <v>0.1</v>
      </c>
      <c r="C41" s="994">
        <v>0.97430000000000005</v>
      </c>
      <c r="D41" s="995" t="s">
        <v>762</v>
      </c>
      <c r="E41" s="377" t="s">
        <v>1118</v>
      </c>
      <c r="F41" s="416">
        <v>0.1</v>
      </c>
      <c r="G41" s="377" t="s">
        <v>1117</v>
      </c>
      <c r="H41" s="991">
        <f>1-F41</f>
        <v>0.9</v>
      </c>
      <c r="I41" s="377"/>
      <c r="J41" s="416"/>
      <c r="K41" s="377"/>
      <c r="L41" s="417"/>
      <c r="M41" s="415" t="str">
        <f t="shared" si="5"/>
        <v>10% of 100Eth on MFC-21 || 90% of 100N2 on MFC-12</v>
      </c>
      <c r="Y41" s="713"/>
      <c r="AC41" s="419"/>
      <c r="AD41" s="419"/>
      <c r="AE41" s="419"/>
    </row>
    <row r="42" spans="1:31">
      <c r="B42" s="1002">
        <v>0.1</v>
      </c>
      <c r="C42" s="994">
        <v>0.97430000000000005</v>
      </c>
      <c r="D42" s="995" t="s">
        <v>762</v>
      </c>
      <c r="E42" s="992" t="s">
        <v>1118</v>
      </c>
      <c r="F42" s="993">
        <v>0.1</v>
      </c>
      <c r="G42" s="992" t="s">
        <v>1117</v>
      </c>
      <c r="H42" s="993">
        <v>0.45</v>
      </c>
      <c r="I42" s="992" t="s">
        <v>652</v>
      </c>
      <c r="J42" s="991">
        <f>1-H42-F42</f>
        <v>0.45000000000000007</v>
      </c>
      <c r="K42" s="377"/>
      <c r="L42" s="417"/>
      <c r="M42" s="415" t="str">
        <f t="shared" si="5"/>
        <v>10% of 100Eth on MFC-21 || 45% of 100N2 on MFC-12 || 45% of 100N2 on MFC-13</v>
      </c>
      <c r="Y42" s="713"/>
      <c r="AC42" s="419"/>
      <c r="AD42" s="419"/>
      <c r="AE42" s="419"/>
    </row>
    <row r="43" spans="1:31">
      <c r="B43" s="1002">
        <v>0.1</v>
      </c>
      <c r="C43" s="994">
        <v>0.97430000000000005</v>
      </c>
      <c r="D43" s="995" t="s">
        <v>762</v>
      </c>
      <c r="E43" s="992" t="s">
        <v>1118</v>
      </c>
      <c r="F43" s="993">
        <v>0.1</v>
      </c>
      <c r="G43" s="992" t="s">
        <v>1117</v>
      </c>
      <c r="H43" s="993">
        <v>0.4</v>
      </c>
      <c r="I43" s="992" t="s">
        <v>652</v>
      </c>
      <c r="J43" s="993">
        <v>0.4</v>
      </c>
      <c r="K43" s="377" t="s">
        <v>1116</v>
      </c>
      <c r="L43" s="991">
        <f>1-J43-H43-F43</f>
        <v>9.999999999999995E-2</v>
      </c>
      <c r="M43" s="415" t="str">
        <f t="shared" si="5"/>
        <v>10% of 100Eth on MFC-21 || 40% of 100N2 on MFC-12 || 40% of 100N2 on MFC-13 || 10% of 100N2 on MFC-22</v>
      </c>
      <c r="Y43" s="713"/>
      <c r="AC43" s="419"/>
      <c r="AD43" s="419"/>
      <c r="AE43" s="419"/>
    </row>
    <row r="44" spans="1:31">
      <c r="B44" s="1003">
        <v>0.05</v>
      </c>
      <c r="C44" s="1004">
        <v>0.97430000000000005</v>
      </c>
      <c r="D44" s="9" t="s">
        <v>762</v>
      </c>
      <c r="E44" s="377" t="s">
        <v>1114</v>
      </c>
      <c r="F44" s="416">
        <v>0.05</v>
      </c>
      <c r="G44" s="1182" t="s">
        <v>1130</v>
      </c>
      <c r="H44" s="991">
        <f>1-F44</f>
        <v>0.95</v>
      </c>
      <c r="I44" s="377"/>
      <c r="J44" s="417"/>
      <c r="K44" s="377"/>
      <c r="L44" s="417"/>
      <c r="M44" s="415" t="str">
        <f>ROUND(F44*100,2) &amp; "% of " &amp; INDEX(FlowCalGasMixture,MATCH(E44,FlowCalNumber,0),1,1)&amp;" on " &amp;INDEX(FlowCalDevice,MATCH(E44,FlowCalNumber,0),1,1) &amp; IF(G44&gt;0," || " &amp;ROUND(H44*100,2) &amp; "% of " &amp; INDEX(FlowCalGasMixture,MATCH(G44,FlowCalNumber,0),1,1)&amp;" on " &amp;INDEX(FlowCalDevice,MATCH(G44,FlowCalNumber,0),1,1),"") &amp; IF(I44&gt;0," || " &amp;ROUND(J44*100,2) &amp; "% of " &amp; INDEX(FlowCalGasMixture,MATCH(I44,FlowCalNumber,0),1,1)&amp;" on " &amp;INDEX(FlowCalDevice,MATCH(I44,FlowCalNumber,0),1,1),"")&amp; IF(K44&gt;0," || " &amp;ROUND(L44*100,2) &amp; "% of " &amp; INDEX(FlowCalGasMixture,MATCH(K44,FlowCalNumber,0),1,1)&amp;" on " &amp;INDEX(FlowCalDevice,MATCH(K44,FlowCalNumber,0),1,1),"")</f>
        <v>5% of 100Eth on MFC-32 || 95% of 100N2 on MFC-25</v>
      </c>
      <c r="Y44" s="713"/>
      <c r="AC44" s="419"/>
      <c r="AD44" s="419"/>
      <c r="AE44" s="419"/>
    </row>
    <row r="45" spans="1:31">
      <c r="B45" s="1003">
        <v>0.05</v>
      </c>
      <c r="C45" s="1004">
        <v>0.97430000000000005</v>
      </c>
      <c r="D45" s="9" t="s">
        <v>762</v>
      </c>
      <c r="E45" s="377" t="s">
        <v>1114</v>
      </c>
      <c r="F45" s="416">
        <v>0.05</v>
      </c>
      <c r="G45" s="377" t="s">
        <v>1117</v>
      </c>
      <c r="H45" s="991">
        <f>1-F45</f>
        <v>0.95</v>
      </c>
      <c r="I45" s="377"/>
      <c r="J45" s="417"/>
      <c r="K45" s="377"/>
      <c r="L45" s="417"/>
      <c r="M45" s="415" t="str">
        <f t="shared" ref="M45:M49" si="6">ROUND(F45*100,2) &amp; "% of " &amp; INDEX(FlowCalGasMixture,MATCH(E45,FlowCalNumber,0),1,1)&amp;" on " &amp;INDEX(FlowCalDevice,MATCH(E45,FlowCalNumber,0),1,1) &amp; IF(G45&gt;0," || " &amp;ROUND(H45*100,2) &amp; "% of " &amp; INDEX(FlowCalGasMixture,MATCH(G45,FlowCalNumber,0),1,1)&amp;" on " &amp;INDEX(FlowCalDevice,MATCH(G45,FlowCalNumber,0),1,1),"") &amp; IF(I45&gt;0," || " &amp;ROUND(J45*100,2) &amp; "% of " &amp; INDEX(FlowCalGasMixture,MATCH(I45,FlowCalNumber,0),1,1)&amp;" on " &amp;INDEX(FlowCalDevice,MATCH(I45,FlowCalNumber,0),1,1),"")&amp; IF(K45&gt;0," || " &amp;ROUND(L45*100,2) &amp; "% of " &amp; INDEX(FlowCalGasMixture,MATCH(K45,FlowCalNumber,0),1,1)&amp;" on " &amp;INDEX(FlowCalDevice,MATCH(K45,FlowCalNumber,0),1,1),"")</f>
        <v>5% of 100Eth on MFC-32 || 95% of 100N2 on MFC-12</v>
      </c>
      <c r="Y45" s="713"/>
      <c r="AC45" s="419"/>
      <c r="AD45" s="419"/>
      <c r="AE45" s="419"/>
    </row>
    <row r="46" spans="1:31">
      <c r="B46" s="1003">
        <v>0.05</v>
      </c>
      <c r="C46" s="1004">
        <v>0.97430000000000005</v>
      </c>
      <c r="D46" s="9" t="s">
        <v>762</v>
      </c>
      <c r="E46" s="377" t="s">
        <v>1118</v>
      </c>
      <c r="F46" s="416">
        <v>0.05</v>
      </c>
      <c r="G46" s="377" t="s">
        <v>1116</v>
      </c>
      <c r="H46" s="991">
        <f>1-F46</f>
        <v>0.95</v>
      </c>
      <c r="I46" s="377"/>
      <c r="J46" s="416"/>
      <c r="K46" s="377"/>
      <c r="L46" s="417"/>
      <c r="M46" s="415" t="str">
        <f t="shared" si="6"/>
        <v>5% of 100Eth on MFC-21 || 95% of 100N2 on MFC-22</v>
      </c>
      <c r="Y46" s="713"/>
      <c r="AC46" s="419"/>
      <c r="AD46" s="419"/>
      <c r="AE46" s="419"/>
    </row>
    <row r="47" spans="1:31">
      <c r="B47" s="1003">
        <v>0.05</v>
      </c>
      <c r="C47" s="994">
        <v>0.97430000000000005</v>
      </c>
      <c r="D47" s="995" t="s">
        <v>762</v>
      </c>
      <c r="E47" s="377" t="s">
        <v>1118</v>
      </c>
      <c r="F47" s="416">
        <v>0.05</v>
      </c>
      <c r="G47" s="377" t="s">
        <v>1117</v>
      </c>
      <c r="H47" s="991">
        <f>1-F47</f>
        <v>0.95</v>
      </c>
      <c r="I47" s="377"/>
      <c r="J47" s="416"/>
      <c r="K47" s="377"/>
      <c r="L47" s="417"/>
      <c r="M47" s="415" t="str">
        <f t="shared" si="6"/>
        <v>5% of 100Eth on MFC-21 || 95% of 100N2 on MFC-12</v>
      </c>
      <c r="Y47" s="713"/>
      <c r="AC47" s="419"/>
      <c r="AD47" s="419"/>
      <c r="AE47" s="419"/>
    </row>
    <row r="48" spans="1:31">
      <c r="B48" s="1003">
        <v>0.05</v>
      </c>
      <c r="C48" s="994">
        <v>0.97430000000000005</v>
      </c>
      <c r="D48" s="995" t="s">
        <v>762</v>
      </c>
      <c r="E48" s="992" t="s">
        <v>1118</v>
      </c>
      <c r="F48" s="416">
        <v>0.05</v>
      </c>
      <c r="G48" s="992" t="s">
        <v>1117</v>
      </c>
      <c r="H48" s="993">
        <v>0.47</v>
      </c>
      <c r="I48" s="992" t="s">
        <v>652</v>
      </c>
      <c r="J48" s="991">
        <f>1-H48-F48</f>
        <v>0.48000000000000004</v>
      </c>
      <c r="K48" s="377"/>
      <c r="L48" s="417"/>
      <c r="M48" s="415" t="str">
        <f t="shared" si="6"/>
        <v>5% of 100Eth on MFC-21 || 47% of 100N2 on MFC-12 || 48% of 100N2 on MFC-13</v>
      </c>
      <c r="Y48" s="713"/>
      <c r="AC48" s="419"/>
      <c r="AD48" s="419"/>
      <c r="AE48" s="419"/>
    </row>
    <row r="49" spans="2:31">
      <c r="B49" s="1003">
        <v>0.05</v>
      </c>
      <c r="C49" s="994">
        <v>0.97430000000000005</v>
      </c>
      <c r="D49" s="995" t="s">
        <v>762</v>
      </c>
      <c r="E49" s="992" t="s">
        <v>1118</v>
      </c>
      <c r="F49" s="416">
        <v>0.05</v>
      </c>
      <c r="G49" s="992" t="s">
        <v>1117</v>
      </c>
      <c r="H49" s="993">
        <v>0.4</v>
      </c>
      <c r="I49" s="992" t="s">
        <v>652</v>
      </c>
      <c r="J49" s="993">
        <v>0.4</v>
      </c>
      <c r="K49" s="377" t="s">
        <v>1116</v>
      </c>
      <c r="L49" s="991">
        <f>1-J49-H49-F49</f>
        <v>0.14999999999999997</v>
      </c>
      <c r="M49" s="415" t="str">
        <f t="shared" si="6"/>
        <v>5% of 100Eth on MFC-21 || 40% of 100N2 on MFC-12 || 40% of 100N2 on MFC-13 || 15% of 100N2 on MFC-22</v>
      </c>
      <c r="Y49" s="713"/>
      <c r="AC49" s="419"/>
      <c r="AD49" s="419"/>
      <c r="AE49" s="419"/>
    </row>
    <row r="50" spans="2:31">
      <c r="B50" s="1003">
        <v>0.01</v>
      </c>
      <c r="C50" s="1004">
        <v>0.97430000000000005</v>
      </c>
      <c r="D50" s="9" t="s">
        <v>762</v>
      </c>
      <c r="E50" s="377" t="s">
        <v>690</v>
      </c>
      <c r="F50" s="416">
        <v>0.1</v>
      </c>
      <c r="G50" s="1182" t="s">
        <v>1130</v>
      </c>
      <c r="H50" s="991">
        <f>1-F50</f>
        <v>0.9</v>
      </c>
      <c r="I50" s="377"/>
      <c r="J50" s="417"/>
      <c r="K50" s="377"/>
      <c r="L50" s="417"/>
      <c r="M50" s="415" t="str">
        <f>ROUND(F50*100,2) &amp; "% of " &amp; INDEX(FlowCalGasMixture,MATCH(E50,FlowCalNumber,0),1,1)&amp;" on " &amp;INDEX(FlowCalDevice,MATCH(E50,FlowCalNumber,0),1,1) &amp; IF(G50&gt;0," || " &amp;ROUND(H50*100,2) &amp; "% of " &amp; INDEX(FlowCalGasMixture,MATCH(G50,FlowCalNumber,0),1,1)&amp;" on " &amp;INDEX(FlowCalDevice,MATCH(G50,FlowCalNumber,0),1,1),"") &amp; IF(I50&gt;0," || " &amp;ROUND(J50*100,2) &amp; "% of " &amp; INDEX(FlowCalGasMixture,MATCH(I50,FlowCalNumber,0),1,1)&amp;" on " &amp;INDEX(FlowCalDevice,MATCH(I50,FlowCalNumber,0),1,1),"")&amp; IF(K50&gt;0," || " &amp;ROUND(L50*100,2) &amp; "% of " &amp; INDEX(FlowCalGasMixture,MATCH(K50,FlowCalNumber,0),1,1)&amp;" on " &amp;INDEX(FlowCalDevice,MATCH(K50,FlowCalNumber,0),1,1),"")</f>
        <v>10% of 10Eth90N2 on MFC-31 || 90% of 100N2 on MFC-25</v>
      </c>
      <c r="Y50" s="713"/>
      <c r="AC50" s="419"/>
      <c r="AD50" s="419"/>
      <c r="AE50" s="419"/>
    </row>
    <row r="51" spans="2:31">
      <c r="B51" s="1003">
        <v>0.01</v>
      </c>
      <c r="C51" s="1004">
        <v>0.97430000000000005</v>
      </c>
      <c r="D51" s="9" t="s">
        <v>762</v>
      </c>
      <c r="E51" s="377" t="s">
        <v>1115</v>
      </c>
      <c r="F51" s="416">
        <v>0.1</v>
      </c>
      <c r="G51" s="1182" t="s">
        <v>1130</v>
      </c>
      <c r="H51" s="991">
        <f>1-F51</f>
        <v>0.9</v>
      </c>
      <c r="I51" s="377"/>
      <c r="J51" s="417"/>
      <c r="K51" s="377"/>
      <c r="L51" s="417"/>
      <c r="M51" s="415" t="str">
        <f>ROUND(F51*100,2) &amp; "% of " &amp; INDEX(FlowCalGasMixture,MATCH(E51,FlowCalNumber,0),1,1)&amp;" on " &amp;INDEX(FlowCalDevice,MATCH(E51,FlowCalNumber,0),1,1) &amp; IF(G51&gt;0," || " &amp;ROUND(H51*100,2) &amp; "% of " &amp; INDEX(FlowCalGasMixture,MATCH(G51,FlowCalNumber,0),1,1)&amp;" on " &amp;INDEX(FlowCalDevice,MATCH(G51,FlowCalNumber,0),1,1),"") &amp; IF(I51&gt;0," || " &amp;ROUND(J51*100,2) &amp; "% of " &amp; INDEX(FlowCalGasMixture,MATCH(I51,FlowCalNumber,0),1,1)&amp;" on " &amp;INDEX(FlowCalDevice,MATCH(I51,FlowCalNumber,0),1,1),"")&amp; IF(K51&gt;0," || " &amp;ROUND(L51*100,2) &amp; "% of " &amp; INDEX(FlowCalGasMixture,MATCH(K51,FlowCalNumber,0),1,1)&amp;" on " &amp;INDEX(FlowCalDevice,MATCH(K51,FlowCalNumber,0),1,1),"")</f>
        <v>10% of 10Eth90N2 on MFC-21 || 90% of 100N2 on MFC-25</v>
      </c>
      <c r="Y51" s="713"/>
      <c r="AC51" s="419"/>
      <c r="AD51" s="419"/>
      <c r="AE51" s="419"/>
    </row>
    <row r="52" spans="2:31">
      <c r="B52" s="1003">
        <v>0.01</v>
      </c>
      <c r="C52" s="994">
        <v>0.97430000000000005</v>
      </c>
      <c r="D52" s="995" t="s">
        <v>762</v>
      </c>
      <c r="E52" s="377" t="s">
        <v>1115</v>
      </c>
      <c r="F52" s="416">
        <v>0.1</v>
      </c>
      <c r="G52" s="992" t="s">
        <v>1117</v>
      </c>
      <c r="H52" s="993">
        <v>0.49</v>
      </c>
      <c r="I52" s="992" t="s">
        <v>652</v>
      </c>
      <c r="J52" s="991">
        <f>1-H52-F52</f>
        <v>0.41000000000000003</v>
      </c>
      <c r="K52" s="377"/>
      <c r="L52" s="417"/>
      <c r="M52" s="415" t="str">
        <f t="shared" ref="M52:M53" si="7">ROUND(F52*100,2) &amp; "% of " &amp; INDEX(FlowCalGasMixture,MATCH(E52,FlowCalNumber,0),1,1)&amp;" on " &amp;INDEX(FlowCalDevice,MATCH(E52,FlowCalNumber,0),1,1) &amp; IF(G52&gt;0," || " &amp;ROUND(H52*100,2) &amp; "% of " &amp; INDEX(FlowCalGasMixture,MATCH(G52,FlowCalNumber,0),1,1)&amp;" on " &amp;INDEX(FlowCalDevice,MATCH(G52,FlowCalNumber,0),1,1),"") &amp; IF(I52&gt;0," || " &amp;ROUND(J52*100,2) &amp; "% of " &amp; INDEX(FlowCalGasMixture,MATCH(I52,FlowCalNumber,0),1,1)&amp;" on " &amp;INDEX(FlowCalDevice,MATCH(I52,FlowCalNumber,0),1,1),"")&amp; IF(K52&gt;0," || " &amp;ROUND(L52*100,2) &amp; "% of " &amp; INDEX(FlowCalGasMixture,MATCH(K52,FlowCalNumber,0),1,1)&amp;" on " &amp;INDEX(FlowCalDevice,MATCH(K52,FlowCalNumber,0),1,1),"")</f>
        <v>10% of 10Eth90N2 on MFC-21 || 49% of 100N2 on MFC-12 || 41% of 100N2 on MFC-13</v>
      </c>
      <c r="Y52" s="713"/>
      <c r="AC52" s="419"/>
      <c r="AD52" s="419"/>
      <c r="AE52" s="419"/>
    </row>
    <row r="53" spans="2:31">
      <c r="B53" s="1003">
        <v>0.01</v>
      </c>
      <c r="C53" s="994">
        <v>0.97430000000000005</v>
      </c>
      <c r="D53" s="995" t="s">
        <v>762</v>
      </c>
      <c r="E53" s="377" t="s">
        <v>1115</v>
      </c>
      <c r="F53" s="416">
        <v>0.1</v>
      </c>
      <c r="G53" s="992" t="s">
        <v>1117</v>
      </c>
      <c r="H53" s="993">
        <v>0.4</v>
      </c>
      <c r="I53" s="992" t="s">
        <v>652</v>
      </c>
      <c r="J53" s="993">
        <v>0.4</v>
      </c>
      <c r="K53" s="377" t="s">
        <v>1116</v>
      </c>
      <c r="L53" s="991">
        <f>1-J53-H53-F53</f>
        <v>9.999999999999995E-2</v>
      </c>
      <c r="M53" s="415" t="str">
        <f t="shared" si="7"/>
        <v>10% of 10Eth90N2 on MFC-21 || 40% of 100N2 on MFC-12 || 40% of 100N2 on MFC-13 || 10% of 100N2 on MFC-22</v>
      </c>
      <c r="Y53" s="713"/>
      <c r="AC53" s="419"/>
      <c r="AD53" s="419"/>
      <c r="AE53" s="419"/>
    </row>
    <row r="54" spans="2:31">
      <c r="B54" s="1003">
        <v>0.01</v>
      </c>
      <c r="C54" s="1004">
        <v>0.97430000000000005</v>
      </c>
      <c r="D54" s="9" t="s">
        <v>762</v>
      </c>
      <c r="E54" s="377" t="s">
        <v>1114</v>
      </c>
      <c r="F54" s="416">
        <v>0.01</v>
      </c>
      <c r="G54" s="1182" t="s">
        <v>1130</v>
      </c>
      <c r="H54" s="991">
        <f>1-F54</f>
        <v>0.99</v>
      </c>
      <c r="I54" s="377"/>
      <c r="J54" s="417"/>
      <c r="K54" s="377"/>
      <c r="L54" s="417"/>
      <c r="M54" s="415" t="str">
        <f>ROUND(F54*100,2) &amp; "% of " &amp; INDEX(FlowCalGasMixture,MATCH(E54,FlowCalNumber,0),1,1)&amp;" on " &amp;INDEX(FlowCalDevice,MATCH(E54,FlowCalNumber,0),1,1) &amp; IF(G54&gt;0," || " &amp;ROUND(H54*100,2) &amp; "% of " &amp; INDEX(FlowCalGasMixture,MATCH(G54,FlowCalNumber,0),1,1)&amp;" on " &amp;INDEX(FlowCalDevice,MATCH(G54,FlowCalNumber,0),1,1),"") &amp; IF(I54&gt;0," || " &amp;ROUND(J54*100,2) &amp; "% of " &amp; INDEX(FlowCalGasMixture,MATCH(I54,FlowCalNumber,0),1,1)&amp;" on " &amp;INDEX(FlowCalDevice,MATCH(I54,FlowCalNumber,0),1,1),"")&amp; IF(K54&gt;0," || " &amp;ROUND(L54*100,2) &amp; "% of " &amp; INDEX(FlowCalGasMixture,MATCH(K54,FlowCalNumber,0),1,1)&amp;" on " &amp;INDEX(FlowCalDevice,MATCH(K54,FlowCalNumber,0),1,1),"")</f>
        <v>1% of 100Eth on MFC-32 || 99% of 100N2 on MFC-25</v>
      </c>
      <c r="Y54" s="713"/>
      <c r="AC54" s="419"/>
      <c r="AD54" s="419"/>
      <c r="AE54" s="419"/>
    </row>
    <row r="55" spans="2:31">
      <c r="B55" s="1003">
        <v>0.01</v>
      </c>
      <c r="C55" s="1004">
        <v>0.97430000000000005</v>
      </c>
      <c r="D55" s="9" t="s">
        <v>762</v>
      </c>
      <c r="E55" s="377" t="s">
        <v>1114</v>
      </c>
      <c r="F55" s="416">
        <v>0.01</v>
      </c>
      <c r="G55" s="377" t="s">
        <v>1117</v>
      </c>
      <c r="H55" s="991">
        <f>1-F55</f>
        <v>0.99</v>
      </c>
      <c r="I55" s="377"/>
      <c r="J55" s="417"/>
      <c r="K55" s="377"/>
      <c r="L55" s="417"/>
      <c r="M55" s="415" t="str">
        <f t="shared" ref="M55:M57" si="8">ROUND(F55*100,2) &amp; "% of " &amp; INDEX(FlowCalGasMixture,MATCH(E55,FlowCalNumber,0),1,1)&amp;" on " &amp;INDEX(FlowCalDevice,MATCH(E55,FlowCalNumber,0),1,1) &amp; IF(G55&gt;0," || " &amp;ROUND(H55*100,2) &amp; "% of " &amp; INDEX(FlowCalGasMixture,MATCH(G55,FlowCalNumber,0),1,1)&amp;" on " &amp;INDEX(FlowCalDevice,MATCH(G55,FlowCalNumber,0),1,1),"") &amp; IF(I55&gt;0," || " &amp;ROUND(J55*100,2) &amp; "% of " &amp; INDEX(FlowCalGasMixture,MATCH(I55,FlowCalNumber,0),1,1)&amp;" on " &amp;INDEX(FlowCalDevice,MATCH(I55,FlowCalNumber,0),1,1),"")&amp; IF(K55&gt;0," || " &amp;ROUND(L55*100,2) &amp; "% of " &amp; INDEX(FlowCalGasMixture,MATCH(K55,FlowCalNumber,0),1,1)&amp;" on " &amp;INDEX(FlowCalDevice,MATCH(K55,FlowCalNumber,0),1,1),"")</f>
        <v>1% of 100Eth on MFC-32 || 99% of 100N2 on MFC-12</v>
      </c>
      <c r="Y55" s="713"/>
      <c r="AC55" s="419"/>
      <c r="AD55" s="419"/>
      <c r="AE55" s="419"/>
    </row>
    <row r="56" spans="2:31">
      <c r="B56" s="1003">
        <v>0.01</v>
      </c>
      <c r="C56" s="994">
        <v>0.97430000000000005</v>
      </c>
      <c r="D56" s="995" t="s">
        <v>762</v>
      </c>
      <c r="E56" s="377" t="s">
        <v>1114</v>
      </c>
      <c r="F56" s="416">
        <v>0.01</v>
      </c>
      <c r="G56" s="992" t="s">
        <v>1117</v>
      </c>
      <c r="H56" s="993">
        <v>0.49</v>
      </c>
      <c r="I56" s="992" t="s">
        <v>652</v>
      </c>
      <c r="J56" s="991">
        <f>1-H56-F56</f>
        <v>0.5</v>
      </c>
      <c r="K56" s="377"/>
      <c r="L56" s="417"/>
      <c r="M56" s="415" t="str">
        <f t="shared" si="8"/>
        <v>1% of 100Eth on MFC-32 || 49% of 100N2 on MFC-12 || 50% of 100N2 on MFC-13</v>
      </c>
      <c r="Y56" s="713"/>
      <c r="AC56" s="419"/>
      <c r="AD56" s="419"/>
      <c r="AE56" s="419"/>
    </row>
    <row r="57" spans="2:31">
      <c r="B57" s="1003">
        <v>0.01</v>
      </c>
      <c r="C57" s="994">
        <v>0.97430000000000005</v>
      </c>
      <c r="D57" s="995" t="s">
        <v>762</v>
      </c>
      <c r="E57" s="377" t="s">
        <v>1114</v>
      </c>
      <c r="F57" s="416">
        <v>0.01</v>
      </c>
      <c r="G57" s="992" t="s">
        <v>1117</v>
      </c>
      <c r="H57" s="993">
        <v>0.45</v>
      </c>
      <c r="I57" s="992" t="s">
        <v>652</v>
      </c>
      <c r="J57" s="993">
        <v>0.45</v>
      </c>
      <c r="K57" s="377" t="s">
        <v>1116</v>
      </c>
      <c r="L57" s="991">
        <f>1-J57-H57-F57</f>
        <v>9.0000000000000038E-2</v>
      </c>
      <c r="M57" s="415" t="str">
        <f t="shared" si="8"/>
        <v>1% of 100Eth on MFC-32 || 45% of 100N2 on MFC-12 || 45% of 100N2 on MFC-13 || 9% of 100N2 on MFC-22</v>
      </c>
      <c r="Y57" s="713"/>
      <c r="AC57" s="419"/>
      <c r="AD57" s="419"/>
      <c r="AE57" s="419"/>
    </row>
    <row r="58" spans="2:31">
      <c r="B58" s="1003">
        <v>0.1</v>
      </c>
      <c r="C58" s="1004">
        <v>0.22819999999999999</v>
      </c>
      <c r="D58" s="9" t="s">
        <v>762</v>
      </c>
      <c r="E58" s="377" t="s">
        <v>691</v>
      </c>
      <c r="F58" s="416">
        <v>1</v>
      </c>
      <c r="G58" s="377"/>
      <c r="H58" s="417"/>
      <c r="I58" s="377"/>
      <c r="J58" s="417"/>
      <c r="K58" s="377"/>
      <c r="L58" s="417"/>
      <c r="M58" s="415" t="str">
        <f t="shared" si="5"/>
        <v>100% of 10Eth90He on MFC-31</v>
      </c>
      <c r="Y58" s="713"/>
    </row>
    <row r="59" spans="2:31">
      <c r="B59" s="1003">
        <v>0.1</v>
      </c>
      <c r="C59" s="1004">
        <v>0.22819999999999999</v>
      </c>
      <c r="D59" s="9" t="s">
        <v>762</v>
      </c>
      <c r="E59" s="377" t="s">
        <v>1119</v>
      </c>
      <c r="F59" s="416">
        <v>1</v>
      </c>
      <c r="G59" s="377"/>
      <c r="H59" s="416"/>
      <c r="I59" s="377"/>
      <c r="J59" s="417"/>
      <c r="K59" s="377"/>
      <c r="L59" s="417"/>
      <c r="M59" s="415" t="str">
        <f t="shared" si="5"/>
        <v>100% of 10Eth90He on MFC-21</v>
      </c>
      <c r="Y59" s="713"/>
    </row>
    <row r="60" spans="2:31">
      <c r="B60" s="1003">
        <v>0.1</v>
      </c>
      <c r="C60" s="1004">
        <v>0.22819999999999999</v>
      </c>
      <c r="D60" s="9" t="s">
        <v>762</v>
      </c>
      <c r="E60" s="377" t="s">
        <v>1114</v>
      </c>
      <c r="F60" s="416">
        <v>0.1</v>
      </c>
      <c r="G60" s="1182" t="s">
        <v>1127</v>
      </c>
      <c r="H60" s="991">
        <f>1-F60</f>
        <v>0.9</v>
      </c>
      <c r="I60" s="377"/>
      <c r="J60" s="417"/>
      <c r="K60" s="377"/>
      <c r="L60" s="417"/>
      <c r="M60" s="415" t="str">
        <f t="shared" si="5"/>
        <v>10% of 100Eth on MFC-32 || 90% of 100He on MFC-25</v>
      </c>
      <c r="Y60" s="713"/>
    </row>
    <row r="61" spans="2:31">
      <c r="B61" s="1003">
        <v>0.1</v>
      </c>
      <c r="C61" s="1004">
        <v>0.22819999999999999</v>
      </c>
      <c r="D61" s="9" t="s">
        <v>762</v>
      </c>
      <c r="E61" s="377" t="s">
        <v>1114</v>
      </c>
      <c r="F61" s="416">
        <v>0.1</v>
      </c>
      <c r="G61" s="377" t="s">
        <v>692</v>
      </c>
      <c r="H61" s="991">
        <f>1-F61</f>
        <v>0.9</v>
      </c>
      <c r="I61" s="377"/>
      <c r="J61" s="417"/>
      <c r="K61" s="377"/>
      <c r="L61" s="417"/>
      <c r="M61" s="415" t="str">
        <f>ROUND(F61*100,2) &amp; "% of " &amp; INDEX(FlowCalGasMixture,MATCH(E61,FlowCalNumber,0),1,1)&amp;" on " &amp;INDEX(FlowCalDevice,MATCH(E61,FlowCalNumber,0),1,1) &amp; IF(G61&gt;0," || " &amp;ROUND(H61*100,2) &amp; "% of " &amp; INDEX(FlowCalGasMixture,MATCH(G61,FlowCalNumber,0),1,1)&amp;" on " &amp;INDEX(FlowCalDevice,MATCH(G61,FlowCalNumber,0),1,1),"") &amp; IF(I61&gt;0," || " &amp;ROUND(J61*100,2) &amp; "% of " &amp; INDEX(FlowCalGasMixture,MATCH(I61,FlowCalNumber,0),1,1)&amp;" on " &amp;INDEX(FlowCalDevice,MATCH(I61,FlowCalNumber,0),1,1),"")&amp; IF(K61&gt;0," || " &amp;ROUND(L61*100,2) &amp; "% of " &amp; INDEX(FlowCalGasMixture,MATCH(K61,FlowCalNumber,0),1,1)&amp;" on " &amp;INDEX(FlowCalDevice,MATCH(K61,FlowCalNumber,0),1,1),"")</f>
        <v>10% of 100Eth on MFC-32 || 90% of 100He on MFC-12</v>
      </c>
      <c r="Y61" s="713"/>
    </row>
    <row r="62" spans="2:31">
      <c r="B62" s="1003">
        <v>0.1</v>
      </c>
      <c r="C62" s="1004">
        <v>0.22819999999999999</v>
      </c>
      <c r="D62" s="9" t="s">
        <v>762</v>
      </c>
      <c r="E62" s="377" t="s">
        <v>1118</v>
      </c>
      <c r="F62" s="416">
        <v>0.1</v>
      </c>
      <c r="G62" s="1182" t="s">
        <v>1127</v>
      </c>
      <c r="H62" s="991">
        <f>1-F62</f>
        <v>0.9</v>
      </c>
      <c r="I62" s="377"/>
      <c r="J62" s="417"/>
      <c r="K62" s="377"/>
      <c r="L62" s="417"/>
      <c r="M62" s="415" t="str">
        <f t="shared" ref="M62" si="9">ROUND(F62*100,2) &amp; "% of " &amp; INDEX(FlowCalGasMixture,MATCH(E62,FlowCalNumber,0),1,1)&amp;" on " &amp;INDEX(FlowCalDevice,MATCH(E62,FlowCalNumber,0),1,1) &amp; IF(G62&gt;0," || " &amp;ROUND(H62*100,2) &amp; "% of " &amp; INDEX(FlowCalGasMixture,MATCH(G62,FlowCalNumber,0),1,1)&amp;" on " &amp;INDEX(FlowCalDevice,MATCH(G62,FlowCalNumber,0),1,1),"") &amp; IF(I62&gt;0," || " &amp;ROUND(J62*100,2) &amp; "% of " &amp; INDEX(FlowCalGasMixture,MATCH(I62,FlowCalNumber,0),1,1)&amp;" on " &amp;INDEX(FlowCalDevice,MATCH(I62,FlowCalNumber,0),1,1),"")&amp; IF(K62&gt;0," || " &amp;ROUND(L62*100,2) &amp; "% of " &amp; INDEX(FlowCalGasMixture,MATCH(K62,FlowCalNumber,0),1,1)&amp;" on " &amp;INDEX(FlowCalDevice,MATCH(K62,FlowCalNumber,0),1,1),"")</f>
        <v>10% of 100Eth on MFC-21 || 90% of 100He on MFC-25</v>
      </c>
      <c r="Y62" s="713"/>
    </row>
    <row r="63" spans="2:31">
      <c r="B63" s="1003">
        <v>0.1</v>
      </c>
      <c r="C63" s="1004">
        <v>0.22819999999999999</v>
      </c>
      <c r="D63" s="9" t="s">
        <v>762</v>
      </c>
      <c r="E63" s="377" t="s">
        <v>1118</v>
      </c>
      <c r="F63" s="416">
        <v>0.1</v>
      </c>
      <c r="G63" s="377" t="s">
        <v>692</v>
      </c>
      <c r="H63" s="991">
        <f>1-F63</f>
        <v>0.9</v>
      </c>
      <c r="I63" s="377"/>
      <c r="J63" s="417"/>
      <c r="K63" s="377"/>
      <c r="L63" s="417"/>
      <c r="M63" s="415" t="str">
        <f>ROUND(F63*100,2) &amp; "% of " &amp; INDEX(FlowCalGasMixture,MATCH(E63,FlowCalNumber,0),1,1)&amp;" on " &amp;INDEX(FlowCalDevice,MATCH(E63,FlowCalNumber,0),1,1) &amp; IF(G63&gt;0," || " &amp;ROUND(H63*100,2) &amp; "% of " &amp; INDEX(FlowCalGasMixture,MATCH(G63,FlowCalNumber,0),1,1)&amp;" on " &amp;INDEX(FlowCalDevice,MATCH(G63,FlowCalNumber,0),1,1),"") &amp; IF(I63&gt;0," || " &amp;ROUND(J63*100,2) &amp; "% of " &amp; INDEX(FlowCalGasMixture,MATCH(I63,FlowCalNumber,0),1,1)&amp;" on " &amp;INDEX(FlowCalDevice,MATCH(I63,FlowCalNumber,0),1,1),"")&amp; IF(K63&gt;0," || " &amp;ROUND(L63*100,2) &amp; "% of " &amp; INDEX(FlowCalGasMixture,MATCH(K63,FlowCalNumber,0),1,1)&amp;" on " &amp;INDEX(FlowCalDevice,MATCH(K63,FlowCalNumber,0),1,1),"")</f>
        <v>10% of 100Eth on MFC-21 || 90% of 100He on MFC-12</v>
      </c>
      <c r="Y63" s="713"/>
    </row>
    <row r="64" spans="2:31">
      <c r="B64" s="1003">
        <v>0.1</v>
      </c>
      <c r="C64" s="1004">
        <v>0.22819999999999999</v>
      </c>
      <c r="D64" s="9" t="s">
        <v>762</v>
      </c>
      <c r="E64" s="992" t="s">
        <v>1118</v>
      </c>
      <c r="F64" s="416">
        <v>0.1</v>
      </c>
      <c r="G64" s="377" t="s">
        <v>692</v>
      </c>
      <c r="H64" s="416">
        <v>0.45</v>
      </c>
      <c r="I64" s="377" t="s">
        <v>1120</v>
      </c>
      <c r="J64" s="991">
        <f>1-H64-F64</f>
        <v>0.45000000000000007</v>
      </c>
      <c r="K64" s="377"/>
      <c r="L64" s="417"/>
      <c r="M64" s="415" t="str">
        <f t="shared" ref="M64:M65" si="10">ROUND(F64*100,2) &amp; "% of " &amp; INDEX(FlowCalGasMixture,MATCH(E64,FlowCalNumber,0),1,1)&amp;" on " &amp;INDEX(FlowCalDevice,MATCH(E64,FlowCalNumber,0),1,1) &amp; IF(G64&gt;0," || " &amp;ROUND(H64*100,2) &amp; "% of " &amp; INDEX(FlowCalGasMixture,MATCH(G64,FlowCalNumber,0),1,1)&amp;" on " &amp;INDEX(FlowCalDevice,MATCH(G64,FlowCalNumber,0),1,1),"") &amp; IF(I64&gt;0," || " &amp;ROUND(J64*100,2) &amp; "% of " &amp; INDEX(FlowCalGasMixture,MATCH(I64,FlowCalNumber,0),1,1)&amp;" on " &amp;INDEX(FlowCalDevice,MATCH(I64,FlowCalNumber,0),1,1),"")&amp; IF(K64&gt;0," || " &amp;ROUND(L64*100,2) &amp; "% of " &amp; INDEX(FlowCalGasMixture,MATCH(K64,FlowCalNumber,0),1,1)&amp;" on " &amp;INDEX(FlowCalDevice,MATCH(K64,FlowCalNumber,0),1,1),"")</f>
        <v>10% of 100Eth on MFC-21 || 45% of 100He on MFC-12 || 45% of 100He on MFC-13</v>
      </c>
      <c r="Y64" s="713"/>
    </row>
    <row r="65" spans="1:31">
      <c r="B65" s="1003">
        <v>0.1</v>
      </c>
      <c r="C65" s="1004">
        <v>0.22819999999999999</v>
      </c>
      <c r="D65" s="9" t="s">
        <v>762</v>
      </c>
      <c r="E65" s="992" t="s">
        <v>1118</v>
      </c>
      <c r="F65" s="416">
        <v>0.1</v>
      </c>
      <c r="G65" s="377" t="s">
        <v>692</v>
      </c>
      <c r="H65" s="416">
        <v>0.4</v>
      </c>
      <c r="I65" s="377" t="s">
        <v>1120</v>
      </c>
      <c r="J65" s="416">
        <v>0.4</v>
      </c>
      <c r="K65" s="377" t="s">
        <v>693</v>
      </c>
      <c r="L65" s="991">
        <f>1-J65-H65-F65</f>
        <v>9.999999999999995E-2</v>
      </c>
      <c r="M65" s="415" t="str">
        <f t="shared" si="10"/>
        <v>10% of 100Eth on MFC-21 || 40% of 100He on MFC-12 || 40% of 100He on MFC-13 || 10% of 100He on MFC-22</v>
      </c>
      <c r="Y65" s="713"/>
    </row>
    <row r="66" spans="1:31">
      <c r="B66" s="1003">
        <v>0.05</v>
      </c>
      <c r="C66" s="1004">
        <v>0.22819999999999999</v>
      </c>
      <c r="D66" s="9" t="s">
        <v>762</v>
      </c>
      <c r="E66" s="377" t="s">
        <v>1114</v>
      </c>
      <c r="F66" s="416">
        <v>0.05</v>
      </c>
      <c r="G66" s="1182" t="s">
        <v>1127</v>
      </c>
      <c r="H66" s="991">
        <f>1-F66</f>
        <v>0.95</v>
      </c>
      <c r="I66" s="377"/>
      <c r="J66" s="417"/>
      <c r="K66" s="377"/>
      <c r="L66" s="417"/>
      <c r="M66" s="415" t="str">
        <f t="shared" ref="M66" si="11">ROUND(F66*100,2) &amp; "% of " &amp; INDEX(FlowCalGasMixture,MATCH(E66,FlowCalNumber,0),1,1)&amp;" on " &amp;INDEX(FlowCalDevice,MATCH(E66,FlowCalNumber,0),1,1) &amp; IF(G66&gt;0," || " &amp;ROUND(H66*100,2) &amp; "% of " &amp; INDEX(FlowCalGasMixture,MATCH(G66,FlowCalNumber,0),1,1)&amp;" on " &amp;INDEX(FlowCalDevice,MATCH(G66,FlowCalNumber,0),1,1),"") &amp; IF(I66&gt;0," || " &amp;ROUND(J66*100,2) &amp; "% of " &amp; INDEX(FlowCalGasMixture,MATCH(I66,FlowCalNumber,0),1,1)&amp;" on " &amp;INDEX(FlowCalDevice,MATCH(I66,FlowCalNumber,0),1,1),"")&amp; IF(K66&gt;0," || " &amp;ROUND(L66*100,2) &amp; "% of " &amp; INDEX(FlowCalGasMixture,MATCH(K66,FlowCalNumber,0),1,1)&amp;" on " &amp;INDEX(FlowCalDevice,MATCH(K66,FlowCalNumber,0),1,1),"")</f>
        <v>5% of 100Eth on MFC-32 || 95% of 100He on MFC-25</v>
      </c>
      <c r="Y66" s="713"/>
    </row>
    <row r="67" spans="1:31">
      <c r="B67" s="1003">
        <v>0.05</v>
      </c>
      <c r="C67" s="1004">
        <v>0.22819999999999999</v>
      </c>
      <c r="D67" s="9" t="s">
        <v>762</v>
      </c>
      <c r="E67" s="377" t="s">
        <v>1114</v>
      </c>
      <c r="F67" s="416">
        <v>0.05</v>
      </c>
      <c r="G67" s="377" t="s">
        <v>692</v>
      </c>
      <c r="H67" s="991">
        <f>1-F67</f>
        <v>0.95</v>
      </c>
      <c r="I67" s="377"/>
      <c r="J67" s="417"/>
      <c r="K67" s="377"/>
      <c r="L67" s="417"/>
      <c r="M67" s="415" t="str">
        <f>ROUND(F67*100,2) &amp; "% of " &amp; INDEX(FlowCalGasMixture,MATCH(E67,FlowCalNumber,0),1,1)&amp;" on " &amp;INDEX(FlowCalDevice,MATCH(E67,FlowCalNumber,0),1,1) &amp; IF(G67&gt;0," || " &amp;ROUND(H67*100,2) &amp; "% of " &amp; INDEX(FlowCalGasMixture,MATCH(G67,FlowCalNumber,0),1,1)&amp;" on " &amp;INDEX(FlowCalDevice,MATCH(G67,FlowCalNumber,0),1,1),"") &amp; IF(I67&gt;0," || " &amp;ROUND(J67*100,2) &amp; "% of " &amp; INDEX(FlowCalGasMixture,MATCH(I67,FlowCalNumber,0),1,1)&amp;" on " &amp;INDEX(FlowCalDevice,MATCH(I67,FlowCalNumber,0),1,1),"")&amp; IF(K67&gt;0," || " &amp;ROUND(L67*100,2) &amp; "% of " &amp; INDEX(FlowCalGasMixture,MATCH(K67,FlowCalNumber,0),1,1)&amp;" on " &amp;INDEX(FlowCalDevice,MATCH(K67,FlowCalNumber,0),1,1),"")</f>
        <v>5% of 100Eth on MFC-32 || 95% of 100He on MFC-12</v>
      </c>
      <c r="Y67" s="713"/>
    </row>
    <row r="68" spans="1:31">
      <c r="B68" s="1003">
        <v>0.05</v>
      </c>
      <c r="C68" s="1004">
        <v>0.22819999999999999</v>
      </c>
      <c r="D68" s="9" t="s">
        <v>762</v>
      </c>
      <c r="E68" s="377" t="s">
        <v>1118</v>
      </c>
      <c r="F68" s="416">
        <v>0.05</v>
      </c>
      <c r="G68" s="1182" t="s">
        <v>1127</v>
      </c>
      <c r="H68" s="991">
        <f>1-F68</f>
        <v>0.95</v>
      </c>
      <c r="I68" s="377"/>
      <c r="J68" s="417"/>
      <c r="K68" s="377"/>
      <c r="L68" s="417"/>
      <c r="M68" s="415" t="str">
        <f t="shared" ref="M68" si="12">ROUND(F68*100,2) &amp; "% of " &amp; INDEX(FlowCalGasMixture,MATCH(E68,FlowCalNumber,0),1,1)&amp;" on " &amp;INDEX(FlowCalDevice,MATCH(E68,FlowCalNumber,0),1,1) &amp; IF(G68&gt;0," || " &amp;ROUND(H68*100,2) &amp; "% of " &amp; INDEX(FlowCalGasMixture,MATCH(G68,FlowCalNumber,0),1,1)&amp;" on " &amp;INDEX(FlowCalDevice,MATCH(G68,FlowCalNumber,0),1,1),"") &amp; IF(I68&gt;0," || " &amp;ROUND(J68*100,2) &amp; "% of " &amp; INDEX(FlowCalGasMixture,MATCH(I68,FlowCalNumber,0),1,1)&amp;" on " &amp;INDEX(FlowCalDevice,MATCH(I68,FlowCalNumber,0),1,1),"")&amp; IF(K68&gt;0," || " &amp;ROUND(L68*100,2) &amp; "% of " &amp; INDEX(FlowCalGasMixture,MATCH(K68,FlowCalNumber,0),1,1)&amp;" on " &amp;INDEX(FlowCalDevice,MATCH(K68,FlowCalNumber,0),1,1),"")</f>
        <v>5% of 100Eth on MFC-21 || 95% of 100He on MFC-25</v>
      </c>
      <c r="Y68" s="713"/>
    </row>
    <row r="69" spans="1:31">
      <c r="B69" s="1003">
        <v>0.05</v>
      </c>
      <c r="C69" s="1004">
        <v>0.22819999999999999</v>
      </c>
      <c r="D69" s="9" t="s">
        <v>762</v>
      </c>
      <c r="E69" s="377" t="s">
        <v>1118</v>
      </c>
      <c r="F69" s="416">
        <v>0.05</v>
      </c>
      <c r="G69" s="377" t="s">
        <v>692</v>
      </c>
      <c r="H69" s="991">
        <f>1-F69</f>
        <v>0.95</v>
      </c>
      <c r="I69" s="377"/>
      <c r="J69" s="417"/>
      <c r="K69" s="377"/>
      <c r="L69" s="417"/>
      <c r="M69" s="415" t="str">
        <f>ROUND(F69*100,2) &amp; "% of " &amp; INDEX(FlowCalGasMixture,MATCH(E69,FlowCalNumber,0),1,1)&amp;" on " &amp;INDEX(FlowCalDevice,MATCH(E69,FlowCalNumber,0),1,1) &amp; IF(G69&gt;0," || " &amp;ROUND(H69*100,2) &amp; "% of " &amp; INDEX(FlowCalGasMixture,MATCH(G69,FlowCalNumber,0),1,1)&amp;" on " &amp;INDEX(FlowCalDevice,MATCH(G69,FlowCalNumber,0),1,1),"") &amp; IF(I69&gt;0," || " &amp;ROUND(J69*100,2) &amp; "% of " &amp; INDEX(FlowCalGasMixture,MATCH(I69,FlowCalNumber,0),1,1)&amp;" on " &amp;INDEX(FlowCalDevice,MATCH(I69,FlowCalNumber,0),1,1),"")&amp; IF(K69&gt;0," || " &amp;ROUND(L69*100,2) &amp; "% of " &amp; INDEX(FlowCalGasMixture,MATCH(K69,FlowCalNumber,0),1,1)&amp;" on " &amp;INDEX(FlowCalDevice,MATCH(K69,FlowCalNumber,0),1,1),"")</f>
        <v>5% of 100Eth on MFC-21 || 95% of 100He on MFC-12</v>
      </c>
      <c r="Y69" s="713"/>
    </row>
    <row r="70" spans="1:31">
      <c r="B70" s="1003">
        <v>0.05</v>
      </c>
      <c r="C70" s="1004">
        <v>0.22819999999999999</v>
      </c>
      <c r="D70" s="9" t="s">
        <v>762</v>
      </c>
      <c r="E70" s="992" t="s">
        <v>1118</v>
      </c>
      <c r="F70" s="416">
        <v>0.05</v>
      </c>
      <c r="G70" s="377" t="s">
        <v>692</v>
      </c>
      <c r="H70" s="416">
        <v>0.45</v>
      </c>
      <c r="I70" s="377" t="s">
        <v>1120</v>
      </c>
      <c r="J70" s="991">
        <f>1-H70-F70</f>
        <v>0.5</v>
      </c>
      <c r="K70" s="377"/>
      <c r="L70" s="417"/>
      <c r="M70" s="415" t="str">
        <f t="shared" ref="M70:M71" si="13">ROUND(F70*100,2) &amp; "% of " &amp; INDEX(FlowCalGasMixture,MATCH(E70,FlowCalNumber,0),1,1)&amp;" on " &amp;INDEX(FlowCalDevice,MATCH(E70,FlowCalNumber,0),1,1) &amp; IF(G70&gt;0," || " &amp;ROUND(H70*100,2) &amp; "% of " &amp; INDEX(FlowCalGasMixture,MATCH(G70,FlowCalNumber,0),1,1)&amp;" on " &amp;INDEX(FlowCalDevice,MATCH(G70,FlowCalNumber,0),1,1),"") &amp; IF(I70&gt;0," || " &amp;ROUND(J70*100,2) &amp; "% of " &amp; INDEX(FlowCalGasMixture,MATCH(I70,FlowCalNumber,0),1,1)&amp;" on " &amp;INDEX(FlowCalDevice,MATCH(I70,FlowCalNumber,0),1,1),"")&amp; IF(K70&gt;0," || " &amp;ROUND(L70*100,2) &amp; "% of " &amp; INDEX(FlowCalGasMixture,MATCH(K70,FlowCalNumber,0),1,1)&amp;" on " &amp;INDEX(FlowCalDevice,MATCH(K70,FlowCalNumber,0),1,1),"")</f>
        <v>5% of 100Eth on MFC-21 || 45% of 100He on MFC-12 || 50% of 100He on MFC-13</v>
      </c>
      <c r="Y70" s="713"/>
    </row>
    <row r="71" spans="1:31">
      <c r="B71" s="1003">
        <v>0.05</v>
      </c>
      <c r="C71" s="1004">
        <v>0.22819999999999999</v>
      </c>
      <c r="D71" s="9" t="s">
        <v>762</v>
      </c>
      <c r="E71" s="992" t="s">
        <v>1118</v>
      </c>
      <c r="F71" s="416">
        <v>0.05</v>
      </c>
      <c r="G71" s="377" t="s">
        <v>692</v>
      </c>
      <c r="H71" s="416">
        <v>0.4</v>
      </c>
      <c r="I71" s="377" t="s">
        <v>1120</v>
      </c>
      <c r="J71" s="416">
        <v>0.4</v>
      </c>
      <c r="K71" s="377" t="s">
        <v>693</v>
      </c>
      <c r="L71" s="991">
        <f>1-J71-H71-F71</f>
        <v>0.14999999999999997</v>
      </c>
      <c r="M71" s="415" t="str">
        <f t="shared" si="13"/>
        <v>5% of 100Eth on MFC-21 || 40% of 100He on MFC-12 || 40% of 100He on MFC-13 || 15% of 100He on MFC-22</v>
      </c>
      <c r="Y71" s="713"/>
    </row>
    <row r="72" spans="1:31">
      <c r="B72" s="1003">
        <v>0.01</v>
      </c>
      <c r="C72" s="1004">
        <v>0.22819999999999999</v>
      </c>
      <c r="D72" s="9" t="s">
        <v>762</v>
      </c>
      <c r="E72" s="377" t="s">
        <v>691</v>
      </c>
      <c r="F72" s="416">
        <v>0.1</v>
      </c>
      <c r="G72" s="1182" t="s">
        <v>1127</v>
      </c>
      <c r="H72" s="991">
        <f>1-F72</f>
        <v>0.9</v>
      </c>
      <c r="I72" s="377"/>
      <c r="J72" s="417"/>
      <c r="K72" s="377"/>
      <c r="L72" s="417"/>
      <c r="M72" s="415" t="str">
        <f>ROUND(F72*100,2) &amp; "% of " &amp; INDEX(FlowCalGasMixture,MATCH(E72,FlowCalNumber,0),1,1)&amp;" on " &amp;INDEX(FlowCalDevice,MATCH(E72,FlowCalNumber,0),1,1) &amp; IF(G72&gt;0," || " &amp;ROUND(H72*100,2) &amp; "% of " &amp; INDEX(FlowCalGasMixture,MATCH(G72,FlowCalNumber,0),1,1)&amp;" on " &amp;INDEX(FlowCalDevice,MATCH(G72,FlowCalNumber,0),1,1),"") &amp; IF(I72&gt;0," || " &amp;ROUND(J72*100,2) &amp; "% of " &amp; INDEX(FlowCalGasMixture,MATCH(I72,FlowCalNumber,0),1,1)&amp;" on " &amp;INDEX(FlowCalDevice,MATCH(I72,FlowCalNumber,0),1,1),"")&amp; IF(K72&gt;0," || " &amp;ROUND(L72*100,2) &amp; "% of " &amp; INDEX(FlowCalGasMixture,MATCH(K72,FlowCalNumber,0),1,1)&amp;" on " &amp;INDEX(FlowCalDevice,MATCH(K72,FlowCalNumber,0),1,1),"")</f>
        <v>10% of 10Eth90He on MFC-31 || 90% of 100He on MFC-25</v>
      </c>
      <c r="Y72" s="713"/>
      <c r="AC72" s="419"/>
      <c r="AD72" s="419"/>
      <c r="AE72" s="419"/>
    </row>
    <row r="73" spans="1:31">
      <c r="B73" s="1003">
        <v>0.01</v>
      </c>
      <c r="C73" s="1004">
        <v>0.22819999999999999</v>
      </c>
      <c r="D73" s="9" t="s">
        <v>762</v>
      </c>
      <c r="E73" s="377" t="s">
        <v>1119</v>
      </c>
      <c r="F73" s="416">
        <v>0.1</v>
      </c>
      <c r="G73" s="1182" t="s">
        <v>1127</v>
      </c>
      <c r="H73" s="991">
        <f>1-F73</f>
        <v>0.9</v>
      </c>
      <c r="I73" s="377"/>
      <c r="J73" s="417"/>
      <c r="K73" s="377"/>
      <c r="L73" s="417"/>
      <c r="M73" s="415" t="str">
        <f>ROUND(F73*100,2) &amp; "% of " &amp; INDEX(FlowCalGasMixture,MATCH(E73,FlowCalNumber,0),1,1)&amp;" on " &amp;INDEX(FlowCalDevice,MATCH(E73,FlowCalNumber,0),1,1) &amp; IF(G73&gt;0," || " &amp;ROUND(H73*100,2) &amp; "% of " &amp; INDEX(FlowCalGasMixture,MATCH(G73,FlowCalNumber,0),1,1)&amp;" on " &amp;INDEX(FlowCalDevice,MATCH(G73,FlowCalNumber,0),1,1),"") &amp; IF(I73&gt;0," || " &amp;ROUND(J73*100,2) &amp; "% of " &amp; INDEX(FlowCalGasMixture,MATCH(I73,FlowCalNumber,0),1,1)&amp;" on " &amp;INDEX(FlowCalDevice,MATCH(I73,FlowCalNumber,0),1,1),"")&amp; IF(K73&gt;0," || " &amp;ROUND(L73*100,2) &amp; "% of " &amp; INDEX(FlowCalGasMixture,MATCH(K73,FlowCalNumber,0),1,1)&amp;" on " &amp;INDEX(FlowCalDevice,MATCH(K73,FlowCalNumber,0),1,1),"")</f>
        <v>10% of 10Eth90He on MFC-21 || 90% of 100He on MFC-25</v>
      </c>
      <c r="Y73" s="713"/>
      <c r="AC73" s="419"/>
      <c r="AD73" s="419"/>
      <c r="AE73" s="419"/>
    </row>
    <row r="74" spans="1:31">
      <c r="B74" s="1003">
        <v>0.01</v>
      </c>
      <c r="C74" s="1004">
        <v>0.22819999999999999</v>
      </c>
      <c r="D74" s="995" t="s">
        <v>762</v>
      </c>
      <c r="E74" s="377" t="s">
        <v>1119</v>
      </c>
      <c r="F74" s="416">
        <v>0.1</v>
      </c>
      <c r="G74" s="992" t="s">
        <v>692</v>
      </c>
      <c r="H74" s="993">
        <v>0.49</v>
      </c>
      <c r="I74" s="992" t="s">
        <v>1120</v>
      </c>
      <c r="J74" s="991">
        <f>1-H74-F74</f>
        <v>0.41000000000000003</v>
      </c>
      <c r="K74" s="377"/>
      <c r="L74" s="417"/>
      <c r="M74" s="415" t="str">
        <f t="shared" ref="M74:M75" si="14">ROUND(F74*100,2) &amp; "% of " &amp; INDEX(FlowCalGasMixture,MATCH(E74,FlowCalNumber,0),1,1)&amp;" on " &amp;INDEX(FlowCalDevice,MATCH(E74,FlowCalNumber,0),1,1) &amp; IF(G74&gt;0," || " &amp;ROUND(H74*100,2) &amp; "% of " &amp; INDEX(FlowCalGasMixture,MATCH(G74,FlowCalNumber,0),1,1)&amp;" on " &amp;INDEX(FlowCalDevice,MATCH(G74,FlowCalNumber,0),1,1),"") &amp; IF(I74&gt;0," || " &amp;ROUND(J74*100,2) &amp; "% of " &amp; INDEX(FlowCalGasMixture,MATCH(I74,FlowCalNumber,0),1,1)&amp;" on " &amp;INDEX(FlowCalDevice,MATCH(I74,FlowCalNumber,0),1,1),"")&amp; IF(K74&gt;0," || " &amp;ROUND(L74*100,2) &amp; "% of " &amp; INDEX(FlowCalGasMixture,MATCH(K74,FlowCalNumber,0),1,1)&amp;" on " &amp;INDEX(FlowCalDevice,MATCH(K74,FlowCalNumber,0),1,1),"")</f>
        <v>10% of 10Eth90He on MFC-21 || 49% of 100He on MFC-12 || 41% of 100He on MFC-13</v>
      </c>
      <c r="Y74" s="713"/>
      <c r="AC74" s="419"/>
      <c r="AD74" s="419"/>
      <c r="AE74" s="419"/>
    </row>
    <row r="75" spans="1:31">
      <c r="B75" s="1003">
        <v>0.01</v>
      </c>
      <c r="C75" s="1004">
        <v>0.22819999999999999</v>
      </c>
      <c r="D75" s="995" t="s">
        <v>762</v>
      </c>
      <c r="E75" s="377" t="s">
        <v>1119</v>
      </c>
      <c r="F75" s="416">
        <v>0.1</v>
      </c>
      <c r="G75" s="992" t="s">
        <v>692</v>
      </c>
      <c r="H75" s="993">
        <v>0.4</v>
      </c>
      <c r="I75" s="992" t="s">
        <v>1120</v>
      </c>
      <c r="J75" s="993">
        <v>0.4</v>
      </c>
      <c r="K75" s="377" t="s">
        <v>693</v>
      </c>
      <c r="L75" s="991">
        <f>1-J75-H75-F75</f>
        <v>9.999999999999995E-2</v>
      </c>
      <c r="M75" s="415" t="str">
        <f t="shared" si="14"/>
        <v>10% of 10Eth90He on MFC-21 || 40% of 100He on MFC-12 || 40% of 100He on MFC-13 || 10% of 100He on MFC-22</v>
      </c>
      <c r="Y75" s="713"/>
      <c r="AC75" s="419"/>
      <c r="AD75" s="419"/>
      <c r="AE75" s="419"/>
    </row>
    <row r="76" spans="1:31">
      <c r="B76" s="1003">
        <v>0.01</v>
      </c>
      <c r="C76" s="1004">
        <v>0.22819999999999999</v>
      </c>
      <c r="D76" s="9" t="s">
        <v>762</v>
      </c>
      <c r="E76" s="377" t="s">
        <v>1114</v>
      </c>
      <c r="F76" s="416">
        <v>0.01</v>
      </c>
      <c r="G76" s="1182" t="s">
        <v>1127</v>
      </c>
      <c r="H76" s="991">
        <f>1-F76</f>
        <v>0.99</v>
      </c>
      <c r="I76" s="377"/>
      <c r="J76" s="417"/>
      <c r="K76" s="377"/>
      <c r="L76" s="417"/>
      <c r="M76" s="415" t="str">
        <f>ROUND(F76*100,2) &amp; "% of " &amp; INDEX(FlowCalGasMixture,MATCH(E76,FlowCalNumber,0),1,1)&amp;" on " &amp;INDEX(FlowCalDevice,MATCH(E76,FlowCalNumber,0),1,1) &amp; IF(G76&gt;0," || " &amp;ROUND(H76*100,2) &amp; "% of " &amp; INDEX(FlowCalGasMixture,MATCH(G76,FlowCalNumber,0),1,1)&amp;" on " &amp;INDEX(FlowCalDevice,MATCH(G76,FlowCalNumber,0),1,1),"") &amp; IF(I76&gt;0," || " &amp;ROUND(J76*100,2) &amp; "% of " &amp; INDEX(FlowCalGasMixture,MATCH(I76,FlowCalNumber,0),1,1)&amp;" on " &amp;INDEX(FlowCalDevice,MATCH(I76,FlowCalNumber,0),1,1),"")&amp; IF(K76&gt;0," || " &amp;ROUND(L76*100,2) &amp; "% of " &amp; INDEX(FlowCalGasMixture,MATCH(K76,FlowCalNumber,0),1,1)&amp;" on " &amp;INDEX(FlowCalDevice,MATCH(K76,FlowCalNumber,0),1,1),"")</f>
        <v>1% of 100Eth on MFC-32 || 99% of 100He on MFC-25</v>
      </c>
      <c r="Y76" s="713"/>
      <c r="AC76" s="419"/>
      <c r="AD76" s="419"/>
      <c r="AE76" s="419"/>
    </row>
    <row r="77" spans="1:31">
      <c r="B77" s="1003">
        <v>0.01</v>
      </c>
      <c r="C77" s="1004">
        <v>0.22819999999999999</v>
      </c>
      <c r="D77" s="9" t="s">
        <v>762</v>
      </c>
      <c r="E77" s="377" t="s">
        <v>1114</v>
      </c>
      <c r="F77" s="416">
        <v>0.01</v>
      </c>
      <c r="G77" s="377" t="s">
        <v>692</v>
      </c>
      <c r="H77" s="991">
        <f>1-F77</f>
        <v>0.99</v>
      </c>
      <c r="I77" s="377"/>
      <c r="J77" s="417"/>
      <c r="K77" s="377"/>
      <c r="L77" s="417"/>
      <c r="M77" s="415" t="str">
        <f t="shared" ref="M77:M79" si="15">ROUND(F77*100,2) &amp; "% of " &amp; INDEX(FlowCalGasMixture,MATCH(E77,FlowCalNumber,0),1,1)&amp;" on " &amp;INDEX(FlowCalDevice,MATCH(E77,FlowCalNumber,0),1,1) &amp; IF(G77&gt;0," || " &amp;ROUND(H77*100,2) &amp; "% of " &amp; INDEX(FlowCalGasMixture,MATCH(G77,FlowCalNumber,0),1,1)&amp;" on " &amp;INDEX(FlowCalDevice,MATCH(G77,FlowCalNumber,0),1,1),"") &amp; IF(I77&gt;0," || " &amp;ROUND(J77*100,2) &amp; "% of " &amp; INDEX(FlowCalGasMixture,MATCH(I77,FlowCalNumber,0),1,1)&amp;" on " &amp;INDEX(FlowCalDevice,MATCH(I77,FlowCalNumber,0),1,1),"")&amp; IF(K77&gt;0," || " &amp;ROUND(L77*100,2) &amp; "% of " &amp; INDEX(FlowCalGasMixture,MATCH(K77,FlowCalNumber,0),1,1)&amp;" on " &amp;INDEX(FlowCalDevice,MATCH(K77,FlowCalNumber,0),1,1),"")</f>
        <v>1% of 100Eth on MFC-32 || 99% of 100He on MFC-12</v>
      </c>
      <c r="Y77" s="713"/>
      <c r="AC77" s="419"/>
      <c r="AD77" s="419"/>
      <c r="AE77" s="419"/>
    </row>
    <row r="78" spans="1:31">
      <c r="B78" s="1003">
        <v>0.01</v>
      </c>
      <c r="C78" s="1004">
        <v>0.22819999999999999</v>
      </c>
      <c r="D78" s="995" t="s">
        <v>762</v>
      </c>
      <c r="E78" s="377" t="s">
        <v>1114</v>
      </c>
      <c r="F78" s="416">
        <v>0.01</v>
      </c>
      <c r="G78" s="992" t="s">
        <v>692</v>
      </c>
      <c r="H78" s="993">
        <v>0.49</v>
      </c>
      <c r="I78" s="992" t="s">
        <v>1120</v>
      </c>
      <c r="J78" s="991">
        <f>1-H78-F78</f>
        <v>0.5</v>
      </c>
      <c r="K78" s="377"/>
      <c r="L78" s="417"/>
      <c r="M78" s="415" t="str">
        <f t="shared" si="15"/>
        <v>1% of 100Eth on MFC-32 || 49% of 100He on MFC-12 || 50% of 100He on MFC-13</v>
      </c>
      <c r="Y78" s="713"/>
      <c r="AC78" s="419"/>
      <c r="AD78" s="419"/>
      <c r="AE78" s="419"/>
    </row>
    <row r="79" spans="1:31">
      <c r="B79" s="1003">
        <v>0.01</v>
      </c>
      <c r="C79" s="1004">
        <v>0.22819999999999999</v>
      </c>
      <c r="D79" s="995" t="s">
        <v>762</v>
      </c>
      <c r="E79" s="377" t="s">
        <v>1114</v>
      </c>
      <c r="F79" s="416">
        <v>0.01</v>
      </c>
      <c r="G79" s="992" t="s">
        <v>692</v>
      </c>
      <c r="H79" s="993">
        <v>0.45</v>
      </c>
      <c r="I79" s="992" t="s">
        <v>1120</v>
      </c>
      <c r="J79" s="993">
        <v>0.45</v>
      </c>
      <c r="K79" s="377" t="s">
        <v>693</v>
      </c>
      <c r="L79" s="991">
        <f>1-J79-H79-F79</f>
        <v>9.0000000000000038E-2</v>
      </c>
      <c r="M79" s="415" t="str">
        <f t="shared" si="15"/>
        <v>1% of 100Eth on MFC-32 || 45% of 100He on MFC-12 || 45% of 100He on MFC-13 || 9% of 100He on MFC-22</v>
      </c>
      <c r="Y79" s="713"/>
      <c r="AC79" s="419"/>
      <c r="AD79" s="419"/>
      <c r="AE79" s="419"/>
    </row>
    <row r="80" spans="1:31" s="1006" customFormat="1">
      <c r="A80" s="1006" t="s">
        <v>1135</v>
      </c>
      <c r="B80" s="986"/>
      <c r="C80" s="987"/>
      <c r="D80" s="988"/>
      <c r="E80" s="989"/>
      <c r="F80" s="990"/>
      <c r="G80" s="989"/>
      <c r="H80" s="996"/>
      <c r="I80" s="989"/>
      <c r="J80" s="996"/>
      <c r="K80" s="989"/>
      <c r="L80" s="996"/>
      <c r="M80" s="1000"/>
      <c r="Y80" s="999"/>
      <c r="AB80" s="998"/>
    </row>
    <row r="81" spans="1:25">
      <c r="A81" t="s">
        <v>967</v>
      </c>
      <c r="B81" s="1003">
        <v>1</v>
      </c>
      <c r="C81" s="1004">
        <v>0.97430000000000005</v>
      </c>
      <c r="D81" s="9" t="s">
        <v>762</v>
      </c>
      <c r="E81" s="377" t="s">
        <v>1121</v>
      </c>
      <c r="F81" s="416">
        <v>1</v>
      </c>
      <c r="G81" s="33"/>
      <c r="H81" s="37"/>
      <c r="I81" s="377"/>
      <c r="J81" s="417"/>
      <c r="K81" s="377"/>
      <c r="L81" s="417"/>
      <c r="M81" s="415" t="str">
        <f t="shared" ref="M81:M117" si="16">ROUND(F81*100,2) &amp; "% of " &amp; INDEX(FlowCalGasMixture,MATCH(E81,FlowCalNumber,0),1,1)&amp;" on " &amp;INDEX(FlowCalDevice,MATCH(E81,FlowCalNumber,0),1,1) &amp; IF(G81&gt;0," || " &amp;ROUND(H81*100,2) &amp; "% of " &amp; INDEX(FlowCalGasMixture,MATCH(G81,FlowCalNumber,0),1,1)&amp;" on " &amp;INDEX(FlowCalDevice,MATCH(G81,FlowCalNumber,0),1,1),"") &amp; IF(I81&gt;0," || " &amp;ROUND(J81*100,2) &amp; "% of " &amp; INDEX(FlowCalGasMixture,MATCH(I81,FlowCalNumber,0),1,1)&amp;" on " &amp;INDEX(FlowCalDevice,MATCH(I81,FlowCalNumber,0),1,1),"")&amp; IF(K81&gt;0," || " &amp;ROUND(L81*100,2) &amp; "% of " &amp; INDEX(FlowCalGasMixture,MATCH(K81,FlowCalNumber,0),1,1)&amp;" on " &amp;INDEX(FlowCalDevice,MATCH(K81,FlowCalNumber,0),1,1),"")</f>
        <v>100% of 100Eth on MFC-34</v>
      </c>
      <c r="Y81" s="713"/>
    </row>
    <row r="82" spans="1:25">
      <c r="B82" s="1003">
        <v>0.1</v>
      </c>
      <c r="C82" s="1004">
        <v>0.97430000000000005</v>
      </c>
      <c r="D82" s="9" t="s">
        <v>762</v>
      </c>
      <c r="E82" s="377" t="s">
        <v>1122</v>
      </c>
      <c r="F82" s="416">
        <v>1</v>
      </c>
      <c r="G82" s="377"/>
      <c r="H82" s="417"/>
      <c r="I82" s="377"/>
      <c r="J82" s="417"/>
      <c r="K82" s="377"/>
      <c r="L82" s="417"/>
      <c r="M82" s="415" t="str">
        <f t="shared" si="16"/>
        <v>100% of 10Eth90N2 on MFC-35</v>
      </c>
      <c r="Y82" s="713"/>
    </row>
    <row r="83" spans="1:25">
      <c r="B83" s="1003">
        <v>0.1</v>
      </c>
      <c r="C83" s="1004">
        <v>0.97430000000000005</v>
      </c>
      <c r="D83" s="9" t="s">
        <v>762</v>
      </c>
      <c r="E83" s="377" t="s">
        <v>1121</v>
      </c>
      <c r="F83" s="416">
        <v>0.1</v>
      </c>
      <c r="G83" s="1305" t="s">
        <v>1501</v>
      </c>
      <c r="H83" s="991">
        <f>1-F83</f>
        <v>0.9</v>
      </c>
      <c r="I83" s="377"/>
      <c r="J83" s="417"/>
      <c r="K83" s="377"/>
      <c r="L83" s="417"/>
      <c r="M83" s="415" t="str">
        <f t="shared" si="16"/>
        <v>10% of 100Eth on MFC-34 || 90% of 100N2 on MFC-26</v>
      </c>
    </row>
    <row r="84" spans="1:25">
      <c r="B84" s="1003">
        <v>0.1</v>
      </c>
      <c r="C84" s="1004">
        <v>0.97430000000000005</v>
      </c>
      <c r="D84" s="9" t="s">
        <v>762</v>
      </c>
      <c r="E84" s="377" t="s">
        <v>1121</v>
      </c>
      <c r="F84" s="416">
        <v>0.1</v>
      </c>
      <c r="G84" s="377" t="s">
        <v>1128</v>
      </c>
      <c r="H84" s="991">
        <f>1-F84</f>
        <v>0.9</v>
      </c>
      <c r="I84" s="377"/>
      <c r="J84" s="417"/>
      <c r="K84" s="377"/>
      <c r="L84" s="417"/>
      <c r="M84" s="415" t="str">
        <f t="shared" si="16"/>
        <v>10% of 100Eth on MFC-34 || 90% of 100N2 on MFC-16</v>
      </c>
    </row>
    <row r="85" spans="1:25">
      <c r="B85" s="1003">
        <v>0.1</v>
      </c>
      <c r="C85" s="1004">
        <v>0.97430000000000005</v>
      </c>
      <c r="D85" s="9" t="s">
        <v>762</v>
      </c>
      <c r="E85" s="377" t="s">
        <v>1125</v>
      </c>
      <c r="F85" s="416">
        <v>0.1</v>
      </c>
      <c r="G85" s="1305" t="s">
        <v>1501</v>
      </c>
      <c r="H85" s="991">
        <f>1-F85</f>
        <v>0.9</v>
      </c>
      <c r="I85" s="377"/>
      <c r="J85" s="416"/>
      <c r="K85" s="377"/>
      <c r="L85" s="417"/>
      <c r="M85" s="415" t="str">
        <f t="shared" si="16"/>
        <v>10% of 100Eth on MFC-23 || 90% of 100N2 on MFC-26</v>
      </c>
    </row>
    <row r="86" spans="1:25">
      <c r="B86" s="1002">
        <v>0.1</v>
      </c>
      <c r="C86" s="994">
        <v>0.97430000000000005</v>
      </c>
      <c r="D86" s="995" t="s">
        <v>762</v>
      </c>
      <c r="E86" s="377" t="s">
        <v>1125</v>
      </c>
      <c r="F86" s="416">
        <v>0.1</v>
      </c>
      <c r="G86" s="377" t="s">
        <v>1128</v>
      </c>
      <c r="H86" s="991">
        <f>1-F86</f>
        <v>0.9</v>
      </c>
      <c r="I86" s="377"/>
      <c r="J86" s="416"/>
      <c r="K86" s="377"/>
      <c r="L86" s="417"/>
      <c r="M86" s="415" t="str">
        <f t="shared" si="16"/>
        <v>10% of 100Eth on MFC-23 || 90% of 100N2 on MFC-16</v>
      </c>
    </row>
    <row r="87" spans="1:25">
      <c r="B87" s="1002">
        <v>0.1</v>
      </c>
      <c r="C87" s="994">
        <v>0.97430000000000005</v>
      </c>
      <c r="D87" s="995" t="s">
        <v>762</v>
      </c>
      <c r="E87" s="992" t="s">
        <v>1125</v>
      </c>
      <c r="F87" s="993">
        <v>0.1</v>
      </c>
      <c r="G87" s="992" t="s">
        <v>1128</v>
      </c>
      <c r="H87" s="993">
        <v>0.45</v>
      </c>
      <c r="I87" s="992" t="s">
        <v>1131</v>
      </c>
      <c r="J87" s="991">
        <f>1-H87-F87</f>
        <v>0.45000000000000007</v>
      </c>
      <c r="K87" s="377"/>
      <c r="L87" s="417"/>
      <c r="M87" s="415" t="str">
        <f t="shared" si="16"/>
        <v>10% of 100Eth on MFC-23 || 45% of 100N2 on MFC-16 || 45% of 100N2 on MFC-17</v>
      </c>
    </row>
    <row r="88" spans="1:25">
      <c r="B88" s="1002">
        <v>0.1</v>
      </c>
      <c r="C88" s="994">
        <v>0.97430000000000005</v>
      </c>
      <c r="D88" s="995" t="s">
        <v>762</v>
      </c>
      <c r="E88" s="992" t="s">
        <v>1125</v>
      </c>
      <c r="F88" s="993">
        <v>0.1</v>
      </c>
      <c r="G88" s="992" t="s">
        <v>1128</v>
      </c>
      <c r="H88" s="993">
        <v>0.4</v>
      </c>
      <c r="I88" s="992" t="s">
        <v>1131</v>
      </c>
      <c r="J88" s="993">
        <v>0.4</v>
      </c>
      <c r="K88" s="377" t="s">
        <v>1130</v>
      </c>
      <c r="L88" s="991">
        <f>1-J88-H88-F88</f>
        <v>9.999999999999995E-2</v>
      </c>
      <c r="M88" s="415" t="str">
        <f t="shared" si="16"/>
        <v>10% of 100Eth on MFC-23 || 40% of 100N2 on MFC-16 || 40% of 100N2 on MFC-17 || 10% of 100N2 on MFC-25</v>
      </c>
    </row>
    <row r="89" spans="1:25">
      <c r="B89" s="1003">
        <v>0.05</v>
      </c>
      <c r="C89" s="1004">
        <v>0.97430000000000005</v>
      </c>
      <c r="D89" s="9" t="s">
        <v>762</v>
      </c>
      <c r="E89" s="377" t="s">
        <v>1124</v>
      </c>
      <c r="F89" s="416">
        <v>0.05</v>
      </c>
      <c r="G89" s="1305" t="s">
        <v>1501</v>
      </c>
      <c r="H89" s="991">
        <f>1-F89</f>
        <v>0.95</v>
      </c>
      <c r="I89" s="377"/>
      <c r="J89" s="417"/>
      <c r="K89" s="377"/>
      <c r="L89" s="417"/>
      <c r="M89" s="415" t="str">
        <f t="shared" si="16"/>
        <v>5% of 100Eth on MFC-35 || 95% of 100N2 on MFC-26</v>
      </c>
    </row>
    <row r="90" spans="1:25">
      <c r="B90" s="1003">
        <v>0.05</v>
      </c>
      <c r="C90" s="1004">
        <v>0.97430000000000005</v>
      </c>
      <c r="D90" s="9" t="s">
        <v>762</v>
      </c>
      <c r="E90" s="377" t="s">
        <v>1124</v>
      </c>
      <c r="F90" s="416">
        <v>0.05</v>
      </c>
      <c r="G90" s="377" t="s">
        <v>1128</v>
      </c>
      <c r="H90" s="991">
        <f>1-F90</f>
        <v>0.95</v>
      </c>
      <c r="I90" s="377"/>
      <c r="J90" s="417"/>
      <c r="K90" s="377"/>
      <c r="L90" s="417"/>
      <c r="M90" s="415" t="str">
        <f t="shared" si="16"/>
        <v>5% of 100Eth on MFC-35 || 95% of 100N2 on MFC-16</v>
      </c>
    </row>
    <row r="91" spans="1:25">
      <c r="B91" s="1003">
        <v>0.05</v>
      </c>
      <c r="C91" s="1004">
        <v>0.97430000000000005</v>
      </c>
      <c r="D91" s="9" t="s">
        <v>762</v>
      </c>
      <c r="E91" s="377" t="s">
        <v>1125</v>
      </c>
      <c r="F91" s="416">
        <v>0.05</v>
      </c>
      <c r="G91" s="1305" t="s">
        <v>1501</v>
      </c>
      <c r="H91" s="991">
        <f>1-F91</f>
        <v>0.95</v>
      </c>
      <c r="I91" s="377"/>
      <c r="J91" s="416"/>
      <c r="K91" s="377"/>
      <c r="L91" s="417"/>
      <c r="M91" s="415" t="str">
        <f t="shared" si="16"/>
        <v>5% of 100Eth on MFC-23 || 95% of 100N2 on MFC-26</v>
      </c>
    </row>
    <row r="92" spans="1:25">
      <c r="B92" s="1003">
        <v>0.05</v>
      </c>
      <c r="C92" s="994">
        <v>0.97430000000000005</v>
      </c>
      <c r="D92" s="995" t="s">
        <v>762</v>
      </c>
      <c r="E92" s="377" t="s">
        <v>1125</v>
      </c>
      <c r="F92" s="416">
        <v>0.05</v>
      </c>
      <c r="G92" s="377" t="s">
        <v>1128</v>
      </c>
      <c r="H92" s="991">
        <f>1-F92</f>
        <v>0.95</v>
      </c>
      <c r="I92" s="377"/>
      <c r="J92" s="416"/>
      <c r="K92" s="377"/>
      <c r="L92" s="417"/>
      <c r="M92" s="415" t="str">
        <f t="shared" si="16"/>
        <v>5% of 100Eth on MFC-23 || 95% of 100N2 on MFC-16</v>
      </c>
    </row>
    <row r="93" spans="1:25">
      <c r="B93" s="1003">
        <v>0.05</v>
      </c>
      <c r="C93" s="994">
        <v>0.97430000000000005</v>
      </c>
      <c r="D93" s="995" t="s">
        <v>762</v>
      </c>
      <c r="E93" s="992" t="s">
        <v>1125</v>
      </c>
      <c r="F93" s="416">
        <v>0.05</v>
      </c>
      <c r="G93" s="992" t="s">
        <v>1128</v>
      </c>
      <c r="H93" s="993">
        <v>0.47</v>
      </c>
      <c r="I93" s="992" t="s">
        <v>1131</v>
      </c>
      <c r="J93" s="991">
        <f>1-H93-F93</f>
        <v>0.48000000000000004</v>
      </c>
      <c r="K93" s="377"/>
      <c r="L93" s="417"/>
      <c r="M93" s="415" t="str">
        <f t="shared" si="16"/>
        <v>5% of 100Eth on MFC-23 || 47% of 100N2 on MFC-16 || 48% of 100N2 on MFC-17</v>
      </c>
    </row>
    <row r="94" spans="1:25">
      <c r="B94" s="1003">
        <v>0.05</v>
      </c>
      <c r="C94" s="994">
        <v>0.97430000000000005</v>
      </c>
      <c r="D94" s="995" t="s">
        <v>762</v>
      </c>
      <c r="E94" s="992" t="s">
        <v>1125</v>
      </c>
      <c r="F94" s="416">
        <v>0.05</v>
      </c>
      <c r="G94" s="992" t="s">
        <v>1128</v>
      </c>
      <c r="H94" s="993">
        <v>0.4</v>
      </c>
      <c r="I94" s="992" t="s">
        <v>1131</v>
      </c>
      <c r="J94" s="993">
        <v>0.4</v>
      </c>
      <c r="K94" s="377" t="s">
        <v>1130</v>
      </c>
      <c r="L94" s="991">
        <f>1-J94-H94-F94</f>
        <v>0.14999999999999997</v>
      </c>
      <c r="M94" s="415" t="str">
        <f t="shared" si="16"/>
        <v>5% of 100Eth on MFC-23 || 40% of 100N2 on MFC-16 || 40% of 100N2 on MFC-17 || 15% of 100N2 on MFC-25</v>
      </c>
    </row>
    <row r="95" spans="1:25">
      <c r="B95" s="1003">
        <v>0.01</v>
      </c>
      <c r="C95" s="1004">
        <v>0.97430000000000005</v>
      </c>
      <c r="D95" s="9" t="s">
        <v>762</v>
      </c>
      <c r="E95" s="377" t="s">
        <v>1122</v>
      </c>
      <c r="F95" s="416">
        <v>0.1</v>
      </c>
      <c r="G95" s="1305" t="s">
        <v>1501</v>
      </c>
      <c r="H95" s="991">
        <f>1-F95</f>
        <v>0.9</v>
      </c>
      <c r="I95" s="377"/>
      <c r="J95" s="417"/>
      <c r="K95" s="377"/>
      <c r="L95" s="417"/>
      <c r="M95" s="415" t="str">
        <f t="shared" si="16"/>
        <v>10% of 10Eth90N2 on MFC-35 || 90% of 100N2 on MFC-26</v>
      </c>
    </row>
    <row r="96" spans="1:25">
      <c r="B96" s="1003">
        <v>0.01</v>
      </c>
      <c r="C96" s="1004">
        <v>0.97430000000000005</v>
      </c>
      <c r="D96" s="9" t="s">
        <v>762</v>
      </c>
      <c r="E96" s="377" t="s">
        <v>1121</v>
      </c>
      <c r="F96" s="416">
        <v>0.01</v>
      </c>
      <c r="G96" s="1305" t="s">
        <v>1501</v>
      </c>
      <c r="H96" s="991">
        <f>1-F96</f>
        <v>0.99</v>
      </c>
      <c r="I96" s="377"/>
      <c r="J96" s="417"/>
      <c r="K96" s="377"/>
      <c r="L96" s="417"/>
      <c r="M96" s="415" t="str">
        <f t="shared" si="16"/>
        <v>1% of 100Eth on MFC-34 || 99% of 100N2 on MFC-26</v>
      </c>
    </row>
    <row r="97" spans="1:28">
      <c r="B97" s="1003">
        <v>0.01</v>
      </c>
      <c r="C97" s="1004">
        <v>0.97430000000000005</v>
      </c>
      <c r="D97" s="9" t="s">
        <v>762</v>
      </c>
      <c r="E97" s="377" t="s">
        <v>1121</v>
      </c>
      <c r="F97" s="416">
        <v>0.01</v>
      </c>
      <c r="G97" s="377" t="s">
        <v>1128</v>
      </c>
      <c r="H97" s="991">
        <f>1-F97</f>
        <v>0.99</v>
      </c>
      <c r="I97" s="377"/>
      <c r="J97" s="417"/>
      <c r="K97" s="377"/>
      <c r="L97" s="417"/>
      <c r="M97" s="415" t="str">
        <f t="shared" si="16"/>
        <v>1% of 100Eth on MFC-34 || 99% of 100N2 on MFC-16</v>
      </c>
    </row>
    <row r="98" spans="1:28">
      <c r="B98" s="1003">
        <v>0.01</v>
      </c>
      <c r="C98" s="994">
        <v>0.97430000000000005</v>
      </c>
      <c r="D98" s="995" t="s">
        <v>762</v>
      </c>
      <c r="E98" s="377" t="s">
        <v>1121</v>
      </c>
      <c r="F98" s="416">
        <v>0.01</v>
      </c>
      <c r="G98" s="992" t="s">
        <v>1128</v>
      </c>
      <c r="H98" s="993">
        <v>0.49</v>
      </c>
      <c r="I98" s="992" t="s">
        <v>1131</v>
      </c>
      <c r="J98" s="991">
        <f>1-H98-F98</f>
        <v>0.5</v>
      </c>
      <c r="K98" s="377"/>
      <c r="L98" s="417"/>
      <c r="M98" s="415" t="str">
        <f t="shared" si="16"/>
        <v>1% of 100Eth on MFC-34 || 49% of 100N2 on MFC-16 || 50% of 100N2 on MFC-17</v>
      </c>
    </row>
    <row r="99" spans="1:28">
      <c r="B99" s="1003">
        <v>0.01</v>
      </c>
      <c r="C99" s="994">
        <v>0.97430000000000005</v>
      </c>
      <c r="D99" s="995" t="s">
        <v>762</v>
      </c>
      <c r="E99" s="377" t="s">
        <v>1121</v>
      </c>
      <c r="F99" s="416">
        <v>0.01</v>
      </c>
      <c r="G99" s="992" t="s">
        <v>1128</v>
      </c>
      <c r="H99" s="993">
        <v>0.45</v>
      </c>
      <c r="I99" s="992" t="s">
        <v>1131</v>
      </c>
      <c r="J99" s="993">
        <v>0.45</v>
      </c>
      <c r="K99" s="377" t="s">
        <v>1130</v>
      </c>
      <c r="L99" s="991">
        <f>1-J99-H99-F99</f>
        <v>9.0000000000000038E-2</v>
      </c>
      <c r="M99" s="415" t="str">
        <f t="shared" si="16"/>
        <v>1% of 100Eth on MFC-34 || 45% of 100N2 on MFC-16 || 45% of 100N2 on MFC-17 || 9% of 100N2 on MFC-25</v>
      </c>
    </row>
    <row r="100" spans="1:28" s="1006" customFormat="1">
      <c r="A100" s="1006" t="s">
        <v>1136</v>
      </c>
      <c r="B100" s="986"/>
      <c r="C100" s="987"/>
      <c r="D100" s="988"/>
      <c r="E100" s="989"/>
      <c r="F100" s="990"/>
      <c r="G100" s="989"/>
      <c r="H100" s="996"/>
      <c r="I100" s="989"/>
      <c r="J100" s="996"/>
      <c r="K100" s="989"/>
      <c r="L100" s="996"/>
      <c r="M100" s="1000"/>
      <c r="Y100" s="999"/>
      <c r="AB100" s="998"/>
    </row>
    <row r="101" spans="1:28">
      <c r="B101" s="1003"/>
      <c r="C101" s="1004"/>
      <c r="D101" s="9"/>
      <c r="E101" s="377"/>
      <c r="F101" s="416"/>
      <c r="G101" s="377"/>
      <c r="H101" s="991"/>
      <c r="I101" s="377"/>
      <c r="J101" s="417"/>
      <c r="K101" s="377"/>
      <c r="L101" s="417"/>
      <c r="M101" s="415"/>
    </row>
    <row r="102" spans="1:28">
      <c r="B102" s="1003"/>
      <c r="C102" s="1004"/>
      <c r="D102" s="9"/>
      <c r="E102" s="377"/>
      <c r="F102" s="416"/>
      <c r="G102" s="377"/>
      <c r="H102" s="991"/>
      <c r="I102" s="377"/>
      <c r="J102" s="417"/>
      <c r="K102" s="377"/>
      <c r="L102" s="417"/>
      <c r="M102" s="415"/>
    </row>
    <row r="103" spans="1:28">
      <c r="B103" s="1003"/>
      <c r="C103" s="1004"/>
      <c r="D103" s="9"/>
      <c r="E103" s="377"/>
      <c r="F103" s="416"/>
      <c r="G103" s="377"/>
      <c r="H103" s="991"/>
      <c r="I103" s="377"/>
      <c r="J103" s="417"/>
      <c r="K103" s="377"/>
      <c r="L103" s="417"/>
      <c r="M103" s="415"/>
    </row>
    <row r="104" spans="1:28">
      <c r="B104" s="1003"/>
      <c r="C104" s="1004"/>
      <c r="D104" s="9"/>
      <c r="E104" s="377"/>
      <c r="F104" s="416"/>
      <c r="G104" s="377"/>
      <c r="H104" s="991"/>
      <c r="I104" s="377"/>
      <c r="J104" s="417"/>
      <c r="K104" s="377"/>
      <c r="L104" s="417"/>
      <c r="M104" s="415"/>
    </row>
    <row r="105" spans="1:28">
      <c r="B105" s="1003">
        <v>0.1</v>
      </c>
      <c r="C105" s="1004">
        <v>0.22819999999999999</v>
      </c>
      <c r="D105" s="9" t="s">
        <v>762</v>
      </c>
      <c r="E105" s="377" t="s">
        <v>1121</v>
      </c>
      <c r="F105" s="416">
        <v>0.1</v>
      </c>
      <c r="G105" s="377" t="s">
        <v>1129</v>
      </c>
      <c r="H105" s="991">
        <f>1-F105</f>
        <v>0.9</v>
      </c>
      <c r="I105" s="377"/>
      <c r="J105" s="417"/>
      <c r="K105" s="377"/>
      <c r="L105" s="417"/>
      <c r="M105" s="415" t="e">
        <f t="shared" si="16"/>
        <v>#N/A</v>
      </c>
    </row>
    <row r="106" spans="1:28">
      <c r="B106" s="1003">
        <v>0.1</v>
      </c>
      <c r="C106" s="1004">
        <v>0.22819999999999999</v>
      </c>
      <c r="D106" s="9" t="s">
        <v>762</v>
      </c>
      <c r="E106" s="377" t="s">
        <v>1125</v>
      </c>
      <c r="F106" s="416">
        <v>0.1</v>
      </c>
      <c r="G106" s="377" t="s">
        <v>1129</v>
      </c>
      <c r="H106" s="991">
        <f>1-F106</f>
        <v>0.9</v>
      </c>
      <c r="I106" s="377"/>
      <c r="J106" s="417"/>
      <c r="K106" s="377"/>
      <c r="L106" s="417"/>
      <c r="M106" s="415" t="e">
        <f t="shared" si="16"/>
        <v>#N/A</v>
      </c>
    </row>
    <row r="107" spans="1:28">
      <c r="B107" s="1003">
        <v>0.1</v>
      </c>
      <c r="C107" s="1004">
        <v>0.22819999999999999</v>
      </c>
      <c r="D107" s="9" t="s">
        <v>762</v>
      </c>
      <c r="E107" s="992" t="s">
        <v>1125</v>
      </c>
      <c r="F107" s="416">
        <v>0.1</v>
      </c>
      <c r="G107" s="377" t="s">
        <v>1129</v>
      </c>
      <c r="H107" s="416">
        <v>0.45</v>
      </c>
      <c r="I107" s="377" t="s">
        <v>1132</v>
      </c>
      <c r="J107" s="991">
        <f>1-H107-F107</f>
        <v>0.45000000000000007</v>
      </c>
      <c r="K107" s="377"/>
      <c r="L107" s="417"/>
      <c r="M107" s="415" t="e">
        <f t="shared" si="16"/>
        <v>#N/A</v>
      </c>
    </row>
    <row r="108" spans="1:28">
      <c r="B108" s="1003">
        <v>0.1</v>
      </c>
      <c r="C108" s="1004">
        <v>0.22819999999999999</v>
      </c>
      <c r="D108" s="9" t="s">
        <v>762</v>
      </c>
      <c r="E108" s="992" t="s">
        <v>1125</v>
      </c>
      <c r="F108" s="416">
        <v>0.1</v>
      </c>
      <c r="G108" s="377" t="s">
        <v>1129</v>
      </c>
      <c r="H108" s="416">
        <v>0.4</v>
      </c>
      <c r="I108" s="377" t="s">
        <v>1132</v>
      </c>
      <c r="J108" s="416">
        <v>0.4</v>
      </c>
      <c r="K108" s="377" t="s">
        <v>1127</v>
      </c>
      <c r="L108" s="991">
        <f>1-J108-H108-F108</f>
        <v>9.999999999999995E-2</v>
      </c>
      <c r="M108" s="415" t="e">
        <f t="shared" si="16"/>
        <v>#N/A</v>
      </c>
    </row>
    <row r="109" spans="1:28">
      <c r="B109" s="1003">
        <v>0.05</v>
      </c>
      <c r="C109" s="1004">
        <v>0.22819999999999999</v>
      </c>
      <c r="D109" s="9" t="s">
        <v>762</v>
      </c>
      <c r="E109" s="377" t="s">
        <v>1124</v>
      </c>
      <c r="F109" s="416">
        <v>0.05</v>
      </c>
      <c r="G109" s="377" t="s">
        <v>1129</v>
      </c>
      <c r="H109" s="991">
        <f>1-F109</f>
        <v>0.95</v>
      </c>
      <c r="I109" s="377"/>
      <c r="J109" s="417"/>
      <c r="K109" s="377"/>
      <c r="L109" s="417"/>
      <c r="M109" s="415" t="e">
        <f t="shared" si="16"/>
        <v>#N/A</v>
      </c>
    </row>
    <row r="110" spans="1:28">
      <c r="B110" s="1003">
        <v>0.05</v>
      </c>
      <c r="C110" s="1004">
        <v>0.22819999999999999</v>
      </c>
      <c r="D110" s="9" t="s">
        <v>762</v>
      </c>
      <c r="E110" s="377" t="s">
        <v>1125</v>
      </c>
      <c r="F110" s="416">
        <v>0.05</v>
      </c>
      <c r="G110" s="377" t="s">
        <v>1129</v>
      </c>
      <c r="H110" s="991">
        <f>1-F110</f>
        <v>0.95</v>
      </c>
      <c r="I110" s="377"/>
      <c r="J110" s="417"/>
      <c r="K110" s="377"/>
      <c r="L110" s="417"/>
      <c r="M110" s="415" t="e">
        <f t="shared" si="16"/>
        <v>#N/A</v>
      </c>
    </row>
    <row r="111" spans="1:28">
      <c r="B111" s="1003">
        <v>0.05</v>
      </c>
      <c r="C111" s="1004">
        <v>0.22819999999999999</v>
      </c>
      <c r="D111" s="9" t="s">
        <v>762</v>
      </c>
      <c r="E111" s="992" t="s">
        <v>1125</v>
      </c>
      <c r="F111" s="416">
        <v>0.05</v>
      </c>
      <c r="G111" s="377" t="s">
        <v>1129</v>
      </c>
      <c r="H111" s="416">
        <v>0.45</v>
      </c>
      <c r="I111" s="377" t="s">
        <v>1132</v>
      </c>
      <c r="J111" s="991">
        <f>1-H111-F111</f>
        <v>0.5</v>
      </c>
      <c r="K111" s="377"/>
      <c r="L111" s="417"/>
      <c r="M111" s="415" t="e">
        <f t="shared" si="16"/>
        <v>#N/A</v>
      </c>
    </row>
    <row r="112" spans="1:28">
      <c r="B112" s="1003">
        <v>0.05</v>
      </c>
      <c r="C112" s="1004">
        <v>0.22819999999999999</v>
      </c>
      <c r="D112" s="9" t="s">
        <v>762</v>
      </c>
      <c r="E112" s="992" t="s">
        <v>1125</v>
      </c>
      <c r="F112" s="416">
        <v>0.05</v>
      </c>
      <c r="G112" s="377" t="s">
        <v>1129</v>
      </c>
      <c r="H112" s="416">
        <v>0.4</v>
      </c>
      <c r="I112" s="377" t="s">
        <v>1132</v>
      </c>
      <c r="J112" s="416">
        <v>0.4</v>
      </c>
      <c r="K112" s="377" t="s">
        <v>1127</v>
      </c>
      <c r="L112" s="991">
        <f>1-J112-H112-F112</f>
        <v>0.14999999999999997</v>
      </c>
      <c r="M112" s="415" t="e">
        <f t="shared" si="16"/>
        <v>#N/A</v>
      </c>
    </row>
    <row r="113" spans="1:13">
      <c r="B113" s="1003">
        <v>0.01</v>
      </c>
      <c r="C113" s="1004">
        <v>0.22819999999999999</v>
      </c>
      <c r="D113" s="995" t="s">
        <v>762</v>
      </c>
      <c r="E113" s="377" t="s">
        <v>1126</v>
      </c>
      <c r="F113" s="416">
        <v>0.1</v>
      </c>
      <c r="G113" s="992" t="s">
        <v>1129</v>
      </c>
      <c r="H113" s="993">
        <v>0.49</v>
      </c>
      <c r="I113" s="992" t="s">
        <v>1132</v>
      </c>
      <c r="J113" s="991">
        <f>1-H113-F113</f>
        <v>0.41000000000000003</v>
      </c>
      <c r="K113" s="377"/>
      <c r="L113" s="417"/>
      <c r="M113" s="415" t="e">
        <f t="shared" si="16"/>
        <v>#N/A</v>
      </c>
    </row>
    <row r="114" spans="1:13">
      <c r="B114" s="1003">
        <v>0.01</v>
      </c>
      <c r="C114" s="1004">
        <v>0.22819999999999999</v>
      </c>
      <c r="D114" s="995" t="s">
        <v>762</v>
      </c>
      <c r="E114" s="377" t="s">
        <v>1126</v>
      </c>
      <c r="F114" s="416">
        <v>0.1</v>
      </c>
      <c r="G114" s="992" t="s">
        <v>1129</v>
      </c>
      <c r="H114" s="993">
        <v>0.4</v>
      </c>
      <c r="I114" s="992" t="s">
        <v>1132</v>
      </c>
      <c r="J114" s="993">
        <v>0.4</v>
      </c>
      <c r="K114" s="377" t="s">
        <v>1127</v>
      </c>
      <c r="L114" s="991">
        <f>1-J114-H114-F114</f>
        <v>9.999999999999995E-2</v>
      </c>
      <c r="M114" s="415" t="e">
        <f t="shared" si="16"/>
        <v>#N/A</v>
      </c>
    </row>
    <row r="115" spans="1:13">
      <c r="B115" s="1003">
        <v>0.01</v>
      </c>
      <c r="C115" s="1004">
        <v>0.22819999999999999</v>
      </c>
      <c r="D115" s="9" t="s">
        <v>762</v>
      </c>
      <c r="E115" s="377" t="s">
        <v>1121</v>
      </c>
      <c r="F115" s="416">
        <v>0.01</v>
      </c>
      <c r="G115" s="377" t="s">
        <v>1129</v>
      </c>
      <c r="H115" s="991">
        <f>1-F115</f>
        <v>0.99</v>
      </c>
      <c r="I115" s="377"/>
      <c r="J115" s="417"/>
      <c r="K115" s="377"/>
      <c r="L115" s="417"/>
      <c r="M115" s="415" t="e">
        <f t="shared" si="16"/>
        <v>#N/A</v>
      </c>
    </row>
    <row r="116" spans="1:13">
      <c r="B116" s="1003">
        <v>0.01</v>
      </c>
      <c r="C116" s="1004">
        <v>0.22819999999999999</v>
      </c>
      <c r="D116" s="995" t="s">
        <v>762</v>
      </c>
      <c r="E116" s="377" t="s">
        <v>1121</v>
      </c>
      <c r="F116" s="416">
        <v>0.01</v>
      </c>
      <c r="G116" s="992" t="s">
        <v>1129</v>
      </c>
      <c r="H116" s="993">
        <v>0.49</v>
      </c>
      <c r="I116" s="992" t="s">
        <v>1132</v>
      </c>
      <c r="J116" s="991">
        <f>1-H116-F116</f>
        <v>0.5</v>
      </c>
      <c r="K116" s="377"/>
      <c r="L116" s="417"/>
      <c r="M116" s="415" t="e">
        <f t="shared" si="16"/>
        <v>#N/A</v>
      </c>
    </row>
    <row r="117" spans="1:13">
      <c r="B117" s="1003">
        <v>0.01</v>
      </c>
      <c r="C117" s="1004">
        <v>0.22819999999999999</v>
      </c>
      <c r="D117" s="995" t="s">
        <v>762</v>
      </c>
      <c r="E117" s="377" t="s">
        <v>1121</v>
      </c>
      <c r="F117" s="416">
        <v>0.01</v>
      </c>
      <c r="G117" s="992" t="s">
        <v>1129</v>
      </c>
      <c r="H117" s="993">
        <v>0.45</v>
      </c>
      <c r="I117" s="992" t="s">
        <v>1132</v>
      </c>
      <c r="J117" s="993">
        <v>0.45</v>
      </c>
      <c r="K117" s="377" t="s">
        <v>1127</v>
      </c>
      <c r="L117" s="991">
        <f>1-J117-H117-F117</f>
        <v>9.0000000000000038E-2</v>
      </c>
      <c r="M117" s="415" t="e">
        <f t="shared" si="16"/>
        <v>#N/A</v>
      </c>
    </row>
    <row r="118" spans="1:13">
      <c r="B118" s="1003">
        <v>0.1</v>
      </c>
      <c r="C118" s="1004">
        <v>0.22819999999999999</v>
      </c>
      <c r="D118" s="9" t="s">
        <v>762</v>
      </c>
      <c r="E118" s="377" t="s">
        <v>1121</v>
      </c>
      <c r="F118" s="416">
        <v>0.1</v>
      </c>
      <c r="G118" s="377" t="s">
        <v>1231</v>
      </c>
      <c r="H118" s="991">
        <f t="shared" ref="H118:H124" si="17">1-F118</f>
        <v>0.9</v>
      </c>
      <c r="I118" s="377"/>
      <c r="J118" s="417"/>
      <c r="K118" s="377"/>
      <c r="L118" s="417"/>
      <c r="M118" s="415" t="str">
        <f t="shared" ref="M118:M124" si="18">ROUND(F118*100,2) &amp; "% of " &amp; INDEX(FlowCalGasMixture,MATCH(E118,FlowCalNumber,0),1,1)&amp;" on " &amp;INDEX(FlowCalDevice,MATCH(E118,FlowCalNumber,0),1,1) &amp; IF(G118&gt;0," || " &amp;ROUND(H118*100,2) &amp; "% of " &amp; INDEX(FlowCalGasMixture,MATCH(G118,FlowCalNumber,0),1,1)&amp;" on " &amp;INDEX(FlowCalDevice,MATCH(G118,FlowCalNumber,0),1,1),"") &amp; IF(I118&gt;0," || " &amp;ROUND(J118*100,2) &amp; "% of " &amp; INDEX(FlowCalGasMixture,MATCH(I118,FlowCalNumber,0),1,1)&amp;" on " &amp;INDEX(FlowCalDevice,MATCH(I118,FlowCalNumber,0),1,1),"")&amp; IF(K118&gt;0," || " &amp;ROUND(L118*100,2) &amp; "% of " &amp; INDEX(FlowCalGasMixture,MATCH(K118,FlowCalNumber,0),1,1)&amp;" on " &amp;INDEX(FlowCalDevice,MATCH(K118,FlowCalNumber,0),1,1),"")</f>
        <v>10% of 100Eth on MFC-34 || 90% of 100He on MFC-24</v>
      </c>
    </row>
    <row r="119" spans="1:13">
      <c r="B119" s="1003">
        <v>0.1</v>
      </c>
      <c r="C119" s="1004">
        <v>0.22819999999999999</v>
      </c>
      <c r="D119" s="9" t="s">
        <v>762</v>
      </c>
      <c r="E119" s="377" t="s">
        <v>1125</v>
      </c>
      <c r="F119" s="416">
        <v>0.1</v>
      </c>
      <c r="G119" s="377" t="s">
        <v>1231</v>
      </c>
      <c r="H119" s="991">
        <f t="shared" si="17"/>
        <v>0.9</v>
      </c>
      <c r="I119" s="377"/>
      <c r="J119" s="417"/>
      <c r="K119" s="377"/>
      <c r="L119" s="417"/>
      <c r="M119" s="415" t="str">
        <f t="shared" si="18"/>
        <v>10% of 100Eth on MFC-23 || 90% of 100He on MFC-24</v>
      </c>
    </row>
    <row r="120" spans="1:13">
      <c r="B120" s="1003">
        <v>0.05</v>
      </c>
      <c r="C120" s="1004">
        <v>0.22819999999999999</v>
      </c>
      <c r="D120" s="9" t="s">
        <v>762</v>
      </c>
      <c r="E120" s="377" t="s">
        <v>1121</v>
      </c>
      <c r="F120" s="416">
        <v>0.05</v>
      </c>
      <c r="G120" s="377" t="s">
        <v>1231</v>
      </c>
      <c r="H120" s="991">
        <f t="shared" si="17"/>
        <v>0.95</v>
      </c>
      <c r="I120" s="377"/>
      <c r="J120" s="417"/>
      <c r="K120" s="377"/>
      <c r="L120" s="417"/>
      <c r="M120" s="415" t="str">
        <f t="shared" si="18"/>
        <v>5% of 100Eth on MFC-34 || 95% of 100He on MFC-24</v>
      </c>
    </row>
    <row r="121" spans="1:13">
      <c r="B121" s="1003">
        <v>0.05</v>
      </c>
      <c r="C121" s="1004">
        <v>0.22819999999999999</v>
      </c>
      <c r="D121" s="9" t="s">
        <v>762</v>
      </c>
      <c r="E121" s="377" t="s">
        <v>1125</v>
      </c>
      <c r="F121" s="416">
        <v>0.05</v>
      </c>
      <c r="G121" s="377" t="s">
        <v>1231</v>
      </c>
      <c r="H121" s="991">
        <f t="shared" si="17"/>
        <v>0.95</v>
      </c>
      <c r="I121" s="377"/>
      <c r="J121" s="417"/>
      <c r="K121" s="377"/>
      <c r="L121" s="417"/>
      <c r="M121" s="415" t="str">
        <f t="shared" si="18"/>
        <v>5% of 100Eth on MFC-23 || 95% of 100He on MFC-24</v>
      </c>
    </row>
    <row r="122" spans="1:13">
      <c r="B122" s="1003">
        <v>0.01</v>
      </c>
      <c r="C122" s="1004">
        <v>0.22819999999999999</v>
      </c>
      <c r="D122" s="9" t="s">
        <v>762</v>
      </c>
      <c r="E122" s="377" t="s">
        <v>1123</v>
      </c>
      <c r="F122" s="416">
        <v>0.1</v>
      </c>
      <c r="G122" s="377" t="s">
        <v>1231</v>
      </c>
      <c r="H122" s="991">
        <f t="shared" si="17"/>
        <v>0.9</v>
      </c>
      <c r="I122" s="377"/>
      <c r="J122" s="417"/>
      <c r="K122" s="377"/>
      <c r="L122" s="417"/>
      <c r="M122" s="415" t="str">
        <f t="shared" si="18"/>
        <v>10% of 10Eth90He on MFC-35 || 90% of 100He on MFC-24</v>
      </c>
    </row>
    <row r="123" spans="1:13">
      <c r="B123" s="1003">
        <v>0.01</v>
      </c>
      <c r="C123" s="1004">
        <v>0.22819999999999999</v>
      </c>
      <c r="D123" s="9" t="s">
        <v>762</v>
      </c>
      <c r="E123" s="1305" t="s">
        <v>1500</v>
      </c>
      <c r="F123" s="416">
        <v>0.1</v>
      </c>
      <c r="G123" s="377" t="s">
        <v>1232</v>
      </c>
      <c r="H123" s="991">
        <f t="shared" si="17"/>
        <v>0.9</v>
      </c>
      <c r="I123" s="377"/>
      <c r="J123" s="417"/>
      <c r="K123" s="377"/>
      <c r="L123" s="417"/>
      <c r="M123" s="415" t="str">
        <f t="shared" si="18"/>
        <v>10% of 10Eth90N2 on MFC-26 || 90% of 100He on MFC-23</v>
      </c>
    </row>
    <row r="124" spans="1:13">
      <c r="B124" s="1003">
        <v>0.01</v>
      </c>
      <c r="C124" s="1004">
        <v>0.22819999999999999</v>
      </c>
      <c r="D124" s="9" t="s">
        <v>762</v>
      </c>
      <c r="E124" s="377" t="s">
        <v>1121</v>
      </c>
      <c r="F124" s="416">
        <v>0.01</v>
      </c>
      <c r="G124" s="377" t="s">
        <v>1231</v>
      </c>
      <c r="H124" s="991">
        <f t="shared" si="17"/>
        <v>0.99</v>
      </c>
      <c r="I124" s="377"/>
      <c r="J124" s="417"/>
      <c r="K124" s="377"/>
      <c r="L124" s="417"/>
      <c r="M124" s="415" t="str">
        <f t="shared" si="18"/>
        <v>1% of 100Eth on MFC-34 || 99% of 100He on MFC-24</v>
      </c>
    </row>
    <row r="127" spans="1:13">
      <c r="A127" s="1306"/>
      <c r="B127" s="1003">
        <v>0.1</v>
      </c>
      <c r="C127" s="1004">
        <v>0.97430000000000005</v>
      </c>
      <c r="D127" s="9" t="s">
        <v>762</v>
      </c>
      <c r="E127" s="1305" t="s">
        <v>1500</v>
      </c>
      <c r="F127" s="416">
        <v>1</v>
      </c>
      <c r="G127" s="377"/>
      <c r="H127" s="416"/>
      <c r="I127" s="377"/>
      <c r="J127" s="417"/>
      <c r="K127" s="377"/>
      <c r="L127" s="417"/>
      <c r="M127" s="415" t="str">
        <f>ROUND(F127*100,2) &amp; "% of " &amp; INDEX(FlowCalGasMixture,MATCH(E127,FlowCalNumber,0),1,1)&amp;" on " &amp;INDEX(FlowCalDevice,MATCH(E127,FlowCalNumber,0),1,1) &amp; IF(G127&gt;0," || " &amp;ROUND(H127*100,2) &amp; "% of " &amp; INDEX(FlowCalGasMixture,MATCH(G127,FlowCalNumber,0),1,1)&amp;" on " &amp;INDEX(FlowCalDevice,MATCH(G127,FlowCalNumber,0),1,1),"") &amp; IF(I127&gt;0," || " &amp;ROUND(J127*100,2) &amp; "% of " &amp; INDEX(FlowCalGasMixture,MATCH(I127,FlowCalNumber,0),1,1)&amp;" on " &amp;INDEX(FlowCalDevice,MATCH(I127,FlowCalNumber,0),1,1),"")&amp; IF(K127&gt;0," || " &amp;ROUND(L127*100,2) &amp; "% of " &amp; INDEX(FlowCalGasMixture,MATCH(K127,FlowCalNumber,0),1,1)&amp;" on " &amp;INDEX(FlowCalDevice,MATCH(K127,FlowCalNumber,0),1,1),"")</f>
        <v>100% of 10Eth90N2 on MFC-26</v>
      </c>
    </row>
    <row r="128" spans="1:13">
      <c r="A128" s="1306"/>
      <c r="B128" s="1003">
        <v>0.01</v>
      </c>
      <c r="C128" s="1004">
        <v>0.97430000000000005</v>
      </c>
      <c r="D128" s="9" t="s">
        <v>762</v>
      </c>
      <c r="E128" s="1305" t="s">
        <v>1500</v>
      </c>
      <c r="F128" s="416">
        <v>0.1</v>
      </c>
      <c r="G128" s="377" t="s">
        <v>1230</v>
      </c>
      <c r="H128" s="991">
        <f>1-F128</f>
        <v>0.9</v>
      </c>
      <c r="I128" s="377"/>
      <c r="J128" s="417"/>
      <c r="K128" s="377"/>
      <c r="L128" s="417"/>
      <c r="M128" s="415" t="str">
        <f>ROUND(F128*100,2) &amp; "% of " &amp; INDEX(FlowCalGasMixture,MATCH(E128,FlowCalNumber,0),1,1)&amp;" on " &amp;INDEX(FlowCalDevice,MATCH(E128,FlowCalNumber,0),1,1) &amp; IF(G128&gt;0," || " &amp;ROUND(H128*100,2) &amp; "% of " &amp; INDEX(FlowCalGasMixture,MATCH(G128,FlowCalNumber,0),1,1)&amp;" on " &amp;INDEX(FlowCalDevice,MATCH(G128,FlowCalNumber,0),1,1),"") &amp; IF(I128&gt;0," || " &amp;ROUND(J128*100,2) &amp; "% of " &amp; INDEX(FlowCalGasMixture,MATCH(I128,FlowCalNumber,0),1,1)&amp;" on " &amp;INDEX(FlowCalDevice,MATCH(I128,FlowCalNumber,0),1,1),"")&amp; IF(K128&gt;0," || " &amp;ROUND(L128*100,2) &amp; "% of " &amp; INDEX(FlowCalGasMixture,MATCH(K128,FlowCalNumber,0),1,1)&amp;" on " &amp;INDEX(FlowCalDevice,MATCH(K128,FlowCalNumber,0),1,1),"")</f>
        <v>10% of 10Eth90N2 on MFC-26 || 90% of 100N2 on MFC-23</v>
      </c>
    </row>
    <row r="129" spans="1:13">
      <c r="A129" s="1306"/>
      <c r="B129" s="1003">
        <v>0.01</v>
      </c>
      <c r="C129" s="994">
        <v>0.97430000000000005</v>
      </c>
      <c r="D129" s="995" t="s">
        <v>762</v>
      </c>
      <c r="E129" s="1305" t="s">
        <v>1500</v>
      </c>
      <c r="F129" s="416">
        <v>0.1</v>
      </c>
      <c r="G129" s="992" t="s">
        <v>1128</v>
      </c>
      <c r="H129" s="993">
        <v>0.49</v>
      </c>
      <c r="I129" s="992" t="s">
        <v>1131</v>
      </c>
      <c r="J129" s="991">
        <f>1-H129-F129</f>
        <v>0.41000000000000003</v>
      </c>
      <c r="K129" s="377"/>
      <c r="L129" s="417"/>
      <c r="M129" s="415" t="str">
        <f>ROUND(F129*100,2) &amp; "% of " &amp; INDEX(FlowCalGasMixture,MATCH(E129,FlowCalNumber,0),1,1)&amp;" on " &amp;INDEX(FlowCalDevice,MATCH(E129,FlowCalNumber,0),1,1) &amp; IF(G129&gt;0," || " &amp;ROUND(H129*100,2) &amp; "% of " &amp; INDEX(FlowCalGasMixture,MATCH(G129,FlowCalNumber,0),1,1)&amp;" on " &amp;INDEX(FlowCalDevice,MATCH(G129,FlowCalNumber,0),1,1),"") &amp; IF(I129&gt;0," || " &amp;ROUND(J129*100,2) &amp; "% of " &amp; INDEX(FlowCalGasMixture,MATCH(I129,FlowCalNumber,0),1,1)&amp;" on " &amp;INDEX(FlowCalDevice,MATCH(I129,FlowCalNumber,0),1,1),"")&amp; IF(K129&gt;0," || " &amp;ROUND(L129*100,2) &amp; "% of " &amp; INDEX(FlowCalGasMixture,MATCH(K129,FlowCalNumber,0),1,1)&amp;" on " &amp;INDEX(FlowCalDevice,MATCH(K129,FlowCalNumber,0),1,1),"")</f>
        <v>10% of 10Eth90N2 on MFC-26 || 49% of 100N2 on MFC-16 || 41% of 100N2 on MFC-17</v>
      </c>
    </row>
    <row r="130" spans="1:13">
      <c r="A130" s="1306"/>
      <c r="B130" s="1003">
        <v>0.01</v>
      </c>
      <c r="C130" s="994">
        <v>0.97430000000000005</v>
      </c>
      <c r="D130" s="995" t="s">
        <v>762</v>
      </c>
      <c r="E130" s="1305" t="s">
        <v>1500</v>
      </c>
      <c r="F130" s="416">
        <v>0.1</v>
      </c>
      <c r="G130" s="992" t="s">
        <v>1128</v>
      </c>
      <c r="H130" s="993">
        <v>0.4</v>
      </c>
      <c r="I130" s="992" t="s">
        <v>1131</v>
      </c>
      <c r="J130" s="993">
        <v>0.4</v>
      </c>
      <c r="K130" s="377" t="s">
        <v>1130</v>
      </c>
      <c r="L130" s="991">
        <f>1-J130-H130-F130</f>
        <v>9.999999999999995E-2</v>
      </c>
      <c r="M130" s="415" t="str">
        <f>ROUND(F130*100,2) &amp; "% of " &amp; INDEX(FlowCalGasMixture,MATCH(E130,FlowCalNumber,0),1,1)&amp;" on " &amp;INDEX(FlowCalDevice,MATCH(E130,FlowCalNumber,0),1,1) &amp; IF(G130&gt;0," || " &amp;ROUND(H130*100,2) &amp; "% of " &amp; INDEX(FlowCalGasMixture,MATCH(G130,FlowCalNumber,0),1,1)&amp;" on " &amp;INDEX(FlowCalDevice,MATCH(G130,FlowCalNumber,0),1,1),"") &amp; IF(I130&gt;0," || " &amp;ROUND(J130*100,2) &amp; "% of " &amp; INDEX(FlowCalGasMixture,MATCH(I130,FlowCalNumber,0),1,1)&amp;" on " &amp;INDEX(FlowCalDevice,MATCH(I130,FlowCalNumber,0),1,1),"")&amp; IF(K130&gt;0," || " &amp;ROUND(L130*100,2) &amp; "% of " &amp; INDEX(FlowCalGasMixture,MATCH(K130,FlowCalNumber,0),1,1)&amp;" on " &amp;INDEX(FlowCalDevice,MATCH(K130,FlowCalNumber,0),1,1),"")</f>
        <v>10% of 10Eth90N2 on MFC-26 || 40% of 100N2 on MFC-16 || 40% of 100N2 on MFC-17 || 10% of 100N2 on MFC-25</v>
      </c>
    </row>
    <row r="131" spans="1:13">
      <c r="A131" s="1306"/>
      <c r="B131" s="1003">
        <v>0.1</v>
      </c>
      <c r="C131" s="1004">
        <v>0.22819999999999999</v>
      </c>
      <c r="D131" s="9" t="s">
        <v>762</v>
      </c>
      <c r="E131" s="1305" t="s">
        <v>1500</v>
      </c>
      <c r="F131" s="416">
        <v>1</v>
      </c>
      <c r="G131" s="377"/>
      <c r="H131" s="416"/>
      <c r="I131" s="377"/>
      <c r="J131" s="417"/>
      <c r="K131" s="377"/>
      <c r="L131" s="417"/>
      <c r="M131" s="415" t="str">
        <f>ROUND(F131*100,2) &amp; "% of " &amp; INDEX(FlowCalGasMixture,MATCH(E131,FlowCalNumber,0),1,1)&amp;" on " &amp;INDEX(FlowCalDevice,MATCH(E131,FlowCalNumber,0),1,1) &amp; IF(G131&gt;0," || " &amp;ROUND(H131*100,2) &amp; "% of " &amp; INDEX(FlowCalGasMixture,MATCH(G131,FlowCalNumber,0),1,1)&amp;" on " &amp;INDEX(FlowCalDevice,MATCH(G131,FlowCalNumber,0),1,1),"") &amp; IF(I131&gt;0," || " &amp;ROUND(J131*100,2) &amp; "% of " &amp; INDEX(FlowCalGasMixture,MATCH(I131,FlowCalNumber,0),1,1)&amp;" on " &amp;INDEX(FlowCalDevice,MATCH(I131,FlowCalNumber,0),1,1),"")&amp; IF(K131&gt;0," || " &amp;ROUND(L131*100,2) &amp; "% of " &amp; INDEX(FlowCalGasMixture,MATCH(K131,FlowCalNumber,0),1,1)&amp;" on " &amp;INDEX(FlowCalDevice,MATCH(K131,FlowCalNumber,0),1,1),"")</f>
        <v>100% of 10Eth90N2 on MFC-26</v>
      </c>
    </row>
    <row r="133" spans="1:13">
      <c r="A133" s="1306"/>
      <c r="B133" t="s">
        <v>1502</v>
      </c>
    </row>
  </sheetData>
  <mergeCells count="1">
    <mergeCell ref="M14:R14"/>
  </mergeCells>
  <phoneticPr fontId="0" type="noConversion"/>
  <pageMargins left="0.75" right="0.75" top="1" bottom="1" header="0.5" footer="0.5"/>
  <pageSetup scale="50" fitToHeight="0" orientation="landscape" r:id="rId1"/>
  <headerFooter alignWithMargins="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FcalInputFile">
                <anchor moveWithCells="1" sizeWithCells="1">
                  <from>
                    <xdr:col>5</xdr:col>
                    <xdr:colOff>0</xdr:colOff>
                    <xdr:row>7</xdr:row>
                    <xdr:rowOff>0</xdr:rowOff>
                  </from>
                  <to>
                    <xdr:col>11</xdr:col>
                    <xdr:colOff>342900</xdr:colOff>
                    <xdr:row>10</xdr:row>
                    <xdr:rowOff>180975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4">
    <tabColor rgb="FFFF00FF"/>
    <pageSetUpPr fitToPage="1"/>
  </sheetPr>
  <dimension ref="B2:CU56"/>
  <sheetViews>
    <sheetView view="pageBreakPreview" zoomScale="75" zoomScaleNormal="55" zoomScaleSheetLayoutView="75" workbookViewId="0">
      <selection activeCell="N33" sqref="N33"/>
    </sheetView>
  </sheetViews>
  <sheetFormatPr defaultRowHeight="15.75"/>
  <cols>
    <col min="2" max="2" width="9.625" bestFit="1" customWidth="1"/>
    <col min="5" max="6" width="10.125" customWidth="1"/>
    <col min="7" max="7" width="27.75" bestFit="1" customWidth="1"/>
    <col min="8" max="9" width="10.625" customWidth="1"/>
    <col min="10" max="10" width="15.75" bestFit="1" customWidth="1"/>
    <col min="11" max="14" width="12.625" customWidth="1"/>
    <col min="15" max="15" width="12.625" hidden="1" customWidth="1"/>
    <col min="16" max="16" width="12.625" customWidth="1"/>
    <col min="17" max="18" width="10.625" hidden="1" customWidth="1"/>
    <col min="19" max="19" width="15.25" customWidth="1"/>
    <col min="20" max="20" width="10.625" hidden="1" customWidth="1"/>
    <col min="21" max="24" width="9.625" hidden="1" customWidth="1"/>
    <col min="25" max="25" width="6.25" hidden="1" customWidth="1"/>
    <col min="26" max="80" width="9" hidden="1" customWidth="1"/>
    <col min="81" max="81" width="11.5" customWidth="1"/>
    <col min="82" max="86" width="9.5" hidden="1" customWidth="1"/>
    <col min="87" max="96" width="8" hidden="1" customWidth="1"/>
    <col min="97" max="97" width="14" bestFit="1" customWidth="1"/>
    <col min="98" max="98" width="13.125" customWidth="1"/>
    <col min="99" max="99" width="13.25" customWidth="1"/>
  </cols>
  <sheetData>
    <row r="2" spans="2:99" ht="20.25">
      <c r="B2" s="120" t="str">
        <f>SourceProjectName1</f>
        <v>Project Name 1</v>
      </c>
    </row>
    <row r="3" spans="2:99" ht="20.25">
      <c r="B3" s="120" t="str">
        <f>SourceProjectName2</f>
        <v>Project Name 2</v>
      </c>
      <c r="G3" s="4"/>
    </row>
    <row r="4" spans="2:99" ht="20.25">
      <c r="B4" s="120" t="str">
        <f>SourceProjectNumber</f>
        <v>Project Number</v>
      </c>
    </row>
    <row r="5" spans="2:99" ht="20.25">
      <c r="B5" s="837" t="s">
        <v>159</v>
      </c>
    </row>
    <row r="6" spans="2:99" ht="21" thickBot="1">
      <c r="B6" s="837" t="s">
        <v>351</v>
      </c>
    </row>
    <row r="7" spans="2:99" ht="21.75" thickTop="1" thickBot="1">
      <c r="B7" s="1802" t="s">
        <v>1414</v>
      </c>
      <c r="C7" s="1803"/>
      <c r="D7" s="1803"/>
      <c r="E7" s="1803"/>
      <c r="F7" s="1803"/>
      <c r="G7" s="1803"/>
      <c r="H7" s="1803"/>
      <c r="I7" s="1803"/>
      <c r="J7" s="1804"/>
      <c r="K7" s="1802" t="s">
        <v>1438</v>
      </c>
      <c r="L7" s="1803"/>
      <c r="M7" s="1803"/>
      <c r="N7" s="1803"/>
      <c r="O7" s="1803"/>
      <c r="P7" s="1803"/>
      <c r="Q7" s="1803"/>
      <c r="R7" s="1803"/>
      <c r="S7" s="1803"/>
      <c r="T7" s="1803"/>
      <c r="U7" s="1803"/>
      <c r="V7" s="1803"/>
      <c r="W7" s="1803"/>
      <c r="X7" s="1803"/>
      <c r="Y7" s="1803"/>
      <c r="Z7" s="1803"/>
      <c r="AA7" s="1803"/>
      <c r="AB7" s="1803"/>
      <c r="AC7" s="1803"/>
      <c r="AD7" s="1803"/>
      <c r="AE7" s="1803"/>
      <c r="AF7" s="1803"/>
      <c r="AG7" s="1803"/>
      <c r="AH7" s="1803"/>
      <c r="AI7" s="1803"/>
      <c r="AJ7" s="1803"/>
      <c r="AK7" s="1803"/>
      <c r="AL7" s="1803"/>
      <c r="AM7" s="1803"/>
      <c r="AN7" s="1803"/>
      <c r="AO7" s="1803"/>
      <c r="AP7" s="1803"/>
      <c r="AQ7" s="1803"/>
      <c r="AR7" s="1803"/>
      <c r="AS7" s="1803"/>
      <c r="AT7" s="1803"/>
      <c r="AU7" s="1803"/>
      <c r="AV7" s="1803"/>
      <c r="AW7" s="1803"/>
      <c r="AX7" s="1803"/>
      <c r="AY7" s="1803"/>
      <c r="AZ7" s="1803"/>
      <c r="BA7" s="1803"/>
      <c r="BB7" s="1803"/>
      <c r="BC7" s="1803"/>
      <c r="BD7" s="1803"/>
      <c r="BE7" s="1803"/>
      <c r="BF7" s="1803"/>
      <c r="BG7" s="1803"/>
      <c r="BH7" s="1803"/>
      <c r="BI7" s="1803"/>
      <c r="BJ7" s="1803"/>
      <c r="BK7" s="1803"/>
      <c r="BL7" s="1803"/>
      <c r="BM7" s="1803"/>
      <c r="BN7" s="1803"/>
      <c r="BO7" s="1803"/>
      <c r="BP7" s="1803"/>
      <c r="BQ7" s="1803"/>
      <c r="BR7" s="1803"/>
      <c r="BS7" s="1803"/>
      <c r="BT7" s="1803"/>
      <c r="BU7" s="1803"/>
      <c r="BV7" s="1803"/>
      <c r="BW7" s="1803"/>
      <c r="BX7" s="1803"/>
      <c r="BY7" s="1803"/>
      <c r="BZ7" s="1803"/>
      <c r="CA7" s="1803"/>
      <c r="CB7" s="1803"/>
      <c r="CC7" s="1803"/>
      <c r="CD7" s="1803"/>
      <c r="CE7" s="1803"/>
      <c r="CF7" s="1803"/>
      <c r="CG7" s="1803"/>
      <c r="CH7" s="1803"/>
      <c r="CI7" s="1803"/>
      <c r="CJ7" s="1803"/>
      <c r="CK7" s="1803"/>
      <c r="CL7" s="1803"/>
      <c r="CM7" s="1803"/>
      <c r="CN7" s="1803"/>
      <c r="CO7" s="1803"/>
      <c r="CP7" s="1803"/>
      <c r="CQ7" s="1803"/>
      <c r="CR7" s="1803"/>
      <c r="CS7" s="1804"/>
      <c r="CT7" s="1805" t="s">
        <v>1439</v>
      </c>
      <c r="CU7" s="1806"/>
    </row>
    <row r="8" spans="2:99" ht="19.5" thickTop="1">
      <c r="B8" s="1252"/>
      <c r="C8" s="1253"/>
      <c r="D8" s="1254"/>
      <c r="E8" s="1255" t="s">
        <v>118</v>
      </c>
      <c r="F8" s="1255"/>
      <c r="G8" s="1256"/>
      <c r="H8" s="1257"/>
      <c r="I8" s="1257"/>
      <c r="J8" s="1284" t="s">
        <v>440</v>
      </c>
      <c r="K8" s="1258"/>
      <c r="L8" s="1259"/>
      <c r="M8" s="1259"/>
      <c r="N8" s="1259"/>
      <c r="O8" s="1260" t="s">
        <v>449</v>
      </c>
      <c r="P8" s="1259"/>
      <c r="Q8" s="1260" t="s">
        <v>449</v>
      </c>
      <c r="R8" s="1260" t="s">
        <v>449</v>
      </c>
      <c r="S8" s="1363"/>
      <c r="T8" s="1260" t="s">
        <v>449</v>
      </c>
      <c r="U8" s="1260" t="s">
        <v>449</v>
      </c>
      <c r="V8" s="1260" t="s">
        <v>449</v>
      </c>
      <c r="W8" s="1260" t="s">
        <v>449</v>
      </c>
      <c r="X8" s="1260" t="s">
        <v>449</v>
      </c>
      <c r="Y8" s="1260" t="s">
        <v>449</v>
      </c>
      <c r="Z8" s="1260" t="s">
        <v>449</v>
      </c>
      <c r="AA8" s="1260" t="s">
        <v>449</v>
      </c>
      <c r="AB8" s="1260" t="s">
        <v>449</v>
      </c>
      <c r="AC8" s="1260" t="s">
        <v>449</v>
      </c>
      <c r="AD8" s="1260" t="s">
        <v>449</v>
      </c>
      <c r="AE8" s="1260" t="s">
        <v>449</v>
      </c>
      <c r="AF8" s="1260" t="s">
        <v>449</v>
      </c>
      <c r="AG8" s="1260" t="s">
        <v>449</v>
      </c>
      <c r="AH8" s="1260" t="s">
        <v>449</v>
      </c>
      <c r="AI8" s="1260" t="s">
        <v>449</v>
      </c>
      <c r="AJ8" s="1260" t="s">
        <v>449</v>
      </c>
      <c r="AK8" s="1260" t="s">
        <v>449</v>
      </c>
      <c r="AL8" s="1260" t="s">
        <v>449</v>
      </c>
      <c r="AM8" s="1260" t="s">
        <v>449</v>
      </c>
      <c r="AN8" s="1260" t="s">
        <v>449</v>
      </c>
      <c r="AO8" s="1260" t="s">
        <v>449</v>
      </c>
      <c r="AP8" s="1260" t="s">
        <v>449</v>
      </c>
      <c r="AQ8" s="1260" t="s">
        <v>449</v>
      </c>
      <c r="AR8" s="1260" t="s">
        <v>449</v>
      </c>
      <c r="AS8" s="1260" t="s">
        <v>449</v>
      </c>
      <c r="AT8" s="1260" t="s">
        <v>449</v>
      </c>
      <c r="AU8" s="1260" t="s">
        <v>449</v>
      </c>
      <c r="AV8" s="1260" t="s">
        <v>449</v>
      </c>
      <c r="AW8" s="1260" t="s">
        <v>449</v>
      </c>
      <c r="AX8" s="1260" t="s">
        <v>449</v>
      </c>
      <c r="AY8" s="1260" t="s">
        <v>449</v>
      </c>
      <c r="AZ8" s="1260" t="s">
        <v>449</v>
      </c>
      <c r="BA8" s="1260" t="s">
        <v>449</v>
      </c>
      <c r="BB8" s="1260" t="s">
        <v>449</v>
      </c>
      <c r="BC8" s="1260" t="s">
        <v>449</v>
      </c>
      <c r="BD8" s="1260" t="s">
        <v>449</v>
      </c>
      <c r="BE8" s="1260" t="s">
        <v>449</v>
      </c>
      <c r="BF8" s="1260" t="s">
        <v>449</v>
      </c>
      <c r="BG8" s="1260" t="s">
        <v>449</v>
      </c>
      <c r="BH8" s="1260" t="s">
        <v>449</v>
      </c>
      <c r="BI8" s="1260" t="s">
        <v>449</v>
      </c>
      <c r="BJ8" s="1260" t="s">
        <v>449</v>
      </c>
      <c r="BK8" s="1260" t="s">
        <v>449</v>
      </c>
      <c r="BL8" s="1260" t="s">
        <v>449</v>
      </c>
      <c r="BM8" s="1260" t="s">
        <v>449</v>
      </c>
      <c r="BN8" s="1260" t="s">
        <v>449</v>
      </c>
      <c r="BO8" s="1260" t="s">
        <v>449</v>
      </c>
      <c r="BP8" s="1260" t="s">
        <v>449</v>
      </c>
      <c r="BQ8" s="1260" t="s">
        <v>449</v>
      </c>
      <c r="BR8" s="1260" t="s">
        <v>449</v>
      </c>
      <c r="BS8" s="1260" t="s">
        <v>449</v>
      </c>
      <c r="BT8" s="1260" t="s">
        <v>449</v>
      </c>
      <c r="BU8" s="1260" t="s">
        <v>449</v>
      </c>
      <c r="BV8" s="1260" t="s">
        <v>449</v>
      </c>
      <c r="BW8" s="1260" t="s">
        <v>449</v>
      </c>
      <c r="BX8" s="1260" t="s">
        <v>449</v>
      </c>
      <c r="BY8" s="1260" t="s">
        <v>449</v>
      </c>
      <c r="BZ8" s="1260" t="s">
        <v>449</v>
      </c>
      <c r="CA8" s="1260" t="s">
        <v>449</v>
      </c>
      <c r="CB8" s="1260" t="s">
        <v>449</v>
      </c>
      <c r="CC8" s="1254"/>
      <c r="CD8" s="1260" t="s">
        <v>449</v>
      </c>
      <c r="CE8" s="1260" t="s">
        <v>449</v>
      </c>
      <c r="CF8" s="1260" t="s">
        <v>449</v>
      </c>
      <c r="CG8" s="1260" t="s">
        <v>449</v>
      </c>
      <c r="CH8" s="1260" t="s">
        <v>449</v>
      </c>
      <c r="CI8" s="1260" t="s">
        <v>449</v>
      </c>
      <c r="CJ8" s="1260" t="s">
        <v>449</v>
      </c>
      <c r="CK8" s="1260" t="s">
        <v>449</v>
      </c>
      <c r="CL8" s="1260" t="s">
        <v>449</v>
      </c>
      <c r="CM8" s="1260" t="s">
        <v>449</v>
      </c>
      <c r="CN8" s="1260" t="s">
        <v>449</v>
      </c>
      <c r="CO8" s="1260" t="s">
        <v>449</v>
      </c>
      <c r="CP8" s="1260" t="s">
        <v>449</v>
      </c>
      <c r="CQ8" s="1260" t="s">
        <v>449</v>
      </c>
      <c r="CR8" s="1260" t="s">
        <v>449</v>
      </c>
      <c r="CS8" s="1284" t="s">
        <v>1422</v>
      </c>
      <c r="CT8" s="1238" t="s">
        <v>1440</v>
      </c>
      <c r="CU8" s="1241" t="s">
        <v>1423</v>
      </c>
    </row>
    <row r="9" spans="2:99">
      <c r="B9" s="1261"/>
      <c r="C9" s="1262"/>
      <c r="D9" s="1263"/>
      <c r="E9" s="1264" t="s">
        <v>666</v>
      </c>
      <c r="F9" s="1264"/>
      <c r="G9" s="1265"/>
      <c r="H9" s="1266"/>
      <c r="I9" s="1266"/>
      <c r="J9" s="1276" t="s">
        <v>1425</v>
      </c>
      <c r="K9" s="1267" t="s">
        <v>676</v>
      </c>
      <c r="L9" s="1268" t="s">
        <v>669</v>
      </c>
      <c r="M9" s="1268" t="s">
        <v>669</v>
      </c>
      <c r="N9" s="1265" t="s">
        <v>1428</v>
      </c>
      <c r="O9" s="1265" t="s">
        <v>1429</v>
      </c>
      <c r="P9" s="1268" t="s">
        <v>1416</v>
      </c>
      <c r="Q9" s="1268"/>
      <c r="R9" s="1268"/>
      <c r="S9" s="1265" t="s">
        <v>1547</v>
      </c>
      <c r="T9" s="1265"/>
      <c r="U9" s="1269"/>
      <c r="V9" s="1268"/>
      <c r="W9" s="1268"/>
      <c r="X9" s="1268"/>
      <c r="Y9" s="1268"/>
      <c r="Z9" s="1268"/>
      <c r="AA9" s="1268"/>
      <c r="AB9" s="1268"/>
      <c r="AC9" s="1268"/>
      <c r="AD9" s="1268"/>
      <c r="AE9" s="1268"/>
      <c r="AF9" s="1268"/>
      <c r="AG9" s="1268"/>
      <c r="AH9" s="1268"/>
      <c r="AI9" s="1268"/>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c r="BJ9" s="1265"/>
      <c r="BK9" s="1265"/>
      <c r="BL9" s="1265"/>
      <c r="BM9" s="1265"/>
      <c r="BN9" s="1265" t="s">
        <v>539</v>
      </c>
      <c r="BO9" s="1265" t="s">
        <v>539</v>
      </c>
      <c r="BP9" s="1265" t="s">
        <v>539</v>
      </c>
      <c r="BQ9" s="1265" t="s">
        <v>539</v>
      </c>
      <c r="BR9" s="1265" t="s">
        <v>539</v>
      </c>
      <c r="BS9" s="1265" t="s">
        <v>539</v>
      </c>
      <c r="BT9" s="1265" t="s">
        <v>539</v>
      </c>
      <c r="BU9" s="1265" t="s">
        <v>539</v>
      </c>
      <c r="BV9" s="1265" t="s">
        <v>539</v>
      </c>
      <c r="BW9" s="1265" t="s">
        <v>539</v>
      </c>
      <c r="BX9" s="1265" t="s">
        <v>539</v>
      </c>
      <c r="BY9" s="1265" t="s">
        <v>539</v>
      </c>
      <c r="BZ9" s="1265" t="s">
        <v>539</v>
      </c>
      <c r="CA9" s="1265" t="s">
        <v>539</v>
      </c>
      <c r="CB9" s="1265" t="s">
        <v>539</v>
      </c>
      <c r="CC9" s="1268" t="s">
        <v>1422</v>
      </c>
      <c r="CD9" s="1265"/>
      <c r="CE9" s="1265"/>
      <c r="CF9" s="1265"/>
      <c r="CG9" s="1265"/>
      <c r="CH9" s="1265"/>
      <c r="CI9" s="1265"/>
      <c r="CJ9" s="1265"/>
      <c r="CK9" s="1265"/>
      <c r="CL9" s="1265"/>
      <c r="CM9" s="1265"/>
      <c r="CN9" s="1265"/>
      <c r="CO9" s="1265"/>
      <c r="CP9" s="1265"/>
      <c r="CQ9" s="1265"/>
      <c r="CR9" s="1265"/>
      <c r="CS9" s="1239" t="s">
        <v>1425</v>
      </c>
      <c r="CT9" s="1243" t="s">
        <v>1441</v>
      </c>
      <c r="CU9" s="1239"/>
    </row>
    <row r="10" spans="2:99">
      <c r="B10" s="1270" t="s">
        <v>160</v>
      </c>
      <c r="C10" s="1265" t="s">
        <v>663</v>
      </c>
      <c r="D10" s="1265" t="s">
        <v>663</v>
      </c>
      <c r="E10" s="1264" t="s">
        <v>1193</v>
      </c>
      <c r="F10" s="1264"/>
      <c r="G10" s="1265"/>
      <c r="H10" s="1265" t="s">
        <v>162</v>
      </c>
      <c r="I10" s="1265" t="s">
        <v>162</v>
      </c>
      <c r="J10" s="1239" t="s">
        <v>163</v>
      </c>
      <c r="K10" s="1270" t="s">
        <v>677</v>
      </c>
      <c r="L10" s="1265" t="s">
        <v>671</v>
      </c>
      <c r="M10" s="1265" t="s">
        <v>679</v>
      </c>
      <c r="N10" s="1265" t="s">
        <v>1430</v>
      </c>
      <c r="O10" s="1265" t="s">
        <v>706</v>
      </c>
      <c r="P10" s="1265" t="s">
        <v>147</v>
      </c>
      <c r="Q10" s="1265"/>
      <c r="R10" s="1265"/>
      <c r="S10" s="1265" t="s">
        <v>1548</v>
      </c>
      <c r="T10" s="1265"/>
      <c r="U10" s="1269" t="s">
        <v>401</v>
      </c>
      <c r="V10" s="1269" t="s">
        <v>401</v>
      </c>
      <c r="W10" s="1269" t="s">
        <v>401</v>
      </c>
      <c r="X10" s="1269" t="s">
        <v>401</v>
      </c>
      <c r="Y10" s="1269" t="s">
        <v>401</v>
      </c>
      <c r="Z10" s="1269" t="s">
        <v>401</v>
      </c>
      <c r="AA10" s="1269" t="s">
        <v>401</v>
      </c>
      <c r="AB10" s="1269" t="s">
        <v>401</v>
      </c>
      <c r="AC10" s="1269" t="s">
        <v>401</v>
      </c>
      <c r="AD10" s="1269" t="s">
        <v>401</v>
      </c>
      <c r="AE10" s="1269" t="s">
        <v>401</v>
      </c>
      <c r="AF10" s="1269" t="s">
        <v>401</v>
      </c>
      <c r="AG10" s="1269" t="s">
        <v>401</v>
      </c>
      <c r="AH10" s="1269" t="s">
        <v>401</v>
      </c>
      <c r="AI10" s="1269" t="s">
        <v>401</v>
      </c>
      <c r="AJ10" s="1269" t="s">
        <v>1424</v>
      </c>
      <c r="AK10" s="1269" t="s">
        <v>1424</v>
      </c>
      <c r="AL10" s="1269" t="s">
        <v>1424</v>
      </c>
      <c r="AM10" s="1269" t="s">
        <v>1424</v>
      </c>
      <c r="AN10" s="1269" t="s">
        <v>1424</v>
      </c>
      <c r="AO10" s="1269" t="s">
        <v>1424</v>
      </c>
      <c r="AP10" s="1269" t="s">
        <v>1424</v>
      </c>
      <c r="AQ10" s="1269" t="s">
        <v>1424</v>
      </c>
      <c r="AR10" s="1269" t="s">
        <v>1424</v>
      </c>
      <c r="AS10" s="1269" t="s">
        <v>1424</v>
      </c>
      <c r="AT10" s="1269" t="s">
        <v>1424</v>
      </c>
      <c r="AU10" s="1269" t="s">
        <v>1424</v>
      </c>
      <c r="AV10" s="1269" t="s">
        <v>1424</v>
      </c>
      <c r="AW10" s="1269" t="s">
        <v>1424</v>
      </c>
      <c r="AX10" s="1269" t="s">
        <v>1424</v>
      </c>
      <c r="AY10" s="1265" t="s">
        <v>862</v>
      </c>
      <c r="AZ10" s="1265" t="s">
        <v>862</v>
      </c>
      <c r="BA10" s="1265" t="s">
        <v>862</v>
      </c>
      <c r="BB10" s="1265" t="s">
        <v>862</v>
      </c>
      <c r="BC10" s="1265" t="s">
        <v>862</v>
      </c>
      <c r="BD10" s="1265" t="s">
        <v>862</v>
      </c>
      <c r="BE10" s="1265" t="s">
        <v>862</v>
      </c>
      <c r="BF10" s="1265" t="s">
        <v>862</v>
      </c>
      <c r="BG10" s="1265" t="s">
        <v>862</v>
      </c>
      <c r="BH10" s="1265" t="s">
        <v>862</v>
      </c>
      <c r="BI10" s="1265" t="s">
        <v>862</v>
      </c>
      <c r="BJ10" s="1265" t="s">
        <v>862</v>
      </c>
      <c r="BK10" s="1265" t="s">
        <v>862</v>
      </c>
      <c r="BL10" s="1265" t="s">
        <v>862</v>
      </c>
      <c r="BM10" s="1265" t="s">
        <v>862</v>
      </c>
      <c r="BN10" s="1265" t="s">
        <v>863</v>
      </c>
      <c r="BO10" s="1265" t="s">
        <v>863</v>
      </c>
      <c r="BP10" s="1265" t="s">
        <v>863</v>
      </c>
      <c r="BQ10" s="1265" t="s">
        <v>863</v>
      </c>
      <c r="BR10" s="1265" t="s">
        <v>863</v>
      </c>
      <c r="BS10" s="1265" t="s">
        <v>863</v>
      </c>
      <c r="BT10" s="1265" t="s">
        <v>863</v>
      </c>
      <c r="BU10" s="1265" t="s">
        <v>863</v>
      </c>
      <c r="BV10" s="1265" t="s">
        <v>863</v>
      </c>
      <c r="BW10" s="1265" t="s">
        <v>863</v>
      </c>
      <c r="BX10" s="1265" t="s">
        <v>863</v>
      </c>
      <c r="BY10" s="1265" t="s">
        <v>863</v>
      </c>
      <c r="BZ10" s="1265" t="s">
        <v>863</v>
      </c>
      <c r="CA10" s="1265" t="s">
        <v>863</v>
      </c>
      <c r="CB10" s="1265" t="s">
        <v>863</v>
      </c>
      <c r="CC10" s="1265" t="s">
        <v>539</v>
      </c>
      <c r="CD10" s="1269"/>
      <c r="CE10" s="1269"/>
      <c r="CF10" s="1269"/>
      <c r="CG10" s="1269"/>
      <c r="CH10" s="1269"/>
      <c r="CI10" s="1269"/>
      <c r="CJ10" s="1269"/>
      <c r="CK10" s="1269"/>
      <c r="CL10" s="1269"/>
      <c r="CM10" s="1269"/>
      <c r="CN10" s="1269"/>
      <c r="CO10" s="1269"/>
      <c r="CP10" s="1269"/>
      <c r="CQ10" s="1269"/>
      <c r="CR10" s="1269"/>
      <c r="CS10" s="1239" t="s">
        <v>163</v>
      </c>
      <c r="CT10" s="1243" t="s">
        <v>223</v>
      </c>
      <c r="CU10" s="1239"/>
    </row>
    <row r="11" spans="2:99" ht="17.25">
      <c r="B11" s="1270" t="s">
        <v>779</v>
      </c>
      <c r="C11" s="1265" t="s">
        <v>591</v>
      </c>
      <c r="D11" s="1265" t="s">
        <v>665</v>
      </c>
      <c r="E11" s="1264" t="s">
        <v>363</v>
      </c>
      <c r="F11" s="1264"/>
      <c r="G11" s="1265" t="s">
        <v>147</v>
      </c>
      <c r="H11" s="1265" t="s">
        <v>167</v>
      </c>
      <c r="I11" s="1265" t="s">
        <v>168</v>
      </c>
      <c r="J11" s="1239" t="s">
        <v>292</v>
      </c>
      <c r="K11" s="1270" t="s">
        <v>1437</v>
      </c>
      <c r="L11" s="1265" t="s">
        <v>1436</v>
      </c>
      <c r="M11" s="1265" t="s">
        <v>1435</v>
      </c>
      <c r="N11" s="1265" t="s">
        <v>1434</v>
      </c>
      <c r="O11" s="1265" t="s">
        <v>1431</v>
      </c>
      <c r="P11" s="1265" t="s">
        <v>1417</v>
      </c>
      <c r="Q11" s="1269" t="s">
        <v>1418</v>
      </c>
      <c r="R11" s="1269"/>
      <c r="S11" s="1265"/>
      <c r="T11" s="1269"/>
      <c r="U11" s="1269">
        <v>1</v>
      </c>
      <c r="V11" s="1269">
        <v>2</v>
      </c>
      <c r="W11" s="1269">
        <v>3</v>
      </c>
      <c r="X11" s="1269">
        <v>4</v>
      </c>
      <c r="Y11" s="1269">
        <v>5</v>
      </c>
      <c r="Z11" s="1269">
        <v>6</v>
      </c>
      <c r="AA11" s="1269">
        <v>7</v>
      </c>
      <c r="AB11" s="1269">
        <v>8</v>
      </c>
      <c r="AC11" s="1269">
        <v>9</v>
      </c>
      <c r="AD11" s="1269">
        <v>10</v>
      </c>
      <c r="AE11" s="1269">
        <v>11</v>
      </c>
      <c r="AF11" s="1269">
        <v>12</v>
      </c>
      <c r="AG11" s="1269">
        <v>13</v>
      </c>
      <c r="AH11" s="1269">
        <v>14</v>
      </c>
      <c r="AI11" s="1269">
        <v>15</v>
      </c>
      <c r="AJ11" s="1269">
        <v>1</v>
      </c>
      <c r="AK11" s="1269">
        <v>2</v>
      </c>
      <c r="AL11" s="1269">
        <v>3</v>
      </c>
      <c r="AM11" s="1269">
        <v>4</v>
      </c>
      <c r="AN11" s="1269">
        <v>5</v>
      </c>
      <c r="AO11" s="1269">
        <v>6</v>
      </c>
      <c r="AP11" s="1269">
        <v>7</v>
      </c>
      <c r="AQ11" s="1269">
        <v>8</v>
      </c>
      <c r="AR11" s="1269">
        <v>9</v>
      </c>
      <c r="AS11" s="1269">
        <v>10</v>
      </c>
      <c r="AT11" s="1269">
        <v>11</v>
      </c>
      <c r="AU11" s="1269">
        <v>12</v>
      </c>
      <c r="AV11" s="1269">
        <v>13</v>
      </c>
      <c r="AW11" s="1269">
        <v>14</v>
      </c>
      <c r="AX11" s="1269">
        <v>15</v>
      </c>
      <c r="AY11" s="1269">
        <v>1</v>
      </c>
      <c r="AZ11" s="1269">
        <v>2</v>
      </c>
      <c r="BA11" s="1269">
        <v>3</v>
      </c>
      <c r="BB11" s="1269">
        <v>4</v>
      </c>
      <c r="BC11" s="1269">
        <v>5</v>
      </c>
      <c r="BD11" s="1269">
        <v>6</v>
      </c>
      <c r="BE11" s="1269">
        <v>7</v>
      </c>
      <c r="BF11" s="1269">
        <v>8</v>
      </c>
      <c r="BG11" s="1269">
        <v>9</v>
      </c>
      <c r="BH11" s="1269">
        <v>10</v>
      </c>
      <c r="BI11" s="1269">
        <v>11</v>
      </c>
      <c r="BJ11" s="1269">
        <v>12</v>
      </c>
      <c r="BK11" s="1269">
        <v>13</v>
      </c>
      <c r="BL11" s="1269">
        <v>14</v>
      </c>
      <c r="BM11" s="1269">
        <v>15</v>
      </c>
      <c r="BN11" s="1269">
        <v>1</v>
      </c>
      <c r="BO11" s="1269">
        <v>2</v>
      </c>
      <c r="BP11" s="1269">
        <v>3</v>
      </c>
      <c r="BQ11" s="1269">
        <v>4</v>
      </c>
      <c r="BR11" s="1269">
        <v>5</v>
      </c>
      <c r="BS11" s="1269">
        <v>6</v>
      </c>
      <c r="BT11" s="1269">
        <v>7</v>
      </c>
      <c r="BU11" s="1269">
        <v>8</v>
      </c>
      <c r="BV11" s="1269">
        <v>9</v>
      </c>
      <c r="BW11" s="1269">
        <v>10</v>
      </c>
      <c r="BX11" s="1269">
        <v>11</v>
      </c>
      <c r="BY11" s="1269">
        <v>12</v>
      </c>
      <c r="BZ11" s="1269">
        <v>13</v>
      </c>
      <c r="CA11" s="1269">
        <v>14</v>
      </c>
      <c r="CB11" s="1269">
        <v>15</v>
      </c>
      <c r="CC11" s="1265" t="s">
        <v>1433</v>
      </c>
      <c r="CD11" s="1269">
        <v>1</v>
      </c>
      <c r="CE11" s="1269">
        <v>2</v>
      </c>
      <c r="CF11" s="1269">
        <v>3</v>
      </c>
      <c r="CG11" s="1269">
        <v>4</v>
      </c>
      <c r="CH11" s="1269">
        <v>5</v>
      </c>
      <c r="CI11" s="1269">
        <v>6</v>
      </c>
      <c r="CJ11" s="1269">
        <v>7</v>
      </c>
      <c r="CK11" s="1269">
        <v>8</v>
      </c>
      <c r="CL11" s="1269">
        <v>9</v>
      </c>
      <c r="CM11" s="1269">
        <v>10</v>
      </c>
      <c r="CN11" s="1269">
        <v>11</v>
      </c>
      <c r="CO11" s="1269">
        <v>12</v>
      </c>
      <c r="CP11" s="1269">
        <v>13</v>
      </c>
      <c r="CQ11" s="1269">
        <v>14</v>
      </c>
      <c r="CR11" s="1269">
        <v>15</v>
      </c>
      <c r="CS11" s="1239" t="s">
        <v>292</v>
      </c>
      <c r="CT11" s="1243" t="s">
        <v>84</v>
      </c>
      <c r="CU11" s="1239" t="s">
        <v>1426</v>
      </c>
    </row>
    <row r="12" spans="2:99" ht="16.5" thickBot="1">
      <c r="B12" s="1271"/>
      <c r="C12" s="1272"/>
      <c r="D12" s="1273"/>
      <c r="E12" s="1274" t="s">
        <v>668</v>
      </c>
      <c r="F12" s="1274" t="s">
        <v>1413</v>
      </c>
      <c r="G12" s="1273" t="s">
        <v>664</v>
      </c>
      <c r="H12" s="1273" t="s">
        <v>174</v>
      </c>
      <c r="I12" s="1273" t="s">
        <v>703</v>
      </c>
      <c r="J12" s="1240" t="s">
        <v>175</v>
      </c>
      <c r="K12" s="1271" t="s">
        <v>1415</v>
      </c>
      <c r="L12" s="1273" t="s">
        <v>743</v>
      </c>
      <c r="M12" s="1273" t="s">
        <v>703</v>
      </c>
      <c r="N12" s="1273" t="s">
        <v>743</v>
      </c>
      <c r="O12" s="1273" t="s">
        <v>703</v>
      </c>
      <c r="P12" s="1273" t="s">
        <v>743</v>
      </c>
      <c r="Q12" s="1275" t="s">
        <v>93</v>
      </c>
      <c r="R12" s="1275" t="s">
        <v>1419</v>
      </c>
      <c r="S12" s="1273" t="s">
        <v>1420</v>
      </c>
      <c r="T12" s="1275" t="s">
        <v>855</v>
      </c>
      <c r="U12" s="1275" t="s">
        <v>1421</v>
      </c>
      <c r="V12" s="1275" t="s">
        <v>1421</v>
      </c>
      <c r="W12" s="1275" t="s">
        <v>1421</v>
      </c>
      <c r="X12" s="1275" t="s">
        <v>1421</v>
      </c>
      <c r="Y12" s="1275" t="s">
        <v>1421</v>
      </c>
      <c r="Z12" s="1275" t="s">
        <v>1421</v>
      </c>
      <c r="AA12" s="1275" t="s">
        <v>1421</v>
      </c>
      <c r="AB12" s="1275" t="s">
        <v>1421</v>
      </c>
      <c r="AC12" s="1275" t="s">
        <v>1421</v>
      </c>
      <c r="AD12" s="1275" t="s">
        <v>1421</v>
      </c>
      <c r="AE12" s="1275" t="s">
        <v>1421</v>
      </c>
      <c r="AF12" s="1275" t="s">
        <v>1421</v>
      </c>
      <c r="AG12" s="1275" t="s">
        <v>1421</v>
      </c>
      <c r="AH12" s="1275" t="s">
        <v>1421</v>
      </c>
      <c r="AI12" s="1275" t="s">
        <v>1421</v>
      </c>
      <c r="AJ12" s="1275" t="s">
        <v>1421</v>
      </c>
      <c r="AK12" s="1275" t="s">
        <v>1421</v>
      </c>
      <c r="AL12" s="1275" t="s">
        <v>1421</v>
      </c>
      <c r="AM12" s="1275" t="s">
        <v>1421</v>
      </c>
      <c r="AN12" s="1275" t="s">
        <v>1421</v>
      </c>
      <c r="AO12" s="1275" t="s">
        <v>1421</v>
      </c>
      <c r="AP12" s="1275" t="s">
        <v>1421</v>
      </c>
      <c r="AQ12" s="1275" t="s">
        <v>1421</v>
      </c>
      <c r="AR12" s="1275" t="s">
        <v>1421</v>
      </c>
      <c r="AS12" s="1275" t="s">
        <v>1421</v>
      </c>
      <c r="AT12" s="1275" t="s">
        <v>1421</v>
      </c>
      <c r="AU12" s="1275" t="s">
        <v>1421</v>
      </c>
      <c r="AV12" s="1275" t="s">
        <v>1421</v>
      </c>
      <c r="AW12" s="1275" t="s">
        <v>1421</v>
      </c>
      <c r="AX12" s="1275" t="s">
        <v>1421</v>
      </c>
      <c r="AY12" s="1275"/>
      <c r="AZ12" s="1275"/>
      <c r="BA12" s="1275"/>
      <c r="BB12" s="1275"/>
      <c r="BC12" s="1275"/>
      <c r="BD12" s="1275"/>
      <c r="BE12" s="1275"/>
      <c r="BF12" s="1275"/>
      <c r="BG12" s="1275"/>
      <c r="BH12" s="1275"/>
      <c r="BI12" s="1275"/>
      <c r="BJ12" s="1275"/>
      <c r="BK12" s="1275"/>
      <c r="BL12" s="1275"/>
      <c r="BM12" s="1275"/>
      <c r="BN12" s="1275"/>
      <c r="BO12" s="1275"/>
      <c r="BP12" s="1275"/>
      <c r="BQ12" s="1275"/>
      <c r="BR12" s="1275"/>
      <c r="BS12" s="1275"/>
      <c r="BT12" s="1275"/>
      <c r="BU12" s="1275"/>
      <c r="BV12" s="1275"/>
      <c r="BW12" s="1275"/>
      <c r="BX12" s="1275"/>
      <c r="BY12" s="1275"/>
      <c r="BZ12" s="1275"/>
      <c r="CA12" s="1275"/>
      <c r="CB12" s="1275"/>
      <c r="CC12" s="1273" t="s">
        <v>863</v>
      </c>
      <c r="CD12" s="1275" t="s">
        <v>292</v>
      </c>
      <c r="CE12" s="1275" t="s">
        <v>292</v>
      </c>
      <c r="CF12" s="1275" t="s">
        <v>292</v>
      </c>
      <c r="CG12" s="1275" t="s">
        <v>292</v>
      </c>
      <c r="CH12" s="1275" t="s">
        <v>292</v>
      </c>
      <c r="CI12" s="1275" t="s">
        <v>292</v>
      </c>
      <c r="CJ12" s="1275" t="s">
        <v>292</v>
      </c>
      <c r="CK12" s="1275" t="s">
        <v>292</v>
      </c>
      <c r="CL12" s="1275" t="s">
        <v>292</v>
      </c>
      <c r="CM12" s="1275" t="s">
        <v>292</v>
      </c>
      <c r="CN12" s="1275" t="s">
        <v>292</v>
      </c>
      <c r="CO12" s="1275" t="s">
        <v>292</v>
      </c>
      <c r="CP12" s="1275" t="s">
        <v>292</v>
      </c>
      <c r="CQ12" s="1275" t="s">
        <v>292</v>
      </c>
      <c r="CR12" s="1275" t="s">
        <v>292</v>
      </c>
      <c r="CS12" s="1240" t="s">
        <v>175</v>
      </c>
      <c r="CT12" s="1244" t="s">
        <v>1427</v>
      </c>
      <c r="CU12" s="1240" t="s">
        <v>223</v>
      </c>
    </row>
    <row r="13" spans="2:99" ht="16.5" thickTop="1">
      <c r="B13" s="95"/>
      <c r="J13" s="1277"/>
      <c r="K13" s="95"/>
      <c r="U13" s="421"/>
      <c r="V13" s="421"/>
      <c r="W13" s="421"/>
      <c r="X13" s="421"/>
      <c r="Y13" s="421"/>
      <c r="AB13" s="662"/>
      <c r="CS13" s="1277"/>
      <c r="CT13" s="91"/>
      <c r="CU13" s="633"/>
    </row>
    <row r="14" spans="2:99" s="1006" customFormat="1">
      <c r="B14" s="1359" t="s">
        <v>1550</v>
      </c>
      <c r="J14" s="1356"/>
      <c r="K14" s="1355"/>
      <c r="U14" s="1357"/>
      <c r="V14" s="1357"/>
      <c r="W14" s="1357"/>
      <c r="X14" s="1357"/>
      <c r="Y14" s="1357"/>
      <c r="AB14" s="1358"/>
      <c r="CS14" s="1356"/>
      <c r="CT14" s="1355"/>
      <c r="CU14" s="1356"/>
    </row>
    <row r="15" spans="2:99">
      <c r="B15" s="1245" t="str">
        <f>INDEX(SourceDescription,MATCH($C17,SourceNumber,0),1,1)</f>
        <v>Fume Hood Exhaust 1</v>
      </c>
      <c r="J15" s="1277"/>
      <c r="K15" s="95"/>
      <c r="U15" s="421"/>
      <c r="V15" s="421"/>
      <c r="W15" s="421"/>
      <c r="X15" s="421"/>
      <c r="Y15" s="421"/>
      <c r="Z15" s="1753"/>
      <c r="AA15" s="1753"/>
      <c r="AB15" s="1753"/>
      <c r="AC15" s="1753"/>
      <c r="CS15" s="1277"/>
      <c r="CT15" s="95"/>
      <c r="CU15" s="147"/>
    </row>
    <row r="16" spans="2:99">
      <c r="B16" s="1246" t="str">
        <f>"("&amp;ROUND(INDEX(SourceVolumeFlowRateEnglish,MATCH($C17,SourceNumber,0),1,1),0)&amp;" cfm @ "&amp;ROUND(INDEX(SourceExitVelocityEnglish,MATCH($C17,SourceNumber,0),1,1),0)&amp;" fpm)"</f>
        <v>(1000 cfm @ 2865 fpm)</v>
      </c>
      <c r="J16" s="1277"/>
      <c r="K16" s="95"/>
      <c r="U16" s="421"/>
      <c r="V16" s="421"/>
      <c r="W16" s="421"/>
      <c r="X16" s="421"/>
      <c r="Y16" s="421"/>
      <c r="CS16" s="1277"/>
      <c r="CT16" s="95"/>
      <c r="CU16" s="147"/>
    </row>
    <row r="17" spans="2:99">
      <c r="B17" s="1247">
        <v>101</v>
      </c>
      <c r="C17" s="942" t="s">
        <v>885</v>
      </c>
      <c r="D17" s="5" t="str">
        <f t="shared" ref="D17:D41" si="0">INDEX(SourceID,MATCH($C17,SourceNumber,0),1,1)</f>
        <v>EF-1</v>
      </c>
      <c r="E17" s="1360">
        <f t="shared" ref="E17:E26" si="1">INDEX(SourceHeightAboveBase,MATCH($C17,SourceNumber,0),1,1)*3.28</f>
        <v>10</v>
      </c>
      <c r="F17" s="1361">
        <v>1</v>
      </c>
      <c r="G17" s="1362" t="str">
        <f t="shared" ref="G17:G26" si="2">CONCATENATE(" - ",INDEX(ReceptorID,MATCH(F17,ReceptorNumber,0),1,1))</f>
        <v xml:space="preserve"> - Receptor 1</v>
      </c>
      <c r="H17" s="318">
        <f t="shared" ref="H17:H41" si="3">INDEX(TPWWD,MATCH($B17,TPRunNumber,0),1,1)</f>
        <v>0</v>
      </c>
      <c r="I17" s="650">
        <f t="shared" ref="I17:I41" si="4">INDEX(TPWWS,MATCH($B17,TPRunNumber,0),1,1)</f>
        <v>0</v>
      </c>
      <c r="J17" s="1278">
        <f t="shared" ref="J17:J41" si="5">INDEX(TPMaxCm,MATCH($B17,TPRunNumber,0),1,1)</f>
        <v>0</v>
      </c>
      <c r="K17" s="1249">
        <f t="shared" ref="K17:K41" si="6">INDEX(SourceVolumeFlowRate,MATCH($D17,SourceID,0))</f>
        <v>0.47231008449287359</v>
      </c>
      <c r="L17" s="1237">
        <f t="shared" ref="L17:L41" si="7">INDEX(SourceExitDiameter,MATCH($D17,SourceID,0))</f>
        <v>0.2032520325203252</v>
      </c>
      <c r="M17" s="1237">
        <f t="shared" ref="M17:M41" si="8">INDEX(SourceExitVelocity,MATCH($D17,SourceID,0))</f>
        <v>14.556854551087991</v>
      </c>
      <c r="N17" s="1237">
        <f t="shared" ref="N17:N26" si="9">((INDEX(Zcoord,MATCH($C17,CoordIndex,0))/3.28)+($E17/3.28))-(INDEX(Zcoord,MATCH($F17,CoordIndex,0))/3.28)</f>
        <v>-3.0487804878048781</v>
      </c>
      <c r="O17" s="1242" t="s">
        <v>1432</v>
      </c>
      <c r="P17" s="1237">
        <f t="shared" ref="P17" si="10">(SQRT((INDEX(Xcoord,MATCH(C17,CoordIndex,0),1,1)-INDEX(Xcoord,MATCH(F17,CoordIndex,0),1,1))^2+(INDEX(Ycoord,MATCH(C17,CoordIndex,0),1,1)-INDEX(Ycoord,MATCH(F17,CoordIndex,0),1,1))^2))/3.28</f>
        <v>41.267467198416838</v>
      </c>
      <c r="Q17" s="942">
        <v>0.153</v>
      </c>
      <c r="R17" s="942">
        <v>3</v>
      </c>
      <c r="S17" s="942">
        <v>1</v>
      </c>
      <c r="T17" s="942">
        <v>0</v>
      </c>
      <c r="U17" s="36">
        <f>0.0735*U$11/$K17</f>
        <v>0.15561810431999995</v>
      </c>
      <c r="V17" s="36">
        <f t="shared" ref="V17:AI17" si="11">0.0735*V$11/$K17</f>
        <v>0.3112362086399999</v>
      </c>
      <c r="W17" s="36">
        <f t="shared" si="11"/>
        <v>0.46685431295999985</v>
      </c>
      <c r="X17" s="36">
        <f t="shared" si="11"/>
        <v>0.6224724172799998</v>
      </c>
      <c r="Y17" s="36">
        <f t="shared" si="11"/>
        <v>0.77809052159999981</v>
      </c>
      <c r="Z17" s="36">
        <f t="shared" si="11"/>
        <v>0.9337086259199997</v>
      </c>
      <c r="AA17" s="36">
        <f t="shared" si="11"/>
        <v>1.0893267302399996</v>
      </c>
      <c r="AB17" s="36">
        <f t="shared" si="11"/>
        <v>1.2449448345599996</v>
      </c>
      <c r="AC17" s="36">
        <f t="shared" si="11"/>
        <v>1.4005629388799996</v>
      </c>
      <c r="AD17" s="36">
        <f t="shared" si="11"/>
        <v>1.5561810431999996</v>
      </c>
      <c r="AE17" s="36">
        <f t="shared" si="11"/>
        <v>1.7117991475199996</v>
      </c>
      <c r="AF17" s="36">
        <f t="shared" si="11"/>
        <v>1.8674172518399994</v>
      </c>
      <c r="AG17" s="36">
        <f t="shared" si="11"/>
        <v>2.0230353561599994</v>
      </c>
      <c r="AH17" s="36">
        <f t="shared" si="11"/>
        <v>2.1786534604799992</v>
      </c>
      <c r="AI17" s="36">
        <f t="shared" si="11"/>
        <v>2.3342715647999994</v>
      </c>
      <c r="AJ17" s="241">
        <f>(4*$K17)/(PI()*$L17^2*AJ$11)</f>
        <v>14.556854551087994</v>
      </c>
      <c r="AK17" s="241">
        <f t="shared" ref="AK17:AX17" si="12">(4*$K17)/(PI()*$L17^2*AK$11)</f>
        <v>7.2784272755439972</v>
      </c>
      <c r="AL17" s="241">
        <f t="shared" si="12"/>
        <v>4.8522848503626648</v>
      </c>
      <c r="AM17" s="241">
        <f t="shared" si="12"/>
        <v>3.6392136377719986</v>
      </c>
      <c r="AN17" s="241">
        <f t="shared" si="12"/>
        <v>2.9113709102175989</v>
      </c>
      <c r="AO17" s="241">
        <f t="shared" si="12"/>
        <v>2.4261424251813324</v>
      </c>
      <c r="AP17" s="241">
        <f t="shared" si="12"/>
        <v>2.0795506501554275</v>
      </c>
      <c r="AQ17" s="241">
        <f t="shared" si="12"/>
        <v>1.8196068188859993</v>
      </c>
      <c r="AR17" s="241">
        <f t="shared" si="12"/>
        <v>1.6174282834542217</v>
      </c>
      <c r="AS17" s="241">
        <f t="shared" si="12"/>
        <v>1.4556854551087994</v>
      </c>
      <c r="AT17" s="241">
        <f t="shared" si="12"/>
        <v>1.3233504137352721</v>
      </c>
      <c r="AU17" s="241">
        <f t="shared" si="12"/>
        <v>1.2130712125906662</v>
      </c>
      <c r="AV17" s="241">
        <f t="shared" si="12"/>
        <v>1.1197580423913842</v>
      </c>
      <c r="AW17" s="241">
        <f t="shared" si="12"/>
        <v>1.0397753250777138</v>
      </c>
      <c r="AX17" s="241">
        <f t="shared" si="12"/>
        <v>0.97045697007253295</v>
      </c>
      <c r="AY17" s="169">
        <f>(1/(1.28*$Q17^2))*($N17^2+2*$R17*$S17*$N17*$L17*AJ17+$R17^2*$S17*$L17^2*AJ17^2)</f>
        <v>1133.3118384896156</v>
      </c>
      <c r="AZ17" s="169">
        <f t="shared" ref="AZ17:BM26" si="13">(1/(1.28*$Q17^2))*($N17^2+2*$R17*$S17*$N17*$L17*AK17+$R17^2*$S17*$L17^2*AK17^2)</f>
        <v>64.415415824489884</v>
      </c>
      <c r="BA17" s="169">
        <f t="shared" si="13"/>
        <v>0.27075067631319122</v>
      </c>
      <c r="BB17" s="169">
        <f t="shared" si="13"/>
        <v>22.977319803511882</v>
      </c>
      <c r="BC17" s="169">
        <f t="shared" si="13"/>
        <v>54.130509824243099</v>
      </c>
      <c r="BD17" s="169">
        <f t="shared" si="13"/>
        <v>82.203156731568882</v>
      </c>
      <c r="BE17" s="169">
        <f t="shared" si="13"/>
        <v>105.83244504178359</v>
      </c>
      <c r="BF17" s="169">
        <f t="shared" si="13"/>
        <v>125.51080062091911</v>
      </c>
      <c r="BG17" s="169">
        <f t="shared" si="13"/>
        <v>141.97553012852799</v>
      </c>
      <c r="BH17" s="169">
        <f t="shared" si="13"/>
        <v>155.87769909063226</v>
      </c>
      <c r="BI17" s="169">
        <f t="shared" si="13"/>
        <v>167.73510037765456</v>
      </c>
      <c r="BJ17" s="169">
        <f t="shared" si="13"/>
        <v>177.94826146048396</v>
      </c>
      <c r="BK17" s="169">
        <f t="shared" si="13"/>
        <v>186.82590191067268</v>
      </c>
      <c r="BL17" s="169">
        <f t="shared" si="13"/>
        <v>194.6072982830521</v>
      </c>
      <c r="BM17" s="169">
        <f t="shared" si="13"/>
        <v>201.47959454236991</v>
      </c>
      <c r="BN17" s="245">
        <f>(U17*$P17^2+$T17)*(1+(AY17/($P17^2)))</f>
        <v>441.38207053591788</v>
      </c>
      <c r="BO17" s="245">
        <f t="shared" ref="BO17:CB26" si="14">(V17*$P17^2+$T17)*(1+(AZ17/($P17^2)))</f>
        <v>550.08487105268318</v>
      </c>
      <c r="BP17" s="245">
        <f t="shared" si="14"/>
        <v>795.1810930012233</v>
      </c>
      <c r="BQ17" s="245">
        <f t="shared" si="14"/>
        <v>1074.3756703077074</v>
      </c>
      <c r="BR17" s="245">
        <f t="shared" si="14"/>
        <v>1367.209589757369</v>
      </c>
      <c r="BS17" s="245">
        <f t="shared" si="14"/>
        <v>1666.863180278619</v>
      </c>
      <c r="BT17" s="245">
        <f t="shared" si="14"/>
        <v>1970.41372569792</v>
      </c>
      <c r="BU17" s="245">
        <f t="shared" si="14"/>
        <v>2276.3998679285028</v>
      </c>
      <c r="BV17" s="245">
        <f t="shared" si="14"/>
        <v>2584.0097413666062</v>
      </c>
      <c r="BW17" s="245">
        <f t="shared" si="14"/>
        <v>2892.7562266499749</v>
      </c>
      <c r="BX17" s="245">
        <f t="shared" si="14"/>
        <v>3202.3293387299</v>
      </c>
      <c r="BY17" s="245">
        <f t="shared" si="14"/>
        <v>3512.5224209072412</v>
      </c>
      <c r="BZ17" s="245">
        <f t="shared" si="14"/>
        <v>3823.192403159519</v>
      </c>
      <c r="CA17" s="245">
        <f t="shared" si="14"/>
        <v>4134.2370926135327</v>
      </c>
      <c r="CB17" s="245">
        <f t="shared" si="14"/>
        <v>4445.581547828936</v>
      </c>
      <c r="CC17" s="245">
        <f>MIN(BN17:CB17)</f>
        <v>441.38207053591788</v>
      </c>
      <c r="CD17" s="241">
        <f>10^6/($K17*BN17)</f>
        <v>4796.8716024855066</v>
      </c>
      <c r="CE17" s="241">
        <f t="shared" ref="CE17:CS26" si="15">10^6/($K17*BO17)</f>
        <v>3848.9571908208763</v>
      </c>
      <c r="CF17" s="241">
        <f t="shared" si="15"/>
        <v>2662.604957078302</v>
      </c>
      <c r="CG17" s="241">
        <f t="shared" si="15"/>
        <v>1970.6823027680866</v>
      </c>
      <c r="CH17" s="241">
        <f t="shared" si="15"/>
        <v>1548.5944041511123</v>
      </c>
      <c r="CI17" s="241">
        <f t="shared" si="15"/>
        <v>1270.2021047978858</v>
      </c>
      <c r="CJ17" s="241">
        <f t="shared" si="15"/>
        <v>1074.5221129892755</v>
      </c>
      <c r="CK17" s="241">
        <f t="shared" si="15"/>
        <v>930.08840398794928</v>
      </c>
      <c r="CL17" s="241">
        <f t="shared" si="15"/>
        <v>819.36731356138273</v>
      </c>
      <c r="CM17" s="241">
        <f t="shared" si="15"/>
        <v>731.91549999770803</v>
      </c>
      <c r="CN17" s="241">
        <f t="shared" si="15"/>
        <v>661.1603292619925</v>
      </c>
      <c r="CO17" s="241">
        <f t="shared" si="15"/>
        <v>602.77284136257242</v>
      </c>
      <c r="CP17" s="241">
        <f t="shared" si="15"/>
        <v>553.79193530785506</v>
      </c>
      <c r="CQ17" s="241">
        <f t="shared" si="15"/>
        <v>512.1266808289264</v>
      </c>
      <c r="CR17" s="241">
        <f t="shared" si="15"/>
        <v>476.26010168095803</v>
      </c>
      <c r="CS17" s="1285">
        <f t="shared" si="15"/>
        <v>4796.8716024855066</v>
      </c>
      <c r="CT17" s="1281" t="e">
        <f>(J17-CS17)/J17</f>
        <v>#DIV/0!</v>
      </c>
      <c r="CU17" s="1282" t="e">
        <f>CS17/J17</f>
        <v>#DIV/0!</v>
      </c>
    </row>
    <row r="18" spans="2:99">
      <c r="B18" s="1247">
        <v>101</v>
      </c>
      <c r="C18" s="5" t="str">
        <f>C17</f>
        <v>AA</v>
      </c>
      <c r="D18" s="5" t="str">
        <f t="shared" si="0"/>
        <v>EF-1</v>
      </c>
      <c r="E18" s="1360">
        <f t="shared" si="1"/>
        <v>10</v>
      </c>
      <c r="F18" s="1361">
        <v>2</v>
      </c>
      <c r="G18" s="1362" t="str">
        <f t="shared" si="2"/>
        <v xml:space="preserve"> - Receptor 2</v>
      </c>
      <c r="H18" s="318">
        <f t="shared" si="3"/>
        <v>0</v>
      </c>
      <c r="I18" s="650">
        <f t="shared" si="4"/>
        <v>0</v>
      </c>
      <c r="J18" s="1278">
        <f t="shared" si="5"/>
        <v>0</v>
      </c>
      <c r="K18" s="1249">
        <f t="shared" si="6"/>
        <v>0.47231008449287359</v>
      </c>
      <c r="L18" s="1237">
        <f t="shared" si="7"/>
        <v>0.2032520325203252</v>
      </c>
      <c r="M18" s="1237">
        <f t="shared" si="8"/>
        <v>14.556854551087991</v>
      </c>
      <c r="N18" s="1237">
        <f t="shared" si="9"/>
        <v>-18.59756097560976</v>
      </c>
      <c r="O18" s="1242" t="s">
        <v>1432</v>
      </c>
      <c r="P18" s="1237">
        <f t="shared" ref="P18:P26" si="16">(SQRT((INDEX(Xcoord,MATCH(C18,CoordIndex,0),1,1)-INDEX(Xcoord,MATCH(F18,CoordIndex,0),1,1))^2+(INDEX(Ycoord,MATCH(C18,CoordIndex,0),1,1)-INDEX(Ycoord,MATCH(F18,CoordIndex,0),1,1))^2))/3.28</f>
        <v>37.201248340980918</v>
      </c>
      <c r="Q18" s="5">
        <f>Q17</f>
        <v>0.153</v>
      </c>
      <c r="R18" s="5">
        <f>R17</f>
        <v>3</v>
      </c>
      <c r="S18" s="5">
        <f>S17</f>
        <v>1</v>
      </c>
      <c r="T18" s="5">
        <f>T17</f>
        <v>0</v>
      </c>
      <c r="U18" s="36">
        <f t="shared" ref="U18:AI33" si="17">0.0735*U$11/$K18</f>
        <v>0.15561810431999995</v>
      </c>
      <c r="V18" s="36">
        <f t="shared" si="17"/>
        <v>0.3112362086399999</v>
      </c>
      <c r="W18" s="36">
        <f t="shared" si="17"/>
        <v>0.46685431295999985</v>
      </c>
      <c r="X18" s="36">
        <f t="shared" si="17"/>
        <v>0.6224724172799998</v>
      </c>
      <c r="Y18" s="36">
        <f t="shared" si="17"/>
        <v>0.77809052159999981</v>
      </c>
      <c r="Z18" s="36">
        <f t="shared" si="17"/>
        <v>0.9337086259199997</v>
      </c>
      <c r="AA18" s="36">
        <f t="shared" si="17"/>
        <v>1.0893267302399996</v>
      </c>
      <c r="AB18" s="36">
        <f t="shared" si="17"/>
        <v>1.2449448345599996</v>
      </c>
      <c r="AC18" s="36">
        <f t="shared" si="17"/>
        <v>1.4005629388799996</v>
      </c>
      <c r="AD18" s="36">
        <f t="shared" si="17"/>
        <v>1.5561810431999996</v>
      </c>
      <c r="AE18" s="36">
        <f t="shared" si="17"/>
        <v>1.7117991475199996</v>
      </c>
      <c r="AF18" s="36">
        <f t="shared" si="17"/>
        <v>1.8674172518399994</v>
      </c>
      <c r="AG18" s="36">
        <f t="shared" si="17"/>
        <v>2.0230353561599994</v>
      </c>
      <c r="AH18" s="36">
        <f t="shared" si="17"/>
        <v>2.1786534604799992</v>
      </c>
      <c r="AI18" s="36">
        <f t="shared" si="17"/>
        <v>2.3342715647999994</v>
      </c>
      <c r="AJ18" s="241">
        <f t="shared" ref="AJ18:AX33" si="18">(4*$K18)/(PI()*$L18^2*AJ$11)</f>
        <v>14.556854551087994</v>
      </c>
      <c r="AK18" s="241">
        <f t="shared" si="18"/>
        <v>7.2784272755439972</v>
      </c>
      <c r="AL18" s="241">
        <f t="shared" si="18"/>
        <v>4.8522848503626648</v>
      </c>
      <c r="AM18" s="241">
        <f t="shared" si="18"/>
        <v>3.6392136377719986</v>
      </c>
      <c r="AN18" s="241">
        <f t="shared" si="18"/>
        <v>2.9113709102175989</v>
      </c>
      <c r="AO18" s="241">
        <f t="shared" si="18"/>
        <v>2.4261424251813324</v>
      </c>
      <c r="AP18" s="241">
        <f t="shared" si="18"/>
        <v>2.0795506501554275</v>
      </c>
      <c r="AQ18" s="241">
        <f t="shared" si="18"/>
        <v>1.8196068188859993</v>
      </c>
      <c r="AR18" s="241">
        <f t="shared" si="18"/>
        <v>1.6174282834542217</v>
      </c>
      <c r="AS18" s="241">
        <f t="shared" si="18"/>
        <v>1.4556854551087994</v>
      </c>
      <c r="AT18" s="241">
        <f t="shared" si="18"/>
        <v>1.3233504137352721</v>
      </c>
      <c r="AU18" s="241">
        <f t="shared" si="18"/>
        <v>1.2130712125906662</v>
      </c>
      <c r="AV18" s="241">
        <f t="shared" si="18"/>
        <v>1.1197580423913842</v>
      </c>
      <c r="AW18" s="241">
        <f t="shared" si="18"/>
        <v>1.0397753250777138</v>
      </c>
      <c r="AX18" s="241">
        <f t="shared" si="18"/>
        <v>0.97045697007253295</v>
      </c>
      <c r="AY18" s="169">
        <f t="shared" ref="AY18:AY26" si="19">(1/(1.28*$Q18^2))*($N18^2+2*$R18*$S18*$N18*$L18*AJ18+$R18^2*$S18*$L18^2*AJ18^2)</f>
        <v>3154.04212174845</v>
      </c>
      <c r="AZ18" s="169">
        <f t="shared" si="13"/>
        <v>6691.1802958475146</v>
      </c>
      <c r="BA18" s="169">
        <f t="shared" si="13"/>
        <v>8162.380496287401</v>
      </c>
      <c r="BB18" s="169">
        <f t="shared" si="13"/>
        <v>8952.7594982086321</v>
      </c>
      <c r="BC18" s="169">
        <f t="shared" si="13"/>
        <v>9444.5161479057824</v>
      </c>
      <c r="BD18" s="169">
        <f t="shared" si="13"/>
        <v>9779.6577679307229</v>
      </c>
      <c r="BE18" s="169">
        <f t="shared" si="13"/>
        <v>10022.622037039231</v>
      </c>
      <c r="BF18" s="169">
        <f t="shared" si="13"/>
        <v>10206.801628217087</v>
      </c>
      <c r="BG18" s="169">
        <f t="shared" si="13"/>
        <v>10351.211763190367</v>
      </c>
      <c r="BH18" s="169">
        <f t="shared" si="13"/>
        <v>10467.470256525008</v>
      </c>
      <c r="BI18" s="169">
        <f t="shared" si="13"/>
        <v>10563.073741389564</v>
      </c>
      <c r="BJ18" s="169">
        <f t="shared" si="13"/>
        <v>10643.075305453669</v>
      </c>
      <c r="BK18" s="169">
        <f t="shared" si="13"/>
        <v>10711.004671503399</v>
      </c>
      <c r="BL18" s="169">
        <f t="shared" si="13"/>
        <v>10769.401832675383</v>
      </c>
      <c r="BM18" s="169">
        <f t="shared" si="13"/>
        <v>10820.14112509436</v>
      </c>
      <c r="BN18" s="245">
        <f t="shared" ref="BN18:BN26" si="20">(U18*$P18^2+$T18)*(1+(AY18/($P18^2)))</f>
        <v>706.1910669322217</v>
      </c>
      <c r="BO18" s="245">
        <f t="shared" si="14"/>
        <v>2513.2676086068482</v>
      </c>
      <c r="BP18" s="245">
        <f t="shared" si="14"/>
        <v>4456.7375717132491</v>
      </c>
      <c r="BQ18" s="245">
        <f t="shared" si="14"/>
        <v>6434.3058901775948</v>
      </c>
      <c r="BR18" s="245">
        <f t="shared" si="14"/>
        <v>8425.5135507851192</v>
      </c>
      <c r="BS18" s="245">
        <f t="shared" si="14"/>
        <v>10423.540882464233</v>
      </c>
      <c r="BT18" s="245">
        <f t="shared" si="14"/>
        <v>12425.465169041392</v>
      </c>
      <c r="BU18" s="245">
        <f t="shared" si="14"/>
        <v>14429.825052429835</v>
      </c>
      <c r="BV18" s="245">
        <f t="shared" si="14"/>
        <v>16435.808667025802</v>
      </c>
      <c r="BW18" s="245">
        <f t="shared" si="14"/>
        <v>18442.928893467033</v>
      </c>
      <c r="BX18" s="245">
        <f t="shared" si="14"/>
        <v>20450.87574670482</v>
      </c>
      <c r="BY18" s="245">
        <f t="shared" si="14"/>
        <v>22459.442570040021</v>
      </c>
      <c r="BZ18" s="245">
        <f t="shared" si="14"/>
        <v>24468.486293450165</v>
      </c>
      <c r="CA18" s="245">
        <f t="shared" si="14"/>
        <v>26477.904724062031</v>
      </c>
      <c r="CB18" s="245">
        <f t="shared" si="14"/>
        <v>28487.622920435304</v>
      </c>
      <c r="CC18" s="245">
        <f t="shared" ref="CC18:CC26" si="21">MIN(BN18:CB18)</f>
        <v>706.1910669322217</v>
      </c>
      <c r="CD18" s="241">
        <f t="shared" ref="CD18:CD26" si="22">10^6/($K18*BN18)</f>
        <v>2998.1307030653898</v>
      </c>
      <c r="CE18" s="241">
        <f t="shared" si="15"/>
        <v>842.43043309408381</v>
      </c>
      <c r="CF18" s="241">
        <f t="shared" si="15"/>
        <v>475.06793611500211</v>
      </c>
      <c r="CG18" s="241">
        <f t="shared" si="15"/>
        <v>329.0569575239079</v>
      </c>
      <c r="CH18" s="241">
        <f t="shared" si="15"/>
        <v>251.29069073809825</v>
      </c>
      <c r="CI18" s="241">
        <f t="shared" si="15"/>
        <v>203.12225412401884</v>
      </c>
      <c r="CJ18" s="241">
        <f t="shared" si="15"/>
        <v>170.39628627145737</v>
      </c>
      <c r="CK18" s="241">
        <f t="shared" si="15"/>
        <v>146.72756684901566</v>
      </c>
      <c r="CL18" s="241">
        <f t="shared" si="15"/>
        <v>128.81952831732096</v>
      </c>
      <c r="CM18" s="241">
        <f t="shared" si="15"/>
        <v>114.80026476434477</v>
      </c>
      <c r="CN18" s="241">
        <f t="shared" si="15"/>
        <v>103.5287264087527</v>
      </c>
      <c r="CO18" s="241">
        <f t="shared" si="15"/>
        <v>94.270065403329667</v>
      </c>
      <c r="CP18" s="241">
        <f t="shared" si="15"/>
        <v>86.529795697527689</v>
      </c>
      <c r="CQ18" s="241">
        <f t="shared" si="15"/>
        <v>79.963016034117203</v>
      </c>
      <c r="CR18" s="241">
        <f t="shared" si="15"/>
        <v>74.321859914861818</v>
      </c>
      <c r="CS18" s="1285">
        <f t="shared" si="15"/>
        <v>2998.1307030653898</v>
      </c>
      <c r="CT18" s="1281" t="e">
        <f t="shared" ref="CT18:CT26" si="23">(J18-CS18)/J18</f>
        <v>#DIV/0!</v>
      </c>
      <c r="CU18" s="1282" t="e">
        <f t="shared" ref="CU18:CU26" si="24">CS18/J18</f>
        <v>#DIV/0!</v>
      </c>
    </row>
    <row r="19" spans="2:99">
      <c r="B19" s="1247">
        <v>101</v>
      </c>
      <c r="C19" s="5" t="str">
        <f t="shared" ref="C19:C26" si="25">C18</f>
        <v>AA</v>
      </c>
      <c r="D19" s="5" t="str">
        <f t="shared" si="0"/>
        <v>EF-1</v>
      </c>
      <c r="E19" s="1360">
        <f t="shared" si="1"/>
        <v>10</v>
      </c>
      <c r="F19" s="1361">
        <v>3</v>
      </c>
      <c r="G19" s="1362" t="str">
        <f t="shared" si="2"/>
        <v xml:space="preserve"> - Receptor 3</v>
      </c>
      <c r="H19" s="318">
        <f t="shared" si="3"/>
        <v>0</v>
      </c>
      <c r="I19" s="650">
        <f t="shared" si="4"/>
        <v>0</v>
      </c>
      <c r="J19" s="1278">
        <f t="shared" si="5"/>
        <v>0</v>
      </c>
      <c r="K19" s="1249">
        <f t="shared" si="6"/>
        <v>0.47231008449287359</v>
      </c>
      <c r="L19" s="1237">
        <f t="shared" si="7"/>
        <v>0.2032520325203252</v>
      </c>
      <c r="M19" s="1237">
        <f t="shared" si="8"/>
        <v>14.556854551087991</v>
      </c>
      <c r="N19" s="1237">
        <f t="shared" si="9"/>
        <v>-14.939024390243903</v>
      </c>
      <c r="O19" s="1242" t="s">
        <v>1432</v>
      </c>
      <c r="P19" s="1237">
        <f t="shared" si="16"/>
        <v>71.771839608160789</v>
      </c>
      <c r="Q19" s="5">
        <f t="shared" ref="Q19:Q26" si="26">Q18</f>
        <v>0.153</v>
      </c>
      <c r="R19" s="5">
        <f t="shared" ref="R19:R26" si="27">R18</f>
        <v>3</v>
      </c>
      <c r="S19" s="5">
        <f t="shared" ref="S19:S26" si="28">S18</f>
        <v>1</v>
      </c>
      <c r="T19" s="5">
        <f t="shared" ref="T19:T26" si="29">T18</f>
        <v>0</v>
      </c>
      <c r="U19" s="36">
        <f t="shared" si="17"/>
        <v>0.15561810431999995</v>
      </c>
      <c r="V19" s="36">
        <f t="shared" si="17"/>
        <v>0.3112362086399999</v>
      </c>
      <c r="W19" s="36">
        <f t="shared" si="17"/>
        <v>0.46685431295999985</v>
      </c>
      <c r="X19" s="36">
        <f t="shared" si="17"/>
        <v>0.6224724172799998</v>
      </c>
      <c r="Y19" s="36">
        <f t="shared" si="17"/>
        <v>0.77809052159999981</v>
      </c>
      <c r="Z19" s="36">
        <f t="shared" si="17"/>
        <v>0.9337086259199997</v>
      </c>
      <c r="AA19" s="36">
        <f t="shared" si="17"/>
        <v>1.0893267302399996</v>
      </c>
      <c r="AB19" s="36">
        <f t="shared" si="17"/>
        <v>1.2449448345599996</v>
      </c>
      <c r="AC19" s="36">
        <f t="shared" si="17"/>
        <v>1.4005629388799996</v>
      </c>
      <c r="AD19" s="36">
        <f t="shared" si="17"/>
        <v>1.5561810431999996</v>
      </c>
      <c r="AE19" s="36">
        <f t="shared" si="17"/>
        <v>1.7117991475199996</v>
      </c>
      <c r="AF19" s="36">
        <f t="shared" si="17"/>
        <v>1.8674172518399994</v>
      </c>
      <c r="AG19" s="36">
        <f t="shared" si="17"/>
        <v>2.0230353561599994</v>
      </c>
      <c r="AH19" s="36">
        <f t="shared" si="17"/>
        <v>2.1786534604799992</v>
      </c>
      <c r="AI19" s="36">
        <f t="shared" si="17"/>
        <v>2.3342715647999994</v>
      </c>
      <c r="AJ19" s="241">
        <f t="shared" si="18"/>
        <v>14.556854551087994</v>
      </c>
      <c r="AK19" s="241">
        <f t="shared" si="18"/>
        <v>7.2784272755439972</v>
      </c>
      <c r="AL19" s="241">
        <f t="shared" si="18"/>
        <v>4.8522848503626648</v>
      </c>
      <c r="AM19" s="241">
        <f t="shared" si="18"/>
        <v>3.6392136377719986</v>
      </c>
      <c r="AN19" s="241">
        <f t="shared" si="18"/>
        <v>2.9113709102175989</v>
      </c>
      <c r="AO19" s="241">
        <f t="shared" si="18"/>
        <v>2.4261424251813324</v>
      </c>
      <c r="AP19" s="241">
        <f t="shared" si="18"/>
        <v>2.0795506501554275</v>
      </c>
      <c r="AQ19" s="241">
        <f t="shared" si="18"/>
        <v>1.8196068188859993</v>
      </c>
      <c r="AR19" s="241">
        <f t="shared" si="18"/>
        <v>1.6174282834542217</v>
      </c>
      <c r="AS19" s="241">
        <f t="shared" si="18"/>
        <v>1.4556854551087994</v>
      </c>
      <c r="AT19" s="241">
        <f t="shared" si="18"/>
        <v>1.3233504137352721</v>
      </c>
      <c r="AU19" s="241">
        <f t="shared" si="18"/>
        <v>1.2130712125906662</v>
      </c>
      <c r="AV19" s="241">
        <f t="shared" si="18"/>
        <v>1.1197580423913842</v>
      </c>
      <c r="AW19" s="241">
        <f t="shared" si="18"/>
        <v>1.0397753250777138</v>
      </c>
      <c r="AX19" s="241">
        <f t="shared" si="18"/>
        <v>0.97045697007253295</v>
      </c>
      <c r="AY19" s="169">
        <f t="shared" si="19"/>
        <v>1226.7810456719651</v>
      </c>
      <c r="AZ19" s="169">
        <f t="shared" si="13"/>
        <v>3680.146373473573</v>
      </c>
      <c r="BA19" s="169">
        <f t="shared" si="13"/>
        <v>4790.0889584809738</v>
      </c>
      <c r="BB19" s="169">
        <f t="shared" si="13"/>
        <v>5399.8391526859614</v>
      </c>
      <c r="BC19" s="169">
        <f t="shared" si="13"/>
        <v>5783.2185177533665</v>
      </c>
      <c r="BD19" s="169">
        <f t="shared" si="13"/>
        <v>6046.1086146918087</v>
      </c>
      <c r="BE19" s="169">
        <f t="shared" si="13"/>
        <v>6237.464653024248</v>
      </c>
      <c r="BF19" s="169">
        <f t="shared" si="13"/>
        <v>6382.9380711200529</v>
      </c>
      <c r="BG19" s="169">
        <f t="shared" si="13"/>
        <v>6497.2434048072937</v>
      </c>
      <c r="BH19" s="169">
        <f t="shared" si="13"/>
        <v>6589.4180571131028</v>
      </c>
      <c r="BI19" s="169">
        <f t="shared" si="13"/>
        <v>6665.3165811358831</v>
      </c>
      <c r="BJ19" s="169">
        <f t="shared" si="13"/>
        <v>6728.8973444985122</v>
      </c>
      <c r="BK19" s="169">
        <f t="shared" si="13"/>
        <v>6782.9321868777624</v>
      </c>
      <c r="BL19" s="169">
        <f t="shared" si="13"/>
        <v>6829.4197563321932</v>
      </c>
      <c r="BM19" s="169">
        <f t="shared" si="13"/>
        <v>6869.8374025959565</v>
      </c>
      <c r="BN19" s="245">
        <f t="shared" si="20"/>
        <v>992.52884675241364</v>
      </c>
      <c r="BO19" s="245">
        <f t="shared" si="14"/>
        <v>2748.6338165386301</v>
      </c>
      <c r="BP19" s="245">
        <f t="shared" si="14"/>
        <v>4641.1322077566219</v>
      </c>
      <c r="BQ19" s="245">
        <f t="shared" si="14"/>
        <v>6567.7289543325569</v>
      </c>
      <c r="BR19" s="245">
        <f t="shared" si="14"/>
        <v>8507.9650430516704</v>
      </c>
      <c r="BS19" s="245">
        <f t="shared" si="14"/>
        <v>10455.020802842373</v>
      </c>
      <c r="BT19" s="245">
        <f t="shared" si="14"/>
        <v>12405.973517531123</v>
      </c>
      <c r="BU19" s="245">
        <f t="shared" si="14"/>
        <v>14359.361829031159</v>
      </c>
      <c r="BV19" s="245">
        <f t="shared" si="14"/>
        <v>16314.373871738715</v>
      </c>
      <c r="BW19" s="245">
        <f t="shared" si="14"/>
        <v>18270.522526291534</v>
      </c>
      <c r="BX19" s="245">
        <f t="shared" si="14"/>
        <v>20227.497807640913</v>
      </c>
      <c r="BY19" s="245">
        <f t="shared" si="14"/>
        <v>22185.093059087703</v>
      </c>
      <c r="BZ19" s="245">
        <f t="shared" si="14"/>
        <v>24143.165210609437</v>
      </c>
      <c r="CA19" s="245">
        <f t="shared" si="14"/>
        <v>26101.612069332899</v>
      </c>
      <c r="CB19" s="245">
        <f t="shared" si="14"/>
        <v>28060.35869381775</v>
      </c>
      <c r="CC19" s="245">
        <f t="shared" si="21"/>
        <v>992.52884675241364</v>
      </c>
      <c r="CD19" s="241">
        <f t="shared" si="22"/>
        <v>2133.1905132306429</v>
      </c>
      <c r="CE19" s="241">
        <f t="shared" si="15"/>
        <v>770.29290233584777</v>
      </c>
      <c r="CF19" s="241">
        <f t="shared" si="15"/>
        <v>456.19323587927124</v>
      </c>
      <c r="CG19" s="241">
        <f t="shared" si="15"/>
        <v>322.37218294511126</v>
      </c>
      <c r="CH19" s="241">
        <f t="shared" si="15"/>
        <v>248.85540893578647</v>
      </c>
      <c r="CI19" s="241">
        <f t="shared" si="15"/>
        <v>202.51065587783324</v>
      </c>
      <c r="CJ19" s="241">
        <f t="shared" si="15"/>
        <v>170.66400448203987</v>
      </c>
      <c r="CK19" s="241">
        <f t="shared" si="15"/>
        <v>147.44757776904999</v>
      </c>
      <c r="CL19" s="241">
        <f t="shared" si="15"/>
        <v>129.77838663288838</v>
      </c>
      <c r="CM19" s="241">
        <f t="shared" si="15"/>
        <v>115.88355598222455</v>
      </c>
      <c r="CN19" s="241">
        <f t="shared" si="15"/>
        <v>104.67202320992018</v>
      </c>
      <c r="CO19" s="241">
        <f t="shared" si="15"/>
        <v>95.435845788922975</v>
      </c>
      <c r="CP19" s="241">
        <f t="shared" si="15"/>
        <v>87.695755777274684</v>
      </c>
      <c r="CQ19" s="241">
        <f t="shared" si="15"/>
        <v>81.115799069268448</v>
      </c>
      <c r="CR19" s="241">
        <f t="shared" si="15"/>
        <v>75.453530124205869</v>
      </c>
      <c r="CS19" s="1285">
        <f t="shared" si="15"/>
        <v>2133.1905132306429</v>
      </c>
      <c r="CT19" s="1281" t="e">
        <f t="shared" si="23"/>
        <v>#DIV/0!</v>
      </c>
      <c r="CU19" s="1282" t="e">
        <f t="shared" si="24"/>
        <v>#DIV/0!</v>
      </c>
    </row>
    <row r="20" spans="2:99">
      <c r="B20" s="1247">
        <v>101</v>
      </c>
      <c r="C20" s="5" t="str">
        <f t="shared" si="25"/>
        <v>AA</v>
      </c>
      <c r="D20" s="5" t="str">
        <f t="shared" si="0"/>
        <v>EF-1</v>
      </c>
      <c r="E20" s="1360">
        <f t="shared" si="1"/>
        <v>10</v>
      </c>
      <c r="F20" s="1361">
        <v>4</v>
      </c>
      <c r="G20" s="1362" t="str">
        <f t="shared" si="2"/>
        <v xml:space="preserve"> - Receptor 4</v>
      </c>
      <c r="H20" s="318">
        <f t="shared" si="3"/>
        <v>0</v>
      </c>
      <c r="I20" s="650">
        <f t="shared" si="4"/>
        <v>0</v>
      </c>
      <c r="J20" s="1278">
        <f t="shared" si="5"/>
        <v>0</v>
      </c>
      <c r="K20" s="1249">
        <f t="shared" si="6"/>
        <v>0.47231008449287359</v>
      </c>
      <c r="L20" s="1237">
        <f t="shared" si="7"/>
        <v>0.2032520325203252</v>
      </c>
      <c r="M20" s="1237">
        <f t="shared" si="8"/>
        <v>14.556854551087991</v>
      </c>
      <c r="N20" s="1237">
        <f t="shared" si="9"/>
        <v>-28.658536585365859</v>
      </c>
      <c r="O20" s="1242" t="s">
        <v>1432</v>
      </c>
      <c r="P20" s="1237">
        <f t="shared" si="16"/>
        <v>46.312515533250675</v>
      </c>
      <c r="Q20" s="5">
        <f t="shared" si="26"/>
        <v>0.153</v>
      </c>
      <c r="R20" s="5">
        <f t="shared" si="27"/>
        <v>3</v>
      </c>
      <c r="S20" s="5">
        <f t="shared" si="28"/>
        <v>1</v>
      </c>
      <c r="T20" s="5">
        <f t="shared" si="29"/>
        <v>0</v>
      </c>
      <c r="U20" s="36">
        <f t="shared" si="17"/>
        <v>0.15561810431999995</v>
      </c>
      <c r="V20" s="36">
        <f t="shared" si="17"/>
        <v>0.3112362086399999</v>
      </c>
      <c r="W20" s="36">
        <f t="shared" si="17"/>
        <v>0.46685431295999985</v>
      </c>
      <c r="X20" s="36">
        <f t="shared" si="17"/>
        <v>0.6224724172799998</v>
      </c>
      <c r="Y20" s="36">
        <f t="shared" si="17"/>
        <v>0.77809052159999981</v>
      </c>
      <c r="Z20" s="36">
        <f t="shared" si="17"/>
        <v>0.9337086259199997</v>
      </c>
      <c r="AA20" s="36">
        <f t="shared" si="17"/>
        <v>1.0893267302399996</v>
      </c>
      <c r="AB20" s="36">
        <f t="shared" si="17"/>
        <v>1.2449448345599996</v>
      </c>
      <c r="AC20" s="36">
        <f t="shared" si="17"/>
        <v>1.4005629388799996</v>
      </c>
      <c r="AD20" s="36">
        <f t="shared" si="17"/>
        <v>1.5561810431999996</v>
      </c>
      <c r="AE20" s="36">
        <f t="shared" si="17"/>
        <v>1.7117991475199996</v>
      </c>
      <c r="AF20" s="36">
        <f t="shared" si="17"/>
        <v>1.8674172518399994</v>
      </c>
      <c r="AG20" s="36">
        <f t="shared" si="17"/>
        <v>2.0230353561599994</v>
      </c>
      <c r="AH20" s="36">
        <f t="shared" si="17"/>
        <v>2.1786534604799992</v>
      </c>
      <c r="AI20" s="36">
        <f t="shared" si="17"/>
        <v>2.3342715647999994</v>
      </c>
      <c r="AJ20" s="241">
        <f t="shared" si="18"/>
        <v>14.556854551087994</v>
      </c>
      <c r="AK20" s="241">
        <f t="shared" si="18"/>
        <v>7.2784272755439972</v>
      </c>
      <c r="AL20" s="241">
        <f t="shared" si="18"/>
        <v>4.8522848503626648</v>
      </c>
      <c r="AM20" s="241">
        <f t="shared" si="18"/>
        <v>3.6392136377719986</v>
      </c>
      <c r="AN20" s="241">
        <f t="shared" si="18"/>
        <v>2.9113709102175989</v>
      </c>
      <c r="AO20" s="241">
        <f t="shared" si="18"/>
        <v>2.4261424251813324</v>
      </c>
      <c r="AP20" s="241">
        <f t="shared" si="18"/>
        <v>2.0795506501554275</v>
      </c>
      <c r="AQ20" s="241">
        <f t="shared" si="18"/>
        <v>1.8196068188859993</v>
      </c>
      <c r="AR20" s="241">
        <f t="shared" si="18"/>
        <v>1.6174282834542217</v>
      </c>
      <c r="AS20" s="241">
        <f t="shared" si="18"/>
        <v>1.4556854551087994</v>
      </c>
      <c r="AT20" s="241">
        <f t="shared" si="18"/>
        <v>1.3233504137352721</v>
      </c>
      <c r="AU20" s="241">
        <f t="shared" si="18"/>
        <v>1.2130712125906662</v>
      </c>
      <c r="AV20" s="241">
        <f t="shared" si="18"/>
        <v>1.1197580423913842</v>
      </c>
      <c r="AW20" s="241">
        <f t="shared" si="18"/>
        <v>1.0397753250777138</v>
      </c>
      <c r="AX20" s="241">
        <f t="shared" si="18"/>
        <v>0.97045697007253295</v>
      </c>
      <c r="AY20" s="169">
        <f t="shared" si="19"/>
        <v>13060.667695714097</v>
      </c>
      <c r="AZ20" s="169">
        <f t="shared" si="13"/>
        <v>19578.181197131169</v>
      </c>
      <c r="BA20" s="169">
        <f t="shared" si="13"/>
        <v>22042.839840010394</v>
      </c>
      <c r="BB20" s="169">
        <f t="shared" si="13"/>
        <v>23329.948063151285</v>
      </c>
      <c r="BC20" s="169">
        <f t="shared" si="13"/>
        <v>24119.742245580241</v>
      </c>
      <c r="BD20" s="169">
        <f t="shared" si="13"/>
        <v>24653.575554093044</v>
      </c>
      <c r="BE20" s="169">
        <f t="shared" si="13"/>
        <v>25038.462457835747</v>
      </c>
      <c r="BF20" s="169">
        <f t="shared" si="13"/>
        <v>25329.084024989246</v>
      </c>
      <c r="BG20" s="169">
        <f t="shared" si="13"/>
        <v>25556.282363499136</v>
      </c>
      <c r="BH20" s="169">
        <f t="shared" si="13"/>
        <v>25738.771419663066</v>
      </c>
      <c r="BI20" s="169">
        <f t="shared" si="13"/>
        <v>25888.563546842495</v>
      </c>
      <c r="BJ20" s="169">
        <f t="shared" si="13"/>
        <v>26013.722312835656</v>
      </c>
      <c r="BK20" s="169">
        <f t="shared" si="13"/>
        <v>26119.861618979208</v>
      </c>
      <c r="BL20" s="169">
        <f t="shared" si="13"/>
        <v>26211.010157374472</v>
      </c>
      <c r="BM20" s="169">
        <f t="shared" si="13"/>
        <v>26290.133976720284</v>
      </c>
      <c r="BN20" s="245">
        <f t="shared" si="20"/>
        <v>2366.2536981795938</v>
      </c>
      <c r="BO20" s="245">
        <f t="shared" si="14"/>
        <v>6760.9935883002472</v>
      </c>
      <c r="BP20" s="245">
        <f t="shared" si="14"/>
        <v>11292.126899852678</v>
      </c>
      <c r="BQ20" s="245">
        <f t="shared" si="14"/>
        <v>15857.358566763045</v>
      </c>
      <c r="BR20" s="245">
        <f t="shared" si="14"/>
        <v>20436.2295758166</v>
      </c>
      <c r="BS20" s="245">
        <f t="shared" si="14"/>
        <v>25021.920255941739</v>
      </c>
      <c r="BT20" s="245">
        <f t="shared" si="14"/>
        <v>29611.507890964924</v>
      </c>
      <c r="BU20" s="245">
        <f t="shared" si="14"/>
        <v>34203.531122799395</v>
      </c>
      <c r="BV20" s="245">
        <f t="shared" si="14"/>
        <v>38797.178085841384</v>
      </c>
      <c r="BW20" s="245">
        <f t="shared" si="14"/>
        <v>43391.961660728644</v>
      </c>
      <c r="BX20" s="245">
        <f t="shared" si="14"/>
        <v>47987.571862412464</v>
      </c>
      <c r="BY20" s="245">
        <f t="shared" si="14"/>
        <v>52583.802034193679</v>
      </c>
      <c r="BZ20" s="245">
        <f t="shared" si="14"/>
        <v>57180.50910604986</v>
      </c>
      <c r="CA20" s="245">
        <f t="shared" si="14"/>
        <v>61777.590885107755</v>
      </c>
      <c r="CB20" s="245">
        <f t="shared" si="14"/>
        <v>66374.972429927046</v>
      </c>
      <c r="CC20" s="245">
        <f t="shared" si="21"/>
        <v>2366.2536981795938</v>
      </c>
      <c r="CD20" s="241">
        <f t="shared" si="22"/>
        <v>894.77012614025477</v>
      </c>
      <c r="CE20" s="241">
        <f t="shared" si="15"/>
        <v>313.15709626819648</v>
      </c>
      <c r="CF20" s="241">
        <f t="shared" si="15"/>
        <v>187.49816919145871</v>
      </c>
      <c r="CG20" s="241">
        <f t="shared" si="15"/>
        <v>133.51865073151293</v>
      </c>
      <c r="CH20" s="241">
        <f t="shared" si="15"/>
        <v>103.60292304141419</v>
      </c>
      <c r="CI20" s="241">
        <f t="shared" si="15"/>
        <v>84.615932683952735</v>
      </c>
      <c r="CJ20" s="241">
        <f t="shared" si="15"/>
        <v>71.501023446564048</v>
      </c>
      <c r="CK20" s="241">
        <f t="shared" si="15"/>
        <v>61.901594674494902</v>
      </c>
      <c r="CL20" s="241">
        <f t="shared" si="15"/>
        <v>54.572348414501526</v>
      </c>
      <c r="CM20" s="241">
        <f t="shared" si="15"/>
        <v>48.793671430535788</v>
      </c>
      <c r="CN20" s="241">
        <f t="shared" si="15"/>
        <v>44.120863753441839</v>
      </c>
      <c r="CO20" s="241">
        <f t="shared" si="15"/>
        <v>40.264359709539697</v>
      </c>
      <c r="CP20" s="241">
        <f t="shared" si="15"/>
        <v>37.027531812863629</v>
      </c>
      <c r="CQ20" s="241">
        <f t="shared" si="15"/>
        <v>34.272186559323885</v>
      </c>
      <c r="CR20" s="241">
        <f t="shared" si="15"/>
        <v>31.898365339966237</v>
      </c>
      <c r="CS20" s="1285">
        <f t="shared" si="15"/>
        <v>894.77012614025477</v>
      </c>
      <c r="CT20" s="1281" t="e">
        <f t="shared" si="23"/>
        <v>#DIV/0!</v>
      </c>
      <c r="CU20" s="1282" t="e">
        <f t="shared" si="24"/>
        <v>#DIV/0!</v>
      </c>
    </row>
    <row r="21" spans="2:99">
      <c r="B21" s="1247">
        <v>101</v>
      </c>
      <c r="C21" s="5" t="str">
        <f t="shared" si="25"/>
        <v>AA</v>
      </c>
      <c r="D21" s="5" t="str">
        <f t="shared" si="0"/>
        <v>EF-1</v>
      </c>
      <c r="E21" s="1360">
        <f t="shared" si="1"/>
        <v>10</v>
      </c>
      <c r="F21" s="1361">
        <v>5</v>
      </c>
      <c r="G21" s="1362" t="str">
        <f t="shared" si="2"/>
        <v xml:space="preserve"> - Receptor 5</v>
      </c>
      <c r="H21" s="318">
        <f t="shared" si="3"/>
        <v>0</v>
      </c>
      <c r="I21" s="650">
        <f t="shared" si="4"/>
        <v>0</v>
      </c>
      <c r="J21" s="1278">
        <f t="shared" si="5"/>
        <v>0</v>
      </c>
      <c r="K21" s="1249">
        <f t="shared" si="6"/>
        <v>0.47231008449287359</v>
      </c>
      <c r="L21" s="1237">
        <f t="shared" si="7"/>
        <v>0.2032520325203252</v>
      </c>
      <c r="M21" s="1237">
        <f t="shared" si="8"/>
        <v>14.556854551087991</v>
      </c>
      <c r="N21" s="1237">
        <f t="shared" si="9"/>
        <v>-32.31707317073171</v>
      </c>
      <c r="O21" s="1242" t="s">
        <v>1432</v>
      </c>
      <c r="P21" s="1237">
        <f t="shared" si="16"/>
        <v>72.715514667330595</v>
      </c>
      <c r="Q21" s="5">
        <f t="shared" si="26"/>
        <v>0.153</v>
      </c>
      <c r="R21" s="5">
        <f t="shared" si="27"/>
        <v>3</v>
      </c>
      <c r="S21" s="5">
        <f t="shared" si="28"/>
        <v>1</v>
      </c>
      <c r="T21" s="5">
        <f t="shared" si="29"/>
        <v>0</v>
      </c>
      <c r="U21" s="36">
        <f t="shared" si="17"/>
        <v>0.15561810431999995</v>
      </c>
      <c r="V21" s="36">
        <f t="shared" si="17"/>
        <v>0.3112362086399999</v>
      </c>
      <c r="W21" s="36">
        <f t="shared" si="17"/>
        <v>0.46685431295999985</v>
      </c>
      <c r="X21" s="36">
        <f t="shared" si="17"/>
        <v>0.6224724172799998</v>
      </c>
      <c r="Y21" s="36">
        <f t="shared" si="17"/>
        <v>0.77809052159999981</v>
      </c>
      <c r="Z21" s="36">
        <f t="shared" si="17"/>
        <v>0.9337086259199997</v>
      </c>
      <c r="AA21" s="36">
        <f t="shared" si="17"/>
        <v>1.0893267302399996</v>
      </c>
      <c r="AB21" s="36">
        <f t="shared" si="17"/>
        <v>1.2449448345599996</v>
      </c>
      <c r="AC21" s="36">
        <f t="shared" si="17"/>
        <v>1.4005629388799996</v>
      </c>
      <c r="AD21" s="36">
        <f t="shared" si="17"/>
        <v>1.5561810431999996</v>
      </c>
      <c r="AE21" s="36">
        <f t="shared" si="17"/>
        <v>1.7117991475199996</v>
      </c>
      <c r="AF21" s="36">
        <f t="shared" si="17"/>
        <v>1.8674172518399994</v>
      </c>
      <c r="AG21" s="36">
        <f t="shared" si="17"/>
        <v>2.0230353561599994</v>
      </c>
      <c r="AH21" s="36">
        <f t="shared" si="17"/>
        <v>2.1786534604799992</v>
      </c>
      <c r="AI21" s="36">
        <f t="shared" si="17"/>
        <v>2.3342715647999994</v>
      </c>
      <c r="AJ21" s="241">
        <f t="shared" si="18"/>
        <v>14.556854551087994</v>
      </c>
      <c r="AK21" s="241">
        <f t="shared" si="18"/>
        <v>7.2784272755439972</v>
      </c>
      <c r="AL21" s="241">
        <f t="shared" si="18"/>
        <v>4.8522848503626648</v>
      </c>
      <c r="AM21" s="241">
        <f t="shared" si="18"/>
        <v>3.6392136377719986</v>
      </c>
      <c r="AN21" s="241">
        <f t="shared" si="18"/>
        <v>2.9113709102175989</v>
      </c>
      <c r="AO21" s="241">
        <f t="shared" si="18"/>
        <v>2.4261424251813324</v>
      </c>
      <c r="AP21" s="241">
        <f t="shared" si="18"/>
        <v>2.0795506501554275</v>
      </c>
      <c r="AQ21" s="241">
        <f t="shared" si="18"/>
        <v>1.8196068188859993</v>
      </c>
      <c r="AR21" s="241">
        <f t="shared" si="18"/>
        <v>1.6174282834542217</v>
      </c>
      <c r="AS21" s="241">
        <f t="shared" si="18"/>
        <v>1.4556854551087994</v>
      </c>
      <c r="AT21" s="241">
        <f t="shared" si="18"/>
        <v>1.3233504137352721</v>
      </c>
      <c r="AU21" s="241">
        <f t="shared" si="18"/>
        <v>1.2130712125906662</v>
      </c>
      <c r="AV21" s="241">
        <f t="shared" si="18"/>
        <v>1.1197580423913842</v>
      </c>
      <c r="AW21" s="241">
        <f t="shared" si="18"/>
        <v>1.0397753250777138</v>
      </c>
      <c r="AX21" s="241">
        <f t="shared" si="18"/>
        <v>0.97045697007253295</v>
      </c>
      <c r="AY21" s="169">
        <f t="shared" si="19"/>
        <v>18338.225218885353</v>
      </c>
      <c r="AZ21" s="169">
        <f t="shared" si="13"/>
        <v>25939.511566599882</v>
      </c>
      <c r="BA21" s="169">
        <f t="shared" si="13"/>
        <v>28765.427824911589</v>
      </c>
      <c r="BB21" s="169">
        <f t="shared" si="13"/>
        <v>30233.164855768733</v>
      </c>
      <c r="BC21" s="169">
        <f t="shared" si="13"/>
        <v>31131.336322827428</v>
      </c>
      <c r="BD21" s="169">
        <f t="shared" si="13"/>
        <v>31737.421154426731</v>
      </c>
      <c r="BE21" s="169">
        <f t="shared" si="13"/>
        <v>32173.9162889455</v>
      </c>
      <c r="BF21" s="169">
        <f t="shared" si="13"/>
        <v>32503.244029181053</v>
      </c>
      <c r="BG21" s="169">
        <f t="shared" si="13"/>
        <v>32760.54716897698</v>
      </c>
      <c r="BH21" s="169">
        <f t="shared" si="13"/>
        <v>32967.120066169744</v>
      </c>
      <c r="BI21" s="169">
        <f t="shared" si="13"/>
        <v>33136.617154190943</v>
      </c>
      <c r="BJ21" s="169">
        <f t="shared" si="13"/>
        <v>33278.196720885586</v>
      </c>
      <c r="BK21" s="169">
        <f t="shared" si="13"/>
        <v>33398.230550699613</v>
      </c>
      <c r="BL21" s="169">
        <f t="shared" si="13"/>
        <v>33501.288680812431</v>
      </c>
      <c r="BM21" s="169">
        <f t="shared" si="13"/>
        <v>33590.734146313458</v>
      </c>
      <c r="BN21" s="245">
        <f t="shared" si="20"/>
        <v>3676.5977415931716</v>
      </c>
      <c r="BO21" s="245">
        <f t="shared" si="14"/>
        <v>9718.9910268360054</v>
      </c>
      <c r="BP21" s="245">
        <f t="shared" si="14"/>
        <v>15897.777733510611</v>
      </c>
      <c r="BQ21" s="245">
        <f t="shared" si="14"/>
        <v>22110.662795543169</v>
      </c>
      <c r="BR21" s="245">
        <f t="shared" si="14"/>
        <v>28337.187199718897</v>
      </c>
      <c r="BS21" s="245">
        <f t="shared" si="14"/>
        <v>34570.531274966212</v>
      </c>
      <c r="BT21" s="245">
        <f t="shared" si="14"/>
        <v>40807.772305111583</v>
      </c>
      <c r="BU21" s="245">
        <f t="shared" si="14"/>
        <v>47047.448932068233</v>
      </c>
      <c r="BV21" s="245">
        <f t="shared" si="14"/>
        <v>53288.749290232401</v>
      </c>
      <c r="BW21" s="245">
        <f t="shared" si="14"/>
        <v>59531.186260241841</v>
      </c>
      <c r="BX21" s="245">
        <f t="shared" si="14"/>
        <v>65774.449857047832</v>
      </c>
      <c r="BY21" s="245">
        <f t="shared" si="14"/>
        <v>72018.333423951233</v>
      </c>
      <c r="BZ21" s="245">
        <f t="shared" si="14"/>
        <v>78262.693890929571</v>
      </c>
      <c r="CA21" s="245">
        <f t="shared" si="14"/>
        <v>84507.429065109667</v>
      </c>
      <c r="CB21" s="245">
        <f t="shared" si="14"/>
        <v>90752.464005051123</v>
      </c>
      <c r="CC21" s="245">
        <f t="shared" si="21"/>
        <v>3676.5977415931716</v>
      </c>
      <c r="CD21" s="241">
        <f t="shared" si="22"/>
        <v>575.8729316638636</v>
      </c>
      <c r="CE21" s="241">
        <f t="shared" si="15"/>
        <v>217.84700841413022</v>
      </c>
      <c r="CF21" s="241">
        <f t="shared" si="15"/>
        <v>133.17918739907174</v>
      </c>
      <c r="CG21" s="241">
        <f t="shared" si="15"/>
        <v>95.757107761906298</v>
      </c>
      <c r="CH21" s="241">
        <f t="shared" si="15"/>
        <v>74.716417867366971</v>
      </c>
      <c r="CI21" s="241">
        <f t="shared" si="15"/>
        <v>61.244448433836482</v>
      </c>
      <c r="CJ21" s="241">
        <f t="shared" si="15"/>
        <v>51.883575123133895</v>
      </c>
      <c r="CK21" s="241">
        <f t="shared" si="15"/>
        <v>45.002506364523597</v>
      </c>
      <c r="CL21" s="241">
        <f t="shared" si="15"/>
        <v>39.731709754878466</v>
      </c>
      <c r="CM21" s="241">
        <f t="shared" si="15"/>
        <v>35.565444819869413</v>
      </c>
      <c r="CN21" s="241">
        <f t="shared" si="15"/>
        <v>32.189598310614116</v>
      </c>
      <c r="CO21" s="241">
        <f t="shared" si="15"/>
        <v>29.398807488870073</v>
      </c>
      <c r="CP21" s="241">
        <f t="shared" si="15"/>
        <v>27.053159235110144</v>
      </c>
      <c r="CQ21" s="241">
        <f t="shared" si="15"/>
        <v>25.054047240849545</v>
      </c>
      <c r="CR21" s="241">
        <f t="shared" si="15"/>
        <v>23.329979446972999</v>
      </c>
      <c r="CS21" s="1285">
        <f t="shared" si="15"/>
        <v>575.8729316638636</v>
      </c>
      <c r="CT21" s="1281" t="e">
        <f t="shared" si="23"/>
        <v>#DIV/0!</v>
      </c>
      <c r="CU21" s="1282" t="e">
        <f t="shared" si="24"/>
        <v>#DIV/0!</v>
      </c>
    </row>
    <row r="22" spans="2:99">
      <c r="B22" s="1247">
        <v>101</v>
      </c>
      <c r="C22" s="5" t="str">
        <f t="shared" si="25"/>
        <v>AA</v>
      </c>
      <c r="D22" s="5" t="str">
        <f t="shared" si="0"/>
        <v>EF-1</v>
      </c>
      <c r="E22" s="1360">
        <f t="shared" si="1"/>
        <v>10</v>
      </c>
      <c r="F22" s="1361">
        <v>6</v>
      </c>
      <c r="G22" s="1362" t="str">
        <f t="shared" si="2"/>
        <v xml:space="preserve"> - Receptor 6</v>
      </c>
      <c r="H22" s="318">
        <f t="shared" si="3"/>
        <v>0</v>
      </c>
      <c r="I22" s="650">
        <f t="shared" si="4"/>
        <v>0</v>
      </c>
      <c r="J22" s="1278">
        <f t="shared" si="5"/>
        <v>0</v>
      </c>
      <c r="K22" s="1249">
        <f t="shared" si="6"/>
        <v>0.47231008449287359</v>
      </c>
      <c r="L22" s="1237">
        <f t="shared" si="7"/>
        <v>0.2032520325203252</v>
      </c>
      <c r="M22" s="1237">
        <f t="shared" si="8"/>
        <v>14.556854551087991</v>
      </c>
      <c r="N22" s="1237">
        <f t="shared" si="9"/>
        <v>-18.59756097560976</v>
      </c>
      <c r="O22" s="1242" t="s">
        <v>1432</v>
      </c>
      <c r="P22" s="1237">
        <f t="shared" si="16"/>
        <v>93.454580350027214</v>
      </c>
      <c r="Q22" s="5">
        <f t="shared" si="26"/>
        <v>0.153</v>
      </c>
      <c r="R22" s="5">
        <f t="shared" si="27"/>
        <v>3</v>
      </c>
      <c r="S22" s="5">
        <f t="shared" si="28"/>
        <v>1</v>
      </c>
      <c r="T22" s="5">
        <f t="shared" si="29"/>
        <v>0</v>
      </c>
      <c r="U22" s="36">
        <f t="shared" si="17"/>
        <v>0.15561810431999995</v>
      </c>
      <c r="V22" s="36">
        <f t="shared" si="17"/>
        <v>0.3112362086399999</v>
      </c>
      <c r="W22" s="36">
        <f t="shared" si="17"/>
        <v>0.46685431295999985</v>
      </c>
      <c r="X22" s="36">
        <f t="shared" si="17"/>
        <v>0.6224724172799998</v>
      </c>
      <c r="Y22" s="36">
        <f t="shared" si="17"/>
        <v>0.77809052159999981</v>
      </c>
      <c r="Z22" s="36">
        <f t="shared" si="17"/>
        <v>0.9337086259199997</v>
      </c>
      <c r="AA22" s="36">
        <f t="shared" si="17"/>
        <v>1.0893267302399996</v>
      </c>
      <c r="AB22" s="36">
        <f t="shared" si="17"/>
        <v>1.2449448345599996</v>
      </c>
      <c r="AC22" s="36">
        <f t="shared" si="17"/>
        <v>1.4005629388799996</v>
      </c>
      <c r="AD22" s="36">
        <f t="shared" si="17"/>
        <v>1.5561810431999996</v>
      </c>
      <c r="AE22" s="36">
        <f t="shared" si="17"/>
        <v>1.7117991475199996</v>
      </c>
      <c r="AF22" s="36">
        <f t="shared" si="17"/>
        <v>1.8674172518399994</v>
      </c>
      <c r="AG22" s="36">
        <f t="shared" si="17"/>
        <v>2.0230353561599994</v>
      </c>
      <c r="AH22" s="36">
        <f t="shared" si="17"/>
        <v>2.1786534604799992</v>
      </c>
      <c r="AI22" s="36">
        <f t="shared" si="17"/>
        <v>2.3342715647999994</v>
      </c>
      <c r="AJ22" s="241">
        <f t="shared" si="18"/>
        <v>14.556854551087994</v>
      </c>
      <c r="AK22" s="241">
        <f t="shared" si="18"/>
        <v>7.2784272755439972</v>
      </c>
      <c r="AL22" s="241">
        <f t="shared" si="18"/>
        <v>4.8522848503626648</v>
      </c>
      <c r="AM22" s="241">
        <f t="shared" si="18"/>
        <v>3.6392136377719986</v>
      </c>
      <c r="AN22" s="241">
        <f t="shared" si="18"/>
        <v>2.9113709102175989</v>
      </c>
      <c r="AO22" s="241">
        <f t="shared" si="18"/>
        <v>2.4261424251813324</v>
      </c>
      <c r="AP22" s="241">
        <f t="shared" si="18"/>
        <v>2.0795506501554275</v>
      </c>
      <c r="AQ22" s="241">
        <f t="shared" si="18"/>
        <v>1.8196068188859993</v>
      </c>
      <c r="AR22" s="241">
        <f t="shared" si="18"/>
        <v>1.6174282834542217</v>
      </c>
      <c r="AS22" s="241">
        <f t="shared" si="18"/>
        <v>1.4556854551087994</v>
      </c>
      <c r="AT22" s="241">
        <f t="shared" si="18"/>
        <v>1.3233504137352721</v>
      </c>
      <c r="AU22" s="241">
        <f t="shared" si="18"/>
        <v>1.2130712125906662</v>
      </c>
      <c r="AV22" s="241">
        <f t="shared" si="18"/>
        <v>1.1197580423913842</v>
      </c>
      <c r="AW22" s="241">
        <f t="shared" si="18"/>
        <v>1.0397753250777138</v>
      </c>
      <c r="AX22" s="241">
        <f t="shared" si="18"/>
        <v>0.97045697007253295</v>
      </c>
      <c r="AY22" s="169">
        <f t="shared" si="19"/>
        <v>3154.04212174845</v>
      </c>
      <c r="AZ22" s="169">
        <f t="shared" si="13"/>
        <v>6691.1802958475146</v>
      </c>
      <c r="BA22" s="169">
        <f t="shared" si="13"/>
        <v>8162.380496287401</v>
      </c>
      <c r="BB22" s="169">
        <f t="shared" si="13"/>
        <v>8952.7594982086321</v>
      </c>
      <c r="BC22" s="169">
        <f t="shared" si="13"/>
        <v>9444.5161479057824</v>
      </c>
      <c r="BD22" s="169">
        <f t="shared" si="13"/>
        <v>9779.6577679307229</v>
      </c>
      <c r="BE22" s="169">
        <f t="shared" si="13"/>
        <v>10022.622037039231</v>
      </c>
      <c r="BF22" s="169">
        <f t="shared" si="13"/>
        <v>10206.801628217087</v>
      </c>
      <c r="BG22" s="169">
        <f t="shared" si="13"/>
        <v>10351.211763190367</v>
      </c>
      <c r="BH22" s="169">
        <f t="shared" si="13"/>
        <v>10467.470256525008</v>
      </c>
      <c r="BI22" s="169">
        <f t="shared" si="13"/>
        <v>10563.073741389564</v>
      </c>
      <c r="BJ22" s="169">
        <f t="shared" si="13"/>
        <v>10643.075305453669</v>
      </c>
      <c r="BK22" s="169">
        <f t="shared" si="13"/>
        <v>10711.004671503399</v>
      </c>
      <c r="BL22" s="169">
        <f t="shared" si="13"/>
        <v>10769.401832675383</v>
      </c>
      <c r="BM22" s="169">
        <f t="shared" si="13"/>
        <v>10820.14112509436</v>
      </c>
      <c r="BN22" s="245">
        <f t="shared" si="20"/>
        <v>1849.957011047203</v>
      </c>
      <c r="BO22" s="245">
        <f t="shared" si="14"/>
        <v>4800.7994968368102</v>
      </c>
      <c r="BP22" s="245">
        <f t="shared" si="14"/>
        <v>7888.0354040581942</v>
      </c>
      <c r="BQ22" s="245">
        <f t="shared" si="14"/>
        <v>11009.369666637522</v>
      </c>
      <c r="BR22" s="245">
        <f t="shared" si="14"/>
        <v>14144.343271360027</v>
      </c>
      <c r="BS22" s="245">
        <f t="shared" si="14"/>
        <v>17286.136547154121</v>
      </c>
      <c r="BT22" s="245">
        <f t="shared" si="14"/>
        <v>20431.826777846261</v>
      </c>
      <c r="BU22" s="245">
        <f t="shared" si="14"/>
        <v>23579.952605349681</v>
      </c>
      <c r="BV22" s="245">
        <f t="shared" si="14"/>
        <v>26729.702164060636</v>
      </c>
      <c r="BW22" s="245">
        <f t="shared" si="14"/>
        <v>29880.588334616841</v>
      </c>
      <c r="BX22" s="245">
        <f t="shared" si="14"/>
        <v>33032.301131969609</v>
      </c>
      <c r="BY22" s="245">
        <f t="shared" si="14"/>
        <v>36184.633899419794</v>
      </c>
      <c r="BZ22" s="245">
        <f t="shared" si="14"/>
        <v>39337.443566944923</v>
      </c>
      <c r="CA22" s="245">
        <f t="shared" si="14"/>
        <v>42490.627941671766</v>
      </c>
      <c r="CB22" s="245">
        <f t="shared" si="14"/>
        <v>45644.112082160013</v>
      </c>
      <c r="CC22" s="245">
        <f t="shared" si="21"/>
        <v>1849.957011047203</v>
      </c>
      <c r="CD22" s="241">
        <f t="shared" si="22"/>
        <v>1144.4877407186282</v>
      </c>
      <c r="CE22" s="241">
        <f t="shared" si="15"/>
        <v>441.02094273985665</v>
      </c>
      <c r="CF22" s="241">
        <f t="shared" si="15"/>
        <v>268.41323745970084</v>
      </c>
      <c r="CG22" s="241">
        <f t="shared" si="15"/>
        <v>192.31374584650951</v>
      </c>
      <c r="CH22" s="241">
        <f t="shared" si="15"/>
        <v>149.68903676758816</v>
      </c>
      <c r="CI22" s="241">
        <f t="shared" si="15"/>
        <v>122.48272563533408</v>
      </c>
      <c r="CJ22" s="241">
        <f t="shared" si="15"/>
        <v>103.6252481494061</v>
      </c>
      <c r="CK22" s="241">
        <f t="shared" si="15"/>
        <v>89.79038912570374</v>
      </c>
      <c r="CL22" s="241">
        <f t="shared" si="15"/>
        <v>79.209753517072386</v>
      </c>
      <c r="CM22" s="241">
        <f t="shared" si="15"/>
        <v>70.857142981590798</v>
      </c>
      <c r="CN22" s="241">
        <f t="shared" si="15"/>
        <v>64.09644643106202</v>
      </c>
      <c r="CO22" s="241">
        <f t="shared" si="15"/>
        <v>58.512492509533139</v>
      </c>
      <c r="CP22" s="241">
        <f t="shared" si="15"/>
        <v>53.822844801717565</v>
      </c>
      <c r="CQ22" s="241">
        <f t="shared" si="15"/>
        <v>49.828708648561751</v>
      </c>
      <c r="CR22" s="241">
        <f t="shared" si="15"/>
        <v>46.386116925418889</v>
      </c>
      <c r="CS22" s="1285">
        <f t="shared" si="15"/>
        <v>1144.4877407186282</v>
      </c>
      <c r="CT22" s="1281" t="e">
        <f t="shared" si="23"/>
        <v>#DIV/0!</v>
      </c>
      <c r="CU22" s="1282" t="e">
        <f t="shared" si="24"/>
        <v>#DIV/0!</v>
      </c>
    </row>
    <row r="23" spans="2:99">
      <c r="B23" s="1247">
        <v>101</v>
      </c>
      <c r="C23" s="5" t="str">
        <f t="shared" si="25"/>
        <v>AA</v>
      </c>
      <c r="D23" s="5" t="str">
        <f t="shared" si="0"/>
        <v>EF-1</v>
      </c>
      <c r="E23" s="1360">
        <f t="shared" si="1"/>
        <v>10</v>
      </c>
      <c r="F23" s="1361">
        <v>7</v>
      </c>
      <c r="G23" s="1362" t="str">
        <f t="shared" si="2"/>
        <v xml:space="preserve"> - Receptor 7</v>
      </c>
      <c r="H23" s="318">
        <f t="shared" si="3"/>
        <v>0</v>
      </c>
      <c r="I23" s="650">
        <f t="shared" si="4"/>
        <v>0</v>
      </c>
      <c r="J23" s="1278">
        <f t="shared" si="5"/>
        <v>0</v>
      </c>
      <c r="K23" s="1249">
        <f t="shared" si="6"/>
        <v>0.47231008449287359</v>
      </c>
      <c r="L23" s="1237">
        <f t="shared" si="7"/>
        <v>0.2032520325203252</v>
      </c>
      <c r="M23" s="1237">
        <f t="shared" si="8"/>
        <v>14.556854551087991</v>
      </c>
      <c r="N23" s="1237">
        <f t="shared" si="9"/>
        <v>-23.780487804878049</v>
      </c>
      <c r="O23" s="1242" t="s">
        <v>1432</v>
      </c>
      <c r="P23" s="1237">
        <f t="shared" si="16"/>
        <v>101.97845627164536</v>
      </c>
      <c r="Q23" s="5">
        <f t="shared" si="26"/>
        <v>0.153</v>
      </c>
      <c r="R23" s="5">
        <f t="shared" si="27"/>
        <v>3</v>
      </c>
      <c r="S23" s="5">
        <f t="shared" si="28"/>
        <v>1</v>
      </c>
      <c r="T23" s="5">
        <f t="shared" si="29"/>
        <v>0</v>
      </c>
      <c r="U23" s="36">
        <f t="shared" si="17"/>
        <v>0.15561810431999995</v>
      </c>
      <c r="V23" s="36">
        <f t="shared" si="17"/>
        <v>0.3112362086399999</v>
      </c>
      <c r="W23" s="36">
        <f t="shared" si="17"/>
        <v>0.46685431295999985</v>
      </c>
      <c r="X23" s="36">
        <f t="shared" si="17"/>
        <v>0.6224724172799998</v>
      </c>
      <c r="Y23" s="36">
        <f t="shared" si="17"/>
        <v>0.77809052159999981</v>
      </c>
      <c r="Z23" s="36">
        <f t="shared" si="17"/>
        <v>0.9337086259199997</v>
      </c>
      <c r="AA23" s="36">
        <f t="shared" si="17"/>
        <v>1.0893267302399996</v>
      </c>
      <c r="AB23" s="36">
        <f t="shared" si="17"/>
        <v>1.2449448345599996</v>
      </c>
      <c r="AC23" s="36">
        <f t="shared" si="17"/>
        <v>1.4005629388799996</v>
      </c>
      <c r="AD23" s="36">
        <f t="shared" si="17"/>
        <v>1.5561810431999996</v>
      </c>
      <c r="AE23" s="36">
        <f t="shared" si="17"/>
        <v>1.7117991475199996</v>
      </c>
      <c r="AF23" s="36">
        <f t="shared" si="17"/>
        <v>1.8674172518399994</v>
      </c>
      <c r="AG23" s="36">
        <f t="shared" si="17"/>
        <v>2.0230353561599994</v>
      </c>
      <c r="AH23" s="36">
        <f t="shared" si="17"/>
        <v>2.1786534604799992</v>
      </c>
      <c r="AI23" s="36">
        <f t="shared" si="17"/>
        <v>2.3342715647999994</v>
      </c>
      <c r="AJ23" s="241">
        <f t="shared" si="18"/>
        <v>14.556854551087994</v>
      </c>
      <c r="AK23" s="241">
        <f t="shared" si="18"/>
        <v>7.2784272755439972</v>
      </c>
      <c r="AL23" s="241">
        <f t="shared" si="18"/>
        <v>4.8522848503626648</v>
      </c>
      <c r="AM23" s="241">
        <f t="shared" si="18"/>
        <v>3.6392136377719986</v>
      </c>
      <c r="AN23" s="241">
        <f t="shared" si="18"/>
        <v>2.9113709102175989</v>
      </c>
      <c r="AO23" s="241">
        <f t="shared" si="18"/>
        <v>2.4261424251813324</v>
      </c>
      <c r="AP23" s="241">
        <f t="shared" si="18"/>
        <v>2.0795506501554275</v>
      </c>
      <c r="AQ23" s="241">
        <f t="shared" si="18"/>
        <v>1.8196068188859993</v>
      </c>
      <c r="AR23" s="241">
        <f t="shared" si="18"/>
        <v>1.6174282834542217</v>
      </c>
      <c r="AS23" s="241">
        <f t="shared" si="18"/>
        <v>1.4556854551087994</v>
      </c>
      <c r="AT23" s="241">
        <f t="shared" si="18"/>
        <v>1.3233504137352721</v>
      </c>
      <c r="AU23" s="241">
        <f t="shared" si="18"/>
        <v>1.2130712125906662</v>
      </c>
      <c r="AV23" s="241">
        <f t="shared" si="18"/>
        <v>1.1197580423913842</v>
      </c>
      <c r="AW23" s="241">
        <f t="shared" si="18"/>
        <v>1.0397753250777138</v>
      </c>
      <c r="AX23" s="241">
        <f t="shared" si="18"/>
        <v>0.97045697007253295</v>
      </c>
      <c r="AY23" s="169">
        <f t="shared" si="19"/>
        <v>7413.6769317620974</v>
      </c>
      <c r="AZ23" s="169">
        <f t="shared" si="13"/>
        <v>12486.159971449224</v>
      </c>
      <c r="BA23" s="169">
        <f t="shared" si="13"/>
        <v>14469.1417937518</v>
      </c>
      <c r="BB23" s="169">
        <f t="shared" si="13"/>
        <v>15515.411606604375</v>
      </c>
      <c r="BC23" s="169">
        <f t="shared" si="13"/>
        <v>16160.702742860332</v>
      </c>
      <c r="BD23" s="169">
        <f t="shared" si="13"/>
        <v>16598.200687257809</v>
      </c>
      <c r="BE23" s="169">
        <f t="shared" si="13"/>
        <v>16914.276616632415</v>
      </c>
      <c r="BF23" s="169">
        <f t="shared" si="13"/>
        <v>17153.289953009848</v>
      </c>
      <c r="BG23" s="169">
        <f t="shared" si="13"/>
        <v>17340.348556471683</v>
      </c>
      <c r="BH23" s="169">
        <f t="shared" si="13"/>
        <v>17490.725824597172</v>
      </c>
      <c r="BI23" s="169">
        <f t="shared" si="13"/>
        <v>17614.244670654236</v>
      </c>
      <c r="BJ23" s="169">
        <f t="shared" si="13"/>
        <v>17717.509035712093</v>
      </c>
      <c r="BK23" s="169">
        <f t="shared" si="13"/>
        <v>17805.122310295006</v>
      </c>
      <c r="BL23" s="169">
        <f t="shared" si="13"/>
        <v>17880.391393066864</v>
      </c>
      <c r="BM23" s="169">
        <f t="shared" si="13"/>
        <v>17945.75301753906</v>
      </c>
      <c r="BN23" s="245">
        <f t="shared" si="20"/>
        <v>2772.0692505244156</v>
      </c>
      <c r="BO23" s="245">
        <f t="shared" si="14"/>
        <v>7122.878890711755</v>
      </c>
      <c r="BP23" s="245">
        <f t="shared" si="14"/>
        <v>11610.081952330871</v>
      </c>
      <c r="BQ23" s="245">
        <f t="shared" si="14"/>
        <v>16131.383369307929</v>
      </c>
      <c r="BR23" s="245">
        <f t="shared" si="14"/>
        <v>20666.324128428168</v>
      </c>
      <c r="BS23" s="245">
        <f t="shared" si="14"/>
        <v>25208.084558619994</v>
      </c>
      <c r="BT23" s="245">
        <f t="shared" si="14"/>
        <v>29753.741943709865</v>
      </c>
      <c r="BU23" s="245">
        <f t="shared" si="14"/>
        <v>34301.834925611023</v>
      </c>
      <c r="BV23" s="245">
        <f t="shared" si="14"/>
        <v>38851.551638719699</v>
      </c>
      <c r="BW23" s="245">
        <f t="shared" si="14"/>
        <v>43402.404963673653</v>
      </c>
      <c r="BX23" s="245">
        <f t="shared" si="14"/>
        <v>47954.084915424144</v>
      </c>
      <c r="BY23" s="245">
        <f t="shared" si="14"/>
        <v>52506.384837272053</v>
      </c>
      <c r="BZ23" s="245">
        <f t="shared" si="14"/>
        <v>57059.161659194913</v>
      </c>
      <c r="CA23" s="245">
        <f t="shared" si="14"/>
        <v>61612.313188319509</v>
      </c>
      <c r="CB23" s="245">
        <f t="shared" si="14"/>
        <v>66165.764483205479</v>
      </c>
      <c r="CC23" s="245">
        <f t="shared" si="21"/>
        <v>2772.0692505244156</v>
      </c>
      <c r="CD23" s="241">
        <f t="shared" si="22"/>
        <v>763.7807459533924</v>
      </c>
      <c r="CE23" s="241">
        <f t="shared" si="15"/>
        <v>297.24682287675853</v>
      </c>
      <c r="CF23" s="241">
        <f t="shared" si="15"/>
        <v>182.36332255819559</v>
      </c>
      <c r="CG23" s="241">
        <f t="shared" si="15"/>
        <v>131.2505611904526</v>
      </c>
      <c r="CH23" s="241">
        <f t="shared" si="15"/>
        <v>102.44942965389524</v>
      </c>
      <c r="CI23" s="241">
        <f t="shared" si="15"/>
        <v>83.991035299665299</v>
      </c>
      <c r="CJ23" s="241">
        <f t="shared" si="15"/>
        <v>71.159221720937211</v>
      </c>
      <c r="CK23" s="241">
        <f t="shared" si="15"/>
        <v>61.72419418936623</v>
      </c>
      <c r="CL23" s="241">
        <f t="shared" si="15"/>
        <v>54.495973280252002</v>
      </c>
      <c r="CM23" s="241">
        <f t="shared" si="15"/>
        <v>48.781930903876614</v>
      </c>
      <c r="CN23" s="241">
        <f t="shared" si="15"/>
        <v>44.151673913372868</v>
      </c>
      <c r="CO23" s="241">
        <f t="shared" si="15"/>
        <v>40.323726848873655</v>
      </c>
      <c r="CP23" s="241">
        <f t="shared" si="15"/>
        <v>37.106278088101043</v>
      </c>
      <c r="CQ23" s="241">
        <f t="shared" si="15"/>
        <v>34.364123183113811</v>
      </c>
      <c r="CR23" s="241">
        <f t="shared" si="15"/>
        <v>31.999224017692885</v>
      </c>
      <c r="CS23" s="1285">
        <f t="shared" si="15"/>
        <v>763.7807459533924</v>
      </c>
      <c r="CT23" s="1281" t="e">
        <f t="shared" si="23"/>
        <v>#DIV/0!</v>
      </c>
      <c r="CU23" s="1282" t="e">
        <f t="shared" si="24"/>
        <v>#DIV/0!</v>
      </c>
    </row>
    <row r="24" spans="2:99">
      <c r="B24" s="1247">
        <v>101</v>
      </c>
      <c r="C24" s="5" t="str">
        <f t="shared" si="25"/>
        <v>AA</v>
      </c>
      <c r="D24" s="5" t="str">
        <f t="shared" si="0"/>
        <v>EF-1</v>
      </c>
      <c r="E24" s="1360">
        <f t="shared" si="1"/>
        <v>10</v>
      </c>
      <c r="F24" s="1361">
        <v>8</v>
      </c>
      <c r="G24" s="1362" t="str">
        <f t="shared" si="2"/>
        <v xml:space="preserve"> - Receptor 8</v>
      </c>
      <c r="H24" s="318">
        <f t="shared" si="3"/>
        <v>0</v>
      </c>
      <c r="I24" s="650">
        <f t="shared" si="4"/>
        <v>0</v>
      </c>
      <c r="J24" s="1278">
        <f t="shared" si="5"/>
        <v>0</v>
      </c>
      <c r="K24" s="1249">
        <f t="shared" si="6"/>
        <v>0.47231008449287359</v>
      </c>
      <c r="L24" s="1237">
        <f t="shared" si="7"/>
        <v>0.2032520325203252</v>
      </c>
      <c r="M24" s="1237">
        <f t="shared" si="8"/>
        <v>14.556854551087991</v>
      </c>
      <c r="N24" s="1237">
        <f t="shared" si="9"/>
        <v>-20.121951219512198</v>
      </c>
      <c r="O24" s="1242" t="s">
        <v>1432</v>
      </c>
      <c r="P24" s="1237">
        <f t="shared" si="16"/>
        <v>61.074146805920599</v>
      </c>
      <c r="Q24" s="5">
        <f t="shared" si="26"/>
        <v>0.153</v>
      </c>
      <c r="R24" s="5">
        <f t="shared" si="27"/>
        <v>3</v>
      </c>
      <c r="S24" s="5">
        <f t="shared" si="28"/>
        <v>1</v>
      </c>
      <c r="T24" s="5">
        <f t="shared" si="29"/>
        <v>0</v>
      </c>
      <c r="U24" s="36">
        <f t="shared" si="17"/>
        <v>0.15561810431999995</v>
      </c>
      <c r="V24" s="36">
        <f t="shared" si="17"/>
        <v>0.3112362086399999</v>
      </c>
      <c r="W24" s="36">
        <f t="shared" si="17"/>
        <v>0.46685431295999985</v>
      </c>
      <c r="X24" s="36">
        <f t="shared" si="17"/>
        <v>0.6224724172799998</v>
      </c>
      <c r="Y24" s="36">
        <f t="shared" si="17"/>
        <v>0.77809052159999981</v>
      </c>
      <c r="Z24" s="36">
        <f t="shared" si="17"/>
        <v>0.9337086259199997</v>
      </c>
      <c r="AA24" s="36">
        <f t="shared" si="17"/>
        <v>1.0893267302399996</v>
      </c>
      <c r="AB24" s="36">
        <f t="shared" si="17"/>
        <v>1.2449448345599996</v>
      </c>
      <c r="AC24" s="36">
        <f t="shared" si="17"/>
        <v>1.4005629388799996</v>
      </c>
      <c r="AD24" s="36">
        <f t="shared" si="17"/>
        <v>1.5561810431999996</v>
      </c>
      <c r="AE24" s="36">
        <f t="shared" si="17"/>
        <v>1.7117991475199996</v>
      </c>
      <c r="AF24" s="36">
        <f t="shared" si="17"/>
        <v>1.8674172518399994</v>
      </c>
      <c r="AG24" s="36">
        <f t="shared" si="17"/>
        <v>2.0230353561599994</v>
      </c>
      <c r="AH24" s="36">
        <f t="shared" si="17"/>
        <v>2.1786534604799992</v>
      </c>
      <c r="AI24" s="36">
        <f t="shared" si="17"/>
        <v>2.3342715647999994</v>
      </c>
      <c r="AJ24" s="241">
        <f t="shared" si="18"/>
        <v>14.556854551087994</v>
      </c>
      <c r="AK24" s="241">
        <f t="shared" si="18"/>
        <v>7.2784272755439972</v>
      </c>
      <c r="AL24" s="241">
        <f t="shared" si="18"/>
        <v>4.8522848503626648</v>
      </c>
      <c r="AM24" s="241">
        <f t="shared" si="18"/>
        <v>3.6392136377719986</v>
      </c>
      <c r="AN24" s="241">
        <f t="shared" si="18"/>
        <v>2.9113709102175989</v>
      </c>
      <c r="AO24" s="241">
        <f t="shared" si="18"/>
        <v>2.4261424251813324</v>
      </c>
      <c r="AP24" s="241">
        <f t="shared" si="18"/>
        <v>2.0795506501554275</v>
      </c>
      <c r="AQ24" s="241">
        <f t="shared" si="18"/>
        <v>1.8196068188859993</v>
      </c>
      <c r="AR24" s="241">
        <f t="shared" si="18"/>
        <v>1.6174282834542217</v>
      </c>
      <c r="AS24" s="241">
        <f t="shared" si="18"/>
        <v>1.4556854551087994</v>
      </c>
      <c r="AT24" s="241">
        <f t="shared" si="18"/>
        <v>1.3233504137352721</v>
      </c>
      <c r="AU24" s="241">
        <f t="shared" si="18"/>
        <v>1.2130712125906662</v>
      </c>
      <c r="AV24" s="241">
        <f t="shared" si="18"/>
        <v>1.1197580423913842</v>
      </c>
      <c r="AW24" s="241">
        <f t="shared" si="18"/>
        <v>1.0397753250777138</v>
      </c>
      <c r="AX24" s="241">
        <f t="shared" si="18"/>
        <v>0.97045697007253295</v>
      </c>
      <c r="AY24" s="169">
        <f t="shared" si="19"/>
        <v>4220.7483090053684</v>
      </c>
      <c r="AZ24" s="169">
        <f t="shared" si="13"/>
        <v>8209.4585023950403</v>
      </c>
      <c r="BA24" s="169">
        <f t="shared" si="13"/>
        <v>9831.1827092651311</v>
      </c>
      <c r="BB24" s="169">
        <f t="shared" si="13"/>
        <v>10696.823714401464</v>
      </c>
      <c r="BC24" s="169">
        <f t="shared" si="13"/>
        <v>11233.737566027674</v>
      </c>
      <c r="BD24" s="169">
        <f t="shared" si="13"/>
        <v>11598.983987338652</v>
      </c>
      <c r="BE24" s="169">
        <f t="shared" si="13"/>
        <v>11863.451685937191</v>
      </c>
      <c r="BF24" s="169">
        <f t="shared" si="13"/>
        <v>12063.758849232567</v>
      </c>
      <c r="BG24" s="169">
        <f t="shared" si="13"/>
        <v>12220.712651408367</v>
      </c>
      <c r="BH24" s="169">
        <f t="shared" si="13"/>
        <v>12347.006078505021</v>
      </c>
      <c r="BI24" s="169">
        <f t="shared" si="13"/>
        <v>12450.819963720314</v>
      </c>
      <c r="BJ24" s="169">
        <f t="shared" si="13"/>
        <v>12537.6635280767</v>
      </c>
      <c r="BK24" s="169">
        <f t="shared" si="13"/>
        <v>12611.382278989129</v>
      </c>
      <c r="BL24" s="169">
        <f t="shared" si="13"/>
        <v>12674.741770043429</v>
      </c>
      <c r="BM24" s="169">
        <f t="shared" si="13"/>
        <v>12729.781748360414</v>
      </c>
      <c r="BN24" s="245">
        <f t="shared" si="20"/>
        <v>1237.2883797994384</v>
      </c>
      <c r="BO24" s="245">
        <f t="shared" si="14"/>
        <v>3716.007797553199</v>
      </c>
      <c r="BP24" s="245">
        <f t="shared" si="14"/>
        <v>6331.1206367387349</v>
      </c>
      <c r="BQ24" s="245">
        <f t="shared" si="14"/>
        <v>8980.3318312822157</v>
      </c>
      <c r="BR24" s="245">
        <f t="shared" si="14"/>
        <v>11643.182367968875</v>
      </c>
      <c r="BS24" s="245">
        <f t="shared" si="14"/>
        <v>14312.852575727116</v>
      </c>
      <c r="BT24" s="245">
        <f t="shared" si="14"/>
        <v>16986.419738383414</v>
      </c>
      <c r="BU24" s="245">
        <f t="shared" si="14"/>
        <v>19662.422497850992</v>
      </c>
      <c r="BV24" s="245">
        <f t="shared" si="14"/>
        <v>22340.048988526094</v>
      </c>
      <c r="BW24" s="245">
        <f t="shared" si="14"/>
        <v>25018.812091046457</v>
      </c>
      <c r="BX24" s="245">
        <f t="shared" si="14"/>
        <v>27698.401820363386</v>
      </c>
      <c r="BY24" s="245">
        <f t="shared" si="14"/>
        <v>30378.611519777714</v>
      </c>
      <c r="BZ24" s="245">
        <f t="shared" si="14"/>
        <v>33059.29811926699</v>
      </c>
      <c r="CA24" s="245">
        <f t="shared" si="14"/>
        <v>35740.359425957991</v>
      </c>
      <c r="CB24" s="245">
        <f t="shared" si="14"/>
        <v>38421.720498410403</v>
      </c>
      <c r="CC24" s="245">
        <f t="shared" si="21"/>
        <v>1237.2883797994384</v>
      </c>
      <c r="CD24" s="241">
        <f t="shared" si="22"/>
        <v>1711.2042386942981</v>
      </c>
      <c r="CE24" s="241">
        <f t="shared" si="15"/>
        <v>569.76552131943924</v>
      </c>
      <c r="CF24" s="241">
        <f t="shared" si="15"/>
        <v>334.41996156475568</v>
      </c>
      <c r="CG24" s="241">
        <f t="shared" si="15"/>
        <v>235.76557746170693</v>
      </c>
      <c r="CH24" s="241">
        <f t="shared" si="15"/>
        <v>181.84488167296047</v>
      </c>
      <c r="CI24" s="241">
        <f t="shared" si="15"/>
        <v>147.9267049526247</v>
      </c>
      <c r="CJ24" s="241">
        <f t="shared" si="15"/>
        <v>124.64387155203414</v>
      </c>
      <c r="CK24" s="241">
        <f t="shared" si="15"/>
        <v>107.68017624641141</v>
      </c>
      <c r="CL24" s="241">
        <f t="shared" si="15"/>
        <v>94.773879909011228</v>
      </c>
      <c r="CM24" s="241">
        <f t="shared" si="15"/>
        <v>84.62644478463092</v>
      </c>
      <c r="CN24" s="241">
        <f t="shared" si="15"/>
        <v>76.43954094287966</v>
      </c>
      <c r="CO24" s="241">
        <f t="shared" si="15"/>
        <v>69.69551977784046</v>
      </c>
      <c r="CP24" s="241">
        <f t="shared" si="15"/>
        <v>64.044103790759621</v>
      </c>
      <c r="CQ24" s="241">
        <f t="shared" si="15"/>
        <v>59.239838490886925</v>
      </c>
      <c r="CR24" s="241">
        <f t="shared" si="15"/>
        <v>55.105630162699129</v>
      </c>
      <c r="CS24" s="1285">
        <f t="shared" si="15"/>
        <v>1711.2042386942981</v>
      </c>
      <c r="CT24" s="1281" t="e">
        <f t="shared" si="23"/>
        <v>#DIV/0!</v>
      </c>
      <c r="CU24" s="1282" t="e">
        <f t="shared" si="24"/>
        <v>#DIV/0!</v>
      </c>
    </row>
    <row r="25" spans="2:99">
      <c r="B25" s="1247">
        <v>101</v>
      </c>
      <c r="C25" s="5" t="str">
        <f t="shared" si="25"/>
        <v>AA</v>
      </c>
      <c r="D25" s="5" t="str">
        <f t="shared" si="0"/>
        <v>EF-1</v>
      </c>
      <c r="E25" s="1360">
        <f t="shared" si="1"/>
        <v>10</v>
      </c>
      <c r="F25" s="1361">
        <v>9</v>
      </c>
      <c r="G25" s="1362" t="str">
        <f t="shared" si="2"/>
        <v xml:space="preserve"> - Receptor 9</v>
      </c>
      <c r="H25" s="318">
        <f t="shared" si="3"/>
        <v>0</v>
      </c>
      <c r="I25" s="650">
        <f t="shared" si="4"/>
        <v>0</v>
      </c>
      <c r="J25" s="1278">
        <f t="shared" si="5"/>
        <v>0</v>
      </c>
      <c r="K25" s="1249">
        <f t="shared" si="6"/>
        <v>0.47231008449287359</v>
      </c>
      <c r="L25" s="1237">
        <f t="shared" si="7"/>
        <v>0.2032520325203252</v>
      </c>
      <c r="M25" s="1237">
        <f t="shared" si="8"/>
        <v>14.556854551087991</v>
      </c>
      <c r="N25" s="1237">
        <f t="shared" si="9"/>
        <v>-20.121951219512198</v>
      </c>
      <c r="O25" s="1242" t="s">
        <v>1432</v>
      </c>
      <c r="P25" s="1237">
        <f t="shared" si="16"/>
        <v>81.9025440818682</v>
      </c>
      <c r="Q25" s="5">
        <f t="shared" si="26"/>
        <v>0.153</v>
      </c>
      <c r="R25" s="5">
        <f t="shared" si="27"/>
        <v>3</v>
      </c>
      <c r="S25" s="5">
        <f t="shared" si="28"/>
        <v>1</v>
      </c>
      <c r="T25" s="5">
        <f t="shared" si="29"/>
        <v>0</v>
      </c>
      <c r="U25" s="36">
        <f t="shared" si="17"/>
        <v>0.15561810431999995</v>
      </c>
      <c r="V25" s="36">
        <f t="shared" si="17"/>
        <v>0.3112362086399999</v>
      </c>
      <c r="W25" s="36">
        <f t="shared" si="17"/>
        <v>0.46685431295999985</v>
      </c>
      <c r="X25" s="36">
        <f t="shared" si="17"/>
        <v>0.6224724172799998</v>
      </c>
      <c r="Y25" s="36">
        <f t="shared" si="17"/>
        <v>0.77809052159999981</v>
      </c>
      <c r="Z25" s="36">
        <f t="shared" si="17"/>
        <v>0.9337086259199997</v>
      </c>
      <c r="AA25" s="36">
        <f t="shared" si="17"/>
        <v>1.0893267302399996</v>
      </c>
      <c r="AB25" s="36">
        <f t="shared" si="17"/>
        <v>1.2449448345599996</v>
      </c>
      <c r="AC25" s="36">
        <f t="shared" si="17"/>
        <v>1.4005629388799996</v>
      </c>
      <c r="AD25" s="36">
        <f t="shared" si="17"/>
        <v>1.5561810431999996</v>
      </c>
      <c r="AE25" s="36">
        <f t="shared" si="17"/>
        <v>1.7117991475199996</v>
      </c>
      <c r="AF25" s="36">
        <f t="shared" si="17"/>
        <v>1.8674172518399994</v>
      </c>
      <c r="AG25" s="36">
        <f t="shared" si="17"/>
        <v>2.0230353561599994</v>
      </c>
      <c r="AH25" s="36">
        <f t="shared" si="17"/>
        <v>2.1786534604799992</v>
      </c>
      <c r="AI25" s="36">
        <f t="shared" si="17"/>
        <v>2.3342715647999994</v>
      </c>
      <c r="AJ25" s="241">
        <f t="shared" si="18"/>
        <v>14.556854551087994</v>
      </c>
      <c r="AK25" s="241">
        <f t="shared" si="18"/>
        <v>7.2784272755439972</v>
      </c>
      <c r="AL25" s="241">
        <f t="shared" si="18"/>
        <v>4.8522848503626648</v>
      </c>
      <c r="AM25" s="241">
        <f t="shared" si="18"/>
        <v>3.6392136377719986</v>
      </c>
      <c r="AN25" s="241">
        <f t="shared" si="18"/>
        <v>2.9113709102175989</v>
      </c>
      <c r="AO25" s="241">
        <f t="shared" si="18"/>
        <v>2.4261424251813324</v>
      </c>
      <c r="AP25" s="241">
        <f t="shared" si="18"/>
        <v>2.0795506501554275</v>
      </c>
      <c r="AQ25" s="241">
        <f t="shared" si="18"/>
        <v>1.8196068188859993</v>
      </c>
      <c r="AR25" s="241">
        <f t="shared" si="18"/>
        <v>1.6174282834542217</v>
      </c>
      <c r="AS25" s="241">
        <f t="shared" si="18"/>
        <v>1.4556854551087994</v>
      </c>
      <c r="AT25" s="241">
        <f t="shared" si="18"/>
        <v>1.3233504137352721</v>
      </c>
      <c r="AU25" s="241">
        <f t="shared" si="18"/>
        <v>1.2130712125906662</v>
      </c>
      <c r="AV25" s="241">
        <f t="shared" si="18"/>
        <v>1.1197580423913842</v>
      </c>
      <c r="AW25" s="241">
        <f t="shared" si="18"/>
        <v>1.0397753250777138</v>
      </c>
      <c r="AX25" s="241">
        <f t="shared" si="18"/>
        <v>0.97045697007253295</v>
      </c>
      <c r="AY25" s="169">
        <f t="shared" si="19"/>
        <v>4220.7483090053684</v>
      </c>
      <c r="AZ25" s="169">
        <f t="shared" si="13"/>
        <v>8209.4585023950403</v>
      </c>
      <c r="BA25" s="169">
        <f t="shared" si="13"/>
        <v>9831.1827092651311</v>
      </c>
      <c r="BB25" s="169">
        <f t="shared" si="13"/>
        <v>10696.823714401464</v>
      </c>
      <c r="BC25" s="169">
        <f t="shared" si="13"/>
        <v>11233.737566027674</v>
      </c>
      <c r="BD25" s="169">
        <f t="shared" si="13"/>
        <v>11598.983987338652</v>
      </c>
      <c r="BE25" s="169">
        <f t="shared" si="13"/>
        <v>11863.451685937191</v>
      </c>
      <c r="BF25" s="169">
        <f t="shared" si="13"/>
        <v>12063.758849232567</v>
      </c>
      <c r="BG25" s="169">
        <f t="shared" si="13"/>
        <v>12220.712651408367</v>
      </c>
      <c r="BH25" s="169">
        <f t="shared" si="13"/>
        <v>12347.006078505021</v>
      </c>
      <c r="BI25" s="169">
        <f t="shared" si="13"/>
        <v>12450.819963720314</v>
      </c>
      <c r="BJ25" s="169">
        <f t="shared" si="13"/>
        <v>12537.6635280767</v>
      </c>
      <c r="BK25" s="169">
        <f t="shared" si="13"/>
        <v>12611.382278989129</v>
      </c>
      <c r="BL25" s="169">
        <f t="shared" si="13"/>
        <v>12674.741770043429</v>
      </c>
      <c r="BM25" s="169">
        <f t="shared" si="13"/>
        <v>12729.781748360414</v>
      </c>
      <c r="BN25" s="245">
        <f t="shared" si="20"/>
        <v>1700.7152536557119</v>
      </c>
      <c r="BO25" s="245">
        <f t="shared" si="14"/>
        <v>4642.8615452657459</v>
      </c>
      <c r="BP25" s="245">
        <f t="shared" si="14"/>
        <v>7721.4012583075555</v>
      </c>
      <c r="BQ25" s="245">
        <f t="shared" si="14"/>
        <v>10834.03932670731</v>
      </c>
      <c r="BR25" s="245">
        <f t="shared" si="14"/>
        <v>13960.316737250241</v>
      </c>
      <c r="BS25" s="245">
        <f t="shared" si="14"/>
        <v>17093.413818864756</v>
      </c>
      <c r="BT25" s="245">
        <f t="shared" si="14"/>
        <v>20230.407855377325</v>
      </c>
      <c r="BU25" s="245">
        <f t="shared" si="14"/>
        <v>23369.837488701174</v>
      </c>
      <c r="BV25" s="245">
        <f t="shared" si="14"/>
        <v>26510.890853232555</v>
      </c>
      <c r="BW25" s="245">
        <f t="shared" si="14"/>
        <v>29653.080829609189</v>
      </c>
      <c r="BX25" s="245">
        <f t="shared" si="14"/>
        <v>32796.097432782386</v>
      </c>
      <c r="BY25" s="245">
        <f t="shared" si="14"/>
        <v>35939.73400605299</v>
      </c>
      <c r="BZ25" s="245">
        <f t="shared" si="14"/>
        <v>39083.847479398544</v>
      </c>
      <c r="CA25" s="245">
        <f t="shared" si="14"/>
        <v>42228.33565994582</v>
      </c>
      <c r="CB25" s="245">
        <f t="shared" si="14"/>
        <v>45373.123606254499</v>
      </c>
      <c r="CC25" s="245">
        <f t="shared" si="21"/>
        <v>1700.7152536557119</v>
      </c>
      <c r="CD25" s="241">
        <f t="shared" si="22"/>
        <v>1244.9192276302183</v>
      </c>
      <c r="CE25" s="241">
        <f t="shared" si="15"/>
        <v>456.02331651671363</v>
      </c>
      <c r="CF25" s="241">
        <f t="shared" si="15"/>
        <v>274.20581435552509</v>
      </c>
      <c r="CG25" s="241">
        <f t="shared" si="15"/>
        <v>195.42601389499265</v>
      </c>
      <c r="CH25" s="241">
        <f t="shared" si="15"/>
        <v>151.66225522308844</v>
      </c>
      <c r="CI25" s="241">
        <f t="shared" si="15"/>
        <v>123.86367886696462</v>
      </c>
      <c r="CJ25" s="241">
        <f t="shared" si="15"/>
        <v>104.6569666383283</v>
      </c>
      <c r="CK25" s="241">
        <f t="shared" si="15"/>
        <v>90.59768263359328</v>
      </c>
      <c r="CL25" s="241">
        <f t="shared" si="15"/>
        <v>79.863522192496845</v>
      </c>
      <c r="CM25" s="241">
        <f t="shared" si="15"/>
        <v>71.400780652979577</v>
      </c>
      <c r="CN25" s="241">
        <f t="shared" si="15"/>
        <v>64.558081166194839</v>
      </c>
      <c r="CO25" s="241">
        <f t="shared" si="15"/>
        <v>58.911207290610733</v>
      </c>
      <c r="CP25" s="241">
        <f t="shared" si="15"/>
        <v>54.172075078228247</v>
      </c>
      <c r="CQ25" s="241">
        <f t="shared" si="15"/>
        <v>50.138209022721306</v>
      </c>
      <c r="CR25" s="241">
        <f t="shared" si="15"/>
        <v>46.663155448000609</v>
      </c>
      <c r="CS25" s="1285">
        <f t="shared" si="15"/>
        <v>1244.9192276302183</v>
      </c>
      <c r="CT25" s="1281" t="e">
        <f t="shared" si="23"/>
        <v>#DIV/0!</v>
      </c>
      <c r="CU25" s="1282" t="e">
        <f t="shared" si="24"/>
        <v>#DIV/0!</v>
      </c>
    </row>
    <row r="26" spans="2:99">
      <c r="B26" s="1247">
        <v>101</v>
      </c>
      <c r="C26" s="5" t="str">
        <f t="shared" si="25"/>
        <v>AA</v>
      </c>
      <c r="D26" s="5" t="str">
        <f t="shared" si="0"/>
        <v>EF-1</v>
      </c>
      <c r="E26" s="1360">
        <f t="shared" si="1"/>
        <v>10</v>
      </c>
      <c r="F26" s="1361">
        <v>10</v>
      </c>
      <c r="G26" s="1362" t="str">
        <f t="shared" si="2"/>
        <v xml:space="preserve"> - Receptor 10</v>
      </c>
      <c r="H26" s="318">
        <f t="shared" si="3"/>
        <v>0</v>
      </c>
      <c r="I26" s="650">
        <f t="shared" si="4"/>
        <v>0</v>
      </c>
      <c r="J26" s="1278">
        <f t="shared" si="5"/>
        <v>0</v>
      </c>
      <c r="K26" s="1249">
        <f t="shared" si="6"/>
        <v>0.47231008449287359</v>
      </c>
      <c r="L26" s="1237">
        <f t="shared" si="7"/>
        <v>0.2032520325203252</v>
      </c>
      <c r="M26" s="1237">
        <f t="shared" si="8"/>
        <v>14.556854551087991</v>
      </c>
      <c r="N26" s="1237">
        <f t="shared" si="9"/>
        <v>-14.939024390243903</v>
      </c>
      <c r="O26" s="1242" t="s">
        <v>1432</v>
      </c>
      <c r="P26" s="1237">
        <f t="shared" si="16"/>
        <v>100.83974428403182</v>
      </c>
      <c r="Q26" s="5">
        <f t="shared" si="26"/>
        <v>0.153</v>
      </c>
      <c r="R26" s="5">
        <f t="shared" si="27"/>
        <v>3</v>
      </c>
      <c r="S26" s="5">
        <f t="shared" si="28"/>
        <v>1</v>
      </c>
      <c r="T26" s="5">
        <f t="shared" si="29"/>
        <v>0</v>
      </c>
      <c r="U26" s="36">
        <f t="shared" si="17"/>
        <v>0.15561810431999995</v>
      </c>
      <c r="V26" s="36">
        <f t="shared" si="17"/>
        <v>0.3112362086399999</v>
      </c>
      <c r="W26" s="36">
        <f t="shared" si="17"/>
        <v>0.46685431295999985</v>
      </c>
      <c r="X26" s="36">
        <f t="shared" si="17"/>
        <v>0.6224724172799998</v>
      </c>
      <c r="Y26" s="36">
        <f t="shared" si="17"/>
        <v>0.77809052159999981</v>
      </c>
      <c r="Z26" s="36">
        <f t="shared" si="17"/>
        <v>0.9337086259199997</v>
      </c>
      <c r="AA26" s="36">
        <f t="shared" si="17"/>
        <v>1.0893267302399996</v>
      </c>
      <c r="AB26" s="36">
        <f t="shared" si="17"/>
        <v>1.2449448345599996</v>
      </c>
      <c r="AC26" s="36">
        <f t="shared" si="17"/>
        <v>1.4005629388799996</v>
      </c>
      <c r="AD26" s="36">
        <f t="shared" si="17"/>
        <v>1.5561810431999996</v>
      </c>
      <c r="AE26" s="36">
        <f t="shared" si="17"/>
        <v>1.7117991475199996</v>
      </c>
      <c r="AF26" s="36">
        <f t="shared" si="17"/>
        <v>1.8674172518399994</v>
      </c>
      <c r="AG26" s="36">
        <f t="shared" si="17"/>
        <v>2.0230353561599994</v>
      </c>
      <c r="AH26" s="36">
        <f t="shared" si="17"/>
        <v>2.1786534604799992</v>
      </c>
      <c r="AI26" s="36">
        <f t="shared" si="17"/>
        <v>2.3342715647999994</v>
      </c>
      <c r="AJ26" s="241">
        <f t="shared" si="18"/>
        <v>14.556854551087994</v>
      </c>
      <c r="AK26" s="241">
        <f t="shared" si="18"/>
        <v>7.2784272755439972</v>
      </c>
      <c r="AL26" s="241">
        <f t="shared" si="18"/>
        <v>4.8522848503626648</v>
      </c>
      <c r="AM26" s="241">
        <f t="shared" si="18"/>
        <v>3.6392136377719986</v>
      </c>
      <c r="AN26" s="241">
        <f t="shared" si="18"/>
        <v>2.9113709102175989</v>
      </c>
      <c r="AO26" s="241">
        <f t="shared" si="18"/>
        <v>2.4261424251813324</v>
      </c>
      <c r="AP26" s="241">
        <f t="shared" si="18"/>
        <v>2.0795506501554275</v>
      </c>
      <c r="AQ26" s="241">
        <f t="shared" si="18"/>
        <v>1.8196068188859993</v>
      </c>
      <c r="AR26" s="241">
        <f t="shared" si="18"/>
        <v>1.6174282834542217</v>
      </c>
      <c r="AS26" s="241">
        <f t="shared" si="18"/>
        <v>1.4556854551087994</v>
      </c>
      <c r="AT26" s="241">
        <f t="shared" si="18"/>
        <v>1.3233504137352721</v>
      </c>
      <c r="AU26" s="241">
        <f t="shared" si="18"/>
        <v>1.2130712125906662</v>
      </c>
      <c r="AV26" s="241">
        <f t="shared" si="18"/>
        <v>1.1197580423913842</v>
      </c>
      <c r="AW26" s="241">
        <f t="shared" si="18"/>
        <v>1.0397753250777138</v>
      </c>
      <c r="AX26" s="241">
        <f t="shared" si="18"/>
        <v>0.97045697007253295</v>
      </c>
      <c r="AY26" s="169">
        <f t="shared" si="19"/>
        <v>1226.7810456719651</v>
      </c>
      <c r="AZ26" s="169">
        <f t="shared" si="13"/>
        <v>3680.146373473573</v>
      </c>
      <c r="BA26" s="169">
        <f t="shared" si="13"/>
        <v>4790.0889584809738</v>
      </c>
      <c r="BB26" s="169">
        <f t="shared" si="13"/>
        <v>5399.8391526859614</v>
      </c>
      <c r="BC26" s="169">
        <f t="shared" si="13"/>
        <v>5783.2185177533665</v>
      </c>
      <c r="BD26" s="169">
        <f t="shared" si="13"/>
        <v>6046.1086146918087</v>
      </c>
      <c r="BE26" s="169">
        <f t="shared" si="13"/>
        <v>6237.464653024248</v>
      </c>
      <c r="BF26" s="169">
        <f t="shared" si="13"/>
        <v>6382.9380711200529</v>
      </c>
      <c r="BG26" s="169">
        <f t="shared" si="13"/>
        <v>6497.2434048072937</v>
      </c>
      <c r="BH26" s="169">
        <f t="shared" si="13"/>
        <v>6589.4180571131028</v>
      </c>
      <c r="BI26" s="169">
        <f t="shared" si="13"/>
        <v>6665.3165811358831</v>
      </c>
      <c r="BJ26" s="169">
        <f t="shared" si="13"/>
        <v>6728.8973444985122</v>
      </c>
      <c r="BK26" s="169">
        <f t="shared" si="13"/>
        <v>6782.9321868777624</v>
      </c>
      <c r="BL26" s="169">
        <f t="shared" si="13"/>
        <v>6829.4197563321932</v>
      </c>
      <c r="BM26" s="169">
        <f t="shared" si="13"/>
        <v>6869.8374025959565</v>
      </c>
      <c r="BN26" s="245">
        <f t="shared" si="20"/>
        <v>1773.3360039527024</v>
      </c>
      <c r="BO26" s="245">
        <f t="shared" si="14"/>
        <v>4310.2481309392078</v>
      </c>
      <c r="BP26" s="245">
        <f t="shared" si="14"/>
        <v>6983.5536793574884</v>
      </c>
      <c r="BQ26" s="245">
        <f t="shared" si="14"/>
        <v>9690.9575831337115</v>
      </c>
      <c r="BR26" s="245">
        <f t="shared" si="14"/>
        <v>12412.000829053115</v>
      </c>
      <c r="BS26" s="245">
        <f t="shared" si="14"/>
        <v>15139.863746044106</v>
      </c>
      <c r="BT26" s="245">
        <f t="shared" si="14"/>
        <v>17871.623617933143</v>
      </c>
      <c r="BU26" s="245">
        <f t="shared" si="14"/>
        <v>20605.819086633466</v>
      </c>
      <c r="BV26" s="245">
        <f t="shared" si="14"/>
        <v>23341.638286541314</v>
      </c>
      <c r="BW26" s="245">
        <f t="shared" si="14"/>
        <v>26078.594098294423</v>
      </c>
      <c r="BX26" s="245">
        <f t="shared" si="14"/>
        <v>28816.376536844091</v>
      </c>
      <c r="BY26" s="245">
        <f t="shared" si="14"/>
        <v>31554.778945491169</v>
      </c>
      <c r="BZ26" s="245">
        <f t="shared" si="14"/>
        <v>34293.658254213187</v>
      </c>
      <c r="CA26" s="245">
        <f t="shared" si="14"/>
        <v>37032.912270136934</v>
      </c>
      <c r="CB26" s="245">
        <f t="shared" si="14"/>
        <v>39772.466051822084</v>
      </c>
      <c r="CC26" s="245">
        <f t="shared" si="21"/>
        <v>1773.3360039527024</v>
      </c>
      <c r="CD26" s="241">
        <f t="shared" si="22"/>
        <v>1193.9379312666738</v>
      </c>
      <c r="CE26" s="241">
        <f t="shared" si="15"/>
        <v>491.21374354349473</v>
      </c>
      <c r="CF26" s="241">
        <f t="shared" si="15"/>
        <v>303.17703811146106</v>
      </c>
      <c r="CG26" s="241">
        <f t="shared" si="15"/>
        <v>218.47718368769858</v>
      </c>
      <c r="CH26" s="241">
        <f t="shared" si="15"/>
        <v>170.58112943757516</v>
      </c>
      <c r="CI26" s="241">
        <f t="shared" si="15"/>
        <v>139.84624667135571</v>
      </c>
      <c r="CJ26" s="241">
        <f t="shared" si="15"/>
        <v>118.4701046342235</v>
      </c>
      <c r="CK26" s="241">
        <f t="shared" si="15"/>
        <v>102.75025278531218</v>
      </c>
      <c r="CL26" s="241">
        <f t="shared" si="15"/>
        <v>90.707134349725493</v>
      </c>
      <c r="CM26" s="241">
        <f t="shared" si="15"/>
        <v>81.187394996054294</v>
      </c>
      <c r="CN26" s="241">
        <f t="shared" si="15"/>
        <v>73.473953857207491</v>
      </c>
      <c r="CO26" s="241">
        <f t="shared" si="15"/>
        <v>67.09770091108598</v>
      </c>
      <c r="CP26" s="241">
        <f t="shared" si="15"/>
        <v>61.738911151010896</v>
      </c>
      <c r="CQ26" s="241">
        <f t="shared" si="15"/>
        <v>57.172201434110185</v>
      </c>
      <c r="CR26" s="241">
        <f t="shared" si="15"/>
        <v>53.23414236475292</v>
      </c>
      <c r="CS26" s="1285">
        <f t="shared" si="15"/>
        <v>1193.9379312666738</v>
      </c>
      <c r="CT26" s="1281" t="e">
        <f t="shared" si="23"/>
        <v>#DIV/0!</v>
      </c>
      <c r="CU26" s="1282" t="e">
        <f t="shared" si="24"/>
        <v>#DIV/0!</v>
      </c>
    </row>
    <row r="27" spans="2:99">
      <c r="B27" s="629"/>
      <c r="C27" s="42"/>
      <c r="D27" s="42"/>
      <c r="E27" s="648"/>
      <c r="F27" s="1236"/>
      <c r="G27" s="649"/>
      <c r="H27" s="318"/>
      <c r="I27" s="650"/>
      <c r="J27" s="1278"/>
      <c r="K27" s="1249"/>
      <c r="L27" s="1237"/>
      <c r="M27" s="1237"/>
      <c r="N27" s="1237"/>
      <c r="O27" s="1242"/>
      <c r="P27" s="1237"/>
      <c r="Q27" s="5"/>
      <c r="R27" s="5"/>
      <c r="S27" s="5"/>
      <c r="T27" s="5"/>
      <c r="U27" s="36"/>
      <c r="V27" s="36"/>
      <c r="W27" s="36"/>
      <c r="X27" s="36"/>
      <c r="Y27" s="36"/>
      <c r="Z27" s="36"/>
      <c r="AA27" s="36"/>
      <c r="AB27" s="36"/>
      <c r="AC27" s="36"/>
      <c r="AD27" s="36"/>
      <c r="AE27" s="36"/>
      <c r="AF27" s="36"/>
      <c r="AG27" s="36"/>
      <c r="AH27" s="36"/>
      <c r="AI27" s="36"/>
      <c r="AJ27" s="241"/>
      <c r="AK27" s="241"/>
      <c r="AL27" s="241"/>
      <c r="AM27" s="241"/>
      <c r="AN27" s="241"/>
      <c r="AO27" s="241"/>
      <c r="AP27" s="241"/>
      <c r="AQ27" s="241"/>
      <c r="AR27" s="241"/>
      <c r="AS27" s="241"/>
      <c r="AT27" s="241"/>
      <c r="AU27" s="241"/>
      <c r="AV27" s="241"/>
      <c r="AW27" s="241"/>
      <c r="AX27" s="241"/>
      <c r="AY27" s="169"/>
      <c r="AZ27" s="169"/>
      <c r="BA27" s="169"/>
      <c r="BB27" s="169"/>
      <c r="BC27" s="169"/>
      <c r="BD27" s="169"/>
      <c r="BE27" s="169"/>
      <c r="BF27" s="169"/>
      <c r="BG27" s="169"/>
      <c r="BH27" s="169"/>
      <c r="BI27" s="169"/>
      <c r="BJ27" s="169"/>
      <c r="BK27" s="169"/>
      <c r="BL27" s="169"/>
      <c r="BM27" s="169"/>
      <c r="BN27" s="245"/>
      <c r="BO27" s="245"/>
      <c r="BP27" s="245"/>
      <c r="BQ27" s="245"/>
      <c r="BR27" s="245"/>
      <c r="BS27" s="245"/>
      <c r="BT27" s="245"/>
      <c r="BU27" s="245"/>
      <c r="BV27" s="245"/>
      <c r="BW27" s="245"/>
      <c r="BX27" s="245"/>
      <c r="BY27" s="245"/>
      <c r="BZ27" s="245"/>
      <c r="CA27" s="245"/>
      <c r="CB27" s="245"/>
      <c r="CC27" s="245"/>
      <c r="CD27" s="241"/>
      <c r="CE27" s="241"/>
      <c r="CF27" s="241"/>
      <c r="CG27" s="241"/>
      <c r="CH27" s="241"/>
      <c r="CI27" s="241"/>
      <c r="CJ27" s="241"/>
      <c r="CK27" s="241"/>
      <c r="CL27" s="241"/>
      <c r="CM27" s="241"/>
      <c r="CN27" s="241"/>
      <c r="CO27" s="241"/>
      <c r="CP27" s="241"/>
      <c r="CQ27" s="241"/>
      <c r="CR27" s="241"/>
      <c r="CS27" s="1285"/>
      <c r="CT27" s="1281"/>
      <c r="CU27" s="1282"/>
    </row>
    <row r="28" spans="2:99">
      <c r="B28" s="629"/>
      <c r="C28" s="42"/>
      <c r="D28" s="42"/>
      <c r="E28" s="648"/>
      <c r="F28" s="1236"/>
      <c r="G28" s="649"/>
      <c r="H28" s="318"/>
      <c r="I28" s="650"/>
      <c r="J28" s="1278"/>
      <c r="K28" s="1249"/>
      <c r="L28" s="1237"/>
      <c r="M28" s="1237"/>
      <c r="N28" s="1237"/>
      <c r="O28" s="1242"/>
      <c r="P28" s="1237"/>
      <c r="Q28" s="5"/>
      <c r="R28" s="5"/>
      <c r="S28" s="5"/>
      <c r="T28" s="5"/>
      <c r="U28" s="36"/>
      <c r="V28" s="36"/>
      <c r="W28" s="36"/>
      <c r="X28" s="36"/>
      <c r="Y28" s="36"/>
      <c r="Z28" s="36"/>
      <c r="AA28" s="36"/>
      <c r="AB28" s="36"/>
      <c r="AC28" s="36"/>
      <c r="AD28" s="36"/>
      <c r="AE28" s="36"/>
      <c r="AF28" s="36"/>
      <c r="AG28" s="36"/>
      <c r="AH28" s="36"/>
      <c r="AI28" s="36"/>
      <c r="AJ28" s="241"/>
      <c r="AK28" s="241"/>
      <c r="AL28" s="241"/>
      <c r="AM28" s="241"/>
      <c r="AN28" s="241"/>
      <c r="AO28" s="241"/>
      <c r="AP28" s="241"/>
      <c r="AQ28" s="241"/>
      <c r="AR28" s="241"/>
      <c r="AS28" s="241"/>
      <c r="AT28" s="241"/>
      <c r="AU28" s="241"/>
      <c r="AV28" s="241"/>
      <c r="AW28" s="241"/>
      <c r="AX28" s="241"/>
      <c r="AY28" s="169"/>
      <c r="AZ28" s="169"/>
      <c r="BA28" s="169"/>
      <c r="BB28" s="169"/>
      <c r="BC28" s="169"/>
      <c r="BD28" s="169"/>
      <c r="BE28" s="169"/>
      <c r="BF28" s="169"/>
      <c r="BG28" s="169"/>
      <c r="BH28" s="169"/>
      <c r="BI28" s="169"/>
      <c r="BJ28" s="169"/>
      <c r="BK28" s="169"/>
      <c r="BL28" s="169"/>
      <c r="BM28" s="169"/>
      <c r="BN28" s="245"/>
      <c r="BO28" s="245"/>
      <c r="BP28" s="245"/>
      <c r="BQ28" s="245"/>
      <c r="BR28" s="245"/>
      <c r="BS28" s="245"/>
      <c r="BT28" s="245"/>
      <c r="BU28" s="245"/>
      <c r="BV28" s="245"/>
      <c r="BW28" s="245"/>
      <c r="BX28" s="245"/>
      <c r="BY28" s="245"/>
      <c r="BZ28" s="245"/>
      <c r="CA28" s="245"/>
      <c r="CB28" s="245"/>
      <c r="CC28" s="245"/>
      <c r="CD28" s="241"/>
      <c r="CE28" s="241"/>
      <c r="CF28" s="241"/>
      <c r="CG28" s="241"/>
      <c r="CH28" s="241"/>
      <c r="CI28" s="241"/>
      <c r="CJ28" s="241"/>
      <c r="CK28" s="241"/>
      <c r="CL28" s="241"/>
      <c r="CM28" s="241"/>
      <c r="CN28" s="241"/>
      <c r="CO28" s="241"/>
      <c r="CP28" s="241"/>
      <c r="CQ28" s="241"/>
      <c r="CR28" s="241"/>
      <c r="CS28" s="1285"/>
      <c r="CT28" s="1281"/>
      <c r="CU28" s="1282"/>
    </row>
    <row r="29" spans="2:99" s="1006" customFormat="1">
      <c r="B29" s="1359" t="s">
        <v>1549</v>
      </c>
      <c r="J29" s="1356"/>
      <c r="K29" s="1355"/>
      <c r="U29" s="1357"/>
      <c r="V29" s="1357"/>
      <c r="W29" s="1357"/>
      <c r="X29" s="1357"/>
      <c r="Y29" s="1357"/>
      <c r="AB29" s="1358"/>
      <c r="CS29" s="1356"/>
      <c r="CT29" s="1355"/>
      <c r="CU29" s="1356"/>
    </row>
    <row r="30" spans="2:99">
      <c r="B30" s="1245" t="str">
        <f>INDEX(SourceDescription,MATCH($C32,SourceNumber,0),1,1)</f>
        <v>Fume Hood Exhaust 1</v>
      </c>
      <c r="J30" s="1277"/>
      <c r="K30" s="95"/>
      <c r="U30" s="421"/>
      <c r="V30" s="421"/>
      <c r="W30" s="421"/>
      <c r="X30" s="421"/>
      <c r="Y30" s="421"/>
      <c r="Z30" s="1753"/>
      <c r="AA30" s="1753"/>
      <c r="AB30" s="1753"/>
      <c r="AC30" s="1753"/>
      <c r="CS30" s="1277"/>
      <c r="CT30" s="95"/>
      <c r="CU30" s="147"/>
    </row>
    <row r="31" spans="2:99">
      <c r="B31" s="1246" t="str">
        <f>"("&amp;ROUND(INDEX(SourceVolumeFlowRateEnglish,MATCH($C32,SourceNumber,0),1,1),0)&amp;" cfm @ "&amp;ROUND(INDEX(SourceExitVelocityEnglish,MATCH($C32,SourceNumber,0),1,1),0)&amp;" fpm)"</f>
        <v>(1000 cfm @ 2865 fpm)</v>
      </c>
      <c r="J31" s="1277"/>
      <c r="K31" s="95"/>
      <c r="U31" s="421"/>
      <c r="V31" s="421"/>
      <c r="W31" s="421"/>
      <c r="X31" s="421"/>
      <c r="Y31" s="421"/>
      <c r="CS31" s="1277"/>
      <c r="CT31" s="95"/>
      <c r="CU31" s="147"/>
    </row>
    <row r="32" spans="2:99">
      <c r="B32" s="1247">
        <v>101</v>
      </c>
      <c r="C32" s="42" t="str">
        <f t="shared" ref="C32:C41" si="30">INDEX(TPSourceLetter,MATCH($B32,TPRunNumber,0),1,1)</f>
        <v>AA</v>
      </c>
      <c r="D32" s="42" t="str">
        <f t="shared" si="0"/>
        <v>EF-1</v>
      </c>
      <c r="E32" s="648">
        <f t="shared" ref="E32:E41" si="31">INDEX(TPSourceHeight,MATCH($B32,TPRunNumber,0),1,1)</f>
        <v>10</v>
      </c>
      <c r="F32" s="1236">
        <f t="shared" ref="F32:F41" si="32">INDEX(TPReceptorID1,MATCH($B32,TPRunNumber,0),1,1)</f>
        <v>1</v>
      </c>
      <c r="G32" s="649" t="str">
        <f t="shared" ref="G32:G41" si="33">INDEX(TPReceptorID2,MATCH($B32,TPRunNumber,0),1,1)</f>
        <v xml:space="preserve"> - Receptor 1</v>
      </c>
      <c r="H32" s="318">
        <f t="shared" si="3"/>
        <v>0</v>
      </c>
      <c r="I32" s="650">
        <f t="shared" si="4"/>
        <v>0</v>
      </c>
      <c r="J32" s="1278">
        <f t="shared" si="5"/>
        <v>0</v>
      </c>
      <c r="K32" s="1249">
        <f t="shared" si="6"/>
        <v>0.47231008449287359</v>
      </c>
      <c r="L32" s="1237">
        <f t="shared" si="7"/>
        <v>0.2032520325203252</v>
      </c>
      <c r="M32" s="1237">
        <f t="shared" si="8"/>
        <v>14.556854551087991</v>
      </c>
      <c r="N32" s="1237">
        <f t="shared" ref="N32:N41" si="34">((INDEX(Zcoord,MATCH($C32,CoordIndex,0))/3.28)+($E32/3.28))-(INDEX(Zcoord,MATCH($F32,CoordIndex,0))/3.28)</f>
        <v>-3.0487804878048781</v>
      </c>
      <c r="O32" s="1242" t="s">
        <v>1432</v>
      </c>
      <c r="P32" s="1237">
        <f t="shared" ref="P32:P41" si="35">(SQRT((INDEX(Xcoord,MATCH(C32,CoordIndex,0),1,1)-INDEX(Xcoord,MATCH(F32,CoordIndex,0),1,1))^2+(INDEX(Ycoord,MATCH(C32,CoordIndex,0),1,1)-INDEX(Ycoord,MATCH(F32,CoordIndex,0),1,1))^2))/3.28</f>
        <v>41.267467198416838</v>
      </c>
      <c r="Q32" s="942">
        <v>0.153</v>
      </c>
      <c r="R32" s="942">
        <v>3</v>
      </c>
      <c r="S32" s="942">
        <v>1</v>
      </c>
      <c r="T32" s="942">
        <v>0</v>
      </c>
      <c r="U32" s="36">
        <f>0.0735*U$11/$K32</f>
        <v>0.15561810431999995</v>
      </c>
      <c r="V32" s="36">
        <f t="shared" ref="V32:AI32" si="36">0.0735*V$11/$K32</f>
        <v>0.3112362086399999</v>
      </c>
      <c r="W32" s="36">
        <f t="shared" si="36"/>
        <v>0.46685431295999985</v>
      </c>
      <c r="X32" s="36">
        <f t="shared" si="36"/>
        <v>0.6224724172799998</v>
      </c>
      <c r="Y32" s="36">
        <f t="shared" si="36"/>
        <v>0.77809052159999981</v>
      </c>
      <c r="Z32" s="36">
        <f t="shared" si="36"/>
        <v>0.9337086259199997</v>
      </c>
      <c r="AA32" s="36">
        <f t="shared" si="36"/>
        <v>1.0893267302399996</v>
      </c>
      <c r="AB32" s="36">
        <f t="shared" si="36"/>
        <v>1.2449448345599996</v>
      </c>
      <c r="AC32" s="36">
        <f t="shared" si="36"/>
        <v>1.4005629388799996</v>
      </c>
      <c r="AD32" s="36">
        <f t="shared" si="36"/>
        <v>1.5561810431999996</v>
      </c>
      <c r="AE32" s="36">
        <f t="shared" si="36"/>
        <v>1.7117991475199996</v>
      </c>
      <c r="AF32" s="36">
        <f t="shared" si="36"/>
        <v>1.8674172518399994</v>
      </c>
      <c r="AG32" s="36">
        <f t="shared" si="36"/>
        <v>2.0230353561599994</v>
      </c>
      <c r="AH32" s="36">
        <f t="shared" si="36"/>
        <v>2.1786534604799992</v>
      </c>
      <c r="AI32" s="36">
        <f t="shared" si="36"/>
        <v>2.3342715647999994</v>
      </c>
      <c r="AJ32" s="241">
        <f>(4*$K32)/(PI()*$L32^2*AJ$11)</f>
        <v>14.556854551087994</v>
      </c>
      <c r="AK32" s="241">
        <f t="shared" ref="AK32:AX32" si="37">(4*$K32)/(PI()*$L32^2*AK$11)</f>
        <v>7.2784272755439972</v>
      </c>
      <c r="AL32" s="241">
        <f t="shared" si="37"/>
        <v>4.8522848503626648</v>
      </c>
      <c r="AM32" s="241">
        <f t="shared" si="37"/>
        <v>3.6392136377719986</v>
      </c>
      <c r="AN32" s="241">
        <f t="shared" si="37"/>
        <v>2.9113709102175989</v>
      </c>
      <c r="AO32" s="241">
        <f t="shared" si="37"/>
        <v>2.4261424251813324</v>
      </c>
      <c r="AP32" s="241">
        <f t="shared" si="37"/>
        <v>2.0795506501554275</v>
      </c>
      <c r="AQ32" s="241">
        <f t="shared" si="37"/>
        <v>1.8196068188859993</v>
      </c>
      <c r="AR32" s="241">
        <f t="shared" si="37"/>
        <v>1.6174282834542217</v>
      </c>
      <c r="AS32" s="241">
        <f t="shared" si="37"/>
        <v>1.4556854551087994</v>
      </c>
      <c r="AT32" s="241">
        <f t="shared" si="37"/>
        <v>1.3233504137352721</v>
      </c>
      <c r="AU32" s="241">
        <f t="shared" si="37"/>
        <v>1.2130712125906662</v>
      </c>
      <c r="AV32" s="241">
        <f t="shared" si="37"/>
        <v>1.1197580423913842</v>
      </c>
      <c r="AW32" s="241">
        <f t="shared" si="37"/>
        <v>1.0397753250777138</v>
      </c>
      <c r="AX32" s="241">
        <f t="shared" si="37"/>
        <v>0.97045697007253295</v>
      </c>
      <c r="AY32" s="169">
        <f>(1/(1.28*$Q32^2))*($N32^2+2*$R32*$S32*$N32*$L32*AJ32+$R32^2*$S32*$L32^2*AJ32^2)</f>
        <v>1133.3118384896156</v>
      </c>
      <c r="AZ32" s="169">
        <f t="shared" ref="AZ32:AZ41" si="38">(1/(1.28*$Q32^2))*($N32^2+2*$R32*$S32*$N32*$L32*AK32+$R32^2*$S32*$L32^2*AK32^2)</f>
        <v>64.415415824489884</v>
      </c>
      <c r="BA32" s="169">
        <f t="shared" ref="BA32:BA41" si="39">(1/(1.28*$Q32^2))*($N32^2+2*$R32*$S32*$N32*$L32*AL32+$R32^2*$S32*$L32^2*AL32^2)</f>
        <v>0.27075067631319122</v>
      </c>
      <c r="BB32" s="169">
        <f t="shared" ref="BB32:BB41" si="40">(1/(1.28*$Q32^2))*($N32^2+2*$R32*$S32*$N32*$L32*AM32+$R32^2*$S32*$L32^2*AM32^2)</f>
        <v>22.977319803511882</v>
      </c>
      <c r="BC32" s="169">
        <f t="shared" ref="BC32:BC41" si="41">(1/(1.28*$Q32^2))*($N32^2+2*$R32*$S32*$N32*$L32*AN32+$R32^2*$S32*$L32^2*AN32^2)</f>
        <v>54.130509824243099</v>
      </c>
      <c r="BD32" s="169">
        <f t="shared" ref="BD32:BD41" si="42">(1/(1.28*$Q32^2))*($N32^2+2*$R32*$S32*$N32*$L32*AO32+$R32^2*$S32*$L32^2*AO32^2)</f>
        <v>82.203156731568882</v>
      </c>
      <c r="BE32" s="169">
        <f t="shared" ref="BE32:BE41" si="43">(1/(1.28*$Q32^2))*($N32^2+2*$R32*$S32*$N32*$L32*AP32+$R32^2*$S32*$L32^2*AP32^2)</f>
        <v>105.83244504178359</v>
      </c>
      <c r="BF32" s="169">
        <f t="shared" ref="BF32:BF41" si="44">(1/(1.28*$Q32^2))*($N32^2+2*$R32*$S32*$N32*$L32*AQ32+$R32^2*$S32*$L32^2*AQ32^2)</f>
        <v>125.51080062091911</v>
      </c>
      <c r="BG32" s="169">
        <f t="shared" ref="BG32:BG41" si="45">(1/(1.28*$Q32^2))*($N32^2+2*$R32*$S32*$N32*$L32*AR32+$R32^2*$S32*$L32^2*AR32^2)</f>
        <v>141.97553012852799</v>
      </c>
      <c r="BH32" s="169">
        <f t="shared" ref="BH32:BH41" si="46">(1/(1.28*$Q32^2))*($N32^2+2*$R32*$S32*$N32*$L32*AS32+$R32^2*$S32*$L32^2*AS32^2)</f>
        <v>155.87769909063226</v>
      </c>
      <c r="BI32" s="169">
        <f t="shared" ref="BI32:BI41" si="47">(1/(1.28*$Q32^2))*($N32^2+2*$R32*$S32*$N32*$L32*AT32+$R32^2*$S32*$L32^2*AT32^2)</f>
        <v>167.73510037765456</v>
      </c>
      <c r="BJ32" s="169">
        <f t="shared" ref="BJ32:BJ41" si="48">(1/(1.28*$Q32^2))*($N32^2+2*$R32*$S32*$N32*$L32*AU32+$R32^2*$S32*$L32^2*AU32^2)</f>
        <v>177.94826146048396</v>
      </c>
      <c r="BK32" s="169">
        <f t="shared" ref="BK32:BK41" si="49">(1/(1.28*$Q32^2))*($N32^2+2*$R32*$S32*$N32*$L32*AV32+$R32^2*$S32*$L32^2*AV32^2)</f>
        <v>186.82590191067268</v>
      </c>
      <c r="BL32" s="169">
        <f t="shared" ref="BL32:BL41" si="50">(1/(1.28*$Q32^2))*($N32^2+2*$R32*$S32*$N32*$L32*AW32+$R32^2*$S32*$L32^2*AW32^2)</f>
        <v>194.6072982830521</v>
      </c>
      <c r="BM32" s="169">
        <f t="shared" ref="BM32:BM41" si="51">(1/(1.28*$Q32^2))*($N32^2+2*$R32*$S32*$N32*$L32*AX32+$R32^2*$S32*$L32^2*AX32^2)</f>
        <v>201.47959454236991</v>
      </c>
      <c r="BN32" s="245">
        <f>(U32*$P32^2+$T32)*(1+(AY32/($P32^2)))</f>
        <v>441.38207053591788</v>
      </c>
      <c r="BO32" s="245">
        <f t="shared" ref="BO32:BO41" si="52">(V32*$P32^2+$T32)*(1+(AZ32/($P32^2)))</f>
        <v>550.08487105268318</v>
      </c>
      <c r="BP32" s="245">
        <f t="shared" ref="BP32:BP41" si="53">(W32*$P32^2+$T32)*(1+(BA32/($P32^2)))</f>
        <v>795.1810930012233</v>
      </c>
      <c r="BQ32" s="245">
        <f t="shared" ref="BQ32:BQ41" si="54">(X32*$P32^2+$T32)*(1+(BB32/($P32^2)))</f>
        <v>1074.3756703077074</v>
      </c>
      <c r="BR32" s="245">
        <f t="shared" ref="BR32:BR41" si="55">(Y32*$P32^2+$T32)*(1+(BC32/($P32^2)))</f>
        <v>1367.209589757369</v>
      </c>
      <c r="BS32" s="245">
        <f t="shared" ref="BS32:BS41" si="56">(Z32*$P32^2+$T32)*(1+(BD32/($P32^2)))</f>
        <v>1666.863180278619</v>
      </c>
      <c r="BT32" s="245">
        <f t="shared" ref="BT32:BT41" si="57">(AA32*$P32^2+$T32)*(1+(BE32/($P32^2)))</f>
        <v>1970.41372569792</v>
      </c>
      <c r="BU32" s="245">
        <f t="shared" ref="BU32:BU41" si="58">(AB32*$P32^2+$T32)*(1+(BF32/($P32^2)))</f>
        <v>2276.3998679285028</v>
      </c>
      <c r="BV32" s="245">
        <f t="shared" ref="BV32:BV41" si="59">(AC32*$P32^2+$T32)*(1+(BG32/($P32^2)))</f>
        <v>2584.0097413666062</v>
      </c>
      <c r="BW32" s="245">
        <f t="shared" ref="BW32:BW41" si="60">(AD32*$P32^2+$T32)*(1+(BH32/($P32^2)))</f>
        <v>2892.7562266499749</v>
      </c>
      <c r="BX32" s="245">
        <f t="shared" ref="BX32:BX41" si="61">(AE32*$P32^2+$T32)*(1+(BI32/($P32^2)))</f>
        <v>3202.3293387299</v>
      </c>
      <c r="BY32" s="245">
        <f t="shared" ref="BY32:BY41" si="62">(AF32*$P32^2+$T32)*(1+(BJ32/($P32^2)))</f>
        <v>3512.5224209072412</v>
      </c>
      <c r="BZ32" s="245">
        <f t="shared" ref="BZ32:BZ41" si="63">(AG32*$P32^2+$T32)*(1+(BK32/($P32^2)))</f>
        <v>3823.192403159519</v>
      </c>
      <c r="CA32" s="245">
        <f t="shared" ref="CA32:CA41" si="64">(AH32*$P32^2+$T32)*(1+(BL32/($P32^2)))</f>
        <v>4134.2370926135327</v>
      </c>
      <c r="CB32" s="245">
        <f t="shared" ref="CB32:CB41" si="65">(AI32*$P32^2+$T32)*(1+(BM32/($P32^2)))</f>
        <v>4445.581547828936</v>
      </c>
      <c r="CC32" s="245">
        <f>MIN(BN32:CB32)</f>
        <v>441.38207053591788</v>
      </c>
      <c r="CD32" s="241">
        <f>10^6/($K32*BN32)</f>
        <v>4796.8716024855066</v>
      </c>
      <c r="CE32" s="241">
        <f t="shared" ref="CE32:CE41" si="66">10^6/($K32*BO32)</f>
        <v>3848.9571908208763</v>
      </c>
      <c r="CF32" s="241">
        <f t="shared" ref="CF32:CF41" si="67">10^6/($K32*BP32)</f>
        <v>2662.604957078302</v>
      </c>
      <c r="CG32" s="241">
        <f t="shared" ref="CG32:CG41" si="68">10^6/($K32*BQ32)</f>
        <v>1970.6823027680866</v>
      </c>
      <c r="CH32" s="241">
        <f t="shared" ref="CH32:CH41" si="69">10^6/($K32*BR32)</f>
        <v>1548.5944041511123</v>
      </c>
      <c r="CI32" s="241">
        <f t="shared" ref="CI32:CI41" si="70">10^6/($K32*BS32)</f>
        <v>1270.2021047978858</v>
      </c>
      <c r="CJ32" s="241">
        <f t="shared" ref="CJ32:CJ41" si="71">10^6/($K32*BT32)</f>
        <v>1074.5221129892755</v>
      </c>
      <c r="CK32" s="241">
        <f t="shared" ref="CK32:CK41" si="72">10^6/($K32*BU32)</f>
        <v>930.08840398794928</v>
      </c>
      <c r="CL32" s="241">
        <f t="shared" ref="CL32:CL41" si="73">10^6/($K32*BV32)</f>
        <v>819.36731356138273</v>
      </c>
      <c r="CM32" s="241">
        <f t="shared" ref="CM32:CM41" si="74">10^6/($K32*BW32)</f>
        <v>731.91549999770803</v>
      </c>
      <c r="CN32" s="241">
        <f t="shared" ref="CN32:CN41" si="75">10^6/($K32*BX32)</f>
        <v>661.1603292619925</v>
      </c>
      <c r="CO32" s="241">
        <f t="shared" ref="CO32:CO41" si="76">10^6/($K32*BY32)</f>
        <v>602.77284136257242</v>
      </c>
      <c r="CP32" s="241">
        <f t="shared" ref="CP32:CP41" si="77">10^6/($K32*BZ32)</f>
        <v>553.79193530785506</v>
      </c>
      <c r="CQ32" s="241">
        <f t="shared" ref="CQ32:CQ41" si="78">10^6/($K32*CA32)</f>
        <v>512.1266808289264</v>
      </c>
      <c r="CR32" s="241">
        <f t="shared" ref="CR32:CR41" si="79">10^6/($K32*CB32)</f>
        <v>476.26010168095803</v>
      </c>
      <c r="CS32" s="1285">
        <f t="shared" ref="CS32:CS41" si="80">10^6/($K32*CC32)</f>
        <v>4796.8716024855066</v>
      </c>
      <c r="CT32" s="1281" t="e">
        <f>(J32-CS32)/J32</f>
        <v>#DIV/0!</v>
      </c>
      <c r="CU32" s="1282" t="e">
        <f>CS32/J32</f>
        <v>#DIV/0!</v>
      </c>
    </row>
    <row r="33" spans="2:99">
      <c r="B33" s="629">
        <f>B32+1</f>
        <v>102</v>
      </c>
      <c r="C33" s="42" t="str">
        <f t="shared" si="30"/>
        <v>AA</v>
      </c>
      <c r="D33" s="42" t="str">
        <f t="shared" si="0"/>
        <v>EF-1</v>
      </c>
      <c r="E33" s="648">
        <f t="shared" si="31"/>
        <v>10</v>
      </c>
      <c r="F33" s="1236">
        <f t="shared" si="32"/>
        <v>2</v>
      </c>
      <c r="G33" s="649" t="str">
        <f t="shared" si="33"/>
        <v xml:space="preserve"> - Receptor 2</v>
      </c>
      <c r="H33" s="318">
        <f t="shared" si="3"/>
        <v>0</v>
      </c>
      <c r="I33" s="650">
        <f t="shared" si="4"/>
        <v>0</v>
      </c>
      <c r="J33" s="1278">
        <f t="shared" si="5"/>
        <v>0</v>
      </c>
      <c r="K33" s="1249">
        <f t="shared" si="6"/>
        <v>0.47231008449287359</v>
      </c>
      <c r="L33" s="1237">
        <f t="shared" si="7"/>
        <v>0.2032520325203252</v>
      </c>
      <c r="M33" s="1237">
        <f t="shared" si="8"/>
        <v>14.556854551087991</v>
      </c>
      <c r="N33" s="1237">
        <f t="shared" si="34"/>
        <v>-18.59756097560976</v>
      </c>
      <c r="O33" s="1242" t="s">
        <v>1432</v>
      </c>
      <c r="P33" s="1237">
        <f t="shared" si="35"/>
        <v>37.201248340980918</v>
      </c>
      <c r="Q33" s="5">
        <f>Q32</f>
        <v>0.153</v>
      </c>
      <c r="R33" s="5">
        <f>R32</f>
        <v>3</v>
      </c>
      <c r="S33" s="5">
        <f>S32</f>
        <v>1</v>
      </c>
      <c r="T33" s="5">
        <f>T32</f>
        <v>0</v>
      </c>
      <c r="U33" s="36">
        <f t="shared" si="17"/>
        <v>0.15561810431999995</v>
      </c>
      <c r="V33" s="36">
        <f t="shared" si="17"/>
        <v>0.3112362086399999</v>
      </c>
      <c r="W33" s="36">
        <f t="shared" si="17"/>
        <v>0.46685431295999985</v>
      </c>
      <c r="X33" s="36">
        <f t="shared" si="17"/>
        <v>0.6224724172799998</v>
      </c>
      <c r="Y33" s="36">
        <f t="shared" si="17"/>
        <v>0.77809052159999981</v>
      </c>
      <c r="Z33" s="36">
        <f t="shared" si="17"/>
        <v>0.9337086259199997</v>
      </c>
      <c r="AA33" s="36">
        <f t="shared" si="17"/>
        <v>1.0893267302399996</v>
      </c>
      <c r="AB33" s="36">
        <f t="shared" si="17"/>
        <v>1.2449448345599996</v>
      </c>
      <c r="AC33" s="36">
        <f t="shared" si="17"/>
        <v>1.4005629388799996</v>
      </c>
      <c r="AD33" s="36">
        <f t="shared" si="17"/>
        <v>1.5561810431999996</v>
      </c>
      <c r="AE33" s="36">
        <f t="shared" si="17"/>
        <v>1.7117991475199996</v>
      </c>
      <c r="AF33" s="36">
        <f t="shared" si="17"/>
        <v>1.8674172518399994</v>
      </c>
      <c r="AG33" s="36">
        <f t="shared" si="17"/>
        <v>2.0230353561599994</v>
      </c>
      <c r="AH33" s="36">
        <f t="shared" si="17"/>
        <v>2.1786534604799992</v>
      </c>
      <c r="AI33" s="36">
        <f t="shared" si="17"/>
        <v>2.3342715647999994</v>
      </c>
      <c r="AJ33" s="241">
        <f t="shared" si="18"/>
        <v>14.556854551087994</v>
      </c>
      <c r="AK33" s="241">
        <f t="shared" si="18"/>
        <v>7.2784272755439972</v>
      </c>
      <c r="AL33" s="241">
        <f t="shared" si="18"/>
        <v>4.8522848503626648</v>
      </c>
      <c r="AM33" s="241">
        <f t="shared" si="18"/>
        <v>3.6392136377719986</v>
      </c>
      <c r="AN33" s="241">
        <f t="shared" si="18"/>
        <v>2.9113709102175989</v>
      </c>
      <c r="AO33" s="241">
        <f t="shared" si="18"/>
        <v>2.4261424251813324</v>
      </c>
      <c r="AP33" s="241">
        <f t="shared" si="18"/>
        <v>2.0795506501554275</v>
      </c>
      <c r="AQ33" s="241">
        <f t="shared" si="18"/>
        <v>1.8196068188859993</v>
      </c>
      <c r="AR33" s="241">
        <f t="shared" si="18"/>
        <v>1.6174282834542217</v>
      </c>
      <c r="AS33" s="241">
        <f t="shared" si="18"/>
        <v>1.4556854551087994</v>
      </c>
      <c r="AT33" s="241">
        <f t="shared" si="18"/>
        <v>1.3233504137352721</v>
      </c>
      <c r="AU33" s="241">
        <f t="shared" si="18"/>
        <v>1.2130712125906662</v>
      </c>
      <c r="AV33" s="241">
        <f t="shared" si="18"/>
        <v>1.1197580423913842</v>
      </c>
      <c r="AW33" s="241">
        <f t="shared" si="18"/>
        <v>1.0397753250777138</v>
      </c>
      <c r="AX33" s="241">
        <f t="shared" si="18"/>
        <v>0.97045697007253295</v>
      </c>
      <c r="AY33" s="169">
        <f t="shared" ref="AY33:AY41" si="81">(1/(1.28*$Q33^2))*($N33^2+2*$R33*$S33*$N33*$L33*AJ33+$R33^2*$S33*$L33^2*AJ33^2)</f>
        <v>3154.04212174845</v>
      </c>
      <c r="AZ33" s="169">
        <f t="shared" si="38"/>
        <v>6691.1802958475146</v>
      </c>
      <c r="BA33" s="169">
        <f t="shared" si="39"/>
        <v>8162.380496287401</v>
      </c>
      <c r="BB33" s="169">
        <f t="shared" si="40"/>
        <v>8952.7594982086321</v>
      </c>
      <c r="BC33" s="169">
        <f t="shared" si="41"/>
        <v>9444.5161479057824</v>
      </c>
      <c r="BD33" s="169">
        <f t="shared" si="42"/>
        <v>9779.6577679307229</v>
      </c>
      <c r="BE33" s="169">
        <f t="shared" si="43"/>
        <v>10022.622037039231</v>
      </c>
      <c r="BF33" s="169">
        <f t="shared" si="44"/>
        <v>10206.801628217087</v>
      </c>
      <c r="BG33" s="169">
        <f t="shared" si="45"/>
        <v>10351.211763190367</v>
      </c>
      <c r="BH33" s="169">
        <f t="shared" si="46"/>
        <v>10467.470256525008</v>
      </c>
      <c r="BI33" s="169">
        <f t="shared" si="47"/>
        <v>10563.073741389564</v>
      </c>
      <c r="BJ33" s="169">
        <f t="shared" si="48"/>
        <v>10643.075305453669</v>
      </c>
      <c r="BK33" s="169">
        <f t="shared" si="49"/>
        <v>10711.004671503399</v>
      </c>
      <c r="BL33" s="169">
        <f t="shared" si="50"/>
        <v>10769.401832675383</v>
      </c>
      <c r="BM33" s="169">
        <f t="shared" si="51"/>
        <v>10820.14112509436</v>
      </c>
      <c r="BN33" s="245">
        <f t="shared" ref="BN33:BN41" si="82">(U33*$P33^2+$T33)*(1+(AY33/($P33^2)))</f>
        <v>706.1910669322217</v>
      </c>
      <c r="BO33" s="245">
        <f t="shared" si="52"/>
        <v>2513.2676086068482</v>
      </c>
      <c r="BP33" s="245">
        <f t="shared" si="53"/>
        <v>4456.7375717132491</v>
      </c>
      <c r="BQ33" s="245">
        <f t="shared" si="54"/>
        <v>6434.3058901775948</v>
      </c>
      <c r="BR33" s="245">
        <f t="shared" si="55"/>
        <v>8425.5135507851192</v>
      </c>
      <c r="BS33" s="245">
        <f t="shared" si="56"/>
        <v>10423.540882464233</v>
      </c>
      <c r="BT33" s="245">
        <f t="shared" si="57"/>
        <v>12425.465169041392</v>
      </c>
      <c r="BU33" s="245">
        <f t="shared" si="58"/>
        <v>14429.825052429835</v>
      </c>
      <c r="BV33" s="245">
        <f t="shared" si="59"/>
        <v>16435.808667025802</v>
      </c>
      <c r="BW33" s="245">
        <f t="shared" si="60"/>
        <v>18442.928893467033</v>
      </c>
      <c r="BX33" s="245">
        <f t="shared" si="61"/>
        <v>20450.87574670482</v>
      </c>
      <c r="BY33" s="245">
        <f t="shared" si="62"/>
        <v>22459.442570040021</v>
      </c>
      <c r="BZ33" s="245">
        <f t="shared" si="63"/>
        <v>24468.486293450165</v>
      </c>
      <c r="CA33" s="245">
        <f t="shared" si="64"/>
        <v>26477.904724062031</v>
      </c>
      <c r="CB33" s="245">
        <f t="shared" si="65"/>
        <v>28487.622920435304</v>
      </c>
      <c r="CC33" s="245">
        <f t="shared" ref="CC33:CC41" si="83">MIN(BN33:CB33)</f>
        <v>706.1910669322217</v>
      </c>
      <c r="CD33" s="241">
        <f t="shared" ref="CD33:CD41" si="84">10^6/($K33*BN33)</f>
        <v>2998.1307030653898</v>
      </c>
      <c r="CE33" s="241">
        <f t="shared" si="66"/>
        <v>842.43043309408381</v>
      </c>
      <c r="CF33" s="241">
        <f t="shared" si="67"/>
        <v>475.06793611500211</v>
      </c>
      <c r="CG33" s="241">
        <f t="shared" si="68"/>
        <v>329.0569575239079</v>
      </c>
      <c r="CH33" s="241">
        <f t="shared" si="69"/>
        <v>251.29069073809825</v>
      </c>
      <c r="CI33" s="241">
        <f t="shared" si="70"/>
        <v>203.12225412401884</v>
      </c>
      <c r="CJ33" s="241">
        <f t="shared" si="71"/>
        <v>170.39628627145737</v>
      </c>
      <c r="CK33" s="241">
        <f t="shared" si="72"/>
        <v>146.72756684901566</v>
      </c>
      <c r="CL33" s="241">
        <f t="shared" si="73"/>
        <v>128.81952831732096</v>
      </c>
      <c r="CM33" s="241">
        <f t="shared" si="74"/>
        <v>114.80026476434477</v>
      </c>
      <c r="CN33" s="241">
        <f t="shared" si="75"/>
        <v>103.5287264087527</v>
      </c>
      <c r="CO33" s="241">
        <f t="shared" si="76"/>
        <v>94.270065403329667</v>
      </c>
      <c r="CP33" s="241">
        <f t="shared" si="77"/>
        <v>86.529795697527689</v>
      </c>
      <c r="CQ33" s="241">
        <f t="shared" si="78"/>
        <v>79.963016034117203</v>
      </c>
      <c r="CR33" s="241">
        <f t="shared" si="79"/>
        <v>74.321859914861818</v>
      </c>
      <c r="CS33" s="1285">
        <f t="shared" si="80"/>
        <v>2998.1307030653898</v>
      </c>
      <c r="CT33" s="1281" t="e">
        <f t="shared" ref="CT33:CT41" si="85">(J33-CS33)/J33</f>
        <v>#DIV/0!</v>
      </c>
      <c r="CU33" s="1282" t="e">
        <f t="shared" ref="CU33:CU41" si="86">CS33/J33</f>
        <v>#DIV/0!</v>
      </c>
    </row>
    <row r="34" spans="2:99">
      <c r="B34" s="629">
        <f t="shared" ref="B34:B41" si="87">B33+1</f>
        <v>103</v>
      </c>
      <c r="C34" s="42" t="str">
        <f t="shared" si="30"/>
        <v>AA</v>
      </c>
      <c r="D34" s="42" t="str">
        <f t="shared" si="0"/>
        <v>EF-1</v>
      </c>
      <c r="E34" s="648">
        <f t="shared" si="31"/>
        <v>10</v>
      </c>
      <c r="F34" s="1236">
        <f t="shared" si="32"/>
        <v>3</v>
      </c>
      <c r="G34" s="649" t="str">
        <f t="shared" si="33"/>
        <v xml:space="preserve"> - Receptor 3</v>
      </c>
      <c r="H34" s="318">
        <f t="shared" si="3"/>
        <v>0</v>
      </c>
      <c r="I34" s="650">
        <f t="shared" si="4"/>
        <v>0</v>
      </c>
      <c r="J34" s="1278">
        <f t="shared" si="5"/>
        <v>0</v>
      </c>
      <c r="K34" s="1249">
        <f t="shared" si="6"/>
        <v>0.47231008449287359</v>
      </c>
      <c r="L34" s="1237">
        <f t="shared" si="7"/>
        <v>0.2032520325203252</v>
      </c>
      <c r="M34" s="1237">
        <f t="shared" si="8"/>
        <v>14.556854551087991</v>
      </c>
      <c r="N34" s="1237">
        <f t="shared" si="34"/>
        <v>-14.939024390243903</v>
      </c>
      <c r="O34" s="1242" t="s">
        <v>1432</v>
      </c>
      <c r="P34" s="1237">
        <f t="shared" si="35"/>
        <v>71.771839608160789</v>
      </c>
      <c r="Q34" s="5">
        <f t="shared" ref="Q34:T41" si="88">Q33</f>
        <v>0.153</v>
      </c>
      <c r="R34" s="5">
        <f t="shared" si="88"/>
        <v>3</v>
      </c>
      <c r="S34" s="5">
        <f t="shared" si="88"/>
        <v>1</v>
      </c>
      <c r="T34" s="5">
        <f t="shared" si="88"/>
        <v>0</v>
      </c>
      <c r="U34" s="36">
        <f t="shared" ref="U34:AI41" si="89">0.0735*U$11/$K34</f>
        <v>0.15561810431999995</v>
      </c>
      <c r="V34" s="36">
        <f t="shared" si="89"/>
        <v>0.3112362086399999</v>
      </c>
      <c r="W34" s="36">
        <f t="shared" si="89"/>
        <v>0.46685431295999985</v>
      </c>
      <c r="X34" s="36">
        <f t="shared" si="89"/>
        <v>0.6224724172799998</v>
      </c>
      <c r="Y34" s="36">
        <f t="shared" si="89"/>
        <v>0.77809052159999981</v>
      </c>
      <c r="Z34" s="36">
        <f t="shared" si="89"/>
        <v>0.9337086259199997</v>
      </c>
      <c r="AA34" s="36">
        <f t="shared" si="89"/>
        <v>1.0893267302399996</v>
      </c>
      <c r="AB34" s="36">
        <f t="shared" si="89"/>
        <v>1.2449448345599996</v>
      </c>
      <c r="AC34" s="36">
        <f t="shared" si="89"/>
        <v>1.4005629388799996</v>
      </c>
      <c r="AD34" s="36">
        <f t="shared" si="89"/>
        <v>1.5561810431999996</v>
      </c>
      <c r="AE34" s="36">
        <f t="shared" si="89"/>
        <v>1.7117991475199996</v>
      </c>
      <c r="AF34" s="36">
        <f t="shared" si="89"/>
        <v>1.8674172518399994</v>
      </c>
      <c r="AG34" s="36">
        <f t="shared" si="89"/>
        <v>2.0230353561599994</v>
      </c>
      <c r="AH34" s="36">
        <f t="shared" si="89"/>
        <v>2.1786534604799992</v>
      </c>
      <c r="AI34" s="36">
        <f t="shared" si="89"/>
        <v>2.3342715647999994</v>
      </c>
      <c r="AJ34" s="241">
        <f t="shared" ref="AJ34:AX41" si="90">(4*$K34)/(PI()*$L34^2*AJ$11)</f>
        <v>14.556854551087994</v>
      </c>
      <c r="AK34" s="241">
        <f t="shared" si="90"/>
        <v>7.2784272755439972</v>
      </c>
      <c r="AL34" s="241">
        <f t="shared" si="90"/>
        <v>4.8522848503626648</v>
      </c>
      <c r="AM34" s="241">
        <f t="shared" si="90"/>
        <v>3.6392136377719986</v>
      </c>
      <c r="AN34" s="241">
        <f t="shared" si="90"/>
        <v>2.9113709102175989</v>
      </c>
      <c r="AO34" s="241">
        <f t="shared" si="90"/>
        <v>2.4261424251813324</v>
      </c>
      <c r="AP34" s="241">
        <f t="shared" si="90"/>
        <v>2.0795506501554275</v>
      </c>
      <c r="AQ34" s="241">
        <f t="shared" si="90"/>
        <v>1.8196068188859993</v>
      </c>
      <c r="AR34" s="241">
        <f t="shared" si="90"/>
        <v>1.6174282834542217</v>
      </c>
      <c r="AS34" s="241">
        <f t="shared" si="90"/>
        <v>1.4556854551087994</v>
      </c>
      <c r="AT34" s="241">
        <f t="shared" si="90"/>
        <v>1.3233504137352721</v>
      </c>
      <c r="AU34" s="241">
        <f t="shared" si="90"/>
        <v>1.2130712125906662</v>
      </c>
      <c r="AV34" s="241">
        <f t="shared" si="90"/>
        <v>1.1197580423913842</v>
      </c>
      <c r="AW34" s="241">
        <f t="shared" si="90"/>
        <v>1.0397753250777138</v>
      </c>
      <c r="AX34" s="241">
        <f t="shared" si="90"/>
        <v>0.97045697007253295</v>
      </c>
      <c r="AY34" s="169">
        <f t="shared" si="81"/>
        <v>1226.7810456719651</v>
      </c>
      <c r="AZ34" s="169">
        <f t="shared" si="38"/>
        <v>3680.146373473573</v>
      </c>
      <c r="BA34" s="169">
        <f t="shared" si="39"/>
        <v>4790.0889584809738</v>
      </c>
      <c r="BB34" s="169">
        <f t="shared" si="40"/>
        <v>5399.8391526859614</v>
      </c>
      <c r="BC34" s="169">
        <f t="shared" si="41"/>
        <v>5783.2185177533665</v>
      </c>
      <c r="BD34" s="169">
        <f t="shared" si="42"/>
        <v>6046.1086146918087</v>
      </c>
      <c r="BE34" s="169">
        <f t="shared" si="43"/>
        <v>6237.464653024248</v>
      </c>
      <c r="BF34" s="169">
        <f t="shared" si="44"/>
        <v>6382.9380711200529</v>
      </c>
      <c r="BG34" s="169">
        <f t="shared" si="45"/>
        <v>6497.2434048072937</v>
      </c>
      <c r="BH34" s="169">
        <f t="shared" si="46"/>
        <v>6589.4180571131028</v>
      </c>
      <c r="BI34" s="169">
        <f t="shared" si="47"/>
        <v>6665.3165811358831</v>
      </c>
      <c r="BJ34" s="169">
        <f t="shared" si="48"/>
        <v>6728.8973444985122</v>
      </c>
      <c r="BK34" s="169">
        <f t="shared" si="49"/>
        <v>6782.9321868777624</v>
      </c>
      <c r="BL34" s="169">
        <f t="shared" si="50"/>
        <v>6829.4197563321932</v>
      </c>
      <c r="BM34" s="169">
        <f t="shared" si="51"/>
        <v>6869.8374025959565</v>
      </c>
      <c r="BN34" s="245">
        <f t="shared" si="82"/>
        <v>992.52884675241364</v>
      </c>
      <c r="BO34" s="245">
        <f t="shared" si="52"/>
        <v>2748.6338165386301</v>
      </c>
      <c r="BP34" s="245">
        <f t="shared" si="53"/>
        <v>4641.1322077566219</v>
      </c>
      <c r="BQ34" s="245">
        <f t="shared" si="54"/>
        <v>6567.7289543325569</v>
      </c>
      <c r="BR34" s="245">
        <f t="shared" si="55"/>
        <v>8507.9650430516704</v>
      </c>
      <c r="BS34" s="245">
        <f t="shared" si="56"/>
        <v>10455.020802842373</v>
      </c>
      <c r="BT34" s="245">
        <f t="shared" si="57"/>
        <v>12405.973517531123</v>
      </c>
      <c r="BU34" s="245">
        <f t="shared" si="58"/>
        <v>14359.361829031159</v>
      </c>
      <c r="BV34" s="245">
        <f t="shared" si="59"/>
        <v>16314.373871738715</v>
      </c>
      <c r="BW34" s="245">
        <f t="shared" si="60"/>
        <v>18270.522526291534</v>
      </c>
      <c r="BX34" s="245">
        <f t="shared" si="61"/>
        <v>20227.497807640913</v>
      </c>
      <c r="BY34" s="245">
        <f t="shared" si="62"/>
        <v>22185.093059087703</v>
      </c>
      <c r="BZ34" s="245">
        <f t="shared" si="63"/>
        <v>24143.165210609437</v>
      </c>
      <c r="CA34" s="245">
        <f t="shared" si="64"/>
        <v>26101.612069332899</v>
      </c>
      <c r="CB34" s="245">
        <f t="shared" si="65"/>
        <v>28060.35869381775</v>
      </c>
      <c r="CC34" s="245">
        <f t="shared" si="83"/>
        <v>992.52884675241364</v>
      </c>
      <c r="CD34" s="241">
        <f t="shared" si="84"/>
        <v>2133.1905132306429</v>
      </c>
      <c r="CE34" s="241">
        <f t="shared" si="66"/>
        <v>770.29290233584777</v>
      </c>
      <c r="CF34" s="241">
        <f t="shared" si="67"/>
        <v>456.19323587927124</v>
      </c>
      <c r="CG34" s="241">
        <f t="shared" si="68"/>
        <v>322.37218294511126</v>
      </c>
      <c r="CH34" s="241">
        <f t="shared" si="69"/>
        <v>248.85540893578647</v>
      </c>
      <c r="CI34" s="241">
        <f t="shared" si="70"/>
        <v>202.51065587783324</v>
      </c>
      <c r="CJ34" s="241">
        <f t="shared" si="71"/>
        <v>170.66400448203987</v>
      </c>
      <c r="CK34" s="241">
        <f t="shared" si="72"/>
        <v>147.44757776904999</v>
      </c>
      <c r="CL34" s="241">
        <f t="shared" si="73"/>
        <v>129.77838663288838</v>
      </c>
      <c r="CM34" s="241">
        <f t="shared" si="74"/>
        <v>115.88355598222455</v>
      </c>
      <c r="CN34" s="241">
        <f t="shared" si="75"/>
        <v>104.67202320992018</v>
      </c>
      <c r="CO34" s="241">
        <f t="shared" si="76"/>
        <v>95.435845788922975</v>
      </c>
      <c r="CP34" s="241">
        <f t="shared" si="77"/>
        <v>87.695755777274684</v>
      </c>
      <c r="CQ34" s="241">
        <f t="shared" si="78"/>
        <v>81.115799069268448</v>
      </c>
      <c r="CR34" s="241">
        <f t="shared" si="79"/>
        <v>75.453530124205869</v>
      </c>
      <c r="CS34" s="1285">
        <f t="shared" si="80"/>
        <v>2133.1905132306429</v>
      </c>
      <c r="CT34" s="1281" t="e">
        <f t="shared" si="85"/>
        <v>#DIV/0!</v>
      </c>
      <c r="CU34" s="1282" t="e">
        <f t="shared" si="86"/>
        <v>#DIV/0!</v>
      </c>
    </row>
    <row r="35" spans="2:99">
      <c r="B35" s="629">
        <f t="shared" si="87"/>
        <v>104</v>
      </c>
      <c r="C35" s="42" t="str">
        <f t="shared" si="30"/>
        <v>AA</v>
      </c>
      <c r="D35" s="42" t="str">
        <f t="shared" si="0"/>
        <v>EF-1</v>
      </c>
      <c r="E35" s="648">
        <f t="shared" si="31"/>
        <v>10</v>
      </c>
      <c r="F35" s="1236">
        <f t="shared" si="32"/>
        <v>4</v>
      </c>
      <c r="G35" s="649" t="str">
        <f t="shared" si="33"/>
        <v xml:space="preserve"> - Receptor 4</v>
      </c>
      <c r="H35" s="318">
        <f t="shared" si="3"/>
        <v>0</v>
      </c>
      <c r="I35" s="650">
        <f t="shared" si="4"/>
        <v>0</v>
      </c>
      <c r="J35" s="1278">
        <f t="shared" si="5"/>
        <v>0</v>
      </c>
      <c r="K35" s="1249">
        <f t="shared" si="6"/>
        <v>0.47231008449287359</v>
      </c>
      <c r="L35" s="1237">
        <f t="shared" si="7"/>
        <v>0.2032520325203252</v>
      </c>
      <c r="M35" s="1237">
        <f t="shared" si="8"/>
        <v>14.556854551087991</v>
      </c>
      <c r="N35" s="1237">
        <f t="shared" si="34"/>
        <v>-28.658536585365859</v>
      </c>
      <c r="O35" s="1242" t="s">
        <v>1432</v>
      </c>
      <c r="P35" s="1237">
        <f t="shared" si="35"/>
        <v>46.312515533250675</v>
      </c>
      <c r="Q35" s="5">
        <f t="shared" si="88"/>
        <v>0.153</v>
      </c>
      <c r="R35" s="5">
        <f t="shared" si="88"/>
        <v>3</v>
      </c>
      <c r="S35" s="5">
        <f t="shared" si="88"/>
        <v>1</v>
      </c>
      <c r="T35" s="5">
        <f t="shared" si="88"/>
        <v>0</v>
      </c>
      <c r="U35" s="36">
        <f t="shared" si="89"/>
        <v>0.15561810431999995</v>
      </c>
      <c r="V35" s="36">
        <f t="shared" si="89"/>
        <v>0.3112362086399999</v>
      </c>
      <c r="W35" s="36">
        <f t="shared" si="89"/>
        <v>0.46685431295999985</v>
      </c>
      <c r="X35" s="36">
        <f t="shared" si="89"/>
        <v>0.6224724172799998</v>
      </c>
      <c r="Y35" s="36">
        <f t="shared" si="89"/>
        <v>0.77809052159999981</v>
      </c>
      <c r="Z35" s="36">
        <f t="shared" si="89"/>
        <v>0.9337086259199997</v>
      </c>
      <c r="AA35" s="36">
        <f t="shared" si="89"/>
        <v>1.0893267302399996</v>
      </c>
      <c r="AB35" s="36">
        <f t="shared" si="89"/>
        <v>1.2449448345599996</v>
      </c>
      <c r="AC35" s="36">
        <f t="shared" si="89"/>
        <v>1.4005629388799996</v>
      </c>
      <c r="AD35" s="36">
        <f t="shared" si="89"/>
        <v>1.5561810431999996</v>
      </c>
      <c r="AE35" s="36">
        <f t="shared" si="89"/>
        <v>1.7117991475199996</v>
      </c>
      <c r="AF35" s="36">
        <f t="shared" si="89"/>
        <v>1.8674172518399994</v>
      </c>
      <c r="AG35" s="36">
        <f t="shared" si="89"/>
        <v>2.0230353561599994</v>
      </c>
      <c r="AH35" s="36">
        <f t="shared" si="89"/>
        <v>2.1786534604799992</v>
      </c>
      <c r="AI35" s="36">
        <f t="shared" si="89"/>
        <v>2.3342715647999994</v>
      </c>
      <c r="AJ35" s="241">
        <f t="shared" si="90"/>
        <v>14.556854551087994</v>
      </c>
      <c r="AK35" s="241">
        <f t="shared" si="90"/>
        <v>7.2784272755439972</v>
      </c>
      <c r="AL35" s="241">
        <f t="shared" si="90"/>
        <v>4.8522848503626648</v>
      </c>
      <c r="AM35" s="241">
        <f t="shared" si="90"/>
        <v>3.6392136377719986</v>
      </c>
      <c r="AN35" s="241">
        <f t="shared" si="90"/>
        <v>2.9113709102175989</v>
      </c>
      <c r="AO35" s="241">
        <f t="shared" si="90"/>
        <v>2.4261424251813324</v>
      </c>
      <c r="AP35" s="241">
        <f t="shared" si="90"/>
        <v>2.0795506501554275</v>
      </c>
      <c r="AQ35" s="241">
        <f t="shared" si="90"/>
        <v>1.8196068188859993</v>
      </c>
      <c r="AR35" s="241">
        <f t="shared" si="90"/>
        <v>1.6174282834542217</v>
      </c>
      <c r="AS35" s="241">
        <f t="shared" si="90"/>
        <v>1.4556854551087994</v>
      </c>
      <c r="AT35" s="241">
        <f t="shared" si="90"/>
        <v>1.3233504137352721</v>
      </c>
      <c r="AU35" s="241">
        <f t="shared" si="90"/>
        <v>1.2130712125906662</v>
      </c>
      <c r="AV35" s="241">
        <f t="shared" si="90"/>
        <v>1.1197580423913842</v>
      </c>
      <c r="AW35" s="241">
        <f t="shared" si="90"/>
        <v>1.0397753250777138</v>
      </c>
      <c r="AX35" s="241">
        <f t="shared" si="90"/>
        <v>0.97045697007253295</v>
      </c>
      <c r="AY35" s="169">
        <f t="shared" si="81"/>
        <v>13060.667695714097</v>
      </c>
      <c r="AZ35" s="169">
        <f t="shared" si="38"/>
        <v>19578.181197131169</v>
      </c>
      <c r="BA35" s="169">
        <f t="shared" si="39"/>
        <v>22042.839840010394</v>
      </c>
      <c r="BB35" s="169">
        <f t="shared" si="40"/>
        <v>23329.948063151285</v>
      </c>
      <c r="BC35" s="169">
        <f t="shared" si="41"/>
        <v>24119.742245580241</v>
      </c>
      <c r="BD35" s="169">
        <f t="shared" si="42"/>
        <v>24653.575554093044</v>
      </c>
      <c r="BE35" s="169">
        <f t="shared" si="43"/>
        <v>25038.462457835747</v>
      </c>
      <c r="BF35" s="169">
        <f t="shared" si="44"/>
        <v>25329.084024989246</v>
      </c>
      <c r="BG35" s="169">
        <f t="shared" si="45"/>
        <v>25556.282363499136</v>
      </c>
      <c r="BH35" s="169">
        <f t="shared" si="46"/>
        <v>25738.771419663066</v>
      </c>
      <c r="BI35" s="169">
        <f t="shared" si="47"/>
        <v>25888.563546842495</v>
      </c>
      <c r="BJ35" s="169">
        <f t="shared" si="48"/>
        <v>26013.722312835656</v>
      </c>
      <c r="BK35" s="169">
        <f t="shared" si="49"/>
        <v>26119.861618979208</v>
      </c>
      <c r="BL35" s="169">
        <f t="shared" si="50"/>
        <v>26211.010157374472</v>
      </c>
      <c r="BM35" s="169">
        <f t="shared" si="51"/>
        <v>26290.133976720284</v>
      </c>
      <c r="BN35" s="245">
        <f t="shared" si="82"/>
        <v>2366.2536981795938</v>
      </c>
      <c r="BO35" s="245">
        <f t="shared" si="52"/>
        <v>6760.9935883002472</v>
      </c>
      <c r="BP35" s="245">
        <f t="shared" si="53"/>
        <v>11292.126899852678</v>
      </c>
      <c r="BQ35" s="245">
        <f t="shared" si="54"/>
        <v>15857.358566763045</v>
      </c>
      <c r="BR35" s="245">
        <f t="shared" si="55"/>
        <v>20436.2295758166</v>
      </c>
      <c r="BS35" s="245">
        <f t="shared" si="56"/>
        <v>25021.920255941739</v>
      </c>
      <c r="BT35" s="245">
        <f t="shared" si="57"/>
        <v>29611.507890964924</v>
      </c>
      <c r="BU35" s="245">
        <f t="shared" si="58"/>
        <v>34203.531122799395</v>
      </c>
      <c r="BV35" s="245">
        <f t="shared" si="59"/>
        <v>38797.178085841384</v>
      </c>
      <c r="BW35" s="245">
        <f t="shared" si="60"/>
        <v>43391.961660728644</v>
      </c>
      <c r="BX35" s="245">
        <f t="shared" si="61"/>
        <v>47987.571862412464</v>
      </c>
      <c r="BY35" s="245">
        <f t="shared" si="62"/>
        <v>52583.802034193679</v>
      </c>
      <c r="BZ35" s="245">
        <f t="shared" si="63"/>
        <v>57180.50910604986</v>
      </c>
      <c r="CA35" s="245">
        <f t="shared" si="64"/>
        <v>61777.590885107755</v>
      </c>
      <c r="CB35" s="245">
        <f t="shared" si="65"/>
        <v>66374.972429927046</v>
      </c>
      <c r="CC35" s="245">
        <f t="shared" si="83"/>
        <v>2366.2536981795938</v>
      </c>
      <c r="CD35" s="241">
        <f t="shared" si="84"/>
        <v>894.77012614025477</v>
      </c>
      <c r="CE35" s="241">
        <f t="shared" si="66"/>
        <v>313.15709626819648</v>
      </c>
      <c r="CF35" s="241">
        <f t="shared" si="67"/>
        <v>187.49816919145871</v>
      </c>
      <c r="CG35" s="241">
        <f t="shared" si="68"/>
        <v>133.51865073151293</v>
      </c>
      <c r="CH35" s="241">
        <f t="shared" si="69"/>
        <v>103.60292304141419</v>
      </c>
      <c r="CI35" s="241">
        <f t="shared" si="70"/>
        <v>84.615932683952735</v>
      </c>
      <c r="CJ35" s="241">
        <f t="shared" si="71"/>
        <v>71.501023446564048</v>
      </c>
      <c r="CK35" s="241">
        <f t="shared" si="72"/>
        <v>61.901594674494902</v>
      </c>
      <c r="CL35" s="241">
        <f t="shared" si="73"/>
        <v>54.572348414501526</v>
      </c>
      <c r="CM35" s="241">
        <f t="shared" si="74"/>
        <v>48.793671430535788</v>
      </c>
      <c r="CN35" s="241">
        <f t="shared" si="75"/>
        <v>44.120863753441839</v>
      </c>
      <c r="CO35" s="241">
        <f t="shared" si="76"/>
        <v>40.264359709539697</v>
      </c>
      <c r="CP35" s="241">
        <f t="shared" si="77"/>
        <v>37.027531812863629</v>
      </c>
      <c r="CQ35" s="241">
        <f t="shared" si="78"/>
        <v>34.272186559323885</v>
      </c>
      <c r="CR35" s="241">
        <f t="shared" si="79"/>
        <v>31.898365339966237</v>
      </c>
      <c r="CS35" s="1285">
        <f t="shared" si="80"/>
        <v>894.77012614025477</v>
      </c>
      <c r="CT35" s="1281" t="e">
        <f t="shared" si="85"/>
        <v>#DIV/0!</v>
      </c>
      <c r="CU35" s="1282" t="e">
        <f t="shared" si="86"/>
        <v>#DIV/0!</v>
      </c>
    </row>
    <row r="36" spans="2:99">
      <c r="B36" s="629">
        <f t="shared" si="87"/>
        <v>105</v>
      </c>
      <c r="C36" s="42" t="str">
        <f t="shared" si="30"/>
        <v>AA</v>
      </c>
      <c r="D36" s="42" t="str">
        <f t="shared" si="0"/>
        <v>EF-1</v>
      </c>
      <c r="E36" s="648">
        <f t="shared" si="31"/>
        <v>10</v>
      </c>
      <c r="F36" s="1236">
        <f t="shared" si="32"/>
        <v>5</v>
      </c>
      <c r="G36" s="649" t="str">
        <f t="shared" si="33"/>
        <v xml:space="preserve"> - Receptor 5</v>
      </c>
      <c r="H36" s="318">
        <f t="shared" si="3"/>
        <v>0</v>
      </c>
      <c r="I36" s="650">
        <f t="shared" si="4"/>
        <v>0</v>
      </c>
      <c r="J36" s="1278">
        <f t="shared" si="5"/>
        <v>0</v>
      </c>
      <c r="K36" s="1249">
        <f t="shared" si="6"/>
        <v>0.47231008449287359</v>
      </c>
      <c r="L36" s="1237">
        <f t="shared" si="7"/>
        <v>0.2032520325203252</v>
      </c>
      <c r="M36" s="1237">
        <f t="shared" si="8"/>
        <v>14.556854551087991</v>
      </c>
      <c r="N36" s="1237">
        <f t="shared" si="34"/>
        <v>-32.31707317073171</v>
      </c>
      <c r="O36" s="1242" t="s">
        <v>1432</v>
      </c>
      <c r="P36" s="1237">
        <f t="shared" si="35"/>
        <v>72.715514667330595</v>
      </c>
      <c r="Q36" s="5">
        <f t="shared" si="88"/>
        <v>0.153</v>
      </c>
      <c r="R36" s="5">
        <f t="shared" si="88"/>
        <v>3</v>
      </c>
      <c r="S36" s="5">
        <f t="shared" si="88"/>
        <v>1</v>
      </c>
      <c r="T36" s="5">
        <f t="shared" si="88"/>
        <v>0</v>
      </c>
      <c r="U36" s="36">
        <f t="shared" si="89"/>
        <v>0.15561810431999995</v>
      </c>
      <c r="V36" s="36">
        <f t="shared" si="89"/>
        <v>0.3112362086399999</v>
      </c>
      <c r="W36" s="36">
        <f t="shared" si="89"/>
        <v>0.46685431295999985</v>
      </c>
      <c r="X36" s="36">
        <f t="shared" si="89"/>
        <v>0.6224724172799998</v>
      </c>
      <c r="Y36" s="36">
        <f t="shared" si="89"/>
        <v>0.77809052159999981</v>
      </c>
      <c r="Z36" s="36">
        <f t="shared" si="89"/>
        <v>0.9337086259199997</v>
      </c>
      <c r="AA36" s="36">
        <f t="shared" si="89"/>
        <v>1.0893267302399996</v>
      </c>
      <c r="AB36" s="36">
        <f t="shared" si="89"/>
        <v>1.2449448345599996</v>
      </c>
      <c r="AC36" s="36">
        <f t="shared" si="89"/>
        <v>1.4005629388799996</v>
      </c>
      <c r="AD36" s="36">
        <f t="shared" si="89"/>
        <v>1.5561810431999996</v>
      </c>
      <c r="AE36" s="36">
        <f t="shared" si="89"/>
        <v>1.7117991475199996</v>
      </c>
      <c r="AF36" s="36">
        <f t="shared" si="89"/>
        <v>1.8674172518399994</v>
      </c>
      <c r="AG36" s="36">
        <f t="shared" si="89"/>
        <v>2.0230353561599994</v>
      </c>
      <c r="AH36" s="36">
        <f t="shared" si="89"/>
        <v>2.1786534604799992</v>
      </c>
      <c r="AI36" s="36">
        <f t="shared" si="89"/>
        <v>2.3342715647999994</v>
      </c>
      <c r="AJ36" s="241">
        <f t="shared" si="90"/>
        <v>14.556854551087994</v>
      </c>
      <c r="AK36" s="241">
        <f t="shared" si="90"/>
        <v>7.2784272755439972</v>
      </c>
      <c r="AL36" s="241">
        <f t="shared" si="90"/>
        <v>4.8522848503626648</v>
      </c>
      <c r="AM36" s="241">
        <f t="shared" si="90"/>
        <v>3.6392136377719986</v>
      </c>
      <c r="AN36" s="241">
        <f t="shared" si="90"/>
        <v>2.9113709102175989</v>
      </c>
      <c r="AO36" s="241">
        <f t="shared" si="90"/>
        <v>2.4261424251813324</v>
      </c>
      <c r="AP36" s="241">
        <f t="shared" si="90"/>
        <v>2.0795506501554275</v>
      </c>
      <c r="AQ36" s="241">
        <f t="shared" si="90"/>
        <v>1.8196068188859993</v>
      </c>
      <c r="AR36" s="241">
        <f t="shared" si="90"/>
        <v>1.6174282834542217</v>
      </c>
      <c r="AS36" s="241">
        <f t="shared" si="90"/>
        <v>1.4556854551087994</v>
      </c>
      <c r="AT36" s="241">
        <f t="shared" si="90"/>
        <v>1.3233504137352721</v>
      </c>
      <c r="AU36" s="241">
        <f t="shared" si="90"/>
        <v>1.2130712125906662</v>
      </c>
      <c r="AV36" s="241">
        <f t="shared" si="90"/>
        <v>1.1197580423913842</v>
      </c>
      <c r="AW36" s="241">
        <f t="shared" si="90"/>
        <v>1.0397753250777138</v>
      </c>
      <c r="AX36" s="241">
        <f t="shared" si="90"/>
        <v>0.97045697007253295</v>
      </c>
      <c r="AY36" s="169">
        <f t="shared" si="81"/>
        <v>18338.225218885353</v>
      </c>
      <c r="AZ36" s="169">
        <f t="shared" si="38"/>
        <v>25939.511566599882</v>
      </c>
      <c r="BA36" s="169">
        <f t="shared" si="39"/>
        <v>28765.427824911589</v>
      </c>
      <c r="BB36" s="169">
        <f t="shared" si="40"/>
        <v>30233.164855768733</v>
      </c>
      <c r="BC36" s="169">
        <f t="shared" si="41"/>
        <v>31131.336322827428</v>
      </c>
      <c r="BD36" s="169">
        <f t="shared" si="42"/>
        <v>31737.421154426731</v>
      </c>
      <c r="BE36" s="169">
        <f t="shared" si="43"/>
        <v>32173.9162889455</v>
      </c>
      <c r="BF36" s="169">
        <f t="shared" si="44"/>
        <v>32503.244029181053</v>
      </c>
      <c r="BG36" s="169">
        <f t="shared" si="45"/>
        <v>32760.54716897698</v>
      </c>
      <c r="BH36" s="169">
        <f t="shared" si="46"/>
        <v>32967.120066169744</v>
      </c>
      <c r="BI36" s="169">
        <f t="shared" si="47"/>
        <v>33136.617154190943</v>
      </c>
      <c r="BJ36" s="169">
        <f t="shared" si="48"/>
        <v>33278.196720885586</v>
      </c>
      <c r="BK36" s="169">
        <f t="shared" si="49"/>
        <v>33398.230550699613</v>
      </c>
      <c r="BL36" s="169">
        <f t="shared" si="50"/>
        <v>33501.288680812431</v>
      </c>
      <c r="BM36" s="169">
        <f t="shared" si="51"/>
        <v>33590.734146313458</v>
      </c>
      <c r="BN36" s="245">
        <f t="shared" si="82"/>
        <v>3676.5977415931716</v>
      </c>
      <c r="BO36" s="245">
        <f t="shared" si="52"/>
        <v>9718.9910268360054</v>
      </c>
      <c r="BP36" s="245">
        <f t="shared" si="53"/>
        <v>15897.777733510611</v>
      </c>
      <c r="BQ36" s="245">
        <f t="shared" si="54"/>
        <v>22110.662795543169</v>
      </c>
      <c r="BR36" s="245">
        <f t="shared" si="55"/>
        <v>28337.187199718897</v>
      </c>
      <c r="BS36" s="245">
        <f t="shared" si="56"/>
        <v>34570.531274966212</v>
      </c>
      <c r="BT36" s="245">
        <f t="shared" si="57"/>
        <v>40807.772305111583</v>
      </c>
      <c r="BU36" s="245">
        <f t="shared" si="58"/>
        <v>47047.448932068233</v>
      </c>
      <c r="BV36" s="245">
        <f t="shared" si="59"/>
        <v>53288.749290232401</v>
      </c>
      <c r="BW36" s="245">
        <f t="shared" si="60"/>
        <v>59531.186260241841</v>
      </c>
      <c r="BX36" s="245">
        <f t="shared" si="61"/>
        <v>65774.449857047832</v>
      </c>
      <c r="BY36" s="245">
        <f t="shared" si="62"/>
        <v>72018.333423951233</v>
      </c>
      <c r="BZ36" s="245">
        <f t="shared" si="63"/>
        <v>78262.693890929571</v>
      </c>
      <c r="CA36" s="245">
        <f t="shared" si="64"/>
        <v>84507.429065109667</v>
      </c>
      <c r="CB36" s="245">
        <f t="shared" si="65"/>
        <v>90752.464005051123</v>
      </c>
      <c r="CC36" s="245">
        <f t="shared" si="83"/>
        <v>3676.5977415931716</v>
      </c>
      <c r="CD36" s="241">
        <f t="shared" si="84"/>
        <v>575.8729316638636</v>
      </c>
      <c r="CE36" s="241">
        <f t="shared" si="66"/>
        <v>217.84700841413022</v>
      </c>
      <c r="CF36" s="241">
        <f t="shared" si="67"/>
        <v>133.17918739907174</v>
      </c>
      <c r="CG36" s="241">
        <f t="shared" si="68"/>
        <v>95.757107761906298</v>
      </c>
      <c r="CH36" s="241">
        <f t="shared" si="69"/>
        <v>74.716417867366971</v>
      </c>
      <c r="CI36" s="241">
        <f t="shared" si="70"/>
        <v>61.244448433836482</v>
      </c>
      <c r="CJ36" s="241">
        <f t="shared" si="71"/>
        <v>51.883575123133895</v>
      </c>
      <c r="CK36" s="241">
        <f t="shared" si="72"/>
        <v>45.002506364523597</v>
      </c>
      <c r="CL36" s="241">
        <f t="shared" si="73"/>
        <v>39.731709754878466</v>
      </c>
      <c r="CM36" s="241">
        <f t="shared" si="74"/>
        <v>35.565444819869413</v>
      </c>
      <c r="CN36" s="241">
        <f t="shared" si="75"/>
        <v>32.189598310614116</v>
      </c>
      <c r="CO36" s="241">
        <f t="shared" si="76"/>
        <v>29.398807488870073</v>
      </c>
      <c r="CP36" s="241">
        <f t="shared" si="77"/>
        <v>27.053159235110144</v>
      </c>
      <c r="CQ36" s="241">
        <f t="shared" si="78"/>
        <v>25.054047240849545</v>
      </c>
      <c r="CR36" s="241">
        <f t="shared" si="79"/>
        <v>23.329979446972999</v>
      </c>
      <c r="CS36" s="1285">
        <f t="shared" si="80"/>
        <v>575.8729316638636</v>
      </c>
      <c r="CT36" s="1281" t="e">
        <f t="shared" si="85"/>
        <v>#DIV/0!</v>
      </c>
      <c r="CU36" s="1282" t="e">
        <f t="shared" si="86"/>
        <v>#DIV/0!</v>
      </c>
    </row>
    <row r="37" spans="2:99">
      <c r="B37" s="629">
        <f t="shared" si="87"/>
        <v>106</v>
      </c>
      <c r="C37" s="42" t="str">
        <f t="shared" si="30"/>
        <v>AA</v>
      </c>
      <c r="D37" s="42" t="str">
        <f t="shared" si="0"/>
        <v>EF-1</v>
      </c>
      <c r="E37" s="648">
        <f t="shared" si="31"/>
        <v>10</v>
      </c>
      <c r="F37" s="1236">
        <f t="shared" si="32"/>
        <v>6</v>
      </c>
      <c r="G37" s="649" t="str">
        <f t="shared" si="33"/>
        <v xml:space="preserve"> - Receptor 6</v>
      </c>
      <c r="H37" s="318">
        <f t="shared" si="3"/>
        <v>0</v>
      </c>
      <c r="I37" s="650">
        <f t="shared" si="4"/>
        <v>0</v>
      </c>
      <c r="J37" s="1278">
        <f t="shared" si="5"/>
        <v>0</v>
      </c>
      <c r="K37" s="1249">
        <f t="shared" si="6"/>
        <v>0.47231008449287359</v>
      </c>
      <c r="L37" s="1237">
        <f t="shared" si="7"/>
        <v>0.2032520325203252</v>
      </c>
      <c r="M37" s="1237">
        <f t="shared" si="8"/>
        <v>14.556854551087991</v>
      </c>
      <c r="N37" s="1237">
        <f t="shared" si="34"/>
        <v>-18.59756097560976</v>
      </c>
      <c r="O37" s="1242" t="s">
        <v>1432</v>
      </c>
      <c r="P37" s="1237">
        <f t="shared" si="35"/>
        <v>93.454580350027214</v>
      </c>
      <c r="Q37" s="5">
        <f t="shared" si="88"/>
        <v>0.153</v>
      </c>
      <c r="R37" s="5">
        <f t="shared" si="88"/>
        <v>3</v>
      </c>
      <c r="S37" s="5">
        <f t="shared" si="88"/>
        <v>1</v>
      </c>
      <c r="T37" s="5">
        <f t="shared" si="88"/>
        <v>0</v>
      </c>
      <c r="U37" s="36">
        <f t="shared" si="89"/>
        <v>0.15561810431999995</v>
      </c>
      <c r="V37" s="36">
        <f t="shared" si="89"/>
        <v>0.3112362086399999</v>
      </c>
      <c r="W37" s="36">
        <f t="shared" si="89"/>
        <v>0.46685431295999985</v>
      </c>
      <c r="X37" s="36">
        <f t="shared" si="89"/>
        <v>0.6224724172799998</v>
      </c>
      <c r="Y37" s="36">
        <f t="shared" si="89"/>
        <v>0.77809052159999981</v>
      </c>
      <c r="Z37" s="36">
        <f t="shared" si="89"/>
        <v>0.9337086259199997</v>
      </c>
      <c r="AA37" s="36">
        <f t="shared" si="89"/>
        <v>1.0893267302399996</v>
      </c>
      <c r="AB37" s="36">
        <f t="shared" si="89"/>
        <v>1.2449448345599996</v>
      </c>
      <c r="AC37" s="36">
        <f t="shared" si="89"/>
        <v>1.4005629388799996</v>
      </c>
      <c r="AD37" s="36">
        <f t="shared" si="89"/>
        <v>1.5561810431999996</v>
      </c>
      <c r="AE37" s="36">
        <f t="shared" si="89"/>
        <v>1.7117991475199996</v>
      </c>
      <c r="AF37" s="36">
        <f t="shared" si="89"/>
        <v>1.8674172518399994</v>
      </c>
      <c r="AG37" s="36">
        <f t="shared" si="89"/>
        <v>2.0230353561599994</v>
      </c>
      <c r="AH37" s="36">
        <f t="shared" si="89"/>
        <v>2.1786534604799992</v>
      </c>
      <c r="AI37" s="36">
        <f t="shared" si="89"/>
        <v>2.3342715647999994</v>
      </c>
      <c r="AJ37" s="241">
        <f t="shared" si="90"/>
        <v>14.556854551087994</v>
      </c>
      <c r="AK37" s="241">
        <f t="shared" si="90"/>
        <v>7.2784272755439972</v>
      </c>
      <c r="AL37" s="241">
        <f t="shared" si="90"/>
        <v>4.8522848503626648</v>
      </c>
      <c r="AM37" s="241">
        <f t="shared" si="90"/>
        <v>3.6392136377719986</v>
      </c>
      <c r="AN37" s="241">
        <f t="shared" si="90"/>
        <v>2.9113709102175989</v>
      </c>
      <c r="AO37" s="241">
        <f t="shared" si="90"/>
        <v>2.4261424251813324</v>
      </c>
      <c r="AP37" s="241">
        <f t="shared" si="90"/>
        <v>2.0795506501554275</v>
      </c>
      <c r="AQ37" s="241">
        <f t="shared" si="90"/>
        <v>1.8196068188859993</v>
      </c>
      <c r="AR37" s="241">
        <f t="shared" si="90"/>
        <v>1.6174282834542217</v>
      </c>
      <c r="AS37" s="241">
        <f t="shared" si="90"/>
        <v>1.4556854551087994</v>
      </c>
      <c r="AT37" s="241">
        <f t="shared" si="90"/>
        <v>1.3233504137352721</v>
      </c>
      <c r="AU37" s="241">
        <f t="shared" si="90"/>
        <v>1.2130712125906662</v>
      </c>
      <c r="AV37" s="241">
        <f t="shared" si="90"/>
        <v>1.1197580423913842</v>
      </c>
      <c r="AW37" s="241">
        <f t="shared" si="90"/>
        <v>1.0397753250777138</v>
      </c>
      <c r="AX37" s="241">
        <f t="shared" si="90"/>
        <v>0.97045697007253295</v>
      </c>
      <c r="AY37" s="169">
        <f t="shared" si="81"/>
        <v>3154.04212174845</v>
      </c>
      <c r="AZ37" s="169">
        <f t="shared" si="38"/>
        <v>6691.1802958475146</v>
      </c>
      <c r="BA37" s="169">
        <f t="shared" si="39"/>
        <v>8162.380496287401</v>
      </c>
      <c r="BB37" s="169">
        <f t="shared" si="40"/>
        <v>8952.7594982086321</v>
      </c>
      <c r="BC37" s="169">
        <f t="shared" si="41"/>
        <v>9444.5161479057824</v>
      </c>
      <c r="BD37" s="169">
        <f t="shared" si="42"/>
        <v>9779.6577679307229</v>
      </c>
      <c r="BE37" s="169">
        <f t="shared" si="43"/>
        <v>10022.622037039231</v>
      </c>
      <c r="BF37" s="169">
        <f t="shared" si="44"/>
        <v>10206.801628217087</v>
      </c>
      <c r="BG37" s="169">
        <f t="shared" si="45"/>
        <v>10351.211763190367</v>
      </c>
      <c r="BH37" s="169">
        <f t="shared" si="46"/>
        <v>10467.470256525008</v>
      </c>
      <c r="BI37" s="169">
        <f t="shared" si="47"/>
        <v>10563.073741389564</v>
      </c>
      <c r="BJ37" s="169">
        <f t="shared" si="48"/>
        <v>10643.075305453669</v>
      </c>
      <c r="BK37" s="169">
        <f t="shared" si="49"/>
        <v>10711.004671503399</v>
      </c>
      <c r="BL37" s="169">
        <f t="shared" si="50"/>
        <v>10769.401832675383</v>
      </c>
      <c r="BM37" s="169">
        <f t="shared" si="51"/>
        <v>10820.14112509436</v>
      </c>
      <c r="BN37" s="245">
        <f t="shared" si="82"/>
        <v>1849.957011047203</v>
      </c>
      <c r="BO37" s="245">
        <f t="shared" si="52"/>
        <v>4800.7994968368102</v>
      </c>
      <c r="BP37" s="245">
        <f t="shared" si="53"/>
        <v>7888.0354040581942</v>
      </c>
      <c r="BQ37" s="245">
        <f t="shared" si="54"/>
        <v>11009.369666637522</v>
      </c>
      <c r="BR37" s="245">
        <f t="shared" si="55"/>
        <v>14144.343271360027</v>
      </c>
      <c r="BS37" s="245">
        <f t="shared" si="56"/>
        <v>17286.136547154121</v>
      </c>
      <c r="BT37" s="245">
        <f t="shared" si="57"/>
        <v>20431.826777846261</v>
      </c>
      <c r="BU37" s="245">
        <f t="shared" si="58"/>
        <v>23579.952605349681</v>
      </c>
      <c r="BV37" s="245">
        <f t="shared" si="59"/>
        <v>26729.702164060636</v>
      </c>
      <c r="BW37" s="245">
        <f t="shared" si="60"/>
        <v>29880.588334616841</v>
      </c>
      <c r="BX37" s="245">
        <f t="shared" si="61"/>
        <v>33032.301131969609</v>
      </c>
      <c r="BY37" s="245">
        <f t="shared" si="62"/>
        <v>36184.633899419794</v>
      </c>
      <c r="BZ37" s="245">
        <f t="shared" si="63"/>
        <v>39337.443566944923</v>
      </c>
      <c r="CA37" s="245">
        <f t="shared" si="64"/>
        <v>42490.627941671766</v>
      </c>
      <c r="CB37" s="245">
        <f t="shared" si="65"/>
        <v>45644.112082160013</v>
      </c>
      <c r="CC37" s="245">
        <f t="shared" si="83"/>
        <v>1849.957011047203</v>
      </c>
      <c r="CD37" s="241">
        <f t="shared" si="84"/>
        <v>1144.4877407186282</v>
      </c>
      <c r="CE37" s="241">
        <f t="shared" si="66"/>
        <v>441.02094273985665</v>
      </c>
      <c r="CF37" s="241">
        <f t="shared" si="67"/>
        <v>268.41323745970084</v>
      </c>
      <c r="CG37" s="241">
        <f t="shared" si="68"/>
        <v>192.31374584650951</v>
      </c>
      <c r="CH37" s="241">
        <f t="shared" si="69"/>
        <v>149.68903676758816</v>
      </c>
      <c r="CI37" s="241">
        <f t="shared" si="70"/>
        <v>122.48272563533408</v>
      </c>
      <c r="CJ37" s="241">
        <f t="shared" si="71"/>
        <v>103.6252481494061</v>
      </c>
      <c r="CK37" s="241">
        <f t="shared" si="72"/>
        <v>89.79038912570374</v>
      </c>
      <c r="CL37" s="241">
        <f t="shared" si="73"/>
        <v>79.209753517072386</v>
      </c>
      <c r="CM37" s="241">
        <f t="shared" si="74"/>
        <v>70.857142981590798</v>
      </c>
      <c r="CN37" s="241">
        <f t="shared" si="75"/>
        <v>64.09644643106202</v>
      </c>
      <c r="CO37" s="241">
        <f t="shared" si="76"/>
        <v>58.512492509533139</v>
      </c>
      <c r="CP37" s="241">
        <f t="shared" si="77"/>
        <v>53.822844801717565</v>
      </c>
      <c r="CQ37" s="241">
        <f t="shared" si="78"/>
        <v>49.828708648561751</v>
      </c>
      <c r="CR37" s="241">
        <f t="shared" si="79"/>
        <v>46.386116925418889</v>
      </c>
      <c r="CS37" s="1285">
        <f t="shared" si="80"/>
        <v>1144.4877407186282</v>
      </c>
      <c r="CT37" s="1281" t="e">
        <f t="shared" si="85"/>
        <v>#DIV/0!</v>
      </c>
      <c r="CU37" s="1282" t="e">
        <f t="shared" si="86"/>
        <v>#DIV/0!</v>
      </c>
    </row>
    <row r="38" spans="2:99">
      <c r="B38" s="629">
        <f t="shared" si="87"/>
        <v>107</v>
      </c>
      <c r="C38" s="42" t="str">
        <f t="shared" si="30"/>
        <v>AA</v>
      </c>
      <c r="D38" s="42" t="str">
        <f t="shared" si="0"/>
        <v>EF-1</v>
      </c>
      <c r="E38" s="648">
        <f t="shared" si="31"/>
        <v>10</v>
      </c>
      <c r="F38" s="1236">
        <f t="shared" si="32"/>
        <v>7</v>
      </c>
      <c r="G38" s="649" t="str">
        <f t="shared" si="33"/>
        <v xml:space="preserve"> - Receptor 7</v>
      </c>
      <c r="H38" s="318">
        <f t="shared" si="3"/>
        <v>0</v>
      </c>
      <c r="I38" s="650">
        <f t="shared" si="4"/>
        <v>0</v>
      </c>
      <c r="J38" s="1278">
        <f t="shared" si="5"/>
        <v>0</v>
      </c>
      <c r="K38" s="1249">
        <f t="shared" si="6"/>
        <v>0.47231008449287359</v>
      </c>
      <c r="L38" s="1237">
        <f t="shared" si="7"/>
        <v>0.2032520325203252</v>
      </c>
      <c r="M38" s="1237">
        <f t="shared" si="8"/>
        <v>14.556854551087991</v>
      </c>
      <c r="N38" s="1237">
        <f t="shared" si="34"/>
        <v>-23.780487804878049</v>
      </c>
      <c r="O38" s="1242" t="s">
        <v>1432</v>
      </c>
      <c r="P38" s="1237">
        <f t="shared" si="35"/>
        <v>101.97845627164536</v>
      </c>
      <c r="Q38" s="5">
        <f t="shared" si="88"/>
        <v>0.153</v>
      </c>
      <c r="R38" s="5">
        <f t="shared" si="88"/>
        <v>3</v>
      </c>
      <c r="S38" s="5">
        <f t="shared" si="88"/>
        <v>1</v>
      </c>
      <c r="T38" s="5">
        <f t="shared" si="88"/>
        <v>0</v>
      </c>
      <c r="U38" s="36">
        <f t="shared" si="89"/>
        <v>0.15561810431999995</v>
      </c>
      <c r="V38" s="36">
        <f t="shared" si="89"/>
        <v>0.3112362086399999</v>
      </c>
      <c r="W38" s="36">
        <f t="shared" si="89"/>
        <v>0.46685431295999985</v>
      </c>
      <c r="X38" s="36">
        <f t="shared" si="89"/>
        <v>0.6224724172799998</v>
      </c>
      <c r="Y38" s="36">
        <f t="shared" si="89"/>
        <v>0.77809052159999981</v>
      </c>
      <c r="Z38" s="36">
        <f t="shared" si="89"/>
        <v>0.9337086259199997</v>
      </c>
      <c r="AA38" s="36">
        <f t="shared" si="89"/>
        <v>1.0893267302399996</v>
      </c>
      <c r="AB38" s="36">
        <f t="shared" si="89"/>
        <v>1.2449448345599996</v>
      </c>
      <c r="AC38" s="36">
        <f t="shared" si="89"/>
        <v>1.4005629388799996</v>
      </c>
      <c r="AD38" s="36">
        <f t="shared" si="89"/>
        <v>1.5561810431999996</v>
      </c>
      <c r="AE38" s="36">
        <f t="shared" si="89"/>
        <v>1.7117991475199996</v>
      </c>
      <c r="AF38" s="36">
        <f t="shared" si="89"/>
        <v>1.8674172518399994</v>
      </c>
      <c r="AG38" s="36">
        <f t="shared" si="89"/>
        <v>2.0230353561599994</v>
      </c>
      <c r="AH38" s="36">
        <f t="shared" si="89"/>
        <v>2.1786534604799992</v>
      </c>
      <c r="AI38" s="36">
        <f t="shared" si="89"/>
        <v>2.3342715647999994</v>
      </c>
      <c r="AJ38" s="241">
        <f t="shared" si="90"/>
        <v>14.556854551087994</v>
      </c>
      <c r="AK38" s="241">
        <f t="shared" si="90"/>
        <v>7.2784272755439972</v>
      </c>
      <c r="AL38" s="241">
        <f t="shared" si="90"/>
        <v>4.8522848503626648</v>
      </c>
      <c r="AM38" s="241">
        <f t="shared" si="90"/>
        <v>3.6392136377719986</v>
      </c>
      <c r="AN38" s="241">
        <f t="shared" si="90"/>
        <v>2.9113709102175989</v>
      </c>
      <c r="AO38" s="241">
        <f t="shared" si="90"/>
        <v>2.4261424251813324</v>
      </c>
      <c r="AP38" s="241">
        <f t="shared" si="90"/>
        <v>2.0795506501554275</v>
      </c>
      <c r="AQ38" s="241">
        <f t="shared" si="90"/>
        <v>1.8196068188859993</v>
      </c>
      <c r="AR38" s="241">
        <f t="shared" si="90"/>
        <v>1.6174282834542217</v>
      </c>
      <c r="AS38" s="241">
        <f t="shared" si="90"/>
        <v>1.4556854551087994</v>
      </c>
      <c r="AT38" s="241">
        <f t="shared" si="90"/>
        <v>1.3233504137352721</v>
      </c>
      <c r="AU38" s="241">
        <f t="shared" si="90"/>
        <v>1.2130712125906662</v>
      </c>
      <c r="AV38" s="241">
        <f t="shared" si="90"/>
        <v>1.1197580423913842</v>
      </c>
      <c r="AW38" s="241">
        <f t="shared" si="90"/>
        <v>1.0397753250777138</v>
      </c>
      <c r="AX38" s="241">
        <f t="shared" si="90"/>
        <v>0.97045697007253295</v>
      </c>
      <c r="AY38" s="169">
        <f t="shared" si="81"/>
        <v>7413.6769317620974</v>
      </c>
      <c r="AZ38" s="169">
        <f t="shared" si="38"/>
        <v>12486.159971449224</v>
      </c>
      <c r="BA38" s="169">
        <f t="shared" si="39"/>
        <v>14469.1417937518</v>
      </c>
      <c r="BB38" s="169">
        <f t="shared" si="40"/>
        <v>15515.411606604375</v>
      </c>
      <c r="BC38" s="169">
        <f t="shared" si="41"/>
        <v>16160.702742860332</v>
      </c>
      <c r="BD38" s="169">
        <f t="shared" si="42"/>
        <v>16598.200687257809</v>
      </c>
      <c r="BE38" s="169">
        <f t="shared" si="43"/>
        <v>16914.276616632415</v>
      </c>
      <c r="BF38" s="169">
        <f t="shared" si="44"/>
        <v>17153.289953009848</v>
      </c>
      <c r="BG38" s="169">
        <f t="shared" si="45"/>
        <v>17340.348556471683</v>
      </c>
      <c r="BH38" s="169">
        <f t="shared" si="46"/>
        <v>17490.725824597172</v>
      </c>
      <c r="BI38" s="169">
        <f t="shared" si="47"/>
        <v>17614.244670654236</v>
      </c>
      <c r="BJ38" s="169">
        <f t="shared" si="48"/>
        <v>17717.509035712093</v>
      </c>
      <c r="BK38" s="169">
        <f t="shared" si="49"/>
        <v>17805.122310295006</v>
      </c>
      <c r="BL38" s="169">
        <f t="shared" si="50"/>
        <v>17880.391393066864</v>
      </c>
      <c r="BM38" s="169">
        <f t="shared" si="51"/>
        <v>17945.75301753906</v>
      </c>
      <c r="BN38" s="245">
        <f t="shared" si="82"/>
        <v>2772.0692505244156</v>
      </c>
      <c r="BO38" s="245">
        <f t="shared" si="52"/>
        <v>7122.878890711755</v>
      </c>
      <c r="BP38" s="245">
        <f t="shared" si="53"/>
        <v>11610.081952330871</v>
      </c>
      <c r="BQ38" s="245">
        <f t="shared" si="54"/>
        <v>16131.383369307929</v>
      </c>
      <c r="BR38" s="245">
        <f t="shared" si="55"/>
        <v>20666.324128428168</v>
      </c>
      <c r="BS38" s="245">
        <f t="shared" si="56"/>
        <v>25208.084558619994</v>
      </c>
      <c r="BT38" s="245">
        <f t="shared" si="57"/>
        <v>29753.741943709865</v>
      </c>
      <c r="BU38" s="245">
        <f t="shared" si="58"/>
        <v>34301.834925611023</v>
      </c>
      <c r="BV38" s="245">
        <f t="shared" si="59"/>
        <v>38851.551638719699</v>
      </c>
      <c r="BW38" s="245">
        <f t="shared" si="60"/>
        <v>43402.404963673653</v>
      </c>
      <c r="BX38" s="245">
        <f t="shared" si="61"/>
        <v>47954.084915424144</v>
      </c>
      <c r="BY38" s="245">
        <f t="shared" si="62"/>
        <v>52506.384837272053</v>
      </c>
      <c r="BZ38" s="245">
        <f t="shared" si="63"/>
        <v>57059.161659194913</v>
      </c>
      <c r="CA38" s="245">
        <f t="shared" si="64"/>
        <v>61612.313188319509</v>
      </c>
      <c r="CB38" s="245">
        <f t="shared" si="65"/>
        <v>66165.764483205479</v>
      </c>
      <c r="CC38" s="245">
        <f t="shared" si="83"/>
        <v>2772.0692505244156</v>
      </c>
      <c r="CD38" s="241">
        <f t="shared" si="84"/>
        <v>763.7807459533924</v>
      </c>
      <c r="CE38" s="241">
        <f t="shared" si="66"/>
        <v>297.24682287675853</v>
      </c>
      <c r="CF38" s="241">
        <f t="shared" si="67"/>
        <v>182.36332255819559</v>
      </c>
      <c r="CG38" s="241">
        <f t="shared" si="68"/>
        <v>131.2505611904526</v>
      </c>
      <c r="CH38" s="241">
        <f t="shared" si="69"/>
        <v>102.44942965389524</v>
      </c>
      <c r="CI38" s="241">
        <f t="shared" si="70"/>
        <v>83.991035299665299</v>
      </c>
      <c r="CJ38" s="241">
        <f t="shared" si="71"/>
        <v>71.159221720937211</v>
      </c>
      <c r="CK38" s="241">
        <f t="shared" si="72"/>
        <v>61.72419418936623</v>
      </c>
      <c r="CL38" s="241">
        <f t="shared" si="73"/>
        <v>54.495973280252002</v>
      </c>
      <c r="CM38" s="241">
        <f t="shared" si="74"/>
        <v>48.781930903876614</v>
      </c>
      <c r="CN38" s="241">
        <f t="shared" si="75"/>
        <v>44.151673913372868</v>
      </c>
      <c r="CO38" s="241">
        <f t="shared" si="76"/>
        <v>40.323726848873655</v>
      </c>
      <c r="CP38" s="241">
        <f t="shared" si="77"/>
        <v>37.106278088101043</v>
      </c>
      <c r="CQ38" s="241">
        <f t="shared" si="78"/>
        <v>34.364123183113811</v>
      </c>
      <c r="CR38" s="241">
        <f t="shared" si="79"/>
        <v>31.999224017692885</v>
      </c>
      <c r="CS38" s="1285">
        <f t="shared" si="80"/>
        <v>763.7807459533924</v>
      </c>
      <c r="CT38" s="1281" t="e">
        <f t="shared" si="85"/>
        <v>#DIV/0!</v>
      </c>
      <c r="CU38" s="1282" t="e">
        <f t="shared" si="86"/>
        <v>#DIV/0!</v>
      </c>
    </row>
    <row r="39" spans="2:99">
      <c r="B39" s="629">
        <f t="shared" si="87"/>
        <v>108</v>
      </c>
      <c r="C39" s="42" t="str">
        <f t="shared" si="30"/>
        <v>AA</v>
      </c>
      <c r="D39" s="42" t="str">
        <f t="shared" si="0"/>
        <v>EF-1</v>
      </c>
      <c r="E39" s="648">
        <f t="shared" si="31"/>
        <v>10</v>
      </c>
      <c r="F39" s="1236">
        <f t="shared" si="32"/>
        <v>8</v>
      </c>
      <c r="G39" s="649" t="str">
        <f t="shared" si="33"/>
        <v xml:space="preserve"> - Receptor 8</v>
      </c>
      <c r="H39" s="318">
        <f t="shared" si="3"/>
        <v>0</v>
      </c>
      <c r="I39" s="650">
        <f t="shared" si="4"/>
        <v>0</v>
      </c>
      <c r="J39" s="1278">
        <f t="shared" si="5"/>
        <v>0</v>
      </c>
      <c r="K39" s="1249">
        <f t="shared" si="6"/>
        <v>0.47231008449287359</v>
      </c>
      <c r="L39" s="1237">
        <f t="shared" si="7"/>
        <v>0.2032520325203252</v>
      </c>
      <c r="M39" s="1237">
        <f t="shared" si="8"/>
        <v>14.556854551087991</v>
      </c>
      <c r="N39" s="1237">
        <f t="shared" si="34"/>
        <v>-20.121951219512198</v>
      </c>
      <c r="O39" s="1242" t="s">
        <v>1432</v>
      </c>
      <c r="P39" s="1237">
        <f t="shared" si="35"/>
        <v>61.074146805920599</v>
      </c>
      <c r="Q39" s="5">
        <f t="shared" si="88"/>
        <v>0.153</v>
      </c>
      <c r="R39" s="5">
        <f t="shared" si="88"/>
        <v>3</v>
      </c>
      <c r="S39" s="5">
        <f t="shared" si="88"/>
        <v>1</v>
      </c>
      <c r="T39" s="5">
        <f t="shared" si="88"/>
        <v>0</v>
      </c>
      <c r="U39" s="36">
        <f t="shared" si="89"/>
        <v>0.15561810431999995</v>
      </c>
      <c r="V39" s="36">
        <f t="shared" si="89"/>
        <v>0.3112362086399999</v>
      </c>
      <c r="W39" s="36">
        <f t="shared" si="89"/>
        <v>0.46685431295999985</v>
      </c>
      <c r="X39" s="36">
        <f t="shared" si="89"/>
        <v>0.6224724172799998</v>
      </c>
      <c r="Y39" s="36">
        <f t="shared" si="89"/>
        <v>0.77809052159999981</v>
      </c>
      <c r="Z39" s="36">
        <f t="shared" si="89"/>
        <v>0.9337086259199997</v>
      </c>
      <c r="AA39" s="36">
        <f t="shared" si="89"/>
        <v>1.0893267302399996</v>
      </c>
      <c r="AB39" s="36">
        <f t="shared" si="89"/>
        <v>1.2449448345599996</v>
      </c>
      <c r="AC39" s="36">
        <f t="shared" si="89"/>
        <v>1.4005629388799996</v>
      </c>
      <c r="AD39" s="36">
        <f t="shared" si="89"/>
        <v>1.5561810431999996</v>
      </c>
      <c r="AE39" s="36">
        <f t="shared" si="89"/>
        <v>1.7117991475199996</v>
      </c>
      <c r="AF39" s="36">
        <f t="shared" si="89"/>
        <v>1.8674172518399994</v>
      </c>
      <c r="AG39" s="36">
        <f t="shared" si="89"/>
        <v>2.0230353561599994</v>
      </c>
      <c r="AH39" s="36">
        <f t="shared" si="89"/>
        <v>2.1786534604799992</v>
      </c>
      <c r="AI39" s="36">
        <f t="shared" si="89"/>
        <v>2.3342715647999994</v>
      </c>
      <c r="AJ39" s="241">
        <f t="shared" si="90"/>
        <v>14.556854551087994</v>
      </c>
      <c r="AK39" s="241">
        <f t="shared" si="90"/>
        <v>7.2784272755439972</v>
      </c>
      <c r="AL39" s="241">
        <f t="shared" si="90"/>
        <v>4.8522848503626648</v>
      </c>
      <c r="AM39" s="241">
        <f t="shared" si="90"/>
        <v>3.6392136377719986</v>
      </c>
      <c r="AN39" s="241">
        <f t="shared" si="90"/>
        <v>2.9113709102175989</v>
      </c>
      <c r="AO39" s="241">
        <f t="shared" si="90"/>
        <v>2.4261424251813324</v>
      </c>
      <c r="AP39" s="241">
        <f t="shared" si="90"/>
        <v>2.0795506501554275</v>
      </c>
      <c r="AQ39" s="241">
        <f t="shared" si="90"/>
        <v>1.8196068188859993</v>
      </c>
      <c r="AR39" s="241">
        <f t="shared" si="90"/>
        <v>1.6174282834542217</v>
      </c>
      <c r="AS39" s="241">
        <f t="shared" si="90"/>
        <v>1.4556854551087994</v>
      </c>
      <c r="AT39" s="241">
        <f t="shared" si="90"/>
        <v>1.3233504137352721</v>
      </c>
      <c r="AU39" s="241">
        <f t="shared" si="90"/>
        <v>1.2130712125906662</v>
      </c>
      <c r="AV39" s="241">
        <f t="shared" si="90"/>
        <v>1.1197580423913842</v>
      </c>
      <c r="AW39" s="241">
        <f t="shared" si="90"/>
        <v>1.0397753250777138</v>
      </c>
      <c r="AX39" s="241">
        <f t="shared" si="90"/>
        <v>0.97045697007253295</v>
      </c>
      <c r="AY39" s="169">
        <f t="shared" si="81"/>
        <v>4220.7483090053684</v>
      </c>
      <c r="AZ39" s="169">
        <f t="shared" si="38"/>
        <v>8209.4585023950403</v>
      </c>
      <c r="BA39" s="169">
        <f t="shared" si="39"/>
        <v>9831.1827092651311</v>
      </c>
      <c r="BB39" s="169">
        <f t="shared" si="40"/>
        <v>10696.823714401464</v>
      </c>
      <c r="BC39" s="169">
        <f t="shared" si="41"/>
        <v>11233.737566027674</v>
      </c>
      <c r="BD39" s="169">
        <f t="shared" si="42"/>
        <v>11598.983987338652</v>
      </c>
      <c r="BE39" s="169">
        <f t="shared" si="43"/>
        <v>11863.451685937191</v>
      </c>
      <c r="BF39" s="169">
        <f t="shared" si="44"/>
        <v>12063.758849232567</v>
      </c>
      <c r="BG39" s="169">
        <f t="shared" si="45"/>
        <v>12220.712651408367</v>
      </c>
      <c r="BH39" s="169">
        <f t="shared" si="46"/>
        <v>12347.006078505021</v>
      </c>
      <c r="BI39" s="169">
        <f t="shared" si="47"/>
        <v>12450.819963720314</v>
      </c>
      <c r="BJ39" s="169">
        <f t="shared" si="48"/>
        <v>12537.6635280767</v>
      </c>
      <c r="BK39" s="169">
        <f t="shared" si="49"/>
        <v>12611.382278989129</v>
      </c>
      <c r="BL39" s="169">
        <f t="shared" si="50"/>
        <v>12674.741770043429</v>
      </c>
      <c r="BM39" s="169">
        <f t="shared" si="51"/>
        <v>12729.781748360414</v>
      </c>
      <c r="BN39" s="245">
        <f t="shared" si="82"/>
        <v>1237.2883797994384</v>
      </c>
      <c r="BO39" s="245">
        <f t="shared" si="52"/>
        <v>3716.007797553199</v>
      </c>
      <c r="BP39" s="245">
        <f t="shared" si="53"/>
        <v>6331.1206367387349</v>
      </c>
      <c r="BQ39" s="245">
        <f t="shared" si="54"/>
        <v>8980.3318312822157</v>
      </c>
      <c r="BR39" s="245">
        <f t="shared" si="55"/>
        <v>11643.182367968875</v>
      </c>
      <c r="BS39" s="245">
        <f t="shared" si="56"/>
        <v>14312.852575727116</v>
      </c>
      <c r="BT39" s="245">
        <f t="shared" si="57"/>
        <v>16986.419738383414</v>
      </c>
      <c r="BU39" s="245">
        <f t="shared" si="58"/>
        <v>19662.422497850992</v>
      </c>
      <c r="BV39" s="245">
        <f t="shared" si="59"/>
        <v>22340.048988526094</v>
      </c>
      <c r="BW39" s="245">
        <f t="shared" si="60"/>
        <v>25018.812091046457</v>
      </c>
      <c r="BX39" s="245">
        <f t="shared" si="61"/>
        <v>27698.401820363386</v>
      </c>
      <c r="BY39" s="245">
        <f t="shared" si="62"/>
        <v>30378.611519777714</v>
      </c>
      <c r="BZ39" s="245">
        <f t="shared" si="63"/>
        <v>33059.29811926699</v>
      </c>
      <c r="CA39" s="245">
        <f t="shared" si="64"/>
        <v>35740.359425957991</v>
      </c>
      <c r="CB39" s="245">
        <f t="shared" si="65"/>
        <v>38421.720498410403</v>
      </c>
      <c r="CC39" s="245">
        <f t="shared" si="83"/>
        <v>1237.2883797994384</v>
      </c>
      <c r="CD39" s="241">
        <f t="shared" si="84"/>
        <v>1711.2042386942981</v>
      </c>
      <c r="CE39" s="241">
        <f t="shared" si="66"/>
        <v>569.76552131943924</v>
      </c>
      <c r="CF39" s="241">
        <f t="shared" si="67"/>
        <v>334.41996156475568</v>
      </c>
      <c r="CG39" s="241">
        <f t="shared" si="68"/>
        <v>235.76557746170693</v>
      </c>
      <c r="CH39" s="241">
        <f t="shared" si="69"/>
        <v>181.84488167296047</v>
      </c>
      <c r="CI39" s="241">
        <f t="shared" si="70"/>
        <v>147.9267049526247</v>
      </c>
      <c r="CJ39" s="241">
        <f t="shared" si="71"/>
        <v>124.64387155203414</v>
      </c>
      <c r="CK39" s="241">
        <f t="shared" si="72"/>
        <v>107.68017624641141</v>
      </c>
      <c r="CL39" s="241">
        <f t="shared" si="73"/>
        <v>94.773879909011228</v>
      </c>
      <c r="CM39" s="241">
        <f t="shared" si="74"/>
        <v>84.62644478463092</v>
      </c>
      <c r="CN39" s="241">
        <f t="shared" si="75"/>
        <v>76.43954094287966</v>
      </c>
      <c r="CO39" s="241">
        <f t="shared" si="76"/>
        <v>69.69551977784046</v>
      </c>
      <c r="CP39" s="241">
        <f t="shared" si="77"/>
        <v>64.044103790759621</v>
      </c>
      <c r="CQ39" s="241">
        <f t="shared" si="78"/>
        <v>59.239838490886925</v>
      </c>
      <c r="CR39" s="241">
        <f t="shared" si="79"/>
        <v>55.105630162699129</v>
      </c>
      <c r="CS39" s="1285">
        <f t="shared" si="80"/>
        <v>1711.2042386942981</v>
      </c>
      <c r="CT39" s="1281" t="e">
        <f t="shared" si="85"/>
        <v>#DIV/0!</v>
      </c>
      <c r="CU39" s="1282" t="e">
        <f t="shared" si="86"/>
        <v>#DIV/0!</v>
      </c>
    </row>
    <row r="40" spans="2:99">
      <c r="B40" s="629">
        <f t="shared" si="87"/>
        <v>109</v>
      </c>
      <c r="C40" s="42" t="str">
        <f t="shared" si="30"/>
        <v>AA</v>
      </c>
      <c r="D40" s="42" t="str">
        <f t="shared" si="0"/>
        <v>EF-1</v>
      </c>
      <c r="E40" s="648">
        <f t="shared" si="31"/>
        <v>10</v>
      </c>
      <c r="F40" s="1236">
        <f t="shared" si="32"/>
        <v>9</v>
      </c>
      <c r="G40" s="649" t="str">
        <f t="shared" si="33"/>
        <v xml:space="preserve"> - Receptor 9</v>
      </c>
      <c r="H40" s="318">
        <f t="shared" si="3"/>
        <v>0</v>
      </c>
      <c r="I40" s="650">
        <f t="shared" si="4"/>
        <v>0</v>
      </c>
      <c r="J40" s="1278">
        <f t="shared" si="5"/>
        <v>0</v>
      </c>
      <c r="K40" s="1249">
        <f t="shared" si="6"/>
        <v>0.47231008449287359</v>
      </c>
      <c r="L40" s="1237">
        <f t="shared" si="7"/>
        <v>0.2032520325203252</v>
      </c>
      <c r="M40" s="1237">
        <f t="shared" si="8"/>
        <v>14.556854551087991</v>
      </c>
      <c r="N40" s="1237">
        <f t="shared" si="34"/>
        <v>-20.121951219512198</v>
      </c>
      <c r="O40" s="1242" t="s">
        <v>1432</v>
      </c>
      <c r="P40" s="1237">
        <f t="shared" si="35"/>
        <v>81.9025440818682</v>
      </c>
      <c r="Q40" s="5">
        <f t="shared" si="88"/>
        <v>0.153</v>
      </c>
      <c r="R40" s="5">
        <f t="shared" si="88"/>
        <v>3</v>
      </c>
      <c r="S40" s="5">
        <f t="shared" si="88"/>
        <v>1</v>
      </c>
      <c r="T40" s="5">
        <f t="shared" si="88"/>
        <v>0</v>
      </c>
      <c r="U40" s="36">
        <f t="shared" si="89"/>
        <v>0.15561810431999995</v>
      </c>
      <c r="V40" s="36">
        <f t="shared" si="89"/>
        <v>0.3112362086399999</v>
      </c>
      <c r="W40" s="36">
        <f t="shared" si="89"/>
        <v>0.46685431295999985</v>
      </c>
      <c r="X40" s="36">
        <f t="shared" si="89"/>
        <v>0.6224724172799998</v>
      </c>
      <c r="Y40" s="36">
        <f t="shared" si="89"/>
        <v>0.77809052159999981</v>
      </c>
      <c r="Z40" s="36">
        <f t="shared" si="89"/>
        <v>0.9337086259199997</v>
      </c>
      <c r="AA40" s="36">
        <f t="shared" si="89"/>
        <v>1.0893267302399996</v>
      </c>
      <c r="AB40" s="36">
        <f t="shared" si="89"/>
        <v>1.2449448345599996</v>
      </c>
      <c r="AC40" s="36">
        <f t="shared" si="89"/>
        <v>1.4005629388799996</v>
      </c>
      <c r="AD40" s="36">
        <f t="shared" si="89"/>
        <v>1.5561810431999996</v>
      </c>
      <c r="AE40" s="36">
        <f t="shared" si="89"/>
        <v>1.7117991475199996</v>
      </c>
      <c r="AF40" s="36">
        <f t="shared" si="89"/>
        <v>1.8674172518399994</v>
      </c>
      <c r="AG40" s="36">
        <f t="shared" si="89"/>
        <v>2.0230353561599994</v>
      </c>
      <c r="AH40" s="36">
        <f t="shared" si="89"/>
        <v>2.1786534604799992</v>
      </c>
      <c r="AI40" s="36">
        <f t="shared" si="89"/>
        <v>2.3342715647999994</v>
      </c>
      <c r="AJ40" s="241">
        <f t="shared" si="90"/>
        <v>14.556854551087994</v>
      </c>
      <c r="AK40" s="241">
        <f t="shared" si="90"/>
        <v>7.2784272755439972</v>
      </c>
      <c r="AL40" s="241">
        <f t="shared" si="90"/>
        <v>4.8522848503626648</v>
      </c>
      <c r="AM40" s="241">
        <f t="shared" si="90"/>
        <v>3.6392136377719986</v>
      </c>
      <c r="AN40" s="241">
        <f t="shared" si="90"/>
        <v>2.9113709102175989</v>
      </c>
      <c r="AO40" s="241">
        <f t="shared" si="90"/>
        <v>2.4261424251813324</v>
      </c>
      <c r="AP40" s="241">
        <f t="shared" si="90"/>
        <v>2.0795506501554275</v>
      </c>
      <c r="AQ40" s="241">
        <f t="shared" si="90"/>
        <v>1.8196068188859993</v>
      </c>
      <c r="AR40" s="241">
        <f t="shared" si="90"/>
        <v>1.6174282834542217</v>
      </c>
      <c r="AS40" s="241">
        <f t="shared" si="90"/>
        <v>1.4556854551087994</v>
      </c>
      <c r="AT40" s="241">
        <f t="shared" si="90"/>
        <v>1.3233504137352721</v>
      </c>
      <c r="AU40" s="241">
        <f t="shared" si="90"/>
        <v>1.2130712125906662</v>
      </c>
      <c r="AV40" s="241">
        <f t="shared" si="90"/>
        <v>1.1197580423913842</v>
      </c>
      <c r="AW40" s="241">
        <f t="shared" si="90"/>
        <v>1.0397753250777138</v>
      </c>
      <c r="AX40" s="241">
        <f t="shared" si="90"/>
        <v>0.97045697007253295</v>
      </c>
      <c r="AY40" s="169">
        <f t="shared" si="81"/>
        <v>4220.7483090053684</v>
      </c>
      <c r="AZ40" s="169">
        <f t="shared" si="38"/>
        <v>8209.4585023950403</v>
      </c>
      <c r="BA40" s="169">
        <f t="shared" si="39"/>
        <v>9831.1827092651311</v>
      </c>
      <c r="BB40" s="169">
        <f t="shared" si="40"/>
        <v>10696.823714401464</v>
      </c>
      <c r="BC40" s="169">
        <f t="shared" si="41"/>
        <v>11233.737566027674</v>
      </c>
      <c r="BD40" s="169">
        <f t="shared" si="42"/>
        <v>11598.983987338652</v>
      </c>
      <c r="BE40" s="169">
        <f t="shared" si="43"/>
        <v>11863.451685937191</v>
      </c>
      <c r="BF40" s="169">
        <f t="shared" si="44"/>
        <v>12063.758849232567</v>
      </c>
      <c r="BG40" s="169">
        <f t="shared" si="45"/>
        <v>12220.712651408367</v>
      </c>
      <c r="BH40" s="169">
        <f t="shared" si="46"/>
        <v>12347.006078505021</v>
      </c>
      <c r="BI40" s="169">
        <f t="shared" si="47"/>
        <v>12450.819963720314</v>
      </c>
      <c r="BJ40" s="169">
        <f t="shared" si="48"/>
        <v>12537.6635280767</v>
      </c>
      <c r="BK40" s="169">
        <f t="shared" si="49"/>
        <v>12611.382278989129</v>
      </c>
      <c r="BL40" s="169">
        <f t="shared" si="50"/>
        <v>12674.741770043429</v>
      </c>
      <c r="BM40" s="169">
        <f t="shared" si="51"/>
        <v>12729.781748360414</v>
      </c>
      <c r="BN40" s="245">
        <f t="shared" si="82"/>
        <v>1700.7152536557119</v>
      </c>
      <c r="BO40" s="245">
        <f t="shared" si="52"/>
        <v>4642.8615452657459</v>
      </c>
      <c r="BP40" s="245">
        <f t="shared" si="53"/>
        <v>7721.4012583075555</v>
      </c>
      <c r="BQ40" s="245">
        <f t="shared" si="54"/>
        <v>10834.03932670731</v>
      </c>
      <c r="BR40" s="245">
        <f t="shared" si="55"/>
        <v>13960.316737250241</v>
      </c>
      <c r="BS40" s="245">
        <f t="shared" si="56"/>
        <v>17093.413818864756</v>
      </c>
      <c r="BT40" s="245">
        <f t="shared" si="57"/>
        <v>20230.407855377325</v>
      </c>
      <c r="BU40" s="245">
        <f t="shared" si="58"/>
        <v>23369.837488701174</v>
      </c>
      <c r="BV40" s="245">
        <f t="shared" si="59"/>
        <v>26510.890853232555</v>
      </c>
      <c r="BW40" s="245">
        <f t="shared" si="60"/>
        <v>29653.080829609189</v>
      </c>
      <c r="BX40" s="245">
        <f t="shared" si="61"/>
        <v>32796.097432782386</v>
      </c>
      <c r="BY40" s="245">
        <f t="shared" si="62"/>
        <v>35939.73400605299</v>
      </c>
      <c r="BZ40" s="245">
        <f t="shared" si="63"/>
        <v>39083.847479398544</v>
      </c>
      <c r="CA40" s="245">
        <f t="shared" si="64"/>
        <v>42228.33565994582</v>
      </c>
      <c r="CB40" s="245">
        <f t="shared" si="65"/>
        <v>45373.123606254499</v>
      </c>
      <c r="CC40" s="245">
        <f t="shared" si="83"/>
        <v>1700.7152536557119</v>
      </c>
      <c r="CD40" s="241">
        <f t="shared" si="84"/>
        <v>1244.9192276302183</v>
      </c>
      <c r="CE40" s="241">
        <f t="shared" si="66"/>
        <v>456.02331651671363</v>
      </c>
      <c r="CF40" s="241">
        <f t="shared" si="67"/>
        <v>274.20581435552509</v>
      </c>
      <c r="CG40" s="241">
        <f t="shared" si="68"/>
        <v>195.42601389499265</v>
      </c>
      <c r="CH40" s="241">
        <f t="shared" si="69"/>
        <v>151.66225522308844</v>
      </c>
      <c r="CI40" s="241">
        <f t="shared" si="70"/>
        <v>123.86367886696462</v>
      </c>
      <c r="CJ40" s="241">
        <f t="shared" si="71"/>
        <v>104.6569666383283</v>
      </c>
      <c r="CK40" s="241">
        <f t="shared" si="72"/>
        <v>90.59768263359328</v>
      </c>
      <c r="CL40" s="241">
        <f t="shared" si="73"/>
        <v>79.863522192496845</v>
      </c>
      <c r="CM40" s="241">
        <f t="shared" si="74"/>
        <v>71.400780652979577</v>
      </c>
      <c r="CN40" s="241">
        <f t="shared" si="75"/>
        <v>64.558081166194839</v>
      </c>
      <c r="CO40" s="241">
        <f t="shared" si="76"/>
        <v>58.911207290610733</v>
      </c>
      <c r="CP40" s="241">
        <f t="shared" si="77"/>
        <v>54.172075078228247</v>
      </c>
      <c r="CQ40" s="241">
        <f t="shared" si="78"/>
        <v>50.138209022721306</v>
      </c>
      <c r="CR40" s="241">
        <f t="shared" si="79"/>
        <v>46.663155448000609</v>
      </c>
      <c r="CS40" s="1285">
        <f t="shared" si="80"/>
        <v>1244.9192276302183</v>
      </c>
      <c r="CT40" s="1281" t="e">
        <f t="shared" si="85"/>
        <v>#DIV/0!</v>
      </c>
      <c r="CU40" s="1282" t="e">
        <f t="shared" si="86"/>
        <v>#DIV/0!</v>
      </c>
    </row>
    <row r="41" spans="2:99">
      <c r="B41" s="629">
        <f t="shared" si="87"/>
        <v>110</v>
      </c>
      <c r="C41" s="42" t="str">
        <f t="shared" si="30"/>
        <v>AA</v>
      </c>
      <c r="D41" s="42" t="str">
        <f t="shared" si="0"/>
        <v>EF-1</v>
      </c>
      <c r="E41" s="648">
        <f t="shared" si="31"/>
        <v>10</v>
      </c>
      <c r="F41" s="1236">
        <f t="shared" si="32"/>
        <v>10</v>
      </c>
      <c r="G41" s="649" t="str">
        <f t="shared" si="33"/>
        <v xml:space="preserve"> - Receptor 10</v>
      </c>
      <c r="H41" s="318">
        <f t="shared" si="3"/>
        <v>0</v>
      </c>
      <c r="I41" s="650">
        <f t="shared" si="4"/>
        <v>0</v>
      </c>
      <c r="J41" s="1278">
        <f t="shared" si="5"/>
        <v>0</v>
      </c>
      <c r="K41" s="1249">
        <f t="shared" si="6"/>
        <v>0.47231008449287359</v>
      </c>
      <c r="L41" s="1237">
        <f t="shared" si="7"/>
        <v>0.2032520325203252</v>
      </c>
      <c r="M41" s="1237">
        <f t="shared" si="8"/>
        <v>14.556854551087991</v>
      </c>
      <c r="N41" s="1237">
        <f t="shared" si="34"/>
        <v>-14.939024390243903</v>
      </c>
      <c r="O41" s="1242" t="s">
        <v>1432</v>
      </c>
      <c r="P41" s="1237">
        <f t="shared" si="35"/>
        <v>100.83974428403182</v>
      </c>
      <c r="Q41" s="5">
        <f t="shared" si="88"/>
        <v>0.153</v>
      </c>
      <c r="R41" s="5">
        <f t="shared" si="88"/>
        <v>3</v>
      </c>
      <c r="S41" s="5">
        <f t="shared" si="88"/>
        <v>1</v>
      </c>
      <c r="T41" s="5">
        <f t="shared" si="88"/>
        <v>0</v>
      </c>
      <c r="U41" s="36">
        <f t="shared" si="89"/>
        <v>0.15561810431999995</v>
      </c>
      <c r="V41" s="36">
        <f t="shared" si="89"/>
        <v>0.3112362086399999</v>
      </c>
      <c r="W41" s="36">
        <f t="shared" si="89"/>
        <v>0.46685431295999985</v>
      </c>
      <c r="X41" s="36">
        <f t="shared" si="89"/>
        <v>0.6224724172799998</v>
      </c>
      <c r="Y41" s="36">
        <f t="shared" si="89"/>
        <v>0.77809052159999981</v>
      </c>
      <c r="Z41" s="36">
        <f t="shared" si="89"/>
        <v>0.9337086259199997</v>
      </c>
      <c r="AA41" s="36">
        <f t="shared" si="89"/>
        <v>1.0893267302399996</v>
      </c>
      <c r="AB41" s="36">
        <f t="shared" si="89"/>
        <v>1.2449448345599996</v>
      </c>
      <c r="AC41" s="36">
        <f t="shared" si="89"/>
        <v>1.4005629388799996</v>
      </c>
      <c r="AD41" s="36">
        <f t="shared" si="89"/>
        <v>1.5561810431999996</v>
      </c>
      <c r="AE41" s="36">
        <f t="shared" si="89"/>
        <v>1.7117991475199996</v>
      </c>
      <c r="AF41" s="36">
        <f t="shared" si="89"/>
        <v>1.8674172518399994</v>
      </c>
      <c r="AG41" s="36">
        <f t="shared" si="89"/>
        <v>2.0230353561599994</v>
      </c>
      <c r="AH41" s="36">
        <f t="shared" si="89"/>
        <v>2.1786534604799992</v>
      </c>
      <c r="AI41" s="36">
        <f t="shared" si="89"/>
        <v>2.3342715647999994</v>
      </c>
      <c r="AJ41" s="241">
        <f t="shared" si="90"/>
        <v>14.556854551087994</v>
      </c>
      <c r="AK41" s="241">
        <f t="shared" si="90"/>
        <v>7.2784272755439972</v>
      </c>
      <c r="AL41" s="241">
        <f t="shared" si="90"/>
        <v>4.8522848503626648</v>
      </c>
      <c r="AM41" s="241">
        <f t="shared" si="90"/>
        <v>3.6392136377719986</v>
      </c>
      <c r="AN41" s="241">
        <f t="shared" si="90"/>
        <v>2.9113709102175989</v>
      </c>
      <c r="AO41" s="241">
        <f t="shared" si="90"/>
        <v>2.4261424251813324</v>
      </c>
      <c r="AP41" s="241">
        <f t="shared" si="90"/>
        <v>2.0795506501554275</v>
      </c>
      <c r="AQ41" s="241">
        <f t="shared" si="90"/>
        <v>1.8196068188859993</v>
      </c>
      <c r="AR41" s="241">
        <f t="shared" si="90"/>
        <v>1.6174282834542217</v>
      </c>
      <c r="AS41" s="241">
        <f t="shared" si="90"/>
        <v>1.4556854551087994</v>
      </c>
      <c r="AT41" s="241">
        <f t="shared" si="90"/>
        <v>1.3233504137352721</v>
      </c>
      <c r="AU41" s="241">
        <f t="shared" si="90"/>
        <v>1.2130712125906662</v>
      </c>
      <c r="AV41" s="241">
        <f t="shared" si="90"/>
        <v>1.1197580423913842</v>
      </c>
      <c r="AW41" s="241">
        <f t="shared" si="90"/>
        <v>1.0397753250777138</v>
      </c>
      <c r="AX41" s="241">
        <f t="shared" si="90"/>
        <v>0.97045697007253295</v>
      </c>
      <c r="AY41" s="169">
        <f t="shared" si="81"/>
        <v>1226.7810456719651</v>
      </c>
      <c r="AZ41" s="169">
        <f t="shared" si="38"/>
        <v>3680.146373473573</v>
      </c>
      <c r="BA41" s="169">
        <f t="shared" si="39"/>
        <v>4790.0889584809738</v>
      </c>
      <c r="BB41" s="169">
        <f t="shared" si="40"/>
        <v>5399.8391526859614</v>
      </c>
      <c r="BC41" s="169">
        <f t="shared" si="41"/>
        <v>5783.2185177533665</v>
      </c>
      <c r="BD41" s="169">
        <f t="shared" si="42"/>
        <v>6046.1086146918087</v>
      </c>
      <c r="BE41" s="169">
        <f t="shared" si="43"/>
        <v>6237.464653024248</v>
      </c>
      <c r="BF41" s="169">
        <f t="shared" si="44"/>
        <v>6382.9380711200529</v>
      </c>
      <c r="BG41" s="169">
        <f t="shared" si="45"/>
        <v>6497.2434048072937</v>
      </c>
      <c r="BH41" s="169">
        <f t="shared" si="46"/>
        <v>6589.4180571131028</v>
      </c>
      <c r="BI41" s="169">
        <f t="shared" si="47"/>
        <v>6665.3165811358831</v>
      </c>
      <c r="BJ41" s="169">
        <f t="shared" si="48"/>
        <v>6728.8973444985122</v>
      </c>
      <c r="BK41" s="169">
        <f t="shared" si="49"/>
        <v>6782.9321868777624</v>
      </c>
      <c r="BL41" s="169">
        <f t="shared" si="50"/>
        <v>6829.4197563321932</v>
      </c>
      <c r="BM41" s="169">
        <f t="shared" si="51"/>
        <v>6869.8374025959565</v>
      </c>
      <c r="BN41" s="245">
        <f t="shared" si="82"/>
        <v>1773.3360039527024</v>
      </c>
      <c r="BO41" s="245">
        <f t="shared" si="52"/>
        <v>4310.2481309392078</v>
      </c>
      <c r="BP41" s="245">
        <f t="shared" si="53"/>
        <v>6983.5536793574884</v>
      </c>
      <c r="BQ41" s="245">
        <f t="shared" si="54"/>
        <v>9690.9575831337115</v>
      </c>
      <c r="BR41" s="245">
        <f t="shared" si="55"/>
        <v>12412.000829053115</v>
      </c>
      <c r="BS41" s="245">
        <f t="shared" si="56"/>
        <v>15139.863746044106</v>
      </c>
      <c r="BT41" s="245">
        <f t="shared" si="57"/>
        <v>17871.623617933143</v>
      </c>
      <c r="BU41" s="245">
        <f t="shared" si="58"/>
        <v>20605.819086633466</v>
      </c>
      <c r="BV41" s="245">
        <f t="shared" si="59"/>
        <v>23341.638286541314</v>
      </c>
      <c r="BW41" s="245">
        <f t="shared" si="60"/>
        <v>26078.594098294423</v>
      </c>
      <c r="BX41" s="245">
        <f t="shared" si="61"/>
        <v>28816.376536844091</v>
      </c>
      <c r="BY41" s="245">
        <f t="shared" si="62"/>
        <v>31554.778945491169</v>
      </c>
      <c r="BZ41" s="245">
        <f t="shared" si="63"/>
        <v>34293.658254213187</v>
      </c>
      <c r="CA41" s="245">
        <f t="shared" si="64"/>
        <v>37032.912270136934</v>
      </c>
      <c r="CB41" s="245">
        <f t="shared" si="65"/>
        <v>39772.466051822084</v>
      </c>
      <c r="CC41" s="245">
        <f t="shared" si="83"/>
        <v>1773.3360039527024</v>
      </c>
      <c r="CD41" s="241">
        <f t="shared" si="84"/>
        <v>1193.9379312666738</v>
      </c>
      <c r="CE41" s="241">
        <f t="shared" si="66"/>
        <v>491.21374354349473</v>
      </c>
      <c r="CF41" s="241">
        <f t="shared" si="67"/>
        <v>303.17703811146106</v>
      </c>
      <c r="CG41" s="241">
        <f t="shared" si="68"/>
        <v>218.47718368769858</v>
      </c>
      <c r="CH41" s="241">
        <f t="shared" si="69"/>
        <v>170.58112943757516</v>
      </c>
      <c r="CI41" s="241">
        <f t="shared" si="70"/>
        <v>139.84624667135571</v>
      </c>
      <c r="CJ41" s="241">
        <f t="shared" si="71"/>
        <v>118.4701046342235</v>
      </c>
      <c r="CK41" s="241">
        <f t="shared" si="72"/>
        <v>102.75025278531218</v>
      </c>
      <c r="CL41" s="241">
        <f t="shared" si="73"/>
        <v>90.707134349725493</v>
      </c>
      <c r="CM41" s="241">
        <f t="shared" si="74"/>
        <v>81.187394996054294</v>
      </c>
      <c r="CN41" s="241">
        <f t="shared" si="75"/>
        <v>73.473953857207491</v>
      </c>
      <c r="CO41" s="241">
        <f t="shared" si="76"/>
        <v>67.09770091108598</v>
      </c>
      <c r="CP41" s="241">
        <f t="shared" si="77"/>
        <v>61.738911151010896</v>
      </c>
      <c r="CQ41" s="241">
        <f t="shared" si="78"/>
        <v>57.172201434110185</v>
      </c>
      <c r="CR41" s="241">
        <f t="shared" si="79"/>
        <v>53.23414236475292</v>
      </c>
      <c r="CS41" s="1285">
        <f t="shared" si="80"/>
        <v>1193.9379312666738</v>
      </c>
      <c r="CT41" s="1281" t="e">
        <f t="shared" si="85"/>
        <v>#DIV/0!</v>
      </c>
      <c r="CU41" s="1282" t="e">
        <f t="shared" si="86"/>
        <v>#DIV/0!</v>
      </c>
    </row>
    <row r="42" spans="2:99">
      <c r="B42" s="629"/>
      <c r="C42" s="42"/>
      <c r="D42" s="42"/>
      <c r="E42" s="648"/>
      <c r="F42" s="1236"/>
      <c r="G42" s="649"/>
      <c r="H42" s="318"/>
      <c r="I42" s="650"/>
      <c r="J42" s="1278"/>
      <c r="K42" s="1249"/>
      <c r="L42" s="1237"/>
      <c r="M42" s="1237"/>
      <c r="N42" s="1237"/>
      <c r="O42" s="1242"/>
      <c r="P42" s="1237"/>
      <c r="Q42" s="5"/>
      <c r="R42" s="5"/>
      <c r="S42" s="5"/>
      <c r="T42" s="5"/>
      <c r="U42" s="36"/>
      <c r="V42" s="36"/>
      <c r="W42" s="36"/>
      <c r="X42" s="36"/>
      <c r="Y42" s="36"/>
      <c r="Z42" s="36"/>
      <c r="AA42" s="36"/>
      <c r="AB42" s="36"/>
      <c r="AC42" s="36"/>
      <c r="AD42" s="36"/>
      <c r="AE42" s="36"/>
      <c r="AF42" s="36"/>
      <c r="AG42" s="36"/>
      <c r="AH42" s="36"/>
      <c r="AI42" s="36"/>
      <c r="AJ42" s="241"/>
      <c r="AK42" s="241"/>
      <c r="AL42" s="241"/>
      <c r="AM42" s="241"/>
      <c r="AN42" s="241"/>
      <c r="AO42" s="241"/>
      <c r="AP42" s="241"/>
      <c r="AQ42" s="241"/>
      <c r="AR42" s="241"/>
      <c r="AS42" s="241"/>
      <c r="AT42" s="241"/>
      <c r="AU42" s="241"/>
      <c r="AV42" s="241"/>
      <c r="AW42" s="241"/>
      <c r="AX42" s="241"/>
      <c r="AY42" s="169"/>
      <c r="AZ42" s="169"/>
      <c r="BA42" s="169"/>
      <c r="BB42" s="169"/>
      <c r="BC42" s="169"/>
      <c r="BD42" s="169"/>
      <c r="BE42" s="169"/>
      <c r="BF42" s="169"/>
      <c r="BG42" s="169"/>
      <c r="BH42" s="169"/>
      <c r="BI42" s="169"/>
      <c r="BJ42" s="169"/>
      <c r="BK42" s="169"/>
      <c r="BL42" s="169"/>
      <c r="BM42" s="169"/>
      <c r="BN42" s="245"/>
      <c r="BO42" s="245"/>
      <c r="BP42" s="245"/>
      <c r="BQ42" s="245"/>
      <c r="BR42" s="245"/>
      <c r="BS42" s="245"/>
      <c r="BT42" s="245"/>
      <c r="BU42" s="245"/>
      <c r="BV42" s="245"/>
      <c r="BW42" s="245"/>
      <c r="BX42" s="245"/>
      <c r="BY42" s="245"/>
      <c r="BZ42" s="245"/>
      <c r="CA42" s="245"/>
      <c r="CB42" s="245"/>
      <c r="CC42" s="245"/>
      <c r="CD42" s="241"/>
      <c r="CE42" s="241"/>
      <c r="CF42" s="241"/>
      <c r="CG42" s="241"/>
      <c r="CH42" s="241"/>
      <c r="CI42" s="241"/>
      <c r="CJ42" s="241"/>
      <c r="CK42" s="241"/>
      <c r="CL42" s="241"/>
      <c r="CM42" s="241"/>
      <c r="CN42" s="241"/>
      <c r="CO42" s="241"/>
      <c r="CP42" s="241"/>
      <c r="CQ42" s="241"/>
      <c r="CR42" s="241"/>
      <c r="CS42" s="1285"/>
      <c r="CT42" s="1281"/>
      <c r="CU42" s="1282"/>
    </row>
    <row r="43" spans="2:99">
      <c r="B43" s="629"/>
      <c r="C43" s="42"/>
      <c r="D43" s="42"/>
      <c r="E43" s="648"/>
      <c r="F43" s="1236"/>
      <c r="G43" s="649"/>
      <c r="H43" s="318"/>
      <c r="I43" s="650"/>
      <c r="J43" s="1278"/>
      <c r="K43" s="1249"/>
      <c r="L43" s="1237"/>
      <c r="M43" s="1237"/>
      <c r="N43" s="1237"/>
      <c r="O43" s="1242"/>
      <c r="P43" s="1237"/>
      <c r="Q43" s="5"/>
      <c r="R43" s="5"/>
      <c r="S43" s="5"/>
      <c r="T43" s="5"/>
      <c r="U43" s="36"/>
      <c r="V43" s="36"/>
      <c r="W43" s="36"/>
      <c r="X43" s="36"/>
      <c r="Y43" s="36"/>
      <c r="Z43" s="36"/>
      <c r="AA43" s="36"/>
      <c r="AB43" s="36"/>
      <c r="AC43" s="36"/>
      <c r="AD43" s="36"/>
      <c r="AE43" s="36"/>
      <c r="AF43" s="36"/>
      <c r="AG43" s="36"/>
      <c r="AH43" s="36"/>
      <c r="AI43" s="36"/>
      <c r="AJ43" s="241"/>
      <c r="AK43" s="241"/>
      <c r="AL43" s="241"/>
      <c r="AM43" s="241"/>
      <c r="AN43" s="241"/>
      <c r="AO43" s="241"/>
      <c r="AP43" s="241"/>
      <c r="AQ43" s="241"/>
      <c r="AR43" s="241"/>
      <c r="AS43" s="241"/>
      <c r="AT43" s="241"/>
      <c r="AU43" s="241"/>
      <c r="AV43" s="241"/>
      <c r="AW43" s="241"/>
      <c r="AX43" s="241"/>
      <c r="AY43" s="169"/>
      <c r="AZ43" s="169"/>
      <c r="BA43" s="169"/>
      <c r="BB43" s="169"/>
      <c r="BC43" s="169"/>
      <c r="BD43" s="169"/>
      <c r="BE43" s="169"/>
      <c r="BF43" s="169"/>
      <c r="BG43" s="169"/>
      <c r="BH43" s="169"/>
      <c r="BI43" s="169"/>
      <c r="BJ43" s="169"/>
      <c r="BK43" s="169"/>
      <c r="BL43" s="169"/>
      <c r="BM43" s="169"/>
      <c r="BN43" s="245"/>
      <c r="BO43" s="245"/>
      <c r="BP43" s="245"/>
      <c r="BQ43" s="245"/>
      <c r="BR43" s="245"/>
      <c r="BS43" s="245"/>
      <c r="BT43" s="245"/>
      <c r="BU43" s="245"/>
      <c r="BV43" s="245"/>
      <c r="BW43" s="245"/>
      <c r="BX43" s="245"/>
      <c r="BY43" s="245"/>
      <c r="BZ43" s="245"/>
      <c r="CA43" s="245"/>
      <c r="CB43" s="245"/>
      <c r="CC43" s="245"/>
      <c r="CD43" s="241"/>
      <c r="CE43" s="241"/>
      <c r="CF43" s="241"/>
      <c r="CG43" s="241"/>
      <c r="CH43" s="241"/>
      <c r="CI43" s="241"/>
      <c r="CJ43" s="241"/>
      <c r="CK43" s="241"/>
      <c r="CL43" s="241"/>
      <c r="CM43" s="241"/>
      <c r="CN43" s="241"/>
      <c r="CO43" s="241"/>
      <c r="CP43" s="241"/>
      <c r="CQ43" s="241"/>
      <c r="CR43" s="241"/>
      <c r="CS43" s="1285"/>
      <c r="CT43" s="1281"/>
      <c r="CU43" s="1282"/>
    </row>
    <row r="44" spans="2:99">
      <c r="B44" s="629"/>
      <c r="C44" s="42"/>
      <c r="D44" s="42"/>
      <c r="E44" s="648"/>
      <c r="F44" s="1236"/>
      <c r="G44" s="649"/>
      <c r="H44" s="318"/>
      <c r="I44" s="650"/>
      <c r="J44" s="1278"/>
      <c r="K44" s="1249"/>
      <c r="L44" s="1237"/>
      <c r="M44" s="1237"/>
      <c r="N44" s="1237"/>
      <c r="O44" s="1242"/>
      <c r="P44" s="1237"/>
      <c r="Q44" s="5"/>
      <c r="R44" s="5"/>
      <c r="S44" s="5"/>
      <c r="T44" s="5"/>
      <c r="U44" s="36"/>
      <c r="V44" s="36"/>
      <c r="W44" s="36"/>
      <c r="X44" s="36"/>
      <c r="Y44" s="36"/>
      <c r="Z44" s="36"/>
      <c r="AA44" s="36"/>
      <c r="AB44" s="36"/>
      <c r="AC44" s="36"/>
      <c r="AD44" s="36"/>
      <c r="AE44" s="36"/>
      <c r="AF44" s="36"/>
      <c r="AG44" s="36"/>
      <c r="AH44" s="36"/>
      <c r="AI44" s="36"/>
      <c r="AJ44" s="241"/>
      <c r="AK44" s="241"/>
      <c r="AL44" s="241"/>
      <c r="AM44" s="241"/>
      <c r="AN44" s="241"/>
      <c r="AO44" s="241"/>
      <c r="AP44" s="241"/>
      <c r="AQ44" s="241"/>
      <c r="AR44" s="241"/>
      <c r="AS44" s="241"/>
      <c r="AT44" s="241"/>
      <c r="AU44" s="241"/>
      <c r="AV44" s="241"/>
      <c r="AW44" s="241"/>
      <c r="AX44" s="241"/>
      <c r="AY44" s="169"/>
      <c r="AZ44" s="169"/>
      <c r="BA44" s="169"/>
      <c r="BB44" s="169"/>
      <c r="BC44" s="169"/>
      <c r="BD44" s="169"/>
      <c r="BE44" s="169"/>
      <c r="BF44" s="169"/>
      <c r="BG44" s="169"/>
      <c r="BH44" s="169"/>
      <c r="BI44" s="169"/>
      <c r="BJ44" s="169"/>
      <c r="BK44" s="169"/>
      <c r="BL44" s="169"/>
      <c r="BM44" s="169"/>
      <c r="BN44" s="245"/>
      <c r="BO44" s="245"/>
      <c r="BP44" s="245"/>
      <c r="BQ44" s="245"/>
      <c r="BR44" s="245"/>
      <c r="BS44" s="245"/>
      <c r="BT44" s="245"/>
      <c r="BU44" s="245"/>
      <c r="BV44" s="245"/>
      <c r="BW44" s="245"/>
      <c r="BX44" s="245"/>
      <c r="BY44" s="245"/>
      <c r="BZ44" s="245"/>
      <c r="CA44" s="245"/>
      <c r="CB44" s="245"/>
      <c r="CC44" s="245"/>
      <c r="CD44" s="241"/>
      <c r="CE44" s="241"/>
      <c r="CF44" s="241"/>
      <c r="CG44" s="241"/>
      <c r="CH44" s="241"/>
      <c r="CI44" s="241"/>
      <c r="CJ44" s="241"/>
      <c r="CK44" s="241"/>
      <c r="CL44" s="241"/>
      <c r="CM44" s="241"/>
      <c r="CN44" s="241"/>
      <c r="CO44" s="241"/>
      <c r="CP44" s="241"/>
      <c r="CQ44" s="241"/>
      <c r="CR44" s="241"/>
      <c r="CS44" s="1285"/>
      <c r="CT44" s="1281"/>
      <c r="CU44" s="1282"/>
    </row>
    <row r="45" spans="2:99">
      <c r="B45" s="629"/>
      <c r="C45" s="42"/>
      <c r="D45" s="42"/>
      <c r="E45" s="648"/>
      <c r="F45" s="1236"/>
      <c r="G45" s="649"/>
      <c r="H45" s="318"/>
      <c r="I45" s="650"/>
      <c r="J45" s="1278"/>
      <c r="K45" s="1249"/>
      <c r="L45" s="1237"/>
      <c r="M45" s="1237"/>
      <c r="N45" s="1237"/>
      <c r="O45" s="1242"/>
      <c r="P45" s="1237"/>
      <c r="Q45" s="5"/>
      <c r="R45" s="5"/>
      <c r="S45" s="5"/>
      <c r="T45" s="5"/>
      <c r="U45" s="36"/>
      <c r="V45" s="36"/>
      <c r="W45" s="36"/>
      <c r="X45" s="36"/>
      <c r="Y45" s="36"/>
      <c r="Z45" s="36"/>
      <c r="AA45" s="36"/>
      <c r="AB45" s="36"/>
      <c r="AC45" s="36"/>
      <c r="AD45" s="36"/>
      <c r="AE45" s="36"/>
      <c r="AF45" s="36"/>
      <c r="AG45" s="36"/>
      <c r="AH45" s="36"/>
      <c r="AI45" s="36"/>
      <c r="AJ45" s="241"/>
      <c r="AK45" s="241"/>
      <c r="AL45" s="241"/>
      <c r="AM45" s="241"/>
      <c r="AN45" s="241"/>
      <c r="AO45" s="241"/>
      <c r="AP45" s="241"/>
      <c r="AQ45" s="241"/>
      <c r="AR45" s="241"/>
      <c r="AS45" s="241"/>
      <c r="AT45" s="241"/>
      <c r="AU45" s="241"/>
      <c r="AV45" s="241"/>
      <c r="AW45" s="241"/>
      <c r="AX45" s="241"/>
      <c r="AY45" s="169"/>
      <c r="AZ45" s="169"/>
      <c r="BA45" s="169"/>
      <c r="BB45" s="169"/>
      <c r="BC45" s="169"/>
      <c r="BD45" s="169"/>
      <c r="BE45" s="169"/>
      <c r="BF45" s="169"/>
      <c r="BG45" s="169"/>
      <c r="BH45" s="169"/>
      <c r="BI45" s="169"/>
      <c r="BJ45" s="169"/>
      <c r="BK45" s="169"/>
      <c r="BL45" s="169"/>
      <c r="BM45" s="169"/>
      <c r="BN45" s="245"/>
      <c r="BO45" s="245"/>
      <c r="BP45" s="245"/>
      <c r="BQ45" s="245"/>
      <c r="BR45" s="245"/>
      <c r="BS45" s="245"/>
      <c r="BT45" s="245"/>
      <c r="BU45" s="245"/>
      <c r="BV45" s="245"/>
      <c r="BW45" s="245"/>
      <c r="BX45" s="245"/>
      <c r="BY45" s="245"/>
      <c r="BZ45" s="245"/>
      <c r="CA45" s="245"/>
      <c r="CB45" s="245"/>
      <c r="CC45" s="245"/>
      <c r="CD45" s="241"/>
      <c r="CE45" s="241"/>
      <c r="CF45" s="241"/>
      <c r="CG45" s="241"/>
      <c r="CH45" s="241"/>
      <c r="CI45" s="241"/>
      <c r="CJ45" s="241"/>
      <c r="CK45" s="241"/>
      <c r="CL45" s="241"/>
      <c r="CM45" s="241"/>
      <c r="CN45" s="241"/>
      <c r="CO45" s="241"/>
      <c r="CP45" s="241"/>
      <c r="CQ45" s="241"/>
      <c r="CR45" s="241"/>
      <c r="CS45" s="1285"/>
      <c r="CT45" s="1281"/>
      <c r="CU45" s="1282"/>
    </row>
    <row r="46" spans="2:99">
      <c r="B46" s="629"/>
      <c r="C46" s="42"/>
      <c r="D46" s="42"/>
      <c r="E46" s="648"/>
      <c r="F46" s="1236"/>
      <c r="G46" s="649"/>
      <c r="H46" s="318"/>
      <c r="I46" s="650"/>
      <c r="J46" s="1278"/>
      <c r="K46" s="1249"/>
      <c r="L46" s="1237"/>
      <c r="M46" s="1237"/>
      <c r="N46" s="1237"/>
      <c r="O46" s="1242"/>
      <c r="P46" s="1237"/>
      <c r="Q46" s="5"/>
      <c r="R46" s="5"/>
      <c r="S46" s="5"/>
      <c r="T46" s="5"/>
      <c r="U46" s="36"/>
      <c r="V46" s="36"/>
      <c r="W46" s="36"/>
      <c r="X46" s="36"/>
      <c r="Y46" s="36"/>
      <c r="Z46" s="36"/>
      <c r="AA46" s="36"/>
      <c r="AB46" s="36"/>
      <c r="AC46" s="36"/>
      <c r="AD46" s="36"/>
      <c r="AE46" s="36"/>
      <c r="AF46" s="36"/>
      <c r="AG46" s="36"/>
      <c r="AH46" s="36"/>
      <c r="AI46" s="36"/>
      <c r="AJ46" s="241"/>
      <c r="AK46" s="241"/>
      <c r="AL46" s="241"/>
      <c r="AM46" s="241"/>
      <c r="AN46" s="241"/>
      <c r="AO46" s="241"/>
      <c r="AP46" s="241"/>
      <c r="AQ46" s="241"/>
      <c r="AR46" s="241"/>
      <c r="AS46" s="241"/>
      <c r="AT46" s="241"/>
      <c r="AU46" s="241"/>
      <c r="AV46" s="241"/>
      <c r="AW46" s="241"/>
      <c r="AX46" s="241"/>
      <c r="AY46" s="169"/>
      <c r="AZ46" s="169"/>
      <c r="BA46" s="169"/>
      <c r="BB46" s="169"/>
      <c r="BC46" s="169"/>
      <c r="BD46" s="169"/>
      <c r="BE46" s="169"/>
      <c r="BF46" s="169"/>
      <c r="BG46" s="169"/>
      <c r="BH46" s="169"/>
      <c r="BI46" s="169"/>
      <c r="BJ46" s="169"/>
      <c r="BK46" s="169"/>
      <c r="BL46" s="169"/>
      <c r="BM46" s="169"/>
      <c r="BN46" s="245"/>
      <c r="BO46" s="245"/>
      <c r="BP46" s="245"/>
      <c r="BQ46" s="245"/>
      <c r="BR46" s="245"/>
      <c r="BS46" s="245"/>
      <c r="BT46" s="245"/>
      <c r="BU46" s="245"/>
      <c r="BV46" s="245"/>
      <c r="BW46" s="245"/>
      <c r="BX46" s="245"/>
      <c r="BY46" s="245"/>
      <c r="BZ46" s="245"/>
      <c r="CA46" s="245"/>
      <c r="CB46" s="245"/>
      <c r="CC46" s="245"/>
      <c r="CD46" s="241"/>
      <c r="CE46" s="241"/>
      <c r="CF46" s="241"/>
      <c r="CG46" s="241"/>
      <c r="CH46" s="241"/>
      <c r="CI46" s="241"/>
      <c r="CJ46" s="241"/>
      <c r="CK46" s="241"/>
      <c r="CL46" s="241"/>
      <c r="CM46" s="241"/>
      <c r="CN46" s="241"/>
      <c r="CO46" s="241"/>
      <c r="CP46" s="241"/>
      <c r="CQ46" s="241"/>
      <c r="CR46" s="241"/>
      <c r="CS46" s="1285"/>
      <c r="CT46" s="1281"/>
      <c r="CU46" s="1282"/>
    </row>
    <row r="47" spans="2:99">
      <c r="B47" s="629"/>
      <c r="C47" s="42"/>
      <c r="D47" s="42"/>
      <c r="E47" s="648"/>
      <c r="F47" s="1236"/>
      <c r="G47" s="649"/>
      <c r="H47" s="318"/>
      <c r="I47" s="650"/>
      <c r="J47" s="1278"/>
      <c r="K47" s="1249"/>
      <c r="L47" s="1237"/>
      <c r="M47" s="1237"/>
      <c r="N47" s="1237"/>
      <c r="O47" s="1242"/>
      <c r="P47" s="1237"/>
      <c r="Q47" s="5"/>
      <c r="R47" s="5"/>
      <c r="S47" s="5"/>
      <c r="T47" s="5"/>
      <c r="U47" s="36"/>
      <c r="V47" s="36"/>
      <c r="W47" s="36"/>
      <c r="X47" s="36"/>
      <c r="Y47" s="36"/>
      <c r="Z47" s="36"/>
      <c r="AA47" s="36"/>
      <c r="AB47" s="36"/>
      <c r="AC47" s="36"/>
      <c r="AD47" s="36"/>
      <c r="AE47" s="36"/>
      <c r="AF47" s="36"/>
      <c r="AG47" s="36"/>
      <c r="AH47" s="36"/>
      <c r="AI47" s="36"/>
      <c r="AJ47" s="241"/>
      <c r="AK47" s="241"/>
      <c r="AL47" s="241"/>
      <c r="AM47" s="241"/>
      <c r="AN47" s="241"/>
      <c r="AO47" s="241"/>
      <c r="AP47" s="241"/>
      <c r="AQ47" s="241"/>
      <c r="AR47" s="241"/>
      <c r="AS47" s="241"/>
      <c r="AT47" s="241"/>
      <c r="AU47" s="241"/>
      <c r="AV47" s="241"/>
      <c r="AW47" s="241"/>
      <c r="AX47" s="241"/>
      <c r="AY47" s="169"/>
      <c r="AZ47" s="169"/>
      <c r="BA47" s="169"/>
      <c r="BB47" s="169"/>
      <c r="BC47" s="169"/>
      <c r="BD47" s="169"/>
      <c r="BE47" s="169"/>
      <c r="BF47" s="169"/>
      <c r="BG47" s="169"/>
      <c r="BH47" s="169"/>
      <c r="BI47" s="169"/>
      <c r="BJ47" s="169"/>
      <c r="BK47" s="169"/>
      <c r="BL47" s="169"/>
      <c r="BM47" s="169"/>
      <c r="BN47" s="245"/>
      <c r="BO47" s="245"/>
      <c r="BP47" s="245"/>
      <c r="BQ47" s="245"/>
      <c r="BR47" s="245"/>
      <c r="BS47" s="245"/>
      <c r="BT47" s="245"/>
      <c r="BU47" s="245"/>
      <c r="BV47" s="245"/>
      <c r="BW47" s="245"/>
      <c r="BX47" s="245"/>
      <c r="BY47" s="245"/>
      <c r="BZ47" s="245"/>
      <c r="CA47" s="245"/>
      <c r="CB47" s="245"/>
      <c r="CC47" s="245"/>
      <c r="CD47" s="241"/>
      <c r="CE47" s="241"/>
      <c r="CF47" s="241"/>
      <c r="CG47" s="241"/>
      <c r="CH47" s="241"/>
      <c r="CI47" s="241"/>
      <c r="CJ47" s="241"/>
      <c r="CK47" s="241"/>
      <c r="CL47" s="241"/>
      <c r="CM47" s="241"/>
      <c r="CN47" s="241"/>
      <c r="CO47" s="241"/>
      <c r="CP47" s="241"/>
      <c r="CQ47" s="241"/>
      <c r="CR47" s="241"/>
      <c r="CS47" s="1285"/>
      <c r="CT47" s="1281"/>
      <c r="CU47" s="1282"/>
    </row>
    <row r="48" spans="2:99">
      <c r="B48" s="629"/>
      <c r="C48" s="42"/>
      <c r="D48" s="42"/>
      <c r="E48" s="648"/>
      <c r="F48" s="1236"/>
      <c r="G48" s="649"/>
      <c r="H48" s="318"/>
      <c r="I48" s="650"/>
      <c r="J48" s="1278"/>
      <c r="K48" s="1249"/>
      <c r="L48" s="1237"/>
      <c r="M48" s="1237"/>
      <c r="N48" s="1237"/>
      <c r="O48" s="1242"/>
      <c r="P48" s="1237"/>
      <c r="Q48" s="5"/>
      <c r="R48" s="5"/>
      <c r="S48" s="5"/>
      <c r="T48" s="5"/>
      <c r="U48" s="36"/>
      <c r="V48" s="36"/>
      <c r="W48" s="36"/>
      <c r="X48" s="36"/>
      <c r="Y48" s="36"/>
      <c r="Z48" s="36"/>
      <c r="AA48" s="36"/>
      <c r="AB48" s="36"/>
      <c r="AC48" s="36"/>
      <c r="AD48" s="36"/>
      <c r="AE48" s="36"/>
      <c r="AF48" s="36"/>
      <c r="AG48" s="36"/>
      <c r="AH48" s="36"/>
      <c r="AI48" s="36"/>
      <c r="AJ48" s="241"/>
      <c r="AK48" s="241"/>
      <c r="AL48" s="241"/>
      <c r="AM48" s="241"/>
      <c r="AN48" s="241"/>
      <c r="AO48" s="241"/>
      <c r="AP48" s="241"/>
      <c r="AQ48" s="241"/>
      <c r="AR48" s="241"/>
      <c r="AS48" s="241"/>
      <c r="AT48" s="241"/>
      <c r="AU48" s="241"/>
      <c r="AV48" s="241"/>
      <c r="AW48" s="241"/>
      <c r="AX48" s="241"/>
      <c r="AY48" s="169"/>
      <c r="AZ48" s="169"/>
      <c r="BA48" s="169"/>
      <c r="BB48" s="169"/>
      <c r="BC48" s="169"/>
      <c r="BD48" s="169"/>
      <c r="BE48" s="169"/>
      <c r="BF48" s="169"/>
      <c r="BG48" s="169"/>
      <c r="BH48" s="169"/>
      <c r="BI48" s="169"/>
      <c r="BJ48" s="169"/>
      <c r="BK48" s="169"/>
      <c r="BL48" s="169"/>
      <c r="BM48" s="169"/>
      <c r="BN48" s="245"/>
      <c r="BO48" s="245"/>
      <c r="BP48" s="245"/>
      <c r="BQ48" s="245"/>
      <c r="BR48" s="245"/>
      <c r="BS48" s="245"/>
      <c r="BT48" s="245"/>
      <c r="BU48" s="245"/>
      <c r="BV48" s="245"/>
      <c r="BW48" s="245"/>
      <c r="BX48" s="245"/>
      <c r="BY48" s="245"/>
      <c r="BZ48" s="245"/>
      <c r="CA48" s="245"/>
      <c r="CB48" s="245"/>
      <c r="CC48" s="245"/>
      <c r="CD48" s="241"/>
      <c r="CE48" s="241"/>
      <c r="CF48" s="241"/>
      <c r="CG48" s="241"/>
      <c r="CH48" s="241"/>
      <c r="CI48" s="241"/>
      <c r="CJ48" s="241"/>
      <c r="CK48" s="241"/>
      <c r="CL48" s="241"/>
      <c r="CM48" s="241"/>
      <c r="CN48" s="241"/>
      <c r="CO48" s="241"/>
      <c r="CP48" s="241"/>
      <c r="CQ48" s="241"/>
      <c r="CR48" s="241"/>
      <c r="CS48" s="1285"/>
      <c r="CT48" s="1281"/>
      <c r="CU48" s="1282"/>
    </row>
    <row r="49" spans="2:99">
      <c r="B49" s="1248"/>
      <c r="C49" s="42"/>
      <c r="D49" s="42"/>
      <c r="E49" s="648"/>
      <c r="F49" s="648"/>
      <c r="G49" s="649"/>
      <c r="H49" s="318"/>
      <c r="I49" s="650"/>
      <c r="J49" s="1278"/>
      <c r="K49" s="1250"/>
      <c r="L49" s="316"/>
      <c r="M49" s="316"/>
      <c r="N49" s="316"/>
      <c r="O49" s="316"/>
      <c r="P49" s="316"/>
      <c r="Q49" s="5"/>
      <c r="R49" s="5"/>
      <c r="S49" s="5"/>
      <c r="T49" s="5"/>
      <c r="U49" s="421"/>
      <c r="V49" s="421"/>
      <c r="W49" s="421"/>
      <c r="X49" s="421"/>
      <c r="Y49" s="421"/>
      <c r="CS49" s="1277"/>
      <c r="CT49" s="95"/>
      <c r="CU49" s="147"/>
    </row>
    <row r="50" spans="2:99">
      <c r="B50" s="383"/>
      <c r="C50" s="41"/>
      <c r="D50" s="41"/>
      <c r="E50" s="317"/>
      <c r="F50" s="317"/>
      <c r="G50" s="41"/>
      <c r="H50" s="317"/>
      <c r="I50" s="317"/>
      <c r="J50" s="1279"/>
      <c r="K50" s="1251"/>
      <c r="L50" s="317"/>
      <c r="M50" s="317"/>
      <c r="N50" s="317"/>
      <c r="O50" s="317"/>
      <c r="P50" s="317"/>
      <c r="Q50" s="41"/>
      <c r="R50" s="41"/>
      <c r="S50" s="41"/>
      <c r="T50" s="41"/>
      <c r="U50" s="654"/>
      <c r="V50" s="654"/>
      <c r="W50" s="654"/>
      <c r="X50" s="654"/>
      <c r="Y50" s="654"/>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1280"/>
      <c r="CT50" s="383"/>
      <c r="CU50" s="1283"/>
    </row>
    <row r="51" spans="2:99">
      <c r="H51" s="655"/>
      <c r="I51" s="655"/>
      <c r="J51" s="655"/>
      <c r="K51" s="655"/>
      <c r="L51" s="655"/>
      <c r="M51" s="655"/>
      <c r="N51" s="655"/>
      <c r="O51" s="655"/>
      <c r="P51" s="655"/>
      <c r="U51" s="656"/>
      <c r="V51" s="656"/>
      <c r="W51" s="656"/>
      <c r="X51" s="656"/>
      <c r="Y51" s="656"/>
    </row>
    <row r="52" spans="2:99">
      <c r="B52" t="s">
        <v>214</v>
      </c>
      <c r="U52" s="656"/>
      <c r="V52" s="656"/>
      <c r="W52" s="656"/>
      <c r="X52" s="656"/>
      <c r="Y52" s="656"/>
    </row>
    <row r="53" spans="2:99">
      <c r="B53" s="107" t="s">
        <v>216</v>
      </c>
      <c r="D53" s="16" t="str">
        <f>'Test Plan &amp; Results'!G44</f>
        <v>The maximum normalized concentration (C/m) measured in the wind tunnel for the specific source/receptor pair.</v>
      </c>
    </row>
    <row r="54" spans="2:99">
      <c r="B54" s="107" t="s">
        <v>217</v>
      </c>
      <c r="D54" s="16" t="str">
        <f>'Test Plan &amp; Results'!G45</f>
        <v>The maximum acceptable C/m for each specific source, based on criteria discussed in Section 2.</v>
      </c>
    </row>
    <row r="55" spans="2:99">
      <c r="B55" s="107" t="s">
        <v>218</v>
      </c>
      <c r="D55" s="16" t="str">
        <f>'Test Plan &amp; Results'!G46</f>
        <v>"Yes" if (1) &lt; (2) or "No" if (1) &gt; (2).</v>
      </c>
    </row>
    <row r="56" spans="2:99" ht="15.75" customHeight="1">
      <c r="B56" s="272" t="s">
        <v>219</v>
      </c>
      <c r="D56" s="1089" t="str">
        <f>'Test Plan &amp; Results'!G47</f>
        <v>Approximate percentage of time for which the prescribed emission scenario may produce concentrations greater than (2), based on a curve fit to all data collected for the specific source/receptor pair and the local wind frequency distribution.</v>
      </c>
      <c r="E56" s="1089"/>
      <c r="F56" s="1089"/>
      <c r="G56" s="1089"/>
      <c r="H56" s="1089"/>
      <c r="I56" s="1089"/>
      <c r="J56" s="1089"/>
      <c r="K56" s="1089"/>
      <c r="L56" s="1089"/>
      <c r="M56" s="1089"/>
      <c r="N56" s="1089"/>
      <c r="O56" s="1089"/>
      <c r="P56" s="1089"/>
      <c r="Q56" s="1089"/>
      <c r="R56" s="1089"/>
      <c r="S56" s="1089"/>
      <c r="T56" s="1089"/>
      <c r="U56" s="1089"/>
      <c r="V56" s="1089"/>
      <c r="W56" s="1089"/>
      <c r="X56" s="1089"/>
      <c r="Y56" s="273"/>
    </row>
  </sheetData>
  <mergeCells count="5">
    <mergeCell ref="Z15:AC15"/>
    <mergeCell ref="B7:J7"/>
    <mergeCell ref="K7:CS7"/>
    <mergeCell ref="CT7:CU7"/>
    <mergeCell ref="Z30:AC30"/>
  </mergeCells>
  <conditionalFormatting sqref="CU17:CU28 CU43:CU51">
    <cfRule type="cellIs" dxfId="843" priority="2" operator="between">
      <formula>0</formula>
      <formula>0.99</formula>
    </cfRule>
  </conditionalFormatting>
  <conditionalFormatting sqref="CU32:CU42">
    <cfRule type="cellIs" dxfId="842" priority="1" operator="between">
      <formula>0</formula>
      <formula>0.99</formula>
    </cfRule>
  </conditionalFormatting>
  <pageMargins left="0.75" right="0.75" top="0.75" bottom="0.75" header="0.5" footer="0.5"/>
  <pageSetup scale="52" fitToHeight="0" orientation="landscape" useFirstPageNumber="1" r:id="rId1"/>
  <headerFooter scaleWithDoc="0" alignWithMargins="0">
    <oddFooter>&amp;C&amp;9Page &amp;P of &amp;N</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theme="1"/>
  </sheetPr>
  <dimension ref="A1:H84"/>
  <sheetViews>
    <sheetView zoomScale="75" zoomScaleNormal="75" workbookViewId="0">
      <selection activeCell="E27" sqref="E27"/>
    </sheetView>
  </sheetViews>
  <sheetFormatPr defaultRowHeight="15.75"/>
  <cols>
    <col min="1" max="1" width="39.875" bestFit="1" customWidth="1"/>
    <col min="2" max="2" width="30" bestFit="1" customWidth="1"/>
    <col min="3" max="4" width="12.375" bestFit="1" customWidth="1"/>
    <col min="5" max="5" width="11.25" bestFit="1" customWidth="1"/>
    <col min="6" max="6" width="15" bestFit="1" customWidth="1"/>
    <col min="7" max="7" width="33.75" bestFit="1" customWidth="1"/>
    <col min="8" max="8" width="33.625" bestFit="1" customWidth="1"/>
  </cols>
  <sheetData>
    <row r="1" spans="1:8">
      <c r="A1" s="2" t="s">
        <v>1241</v>
      </c>
    </row>
    <row r="2" spans="1:8" ht="20.25">
      <c r="A2" s="120"/>
    </row>
    <row r="3" spans="1:8" ht="20.25">
      <c r="A3" t="s">
        <v>1242</v>
      </c>
      <c r="B3" s="1198" t="str">
        <f>SourceProjectNumber</f>
        <v>Project Number</v>
      </c>
    </row>
    <row r="4" spans="1:8" ht="20.25">
      <c r="A4" t="s">
        <v>1243</v>
      </c>
      <c r="B4" s="120" t="str">
        <f>SourceProjectName1</f>
        <v>Project Name 1</v>
      </c>
    </row>
    <row r="5" spans="1:8" ht="20.25">
      <c r="A5" t="s">
        <v>1244</v>
      </c>
      <c r="B5" s="1198" t="str">
        <f>SF</f>
        <v>scale</v>
      </c>
    </row>
    <row r="6" spans="1:8" ht="18.75">
      <c r="A6" t="s">
        <v>1245</v>
      </c>
      <c r="B6" s="1199" t="str">
        <f>ZoSite</f>
        <v>z0</v>
      </c>
    </row>
    <row r="7" spans="1:8" ht="18.75">
      <c r="A7" t="s">
        <v>1246</v>
      </c>
      <c r="B7" s="1199">
        <f>ZoAnem</f>
        <v>0.03</v>
      </c>
    </row>
    <row r="8" spans="1:8" ht="18.75">
      <c r="A8" t="s">
        <v>834</v>
      </c>
      <c r="B8" s="1199">
        <f>ZoAnem</f>
        <v>0.03</v>
      </c>
    </row>
    <row r="9" spans="1:8" ht="18.75">
      <c r="A9" t="s">
        <v>830</v>
      </c>
      <c r="B9" s="1199" t="str">
        <f>ZAnem</f>
        <v>Anemometer Height</v>
      </c>
    </row>
    <row r="10" spans="1:8" ht="18.75">
      <c r="A10" t="s">
        <v>826</v>
      </c>
      <c r="B10" s="1200" t="str">
        <f>Zinf</f>
        <v>Gradient Height</v>
      </c>
      <c r="D10" s="24"/>
    </row>
    <row r="12" spans="1:8">
      <c r="A12" s="107" t="s">
        <v>1247</v>
      </c>
      <c r="B12" t="s">
        <v>1248</v>
      </c>
      <c r="C12" t="s">
        <v>1249</v>
      </c>
      <c r="D12" t="s">
        <v>1250</v>
      </c>
      <c r="E12" t="s">
        <v>1251</v>
      </c>
      <c r="F12" t="s">
        <v>1252</v>
      </c>
      <c r="G12" t="s">
        <v>1253</v>
      </c>
      <c r="H12" t="s">
        <v>1254</v>
      </c>
    </row>
    <row r="13" spans="1:8">
      <c r="A13" s="1201" t="s">
        <v>885</v>
      </c>
      <c r="B13" s="1201" t="s">
        <v>1255</v>
      </c>
      <c r="C13" s="1202" t="s">
        <v>1256</v>
      </c>
      <c r="D13" s="1202" t="s">
        <v>1257</v>
      </c>
      <c r="E13" s="1203">
        <v>0</v>
      </c>
      <c r="F13" s="1204">
        <f ca="1">IF(ISERROR(INDIRECT(ADDRESS(17,6,1,,$A13))),"",INDIRECT(ADDRESS(17,6,1,,$A13)))</f>
        <v>14.556854551087991</v>
      </c>
      <c r="G13" s="1207">
        <f t="shared" ref="G13:G32" si="0">IF(ISNA(INDEX(TPcritLow,MATCH($A13,TPSourceLetter,0),1,1)),"",INDEX(TPcritLow,MATCH($A13,TPSourceLetter,0),1,1))</f>
        <v>100</v>
      </c>
      <c r="H13" s="1199">
        <f t="shared" ref="H13:H44" si="1">IF(ISNA(INDEX(TPcritHigh,MATCH($A13,TPSourceLetter,0),1,1)),"",INDEX(TPcritHigh,MATCH($A13,TPSourceLetter,0),1,1))</f>
        <v>4000</v>
      </c>
    </row>
    <row r="14" spans="1:8">
      <c r="A14" s="1201" t="s">
        <v>1258</v>
      </c>
      <c r="B14" s="1201" t="s">
        <v>1259</v>
      </c>
      <c r="C14" s="1202" t="s">
        <v>1260</v>
      </c>
      <c r="D14" s="1202" t="s">
        <v>1261</v>
      </c>
      <c r="E14" s="1203">
        <v>81</v>
      </c>
      <c r="F14" s="1204">
        <f t="shared" ref="F14:F77" ca="1" si="2">IF(ISERROR(INDIRECT(ADDRESS(17,6,1,,$A14))),"",INDIRECT(ADDRESS(17,6,1,,$A14)))</f>
        <v>16.118316457952098</v>
      </c>
      <c r="G14" s="1205" t="str">
        <f t="shared" si="0"/>
        <v/>
      </c>
      <c r="H14" s="1199" t="str">
        <f t="shared" si="1"/>
        <v/>
      </c>
    </row>
    <row r="15" spans="1:8">
      <c r="A15" s="1201" t="s">
        <v>11</v>
      </c>
      <c r="B15" s="1201" t="s">
        <v>1262</v>
      </c>
      <c r="C15" s="1202" t="s">
        <v>1263</v>
      </c>
      <c r="D15" s="1202" t="s">
        <v>1264</v>
      </c>
      <c r="E15" s="1203">
        <v>81</v>
      </c>
      <c r="F15" s="1204">
        <f t="shared" ca="1" si="2"/>
        <v>16.174282834542211</v>
      </c>
      <c r="G15" s="1205" t="str">
        <f t="shared" si="0"/>
        <v/>
      </c>
      <c r="H15" s="1199" t="str">
        <f t="shared" si="1"/>
        <v/>
      </c>
    </row>
    <row r="16" spans="1:8">
      <c r="A16" s="1201" t="s">
        <v>12</v>
      </c>
      <c r="B16" s="1201" t="s">
        <v>1265</v>
      </c>
      <c r="C16" s="1202" t="s">
        <v>1266</v>
      </c>
      <c r="D16" s="1202" t="s">
        <v>1267</v>
      </c>
      <c r="E16" s="1203">
        <v>81</v>
      </c>
      <c r="F16" s="1204">
        <f t="shared" ca="1" si="2"/>
        <v>16.129478726967303</v>
      </c>
      <c r="G16" s="1205" t="str">
        <f t="shared" si="0"/>
        <v/>
      </c>
      <c r="H16" s="1199" t="str">
        <f t="shared" si="1"/>
        <v/>
      </c>
    </row>
    <row r="17" spans="1:8">
      <c r="A17" s="1201" t="s">
        <v>13</v>
      </c>
      <c r="B17" s="1201" t="s">
        <v>1268</v>
      </c>
      <c r="C17" s="1202" t="s">
        <v>1269</v>
      </c>
      <c r="D17" s="1202" t="s">
        <v>1270</v>
      </c>
      <c r="E17" s="1203">
        <v>81</v>
      </c>
      <c r="F17" s="1204">
        <f t="shared" ca="1" si="2"/>
        <v>14.853933215395907</v>
      </c>
      <c r="G17" s="1205" t="str">
        <f t="shared" si="0"/>
        <v/>
      </c>
      <c r="H17" s="1199" t="str">
        <f t="shared" si="1"/>
        <v/>
      </c>
    </row>
    <row r="18" spans="1:8">
      <c r="A18" s="1201" t="s">
        <v>348</v>
      </c>
      <c r="B18" s="1201" t="s">
        <v>1271</v>
      </c>
      <c r="C18" s="1202" t="s">
        <v>1272</v>
      </c>
      <c r="D18" s="1202" t="s">
        <v>1273</v>
      </c>
      <c r="E18" s="1203">
        <v>81</v>
      </c>
      <c r="F18" s="1204">
        <f t="shared" ca="1" si="2"/>
        <v>15.244684086420699</v>
      </c>
      <c r="G18" s="1205" t="str">
        <f t="shared" si="0"/>
        <v/>
      </c>
      <c r="H18" s="1199" t="str">
        <f t="shared" si="1"/>
        <v/>
      </c>
    </row>
    <row r="19" spans="1:8">
      <c r="A19" s="1201" t="s">
        <v>1274</v>
      </c>
      <c r="B19" s="1201" t="s">
        <v>1275</v>
      </c>
      <c r="C19" s="1202" t="s">
        <v>1276</v>
      </c>
      <c r="D19" s="1202" t="s">
        <v>1277</v>
      </c>
      <c r="E19" s="1203">
        <v>81</v>
      </c>
      <c r="F19" s="1204">
        <f t="shared" ca="1" si="2"/>
        <v>15.244684086420699</v>
      </c>
      <c r="G19" s="1205" t="str">
        <f t="shared" si="0"/>
        <v/>
      </c>
      <c r="H19" s="1199" t="str">
        <f t="shared" si="1"/>
        <v/>
      </c>
    </row>
    <row r="20" spans="1:8">
      <c r="A20" s="1201" t="s">
        <v>349</v>
      </c>
      <c r="B20" s="1201" t="s">
        <v>1278</v>
      </c>
      <c r="C20" s="1202" t="s">
        <v>1279</v>
      </c>
      <c r="D20" s="1202" t="s">
        <v>1280</v>
      </c>
      <c r="E20" s="1203">
        <v>76</v>
      </c>
      <c r="F20" s="1204">
        <f t="shared" ca="1" si="2"/>
        <v>15.244684086420699</v>
      </c>
      <c r="G20" s="1205" t="str">
        <f t="shared" si="0"/>
        <v/>
      </c>
      <c r="H20" s="1199" t="str">
        <f t="shared" si="1"/>
        <v/>
      </c>
    </row>
    <row r="21" spans="1:8">
      <c r="A21" s="1201" t="s">
        <v>1281</v>
      </c>
      <c r="B21" s="1201" t="s">
        <v>1282</v>
      </c>
      <c r="C21" s="1202" t="s">
        <v>1283</v>
      </c>
      <c r="D21" s="1202" t="s">
        <v>1284</v>
      </c>
      <c r="E21" s="1203">
        <v>76</v>
      </c>
      <c r="F21" s="1204">
        <f t="shared" ca="1" si="2"/>
        <v>15.244684086420699</v>
      </c>
      <c r="G21" s="1205" t="str">
        <f t="shared" si="0"/>
        <v/>
      </c>
      <c r="H21" s="1199" t="str">
        <f t="shared" si="1"/>
        <v/>
      </c>
    </row>
    <row r="22" spans="1:8">
      <c r="A22" s="1206" t="s">
        <v>350</v>
      </c>
      <c r="B22" s="1201" t="s">
        <v>1285</v>
      </c>
      <c r="C22" s="1202" t="s">
        <v>1286</v>
      </c>
      <c r="D22" s="1202" t="s">
        <v>1287</v>
      </c>
      <c r="E22" s="1203">
        <v>32</v>
      </c>
      <c r="F22" s="1204">
        <f t="shared" ca="1" si="2"/>
        <v>10.351541014107015</v>
      </c>
      <c r="G22" s="1205" t="str">
        <f t="shared" si="0"/>
        <v/>
      </c>
      <c r="H22" s="1199" t="str">
        <f t="shared" si="1"/>
        <v/>
      </c>
    </row>
    <row r="23" spans="1:8">
      <c r="A23" s="1201" t="s">
        <v>1288</v>
      </c>
      <c r="B23" s="1201" t="s">
        <v>1289</v>
      </c>
      <c r="C23" s="1202" t="s">
        <v>1290</v>
      </c>
      <c r="D23" s="1202" t="s">
        <v>1291</v>
      </c>
      <c r="E23" s="1203">
        <v>33</v>
      </c>
      <c r="F23" s="1204">
        <f t="shared" ca="1" si="2"/>
        <v>2.5878852535267538</v>
      </c>
      <c r="G23" s="1205" t="str">
        <f t="shared" si="0"/>
        <v/>
      </c>
      <c r="H23" s="1199" t="str">
        <f t="shared" si="1"/>
        <v/>
      </c>
    </row>
    <row r="24" spans="1:8">
      <c r="A24" s="1201" t="s">
        <v>1292</v>
      </c>
      <c r="B24" s="1201" t="s">
        <v>1293</v>
      </c>
      <c r="C24" s="1202" t="s">
        <v>1294</v>
      </c>
      <c r="D24" s="1202" t="s">
        <v>1295</v>
      </c>
      <c r="E24" s="1203">
        <v>25</v>
      </c>
      <c r="F24" s="1204">
        <f t="shared" ca="1" si="2"/>
        <v>2.5878852535267538</v>
      </c>
      <c r="G24" s="1205" t="str">
        <f t="shared" si="0"/>
        <v/>
      </c>
      <c r="H24" s="1199" t="str">
        <f t="shared" si="1"/>
        <v/>
      </c>
    </row>
    <row r="25" spans="1:8">
      <c r="A25" s="1201" t="s">
        <v>1296</v>
      </c>
      <c r="B25" s="1201" t="s">
        <v>1297</v>
      </c>
      <c r="C25" s="1202" t="s">
        <v>1298</v>
      </c>
      <c r="D25" s="1202" t="s">
        <v>1299</v>
      </c>
      <c r="E25" s="1203">
        <v>63</v>
      </c>
      <c r="F25" s="1204" t="str">
        <f t="shared" ca="1" si="2"/>
        <v/>
      </c>
      <c r="G25" s="1205" t="str">
        <f t="shared" si="0"/>
        <v/>
      </c>
      <c r="H25" s="1199" t="str">
        <f t="shared" si="1"/>
        <v/>
      </c>
    </row>
    <row r="26" spans="1:8">
      <c r="A26" s="1201" t="s">
        <v>1300</v>
      </c>
      <c r="B26" s="1201" t="s">
        <v>452</v>
      </c>
      <c r="C26" s="1202" t="s">
        <v>1301</v>
      </c>
      <c r="D26" s="1202" t="s">
        <v>1302</v>
      </c>
      <c r="E26" s="1203">
        <v>33</v>
      </c>
      <c r="F26" s="1204" t="str">
        <f t="shared" ca="1" si="2"/>
        <v/>
      </c>
      <c r="G26" s="1205" t="str">
        <f t="shared" si="0"/>
        <v/>
      </c>
      <c r="H26" s="1199" t="str">
        <f t="shared" si="1"/>
        <v/>
      </c>
    </row>
    <row r="27" spans="1:8">
      <c r="A27" s="1201">
        <v>1</v>
      </c>
      <c r="B27" s="1201">
        <v>1</v>
      </c>
      <c r="C27" s="1202" t="s">
        <v>1303</v>
      </c>
      <c r="D27" s="1202" t="s">
        <v>1304</v>
      </c>
      <c r="E27" s="1203">
        <v>20</v>
      </c>
      <c r="F27" s="1204">
        <f t="shared" ca="1" si="2"/>
        <v>3.1272739979430924</v>
      </c>
      <c r="G27" s="1205" t="str">
        <f t="shared" si="0"/>
        <v/>
      </c>
      <c r="H27" s="1199" t="str">
        <f t="shared" si="1"/>
        <v/>
      </c>
    </row>
    <row r="28" spans="1:8">
      <c r="A28" s="1201">
        <v>2</v>
      </c>
      <c r="B28" s="1201">
        <v>2</v>
      </c>
      <c r="C28" s="1202" t="s">
        <v>1305</v>
      </c>
      <c r="D28" s="1202" t="s">
        <v>1306</v>
      </c>
      <c r="E28" s="1203">
        <v>71</v>
      </c>
      <c r="F28" s="1204">
        <f t="shared" ca="1" si="2"/>
        <v>6.2545479958861847</v>
      </c>
      <c r="G28" s="1205" t="str">
        <f t="shared" si="0"/>
        <v/>
      </c>
      <c r="H28" s="1199" t="str">
        <f t="shared" si="1"/>
        <v/>
      </c>
    </row>
    <row r="29" spans="1:8">
      <c r="A29" s="1201">
        <v>3</v>
      </c>
      <c r="B29" s="1201">
        <v>3</v>
      </c>
      <c r="C29" s="1202" t="s">
        <v>1307</v>
      </c>
      <c r="D29" s="1202" t="s">
        <v>1308</v>
      </c>
      <c r="E29" s="1203">
        <v>59</v>
      </c>
      <c r="F29" s="1204">
        <f t="shared" ca="1" si="2"/>
        <v>12.509095991772369</v>
      </c>
      <c r="G29" s="1205" t="str">
        <f t="shared" si="0"/>
        <v/>
      </c>
      <c r="H29" s="1199" t="str">
        <f t="shared" si="1"/>
        <v/>
      </c>
    </row>
    <row r="30" spans="1:8">
      <c r="A30" s="1201">
        <v>4</v>
      </c>
      <c r="B30" s="1201">
        <v>4</v>
      </c>
      <c r="C30" s="1202" t="s">
        <v>1309</v>
      </c>
      <c r="D30" s="1202" t="s">
        <v>1310</v>
      </c>
      <c r="E30" s="1203">
        <v>104</v>
      </c>
      <c r="F30" s="1204" t="str">
        <f t="shared" ca="1" si="2"/>
        <v/>
      </c>
      <c r="G30" s="1205" t="str">
        <f t="shared" si="0"/>
        <v/>
      </c>
      <c r="H30" s="1199" t="str">
        <f t="shared" si="1"/>
        <v/>
      </c>
    </row>
    <row r="31" spans="1:8">
      <c r="A31" s="1201">
        <v>5</v>
      </c>
      <c r="B31" s="1201">
        <v>5</v>
      </c>
      <c r="C31" s="1202" t="s">
        <v>1311</v>
      </c>
      <c r="D31" s="1202" t="s">
        <v>1312</v>
      </c>
      <c r="E31" s="1203">
        <v>116</v>
      </c>
      <c r="F31" s="1204" t="str">
        <f t="shared" ca="1" si="2"/>
        <v/>
      </c>
      <c r="G31" s="1205" t="str">
        <f t="shared" si="0"/>
        <v/>
      </c>
      <c r="H31" s="1199" t="str">
        <f t="shared" si="1"/>
        <v/>
      </c>
    </row>
    <row r="32" spans="1:8">
      <c r="A32" s="1201">
        <v>6</v>
      </c>
      <c r="B32" s="1201">
        <v>6</v>
      </c>
      <c r="C32" s="1202" t="s">
        <v>1313</v>
      </c>
      <c r="D32" s="1202" t="s">
        <v>1314</v>
      </c>
      <c r="E32" s="1203">
        <v>71</v>
      </c>
      <c r="F32" s="1204" t="str">
        <f t="shared" ca="1" si="2"/>
        <v/>
      </c>
      <c r="G32" s="1205" t="str">
        <f t="shared" si="0"/>
        <v/>
      </c>
      <c r="H32" s="1199" t="str">
        <f t="shared" si="1"/>
        <v/>
      </c>
    </row>
    <row r="33" spans="1:8">
      <c r="A33" s="1201">
        <v>7</v>
      </c>
      <c r="B33" s="1201">
        <v>7</v>
      </c>
      <c r="C33" s="1203" t="s">
        <v>1315</v>
      </c>
      <c r="D33" s="1203" t="s">
        <v>1316</v>
      </c>
      <c r="E33" s="1203">
        <v>88</v>
      </c>
      <c r="F33" s="1204" t="str">
        <f t="shared" ca="1" si="2"/>
        <v/>
      </c>
      <c r="G33" s="1205" t="str">
        <f t="shared" ref="G33:G44" si="3">IF(ISNA(INDEX(TPcritLow,MATCH($A33,TPSourceLetter,0),1,1)),"",INDEX(TPcritLow,MATCH($A33,TPSourceLetter,0),1,1))</f>
        <v/>
      </c>
      <c r="H33" s="1199" t="str">
        <f t="shared" si="1"/>
        <v/>
      </c>
    </row>
    <row r="34" spans="1:8">
      <c r="A34" s="1201">
        <v>8</v>
      </c>
      <c r="B34" s="1201">
        <v>8</v>
      </c>
      <c r="C34" s="1203" t="s">
        <v>1317</v>
      </c>
      <c r="D34" s="1203" t="s">
        <v>1318</v>
      </c>
      <c r="E34" s="1203">
        <v>76</v>
      </c>
      <c r="F34" s="1204" t="str">
        <f t="shared" ca="1" si="2"/>
        <v/>
      </c>
      <c r="G34" s="1205" t="str">
        <f t="shared" si="3"/>
        <v/>
      </c>
      <c r="H34" s="1199" t="str">
        <f t="shared" si="1"/>
        <v/>
      </c>
    </row>
    <row r="35" spans="1:8">
      <c r="A35" s="1201">
        <v>9</v>
      </c>
      <c r="B35" s="1201">
        <v>9</v>
      </c>
      <c r="C35" s="1203" t="s">
        <v>1319</v>
      </c>
      <c r="D35" s="1203" t="s">
        <v>1320</v>
      </c>
      <c r="E35" s="1203">
        <v>76</v>
      </c>
      <c r="F35" s="1204" t="str">
        <f t="shared" ca="1" si="2"/>
        <v/>
      </c>
      <c r="G35" s="1205" t="str">
        <f t="shared" si="3"/>
        <v/>
      </c>
      <c r="H35" s="1199" t="str">
        <f t="shared" si="1"/>
        <v/>
      </c>
    </row>
    <row r="36" spans="1:8">
      <c r="A36" s="1201">
        <v>10</v>
      </c>
      <c r="B36" s="1201">
        <v>10</v>
      </c>
      <c r="C36" s="1203" t="s">
        <v>1321</v>
      </c>
      <c r="D36" s="1203" t="s">
        <v>1322</v>
      </c>
      <c r="E36" s="1203">
        <v>59</v>
      </c>
      <c r="F36" s="1204" t="str">
        <f t="shared" ca="1" si="2"/>
        <v/>
      </c>
      <c r="G36" s="1205" t="str">
        <f t="shared" si="3"/>
        <v/>
      </c>
      <c r="H36" s="1199" t="str">
        <f t="shared" si="1"/>
        <v/>
      </c>
    </row>
    <row r="37" spans="1:8">
      <c r="A37" s="1201">
        <v>11</v>
      </c>
      <c r="B37" s="1201">
        <v>11</v>
      </c>
      <c r="C37" s="1203" t="s">
        <v>1323</v>
      </c>
      <c r="D37" s="1203" t="s">
        <v>1324</v>
      </c>
      <c r="E37" s="1203">
        <v>51</v>
      </c>
      <c r="F37" s="1204" t="str">
        <f t="shared" ca="1" si="2"/>
        <v/>
      </c>
      <c r="G37" s="1205" t="str">
        <f t="shared" si="3"/>
        <v/>
      </c>
      <c r="H37" s="1199" t="str">
        <f t="shared" si="1"/>
        <v/>
      </c>
    </row>
    <row r="38" spans="1:8">
      <c r="A38" s="1201">
        <v>12</v>
      </c>
      <c r="B38" s="1201">
        <v>12</v>
      </c>
      <c r="C38" s="1203" t="s">
        <v>1325</v>
      </c>
      <c r="D38" s="1203" t="s">
        <v>1326</v>
      </c>
      <c r="E38" s="1203">
        <v>80</v>
      </c>
      <c r="F38" s="1204" t="str">
        <f t="shared" ca="1" si="2"/>
        <v/>
      </c>
      <c r="G38" s="1205" t="str">
        <f t="shared" si="3"/>
        <v/>
      </c>
      <c r="H38" s="1199" t="str">
        <f t="shared" si="1"/>
        <v/>
      </c>
    </row>
    <row r="39" spans="1:8">
      <c r="A39" s="1201">
        <v>13</v>
      </c>
      <c r="B39" s="1201">
        <v>13</v>
      </c>
      <c r="C39" s="1203" t="s">
        <v>1327</v>
      </c>
      <c r="D39" s="1203" t="s">
        <v>1328</v>
      </c>
      <c r="E39" s="1203">
        <v>62</v>
      </c>
      <c r="F39" s="1204" t="str">
        <f t="shared" ca="1" si="2"/>
        <v/>
      </c>
      <c r="G39" s="1205" t="str">
        <f t="shared" si="3"/>
        <v/>
      </c>
      <c r="H39" s="1199" t="str">
        <f t="shared" si="1"/>
        <v/>
      </c>
    </row>
    <row r="40" spans="1:8">
      <c r="A40" s="1201">
        <v>14</v>
      </c>
      <c r="B40" s="1201">
        <v>14</v>
      </c>
      <c r="C40" s="1203" t="s">
        <v>1329</v>
      </c>
      <c r="D40" s="1203" t="s">
        <v>1330</v>
      </c>
      <c r="E40" s="1203">
        <v>73</v>
      </c>
      <c r="F40" s="1204" t="str">
        <f t="shared" ca="1" si="2"/>
        <v/>
      </c>
      <c r="G40" s="1205" t="str">
        <f t="shared" si="3"/>
        <v/>
      </c>
      <c r="H40" s="1199" t="str">
        <f t="shared" si="1"/>
        <v/>
      </c>
    </row>
    <row r="41" spans="1:8">
      <c r="A41" s="1201">
        <v>15</v>
      </c>
      <c r="B41" s="1201">
        <v>15</v>
      </c>
      <c r="C41" s="1203" t="s">
        <v>1331</v>
      </c>
      <c r="D41" s="1203" t="s">
        <v>1332</v>
      </c>
      <c r="E41" s="1203">
        <v>104</v>
      </c>
      <c r="F41" s="1204" t="str">
        <f t="shared" ca="1" si="2"/>
        <v/>
      </c>
      <c r="G41" s="1205" t="str">
        <f t="shared" si="3"/>
        <v/>
      </c>
      <c r="H41" s="1199" t="str">
        <f t="shared" si="1"/>
        <v/>
      </c>
    </row>
    <row r="42" spans="1:8">
      <c r="A42" s="1201">
        <v>16</v>
      </c>
      <c r="B42" s="1201">
        <v>16</v>
      </c>
      <c r="C42" s="1203" t="s">
        <v>1333</v>
      </c>
      <c r="D42" s="1203" t="s">
        <v>1334</v>
      </c>
      <c r="E42" s="1203">
        <v>66</v>
      </c>
      <c r="F42" s="1204" t="str">
        <f t="shared" ca="1" si="2"/>
        <v/>
      </c>
      <c r="G42" s="1205" t="str">
        <f t="shared" si="3"/>
        <v/>
      </c>
      <c r="H42" s="1199" t="str">
        <f t="shared" si="1"/>
        <v/>
      </c>
    </row>
    <row r="43" spans="1:8">
      <c r="A43" s="1201">
        <v>17</v>
      </c>
      <c r="B43" s="1201">
        <v>17</v>
      </c>
      <c r="C43" s="1203" t="s">
        <v>1335</v>
      </c>
      <c r="D43" s="1203" t="s">
        <v>1336</v>
      </c>
      <c r="E43" s="1203">
        <v>79</v>
      </c>
      <c r="F43" s="1204" t="str">
        <f t="shared" ca="1" si="2"/>
        <v/>
      </c>
      <c r="G43" s="1205" t="str">
        <f t="shared" si="3"/>
        <v/>
      </c>
      <c r="H43" s="1199" t="str">
        <f t="shared" si="1"/>
        <v/>
      </c>
    </row>
    <row r="44" spans="1:8">
      <c r="A44" s="1201">
        <v>18</v>
      </c>
      <c r="B44" s="1201">
        <v>18</v>
      </c>
      <c r="C44" s="1203" t="s">
        <v>1337</v>
      </c>
      <c r="D44" s="1203" t="s">
        <v>1338</v>
      </c>
      <c r="E44" s="1203">
        <v>93</v>
      </c>
      <c r="F44" s="1204" t="str">
        <f t="shared" ca="1" si="2"/>
        <v/>
      </c>
      <c r="G44" s="1205" t="str">
        <f t="shared" si="3"/>
        <v/>
      </c>
      <c r="H44" s="1199" t="str">
        <f t="shared" si="1"/>
        <v/>
      </c>
    </row>
    <row r="45" spans="1:8">
      <c r="A45" s="1201">
        <v>19</v>
      </c>
      <c r="B45" s="1201">
        <v>19</v>
      </c>
      <c r="C45" s="1203" t="s">
        <v>1339</v>
      </c>
      <c r="D45" s="1203" t="s">
        <v>1340</v>
      </c>
      <c r="E45" s="1203">
        <v>30</v>
      </c>
      <c r="F45" s="1204" t="str">
        <f t="shared" ca="1" si="2"/>
        <v/>
      </c>
      <c r="G45" s="1205" t="str">
        <f t="shared" ref="G45:G76" si="4">IF(ISNA(INDEX(TPcritLow,MATCH($A45,TPSourceLetter,0),1,1)),"",INDEX(TPcritLow,MATCH($A45,TPSourceLetter,0),1,1))</f>
        <v/>
      </c>
      <c r="H45" s="1199" t="str">
        <f t="shared" ref="H45:H76" si="5">IF(ISNA(INDEX(TPcritHigh,MATCH($A45,TPSourceLetter,0),1,1)),"",INDEX(TPcritHigh,MATCH($A45,TPSourceLetter,0),1,1))</f>
        <v/>
      </c>
    </row>
    <row r="46" spans="1:8">
      <c r="A46" s="1201">
        <v>20</v>
      </c>
      <c r="B46" s="1201">
        <v>20</v>
      </c>
      <c r="C46" s="1203" t="s">
        <v>1341</v>
      </c>
      <c r="D46" s="1203" t="s">
        <v>1342</v>
      </c>
      <c r="E46" s="1203">
        <v>86</v>
      </c>
      <c r="F46" s="1204" t="str">
        <f t="shared" ca="1" si="2"/>
        <v/>
      </c>
      <c r="G46" s="1205" t="str">
        <f t="shared" si="4"/>
        <v/>
      </c>
      <c r="H46" s="1199" t="str">
        <f t="shared" si="5"/>
        <v/>
      </c>
    </row>
    <row r="47" spans="1:8">
      <c r="A47" s="1201">
        <v>21</v>
      </c>
      <c r="B47" s="1201">
        <v>21</v>
      </c>
      <c r="C47" s="1203">
        <v>6043569.1399999997</v>
      </c>
      <c r="D47" s="1203">
        <v>2139067.73</v>
      </c>
      <c r="E47" s="1203">
        <v>86</v>
      </c>
      <c r="F47" s="1204" t="str">
        <f t="shared" ca="1" si="2"/>
        <v/>
      </c>
      <c r="G47" s="1205" t="str">
        <f t="shared" si="4"/>
        <v/>
      </c>
      <c r="H47" s="1199" t="str">
        <f t="shared" si="5"/>
        <v/>
      </c>
    </row>
    <row r="48" spans="1:8">
      <c r="A48" s="1201"/>
      <c r="B48" s="1201"/>
      <c r="C48" s="1203"/>
      <c r="D48" s="1203"/>
      <c r="E48" s="1203"/>
      <c r="F48" s="1204" t="str">
        <f t="shared" ca="1" si="2"/>
        <v/>
      </c>
      <c r="G48" s="1205" t="str">
        <f t="shared" si="4"/>
        <v/>
      </c>
      <c r="H48" s="1199" t="str">
        <f t="shared" si="5"/>
        <v/>
      </c>
    </row>
    <row r="49" spans="1:8">
      <c r="A49" s="1201"/>
      <c r="B49" s="1201"/>
      <c r="C49" s="1203"/>
      <c r="D49" s="1203"/>
      <c r="E49" s="1203"/>
      <c r="F49" s="1204" t="str">
        <f t="shared" ca="1" si="2"/>
        <v/>
      </c>
      <c r="G49" s="1205" t="str">
        <f t="shared" si="4"/>
        <v/>
      </c>
      <c r="H49" s="1199" t="str">
        <f t="shared" si="5"/>
        <v/>
      </c>
    </row>
    <row r="50" spans="1:8">
      <c r="A50" s="1201"/>
      <c r="B50" s="1201"/>
      <c r="C50" s="1203"/>
      <c r="D50" s="1203"/>
      <c r="E50" s="1203"/>
      <c r="F50" s="1204" t="str">
        <f t="shared" ca="1" si="2"/>
        <v/>
      </c>
      <c r="G50" s="1205" t="str">
        <f t="shared" si="4"/>
        <v/>
      </c>
      <c r="H50" s="1199" t="str">
        <f t="shared" si="5"/>
        <v/>
      </c>
    </row>
    <row r="51" spans="1:8">
      <c r="A51" s="1201"/>
      <c r="B51" s="1201"/>
      <c r="C51" s="1203"/>
      <c r="D51" s="1203"/>
      <c r="E51" s="1203"/>
      <c r="F51" s="1204" t="str">
        <f t="shared" ca="1" si="2"/>
        <v/>
      </c>
      <c r="G51" s="1205" t="str">
        <f t="shared" si="4"/>
        <v/>
      </c>
      <c r="H51" s="1199" t="str">
        <f t="shared" si="5"/>
        <v/>
      </c>
    </row>
    <row r="52" spans="1:8">
      <c r="A52" s="1201"/>
      <c r="B52" s="1201"/>
      <c r="C52" s="1203"/>
      <c r="D52" s="1203"/>
      <c r="E52" s="1203"/>
      <c r="F52" s="1204" t="str">
        <f t="shared" ca="1" si="2"/>
        <v/>
      </c>
      <c r="G52" s="1205" t="str">
        <f t="shared" si="4"/>
        <v/>
      </c>
      <c r="H52" s="1199" t="str">
        <f t="shared" si="5"/>
        <v/>
      </c>
    </row>
    <row r="53" spans="1:8">
      <c r="A53" s="1201"/>
      <c r="B53" s="1201"/>
      <c r="C53" s="1203"/>
      <c r="D53" s="1203"/>
      <c r="E53" s="1203"/>
      <c r="F53" s="1204" t="str">
        <f t="shared" ca="1" si="2"/>
        <v/>
      </c>
      <c r="G53" s="1205" t="str">
        <f t="shared" si="4"/>
        <v/>
      </c>
      <c r="H53" s="1199" t="str">
        <f t="shared" si="5"/>
        <v/>
      </c>
    </row>
    <row r="54" spans="1:8">
      <c r="A54" s="1201"/>
      <c r="B54" s="1201"/>
      <c r="C54" s="1203"/>
      <c r="D54" s="1203"/>
      <c r="E54" s="1203"/>
      <c r="F54" s="1204" t="str">
        <f t="shared" ca="1" si="2"/>
        <v/>
      </c>
      <c r="G54" s="1205" t="str">
        <f t="shared" si="4"/>
        <v/>
      </c>
      <c r="H54" s="1199" t="str">
        <f t="shared" si="5"/>
        <v/>
      </c>
    </row>
    <row r="55" spans="1:8">
      <c r="A55" s="1201"/>
      <c r="B55" s="1201"/>
      <c r="C55" s="1203"/>
      <c r="D55" s="1203"/>
      <c r="E55" s="1203"/>
      <c r="F55" s="1204" t="str">
        <f t="shared" ca="1" si="2"/>
        <v/>
      </c>
      <c r="G55" s="1205" t="str">
        <f t="shared" si="4"/>
        <v/>
      </c>
      <c r="H55" s="1199" t="str">
        <f t="shared" si="5"/>
        <v/>
      </c>
    </row>
    <row r="56" spans="1:8">
      <c r="A56" s="1201"/>
      <c r="B56" s="1201"/>
      <c r="C56" s="1203"/>
      <c r="D56" s="1203"/>
      <c r="E56" s="1203"/>
      <c r="F56" s="1204" t="str">
        <f t="shared" ca="1" si="2"/>
        <v/>
      </c>
      <c r="G56" s="1205" t="str">
        <f t="shared" si="4"/>
        <v/>
      </c>
      <c r="H56" s="1199" t="str">
        <f t="shared" si="5"/>
        <v/>
      </c>
    </row>
    <row r="57" spans="1:8">
      <c r="A57" s="1201"/>
      <c r="B57" s="1201"/>
      <c r="C57" s="1203"/>
      <c r="D57" s="1203"/>
      <c r="E57" s="1203"/>
      <c r="F57" s="1204" t="str">
        <f t="shared" ca="1" si="2"/>
        <v/>
      </c>
      <c r="G57" s="1205" t="str">
        <f t="shared" si="4"/>
        <v/>
      </c>
      <c r="H57" s="1199" t="str">
        <f t="shared" si="5"/>
        <v/>
      </c>
    </row>
    <row r="58" spans="1:8">
      <c r="A58" s="1201"/>
      <c r="B58" s="1201"/>
      <c r="C58" s="1203"/>
      <c r="D58" s="1203"/>
      <c r="E58" s="1203"/>
      <c r="F58" s="1204" t="str">
        <f t="shared" ca="1" si="2"/>
        <v/>
      </c>
      <c r="G58" s="1205" t="str">
        <f t="shared" si="4"/>
        <v/>
      </c>
      <c r="H58" s="1199" t="str">
        <f t="shared" si="5"/>
        <v/>
      </c>
    </row>
    <row r="59" spans="1:8">
      <c r="A59" s="1201"/>
      <c r="B59" s="1201"/>
      <c r="C59" s="1203"/>
      <c r="D59" s="1203"/>
      <c r="E59" s="1203"/>
      <c r="F59" s="1204" t="str">
        <f t="shared" ca="1" si="2"/>
        <v/>
      </c>
      <c r="G59" s="1205" t="str">
        <f t="shared" si="4"/>
        <v/>
      </c>
      <c r="H59" s="1199" t="str">
        <f t="shared" si="5"/>
        <v/>
      </c>
    </row>
    <row r="60" spans="1:8">
      <c r="A60" s="1201"/>
      <c r="B60" s="1201"/>
      <c r="C60" s="1203"/>
      <c r="D60" s="1203"/>
      <c r="E60" s="1203"/>
      <c r="F60" s="1204" t="str">
        <f t="shared" ca="1" si="2"/>
        <v/>
      </c>
      <c r="G60" s="1205" t="str">
        <f t="shared" si="4"/>
        <v/>
      </c>
      <c r="H60" s="1199" t="str">
        <f t="shared" si="5"/>
        <v/>
      </c>
    </row>
    <row r="61" spans="1:8">
      <c r="A61" s="1201"/>
      <c r="B61" s="1201"/>
      <c r="C61" s="1203"/>
      <c r="D61" s="1203"/>
      <c r="E61" s="1203"/>
      <c r="F61" s="1204" t="str">
        <f t="shared" ca="1" si="2"/>
        <v/>
      </c>
      <c r="G61" s="1205" t="str">
        <f t="shared" si="4"/>
        <v/>
      </c>
      <c r="H61" s="1199" t="str">
        <f t="shared" si="5"/>
        <v/>
      </c>
    </row>
    <row r="62" spans="1:8">
      <c r="A62" s="1201"/>
      <c r="B62" s="1201"/>
      <c r="C62" s="1203"/>
      <c r="D62" s="1203"/>
      <c r="E62" s="1203"/>
      <c r="F62" s="1204" t="str">
        <f t="shared" ca="1" si="2"/>
        <v/>
      </c>
      <c r="G62" s="1205" t="str">
        <f t="shared" si="4"/>
        <v/>
      </c>
      <c r="H62" s="1199" t="str">
        <f t="shared" si="5"/>
        <v/>
      </c>
    </row>
    <row r="63" spans="1:8">
      <c r="A63" s="1201"/>
      <c r="B63" s="1201"/>
      <c r="C63" s="1203"/>
      <c r="D63" s="1203"/>
      <c r="E63" s="1203"/>
      <c r="F63" s="1204" t="str">
        <f t="shared" ca="1" si="2"/>
        <v/>
      </c>
      <c r="G63" s="1205" t="str">
        <f t="shared" si="4"/>
        <v/>
      </c>
      <c r="H63" s="1199" t="str">
        <f t="shared" si="5"/>
        <v/>
      </c>
    </row>
    <row r="64" spans="1:8">
      <c r="A64" s="1201"/>
      <c r="B64" s="1201"/>
      <c r="C64" s="1203"/>
      <c r="D64" s="1203"/>
      <c r="E64" s="1203"/>
      <c r="F64" s="1204" t="str">
        <f t="shared" ca="1" si="2"/>
        <v/>
      </c>
      <c r="G64" s="1205" t="str">
        <f t="shared" si="4"/>
        <v/>
      </c>
      <c r="H64" s="1199" t="str">
        <f t="shared" si="5"/>
        <v/>
      </c>
    </row>
    <row r="65" spans="1:8">
      <c r="A65" s="1201"/>
      <c r="B65" s="1201"/>
      <c r="C65" s="1203"/>
      <c r="D65" s="1203"/>
      <c r="E65" s="1203"/>
      <c r="F65" s="1204" t="str">
        <f t="shared" ca="1" si="2"/>
        <v/>
      </c>
      <c r="G65" s="1205" t="str">
        <f t="shared" si="4"/>
        <v/>
      </c>
      <c r="H65" s="1199" t="str">
        <f t="shared" si="5"/>
        <v/>
      </c>
    </row>
    <row r="66" spans="1:8">
      <c r="A66" s="1201"/>
      <c r="B66" s="1201"/>
      <c r="C66" s="1203"/>
      <c r="D66" s="1203"/>
      <c r="E66" s="1203"/>
      <c r="F66" s="1204" t="str">
        <f t="shared" ca="1" si="2"/>
        <v/>
      </c>
      <c r="G66" s="1205" t="str">
        <f t="shared" si="4"/>
        <v/>
      </c>
      <c r="H66" s="1199" t="str">
        <f t="shared" si="5"/>
        <v/>
      </c>
    </row>
    <row r="67" spans="1:8">
      <c r="A67" s="1201"/>
      <c r="B67" s="1201"/>
      <c r="C67" s="1203"/>
      <c r="D67" s="1203"/>
      <c r="E67" s="1203"/>
      <c r="F67" s="1204" t="str">
        <f t="shared" ca="1" si="2"/>
        <v/>
      </c>
      <c r="G67" s="1205" t="str">
        <f t="shared" si="4"/>
        <v/>
      </c>
      <c r="H67" s="1199" t="str">
        <f t="shared" si="5"/>
        <v/>
      </c>
    </row>
    <row r="68" spans="1:8">
      <c r="A68" s="1201"/>
      <c r="B68" s="1201"/>
      <c r="C68" s="1203"/>
      <c r="D68" s="1203"/>
      <c r="E68" s="1203"/>
      <c r="F68" s="1204" t="str">
        <f t="shared" ca="1" si="2"/>
        <v/>
      </c>
      <c r="G68" s="1205" t="str">
        <f t="shared" si="4"/>
        <v/>
      </c>
      <c r="H68" s="1199" t="str">
        <f t="shared" si="5"/>
        <v/>
      </c>
    </row>
    <row r="69" spans="1:8">
      <c r="A69" s="1201"/>
      <c r="B69" s="1201"/>
      <c r="C69" s="1203"/>
      <c r="D69" s="1203"/>
      <c r="E69" s="1203"/>
      <c r="F69" s="1204" t="str">
        <f t="shared" ca="1" si="2"/>
        <v/>
      </c>
      <c r="G69" s="1205" t="str">
        <f t="shared" si="4"/>
        <v/>
      </c>
      <c r="H69" s="1199" t="str">
        <f t="shared" si="5"/>
        <v/>
      </c>
    </row>
    <row r="70" spans="1:8">
      <c r="A70" s="1201"/>
      <c r="B70" s="1201"/>
      <c r="C70" s="1203"/>
      <c r="D70" s="1203"/>
      <c r="E70" s="1203"/>
      <c r="F70" s="1204" t="str">
        <f t="shared" ca="1" si="2"/>
        <v/>
      </c>
      <c r="G70" s="1205" t="str">
        <f t="shared" si="4"/>
        <v/>
      </c>
      <c r="H70" s="1199" t="str">
        <f t="shared" si="5"/>
        <v/>
      </c>
    </row>
    <row r="71" spans="1:8">
      <c r="A71" s="1201"/>
      <c r="B71" s="1201"/>
      <c r="C71" s="1203"/>
      <c r="D71" s="1203"/>
      <c r="E71" s="1203"/>
      <c r="F71" s="1204" t="str">
        <f t="shared" ca="1" si="2"/>
        <v/>
      </c>
      <c r="G71" s="1205" t="str">
        <f t="shared" si="4"/>
        <v/>
      </c>
      <c r="H71" s="1199" t="str">
        <f t="shared" si="5"/>
        <v/>
      </c>
    </row>
    <row r="72" spans="1:8">
      <c r="A72" s="1201"/>
      <c r="B72" s="1201"/>
      <c r="C72" s="1203"/>
      <c r="D72" s="1203"/>
      <c r="E72" s="1203"/>
      <c r="F72" s="1204" t="str">
        <f t="shared" ca="1" si="2"/>
        <v/>
      </c>
      <c r="G72" s="1205" t="str">
        <f t="shared" si="4"/>
        <v/>
      </c>
      <c r="H72" s="1199" t="str">
        <f t="shared" si="5"/>
        <v/>
      </c>
    </row>
    <row r="73" spans="1:8">
      <c r="A73" s="1201"/>
      <c r="B73" s="1201"/>
      <c r="C73" s="1203"/>
      <c r="D73" s="1203"/>
      <c r="E73" s="1203"/>
      <c r="F73" s="1204" t="str">
        <f t="shared" ca="1" si="2"/>
        <v/>
      </c>
      <c r="G73" s="1205" t="str">
        <f t="shared" si="4"/>
        <v/>
      </c>
      <c r="H73" s="1199" t="str">
        <f t="shared" si="5"/>
        <v/>
      </c>
    </row>
    <row r="74" spans="1:8">
      <c r="A74" s="1201"/>
      <c r="B74" s="1201"/>
      <c r="C74" s="1203"/>
      <c r="D74" s="1203"/>
      <c r="E74" s="1203"/>
      <c r="F74" s="1204" t="str">
        <f t="shared" ca="1" si="2"/>
        <v/>
      </c>
      <c r="G74" s="1205" t="str">
        <f t="shared" si="4"/>
        <v/>
      </c>
      <c r="H74" s="1199" t="str">
        <f t="shared" si="5"/>
        <v/>
      </c>
    </row>
    <row r="75" spans="1:8">
      <c r="A75" s="1201"/>
      <c r="B75" s="1201"/>
      <c r="C75" s="1203"/>
      <c r="D75" s="1203"/>
      <c r="E75" s="1203"/>
      <c r="F75" s="1204" t="str">
        <f t="shared" ca="1" si="2"/>
        <v/>
      </c>
      <c r="G75" s="1205" t="str">
        <f t="shared" si="4"/>
        <v/>
      </c>
      <c r="H75" s="1199" t="str">
        <f t="shared" si="5"/>
        <v/>
      </c>
    </row>
    <row r="76" spans="1:8">
      <c r="A76" s="1201"/>
      <c r="B76" s="1201"/>
      <c r="C76" s="1203"/>
      <c r="D76" s="1203"/>
      <c r="E76" s="1203"/>
      <c r="F76" s="1204" t="str">
        <f t="shared" ca="1" si="2"/>
        <v/>
      </c>
      <c r="G76" s="1205" t="str">
        <f t="shared" si="4"/>
        <v/>
      </c>
      <c r="H76" s="1199" t="str">
        <f t="shared" si="5"/>
        <v/>
      </c>
    </row>
    <row r="77" spans="1:8">
      <c r="A77" s="1201"/>
      <c r="B77" s="1201"/>
      <c r="C77" s="1203"/>
      <c r="D77" s="1203"/>
      <c r="E77" s="1203"/>
      <c r="F77" s="1204" t="str">
        <f t="shared" ca="1" si="2"/>
        <v/>
      </c>
      <c r="G77" s="1205" t="str">
        <f t="shared" ref="G77:G84" si="6">IF(ISNA(INDEX(TPcritLow,MATCH($A77,TPSourceLetter,0),1,1)),"",INDEX(TPcritLow,MATCH($A77,TPSourceLetter,0),1,1))</f>
        <v/>
      </c>
      <c r="H77" s="1199" t="str">
        <f t="shared" ref="H77:H84" si="7">IF(ISNA(INDEX(TPcritHigh,MATCH($A77,TPSourceLetter,0),1,1)),"",INDEX(TPcritHigh,MATCH($A77,TPSourceLetter,0),1,1))</f>
        <v/>
      </c>
    </row>
    <row r="78" spans="1:8">
      <c r="A78" s="1201"/>
      <c r="B78" s="1201"/>
      <c r="C78" s="1203"/>
      <c r="D78" s="1203"/>
      <c r="E78" s="1203"/>
      <c r="F78" s="1204" t="str">
        <f t="shared" ref="F78:F84" ca="1" si="8">IF(ISERROR(INDIRECT(ADDRESS(17,6,1,,$A78))),"",INDIRECT(ADDRESS(17,6,1,,$A78)))</f>
        <v/>
      </c>
      <c r="G78" s="1205" t="str">
        <f t="shared" si="6"/>
        <v/>
      </c>
      <c r="H78" s="1199" t="str">
        <f t="shared" si="7"/>
        <v/>
      </c>
    </row>
    <row r="79" spans="1:8">
      <c r="A79" s="1201"/>
      <c r="B79" s="1201"/>
      <c r="C79" s="1203"/>
      <c r="D79" s="1203"/>
      <c r="E79" s="1203"/>
      <c r="F79" s="1204" t="str">
        <f t="shared" ca="1" si="8"/>
        <v/>
      </c>
      <c r="G79" s="1205" t="str">
        <f t="shared" si="6"/>
        <v/>
      </c>
      <c r="H79" s="1199" t="str">
        <f t="shared" si="7"/>
        <v/>
      </c>
    </row>
    <row r="80" spans="1:8">
      <c r="A80" s="1201"/>
      <c r="B80" s="1201"/>
      <c r="C80" s="1203"/>
      <c r="D80" s="1203"/>
      <c r="E80" s="1203"/>
      <c r="F80" s="1204" t="str">
        <f t="shared" ca="1" si="8"/>
        <v/>
      </c>
      <c r="G80" s="1205" t="str">
        <f t="shared" si="6"/>
        <v/>
      </c>
      <c r="H80" s="1199" t="str">
        <f t="shared" si="7"/>
        <v/>
      </c>
    </row>
    <row r="81" spans="1:8">
      <c r="A81" s="1201"/>
      <c r="B81" s="1201"/>
      <c r="C81" s="1203"/>
      <c r="D81" s="1203"/>
      <c r="E81" s="1203"/>
      <c r="F81" s="1204" t="str">
        <f t="shared" ca="1" si="8"/>
        <v/>
      </c>
      <c r="G81" s="1205" t="str">
        <f t="shared" si="6"/>
        <v/>
      </c>
      <c r="H81" s="1199" t="str">
        <f t="shared" si="7"/>
        <v/>
      </c>
    </row>
    <row r="82" spans="1:8">
      <c r="A82" s="1201"/>
      <c r="B82" s="1201"/>
      <c r="C82" s="1203"/>
      <c r="D82" s="1203"/>
      <c r="E82" s="1203"/>
      <c r="F82" s="1204" t="str">
        <f t="shared" ca="1" si="8"/>
        <v/>
      </c>
      <c r="G82" s="1205" t="str">
        <f t="shared" si="6"/>
        <v/>
      </c>
      <c r="H82" s="1199" t="str">
        <f t="shared" si="7"/>
        <v/>
      </c>
    </row>
    <row r="83" spans="1:8">
      <c r="A83" s="1201"/>
      <c r="B83" s="1201"/>
      <c r="C83" s="1203"/>
      <c r="D83" s="1203"/>
      <c r="E83" s="1203"/>
      <c r="F83" s="1204" t="str">
        <f t="shared" ca="1" si="8"/>
        <v/>
      </c>
      <c r="G83" s="1205" t="str">
        <f t="shared" si="6"/>
        <v/>
      </c>
      <c r="H83" s="1199" t="str">
        <f t="shared" si="7"/>
        <v/>
      </c>
    </row>
    <row r="84" spans="1:8">
      <c r="A84" s="1201"/>
      <c r="B84" s="1201"/>
      <c r="C84" s="1203"/>
      <c r="D84" s="1203"/>
      <c r="E84" s="1203"/>
      <c r="F84" s="1204" t="str">
        <f t="shared" ca="1" si="8"/>
        <v/>
      </c>
      <c r="G84" s="1205" t="str">
        <f t="shared" si="6"/>
        <v/>
      </c>
      <c r="H84" s="1199" t="str">
        <f t="shared" si="7"/>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anchor moveWithCells="1">
                  <from>
                    <xdr:col>3</xdr:col>
                    <xdr:colOff>28575</xdr:colOff>
                    <xdr:row>5</xdr:row>
                    <xdr:rowOff>190500</xdr:rowOff>
                  </from>
                  <to>
                    <xdr:col>4</xdr:col>
                    <xdr:colOff>495300</xdr:colOff>
                    <xdr:row>9</xdr:row>
                    <xdr:rowOff>0</xdr:rowOff>
                  </to>
                </anchor>
              </controlPr>
            </control>
          </mc:Choice>
        </mc:AlternateContent>
        <mc:AlternateContent xmlns:mc="http://schemas.openxmlformats.org/markup-compatibility/2006">
          <mc:Choice Requires="x14">
            <control shapeId="202754" r:id="rId5" name="Button 2">
              <controlPr defaultSize="0" print="0" autoFill="0" autoPict="0" macro="[0]!RTP_Input_Write">
                <anchor moveWithCells="1">
                  <from>
                    <xdr:col>3</xdr:col>
                    <xdr:colOff>28575</xdr:colOff>
                    <xdr:row>5</xdr:row>
                    <xdr:rowOff>190500</xdr:rowOff>
                  </from>
                  <to>
                    <xdr:col>5</xdr:col>
                    <xdr:colOff>66675</xdr:colOff>
                    <xdr:row>9</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6">
    <pageSetUpPr fitToPage="1"/>
  </sheetPr>
  <dimension ref="A1:AA685"/>
  <sheetViews>
    <sheetView view="pageBreakPreview" zoomScale="75" zoomScaleNormal="75" zoomScaleSheetLayoutView="75" workbookViewId="0">
      <selection activeCell="R11" sqref="R11"/>
    </sheetView>
  </sheetViews>
  <sheetFormatPr defaultRowHeight="15.75"/>
  <cols>
    <col min="1" max="1" width="4.75" customWidth="1"/>
    <col min="2" max="2" width="11.625" customWidth="1"/>
    <col min="3" max="3" width="11.25" hidden="1" customWidth="1"/>
    <col min="4" max="4" width="7.25" customWidth="1"/>
    <col min="5" max="5" width="11" hidden="1" customWidth="1"/>
    <col min="6" max="6" width="9.25" hidden="1" customWidth="1"/>
    <col min="7" max="7" width="6" customWidth="1"/>
    <col min="8" max="8" width="9.5" customWidth="1"/>
    <col min="9" max="9" width="8" customWidth="1"/>
    <col min="10" max="10" width="8.75" bestFit="1" customWidth="1"/>
    <col min="11" max="11" width="6.75" customWidth="1"/>
    <col min="12" max="12" width="9.5" hidden="1" customWidth="1"/>
    <col min="13" max="13" width="9.625" customWidth="1"/>
    <col min="14" max="14" width="8.75" bestFit="1" customWidth="1"/>
    <col min="15" max="15" width="6.75" customWidth="1"/>
    <col min="16" max="16" width="9.5" hidden="1" customWidth="1"/>
    <col min="17" max="17" width="9.625" customWidth="1"/>
    <col min="18" max="18" width="8.75" bestFit="1" customWidth="1"/>
    <col min="19" max="19" width="6.75" customWidth="1"/>
    <col min="20" max="20" width="9.5" hidden="1" customWidth="1"/>
    <col min="21" max="21" width="9.625" customWidth="1"/>
    <col min="22" max="22" width="8.75" bestFit="1" customWidth="1"/>
    <col min="23" max="23" width="6.75" customWidth="1"/>
    <col min="24" max="24" width="9.5" hidden="1" customWidth="1"/>
    <col min="25" max="25" width="9.625" customWidth="1"/>
  </cols>
  <sheetData>
    <row r="1" spans="1:25">
      <c r="A1" s="967"/>
      <c r="B1" s="967"/>
      <c r="C1" s="967"/>
      <c r="D1" s="967"/>
      <c r="E1" s="967"/>
      <c r="F1" s="967"/>
      <c r="G1" s="967"/>
      <c r="H1" s="1789" t="s">
        <v>1097</v>
      </c>
      <c r="I1" s="968" t="s">
        <v>966</v>
      </c>
      <c r="J1" s="968" t="s">
        <v>1098</v>
      </c>
      <c r="K1" s="968"/>
      <c r="L1" s="968"/>
      <c r="M1" s="968"/>
      <c r="N1" s="968" t="s">
        <v>1098</v>
      </c>
      <c r="O1" s="31"/>
      <c r="P1" s="31"/>
      <c r="Q1" s="31"/>
      <c r="R1" s="968" t="s">
        <v>1098</v>
      </c>
      <c r="S1" s="31"/>
      <c r="T1" s="31"/>
      <c r="U1" s="31"/>
      <c r="V1" s="968" t="s">
        <v>1098</v>
      </c>
      <c r="W1" s="968"/>
      <c r="X1" s="968"/>
      <c r="Y1" s="969"/>
    </row>
    <row r="2" spans="1:25">
      <c r="A2" s="967"/>
      <c r="B2" s="967"/>
      <c r="C2" s="967"/>
      <c r="D2" s="967"/>
      <c r="E2" s="967"/>
      <c r="F2" s="967"/>
      <c r="G2" s="967"/>
      <c r="H2" s="1790"/>
      <c r="I2" s="967" t="s">
        <v>951</v>
      </c>
      <c r="J2" s="967" t="s">
        <v>1098</v>
      </c>
      <c r="K2" s="967"/>
      <c r="L2" s="967"/>
      <c r="M2" s="967"/>
      <c r="N2" s="967" t="s">
        <v>1098</v>
      </c>
      <c r="R2" s="967" t="s">
        <v>1098</v>
      </c>
      <c r="V2" s="967" t="s">
        <v>1098</v>
      </c>
      <c r="W2" s="967"/>
      <c r="X2" s="967"/>
      <c r="Y2" s="970"/>
    </row>
    <row r="3" spans="1:25">
      <c r="A3" s="967"/>
      <c r="B3" s="967"/>
      <c r="C3" s="967"/>
      <c r="D3" s="967"/>
      <c r="E3" s="967"/>
      <c r="F3" s="967"/>
      <c r="G3" s="967"/>
      <c r="H3" s="1791"/>
      <c r="I3" s="971" t="s">
        <v>967</v>
      </c>
      <c r="J3" s="971" t="s">
        <v>1101</v>
      </c>
      <c r="K3" s="971"/>
      <c r="L3" s="971"/>
      <c r="M3" s="971"/>
      <c r="N3" s="971" t="s">
        <v>1102</v>
      </c>
      <c r="O3" s="41"/>
      <c r="P3" s="41"/>
      <c r="Q3" s="41"/>
      <c r="R3" s="971" t="s">
        <v>1101</v>
      </c>
      <c r="S3" s="41"/>
      <c r="T3" s="41"/>
      <c r="U3" s="41"/>
      <c r="V3" s="971" t="s">
        <v>1102</v>
      </c>
      <c r="W3" s="971"/>
      <c r="X3" s="971"/>
      <c r="Y3" s="972"/>
    </row>
    <row r="4" spans="1:25" ht="16.5" thickBot="1">
      <c r="A4" s="940"/>
      <c r="B4" s="940"/>
      <c r="C4" s="940"/>
      <c r="D4" s="940"/>
      <c r="E4" s="940"/>
      <c r="F4" s="940"/>
      <c r="G4" s="940"/>
      <c r="H4" s="940"/>
      <c r="I4" s="940"/>
      <c r="J4" s="940"/>
      <c r="K4" s="940"/>
      <c r="L4" s="940"/>
      <c r="M4" s="940"/>
      <c r="N4" s="940"/>
      <c r="R4" s="940"/>
      <c r="V4" s="940"/>
      <c r="W4" s="940"/>
      <c r="X4" s="940"/>
      <c r="Y4" s="940"/>
    </row>
    <row r="5" spans="1:25">
      <c r="B5" s="398" t="s">
        <v>969</v>
      </c>
      <c r="C5" s="399"/>
      <c r="D5" s="399"/>
      <c r="E5" s="399"/>
      <c r="F5" s="399"/>
      <c r="G5" s="962"/>
      <c r="H5" s="962" t="s">
        <v>1093</v>
      </c>
      <c r="I5" s="962" t="s">
        <v>707</v>
      </c>
      <c r="J5" s="399"/>
      <c r="K5" s="399"/>
      <c r="L5" s="399"/>
      <c r="M5" s="399"/>
      <c r="N5" s="399"/>
      <c r="O5" s="399"/>
      <c r="P5" s="399"/>
      <c r="Q5" s="399"/>
      <c r="R5" s="399"/>
      <c r="S5" s="399"/>
      <c r="T5" s="399"/>
      <c r="U5" s="399"/>
      <c r="V5" s="399"/>
      <c r="W5" s="399"/>
      <c r="X5" s="399"/>
      <c r="Y5" s="400"/>
    </row>
    <row r="6" spans="1:25" ht="21" thickBot="1">
      <c r="B6" s="981" t="str">
        <f>FlowSetAQWindTunnel</f>
        <v>WT?</v>
      </c>
      <c r="C6" s="964"/>
      <c r="D6" s="964"/>
      <c r="E6" s="964"/>
      <c r="F6" s="964"/>
      <c r="G6" s="965"/>
      <c r="H6" s="1286" t="s">
        <v>755</v>
      </c>
      <c r="I6" s="966">
        <v>1</v>
      </c>
      <c r="J6" s="975" t="str">
        <f>IF($B$6="WT1",J$1,IF($B$6="WT2",J$2,IF($B$6="WT3",J$3,"Pick a Tunnel")))</f>
        <v>Pick a Tunnel</v>
      </c>
      <c r="K6" s="975"/>
      <c r="L6" s="975"/>
      <c r="M6" s="975"/>
      <c r="N6" s="975" t="str">
        <f>IF($B$6="WT1",N$1,IF($B$6="WT2",N$2,IF($B$6="WT3",N$3,"Pick a Tunnel")))</f>
        <v>Pick a Tunnel</v>
      </c>
      <c r="O6" s="964"/>
      <c r="P6" s="964"/>
      <c r="Q6" s="964"/>
      <c r="R6" s="975" t="str">
        <f>IF($B$6="WT1",R$1,IF($B$6="WT2",R$2,IF($B$6="WT3",R$3,"Pick a Tunnel")))</f>
        <v>Pick a Tunnel</v>
      </c>
      <c r="S6" s="964"/>
      <c r="T6" s="964"/>
      <c r="U6" s="964"/>
      <c r="V6" s="975" t="str">
        <f>IF($B$6="WT1",V$1,IF($B$6="WT2",V$2,IF($B$6="WT3",V$3,"Pick a Tunnel")))</f>
        <v>Pick a Tunnel</v>
      </c>
      <c r="W6" s="975"/>
      <c r="X6" s="975"/>
      <c r="Y6" s="976"/>
    </row>
    <row r="7" spans="1:25" ht="20.25">
      <c r="B7" s="980"/>
      <c r="G7" s="942"/>
      <c r="H7" s="942"/>
      <c r="I7" s="940"/>
      <c r="J7" s="973"/>
      <c r="K7" s="973"/>
      <c r="L7" s="973"/>
      <c r="M7" s="973"/>
      <c r="W7" s="983"/>
      <c r="X7" s="983"/>
      <c r="Y7" s="983"/>
    </row>
    <row r="8" spans="1:25" ht="20.25">
      <c r="B8" s="120" t="str">
        <f>SourceProjectName1</f>
        <v>Project Name 1</v>
      </c>
      <c r="G8" s="942"/>
      <c r="H8" s="942"/>
      <c r="I8" s="940"/>
    </row>
    <row r="9" spans="1:25" ht="20.25" customHeight="1">
      <c r="B9" s="120" t="str">
        <f>SourceProjectName2</f>
        <v>Project Name 2</v>
      </c>
      <c r="G9" s="942"/>
      <c r="H9" s="942"/>
      <c r="I9" s="940"/>
      <c r="N9" s="684"/>
      <c r="O9" s="684"/>
    </row>
    <row r="10" spans="1:25" ht="22.5">
      <c r="B10" s="120" t="str">
        <f>SourceProjectNumber</f>
        <v>Project Number</v>
      </c>
      <c r="G10" s="942"/>
      <c r="H10" s="942"/>
      <c r="I10" s="940"/>
      <c r="N10" s="684"/>
      <c r="O10" s="684"/>
    </row>
    <row r="11" spans="1:25" ht="22.5">
      <c r="B11" s="115" t="s">
        <v>1099</v>
      </c>
      <c r="D11" s="977">
        <v>0</v>
      </c>
      <c r="G11" s="942"/>
      <c r="H11" s="942"/>
      <c r="I11" s="940"/>
      <c r="N11" s="684"/>
      <c r="O11" s="684"/>
    </row>
    <row r="12" spans="1:25" ht="22.5" customHeight="1">
      <c r="B12" s="793" t="s">
        <v>1739</v>
      </c>
      <c r="J12" s="115"/>
      <c r="K12" s="115"/>
      <c r="L12" s="115"/>
      <c r="M12" s="115"/>
      <c r="N12" s="13"/>
      <c r="O12" s="13"/>
      <c r="P12" s="13"/>
      <c r="Q12" s="13"/>
      <c r="R12" s="13"/>
      <c r="S12" s="13"/>
      <c r="T12" s="13"/>
      <c r="U12" s="13"/>
      <c r="V12" s="13"/>
      <c r="W12" s="13"/>
      <c r="X12" s="13"/>
      <c r="Y12" s="13"/>
    </row>
    <row r="13" spans="1:25">
      <c r="A13" s="73"/>
      <c r="B13" s="1779" t="s">
        <v>121</v>
      </c>
      <c r="C13" s="1780"/>
      <c r="D13" s="1780"/>
      <c r="E13" s="1780"/>
      <c r="F13" s="1780"/>
      <c r="G13" s="1780"/>
      <c r="H13" s="1780"/>
      <c r="I13" s="1780"/>
      <c r="J13" s="1783" t="s">
        <v>1103</v>
      </c>
      <c r="K13" s="1784"/>
      <c r="L13" s="1784"/>
      <c r="M13" s="1784"/>
      <c r="N13" s="1783" t="s">
        <v>1103</v>
      </c>
      <c r="O13" s="1784"/>
      <c r="P13" s="1784"/>
      <c r="Q13" s="1784"/>
      <c r="R13" s="1796" t="s">
        <v>1104</v>
      </c>
      <c r="S13" s="1797"/>
      <c r="T13" s="1797"/>
      <c r="U13" s="1797"/>
      <c r="V13" s="1797"/>
      <c r="W13" s="1797"/>
      <c r="X13" s="1797"/>
      <c r="Y13" s="1798"/>
    </row>
    <row r="14" spans="1:25">
      <c r="A14" s="90"/>
      <c r="B14" s="1726" t="s">
        <v>806</v>
      </c>
      <c r="C14" s="1785"/>
      <c r="D14" s="1785"/>
      <c r="E14" s="1785"/>
      <c r="F14" s="1726" t="s">
        <v>124</v>
      </c>
      <c r="G14" s="1785"/>
      <c r="H14" s="1785"/>
      <c r="I14" s="1727"/>
      <c r="J14" s="787"/>
      <c r="K14" s="785"/>
      <c r="L14" s="786"/>
      <c r="M14" s="786"/>
      <c r="N14" s="787"/>
      <c r="O14" s="785"/>
      <c r="P14" s="786"/>
      <c r="Q14" s="786"/>
      <c r="R14" s="1776" t="s">
        <v>122</v>
      </c>
      <c r="S14" s="1777"/>
      <c r="T14" s="1777"/>
      <c r="U14" s="1777"/>
      <c r="V14" s="1776" t="s">
        <v>123</v>
      </c>
      <c r="W14" s="1777"/>
      <c r="X14" s="1777"/>
      <c r="Y14" s="1778"/>
    </row>
    <row r="15" spans="1:25">
      <c r="A15" s="978"/>
      <c r="B15" s="810"/>
      <c r="C15" s="811"/>
      <c r="D15" s="811"/>
      <c r="E15" s="811"/>
      <c r="F15" s="810"/>
      <c r="G15" s="811"/>
      <c r="H15" s="811"/>
      <c r="I15" s="812"/>
      <c r="J15" s="813" t="s">
        <v>660</v>
      </c>
      <c r="K15" s="814">
        <v>100</v>
      </c>
      <c r="L15" s="815"/>
      <c r="M15" s="815"/>
      <c r="N15" s="813" t="s">
        <v>660</v>
      </c>
      <c r="O15" s="814">
        <v>100</v>
      </c>
      <c r="P15" s="815"/>
      <c r="Q15" s="815"/>
      <c r="R15" s="819" t="s">
        <v>660</v>
      </c>
      <c r="S15" s="820">
        <v>100</v>
      </c>
      <c r="T15" s="821"/>
      <c r="U15" s="821"/>
      <c r="V15" s="819" t="s">
        <v>660</v>
      </c>
      <c r="W15" s="820">
        <v>100</v>
      </c>
      <c r="X15" s="821"/>
      <c r="Y15" s="823"/>
    </row>
    <row r="16" spans="1:25">
      <c r="A16" s="979"/>
      <c r="B16" s="810"/>
      <c r="C16" s="811" t="s">
        <v>118</v>
      </c>
      <c r="D16" s="245"/>
      <c r="E16" s="811" t="s">
        <v>707</v>
      </c>
      <c r="F16" s="810" t="s">
        <v>118</v>
      </c>
      <c r="G16" s="811"/>
      <c r="H16" s="811"/>
      <c r="I16" s="812"/>
      <c r="J16" s="813" t="s">
        <v>674</v>
      </c>
      <c r="K16" s="835">
        <f>K15</f>
        <v>100</v>
      </c>
      <c r="L16" s="815"/>
      <c r="M16" s="815"/>
      <c r="N16" s="813" t="s">
        <v>674</v>
      </c>
      <c r="O16" s="835">
        <f>O15</f>
        <v>100</v>
      </c>
      <c r="P16" s="815"/>
      <c r="Q16" s="815"/>
      <c r="R16" s="819" t="s">
        <v>674</v>
      </c>
      <c r="S16" s="820">
        <v>50</v>
      </c>
      <c r="T16" s="821"/>
      <c r="U16" s="821"/>
      <c r="V16" s="819" t="s">
        <v>674</v>
      </c>
      <c r="W16" s="822">
        <f>100-S16</f>
        <v>50</v>
      </c>
      <c r="X16" s="821"/>
      <c r="Y16" s="823"/>
    </row>
    <row r="17" spans="1:25">
      <c r="A17" s="979" t="s">
        <v>1112</v>
      </c>
      <c r="B17" s="810"/>
      <c r="C17" s="811"/>
      <c r="D17" s="245"/>
      <c r="E17" s="811"/>
      <c r="F17" s="810"/>
      <c r="G17" s="811"/>
      <c r="H17" s="811"/>
      <c r="I17" s="812" t="s">
        <v>707</v>
      </c>
      <c r="J17" s="813"/>
      <c r="K17" s="945"/>
      <c r="L17" s="815"/>
      <c r="M17" s="815"/>
      <c r="N17" s="813"/>
      <c r="O17" s="945"/>
      <c r="P17" s="815"/>
      <c r="Q17" s="815"/>
      <c r="R17" s="819"/>
      <c r="S17" s="822"/>
      <c r="T17" s="821"/>
      <c r="U17" s="821"/>
      <c r="V17" s="819"/>
      <c r="W17" s="822"/>
      <c r="X17" s="821"/>
      <c r="Y17" s="823"/>
    </row>
    <row r="18" spans="1:25">
      <c r="A18" s="160" t="s">
        <v>779</v>
      </c>
      <c r="B18" s="74" t="s">
        <v>663</v>
      </c>
      <c r="C18" s="13" t="s">
        <v>335</v>
      </c>
      <c r="D18" s="13" t="s">
        <v>125</v>
      </c>
      <c r="E18" s="13" t="s">
        <v>708</v>
      </c>
      <c r="F18" s="74" t="s">
        <v>335</v>
      </c>
      <c r="G18" s="13" t="s">
        <v>126</v>
      </c>
      <c r="H18" s="13" t="s">
        <v>127</v>
      </c>
      <c r="I18" s="13" t="s">
        <v>708</v>
      </c>
      <c r="J18" s="788"/>
      <c r="K18" s="786" t="s">
        <v>133</v>
      </c>
      <c r="L18" s="786" t="s">
        <v>674</v>
      </c>
      <c r="M18" s="786" t="s">
        <v>134</v>
      </c>
      <c r="N18" s="788"/>
      <c r="O18" s="786" t="s">
        <v>133</v>
      </c>
      <c r="P18" s="786" t="s">
        <v>674</v>
      </c>
      <c r="Q18" s="786" t="s">
        <v>134</v>
      </c>
      <c r="R18" s="771"/>
      <c r="S18" s="769" t="s">
        <v>133</v>
      </c>
      <c r="T18" s="769" t="s">
        <v>674</v>
      </c>
      <c r="U18" s="769" t="s">
        <v>134</v>
      </c>
      <c r="V18" s="771"/>
      <c r="W18" s="769" t="s">
        <v>133</v>
      </c>
      <c r="X18" s="769" t="s">
        <v>674</v>
      </c>
      <c r="Y18" s="770" t="s">
        <v>134</v>
      </c>
    </row>
    <row r="19" spans="1:25">
      <c r="A19" s="411"/>
      <c r="B19" s="77" t="s">
        <v>506</v>
      </c>
      <c r="C19" s="14" t="s">
        <v>672</v>
      </c>
      <c r="D19" s="14" t="s">
        <v>703</v>
      </c>
      <c r="E19" s="14" t="s">
        <v>128</v>
      </c>
      <c r="F19" s="77" t="s">
        <v>672</v>
      </c>
      <c r="G19" s="14" t="s">
        <v>703</v>
      </c>
      <c r="H19" s="14" t="s">
        <v>129</v>
      </c>
      <c r="I19" s="14" t="s">
        <v>128</v>
      </c>
      <c r="J19" s="789"/>
      <c r="K19" s="790" t="s">
        <v>132</v>
      </c>
      <c r="L19" s="790" t="s">
        <v>129</v>
      </c>
      <c r="M19" s="791"/>
      <c r="N19" s="789"/>
      <c r="O19" s="790" t="s">
        <v>132</v>
      </c>
      <c r="P19" s="790" t="s">
        <v>129</v>
      </c>
      <c r="Q19" s="791"/>
      <c r="R19" s="772"/>
      <c r="S19" s="773" t="s">
        <v>132</v>
      </c>
      <c r="T19" s="773" t="s">
        <v>129</v>
      </c>
      <c r="U19" s="774"/>
      <c r="V19" s="772"/>
      <c r="W19" s="773" t="s">
        <v>132</v>
      </c>
      <c r="X19" s="773" t="s">
        <v>129</v>
      </c>
      <c r="Y19" s="775"/>
    </row>
    <row r="20" spans="1:25">
      <c r="A20" s="375"/>
      <c r="B20" s="2" t="str">
        <f ca="1">ROUND(G21,1)&amp;" m/s WT Reference Speed"</f>
        <v>6 m/s WT Reference Speed</v>
      </c>
      <c r="C20" s="13"/>
      <c r="D20" s="13"/>
      <c r="E20" s="13"/>
      <c r="F20" s="74"/>
      <c r="G20" s="13"/>
      <c r="H20" s="13"/>
      <c r="I20" s="13"/>
      <c r="J20" s="20"/>
      <c r="K20" s="13"/>
      <c r="L20" s="13"/>
      <c r="N20" s="20"/>
      <c r="O20" s="13"/>
      <c r="P20" s="13"/>
      <c r="R20" s="33"/>
      <c r="V20" s="33"/>
      <c r="Y20" s="37"/>
    </row>
    <row r="21" spans="1:25">
      <c r="A21" s="87">
        <v>1</v>
      </c>
      <c r="B21" s="42" t="str">
        <f>INDEX(SourceID,MATCH($A21,SourceNumber,0),1,1)</f>
        <v>AHU Labs-1</v>
      </c>
      <c r="C21" s="354">
        <f>INDEX(SourceExitDiameter,MATCH($A21,SourceNumber,0),1,1)*3.28*12</f>
        <v>172.59999999999997</v>
      </c>
      <c r="D21" s="24" t="str">
        <f>UAnem1percent</f>
        <v>1% Wind</v>
      </c>
      <c r="E21" s="85" t="e">
        <f ca="1">INDIRECT(ADDRESS(53,6,1,,$A21))</f>
        <v>#VALUE!</v>
      </c>
      <c r="F21" s="626" t="e">
        <f ca="1">(ROUND((INDIRECT(ADDRESS(15,7,1,,$A21))*3.28*12*32),0)&amp;"/32")</f>
        <v>#VALUE!</v>
      </c>
      <c r="G21" s="125">
        <f ca="1">INDIRECT(ADDRESS(29,7,1,,$A21))</f>
        <v>6.001707317073171</v>
      </c>
      <c r="H21" s="24" t="e">
        <f ca="1">INDIRECT(ADDRESS(19,7,1,,$A21))*100^3</f>
        <v>#VALUE!</v>
      </c>
      <c r="I21" s="24">
        <f ca="1">INDIRECT(ADDRESS(53,7,1,,$A21))</f>
        <v>1</v>
      </c>
      <c r="J21" s="20" t="str">
        <f>K$15&amp;$H$6&amp;J$6</f>
        <v>100AirPick a Tunnel</v>
      </c>
      <c r="K21" t="e">
        <f>INDEX(FlowCalGasMixture,MATCH(J21,FlowCalNumber,0),1,1)</f>
        <v>#N/A</v>
      </c>
      <c r="M21" s="355" t="e">
        <f>INDEX(FlowCalDevice,MATCH(J21,FlowCalNumber,0),1,1)</f>
        <v>#N/A</v>
      </c>
      <c r="N21" s="20" t="str">
        <f>O$15&amp;$H$6&amp;N$6</f>
        <v>100AirPick a Tunnel</v>
      </c>
      <c r="O21" t="e">
        <f>INDEX(FlowCalGasMixture,MATCH(N21,FlowCalNumber,0),1,1)</f>
        <v>#N/A</v>
      </c>
      <c r="Q21" s="355" t="e">
        <f>INDEX(FlowCalDevice,MATCH(N21,FlowCalNumber,0),1,1)</f>
        <v>#N/A</v>
      </c>
      <c r="R21" s="20" t="str">
        <f>S$15&amp;$H$6&amp;R$6</f>
        <v>100AirPick a Tunnel</v>
      </c>
      <c r="S21" t="e">
        <f>INDEX(FlowCalGasMixture,MATCH(R21,FlowCalNumber,0),1,1)</f>
        <v>#N/A</v>
      </c>
      <c r="U21" s="944" t="e">
        <f>INDEX(FlowCalDevice,MATCH(R21,FlowCalNumber,0),1,1)</f>
        <v>#N/A</v>
      </c>
      <c r="V21" s="946" t="str">
        <f>W$15&amp;$H$6&amp;V$6</f>
        <v>100AirPick a Tunnel</v>
      </c>
      <c r="W21" t="e">
        <f>INDEX(FlowCalGasMixture,MATCH(V21,FlowCalNumber,0),1,1)</f>
        <v>#N/A</v>
      </c>
      <c r="Y21" s="982" t="e">
        <f>INDEX(FlowCalDevice,MATCH(V21,FlowCalNumber,0),1,1)</f>
        <v>#N/A</v>
      </c>
    </row>
    <row r="22" spans="1:25" s="1215" customFormat="1">
      <c r="A22" s="1208"/>
      <c r="B22" s="1209"/>
      <c r="C22" s="1210"/>
      <c r="D22" s="1211">
        <f>'1% Wind'!$M$82</f>
        <v>27</v>
      </c>
      <c r="E22" s="1212"/>
      <c r="F22" s="1212"/>
      <c r="G22" s="1213">
        <f ca="1">IF(I21=1,$G21,MAX(G21/D21*D22,2))</f>
        <v>6.001707317073171</v>
      </c>
      <c r="H22" s="1214" t="e">
        <f t="shared" ref="H22:H36" ca="1" si="0">H21*(D21/D22)*(G22/G21)</f>
        <v>#VALUE!</v>
      </c>
      <c r="J22" s="1216"/>
      <c r="K22" s="1221">
        <f>K$16/100</f>
        <v>1</v>
      </c>
      <c r="L22" s="1218" t="e">
        <f ca="1">K22*$H22</f>
        <v>#VALUE!</v>
      </c>
      <c r="M22" s="1219" t="e">
        <f ca="1">IF(AND(INDEX(FlowCalConstA,MATCH(J21,FlowCalNumber,0),1,1)*L22^INDEX(FlowCalConstB,MATCH(J21,FlowCalNumber,0),1,1)&gt;INDEX(FlowCalLowSetting,MATCH(J21,FlowCalNumber,0),1,1), (INDEX(FlowCalConstA,MATCH(J21,FlowCalNumber,0),1,1)*L22^INDEX(FlowCalConstB,MATCH(J21,FlowCalNumber,0),1,1)&lt;INDEX(FlowCalHighSetting,MATCH(J21,FlowCalNumber,0),1,1))),INDEX(FlowCalConstA,MATCH(J21,FlowCalNumber,0),1,1)*L22^INDEX(FlowCalConstB,MATCH(J21,FlowCalNumber,0),1,1)," ")</f>
        <v>#N/A</v>
      </c>
      <c r="N22" s="1216"/>
      <c r="O22" s="1221">
        <f>O$16/100</f>
        <v>1</v>
      </c>
      <c r="P22" s="1218" t="e">
        <f ca="1">O22*$H22</f>
        <v>#VALUE!</v>
      </c>
      <c r="Q22" s="1220" t="e">
        <f ca="1">IF(AND(INDEX(FlowCalConstA,MATCH(N21,FlowCalNumber,0),1,1)*P22^INDEX(FlowCalConstB,MATCH(N21,FlowCalNumber,0),1,1)&gt;INDEX(FlowCalLowSetting,MATCH(N21,FlowCalNumber,0),1,1), (INDEX(FlowCalConstA,MATCH(N21,FlowCalNumber,0),1,1)*P22^INDEX(FlowCalConstB,MATCH(N21,FlowCalNumber,0),1,1)&lt;INDEX(FlowCalHighSetting,MATCH(N21,FlowCalNumber,0),1,1))),INDEX(FlowCalConstA,MATCH(N21,FlowCalNumber,0),1,1)*P22^INDEX(FlowCalConstB,MATCH(N21,FlowCalNumber,0),1,1)," ")</f>
        <v>#N/A</v>
      </c>
      <c r="R22" s="1216"/>
      <c r="S22" s="1221">
        <f>S$16/100</f>
        <v>0.5</v>
      </c>
      <c r="T22" s="1218" t="e">
        <f ca="1">S22*$H22</f>
        <v>#VALUE!</v>
      </c>
      <c r="U22" s="1219" t="e">
        <f ca="1">IF(AND(INDEX(FlowCalConstA,MATCH(R21,FlowCalNumber,0),1,1)*T22^INDEX(FlowCalConstB,MATCH(R21,FlowCalNumber,0),1,1)&gt;INDEX(FlowCalLowSetting,MATCH(R21,FlowCalNumber,0),1,1), (INDEX(FlowCalConstA,MATCH(R21,FlowCalNumber,0),1,1)*T22^INDEX(FlowCalConstB,MATCH(R21,FlowCalNumber,0),1,1)&lt;INDEX(FlowCalHighSetting,MATCH(R21,FlowCalNumber,0),1,1))),INDEX(FlowCalConstA,MATCH(R21,FlowCalNumber,0),1,1)*T22^INDEX(FlowCalConstB,MATCH(R21,FlowCalNumber,0),1,1)," ")</f>
        <v>#N/A</v>
      </c>
      <c r="V22" s="1216"/>
      <c r="W22" s="1221">
        <f>W$16/100</f>
        <v>0.5</v>
      </c>
      <c r="X22" s="1218" t="e">
        <f ca="1">W22*$H22</f>
        <v>#VALUE!</v>
      </c>
      <c r="Y22" s="1220" t="e">
        <f ca="1">IF(AND(INDEX(FlowCalConstA,MATCH(V21,FlowCalNumber,0),1,1)*X22^INDEX(FlowCalConstB,MATCH(V21,FlowCalNumber,0),1,1)&gt;INDEX(FlowCalLowSetting,MATCH(V21,FlowCalNumber,0),1,1), (INDEX(FlowCalConstA,MATCH(V21,FlowCalNumber,0),1,1)*X22^INDEX(FlowCalConstB,MATCH(V21,FlowCalNumber,0),1,1)&lt;INDEX(FlowCalHighSetting,MATCH(V21,FlowCalNumber,0),1,1))),INDEX(FlowCalConstA,MATCH(V21,FlowCalNumber,0),1,1)*X22^INDEX(FlowCalConstB,MATCH(V21,FlowCalNumber,0),1,1)," ")</f>
        <v>#N/A</v>
      </c>
    </row>
    <row r="23" spans="1:25">
      <c r="A23" s="412"/>
      <c r="B23" s="2"/>
      <c r="C23" s="235"/>
      <c r="D23" s="24">
        <f>'1% Wind'!$M$83</f>
        <v>23.5</v>
      </c>
      <c r="E23" s="90"/>
      <c r="F23" s="90"/>
      <c r="G23" s="79">
        <f ca="1">IF(I21=1,$G22,MAX(G22/D22*D23,2))</f>
        <v>6.001707317073171</v>
      </c>
      <c r="H23" s="121" t="e">
        <f t="shared" ca="1" si="0"/>
        <v>#VALUE!</v>
      </c>
      <c r="J23" s="377"/>
      <c r="K23" s="242">
        <f t="shared" ref="K23:K36" si="1">K22</f>
        <v>1</v>
      </c>
      <c r="L23" s="241" t="e">
        <f t="shared" ref="L23:L36" ca="1" si="2">K23*$H23</f>
        <v>#VALUE!</v>
      </c>
      <c r="M23" s="243" t="e">
        <f ca="1">IF(AND(INDEX(FlowCalConstA,MATCH(J21,FlowCalNumber,0),1,1)*L23^INDEX(FlowCalConstB,MATCH(J21,FlowCalNumber,0),1,1)&gt;INDEX(FlowCalLowSetting,MATCH(J21,FlowCalNumber,0),1,1), (INDEX(FlowCalConstA,MATCH(J21,FlowCalNumber,0),1,1)*L23^INDEX(FlowCalConstB,MATCH(J21,FlowCalNumber,0),1,1)&lt;INDEX(FlowCalHighSetting,MATCH(J21,FlowCalNumber,0),1,1))),INDEX(FlowCalConstA,MATCH(J21,FlowCalNumber,0),1,1)*L23^INDEX(FlowCalConstB,MATCH(J21,FlowCalNumber,0),1,1)," ")</f>
        <v>#N/A</v>
      </c>
      <c r="N23" s="377"/>
      <c r="O23" s="242">
        <f t="shared" ref="O23:O36" si="3">O22</f>
        <v>1</v>
      </c>
      <c r="P23" s="241" t="e">
        <f t="shared" ref="P23:P36" ca="1" si="4">O23*$H23</f>
        <v>#VALUE!</v>
      </c>
      <c r="Q23" s="244" t="e">
        <f ca="1">IF(AND(INDEX(FlowCalConstA,MATCH(N21,FlowCalNumber,0),1,1)*P23^INDEX(FlowCalConstB,MATCH(N21,FlowCalNumber,0),1,1)&gt;INDEX(FlowCalLowSetting,MATCH(N21,FlowCalNumber,0),1,1), (INDEX(FlowCalConstA,MATCH(N21,FlowCalNumber,0),1,1)*P23^INDEX(FlowCalConstB,MATCH(N21,FlowCalNumber,0),1,1)&lt;INDEX(FlowCalHighSetting,MATCH(N21,FlowCalNumber,0),1,1))),INDEX(FlowCalConstA,MATCH(N21,FlowCalNumber,0),1,1)*P23^INDEX(FlowCalConstB,MATCH(N21,FlowCalNumber,0),1,1)," ")</f>
        <v>#N/A</v>
      </c>
      <c r="R23" s="377"/>
      <c r="S23" s="242">
        <f t="shared" ref="S23:S36" si="5">S22</f>
        <v>0.5</v>
      </c>
      <c r="T23" s="241" t="e">
        <f t="shared" ref="T23:T36" ca="1" si="6">S23*$H23</f>
        <v>#VALUE!</v>
      </c>
      <c r="U23" s="243" t="e">
        <f ca="1">IF(AND(INDEX(FlowCalConstA,MATCH(R21,FlowCalNumber,0),1,1)*T23^INDEX(FlowCalConstB,MATCH(R21,FlowCalNumber,0),1,1)&gt;INDEX(FlowCalLowSetting,MATCH(R21,FlowCalNumber,0),1,1), (INDEX(FlowCalConstA,MATCH(R21,FlowCalNumber,0),1,1)*T23^INDEX(FlowCalConstB,MATCH(R21,FlowCalNumber,0),1,1)&lt;INDEX(FlowCalHighSetting,MATCH(R21,FlowCalNumber,0),1,1))),INDEX(FlowCalConstA,MATCH(R21,FlowCalNumber,0),1,1)*T23^INDEX(FlowCalConstB,MATCH(R21,FlowCalNumber,0),1,1)," ")</f>
        <v>#N/A</v>
      </c>
      <c r="V23" s="377"/>
      <c r="W23" s="242">
        <f t="shared" ref="W23:W36" si="7">W22</f>
        <v>0.5</v>
      </c>
      <c r="X23" s="241" t="e">
        <f t="shared" ref="X23:X36" ca="1" si="8">W23*$H23</f>
        <v>#VALUE!</v>
      </c>
      <c r="Y23" s="244" t="e">
        <f ca="1">IF(AND(INDEX(FlowCalConstA,MATCH(V21,FlowCalNumber,0),1,1)*X23^INDEX(FlowCalConstB,MATCH(V21,FlowCalNumber,0),1,1)&gt;INDEX(FlowCalLowSetting,MATCH(V21,FlowCalNumber,0),1,1), (INDEX(FlowCalConstA,MATCH(V21,FlowCalNumber,0),1,1)*X23^INDEX(FlowCalConstB,MATCH(V21,FlowCalNumber,0),1,1)&lt;INDEX(FlowCalHighSetting,MATCH(V21,FlowCalNumber,0),1,1))),INDEX(FlowCalConstA,MATCH(V21,FlowCalNumber,0),1,1)*X23^INDEX(FlowCalConstB,MATCH(V21,FlowCalNumber,0),1,1)," ")</f>
        <v>#N/A</v>
      </c>
    </row>
    <row r="24" spans="1:25" s="1215" customFormat="1">
      <c r="A24" s="1208"/>
      <c r="B24" s="1209"/>
      <c r="C24" s="1210"/>
      <c r="D24" s="1211">
        <f>'1% Wind'!$M$84</f>
        <v>20.5</v>
      </c>
      <c r="E24" s="1212"/>
      <c r="F24" s="1212"/>
      <c r="G24" s="1213">
        <f ca="1">IF(I21=1,$G23,MAX(G23/D23*D24,2))</f>
        <v>6.001707317073171</v>
      </c>
      <c r="H24" s="1214" t="e">
        <f t="shared" ca="1" si="0"/>
        <v>#VALUE!</v>
      </c>
      <c r="J24" s="1216"/>
      <c r="K24" s="1217">
        <f t="shared" si="1"/>
        <v>1</v>
      </c>
      <c r="L24" s="1218" t="e">
        <f t="shared" ca="1" si="2"/>
        <v>#VALUE!</v>
      </c>
      <c r="M24" s="1219" t="e">
        <f ca="1">IF(AND(INDEX(FlowCalConstA,MATCH(J21,FlowCalNumber,0),1,1)*L24^INDEX(FlowCalConstB,MATCH(J21,FlowCalNumber,0),1,1)&gt;INDEX(FlowCalLowSetting,MATCH(J21,FlowCalNumber,0),1,1), (INDEX(FlowCalConstA,MATCH(J21,FlowCalNumber,0),1,1)*L24^INDEX(FlowCalConstB,MATCH(J21,FlowCalNumber,0),1,1)&lt;INDEX(FlowCalHighSetting,MATCH(J21,FlowCalNumber,0),1,1))),INDEX(FlowCalConstA,MATCH(J21,FlowCalNumber,0),1,1)*L24^INDEX(FlowCalConstB,MATCH(J21,FlowCalNumber,0),1,1)," ")</f>
        <v>#N/A</v>
      </c>
      <c r="N24" s="1216"/>
      <c r="O24" s="1217">
        <f t="shared" si="3"/>
        <v>1</v>
      </c>
      <c r="P24" s="1218" t="e">
        <f t="shared" ca="1" si="4"/>
        <v>#VALUE!</v>
      </c>
      <c r="Q24" s="1220" t="e">
        <f ca="1">IF(AND(INDEX(FlowCalConstA,MATCH(N21,FlowCalNumber,0),1,1)*P24^INDEX(FlowCalConstB,MATCH(N21,FlowCalNumber,0),1,1)&gt;INDEX(FlowCalLowSetting,MATCH(N21,FlowCalNumber,0),1,1), (INDEX(FlowCalConstA,MATCH(N21,FlowCalNumber,0),1,1)*P24^INDEX(FlowCalConstB,MATCH(N21,FlowCalNumber,0),1,1)&lt;INDEX(FlowCalHighSetting,MATCH(N21,FlowCalNumber,0),1,1))),INDEX(FlowCalConstA,MATCH(N21,FlowCalNumber,0),1,1)*P24^INDEX(FlowCalConstB,MATCH(N21,FlowCalNumber,0),1,1)," ")</f>
        <v>#N/A</v>
      </c>
      <c r="R24" s="1216"/>
      <c r="S24" s="1217">
        <f t="shared" si="5"/>
        <v>0.5</v>
      </c>
      <c r="T24" s="1218" t="e">
        <f t="shared" ca="1" si="6"/>
        <v>#VALUE!</v>
      </c>
      <c r="U24" s="1219" t="e">
        <f ca="1">IF(AND(INDEX(FlowCalConstA,MATCH(R21,FlowCalNumber,0),1,1)*T24^INDEX(FlowCalConstB,MATCH(R21,FlowCalNumber,0),1,1)&gt;INDEX(FlowCalLowSetting,MATCH(R21,FlowCalNumber,0),1,1), (INDEX(FlowCalConstA,MATCH(R21,FlowCalNumber,0),1,1)*T24^INDEX(FlowCalConstB,MATCH(R21,FlowCalNumber,0),1,1)&lt;INDEX(FlowCalHighSetting,MATCH(R21,FlowCalNumber,0),1,1))),INDEX(FlowCalConstA,MATCH(R21,FlowCalNumber,0),1,1)*T24^INDEX(FlowCalConstB,MATCH(R21,FlowCalNumber,0),1,1)," ")</f>
        <v>#N/A</v>
      </c>
      <c r="V24" s="1216"/>
      <c r="W24" s="1217">
        <f t="shared" si="7"/>
        <v>0.5</v>
      </c>
      <c r="X24" s="1218" t="e">
        <f t="shared" ca="1" si="8"/>
        <v>#VALUE!</v>
      </c>
      <c r="Y24" s="1220" t="e">
        <f ca="1">IF(AND(INDEX(FlowCalConstA,MATCH(V21,FlowCalNumber,0),1,1)*X24^INDEX(FlowCalConstB,MATCH(V21,FlowCalNumber,0),1,1)&gt;INDEX(FlowCalLowSetting,MATCH(V21,FlowCalNumber,0),1,1), (INDEX(FlowCalConstA,MATCH(V21,FlowCalNumber,0),1,1)*X24^INDEX(FlowCalConstB,MATCH(V21,FlowCalNumber,0),1,1)&lt;INDEX(FlowCalHighSetting,MATCH(V21,FlowCalNumber,0),1,1))),INDEX(FlowCalConstA,MATCH(V21,FlowCalNumber,0),1,1)*X24^INDEX(FlowCalConstB,MATCH(V21,FlowCalNumber,0),1,1)," ")</f>
        <v>#N/A</v>
      </c>
    </row>
    <row r="25" spans="1:25">
      <c r="A25" s="412"/>
      <c r="B25" s="2"/>
      <c r="C25" s="235"/>
      <c r="D25" s="24">
        <f>'1% Wind'!$M$85</f>
        <v>17.8</v>
      </c>
      <c r="E25" s="90"/>
      <c r="F25" s="90"/>
      <c r="G25" s="79">
        <f ca="1">IF(I21=1,$G24,MAX(G24/D24*D25,2))</f>
        <v>6.001707317073171</v>
      </c>
      <c r="H25" s="121" t="e">
        <f t="shared" ca="1" si="0"/>
        <v>#VALUE!</v>
      </c>
      <c r="J25" s="377"/>
      <c r="K25" s="242">
        <f t="shared" si="1"/>
        <v>1</v>
      </c>
      <c r="L25" s="241" t="e">
        <f t="shared" ca="1" si="2"/>
        <v>#VALUE!</v>
      </c>
      <c r="M25" s="243" t="e">
        <f ca="1">IF(AND(INDEX(FlowCalConstA,MATCH(J21,FlowCalNumber,0),1,1)*L25^INDEX(FlowCalConstB,MATCH(J21,FlowCalNumber,0),1,1)&gt;INDEX(FlowCalLowSetting,MATCH(J21,FlowCalNumber,0),1,1), (INDEX(FlowCalConstA,MATCH(J21,FlowCalNumber,0),1,1)*L25^INDEX(FlowCalConstB,MATCH(J21,FlowCalNumber,0),1,1)&lt;INDEX(FlowCalHighSetting,MATCH(J21,FlowCalNumber,0),1,1))),INDEX(FlowCalConstA,MATCH(J21,FlowCalNumber,0),1,1)*L25^INDEX(FlowCalConstB,MATCH(J21,FlowCalNumber,0),1,1)," ")</f>
        <v>#N/A</v>
      </c>
      <c r="N25" s="377"/>
      <c r="O25" s="242">
        <f t="shared" si="3"/>
        <v>1</v>
      </c>
      <c r="P25" s="241" t="e">
        <f t="shared" ca="1" si="4"/>
        <v>#VALUE!</v>
      </c>
      <c r="Q25" s="244" t="e">
        <f ca="1">IF(AND(INDEX(FlowCalConstA,MATCH(N21,FlowCalNumber,0),1,1)*P25^INDEX(FlowCalConstB,MATCH(N21,FlowCalNumber,0),1,1)&gt;INDEX(FlowCalLowSetting,MATCH(N21,FlowCalNumber,0),1,1), (INDEX(FlowCalConstA,MATCH(N21,FlowCalNumber,0),1,1)*P25^INDEX(FlowCalConstB,MATCH(N21,FlowCalNumber,0),1,1)&lt;INDEX(FlowCalHighSetting,MATCH(N21,FlowCalNumber,0),1,1))),INDEX(FlowCalConstA,MATCH(N21,FlowCalNumber,0),1,1)*P25^INDEX(FlowCalConstB,MATCH(N21,FlowCalNumber,0),1,1)," ")</f>
        <v>#N/A</v>
      </c>
      <c r="R25" s="377"/>
      <c r="S25" s="242">
        <f t="shared" si="5"/>
        <v>0.5</v>
      </c>
      <c r="T25" s="241" t="e">
        <f t="shared" ca="1" si="6"/>
        <v>#VALUE!</v>
      </c>
      <c r="U25" s="243" t="e">
        <f ca="1">IF(AND(INDEX(FlowCalConstA,MATCH(R21,FlowCalNumber,0),1,1)*T25^INDEX(FlowCalConstB,MATCH(R21,FlowCalNumber,0),1,1)&gt;INDEX(FlowCalLowSetting,MATCH(R21,FlowCalNumber,0),1,1), (INDEX(FlowCalConstA,MATCH(R21,FlowCalNumber,0),1,1)*T25^INDEX(FlowCalConstB,MATCH(R21,FlowCalNumber,0),1,1)&lt;INDEX(FlowCalHighSetting,MATCH(R21,FlowCalNumber,0),1,1))),INDEX(FlowCalConstA,MATCH(R21,FlowCalNumber,0),1,1)*T25^INDEX(FlowCalConstB,MATCH(R21,FlowCalNumber,0),1,1)," ")</f>
        <v>#N/A</v>
      </c>
      <c r="V25" s="377"/>
      <c r="W25" s="242">
        <f t="shared" si="7"/>
        <v>0.5</v>
      </c>
      <c r="X25" s="241" t="e">
        <f t="shared" ca="1" si="8"/>
        <v>#VALUE!</v>
      </c>
      <c r="Y25" s="244" t="e">
        <f ca="1">IF(AND(INDEX(FlowCalConstA,MATCH(V21,FlowCalNumber,0),1,1)*X25^INDEX(FlowCalConstB,MATCH(V21,FlowCalNumber,0),1,1)&gt;INDEX(FlowCalLowSetting,MATCH(V21,FlowCalNumber,0),1,1), (INDEX(FlowCalConstA,MATCH(V21,FlowCalNumber,0),1,1)*X25^INDEX(FlowCalConstB,MATCH(V21,FlowCalNumber,0),1,1)&lt;INDEX(FlowCalHighSetting,MATCH(V21,FlowCalNumber,0),1,1))),INDEX(FlowCalConstA,MATCH(V21,FlowCalNumber,0),1,1)*X25^INDEX(FlowCalConstB,MATCH(V21,FlowCalNumber,0),1,1)," ")</f>
        <v>#N/A</v>
      </c>
    </row>
    <row r="26" spans="1:25" s="1215" customFormat="1">
      <c r="A26" s="1208"/>
      <c r="B26" s="1209"/>
      <c r="C26" s="1210"/>
      <c r="D26" s="1211">
        <f>'1% Wind'!$M$86</f>
        <v>15.5</v>
      </c>
      <c r="E26" s="1212"/>
      <c r="F26" s="1212"/>
      <c r="G26" s="1213">
        <f ca="1">IF(I21=1,$G25,MAX(G25/D25*D26,2))</f>
        <v>6.001707317073171</v>
      </c>
      <c r="H26" s="1214" t="e">
        <f t="shared" ca="1" si="0"/>
        <v>#VALUE!</v>
      </c>
      <c r="J26" s="1216"/>
      <c r="K26" s="1217">
        <f t="shared" si="1"/>
        <v>1</v>
      </c>
      <c r="L26" s="1218" t="e">
        <f t="shared" ca="1" si="2"/>
        <v>#VALUE!</v>
      </c>
      <c r="M26" s="1219" t="e">
        <f ca="1">IF(AND(INDEX(FlowCalConstA,MATCH(J21,FlowCalNumber,0),1,1)*L26^INDEX(FlowCalConstB,MATCH(J21,FlowCalNumber,0),1,1)&gt;INDEX(FlowCalLowSetting,MATCH(J21,FlowCalNumber,0),1,1), (INDEX(FlowCalConstA,MATCH(J21,FlowCalNumber,0),1,1)*L26^INDEX(FlowCalConstB,MATCH(J21,FlowCalNumber,0),1,1)&lt;INDEX(FlowCalHighSetting,MATCH(J21,FlowCalNumber,0),1,1))),INDEX(FlowCalConstA,MATCH(J21,FlowCalNumber,0),1,1)*L26^INDEX(FlowCalConstB,MATCH(J21,FlowCalNumber,0),1,1)," ")</f>
        <v>#N/A</v>
      </c>
      <c r="N26" s="1216"/>
      <c r="O26" s="1217">
        <f t="shared" si="3"/>
        <v>1</v>
      </c>
      <c r="P26" s="1218" t="e">
        <f t="shared" ca="1" si="4"/>
        <v>#VALUE!</v>
      </c>
      <c r="Q26" s="1220" t="e">
        <f ca="1">IF(AND(INDEX(FlowCalConstA,MATCH(N21,FlowCalNumber,0),1,1)*P26^INDEX(FlowCalConstB,MATCH(N21,FlowCalNumber,0),1,1)&gt;INDEX(FlowCalLowSetting,MATCH(N21,FlowCalNumber,0),1,1), (INDEX(FlowCalConstA,MATCH(N21,FlowCalNumber,0),1,1)*P26^INDEX(FlowCalConstB,MATCH(N21,FlowCalNumber,0),1,1)&lt;INDEX(FlowCalHighSetting,MATCH(N21,FlowCalNumber,0),1,1))),INDEX(FlowCalConstA,MATCH(N21,FlowCalNumber,0),1,1)*P26^INDEX(FlowCalConstB,MATCH(N21,FlowCalNumber,0),1,1)," ")</f>
        <v>#N/A</v>
      </c>
      <c r="R26" s="1216"/>
      <c r="S26" s="1217">
        <f t="shared" si="5"/>
        <v>0.5</v>
      </c>
      <c r="T26" s="1218" t="e">
        <f t="shared" ca="1" si="6"/>
        <v>#VALUE!</v>
      </c>
      <c r="U26" s="1219" t="e">
        <f ca="1">IF(AND(INDEX(FlowCalConstA,MATCH(R21,FlowCalNumber,0),1,1)*T26^INDEX(FlowCalConstB,MATCH(R21,FlowCalNumber,0),1,1)&gt;INDEX(FlowCalLowSetting,MATCH(R21,FlowCalNumber,0),1,1), (INDEX(FlowCalConstA,MATCH(R21,FlowCalNumber,0),1,1)*T26^INDEX(FlowCalConstB,MATCH(R21,FlowCalNumber,0),1,1)&lt;INDEX(FlowCalHighSetting,MATCH(R21,FlowCalNumber,0),1,1))),INDEX(FlowCalConstA,MATCH(R21,FlowCalNumber,0),1,1)*T26^INDEX(FlowCalConstB,MATCH(R21,FlowCalNumber,0),1,1)," ")</f>
        <v>#N/A</v>
      </c>
      <c r="V26" s="1216"/>
      <c r="W26" s="1217">
        <f t="shared" si="7"/>
        <v>0.5</v>
      </c>
      <c r="X26" s="1218" t="e">
        <f t="shared" ca="1" si="8"/>
        <v>#VALUE!</v>
      </c>
      <c r="Y26" s="1220" t="e">
        <f ca="1">IF(AND(INDEX(FlowCalConstA,MATCH(V21,FlowCalNumber,0),1,1)*X26^INDEX(FlowCalConstB,MATCH(V21,FlowCalNumber,0),1,1)&gt;INDEX(FlowCalLowSetting,MATCH(V21,FlowCalNumber,0),1,1), (INDEX(FlowCalConstA,MATCH(V21,FlowCalNumber,0),1,1)*X26^INDEX(FlowCalConstB,MATCH(V21,FlowCalNumber,0),1,1)&lt;INDEX(FlowCalHighSetting,MATCH(V21,FlowCalNumber,0),1,1))),INDEX(FlowCalConstA,MATCH(V21,FlowCalNumber,0),1,1)*X26^INDEX(FlowCalConstB,MATCH(V21,FlowCalNumber,0),1,1)," ")</f>
        <v>#N/A</v>
      </c>
    </row>
    <row r="27" spans="1:25">
      <c r="A27" s="412"/>
      <c r="B27" s="2"/>
      <c r="C27" s="235"/>
      <c r="D27" s="24">
        <f>'1% Wind'!$M$87</f>
        <v>13.5</v>
      </c>
      <c r="E27" s="90"/>
      <c r="F27" s="90"/>
      <c r="G27" s="79">
        <f ca="1">IF(I21=1,$G26,MAX(G26/D26*D27,2))</f>
        <v>6.001707317073171</v>
      </c>
      <c r="H27" s="121" t="e">
        <f t="shared" ca="1" si="0"/>
        <v>#VALUE!</v>
      </c>
      <c r="J27" s="377"/>
      <c r="K27" s="242">
        <f t="shared" si="1"/>
        <v>1</v>
      </c>
      <c r="L27" s="241" t="e">
        <f t="shared" ca="1" si="2"/>
        <v>#VALUE!</v>
      </c>
      <c r="M27" s="243" t="e">
        <f ca="1">IF(AND(INDEX(FlowCalConstA,MATCH(J21,FlowCalNumber,0),1,1)*L27^INDEX(FlowCalConstB,MATCH(J21,FlowCalNumber,0),1,1)&gt;INDEX(FlowCalLowSetting,MATCH(J21,FlowCalNumber,0),1,1), (INDEX(FlowCalConstA,MATCH(J21,FlowCalNumber,0),1,1)*L27^INDEX(FlowCalConstB,MATCH(J21,FlowCalNumber,0),1,1)&lt;INDEX(FlowCalHighSetting,MATCH(J21,FlowCalNumber,0),1,1))),INDEX(FlowCalConstA,MATCH(J21,FlowCalNumber,0),1,1)*L27^INDEX(FlowCalConstB,MATCH(J21,FlowCalNumber,0),1,1)," ")</f>
        <v>#N/A</v>
      </c>
      <c r="N27" s="377"/>
      <c r="O27" s="242">
        <f t="shared" si="3"/>
        <v>1</v>
      </c>
      <c r="P27" s="241" t="e">
        <f t="shared" ca="1" si="4"/>
        <v>#VALUE!</v>
      </c>
      <c r="Q27" s="244" t="e">
        <f ca="1">IF(AND(INDEX(FlowCalConstA,MATCH(N21,FlowCalNumber,0),1,1)*P27^INDEX(FlowCalConstB,MATCH(N21,FlowCalNumber,0),1,1)&gt;INDEX(FlowCalLowSetting,MATCH(N21,FlowCalNumber,0),1,1), (INDEX(FlowCalConstA,MATCH(N21,FlowCalNumber,0),1,1)*P27^INDEX(FlowCalConstB,MATCH(N21,FlowCalNumber,0),1,1)&lt;INDEX(FlowCalHighSetting,MATCH(N21,FlowCalNumber,0),1,1))),INDEX(FlowCalConstA,MATCH(N21,FlowCalNumber,0),1,1)*P27^INDEX(FlowCalConstB,MATCH(N21,FlowCalNumber,0),1,1)," ")</f>
        <v>#N/A</v>
      </c>
      <c r="R27" s="377"/>
      <c r="S27" s="242">
        <f t="shared" si="5"/>
        <v>0.5</v>
      </c>
      <c r="T27" s="241" t="e">
        <f t="shared" ca="1" si="6"/>
        <v>#VALUE!</v>
      </c>
      <c r="U27" s="243" t="e">
        <f ca="1">IF(AND(INDEX(FlowCalConstA,MATCH(R21,FlowCalNumber,0),1,1)*T27^INDEX(FlowCalConstB,MATCH(R21,FlowCalNumber,0),1,1)&gt;INDEX(FlowCalLowSetting,MATCH(R21,FlowCalNumber,0),1,1), (INDEX(FlowCalConstA,MATCH(R21,FlowCalNumber,0),1,1)*T27^INDEX(FlowCalConstB,MATCH(R21,FlowCalNumber,0),1,1)&lt;INDEX(FlowCalHighSetting,MATCH(R21,FlowCalNumber,0),1,1))),INDEX(FlowCalConstA,MATCH(R21,FlowCalNumber,0),1,1)*T27^INDEX(FlowCalConstB,MATCH(R21,FlowCalNumber,0),1,1)," ")</f>
        <v>#N/A</v>
      </c>
      <c r="V27" s="377"/>
      <c r="W27" s="242">
        <f t="shared" si="7"/>
        <v>0.5</v>
      </c>
      <c r="X27" s="241" t="e">
        <f t="shared" ca="1" si="8"/>
        <v>#VALUE!</v>
      </c>
      <c r="Y27" s="244" t="e">
        <f ca="1">IF(AND(INDEX(FlowCalConstA,MATCH(V21,FlowCalNumber,0),1,1)*X27^INDEX(FlowCalConstB,MATCH(V21,FlowCalNumber,0),1,1)&gt;INDEX(FlowCalLowSetting,MATCH(V21,FlowCalNumber,0),1,1), (INDEX(FlowCalConstA,MATCH(V21,FlowCalNumber,0),1,1)*X27^INDEX(FlowCalConstB,MATCH(V21,FlowCalNumber,0),1,1)&lt;INDEX(FlowCalHighSetting,MATCH(V21,FlowCalNumber,0),1,1))),INDEX(FlowCalConstA,MATCH(V21,FlowCalNumber,0),1,1)*X27^INDEX(FlowCalConstB,MATCH(V21,FlowCalNumber,0),1,1)," ")</f>
        <v>#N/A</v>
      </c>
    </row>
    <row r="28" spans="1:25" s="1215" customFormat="1">
      <c r="A28" s="1208"/>
      <c r="B28" s="1209"/>
      <c r="C28" s="1210"/>
      <c r="D28" s="1211">
        <f>'1% Wind'!$M$88</f>
        <v>10.1</v>
      </c>
      <c r="E28" s="1212"/>
      <c r="F28" s="1212"/>
      <c r="G28" s="1213">
        <f ca="1">IF(I21=1,$G27,MAX(G27/D27*D28,2))</f>
        <v>6.001707317073171</v>
      </c>
      <c r="H28" s="1214" t="e">
        <f t="shared" ca="1" si="0"/>
        <v>#VALUE!</v>
      </c>
      <c r="J28" s="1216"/>
      <c r="K28" s="1217">
        <f t="shared" si="1"/>
        <v>1</v>
      </c>
      <c r="L28" s="1218" t="e">
        <f t="shared" ca="1" si="2"/>
        <v>#VALUE!</v>
      </c>
      <c r="M28" s="1219" t="e">
        <f ca="1">IF(AND(INDEX(FlowCalConstA,MATCH(J21,FlowCalNumber,0),1,1)*L28^INDEX(FlowCalConstB,MATCH(J21,FlowCalNumber,0),1,1)&gt;INDEX(FlowCalLowSetting,MATCH(J21,FlowCalNumber,0),1,1), (INDEX(FlowCalConstA,MATCH(J21,FlowCalNumber,0),1,1)*L28^INDEX(FlowCalConstB,MATCH(J21,FlowCalNumber,0),1,1)&lt;INDEX(FlowCalHighSetting,MATCH(J21,FlowCalNumber,0),1,1))),INDEX(FlowCalConstA,MATCH(J21,FlowCalNumber,0),1,1)*L28^INDEX(FlowCalConstB,MATCH(J21,FlowCalNumber,0),1,1)," ")</f>
        <v>#N/A</v>
      </c>
      <c r="N28" s="1216"/>
      <c r="O28" s="1217">
        <f t="shared" si="3"/>
        <v>1</v>
      </c>
      <c r="P28" s="1218" t="e">
        <f t="shared" ca="1" si="4"/>
        <v>#VALUE!</v>
      </c>
      <c r="Q28" s="1220" t="e">
        <f ca="1">IF(AND(INDEX(FlowCalConstA,MATCH(N21,FlowCalNumber,0),1,1)*P28^INDEX(FlowCalConstB,MATCH(N21,FlowCalNumber,0),1,1)&gt;INDEX(FlowCalLowSetting,MATCH(N21,FlowCalNumber,0),1,1), (INDEX(FlowCalConstA,MATCH(N21,FlowCalNumber,0),1,1)*P28^INDEX(FlowCalConstB,MATCH(N21,FlowCalNumber,0),1,1)&lt;INDEX(FlowCalHighSetting,MATCH(N21,FlowCalNumber,0),1,1))),INDEX(FlowCalConstA,MATCH(N21,FlowCalNumber,0),1,1)*P28^INDEX(FlowCalConstB,MATCH(N21,FlowCalNumber,0),1,1)," ")</f>
        <v>#N/A</v>
      </c>
      <c r="R28" s="1216"/>
      <c r="S28" s="1217">
        <f t="shared" si="5"/>
        <v>0.5</v>
      </c>
      <c r="T28" s="1218" t="e">
        <f t="shared" ca="1" si="6"/>
        <v>#VALUE!</v>
      </c>
      <c r="U28" s="1219" t="e">
        <f ca="1">IF(AND(INDEX(FlowCalConstA,MATCH(R21,FlowCalNumber,0),1,1)*T28^INDEX(FlowCalConstB,MATCH(R21,FlowCalNumber,0),1,1)&gt;INDEX(FlowCalLowSetting,MATCH(R21,FlowCalNumber,0),1,1), (INDEX(FlowCalConstA,MATCH(R21,FlowCalNumber,0),1,1)*T28^INDEX(FlowCalConstB,MATCH(R21,FlowCalNumber,0),1,1)&lt;INDEX(FlowCalHighSetting,MATCH(R21,FlowCalNumber,0),1,1))),INDEX(FlowCalConstA,MATCH(R21,FlowCalNumber,0),1,1)*T28^INDEX(FlowCalConstB,MATCH(R21,FlowCalNumber,0),1,1)," ")</f>
        <v>#N/A</v>
      </c>
      <c r="V28" s="1216"/>
      <c r="W28" s="1217">
        <f t="shared" si="7"/>
        <v>0.5</v>
      </c>
      <c r="X28" s="1218" t="e">
        <f t="shared" ca="1" si="8"/>
        <v>#VALUE!</v>
      </c>
      <c r="Y28" s="1220" t="e">
        <f ca="1">IF(AND(INDEX(FlowCalConstA,MATCH(V21,FlowCalNumber,0),1,1)*X28^INDEX(FlowCalConstB,MATCH(V21,FlowCalNumber,0),1,1)&gt;INDEX(FlowCalLowSetting,MATCH(V21,FlowCalNumber,0),1,1), (INDEX(FlowCalConstA,MATCH(V21,FlowCalNumber,0),1,1)*X28^INDEX(FlowCalConstB,MATCH(V21,FlowCalNumber,0),1,1)&lt;INDEX(FlowCalHighSetting,MATCH(V21,FlowCalNumber,0),1,1))),INDEX(FlowCalConstA,MATCH(V21,FlowCalNumber,0),1,1)*X28^INDEX(FlowCalConstB,MATCH(V21,FlowCalNumber,0),1,1)," ")</f>
        <v>#N/A</v>
      </c>
    </row>
    <row r="29" spans="1:25">
      <c r="A29" s="412"/>
      <c r="B29" s="2"/>
      <c r="C29" s="235"/>
      <c r="D29" s="24">
        <f>'1% Wind'!$M$89</f>
        <v>7.6</v>
      </c>
      <c r="E29" s="90"/>
      <c r="F29" s="90"/>
      <c r="G29" s="79">
        <f ca="1">IF(I21=1,G28,MAX(G28/D28*D29,2))</f>
        <v>6.001707317073171</v>
      </c>
      <c r="H29" s="121" t="e">
        <f t="shared" ca="1" si="0"/>
        <v>#VALUE!</v>
      </c>
      <c r="J29" s="377"/>
      <c r="K29" s="242">
        <f t="shared" si="1"/>
        <v>1</v>
      </c>
      <c r="L29" s="241" t="e">
        <f t="shared" ca="1" si="2"/>
        <v>#VALUE!</v>
      </c>
      <c r="M29" s="243" t="e">
        <f ca="1">IF(AND(INDEX(FlowCalConstA,MATCH(J21,FlowCalNumber,0),1,1)*L29^INDEX(FlowCalConstB,MATCH(J21,FlowCalNumber,0),1,1)&gt;INDEX(FlowCalLowSetting,MATCH(J21,FlowCalNumber,0),1,1), (INDEX(FlowCalConstA,MATCH(J21,FlowCalNumber,0),1,1)*L29^INDEX(FlowCalConstB,MATCH(J21,FlowCalNumber,0),1,1)&lt;INDEX(FlowCalHighSetting,MATCH(J21,FlowCalNumber,0),1,1))),INDEX(FlowCalConstA,MATCH(J21,FlowCalNumber,0),1,1)*L29^INDEX(FlowCalConstB,MATCH(J21,FlowCalNumber,0),1,1)," ")</f>
        <v>#N/A</v>
      </c>
      <c r="N29" s="377"/>
      <c r="O29" s="242">
        <f t="shared" si="3"/>
        <v>1</v>
      </c>
      <c r="P29" s="241" t="e">
        <f t="shared" ca="1" si="4"/>
        <v>#VALUE!</v>
      </c>
      <c r="Q29" s="244" t="e">
        <f ca="1">IF(AND(INDEX(FlowCalConstA,MATCH(N21,FlowCalNumber,0),1,1)*P29^INDEX(FlowCalConstB,MATCH(N21,FlowCalNumber,0),1,1)&gt;INDEX(FlowCalLowSetting,MATCH(N21,FlowCalNumber,0),1,1), (INDEX(FlowCalConstA,MATCH(N21,FlowCalNumber,0),1,1)*P29^INDEX(FlowCalConstB,MATCH(N21,FlowCalNumber,0),1,1)&lt;INDEX(FlowCalHighSetting,MATCH(N21,FlowCalNumber,0),1,1))),INDEX(FlowCalConstA,MATCH(N21,FlowCalNumber,0),1,1)*P29^INDEX(FlowCalConstB,MATCH(N21,FlowCalNumber,0),1,1)," ")</f>
        <v>#N/A</v>
      </c>
      <c r="R29" s="377"/>
      <c r="S29" s="242">
        <f t="shared" si="5"/>
        <v>0.5</v>
      </c>
      <c r="T29" s="241" t="e">
        <f t="shared" ca="1" si="6"/>
        <v>#VALUE!</v>
      </c>
      <c r="U29" s="243" t="e">
        <f ca="1">IF(AND(INDEX(FlowCalConstA,MATCH(R21,FlowCalNumber,0),1,1)*T29^INDEX(FlowCalConstB,MATCH(R21,FlowCalNumber,0),1,1)&gt;INDEX(FlowCalLowSetting,MATCH(R21,FlowCalNumber,0),1,1), (INDEX(FlowCalConstA,MATCH(R21,FlowCalNumber,0),1,1)*T29^INDEX(FlowCalConstB,MATCH(R21,FlowCalNumber,0),1,1)&lt;INDEX(FlowCalHighSetting,MATCH(R21,FlowCalNumber,0),1,1))),INDEX(FlowCalConstA,MATCH(R21,FlowCalNumber,0),1,1)*T29^INDEX(FlowCalConstB,MATCH(R21,FlowCalNumber,0),1,1)," ")</f>
        <v>#N/A</v>
      </c>
      <c r="V29" s="377"/>
      <c r="W29" s="242">
        <f t="shared" si="7"/>
        <v>0.5</v>
      </c>
      <c r="X29" s="241" t="e">
        <f t="shared" ca="1" si="8"/>
        <v>#VALUE!</v>
      </c>
      <c r="Y29" s="244" t="e">
        <f ca="1">IF(AND(INDEX(FlowCalConstA,MATCH(V21,FlowCalNumber,0),1,1)*X29^INDEX(FlowCalConstB,MATCH(V21,FlowCalNumber,0),1,1)&gt;INDEX(FlowCalLowSetting,MATCH(V21,FlowCalNumber,0),1,1), (INDEX(FlowCalConstA,MATCH(V21,FlowCalNumber,0),1,1)*X29^INDEX(FlowCalConstB,MATCH(V21,FlowCalNumber,0),1,1)&lt;INDEX(FlowCalHighSetting,MATCH(V21,FlowCalNumber,0),1,1))),INDEX(FlowCalConstA,MATCH(V21,FlowCalNumber,0),1,1)*X29^INDEX(FlowCalConstB,MATCH(V21,FlowCalNumber,0),1,1)," ")</f>
        <v>#N/A</v>
      </c>
    </row>
    <row r="30" spans="1:25" s="1215" customFormat="1">
      <c r="A30" s="1208"/>
      <c r="B30" s="1209"/>
      <c r="C30" s="1210"/>
      <c r="D30" s="1211">
        <f>'1% Wind'!$M$90</f>
        <v>5.7</v>
      </c>
      <c r="E30" s="1212"/>
      <c r="F30" s="1212"/>
      <c r="G30" s="1213">
        <f ca="1">IF(I21=1,G29,MAX(G29/D29*D30,2))</f>
        <v>6.001707317073171</v>
      </c>
      <c r="H30" s="1214" t="e">
        <f t="shared" ca="1" si="0"/>
        <v>#VALUE!</v>
      </c>
      <c r="J30" s="1216"/>
      <c r="K30" s="1217">
        <f t="shared" si="1"/>
        <v>1</v>
      </c>
      <c r="L30" s="1218" t="e">
        <f t="shared" ca="1" si="2"/>
        <v>#VALUE!</v>
      </c>
      <c r="M30" s="1219" t="e">
        <f ca="1">IF(AND(INDEX(FlowCalConstA,MATCH(J21,FlowCalNumber,0),1,1)*L30^INDEX(FlowCalConstB,MATCH(J21,FlowCalNumber,0),1,1)&gt;INDEX(FlowCalLowSetting,MATCH(J21,FlowCalNumber,0),1,1), (INDEX(FlowCalConstA,MATCH(J21,FlowCalNumber,0),1,1)*L30^INDEX(FlowCalConstB,MATCH(J21,FlowCalNumber,0),1,1)&lt;INDEX(FlowCalHighSetting,MATCH(J21,FlowCalNumber,0),1,1))),INDEX(FlowCalConstA,MATCH(J21,FlowCalNumber,0),1,1)*L30^INDEX(FlowCalConstB,MATCH(J21,FlowCalNumber,0),1,1)," ")</f>
        <v>#N/A</v>
      </c>
      <c r="N30" s="1216"/>
      <c r="O30" s="1217">
        <f t="shared" si="3"/>
        <v>1</v>
      </c>
      <c r="P30" s="1218" t="e">
        <f t="shared" ca="1" si="4"/>
        <v>#VALUE!</v>
      </c>
      <c r="Q30" s="1220" t="e">
        <f ca="1">IF(AND(INDEX(FlowCalConstA,MATCH(N21,FlowCalNumber,0),1,1)*P30^INDEX(FlowCalConstB,MATCH(N21,FlowCalNumber,0),1,1)&gt;INDEX(FlowCalLowSetting,MATCH(N21,FlowCalNumber,0),1,1), (INDEX(FlowCalConstA,MATCH(N21,FlowCalNumber,0),1,1)*P30^INDEX(FlowCalConstB,MATCH(N21,FlowCalNumber,0),1,1)&lt;INDEX(FlowCalHighSetting,MATCH(N21,FlowCalNumber,0),1,1))),INDEX(FlowCalConstA,MATCH(N21,FlowCalNumber,0),1,1)*P30^INDEX(FlowCalConstB,MATCH(N21,FlowCalNumber,0),1,1)," ")</f>
        <v>#N/A</v>
      </c>
      <c r="R30" s="1216"/>
      <c r="S30" s="1217">
        <f t="shared" si="5"/>
        <v>0.5</v>
      </c>
      <c r="T30" s="1218" t="e">
        <f t="shared" ca="1" si="6"/>
        <v>#VALUE!</v>
      </c>
      <c r="U30" s="1219" t="e">
        <f ca="1">IF(AND(INDEX(FlowCalConstA,MATCH(R21,FlowCalNumber,0),1,1)*T30^INDEX(FlowCalConstB,MATCH(R21,FlowCalNumber,0),1,1)&gt;INDEX(FlowCalLowSetting,MATCH(R21,FlowCalNumber,0),1,1), (INDEX(FlowCalConstA,MATCH(R21,FlowCalNumber,0),1,1)*T30^INDEX(FlowCalConstB,MATCH(R21,FlowCalNumber,0),1,1)&lt;INDEX(FlowCalHighSetting,MATCH(R21,FlowCalNumber,0),1,1))),INDEX(FlowCalConstA,MATCH(R21,FlowCalNumber,0),1,1)*T30^INDEX(FlowCalConstB,MATCH(R21,FlowCalNumber,0),1,1)," ")</f>
        <v>#N/A</v>
      </c>
      <c r="V30" s="1216"/>
      <c r="W30" s="1217">
        <f t="shared" si="7"/>
        <v>0.5</v>
      </c>
      <c r="X30" s="1218" t="e">
        <f t="shared" ca="1" si="8"/>
        <v>#VALUE!</v>
      </c>
      <c r="Y30" s="1220" t="e">
        <f ca="1">IF(AND(INDEX(FlowCalConstA,MATCH(V21,FlowCalNumber,0),1,1)*X30^INDEX(FlowCalConstB,MATCH(V21,FlowCalNumber,0),1,1)&gt;INDEX(FlowCalLowSetting,MATCH(V21,FlowCalNumber,0),1,1), (INDEX(FlowCalConstA,MATCH(V21,FlowCalNumber,0),1,1)*X30^INDEX(FlowCalConstB,MATCH(V21,FlowCalNumber,0),1,1)&lt;INDEX(FlowCalHighSetting,MATCH(V21,FlowCalNumber,0),1,1))),INDEX(FlowCalConstA,MATCH(V21,FlowCalNumber,0),1,1)*X30^INDEX(FlowCalConstB,MATCH(V21,FlowCalNumber,0),1,1)," ")</f>
        <v>#N/A</v>
      </c>
    </row>
    <row r="31" spans="1:25">
      <c r="A31" s="412"/>
      <c r="B31" s="2"/>
      <c r="C31" s="235"/>
      <c r="D31" s="24">
        <f>'1% Wind'!$M$91</f>
        <v>4.2</v>
      </c>
      <c r="E31" s="90"/>
      <c r="F31" s="90"/>
      <c r="G31" s="79">
        <f ca="1">IF(I21=1,G30,MAX(G30/D30*D31,2))</f>
        <v>6.001707317073171</v>
      </c>
      <c r="H31" s="121" t="e">
        <f t="shared" ca="1" si="0"/>
        <v>#VALUE!</v>
      </c>
      <c r="J31" s="377"/>
      <c r="K31" s="242">
        <f t="shared" si="1"/>
        <v>1</v>
      </c>
      <c r="L31" s="241" t="e">
        <f t="shared" ca="1" si="2"/>
        <v>#VALUE!</v>
      </c>
      <c r="M31" s="243" t="e">
        <f ca="1">IF(AND(INDEX(FlowCalConstA,MATCH(J21,FlowCalNumber,0),1,1)*L31^INDEX(FlowCalConstB,MATCH(J21,FlowCalNumber,0),1,1)&gt;INDEX(FlowCalLowSetting,MATCH(J21,FlowCalNumber,0),1,1), (INDEX(FlowCalConstA,MATCH(J21,FlowCalNumber,0),1,1)*L31^INDEX(FlowCalConstB,MATCH(J21,FlowCalNumber,0),1,1)&lt;INDEX(FlowCalHighSetting,MATCH(J21,FlowCalNumber,0),1,1))),INDEX(FlowCalConstA,MATCH(J21,FlowCalNumber,0),1,1)*L31^INDEX(FlowCalConstB,MATCH(J21,FlowCalNumber,0),1,1)," ")</f>
        <v>#N/A</v>
      </c>
      <c r="N31" s="377"/>
      <c r="O31" s="242">
        <f t="shared" si="3"/>
        <v>1</v>
      </c>
      <c r="P31" s="241" t="e">
        <f t="shared" ca="1" si="4"/>
        <v>#VALUE!</v>
      </c>
      <c r="Q31" s="244" t="e">
        <f ca="1">IF(AND(INDEX(FlowCalConstA,MATCH(N21,FlowCalNumber,0),1,1)*P31^INDEX(FlowCalConstB,MATCH(N21,FlowCalNumber,0),1,1)&gt;INDEX(FlowCalLowSetting,MATCH(N21,FlowCalNumber,0),1,1), (INDEX(FlowCalConstA,MATCH(N21,FlowCalNumber,0),1,1)*P31^INDEX(FlowCalConstB,MATCH(N21,FlowCalNumber,0),1,1)&lt;INDEX(FlowCalHighSetting,MATCH(N21,FlowCalNumber,0),1,1))),INDEX(FlowCalConstA,MATCH(N21,FlowCalNumber,0),1,1)*P31^INDEX(FlowCalConstB,MATCH(N21,FlowCalNumber,0),1,1)," ")</f>
        <v>#N/A</v>
      </c>
      <c r="R31" s="377"/>
      <c r="S31" s="242">
        <f t="shared" si="5"/>
        <v>0.5</v>
      </c>
      <c r="T31" s="241" t="e">
        <f t="shared" ca="1" si="6"/>
        <v>#VALUE!</v>
      </c>
      <c r="U31" s="243" t="e">
        <f ca="1">IF(AND(INDEX(FlowCalConstA,MATCH(R21,FlowCalNumber,0),1,1)*T31^INDEX(FlowCalConstB,MATCH(R21,FlowCalNumber,0),1,1)&gt;INDEX(FlowCalLowSetting,MATCH(R21,FlowCalNumber,0),1,1), (INDEX(FlowCalConstA,MATCH(R21,FlowCalNumber,0),1,1)*T31^INDEX(FlowCalConstB,MATCH(R21,FlowCalNumber,0),1,1)&lt;INDEX(FlowCalHighSetting,MATCH(R21,FlowCalNumber,0),1,1))),INDEX(FlowCalConstA,MATCH(R21,FlowCalNumber,0),1,1)*T31^INDEX(FlowCalConstB,MATCH(R21,FlowCalNumber,0),1,1)," ")</f>
        <v>#N/A</v>
      </c>
      <c r="V31" s="377"/>
      <c r="W31" s="242">
        <f t="shared" si="7"/>
        <v>0.5</v>
      </c>
      <c r="X31" s="241" t="e">
        <f t="shared" ca="1" si="8"/>
        <v>#VALUE!</v>
      </c>
      <c r="Y31" s="244" t="e">
        <f ca="1">IF(AND(INDEX(FlowCalConstA,MATCH(V21,FlowCalNumber,0),1,1)*X31^INDEX(FlowCalConstB,MATCH(V21,FlowCalNumber,0),1,1)&gt;INDEX(FlowCalLowSetting,MATCH(V21,FlowCalNumber,0),1,1), (INDEX(FlowCalConstA,MATCH(V21,FlowCalNumber,0),1,1)*X31^INDEX(FlowCalConstB,MATCH(V21,FlowCalNumber,0),1,1)&lt;INDEX(FlowCalHighSetting,MATCH(V21,FlowCalNumber,0),1,1))),INDEX(FlowCalConstA,MATCH(V21,FlowCalNumber,0),1,1)*X31^INDEX(FlowCalConstB,MATCH(V21,FlowCalNumber,0),1,1)," ")</f>
        <v>#N/A</v>
      </c>
    </row>
    <row r="32" spans="1:25" s="1215" customFormat="1">
      <c r="A32" s="1208"/>
      <c r="B32" s="1209"/>
      <c r="C32" s="1210"/>
      <c r="D32" s="1211">
        <f>'1% Wind'!$M$92</f>
        <v>3.2</v>
      </c>
      <c r="E32" s="1212"/>
      <c r="F32" s="1212"/>
      <c r="G32" s="1213">
        <f ca="1">IF(I21=1,G31,MAX(G31/D31*D32,2))</f>
        <v>6.001707317073171</v>
      </c>
      <c r="H32" s="1214" t="e">
        <f t="shared" ca="1" si="0"/>
        <v>#VALUE!</v>
      </c>
      <c r="J32" s="1216"/>
      <c r="K32" s="1217">
        <f t="shared" si="1"/>
        <v>1</v>
      </c>
      <c r="L32" s="1218" t="e">
        <f t="shared" ca="1" si="2"/>
        <v>#VALUE!</v>
      </c>
      <c r="M32" s="1219" t="e">
        <f ca="1">IF(AND(INDEX(FlowCalConstA,MATCH(J21,FlowCalNumber,0),1,1)*L32^INDEX(FlowCalConstB,MATCH(J21,FlowCalNumber,0),1,1)&gt;INDEX(FlowCalLowSetting,MATCH(J21,FlowCalNumber,0),1,1), (INDEX(FlowCalConstA,MATCH(J21,FlowCalNumber,0),1,1)*L32^INDEX(FlowCalConstB,MATCH(J21,FlowCalNumber,0),1,1)&lt;INDEX(FlowCalHighSetting,MATCH(J21,FlowCalNumber,0),1,1))),INDEX(FlowCalConstA,MATCH(J21,FlowCalNumber,0),1,1)*L32^INDEX(FlowCalConstB,MATCH(J21,FlowCalNumber,0),1,1)," ")</f>
        <v>#N/A</v>
      </c>
      <c r="N32" s="1216"/>
      <c r="O32" s="1217">
        <f t="shared" si="3"/>
        <v>1</v>
      </c>
      <c r="P32" s="1218" t="e">
        <f t="shared" ca="1" si="4"/>
        <v>#VALUE!</v>
      </c>
      <c r="Q32" s="1220" t="e">
        <f ca="1">IF(AND(INDEX(FlowCalConstA,MATCH(N21,FlowCalNumber,0),1,1)*P32^INDEX(FlowCalConstB,MATCH(N21,FlowCalNumber,0),1,1)&gt;INDEX(FlowCalLowSetting,MATCH(N21,FlowCalNumber,0),1,1), (INDEX(FlowCalConstA,MATCH(N21,FlowCalNumber,0),1,1)*P32^INDEX(FlowCalConstB,MATCH(N21,FlowCalNumber,0),1,1)&lt;INDEX(FlowCalHighSetting,MATCH(N21,FlowCalNumber,0),1,1))),INDEX(FlowCalConstA,MATCH(N21,FlowCalNumber,0),1,1)*P32^INDEX(FlowCalConstB,MATCH(N21,FlowCalNumber,0),1,1)," ")</f>
        <v>#N/A</v>
      </c>
      <c r="R32" s="1216"/>
      <c r="S32" s="1217">
        <f t="shared" si="5"/>
        <v>0.5</v>
      </c>
      <c r="T32" s="1218" t="e">
        <f t="shared" ca="1" si="6"/>
        <v>#VALUE!</v>
      </c>
      <c r="U32" s="1219" t="e">
        <f ca="1">IF(AND(INDEX(FlowCalConstA,MATCH(R21,FlowCalNumber,0),1,1)*T32^INDEX(FlowCalConstB,MATCH(R21,FlowCalNumber,0),1,1)&gt;INDEX(FlowCalLowSetting,MATCH(R21,FlowCalNumber,0),1,1), (INDEX(FlowCalConstA,MATCH(R21,FlowCalNumber,0),1,1)*T32^INDEX(FlowCalConstB,MATCH(R21,FlowCalNumber,0),1,1)&lt;INDEX(FlowCalHighSetting,MATCH(R21,FlowCalNumber,0),1,1))),INDEX(FlowCalConstA,MATCH(R21,FlowCalNumber,0),1,1)*T32^INDEX(FlowCalConstB,MATCH(R21,FlowCalNumber,0),1,1)," ")</f>
        <v>#N/A</v>
      </c>
      <c r="V32" s="1216"/>
      <c r="W32" s="1217">
        <f t="shared" si="7"/>
        <v>0.5</v>
      </c>
      <c r="X32" s="1218" t="e">
        <f t="shared" ca="1" si="8"/>
        <v>#VALUE!</v>
      </c>
      <c r="Y32" s="1220" t="e">
        <f ca="1">IF(AND(INDEX(FlowCalConstA,MATCH(V21,FlowCalNumber,0),1,1)*X32^INDEX(FlowCalConstB,MATCH(V21,FlowCalNumber,0),1,1)&gt;INDEX(FlowCalLowSetting,MATCH(V21,FlowCalNumber,0),1,1), (INDEX(FlowCalConstA,MATCH(V21,FlowCalNumber,0),1,1)*X32^INDEX(FlowCalConstB,MATCH(V21,FlowCalNumber,0),1,1)&lt;INDEX(FlowCalHighSetting,MATCH(V21,FlowCalNumber,0),1,1))),INDEX(FlowCalConstA,MATCH(V21,FlowCalNumber,0),1,1)*X32^INDEX(FlowCalConstB,MATCH(V21,FlowCalNumber,0),1,1)," ")</f>
        <v>#N/A</v>
      </c>
    </row>
    <row r="33" spans="1:25">
      <c r="A33" s="412"/>
      <c r="B33" s="2"/>
      <c r="C33" s="235"/>
      <c r="D33" s="24">
        <f>'1% Wind'!$M$93</f>
        <v>2.4</v>
      </c>
      <c r="E33" s="90"/>
      <c r="F33" s="90"/>
      <c r="G33" s="79">
        <f ca="1">IF(I21=1,G32,MAX(G32/D32*D33,2))</f>
        <v>6.001707317073171</v>
      </c>
      <c r="H33" s="121" t="e">
        <f t="shared" ca="1" si="0"/>
        <v>#VALUE!</v>
      </c>
      <c r="J33" s="377"/>
      <c r="K33" s="242">
        <f t="shared" si="1"/>
        <v>1</v>
      </c>
      <c r="L33" s="241" t="e">
        <f t="shared" ca="1" si="2"/>
        <v>#VALUE!</v>
      </c>
      <c r="M33" s="243" t="e">
        <f ca="1">IF(AND(INDEX(FlowCalConstA,MATCH(J21,FlowCalNumber,0),1,1)*L33^INDEX(FlowCalConstB,MATCH(J21,FlowCalNumber,0),1,1)&gt;INDEX(FlowCalLowSetting,MATCH(J21,FlowCalNumber,0),1,1), (INDEX(FlowCalConstA,MATCH(J21,FlowCalNumber,0),1,1)*L33^INDEX(FlowCalConstB,MATCH(J21,FlowCalNumber,0),1,1)&lt;INDEX(FlowCalHighSetting,MATCH(J21,FlowCalNumber,0),1,1))),INDEX(FlowCalConstA,MATCH(J21,FlowCalNumber,0),1,1)*L33^INDEX(FlowCalConstB,MATCH(J21,FlowCalNumber,0),1,1)," ")</f>
        <v>#N/A</v>
      </c>
      <c r="N33" s="377"/>
      <c r="O33" s="242">
        <f t="shared" si="3"/>
        <v>1</v>
      </c>
      <c r="P33" s="241" t="e">
        <f t="shared" ca="1" si="4"/>
        <v>#VALUE!</v>
      </c>
      <c r="Q33" s="244" t="e">
        <f ca="1">IF(AND(INDEX(FlowCalConstA,MATCH(N21,FlowCalNumber,0),1,1)*P33^INDEX(FlowCalConstB,MATCH(N21,FlowCalNumber,0),1,1)&gt;INDEX(FlowCalLowSetting,MATCH(N21,FlowCalNumber,0),1,1), (INDEX(FlowCalConstA,MATCH(N21,FlowCalNumber,0),1,1)*P33^INDEX(FlowCalConstB,MATCH(N21,FlowCalNumber,0),1,1)&lt;INDEX(FlowCalHighSetting,MATCH(N21,FlowCalNumber,0),1,1))),INDEX(FlowCalConstA,MATCH(N21,FlowCalNumber,0),1,1)*P33^INDEX(FlowCalConstB,MATCH(N21,FlowCalNumber,0),1,1)," ")</f>
        <v>#N/A</v>
      </c>
      <c r="R33" s="377"/>
      <c r="S33" s="242">
        <f t="shared" si="5"/>
        <v>0.5</v>
      </c>
      <c r="T33" s="241" t="e">
        <f t="shared" ca="1" si="6"/>
        <v>#VALUE!</v>
      </c>
      <c r="U33" s="243" t="e">
        <f ca="1">IF(AND(INDEX(FlowCalConstA,MATCH(R21,FlowCalNumber,0),1,1)*T33^INDEX(FlowCalConstB,MATCH(R21,FlowCalNumber,0),1,1)&gt;INDEX(FlowCalLowSetting,MATCH(R21,FlowCalNumber,0),1,1), (INDEX(FlowCalConstA,MATCH(R21,FlowCalNumber,0),1,1)*T33^INDEX(FlowCalConstB,MATCH(R21,FlowCalNumber,0),1,1)&lt;INDEX(FlowCalHighSetting,MATCH(R21,FlowCalNumber,0),1,1))),INDEX(FlowCalConstA,MATCH(R21,FlowCalNumber,0),1,1)*T33^INDEX(FlowCalConstB,MATCH(R21,FlowCalNumber,0),1,1)," ")</f>
        <v>#N/A</v>
      </c>
      <c r="V33" s="377"/>
      <c r="W33" s="242">
        <f t="shared" si="7"/>
        <v>0.5</v>
      </c>
      <c r="X33" s="241" t="e">
        <f t="shared" ca="1" si="8"/>
        <v>#VALUE!</v>
      </c>
      <c r="Y33" s="244" t="e">
        <f ca="1">IF(AND(INDEX(FlowCalConstA,MATCH(V21,FlowCalNumber,0),1,1)*X33^INDEX(FlowCalConstB,MATCH(V21,FlowCalNumber,0),1,1)&gt;INDEX(FlowCalLowSetting,MATCH(V21,FlowCalNumber,0),1,1), (INDEX(FlowCalConstA,MATCH(V21,FlowCalNumber,0),1,1)*X33^INDEX(FlowCalConstB,MATCH(V21,FlowCalNumber,0),1,1)&lt;INDEX(FlowCalHighSetting,MATCH(V21,FlowCalNumber,0),1,1))),INDEX(FlowCalConstA,MATCH(V21,FlowCalNumber,0),1,1)*X33^INDEX(FlowCalConstB,MATCH(V21,FlowCalNumber,0),1,1)," ")</f>
        <v>#N/A</v>
      </c>
    </row>
    <row r="34" spans="1:25" s="1215" customFormat="1">
      <c r="A34" s="1208"/>
      <c r="B34" s="1209"/>
      <c r="C34" s="1210"/>
      <c r="D34" s="1211">
        <f>'1% Wind'!$M$94</f>
        <v>1.8</v>
      </c>
      <c r="E34" s="1212"/>
      <c r="F34" s="1212"/>
      <c r="G34" s="1213">
        <f ca="1">IF(I21=1,G33,MAX(G33/D33*D34,2))</f>
        <v>6.001707317073171</v>
      </c>
      <c r="H34" s="1214" t="e">
        <f t="shared" ca="1" si="0"/>
        <v>#VALUE!</v>
      </c>
      <c r="J34" s="1216"/>
      <c r="K34" s="1217">
        <f t="shared" si="1"/>
        <v>1</v>
      </c>
      <c r="L34" s="1218" t="e">
        <f t="shared" ca="1" si="2"/>
        <v>#VALUE!</v>
      </c>
      <c r="M34" s="1219" t="e">
        <f ca="1">IF(AND(INDEX(FlowCalConstA,MATCH(J21,FlowCalNumber,0),1,1)*L34^INDEX(FlowCalConstB,MATCH(J21,FlowCalNumber,0),1,1)&gt;INDEX(FlowCalLowSetting,MATCH(J21,FlowCalNumber,0),1,1), (INDEX(FlowCalConstA,MATCH(J21,FlowCalNumber,0),1,1)*L34^INDEX(FlowCalConstB,MATCH(J21,FlowCalNumber,0),1,1)&lt;INDEX(FlowCalHighSetting,MATCH(J21,FlowCalNumber,0),1,1))),INDEX(FlowCalConstA,MATCH(J21,FlowCalNumber,0),1,1)*L34^INDEX(FlowCalConstB,MATCH(J21,FlowCalNumber,0),1,1)," ")</f>
        <v>#N/A</v>
      </c>
      <c r="N34" s="1216"/>
      <c r="O34" s="1217">
        <f t="shared" si="3"/>
        <v>1</v>
      </c>
      <c r="P34" s="1218" t="e">
        <f t="shared" ca="1" si="4"/>
        <v>#VALUE!</v>
      </c>
      <c r="Q34" s="1220" t="e">
        <f ca="1">IF(AND(INDEX(FlowCalConstA,MATCH(N21,FlowCalNumber,0),1,1)*P34^INDEX(FlowCalConstB,MATCH(N21,FlowCalNumber,0),1,1)&gt;INDEX(FlowCalLowSetting,MATCH(N21,FlowCalNumber,0),1,1), (INDEX(FlowCalConstA,MATCH(N21,FlowCalNumber,0),1,1)*P34^INDEX(FlowCalConstB,MATCH(N21,FlowCalNumber,0),1,1)&lt;INDEX(FlowCalHighSetting,MATCH(N21,FlowCalNumber,0),1,1))),INDEX(FlowCalConstA,MATCH(N21,FlowCalNumber,0),1,1)*P34^INDEX(FlowCalConstB,MATCH(N21,FlowCalNumber,0),1,1)," ")</f>
        <v>#N/A</v>
      </c>
      <c r="R34" s="1216"/>
      <c r="S34" s="1217">
        <f t="shared" si="5"/>
        <v>0.5</v>
      </c>
      <c r="T34" s="1218" t="e">
        <f t="shared" ca="1" si="6"/>
        <v>#VALUE!</v>
      </c>
      <c r="U34" s="1219" t="e">
        <f ca="1">IF(AND(INDEX(FlowCalConstA,MATCH(R21,FlowCalNumber,0),1,1)*T34^INDEX(FlowCalConstB,MATCH(R21,FlowCalNumber,0),1,1)&gt;INDEX(FlowCalLowSetting,MATCH(R21,FlowCalNumber,0),1,1), (INDEX(FlowCalConstA,MATCH(R21,FlowCalNumber,0),1,1)*T34^INDEX(FlowCalConstB,MATCH(R21,FlowCalNumber,0),1,1)&lt;INDEX(FlowCalHighSetting,MATCH(R21,FlowCalNumber,0),1,1))),INDEX(FlowCalConstA,MATCH(R21,FlowCalNumber,0),1,1)*T34^INDEX(FlowCalConstB,MATCH(R21,FlowCalNumber,0),1,1)," ")</f>
        <v>#N/A</v>
      </c>
      <c r="V34" s="1216"/>
      <c r="W34" s="1217">
        <f t="shared" si="7"/>
        <v>0.5</v>
      </c>
      <c r="X34" s="1218" t="e">
        <f t="shared" ca="1" si="8"/>
        <v>#VALUE!</v>
      </c>
      <c r="Y34" s="1220" t="e">
        <f ca="1">IF(AND(INDEX(FlowCalConstA,MATCH(V21,FlowCalNumber,0),1,1)*X34^INDEX(FlowCalConstB,MATCH(V21,FlowCalNumber,0),1,1)&gt;INDEX(FlowCalLowSetting,MATCH(V21,FlowCalNumber,0),1,1), (INDEX(FlowCalConstA,MATCH(V21,FlowCalNumber,0),1,1)*X34^INDEX(FlowCalConstB,MATCH(V21,FlowCalNumber,0),1,1)&lt;INDEX(FlowCalHighSetting,MATCH(V21,FlowCalNumber,0),1,1))),INDEX(FlowCalConstA,MATCH(V21,FlowCalNumber,0),1,1)*X34^INDEX(FlowCalConstB,MATCH(V21,FlowCalNumber,0),1,1)," ")</f>
        <v>#N/A</v>
      </c>
    </row>
    <row r="35" spans="1:25">
      <c r="A35" s="412"/>
      <c r="B35" s="2"/>
      <c r="C35" s="235"/>
      <c r="D35" s="24">
        <f>'1% Wind'!$M$95</f>
        <v>1.3</v>
      </c>
      <c r="E35" s="90"/>
      <c r="F35" s="90"/>
      <c r="G35" s="79">
        <f ca="1">IF(I21=1,G34,MAX(G34/D34*D35,2))</f>
        <v>6.001707317073171</v>
      </c>
      <c r="H35" s="121" t="e">
        <f t="shared" ca="1" si="0"/>
        <v>#VALUE!</v>
      </c>
      <c r="J35" s="377"/>
      <c r="K35" s="242">
        <f t="shared" si="1"/>
        <v>1</v>
      </c>
      <c r="L35" s="241" t="e">
        <f t="shared" ca="1" si="2"/>
        <v>#VALUE!</v>
      </c>
      <c r="M35" s="243" t="e">
        <f ca="1">IF(AND(INDEX(FlowCalConstA,MATCH(J21,FlowCalNumber,0),1,1)*L35^INDEX(FlowCalConstB,MATCH(J21,FlowCalNumber,0),1,1)&gt;INDEX(FlowCalLowSetting,MATCH(J21,FlowCalNumber,0),1,1), (INDEX(FlowCalConstA,MATCH(J21,FlowCalNumber,0),1,1)*L35^INDEX(FlowCalConstB,MATCH(J21,FlowCalNumber,0),1,1)&lt;INDEX(FlowCalHighSetting,MATCH(J21,FlowCalNumber,0),1,1))),INDEX(FlowCalConstA,MATCH(J21,FlowCalNumber,0),1,1)*L35^INDEX(FlowCalConstB,MATCH(J21,FlowCalNumber,0),1,1)," ")</f>
        <v>#N/A</v>
      </c>
      <c r="N35" s="377"/>
      <c r="O35" s="242">
        <f t="shared" si="3"/>
        <v>1</v>
      </c>
      <c r="P35" s="241" t="e">
        <f t="shared" ca="1" si="4"/>
        <v>#VALUE!</v>
      </c>
      <c r="Q35" s="244" t="e">
        <f ca="1">IF(AND(INDEX(FlowCalConstA,MATCH(N21,FlowCalNumber,0),1,1)*P35^INDEX(FlowCalConstB,MATCH(N21,FlowCalNumber,0),1,1)&gt;INDEX(FlowCalLowSetting,MATCH(N21,FlowCalNumber,0),1,1), (INDEX(FlowCalConstA,MATCH(N21,FlowCalNumber,0),1,1)*P35^INDEX(FlowCalConstB,MATCH(N21,FlowCalNumber,0),1,1)&lt;INDEX(FlowCalHighSetting,MATCH(N21,FlowCalNumber,0),1,1))),INDEX(FlowCalConstA,MATCH(N21,FlowCalNumber,0),1,1)*P35^INDEX(FlowCalConstB,MATCH(N21,FlowCalNumber,0),1,1)," ")</f>
        <v>#N/A</v>
      </c>
      <c r="R35" s="377"/>
      <c r="S35" s="242">
        <f t="shared" si="5"/>
        <v>0.5</v>
      </c>
      <c r="T35" s="241" t="e">
        <f t="shared" ca="1" si="6"/>
        <v>#VALUE!</v>
      </c>
      <c r="U35" s="243" t="e">
        <f ca="1">IF(AND(INDEX(FlowCalConstA,MATCH(R21,FlowCalNumber,0),1,1)*T35^INDEX(FlowCalConstB,MATCH(R21,FlowCalNumber,0),1,1)&gt;INDEX(FlowCalLowSetting,MATCH(R21,FlowCalNumber,0),1,1), (INDEX(FlowCalConstA,MATCH(R21,FlowCalNumber,0),1,1)*T35^INDEX(FlowCalConstB,MATCH(R21,FlowCalNumber,0),1,1)&lt;INDEX(FlowCalHighSetting,MATCH(R21,FlowCalNumber,0),1,1))),INDEX(FlowCalConstA,MATCH(R21,FlowCalNumber,0),1,1)*T35^INDEX(FlowCalConstB,MATCH(R21,FlowCalNumber,0),1,1)," ")</f>
        <v>#N/A</v>
      </c>
      <c r="V35" s="377"/>
      <c r="W35" s="242">
        <f t="shared" si="7"/>
        <v>0.5</v>
      </c>
      <c r="X35" s="241" t="e">
        <f t="shared" ca="1" si="8"/>
        <v>#VALUE!</v>
      </c>
      <c r="Y35" s="244" t="e">
        <f ca="1">IF(AND(INDEX(FlowCalConstA,MATCH(V21,FlowCalNumber,0),1,1)*X35^INDEX(FlowCalConstB,MATCH(V21,FlowCalNumber,0),1,1)&gt;INDEX(FlowCalLowSetting,MATCH(V21,FlowCalNumber,0),1,1), (INDEX(FlowCalConstA,MATCH(V21,FlowCalNumber,0),1,1)*X35^INDEX(FlowCalConstB,MATCH(V21,FlowCalNumber,0),1,1)&lt;INDEX(FlowCalHighSetting,MATCH(V21,FlowCalNumber,0),1,1))),INDEX(FlowCalConstA,MATCH(V21,FlowCalNumber,0),1,1)*X35^INDEX(FlowCalConstB,MATCH(V21,FlowCalNumber,0),1,1)," ")</f>
        <v>#N/A</v>
      </c>
    </row>
    <row r="36" spans="1:25" s="1215" customFormat="1">
      <c r="A36" s="1208"/>
      <c r="B36" s="1209"/>
      <c r="C36" s="1210"/>
      <c r="D36" s="1211">
        <f>'1% Wind'!$M$96</f>
        <v>1</v>
      </c>
      <c r="E36" s="1212"/>
      <c r="F36" s="1212"/>
      <c r="G36" s="1213">
        <f ca="1">IF(I21=1,G35,MAX(G35/D35*D36,2))</f>
        <v>6.001707317073171</v>
      </c>
      <c r="H36" s="1214" t="e">
        <f t="shared" ca="1" si="0"/>
        <v>#VALUE!</v>
      </c>
      <c r="J36" s="1216"/>
      <c r="K36" s="1217">
        <f t="shared" si="1"/>
        <v>1</v>
      </c>
      <c r="L36" s="1218" t="e">
        <f t="shared" ca="1" si="2"/>
        <v>#VALUE!</v>
      </c>
      <c r="M36" s="1219" t="e">
        <f ca="1">IF(AND(INDEX(FlowCalConstA,MATCH(J21,FlowCalNumber,0),1,1)*L36^INDEX(FlowCalConstB,MATCH(J21,FlowCalNumber,0),1,1)&gt;INDEX(FlowCalLowSetting,MATCH(J21,FlowCalNumber,0),1,1), (INDEX(FlowCalConstA,MATCH(J21,FlowCalNumber,0),1,1)*L36^INDEX(FlowCalConstB,MATCH(J21,FlowCalNumber,0),1,1)&lt;INDEX(FlowCalHighSetting,MATCH(J21,FlowCalNumber,0),1,1))),INDEX(FlowCalConstA,MATCH(J21,FlowCalNumber,0),1,1)*L36^INDEX(FlowCalConstB,MATCH(J21,FlowCalNumber,0),1,1)," ")</f>
        <v>#N/A</v>
      </c>
      <c r="N36" s="1216"/>
      <c r="O36" s="1217">
        <f t="shared" si="3"/>
        <v>1</v>
      </c>
      <c r="P36" s="1218" t="e">
        <f t="shared" ca="1" si="4"/>
        <v>#VALUE!</v>
      </c>
      <c r="Q36" s="1220" t="e">
        <f ca="1">IF(AND(INDEX(FlowCalConstA,MATCH(N21,FlowCalNumber,0),1,1)*P36^INDEX(FlowCalConstB,MATCH(N21,FlowCalNumber,0),1,1)&gt;INDEX(FlowCalLowSetting,MATCH(N21,FlowCalNumber,0),1,1), (INDEX(FlowCalConstA,MATCH(N21,FlowCalNumber,0),1,1)*P36^INDEX(FlowCalConstB,MATCH(N21,FlowCalNumber,0),1,1)&lt;INDEX(FlowCalHighSetting,MATCH(N21,FlowCalNumber,0),1,1))),INDEX(FlowCalConstA,MATCH(N21,FlowCalNumber,0),1,1)*P36^INDEX(FlowCalConstB,MATCH(N21,FlowCalNumber,0),1,1)," ")</f>
        <v>#N/A</v>
      </c>
      <c r="R36" s="1216"/>
      <c r="S36" s="1217">
        <f t="shared" si="5"/>
        <v>0.5</v>
      </c>
      <c r="T36" s="1218" t="e">
        <f t="shared" ca="1" si="6"/>
        <v>#VALUE!</v>
      </c>
      <c r="U36" s="1219" t="e">
        <f ca="1">IF(AND(INDEX(FlowCalConstA,MATCH(R21,FlowCalNumber,0),1,1)*T36^INDEX(FlowCalConstB,MATCH(R21,FlowCalNumber,0),1,1)&gt;INDEX(FlowCalLowSetting,MATCH(R21,FlowCalNumber,0),1,1), (INDEX(FlowCalConstA,MATCH(R21,FlowCalNumber,0),1,1)*T36^INDEX(FlowCalConstB,MATCH(R21,FlowCalNumber,0),1,1)&lt;INDEX(FlowCalHighSetting,MATCH(R21,FlowCalNumber,0),1,1))),INDEX(FlowCalConstA,MATCH(R21,FlowCalNumber,0),1,1)*T36^INDEX(FlowCalConstB,MATCH(R21,FlowCalNumber,0),1,1)," ")</f>
        <v>#N/A</v>
      </c>
      <c r="V36" s="1216"/>
      <c r="W36" s="1217">
        <f t="shared" si="7"/>
        <v>0.5</v>
      </c>
      <c r="X36" s="1218" t="e">
        <f t="shared" ca="1" si="8"/>
        <v>#VALUE!</v>
      </c>
      <c r="Y36" s="1220" t="e">
        <f ca="1">IF(AND(INDEX(FlowCalConstA,MATCH(V21,FlowCalNumber,0),1,1)*X36^INDEX(FlowCalConstB,MATCH(V21,FlowCalNumber,0),1,1)&gt;INDEX(FlowCalLowSetting,MATCH(V21,FlowCalNumber,0),1,1), (INDEX(FlowCalConstA,MATCH(V21,FlowCalNumber,0),1,1)*X36^INDEX(FlowCalConstB,MATCH(V21,FlowCalNumber,0),1,1)&lt;INDEX(FlowCalHighSetting,MATCH(V21,FlowCalNumber,0),1,1))),INDEX(FlowCalConstA,MATCH(V21,FlowCalNumber,0),1,1)*X36^INDEX(FlowCalConstB,MATCH(V21,FlowCalNumber,0),1,1)," ")</f>
        <v>#N/A</v>
      </c>
    </row>
    <row r="37" spans="1:25">
      <c r="A37" s="90"/>
      <c r="C37" s="235"/>
      <c r="E37" s="90"/>
      <c r="F37" s="90"/>
      <c r="G37" s="33"/>
      <c r="J37" s="377"/>
      <c r="M37" s="243"/>
      <c r="N37" s="377"/>
      <c r="Q37" s="244"/>
      <c r="R37" s="377"/>
      <c r="U37" s="243"/>
      <c r="V37" s="377"/>
      <c r="Y37" s="244"/>
    </row>
    <row r="38" spans="1:25">
      <c r="A38" s="639">
        <f>A21+1</f>
        <v>2</v>
      </c>
      <c r="B38" s="42" t="str">
        <f>INDEX(SourceID,MATCH($A38,SourceNumber,0),1,1)</f>
        <v>AHU Labs-2</v>
      </c>
      <c r="C38" s="354">
        <f>INDEX(SourceExitDiameter,MATCH($A38,SourceNumber,0),1,1)*3.28*12</f>
        <v>172.59999999999997</v>
      </c>
      <c r="D38" s="24" t="str">
        <f>UAnem1percent</f>
        <v>1% Wind</v>
      </c>
      <c r="E38" s="85" t="e">
        <f ca="1">INDIRECT(ADDRESS(53,6,1,,$A38))</f>
        <v>#VALUE!</v>
      </c>
      <c r="F38" s="626" t="e">
        <f ca="1">(ROUND((INDIRECT(ADDRESS(15,7,1,,$A38))*3.28*12*32),0)&amp;"/32")</f>
        <v>#VALUE!</v>
      </c>
      <c r="G38" s="125">
        <f ca="1">INDIRECT(ADDRESS(29,7,1,,$A38))</f>
        <v>6.001707317073171</v>
      </c>
      <c r="H38" s="24" t="e">
        <f ca="1">INDIRECT(ADDRESS(19,7,1,,$A38))*100^3</f>
        <v>#VALUE!</v>
      </c>
      <c r="I38" s="24">
        <f ca="1">INDIRECT(ADDRESS(53,7,1,,$A38))</f>
        <v>1</v>
      </c>
      <c r="J38" s="20" t="str">
        <f>K$15&amp;$H$6&amp;J$6</f>
        <v>100AirPick a Tunnel</v>
      </c>
      <c r="K38" t="e">
        <f>INDEX(FlowCalGasMixture,MATCH(J38,FlowCalNumber,0),1,1)</f>
        <v>#N/A</v>
      </c>
      <c r="M38" s="355" t="e">
        <f>INDEX(FlowCalDevice,MATCH(J38,FlowCalNumber,0),1,1)</f>
        <v>#N/A</v>
      </c>
      <c r="N38" s="20" t="str">
        <f>O$15&amp;$H$6&amp;N$6</f>
        <v>100AirPick a Tunnel</v>
      </c>
      <c r="O38" t="e">
        <f>INDEX(FlowCalGasMixture,MATCH(N38,FlowCalNumber,0),1,1)</f>
        <v>#N/A</v>
      </c>
      <c r="Q38" s="355" t="e">
        <f>INDEX(FlowCalDevice,MATCH(N38,FlowCalNumber,0),1,1)</f>
        <v>#N/A</v>
      </c>
      <c r="R38" s="20" t="str">
        <f>S$15&amp;$H$6&amp;R$6</f>
        <v>100AirPick a Tunnel</v>
      </c>
      <c r="S38" t="e">
        <f>INDEX(FlowCalGasMixture,MATCH(R38,FlowCalNumber,0),1,1)</f>
        <v>#N/A</v>
      </c>
      <c r="U38" s="944" t="e">
        <f>INDEX(FlowCalDevice,MATCH(R38,FlowCalNumber,0),1,1)</f>
        <v>#N/A</v>
      </c>
      <c r="V38" s="946" t="str">
        <f>W$15&amp;$H$6&amp;V$6</f>
        <v>100AirPick a Tunnel</v>
      </c>
      <c r="W38" t="e">
        <f>INDEX(FlowCalGasMixture,MATCH(V38,FlowCalNumber,0),1,1)</f>
        <v>#N/A</v>
      </c>
      <c r="Y38" s="982" t="e">
        <f>INDEX(FlowCalDevice,MATCH(V38,FlowCalNumber,0),1,1)</f>
        <v>#N/A</v>
      </c>
    </row>
    <row r="39" spans="1:25" s="1215" customFormat="1">
      <c r="A39" s="1208"/>
      <c r="B39" s="1209"/>
      <c r="C39" s="1210"/>
      <c r="D39" s="1211">
        <f>'1% Wind'!$M$82</f>
        <v>27</v>
      </c>
      <c r="E39" s="1212"/>
      <c r="F39" s="1212"/>
      <c r="G39" s="1213">
        <f ca="1">IF(I38=1,$G38,MAX(G38/D38*D39,2))</f>
        <v>6.001707317073171</v>
      </c>
      <c r="H39" s="1214" t="e">
        <f t="shared" ref="H39:H53" ca="1" si="9">H38*(D38/D39)*(G39/G38)</f>
        <v>#VALUE!</v>
      </c>
      <c r="J39" s="1216"/>
      <c r="K39" s="1221">
        <f>K$16/100</f>
        <v>1</v>
      </c>
      <c r="L39" s="1218" t="e">
        <f ca="1">K39*$H39</f>
        <v>#VALUE!</v>
      </c>
      <c r="M39" s="1219" t="e">
        <f ca="1">IF(AND(INDEX(FlowCalConstA,MATCH(J38,FlowCalNumber,0),1,1)*L39^INDEX(FlowCalConstB,MATCH(J38,FlowCalNumber,0),1,1)&gt;INDEX(FlowCalLowSetting,MATCH(J38,FlowCalNumber,0),1,1), (INDEX(FlowCalConstA,MATCH(J38,FlowCalNumber,0),1,1)*L39^INDEX(FlowCalConstB,MATCH(J38,FlowCalNumber,0),1,1)&lt;INDEX(FlowCalHighSetting,MATCH(J38,FlowCalNumber,0),1,1))),INDEX(FlowCalConstA,MATCH(J38,FlowCalNumber,0),1,1)*L39^INDEX(FlowCalConstB,MATCH(J38,FlowCalNumber,0),1,1)," ")</f>
        <v>#N/A</v>
      </c>
      <c r="N39" s="1216"/>
      <c r="O39" s="1221">
        <f>O$16/100</f>
        <v>1</v>
      </c>
      <c r="P39" s="1218" t="e">
        <f ca="1">O39*$H39</f>
        <v>#VALUE!</v>
      </c>
      <c r="Q39" s="1220" t="e">
        <f ca="1">IF(AND(INDEX(FlowCalConstA,MATCH(N38,FlowCalNumber,0),1,1)*P39^INDEX(FlowCalConstB,MATCH(N38,FlowCalNumber,0),1,1)&gt;INDEX(FlowCalLowSetting,MATCH(N38,FlowCalNumber,0),1,1), (INDEX(FlowCalConstA,MATCH(N38,FlowCalNumber,0),1,1)*P39^INDEX(FlowCalConstB,MATCH(N38,FlowCalNumber,0),1,1)&lt;INDEX(FlowCalHighSetting,MATCH(N38,FlowCalNumber,0),1,1))),INDEX(FlowCalConstA,MATCH(N38,FlowCalNumber,0),1,1)*P39^INDEX(FlowCalConstB,MATCH(N38,FlowCalNumber,0),1,1)," ")</f>
        <v>#N/A</v>
      </c>
      <c r="R39" s="1216"/>
      <c r="S39" s="1221">
        <f>S$16/100</f>
        <v>0.5</v>
      </c>
      <c r="T39" s="1218" t="e">
        <f ca="1">S39*$H39</f>
        <v>#VALUE!</v>
      </c>
      <c r="U39" s="1219" t="e">
        <f ca="1">IF(AND(INDEX(FlowCalConstA,MATCH(R38,FlowCalNumber,0),1,1)*T39^INDEX(FlowCalConstB,MATCH(R38,FlowCalNumber,0),1,1)&gt;INDEX(FlowCalLowSetting,MATCH(R38,FlowCalNumber,0),1,1), (INDEX(FlowCalConstA,MATCH(R38,FlowCalNumber,0),1,1)*T39^INDEX(FlowCalConstB,MATCH(R38,FlowCalNumber,0),1,1)&lt;INDEX(FlowCalHighSetting,MATCH(R38,FlowCalNumber,0),1,1))),INDEX(FlowCalConstA,MATCH(R38,FlowCalNumber,0),1,1)*T39^INDEX(FlowCalConstB,MATCH(R38,FlowCalNumber,0),1,1)," ")</f>
        <v>#N/A</v>
      </c>
      <c r="V39" s="1216"/>
      <c r="W39" s="1221">
        <f>W$16/100</f>
        <v>0.5</v>
      </c>
      <c r="X39" s="1218" t="e">
        <f ca="1">W39*$H39</f>
        <v>#VALUE!</v>
      </c>
      <c r="Y39" s="1220" t="e">
        <f ca="1">IF(AND(INDEX(FlowCalConstA,MATCH(V38,FlowCalNumber,0),1,1)*X39^INDEX(FlowCalConstB,MATCH(V38,FlowCalNumber,0),1,1)&gt;INDEX(FlowCalLowSetting,MATCH(V38,FlowCalNumber,0),1,1), (INDEX(FlowCalConstA,MATCH(V38,FlowCalNumber,0),1,1)*X39^INDEX(FlowCalConstB,MATCH(V38,FlowCalNumber,0),1,1)&lt;INDEX(FlowCalHighSetting,MATCH(V38,FlowCalNumber,0),1,1))),INDEX(FlowCalConstA,MATCH(V38,FlowCalNumber,0),1,1)*X39^INDEX(FlowCalConstB,MATCH(V38,FlowCalNumber,0),1,1)," ")</f>
        <v>#N/A</v>
      </c>
    </row>
    <row r="40" spans="1:25">
      <c r="A40" s="412"/>
      <c r="B40" s="2"/>
      <c r="C40" s="235"/>
      <c r="D40" s="24">
        <f>'1% Wind'!$M$83</f>
        <v>23.5</v>
      </c>
      <c r="E40" s="90"/>
      <c r="F40" s="90"/>
      <c r="G40" s="79">
        <f ca="1">IF(I38=1,$G39,MAX(G39/D39*D40,2))</f>
        <v>6.001707317073171</v>
      </c>
      <c r="H40" s="121" t="e">
        <f t="shared" ca="1" si="9"/>
        <v>#VALUE!</v>
      </c>
      <c r="J40" s="377"/>
      <c r="K40" s="242">
        <f t="shared" ref="K40:K53" si="10">K39</f>
        <v>1</v>
      </c>
      <c r="L40" s="241" t="e">
        <f t="shared" ref="L40:L53" ca="1" si="11">K40*$H40</f>
        <v>#VALUE!</v>
      </c>
      <c r="M40" s="243" t="e">
        <f ca="1">IF(AND(INDEX(FlowCalConstA,MATCH(J38,FlowCalNumber,0),1,1)*L40^INDEX(FlowCalConstB,MATCH(J38,FlowCalNumber,0),1,1)&gt;INDEX(FlowCalLowSetting,MATCH(J38,FlowCalNumber,0),1,1), (INDEX(FlowCalConstA,MATCH(J38,FlowCalNumber,0),1,1)*L40^INDEX(FlowCalConstB,MATCH(J38,FlowCalNumber,0),1,1)&lt;INDEX(FlowCalHighSetting,MATCH(J38,FlowCalNumber,0),1,1))),INDEX(FlowCalConstA,MATCH(J38,FlowCalNumber,0),1,1)*L40^INDEX(FlowCalConstB,MATCH(J38,FlowCalNumber,0),1,1)," ")</f>
        <v>#N/A</v>
      </c>
      <c r="N40" s="377"/>
      <c r="O40" s="242">
        <f t="shared" ref="O40:O53" si="12">O39</f>
        <v>1</v>
      </c>
      <c r="P40" s="241" t="e">
        <f t="shared" ref="P40:P53" ca="1" si="13">O40*$H40</f>
        <v>#VALUE!</v>
      </c>
      <c r="Q40" s="244" t="e">
        <f ca="1">IF(AND(INDEX(FlowCalConstA,MATCH(N38,FlowCalNumber,0),1,1)*P40^INDEX(FlowCalConstB,MATCH(N38,FlowCalNumber,0),1,1)&gt;INDEX(FlowCalLowSetting,MATCH(N38,FlowCalNumber,0),1,1), (INDEX(FlowCalConstA,MATCH(N38,FlowCalNumber,0),1,1)*P40^INDEX(FlowCalConstB,MATCH(N38,FlowCalNumber,0),1,1)&lt;INDEX(FlowCalHighSetting,MATCH(N38,FlowCalNumber,0),1,1))),INDEX(FlowCalConstA,MATCH(N38,FlowCalNumber,0),1,1)*P40^INDEX(FlowCalConstB,MATCH(N38,FlowCalNumber,0),1,1)," ")</f>
        <v>#N/A</v>
      </c>
      <c r="R40" s="377"/>
      <c r="S40" s="242">
        <f t="shared" ref="S40:S53" si="14">S39</f>
        <v>0.5</v>
      </c>
      <c r="T40" s="241" t="e">
        <f t="shared" ref="T40:T53" ca="1" si="15">S40*$H40</f>
        <v>#VALUE!</v>
      </c>
      <c r="U40" s="243" t="e">
        <f ca="1">IF(AND(INDEX(FlowCalConstA,MATCH(R38,FlowCalNumber,0),1,1)*T40^INDEX(FlowCalConstB,MATCH(R38,FlowCalNumber,0),1,1)&gt;INDEX(FlowCalLowSetting,MATCH(R38,FlowCalNumber,0),1,1), (INDEX(FlowCalConstA,MATCH(R38,FlowCalNumber,0),1,1)*T40^INDEX(FlowCalConstB,MATCH(R38,FlowCalNumber,0),1,1)&lt;INDEX(FlowCalHighSetting,MATCH(R38,FlowCalNumber,0),1,1))),INDEX(FlowCalConstA,MATCH(R38,FlowCalNumber,0),1,1)*T40^INDEX(FlowCalConstB,MATCH(R38,FlowCalNumber,0),1,1)," ")</f>
        <v>#N/A</v>
      </c>
      <c r="V40" s="377"/>
      <c r="W40" s="242">
        <f t="shared" ref="W40:W53" si="16">W39</f>
        <v>0.5</v>
      </c>
      <c r="X40" s="241" t="e">
        <f t="shared" ref="X40:X53" ca="1" si="17">W40*$H40</f>
        <v>#VALUE!</v>
      </c>
      <c r="Y40" s="244" t="e">
        <f ca="1">IF(AND(INDEX(FlowCalConstA,MATCH(V38,FlowCalNumber,0),1,1)*X40^INDEX(FlowCalConstB,MATCH(V38,FlowCalNumber,0),1,1)&gt;INDEX(FlowCalLowSetting,MATCH(V38,FlowCalNumber,0),1,1), (INDEX(FlowCalConstA,MATCH(V38,FlowCalNumber,0),1,1)*X40^INDEX(FlowCalConstB,MATCH(V38,FlowCalNumber,0),1,1)&lt;INDEX(FlowCalHighSetting,MATCH(V38,FlowCalNumber,0),1,1))),INDEX(FlowCalConstA,MATCH(V38,FlowCalNumber,0),1,1)*X40^INDEX(FlowCalConstB,MATCH(V38,FlowCalNumber,0),1,1)," ")</f>
        <v>#N/A</v>
      </c>
    </row>
    <row r="41" spans="1:25" s="1215" customFormat="1">
      <c r="A41" s="1208"/>
      <c r="B41" s="1209"/>
      <c r="C41" s="1210"/>
      <c r="D41" s="1211">
        <f>'1% Wind'!$M$84</f>
        <v>20.5</v>
      </c>
      <c r="E41" s="1212"/>
      <c r="F41" s="1212"/>
      <c r="G41" s="1213">
        <f ca="1">IF(I38=1,$G40,MAX(G40/D40*D41,2))</f>
        <v>6.001707317073171</v>
      </c>
      <c r="H41" s="1214" t="e">
        <f t="shared" ca="1" si="9"/>
        <v>#VALUE!</v>
      </c>
      <c r="J41" s="1216"/>
      <c r="K41" s="1217">
        <f t="shared" si="10"/>
        <v>1</v>
      </c>
      <c r="L41" s="1218" t="e">
        <f t="shared" ca="1" si="11"/>
        <v>#VALUE!</v>
      </c>
      <c r="M41" s="1219" t="e">
        <f ca="1">IF(AND(INDEX(FlowCalConstA,MATCH(J38,FlowCalNumber,0),1,1)*L41^INDEX(FlowCalConstB,MATCH(J38,FlowCalNumber,0),1,1)&gt;INDEX(FlowCalLowSetting,MATCH(J38,FlowCalNumber,0),1,1), (INDEX(FlowCalConstA,MATCH(J38,FlowCalNumber,0),1,1)*L41^INDEX(FlowCalConstB,MATCH(J38,FlowCalNumber,0),1,1)&lt;INDEX(FlowCalHighSetting,MATCH(J38,FlowCalNumber,0),1,1))),INDEX(FlowCalConstA,MATCH(J38,FlowCalNumber,0),1,1)*L41^INDEX(FlowCalConstB,MATCH(J38,FlowCalNumber,0),1,1)," ")</f>
        <v>#N/A</v>
      </c>
      <c r="N41" s="1216"/>
      <c r="O41" s="1217">
        <f t="shared" si="12"/>
        <v>1</v>
      </c>
      <c r="P41" s="1218" t="e">
        <f t="shared" ca="1" si="13"/>
        <v>#VALUE!</v>
      </c>
      <c r="Q41" s="1220" t="e">
        <f ca="1">IF(AND(INDEX(FlowCalConstA,MATCH(N38,FlowCalNumber,0),1,1)*P41^INDEX(FlowCalConstB,MATCH(N38,FlowCalNumber,0),1,1)&gt;INDEX(FlowCalLowSetting,MATCH(N38,FlowCalNumber,0),1,1), (INDEX(FlowCalConstA,MATCH(N38,FlowCalNumber,0),1,1)*P41^INDEX(FlowCalConstB,MATCH(N38,FlowCalNumber,0),1,1)&lt;INDEX(FlowCalHighSetting,MATCH(N38,FlowCalNumber,0),1,1))),INDEX(FlowCalConstA,MATCH(N38,FlowCalNumber,0),1,1)*P41^INDEX(FlowCalConstB,MATCH(N38,FlowCalNumber,0),1,1)," ")</f>
        <v>#N/A</v>
      </c>
      <c r="R41" s="1216"/>
      <c r="S41" s="1217">
        <f t="shared" si="14"/>
        <v>0.5</v>
      </c>
      <c r="T41" s="1218" t="e">
        <f t="shared" ca="1" si="15"/>
        <v>#VALUE!</v>
      </c>
      <c r="U41" s="1219" t="e">
        <f ca="1">IF(AND(INDEX(FlowCalConstA,MATCH(R38,FlowCalNumber,0),1,1)*T41^INDEX(FlowCalConstB,MATCH(R38,FlowCalNumber,0),1,1)&gt;INDEX(FlowCalLowSetting,MATCH(R38,FlowCalNumber,0),1,1), (INDEX(FlowCalConstA,MATCH(R38,FlowCalNumber,0),1,1)*T41^INDEX(FlowCalConstB,MATCH(R38,FlowCalNumber,0),1,1)&lt;INDEX(FlowCalHighSetting,MATCH(R38,FlowCalNumber,0),1,1))),INDEX(FlowCalConstA,MATCH(R38,FlowCalNumber,0),1,1)*T41^INDEX(FlowCalConstB,MATCH(R38,FlowCalNumber,0),1,1)," ")</f>
        <v>#N/A</v>
      </c>
      <c r="V41" s="1216"/>
      <c r="W41" s="1217">
        <f t="shared" si="16"/>
        <v>0.5</v>
      </c>
      <c r="X41" s="1218" t="e">
        <f t="shared" ca="1" si="17"/>
        <v>#VALUE!</v>
      </c>
      <c r="Y41" s="1220" t="e">
        <f ca="1">IF(AND(INDEX(FlowCalConstA,MATCH(V38,FlowCalNumber,0),1,1)*X41^INDEX(FlowCalConstB,MATCH(V38,FlowCalNumber,0),1,1)&gt;INDEX(FlowCalLowSetting,MATCH(V38,FlowCalNumber,0),1,1), (INDEX(FlowCalConstA,MATCH(V38,FlowCalNumber,0),1,1)*X41^INDEX(FlowCalConstB,MATCH(V38,FlowCalNumber,0),1,1)&lt;INDEX(FlowCalHighSetting,MATCH(V38,FlowCalNumber,0),1,1))),INDEX(FlowCalConstA,MATCH(V38,FlowCalNumber,0),1,1)*X41^INDEX(FlowCalConstB,MATCH(V38,FlowCalNumber,0),1,1)," ")</f>
        <v>#N/A</v>
      </c>
    </row>
    <row r="42" spans="1:25">
      <c r="A42" s="412"/>
      <c r="B42" s="2"/>
      <c r="C42" s="235"/>
      <c r="D42" s="24">
        <f>'1% Wind'!$M$85</f>
        <v>17.8</v>
      </c>
      <c r="E42" s="90"/>
      <c r="F42" s="90"/>
      <c r="G42" s="79">
        <f ca="1">IF(I38=1,$G41,MAX(G41/D41*D42,2))</f>
        <v>6.001707317073171</v>
      </c>
      <c r="H42" s="121" t="e">
        <f t="shared" ca="1" si="9"/>
        <v>#VALUE!</v>
      </c>
      <c r="J42" s="377"/>
      <c r="K42" s="242">
        <f t="shared" si="10"/>
        <v>1</v>
      </c>
      <c r="L42" s="241" t="e">
        <f t="shared" ca="1" si="11"/>
        <v>#VALUE!</v>
      </c>
      <c r="M42" s="243" t="e">
        <f ca="1">IF(AND(INDEX(FlowCalConstA,MATCH(J38,FlowCalNumber,0),1,1)*L42^INDEX(FlowCalConstB,MATCH(J38,FlowCalNumber,0),1,1)&gt;INDEX(FlowCalLowSetting,MATCH(J38,FlowCalNumber,0),1,1), (INDEX(FlowCalConstA,MATCH(J38,FlowCalNumber,0),1,1)*L42^INDEX(FlowCalConstB,MATCH(J38,FlowCalNumber,0),1,1)&lt;INDEX(FlowCalHighSetting,MATCH(J38,FlowCalNumber,0),1,1))),INDEX(FlowCalConstA,MATCH(J38,FlowCalNumber,0),1,1)*L42^INDEX(FlowCalConstB,MATCH(J38,FlowCalNumber,0),1,1)," ")</f>
        <v>#N/A</v>
      </c>
      <c r="N42" s="377"/>
      <c r="O42" s="242">
        <f t="shared" si="12"/>
        <v>1</v>
      </c>
      <c r="P42" s="241" t="e">
        <f t="shared" ca="1" si="13"/>
        <v>#VALUE!</v>
      </c>
      <c r="Q42" s="244" t="e">
        <f ca="1">IF(AND(INDEX(FlowCalConstA,MATCH(N38,FlowCalNumber,0),1,1)*P42^INDEX(FlowCalConstB,MATCH(N38,FlowCalNumber,0),1,1)&gt;INDEX(FlowCalLowSetting,MATCH(N38,FlowCalNumber,0),1,1), (INDEX(FlowCalConstA,MATCH(N38,FlowCalNumber,0),1,1)*P42^INDEX(FlowCalConstB,MATCH(N38,FlowCalNumber,0),1,1)&lt;INDEX(FlowCalHighSetting,MATCH(N38,FlowCalNumber,0),1,1))),INDEX(FlowCalConstA,MATCH(N38,FlowCalNumber,0),1,1)*P42^INDEX(FlowCalConstB,MATCH(N38,FlowCalNumber,0),1,1)," ")</f>
        <v>#N/A</v>
      </c>
      <c r="R42" s="377"/>
      <c r="S42" s="242">
        <f t="shared" si="14"/>
        <v>0.5</v>
      </c>
      <c r="T42" s="241" t="e">
        <f t="shared" ca="1" si="15"/>
        <v>#VALUE!</v>
      </c>
      <c r="U42" s="243" t="e">
        <f ca="1">IF(AND(INDEX(FlowCalConstA,MATCH(R38,FlowCalNumber,0),1,1)*T42^INDEX(FlowCalConstB,MATCH(R38,FlowCalNumber,0),1,1)&gt;INDEX(FlowCalLowSetting,MATCH(R38,FlowCalNumber,0),1,1), (INDEX(FlowCalConstA,MATCH(R38,FlowCalNumber,0),1,1)*T42^INDEX(FlowCalConstB,MATCH(R38,FlowCalNumber,0),1,1)&lt;INDEX(FlowCalHighSetting,MATCH(R38,FlowCalNumber,0),1,1))),INDEX(FlowCalConstA,MATCH(R38,FlowCalNumber,0),1,1)*T42^INDEX(FlowCalConstB,MATCH(R38,FlowCalNumber,0),1,1)," ")</f>
        <v>#N/A</v>
      </c>
      <c r="V42" s="377"/>
      <c r="W42" s="242">
        <f t="shared" si="16"/>
        <v>0.5</v>
      </c>
      <c r="X42" s="241" t="e">
        <f t="shared" ca="1" si="17"/>
        <v>#VALUE!</v>
      </c>
      <c r="Y42" s="244" t="e">
        <f ca="1">IF(AND(INDEX(FlowCalConstA,MATCH(V38,FlowCalNumber,0),1,1)*X42^INDEX(FlowCalConstB,MATCH(V38,FlowCalNumber,0),1,1)&gt;INDEX(FlowCalLowSetting,MATCH(V38,FlowCalNumber,0),1,1), (INDEX(FlowCalConstA,MATCH(V38,FlowCalNumber,0),1,1)*X42^INDEX(FlowCalConstB,MATCH(V38,FlowCalNumber,0),1,1)&lt;INDEX(FlowCalHighSetting,MATCH(V38,FlowCalNumber,0),1,1))),INDEX(FlowCalConstA,MATCH(V38,FlowCalNumber,0),1,1)*X42^INDEX(FlowCalConstB,MATCH(V38,FlowCalNumber,0),1,1)," ")</f>
        <v>#N/A</v>
      </c>
    </row>
    <row r="43" spans="1:25" s="1215" customFormat="1">
      <c r="A43" s="1208"/>
      <c r="B43" s="1209"/>
      <c r="C43" s="1210"/>
      <c r="D43" s="1211">
        <f>'1% Wind'!$M$86</f>
        <v>15.5</v>
      </c>
      <c r="E43" s="1212"/>
      <c r="F43" s="1212"/>
      <c r="G43" s="1213">
        <f ca="1">IF(I38=1,$G42,MAX(G42/D42*D43,2))</f>
        <v>6.001707317073171</v>
      </c>
      <c r="H43" s="1214" t="e">
        <f t="shared" ca="1" si="9"/>
        <v>#VALUE!</v>
      </c>
      <c r="J43" s="1216"/>
      <c r="K43" s="1217">
        <f t="shared" si="10"/>
        <v>1</v>
      </c>
      <c r="L43" s="1218" t="e">
        <f t="shared" ca="1" si="11"/>
        <v>#VALUE!</v>
      </c>
      <c r="M43" s="1219" t="e">
        <f ca="1">IF(AND(INDEX(FlowCalConstA,MATCH(J38,FlowCalNumber,0),1,1)*L43^INDEX(FlowCalConstB,MATCH(J38,FlowCalNumber,0),1,1)&gt;INDEX(FlowCalLowSetting,MATCH(J38,FlowCalNumber,0),1,1), (INDEX(FlowCalConstA,MATCH(J38,FlowCalNumber,0),1,1)*L43^INDEX(FlowCalConstB,MATCH(J38,FlowCalNumber,0),1,1)&lt;INDEX(FlowCalHighSetting,MATCH(J38,FlowCalNumber,0),1,1))),INDEX(FlowCalConstA,MATCH(J38,FlowCalNumber,0),1,1)*L43^INDEX(FlowCalConstB,MATCH(J38,FlowCalNumber,0),1,1)," ")</f>
        <v>#N/A</v>
      </c>
      <c r="N43" s="1216"/>
      <c r="O43" s="1217">
        <f t="shared" si="12"/>
        <v>1</v>
      </c>
      <c r="P43" s="1218" t="e">
        <f t="shared" ca="1" si="13"/>
        <v>#VALUE!</v>
      </c>
      <c r="Q43" s="1220" t="e">
        <f ca="1">IF(AND(INDEX(FlowCalConstA,MATCH(N38,FlowCalNumber,0),1,1)*P43^INDEX(FlowCalConstB,MATCH(N38,FlowCalNumber,0),1,1)&gt;INDEX(FlowCalLowSetting,MATCH(N38,FlowCalNumber,0),1,1), (INDEX(FlowCalConstA,MATCH(N38,FlowCalNumber,0),1,1)*P43^INDEX(FlowCalConstB,MATCH(N38,FlowCalNumber,0),1,1)&lt;INDEX(FlowCalHighSetting,MATCH(N38,FlowCalNumber,0),1,1))),INDEX(FlowCalConstA,MATCH(N38,FlowCalNumber,0),1,1)*P43^INDEX(FlowCalConstB,MATCH(N38,FlowCalNumber,0),1,1)," ")</f>
        <v>#N/A</v>
      </c>
      <c r="R43" s="1216"/>
      <c r="S43" s="1217">
        <f t="shared" si="14"/>
        <v>0.5</v>
      </c>
      <c r="T43" s="1218" t="e">
        <f t="shared" ca="1" si="15"/>
        <v>#VALUE!</v>
      </c>
      <c r="U43" s="1219" t="e">
        <f ca="1">IF(AND(INDEX(FlowCalConstA,MATCH(R38,FlowCalNumber,0),1,1)*T43^INDEX(FlowCalConstB,MATCH(R38,FlowCalNumber,0),1,1)&gt;INDEX(FlowCalLowSetting,MATCH(R38,FlowCalNumber,0),1,1), (INDEX(FlowCalConstA,MATCH(R38,FlowCalNumber,0),1,1)*T43^INDEX(FlowCalConstB,MATCH(R38,FlowCalNumber,0),1,1)&lt;INDEX(FlowCalHighSetting,MATCH(R38,FlowCalNumber,0),1,1))),INDEX(FlowCalConstA,MATCH(R38,FlowCalNumber,0),1,1)*T43^INDEX(FlowCalConstB,MATCH(R38,FlowCalNumber,0),1,1)," ")</f>
        <v>#N/A</v>
      </c>
      <c r="V43" s="1216"/>
      <c r="W43" s="1217">
        <f t="shared" si="16"/>
        <v>0.5</v>
      </c>
      <c r="X43" s="1218" t="e">
        <f t="shared" ca="1" si="17"/>
        <v>#VALUE!</v>
      </c>
      <c r="Y43" s="1220" t="e">
        <f ca="1">IF(AND(INDEX(FlowCalConstA,MATCH(V38,FlowCalNumber,0),1,1)*X43^INDEX(FlowCalConstB,MATCH(V38,FlowCalNumber,0),1,1)&gt;INDEX(FlowCalLowSetting,MATCH(V38,FlowCalNumber,0),1,1), (INDEX(FlowCalConstA,MATCH(V38,FlowCalNumber,0),1,1)*X43^INDEX(FlowCalConstB,MATCH(V38,FlowCalNumber,0),1,1)&lt;INDEX(FlowCalHighSetting,MATCH(V38,FlowCalNumber,0),1,1))),INDEX(FlowCalConstA,MATCH(V38,FlowCalNumber,0),1,1)*X43^INDEX(FlowCalConstB,MATCH(V38,FlowCalNumber,0),1,1)," ")</f>
        <v>#N/A</v>
      </c>
    </row>
    <row r="44" spans="1:25">
      <c r="A44" s="412"/>
      <c r="B44" s="2"/>
      <c r="C44" s="235"/>
      <c r="D44" s="24">
        <f>'1% Wind'!$M$87</f>
        <v>13.5</v>
      </c>
      <c r="E44" s="90"/>
      <c r="F44" s="90"/>
      <c r="G44" s="79">
        <f ca="1">IF(I38=1,$G43,MAX(G43/D43*D44,2))</f>
        <v>6.001707317073171</v>
      </c>
      <c r="H44" s="121" t="e">
        <f t="shared" ca="1" si="9"/>
        <v>#VALUE!</v>
      </c>
      <c r="J44" s="377"/>
      <c r="K44" s="242">
        <f t="shared" si="10"/>
        <v>1</v>
      </c>
      <c r="L44" s="241" t="e">
        <f t="shared" ca="1" si="11"/>
        <v>#VALUE!</v>
      </c>
      <c r="M44" s="243" t="e">
        <f ca="1">IF(AND(INDEX(FlowCalConstA,MATCH(J38,FlowCalNumber,0),1,1)*L44^INDEX(FlowCalConstB,MATCH(J38,FlowCalNumber,0),1,1)&gt;INDEX(FlowCalLowSetting,MATCH(J38,FlowCalNumber,0),1,1), (INDEX(FlowCalConstA,MATCH(J38,FlowCalNumber,0),1,1)*L44^INDEX(FlowCalConstB,MATCH(J38,FlowCalNumber,0),1,1)&lt;INDEX(FlowCalHighSetting,MATCH(J38,FlowCalNumber,0),1,1))),INDEX(FlowCalConstA,MATCH(J38,FlowCalNumber,0),1,1)*L44^INDEX(FlowCalConstB,MATCH(J38,FlowCalNumber,0),1,1)," ")</f>
        <v>#N/A</v>
      </c>
      <c r="N44" s="377"/>
      <c r="O44" s="242">
        <f t="shared" si="12"/>
        <v>1</v>
      </c>
      <c r="P44" s="241" t="e">
        <f t="shared" ca="1" si="13"/>
        <v>#VALUE!</v>
      </c>
      <c r="Q44" s="244" t="e">
        <f ca="1">IF(AND(INDEX(FlowCalConstA,MATCH(N38,FlowCalNumber,0),1,1)*P44^INDEX(FlowCalConstB,MATCH(N38,FlowCalNumber,0),1,1)&gt;INDEX(FlowCalLowSetting,MATCH(N38,FlowCalNumber,0),1,1), (INDEX(FlowCalConstA,MATCH(N38,FlowCalNumber,0),1,1)*P44^INDEX(FlowCalConstB,MATCH(N38,FlowCalNumber,0),1,1)&lt;INDEX(FlowCalHighSetting,MATCH(N38,FlowCalNumber,0),1,1))),INDEX(FlowCalConstA,MATCH(N38,FlowCalNumber,0),1,1)*P44^INDEX(FlowCalConstB,MATCH(N38,FlowCalNumber,0),1,1)," ")</f>
        <v>#N/A</v>
      </c>
      <c r="R44" s="377"/>
      <c r="S44" s="242">
        <f t="shared" si="14"/>
        <v>0.5</v>
      </c>
      <c r="T44" s="241" t="e">
        <f t="shared" ca="1" si="15"/>
        <v>#VALUE!</v>
      </c>
      <c r="U44" s="243" t="e">
        <f ca="1">IF(AND(INDEX(FlowCalConstA,MATCH(R38,FlowCalNumber,0),1,1)*T44^INDEX(FlowCalConstB,MATCH(R38,FlowCalNumber,0),1,1)&gt;INDEX(FlowCalLowSetting,MATCH(R38,FlowCalNumber,0),1,1), (INDEX(FlowCalConstA,MATCH(R38,FlowCalNumber,0),1,1)*T44^INDEX(FlowCalConstB,MATCH(R38,FlowCalNumber,0),1,1)&lt;INDEX(FlowCalHighSetting,MATCH(R38,FlowCalNumber,0),1,1))),INDEX(FlowCalConstA,MATCH(R38,FlowCalNumber,0),1,1)*T44^INDEX(FlowCalConstB,MATCH(R38,FlowCalNumber,0),1,1)," ")</f>
        <v>#N/A</v>
      </c>
      <c r="V44" s="377"/>
      <c r="W44" s="242">
        <f t="shared" si="16"/>
        <v>0.5</v>
      </c>
      <c r="X44" s="241" t="e">
        <f t="shared" ca="1" si="17"/>
        <v>#VALUE!</v>
      </c>
      <c r="Y44" s="244" t="e">
        <f ca="1">IF(AND(INDEX(FlowCalConstA,MATCH(V38,FlowCalNumber,0),1,1)*X44^INDEX(FlowCalConstB,MATCH(V38,FlowCalNumber,0),1,1)&gt;INDEX(FlowCalLowSetting,MATCH(V38,FlowCalNumber,0),1,1), (INDEX(FlowCalConstA,MATCH(V38,FlowCalNumber,0),1,1)*X44^INDEX(FlowCalConstB,MATCH(V38,FlowCalNumber,0),1,1)&lt;INDEX(FlowCalHighSetting,MATCH(V38,FlowCalNumber,0),1,1))),INDEX(FlowCalConstA,MATCH(V38,FlowCalNumber,0),1,1)*X44^INDEX(FlowCalConstB,MATCH(V38,FlowCalNumber,0),1,1)," ")</f>
        <v>#N/A</v>
      </c>
    </row>
    <row r="45" spans="1:25" s="1215" customFormat="1">
      <c r="A45" s="1208"/>
      <c r="B45" s="1209"/>
      <c r="C45" s="1210"/>
      <c r="D45" s="1211">
        <f>'1% Wind'!$M$88</f>
        <v>10.1</v>
      </c>
      <c r="E45" s="1212"/>
      <c r="F45" s="1212"/>
      <c r="G45" s="1213">
        <f ca="1">IF(I38=1,$G44,MAX(G44/D44*D45,2))</f>
        <v>6.001707317073171</v>
      </c>
      <c r="H45" s="1214" t="e">
        <f t="shared" ca="1" si="9"/>
        <v>#VALUE!</v>
      </c>
      <c r="J45" s="1216"/>
      <c r="K45" s="1217">
        <f t="shared" si="10"/>
        <v>1</v>
      </c>
      <c r="L45" s="1218" t="e">
        <f t="shared" ca="1" si="11"/>
        <v>#VALUE!</v>
      </c>
      <c r="M45" s="1219" t="e">
        <f ca="1">IF(AND(INDEX(FlowCalConstA,MATCH(J38,FlowCalNumber,0),1,1)*L45^INDEX(FlowCalConstB,MATCH(J38,FlowCalNumber,0),1,1)&gt;INDEX(FlowCalLowSetting,MATCH(J38,FlowCalNumber,0),1,1), (INDEX(FlowCalConstA,MATCH(J38,FlowCalNumber,0),1,1)*L45^INDEX(FlowCalConstB,MATCH(J38,FlowCalNumber,0),1,1)&lt;INDEX(FlowCalHighSetting,MATCH(J38,FlowCalNumber,0),1,1))),INDEX(FlowCalConstA,MATCH(J38,FlowCalNumber,0),1,1)*L45^INDEX(FlowCalConstB,MATCH(J38,FlowCalNumber,0),1,1)," ")</f>
        <v>#N/A</v>
      </c>
      <c r="N45" s="1216"/>
      <c r="O45" s="1217">
        <f t="shared" si="12"/>
        <v>1</v>
      </c>
      <c r="P45" s="1218" t="e">
        <f t="shared" ca="1" si="13"/>
        <v>#VALUE!</v>
      </c>
      <c r="Q45" s="1220" t="e">
        <f ca="1">IF(AND(INDEX(FlowCalConstA,MATCH(N38,FlowCalNumber,0),1,1)*P45^INDEX(FlowCalConstB,MATCH(N38,FlowCalNumber,0),1,1)&gt;INDEX(FlowCalLowSetting,MATCH(N38,FlowCalNumber,0),1,1), (INDEX(FlowCalConstA,MATCH(N38,FlowCalNumber,0),1,1)*P45^INDEX(FlowCalConstB,MATCH(N38,FlowCalNumber,0),1,1)&lt;INDEX(FlowCalHighSetting,MATCH(N38,FlowCalNumber,0),1,1))),INDEX(FlowCalConstA,MATCH(N38,FlowCalNumber,0),1,1)*P45^INDEX(FlowCalConstB,MATCH(N38,FlowCalNumber,0),1,1)," ")</f>
        <v>#N/A</v>
      </c>
      <c r="R45" s="1216"/>
      <c r="S45" s="1217">
        <f t="shared" si="14"/>
        <v>0.5</v>
      </c>
      <c r="T45" s="1218" t="e">
        <f t="shared" ca="1" si="15"/>
        <v>#VALUE!</v>
      </c>
      <c r="U45" s="1219" t="e">
        <f ca="1">IF(AND(INDEX(FlowCalConstA,MATCH(R38,FlowCalNumber,0),1,1)*T45^INDEX(FlowCalConstB,MATCH(R38,FlowCalNumber,0),1,1)&gt;INDEX(FlowCalLowSetting,MATCH(R38,FlowCalNumber,0),1,1), (INDEX(FlowCalConstA,MATCH(R38,FlowCalNumber,0),1,1)*T45^INDEX(FlowCalConstB,MATCH(R38,FlowCalNumber,0),1,1)&lt;INDEX(FlowCalHighSetting,MATCH(R38,FlowCalNumber,0),1,1))),INDEX(FlowCalConstA,MATCH(R38,FlowCalNumber,0),1,1)*T45^INDEX(FlowCalConstB,MATCH(R38,FlowCalNumber,0),1,1)," ")</f>
        <v>#N/A</v>
      </c>
      <c r="V45" s="1216"/>
      <c r="W45" s="1217">
        <f t="shared" si="16"/>
        <v>0.5</v>
      </c>
      <c r="X45" s="1218" t="e">
        <f t="shared" ca="1" si="17"/>
        <v>#VALUE!</v>
      </c>
      <c r="Y45" s="1220" t="e">
        <f ca="1">IF(AND(INDEX(FlowCalConstA,MATCH(V38,FlowCalNumber,0),1,1)*X45^INDEX(FlowCalConstB,MATCH(V38,FlowCalNumber,0),1,1)&gt;INDEX(FlowCalLowSetting,MATCH(V38,FlowCalNumber,0),1,1), (INDEX(FlowCalConstA,MATCH(V38,FlowCalNumber,0),1,1)*X45^INDEX(FlowCalConstB,MATCH(V38,FlowCalNumber,0),1,1)&lt;INDEX(FlowCalHighSetting,MATCH(V38,FlowCalNumber,0),1,1))),INDEX(FlowCalConstA,MATCH(V38,FlowCalNumber,0),1,1)*X45^INDEX(FlowCalConstB,MATCH(V38,FlowCalNumber,0),1,1)," ")</f>
        <v>#N/A</v>
      </c>
    </row>
    <row r="46" spans="1:25">
      <c r="A46" s="412"/>
      <c r="B46" s="2"/>
      <c r="C46" s="235"/>
      <c r="D46" s="24">
        <f>'1% Wind'!$M$89</f>
        <v>7.6</v>
      </c>
      <c r="E46" s="90"/>
      <c r="F46" s="90"/>
      <c r="G46" s="79">
        <f ca="1">IF(I38=1,$G45,MAX(G45/D45*D46,2))</f>
        <v>6.001707317073171</v>
      </c>
      <c r="H46" s="121" t="e">
        <f t="shared" ca="1" si="9"/>
        <v>#VALUE!</v>
      </c>
      <c r="J46" s="377"/>
      <c r="K46" s="242">
        <f t="shared" si="10"/>
        <v>1</v>
      </c>
      <c r="L46" s="241" t="e">
        <f t="shared" ca="1" si="11"/>
        <v>#VALUE!</v>
      </c>
      <c r="M46" s="243" t="e">
        <f ca="1">IF(AND(INDEX(FlowCalConstA,MATCH(J38,FlowCalNumber,0),1,1)*L46^INDEX(FlowCalConstB,MATCH(J38,FlowCalNumber,0),1,1)&gt;INDEX(FlowCalLowSetting,MATCH(J38,FlowCalNumber,0),1,1), (INDEX(FlowCalConstA,MATCH(J38,FlowCalNumber,0),1,1)*L46^INDEX(FlowCalConstB,MATCH(J38,FlowCalNumber,0),1,1)&lt;INDEX(FlowCalHighSetting,MATCH(J38,FlowCalNumber,0),1,1))),INDEX(FlowCalConstA,MATCH(J38,FlowCalNumber,0),1,1)*L46^INDEX(FlowCalConstB,MATCH(J38,FlowCalNumber,0),1,1)," ")</f>
        <v>#N/A</v>
      </c>
      <c r="N46" s="377"/>
      <c r="O46" s="242">
        <f t="shared" si="12"/>
        <v>1</v>
      </c>
      <c r="P46" s="241" t="e">
        <f t="shared" ca="1" si="13"/>
        <v>#VALUE!</v>
      </c>
      <c r="Q46" s="244" t="e">
        <f ca="1">IF(AND(INDEX(FlowCalConstA,MATCH(N38,FlowCalNumber,0),1,1)*P46^INDEX(FlowCalConstB,MATCH(N38,FlowCalNumber,0),1,1)&gt;INDEX(FlowCalLowSetting,MATCH(N38,FlowCalNumber,0),1,1), (INDEX(FlowCalConstA,MATCH(N38,FlowCalNumber,0),1,1)*P46^INDEX(FlowCalConstB,MATCH(N38,FlowCalNumber,0),1,1)&lt;INDEX(FlowCalHighSetting,MATCH(N38,FlowCalNumber,0),1,1))),INDEX(FlowCalConstA,MATCH(N38,FlowCalNumber,0),1,1)*P46^INDEX(FlowCalConstB,MATCH(N38,FlowCalNumber,0),1,1)," ")</f>
        <v>#N/A</v>
      </c>
      <c r="R46" s="377"/>
      <c r="S46" s="242">
        <f t="shared" si="14"/>
        <v>0.5</v>
      </c>
      <c r="T46" s="241" t="e">
        <f t="shared" ca="1" si="15"/>
        <v>#VALUE!</v>
      </c>
      <c r="U46" s="243" t="e">
        <f ca="1">IF(AND(INDEX(FlowCalConstA,MATCH(R38,FlowCalNumber,0),1,1)*T46^INDEX(FlowCalConstB,MATCH(R38,FlowCalNumber,0),1,1)&gt;INDEX(FlowCalLowSetting,MATCH(R38,FlowCalNumber,0),1,1), (INDEX(FlowCalConstA,MATCH(R38,FlowCalNumber,0),1,1)*T46^INDEX(FlowCalConstB,MATCH(R38,FlowCalNumber,0),1,1)&lt;INDEX(FlowCalHighSetting,MATCH(R38,FlowCalNumber,0),1,1))),INDEX(FlowCalConstA,MATCH(R38,FlowCalNumber,0),1,1)*T46^INDEX(FlowCalConstB,MATCH(R38,FlowCalNumber,0),1,1)," ")</f>
        <v>#N/A</v>
      </c>
      <c r="V46" s="377"/>
      <c r="W46" s="242">
        <f t="shared" si="16"/>
        <v>0.5</v>
      </c>
      <c r="X46" s="241" t="e">
        <f t="shared" ca="1" si="17"/>
        <v>#VALUE!</v>
      </c>
      <c r="Y46" s="244" t="e">
        <f ca="1">IF(AND(INDEX(FlowCalConstA,MATCH(V38,FlowCalNumber,0),1,1)*X46^INDEX(FlowCalConstB,MATCH(V38,FlowCalNumber,0),1,1)&gt;INDEX(FlowCalLowSetting,MATCH(V38,FlowCalNumber,0),1,1), (INDEX(FlowCalConstA,MATCH(V38,FlowCalNumber,0),1,1)*X46^INDEX(FlowCalConstB,MATCH(V38,FlowCalNumber,0),1,1)&lt;INDEX(FlowCalHighSetting,MATCH(V38,FlowCalNumber,0),1,1))),INDEX(FlowCalConstA,MATCH(V38,FlowCalNumber,0),1,1)*X46^INDEX(FlowCalConstB,MATCH(V38,FlowCalNumber,0),1,1)," ")</f>
        <v>#N/A</v>
      </c>
    </row>
    <row r="47" spans="1:25" s="1215" customFormat="1">
      <c r="A47" s="1208"/>
      <c r="B47" s="1209"/>
      <c r="C47" s="1210"/>
      <c r="D47" s="1211">
        <f>'1% Wind'!$M$90</f>
        <v>5.7</v>
      </c>
      <c r="E47" s="1212"/>
      <c r="F47" s="1212"/>
      <c r="G47" s="1213">
        <f ca="1">IF(I38=1,$G46,MAX(G46/D46*D47,2))</f>
        <v>6.001707317073171</v>
      </c>
      <c r="H47" s="1214" t="e">
        <f t="shared" ca="1" si="9"/>
        <v>#VALUE!</v>
      </c>
      <c r="J47" s="1216"/>
      <c r="K47" s="1217">
        <f t="shared" si="10"/>
        <v>1</v>
      </c>
      <c r="L47" s="1218" t="e">
        <f t="shared" ca="1" si="11"/>
        <v>#VALUE!</v>
      </c>
      <c r="M47" s="1219" t="e">
        <f ca="1">IF(AND(INDEX(FlowCalConstA,MATCH(J38,FlowCalNumber,0),1,1)*L47^INDEX(FlowCalConstB,MATCH(J38,FlowCalNumber,0),1,1)&gt;INDEX(FlowCalLowSetting,MATCH(J38,FlowCalNumber,0),1,1), (INDEX(FlowCalConstA,MATCH(J38,FlowCalNumber,0),1,1)*L47^INDEX(FlowCalConstB,MATCH(J38,FlowCalNumber,0),1,1)&lt;INDEX(FlowCalHighSetting,MATCH(J38,FlowCalNumber,0),1,1))),INDEX(FlowCalConstA,MATCH(J38,FlowCalNumber,0),1,1)*L47^INDEX(FlowCalConstB,MATCH(J38,FlowCalNumber,0),1,1)," ")</f>
        <v>#N/A</v>
      </c>
      <c r="N47" s="1216"/>
      <c r="O47" s="1217">
        <f t="shared" si="12"/>
        <v>1</v>
      </c>
      <c r="P47" s="1218" t="e">
        <f t="shared" ca="1" si="13"/>
        <v>#VALUE!</v>
      </c>
      <c r="Q47" s="1220" t="e">
        <f ca="1">IF(AND(INDEX(FlowCalConstA,MATCH(N38,FlowCalNumber,0),1,1)*P47^INDEX(FlowCalConstB,MATCH(N38,FlowCalNumber,0),1,1)&gt;INDEX(FlowCalLowSetting,MATCH(N38,FlowCalNumber,0),1,1), (INDEX(FlowCalConstA,MATCH(N38,FlowCalNumber,0),1,1)*P47^INDEX(FlowCalConstB,MATCH(N38,FlowCalNumber,0),1,1)&lt;INDEX(FlowCalHighSetting,MATCH(N38,FlowCalNumber,0),1,1))),INDEX(FlowCalConstA,MATCH(N38,FlowCalNumber,0),1,1)*P47^INDEX(FlowCalConstB,MATCH(N38,FlowCalNumber,0),1,1)," ")</f>
        <v>#N/A</v>
      </c>
      <c r="R47" s="1216"/>
      <c r="S47" s="1217">
        <f t="shared" si="14"/>
        <v>0.5</v>
      </c>
      <c r="T47" s="1218" t="e">
        <f t="shared" ca="1" si="15"/>
        <v>#VALUE!</v>
      </c>
      <c r="U47" s="1219" t="e">
        <f ca="1">IF(AND(INDEX(FlowCalConstA,MATCH(R38,FlowCalNumber,0),1,1)*T47^INDEX(FlowCalConstB,MATCH(R38,FlowCalNumber,0),1,1)&gt;INDEX(FlowCalLowSetting,MATCH(R38,FlowCalNumber,0),1,1), (INDEX(FlowCalConstA,MATCH(R38,FlowCalNumber,0),1,1)*T47^INDEX(FlowCalConstB,MATCH(R38,FlowCalNumber,0),1,1)&lt;INDEX(FlowCalHighSetting,MATCH(R38,FlowCalNumber,0),1,1))),INDEX(FlowCalConstA,MATCH(R38,FlowCalNumber,0),1,1)*T47^INDEX(FlowCalConstB,MATCH(R38,FlowCalNumber,0),1,1)," ")</f>
        <v>#N/A</v>
      </c>
      <c r="V47" s="1216"/>
      <c r="W47" s="1217">
        <f t="shared" si="16"/>
        <v>0.5</v>
      </c>
      <c r="X47" s="1218" t="e">
        <f t="shared" ca="1" si="17"/>
        <v>#VALUE!</v>
      </c>
      <c r="Y47" s="1220" t="e">
        <f ca="1">IF(AND(INDEX(FlowCalConstA,MATCH(V38,FlowCalNumber,0),1,1)*X47^INDEX(FlowCalConstB,MATCH(V38,FlowCalNumber,0),1,1)&gt;INDEX(FlowCalLowSetting,MATCH(V38,FlowCalNumber,0),1,1), (INDEX(FlowCalConstA,MATCH(V38,FlowCalNumber,0),1,1)*X47^INDEX(FlowCalConstB,MATCH(V38,FlowCalNumber,0),1,1)&lt;INDEX(FlowCalHighSetting,MATCH(V38,FlowCalNumber,0),1,1))),INDEX(FlowCalConstA,MATCH(V38,FlowCalNumber,0),1,1)*X47^INDEX(FlowCalConstB,MATCH(V38,FlowCalNumber,0),1,1)," ")</f>
        <v>#N/A</v>
      </c>
    </row>
    <row r="48" spans="1:25">
      <c r="A48" s="412"/>
      <c r="B48" s="2"/>
      <c r="C48" s="235"/>
      <c r="D48" s="24">
        <f>'1% Wind'!$M$91</f>
        <v>4.2</v>
      </c>
      <c r="E48" s="90"/>
      <c r="F48" s="90"/>
      <c r="G48" s="79">
        <f ca="1">IF(I38=1,$G47,MAX(G47/D47*D48,2))</f>
        <v>6.001707317073171</v>
      </c>
      <c r="H48" s="121" t="e">
        <f t="shared" ca="1" si="9"/>
        <v>#VALUE!</v>
      </c>
      <c r="J48" s="377"/>
      <c r="K48" s="242">
        <f t="shared" si="10"/>
        <v>1</v>
      </c>
      <c r="L48" s="241" t="e">
        <f t="shared" ca="1" si="11"/>
        <v>#VALUE!</v>
      </c>
      <c r="M48" s="243" t="e">
        <f ca="1">IF(AND(INDEX(FlowCalConstA,MATCH(J38,FlowCalNumber,0),1,1)*L48^INDEX(FlowCalConstB,MATCH(J38,FlowCalNumber,0),1,1)&gt;INDEX(FlowCalLowSetting,MATCH(J38,FlowCalNumber,0),1,1), (INDEX(FlowCalConstA,MATCH(J38,FlowCalNumber,0),1,1)*L48^INDEX(FlowCalConstB,MATCH(J38,FlowCalNumber,0),1,1)&lt;INDEX(FlowCalHighSetting,MATCH(J38,FlowCalNumber,0),1,1))),INDEX(FlowCalConstA,MATCH(J38,FlowCalNumber,0),1,1)*L48^INDEX(FlowCalConstB,MATCH(J38,FlowCalNumber,0),1,1)," ")</f>
        <v>#N/A</v>
      </c>
      <c r="N48" s="377"/>
      <c r="O48" s="242">
        <f t="shared" si="12"/>
        <v>1</v>
      </c>
      <c r="P48" s="241" t="e">
        <f t="shared" ca="1" si="13"/>
        <v>#VALUE!</v>
      </c>
      <c r="Q48" s="244" t="e">
        <f ca="1">IF(AND(INDEX(FlowCalConstA,MATCH(N38,FlowCalNumber,0),1,1)*P48^INDEX(FlowCalConstB,MATCH(N38,FlowCalNumber,0),1,1)&gt;INDEX(FlowCalLowSetting,MATCH(N38,FlowCalNumber,0),1,1), (INDEX(FlowCalConstA,MATCH(N38,FlowCalNumber,0),1,1)*P48^INDEX(FlowCalConstB,MATCH(N38,FlowCalNumber,0),1,1)&lt;INDEX(FlowCalHighSetting,MATCH(N38,FlowCalNumber,0),1,1))),INDEX(FlowCalConstA,MATCH(N38,FlowCalNumber,0),1,1)*P48^INDEX(FlowCalConstB,MATCH(N38,FlowCalNumber,0),1,1)," ")</f>
        <v>#N/A</v>
      </c>
      <c r="R48" s="377"/>
      <c r="S48" s="242">
        <f t="shared" si="14"/>
        <v>0.5</v>
      </c>
      <c r="T48" s="241" t="e">
        <f t="shared" ca="1" si="15"/>
        <v>#VALUE!</v>
      </c>
      <c r="U48" s="243" t="e">
        <f ca="1">IF(AND(INDEX(FlowCalConstA,MATCH(R38,FlowCalNumber,0),1,1)*T48^INDEX(FlowCalConstB,MATCH(R38,FlowCalNumber,0),1,1)&gt;INDEX(FlowCalLowSetting,MATCH(R38,FlowCalNumber,0),1,1), (INDEX(FlowCalConstA,MATCH(R38,FlowCalNumber,0),1,1)*T48^INDEX(FlowCalConstB,MATCH(R38,FlowCalNumber,0),1,1)&lt;INDEX(FlowCalHighSetting,MATCH(R38,FlowCalNumber,0),1,1))),INDEX(FlowCalConstA,MATCH(R38,FlowCalNumber,0),1,1)*T48^INDEX(FlowCalConstB,MATCH(R38,FlowCalNumber,0),1,1)," ")</f>
        <v>#N/A</v>
      </c>
      <c r="V48" s="377"/>
      <c r="W48" s="242">
        <f t="shared" si="16"/>
        <v>0.5</v>
      </c>
      <c r="X48" s="241" t="e">
        <f t="shared" ca="1" si="17"/>
        <v>#VALUE!</v>
      </c>
      <c r="Y48" s="244" t="e">
        <f ca="1">IF(AND(INDEX(FlowCalConstA,MATCH(V38,FlowCalNumber,0),1,1)*X48^INDEX(FlowCalConstB,MATCH(V38,FlowCalNumber,0),1,1)&gt;INDEX(FlowCalLowSetting,MATCH(V38,FlowCalNumber,0),1,1), (INDEX(FlowCalConstA,MATCH(V38,FlowCalNumber,0),1,1)*X48^INDEX(FlowCalConstB,MATCH(V38,FlowCalNumber,0),1,1)&lt;INDEX(FlowCalHighSetting,MATCH(V38,FlowCalNumber,0),1,1))),INDEX(FlowCalConstA,MATCH(V38,FlowCalNumber,0),1,1)*X48^INDEX(FlowCalConstB,MATCH(V38,FlowCalNumber,0),1,1)," ")</f>
        <v>#N/A</v>
      </c>
    </row>
    <row r="49" spans="1:25" s="1215" customFormat="1">
      <c r="A49" s="1208"/>
      <c r="B49" s="1209"/>
      <c r="C49" s="1210"/>
      <c r="D49" s="1211">
        <f>'1% Wind'!$M$92</f>
        <v>3.2</v>
      </c>
      <c r="E49" s="1212"/>
      <c r="F49" s="1212"/>
      <c r="G49" s="1213">
        <f ca="1">IF(I38=1,$G48,MAX(G48/D48*D49,2))</f>
        <v>6.001707317073171</v>
      </c>
      <c r="H49" s="1214" t="e">
        <f t="shared" ca="1" si="9"/>
        <v>#VALUE!</v>
      </c>
      <c r="J49" s="1216"/>
      <c r="K49" s="1217">
        <f t="shared" si="10"/>
        <v>1</v>
      </c>
      <c r="L49" s="1218" t="e">
        <f t="shared" ca="1" si="11"/>
        <v>#VALUE!</v>
      </c>
      <c r="M49" s="1219" t="e">
        <f ca="1">IF(AND(INDEX(FlowCalConstA,MATCH(J38,FlowCalNumber,0),1,1)*L49^INDEX(FlowCalConstB,MATCH(J38,FlowCalNumber,0),1,1)&gt;INDEX(FlowCalLowSetting,MATCH(J38,FlowCalNumber,0),1,1), (INDEX(FlowCalConstA,MATCH(J38,FlowCalNumber,0),1,1)*L49^INDEX(FlowCalConstB,MATCH(J38,FlowCalNumber,0),1,1)&lt;INDEX(FlowCalHighSetting,MATCH(J38,FlowCalNumber,0),1,1))),INDEX(FlowCalConstA,MATCH(J38,FlowCalNumber,0),1,1)*L49^INDEX(FlowCalConstB,MATCH(J38,FlowCalNumber,0),1,1)," ")</f>
        <v>#N/A</v>
      </c>
      <c r="N49" s="1216"/>
      <c r="O49" s="1217">
        <f t="shared" si="12"/>
        <v>1</v>
      </c>
      <c r="P49" s="1218" t="e">
        <f t="shared" ca="1" si="13"/>
        <v>#VALUE!</v>
      </c>
      <c r="Q49" s="1220" t="e">
        <f ca="1">IF(AND(INDEX(FlowCalConstA,MATCH(N38,FlowCalNumber,0),1,1)*P49^INDEX(FlowCalConstB,MATCH(N38,FlowCalNumber,0),1,1)&gt;INDEX(FlowCalLowSetting,MATCH(N38,FlowCalNumber,0),1,1), (INDEX(FlowCalConstA,MATCH(N38,FlowCalNumber,0),1,1)*P49^INDEX(FlowCalConstB,MATCH(N38,FlowCalNumber,0),1,1)&lt;INDEX(FlowCalHighSetting,MATCH(N38,FlowCalNumber,0),1,1))),INDEX(FlowCalConstA,MATCH(N38,FlowCalNumber,0),1,1)*P49^INDEX(FlowCalConstB,MATCH(N38,FlowCalNumber,0),1,1)," ")</f>
        <v>#N/A</v>
      </c>
      <c r="R49" s="1216"/>
      <c r="S49" s="1217">
        <f t="shared" si="14"/>
        <v>0.5</v>
      </c>
      <c r="T49" s="1218" t="e">
        <f t="shared" ca="1" si="15"/>
        <v>#VALUE!</v>
      </c>
      <c r="U49" s="1219" t="e">
        <f ca="1">IF(AND(INDEX(FlowCalConstA,MATCH(R38,FlowCalNumber,0),1,1)*T49^INDEX(FlowCalConstB,MATCH(R38,FlowCalNumber,0),1,1)&gt;INDEX(FlowCalLowSetting,MATCH(R38,FlowCalNumber,0),1,1), (INDEX(FlowCalConstA,MATCH(R38,FlowCalNumber,0),1,1)*T49^INDEX(FlowCalConstB,MATCH(R38,FlowCalNumber,0),1,1)&lt;INDEX(FlowCalHighSetting,MATCH(R38,FlowCalNumber,0),1,1))),INDEX(FlowCalConstA,MATCH(R38,FlowCalNumber,0),1,1)*T49^INDEX(FlowCalConstB,MATCH(R38,FlowCalNumber,0),1,1)," ")</f>
        <v>#N/A</v>
      </c>
      <c r="V49" s="1216"/>
      <c r="W49" s="1217">
        <f t="shared" si="16"/>
        <v>0.5</v>
      </c>
      <c r="X49" s="1218" t="e">
        <f t="shared" ca="1" si="17"/>
        <v>#VALUE!</v>
      </c>
      <c r="Y49" s="1220" t="e">
        <f ca="1">IF(AND(INDEX(FlowCalConstA,MATCH(V38,FlowCalNumber,0),1,1)*X49^INDEX(FlowCalConstB,MATCH(V38,FlowCalNumber,0),1,1)&gt;INDEX(FlowCalLowSetting,MATCH(V38,FlowCalNumber,0),1,1), (INDEX(FlowCalConstA,MATCH(V38,FlowCalNumber,0),1,1)*X49^INDEX(FlowCalConstB,MATCH(V38,FlowCalNumber,0),1,1)&lt;INDEX(FlowCalHighSetting,MATCH(V38,FlowCalNumber,0),1,1))),INDEX(FlowCalConstA,MATCH(V38,FlowCalNumber,0),1,1)*X49^INDEX(FlowCalConstB,MATCH(V38,FlowCalNumber,0),1,1)," ")</f>
        <v>#N/A</v>
      </c>
    </row>
    <row r="50" spans="1:25">
      <c r="A50" s="412"/>
      <c r="B50" s="2"/>
      <c r="C50" s="235"/>
      <c r="D50" s="24">
        <f>'1% Wind'!$M$93</f>
        <v>2.4</v>
      </c>
      <c r="E50" s="90"/>
      <c r="F50" s="90"/>
      <c r="G50" s="79">
        <f ca="1">IF(I38=1,$G49,MAX(G49/D49*D50,2))</f>
        <v>6.001707317073171</v>
      </c>
      <c r="H50" s="121" t="e">
        <f t="shared" ca="1" si="9"/>
        <v>#VALUE!</v>
      </c>
      <c r="J50" s="377"/>
      <c r="K50" s="242">
        <f t="shared" si="10"/>
        <v>1</v>
      </c>
      <c r="L50" s="241" t="e">
        <f t="shared" ca="1" si="11"/>
        <v>#VALUE!</v>
      </c>
      <c r="M50" s="243" t="e">
        <f ca="1">IF(AND(INDEX(FlowCalConstA,MATCH(J38,FlowCalNumber,0),1,1)*L50^INDEX(FlowCalConstB,MATCH(J38,FlowCalNumber,0),1,1)&gt;INDEX(FlowCalLowSetting,MATCH(J38,FlowCalNumber,0),1,1), (INDEX(FlowCalConstA,MATCH(J38,FlowCalNumber,0),1,1)*L50^INDEX(FlowCalConstB,MATCH(J38,FlowCalNumber,0),1,1)&lt;INDEX(FlowCalHighSetting,MATCH(J38,FlowCalNumber,0),1,1))),INDEX(FlowCalConstA,MATCH(J38,FlowCalNumber,0),1,1)*L50^INDEX(FlowCalConstB,MATCH(J38,FlowCalNumber,0),1,1)," ")</f>
        <v>#N/A</v>
      </c>
      <c r="N50" s="377"/>
      <c r="O50" s="242">
        <f t="shared" si="12"/>
        <v>1</v>
      </c>
      <c r="P50" s="241" t="e">
        <f t="shared" ca="1" si="13"/>
        <v>#VALUE!</v>
      </c>
      <c r="Q50" s="244" t="e">
        <f ca="1">IF(AND(INDEX(FlowCalConstA,MATCH(N38,FlowCalNumber,0),1,1)*P50^INDEX(FlowCalConstB,MATCH(N38,FlowCalNumber,0),1,1)&gt;INDEX(FlowCalLowSetting,MATCH(N38,FlowCalNumber,0),1,1), (INDEX(FlowCalConstA,MATCH(N38,FlowCalNumber,0),1,1)*P50^INDEX(FlowCalConstB,MATCH(N38,FlowCalNumber,0),1,1)&lt;INDEX(FlowCalHighSetting,MATCH(N38,FlowCalNumber,0),1,1))),INDEX(FlowCalConstA,MATCH(N38,FlowCalNumber,0),1,1)*P50^INDEX(FlowCalConstB,MATCH(N38,FlowCalNumber,0),1,1)," ")</f>
        <v>#N/A</v>
      </c>
      <c r="R50" s="377"/>
      <c r="S50" s="242">
        <f t="shared" si="14"/>
        <v>0.5</v>
      </c>
      <c r="T50" s="241" t="e">
        <f t="shared" ca="1" si="15"/>
        <v>#VALUE!</v>
      </c>
      <c r="U50" s="243" t="e">
        <f ca="1">IF(AND(INDEX(FlowCalConstA,MATCH(R38,FlowCalNumber,0),1,1)*T50^INDEX(FlowCalConstB,MATCH(R38,FlowCalNumber,0),1,1)&gt;INDEX(FlowCalLowSetting,MATCH(R38,FlowCalNumber,0),1,1), (INDEX(FlowCalConstA,MATCH(R38,FlowCalNumber,0),1,1)*T50^INDEX(FlowCalConstB,MATCH(R38,FlowCalNumber,0),1,1)&lt;INDEX(FlowCalHighSetting,MATCH(R38,FlowCalNumber,0),1,1))),INDEX(FlowCalConstA,MATCH(R38,FlowCalNumber,0),1,1)*T50^INDEX(FlowCalConstB,MATCH(R38,FlowCalNumber,0),1,1)," ")</f>
        <v>#N/A</v>
      </c>
      <c r="V50" s="377"/>
      <c r="W50" s="242">
        <f t="shared" si="16"/>
        <v>0.5</v>
      </c>
      <c r="X50" s="241" t="e">
        <f t="shared" ca="1" si="17"/>
        <v>#VALUE!</v>
      </c>
      <c r="Y50" s="244" t="e">
        <f ca="1">IF(AND(INDEX(FlowCalConstA,MATCH(V38,FlowCalNumber,0),1,1)*X50^INDEX(FlowCalConstB,MATCH(V38,FlowCalNumber,0),1,1)&gt;INDEX(FlowCalLowSetting,MATCH(V38,FlowCalNumber,0),1,1), (INDEX(FlowCalConstA,MATCH(V38,FlowCalNumber,0),1,1)*X50^INDEX(FlowCalConstB,MATCH(V38,FlowCalNumber,0),1,1)&lt;INDEX(FlowCalHighSetting,MATCH(V38,FlowCalNumber,0),1,1))),INDEX(FlowCalConstA,MATCH(V38,FlowCalNumber,0),1,1)*X50^INDEX(FlowCalConstB,MATCH(V38,FlowCalNumber,0),1,1)," ")</f>
        <v>#N/A</v>
      </c>
    </row>
    <row r="51" spans="1:25" s="1215" customFormat="1">
      <c r="A51" s="1208"/>
      <c r="B51" s="1209"/>
      <c r="C51" s="1210"/>
      <c r="D51" s="1211">
        <f>'1% Wind'!$M$94</f>
        <v>1.8</v>
      </c>
      <c r="E51" s="1212"/>
      <c r="F51" s="1212"/>
      <c r="G51" s="1213">
        <f ca="1">IF(I38=1,$G50,MAX(G50/D50*D51,2))</f>
        <v>6.001707317073171</v>
      </c>
      <c r="H51" s="1214" t="e">
        <f t="shared" ca="1" si="9"/>
        <v>#VALUE!</v>
      </c>
      <c r="J51" s="1216"/>
      <c r="K51" s="1217">
        <f t="shared" si="10"/>
        <v>1</v>
      </c>
      <c r="L51" s="1218" t="e">
        <f t="shared" ca="1" si="11"/>
        <v>#VALUE!</v>
      </c>
      <c r="M51" s="1219" t="e">
        <f ca="1">IF(AND(INDEX(FlowCalConstA,MATCH(J38,FlowCalNumber,0),1,1)*L51^INDEX(FlowCalConstB,MATCH(J38,FlowCalNumber,0),1,1)&gt;INDEX(FlowCalLowSetting,MATCH(J38,FlowCalNumber,0),1,1), (INDEX(FlowCalConstA,MATCH(J38,FlowCalNumber,0),1,1)*L51^INDEX(FlowCalConstB,MATCH(J38,FlowCalNumber,0),1,1)&lt;INDEX(FlowCalHighSetting,MATCH(J38,FlowCalNumber,0),1,1))),INDEX(FlowCalConstA,MATCH(J38,FlowCalNumber,0),1,1)*L51^INDEX(FlowCalConstB,MATCH(J38,FlowCalNumber,0),1,1)," ")</f>
        <v>#N/A</v>
      </c>
      <c r="N51" s="1216"/>
      <c r="O51" s="1217">
        <f t="shared" si="12"/>
        <v>1</v>
      </c>
      <c r="P51" s="1218" t="e">
        <f t="shared" ca="1" si="13"/>
        <v>#VALUE!</v>
      </c>
      <c r="Q51" s="1220" t="e">
        <f ca="1">IF(AND(INDEX(FlowCalConstA,MATCH(N38,FlowCalNumber,0),1,1)*P51^INDEX(FlowCalConstB,MATCH(N38,FlowCalNumber,0),1,1)&gt;INDEX(FlowCalLowSetting,MATCH(N38,FlowCalNumber,0),1,1), (INDEX(FlowCalConstA,MATCH(N38,FlowCalNumber,0),1,1)*P51^INDEX(FlowCalConstB,MATCH(N38,FlowCalNumber,0),1,1)&lt;INDEX(FlowCalHighSetting,MATCH(N38,FlowCalNumber,0),1,1))),INDEX(FlowCalConstA,MATCH(N38,FlowCalNumber,0),1,1)*P51^INDEX(FlowCalConstB,MATCH(N38,FlowCalNumber,0),1,1)," ")</f>
        <v>#N/A</v>
      </c>
      <c r="R51" s="1216"/>
      <c r="S51" s="1217">
        <f t="shared" si="14"/>
        <v>0.5</v>
      </c>
      <c r="T51" s="1218" t="e">
        <f t="shared" ca="1" si="15"/>
        <v>#VALUE!</v>
      </c>
      <c r="U51" s="1219" t="e">
        <f ca="1">IF(AND(INDEX(FlowCalConstA,MATCH(R38,FlowCalNumber,0),1,1)*T51^INDEX(FlowCalConstB,MATCH(R38,FlowCalNumber,0),1,1)&gt;INDEX(FlowCalLowSetting,MATCH(R38,FlowCalNumber,0),1,1), (INDEX(FlowCalConstA,MATCH(R38,FlowCalNumber,0),1,1)*T51^INDEX(FlowCalConstB,MATCH(R38,FlowCalNumber,0),1,1)&lt;INDEX(FlowCalHighSetting,MATCH(R38,FlowCalNumber,0),1,1))),INDEX(FlowCalConstA,MATCH(R38,FlowCalNumber,0),1,1)*T51^INDEX(FlowCalConstB,MATCH(R38,FlowCalNumber,0),1,1)," ")</f>
        <v>#N/A</v>
      </c>
      <c r="V51" s="1216"/>
      <c r="W51" s="1217">
        <f t="shared" si="16"/>
        <v>0.5</v>
      </c>
      <c r="X51" s="1218" t="e">
        <f t="shared" ca="1" si="17"/>
        <v>#VALUE!</v>
      </c>
      <c r="Y51" s="1220" t="e">
        <f ca="1">IF(AND(INDEX(FlowCalConstA,MATCH(V38,FlowCalNumber,0),1,1)*X51^INDEX(FlowCalConstB,MATCH(V38,FlowCalNumber,0),1,1)&gt;INDEX(FlowCalLowSetting,MATCH(V38,FlowCalNumber,0),1,1), (INDEX(FlowCalConstA,MATCH(V38,FlowCalNumber,0),1,1)*X51^INDEX(FlowCalConstB,MATCH(V38,FlowCalNumber,0),1,1)&lt;INDEX(FlowCalHighSetting,MATCH(V38,FlowCalNumber,0),1,1))),INDEX(FlowCalConstA,MATCH(V38,FlowCalNumber,0),1,1)*X51^INDEX(FlowCalConstB,MATCH(V38,FlowCalNumber,0),1,1)," ")</f>
        <v>#N/A</v>
      </c>
    </row>
    <row r="52" spans="1:25">
      <c r="A52" s="412"/>
      <c r="B52" s="2"/>
      <c r="C52" s="235"/>
      <c r="D52" s="24">
        <f>'1% Wind'!$M$95</f>
        <v>1.3</v>
      </c>
      <c r="E52" s="90"/>
      <c r="F52" s="90"/>
      <c r="G52" s="79">
        <f ca="1">IF(I38=1,$G51,MAX(G51/D51*D52,2))</f>
        <v>6.001707317073171</v>
      </c>
      <c r="H52" s="121" t="e">
        <f t="shared" ca="1" si="9"/>
        <v>#VALUE!</v>
      </c>
      <c r="J52" s="377"/>
      <c r="K52" s="242">
        <f t="shared" si="10"/>
        <v>1</v>
      </c>
      <c r="L52" s="241" t="e">
        <f t="shared" ca="1" si="11"/>
        <v>#VALUE!</v>
      </c>
      <c r="M52" s="243" t="e">
        <f ca="1">IF(AND(INDEX(FlowCalConstA,MATCH(J38,FlowCalNumber,0),1,1)*L52^INDEX(FlowCalConstB,MATCH(J38,FlowCalNumber,0),1,1)&gt;INDEX(FlowCalLowSetting,MATCH(J38,FlowCalNumber,0),1,1), (INDEX(FlowCalConstA,MATCH(J38,FlowCalNumber,0),1,1)*L52^INDEX(FlowCalConstB,MATCH(J38,FlowCalNumber,0),1,1)&lt;INDEX(FlowCalHighSetting,MATCH(J38,FlowCalNumber,0),1,1))),INDEX(FlowCalConstA,MATCH(J38,FlowCalNumber,0),1,1)*L52^INDEX(FlowCalConstB,MATCH(J38,FlowCalNumber,0),1,1)," ")</f>
        <v>#N/A</v>
      </c>
      <c r="N52" s="377"/>
      <c r="O52" s="242">
        <f t="shared" si="12"/>
        <v>1</v>
      </c>
      <c r="P52" s="241" t="e">
        <f t="shared" ca="1" si="13"/>
        <v>#VALUE!</v>
      </c>
      <c r="Q52" s="244" t="e">
        <f ca="1">IF(AND(INDEX(FlowCalConstA,MATCH(N38,FlowCalNumber,0),1,1)*P52^INDEX(FlowCalConstB,MATCH(N38,FlowCalNumber,0),1,1)&gt;INDEX(FlowCalLowSetting,MATCH(N38,FlowCalNumber,0),1,1), (INDEX(FlowCalConstA,MATCH(N38,FlowCalNumber,0),1,1)*P52^INDEX(FlowCalConstB,MATCH(N38,FlowCalNumber,0),1,1)&lt;INDEX(FlowCalHighSetting,MATCH(N38,FlowCalNumber,0),1,1))),INDEX(FlowCalConstA,MATCH(N38,FlowCalNumber,0),1,1)*P52^INDEX(FlowCalConstB,MATCH(N38,FlowCalNumber,0),1,1)," ")</f>
        <v>#N/A</v>
      </c>
      <c r="R52" s="377"/>
      <c r="S52" s="242">
        <f t="shared" si="14"/>
        <v>0.5</v>
      </c>
      <c r="T52" s="241" t="e">
        <f t="shared" ca="1" si="15"/>
        <v>#VALUE!</v>
      </c>
      <c r="U52" s="243" t="e">
        <f ca="1">IF(AND(INDEX(FlowCalConstA,MATCH(R38,FlowCalNumber,0),1,1)*T52^INDEX(FlowCalConstB,MATCH(R38,FlowCalNumber,0),1,1)&gt;INDEX(FlowCalLowSetting,MATCH(R38,FlowCalNumber,0),1,1), (INDEX(FlowCalConstA,MATCH(R38,FlowCalNumber,0),1,1)*T52^INDEX(FlowCalConstB,MATCH(R38,FlowCalNumber,0),1,1)&lt;INDEX(FlowCalHighSetting,MATCH(R38,FlowCalNumber,0),1,1))),INDEX(FlowCalConstA,MATCH(R38,FlowCalNumber,0),1,1)*T52^INDEX(FlowCalConstB,MATCH(R38,FlowCalNumber,0),1,1)," ")</f>
        <v>#N/A</v>
      </c>
      <c r="V52" s="377"/>
      <c r="W52" s="242">
        <f t="shared" si="16"/>
        <v>0.5</v>
      </c>
      <c r="X52" s="241" t="e">
        <f t="shared" ca="1" si="17"/>
        <v>#VALUE!</v>
      </c>
      <c r="Y52" s="244" t="e">
        <f ca="1">IF(AND(INDEX(FlowCalConstA,MATCH(V38,FlowCalNumber,0),1,1)*X52^INDEX(FlowCalConstB,MATCH(V38,FlowCalNumber,0),1,1)&gt;INDEX(FlowCalLowSetting,MATCH(V38,FlowCalNumber,0),1,1), (INDEX(FlowCalConstA,MATCH(V38,FlowCalNumber,0),1,1)*X52^INDEX(FlowCalConstB,MATCH(V38,FlowCalNumber,0),1,1)&lt;INDEX(FlowCalHighSetting,MATCH(V38,FlowCalNumber,0),1,1))),INDEX(FlowCalConstA,MATCH(V38,FlowCalNumber,0),1,1)*X52^INDEX(FlowCalConstB,MATCH(V38,FlowCalNumber,0),1,1)," ")</f>
        <v>#N/A</v>
      </c>
    </row>
    <row r="53" spans="1:25" s="1215" customFormat="1">
      <c r="A53" s="1208"/>
      <c r="B53" s="1209"/>
      <c r="C53" s="1210"/>
      <c r="D53" s="1211">
        <f>'1% Wind'!$M$96</f>
        <v>1</v>
      </c>
      <c r="E53" s="1212"/>
      <c r="F53" s="1212"/>
      <c r="G53" s="1213">
        <f ca="1">IF(I38=1,$G52,MAX(G52/D52*D53,2))</f>
        <v>6.001707317073171</v>
      </c>
      <c r="H53" s="1214" t="e">
        <f t="shared" ca="1" si="9"/>
        <v>#VALUE!</v>
      </c>
      <c r="J53" s="1216"/>
      <c r="K53" s="1217">
        <f t="shared" si="10"/>
        <v>1</v>
      </c>
      <c r="L53" s="1218" t="e">
        <f t="shared" ca="1" si="11"/>
        <v>#VALUE!</v>
      </c>
      <c r="M53" s="1219" t="e">
        <f ca="1">IF(AND(INDEX(FlowCalConstA,MATCH(J38,FlowCalNumber,0),1,1)*L53^INDEX(FlowCalConstB,MATCH(J38,FlowCalNumber,0),1,1)&gt;INDEX(FlowCalLowSetting,MATCH(J38,FlowCalNumber,0),1,1), (INDEX(FlowCalConstA,MATCH(J38,FlowCalNumber,0),1,1)*L53^INDEX(FlowCalConstB,MATCH(J38,FlowCalNumber,0),1,1)&lt;INDEX(FlowCalHighSetting,MATCH(J38,FlowCalNumber,0),1,1))),INDEX(FlowCalConstA,MATCH(J38,FlowCalNumber,0),1,1)*L53^INDEX(FlowCalConstB,MATCH(J38,FlowCalNumber,0),1,1)," ")</f>
        <v>#N/A</v>
      </c>
      <c r="N53" s="1216"/>
      <c r="O53" s="1217">
        <f t="shared" si="12"/>
        <v>1</v>
      </c>
      <c r="P53" s="1218" t="e">
        <f t="shared" ca="1" si="13"/>
        <v>#VALUE!</v>
      </c>
      <c r="Q53" s="1220" t="e">
        <f ca="1">IF(AND(INDEX(FlowCalConstA,MATCH(N38,FlowCalNumber,0),1,1)*P53^INDEX(FlowCalConstB,MATCH(N38,FlowCalNumber,0),1,1)&gt;INDEX(FlowCalLowSetting,MATCH(N38,FlowCalNumber,0),1,1), (INDEX(FlowCalConstA,MATCH(N38,FlowCalNumber,0),1,1)*P53^INDEX(FlowCalConstB,MATCH(N38,FlowCalNumber,0),1,1)&lt;INDEX(FlowCalHighSetting,MATCH(N38,FlowCalNumber,0),1,1))),INDEX(FlowCalConstA,MATCH(N38,FlowCalNumber,0),1,1)*P53^INDEX(FlowCalConstB,MATCH(N38,FlowCalNumber,0),1,1)," ")</f>
        <v>#N/A</v>
      </c>
      <c r="R53" s="1216"/>
      <c r="S53" s="1217">
        <f t="shared" si="14"/>
        <v>0.5</v>
      </c>
      <c r="T53" s="1218" t="e">
        <f t="shared" ca="1" si="15"/>
        <v>#VALUE!</v>
      </c>
      <c r="U53" s="1219" t="e">
        <f ca="1">IF(AND(INDEX(FlowCalConstA,MATCH(R38,FlowCalNumber,0),1,1)*T53^INDEX(FlowCalConstB,MATCH(R38,FlowCalNumber,0),1,1)&gt;INDEX(FlowCalLowSetting,MATCH(R38,FlowCalNumber,0),1,1), (INDEX(FlowCalConstA,MATCH(R38,FlowCalNumber,0),1,1)*T53^INDEX(FlowCalConstB,MATCH(R38,FlowCalNumber,0),1,1)&lt;INDEX(FlowCalHighSetting,MATCH(R38,FlowCalNumber,0),1,1))),INDEX(FlowCalConstA,MATCH(R38,FlowCalNumber,0),1,1)*T53^INDEX(FlowCalConstB,MATCH(R38,FlowCalNumber,0),1,1)," ")</f>
        <v>#N/A</v>
      </c>
      <c r="V53" s="1216"/>
      <c r="W53" s="1217">
        <f t="shared" si="16"/>
        <v>0.5</v>
      </c>
      <c r="X53" s="1218" t="e">
        <f t="shared" ca="1" si="17"/>
        <v>#VALUE!</v>
      </c>
      <c r="Y53" s="1220" t="e">
        <f ca="1">IF(AND(INDEX(FlowCalConstA,MATCH(V38,FlowCalNumber,0),1,1)*X53^INDEX(FlowCalConstB,MATCH(V38,FlowCalNumber,0),1,1)&gt;INDEX(FlowCalLowSetting,MATCH(V38,FlowCalNumber,0),1,1), (INDEX(FlowCalConstA,MATCH(V38,FlowCalNumber,0),1,1)*X53^INDEX(FlowCalConstB,MATCH(V38,FlowCalNumber,0),1,1)&lt;INDEX(FlowCalHighSetting,MATCH(V38,FlowCalNumber,0),1,1))),INDEX(FlowCalConstA,MATCH(V38,FlowCalNumber,0),1,1)*X53^INDEX(FlowCalConstB,MATCH(V38,FlowCalNumber,0),1,1)," ")</f>
        <v>#N/A</v>
      </c>
    </row>
    <row r="54" spans="1:25">
      <c r="A54" s="90"/>
      <c r="C54" s="235"/>
      <c r="E54" s="90"/>
      <c r="F54" s="90"/>
      <c r="G54" s="33"/>
      <c r="J54" s="377"/>
      <c r="M54" s="243"/>
      <c r="N54" s="377"/>
      <c r="Q54" s="244"/>
      <c r="R54" s="377"/>
      <c r="U54" s="243"/>
      <c r="V54" s="377"/>
      <c r="Y54" s="244"/>
    </row>
    <row r="55" spans="1:25">
      <c r="A55" s="639">
        <f>A38+1</f>
        <v>3</v>
      </c>
      <c r="B55" s="42" t="str">
        <f>INDEX(SourceID,MATCH($A55,SourceNumber,0),1,1)</f>
        <v>AHU Labs-3</v>
      </c>
      <c r="C55" s="354">
        <f>INDEX(SourceExitDiameter,MATCH($A55,SourceNumber,0),1,1)*3.28*12</f>
        <v>172.59999999999997</v>
      </c>
      <c r="D55" s="24" t="str">
        <f>UAnem1percent</f>
        <v>1% Wind</v>
      </c>
      <c r="E55" s="85" t="e">
        <f ca="1">INDIRECT(ADDRESS(53,6,1,,$A55))</f>
        <v>#VALUE!</v>
      </c>
      <c r="F55" s="626" t="e">
        <f ca="1">(ROUND((INDIRECT(ADDRESS(15,7,1,,$A55))*3.28*12*32),0)&amp;"/32")</f>
        <v>#VALUE!</v>
      </c>
      <c r="G55" s="125">
        <f ca="1">INDIRECT(ADDRESS(29,7,1,,$A55))</f>
        <v>6.001707317073171</v>
      </c>
      <c r="H55" s="24" t="e">
        <f ca="1">INDIRECT(ADDRESS(19,7,1,,$A55))*100^3</f>
        <v>#VALUE!</v>
      </c>
      <c r="I55" s="24">
        <f ca="1">INDIRECT(ADDRESS(53,7,1,,$A55))</f>
        <v>1</v>
      </c>
      <c r="J55" s="20" t="str">
        <f>K$15&amp;$H$6&amp;J$6</f>
        <v>100AirPick a Tunnel</v>
      </c>
      <c r="K55" t="e">
        <f>INDEX(FlowCalGasMixture,MATCH(J55,FlowCalNumber,0),1,1)</f>
        <v>#N/A</v>
      </c>
      <c r="M55" s="355" t="e">
        <f>INDEX(FlowCalDevice,MATCH(J55,FlowCalNumber,0),1,1)</f>
        <v>#N/A</v>
      </c>
      <c r="N55" s="20" t="str">
        <f>O$15&amp;$H$6&amp;N$6</f>
        <v>100AirPick a Tunnel</v>
      </c>
      <c r="O55" t="e">
        <f>INDEX(FlowCalGasMixture,MATCH(N55,FlowCalNumber,0),1,1)</f>
        <v>#N/A</v>
      </c>
      <c r="Q55" s="355" t="e">
        <f>INDEX(FlowCalDevice,MATCH(N55,FlowCalNumber,0),1,1)</f>
        <v>#N/A</v>
      </c>
      <c r="R55" s="20" t="str">
        <f>S$15&amp;$H$6&amp;R$6</f>
        <v>100AirPick a Tunnel</v>
      </c>
      <c r="S55" t="e">
        <f>INDEX(FlowCalGasMixture,MATCH(R55,FlowCalNumber,0),1,1)</f>
        <v>#N/A</v>
      </c>
      <c r="U55" s="944" t="e">
        <f>INDEX(FlowCalDevice,MATCH(R55,FlowCalNumber,0),1,1)</f>
        <v>#N/A</v>
      </c>
      <c r="V55" s="946" t="str">
        <f>W$15&amp;$H$6&amp;V$6</f>
        <v>100AirPick a Tunnel</v>
      </c>
      <c r="W55" t="e">
        <f>INDEX(FlowCalGasMixture,MATCH(V55,FlowCalNumber,0),1,1)</f>
        <v>#N/A</v>
      </c>
      <c r="Y55" s="982" t="e">
        <f>INDEX(FlowCalDevice,MATCH(V55,FlowCalNumber,0),1,1)</f>
        <v>#N/A</v>
      </c>
    </row>
    <row r="56" spans="1:25" s="1215" customFormat="1">
      <c r="A56" s="1208"/>
      <c r="B56" s="1209"/>
      <c r="C56" s="1210"/>
      <c r="D56" s="1211">
        <f>'1% Wind'!$M$82</f>
        <v>27</v>
      </c>
      <c r="E56" s="1212"/>
      <c r="F56" s="1212"/>
      <c r="G56" s="1213">
        <f ca="1">IF(I55=1,$G55,MAX(G55/D55*D56,2))</f>
        <v>6.001707317073171</v>
      </c>
      <c r="H56" s="1214" t="e">
        <f t="shared" ref="H56:H70" ca="1" si="18">H55*(D55/D56)*(G56/G55)</f>
        <v>#VALUE!</v>
      </c>
      <c r="J56" s="1216"/>
      <c r="K56" s="1221">
        <f>K$16/100</f>
        <v>1</v>
      </c>
      <c r="L56" s="1218" t="e">
        <f ca="1">K56*$H56</f>
        <v>#VALUE!</v>
      </c>
      <c r="M56" s="1219" t="e">
        <f ca="1">IF(AND(INDEX(FlowCalConstA,MATCH(J55,FlowCalNumber,0),1,1)*L56^INDEX(FlowCalConstB,MATCH(J55,FlowCalNumber,0),1,1)&gt;INDEX(FlowCalLowSetting,MATCH(J55,FlowCalNumber,0),1,1), (INDEX(FlowCalConstA,MATCH(J55,FlowCalNumber,0),1,1)*L56^INDEX(FlowCalConstB,MATCH(J55,FlowCalNumber,0),1,1)&lt;INDEX(FlowCalHighSetting,MATCH(J55,FlowCalNumber,0),1,1))),INDEX(FlowCalConstA,MATCH(J55,FlowCalNumber,0),1,1)*L56^INDEX(FlowCalConstB,MATCH(J55,FlowCalNumber,0),1,1)," ")</f>
        <v>#N/A</v>
      </c>
      <c r="N56" s="1216"/>
      <c r="O56" s="1221">
        <f>O$16/100</f>
        <v>1</v>
      </c>
      <c r="P56" s="1218" t="e">
        <f ca="1">O56*$H56</f>
        <v>#VALUE!</v>
      </c>
      <c r="Q56" s="1220" t="e">
        <f ca="1">IF(AND(INDEX(FlowCalConstA,MATCH(N55,FlowCalNumber,0),1,1)*P56^INDEX(FlowCalConstB,MATCH(N55,FlowCalNumber,0),1,1)&gt;INDEX(FlowCalLowSetting,MATCH(N55,FlowCalNumber,0),1,1), (INDEX(FlowCalConstA,MATCH(N55,FlowCalNumber,0),1,1)*P56^INDEX(FlowCalConstB,MATCH(N55,FlowCalNumber,0),1,1)&lt;INDEX(FlowCalHighSetting,MATCH(N55,FlowCalNumber,0),1,1))),INDEX(FlowCalConstA,MATCH(N55,FlowCalNumber,0),1,1)*P56^INDEX(FlowCalConstB,MATCH(N55,FlowCalNumber,0),1,1)," ")</f>
        <v>#N/A</v>
      </c>
      <c r="R56" s="1216"/>
      <c r="S56" s="1221">
        <f>S$16/100</f>
        <v>0.5</v>
      </c>
      <c r="T56" s="1218" t="e">
        <f ca="1">S56*$H56</f>
        <v>#VALUE!</v>
      </c>
      <c r="U56" s="1219" t="e">
        <f ca="1">IF(AND(INDEX(FlowCalConstA,MATCH(R55,FlowCalNumber,0),1,1)*T56^INDEX(FlowCalConstB,MATCH(R55,FlowCalNumber,0),1,1)&gt;INDEX(FlowCalLowSetting,MATCH(R55,FlowCalNumber,0),1,1), (INDEX(FlowCalConstA,MATCH(R55,FlowCalNumber,0),1,1)*T56^INDEX(FlowCalConstB,MATCH(R55,FlowCalNumber,0),1,1)&lt;INDEX(FlowCalHighSetting,MATCH(R55,FlowCalNumber,0),1,1))),INDEX(FlowCalConstA,MATCH(R55,FlowCalNumber,0),1,1)*T56^INDEX(FlowCalConstB,MATCH(R55,FlowCalNumber,0),1,1)," ")</f>
        <v>#N/A</v>
      </c>
      <c r="V56" s="1216"/>
      <c r="W56" s="1221">
        <f>W$16/100</f>
        <v>0.5</v>
      </c>
      <c r="X56" s="1218" t="e">
        <f ca="1">W56*$H56</f>
        <v>#VALUE!</v>
      </c>
      <c r="Y56" s="1220" t="e">
        <f ca="1">IF(AND(INDEX(FlowCalConstA,MATCH(V55,FlowCalNumber,0),1,1)*X56^INDEX(FlowCalConstB,MATCH(V55,FlowCalNumber,0),1,1)&gt;INDEX(FlowCalLowSetting,MATCH(V55,FlowCalNumber,0),1,1), (INDEX(FlowCalConstA,MATCH(V55,FlowCalNumber,0),1,1)*X56^INDEX(FlowCalConstB,MATCH(V55,FlowCalNumber,0),1,1)&lt;INDEX(FlowCalHighSetting,MATCH(V55,FlowCalNumber,0),1,1))),INDEX(FlowCalConstA,MATCH(V55,FlowCalNumber,0),1,1)*X56^INDEX(FlowCalConstB,MATCH(V55,FlowCalNumber,0),1,1)," ")</f>
        <v>#N/A</v>
      </c>
    </row>
    <row r="57" spans="1:25">
      <c r="A57" s="412"/>
      <c r="B57" s="2"/>
      <c r="C57" s="235"/>
      <c r="D57" s="24">
        <f>'1% Wind'!$M$83</f>
        <v>23.5</v>
      </c>
      <c r="E57" s="90"/>
      <c r="F57" s="90"/>
      <c r="G57" s="79">
        <f ca="1">IF(I55=1,$G56,MAX(G56/D56*D57,2))</f>
        <v>6.001707317073171</v>
      </c>
      <c r="H57" s="121" t="e">
        <f t="shared" ca="1" si="18"/>
        <v>#VALUE!</v>
      </c>
      <c r="J57" s="377"/>
      <c r="K57" s="242">
        <f t="shared" ref="K57:K70" si="19">K56</f>
        <v>1</v>
      </c>
      <c r="L57" s="241" t="e">
        <f t="shared" ref="L57:L70" ca="1" si="20">K57*$H57</f>
        <v>#VALUE!</v>
      </c>
      <c r="M57" s="243" t="e">
        <f ca="1">IF(AND(INDEX(FlowCalConstA,MATCH(J55,FlowCalNumber,0),1,1)*L57^INDEX(FlowCalConstB,MATCH(J55,FlowCalNumber,0),1,1)&gt;INDEX(FlowCalLowSetting,MATCH(J55,FlowCalNumber,0),1,1), (INDEX(FlowCalConstA,MATCH(J55,FlowCalNumber,0),1,1)*L57^INDEX(FlowCalConstB,MATCH(J55,FlowCalNumber,0),1,1)&lt;INDEX(FlowCalHighSetting,MATCH(J55,FlowCalNumber,0),1,1))),INDEX(FlowCalConstA,MATCH(J55,FlowCalNumber,0),1,1)*L57^INDEX(FlowCalConstB,MATCH(J55,FlowCalNumber,0),1,1)," ")</f>
        <v>#N/A</v>
      </c>
      <c r="N57" s="377"/>
      <c r="O57" s="242">
        <f t="shared" ref="O57:O70" si="21">O56</f>
        <v>1</v>
      </c>
      <c r="P57" s="241" t="e">
        <f t="shared" ref="P57:P70" ca="1" si="22">O57*$H57</f>
        <v>#VALUE!</v>
      </c>
      <c r="Q57" s="244" t="e">
        <f ca="1">IF(AND(INDEX(FlowCalConstA,MATCH(N55,FlowCalNumber,0),1,1)*P57^INDEX(FlowCalConstB,MATCH(N55,FlowCalNumber,0),1,1)&gt;INDEX(FlowCalLowSetting,MATCH(N55,FlowCalNumber,0),1,1), (INDEX(FlowCalConstA,MATCH(N55,FlowCalNumber,0),1,1)*P57^INDEX(FlowCalConstB,MATCH(N55,FlowCalNumber,0),1,1)&lt;INDEX(FlowCalHighSetting,MATCH(N55,FlowCalNumber,0),1,1))),INDEX(FlowCalConstA,MATCH(N55,FlowCalNumber,0),1,1)*P57^INDEX(FlowCalConstB,MATCH(N55,FlowCalNumber,0),1,1)," ")</f>
        <v>#N/A</v>
      </c>
      <c r="R57" s="377"/>
      <c r="S57" s="242">
        <f t="shared" ref="S57:S70" si="23">S56</f>
        <v>0.5</v>
      </c>
      <c r="T57" s="241" t="e">
        <f t="shared" ref="T57:T70" ca="1" si="24">S57*$H57</f>
        <v>#VALUE!</v>
      </c>
      <c r="U57" s="243" t="e">
        <f ca="1">IF(AND(INDEX(FlowCalConstA,MATCH(R55,FlowCalNumber,0),1,1)*T57^INDEX(FlowCalConstB,MATCH(R55,FlowCalNumber,0),1,1)&gt;INDEX(FlowCalLowSetting,MATCH(R55,FlowCalNumber,0),1,1), (INDEX(FlowCalConstA,MATCH(R55,FlowCalNumber,0),1,1)*T57^INDEX(FlowCalConstB,MATCH(R55,FlowCalNumber,0),1,1)&lt;INDEX(FlowCalHighSetting,MATCH(R55,FlowCalNumber,0),1,1))),INDEX(FlowCalConstA,MATCH(R55,FlowCalNumber,0),1,1)*T57^INDEX(FlowCalConstB,MATCH(R55,FlowCalNumber,0),1,1)," ")</f>
        <v>#N/A</v>
      </c>
      <c r="V57" s="377"/>
      <c r="W57" s="242">
        <f t="shared" ref="W57:W70" si="25">W56</f>
        <v>0.5</v>
      </c>
      <c r="X57" s="241" t="e">
        <f t="shared" ref="X57:X70" ca="1" si="26">W57*$H57</f>
        <v>#VALUE!</v>
      </c>
      <c r="Y57" s="244" t="e">
        <f ca="1">IF(AND(INDEX(FlowCalConstA,MATCH(V55,FlowCalNumber,0),1,1)*X57^INDEX(FlowCalConstB,MATCH(V55,FlowCalNumber,0),1,1)&gt;INDEX(FlowCalLowSetting,MATCH(V55,FlowCalNumber,0),1,1), (INDEX(FlowCalConstA,MATCH(V55,FlowCalNumber,0),1,1)*X57^INDEX(FlowCalConstB,MATCH(V55,FlowCalNumber,0),1,1)&lt;INDEX(FlowCalHighSetting,MATCH(V55,FlowCalNumber,0),1,1))),INDEX(FlowCalConstA,MATCH(V55,FlowCalNumber,0),1,1)*X57^INDEX(FlowCalConstB,MATCH(V55,FlowCalNumber,0),1,1)," ")</f>
        <v>#N/A</v>
      </c>
    </row>
    <row r="58" spans="1:25" s="1215" customFormat="1">
      <c r="A58" s="1208"/>
      <c r="B58" s="1209"/>
      <c r="C58" s="1210"/>
      <c r="D58" s="1211">
        <f>'1% Wind'!$M$84</f>
        <v>20.5</v>
      </c>
      <c r="E58" s="1212"/>
      <c r="F58" s="1212"/>
      <c r="G58" s="1213">
        <f ca="1">IF(I55=1,$G57,MAX(G57/D57*D58,2))</f>
        <v>6.001707317073171</v>
      </c>
      <c r="H58" s="1214" t="e">
        <f t="shared" ca="1" si="18"/>
        <v>#VALUE!</v>
      </c>
      <c r="J58" s="1216"/>
      <c r="K58" s="1217">
        <f t="shared" si="19"/>
        <v>1</v>
      </c>
      <c r="L58" s="1218" t="e">
        <f t="shared" ca="1" si="20"/>
        <v>#VALUE!</v>
      </c>
      <c r="M58" s="1219" t="e">
        <f ca="1">IF(AND(INDEX(FlowCalConstA,MATCH(J55,FlowCalNumber,0),1,1)*L58^INDEX(FlowCalConstB,MATCH(J55,FlowCalNumber,0),1,1)&gt;INDEX(FlowCalLowSetting,MATCH(J55,FlowCalNumber,0),1,1), (INDEX(FlowCalConstA,MATCH(J55,FlowCalNumber,0),1,1)*L58^INDEX(FlowCalConstB,MATCH(J55,FlowCalNumber,0),1,1)&lt;INDEX(FlowCalHighSetting,MATCH(J55,FlowCalNumber,0),1,1))),INDEX(FlowCalConstA,MATCH(J55,FlowCalNumber,0),1,1)*L58^INDEX(FlowCalConstB,MATCH(J55,FlowCalNumber,0),1,1)," ")</f>
        <v>#N/A</v>
      </c>
      <c r="N58" s="1216"/>
      <c r="O58" s="1217">
        <f t="shared" si="21"/>
        <v>1</v>
      </c>
      <c r="P58" s="1218" t="e">
        <f t="shared" ca="1" si="22"/>
        <v>#VALUE!</v>
      </c>
      <c r="Q58" s="1220" t="e">
        <f ca="1">IF(AND(INDEX(FlowCalConstA,MATCH(N55,FlowCalNumber,0),1,1)*P58^INDEX(FlowCalConstB,MATCH(N55,FlowCalNumber,0),1,1)&gt;INDEX(FlowCalLowSetting,MATCH(N55,FlowCalNumber,0),1,1), (INDEX(FlowCalConstA,MATCH(N55,FlowCalNumber,0),1,1)*P58^INDEX(FlowCalConstB,MATCH(N55,FlowCalNumber,0),1,1)&lt;INDEX(FlowCalHighSetting,MATCH(N55,FlowCalNumber,0),1,1))),INDEX(FlowCalConstA,MATCH(N55,FlowCalNumber,0),1,1)*P58^INDEX(FlowCalConstB,MATCH(N55,FlowCalNumber,0),1,1)," ")</f>
        <v>#N/A</v>
      </c>
      <c r="R58" s="1216"/>
      <c r="S58" s="1217">
        <f t="shared" si="23"/>
        <v>0.5</v>
      </c>
      <c r="T58" s="1218" t="e">
        <f t="shared" ca="1" si="24"/>
        <v>#VALUE!</v>
      </c>
      <c r="U58" s="1219" t="e">
        <f ca="1">IF(AND(INDEX(FlowCalConstA,MATCH(R55,FlowCalNumber,0),1,1)*T58^INDEX(FlowCalConstB,MATCH(R55,FlowCalNumber,0),1,1)&gt;INDEX(FlowCalLowSetting,MATCH(R55,FlowCalNumber,0),1,1), (INDEX(FlowCalConstA,MATCH(R55,FlowCalNumber,0),1,1)*T58^INDEX(FlowCalConstB,MATCH(R55,FlowCalNumber,0),1,1)&lt;INDEX(FlowCalHighSetting,MATCH(R55,FlowCalNumber,0),1,1))),INDEX(FlowCalConstA,MATCH(R55,FlowCalNumber,0),1,1)*T58^INDEX(FlowCalConstB,MATCH(R55,FlowCalNumber,0),1,1)," ")</f>
        <v>#N/A</v>
      </c>
      <c r="V58" s="1216"/>
      <c r="W58" s="1217">
        <f t="shared" si="25"/>
        <v>0.5</v>
      </c>
      <c r="X58" s="1218" t="e">
        <f t="shared" ca="1" si="26"/>
        <v>#VALUE!</v>
      </c>
      <c r="Y58" s="1220" t="e">
        <f ca="1">IF(AND(INDEX(FlowCalConstA,MATCH(V55,FlowCalNumber,0),1,1)*X58^INDEX(FlowCalConstB,MATCH(V55,FlowCalNumber,0),1,1)&gt;INDEX(FlowCalLowSetting,MATCH(V55,FlowCalNumber,0),1,1), (INDEX(FlowCalConstA,MATCH(V55,FlowCalNumber,0),1,1)*X58^INDEX(FlowCalConstB,MATCH(V55,FlowCalNumber,0),1,1)&lt;INDEX(FlowCalHighSetting,MATCH(V55,FlowCalNumber,0),1,1))),INDEX(FlowCalConstA,MATCH(V55,FlowCalNumber,0),1,1)*X58^INDEX(FlowCalConstB,MATCH(V55,FlowCalNumber,0),1,1)," ")</f>
        <v>#N/A</v>
      </c>
    </row>
    <row r="59" spans="1:25">
      <c r="A59" s="412"/>
      <c r="B59" s="2"/>
      <c r="C59" s="235"/>
      <c r="D59" s="24">
        <f>'1% Wind'!$M$85</f>
        <v>17.8</v>
      </c>
      <c r="E59" s="90"/>
      <c r="F59" s="90"/>
      <c r="G59" s="79">
        <f ca="1">IF(I55=1,$G58,MAX(G58/D58*D59,2))</f>
        <v>6.001707317073171</v>
      </c>
      <c r="H59" s="121" t="e">
        <f t="shared" ca="1" si="18"/>
        <v>#VALUE!</v>
      </c>
      <c r="J59" s="377"/>
      <c r="K59" s="242">
        <f t="shared" si="19"/>
        <v>1</v>
      </c>
      <c r="L59" s="241" t="e">
        <f t="shared" ca="1" si="20"/>
        <v>#VALUE!</v>
      </c>
      <c r="M59" s="243" t="e">
        <f ca="1">IF(AND(INDEX(FlowCalConstA,MATCH(J55,FlowCalNumber,0),1,1)*L59^INDEX(FlowCalConstB,MATCH(J55,FlowCalNumber,0),1,1)&gt;INDEX(FlowCalLowSetting,MATCH(J55,FlowCalNumber,0),1,1), (INDEX(FlowCalConstA,MATCH(J55,FlowCalNumber,0),1,1)*L59^INDEX(FlowCalConstB,MATCH(J55,FlowCalNumber,0),1,1)&lt;INDEX(FlowCalHighSetting,MATCH(J55,FlowCalNumber,0),1,1))),INDEX(FlowCalConstA,MATCH(J55,FlowCalNumber,0),1,1)*L59^INDEX(FlowCalConstB,MATCH(J55,FlowCalNumber,0),1,1)," ")</f>
        <v>#N/A</v>
      </c>
      <c r="N59" s="377"/>
      <c r="O59" s="242">
        <f t="shared" si="21"/>
        <v>1</v>
      </c>
      <c r="P59" s="241" t="e">
        <f t="shared" ca="1" si="22"/>
        <v>#VALUE!</v>
      </c>
      <c r="Q59" s="244" t="e">
        <f ca="1">IF(AND(INDEX(FlowCalConstA,MATCH(N55,FlowCalNumber,0),1,1)*P59^INDEX(FlowCalConstB,MATCH(N55,FlowCalNumber,0),1,1)&gt;INDEX(FlowCalLowSetting,MATCH(N55,FlowCalNumber,0),1,1), (INDEX(FlowCalConstA,MATCH(N55,FlowCalNumber,0),1,1)*P59^INDEX(FlowCalConstB,MATCH(N55,FlowCalNumber,0),1,1)&lt;INDEX(FlowCalHighSetting,MATCH(N55,FlowCalNumber,0),1,1))),INDEX(FlowCalConstA,MATCH(N55,FlowCalNumber,0),1,1)*P59^INDEX(FlowCalConstB,MATCH(N55,FlowCalNumber,0),1,1)," ")</f>
        <v>#N/A</v>
      </c>
      <c r="R59" s="377"/>
      <c r="S59" s="242">
        <f t="shared" si="23"/>
        <v>0.5</v>
      </c>
      <c r="T59" s="241" t="e">
        <f t="shared" ca="1" si="24"/>
        <v>#VALUE!</v>
      </c>
      <c r="U59" s="243" t="e">
        <f ca="1">IF(AND(INDEX(FlowCalConstA,MATCH(R55,FlowCalNumber,0),1,1)*T59^INDEX(FlowCalConstB,MATCH(R55,FlowCalNumber,0),1,1)&gt;INDEX(FlowCalLowSetting,MATCH(R55,FlowCalNumber,0),1,1), (INDEX(FlowCalConstA,MATCH(R55,FlowCalNumber,0),1,1)*T59^INDEX(FlowCalConstB,MATCH(R55,FlowCalNumber,0),1,1)&lt;INDEX(FlowCalHighSetting,MATCH(R55,FlowCalNumber,0),1,1))),INDEX(FlowCalConstA,MATCH(R55,FlowCalNumber,0),1,1)*T59^INDEX(FlowCalConstB,MATCH(R55,FlowCalNumber,0),1,1)," ")</f>
        <v>#N/A</v>
      </c>
      <c r="V59" s="377"/>
      <c r="W59" s="242">
        <f t="shared" si="25"/>
        <v>0.5</v>
      </c>
      <c r="X59" s="241" t="e">
        <f t="shared" ca="1" si="26"/>
        <v>#VALUE!</v>
      </c>
      <c r="Y59" s="244" t="e">
        <f ca="1">IF(AND(INDEX(FlowCalConstA,MATCH(V55,FlowCalNumber,0),1,1)*X59^INDEX(FlowCalConstB,MATCH(V55,FlowCalNumber,0),1,1)&gt;INDEX(FlowCalLowSetting,MATCH(V55,FlowCalNumber,0),1,1), (INDEX(FlowCalConstA,MATCH(V55,FlowCalNumber,0),1,1)*X59^INDEX(FlowCalConstB,MATCH(V55,FlowCalNumber,0),1,1)&lt;INDEX(FlowCalHighSetting,MATCH(V55,FlowCalNumber,0),1,1))),INDEX(FlowCalConstA,MATCH(V55,FlowCalNumber,0),1,1)*X59^INDEX(FlowCalConstB,MATCH(V55,FlowCalNumber,0),1,1)," ")</f>
        <v>#N/A</v>
      </c>
    </row>
    <row r="60" spans="1:25" s="1215" customFormat="1">
      <c r="A60" s="1208"/>
      <c r="B60" s="1209"/>
      <c r="C60" s="1210"/>
      <c r="D60" s="1211">
        <f>'1% Wind'!$M$86</f>
        <v>15.5</v>
      </c>
      <c r="E60" s="1212"/>
      <c r="F60" s="1212"/>
      <c r="G60" s="1213">
        <f ca="1">IF(I55=1,$G59,MAX(G59/D59*D60,2))</f>
        <v>6.001707317073171</v>
      </c>
      <c r="H60" s="1214" t="e">
        <f t="shared" ca="1" si="18"/>
        <v>#VALUE!</v>
      </c>
      <c r="J60" s="1216"/>
      <c r="K60" s="1217">
        <f t="shared" si="19"/>
        <v>1</v>
      </c>
      <c r="L60" s="1218" t="e">
        <f t="shared" ca="1" si="20"/>
        <v>#VALUE!</v>
      </c>
      <c r="M60" s="1219" t="e">
        <f ca="1">IF(AND(INDEX(FlowCalConstA,MATCH(J55,FlowCalNumber,0),1,1)*L60^INDEX(FlowCalConstB,MATCH(J55,FlowCalNumber,0),1,1)&gt;INDEX(FlowCalLowSetting,MATCH(J55,FlowCalNumber,0),1,1), (INDEX(FlowCalConstA,MATCH(J55,FlowCalNumber,0),1,1)*L60^INDEX(FlowCalConstB,MATCH(J55,FlowCalNumber,0),1,1)&lt;INDEX(FlowCalHighSetting,MATCH(J55,FlowCalNumber,0),1,1))),INDEX(FlowCalConstA,MATCH(J55,FlowCalNumber,0),1,1)*L60^INDEX(FlowCalConstB,MATCH(J55,FlowCalNumber,0),1,1)," ")</f>
        <v>#N/A</v>
      </c>
      <c r="N60" s="1216"/>
      <c r="O60" s="1217">
        <f t="shared" si="21"/>
        <v>1</v>
      </c>
      <c r="P60" s="1218" t="e">
        <f t="shared" ca="1" si="22"/>
        <v>#VALUE!</v>
      </c>
      <c r="Q60" s="1220" t="e">
        <f ca="1">IF(AND(INDEX(FlowCalConstA,MATCH(N55,FlowCalNumber,0),1,1)*P60^INDEX(FlowCalConstB,MATCH(N55,FlowCalNumber,0),1,1)&gt;INDEX(FlowCalLowSetting,MATCH(N55,FlowCalNumber,0),1,1), (INDEX(FlowCalConstA,MATCH(N55,FlowCalNumber,0),1,1)*P60^INDEX(FlowCalConstB,MATCH(N55,FlowCalNumber,0),1,1)&lt;INDEX(FlowCalHighSetting,MATCH(N55,FlowCalNumber,0),1,1))),INDEX(FlowCalConstA,MATCH(N55,FlowCalNumber,0),1,1)*P60^INDEX(FlowCalConstB,MATCH(N55,FlowCalNumber,0),1,1)," ")</f>
        <v>#N/A</v>
      </c>
      <c r="R60" s="1216"/>
      <c r="S60" s="1217">
        <f t="shared" si="23"/>
        <v>0.5</v>
      </c>
      <c r="T60" s="1218" t="e">
        <f t="shared" ca="1" si="24"/>
        <v>#VALUE!</v>
      </c>
      <c r="U60" s="1219" t="e">
        <f ca="1">IF(AND(INDEX(FlowCalConstA,MATCH(R55,FlowCalNumber,0),1,1)*T60^INDEX(FlowCalConstB,MATCH(R55,FlowCalNumber,0),1,1)&gt;INDEX(FlowCalLowSetting,MATCH(R55,FlowCalNumber,0),1,1), (INDEX(FlowCalConstA,MATCH(R55,FlowCalNumber,0),1,1)*T60^INDEX(FlowCalConstB,MATCH(R55,FlowCalNumber,0),1,1)&lt;INDEX(FlowCalHighSetting,MATCH(R55,FlowCalNumber,0),1,1))),INDEX(FlowCalConstA,MATCH(R55,FlowCalNumber,0),1,1)*T60^INDEX(FlowCalConstB,MATCH(R55,FlowCalNumber,0),1,1)," ")</f>
        <v>#N/A</v>
      </c>
      <c r="V60" s="1216"/>
      <c r="W60" s="1217">
        <f t="shared" si="25"/>
        <v>0.5</v>
      </c>
      <c r="X60" s="1218" t="e">
        <f t="shared" ca="1" si="26"/>
        <v>#VALUE!</v>
      </c>
      <c r="Y60" s="1220" t="e">
        <f ca="1">IF(AND(INDEX(FlowCalConstA,MATCH(V55,FlowCalNumber,0),1,1)*X60^INDEX(FlowCalConstB,MATCH(V55,FlowCalNumber,0),1,1)&gt;INDEX(FlowCalLowSetting,MATCH(V55,FlowCalNumber,0),1,1), (INDEX(FlowCalConstA,MATCH(V55,FlowCalNumber,0),1,1)*X60^INDEX(FlowCalConstB,MATCH(V55,FlowCalNumber,0),1,1)&lt;INDEX(FlowCalHighSetting,MATCH(V55,FlowCalNumber,0),1,1))),INDEX(FlowCalConstA,MATCH(V55,FlowCalNumber,0),1,1)*X60^INDEX(FlowCalConstB,MATCH(V55,FlowCalNumber,0),1,1)," ")</f>
        <v>#N/A</v>
      </c>
    </row>
    <row r="61" spans="1:25">
      <c r="A61" s="412"/>
      <c r="B61" s="2"/>
      <c r="C61" s="235"/>
      <c r="D61" s="24">
        <f>'1% Wind'!$M$87</f>
        <v>13.5</v>
      </c>
      <c r="E61" s="90"/>
      <c r="F61" s="90"/>
      <c r="G61" s="79">
        <f ca="1">IF(I55=1,$G60,MAX(G60/D60*D61,2))</f>
        <v>6.001707317073171</v>
      </c>
      <c r="H61" s="121" t="e">
        <f t="shared" ca="1" si="18"/>
        <v>#VALUE!</v>
      </c>
      <c r="J61" s="377"/>
      <c r="K61" s="242">
        <f t="shared" si="19"/>
        <v>1</v>
      </c>
      <c r="L61" s="241" t="e">
        <f t="shared" ca="1" si="20"/>
        <v>#VALUE!</v>
      </c>
      <c r="M61" s="243" t="e">
        <f ca="1">IF(AND(INDEX(FlowCalConstA,MATCH(J55,FlowCalNumber,0),1,1)*L61^INDEX(FlowCalConstB,MATCH(J55,FlowCalNumber,0),1,1)&gt;INDEX(FlowCalLowSetting,MATCH(J55,FlowCalNumber,0),1,1), (INDEX(FlowCalConstA,MATCH(J55,FlowCalNumber,0),1,1)*L61^INDEX(FlowCalConstB,MATCH(J55,FlowCalNumber,0),1,1)&lt;INDEX(FlowCalHighSetting,MATCH(J55,FlowCalNumber,0),1,1))),INDEX(FlowCalConstA,MATCH(J55,FlowCalNumber,0),1,1)*L61^INDEX(FlowCalConstB,MATCH(J55,FlowCalNumber,0),1,1)," ")</f>
        <v>#N/A</v>
      </c>
      <c r="N61" s="377"/>
      <c r="O61" s="242">
        <f t="shared" si="21"/>
        <v>1</v>
      </c>
      <c r="P61" s="241" t="e">
        <f t="shared" ca="1" si="22"/>
        <v>#VALUE!</v>
      </c>
      <c r="Q61" s="244" t="e">
        <f ca="1">IF(AND(INDEX(FlowCalConstA,MATCH(N55,FlowCalNumber,0),1,1)*P61^INDEX(FlowCalConstB,MATCH(N55,FlowCalNumber,0),1,1)&gt;INDEX(FlowCalLowSetting,MATCH(N55,FlowCalNumber,0),1,1), (INDEX(FlowCalConstA,MATCH(N55,FlowCalNumber,0),1,1)*P61^INDEX(FlowCalConstB,MATCH(N55,FlowCalNumber,0),1,1)&lt;INDEX(FlowCalHighSetting,MATCH(N55,FlowCalNumber,0),1,1))),INDEX(FlowCalConstA,MATCH(N55,FlowCalNumber,0),1,1)*P61^INDEX(FlowCalConstB,MATCH(N55,FlowCalNumber,0),1,1)," ")</f>
        <v>#N/A</v>
      </c>
      <c r="R61" s="377"/>
      <c r="S61" s="242">
        <f t="shared" si="23"/>
        <v>0.5</v>
      </c>
      <c r="T61" s="241" t="e">
        <f t="shared" ca="1" si="24"/>
        <v>#VALUE!</v>
      </c>
      <c r="U61" s="243" t="e">
        <f ca="1">IF(AND(INDEX(FlowCalConstA,MATCH(R55,FlowCalNumber,0),1,1)*T61^INDEX(FlowCalConstB,MATCH(R55,FlowCalNumber,0),1,1)&gt;INDEX(FlowCalLowSetting,MATCH(R55,FlowCalNumber,0),1,1), (INDEX(FlowCalConstA,MATCH(R55,FlowCalNumber,0),1,1)*T61^INDEX(FlowCalConstB,MATCH(R55,FlowCalNumber,0),1,1)&lt;INDEX(FlowCalHighSetting,MATCH(R55,FlowCalNumber,0),1,1))),INDEX(FlowCalConstA,MATCH(R55,FlowCalNumber,0),1,1)*T61^INDEX(FlowCalConstB,MATCH(R55,FlowCalNumber,0),1,1)," ")</f>
        <v>#N/A</v>
      </c>
      <c r="V61" s="377"/>
      <c r="W61" s="242">
        <f t="shared" si="25"/>
        <v>0.5</v>
      </c>
      <c r="X61" s="241" t="e">
        <f t="shared" ca="1" si="26"/>
        <v>#VALUE!</v>
      </c>
      <c r="Y61" s="244" t="e">
        <f ca="1">IF(AND(INDEX(FlowCalConstA,MATCH(V55,FlowCalNumber,0),1,1)*X61^INDEX(FlowCalConstB,MATCH(V55,FlowCalNumber,0),1,1)&gt;INDEX(FlowCalLowSetting,MATCH(V55,FlowCalNumber,0),1,1), (INDEX(FlowCalConstA,MATCH(V55,FlowCalNumber,0),1,1)*X61^INDEX(FlowCalConstB,MATCH(V55,FlowCalNumber,0),1,1)&lt;INDEX(FlowCalHighSetting,MATCH(V55,FlowCalNumber,0),1,1))),INDEX(FlowCalConstA,MATCH(V55,FlowCalNumber,0),1,1)*X61^INDEX(FlowCalConstB,MATCH(V55,FlowCalNumber,0),1,1)," ")</f>
        <v>#N/A</v>
      </c>
    </row>
    <row r="62" spans="1:25" s="1215" customFormat="1">
      <c r="A62" s="1208"/>
      <c r="B62" s="1209"/>
      <c r="C62" s="1210"/>
      <c r="D62" s="1211">
        <f>'1% Wind'!$M$88</f>
        <v>10.1</v>
      </c>
      <c r="E62" s="1212"/>
      <c r="F62" s="1212"/>
      <c r="G62" s="1213">
        <f ca="1">IF(I55=1,$G61,MAX(G61/D61*D62,2))</f>
        <v>6.001707317073171</v>
      </c>
      <c r="H62" s="1214" t="e">
        <f t="shared" ca="1" si="18"/>
        <v>#VALUE!</v>
      </c>
      <c r="J62" s="1216"/>
      <c r="K62" s="1217">
        <f t="shared" si="19"/>
        <v>1</v>
      </c>
      <c r="L62" s="1218" t="e">
        <f t="shared" ca="1" si="20"/>
        <v>#VALUE!</v>
      </c>
      <c r="M62" s="1219" t="e">
        <f ca="1">IF(AND(INDEX(FlowCalConstA,MATCH(J55,FlowCalNumber,0),1,1)*L62^INDEX(FlowCalConstB,MATCH(J55,FlowCalNumber,0),1,1)&gt;INDEX(FlowCalLowSetting,MATCH(J55,FlowCalNumber,0),1,1), (INDEX(FlowCalConstA,MATCH(J55,FlowCalNumber,0),1,1)*L62^INDEX(FlowCalConstB,MATCH(J55,FlowCalNumber,0),1,1)&lt;INDEX(FlowCalHighSetting,MATCH(J55,FlowCalNumber,0),1,1))),INDEX(FlowCalConstA,MATCH(J55,FlowCalNumber,0),1,1)*L62^INDEX(FlowCalConstB,MATCH(J55,FlowCalNumber,0),1,1)," ")</f>
        <v>#N/A</v>
      </c>
      <c r="N62" s="1216"/>
      <c r="O62" s="1217">
        <f t="shared" si="21"/>
        <v>1</v>
      </c>
      <c r="P62" s="1218" t="e">
        <f t="shared" ca="1" si="22"/>
        <v>#VALUE!</v>
      </c>
      <c r="Q62" s="1220" t="e">
        <f ca="1">IF(AND(INDEX(FlowCalConstA,MATCH(N55,FlowCalNumber,0),1,1)*P62^INDEX(FlowCalConstB,MATCH(N55,FlowCalNumber,0),1,1)&gt;INDEX(FlowCalLowSetting,MATCH(N55,FlowCalNumber,0),1,1), (INDEX(FlowCalConstA,MATCH(N55,FlowCalNumber,0),1,1)*P62^INDEX(FlowCalConstB,MATCH(N55,FlowCalNumber,0),1,1)&lt;INDEX(FlowCalHighSetting,MATCH(N55,FlowCalNumber,0),1,1))),INDEX(FlowCalConstA,MATCH(N55,FlowCalNumber,0),1,1)*P62^INDEX(FlowCalConstB,MATCH(N55,FlowCalNumber,0),1,1)," ")</f>
        <v>#N/A</v>
      </c>
      <c r="R62" s="1216"/>
      <c r="S62" s="1217">
        <f t="shared" si="23"/>
        <v>0.5</v>
      </c>
      <c r="T62" s="1218" t="e">
        <f t="shared" ca="1" si="24"/>
        <v>#VALUE!</v>
      </c>
      <c r="U62" s="1219" t="e">
        <f ca="1">IF(AND(INDEX(FlowCalConstA,MATCH(R55,FlowCalNumber,0),1,1)*T62^INDEX(FlowCalConstB,MATCH(R55,FlowCalNumber,0),1,1)&gt;INDEX(FlowCalLowSetting,MATCH(R55,FlowCalNumber,0),1,1), (INDEX(FlowCalConstA,MATCH(R55,FlowCalNumber,0),1,1)*T62^INDEX(FlowCalConstB,MATCH(R55,FlowCalNumber,0),1,1)&lt;INDEX(FlowCalHighSetting,MATCH(R55,FlowCalNumber,0),1,1))),INDEX(FlowCalConstA,MATCH(R55,FlowCalNumber,0),1,1)*T62^INDEX(FlowCalConstB,MATCH(R55,FlowCalNumber,0),1,1)," ")</f>
        <v>#N/A</v>
      </c>
      <c r="V62" s="1216"/>
      <c r="W62" s="1217">
        <f t="shared" si="25"/>
        <v>0.5</v>
      </c>
      <c r="X62" s="1218" t="e">
        <f t="shared" ca="1" si="26"/>
        <v>#VALUE!</v>
      </c>
      <c r="Y62" s="1220" t="e">
        <f ca="1">IF(AND(INDEX(FlowCalConstA,MATCH(V55,FlowCalNumber,0),1,1)*X62^INDEX(FlowCalConstB,MATCH(V55,FlowCalNumber,0),1,1)&gt;INDEX(FlowCalLowSetting,MATCH(V55,FlowCalNumber,0),1,1), (INDEX(FlowCalConstA,MATCH(V55,FlowCalNumber,0),1,1)*X62^INDEX(FlowCalConstB,MATCH(V55,FlowCalNumber,0),1,1)&lt;INDEX(FlowCalHighSetting,MATCH(V55,FlowCalNumber,0),1,1))),INDEX(FlowCalConstA,MATCH(V55,FlowCalNumber,0),1,1)*X62^INDEX(FlowCalConstB,MATCH(V55,FlowCalNumber,0),1,1)," ")</f>
        <v>#N/A</v>
      </c>
    </row>
    <row r="63" spans="1:25">
      <c r="A63" s="412"/>
      <c r="B63" s="2"/>
      <c r="C63" s="235"/>
      <c r="D63" s="24">
        <f>'1% Wind'!$M$89</f>
        <v>7.6</v>
      </c>
      <c r="E63" s="90"/>
      <c r="F63" s="90"/>
      <c r="G63" s="79">
        <f ca="1">IF(I55=1,$G62,MAX(G62/D62*D63,2))</f>
        <v>6.001707317073171</v>
      </c>
      <c r="H63" s="121" t="e">
        <f t="shared" ca="1" si="18"/>
        <v>#VALUE!</v>
      </c>
      <c r="J63" s="377"/>
      <c r="K63" s="242">
        <f t="shared" si="19"/>
        <v>1</v>
      </c>
      <c r="L63" s="241" t="e">
        <f t="shared" ca="1" si="20"/>
        <v>#VALUE!</v>
      </c>
      <c r="M63" s="243" t="e">
        <f ca="1">IF(AND(INDEX(FlowCalConstA,MATCH(J55,FlowCalNumber,0),1,1)*L63^INDEX(FlowCalConstB,MATCH(J55,FlowCalNumber,0),1,1)&gt;INDEX(FlowCalLowSetting,MATCH(J55,FlowCalNumber,0),1,1), (INDEX(FlowCalConstA,MATCH(J55,FlowCalNumber,0),1,1)*L63^INDEX(FlowCalConstB,MATCH(J55,FlowCalNumber,0),1,1)&lt;INDEX(FlowCalHighSetting,MATCH(J55,FlowCalNumber,0),1,1))),INDEX(FlowCalConstA,MATCH(J55,FlowCalNumber,0),1,1)*L63^INDEX(FlowCalConstB,MATCH(J55,FlowCalNumber,0),1,1)," ")</f>
        <v>#N/A</v>
      </c>
      <c r="N63" s="377"/>
      <c r="O63" s="242">
        <f t="shared" si="21"/>
        <v>1</v>
      </c>
      <c r="P63" s="241" t="e">
        <f t="shared" ca="1" si="22"/>
        <v>#VALUE!</v>
      </c>
      <c r="Q63" s="244" t="e">
        <f ca="1">IF(AND(INDEX(FlowCalConstA,MATCH(N55,FlowCalNumber,0),1,1)*P63^INDEX(FlowCalConstB,MATCH(N55,FlowCalNumber,0),1,1)&gt;INDEX(FlowCalLowSetting,MATCH(N55,FlowCalNumber,0),1,1), (INDEX(FlowCalConstA,MATCH(N55,FlowCalNumber,0),1,1)*P63^INDEX(FlowCalConstB,MATCH(N55,FlowCalNumber,0),1,1)&lt;INDEX(FlowCalHighSetting,MATCH(N55,FlowCalNumber,0),1,1))),INDEX(FlowCalConstA,MATCH(N55,FlowCalNumber,0),1,1)*P63^INDEX(FlowCalConstB,MATCH(N55,FlowCalNumber,0),1,1)," ")</f>
        <v>#N/A</v>
      </c>
      <c r="R63" s="377"/>
      <c r="S63" s="242">
        <f t="shared" si="23"/>
        <v>0.5</v>
      </c>
      <c r="T63" s="241" t="e">
        <f t="shared" ca="1" si="24"/>
        <v>#VALUE!</v>
      </c>
      <c r="U63" s="243" t="e">
        <f ca="1">IF(AND(INDEX(FlowCalConstA,MATCH(R55,FlowCalNumber,0),1,1)*T63^INDEX(FlowCalConstB,MATCH(R55,FlowCalNumber,0),1,1)&gt;INDEX(FlowCalLowSetting,MATCH(R55,FlowCalNumber,0),1,1), (INDEX(FlowCalConstA,MATCH(R55,FlowCalNumber,0),1,1)*T63^INDEX(FlowCalConstB,MATCH(R55,FlowCalNumber,0),1,1)&lt;INDEX(FlowCalHighSetting,MATCH(R55,FlowCalNumber,0),1,1))),INDEX(FlowCalConstA,MATCH(R55,FlowCalNumber,0),1,1)*T63^INDEX(FlowCalConstB,MATCH(R55,FlowCalNumber,0),1,1)," ")</f>
        <v>#N/A</v>
      </c>
      <c r="V63" s="377"/>
      <c r="W63" s="242">
        <f t="shared" si="25"/>
        <v>0.5</v>
      </c>
      <c r="X63" s="241" t="e">
        <f t="shared" ca="1" si="26"/>
        <v>#VALUE!</v>
      </c>
      <c r="Y63" s="244" t="e">
        <f ca="1">IF(AND(INDEX(FlowCalConstA,MATCH(V55,FlowCalNumber,0),1,1)*X63^INDEX(FlowCalConstB,MATCH(V55,FlowCalNumber,0),1,1)&gt;INDEX(FlowCalLowSetting,MATCH(V55,FlowCalNumber,0),1,1), (INDEX(FlowCalConstA,MATCH(V55,FlowCalNumber,0),1,1)*X63^INDEX(FlowCalConstB,MATCH(V55,FlowCalNumber,0),1,1)&lt;INDEX(FlowCalHighSetting,MATCH(V55,FlowCalNumber,0),1,1))),INDEX(FlowCalConstA,MATCH(V55,FlowCalNumber,0),1,1)*X63^INDEX(FlowCalConstB,MATCH(V55,FlowCalNumber,0),1,1)," ")</f>
        <v>#N/A</v>
      </c>
    </row>
    <row r="64" spans="1:25" s="1215" customFormat="1">
      <c r="A64" s="1208"/>
      <c r="B64" s="1209"/>
      <c r="C64" s="1210"/>
      <c r="D64" s="1211">
        <f>'1% Wind'!$M$90</f>
        <v>5.7</v>
      </c>
      <c r="E64" s="1212"/>
      <c r="F64" s="1212"/>
      <c r="G64" s="1213">
        <f ca="1">IF(I55=1,$G63,MAX(G63/D63*D64,2))</f>
        <v>6.001707317073171</v>
      </c>
      <c r="H64" s="1214" t="e">
        <f t="shared" ca="1" si="18"/>
        <v>#VALUE!</v>
      </c>
      <c r="J64" s="1216"/>
      <c r="K64" s="1217">
        <f t="shared" si="19"/>
        <v>1</v>
      </c>
      <c r="L64" s="1218" t="e">
        <f t="shared" ca="1" si="20"/>
        <v>#VALUE!</v>
      </c>
      <c r="M64" s="1219" t="e">
        <f ca="1">IF(AND(INDEX(FlowCalConstA,MATCH(J55,FlowCalNumber,0),1,1)*L64^INDEX(FlowCalConstB,MATCH(J55,FlowCalNumber,0),1,1)&gt;INDEX(FlowCalLowSetting,MATCH(J55,FlowCalNumber,0),1,1), (INDEX(FlowCalConstA,MATCH(J55,FlowCalNumber,0),1,1)*L64^INDEX(FlowCalConstB,MATCH(J55,FlowCalNumber,0),1,1)&lt;INDEX(FlowCalHighSetting,MATCH(J55,FlowCalNumber,0),1,1))),INDEX(FlowCalConstA,MATCH(J55,FlowCalNumber,0),1,1)*L64^INDEX(FlowCalConstB,MATCH(J55,FlowCalNumber,0),1,1)," ")</f>
        <v>#N/A</v>
      </c>
      <c r="N64" s="1216"/>
      <c r="O64" s="1217">
        <f t="shared" si="21"/>
        <v>1</v>
      </c>
      <c r="P64" s="1218" t="e">
        <f t="shared" ca="1" si="22"/>
        <v>#VALUE!</v>
      </c>
      <c r="Q64" s="1220" t="e">
        <f ca="1">IF(AND(INDEX(FlowCalConstA,MATCH(N55,FlowCalNumber,0),1,1)*P64^INDEX(FlowCalConstB,MATCH(N55,FlowCalNumber,0),1,1)&gt;INDEX(FlowCalLowSetting,MATCH(N55,FlowCalNumber,0),1,1), (INDEX(FlowCalConstA,MATCH(N55,FlowCalNumber,0),1,1)*P64^INDEX(FlowCalConstB,MATCH(N55,FlowCalNumber,0),1,1)&lt;INDEX(FlowCalHighSetting,MATCH(N55,FlowCalNumber,0),1,1))),INDEX(FlowCalConstA,MATCH(N55,FlowCalNumber,0),1,1)*P64^INDEX(FlowCalConstB,MATCH(N55,FlowCalNumber,0),1,1)," ")</f>
        <v>#N/A</v>
      </c>
      <c r="R64" s="1216"/>
      <c r="S64" s="1217">
        <f t="shared" si="23"/>
        <v>0.5</v>
      </c>
      <c r="T64" s="1218" t="e">
        <f t="shared" ca="1" si="24"/>
        <v>#VALUE!</v>
      </c>
      <c r="U64" s="1219" t="e">
        <f ca="1">IF(AND(INDEX(FlowCalConstA,MATCH(R55,FlowCalNumber,0),1,1)*T64^INDEX(FlowCalConstB,MATCH(R55,FlowCalNumber,0),1,1)&gt;INDEX(FlowCalLowSetting,MATCH(R55,FlowCalNumber,0),1,1), (INDEX(FlowCalConstA,MATCH(R55,FlowCalNumber,0),1,1)*T64^INDEX(FlowCalConstB,MATCH(R55,FlowCalNumber,0),1,1)&lt;INDEX(FlowCalHighSetting,MATCH(R55,FlowCalNumber,0),1,1))),INDEX(FlowCalConstA,MATCH(R55,FlowCalNumber,0),1,1)*T64^INDEX(FlowCalConstB,MATCH(R55,FlowCalNumber,0),1,1)," ")</f>
        <v>#N/A</v>
      </c>
      <c r="V64" s="1216"/>
      <c r="W64" s="1217">
        <f t="shared" si="25"/>
        <v>0.5</v>
      </c>
      <c r="X64" s="1218" t="e">
        <f t="shared" ca="1" si="26"/>
        <v>#VALUE!</v>
      </c>
      <c r="Y64" s="1220" t="e">
        <f ca="1">IF(AND(INDEX(FlowCalConstA,MATCH(V55,FlowCalNumber,0),1,1)*X64^INDEX(FlowCalConstB,MATCH(V55,FlowCalNumber,0),1,1)&gt;INDEX(FlowCalLowSetting,MATCH(V55,FlowCalNumber,0),1,1), (INDEX(FlowCalConstA,MATCH(V55,FlowCalNumber,0),1,1)*X64^INDEX(FlowCalConstB,MATCH(V55,FlowCalNumber,0),1,1)&lt;INDEX(FlowCalHighSetting,MATCH(V55,FlowCalNumber,0),1,1))),INDEX(FlowCalConstA,MATCH(V55,FlowCalNumber,0),1,1)*X64^INDEX(FlowCalConstB,MATCH(V55,FlowCalNumber,0),1,1)," ")</f>
        <v>#N/A</v>
      </c>
    </row>
    <row r="65" spans="1:25">
      <c r="A65" s="412"/>
      <c r="B65" s="2"/>
      <c r="C65" s="235"/>
      <c r="D65" s="24">
        <f>'1% Wind'!$M$91</f>
        <v>4.2</v>
      </c>
      <c r="E65" s="90"/>
      <c r="F65" s="90"/>
      <c r="G65" s="79">
        <f ca="1">IF(I55=1,$G64,MAX(G64/D64*D65,2))</f>
        <v>6.001707317073171</v>
      </c>
      <c r="H65" s="121" t="e">
        <f t="shared" ca="1" si="18"/>
        <v>#VALUE!</v>
      </c>
      <c r="J65" s="377"/>
      <c r="K65" s="242">
        <f t="shared" si="19"/>
        <v>1</v>
      </c>
      <c r="L65" s="241" t="e">
        <f t="shared" ca="1" si="20"/>
        <v>#VALUE!</v>
      </c>
      <c r="M65" s="243" t="e">
        <f ca="1">IF(AND(INDEX(FlowCalConstA,MATCH(J55,FlowCalNumber,0),1,1)*L65^INDEX(FlowCalConstB,MATCH(J55,FlowCalNumber,0),1,1)&gt;INDEX(FlowCalLowSetting,MATCH(J55,FlowCalNumber,0),1,1), (INDEX(FlowCalConstA,MATCH(J55,FlowCalNumber,0),1,1)*L65^INDEX(FlowCalConstB,MATCH(J55,FlowCalNumber,0),1,1)&lt;INDEX(FlowCalHighSetting,MATCH(J55,FlowCalNumber,0),1,1))),INDEX(FlowCalConstA,MATCH(J55,FlowCalNumber,0),1,1)*L65^INDEX(FlowCalConstB,MATCH(J55,FlowCalNumber,0),1,1)," ")</f>
        <v>#N/A</v>
      </c>
      <c r="N65" s="377"/>
      <c r="O65" s="242">
        <f t="shared" si="21"/>
        <v>1</v>
      </c>
      <c r="P65" s="241" t="e">
        <f t="shared" ca="1" si="22"/>
        <v>#VALUE!</v>
      </c>
      <c r="Q65" s="244" t="e">
        <f ca="1">IF(AND(INDEX(FlowCalConstA,MATCH(N55,FlowCalNumber,0),1,1)*P65^INDEX(FlowCalConstB,MATCH(N55,FlowCalNumber,0),1,1)&gt;INDEX(FlowCalLowSetting,MATCH(N55,FlowCalNumber,0),1,1), (INDEX(FlowCalConstA,MATCH(N55,FlowCalNumber,0),1,1)*P65^INDEX(FlowCalConstB,MATCH(N55,FlowCalNumber,0),1,1)&lt;INDEX(FlowCalHighSetting,MATCH(N55,FlowCalNumber,0),1,1))),INDEX(FlowCalConstA,MATCH(N55,FlowCalNumber,0),1,1)*P65^INDEX(FlowCalConstB,MATCH(N55,FlowCalNumber,0),1,1)," ")</f>
        <v>#N/A</v>
      </c>
      <c r="R65" s="377"/>
      <c r="S65" s="242">
        <f t="shared" si="23"/>
        <v>0.5</v>
      </c>
      <c r="T65" s="241" t="e">
        <f t="shared" ca="1" si="24"/>
        <v>#VALUE!</v>
      </c>
      <c r="U65" s="243" t="e">
        <f ca="1">IF(AND(INDEX(FlowCalConstA,MATCH(R55,FlowCalNumber,0),1,1)*T65^INDEX(FlowCalConstB,MATCH(R55,FlowCalNumber,0),1,1)&gt;INDEX(FlowCalLowSetting,MATCH(R55,FlowCalNumber,0),1,1), (INDEX(FlowCalConstA,MATCH(R55,FlowCalNumber,0),1,1)*T65^INDEX(FlowCalConstB,MATCH(R55,FlowCalNumber,0),1,1)&lt;INDEX(FlowCalHighSetting,MATCH(R55,FlowCalNumber,0),1,1))),INDEX(FlowCalConstA,MATCH(R55,FlowCalNumber,0),1,1)*T65^INDEX(FlowCalConstB,MATCH(R55,FlowCalNumber,0),1,1)," ")</f>
        <v>#N/A</v>
      </c>
      <c r="V65" s="377"/>
      <c r="W65" s="242">
        <f t="shared" si="25"/>
        <v>0.5</v>
      </c>
      <c r="X65" s="241" t="e">
        <f t="shared" ca="1" si="26"/>
        <v>#VALUE!</v>
      </c>
      <c r="Y65" s="244" t="e">
        <f ca="1">IF(AND(INDEX(FlowCalConstA,MATCH(V55,FlowCalNumber,0),1,1)*X65^INDEX(FlowCalConstB,MATCH(V55,FlowCalNumber,0),1,1)&gt;INDEX(FlowCalLowSetting,MATCH(V55,FlowCalNumber,0),1,1), (INDEX(FlowCalConstA,MATCH(V55,FlowCalNumber,0),1,1)*X65^INDEX(FlowCalConstB,MATCH(V55,FlowCalNumber,0),1,1)&lt;INDEX(FlowCalHighSetting,MATCH(V55,FlowCalNumber,0),1,1))),INDEX(FlowCalConstA,MATCH(V55,FlowCalNumber,0),1,1)*X65^INDEX(FlowCalConstB,MATCH(V55,FlowCalNumber,0),1,1)," ")</f>
        <v>#N/A</v>
      </c>
    </row>
    <row r="66" spans="1:25" s="1215" customFormat="1">
      <c r="A66" s="1208"/>
      <c r="B66" s="1209"/>
      <c r="C66" s="1210"/>
      <c r="D66" s="1211">
        <f>'1% Wind'!$M$92</f>
        <v>3.2</v>
      </c>
      <c r="E66" s="1212"/>
      <c r="F66" s="1212"/>
      <c r="G66" s="1213">
        <f ca="1">IF(I55=1,$G65,MAX(G65/D65*D66,2))</f>
        <v>6.001707317073171</v>
      </c>
      <c r="H66" s="1214" t="e">
        <f t="shared" ca="1" si="18"/>
        <v>#VALUE!</v>
      </c>
      <c r="J66" s="1216"/>
      <c r="K66" s="1217">
        <f t="shared" si="19"/>
        <v>1</v>
      </c>
      <c r="L66" s="1218" t="e">
        <f t="shared" ca="1" si="20"/>
        <v>#VALUE!</v>
      </c>
      <c r="M66" s="1219" t="e">
        <f ca="1">IF(AND(INDEX(FlowCalConstA,MATCH(J55,FlowCalNumber,0),1,1)*L66^INDEX(FlowCalConstB,MATCH(J55,FlowCalNumber,0),1,1)&gt;INDEX(FlowCalLowSetting,MATCH(J55,FlowCalNumber,0),1,1), (INDEX(FlowCalConstA,MATCH(J55,FlowCalNumber,0),1,1)*L66^INDEX(FlowCalConstB,MATCH(J55,FlowCalNumber,0),1,1)&lt;INDEX(FlowCalHighSetting,MATCH(J55,FlowCalNumber,0),1,1))),INDEX(FlowCalConstA,MATCH(J55,FlowCalNumber,0),1,1)*L66^INDEX(FlowCalConstB,MATCH(J55,FlowCalNumber,0),1,1)," ")</f>
        <v>#N/A</v>
      </c>
      <c r="N66" s="1216"/>
      <c r="O66" s="1217">
        <f t="shared" si="21"/>
        <v>1</v>
      </c>
      <c r="P66" s="1218" t="e">
        <f t="shared" ca="1" si="22"/>
        <v>#VALUE!</v>
      </c>
      <c r="Q66" s="1220" t="e">
        <f ca="1">IF(AND(INDEX(FlowCalConstA,MATCH(N55,FlowCalNumber,0),1,1)*P66^INDEX(FlowCalConstB,MATCH(N55,FlowCalNumber,0),1,1)&gt;INDEX(FlowCalLowSetting,MATCH(N55,FlowCalNumber,0),1,1), (INDEX(FlowCalConstA,MATCH(N55,FlowCalNumber,0),1,1)*P66^INDEX(FlowCalConstB,MATCH(N55,FlowCalNumber,0),1,1)&lt;INDEX(FlowCalHighSetting,MATCH(N55,FlowCalNumber,0),1,1))),INDEX(FlowCalConstA,MATCH(N55,FlowCalNumber,0),1,1)*P66^INDEX(FlowCalConstB,MATCH(N55,FlowCalNumber,0),1,1)," ")</f>
        <v>#N/A</v>
      </c>
      <c r="R66" s="1216"/>
      <c r="S66" s="1217">
        <f t="shared" si="23"/>
        <v>0.5</v>
      </c>
      <c r="T66" s="1218" t="e">
        <f t="shared" ca="1" si="24"/>
        <v>#VALUE!</v>
      </c>
      <c r="U66" s="1219" t="e">
        <f ca="1">IF(AND(INDEX(FlowCalConstA,MATCH(R55,FlowCalNumber,0),1,1)*T66^INDEX(FlowCalConstB,MATCH(R55,FlowCalNumber,0),1,1)&gt;INDEX(FlowCalLowSetting,MATCH(R55,FlowCalNumber,0),1,1), (INDEX(FlowCalConstA,MATCH(R55,FlowCalNumber,0),1,1)*T66^INDEX(FlowCalConstB,MATCH(R55,FlowCalNumber,0),1,1)&lt;INDEX(FlowCalHighSetting,MATCH(R55,FlowCalNumber,0),1,1))),INDEX(FlowCalConstA,MATCH(R55,FlowCalNumber,0),1,1)*T66^INDEX(FlowCalConstB,MATCH(R55,FlowCalNumber,0),1,1)," ")</f>
        <v>#N/A</v>
      </c>
      <c r="V66" s="1216"/>
      <c r="W66" s="1217">
        <f t="shared" si="25"/>
        <v>0.5</v>
      </c>
      <c r="X66" s="1218" t="e">
        <f t="shared" ca="1" si="26"/>
        <v>#VALUE!</v>
      </c>
      <c r="Y66" s="1220" t="e">
        <f ca="1">IF(AND(INDEX(FlowCalConstA,MATCH(V55,FlowCalNumber,0),1,1)*X66^INDEX(FlowCalConstB,MATCH(V55,FlowCalNumber,0),1,1)&gt;INDEX(FlowCalLowSetting,MATCH(V55,FlowCalNumber,0),1,1), (INDEX(FlowCalConstA,MATCH(V55,FlowCalNumber,0),1,1)*X66^INDEX(FlowCalConstB,MATCH(V55,FlowCalNumber,0),1,1)&lt;INDEX(FlowCalHighSetting,MATCH(V55,FlowCalNumber,0),1,1))),INDEX(FlowCalConstA,MATCH(V55,FlowCalNumber,0),1,1)*X66^INDEX(FlowCalConstB,MATCH(V55,FlowCalNumber,0),1,1)," ")</f>
        <v>#N/A</v>
      </c>
    </row>
    <row r="67" spans="1:25">
      <c r="A67" s="412"/>
      <c r="B67" s="2"/>
      <c r="C67" s="235"/>
      <c r="D67" s="24">
        <f>'1% Wind'!$M$93</f>
        <v>2.4</v>
      </c>
      <c r="E67" s="90"/>
      <c r="F67" s="90"/>
      <c r="G67" s="79">
        <f ca="1">IF(I55=1,$G66,MAX(G66/D66*D67,2))</f>
        <v>6.001707317073171</v>
      </c>
      <c r="H67" s="121" t="e">
        <f t="shared" ca="1" si="18"/>
        <v>#VALUE!</v>
      </c>
      <c r="J67" s="377"/>
      <c r="K67" s="242">
        <f t="shared" si="19"/>
        <v>1</v>
      </c>
      <c r="L67" s="241" t="e">
        <f t="shared" ca="1" si="20"/>
        <v>#VALUE!</v>
      </c>
      <c r="M67" s="243" t="e">
        <f ca="1">IF(AND(INDEX(FlowCalConstA,MATCH(J55,FlowCalNumber,0),1,1)*L67^INDEX(FlowCalConstB,MATCH(J55,FlowCalNumber,0),1,1)&gt;INDEX(FlowCalLowSetting,MATCH(J55,FlowCalNumber,0),1,1), (INDEX(FlowCalConstA,MATCH(J55,FlowCalNumber,0),1,1)*L67^INDEX(FlowCalConstB,MATCH(J55,FlowCalNumber,0),1,1)&lt;INDEX(FlowCalHighSetting,MATCH(J55,FlowCalNumber,0),1,1))),INDEX(FlowCalConstA,MATCH(J55,FlowCalNumber,0),1,1)*L67^INDEX(FlowCalConstB,MATCH(J55,FlowCalNumber,0),1,1)," ")</f>
        <v>#N/A</v>
      </c>
      <c r="N67" s="377"/>
      <c r="O67" s="242">
        <f t="shared" si="21"/>
        <v>1</v>
      </c>
      <c r="P67" s="241" t="e">
        <f t="shared" ca="1" si="22"/>
        <v>#VALUE!</v>
      </c>
      <c r="Q67" s="244" t="e">
        <f ca="1">IF(AND(INDEX(FlowCalConstA,MATCH(N55,FlowCalNumber,0),1,1)*P67^INDEX(FlowCalConstB,MATCH(N55,FlowCalNumber,0),1,1)&gt;INDEX(FlowCalLowSetting,MATCH(N55,FlowCalNumber,0),1,1), (INDEX(FlowCalConstA,MATCH(N55,FlowCalNumber,0),1,1)*P67^INDEX(FlowCalConstB,MATCH(N55,FlowCalNumber,0),1,1)&lt;INDEX(FlowCalHighSetting,MATCH(N55,FlowCalNumber,0),1,1))),INDEX(FlowCalConstA,MATCH(N55,FlowCalNumber,0),1,1)*P67^INDEX(FlowCalConstB,MATCH(N55,FlowCalNumber,0),1,1)," ")</f>
        <v>#N/A</v>
      </c>
      <c r="R67" s="377"/>
      <c r="S67" s="242">
        <f t="shared" si="23"/>
        <v>0.5</v>
      </c>
      <c r="T67" s="241" t="e">
        <f t="shared" ca="1" si="24"/>
        <v>#VALUE!</v>
      </c>
      <c r="U67" s="243" t="e">
        <f ca="1">IF(AND(INDEX(FlowCalConstA,MATCH(R55,FlowCalNumber,0),1,1)*T67^INDEX(FlowCalConstB,MATCH(R55,FlowCalNumber,0),1,1)&gt;INDEX(FlowCalLowSetting,MATCH(R55,FlowCalNumber,0),1,1), (INDEX(FlowCalConstA,MATCH(R55,FlowCalNumber,0),1,1)*T67^INDEX(FlowCalConstB,MATCH(R55,FlowCalNumber,0),1,1)&lt;INDEX(FlowCalHighSetting,MATCH(R55,FlowCalNumber,0),1,1))),INDEX(FlowCalConstA,MATCH(R55,FlowCalNumber,0),1,1)*T67^INDEX(FlowCalConstB,MATCH(R55,FlowCalNumber,0),1,1)," ")</f>
        <v>#N/A</v>
      </c>
      <c r="V67" s="377"/>
      <c r="W67" s="242">
        <f t="shared" si="25"/>
        <v>0.5</v>
      </c>
      <c r="X67" s="241" t="e">
        <f t="shared" ca="1" si="26"/>
        <v>#VALUE!</v>
      </c>
      <c r="Y67" s="244" t="e">
        <f ca="1">IF(AND(INDEX(FlowCalConstA,MATCH(V55,FlowCalNumber,0),1,1)*X67^INDEX(FlowCalConstB,MATCH(V55,FlowCalNumber,0),1,1)&gt;INDEX(FlowCalLowSetting,MATCH(V55,FlowCalNumber,0),1,1), (INDEX(FlowCalConstA,MATCH(V55,FlowCalNumber,0),1,1)*X67^INDEX(FlowCalConstB,MATCH(V55,FlowCalNumber,0),1,1)&lt;INDEX(FlowCalHighSetting,MATCH(V55,FlowCalNumber,0),1,1))),INDEX(FlowCalConstA,MATCH(V55,FlowCalNumber,0),1,1)*X67^INDEX(FlowCalConstB,MATCH(V55,FlowCalNumber,0),1,1)," ")</f>
        <v>#N/A</v>
      </c>
    </row>
    <row r="68" spans="1:25" s="1215" customFormat="1">
      <c r="A68" s="1208"/>
      <c r="B68" s="1209"/>
      <c r="C68" s="1210"/>
      <c r="D68" s="1211">
        <f>'1% Wind'!$M$94</f>
        <v>1.8</v>
      </c>
      <c r="E68" s="1212"/>
      <c r="F68" s="1212"/>
      <c r="G68" s="1213">
        <f ca="1">IF(I55=1,$G67,MAX(G67/D67*D68,2))</f>
        <v>6.001707317073171</v>
      </c>
      <c r="H68" s="1214" t="e">
        <f t="shared" ca="1" si="18"/>
        <v>#VALUE!</v>
      </c>
      <c r="J68" s="1216"/>
      <c r="K68" s="1217">
        <f t="shared" si="19"/>
        <v>1</v>
      </c>
      <c r="L68" s="1218" t="e">
        <f t="shared" ca="1" si="20"/>
        <v>#VALUE!</v>
      </c>
      <c r="M68" s="1219" t="e">
        <f ca="1">IF(AND(INDEX(FlowCalConstA,MATCH(J55,FlowCalNumber,0),1,1)*L68^INDEX(FlowCalConstB,MATCH(J55,FlowCalNumber,0),1,1)&gt;INDEX(FlowCalLowSetting,MATCH(J55,FlowCalNumber,0),1,1), (INDEX(FlowCalConstA,MATCH(J55,FlowCalNumber,0),1,1)*L68^INDEX(FlowCalConstB,MATCH(J55,FlowCalNumber,0),1,1)&lt;INDEX(FlowCalHighSetting,MATCH(J55,FlowCalNumber,0),1,1))),INDEX(FlowCalConstA,MATCH(J55,FlowCalNumber,0),1,1)*L68^INDEX(FlowCalConstB,MATCH(J55,FlowCalNumber,0),1,1)," ")</f>
        <v>#N/A</v>
      </c>
      <c r="N68" s="1216"/>
      <c r="O68" s="1217">
        <f t="shared" si="21"/>
        <v>1</v>
      </c>
      <c r="P68" s="1218" t="e">
        <f t="shared" ca="1" si="22"/>
        <v>#VALUE!</v>
      </c>
      <c r="Q68" s="1220" t="e">
        <f ca="1">IF(AND(INDEX(FlowCalConstA,MATCH(N55,FlowCalNumber,0),1,1)*P68^INDEX(FlowCalConstB,MATCH(N55,FlowCalNumber,0),1,1)&gt;INDEX(FlowCalLowSetting,MATCH(N55,FlowCalNumber,0),1,1), (INDEX(FlowCalConstA,MATCH(N55,FlowCalNumber,0),1,1)*P68^INDEX(FlowCalConstB,MATCH(N55,FlowCalNumber,0),1,1)&lt;INDEX(FlowCalHighSetting,MATCH(N55,FlowCalNumber,0),1,1))),INDEX(FlowCalConstA,MATCH(N55,FlowCalNumber,0),1,1)*P68^INDEX(FlowCalConstB,MATCH(N55,FlowCalNumber,0),1,1)," ")</f>
        <v>#N/A</v>
      </c>
      <c r="R68" s="1216"/>
      <c r="S68" s="1217">
        <f t="shared" si="23"/>
        <v>0.5</v>
      </c>
      <c r="T68" s="1218" t="e">
        <f t="shared" ca="1" si="24"/>
        <v>#VALUE!</v>
      </c>
      <c r="U68" s="1219" t="e">
        <f ca="1">IF(AND(INDEX(FlowCalConstA,MATCH(R55,FlowCalNumber,0),1,1)*T68^INDEX(FlowCalConstB,MATCH(R55,FlowCalNumber,0),1,1)&gt;INDEX(FlowCalLowSetting,MATCH(R55,FlowCalNumber,0),1,1), (INDEX(FlowCalConstA,MATCH(R55,FlowCalNumber,0),1,1)*T68^INDEX(FlowCalConstB,MATCH(R55,FlowCalNumber,0),1,1)&lt;INDEX(FlowCalHighSetting,MATCH(R55,FlowCalNumber,0),1,1))),INDEX(FlowCalConstA,MATCH(R55,FlowCalNumber,0),1,1)*T68^INDEX(FlowCalConstB,MATCH(R55,FlowCalNumber,0),1,1)," ")</f>
        <v>#N/A</v>
      </c>
      <c r="V68" s="1216"/>
      <c r="W68" s="1217">
        <f t="shared" si="25"/>
        <v>0.5</v>
      </c>
      <c r="X68" s="1218" t="e">
        <f t="shared" ca="1" si="26"/>
        <v>#VALUE!</v>
      </c>
      <c r="Y68" s="1220" t="e">
        <f ca="1">IF(AND(INDEX(FlowCalConstA,MATCH(V55,FlowCalNumber,0),1,1)*X68^INDEX(FlowCalConstB,MATCH(V55,FlowCalNumber,0),1,1)&gt;INDEX(FlowCalLowSetting,MATCH(V55,FlowCalNumber,0),1,1), (INDEX(FlowCalConstA,MATCH(V55,FlowCalNumber,0),1,1)*X68^INDEX(FlowCalConstB,MATCH(V55,FlowCalNumber,0),1,1)&lt;INDEX(FlowCalHighSetting,MATCH(V55,FlowCalNumber,0),1,1))),INDEX(FlowCalConstA,MATCH(V55,FlowCalNumber,0),1,1)*X68^INDEX(FlowCalConstB,MATCH(V55,FlowCalNumber,0),1,1)," ")</f>
        <v>#N/A</v>
      </c>
    </row>
    <row r="69" spans="1:25">
      <c r="A69" s="412"/>
      <c r="B69" s="2"/>
      <c r="C69" s="235"/>
      <c r="D69" s="24">
        <f>'1% Wind'!$M$95</f>
        <v>1.3</v>
      </c>
      <c r="E69" s="90"/>
      <c r="F69" s="90"/>
      <c r="G69" s="79">
        <f ca="1">IF(I55=1,$G68,MAX(G68/D68*D69,2))</f>
        <v>6.001707317073171</v>
      </c>
      <c r="H69" s="121" t="e">
        <f t="shared" ca="1" si="18"/>
        <v>#VALUE!</v>
      </c>
      <c r="J69" s="377"/>
      <c r="K69" s="242">
        <f t="shared" si="19"/>
        <v>1</v>
      </c>
      <c r="L69" s="241" t="e">
        <f t="shared" ca="1" si="20"/>
        <v>#VALUE!</v>
      </c>
      <c r="M69" s="243" t="e">
        <f ca="1">IF(AND(INDEX(FlowCalConstA,MATCH(J55,FlowCalNumber,0),1,1)*L69^INDEX(FlowCalConstB,MATCH(J55,FlowCalNumber,0),1,1)&gt;INDEX(FlowCalLowSetting,MATCH(J55,FlowCalNumber,0),1,1), (INDEX(FlowCalConstA,MATCH(J55,FlowCalNumber,0),1,1)*L69^INDEX(FlowCalConstB,MATCH(J55,FlowCalNumber,0),1,1)&lt;INDEX(FlowCalHighSetting,MATCH(J55,FlowCalNumber,0),1,1))),INDEX(FlowCalConstA,MATCH(J55,FlowCalNumber,0),1,1)*L69^INDEX(FlowCalConstB,MATCH(J55,FlowCalNumber,0),1,1)," ")</f>
        <v>#N/A</v>
      </c>
      <c r="N69" s="377"/>
      <c r="O69" s="242">
        <f t="shared" si="21"/>
        <v>1</v>
      </c>
      <c r="P69" s="241" t="e">
        <f t="shared" ca="1" si="22"/>
        <v>#VALUE!</v>
      </c>
      <c r="Q69" s="244" t="e">
        <f ca="1">IF(AND(INDEX(FlowCalConstA,MATCH(N55,FlowCalNumber,0),1,1)*P69^INDEX(FlowCalConstB,MATCH(N55,FlowCalNumber,0),1,1)&gt;INDEX(FlowCalLowSetting,MATCH(N55,FlowCalNumber,0),1,1), (INDEX(FlowCalConstA,MATCH(N55,FlowCalNumber,0),1,1)*P69^INDEX(FlowCalConstB,MATCH(N55,FlowCalNumber,0),1,1)&lt;INDEX(FlowCalHighSetting,MATCH(N55,FlowCalNumber,0),1,1))),INDEX(FlowCalConstA,MATCH(N55,FlowCalNumber,0),1,1)*P69^INDEX(FlowCalConstB,MATCH(N55,FlowCalNumber,0),1,1)," ")</f>
        <v>#N/A</v>
      </c>
      <c r="R69" s="377"/>
      <c r="S69" s="242">
        <f t="shared" si="23"/>
        <v>0.5</v>
      </c>
      <c r="T69" s="241" t="e">
        <f t="shared" ca="1" si="24"/>
        <v>#VALUE!</v>
      </c>
      <c r="U69" s="243" t="e">
        <f ca="1">IF(AND(INDEX(FlowCalConstA,MATCH(R55,FlowCalNumber,0),1,1)*T69^INDEX(FlowCalConstB,MATCH(R55,FlowCalNumber,0),1,1)&gt;INDEX(FlowCalLowSetting,MATCH(R55,FlowCalNumber,0),1,1), (INDEX(FlowCalConstA,MATCH(R55,FlowCalNumber,0),1,1)*T69^INDEX(FlowCalConstB,MATCH(R55,FlowCalNumber,0),1,1)&lt;INDEX(FlowCalHighSetting,MATCH(R55,FlowCalNumber,0),1,1))),INDEX(FlowCalConstA,MATCH(R55,FlowCalNumber,0),1,1)*T69^INDEX(FlowCalConstB,MATCH(R55,FlowCalNumber,0),1,1)," ")</f>
        <v>#N/A</v>
      </c>
      <c r="V69" s="377"/>
      <c r="W69" s="242">
        <f t="shared" si="25"/>
        <v>0.5</v>
      </c>
      <c r="X69" s="241" t="e">
        <f t="shared" ca="1" si="26"/>
        <v>#VALUE!</v>
      </c>
      <c r="Y69" s="244" t="e">
        <f ca="1">IF(AND(INDEX(FlowCalConstA,MATCH(V55,FlowCalNumber,0),1,1)*X69^INDEX(FlowCalConstB,MATCH(V55,FlowCalNumber,0),1,1)&gt;INDEX(FlowCalLowSetting,MATCH(V55,FlowCalNumber,0),1,1), (INDEX(FlowCalConstA,MATCH(V55,FlowCalNumber,0),1,1)*X69^INDEX(FlowCalConstB,MATCH(V55,FlowCalNumber,0),1,1)&lt;INDEX(FlowCalHighSetting,MATCH(V55,FlowCalNumber,0),1,1))),INDEX(FlowCalConstA,MATCH(V55,FlowCalNumber,0),1,1)*X69^INDEX(FlowCalConstB,MATCH(V55,FlowCalNumber,0),1,1)," ")</f>
        <v>#N/A</v>
      </c>
    </row>
    <row r="70" spans="1:25" s="1215" customFormat="1">
      <c r="A70" s="1208"/>
      <c r="B70" s="1209"/>
      <c r="C70" s="1210"/>
      <c r="D70" s="1211">
        <f>'1% Wind'!$M$96</f>
        <v>1</v>
      </c>
      <c r="E70" s="1212"/>
      <c r="F70" s="1212"/>
      <c r="G70" s="1213">
        <f ca="1">IF(I55=1,$G69,MAX(G69/D69*D70,2))</f>
        <v>6.001707317073171</v>
      </c>
      <c r="H70" s="1214" t="e">
        <f t="shared" ca="1" si="18"/>
        <v>#VALUE!</v>
      </c>
      <c r="J70" s="1216"/>
      <c r="K70" s="1217">
        <f t="shared" si="19"/>
        <v>1</v>
      </c>
      <c r="L70" s="1218" t="e">
        <f t="shared" ca="1" si="20"/>
        <v>#VALUE!</v>
      </c>
      <c r="M70" s="1219" t="e">
        <f ca="1">IF(AND(INDEX(FlowCalConstA,MATCH(J55,FlowCalNumber,0),1,1)*L70^INDEX(FlowCalConstB,MATCH(J55,FlowCalNumber,0),1,1)&gt;INDEX(FlowCalLowSetting,MATCH(J55,FlowCalNumber,0),1,1), (INDEX(FlowCalConstA,MATCH(J55,FlowCalNumber,0),1,1)*L70^INDEX(FlowCalConstB,MATCH(J55,FlowCalNumber,0),1,1)&lt;INDEX(FlowCalHighSetting,MATCH(J55,FlowCalNumber,0),1,1))),INDEX(FlowCalConstA,MATCH(J55,FlowCalNumber,0),1,1)*L70^INDEX(FlowCalConstB,MATCH(J55,FlowCalNumber,0),1,1)," ")</f>
        <v>#N/A</v>
      </c>
      <c r="N70" s="1216"/>
      <c r="O70" s="1217">
        <f t="shared" si="21"/>
        <v>1</v>
      </c>
      <c r="P70" s="1218" t="e">
        <f t="shared" ca="1" si="22"/>
        <v>#VALUE!</v>
      </c>
      <c r="Q70" s="1220" t="e">
        <f ca="1">IF(AND(INDEX(FlowCalConstA,MATCH(N55,FlowCalNumber,0),1,1)*P70^INDEX(FlowCalConstB,MATCH(N55,FlowCalNumber,0),1,1)&gt;INDEX(FlowCalLowSetting,MATCH(N55,FlowCalNumber,0),1,1), (INDEX(FlowCalConstA,MATCH(N55,FlowCalNumber,0),1,1)*P70^INDEX(FlowCalConstB,MATCH(N55,FlowCalNumber,0),1,1)&lt;INDEX(FlowCalHighSetting,MATCH(N55,FlowCalNumber,0),1,1))),INDEX(FlowCalConstA,MATCH(N55,FlowCalNumber,0),1,1)*P70^INDEX(FlowCalConstB,MATCH(N55,FlowCalNumber,0),1,1)," ")</f>
        <v>#N/A</v>
      </c>
      <c r="R70" s="1216"/>
      <c r="S70" s="1217">
        <f t="shared" si="23"/>
        <v>0.5</v>
      </c>
      <c r="T70" s="1218" t="e">
        <f t="shared" ca="1" si="24"/>
        <v>#VALUE!</v>
      </c>
      <c r="U70" s="1219" t="e">
        <f ca="1">IF(AND(INDEX(FlowCalConstA,MATCH(R55,FlowCalNumber,0),1,1)*T70^INDEX(FlowCalConstB,MATCH(R55,FlowCalNumber,0),1,1)&gt;INDEX(FlowCalLowSetting,MATCH(R55,FlowCalNumber,0),1,1), (INDEX(FlowCalConstA,MATCH(R55,FlowCalNumber,0),1,1)*T70^INDEX(FlowCalConstB,MATCH(R55,FlowCalNumber,0),1,1)&lt;INDEX(FlowCalHighSetting,MATCH(R55,FlowCalNumber,0),1,1))),INDEX(FlowCalConstA,MATCH(R55,FlowCalNumber,0),1,1)*T70^INDEX(FlowCalConstB,MATCH(R55,FlowCalNumber,0),1,1)," ")</f>
        <v>#N/A</v>
      </c>
      <c r="V70" s="1216"/>
      <c r="W70" s="1217">
        <f t="shared" si="25"/>
        <v>0.5</v>
      </c>
      <c r="X70" s="1218" t="e">
        <f t="shared" ca="1" si="26"/>
        <v>#VALUE!</v>
      </c>
      <c r="Y70" s="1220" t="e">
        <f ca="1">IF(AND(INDEX(FlowCalConstA,MATCH(V55,FlowCalNumber,0),1,1)*X70^INDEX(FlowCalConstB,MATCH(V55,FlowCalNumber,0),1,1)&gt;INDEX(FlowCalLowSetting,MATCH(V55,FlowCalNumber,0),1,1), (INDEX(FlowCalConstA,MATCH(V55,FlowCalNumber,0),1,1)*X70^INDEX(FlowCalConstB,MATCH(V55,FlowCalNumber,0),1,1)&lt;INDEX(FlowCalHighSetting,MATCH(V55,FlowCalNumber,0),1,1))),INDEX(FlowCalConstA,MATCH(V55,FlowCalNumber,0),1,1)*X70^INDEX(FlowCalConstB,MATCH(V55,FlowCalNumber,0),1,1)," ")</f>
        <v>#N/A</v>
      </c>
    </row>
    <row r="71" spans="1:25">
      <c r="A71" s="90"/>
      <c r="C71" s="235"/>
      <c r="E71" s="90"/>
      <c r="F71" s="90"/>
      <c r="G71" s="33"/>
      <c r="J71" s="377"/>
      <c r="M71" s="243"/>
      <c r="N71" s="377"/>
      <c r="Q71" s="244"/>
      <c r="R71" s="377"/>
      <c r="U71" s="243"/>
      <c r="V71" s="377"/>
      <c r="Y71" s="244"/>
    </row>
    <row r="72" spans="1:25">
      <c r="A72" s="639">
        <f>A55+1</f>
        <v>4</v>
      </c>
      <c r="B72" s="42" t="e">
        <f>INDEX(SourceID,MATCH($A72,SourceNumber,0),1,1)</f>
        <v>#N/A</v>
      </c>
      <c r="C72" s="354" t="e">
        <f>INDEX(SourceExitDiameter,MATCH($A72,SourceNumber,0),1,1)*3.28*12</f>
        <v>#N/A</v>
      </c>
      <c r="D72" s="24" t="str">
        <f>UAnem1percent</f>
        <v>1% Wind</v>
      </c>
      <c r="E72" s="85" t="e">
        <f ca="1">INDIRECT(ADDRESS(53,6,1,,$A72))</f>
        <v>#N/A</v>
      </c>
      <c r="F72" s="626" t="e">
        <f ca="1">(ROUND((INDIRECT(ADDRESS(15,7,1,,$A72))*3.28*12*32),0)&amp;"/32")</f>
        <v>#N/A</v>
      </c>
      <c r="G72" s="125" t="e">
        <f ca="1">INDIRECT(ADDRESS(29,7,1,,$A72))</f>
        <v>#N/A</v>
      </c>
      <c r="H72" s="24" t="e">
        <f ca="1">INDIRECT(ADDRESS(19,7,1,,$A72))*100^3</f>
        <v>#N/A</v>
      </c>
      <c r="I72" s="24" t="e">
        <f ca="1">INDIRECT(ADDRESS(53,7,1,,$A72))</f>
        <v>#N/A</v>
      </c>
      <c r="J72" s="20" t="str">
        <f>K$15&amp;$H$6&amp;J$6</f>
        <v>100AirPick a Tunnel</v>
      </c>
      <c r="K72" t="e">
        <f>INDEX(FlowCalGasMixture,MATCH(J72,FlowCalNumber,0),1,1)</f>
        <v>#N/A</v>
      </c>
      <c r="M72" s="355" t="e">
        <f>INDEX(FlowCalDevice,MATCH(J72,FlowCalNumber,0),1,1)</f>
        <v>#N/A</v>
      </c>
      <c r="N72" s="20" t="str">
        <f>O$15&amp;$H$6&amp;N$6</f>
        <v>100AirPick a Tunnel</v>
      </c>
      <c r="O72" t="e">
        <f>INDEX(FlowCalGasMixture,MATCH(N72,FlowCalNumber,0),1,1)</f>
        <v>#N/A</v>
      </c>
      <c r="Q72" s="355" t="e">
        <f>INDEX(FlowCalDevice,MATCH(N72,FlowCalNumber,0),1,1)</f>
        <v>#N/A</v>
      </c>
      <c r="R72" s="20" t="str">
        <f>S$15&amp;$H$6&amp;R$6</f>
        <v>100AirPick a Tunnel</v>
      </c>
      <c r="S72" t="e">
        <f>INDEX(FlowCalGasMixture,MATCH(R72,FlowCalNumber,0),1,1)</f>
        <v>#N/A</v>
      </c>
      <c r="U72" s="944" t="e">
        <f>INDEX(FlowCalDevice,MATCH(R72,FlowCalNumber,0),1,1)</f>
        <v>#N/A</v>
      </c>
      <c r="V72" s="946" t="str">
        <f>W$15&amp;$H$6&amp;V$6</f>
        <v>100AirPick a Tunnel</v>
      </c>
      <c r="W72" t="e">
        <f>INDEX(FlowCalGasMixture,MATCH(V72,FlowCalNumber,0),1,1)</f>
        <v>#N/A</v>
      </c>
      <c r="Y72" s="982" t="e">
        <f>INDEX(FlowCalDevice,MATCH(V72,FlowCalNumber,0),1,1)</f>
        <v>#N/A</v>
      </c>
    </row>
    <row r="73" spans="1:25" s="1215" customFormat="1">
      <c r="A73" s="1208"/>
      <c r="B73" s="1209"/>
      <c r="C73" s="1210"/>
      <c r="D73" s="1211">
        <f>'1% Wind'!$M$82</f>
        <v>27</v>
      </c>
      <c r="E73" s="1212"/>
      <c r="F73" s="1212"/>
      <c r="G73" s="1213" t="e">
        <f ca="1">IF(I72=1,$G72,MAX(G72/D72*D73,2))</f>
        <v>#N/A</v>
      </c>
      <c r="H73" s="1214" t="e">
        <f t="shared" ref="H73:H87" ca="1" si="27">H72*(D72/D73)*(G73/G72)</f>
        <v>#N/A</v>
      </c>
      <c r="J73" s="1216"/>
      <c r="K73" s="1221">
        <f>K$16/100</f>
        <v>1</v>
      </c>
      <c r="L73" s="1218" t="e">
        <f ca="1">K73*$H73</f>
        <v>#N/A</v>
      </c>
      <c r="M73" s="1219" t="e">
        <f ca="1">IF(AND(INDEX(FlowCalConstA,MATCH(J72,FlowCalNumber,0),1,1)*L73^INDEX(FlowCalConstB,MATCH(J72,FlowCalNumber,0),1,1)&gt;INDEX(FlowCalLowSetting,MATCH(J72,FlowCalNumber,0),1,1), (INDEX(FlowCalConstA,MATCH(J72,FlowCalNumber,0),1,1)*L73^INDEX(FlowCalConstB,MATCH(J72,FlowCalNumber,0),1,1)&lt;INDEX(FlowCalHighSetting,MATCH(J72,FlowCalNumber,0),1,1))),INDEX(FlowCalConstA,MATCH(J72,FlowCalNumber,0),1,1)*L73^INDEX(FlowCalConstB,MATCH(J72,FlowCalNumber,0),1,1)," ")</f>
        <v>#N/A</v>
      </c>
      <c r="N73" s="1216"/>
      <c r="O73" s="1221">
        <f>O$16/100</f>
        <v>1</v>
      </c>
      <c r="P73" s="1218" t="e">
        <f ca="1">O73*$H73</f>
        <v>#N/A</v>
      </c>
      <c r="Q73" s="1220" t="e">
        <f ca="1">IF(AND(INDEX(FlowCalConstA,MATCH(N72,FlowCalNumber,0),1,1)*P73^INDEX(FlowCalConstB,MATCH(N72,FlowCalNumber,0),1,1)&gt;INDEX(FlowCalLowSetting,MATCH(N72,FlowCalNumber,0),1,1), (INDEX(FlowCalConstA,MATCH(N72,FlowCalNumber,0),1,1)*P73^INDEX(FlowCalConstB,MATCH(N72,FlowCalNumber,0),1,1)&lt;INDEX(FlowCalHighSetting,MATCH(N72,FlowCalNumber,0),1,1))),INDEX(FlowCalConstA,MATCH(N72,FlowCalNumber,0),1,1)*P73^INDEX(FlowCalConstB,MATCH(N72,FlowCalNumber,0),1,1)," ")</f>
        <v>#N/A</v>
      </c>
      <c r="R73" s="1216"/>
      <c r="S73" s="1221">
        <f>S$16/100</f>
        <v>0.5</v>
      </c>
      <c r="T73" s="1218" t="e">
        <f ca="1">S73*$H73</f>
        <v>#N/A</v>
      </c>
      <c r="U73" s="1219" t="e">
        <f ca="1">IF(AND(INDEX(FlowCalConstA,MATCH(R72,FlowCalNumber,0),1,1)*T73^INDEX(FlowCalConstB,MATCH(R72,FlowCalNumber,0),1,1)&gt;INDEX(FlowCalLowSetting,MATCH(R72,FlowCalNumber,0),1,1), (INDEX(FlowCalConstA,MATCH(R72,FlowCalNumber,0),1,1)*T73^INDEX(FlowCalConstB,MATCH(R72,FlowCalNumber,0),1,1)&lt;INDEX(FlowCalHighSetting,MATCH(R72,FlowCalNumber,0),1,1))),INDEX(FlowCalConstA,MATCH(R72,FlowCalNumber,0),1,1)*T73^INDEX(FlowCalConstB,MATCH(R72,FlowCalNumber,0),1,1)," ")</f>
        <v>#N/A</v>
      </c>
      <c r="V73" s="1216"/>
      <c r="W73" s="1221">
        <f>W$16/100</f>
        <v>0.5</v>
      </c>
      <c r="X73" s="1218" t="e">
        <f ca="1">W73*$H73</f>
        <v>#N/A</v>
      </c>
      <c r="Y73" s="1220" t="e">
        <f ca="1">IF(AND(INDEX(FlowCalConstA,MATCH(V72,FlowCalNumber,0),1,1)*X73^INDEX(FlowCalConstB,MATCH(V72,FlowCalNumber,0),1,1)&gt;INDEX(FlowCalLowSetting,MATCH(V72,FlowCalNumber,0),1,1), (INDEX(FlowCalConstA,MATCH(V72,FlowCalNumber,0),1,1)*X73^INDEX(FlowCalConstB,MATCH(V72,FlowCalNumber,0),1,1)&lt;INDEX(FlowCalHighSetting,MATCH(V72,FlowCalNumber,0),1,1))),INDEX(FlowCalConstA,MATCH(V72,FlowCalNumber,0),1,1)*X73^INDEX(FlowCalConstB,MATCH(V72,FlowCalNumber,0),1,1)," ")</f>
        <v>#N/A</v>
      </c>
    </row>
    <row r="74" spans="1:25">
      <c r="A74" s="412"/>
      <c r="B74" s="2"/>
      <c r="C74" s="235"/>
      <c r="D74" s="24">
        <f>'1% Wind'!$M$83</f>
        <v>23.5</v>
      </c>
      <c r="E74" s="90"/>
      <c r="F74" s="90"/>
      <c r="G74" s="79" t="e">
        <f ca="1">IF(I72=1,$G73,MAX(G73/D73*D74,2))</f>
        <v>#N/A</v>
      </c>
      <c r="H74" s="121" t="e">
        <f t="shared" ca="1" si="27"/>
        <v>#N/A</v>
      </c>
      <c r="J74" s="377"/>
      <c r="K74" s="242">
        <f t="shared" ref="K74:K87" si="28">K73</f>
        <v>1</v>
      </c>
      <c r="L74" s="241" t="e">
        <f t="shared" ref="L74:L87" ca="1" si="29">K74*$H74</f>
        <v>#N/A</v>
      </c>
      <c r="M74" s="243" t="e">
        <f ca="1">IF(AND(INDEX(FlowCalConstA,MATCH(J72,FlowCalNumber,0),1,1)*L74^INDEX(FlowCalConstB,MATCH(J72,FlowCalNumber,0),1,1)&gt;INDEX(FlowCalLowSetting,MATCH(J72,FlowCalNumber,0),1,1), (INDEX(FlowCalConstA,MATCH(J72,FlowCalNumber,0),1,1)*L74^INDEX(FlowCalConstB,MATCH(J72,FlowCalNumber,0),1,1)&lt;INDEX(FlowCalHighSetting,MATCH(J72,FlowCalNumber,0),1,1))),INDEX(FlowCalConstA,MATCH(J72,FlowCalNumber,0),1,1)*L74^INDEX(FlowCalConstB,MATCH(J72,FlowCalNumber,0),1,1)," ")</f>
        <v>#N/A</v>
      </c>
      <c r="N74" s="377"/>
      <c r="O74" s="242">
        <f t="shared" ref="O74:O87" si="30">O73</f>
        <v>1</v>
      </c>
      <c r="P74" s="241" t="e">
        <f t="shared" ref="P74:P87" ca="1" si="31">O74*$H74</f>
        <v>#N/A</v>
      </c>
      <c r="Q74" s="244" t="e">
        <f ca="1">IF(AND(INDEX(FlowCalConstA,MATCH(N72,FlowCalNumber,0),1,1)*P74^INDEX(FlowCalConstB,MATCH(N72,FlowCalNumber,0),1,1)&gt;INDEX(FlowCalLowSetting,MATCH(N72,FlowCalNumber,0),1,1), (INDEX(FlowCalConstA,MATCH(N72,FlowCalNumber,0),1,1)*P74^INDEX(FlowCalConstB,MATCH(N72,FlowCalNumber,0),1,1)&lt;INDEX(FlowCalHighSetting,MATCH(N72,FlowCalNumber,0),1,1))),INDEX(FlowCalConstA,MATCH(N72,FlowCalNumber,0),1,1)*P74^INDEX(FlowCalConstB,MATCH(N72,FlowCalNumber,0),1,1)," ")</f>
        <v>#N/A</v>
      </c>
      <c r="R74" s="377"/>
      <c r="S74" s="242">
        <f t="shared" ref="S74:S87" si="32">S73</f>
        <v>0.5</v>
      </c>
      <c r="T74" s="241" t="e">
        <f t="shared" ref="T74:T87" ca="1" si="33">S74*$H74</f>
        <v>#N/A</v>
      </c>
      <c r="U74" s="243" t="e">
        <f ca="1">IF(AND(INDEX(FlowCalConstA,MATCH(R72,FlowCalNumber,0),1,1)*T74^INDEX(FlowCalConstB,MATCH(R72,FlowCalNumber,0),1,1)&gt;INDEX(FlowCalLowSetting,MATCH(R72,FlowCalNumber,0),1,1), (INDEX(FlowCalConstA,MATCH(R72,FlowCalNumber,0),1,1)*T74^INDEX(FlowCalConstB,MATCH(R72,FlowCalNumber,0),1,1)&lt;INDEX(FlowCalHighSetting,MATCH(R72,FlowCalNumber,0),1,1))),INDEX(FlowCalConstA,MATCH(R72,FlowCalNumber,0),1,1)*T74^INDEX(FlowCalConstB,MATCH(R72,FlowCalNumber,0),1,1)," ")</f>
        <v>#N/A</v>
      </c>
      <c r="V74" s="377"/>
      <c r="W74" s="242">
        <f t="shared" ref="W74:W87" si="34">W73</f>
        <v>0.5</v>
      </c>
      <c r="X74" s="241" t="e">
        <f t="shared" ref="X74:X87" ca="1" si="35">W74*$H74</f>
        <v>#N/A</v>
      </c>
      <c r="Y74" s="244" t="e">
        <f ca="1">IF(AND(INDEX(FlowCalConstA,MATCH(V72,FlowCalNumber,0),1,1)*X74^INDEX(FlowCalConstB,MATCH(V72,FlowCalNumber,0),1,1)&gt;INDEX(FlowCalLowSetting,MATCH(V72,FlowCalNumber,0),1,1), (INDEX(FlowCalConstA,MATCH(V72,FlowCalNumber,0),1,1)*X74^INDEX(FlowCalConstB,MATCH(V72,FlowCalNumber,0),1,1)&lt;INDEX(FlowCalHighSetting,MATCH(V72,FlowCalNumber,0),1,1))),INDEX(FlowCalConstA,MATCH(V72,FlowCalNumber,0),1,1)*X74^INDEX(FlowCalConstB,MATCH(V72,FlowCalNumber,0),1,1)," ")</f>
        <v>#N/A</v>
      </c>
    </row>
    <row r="75" spans="1:25" s="1215" customFormat="1">
      <c r="A75" s="1208"/>
      <c r="B75" s="1209"/>
      <c r="C75" s="1210"/>
      <c r="D75" s="1211">
        <f>'1% Wind'!$M$84</f>
        <v>20.5</v>
      </c>
      <c r="E75" s="1212"/>
      <c r="F75" s="1212"/>
      <c r="G75" s="1213" t="e">
        <f ca="1">IF(I72=1,$G74,MAX(G74/D74*D75,2))</f>
        <v>#N/A</v>
      </c>
      <c r="H75" s="1214" t="e">
        <f t="shared" ca="1" si="27"/>
        <v>#N/A</v>
      </c>
      <c r="J75" s="1216"/>
      <c r="K75" s="1217">
        <f t="shared" si="28"/>
        <v>1</v>
      </c>
      <c r="L75" s="1218" t="e">
        <f t="shared" ca="1" si="29"/>
        <v>#N/A</v>
      </c>
      <c r="M75" s="1219" t="e">
        <f ca="1">IF(AND(INDEX(FlowCalConstA,MATCH(J72,FlowCalNumber,0),1,1)*L75^INDEX(FlowCalConstB,MATCH(J72,FlowCalNumber,0),1,1)&gt;INDEX(FlowCalLowSetting,MATCH(J72,FlowCalNumber,0),1,1), (INDEX(FlowCalConstA,MATCH(J72,FlowCalNumber,0),1,1)*L75^INDEX(FlowCalConstB,MATCH(J72,FlowCalNumber,0),1,1)&lt;INDEX(FlowCalHighSetting,MATCH(J72,FlowCalNumber,0),1,1))),INDEX(FlowCalConstA,MATCH(J72,FlowCalNumber,0),1,1)*L75^INDEX(FlowCalConstB,MATCH(J72,FlowCalNumber,0),1,1)," ")</f>
        <v>#N/A</v>
      </c>
      <c r="N75" s="1216"/>
      <c r="O75" s="1217">
        <f t="shared" si="30"/>
        <v>1</v>
      </c>
      <c r="P75" s="1218" t="e">
        <f t="shared" ca="1" si="31"/>
        <v>#N/A</v>
      </c>
      <c r="Q75" s="1220" t="e">
        <f ca="1">IF(AND(INDEX(FlowCalConstA,MATCH(N72,FlowCalNumber,0),1,1)*P75^INDEX(FlowCalConstB,MATCH(N72,FlowCalNumber,0),1,1)&gt;INDEX(FlowCalLowSetting,MATCH(N72,FlowCalNumber,0),1,1), (INDEX(FlowCalConstA,MATCH(N72,FlowCalNumber,0),1,1)*P75^INDEX(FlowCalConstB,MATCH(N72,FlowCalNumber,0),1,1)&lt;INDEX(FlowCalHighSetting,MATCH(N72,FlowCalNumber,0),1,1))),INDEX(FlowCalConstA,MATCH(N72,FlowCalNumber,0),1,1)*P75^INDEX(FlowCalConstB,MATCH(N72,FlowCalNumber,0),1,1)," ")</f>
        <v>#N/A</v>
      </c>
      <c r="R75" s="1216"/>
      <c r="S75" s="1217">
        <f t="shared" si="32"/>
        <v>0.5</v>
      </c>
      <c r="T75" s="1218" t="e">
        <f t="shared" ca="1" si="33"/>
        <v>#N/A</v>
      </c>
      <c r="U75" s="1219" t="e">
        <f ca="1">IF(AND(INDEX(FlowCalConstA,MATCH(R72,FlowCalNumber,0),1,1)*T75^INDEX(FlowCalConstB,MATCH(R72,FlowCalNumber,0),1,1)&gt;INDEX(FlowCalLowSetting,MATCH(R72,FlowCalNumber,0),1,1), (INDEX(FlowCalConstA,MATCH(R72,FlowCalNumber,0),1,1)*T75^INDEX(FlowCalConstB,MATCH(R72,FlowCalNumber,0),1,1)&lt;INDEX(FlowCalHighSetting,MATCH(R72,FlowCalNumber,0),1,1))),INDEX(FlowCalConstA,MATCH(R72,FlowCalNumber,0),1,1)*T75^INDEX(FlowCalConstB,MATCH(R72,FlowCalNumber,0),1,1)," ")</f>
        <v>#N/A</v>
      </c>
      <c r="V75" s="1216"/>
      <c r="W75" s="1217">
        <f t="shared" si="34"/>
        <v>0.5</v>
      </c>
      <c r="X75" s="1218" t="e">
        <f t="shared" ca="1" si="35"/>
        <v>#N/A</v>
      </c>
      <c r="Y75" s="1220" t="e">
        <f ca="1">IF(AND(INDEX(FlowCalConstA,MATCH(V72,FlowCalNumber,0),1,1)*X75^INDEX(FlowCalConstB,MATCH(V72,FlowCalNumber,0),1,1)&gt;INDEX(FlowCalLowSetting,MATCH(V72,FlowCalNumber,0),1,1), (INDEX(FlowCalConstA,MATCH(V72,FlowCalNumber,0),1,1)*X75^INDEX(FlowCalConstB,MATCH(V72,FlowCalNumber,0),1,1)&lt;INDEX(FlowCalHighSetting,MATCH(V72,FlowCalNumber,0),1,1))),INDEX(FlowCalConstA,MATCH(V72,FlowCalNumber,0),1,1)*X75^INDEX(FlowCalConstB,MATCH(V72,FlowCalNumber,0),1,1)," ")</f>
        <v>#N/A</v>
      </c>
    </row>
    <row r="76" spans="1:25">
      <c r="A76" s="412"/>
      <c r="B76" s="2"/>
      <c r="C76" s="235"/>
      <c r="D76" s="24">
        <f>'1% Wind'!$M$85</f>
        <v>17.8</v>
      </c>
      <c r="E76" s="90"/>
      <c r="F76" s="90"/>
      <c r="G76" s="79" t="e">
        <f ca="1">IF(I72=1,$G75,MAX(G75/D75*D76,2))</f>
        <v>#N/A</v>
      </c>
      <c r="H76" s="121" t="e">
        <f t="shared" ca="1" si="27"/>
        <v>#N/A</v>
      </c>
      <c r="J76" s="377"/>
      <c r="K76" s="242">
        <f t="shared" si="28"/>
        <v>1</v>
      </c>
      <c r="L76" s="241" t="e">
        <f t="shared" ca="1" si="29"/>
        <v>#N/A</v>
      </c>
      <c r="M76" s="243" t="e">
        <f ca="1">IF(AND(INDEX(FlowCalConstA,MATCH(J72,FlowCalNumber,0),1,1)*L76^INDEX(FlowCalConstB,MATCH(J72,FlowCalNumber,0),1,1)&gt;INDEX(FlowCalLowSetting,MATCH(J72,FlowCalNumber,0),1,1), (INDEX(FlowCalConstA,MATCH(J72,FlowCalNumber,0),1,1)*L76^INDEX(FlowCalConstB,MATCH(J72,FlowCalNumber,0),1,1)&lt;INDEX(FlowCalHighSetting,MATCH(J72,FlowCalNumber,0),1,1))),INDEX(FlowCalConstA,MATCH(J72,FlowCalNumber,0),1,1)*L76^INDEX(FlowCalConstB,MATCH(J72,FlowCalNumber,0),1,1)," ")</f>
        <v>#N/A</v>
      </c>
      <c r="N76" s="377"/>
      <c r="O76" s="242">
        <f t="shared" si="30"/>
        <v>1</v>
      </c>
      <c r="P76" s="241" t="e">
        <f t="shared" ca="1" si="31"/>
        <v>#N/A</v>
      </c>
      <c r="Q76" s="244" t="e">
        <f ca="1">IF(AND(INDEX(FlowCalConstA,MATCH(N72,FlowCalNumber,0),1,1)*P76^INDEX(FlowCalConstB,MATCH(N72,FlowCalNumber,0),1,1)&gt;INDEX(FlowCalLowSetting,MATCH(N72,FlowCalNumber,0),1,1), (INDEX(FlowCalConstA,MATCH(N72,FlowCalNumber,0),1,1)*P76^INDEX(FlowCalConstB,MATCH(N72,FlowCalNumber,0),1,1)&lt;INDEX(FlowCalHighSetting,MATCH(N72,FlowCalNumber,0),1,1))),INDEX(FlowCalConstA,MATCH(N72,FlowCalNumber,0),1,1)*P76^INDEX(FlowCalConstB,MATCH(N72,FlowCalNumber,0),1,1)," ")</f>
        <v>#N/A</v>
      </c>
      <c r="R76" s="377"/>
      <c r="S76" s="242">
        <f t="shared" si="32"/>
        <v>0.5</v>
      </c>
      <c r="T76" s="241" t="e">
        <f t="shared" ca="1" si="33"/>
        <v>#N/A</v>
      </c>
      <c r="U76" s="243" t="e">
        <f ca="1">IF(AND(INDEX(FlowCalConstA,MATCH(R72,FlowCalNumber,0),1,1)*T76^INDEX(FlowCalConstB,MATCH(R72,FlowCalNumber,0),1,1)&gt;INDEX(FlowCalLowSetting,MATCH(R72,FlowCalNumber,0),1,1), (INDEX(FlowCalConstA,MATCH(R72,FlowCalNumber,0),1,1)*T76^INDEX(FlowCalConstB,MATCH(R72,FlowCalNumber,0),1,1)&lt;INDEX(FlowCalHighSetting,MATCH(R72,FlowCalNumber,0),1,1))),INDEX(FlowCalConstA,MATCH(R72,FlowCalNumber,0),1,1)*T76^INDEX(FlowCalConstB,MATCH(R72,FlowCalNumber,0),1,1)," ")</f>
        <v>#N/A</v>
      </c>
      <c r="V76" s="377"/>
      <c r="W76" s="242">
        <f t="shared" si="34"/>
        <v>0.5</v>
      </c>
      <c r="X76" s="241" t="e">
        <f t="shared" ca="1" si="35"/>
        <v>#N/A</v>
      </c>
      <c r="Y76" s="244" t="e">
        <f ca="1">IF(AND(INDEX(FlowCalConstA,MATCH(V72,FlowCalNumber,0),1,1)*X76^INDEX(FlowCalConstB,MATCH(V72,FlowCalNumber,0),1,1)&gt;INDEX(FlowCalLowSetting,MATCH(V72,FlowCalNumber,0),1,1), (INDEX(FlowCalConstA,MATCH(V72,FlowCalNumber,0),1,1)*X76^INDEX(FlowCalConstB,MATCH(V72,FlowCalNumber,0),1,1)&lt;INDEX(FlowCalHighSetting,MATCH(V72,FlowCalNumber,0),1,1))),INDEX(FlowCalConstA,MATCH(V72,FlowCalNumber,0),1,1)*X76^INDEX(FlowCalConstB,MATCH(V72,FlowCalNumber,0),1,1)," ")</f>
        <v>#N/A</v>
      </c>
    </row>
    <row r="77" spans="1:25" s="1215" customFormat="1">
      <c r="A77" s="1208"/>
      <c r="B77" s="1209"/>
      <c r="C77" s="1210"/>
      <c r="D77" s="1211">
        <f>'1% Wind'!$M$86</f>
        <v>15.5</v>
      </c>
      <c r="E77" s="1212"/>
      <c r="F77" s="1212"/>
      <c r="G77" s="1213" t="e">
        <f ca="1">IF(I72=1,$G76,MAX(G76/D76*D77,2))</f>
        <v>#N/A</v>
      </c>
      <c r="H77" s="1214" t="e">
        <f t="shared" ca="1" si="27"/>
        <v>#N/A</v>
      </c>
      <c r="J77" s="1216"/>
      <c r="K77" s="1217">
        <f t="shared" si="28"/>
        <v>1</v>
      </c>
      <c r="L77" s="1218" t="e">
        <f t="shared" ca="1" si="29"/>
        <v>#N/A</v>
      </c>
      <c r="M77" s="1219" t="e">
        <f ca="1">IF(AND(INDEX(FlowCalConstA,MATCH(J72,FlowCalNumber,0),1,1)*L77^INDEX(FlowCalConstB,MATCH(J72,FlowCalNumber,0),1,1)&gt;INDEX(FlowCalLowSetting,MATCH(J72,FlowCalNumber,0),1,1), (INDEX(FlowCalConstA,MATCH(J72,FlowCalNumber,0),1,1)*L77^INDEX(FlowCalConstB,MATCH(J72,FlowCalNumber,0),1,1)&lt;INDEX(FlowCalHighSetting,MATCH(J72,FlowCalNumber,0),1,1))),INDEX(FlowCalConstA,MATCH(J72,FlowCalNumber,0),1,1)*L77^INDEX(FlowCalConstB,MATCH(J72,FlowCalNumber,0),1,1)," ")</f>
        <v>#N/A</v>
      </c>
      <c r="N77" s="1216"/>
      <c r="O77" s="1217">
        <f t="shared" si="30"/>
        <v>1</v>
      </c>
      <c r="P77" s="1218" t="e">
        <f t="shared" ca="1" si="31"/>
        <v>#N/A</v>
      </c>
      <c r="Q77" s="1220" t="e">
        <f ca="1">IF(AND(INDEX(FlowCalConstA,MATCH(N72,FlowCalNumber,0),1,1)*P77^INDEX(FlowCalConstB,MATCH(N72,FlowCalNumber,0),1,1)&gt;INDEX(FlowCalLowSetting,MATCH(N72,FlowCalNumber,0),1,1), (INDEX(FlowCalConstA,MATCH(N72,FlowCalNumber,0),1,1)*P77^INDEX(FlowCalConstB,MATCH(N72,FlowCalNumber,0),1,1)&lt;INDEX(FlowCalHighSetting,MATCH(N72,FlowCalNumber,0),1,1))),INDEX(FlowCalConstA,MATCH(N72,FlowCalNumber,0),1,1)*P77^INDEX(FlowCalConstB,MATCH(N72,FlowCalNumber,0),1,1)," ")</f>
        <v>#N/A</v>
      </c>
      <c r="R77" s="1216"/>
      <c r="S77" s="1217">
        <f t="shared" si="32"/>
        <v>0.5</v>
      </c>
      <c r="T77" s="1218" t="e">
        <f t="shared" ca="1" si="33"/>
        <v>#N/A</v>
      </c>
      <c r="U77" s="1219" t="e">
        <f ca="1">IF(AND(INDEX(FlowCalConstA,MATCH(R72,FlowCalNumber,0),1,1)*T77^INDEX(FlowCalConstB,MATCH(R72,FlowCalNumber,0),1,1)&gt;INDEX(FlowCalLowSetting,MATCH(R72,FlowCalNumber,0),1,1), (INDEX(FlowCalConstA,MATCH(R72,FlowCalNumber,0),1,1)*T77^INDEX(FlowCalConstB,MATCH(R72,FlowCalNumber,0),1,1)&lt;INDEX(FlowCalHighSetting,MATCH(R72,FlowCalNumber,0),1,1))),INDEX(FlowCalConstA,MATCH(R72,FlowCalNumber,0),1,1)*T77^INDEX(FlowCalConstB,MATCH(R72,FlowCalNumber,0),1,1)," ")</f>
        <v>#N/A</v>
      </c>
      <c r="V77" s="1216"/>
      <c r="W77" s="1217">
        <f t="shared" si="34"/>
        <v>0.5</v>
      </c>
      <c r="X77" s="1218" t="e">
        <f t="shared" ca="1" si="35"/>
        <v>#N/A</v>
      </c>
      <c r="Y77" s="1220" t="e">
        <f ca="1">IF(AND(INDEX(FlowCalConstA,MATCH(V72,FlowCalNumber,0),1,1)*X77^INDEX(FlowCalConstB,MATCH(V72,FlowCalNumber,0),1,1)&gt;INDEX(FlowCalLowSetting,MATCH(V72,FlowCalNumber,0),1,1), (INDEX(FlowCalConstA,MATCH(V72,FlowCalNumber,0),1,1)*X77^INDEX(FlowCalConstB,MATCH(V72,FlowCalNumber,0),1,1)&lt;INDEX(FlowCalHighSetting,MATCH(V72,FlowCalNumber,0),1,1))),INDEX(FlowCalConstA,MATCH(V72,FlowCalNumber,0),1,1)*X77^INDEX(FlowCalConstB,MATCH(V72,FlowCalNumber,0),1,1)," ")</f>
        <v>#N/A</v>
      </c>
    </row>
    <row r="78" spans="1:25">
      <c r="A78" s="412"/>
      <c r="B78" s="2"/>
      <c r="C78" s="235"/>
      <c r="D78" s="24">
        <f>'1% Wind'!$M$87</f>
        <v>13.5</v>
      </c>
      <c r="E78" s="90"/>
      <c r="F78" s="90"/>
      <c r="G78" s="79" t="e">
        <f ca="1">IF(I72=1,$G77,MAX(G77/D77*D78,2))</f>
        <v>#N/A</v>
      </c>
      <c r="H78" s="121" t="e">
        <f t="shared" ca="1" si="27"/>
        <v>#N/A</v>
      </c>
      <c r="J78" s="377"/>
      <c r="K78" s="242">
        <f t="shared" si="28"/>
        <v>1</v>
      </c>
      <c r="L78" s="241" t="e">
        <f t="shared" ca="1" si="29"/>
        <v>#N/A</v>
      </c>
      <c r="M78" s="243" t="e">
        <f ca="1">IF(AND(INDEX(FlowCalConstA,MATCH(J72,FlowCalNumber,0),1,1)*L78^INDEX(FlowCalConstB,MATCH(J72,FlowCalNumber,0),1,1)&gt;INDEX(FlowCalLowSetting,MATCH(J72,FlowCalNumber,0),1,1), (INDEX(FlowCalConstA,MATCH(J72,FlowCalNumber,0),1,1)*L78^INDEX(FlowCalConstB,MATCH(J72,FlowCalNumber,0),1,1)&lt;INDEX(FlowCalHighSetting,MATCH(J72,FlowCalNumber,0),1,1))),INDEX(FlowCalConstA,MATCH(J72,FlowCalNumber,0),1,1)*L78^INDEX(FlowCalConstB,MATCH(J72,FlowCalNumber,0),1,1)," ")</f>
        <v>#N/A</v>
      </c>
      <c r="N78" s="377"/>
      <c r="O78" s="242">
        <f t="shared" si="30"/>
        <v>1</v>
      </c>
      <c r="P78" s="241" t="e">
        <f t="shared" ca="1" si="31"/>
        <v>#N/A</v>
      </c>
      <c r="Q78" s="244" t="e">
        <f ca="1">IF(AND(INDEX(FlowCalConstA,MATCH(N72,FlowCalNumber,0),1,1)*P78^INDEX(FlowCalConstB,MATCH(N72,FlowCalNumber,0),1,1)&gt;INDEX(FlowCalLowSetting,MATCH(N72,FlowCalNumber,0),1,1), (INDEX(FlowCalConstA,MATCH(N72,FlowCalNumber,0),1,1)*P78^INDEX(FlowCalConstB,MATCH(N72,FlowCalNumber,0),1,1)&lt;INDEX(FlowCalHighSetting,MATCH(N72,FlowCalNumber,0),1,1))),INDEX(FlowCalConstA,MATCH(N72,FlowCalNumber,0),1,1)*P78^INDEX(FlowCalConstB,MATCH(N72,FlowCalNumber,0),1,1)," ")</f>
        <v>#N/A</v>
      </c>
      <c r="R78" s="377"/>
      <c r="S78" s="242">
        <f t="shared" si="32"/>
        <v>0.5</v>
      </c>
      <c r="T78" s="241" t="e">
        <f t="shared" ca="1" si="33"/>
        <v>#N/A</v>
      </c>
      <c r="U78" s="243" t="e">
        <f ca="1">IF(AND(INDEX(FlowCalConstA,MATCH(R72,FlowCalNumber,0),1,1)*T78^INDEX(FlowCalConstB,MATCH(R72,FlowCalNumber,0),1,1)&gt;INDEX(FlowCalLowSetting,MATCH(R72,FlowCalNumber,0),1,1), (INDEX(FlowCalConstA,MATCH(R72,FlowCalNumber,0),1,1)*T78^INDEX(FlowCalConstB,MATCH(R72,FlowCalNumber,0),1,1)&lt;INDEX(FlowCalHighSetting,MATCH(R72,FlowCalNumber,0),1,1))),INDEX(FlowCalConstA,MATCH(R72,FlowCalNumber,0),1,1)*T78^INDEX(FlowCalConstB,MATCH(R72,FlowCalNumber,0),1,1)," ")</f>
        <v>#N/A</v>
      </c>
      <c r="V78" s="377"/>
      <c r="W78" s="242">
        <f t="shared" si="34"/>
        <v>0.5</v>
      </c>
      <c r="X78" s="241" t="e">
        <f t="shared" ca="1" si="35"/>
        <v>#N/A</v>
      </c>
      <c r="Y78" s="244" t="e">
        <f ca="1">IF(AND(INDEX(FlowCalConstA,MATCH(V72,FlowCalNumber,0),1,1)*X78^INDEX(FlowCalConstB,MATCH(V72,FlowCalNumber,0),1,1)&gt;INDEX(FlowCalLowSetting,MATCH(V72,FlowCalNumber,0),1,1), (INDEX(FlowCalConstA,MATCH(V72,FlowCalNumber,0),1,1)*X78^INDEX(FlowCalConstB,MATCH(V72,FlowCalNumber,0),1,1)&lt;INDEX(FlowCalHighSetting,MATCH(V72,FlowCalNumber,0),1,1))),INDEX(FlowCalConstA,MATCH(V72,FlowCalNumber,0),1,1)*X78^INDEX(FlowCalConstB,MATCH(V72,FlowCalNumber,0),1,1)," ")</f>
        <v>#N/A</v>
      </c>
    </row>
    <row r="79" spans="1:25" s="1215" customFormat="1">
      <c r="A79" s="1208"/>
      <c r="B79" s="1209"/>
      <c r="C79" s="1210"/>
      <c r="D79" s="1211">
        <f>'1% Wind'!$M$88</f>
        <v>10.1</v>
      </c>
      <c r="E79" s="1212"/>
      <c r="F79" s="1212"/>
      <c r="G79" s="1213" t="e">
        <f ca="1">IF(I72=1,$G78,MAX(G78/D78*D79,2))</f>
        <v>#N/A</v>
      </c>
      <c r="H79" s="1214" t="e">
        <f t="shared" ca="1" si="27"/>
        <v>#N/A</v>
      </c>
      <c r="J79" s="1216"/>
      <c r="K79" s="1217">
        <f t="shared" si="28"/>
        <v>1</v>
      </c>
      <c r="L79" s="1218" t="e">
        <f t="shared" ca="1" si="29"/>
        <v>#N/A</v>
      </c>
      <c r="M79" s="1219" t="e">
        <f ca="1">IF(AND(INDEX(FlowCalConstA,MATCH(J72,FlowCalNumber,0),1,1)*L79^INDEX(FlowCalConstB,MATCH(J72,FlowCalNumber,0),1,1)&gt;INDEX(FlowCalLowSetting,MATCH(J72,FlowCalNumber,0),1,1), (INDEX(FlowCalConstA,MATCH(J72,FlowCalNumber,0),1,1)*L79^INDEX(FlowCalConstB,MATCH(J72,FlowCalNumber,0),1,1)&lt;INDEX(FlowCalHighSetting,MATCH(J72,FlowCalNumber,0),1,1))),INDEX(FlowCalConstA,MATCH(J72,FlowCalNumber,0),1,1)*L79^INDEX(FlowCalConstB,MATCH(J72,FlowCalNumber,0),1,1)," ")</f>
        <v>#N/A</v>
      </c>
      <c r="N79" s="1216"/>
      <c r="O79" s="1217">
        <f t="shared" si="30"/>
        <v>1</v>
      </c>
      <c r="P79" s="1218" t="e">
        <f t="shared" ca="1" si="31"/>
        <v>#N/A</v>
      </c>
      <c r="Q79" s="1220" t="e">
        <f ca="1">IF(AND(INDEX(FlowCalConstA,MATCH(N72,FlowCalNumber,0),1,1)*P79^INDEX(FlowCalConstB,MATCH(N72,FlowCalNumber,0),1,1)&gt;INDEX(FlowCalLowSetting,MATCH(N72,FlowCalNumber,0),1,1), (INDEX(FlowCalConstA,MATCH(N72,FlowCalNumber,0),1,1)*P79^INDEX(FlowCalConstB,MATCH(N72,FlowCalNumber,0),1,1)&lt;INDEX(FlowCalHighSetting,MATCH(N72,FlowCalNumber,0),1,1))),INDEX(FlowCalConstA,MATCH(N72,FlowCalNumber,0),1,1)*P79^INDEX(FlowCalConstB,MATCH(N72,FlowCalNumber,0),1,1)," ")</f>
        <v>#N/A</v>
      </c>
      <c r="R79" s="1216"/>
      <c r="S79" s="1217">
        <f t="shared" si="32"/>
        <v>0.5</v>
      </c>
      <c r="T79" s="1218" t="e">
        <f t="shared" ca="1" si="33"/>
        <v>#N/A</v>
      </c>
      <c r="U79" s="1219" t="e">
        <f ca="1">IF(AND(INDEX(FlowCalConstA,MATCH(R72,FlowCalNumber,0),1,1)*T79^INDEX(FlowCalConstB,MATCH(R72,FlowCalNumber,0),1,1)&gt;INDEX(FlowCalLowSetting,MATCH(R72,FlowCalNumber,0),1,1), (INDEX(FlowCalConstA,MATCH(R72,FlowCalNumber,0),1,1)*T79^INDEX(FlowCalConstB,MATCH(R72,FlowCalNumber,0),1,1)&lt;INDEX(FlowCalHighSetting,MATCH(R72,FlowCalNumber,0),1,1))),INDEX(FlowCalConstA,MATCH(R72,FlowCalNumber,0),1,1)*T79^INDEX(FlowCalConstB,MATCH(R72,FlowCalNumber,0),1,1)," ")</f>
        <v>#N/A</v>
      </c>
      <c r="V79" s="1216"/>
      <c r="W79" s="1217">
        <f t="shared" si="34"/>
        <v>0.5</v>
      </c>
      <c r="X79" s="1218" t="e">
        <f t="shared" ca="1" si="35"/>
        <v>#N/A</v>
      </c>
      <c r="Y79" s="1220" t="e">
        <f ca="1">IF(AND(INDEX(FlowCalConstA,MATCH(V72,FlowCalNumber,0),1,1)*X79^INDEX(FlowCalConstB,MATCH(V72,FlowCalNumber,0),1,1)&gt;INDEX(FlowCalLowSetting,MATCH(V72,FlowCalNumber,0),1,1), (INDEX(FlowCalConstA,MATCH(V72,FlowCalNumber,0),1,1)*X79^INDEX(FlowCalConstB,MATCH(V72,FlowCalNumber,0),1,1)&lt;INDEX(FlowCalHighSetting,MATCH(V72,FlowCalNumber,0),1,1))),INDEX(FlowCalConstA,MATCH(V72,FlowCalNumber,0),1,1)*X79^INDEX(FlowCalConstB,MATCH(V72,FlowCalNumber,0),1,1)," ")</f>
        <v>#N/A</v>
      </c>
    </row>
    <row r="80" spans="1:25">
      <c r="A80" s="412"/>
      <c r="B80" s="2"/>
      <c r="C80" s="235"/>
      <c r="D80" s="24">
        <f>'1% Wind'!$M$89</f>
        <v>7.6</v>
      </c>
      <c r="E80" s="90"/>
      <c r="F80" s="90"/>
      <c r="G80" s="79" t="e">
        <f ca="1">IF(I72=1,$G79,MAX(G79/D79*D80,2))</f>
        <v>#N/A</v>
      </c>
      <c r="H80" s="121" t="e">
        <f t="shared" ca="1" si="27"/>
        <v>#N/A</v>
      </c>
      <c r="J80" s="377"/>
      <c r="K80" s="242">
        <f t="shared" si="28"/>
        <v>1</v>
      </c>
      <c r="L80" s="241" t="e">
        <f t="shared" ca="1" si="29"/>
        <v>#N/A</v>
      </c>
      <c r="M80" s="243" t="e">
        <f ca="1">IF(AND(INDEX(FlowCalConstA,MATCH(J72,FlowCalNumber,0),1,1)*L80^INDEX(FlowCalConstB,MATCH(J72,FlowCalNumber,0),1,1)&gt;INDEX(FlowCalLowSetting,MATCH(J72,FlowCalNumber,0),1,1), (INDEX(FlowCalConstA,MATCH(J72,FlowCalNumber,0),1,1)*L80^INDEX(FlowCalConstB,MATCH(J72,FlowCalNumber,0),1,1)&lt;INDEX(FlowCalHighSetting,MATCH(J72,FlowCalNumber,0),1,1))),INDEX(FlowCalConstA,MATCH(J72,FlowCalNumber,0),1,1)*L80^INDEX(FlowCalConstB,MATCH(J72,FlowCalNumber,0),1,1)," ")</f>
        <v>#N/A</v>
      </c>
      <c r="N80" s="377"/>
      <c r="O80" s="242">
        <f t="shared" si="30"/>
        <v>1</v>
      </c>
      <c r="P80" s="241" t="e">
        <f t="shared" ca="1" si="31"/>
        <v>#N/A</v>
      </c>
      <c r="Q80" s="244" t="e">
        <f ca="1">IF(AND(INDEX(FlowCalConstA,MATCH(N72,FlowCalNumber,0),1,1)*P80^INDEX(FlowCalConstB,MATCH(N72,FlowCalNumber,0),1,1)&gt;INDEX(FlowCalLowSetting,MATCH(N72,FlowCalNumber,0),1,1), (INDEX(FlowCalConstA,MATCH(N72,FlowCalNumber,0),1,1)*P80^INDEX(FlowCalConstB,MATCH(N72,FlowCalNumber,0),1,1)&lt;INDEX(FlowCalHighSetting,MATCH(N72,FlowCalNumber,0),1,1))),INDEX(FlowCalConstA,MATCH(N72,FlowCalNumber,0),1,1)*P80^INDEX(FlowCalConstB,MATCH(N72,FlowCalNumber,0),1,1)," ")</f>
        <v>#N/A</v>
      </c>
      <c r="R80" s="377"/>
      <c r="S80" s="242">
        <f t="shared" si="32"/>
        <v>0.5</v>
      </c>
      <c r="T80" s="241" t="e">
        <f t="shared" ca="1" si="33"/>
        <v>#N/A</v>
      </c>
      <c r="U80" s="243" t="e">
        <f ca="1">IF(AND(INDEX(FlowCalConstA,MATCH(R72,FlowCalNumber,0),1,1)*T80^INDEX(FlowCalConstB,MATCH(R72,FlowCalNumber,0),1,1)&gt;INDEX(FlowCalLowSetting,MATCH(R72,FlowCalNumber,0),1,1), (INDEX(FlowCalConstA,MATCH(R72,FlowCalNumber,0),1,1)*T80^INDEX(FlowCalConstB,MATCH(R72,FlowCalNumber,0),1,1)&lt;INDEX(FlowCalHighSetting,MATCH(R72,FlowCalNumber,0),1,1))),INDEX(FlowCalConstA,MATCH(R72,FlowCalNumber,0),1,1)*T80^INDEX(FlowCalConstB,MATCH(R72,FlowCalNumber,0),1,1)," ")</f>
        <v>#N/A</v>
      </c>
      <c r="V80" s="377"/>
      <c r="W80" s="242">
        <f t="shared" si="34"/>
        <v>0.5</v>
      </c>
      <c r="X80" s="241" t="e">
        <f t="shared" ca="1" si="35"/>
        <v>#N/A</v>
      </c>
      <c r="Y80" s="244" t="e">
        <f ca="1">IF(AND(INDEX(FlowCalConstA,MATCH(V72,FlowCalNumber,0),1,1)*X80^INDEX(FlowCalConstB,MATCH(V72,FlowCalNumber,0),1,1)&gt;INDEX(FlowCalLowSetting,MATCH(V72,FlowCalNumber,0),1,1), (INDEX(FlowCalConstA,MATCH(V72,FlowCalNumber,0),1,1)*X80^INDEX(FlowCalConstB,MATCH(V72,FlowCalNumber,0),1,1)&lt;INDEX(FlowCalHighSetting,MATCH(V72,FlowCalNumber,0),1,1))),INDEX(FlowCalConstA,MATCH(V72,FlowCalNumber,0),1,1)*X80^INDEX(FlowCalConstB,MATCH(V72,FlowCalNumber,0),1,1)," ")</f>
        <v>#N/A</v>
      </c>
    </row>
    <row r="81" spans="1:25" s="1215" customFormat="1">
      <c r="A81" s="1208"/>
      <c r="B81" s="1209"/>
      <c r="C81" s="1210"/>
      <c r="D81" s="1211">
        <f>'1% Wind'!$M$90</f>
        <v>5.7</v>
      </c>
      <c r="E81" s="1212"/>
      <c r="F81" s="1212"/>
      <c r="G81" s="1213" t="e">
        <f ca="1">IF(I72=1,$G80,MAX(G80/D80*D81,2))</f>
        <v>#N/A</v>
      </c>
      <c r="H81" s="1214" t="e">
        <f t="shared" ca="1" si="27"/>
        <v>#N/A</v>
      </c>
      <c r="J81" s="1216"/>
      <c r="K81" s="1217">
        <f t="shared" si="28"/>
        <v>1</v>
      </c>
      <c r="L81" s="1218" t="e">
        <f t="shared" ca="1" si="29"/>
        <v>#N/A</v>
      </c>
      <c r="M81" s="1219" t="e">
        <f ca="1">IF(AND(INDEX(FlowCalConstA,MATCH(J72,FlowCalNumber,0),1,1)*L81^INDEX(FlowCalConstB,MATCH(J72,FlowCalNumber,0),1,1)&gt;INDEX(FlowCalLowSetting,MATCH(J72,FlowCalNumber,0),1,1), (INDEX(FlowCalConstA,MATCH(J72,FlowCalNumber,0),1,1)*L81^INDEX(FlowCalConstB,MATCH(J72,FlowCalNumber,0),1,1)&lt;INDEX(FlowCalHighSetting,MATCH(J72,FlowCalNumber,0),1,1))),INDEX(FlowCalConstA,MATCH(J72,FlowCalNumber,0),1,1)*L81^INDEX(FlowCalConstB,MATCH(J72,FlowCalNumber,0),1,1)," ")</f>
        <v>#N/A</v>
      </c>
      <c r="N81" s="1216"/>
      <c r="O81" s="1217">
        <f t="shared" si="30"/>
        <v>1</v>
      </c>
      <c r="P81" s="1218" t="e">
        <f t="shared" ca="1" si="31"/>
        <v>#N/A</v>
      </c>
      <c r="Q81" s="1220" t="e">
        <f ca="1">IF(AND(INDEX(FlowCalConstA,MATCH(N72,FlowCalNumber,0),1,1)*P81^INDEX(FlowCalConstB,MATCH(N72,FlowCalNumber,0),1,1)&gt;INDEX(FlowCalLowSetting,MATCH(N72,FlowCalNumber,0),1,1), (INDEX(FlowCalConstA,MATCH(N72,FlowCalNumber,0),1,1)*P81^INDEX(FlowCalConstB,MATCH(N72,FlowCalNumber,0),1,1)&lt;INDEX(FlowCalHighSetting,MATCH(N72,FlowCalNumber,0),1,1))),INDEX(FlowCalConstA,MATCH(N72,FlowCalNumber,0),1,1)*P81^INDEX(FlowCalConstB,MATCH(N72,FlowCalNumber,0),1,1)," ")</f>
        <v>#N/A</v>
      </c>
      <c r="R81" s="1216"/>
      <c r="S81" s="1217">
        <f t="shared" si="32"/>
        <v>0.5</v>
      </c>
      <c r="T81" s="1218" t="e">
        <f t="shared" ca="1" si="33"/>
        <v>#N/A</v>
      </c>
      <c r="U81" s="1219" t="e">
        <f ca="1">IF(AND(INDEX(FlowCalConstA,MATCH(R72,FlowCalNumber,0),1,1)*T81^INDEX(FlowCalConstB,MATCH(R72,FlowCalNumber,0),1,1)&gt;INDEX(FlowCalLowSetting,MATCH(R72,FlowCalNumber,0),1,1), (INDEX(FlowCalConstA,MATCH(R72,FlowCalNumber,0),1,1)*T81^INDEX(FlowCalConstB,MATCH(R72,FlowCalNumber,0),1,1)&lt;INDEX(FlowCalHighSetting,MATCH(R72,FlowCalNumber,0),1,1))),INDEX(FlowCalConstA,MATCH(R72,FlowCalNumber,0),1,1)*T81^INDEX(FlowCalConstB,MATCH(R72,FlowCalNumber,0),1,1)," ")</f>
        <v>#N/A</v>
      </c>
      <c r="V81" s="1216"/>
      <c r="W81" s="1217">
        <f t="shared" si="34"/>
        <v>0.5</v>
      </c>
      <c r="X81" s="1218" t="e">
        <f t="shared" ca="1" si="35"/>
        <v>#N/A</v>
      </c>
      <c r="Y81" s="1220" t="e">
        <f ca="1">IF(AND(INDEX(FlowCalConstA,MATCH(V72,FlowCalNumber,0),1,1)*X81^INDEX(FlowCalConstB,MATCH(V72,FlowCalNumber,0),1,1)&gt;INDEX(FlowCalLowSetting,MATCH(V72,FlowCalNumber,0),1,1), (INDEX(FlowCalConstA,MATCH(V72,FlowCalNumber,0),1,1)*X81^INDEX(FlowCalConstB,MATCH(V72,FlowCalNumber,0),1,1)&lt;INDEX(FlowCalHighSetting,MATCH(V72,FlowCalNumber,0),1,1))),INDEX(FlowCalConstA,MATCH(V72,FlowCalNumber,0),1,1)*X81^INDEX(FlowCalConstB,MATCH(V72,FlowCalNumber,0),1,1)," ")</f>
        <v>#N/A</v>
      </c>
    </row>
    <row r="82" spans="1:25">
      <c r="A82" s="412"/>
      <c r="B82" s="2"/>
      <c r="C82" s="235"/>
      <c r="D82" s="24">
        <f>'1% Wind'!$M$91</f>
        <v>4.2</v>
      </c>
      <c r="E82" s="90"/>
      <c r="F82" s="90"/>
      <c r="G82" s="79" t="e">
        <f ca="1">IF(I72=1,$G81,MAX(G81/D81*D82,2))</f>
        <v>#N/A</v>
      </c>
      <c r="H82" s="121" t="e">
        <f t="shared" ca="1" si="27"/>
        <v>#N/A</v>
      </c>
      <c r="J82" s="377"/>
      <c r="K82" s="242">
        <f t="shared" si="28"/>
        <v>1</v>
      </c>
      <c r="L82" s="241" t="e">
        <f t="shared" ca="1" si="29"/>
        <v>#N/A</v>
      </c>
      <c r="M82" s="243" t="e">
        <f ca="1">IF(AND(INDEX(FlowCalConstA,MATCH(J72,FlowCalNumber,0),1,1)*L82^INDEX(FlowCalConstB,MATCH(J72,FlowCalNumber,0),1,1)&gt;INDEX(FlowCalLowSetting,MATCH(J72,FlowCalNumber,0),1,1), (INDEX(FlowCalConstA,MATCH(J72,FlowCalNumber,0),1,1)*L82^INDEX(FlowCalConstB,MATCH(J72,FlowCalNumber,0),1,1)&lt;INDEX(FlowCalHighSetting,MATCH(J72,FlowCalNumber,0),1,1))),INDEX(FlowCalConstA,MATCH(J72,FlowCalNumber,0),1,1)*L82^INDEX(FlowCalConstB,MATCH(J72,FlowCalNumber,0),1,1)," ")</f>
        <v>#N/A</v>
      </c>
      <c r="N82" s="377"/>
      <c r="O82" s="242">
        <f t="shared" si="30"/>
        <v>1</v>
      </c>
      <c r="P82" s="241" t="e">
        <f t="shared" ca="1" si="31"/>
        <v>#N/A</v>
      </c>
      <c r="Q82" s="244" t="e">
        <f ca="1">IF(AND(INDEX(FlowCalConstA,MATCH(N72,FlowCalNumber,0),1,1)*P82^INDEX(FlowCalConstB,MATCH(N72,FlowCalNumber,0),1,1)&gt;INDEX(FlowCalLowSetting,MATCH(N72,FlowCalNumber,0),1,1), (INDEX(FlowCalConstA,MATCH(N72,FlowCalNumber,0),1,1)*P82^INDEX(FlowCalConstB,MATCH(N72,FlowCalNumber,0),1,1)&lt;INDEX(FlowCalHighSetting,MATCH(N72,FlowCalNumber,0),1,1))),INDEX(FlowCalConstA,MATCH(N72,FlowCalNumber,0),1,1)*P82^INDEX(FlowCalConstB,MATCH(N72,FlowCalNumber,0),1,1)," ")</f>
        <v>#N/A</v>
      </c>
      <c r="R82" s="377"/>
      <c r="S82" s="242">
        <f t="shared" si="32"/>
        <v>0.5</v>
      </c>
      <c r="T82" s="241" t="e">
        <f t="shared" ca="1" si="33"/>
        <v>#N/A</v>
      </c>
      <c r="U82" s="243" t="e">
        <f ca="1">IF(AND(INDEX(FlowCalConstA,MATCH(R72,FlowCalNumber,0),1,1)*T82^INDEX(FlowCalConstB,MATCH(R72,FlowCalNumber,0),1,1)&gt;INDEX(FlowCalLowSetting,MATCH(R72,FlowCalNumber,0),1,1), (INDEX(FlowCalConstA,MATCH(R72,FlowCalNumber,0),1,1)*T82^INDEX(FlowCalConstB,MATCH(R72,FlowCalNumber,0),1,1)&lt;INDEX(FlowCalHighSetting,MATCH(R72,FlowCalNumber,0),1,1))),INDEX(FlowCalConstA,MATCH(R72,FlowCalNumber,0),1,1)*T82^INDEX(FlowCalConstB,MATCH(R72,FlowCalNumber,0),1,1)," ")</f>
        <v>#N/A</v>
      </c>
      <c r="V82" s="377"/>
      <c r="W82" s="242">
        <f t="shared" si="34"/>
        <v>0.5</v>
      </c>
      <c r="X82" s="241" t="e">
        <f t="shared" ca="1" si="35"/>
        <v>#N/A</v>
      </c>
      <c r="Y82" s="244" t="e">
        <f ca="1">IF(AND(INDEX(FlowCalConstA,MATCH(V72,FlowCalNumber,0),1,1)*X82^INDEX(FlowCalConstB,MATCH(V72,FlowCalNumber,0),1,1)&gt;INDEX(FlowCalLowSetting,MATCH(V72,FlowCalNumber,0),1,1), (INDEX(FlowCalConstA,MATCH(V72,FlowCalNumber,0),1,1)*X82^INDEX(FlowCalConstB,MATCH(V72,FlowCalNumber,0),1,1)&lt;INDEX(FlowCalHighSetting,MATCH(V72,FlowCalNumber,0),1,1))),INDEX(FlowCalConstA,MATCH(V72,FlowCalNumber,0),1,1)*X82^INDEX(FlowCalConstB,MATCH(V72,FlowCalNumber,0),1,1)," ")</f>
        <v>#N/A</v>
      </c>
    </row>
    <row r="83" spans="1:25" s="1215" customFormat="1">
      <c r="A83" s="1208"/>
      <c r="B83" s="1209"/>
      <c r="C83" s="1210"/>
      <c r="D83" s="1211">
        <f>'1% Wind'!$M$92</f>
        <v>3.2</v>
      </c>
      <c r="E83" s="1212"/>
      <c r="F83" s="1212"/>
      <c r="G83" s="1213" t="e">
        <f ca="1">IF(I72=1,$G82,MAX(G82/D82*D83,2))</f>
        <v>#N/A</v>
      </c>
      <c r="H83" s="1214" t="e">
        <f t="shared" ca="1" si="27"/>
        <v>#N/A</v>
      </c>
      <c r="J83" s="1216"/>
      <c r="K83" s="1217">
        <f t="shared" si="28"/>
        <v>1</v>
      </c>
      <c r="L83" s="1218" t="e">
        <f t="shared" ca="1" si="29"/>
        <v>#N/A</v>
      </c>
      <c r="M83" s="1219" t="e">
        <f ca="1">IF(AND(INDEX(FlowCalConstA,MATCH(J72,FlowCalNumber,0),1,1)*L83^INDEX(FlowCalConstB,MATCH(J72,FlowCalNumber,0),1,1)&gt;INDEX(FlowCalLowSetting,MATCH(J72,FlowCalNumber,0),1,1), (INDEX(FlowCalConstA,MATCH(J72,FlowCalNumber,0),1,1)*L83^INDEX(FlowCalConstB,MATCH(J72,FlowCalNumber,0),1,1)&lt;INDEX(FlowCalHighSetting,MATCH(J72,FlowCalNumber,0),1,1))),INDEX(FlowCalConstA,MATCH(J72,FlowCalNumber,0),1,1)*L83^INDEX(FlowCalConstB,MATCH(J72,FlowCalNumber,0),1,1)," ")</f>
        <v>#N/A</v>
      </c>
      <c r="N83" s="1216"/>
      <c r="O83" s="1217">
        <f t="shared" si="30"/>
        <v>1</v>
      </c>
      <c r="P83" s="1218" t="e">
        <f t="shared" ca="1" si="31"/>
        <v>#N/A</v>
      </c>
      <c r="Q83" s="1220" t="e">
        <f ca="1">IF(AND(INDEX(FlowCalConstA,MATCH(N72,FlowCalNumber,0),1,1)*P83^INDEX(FlowCalConstB,MATCH(N72,FlowCalNumber,0),1,1)&gt;INDEX(FlowCalLowSetting,MATCH(N72,FlowCalNumber,0),1,1), (INDEX(FlowCalConstA,MATCH(N72,FlowCalNumber,0),1,1)*P83^INDEX(FlowCalConstB,MATCH(N72,FlowCalNumber,0),1,1)&lt;INDEX(FlowCalHighSetting,MATCH(N72,FlowCalNumber,0),1,1))),INDEX(FlowCalConstA,MATCH(N72,FlowCalNumber,0),1,1)*P83^INDEX(FlowCalConstB,MATCH(N72,FlowCalNumber,0),1,1)," ")</f>
        <v>#N/A</v>
      </c>
      <c r="R83" s="1216"/>
      <c r="S83" s="1217">
        <f t="shared" si="32"/>
        <v>0.5</v>
      </c>
      <c r="T83" s="1218" t="e">
        <f t="shared" ca="1" si="33"/>
        <v>#N/A</v>
      </c>
      <c r="U83" s="1219" t="e">
        <f ca="1">IF(AND(INDEX(FlowCalConstA,MATCH(R72,FlowCalNumber,0),1,1)*T83^INDEX(FlowCalConstB,MATCH(R72,FlowCalNumber,0),1,1)&gt;INDEX(FlowCalLowSetting,MATCH(R72,FlowCalNumber,0),1,1), (INDEX(FlowCalConstA,MATCH(R72,FlowCalNumber,0),1,1)*T83^INDEX(FlowCalConstB,MATCH(R72,FlowCalNumber,0),1,1)&lt;INDEX(FlowCalHighSetting,MATCH(R72,FlowCalNumber,0),1,1))),INDEX(FlowCalConstA,MATCH(R72,FlowCalNumber,0),1,1)*T83^INDEX(FlowCalConstB,MATCH(R72,FlowCalNumber,0),1,1)," ")</f>
        <v>#N/A</v>
      </c>
      <c r="V83" s="1216"/>
      <c r="W83" s="1217">
        <f t="shared" si="34"/>
        <v>0.5</v>
      </c>
      <c r="X83" s="1218" t="e">
        <f t="shared" ca="1" si="35"/>
        <v>#N/A</v>
      </c>
      <c r="Y83" s="1220" t="e">
        <f ca="1">IF(AND(INDEX(FlowCalConstA,MATCH(V72,FlowCalNumber,0),1,1)*X83^INDEX(FlowCalConstB,MATCH(V72,FlowCalNumber,0),1,1)&gt;INDEX(FlowCalLowSetting,MATCH(V72,FlowCalNumber,0),1,1), (INDEX(FlowCalConstA,MATCH(V72,FlowCalNumber,0),1,1)*X83^INDEX(FlowCalConstB,MATCH(V72,FlowCalNumber,0),1,1)&lt;INDEX(FlowCalHighSetting,MATCH(V72,FlowCalNumber,0),1,1))),INDEX(FlowCalConstA,MATCH(V72,FlowCalNumber,0),1,1)*X83^INDEX(FlowCalConstB,MATCH(V72,FlowCalNumber,0),1,1)," ")</f>
        <v>#N/A</v>
      </c>
    </row>
    <row r="84" spans="1:25">
      <c r="A84" s="412"/>
      <c r="B84" s="2"/>
      <c r="C84" s="235"/>
      <c r="D84" s="24">
        <f>'1% Wind'!$M$93</f>
        <v>2.4</v>
      </c>
      <c r="E84" s="90"/>
      <c r="F84" s="90"/>
      <c r="G84" s="79" t="e">
        <f ca="1">IF(I72=1,$G83,MAX(G83/D83*D84,2))</f>
        <v>#N/A</v>
      </c>
      <c r="H84" s="121" t="e">
        <f t="shared" ca="1" si="27"/>
        <v>#N/A</v>
      </c>
      <c r="J84" s="377"/>
      <c r="K84" s="242">
        <f t="shared" si="28"/>
        <v>1</v>
      </c>
      <c r="L84" s="241" t="e">
        <f t="shared" ca="1" si="29"/>
        <v>#N/A</v>
      </c>
      <c r="M84" s="243" t="e">
        <f ca="1">IF(AND(INDEX(FlowCalConstA,MATCH(J72,FlowCalNumber,0),1,1)*L84^INDEX(FlowCalConstB,MATCH(J72,FlowCalNumber,0),1,1)&gt;INDEX(FlowCalLowSetting,MATCH(J72,FlowCalNumber,0),1,1), (INDEX(FlowCalConstA,MATCH(J72,FlowCalNumber,0),1,1)*L84^INDEX(FlowCalConstB,MATCH(J72,FlowCalNumber,0),1,1)&lt;INDEX(FlowCalHighSetting,MATCH(J72,FlowCalNumber,0),1,1))),INDEX(FlowCalConstA,MATCH(J72,FlowCalNumber,0),1,1)*L84^INDEX(FlowCalConstB,MATCH(J72,FlowCalNumber,0),1,1)," ")</f>
        <v>#N/A</v>
      </c>
      <c r="N84" s="377"/>
      <c r="O84" s="242">
        <f t="shared" si="30"/>
        <v>1</v>
      </c>
      <c r="P84" s="241" t="e">
        <f t="shared" ca="1" si="31"/>
        <v>#N/A</v>
      </c>
      <c r="Q84" s="244" t="e">
        <f ca="1">IF(AND(INDEX(FlowCalConstA,MATCH(N72,FlowCalNumber,0),1,1)*P84^INDEX(FlowCalConstB,MATCH(N72,FlowCalNumber,0),1,1)&gt;INDEX(FlowCalLowSetting,MATCH(N72,FlowCalNumber,0),1,1), (INDEX(FlowCalConstA,MATCH(N72,FlowCalNumber,0),1,1)*P84^INDEX(FlowCalConstB,MATCH(N72,FlowCalNumber,0),1,1)&lt;INDEX(FlowCalHighSetting,MATCH(N72,FlowCalNumber,0),1,1))),INDEX(FlowCalConstA,MATCH(N72,FlowCalNumber,0),1,1)*P84^INDEX(FlowCalConstB,MATCH(N72,FlowCalNumber,0),1,1)," ")</f>
        <v>#N/A</v>
      </c>
      <c r="R84" s="377"/>
      <c r="S84" s="242">
        <f t="shared" si="32"/>
        <v>0.5</v>
      </c>
      <c r="T84" s="241" t="e">
        <f t="shared" ca="1" si="33"/>
        <v>#N/A</v>
      </c>
      <c r="U84" s="243" t="e">
        <f ca="1">IF(AND(INDEX(FlowCalConstA,MATCH(R72,FlowCalNumber,0),1,1)*T84^INDEX(FlowCalConstB,MATCH(R72,FlowCalNumber,0),1,1)&gt;INDEX(FlowCalLowSetting,MATCH(R72,FlowCalNumber,0),1,1), (INDEX(FlowCalConstA,MATCH(R72,FlowCalNumber,0),1,1)*T84^INDEX(FlowCalConstB,MATCH(R72,FlowCalNumber,0),1,1)&lt;INDEX(FlowCalHighSetting,MATCH(R72,FlowCalNumber,0),1,1))),INDEX(FlowCalConstA,MATCH(R72,FlowCalNumber,0),1,1)*T84^INDEX(FlowCalConstB,MATCH(R72,FlowCalNumber,0),1,1)," ")</f>
        <v>#N/A</v>
      </c>
      <c r="V84" s="377"/>
      <c r="W84" s="242">
        <f t="shared" si="34"/>
        <v>0.5</v>
      </c>
      <c r="X84" s="241" t="e">
        <f t="shared" ca="1" si="35"/>
        <v>#N/A</v>
      </c>
      <c r="Y84" s="244" t="e">
        <f ca="1">IF(AND(INDEX(FlowCalConstA,MATCH(V72,FlowCalNumber,0),1,1)*X84^INDEX(FlowCalConstB,MATCH(V72,FlowCalNumber,0),1,1)&gt;INDEX(FlowCalLowSetting,MATCH(V72,FlowCalNumber,0),1,1), (INDEX(FlowCalConstA,MATCH(V72,FlowCalNumber,0),1,1)*X84^INDEX(FlowCalConstB,MATCH(V72,FlowCalNumber,0),1,1)&lt;INDEX(FlowCalHighSetting,MATCH(V72,FlowCalNumber,0),1,1))),INDEX(FlowCalConstA,MATCH(V72,FlowCalNumber,0),1,1)*X84^INDEX(FlowCalConstB,MATCH(V72,FlowCalNumber,0),1,1)," ")</f>
        <v>#N/A</v>
      </c>
    </row>
    <row r="85" spans="1:25" s="1215" customFormat="1">
      <c r="A85" s="1208"/>
      <c r="B85" s="1209"/>
      <c r="C85" s="1210"/>
      <c r="D85" s="1211">
        <f>'1% Wind'!$M$94</f>
        <v>1.8</v>
      </c>
      <c r="E85" s="1212"/>
      <c r="F85" s="1212"/>
      <c r="G85" s="1213" t="e">
        <f ca="1">IF(I72=1,$G84,MAX(G84/D84*D85,2))</f>
        <v>#N/A</v>
      </c>
      <c r="H85" s="1214" t="e">
        <f t="shared" ca="1" si="27"/>
        <v>#N/A</v>
      </c>
      <c r="J85" s="1216"/>
      <c r="K85" s="1217">
        <f t="shared" si="28"/>
        <v>1</v>
      </c>
      <c r="L85" s="1218" t="e">
        <f t="shared" ca="1" si="29"/>
        <v>#N/A</v>
      </c>
      <c r="M85" s="1219" t="e">
        <f ca="1">IF(AND(INDEX(FlowCalConstA,MATCH(J72,FlowCalNumber,0),1,1)*L85^INDEX(FlowCalConstB,MATCH(J72,FlowCalNumber,0),1,1)&gt;INDEX(FlowCalLowSetting,MATCH(J72,FlowCalNumber,0),1,1), (INDEX(FlowCalConstA,MATCH(J72,FlowCalNumber,0),1,1)*L85^INDEX(FlowCalConstB,MATCH(J72,FlowCalNumber,0),1,1)&lt;INDEX(FlowCalHighSetting,MATCH(J72,FlowCalNumber,0),1,1))),INDEX(FlowCalConstA,MATCH(J72,FlowCalNumber,0),1,1)*L85^INDEX(FlowCalConstB,MATCH(J72,FlowCalNumber,0),1,1)," ")</f>
        <v>#N/A</v>
      </c>
      <c r="N85" s="1216"/>
      <c r="O85" s="1217">
        <f t="shared" si="30"/>
        <v>1</v>
      </c>
      <c r="P85" s="1218" t="e">
        <f t="shared" ca="1" si="31"/>
        <v>#N/A</v>
      </c>
      <c r="Q85" s="1220" t="e">
        <f ca="1">IF(AND(INDEX(FlowCalConstA,MATCH(N72,FlowCalNumber,0),1,1)*P85^INDEX(FlowCalConstB,MATCH(N72,FlowCalNumber,0),1,1)&gt;INDEX(FlowCalLowSetting,MATCH(N72,FlowCalNumber,0),1,1), (INDEX(FlowCalConstA,MATCH(N72,FlowCalNumber,0),1,1)*P85^INDEX(FlowCalConstB,MATCH(N72,FlowCalNumber,0),1,1)&lt;INDEX(FlowCalHighSetting,MATCH(N72,FlowCalNumber,0),1,1))),INDEX(FlowCalConstA,MATCH(N72,FlowCalNumber,0),1,1)*P85^INDEX(FlowCalConstB,MATCH(N72,FlowCalNumber,0),1,1)," ")</f>
        <v>#N/A</v>
      </c>
      <c r="R85" s="1216"/>
      <c r="S85" s="1217">
        <f t="shared" si="32"/>
        <v>0.5</v>
      </c>
      <c r="T85" s="1218" t="e">
        <f t="shared" ca="1" si="33"/>
        <v>#N/A</v>
      </c>
      <c r="U85" s="1219" t="e">
        <f ca="1">IF(AND(INDEX(FlowCalConstA,MATCH(R72,FlowCalNumber,0),1,1)*T85^INDEX(FlowCalConstB,MATCH(R72,FlowCalNumber,0),1,1)&gt;INDEX(FlowCalLowSetting,MATCH(R72,FlowCalNumber,0),1,1), (INDEX(FlowCalConstA,MATCH(R72,FlowCalNumber,0),1,1)*T85^INDEX(FlowCalConstB,MATCH(R72,FlowCalNumber,0),1,1)&lt;INDEX(FlowCalHighSetting,MATCH(R72,FlowCalNumber,0),1,1))),INDEX(FlowCalConstA,MATCH(R72,FlowCalNumber,0),1,1)*T85^INDEX(FlowCalConstB,MATCH(R72,FlowCalNumber,0),1,1)," ")</f>
        <v>#N/A</v>
      </c>
      <c r="V85" s="1216"/>
      <c r="W85" s="1217">
        <f t="shared" si="34"/>
        <v>0.5</v>
      </c>
      <c r="X85" s="1218" t="e">
        <f t="shared" ca="1" si="35"/>
        <v>#N/A</v>
      </c>
      <c r="Y85" s="1220" t="e">
        <f ca="1">IF(AND(INDEX(FlowCalConstA,MATCH(V72,FlowCalNumber,0),1,1)*X85^INDEX(FlowCalConstB,MATCH(V72,FlowCalNumber,0),1,1)&gt;INDEX(FlowCalLowSetting,MATCH(V72,FlowCalNumber,0),1,1), (INDEX(FlowCalConstA,MATCH(V72,FlowCalNumber,0),1,1)*X85^INDEX(FlowCalConstB,MATCH(V72,FlowCalNumber,0),1,1)&lt;INDEX(FlowCalHighSetting,MATCH(V72,FlowCalNumber,0),1,1))),INDEX(FlowCalConstA,MATCH(V72,FlowCalNumber,0),1,1)*X85^INDEX(FlowCalConstB,MATCH(V72,FlowCalNumber,0),1,1)," ")</f>
        <v>#N/A</v>
      </c>
    </row>
    <row r="86" spans="1:25">
      <c r="A86" s="412"/>
      <c r="B86" s="2"/>
      <c r="C86" s="235"/>
      <c r="D86" s="24">
        <f>'1% Wind'!$M$95</f>
        <v>1.3</v>
      </c>
      <c r="E86" s="90"/>
      <c r="F86" s="90"/>
      <c r="G86" s="79" t="e">
        <f ca="1">IF(I72=1,$G85,MAX(G85/D85*D86,2))</f>
        <v>#N/A</v>
      </c>
      <c r="H86" s="121" t="e">
        <f t="shared" ca="1" si="27"/>
        <v>#N/A</v>
      </c>
      <c r="J86" s="377"/>
      <c r="K86" s="242">
        <f t="shared" si="28"/>
        <v>1</v>
      </c>
      <c r="L86" s="241" t="e">
        <f t="shared" ca="1" si="29"/>
        <v>#N/A</v>
      </c>
      <c r="M86" s="243" t="e">
        <f ca="1">IF(AND(INDEX(FlowCalConstA,MATCH(J72,FlowCalNumber,0),1,1)*L86^INDEX(FlowCalConstB,MATCH(J72,FlowCalNumber,0),1,1)&gt;INDEX(FlowCalLowSetting,MATCH(J72,FlowCalNumber,0),1,1), (INDEX(FlowCalConstA,MATCH(J72,FlowCalNumber,0),1,1)*L86^INDEX(FlowCalConstB,MATCH(J72,FlowCalNumber,0),1,1)&lt;INDEX(FlowCalHighSetting,MATCH(J72,FlowCalNumber,0),1,1))),INDEX(FlowCalConstA,MATCH(J72,FlowCalNumber,0),1,1)*L86^INDEX(FlowCalConstB,MATCH(J72,FlowCalNumber,0),1,1)," ")</f>
        <v>#N/A</v>
      </c>
      <c r="N86" s="377"/>
      <c r="O86" s="242">
        <f t="shared" si="30"/>
        <v>1</v>
      </c>
      <c r="P86" s="241" t="e">
        <f t="shared" ca="1" si="31"/>
        <v>#N/A</v>
      </c>
      <c r="Q86" s="244" t="e">
        <f ca="1">IF(AND(INDEX(FlowCalConstA,MATCH(N72,FlowCalNumber,0),1,1)*P86^INDEX(FlowCalConstB,MATCH(N72,FlowCalNumber,0),1,1)&gt;INDEX(FlowCalLowSetting,MATCH(N72,FlowCalNumber,0),1,1), (INDEX(FlowCalConstA,MATCH(N72,FlowCalNumber,0),1,1)*P86^INDEX(FlowCalConstB,MATCH(N72,FlowCalNumber,0),1,1)&lt;INDEX(FlowCalHighSetting,MATCH(N72,FlowCalNumber,0),1,1))),INDEX(FlowCalConstA,MATCH(N72,FlowCalNumber,0),1,1)*P86^INDEX(FlowCalConstB,MATCH(N72,FlowCalNumber,0),1,1)," ")</f>
        <v>#N/A</v>
      </c>
      <c r="R86" s="377"/>
      <c r="S86" s="242">
        <f t="shared" si="32"/>
        <v>0.5</v>
      </c>
      <c r="T86" s="241" t="e">
        <f t="shared" ca="1" si="33"/>
        <v>#N/A</v>
      </c>
      <c r="U86" s="243" t="e">
        <f ca="1">IF(AND(INDEX(FlowCalConstA,MATCH(R72,FlowCalNumber,0),1,1)*T86^INDEX(FlowCalConstB,MATCH(R72,FlowCalNumber,0),1,1)&gt;INDEX(FlowCalLowSetting,MATCH(R72,FlowCalNumber,0),1,1), (INDEX(FlowCalConstA,MATCH(R72,FlowCalNumber,0),1,1)*T86^INDEX(FlowCalConstB,MATCH(R72,FlowCalNumber,0),1,1)&lt;INDEX(FlowCalHighSetting,MATCH(R72,FlowCalNumber,0),1,1))),INDEX(FlowCalConstA,MATCH(R72,FlowCalNumber,0),1,1)*T86^INDEX(FlowCalConstB,MATCH(R72,FlowCalNumber,0),1,1)," ")</f>
        <v>#N/A</v>
      </c>
      <c r="V86" s="377"/>
      <c r="W86" s="242">
        <f t="shared" si="34"/>
        <v>0.5</v>
      </c>
      <c r="X86" s="241" t="e">
        <f t="shared" ca="1" si="35"/>
        <v>#N/A</v>
      </c>
      <c r="Y86" s="244" t="e">
        <f ca="1">IF(AND(INDEX(FlowCalConstA,MATCH(V72,FlowCalNumber,0),1,1)*X86^INDEX(FlowCalConstB,MATCH(V72,FlowCalNumber,0),1,1)&gt;INDEX(FlowCalLowSetting,MATCH(V72,FlowCalNumber,0),1,1), (INDEX(FlowCalConstA,MATCH(V72,FlowCalNumber,0),1,1)*X86^INDEX(FlowCalConstB,MATCH(V72,FlowCalNumber,0),1,1)&lt;INDEX(FlowCalHighSetting,MATCH(V72,FlowCalNumber,0),1,1))),INDEX(FlowCalConstA,MATCH(V72,FlowCalNumber,0),1,1)*X86^INDEX(FlowCalConstB,MATCH(V72,FlowCalNumber,0),1,1)," ")</f>
        <v>#N/A</v>
      </c>
    </row>
    <row r="87" spans="1:25" s="1215" customFormat="1">
      <c r="A87" s="1208"/>
      <c r="B87" s="1209"/>
      <c r="C87" s="1210"/>
      <c r="D87" s="1211">
        <f>'1% Wind'!$M$96</f>
        <v>1</v>
      </c>
      <c r="E87" s="1212"/>
      <c r="F87" s="1212"/>
      <c r="G87" s="1213" t="e">
        <f ca="1">IF(I72=1,$G86,MAX(G86/D86*D87,2))</f>
        <v>#N/A</v>
      </c>
      <c r="H87" s="1214" t="e">
        <f t="shared" ca="1" si="27"/>
        <v>#N/A</v>
      </c>
      <c r="J87" s="1216"/>
      <c r="K87" s="1217">
        <f t="shared" si="28"/>
        <v>1</v>
      </c>
      <c r="L87" s="1218" t="e">
        <f t="shared" ca="1" si="29"/>
        <v>#N/A</v>
      </c>
      <c r="M87" s="1219" t="e">
        <f ca="1">IF(AND(INDEX(FlowCalConstA,MATCH(J72,FlowCalNumber,0),1,1)*L87^INDEX(FlowCalConstB,MATCH(J72,FlowCalNumber,0),1,1)&gt;INDEX(FlowCalLowSetting,MATCH(J72,FlowCalNumber,0),1,1), (INDEX(FlowCalConstA,MATCH(J72,FlowCalNumber,0),1,1)*L87^INDEX(FlowCalConstB,MATCH(J72,FlowCalNumber,0),1,1)&lt;INDEX(FlowCalHighSetting,MATCH(J72,FlowCalNumber,0),1,1))),INDEX(FlowCalConstA,MATCH(J72,FlowCalNumber,0),1,1)*L87^INDEX(FlowCalConstB,MATCH(J72,FlowCalNumber,0),1,1)," ")</f>
        <v>#N/A</v>
      </c>
      <c r="N87" s="1216"/>
      <c r="O87" s="1217">
        <f t="shared" si="30"/>
        <v>1</v>
      </c>
      <c r="P87" s="1218" t="e">
        <f t="shared" ca="1" si="31"/>
        <v>#N/A</v>
      </c>
      <c r="Q87" s="1220" t="e">
        <f ca="1">IF(AND(INDEX(FlowCalConstA,MATCH(N72,FlowCalNumber,0),1,1)*P87^INDEX(FlowCalConstB,MATCH(N72,FlowCalNumber,0),1,1)&gt;INDEX(FlowCalLowSetting,MATCH(N72,FlowCalNumber,0),1,1), (INDEX(FlowCalConstA,MATCH(N72,FlowCalNumber,0),1,1)*P87^INDEX(FlowCalConstB,MATCH(N72,FlowCalNumber,0),1,1)&lt;INDEX(FlowCalHighSetting,MATCH(N72,FlowCalNumber,0),1,1))),INDEX(FlowCalConstA,MATCH(N72,FlowCalNumber,0),1,1)*P87^INDEX(FlowCalConstB,MATCH(N72,FlowCalNumber,0),1,1)," ")</f>
        <v>#N/A</v>
      </c>
      <c r="R87" s="1216"/>
      <c r="S87" s="1217">
        <f t="shared" si="32"/>
        <v>0.5</v>
      </c>
      <c r="T87" s="1218" t="e">
        <f t="shared" ca="1" si="33"/>
        <v>#N/A</v>
      </c>
      <c r="U87" s="1219" t="e">
        <f ca="1">IF(AND(INDEX(FlowCalConstA,MATCH(R72,FlowCalNumber,0),1,1)*T87^INDEX(FlowCalConstB,MATCH(R72,FlowCalNumber,0),1,1)&gt;INDEX(FlowCalLowSetting,MATCH(R72,FlowCalNumber,0),1,1), (INDEX(FlowCalConstA,MATCH(R72,FlowCalNumber,0),1,1)*T87^INDEX(FlowCalConstB,MATCH(R72,FlowCalNumber,0),1,1)&lt;INDEX(FlowCalHighSetting,MATCH(R72,FlowCalNumber,0),1,1))),INDEX(FlowCalConstA,MATCH(R72,FlowCalNumber,0),1,1)*T87^INDEX(FlowCalConstB,MATCH(R72,FlowCalNumber,0),1,1)," ")</f>
        <v>#N/A</v>
      </c>
      <c r="V87" s="1216"/>
      <c r="W87" s="1217">
        <f t="shared" si="34"/>
        <v>0.5</v>
      </c>
      <c r="X87" s="1218" t="e">
        <f t="shared" ca="1" si="35"/>
        <v>#N/A</v>
      </c>
      <c r="Y87" s="1220" t="e">
        <f ca="1">IF(AND(INDEX(FlowCalConstA,MATCH(V72,FlowCalNumber,0),1,1)*X87^INDEX(FlowCalConstB,MATCH(V72,FlowCalNumber,0),1,1)&gt;INDEX(FlowCalLowSetting,MATCH(V72,FlowCalNumber,0),1,1), (INDEX(FlowCalConstA,MATCH(V72,FlowCalNumber,0),1,1)*X87^INDEX(FlowCalConstB,MATCH(V72,FlowCalNumber,0),1,1)&lt;INDEX(FlowCalHighSetting,MATCH(V72,FlowCalNumber,0),1,1))),INDEX(FlowCalConstA,MATCH(V72,FlowCalNumber,0),1,1)*X87^INDEX(FlowCalConstB,MATCH(V72,FlowCalNumber,0),1,1)," ")</f>
        <v>#N/A</v>
      </c>
    </row>
    <row r="88" spans="1:25">
      <c r="A88" s="90"/>
      <c r="C88" s="235"/>
      <c r="E88" s="90"/>
      <c r="F88" s="90"/>
      <c r="G88" s="33"/>
      <c r="J88" s="377"/>
      <c r="M88" s="243"/>
      <c r="N88" s="377"/>
      <c r="Q88" s="244"/>
      <c r="R88" s="377"/>
      <c r="U88" s="243"/>
      <c r="V88" s="377"/>
      <c r="Y88" s="244"/>
    </row>
    <row r="89" spans="1:25">
      <c r="A89" s="639">
        <f>A72+1</f>
        <v>5</v>
      </c>
      <c r="B89" s="42" t="e">
        <f>INDEX(SourceID,MATCH($A89,SourceNumber,0),1,1)</f>
        <v>#N/A</v>
      </c>
      <c r="C89" s="354" t="e">
        <f>INDEX(SourceExitDiameter,MATCH($A89,SourceNumber,0),1,1)*3.28*12</f>
        <v>#N/A</v>
      </c>
      <c r="D89" s="24" t="str">
        <f>UAnem1percent</f>
        <v>1% Wind</v>
      </c>
      <c r="E89" s="85" t="e">
        <f ca="1">INDIRECT(ADDRESS(53,6,1,,$A89))</f>
        <v>#N/A</v>
      </c>
      <c r="F89" s="626" t="e">
        <f ca="1">(ROUND((INDIRECT(ADDRESS(15,7,1,,$A89))*3.28*12*32),0)&amp;"/32")</f>
        <v>#N/A</v>
      </c>
      <c r="G89" s="125" t="e">
        <f ca="1">INDIRECT(ADDRESS(29,7,1,,$A89))</f>
        <v>#N/A</v>
      </c>
      <c r="H89" s="24" t="e">
        <f ca="1">INDIRECT(ADDRESS(19,7,1,,$A89))*100^3</f>
        <v>#N/A</v>
      </c>
      <c r="I89" s="24" t="e">
        <f ca="1">INDIRECT(ADDRESS(53,7,1,,$A89))</f>
        <v>#N/A</v>
      </c>
      <c r="J89" s="20" t="str">
        <f>K$15&amp;$H$6&amp;J$6</f>
        <v>100AirPick a Tunnel</v>
      </c>
      <c r="K89" t="e">
        <f>INDEX(FlowCalGasMixture,MATCH(J89,FlowCalNumber,0),1,1)</f>
        <v>#N/A</v>
      </c>
      <c r="M89" s="355" t="e">
        <f>INDEX(FlowCalDevice,MATCH(J89,FlowCalNumber,0),1,1)</f>
        <v>#N/A</v>
      </c>
      <c r="N89" s="20" t="str">
        <f>O$15&amp;$H$6&amp;N$6</f>
        <v>100AirPick a Tunnel</v>
      </c>
      <c r="O89" t="e">
        <f>INDEX(FlowCalGasMixture,MATCH(N89,FlowCalNumber,0),1,1)</f>
        <v>#N/A</v>
      </c>
      <c r="Q89" s="355" t="e">
        <f>INDEX(FlowCalDevice,MATCH(N89,FlowCalNumber,0),1,1)</f>
        <v>#N/A</v>
      </c>
      <c r="R89" s="20" t="str">
        <f>S$15&amp;$H$6&amp;R$6</f>
        <v>100AirPick a Tunnel</v>
      </c>
      <c r="S89" t="e">
        <f>INDEX(FlowCalGasMixture,MATCH(R89,FlowCalNumber,0),1,1)</f>
        <v>#N/A</v>
      </c>
      <c r="U89" s="944" t="e">
        <f>INDEX(FlowCalDevice,MATCH(R89,FlowCalNumber,0),1,1)</f>
        <v>#N/A</v>
      </c>
      <c r="V89" s="946" t="str">
        <f>W$15&amp;$H$6&amp;V$6</f>
        <v>100AirPick a Tunnel</v>
      </c>
      <c r="W89" t="e">
        <f>INDEX(FlowCalGasMixture,MATCH(V89,FlowCalNumber,0),1,1)</f>
        <v>#N/A</v>
      </c>
      <c r="Y89" s="982" t="e">
        <f>INDEX(FlowCalDevice,MATCH(V89,FlowCalNumber,0),1,1)</f>
        <v>#N/A</v>
      </c>
    </row>
    <row r="90" spans="1:25" s="1215" customFormat="1">
      <c r="A90" s="1208"/>
      <c r="B90" s="1209"/>
      <c r="C90" s="1210"/>
      <c r="D90" s="1211">
        <f>'1% Wind'!$M$82</f>
        <v>27</v>
      </c>
      <c r="E90" s="1212"/>
      <c r="F90" s="1212"/>
      <c r="G90" s="1213" t="e">
        <f ca="1">IF(I89=1,$G89,MAX(G89/D89*D90,2))</f>
        <v>#N/A</v>
      </c>
      <c r="H90" s="1214" t="e">
        <f t="shared" ref="H90:H104" ca="1" si="36">H89*(D89/D90)*(G90/G89)</f>
        <v>#N/A</v>
      </c>
      <c r="J90" s="1216"/>
      <c r="K90" s="1221">
        <f>K$16/100</f>
        <v>1</v>
      </c>
      <c r="L90" s="1218" t="e">
        <f ca="1">K90*$H90</f>
        <v>#N/A</v>
      </c>
      <c r="M90" s="1219" t="e">
        <f ca="1">IF(AND(INDEX(FlowCalConstA,MATCH(J89,FlowCalNumber,0),1,1)*L90^INDEX(FlowCalConstB,MATCH(J89,FlowCalNumber,0),1,1)&gt;INDEX(FlowCalLowSetting,MATCH(J89,FlowCalNumber,0),1,1), (INDEX(FlowCalConstA,MATCH(J89,FlowCalNumber,0),1,1)*L90^INDEX(FlowCalConstB,MATCH(J89,FlowCalNumber,0),1,1)&lt;INDEX(FlowCalHighSetting,MATCH(J89,FlowCalNumber,0),1,1))),INDEX(FlowCalConstA,MATCH(J89,FlowCalNumber,0),1,1)*L90^INDEX(FlowCalConstB,MATCH(J89,FlowCalNumber,0),1,1)," ")</f>
        <v>#N/A</v>
      </c>
      <c r="N90" s="1216"/>
      <c r="O90" s="1221">
        <f>O$16/100</f>
        <v>1</v>
      </c>
      <c r="P90" s="1218" t="e">
        <f ca="1">O90*$H90</f>
        <v>#N/A</v>
      </c>
      <c r="Q90" s="1220" t="e">
        <f ca="1">IF(AND(INDEX(FlowCalConstA,MATCH(N89,FlowCalNumber,0),1,1)*P90^INDEX(FlowCalConstB,MATCH(N89,FlowCalNumber,0),1,1)&gt;INDEX(FlowCalLowSetting,MATCH(N89,FlowCalNumber,0),1,1), (INDEX(FlowCalConstA,MATCH(N89,FlowCalNumber,0),1,1)*P90^INDEX(FlowCalConstB,MATCH(N89,FlowCalNumber,0),1,1)&lt;INDEX(FlowCalHighSetting,MATCH(N89,FlowCalNumber,0),1,1))),INDEX(FlowCalConstA,MATCH(N89,FlowCalNumber,0),1,1)*P90^INDEX(FlowCalConstB,MATCH(N89,FlowCalNumber,0),1,1)," ")</f>
        <v>#N/A</v>
      </c>
      <c r="R90" s="1216"/>
      <c r="S90" s="1221">
        <f>S$16/100</f>
        <v>0.5</v>
      </c>
      <c r="T90" s="1218" t="e">
        <f ca="1">S90*$H90</f>
        <v>#N/A</v>
      </c>
      <c r="U90" s="1219" t="e">
        <f ca="1">IF(AND(INDEX(FlowCalConstA,MATCH(R89,FlowCalNumber,0),1,1)*T90^INDEX(FlowCalConstB,MATCH(R89,FlowCalNumber,0),1,1)&gt;INDEX(FlowCalLowSetting,MATCH(R89,FlowCalNumber,0),1,1), (INDEX(FlowCalConstA,MATCH(R89,FlowCalNumber,0),1,1)*T90^INDEX(FlowCalConstB,MATCH(R89,FlowCalNumber,0),1,1)&lt;INDEX(FlowCalHighSetting,MATCH(R89,FlowCalNumber,0),1,1))),INDEX(FlowCalConstA,MATCH(R89,FlowCalNumber,0),1,1)*T90^INDEX(FlowCalConstB,MATCH(R89,FlowCalNumber,0),1,1)," ")</f>
        <v>#N/A</v>
      </c>
      <c r="V90" s="1216"/>
      <c r="W90" s="1221">
        <f>W$16/100</f>
        <v>0.5</v>
      </c>
      <c r="X90" s="1218" t="e">
        <f ca="1">W90*$H90</f>
        <v>#N/A</v>
      </c>
      <c r="Y90" s="1220" t="e">
        <f ca="1">IF(AND(INDEX(FlowCalConstA,MATCH(V89,FlowCalNumber,0),1,1)*X90^INDEX(FlowCalConstB,MATCH(V89,FlowCalNumber,0),1,1)&gt;INDEX(FlowCalLowSetting,MATCH(V89,FlowCalNumber,0),1,1), (INDEX(FlowCalConstA,MATCH(V89,FlowCalNumber,0),1,1)*X90^INDEX(FlowCalConstB,MATCH(V89,FlowCalNumber,0),1,1)&lt;INDEX(FlowCalHighSetting,MATCH(V89,FlowCalNumber,0),1,1))),INDEX(FlowCalConstA,MATCH(V89,FlowCalNumber,0),1,1)*X90^INDEX(FlowCalConstB,MATCH(V89,FlowCalNumber,0),1,1)," ")</f>
        <v>#N/A</v>
      </c>
    </row>
    <row r="91" spans="1:25">
      <c r="A91" s="412"/>
      <c r="B91" s="2"/>
      <c r="C91" s="235"/>
      <c r="D91" s="24">
        <f>'1% Wind'!$M$83</f>
        <v>23.5</v>
      </c>
      <c r="E91" s="90"/>
      <c r="F91" s="90"/>
      <c r="G91" s="79" t="e">
        <f ca="1">IF(I89=1,$G90,MAX(G90/D90*D91,2))</f>
        <v>#N/A</v>
      </c>
      <c r="H91" s="121" t="e">
        <f t="shared" ca="1" si="36"/>
        <v>#N/A</v>
      </c>
      <c r="J91" s="377"/>
      <c r="K91" s="242">
        <f t="shared" ref="K91:K104" si="37">K90</f>
        <v>1</v>
      </c>
      <c r="L91" s="241" t="e">
        <f t="shared" ref="L91:L104" ca="1" si="38">K91*$H91</f>
        <v>#N/A</v>
      </c>
      <c r="M91" s="243" t="e">
        <f ca="1">IF(AND(INDEX(FlowCalConstA,MATCH(J89,FlowCalNumber,0),1,1)*L91^INDEX(FlowCalConstB,MATCH(J89,FlowCalNumber,0),1,1)&gt;INDEX(FlowCalLowSetting,MATCH(J89,FlowCalNumber,0),1,1), (INDEX(FlowCalConstA,MATCH(J89,FlowCalNumber,0),1,1)*L91^INDEX(FlowCalConstB,MATCH(J89,FlowCalNumber,0),1,1)&lt;INDEX(FlowCalHighSetting,MATCH(J89,FlowCalNumber,0),1,1))),INDEX(FlowCalConstA,MATCH(J89,FlowCalNumber,0),1,1)*L91^INDEX(FlowCalConstB,MATCH(J89,FlowCalNumber,0),1,1)," ")</f>
        <v>#N/A</v>
      </c>
      <c r="N91" s="377"/>
      <c r="O91" s="242">
        <f t="shared" ref="O91:O104" si="39">O90</f>
        <v>1</v>
      </c>
      <c r="P91" s="241" t="e">
        <f t="shared" ref="P91:P104" ca="1" si="40">O91*$H91</f>
        <v>#N/A</v>
      </c>
      <c r="Q91" s="244" t="e">
        <f ca="1">IF(AND(INDEX(FlowCalConstA,MATCH(N89,FlowCalNumber,0),1,1)*P91^INDEX(FlowCalConstB,MATCH(N89,FlowCalNumber,0),1,1)&gt;INDEX(FlowCalLowSetting,MATCH(N89,FlowCalNumber,0),1,1), (INDEX(FlowCalConstA,MATCH(N89,FlowCalNumber,0),1,1)*P91^INDEX(FlowCalConstB,MATCH(N89,FlowCalNumber,0),1,1)&lt;INDEX(FlowCalHighSetting,MATCH(N89,FlowCalNumber,0),1,1))),INDEX(FlowCalConstA,MATCH(N89,FlowCalNumber,0),1,1)*P91^INDEX(FlowCalConstB,MATCH(N89,FlowCalNumber,0),1,1)," ")</f>
        <v>#N/A</v>
      </c>
      <c r="R91" s="377"/>
      <c r="S91" s="242">
        <f t="shared" ref="S91:S104" si="41">S90</f>
        <v>0.5</v>
      </c>
      <c r="T91" s="241" t="e">
        <f t="shared" ref="T91:T104" ca="1" si="42">S91*$H91</f>
        <v>#N/A</v>
      </c>
      <c r="U91" s="243" t="e">
        <f ca="1">IF(AND(INDEX(FlowCalConstA,MATCH(R89,FlowCalNumber,0),1,1)*T91^INDEX(FlowCalConstB,MATCH(R89,FlowCalNumber,0),1,1)&gt;INDEX(FlowCalLowSetting,MATCH(R89,FlowCalNumber,0),1,1), (INDEX(FlowCalConstA,MATCH(R89,FlowCalNumber,0),1,1)*T91^INDEX(FlowCalConstB,MATCH(R89,FlowCalNumber,0),1,1)&lt;INDEX(FlowCalHighSetting,MATCH(R89,FlowCalNumber,0),1,1))),INDEX(FlowCalConstA,MATCH(R89,FlowCalNumber,0),1,1)*T91^INDEX(FlowCalConstB,MATCH(R89,FlowCalNumber,0),1,1)," ")</f>
        <v>#N/A</v>
      </c>
      <c r="V91" s="377"/>
      <c r="W91" s="242">
        <f t="shared" ref="W91:W104" si="43">W90</f>
        <v>0.5</v>
      </c>
      <c r="X91" s="241" t="e">
        <f t="shared" ref="X91:X104" ca="1" si="44">W91*$H91</f>
        <v>#N/A</v>
      </c>
      <c r="Y91" s="244" t="e">
        <f ca="1">IF(AND(INDEX(FlowCalConstA,MATCH(V89,FlowCalNumber,0),1,1)*X91^INDEX(FlowCalConstB,MATCH(V89,FlowCalNumber,0),1,1)&gt;INDEX(FlowCalLowSetting,MATCH(V89,FlowCalNumber,0),1,1), (INDEX(FlowCalConstA,MATCH(V89,FlowCalNumber,0),1,1)*X91^INDEX(FlowCalConstB,MATCH(V89,FlowCalNumber,0),1,1)&lt;INDEX(FlowCalHighSetting,MATCH(V89,FlowCalNumber,0),1,1))),INDEX(FlowCalConstA,MATCH(V89,FlowCalNumber,0),1,1)*X91^INDEX(FlowCalConstB,MATCH(V89,FlowCalNumber,0),1,1)," ")</f>
        <v>#N/A</v>
      </c>
    </row>
    <row r="92" spans="1:25" s="1215" customFormat="1">
      <c r="A92" s="1208"/>
      <c r="B92" s="1209"/>
      <c r="C92" s="1210"/>
      <c r="D92" s="1211">
        <f>'1% Wind'!$M$84</f>
        <v>20.5</v>
      </c>
      <c r="E92" s="1212"/>
      <c r="F92" s="1212"/>
      <c r="G92" s="1213" t="e">
        <f ca="1">IF(I89=1,$G91,MAX(G91/D91*D92,2))</f>
        <v>#N/A</v>
      </c>
      <c r="H92" s="1214" t="e">
        <f t="shared" ca="1" si="36"/>
        <v>#N/A</v>
      </c>
      <c r="J92" s="1216"/>
      <c r="K92" s="1217">
        <f t="shared" si="37"/>
        <v>1</v>
      </c>
      <c r="L92" s="1218" t="e">
        <f t="shared" ca="1" si="38"/>
        <v>#N/A</v>
      </c>
      <c r="M92" s="1219" t="e">
        <f ca="1">IF(AND(INDEX(FlowCalConstA,MATCH(J89,FlowCalNumber,0),1,1)*L92^INDEX(FlowCalConstB,MATCH(J89,FlowCalNumber,0),1,1)&gt;INDEX(FlowCalLowSetting,MATCH(J89,FlowCalNumber,0),1,1), (INDEX(FlowCalConstA,MATCH(J89,FlowCalNumber,0),1,1)*L92^INDEX(FlowCalConstB,MATCH(J89,FlowCalNumber,0),1,1)&lt;INDEX(FlowCalHighSetting,MATCH(J89,FlowCalNumber,0),1,1))),INDEX(FlowCalConstA,MATCH(J89,FlowCalNumber,0),1,1)*L92^INDEX(FlowCalConstB,MATCH(J89,FlowCalNumber,0),1,1)," ")</f>
        <v>#N/A</v>
      </c>
      <c r="N92" s="1216"/>
      <c r="O92" s="1217">
        <f t="shared" si="39"/>
        <v>1</v>
      </c>
      <c r="P92" s="1218" t="e">
        <f t="shared" ca="1" si="40"/>
        <v>#N/A</v>
      </c>
      <c r="Q92" s="1220" t="e">
        <f ca="1">IF(AND(INDEX(FlowCalConstA,MATCH(N89,FlowCalNumber,0),1,1)*P92^INDEX(FlowCalConstB,MATCH(N89,FlowCalNumber,0),1,1)&gt;INDEX(FlowCalLowSetting,MATCH(N89,FlowCalNumber,0),1,1), (INDEX(FlowCalConstA,MATCH(N89,FlowCalNumber,0),1,1)*P92^INDEX(FlowCalConstB,MATCH(N89,FlowCalNumber,0),1,1)&lt;INDEX(FlowCalHighSetting,MATCH(N89,FlowCalNumber,0),1,1))),INDEX(FlowCalConstA,MATCH(N89,FlowCalNumber,0),1,1)*P92^INDEX(FlowCalConstB,MATCH(N89,FlowCalNumber,0),1,1)," ")</f>
        <v>#N/A</v>
      </c>
      <c r="R92" s="1216"/>
      <c r="S92" s="1217">
        <f t="shared" si="41"/>
        <v>0.5</v>
      </c>
      <c r="T92" s="1218" t="e">
        <f t="shared" ca="1" si="42"/>
        <v>#N/A</v>
      </c>
      <c r="U92" s="1219" t="e">
        <f ca="1">IF(AND(INDEX(FlowCalConstA,MATCH(R89,FlowCalNumber,0),1,1)*T92^INDEX(FlowCalConstB,MATCH(R89,FlowCalNumber,0),1,1)&gt;INDEX(FlowCalLowSetting,MATCH(R89,FlowCalNumber,0),1,1), (INDEX(FlowCalConstA,MATCH(R89,FlowCalNumber,0),1,1)*T92^INDEX(FlowCalConstB,MATCH(R89,FlowCalNumber,0),1,1)&lt;INDEX(FlowCalHighSetting,MATCH(R89,FlowCalNumber,0),1,1))),INDEX(FlowCalConstA,MATCH(R89,FlowCalNumber,0),1,1)*T92^INDEX(FlowCalConstB,MATCH(R89,FlowCalNumber,0),1,1)," ")</f>
        <v>#N/A</v>
      </c>
      <c r="V92" s="1216"/>
      <c r="W92" s="1217">
        <f t="shared" si="43"/>
        <v>0.5</v>
      </c>
      <c r="X92" s="1218" t="e">
        <f t="shared" ca="1" si="44"/>
        <v>#N/A</v>
      </c>
      <c r="Y92" s="1220" t="e">
        <f ca="1">IF(AND(INDEX(FlowCalConstA,MATCH(V89,FlowCalNumber,0),1,1)*X92^INDEX(FlowCalConstB,MATCH(V89,FlowCalNumber,0),1,1)&gt;INDEX(FlowCalLowSetting,MATCH(V89,FlowCalNumber,0),1,1), (INDEX(FlowCalConstA,MATCH(V89,FlowCalNumber,0),1,1)*X92^INDEX(FlowCalConstB,MATCH(V89,FlowCalNumber,0),1,1)&lt;INDEX(FlowCalHighSetting,MATCH(V89,FlowCalNumber,0),1,1))),INDEX(FlowCalConstA,MATCH(V89,FlowCalNumber,0),1,1)*X92^INDEX(FlowCalConstB,MATCH(V89,FlowCalNumber,0),1,1)," ")</f>
        <v>#N/A</v>
      </c>
    </row>
    <row r="93" spans="1:25">
      <c r="A93" s="412"/>
      <c r="B93" s="2"/>
      <c r="C93" s="235"/>
      <c r="D93" s="24">
        <f>'1% Wind'!$M$85</f>
        <v>17.8</v>
      </c>
      <c r="E93" s="90"/>
      <c r="F93" s="90"/>
      <c r="G93" s="79" t="e">
        <f ca="1">IF(I89=1,$G92,MAX(G92/D92*D93,2))</f>
        <v>#N/A</v>
      </c>
      <c r="H93" s="121" t="e">
        <f t="shared" ca="1" si="36"/>
        <v>#N/A</v>
      </c>
      <c r="J93" s="377"/>
      <c r="K93" s="242">
        <f t="shared" si="37"/>
        <v>1</v>
      </c>
      <c r="L93" s="241" t="e">
        <f t="shared" ca="1" si="38"/>
        <v>#N/A</v>
      </c>
      <c r="M93" s="243" t="e">
        <f ca="1">IF(AND(INDEX(FlowCalConstA,MATCH(J89,FlowCalNumber,0),1,1)*L93^INDEX(FlowCalConstB,MATCH(J89,FlowCalNumber,0),1,1)&gt;INDEX(FlowCalLowSetting,MATCH(J89,FlowCalNumber,0),1,1), (INDEX(FlowCalConstA,MATCH(J89,FlowCalNumber,0),1,1)*L93^INDEX(FlowCalConstB,MATCH(J89,FlowCalNumber,0),1,1)&lt;INDEX(FlowCalHighSetting,MATCH(J89,FlowCalNumber,0),1,1))),INDEX(FlowCalConstA,MATCH(J89,FlowCalNumber,0),1,1)*L93^INDEX(FlowCalConstB,MATCH(J89,FlowCalNumber,0),1,1)," ")</f>
        <v>#N/A</v>
      </c>
      <c r="N93" s="377"/>
      <c r="O93" s="242">
        <f t="shared" si="39"/>
        <v>1</v>
      </c>
      <c r="P93" s="241" t="e">
        <f t="shared" ca="1" si="40"/>
        <v>#N/A</v>
      </c>
      <c r="Q93" s="244" t="e">
        <f ca="1">IF(AND(INDEX(FlowCalConstA,MATCH(N89,FlowCalNumber,0),1,1)*P93^INDEX(FlowCalConstB,MATCH(N89,FlowCalNumber,0),1,1)&gt;INDEX(FlowCalLowSetting,MATCH(N89,FlowCalNumber,0),1,1), (INDEX(FlowCalConstA,MATCH(N89,FlowCalNumber,0),1,1)*P93^INDEX(FlowCalConstB,MATCH(N89,FlowCalNumber,0),1,1)&lt;INDEX(FlowCalHighSetting,MATCH(N89,FlowCalNumber,0),1,1))),INDEX(FlowCalConstA,MATCH(N89,FlowCalNumber,0),1,1)*P93^INDEX(FlowCalConstB,MATCH(N89,FlowCalNumber,0),1,1)," ")</f>
        <v>#N/A</v>
      </c>
      <c r="R93" s="377"/>
      <c r="S93" s="242">
        <f t="shared" si="41"/>
        <v>0.5</v>
      </c>
      <c r="T93" s="241" t="e">
        <f t="shared" ca="1" si="42"/>
        <v>#N/A</v>
      </c>
      <c r="U93" s="243" t="e">
        <f ca="1">IF(AND(INDEX(FlowCalConstA,MATCH(R89,FlowCalNumber,0),1,1)*T93^INDEX(FlowCalConstB,MATCH(R89,FlowCalNumber,0),1,1)&gt;INDEX(FlowCalLowSetting,MATCH(R89,FlowCalNumber,0),1,1), (INDEX(FlowCalConstA,MATCH(R89,FlowCalNumber,0),1,1)*T93^INDEX(FlowCalConstB,MATCH(R89,FlowCalNumber,0),1,1)&lt;INDEX(FlowCalHighSetting,MATCH(R89,FlowCalNumber,0),1,1))),INDEX(FlowCalConstA,MATCH(R89,FlowCalNumber,0),1,1)*T93^INDEX(FlowCalConstB,MATCH(R89,FlowCalNumber,0),1,1)," ")</f>
        <v>#N/A</v>
      </c>
      <c r="V93" s="377"/>
      <c r="W93" s="242">
        <f t="shared" si="43"/>
        <v>0.5</v>
      </c>
      <c r="X93" s="241" t="e">
        <f t="shared" ca="1" si="44"/>
        <v>#N/A</v>
      </c>
      <c r="Y93" s="244" t="e">
        <f ca="1">IF(AND(INDEX(FlowCalConstA,MATCH(V89,FlowCalNumber,0),1,1)*X93^INDEX(FlowCalConstB,MATCH(V89,FlowCalNumber,0),1,1)&gt;INDEX(FlowCalLowSetting,MATCH(V89,FlowCalNumber,0),1,1), (INDEX(FlowCalConstA,MATCH(V89,FlowCalNumber,0),1,1)*X93^INDEX(FlowCalConstB,MATCH(V89,FlowCalNumber,0),1,1)&lt;INDEX(FlowCalHighSetting,MATCH(V89,FlowCalNumber,0),1,1))),INDEX(FlowCalConstA,MATCH(V89,FlowCalNumber,0),1,1)*X93^INDEX(FlowCalConstB,MATCH(V89,FlowCalNumber,0),1,1)," ")</f>
        <v>#N/A</v>
      </c>
    </row>
    <row r="94" spans="1:25" s="1215" customFormat="1">
      <c r="A94" s="1208"/>
      <c r="B94" s="1209"/>
      <c r="C94" s="1210"/>
      <c r="D94" s="1211">
        <f>'1% Wind'!$M$86</f>
        <v>15.5</v>
      </c>
      <c r="E94" s="1212"/>
      <c r="F94" s="1212"/>
      <c r="G94" s="1213" t="e">
        <f ca="1">IF(I89=1,$G93,MAX(G93/D93*D94,2))</f>
        <v>#N/A</v>
      </c>
      <c r="H94" s="1214" t="e">
        <f t="shared" ca="1" si="36"/>
        <v>#N/A</v>
      </c>
      <c r="J94" s="1216"/>
      <c r="K94" s="1217">
        <f t="shared" si="37"/>
        <v>1</v>
      </c>
      <c r="L94" s="1218" t="e">
        <f t="shared" ca="1" si="38"/>
        <v>#N/A</v>
      </c>
      <c r="M94" s="1219" t="e">
        <f ca="1">IF(AND(INDEX(FlowCalConstA,MATCH(J89,FlowCalNumber,0),1,1)*L94^INDEX(FlowCalConstB,MATCH(J89,FlowCalNumber,0),1,1)&gt;INDEX(FlowCalLowSetting,MATCH(J89,FlowCalNumber,0),1,1), (INDEX(FlowCalConstA,MATCH(J89,FlowCalNumber,0),1,1)*L94^INDEX(FlowCalConstB,MATCH(J89,FlowCalNumber,0),1,1)&lt;INDEX(FlowCalHighSetting,MATCH(J89,FlowCalNumber,0),1,1))),INDEX(FlowCalConstA,MATCH(J89,FlowCalNumber,0),1,1)*L94^INDEX(FlowCalConstB,MATCH(J89,FlowCalNumber,0),1,1)," ")</f>
        <v>#N/A</v>
      </c>
      <c r="N94" s="1216"/>
      <c r="O94" s="1217">
        <f t="shared" si="39"/>
        <v>1</v>
      </c>
      <c r="P94" s="1218" t="e">
        <f t="shared" ca="1" si="40"/>
        <v>#N/A</v>
      </c>
      <c r="Q94" s="1220" t="e">
        <f ca="1">IF(AND(INDEX(FlowCalConstA,MATCH(N89,FlowCalNumber,0),1,1)*P94^INDEX(FlowCalConstB,MATCH(N89,FlowCalNumber,0),1,1)&gt;INDEX(FlowCalLowSetting,MATCH(N89,FlowCalNumber,0),1,1), (INDEX(FlowCalConstA,MATCH(N89,FlowCalNumber,0),1,1)*P94^INDEX(FlowCalConstB,MATCH(N89,FlowCalNumber,0),1,1)&lt;INDEX(FlowCalHighSetting,MATCH(N89,FlowCalNumber,0),1,1))),INDEX(FlowCalConstA,MATCH(N89,FlowCalNumber,0),1,1)*P94^INDEX(FlowCalConstB,MATCH(N89,FlowCalNumber,0),1,1)," ")</f>
        <v>#N/A</v>
      </c>
      <c r="R94" s="1216"/>
      <c r="S94" s="1217">
        <f t="shared" si="41"/>
        <v>0.5</v>
      </c>
      <c r="T94" s="1218" t="e">
        <f t="shared" ca="1" si="42"/>
        <v>#N/A</v>
      </c>
      <c r="U94" s="1219" t="e">
        <f ca="1">IF(AND(INDEX(FlowCalConstA,MATCH(R89,FlowCalNumber,0),1,1)*T94^INDEX(FlowCalConstB,MATCH(R89,FlowCalNumber,0),1,1)&gt;INDEX(FlowCalLowSetting,MATCH(R89,FlowCalNumber,0),1,1), (INDEX(FlowCalConstA,MATCH(R89,FlowCalNumber,0),1,1)*T94^INDEX(FlowCalConstB,MATCH(R89,FlowCalNumber,0),1,1)&lt;INDEX(FlowCalHighSetting,MATCH(R89,FlowCalNumber,0),1,1))),INDEX(FlowCalConstA,MATCH(R89,FlowCalNumber,0),1,1)*T94^INDEX(FlowCalConstB,MATCH(R89,FlowCalNumber,0),1,1)," ")</f>
        <v>#N/A</v>
      </c>
      <c r="V94" s="1216"/>
      <c r="W94" s="1217">
        <f t="shared" si="43"/>
        <v>0.5</v>
      </c>
      <c r="X94" s="1218" t="e">
        <f t="shared" ca="1" si="44"/>
        <v>#N/A</v>
      </c>
      <c r="Y94" s="1220" t="e">
        <f ca="1">IF(AND(INDEX(FlowCalConstA,MATCH(V89,FlowCalNumber,0),1,1)*X94^INDEX(FlowCalConstB,MATCH(V89,FlowCalNumber,0),1,1)&gt;INDEX(FlowCalLowSetting,MATCH(V89,FlowCalNumber,0),1,1), (INDEX(FlowCalConstA,MATCH(V89,FlowCalNumber,0),1,1)*X94^INDEX(FlowCalConstB,MATCH(V89,FlowCalNumber,0),1,1)&lt;INDEX(FlowCalHighSetting,MATCH(V89,FlowCalNumber,0),1,1))),INDEX(FlowCalConstA,MATCH(V89,FlowCalNumber,0),1,1)*X94^INDEX(FlowCalConstB,MATCH(V89,FlowCalNumber,0),1,1)," ")</f>
        <v>#N/A</v>
      </c>
    </row>
    <row r="95" spans="1:25">
      <c r="A95" s="412"/>
      <c r="B95" s="2"/>
      <c r="C95" s="235"/>
      <c r="D95" s="24">
        <f>'1% Wind'!$M$87</f>
        <v>13.5</v>
      </c>
      <c r="E95" s="90"/>
      <c r="F95" s="90"/>
      <c r="G95" s="79" t="e">
        <f ca="1">IF(I89=1,$G94,MAX(G94/D94*D95,2))</f>
        <v>#N/A</v>
      </c>
      <c r="H95" s="121" t="e">
        <f t="shared" ca="1" si="36"/>
        <v>#N/A</v>
      </c>
      <c r="J95" s="377"/>
      <c r="K95" s="242">
        <f t="shared" si="37"/>
        <v>1</v>
      </c>
      <c r="L95" s="241" t="e">
        <f t="shared" ca="1" si="38"/>
        <v>#N/A</v>
      </c>
      <c r="M95" s="243" t="e">
        <f ca="1">IF(AND(INDEX(FlowCalConstA,MATCH(J89,FlowCalNumber,0),1,1)*L95^INDEX(FlowCalConstB,MATCH(J89,FlowCalNumber,0),1,1)&gt;INDEX(FlowCalLowSetting,MATCH(J89,FlowCalNumber,0),1,1), (INDEX(FlowCalConstA,MATCH(J89,FlowCalNumber,0),1,1)*L95^INDEX(FlowCalConstB,MATCH(J89,FlowCalNumber,0),1,1)&lt;INDEX(FlowCalHighSetting,MATCH(J89,FlowCalNumber,0),1,1))),INDEX(FlowCalConstA,MATCH(J89,FlowCalNumber,0),1,1)*L95^INDEX(FlowCalConstB,MATCH(J89,FlowCalNumber,0),1,1)," ")</f>
        <v>#N/A</v>
      </c>
      <c r="N95" s="377"/>
      <c r="O95" s="242">
        <f t="shared" si="39"/>
        <v>1</v>
      </c>
      <c r="P95" s="241" t="e">
        <f t="shared" ca="1" si="40"/>
        <v>#N/A</v>
      </c>
      <c r="Q95" s="244" t="e">
        <f ca="1">IF(AND(INDEX(FlowCalConstA,MATCH(N89,FlowCalNumber,0),1,1)*P95^INDEX(FlowCalConstB,MATCH(N89,FlowCalNumber,0),1,1)&gt;INDEX(FlowCalLowSetting,MATCH(N89,FlowCalNumber,0),1,1), (INDEX(FlowCalConstA,MATCH(N89,FlowCalNumber,0),1,1)*P95^INDEX(FlowCalConstB,MATCH(N89,FlowCalNumber,0),1,1)&lt;INDEX(FlowCalHighSetting,MATCH(N89,FlowCalNumber,0),1,1))),INDEX(FlowCalConstA,MATCH(N89,FlowCalNumber,0),1,1)*P95^INDEX(FlowCalConstB,MATCH(N89,FlowCalNumber,0),1,1)," ")</f>
        <v>#N/A</v>
      </c>
      <c r="R95" s="377"/>
      <c r="S95" s="242">
        <f t="shared" si="41"/>
        <v>0.5</v>
      </c>
      <c r="T95" s="241" t="e">
        <f t="shared" ca="1" si="42"/>
        <v>#N/A</v>
      </c>
      <c r="U95" s="243" t="e">
        <f ca="1">IF(AND(INDEX(FlowCalConstA,MATCH(R89,FlowCalNumber,0),1,1)*T95^INDEX(FlowCalConstB,MATCH(R89,FlowCalNumber,0),1,1)&gt;INDEX(FlowCalLowSetting,MATCH(R89,FlowCalNumber,0),1,1), (INDEX(FlowCalConstA,MATCH(R89,FlowCalNumber,0),1,1)*T95^INDEX(FlowCalConstB,MATCH(R89,FlowCalNumber,0),1,1)&lt;INDEX(FlowCalHighSetting,MATCH(R89,FlowCalNumber,0),1,1))),INDEX(FlowCalConstA,MATCH(R89,FlowCalNumber,0),1,1)*T95^INDEX(FlowCalConstB,MATCH(R89,FlowCalNumber,0),1,1)," ")</f>
        <v>#N/A</v>
      </c>
      <c r="V95" s="377"/>
      <c r="W95" s="242">
        <f t="shared" si="43"/>
        <v>0.5</v>
      </c>
      <c r="X95" s="241" t="e">
        <f t="shared" ca="1" si="44"/>
        <v>#N/A</v>
      </c>
      <c r="Y95" s="244" t="e">
        <f ca="1">IF(AND(INDEX(FlowCalConstA,MATCH(V89,FlowCalNumber,0),1,1)*X95^INDEX(FlowCalConstB,MATCH(V89,FlowCalNumber,0),1,1)&gt;INDEX(FlowCalLowSetting,MATCH(V89,FlowCalNumber,0),1,1), (INDEX(FlowCalConstA,MATCH(V89,FlowCalNumber,0),1,1)*X95^INDEX(FlowCalConstB,MATCH(V89,FlowCalNumber,0),1,1)&lt;INDEX(FlowCalHighSetting,MATCH(V89,FlowCalNumber,0),1,1))),INDEX(FlowCalConstA,MATCH(V89,FlowCalNumber,0),1,1)*X95^INDEX(FlowCalConstB,MATCH(V89,FlowCalNumber,0),1,1)," ")</f>
        <v>#N/A</v>
      </c>
    </row>
    <row r="96" spans="1:25" s="1215" customFormat="1">
      <c r="A96" s="1208"/>
      <c r="B96" s="1209"/>
      <c r="C96" s="1210"/>
      <c r="D96" s="1211">
        <f>'1% Wind'!$M$88</f>
        <v>10.1</v>
      </c>
      <c r="E96" s="1212"/>
      <c r="F96" s="1212"/>
      <c r="G96" s="1213" t="e">
        <f ca="1">IF(I89=1,$G95,MAX(G95/D95*D96,2))</f>
        <v>#N/A</v>
      </c>
      <c r="H96" s="1214" t="e">
        <f t="shared" ca="1" si="36"/>
        <v>#N/A</v>
      </c>
      <c r="J96" s="1216"/>
      <c r="K96" s="1217">
        <f t="shared" si="37"/>
        <v>1</v>
      </c>
      <c r="L96" s="1218" t="e">
        <f t="shared" ca="1" si="38"/>
        <v>#N/A</v>
      </c>
      <c r="M96" s="1219" t="e">
        <f ca="1">IF(AND(INDEX(FlowCalConstA,MATCH(J89,FlowCalNumber,0),1,1)*L96^INDEX(FlowCalConstB,MATCH(J89,FlowCalNumber,0),1,1)&gt;INDEX(FlowCalLowSetting,MATCH(J89,FlowCalNumber,0),1,1), (INDEX(FlowCalConstA,MATCH(J89,FlowCalNumber,0),1,1)*L96^INDEX(FlowCalConstB,MATCH(J89,FlowCalNumber,0),1,1)&lt;INDEX(FlowCalHighSetting,MATCH(J89,FlowCalNumber,0),1,1))),INDEX(FlowCalConstA,MATCH(J89,FlowCalNumber,0),1,1)*L96^INDEX(FlowCalConstB,MATCH(J89,FlowCalNumber,0),1,1)," ")</f>
        <v>#N/A</v>
      </c>
      <c r="N96" s="1216"/>
      <c r="O96" s="1217">
        <f t="shared" si="39"/>
        <v>1</v>
      </c>
      <c r="P96" s="1218" t="e">
        <f t="shared" ca="1" si="40"/>
        <v>#N/A</v>
      </c>
      <c r="Q96" s="1220" t="e">
        <f ca="1">IF(AND(INDEX(FlowCalConstA,MATCH(N89,FlowCalNumber,0),1,1)*P96^INDEX(FlowCalConstB,MATCH(N89,FlowCalNumber,0),1,1)&gt;INDEX(FlowCalLowSetting,MATCH(N89,FlowCalNumber,0),1,1), (INDEX(FlowCalConstA,MATCH(N89,FlowCalNumber,0),1,1)*P96^INDEX(FlowCalConstB,MATCH(N89,FlowCalNumber,0),1,1)&lt;INDEX(FlowCalHighSetting,MATCH(N89,FlowCalNumber,0),1,1))),INDEX(FlowCalConstA,MATCH(N89,FlowCalNumber,0),1,1)*P96^INDEX(FlowCalConstB,MATCH(N89,FlowCalNumber,0),1,1)," ")</f>
        <v>#N/A</v>
      </c>
      <c r="R96" s="1216"/>
      <c r="S96" s="1217">
        <f t="shared" si="41"/>
        <v>0.5</v>
      </c>
      <c r="T96" s="1218" t="e">
        <f t="shared" ca="1" si="42"/>
        <v>#N/A</v>
      </c>
      <c r="U96" s="1219" t="e">
        <f ca="1">IF(AND(INDEX(FlowCalConstA,MATCH(R89,FlowCalNumber,0),1,1)*T96^INDEX(FlowCalConstB,MATCH(R89,FlowCalNumber,0),1,1)&gt;INDEX(FlowCalLowSetting,MATCH(R89,FlowCalNumber,0),1,1), (INDEX(FlowCalConstA,MATCH(R89,FlowCalNumber,0),1,1)*T96^INDEX(FlowCalConstB,MATCH(R89,FlowCalNumber,0),1,1)&lt;INDEX(FlowCalHighSetting,MATCH(R89,FlowCalNumber,0),1,1))),INDEX(FlowCalConstA,MATCH(R89,FlowCalNumber,0),1,1)*T96^INDEX(FlowCalConstB,MATCH(R89,FlowCalNumber,0),1,1)," ")</f>
        <v>#N/A</v>
      </c>
      <c r="V96" s="1216"/>
      <c r="W96" s="1217">
        <f t="shared" si="43"/>
        <v>0.5</v>
      </c>
      <c r="X96" s="1218" t="e">
        <f t="shared" ca="1" si="44"/>
        <v>#N/A</v>
      </c>
      <c r="Y96" s="1220" t="e">
        <f ca="1">IF(AND(INDEX(FlowCalConstA,MATCH(V89,FlowCalNumber,0),1,1)*X96^INDEX(FlowCalConstB,MATCH(V89,FlowCalNumber,0),1,1)&gt;INDEX(FlowCalLowSetting,MATCH(V89,FlowCalNumber,0),1,1), (INDEX(FlowCalConstA,MATCH(V89,FlowCalNumber,0),1,1)*X96^INDEX(FlowCalConstB,MATCH(V89,FlowCalNumber,0),1,1)&lt;INDEX(FlowCalHighSetting,MATCH(V89,FlowCalNumber,0),1,1))),INDEX(FlowCalConstA,MATCH(V89,FlowCalNumber,0),1,1)*X96^INDEX(FlowCalConstB,MATCH(V89,FlowCalNumber,0),1,1)," ")</f>
        <v>#N/A</v>
      </c>
    </row>
    <row r="97" spans="1:25">
      <c r="A97" s="412"/>
      <c r="B97" s="2"/>
      <c r="C97" s="235"/>
      <c r="D97" s="24">
        <f>'1% Wind'!$M$89</f>
        <v>7.6</v>
      </c>
      <c r="E97" s="90"/>
      <c r="F97" s="90"/>
      <c r="G97" s="79" t="e">
        <f ca="1">IF(I89=1,$G96,MAX(G96/D96*D97,2))</f>
        <v>#N/A</v>
      </c>
      <c r="H97" s="121" t="e">
        <f t="shared" ca="1" si="36"/>
        <v>#N/A</v>
      </c>
      <c r="J97" s="377"/>
      <c r="K97" s="242">
        <f t="shared" si="37"/>
        <v>1</v>
      </c>
      <c r="L97" s="241" t="e">
        <f t="shared" ca="1" si="38"/>
        <v>#N/A</v>
      </c>
      <c r="M97" s="243" t="e">
        <f ca="1">IF(AND(INDEX(FlowCalConstA,MATCH(J89,FlowCalNumber,0),1,1)*L97^INDEX(FlowCalConstB,MATCH(J89,FlowCalNumber,0),1,1)&gt;INDEX(FlowCalLowSetting,MATCH(J89,FlowCalNumber,0),1,1), (INDEX(FlowCalConstA,MATCH(J89,FlowCalNumber,0),1,1)*L97^INDEX(FlowCalConstB,MATCH(J89,FlowCalNumber,0),1,1)&lt;INDEX(FlowCalHighSetting,MATCH(J89,FlowCalNumber,0),1,1))),INDEX(FlowCalConstA,MATCH(J89,FlowCalNumber,0),1,1)*L97^INDEX(FlowCalConstB,MATCH(J89,FlowCalNumber,0),1,1)," ")</f>
        <v>#N/A</v>
      </c>
      <c r="N97" s="377"/>
      <c r="O97" s="242">
        <f t="shared" si="39"/>
        <v>1</v>
      </c>
      <c r="P97" s="241" t="e">
        <f t="shared" ca="1" si="40"/>
        <v>#N/A</v>
      </c>
      <c r="Q97" s="244" t="e">
        <f ca="1">IF(AND(INDEX(FlowCalConstA,MATCH(N89,FlowCalNumber,0),1,1)*P97^INDEX(FlowCalConstB,MATCH(N89,FlowCalNumber,0),1,1)&gt;INDEX(FlowCalLowSetting,MATCH(N89,FlowCalNumber,0),1,1), (INDEX(FlowCalConstA,MATCH(N89,FlowCalNumber,0),1,1)*P97^INDEX(FlowCalConstB,MATCH(N89,FlowCalNumber,0),1,1)&lt;INDEX(FlowCalHighSetting,MATCH(N89,FlowCalNumber,0),1,1))),INDEX(FlowCalConstA,MATCH(N89,FlowCalNumber,0),1,1)*P97^INDEX(FlowCalConstB,MATCH(N89,FlowCalNumber,0),1,1)," ")</f>
        <v>#N/A</v>
      </c>
      <c r="R97" s="377"/>
      <c r="S97" s="242">
        <f t="shared" si="41"/>
        <v>0.5</v>
      </c>
      <c r="T97" s="241" t="e">
        <f t="shared" ca="1" si="42"/>
        <v>#N/A</v>
      </c>
      <c r="U97" s="243" t="e">
        <f ca="1">IF(AND(INDEX(FlowCalConstA,MATCH(R89,FlowCalNumber,0),1,1)*T97^INDEX(FlowCalConstB,MATCH(R89,FlowCalNumber,0),1,1)&gt;INDEX(FlowCalLowSetting,MATCH(R89,FlowCalNumber,0),1,1), (INDEX(FlowCalConstA,MATCH(R89,FlowCalNumber,0),1,1)*T97^INDEX(FlowCalConstB,MATCH(R89,FlowCalNumber,0),1,1)&lt;INDEX(FlowCalHighSetting,MATCH(R89,FlowCalNumber,0),1,1))),INDEX(FlowCalConstA,MATCH(R89,FlowCalNumber,0),1,1)*T97^INDEX(FlowCalConstB,MATCH(R89,FlowCalNumber,0),1,1)," ")</f>
        <v>#N/A</v>
      </c>
      <c r="V97" s="377"/>
      <c r="W97" s="242">
        <f t="shared" si="43"/>
        <v>0.5</v>
      </c>
      <c r="X97" s="241" t="e">
        <f t="shared" ca="1" si="44"/>
        <v>#N/A</v>
      </c>
      <c r="Y97" s="244" t="e">
        <f ca="1">IF(AND(INDEX(FlowCalConstA,MATCH(V89,FlowCalNumber,0),1,1)*X97^INDEX(FlowCalConstB,MATCH(V89,FlowCalNumber,0),1,1)&gt;INDEX(FlowCalLowSetting,MATCH(V89,FlowCalNumber,0),1,1), (INDEX(FlowCalConstA,MATCH(V89,FlowCalNumber,0),1,1)*X97^INDEX(FlowCalConstB,MATCH(V89,FlowCalNumber,0),1,1)&lt;INDEX(FlowCalHighSetting,MATCH(V89,FlowCalNumber,0),1,1))),INDEX(FlowCalConstA,MATCH(V89,FlowCalNumber,0),1,1)*X97^INDEX(FlowCalConstB,MATCH(V89,FlowCalNumber,0),1,1)," ")</f>
        <v>#N/A</v>
      </c>
    </row>
    <row r="98" spans="1:25" s="1215" customFormat="1">
      <c r="A98" s="1208"/>
      <c r="B98" s="1209"/>
      <c r="C98" s="1210"/>
      <c r="D98" s="1211">
        <f>'1% Wind'!$M$90</f>
        <v>5.7</v>
      </c>
      <c r="E98" s="1212"/>
      <c r="F98" s="1212"/>
      <c r="G98" s="1213" t="e">
        <f ca="1">IF(I89=1,$G97,MAX(G97/D97*D98,2))</f>
        <v>#N/A</v>
      </c>
      <c r="H98" s="1214" t="e">
        <f t="shared" ca="1" si="36"/>
        <v>#N/A</v>
      </c>
      <c r="J98" s="1216"/>
      <c r="K98" s="1217">
        <f t="shared" si="37"/>
        <v>1</v>
      </c>
      <c r="L98" s="1218" t="e">
        <f t="shared" ca="1" si="38"/>
        <v>#N/A</v>
      </c>
      <c r="M98" s="1219" t="e">
        <f ca="1">IF(AND(INDEX(FlowCalConstA,MATCH(J89,FlowCalNumber,0),1,1)*L98^INDEX(FlowCalConstB,MATCH(J89,FlowCalNumber,0),1,1)&gt;INDEX(FlowCalLowSetting,MATCH(J89,FlowCalNumber,0),1,1), (INDEX(FlowCalConstA,MATCH(J89,FlowCalNumber,0),1,1)*L98^INDEX(FlowCalConstB,MATCH(J89,FlowCalNumber,0),1,1)&lt;INDEX(FlowCalHighSetting,MATCH(J89,FlowCalNumber,0),1,1))),INDEX(FlowCalConstA,MATCH(J89,FlowCalNumber,0),1,1)*L98^INDEX(FlowCalConstB,MATCH(J89,FlowCalNumber,0),1,1)," ")</f>
        <v>#N/A</v>
      </c>
      <c r="N98" s="1216"/>
      <c r="O98" s="1217">
        <f t="shared" si="39"/>
        <v>1</v>
      </c>
      <c r="P98" s="1218" t="e">
        <f t="shared" ca="1" si="40"/>
        <v>#N/A</v>
      </c>
      <c r="Q98" s="1220" t="e">
        <f ca="1">IF(AND(INDEX(FlowCalConstA,MATCH(N89,FlowCalNumber,0),1,1)*P98^INDEX(FlowCalConstB,MATCH(N89,FlowCalNumber,0),1,1)&gt;INDEX(FlowCalLowSetting,MATCH(N89,FlowCalNumber,0),1,1), (INDEX(FlowCalConstA,MATCH(N89,FlowCalNumber,0),1,1)*P98^INDEX(FlowCalConstB,MATCH(N89,FlowCalNumber,0),1,1)&lt;INDEX(FlowCalHighSetting,MATCH(N89,FlowCalNumber,0),1,1))),INDEX(FlowCalConstA,MATCH(N89,FlowCalNumber,0),1,1)*P98^INDEX(FlowCalConstB,MATCH(N89,FlowCalNumber,0),1,1)," ")</f>
        <v>#N/A</v>
      </c>
      <c r="R98" s="1216"/>
      <c r="S98" s="1217">
        <f t="shared" si="41"/>
        <v>0.5</v>
      </c>
      <c r="T98" s="1218" t="e">
        <f t="shared" ca="1" si="42"/>
        <v>#N/A</v>
      </c>
      <c r="U98" s="1219" t="e">
        <f ca="1">IF(AND(INDEX(FlowCalConstA,MATCH(R89,FlowCalNumber,0),1,1)*T98^INDEX(FlowCalConstB,MATCH(R89,FlowCalNumber,0),1,1)&gt;INDEX(FlowCalLowSetting,MATCH(R89,FlowCalNumber,0),1,1), (INDEX(FlowCalConstA,MATCH(R89,FlowCalNumber,0),1,1)*T98^INDEX(FlowCalConstB,MATCH(R89,FlowCalNumber,0),1,1)&lt;INDEX(FlowCalHighSetting,MATCH(R89,FlowCalNumber,0),1,1))),INDEX(FlowCalConstA,MATCH(R89,FlowCalNumber,0),1,1)*T98^INDEX(FlowCalConstB,MATCH(R89,FlowCalNumber,0),1,1)," ")</f>
        <v>#N/A</v>
      </c>
      <c r="V98" s="1216"/>
      <c r="W98" s="1217">
        <f t="shared" si="43"/>
        <v>0.5</v>
      </c>
      <c r="X98" s="1218" t="e">
        <f t="shared" ca="1" si="44"/>
        <v>#N/A</v>
      </c>
      <c r="Y98" s="1220" t="e">
        <f ca="1">IF(AND(INDEX(FlowCalConstA,MATCH(V89,FlowCalNumber,0),1,1)*X98^INDEX(FlowCalConstB,MATCH(V89,FlowCalNumber,0),1,1)&gt;INDEX(FlowCalLowSetting,MATCH(V89,FlowCalNumber,0),1,1), (INDEX(FlowCalConstA,MATCH(V89,FlowCalNumber,0),1,1)*X98^INDEX(FlowCalConstB,MATCH(V89,FlowCalNumber,0),1,1)&lt;INDEX(FlowCalHighSetting,MATCH(V89,FlowCalNumber,0),1,1))),INDEX(FlowCalConstA,MATCH(V89,FlowCalNumber,0),1,1)*X98^INDEX(FlowCalConstB,MATCH(V89,FlowCalNumber,0),1,1)," ")</f>
        <v>#N/A</v>
      </c>
    </row>
    <row r="99" spans="1:25">
      <c r="A99" s="412"/>
      <c r="B99" s="2"/>
      <c r="C99" s="235"/>
      <c r="D99" s="24">
        <f>'1% Wind'!$M$91</f>
        <v>4.2</v>
      </c>
      <c r="E99" s="90"/>
      <c r="F99" s="90"/>
      <c r="G99" s="79" t="e">
        <f ca="1">IF(I89=1,$G98,MAX(G98/D98*D99,2))</f>
        <v>#N/A</v>
      </c>
      <c r="H99" s="121" t="e">
        <f t="shared" ca="1" si="36"/>
        <v>#N/A</v>
      </c>
      <c r="J99" s="377"/>
      <c r="K99" s="242">
        <f t="shared" si="37"/>
        <v>1</v>
      </c>
      <c r="L99" s="241" t="e">
        <f t="shared" ca="1" si="38"/>
        <v>#N/A</v>
      </c>
      <c r="M99" s="243" t="e">
        <f ca="1">IF(AND(INDEX(FlowCalConstA,MATCH(J89,FlowCalNumber,0),1,1)*L99^INDEX(FlowCalConstB,MATCH(J89,FlowCalNumber,0),1,1)&gt;INDEX(FlowCalLowSetting,MATCH(J89,FlowCalNumber,0),1,1), (INDEX(FlowCalConstA,MATCH(J89,FlowCalNumber,0),1,1)*L99^INDEX(FlowCalConstB,MATCH(J89,FlowCalNumber,0),1,1)&lt;INDEX(FlowCalHighSetting,MATCH(J89,FlowCalNumber,0),1,1))),INDEX(FlowCalConstA,MATCH(J89,FlowCalNumber,0),1,1)*L99^INDEX(FlowCalConstB,MATCH(J89,FlowCalNumber,0),1,1)," ")</f>
        <v>#N/A</v>
      </c>
      <c r="N99" s="377"/>
      <c r="O99" s="242">
        <f t="shared" si="39"/>
        <v>1</v>
      </c>
      <c r="P99" s="241" t="e">
        <f t="shared" ca="1" si="40"/>
        <v>#N/A</v>
      </c>
      <c r="Q99" s="244" t="e">
        <f ca="1">IF(AND(INDEX(FlowCalConstA,MATCH(N89,FlowCalNumber,0),1,1)*P99^INDEX(FlowCalConstB,MATCH(N89,FlowCalNumber,0),1,1)&gt;INDEX(FlowCalLowSetting,MATCH(N89,FlowCalNumber,0),1,1), (INDEX(FlowCalConstA,MATCH(N89,FlowCalNumber,0),1,1)*P99^INDEX(FlowCalConstB,MATCH(N89,FlowCalNumber,0),1,1)&lt;INDEX(FlowCalHighSetting,MATCH(N89,FlowCalNumber,0),1,1))),INDEX(FlowCalConstA,MATCH(N89,FlowCalNumber,0),1,1)*P99^INDEX(FlowCalConstB,MATCH(N89,FlowCalNumber,0),1,1)," ")</f>
        <v>#N/A</v>
      </c>
      <c r="R99" s="377"/>
      <c r="S99" s="242">
        <f t="shared" si="41"/>
        <v>0.5</v>
      </c>
      <c r="T99" s="241" t="e">
        <f t="shared" ca="1" si="42"/>
        <v>#N/A</v>
      </c>
      <c r="U99" s="243" t="e">
        <f ca="1">IF(AND(INDEX(FlowCalConstA,MATCH(R89,FlowCalNumber,0),1,1)*T99^INDEX(FlowCalConstB,MATCH(R89,FlowCalNumber,0),1,1)&gt;INDEX(FlowCalLowSetting,MATCH(R89,FlowCalNumber,0),1,1), (INDEX(FlowCalConstA,MATCH(R89,FlowCalNumber,0),1,1)*T99^INDEX(FlowCalConstB,MATCH(R89,FlowCalNumber,0),1,1)&lt;INDEX(FlowCalHighSetting,MATCH(R89,FlowCalNumber,0),1,1))),INDEX(FlowCalConstA,MATCH(R89,FlowCalNumber,0),1,1)*T99^INDEX(FlowCalConstB,MATCH(R89,FlowCalNumber,0),1,1)," ")</f>
        <v>#N/A</v>
      </c>
      <c r="V99" s="377"/>
      <c r="W99" s="242">
        <f t="shared" si="43"/>
        <v>0.5</v>
      </c>
      <c r="X99" s="241" t="e">
        <f t="shared" ca="1" si="44"/>
        <v>#N/A</v>
      </c>
      <c r="Y99" s="244" t="e">
        <f ca="1">IF(AND(INDEX(FlowCalConstA,MATCH(V89,FlowCalNumber,0),1,1)*X99^INDEX(FlowCalConstB,MATCH(V89,FlowCalNumber,0),1,1)&gt;INDEX(FlowCalLowSetting,MATCH(V89,FlowCalNumber,0),1,1), (INDEX(FlowCalConstA,MATCH(V89,FlowCalNumber,0),1,1)*X99^INDEX(FlowCalConstB,MATCH(V89,FlowCalNumber,0),1,1)&lt;INDEX(FlowCalHighSetting,MATCH(V89,FlowCalNumber,0),1,1))),INDEX(FlowCalConstA,MATCH(V89,FlowCalNumber,0),1,1)*X99^INDEX(FlowCalConstB,MATCH(V89,FlowCalNumber,0),1,1)," ")</f>
        <v>#N/A</v>
      </c>
    </row>
    <row r="100" spans="1:25" s="1215" customFormat="1">
      <c r="A100" s="1208"/>
      <c r="B100" s="1209"/>
      <c r="C100" s="1210"/>
      <c r="D100" s="1211">
        <f>'1% Wind'!$M$92</f>
        <v>3.2</v>
      </c>
      <c r="E100" s="1212"/>
      <c r="F100" s="1212"/>
      <c r="G100" s="1213" t="e">
        <f ca="1">IF(I89=1,$G99,MAX(G99/D99*D100,2))</f>
        <v>#N/A</v>
      </c>
      <c r="H100" s="1214" t="e">
        <f t="shared" ca="1" si="36"/>
        <v>#N/A</v>
      </c>
      <c r="J100" s="1216"/>
      <c r="K100" s="1217">
        <f t="shared" si="37"/>
        <v>1</v>
      </c>
      <c r="L100" s="1218" t="e">
        <f t="shared" ca="1" si="38"/>
        <v>#N/A</v>
      </c>
      <c r="M100" s="1219" t="e">
        <f ca="1">IF(AND(INDEX(FlowCalConstA,MATCH(J89,FlowCalNumber,0),1,1)*L100^INDEX(FlowCalConstB,MATCH(J89,FlowCalNumber,0),1,1)&gt;INDEX(FlowCalLowSetting,MATCH(J89,FlowCalNumber,0),1,1), (INDEX(FlowCalConstA,MATCH(J89,FlowCalNumber,0),1,1)*L100^INDEX(FlowCalConstB,MATCH(J89,FlowCalNumber,0),1,1)&lt;INDEX(FlowCalHighSetting,MATCH(J89,FlowCalNumber,0),1,1))),INDEX(FlowCalConstA,MATCH(J89,FlowCalNumber,0),1,1)*L100^INDEX(FlowCalConstB,MATCH(J89,FlowCalNumber,0),1,1)," ")</f>
        <v>#N/A</v>
      </c>
      <c r="N100" s="1216"/>
      <c r="O100" s="1217">
        <f t="shared" si="39"/>
        <v>1</v>
      </c>
      <c r="P100" s="1218" t="e">
        <f t="shared" ca="1" si="40"/>
        <v>#N/A</v>
      </c>
      <c r="Q100" s="1220" t="e">
        <f ca="1">IF(AND(INDEX(FlowCalConstA,MATCH(N89,FlowCalNumber,0),1,1)*P100^INDEX(FlowCalConstB,MATCH(N89,FlowCalNumber,0),1,1)&gt;INDEX(FlowCalLowSetting,MATCH(N89,FlowCalNumber,0),1,1), (INDEX(FlowCalConstA,MATCH(N89,FlowCalNumber,0),1,1)*P100^INDEX(FlowCalConstB,MATCH(N89,FlowCalNumber,0),1,1)&lt;INDEX(FlowCalHighSetting,MATCH(N89,FlowCalNumber,0),1,1))),INDEX(FlowCalConstA,MATCH(N89,FlowCalNumber,0),1,1)*P100^INDEX(FlowCalConstB,MATCH(N89,FlowCalNumber,0),1,1)," ")</f>
        <v>#N/A</v>
      </c>
      <c r="R100" s="1216"/>
      <c r="S100" s="1217">
        <f t="shared" si="41"/>
        <v>0.5</v>
      </c>
      <c r="T100" s="1218" t="e">
        <f t="shared" ca="1" si="42"/>
        <v>#N/A</v>
      </c>
      <c r="U100" s="1219" t="e">
        <f ca="1">IF(AND(INDEX(FlowCalConstA,MATCH(R89,FlowCalNumber,0),1,1)*T100^INDEX(FlowCalConstB,MATCH(R89,FlowCalNumber,0),1,1)&gt;INDEX(FlowCalLowSetting,MATCH(R89,FlowCalNumber,0),1,1), (INDEX(FlowCalConstA,MATCH(R89,FlowCalNumber,0),1,1)*T100^INDEX(FlowCalConstB,MATCH(R89,FlowCalNumber,0),1,1)&lt;INDEX(FlowCalHighSetting,MATCH(R89,FlowCalNumber,0),1,1))),INDEX(FlowCalConstA,MATCH(R89,FlowCalNumber,0),1,1)*T100^INDEX(FlowCalConstB,MATCH(R89,FlowCalNumber,0),1,1)," ")</f>
        <v>#N/A</v>
      </c>
      <c r="V100" s="1216"/>
      <c r="W100" s="1217">
        <f t="shared" si="43"/>
        <v>0.5</v>
      </c>
      <c r="X100" s="1218" t="e">
        <f t="shared" ca="1" si="44"/>
        <v>#N/A</v>
      </c>
      <c r="Y100" s="1220" t="e">
        <f ca="1">IF(AND(INDEX(FlowCalConstA,MATCH(V89,FlowCalNumber,0),1,1)*X100^INDEX(FlowCalConstB,MATCH(V89,FlowCalNumber,0),1,1)&gt;INDEX(FlowCalLowSetting,MATCH(V89,FlowCalNumber,0),1,1), (INDEX(FlowCalConstA,MATCH(V89,FlowCalNumber,0),1,1)*X100^INDEX(FlowCalConstB,MATCH(V89,FlowCalNumber,0),1,1)&lt;INDEX(FlowCalHighSetting,MATCH(V89,FlowCalNumber,0),1,1))),INDEX(FlowCalConstA,MATCH(V89,FlowCalNumber,0),1,1)*X100^INDEX(FlowCalConstB,MATCH(V89,FlowCalNumber,0),1,1)," ")</f>
        <v>#N/A</v>
      </c>
    </row>
    <row r="101" spans="1:25">
      <c r="A101" s="412"/>
      <c r="B101" s="2"/>
      <c r="C101" s="235"/>
      <c r="D101" s="24">
        <f>'1% Wind'!$M$93</f>
        <v>2.4</v>
      </c>
      <c r="E101" s="90"/>
      <c r="F101" s="90"/>
      <c r="G101" s="79" t="e">
        <f ca="1">IF(I89=1,$G100,MAX(G100/D100*D101,2))</f>
        <v>#N/A</v>
      </c>
      <c r="H101" s="121" t="e">
        <f t="shared" ca="1" si="36"/>
        <v>#N/A</v>
      </c>
      <c r="J101" s="377"/>
      <c r="K101" s="242">
        <f t="shared" si="37"/>
        <v>1</v>
      </c>
      <c r="L101" s="241" t="e">
        <f t="shared" ca="1" si="38"/>
        <v>#N/A</v>
      </c>
      <c r="M101" s="243" t="e">
        <f ca="1">IF(AND(INDEX(FlowCalConstA,MATCH(J89,FlowCalNumber,0),1,1)*L101^INDEX(FlowCalConstB,MATCH(J89,FlowCalNumber,0),1,1)&gt;INDEX(FlowCalLowSetting,MATCH(J89,FlowCalNumber,0),1,1), (INDEX(FlowCalConstA,MATCH(J89,FlowCalNumber,0),1,1)*L101^INDEX(FlowCalConstB,MATCH(J89,FlowCalNumber,0),1,1)&lt;INDEX(FlowCalHighSetting,MATCH(J89,FlowCalNumber,0),1,1))),INDEX(FlowCalConstA,MATCH(J89,FlowCalNumber,0),1,1)*L101^INDEX(FlowCalConstB,MATCH(J89,FlowCalNumber,0),1,1)," ")</f>
        <v>#N/A</v>
      </c>
      <c r="N101" s="377"/>
      <c r="O101" s="242">
        <f t="shared" si="39"/>
        <v>1</v>
      </c>
      <c r="P101" s="241" t="e">
        <f t="shared" ca="1" si="40"/>
        <v>#N/A</v>
      </c>
      <c r="Q101" s="244" t="e">
        <f ca="1">IF(AND(INDEX(FlowCalConstA,MATCH(N89,FlowCalNumber,0),1,1)*P101^INDEX(FlowCalConstB,MATCH(N89,FlowCalNumber,0),1,1)&gt;INDEX(FlowCalLowSetting,MATCH(N89,FlowCalNumber,0),1,1), (INDEX(FlowCalConstA,MATCH(N89,FlowCalNumber,0),1,1)*P101^INDEX(FlowCalConstB,MATCH(N89,FlowCalNumber,0),1,1)&lt;INDEX(FlowCalHighSetting,MATCH(N89,FlowCalNumber,0),1,1))),INDEX(FlowCalConstA,MATCH(N89,FlowCalNumber,0),1,1)*P101^INDEX(FlowCalConstB,MATCH(N89,FlowCalNumber,0),1,1)," ")</f>
        <v>#N/A</v>
      </c>
      <c r="R101" s="377"/>
      <c r="S101" s="242">
        <f t="shared" si="41"/>
        <v>0.5</v>
      </c>
      <c r="T101" s="241" t="e">
        <f t="shared" ca="1" si="42"/>
        <v>#N/A</v>
      </c>
      <c r="U101" s="243" t="e">
        <f ca="1">IF(AND(INDEX(FlowCalConstA,MATCH(R89,FlowCalNumber,0),1,1)*T101^INDEX(FlowCalConstB,MATCH(R89,FlowCalNumber,0),1,1)&gt;INDEX(FlowCalLowSetting,MATCH(R89,FlowCalNumber,0),1,1), (INDEX(FlowCalConstA,MATCH(R89,FlowCalNumber,0),1,1)*T101^INDEX(FlowCalConstB,MATCH(R89,FlowCalNumber,0),1,1)&lt;INDEX(FlowCalHighSetting,MATCH(R89,FlowCalNumber,0),1,1))),INDEX(FlowCalConstA,MATCH(R89,FlowCalNumber,0),1,1)*T101^INDEX(FlowCalConstB,MATCH(R89,FlowCalNumber,0),1,1)," ")</f>
        <v>#N/A</v>
      </c>
      <c r="V101" s="377"/>
      <c r="W101" s="242">
        <f t="shared" si="43"/>
        <v>0.5</v>
      </c>
      <c r="X101" s="241" t="e">
        <f t="shared" ca="1" si="44"/>
        <v>#N/A</v>
      </c>
      <c r="Y101" s="244" t="e">
        <f ca="1">IF(AND(INDEX(FlowCalConstA,MATCH(V89,FlowCalNumber,0),1,1)*X101^INDEX(FlowCalConstB,MATCH(V89,FlowCalNumber,0),1,1)&gt;INDEX(FlowCalLowSetting,MATCH(V89,FlowCalNumber,0),1,1), (INDEX(FlowCalConstA,MATCH(V89,FlowCalNumber,0),1,1)*X101^INDEX(FlowCalConstB,MATCH(V89,FlowCalNumber,0),1,1)&lt;INDEX(FlowCalHighSetting,MATCH(V89,FlowCalNumber,0),1,1))),INDEX(FlowCalConstA,MATCH(V89,FlowCalNumber,0),1,1)*X101^INDEX(FlowCalConstB,MATCH(V89,FlowCalNumber,0),1,1)," ")</f>
        <v>#N/A</v>
      </c>
    </row>
    <row r="102" spans="1:25" s="1215" customFormat="1">
      <c r="A102" s="1208"/>
      <c r="B102" s="1209"/>
      <c r="C102" s="1210"/>
      <c r="D102" s="1211">
        <f>'1% Wind'!$M$94</f>
        <v>1.8</v>
      </c>
      <c r="E102" s="1212"/>
      <c r="F102" s="1212"/>
      <c r="G102" s="1213" t="e">
        <f ca="1">IF(I89=1,$G101,MAX(G101/D101*D102,2))</f>
        <v>#N/A</v>
      </c>
      <c r="H102" s="1214" t="e">
        <f t="shared" ca="1" si="36"/>
        <v>#N/A</v>
      </c>
      <c r="J102" s="1216"/>
      <c r="K102" s="1217">
        <f t="shared" si="37"/>
        <v>1</v>
      </c>
      <c r="L102" s="1218" t="e">
        <f t="shared" ca="1" si="38"/>
        <v>#N/A</v>
      </c>
      <c r="M102" s="1219" t="e">
        <f ca="1">IF(AND(INDEX(FlowCalConstA,MATCH(J89,FlowCalNumber,0),1,1)*L102^INDEX(FlowCalConstB,MATCH(J89,FlowCalNumber,0),1,1)&gt;INDEX(FlowCalLowSetting,MATCH(J89,FlowCalNumber,0),1,1), (INDEX(FlowCalConstA,MATCH(J89,FlowCalNumber,0),1,1)*L102^INDEX(FlowCalConstB,MATCH(J89,FlowCalNumber,0),1,1)&lt;INDEX(FlowCalHighSetting,MATCH(J89,FlowCalNumber,0),1,1))),INDEX(FlowCalConstA,MATCH(J89,FlowCalNumber,0),1,1)*L102^INDEX(FlowCalConstB,MATCH(J89,FlowCalNumber,0),1,1)," ")</f>
        <v>#N/A</v>
      </c>
      <c r="N102" s="1216"/>
      <c r="O102" s="1217">
        <f t="shared" si="39"/>
        <v>1</v>
      </c>
      <c r="P102" s="1218" t="e">
        <f t="shared" ca="1" si="40"/>
        <v>#N/A</v>
      </c>
      <c r="Q102" s="1220" t="e">
        <f ca="1">IF(AND(INDEX(FlowCalConstA,MATCH(N89,FlowCalNumber,0),1,1)*P102^INDEX(FlowCalConstB,MATCH(N89,FlowCalNumber,0),1,1)&gt;INDEX(FlowCalLowSetting,MATCH(N89,FlowCalNumber,0),1,1), (INDEX(FlowCalConstA,MATCH(N89,FlowCalNumber,0),1,1)*P102^INDEX(FlowCalConstB,MATCH(N89,FlowCalNumber,0),1,1)&lt;INDEX(FlowCalHighSetting,MATCH(N89,FlowCalNumber,0),1,1))),INDEX(FlowCalConstA,MATCH(N89,FlowCalNumber,0),1,1)*P102^INDEX(FlowCalConstB,MATCH(N89,FlowCalNumber,0),1,1)," ")</f>
        <v>#N/A</v>
      </c>
      <c r="R102" s="1216"/>
      <c r="S102" s="1217">
        <f t="shared" si="41"/>
        <v>0.5</v>
      </c>
      <c r="T102" s="1218" t="e">
        <f t="shared" ca="1" si="42"/>
        <v>#N/A</v>
      </c>
      <c r="U102" s="1219" t="e">
        <f ca="1">IF(AND(INDEX(FlowCalConstA,MATCH(R89,FlowCalNumber,0),1,1)*T102^INDEX(FlowCalConstB,MATCH(R89,FlowCalNumber,0),1,1)&gt;INDEX(FlowCalLowSetting,MATCH(R89,FlowCalNumber,0),1,1), (INDEX(FlowCalConstA,MATCH(R89,FlowCalNumber,0),1,1)*T102^INDEX(FlowCalConstB,MATCH(R89,FlowCalNumber,0),1,1)&lt;INDEX(FlowCalHighSetting,MATCH(R89,FlowCalNumber,0),1,1))),INDEX(FlowCalConstA,MATCH(R89,FlowCalNumber,0),1,1)*T102^INDEX(FlowCalConstB,MATCH(R89,FlowCalNumber,0),1,1)," ")</f>
        <v>#N/A</v>
      </c>
      <c r="V102" s="1216"/>
      <c r="W102" s="1217">
        <f t="shared" si="43"/>
        <v>0.5</v>
      </c>
      <c r="X102" s="1218" t="e">
        <f t="shared" ca="1" si="44"/>
        <v>#N/A</v>
      </c>
      <c r="Y102" s="1220" t="e">
        <f ca="1">IF(AND(INDEX(FlowCalConstA,MATCH(V89,FlowCalNumber,0),1,1)*X102^INDEX(FlowCalConstB,MATCH(V89,FlowCalNumber,0),1,1)&gt;INDEX(FlowCalLowSetting,MATCH(V89,FlowCalNumber,0),1,1), (INDEX(FlowCalConstA,MATCH(V89,FlowCalNumber,0),1,1)*X102^INDEX(FlowCalConstB,MATCH(V89,FlowCalNumber,0),1,1)&lt;INDEX(FlowCalHighSetting,MATCH(V89,FlowCalNumber,0),1,1))),INDEX(FlowCalConstA,MATCH(V89,FlowCalNumber,0),1,1)*X102^INDEX(FlowCalConstB,MATCH(V89,FlowCalNumber,0),1,1)," ")</f>
        <v>#N/A</v>
      </c>
    </row>
    <row r="103" spans="1:25">
      <c r="A103" s="412"/>
      <c r="B103" s="2"/>
      <c r="C103" s="235"/>
      <c r="D103" s="24">
        <f>'1% Wind'!$M$95</f>
        <v>1.3</v>
      </c>
      <c r="E103" s="90"/>
      <c r="F103" s="90"/>
      <c r="G103" s="79" t="e">
        <f ca="1">IF(I89=1,$G102,MAX(G102/D102*D103,2))</f>
        <v>#N/A</v>
      </c>
      <c r="H103" s="121" t="e">
        <f t="shared" ca="1" si="36"/>
        <v>#N/A</v>
      </c>
      <c r="J103" s="377"/>
      <c r="K103" s="242">
        <f t="shared" si="37"/>
        <v>1</v>
      </c>
      <c r="L103" s="241" t="e">
        <f t="shared" ca="1" si="38"/>
        <v>#N/A</v>
      </c>
      <c r="M103" s="243" t="e">
        <f ca="1">IF(AND(INDEX(FlowCalConstA,MATCH(J89,FlowCalNumber,0),1,1)*L103^INDEX(FlowCalConstB,MATCH(J89,FlowCalNumber,0),1,1)&gt;INDEX(FlowCalLowSetting,MATCH(J89,FlowCalNumber,0),1,1), (INDEX(FlowCalConstA,MATCH(J89,FlowCalNumber,0),1,1)*L103^INDEX(FlowCalConstB,MATCH(J89,FlowCalNumber,0),1,1)&lt;INDEX(FlowCalHighSetting,MATCH(J89,FlowCalNumber,0),1,1))),INDEX(FlowCalConstA,MATCH(J89,FlowCalNumber,0),1,1)*L103^INDEX(FlowCalConstB,MATCH(J89,FlowCalNumber,0),1,1)," ")</f>
        <v>#N/A</v>
      </c>
      <c r="N103" s="377"/>
      <c r="O103" s="242">
        <f t="shared" si="39"/>
        <v>1</v>
      </c>
      <c r="P103" s="241" t="e">
        <f t="shared" ca="1" si="40"/>
        <v>#N/A</v>
      </c>
      <c r="Q103" s="244" t="e">
        <f ca="1">IF(AND(INDEX(FlowCalConstA,MATCH(N89,FlowCalNumber,0),1,1)*P103^INDEX(FlowCalConstB,MATCH(N89,FlowCalNumber,0),1,1)&gt;INDEX(FlowCalLowSetting,MATCH(N89,FlowCalNumber,0),1,1), (INDEX(FlowCalConstA,MATCH(N89,FlowCalNumber,0),1,1)*P103^INDEX(FlowCalConstB,MATCH(N89,FlowCalNumber,0),1,1)&lt;INDEX(FlowCalHighSetting,MATCH(N89,FlowCalNumber,0),1,1))),INDEX(FlowCalConstA,MATCH(N89,FlowCalNumber,0),1,1)*P103^INDEX(FlowCalConstB,MATCH(N89,FlowCalNumber,0),1,1)," ")</f>
        <v>#N/A</v>
      </c>
      <c r="R103" s="377"/>
      <c r="S103" s="242">
        <f t="shared" si="41"/>
        <v>0.5</v>
      </c>
      <c r="T103" s="241" t="e">
        <f t="shared" ca="1" si="42"/>
        <v>#N/A</v>
      </c>
      <c r="U103" s="243" t="e">
        <f ca="1">IF(AND(INDEX(FlowCalConstA,MATCH(R89,FlowCalNumber,0),1,1)*T103^INDEX(FlowCalConstB,MATCH(R89,FlowCalNumber,0),1,1)&gt;INDEX(FlowCalLowSetting,MATCH(R89,FlowCalNumber,0),1,1), (INDEX(FlowCalConstA,MATCH(R89,FlowCalNumber,0),1,1)*T103^INDEX(FlowCalConstB,MATCH(R89,FlowCalNumber,0),1,1)&lt;INDEX(FlowCalHighSetting,MATCH(R89,FlowCalNumber,0),1,1))),INDEX(FlowCalConstA,MATCH(R89,FlowCalNumber,0),1,1)*T103^INDEX(FlowCalConstB,MATCH(R89,FlowCalNumber,0),1,1)," ")</f>
        <v>#N/A</v>
      </c>
      <c r="V103" s="377"/>
      <c r="W103" s="242">
        <f t="shared" si="43"/>
        <v>0.5</v>
      </c>
      <c r="X103" s="241" t="e">
        <f t="shared" ca="1" si="44"/>
        <v>#N/A</v>
      </c>
      <c r="Y103" s="244" t="e">
        <f ca="1">IF(AND(INDEX(FlowCalConstA,MATCH(V89,FlowCalNumber,0),1,1)*X103^INDEX(FlowCalConstB,MATCH(V89,FlowCalNumber,0),1,1)&gt;INDEX(FlowCalLowSetting,MATCH(V89,FlowCalNumber,0),1,1), (INDEX(FlowCalConstA,MATCH(V89,FlowCalNumber,0),1,1)*X103^INDEX(FlowCalConstB,MATCH(V89,FlowCalNumber,0),1,1)&lt;INDEX(FlowCalHighSetting,MATCH(V89,FlowCalNumber,0),1,1))),INDEX(FlowCalConstA,MATCH(V89,FlowCalNumber,0),1,1)*X103^INDEX(FlowCalConstB,MATCH(V89,FlowCalNumber,0),1,1)," ")</f>
        <v>#N/A</v>
      </c>
    </row>
    <row r="104" spans="1:25" s="1215" customFormat="1">
      <c r="A104" s="1208"/>
      <c r="B104" s="1209"/>
      <c r="C104" s="1210"/>
      <c r="D104" s="1211">
        <f>'1% Wind'!$M$96</f>
        <v>1</v>
      </c>
      <c r="E104" s="1212"/>
      <c r="F104" s="1212"/>
      <c r="G104" s="1213" t="e">
        <f ca="1">IF(I89=1,$G103,MAX(G103/D103*D104,2))</f>
        <v>#N/A</v>
      </c>
      <c r="H104" s="1214" t="e">
        <f t="shared" ca="1" si="36"/>
        <v>#N/A</v>
      </c>
      <c r="J104" s="1216"/>
      <c r="K104" s="1217">
        <f t="shared" si="37"/>
        <v>1</v>
      </c>
      <c r="L104" s="1218" t="e">
        <f t="shared" ca="1" si="38"/>
        <v>#N/A</v>
      </c>
      <c r="M104" s="1219" t="e">
        <f ca="1">IF(AND(INDEX(FlowCalConstA,MATCH(J89,FlowCalNumber,0),1,1)*L104^INDEX(FlowCalConstB,MATCH(J89,FlowCalNumber,0),1,1)&gt;INDEX(FlowCalLowSetting,MATCH(J89,FlowCalNumber,0),1,1), (INDEX(FlowCalConstA,MATCH(J89,FlowCalNumber,0),1,1)*L104^INDEX(FlowCalConstB,MATCH(J89,FlowCalNumber,0),1,1)&lt;INDEX(FlowCalHighSetting,MATCH(J89,FlowCalNumber,0),1,1))),INDEX(FlowCalConstA,MATCH(J89,FlowCalNumber,0),1,1)*L104^INDEX(FlowCalConstB,MATCH(J89,FlowCalNumber,0),1,1)," ")</f>
        <v>#N/A</v>
      </c>
      <c r="N104" s="1216"/>
      <c r="O104" s="1217">
        <f t="shared" si="39"/>
        <v>1</v>
      </c>
      <c r="P104" s="1218" t="e">
        <f t="shared" ca="1" si="40"/>
        <v>#N/A</v>
      </c>
      <c r="Q104" s="1220" t="e">
        <f ca="1">IF(AND(INDEX(FlowCalConstA,MATCH(N89,FlowCalNumber,0),1,1)*P104^INDEX(FlowCalConstB,MATCH(N89,FlowCalNumber,0),1,1)&gt;INDEX(FlowCalLowSetting,MATCH(N89,FlowCalNumber,0),1,1), (INDEX(FlowCalConstA,MATCH(N89,FlowCalNumber,0),1,1)*P104^INDEX(FlowCalConstB,MATCH(N89,FlowCalNumber,0),1,1)&lt;INDEX(FlowCalHighSetting,MATCH(N89,FlowCalNumber,0),1,1))),INDEX(FlowCalConstA,MATCH(N89,FlowCalNumber,0),1,1)*P104^INDEX(FlowCalConstB,MATCH(N89,FlowCalNumber,0),1,1)," ")</f>
        <v>#N/A</v>
      </c>
      <c r="R104" s="1216"/>
      <c r="S104" s="1217">
        <f t="shared" si="41"/>
        <v>0.5</v>
      </c>
      <c r="T104" s="1218" t="e">
        <f t="shared" ca="1" si="42"/>
        <v>#N/A</v>
      </c>
      <c r="U104" s="1219" t="e">
        <f ca="1">IF(AND(INDEX(FlowCalConstA,MATCH(R89,FlowCalNumber,0),1,1)*T104^INDEX(FlowCalConstB,MATCH(R89,FlowCalNumber,0),1,1)&gt;INDEX(FlowCalLowSetting,MATCH(R89,FlowCalNumber,0),1,1), (INDEX(FlowCalConstA,MATCH(R89,FlowCalNumber,0),1,1)*T104^INDEX(FlowCalConstB,MATCH(R89,FlowCalNumber,0),1,1)&lt;INDEX(FlowCalHighSetting,MATCH(R89,FlowCalNumber,0),1,1))),INDEX(FlowCalConstA,MATCH(R89,FlowCalNumber,0),1,1)*T104^INDEX(FlowCalConstB,MATCH(R89,FlowCalNumber,0),1,1)," ")</f>
        <v>#N/A</v>
      </c>
      <c r="V104" s="1216"/>
      <c r="W104" s="1217">
        <f t="shared" si="43"/>
        <v>0.5</v>
      </c>
      <c r="X104" s="1218" t="e">
        <f t="shared" ca="1" si="44"/>
        <v>#N/A</v>
      </c>
      <c r="Y104" s="1220" t="e">
        <f ca="1">IF(AND(INDEX(FlowCalConstA,MATCH(V89,FlowCalNumber,0),1,1)*X104^INDEX(FlowCalConstB,MATCH(V89,FlowCalNumber,0),1,1)&gt;INDEX(FlowCalLowSetting,MATCH(V89,FlowCalNumber,0),1,1), (INDEX(FlowCalConstA,MATCH(V89,FlowCalNumber,0),1,1)*X104^INDEX(FlowCalConstB,MATCH(V89,FlowCalNumber,0),1,1)&lt;INDEX(FlowCalHighSetting,MATCH(V89,FlowCalNumber,0),1,1))),INDEX(FlowCalConstA,MATCH(V89,FlowCalNumber,0),1,1)*X104^INDEX(FlowCalConstB,MATCH(V89,FlowCalNumber,0),1,1)," ")</f>
        <v>#N/A</v>
      </c>
    </row>
    <row r="105" spans="1:25">
      <c r="A105" s="90"/>
      <c r="C105" s="235"/>
      <c r="E105" s="90"/>
      <c r="F105" s="90"/>
      <c r="G105" s="33"/>
      <c r="J105" s="377"/>
      <c r="M105" s="243"/>
      <c r="N105" s="377"/>
      <c r="Q105" s="244"/>
      <c r="R105" s="377"/>
      <c r="U105" s="243"/>
      <c r="V105" s="377"/>
      <c r="Y105" s="244"/>
    </row>
    <row r="106" spans="1:25">
      <c r="A106" s="639">
        <f>A89+1</f>
        <v>6</v>
      </c>
      <c r="B106" s="42" t="e">
        <f>INDEX(SourceID,MATCH($A106,SourceNumber,0),1,1)</f>
        <v>#N/A</v>
      </c>
      <c r="C106" s="354" t="e">
        <f>INDEX(SourceExitDiameter,MATCH($A106,SourceNumber,0),1,1)*3.28*12</f>
        <v>#N/A</v>
      </c>
      <c r="D106" s="24" t="str">
        <f>UAnem1percent</f>
        <v>1% Wind</v>
      </c>
      <c r="E106" s="85" t="e">
        <f ca="1">INDIRECT(ADDRESS(53,6,1,,$A106))</f>
        <v>#N/A</v>
      </c>
      <c r="F106" s="626" t="e">
        <f ca="1">(ROUND((INDIRECT(ADDRESS(15,7,1,,$A106))*3.28*12*32),0)&amp;"/32")</f>
        <v>#N/A</v>
      </c>
      <c r="G106" s="125" t="e">
        <f ca="1">INDIRECT(ADDRESS(29,7,1,,$A106))</f>
        <v>#N/A</v>
      </c>
      <c r="H106" s="24" t="e">
        <f ca="1">INDIRECT(ADDRESS(19,7,1,,$A106))*100^3</f>
        <v>#N/A</v>
      </c>
      <c r="I106" s="24" t="e">
        <f ca="1">INDIRECT(ADDRESS(53,7,1,,$A106))</f>
        <v>#N/A</v>
      </c>
      <c r="J106" s="20" t="str">
        <f>K$15&amp;$H$6&amp;J$6</f>
        <v>100AirPick a Tunnel</v>
      </c>
      <c r="K106" t="e">
        <f>INDEX(FlowCalGasMixture,MATCH(J106,FlowCalNumber,0),1,1)</f>
        <v>#N/A</v>
      </c>
      <c r="M106" s="355" t="e">
        <f>INDEX(FlowCalDevice,MATCH(J106,FlowCalNumber,0),1,1)</f>
        <v>#N/A</v>
      </c>
      <c r="N106" s="20" t="str">
        <f>O$15&amp;$H$6&amp;N$6</f>
        <v>100AirPick a Tunnel</v>
      </c>
      <c r="O106" t="e">
        <f>INDEX(FlowCalGasMixture,MATCH(N106,FlowCalNumber,0),1,1)</f>
        <v>#N/A</v>
      </c>
      <c r="Q106" s="355" t="e">
        <f>INDEX(FlowCalDevice,MATCH(N106,FlowCalNumber,0),1,1)</f>
        <v>#N/A</v>
      </c>
      <c r="R106" s="20" t="str">
        <f>S$15&amp;$H$6&amp;R$6</f>
        <v>100AirPick a Tunnel</v>
      </c>
      <c r="S106" t="e">
        <f>INDEX(FlowCalGasMixture,MATCH(R106,FlowCalNumber,0),1,1)</f>
        <v>#N/A</v>
      </c>
      <c r="U106" s="944" t="e">
        <f>INDEX(FlowCalDevice,MATCH(R106,FlowCalNumber,0),1,1)</f>
        <v>#N/A</v>
      </c>
      <c r="V106" s="946" t="str">
        <f>W$15&amp;$H$6&amp;V$6</f>
        <v>100AirPick a Tunnel</v>
      </c>
      <c r="W106" t="e">
        <f>INDEX(FlowCalGasMixture,MATCH(V106,FlowCalNumber,0),1,1)</f>
        <v>#N/A</v>
      </c>
      <c r="Y106" s="982" t="e">
        <f>INDEX(FlowCalDevice,MATCH(V106,FlowCalNumber,0),1,1)</f>
        <v>#N/A</v>
      </c>
    </row>
    <row r="107" spans="1:25" s="1215" customFormat="1">
      <c r="A107" s="1208"/>
      <c r="B107" s="1209"/>
      <c r="C107" s="1210"/>
      <c r="D107" s="1211">
        <f>'1% Wind'!$M$82</f>
        <v>27</v>
      </c>
      <c r="E107" s="1212"/>
      <c r="F107" s="1212"/>
      <c r="G107" s="1213" t="e">
        <f ca="1">IF(I106=1,$G106,MAX(G106/D106*D107,2))</f>
        <v>#N/A</v>
      </c>
      <c r="H107" s="1214" t="e">
        <f t="shared" ref="H107:H121" ca="1" si="45">H106*(D106/D107)*(G107/G106)</f>
        <v>#N/A</v>
      </c>
      <c r="J107" s="1216"/>
      <c r="K107" s="1221">
        <f>K$16/100</f>
        <v>1</v>
      </c>
      <c r="L107" s="1218" t="e">
        <f ca="1">K107*$H107</f>
        <v>#N/A</v>
      </c>
      <c r="M107" s="1219" t="e">
        <f ca="1">IF(AND(INDEX(FlowCalConstA,MATCH(J106,FlowCalNumber,0),1,1)*L107^INDEX(FlowCalConstB,MATCH(J106,FlowCalNumber,0),1,1)&gt;INDEX(FlowCalLowSetting,MATCH(J106,FlowCalNumber,0),1,1), (INDEX(FlowCalConstA,MATCH(J106,FlowCalNumber,0),1,1)*L107^INDEX(FlowCalConstB,MATCH(J106,FlowCalNumber,0),1,1)&lt;INDEX(FlowCalHighSetting,MATCH(J106,FlowCalNumber,0),1,1))),INDEX(FlowCalConstA,MATCH(J106,FlowCalNumber,0),1,1)*L107^INDEX(FlowCalConstB,MATCH(J106,FlowCalNumber,0),1,1)," ")</f>
        <v>#N/A</v>
      </c>
      <c r="N107" s="1216"/>
      <c r="O107" s="1221">
        <f>O$16/100</f>
        <v>1</v>
      </c>
      <c r="P107" s="1218" t="e">
        <f ca="1">O107*$H107</f>
        <v>#N/A</v>
      </c>
      <c r="Q107" s="1220" t="e">
        <f ca="1">IF(AND(INDEX(FlowCalConstA,MATCH(N106,FlowCalNumber,0),1,1)*P107^INDEX(FlowCalConstB,MATCH(N106,FlowCalNumber,0),1,1)&gt;INDEX(FlowCalLowSetting,MATCH(N106,FlowCalNumber,0),1,1), (INDEX(FlowCalConstA,MATCH(N106,FlowCalNumber,0),1,1)*P107^INDEX(FlowCalConstB,MATCH(N106,FlowCalNumber,0),1,1)&lt;INDEX(FlowCalHighSetting,MATCH(N106,FlowCalNumber,0),1,1))),INDEX(FlowCalConstA,MATCH(N106,FlowCalNumber,0),1,1)*P107^INDEX(FlowCalConstB,MATCH(N106,FlowCalNumber,0),1,1)," ")</f>
        <v>#N/A</v>
      </c>
      <c r="R107" s="1216"/>
      <c r="S107" s="1221">
        <f>S$16/100</f>
        <v>0.5</v>
      </c>
      <c r="T107" s="1218" t="e">
        <f ca="1">S107*$H107</f>
        <v>#N/A</v>
      </c>
      <c r="U107" s="1219" t="e">
        <f ca="1">IF(AND(INDEX(FlowCalConstA,MATCH(R106,FlowCalNumber,0),1,1)*T107^INDEX(FlowCalConstB,MATCH(R106,FlowCalNumber,0),1,1)&gt;INDEX(FlowCalLowSetting,MATCH(R106,FlowCalNumber,0),1,1), (INDEX(FlowCalConstA,MATCH(R106,FlowCalNumber,0),1,1)*T107^INDEX(FlowCalConstB,MATCH(R106,FlowCalNumber,0),1,1)&lt;INDEX(FlowCalHighSetting,MATCH(R106,FlowCalNumber,0),1,1))),INDEX(FlowCalConstA,MATCH(R106,FlowCalNumber,0),1,1)*T107^INDEX(FlowCalConstB,MATCH(R106,FlowCalNumber,0),1,1)," ")</f>
        <v>#N/A</v>
      </c>
      <c r="V107" s="1216"/>
      <c r="W107" s="1221">
        <f>W$16/100</f>
        <v>0.5</v>
      </c>
      <c r="X107" s="1218" t="e">
        <f ca="1">W107*$H107</f>
        <v>#N/A</v>
      </c>
      <c r="Y107" s="1220" t="e">
        <f ca="1">IF(AND(INDEX(FlowCalConstA,MATCH(V106,FlowCalNumber,0),1,1)*X107^INDEX(FlowCalConstB,MATCH(V106,FlowCalNumber,0),1,1)&gt;INDEX(FlowCalLowSetting,MATCH(V106,FlowCalNumber,0),1,1), (INDEX(FlowCalConstA,MATCH(V106,FlowCalNumber,0),1,1)*X107^INDEX(FlowCalConstB,MATCH(V106,FlowCalNumber,0),1,1)&lt;INDEX(FlowCalHighSetting,MATCH(V106,FlowCalNumber,0),1,1))),INDEX(FlowCalConstA,MATCH(V106,FlowCalNumber,0),1,1)*X107^INDEX(FlowCalConstB,MATCH(V106,FlowCalNumber,0),1,1)," ")</f>
        <v>#N/A</v>
      </c>
    </row>
    <row r="108" spans="1:25">
      <c r="A108" s="412"/>
      <c r="B108" s="2"/>
      <c r="C108" s="235"/>
      <c r="D108" s="24">
        <f>'1% Wind'!$M$83</f>
        <v>23.5</v>
      </c>
      <c r="E108" s="90"/>
      <c r="F108" s="90"/>
      <c r="G108" s="79" t="e">
        <f ca="1">IF(I106=1,$G107,MAX(G107/D107*D108,2))</f>
        <v>#N/A</v>
      </c>
      <c r="H108" s="121" t="e">
        <f t="shared" ca="1" si="45"/>
        <v>#N/A</v>
      </c>
      <c r="J108" s="377"/>
      <c r="K108" s="242">
        <f t="shared" ref="K108:K121" si="46">K107</f>
        <v>1</v>
      </c>
      <c r="L108" s="241" t="e">
        <f t="shared" ref="L108:L121" ca="1" si="47">K108*$H108</f>
        <v>#N/A</v>
      </c>
      <c r="M108" s="243" t="e">
        <f ca="1">IF(AND(INDEX(FlowCalConstA,MATCH(J106,FlowCalNumber,0),1,1)*L108^INDEX(FlowCalConstB,MATCH(J106,FlowCalNumber,0),1,1)&gt;INDEX(FlowCalLowSetting,MATCH(J106,FlowCalNumber,0),1,1), (INDEX(FlowCalConstA,MATCH(J106,FlowCalNumber,0),1,1)*L108^INDEX(FlowCalConstB,MATCH(J106,FlowCalNumber,0),1,1)&lt;INDEX(FlowCalHighSetting,MATCH(J106,FlowCalNumber,0),1,1))),INDEX(FlowCalConstA,MATCH(J106,FlowCalNumber,0),1,1)*L108^INDEX(FlowCalConstB,MATCH(J106,FlowCalNumber,0),1,1)," ")</f>
        <v>#N/A</v>
      </c>
      <c r="N108" s="377"/>
      <c r="O108" s="242">
        <f t="shared" ref="O108:O121" si="48">O107</f>
        <v>1</v>
      </c>
      <c r="P108" s="241" t="e">
        <f t="shared" ref="P108:P121" ca="1" si="49">O108*$H108</f>
        <v>#N/A</v>
      </c>
      <c r="Q108" s="244" t="e">
        <f ca="1">IF(AND(INDEX(FlowCalConstA,MATCH(N106,FlowCalNumber,0),1,1)*P108^INDEX(FlowCalConstB,MATCH(N106,FlowCalNumber,0),1,1)&gt;INDEX(FlowCalLowSetting,MATCH(N106,FlowCalNumber,0),1,1), (INDEX(FlowCalConstA,MATCH(N106,FlowCalNumber,0),1,1)*P108^INDEX(FlowCalConstB,MATCH(N106,FlowCalNumber,0),1,1)&lt;INDEX(FlowCalHighSetting,MATCH(N106,FlowCalNumber,0),1,1))),INDEX(FlowCalConstA,MATCH(N106,FlowCalNumber,0),1,1)*P108^INDEX(FlowCalConstB,MATCH(N106,FlowCalNumber,0),1,1)," ")</f>
        <v>#N/A</v>
      </c>
      <c r="R108" s="377"/>
      <c r="S108" s="242">
        <f t="shared" ref="S108:S121" si="50">S107</f>
        <v>0.5</v>
      </c>
      <c r="T108" s="241" t="e">
        <f t="shared" ref="T108:T121" ca="1" si="51">S108*$H108</f>
        <v>#N/A</v>
      </c>
      <c r="U108" s="243" t="e">
        <f ca="1">IF(AND(INDEX(FlowCalConstA,MATCH(R106,FlowCalNumber,0),1,1)*T108^INDEX(FlowCalConstB,MATCH(R106,FlowCalNumber,0),1,1)&gt;INDEX(FlowCalLowSetting,MATCH(R106,FlowCalNumber,0),1,1), (INDEX(FlowCalConstA,MATCH(R106,FlowCalNumber,0),1,1)*T108^INDEX(FlowCalConstB,MATCH(R106,FlowCalNumber,0),1,1)&lt;INDEX(FlowCalHighSetting,MATCH(R106,FlowCalNumber,0),1,1))),INDEX(FlowCalConstA,MATCH(R106,FlowCalNumber,0),1,1)*T108^INDEX(FlowCalConstB,MATCH(R106,FlowCalNumber,0),1,1)," ")</f>
        <v>#N/A</v>
      </c>
      <c r="V108" s="377"/>
      <c r="W108" s="242">
        <f t="shared" ref="W108:W121" si="52">W107</f>
        <v>0.5</v>
      </c>
      <c r="X108" s="241" t="e">
        <f t="shared" ref="X108:X121" ca="1" si="53">W108*$H108</f>
        <v>#N/A</v>
      </c>
      <c r="Y108" s="244" t="e">
        <f ca="1">IF(AND(INDEX(FlowCalConstA,MATCH(V106,FlowCalNumber,0),1,1)*X108^INDEX(FlowCalConstB,MATCH(V106,FlowCalNumber,0),1,1)&gt;INDEX(FlowCalLowSetting,MATCH(V106,FlowCalNumber,0),1,1), (INDEX(FlowCalConstA,MATCH(V106,FlowCalNumber,0),1,1)*X108^INDEX(FlowCalConstB,MATCH(V106,FlowCalNumber,0),1,1)&lt;INDEX(FlowCalHighSetting,MATCH(V106,FlowCalNumber,0),1,1))),INDEX(FlowCalConstA,MATCH(V106,FlowCalNumber,0),1,1)*X108^INDEX(FlowCalConstB,MATCH(V106,FlowCalNumber,0),1,1)," ")</f>
        <v>#N/A</v>
      </c>
    </row>
    <row r="109" spans="1:25" s="1215" customFormat="1">
      <c r="A109" s="1208"/>
      <c r="B109" s="1209"/>
      <c r="C109" s="1210"/>
      <c r="D109" s="1211">
        <f>'1% Wind'!$M$84</f>
        <v>20.5</v>
      </c>
      <c r="E109" s="1212"/>
      <c r="F109" s="1212"/>
      <c r="G109" s="1213" t="e">
        <f ca="1">IF(I106=1,$G108,MAX(G108/D108*D109,2))</f>
        <v>#N/A</v>
      </c>
      <c r="H109" s="1214" t="e">
        <f t="shared" ca="1" si="45"/>
        <v>#N/A</v>
      </c>
      <c r="J109" s="1216"/>
      <c r="K109" s="1217">
        <f t="shared" si="46"/>
        <v>1</v>
      </c>
      <c r="L109" s="1218" t="e">
        <f t="shared" ca="1" si="47"/>
        <v>#N/A</v>
      </c>
      <c r="M109" s="1219" t="e">
        <f ca="1">IF(AND(INDEX(FlowCalConstA,MATCH(J106,FlowCalNumber,0),1,1)*L109^INDEX(FlowCalConstB,MATCH(J106,FlowCalNumber,0),1,1)&gt;INDEX(FlowCalLowSetting,MATCH(J106,FlowCalNumber,0),1,1), (INDEX(FlowCalConstA,MATCH(J106,FlowCalNumber,0),1,1)*L109^INDEX(FlowCalConstB,MATCH(J106,FlowCalNumber,0),1,1)&lt;INDEX(FlowCalHighSetting,MATCH(J106,FlowCalNumber,0),1,1))),INDEX(FlowCalConstA,MATCH(J106,FlowCalNumber,0),1,1)*L109^INDEX(FlowCalConstB,MATCH(J106,FlowCalNumber,0),1,1)," ")</f>
        <v>#N/A</v>
      </c>
      <c r="N109" s="1216"/>
      <c r="O109" s="1217">
        <f t="shared" si="48"/>
        <v>1</v>
      </c>
      <c r="P109" s="1218" t="e">
        <f t="shared" ca="1" si="49"/>
        <v>#N/A</v>
      </c>
      <c r="Q109" s="1220" t="e">
        <f ca="1">IF(AND(INDEX(FlowCalConstA,MATCH(N106,FlowCalNumber,0),1,1)*P109^INDEX(FlowCalConstB,MATCH(N106,FlowCalNumber,0),1,1)&gt;INDEX(FlowCalLowSetting,MATCH(N106,FlowCalNumber,0),1,1), (INDEX(FlowCalConstA,MATCH(N106,FlowCalNumber,0),1,1)*P109^INDEX(FlowCalConstB,MATCH(N106,FlowCalNumber,0),1,1)&lt;INDEX(FlowCalHighSetting,MATCH(N106,FlowCalNumber,0),1,1))),INDEX(FlowCalConstA,MATCH(N106,FlowCalNumber,0),1,1)*P109^INDEX(FlowCalConstB,MATCH(N106,FlowCalNumber,0),1,1)," ")</f>
        <v>#N/A</v>
      </c>
      <c r="R109" s="1216"/>
      <c r="S109" s="1217">
        <f t="shared" si="50"/>
        <v>0.5</v>
      </c>
      <c r="T109" s="1218" t="e">
        <f t="shared" ca="1" si="51"/>
        <v>#N/A</v>
      </c>
      <c r="U109" s="1219" t="e">
        <f ca="1">IF(AND(INDEX(FlowCalConstA,MATCH(R106,FlowCalNumber,0),1,1)*T109^INDEX(FlowCalConstB,MATCH(R106,FlowCalNumber,0),1,1)&gt;INDEX(FlowCalLowSetting,MATCH(R106,FlowCalNumber,0),1,1), (INDEX(FlowCalConstA,MATCH(R106,FlowCalNumber,0),1,1)*T109^INDEX(FlowCalConstB,MATCH(R106,FlowCalNumber,0),1,1)&lt;INDEX(FlowCalHighSetting,MATCH(R106,FlowCalNumber,0),1,1))),INDEX(FlowCalConstA,MATCH(R106,FlowCalNumber,0),1,1)*T109^INDEX(FlowCalConstB,MATCH(R106,FlowCalNumber,0),1,1)," ")</f>
        <v>#N/A</v>
      </c>
      <c r="V109" s="1216"/>
      <c r="W109" s="1217">
        <f t="shared" si="52"/>
        <v>0.5</v>
      </c>
      <c r="X109" s="1218" t="e">
        <f t="shared" ca="1" si="53"/>
        <v>#N/A</v>
      </c>
      <c r="Y109" s="1220" t="e">
        <f ca="1">IF(AND(INDEX(FlowCalConstA,MATCH(V106,FlowCalNumber,0),1,1)*X109^INDEX(FlowCalConstB,MATCH(V106,FlowCalNumber,0),1,1)&gt;INDEX(FlowCalLowSetting,MATCH(V106,FlowCalNumber,0),1,1), (INDEX(FlowCalConstA,MATCH(V106,FlowCalNumber,0),1,1)*X109^INDEX(FlowCalConstB,MATCH(V106,FlowCalNumber,0),1,1)&lt;INDEX(FlowCalHighSetting,MATCH(V106,FlowCalNumber,0),1,1))),INDEX(FlowCalConstA,MATCH(V106,FlowCalNumber,0),1,1)*X109^INDEX(FlowCalConstB,MATCH(V106,FlowCalNumber,0),1,1)," ")</f>
        <v>#N/A</v>
      </c>
    </row>
    <row r="110" spans="1:25">
      <c r="A110" s="412"/>
      <c r="B110" s="2"/>
      <c r="C110" s="235"/>
      <c r="D110" s="24">
        <f>'1% Wind'!$M$85</f>
        <v>17.8</v>
      </c>
      <c r="E110" s="90"/>
      <c r="F110" s="90"/>
      <c r="G110" s="79" t="e">
        <f ca="1">IF(I106=1,$G109,MAX(G109/D109*D110,2))</f>
        <v>#N/A</v>
      </c>
      <c r="H110" s="121" t="e">
        <f t="shared" ca="1" si="45"/>
        <v>#N/A</v>
      </c>
      <c r="J110" s="377"/>
      <c r="K110" s="242">
        <f t="shared" si="46"/>
        <v>1</v>
      </c>
      <c r="L110" s="241" t="e">
        <f t="shared" ca="1" si="47"/>
        <v>#N/A</v>
      </c>
      <c r="M110" s="243" t="e">
        <f ca="1">IF(AND(INDEX(FlowCalConstA,MATCH(J106,FlowCalNumber,0),1,1)*L110^INDEX(FlowCalConstB,MATCH(J106,FlowCalNumber,0),1,1)&gt;INDEX(FlowCalLowSetting,MATCH(J106,FlowCalNumber,0),1,1), (INDEX(FlowCalConstA,MATCH(J106,FlowCalNumber,0),1,1)*L110^INDEX(FlowCalConstB,MATCH(J106,FlowCalNumber,0),1,1)&lt;INDEX(FlowCalHighSetting,MATCH(J106,FlowCalNumber,0),1,1))),INDEX(FlowCalConstA,MATCH(J106,FlowCalNumber,0),1,1)*L110^INDEX(FlowCalConstB,MATCH(J106,FlowCalNumber,0),1,1)," ")</f>
        <v>#N/A</v>
      </c>
      <c r="N110" s="377"/>
      <c r="O110" s="242">
        <f t="shared" si="48"/>
        <v>1</v>
      </c>
      <c r="P110" s="241" t="e">
        <f t="shared" ca="1" si="49"/>
        <v>#N/A</v>
      </c>
      <c r="Q110" s="244" t="e">
        <f ca="1">IF(AND(INDEX(FlowCalConstA,MATCH(N106,FlowCalNumber,0),1,1)*P110^INDEX(FlowCalConstB,MATCH(N106,FlowCalNumber,0),1,1)&gt;INDEX(FlowCalLowSetting,MATCH(N106,FlowCalNumber,0),1,1), (INDEX(FlowCalConstA,MATCH(N106,FlowCalNumber,0),1,1)*P110^INDEX(FlowCalConstB,MATCH(N106,FlowCalNumber,0),1,1)&lt;INDEX(FlowCalHighSetting,MATCH(N106,FlowCalNumber,0),1,1))),INDEX(FlowCalConstA,MATCH(N106,FlowCalNumber,0),1,1)*P110^INDEX(FlowCalConstB,MATCH(N106,FlowCalNumber,0),1,1)," ")</f>
        <v>#N/A</v>
      </c>
      <c r="R110" s="377"/>
      <c r="S110" s="242">
        <f t="shared" si="50"/>
        <v>0.5</v>
      </c>
      <c r="T110" s="241" t="e">
        <f t="shared" ca="1" si="51"/>
        <v>#N/A</v>
      </c>
      <c r="U110" s="243" t="e">
        <f ca="1">IF(AND(INDEX(FlowCalConstA,MATCH(R106,FlowCalNumber,0),1,1)*T110^INDEX(FlowCalConstB,MATCH(R106,FlowCalNumber,0),1,1)&gt;INDEX(FlowCalLowSetting,MATCH(R106,FlowCalNumber,0),1,1), (INDEX(FlowCalConstA,MATCH(R106,FlowCalNumber,0),1,1)*T110^INDEX(FlowCalConstB,MATCH(R106,FlowCalNumber,0),1,1)&lt;INDEX(FlowCalHighSetting,MATCH(R106,FlowCalNumber,0),1,1))),INDEX(FlowCalConstA,MATCH(R106,FlowCalNumber,0),1,1)*T110^INDEX(FlowCalConstB,MATCH(R106,FlowCalNumber,0),1,1)," ")</f>
        <v>#N/A</v>
      </c>
      <c r="V110" s="377"/>
      <c r="W110" s="242">
        <f t="shared" si="52"/>
        <v>0.5</v>
      </c>
      <c r="X110" s="241" t="e">
        <f t="shared" ca="1" si="53"/>
        <v>#N/A</v>
      </c>
      <c r="Y110" s="244" t="e">
        <f ca="1">IF(AND(INDEX(FlowCalConstA,MATCH(V106,FlowCalNumber,0),1,1)*X110^INDEX(FlowCalConstB,MATCH(V106,FlowCalNumber,0),1,1)&gt;INDEX(FlowCalLowSetting,MATCH(V106,FlowCalNumber,0),1,1), (INDEX(FlowCalConstA,MATCH(V106,FlowCalNumber,0),1,1)*X110^INDEX(FlowCalConstB,MATCH(V106,FlowCalNumber,0),1,1)&lt;INDEX(FlowCalHighSetting,MATCH(V106,FlowCalNumber,0),1,1))),INDEX(FlowCalConstA,MATCH(V106,FlowCalNumber,0),1,1)*X110^INDEX(FlowCalConstB,MATCH(V106,FlowCalNumber,0),1,1)," ")</f>
        <v>#N/A</v>
      </c>
    </row>
    <row r="111" spans="1:25" s="1215" customFormat="1">
      <c r="A111" s="1208"/>
      <c r="B111" s="1209"/>
      <c r="C111" s="1210"/>
      <c r="D111" s="1211">
        <f>'1% Wind'!$M$86</f>
        <v>15.5</v>
      </c>
      <c r="E111" s="1212"/>
      <c r="F111" s="1212"/>
      <c r="G111" s="1213" t="e">
        <f ca="1">IF(I106=1,$G110,MAX(G110/D110*D111,2))</f>
        <v>#N/A</v>
      </c>
      <c r="H111" s="1214" t="e">
        <f t="shared" ca="1" si="45"/>
        <v>#N/A</v>
      </c>
      <c r="J111" s="1216"/>
      <c r="K111" s="1217">
        <f t="shared" si="46"/>
        <v>1</v>
      </c>
      <c r="L111" s="1218" t="e">
        <f t="shared" ca="1" si="47"/>
        <v>#N/A</v>
      </c>
      <c r="M111" s="1219" t="e">
        <f ca="1">IF(AND(INDEX(FlowCalConstA,MATCH(J106,FlowCalNumber,0),1,1)*L111^INDEX(FlowCalConstB,MATCH(J106,FlowCalNumber,0),1,1)&gt;INDEX(FlowCalLowSetting,MATCH(J106,FlowCalNumber,0),1,1), (INDEX(FlowCalConstA,MATCH(J106,FlowCalNumber,0),1,1)*L111^INDEX(FlowCalConstB,MATCH(J106,FlowCalNumber,0),1,1)&lt;INDEX(FlowCalHighSetting,MATCH(J106,FlowCalNumber,0),1,1))),INDEX(FlowCalConstA,MATCH(J106,FlowCalNumber,0),1,1)*L111^INDEX(FlowCalConstB,MATCH(J106,FlowCalNumber,0),1,1)," ")</f>
        <v>#N/A</v>
      </c>
      <c r="N111" s="1216"/>
      <c r="O111" s="1217">
        <f t="shared" si="48"/>
        <v>1</v>
      </c>
      <c r="P111" s="1218" t="e">
        <f t="shared" ca="1" si="49"/>
        <v>#N/A</v>
      </c>
      <c r="Q111" s="1220" t="e">
        <f ca="1">IF(AND(INDEX(FlowCalConstA,MATCH(N106,FlowCalNumber,0),1,1)*P111^INDEX(FlowCalConstB,MATCH(N106,FlowCalNumber,0),1,1)&gt;INDEX(FlowCalLowSetting,MATCH(N106,FlowCalNumber,0),1,1), (INDEX(FlowCalConstA,MATCH(N106,FlowCalNumber,0),1,1)*P111^INDEX(FlowCalConstB,MATCH(N106,FlowCalNumber,0),1,1)&lt;INDEX(FlowCalHighSetting,MATCH(N106,FlowCalNumber,0),1,1))),INDEX(FlowCalConstA,MATCH(N106,FlowCalNumber,0),1,1)*P111^INDEX(FlowCalConstB,MATCH(N106,FlowCalNumber,0),1,1)," ")</f>
        <v>#N/A</v>
      </c>
      <c r="R111" s="1216"/>
      <c r="S111" s="1217">
        <f t="shared" si="50"/>
        <v>0.5</v>
      </c>
      <c r="T111" s="1218" t="e">
        <f t="shared" ca="1" si="51"/>
        <v>#N/A</v>
      </c>
      <c r="U111" s="1219" t="e">
        <f ca="1">IF(AND(INDEX(FlowCalConstA,MATCH(R106,FlowCalNumber,0),1,1)*T111^INDEX(FlowCalConstB,MATCH(R106,FlowCalNumber,0),1,1)&gt;INDEX(FlowCalLowSetting,MATCH(R106,FlowCalNumber,0),1,1), (INDEX(FlowCalConstA,MATCH(R106,FlowCalNumber,0),1,1)*T111^INDEX(FlowCalConstB,MATCH(R106,FlowCalNumber,0),1,1)&lt;INDEX(FlowCalHighSetting,MATCH(R106,FlowCalNumber,0),1,1))),INDEX(FlowCalConstA,MATCH(R106,FlowCalNumber,0),1,1)*T111^INDEX(FlowCalConstB,MATCH(R106,FlowCalNumber,0),1,1)," ")</f>
        <v>#N/A</v>
      </c>
      <c r="V111" s="1216"/>
      <c r="W111" s="1217">
        <f t="shared" si="52"/>
        <v>0.5</v>
      </c>
      <c r="X111" s="1218" t="e">
        <f t="shared" ca="1" si="53"/>
        <v>#N/A</v>
      </c>
      <c r="Y111" s="1220" t="e">
        <f ca="1">IF(AND(INDEX(FlowCalConstA,MATCH(V106,FlowCalNumber,0),1,1)*X111^INDEX(FlowCalConstB,MATCH(V106,FlowCalNumber,0),1,1)&gt;INDEX(FlowCalLowSetting,MATCH(V106,FlowCalNumber,0),1,1), (INDEX(FlowCalConstA,MATCH(V106,FlowCalNumber,0),1,1)*X111^INDEX(FlowCalConstB,MATCH(V106,FlowCalNumber,0),1,1)&lt;INDEX(FlowCalHighSetting,MATCH(V106,FlowCalNumber,0),1,1))),INDEX(FlowCalConstA,MATCH(V106,FlowCalNumber,0),1,1)*X111^INDEX(FlowCalConstB,MATCH(V106,FlowCalNumber,0),1,1)," ")</f>
        <v>#N/A</v>
      </c>
    </row>
    <row r="112" spans="1:25">
      <c r="A112" s="412"/>
      <c r="B112" s="2"/>
      <c r="C112" s="235"/>
      <c r="D112" s="24">
        <f>'1% Wind'!$M$87</f>
        <v>13.5</v>
      </c>
      <c r="E112" s="90"/>
      <c r="F112" s="90"/>
      <c r="G112" s="79" t="e">
        <f ca="1">IF(I106=1,$G111,MAX(G111/D111*D112,2))</f>
        <v>#N/A</v>
      </c>
      <c r="H112" s="121" t="e">
        <f t="shared" ca="1" si="45"/>
        <v>#N/A</v>
      </c>
      <c r="J112" s="377"/>
      <c r="K112" s="242">
        <f t="shared" si="46"/>
        <v>1</v>
      </c>
      <c r="L112" s="241" t="e">
        <f t="shared" ca="1" si="47"/>
        <v>#N/A</v>
      </c>
      <c r="M112" s="243" t="e">
        <f ca="1">IF(AND(INDEX(FlowCalConstA,MATCH(J106,FlowCalNumber,0),1,1)*L112^INDEX(FlowCalConstB,MATCH(J106,FlowCalNumber,0),1,1)&gt;INDEX(FlowCalLowSetting,MATCH(J106,FlowCalNumber,0),1,1), (INDEX(FlowCalConstA,MATCH(J106,FlowCalNumber,0),1,1)*L112^INDEX(FlowCalConstB,MATCH(J106,FlowCalNumber,0),1,1)&lt;INDEX(FlowCalHighSetting,MATCH(J106,FlowCalNumber,0),1,1))),INDEX(FlowCalConstA,MATCH(J106,FlowCalNumber,0),1,1)*L112^INDEX(FlowCalConstB,MATCH(J106,FlowCalNumber,0),1,1)," ")</f>
        <v>#N/A</v>
      </c>
      <c r="N112" s="377"/>
      <c r="O112" s="242">
        <f t="shared" si="48"/>
        <v>1</v>
      </c>
      <c r="P112" s="241" t="e">
        <f t="shared" ca="1" si="49"/>
        <v>#N/A</v>
      </c>
      <c r="Q112" s="244" t="e">
        <f ca="1">IF(AND(INDEX(FlowCalConstA,MATCH(N106,FlowCalNumber,0),1,1)*P112^INDEX(FlowCalConstB,MATCH(N106,FlowCalNumber,0),1,1)&gt;INDEX(FlowCalLowSetting,MATCH(N106,FlowCalNumber,0),1,1), (INDEX(FlowCalConstA,MATCH(N106,FlowCalNumber,0),1,1)*P112^INDEX(FlowCalConstB,MATCH(N106,FlowCalNumber,0),1,1)&lt;INDEX(FlowCalHighSetting,MATCH(N106,FlowCalNumber,0),1,1))),INDEX(FlowCalConstA,MATCH(N106,FlowCalNumber,0),1,1)*P112^INDEX(FlowCalConstB,MATCH(N106,FlowCalNumber,0),1,1)," ")</f>
        <v>#N/A</v>
      </c>
      <c r="R112" s="377"/>
      <c r="S112" s="242">
        <f t="shared" si="50"/>
        <v>0.5</v>
      </c>
      <c r="T112" s="241" t="e">
        <f t="shared" ca="1" si="51"/>
        <v>#N/A</v>
      </c>
      <c r="U112" s="243" t="e">
        <f ca="1">IF(AND(INDEX(FlowCalConstA,MATCH(R106,FlowCalNumber,0),1,1)*T112^INDEX(FlowCalConstB,MATCH(R106,FlowCalNumber,0),1,1)&gt;INDEX(FlowCalLowSetting,MATCH(R106,FlowCalNumber,0),1,1), (INDEX(FlowCalConstA,MATCH(R106,FlowCalNumber,0),1,1)*T112^INDEX(FlowCalConstB,MATCH(R106,FlowCalNumber,0),1,1)&lt;INDEX(FlowCalHighSetting,MATCH(R106,FlowCalNumber,0),1,1))),INDEX(FlowCalConstA,MATCH(R106,FlowCalNumber,0),1,1)*T112^INDEX(FlowCalConstB,MATCH(R106,FlowCalNumber,0),1,1)," ")</f>
        <v>#N/A</v>
      </c>
      <c r="V112" s="377"/>
      <c r="W112" s="242">
        <f t="shared" si="52"/>
        <v>0.5</v>
      </c>
      <c r="X112" s="241" t="e">
        <f t="shared" ca="1" si="53"/>
        <v>#N/A</v>
      </c>
      <c r="Y112" s="244" t="e">
        <f ca="1">IF(AND(INDEX(FlowCalConstA,MATCH(V106,FlowCalNumber,0),1,1)*X112^INDEX(FlowCalConstB,MATCH(V106,FlowCalNumber,0),1,1)&gt;INDEX(FlowCalLowSetting,MATCH(V106,FlowCalNumber,0),1,1), (INDEX(FlowCalConstA,MATCH(V106,FlowCalNumber,0),1,1)*X112^INDEX(FlowCalConstB,MATCH(V106,FlowCalNumber,0),1,1)&lt;INDEX(FlowCalHighSetting,MATCH(V106,FlowCalNumber,0),1,1))),INDEX(FlowCalConstA,MATCH(V106,FlowCalNumber,0),1,1)*X112^INDEX(FlowCalConstB,MATCH(V106,FlowCalNumber,0),1,1)," ")</f>
        <v>#N/A</v>
      </c>
    </row>
    <row r="113" spans="1:25" s="1215" customFormat="1">
      <c r="A113" s="1208"/>
      <c r="B113" s="1209"/>
      <c r="C113" s="1210"/>
      <c r="D113" s="1211">
        <f>'1% Wind'!$M$88</f>
        <v>10.1</v>
      </c>
      <c r="E113" s="1212"/>
      <c r="F113" s="1212"/>
      <c r="G113" s="1213" t="e">
        <f ca="1">IF(I106=1,$G112,MAX(G112/D112*D113,2))</f>
        <v>#N/A</v>
      </c>
      <c r="H113" s="1214" t="e">
        <f t="shared" ca="1" si="45"/>
        <v>#N/A</v>
      </c>
      <c r="J113" s="1216"/>
      <c r="K113" s="1217">
        <f t="shared" si="46"/>
        <v>1</v>
      </c>
      <c r="L113" s="1218" t="e">
        <f t="shared" ca="1" si="47"/>
        <v>#N/A</v>
      </c>
      <c r="M113" s="1219" t="e">
        <f ca="1">IF(AND(INDEX(FlowCalConstA,MATCH(J106,FlowCalNumber,0),1,1)*L113^INDEX(FlowCalConstB,MATCH(J106,FlowCalNumber,0),1,1)&gt;INDEX(FlowCalLowSetting,MATCH(J106,FlowCalNumber,0),1,1), (INDEX(FlowCalConstA,MATCH(J106,FlowCalNumber,0),1,1)*L113^INDEX(FlowCalConstB,MATCH(J106,FlowCalNumber,0),1,1)&lt;INDEX(FlowCalHighSetting,MATCH(J106,FlowCalNumber,0),1,1))),INDEX(FlowCalConstA,MATCH(J106,FlowCalNumber,0),1,1)*L113^INDEX(FlowCalConstB,MATCH(J106,FlowCalNumber,0),1,1)," ")</f>
        <v>#N/A</v>
      </c>
      <c r="N113" s="1216"/>
      <c r="O113" s="1217">
        <f t="shared" si="48"/>
        <v>1</v>
      </c>
      <c r="P113" s="1218" t="e">
        <f t="shared" ca="1" si="49"/>
        <v>#N/A</v>
      </c>
      <c r="Q113" s="1220" t="e">
        <f ca="1">IF(AND(INDEX(FlowCalConstA,MATCH(N106,FlowCalNumber,0),1,1)*P113^INDEX(FlowCalConstB,MATCH(N106,FlowCalNumber,0),1,1)&gt;INDEX(FlowCalLowSetting,MATCH(N106,FlowCalNumber,0),1,1), (INDEX(FlowCalConstA,MATCH(N106,FlowCalNumber,0),1,1)*P113^INDEX(FlowCalConstB,MATCH(N106,FlowCalNumber,0),1,1)&lt;INDEX(FlowCalHighSetting,MATCH(N106,FlowCalNumber,0),1,1))),INDEX(FlowCalConstA,MATCH(N106,FlowCalNumber,0),1,1)*P113^INDEX(FlowCalConstB,MATCH(N106,FlowCalNumber,0),1,1)," ")</f>
        <v>#N/A</v>
      </c>
      <c r="R113" s="1216"/>
      <c r="S113" s="1217">
        <f t="shared" si="50"/>
        <v>0.5</v>
      </c>
      <c r="T113" s="1218" t="e">
        <f t="shared" ca="1" si="51"/>
        <v>#N/A</v>
      </c>
      <c r="U113" s="1219" t="e">
        <f ca="1">IF(AND(INDEX(FlowCalConstA,MATCH(R106,FlowCalNumber,0),1,1)*T113^INDEX(FlowCalConstB,MATCH(R106,FlowCalNumber,0),1,1)&gt;INDEX(FlowCalLowSetting,MATCH(R106,FlowCalNumber,0),1,1), (INDEX(FlowCalConstA,MATCH(R106,FlowCalNumber,0),1,1)*T113^INDEX(FlowCalConstB,MATCH(R106,FlowCalNumber,0),1,1)&lt;INDEX(FlowCalHighSetting,MATCH(R106,FlowCalNumber,0),1,1))),INDEX(FlowCalConstA,MATCH(R106,FlowCalNumber,0),1,1)*T113^INDEX(FlowCalConstB,MATCH(R106,FlowCalNumber,0),1,1)," ")</f>
        <v>#N/A</v>
      </c>
      <c r="V113" s="1216"/>
      <c r="W113" s="1217">
        <f t="shared" si="52"/>
        <v>0.5</v>
      </c>
      <c r="X113" s="1218" t="e">
        <f t="shared" ca="1" si="53"/>
        <v>#N/A</v>
      </c>
      <c r="Y113" s="1220" t="e">
        <f ca="1">IF(AND(INDEX(FlowCalConstA,MATCH(V106,FlowCalNumber,0),1,1)*X113^INDEX(FlowCalConstB,MATCH(V106,FlowCalNumber,0),1,1)&gt;INDEX(FlowCalLowSetting,MATCH(V106,FlowCalNumber,0),1,1), (INDEX(FlowCalConstA,MATCH(V106,FlowCalNumber,0),1,1)*X113^INDEX(FlowCalConstB,MATCH(V106,FlowCalNumber,0),1,1)&lt;INDEX(FlowCalHighSetting,MATCH(V106,FlowCalNumber,0),1,1))),INDEX(FlowCalConstA,MATCH(V106,FlowCalNumber,0),1,1)*X113^INDEX(FlowCalConstB,MATCH(V106,FlowCalNumber,0),1,1)," ")</f>
        <v>#N/A</v>
      </c>
    </row>
    <row r="114" spans="1:25">
      <c r="A114" s="412"/>
      <c r="B114" s="2"/>
      <c r="C114" s="235"/>
      <c r="D114" s="24">
        <f>'1% Wind'!$M$89</f>
        <v>7.6</v>
      </c>
      <c r="E114" s="90"/>
      <c r="F114" s="90"/>
      <c r="G114" s="79" t="e">
        <f ca="1">IF(I106=1,$G113,MAX(G113/D113*D114,2))</f>
        <v>#N/A</v>
      </c>
      <c r="H114" s="121" t="e">
        <f t="shared" ca="1" si="45"/>
        <v>#N/A</v>
      </c>
      <c r="J114" s="377"/>
      <c r="K114" s="242">
        <f t="shared" si="46"/>
        <v>1</v>
      </c>
      <c r="L114" s="241" t="e">
        <f t="shared" ca="1" si="47"/>
        <v>#N/A</v>
      </c>
      <c r="M114" s="243" t="e">
        <f ca="1">IF(AND(INDEX(FlowCalConstA,MATCH(J106,FlowCalNumber,0),1,1)*L114^INDEX(FlowCalConstB,MATCH(J106,FlowCalNumber,0),1,1)&gt;INDEX(FlowCalLowSetting,MATCH(J106,FlowCalNumber,0),1,1), (INDEX(FlowCalConstA,MATCH(J106,FlowCalNumber,0),1,1)*L114^INDEX(FlowCalConstB,MATCH(J106,FlowCalNumber,0),1,1)&lt;INDEX(FlowCalHighSetting,MATCH(J106,FlowCalNumber,0),1,1))),INDEX(FlowCalConstA,MATCH(J106,FlowCalNumber,0),1,1)*L114^INDEX(FlowCalConstB,MATCH(J106,FlowCalNumber,0),1,1)," ")</f>
        <v>#N/A</v>
      </c>
      <c r="N114" s="377"/>
      <c r="O114" s="242">
        <f t="shared" si="48"/>
        <v>1</v>
      </c>
      <c r="P114" s="241" t="e">
        <f t="shared" ca="1" si="49"/>
        <v>#N/A</v>
      </c>
      <c r="Q114" s="244" t="e">
        <f ca="1">IF(AND(INDEX(FlowCalConstA,MATCH(N106,FlowCalNumber,0),1,1)*P114^INDEX(FlowCalConstB,MATCH(N106,FlowCalNumber,0),1,1)&gt;INDEX(FlowCalLowSetting,MATCH(N106,FlowCalNumber,0),1,1), (INDEX(FlowCalConstA,MATCH(N106,FlowCalNumber,0),1,1)*P114^INDEX(FlowCalConstB,MATCH(N106,FlowCalNumber,0),1,1)&lt;INDEX(FlowCalHighSetting,MATCH(N106,FlowCalNumber,0),1,1))),INDEX(FlowCalConstA,MATCH(N106,FlowCalNumber,0),1,1)*P114^INDEX(FlowCalConstB,MATCH(N106,FlowCalNumber,0),1,1)," ")</f>
        <v>#N/A</v>
      </c>
      <c r="R114" s="377"/>
      <c r="S114" s="242">
        <f t="shared" si="50"/>
        <v>0.5</v>
      </c>
      <c r="T114" s="241" t="e">
        <f t="shared" ca="1" si="51"/>
        <v>#N/A</v>
      </c>
      <c r="U114" s="243" t="e">
        <f ca="1">IF(AND(INDEX(FlowCalConstA,MATCH(R106,FlowCalNumber,0),1,1)*T114^INDEX(FlowCalConstB,MATCH(R106,FlowCalNumber,0),1,1)&gt;INDEX(FlowCalLowSetting,MATCH(R106,FlowCalNumber,0),1,1), (INDEX(FlowCalConstA,MATCH(R106,FlowCalNumber,0),1,1)*T114^INDEX(FlowCalConstB,MATCH(R106,FlowCalNumber,0),1,1)&lt;INDEX(FlowCalHighSetting,MATCH(R106,FlowCalNumber,0),1,1))),INDEX(FlowCalConstA,MATCH(R106,FlowCalNumber,0),1,1)*T114^INDEX(FlowCalConstB,MATCH(R106,FlowCalNumber,0),1,1)," ")</f>
        <v>#N/A</v>
      </c>
      <c r="V114" s="377"/>
      <c r="W114" s="242">
        <f t="shared" si="52"/>
        <v>0.5</v>
      </c>
      <c r="X114" s="241" t="e">
        <f t="shared" ca="1" si="53"/>
        <v>#N/A</v>
      </c>
      <c r="Y114" s="244" t="e">
        <f ca="1">IF(AND(INDEX(FlowCalConstA,MATCH(V106,FlowCalNumber,0),1,1)*X114^INDEX(FlowCalConstB,MATCH(V106,FlowCalNumber,0),1,1)&gt;INDEX(FlowCalLowSetting,MATCH(V106,FlowCalNumber,0),1,1), (INDEX(FlowCalConstA,MATCH(V106,FlowCalNumber,0),1,1)*X114^INDEX(FlowCalConstB,MATCH(V106,FlowCalNumber,0),1,1)&lt;INDEX(FlowCalHighSetting,MATCH(V106,FlowCalNumber,0),1,1))),INDEX(FlowCalConstA,MATCH(V106,FlowCalNumber,0),1,1)*X114^INDEX(FlowCalConstB,MATCH(V106,FlowCalNumber,0),1,1)," ")</f>
        <v>#N/A</v>
      </c>
    </row>
    <row r="115" spans="1:25" s="1215" customFormat="1">
      <c r="A115" s="1208"/>
      <c r="B115" s="1209"/>
      <c r="C115" s="1210"/>
      <c r="D115" s="1211">
        <f>'1% Wind'!$M$90</f>
        <v>5.7</v>
      </c>
      <c r="E115" s="1212"/>
      <c r="F115" s="1212"/>
      <c r="G115" s="1213" t="e">
        <f ca="1">IF(I106=1,$G114,MAX(G114/D114*D115,2))</f>
        <v>#N/A</v>
      </c>
      <c r="H115" s="1214" t="e">
        <f t="shared" ca="1" si="45"/>
        <v>#N/A</v>
      </c>
      <c r="J115" s="1216"/>
      <c r="K115" s="1217">
        <f t="shared" si="46"/>
        <v>1</v>
      </c>
      <c r="L115" s="1218" t="e">
        <f t="shared" ca="1" si="47"/>
        <v>#N/A</v>
      </c>
      <c r="M115" s="1219" t="e">
        <f ca="1">IF(AND(INDEX(FlowCalConstA,MATCH(J106,FlowCalNumber,0),1,1)*L115^INDEX(FlowCalConstB,MATCH(J106,FlowCalNumber,0),1,1)&gt;INDEX(FlowCalLowSetting,MATCH(J106,FlowCalNumber,0),1,1), (INDEX(FlowCalConstA,MATCH(J106,FlowCalNumber,0),1,1)*L115^INDEX(FlowCalConstB,MATCH(J106,FlowCalNumber,0),1,1)&lt;INDEX(FlowCalHighSetting,MATCH(J106,FlowCalNumber,0),1,1))),INDEX(FlowCalConstA,MATCH(J106,FlowCalNumber,0),1,1)*L115^INDEX(FlowCalConstB,MATCH(J106,FlowCalNumber,0),1,1)," ")</f>
        <v>#N/A</v>
      </c>
      <c r="N115" s="1216"/>
      <c r="O115" s="1217">
        <f t="shared" si="48"/>
        <v>1</v>
      </c>
      <c r="P115" s="1218" t="e">
        <f t="shared" ca="1" si="49"/>
        <v>#N/A</v>
      </c>
      <c r="Q115" s="1220" t="e">
        <f ca="1">IF(AND(INDEX(FlowCalConstA,MATCH(N106,FlowCalNumber,0),1,1)*P115^INDEX(FlowCalConstB,MATCH(N106,FlowCalNumber,0),1,1)&gt;INDEX(FlowCalLowSetting,MATCH(N106,FlowCalNumber,0),1,1), (INDEX(FlowCalConstA,MATCH(N106,FlowCalNumber,0),1,1)*P115^INDEX(FlowCalConstB,MATCH(N106,FlowCalNumber,0),1,1)&lt;INDEX(FlowCalHighSetting,MATCH(N106,FlowCalNumber,0),1,1))),INDEX(FlowCalConstA,MATCH(N106,FlowCalNumber,0),1,1)*P115^INDEX(FlowCalConstB,MATCH(N106,FlowCalNumber,0),1,1)," ")</f>
        <v>#N/A</v>
      </c>
      <c r="R115" s="1216"/>
      <c r="S115" s="1217">
        <f t="shared" si="50"/>
        <v>0.5</v>
      </c>
      <c r="T115" s="1218" t="e">
        <f t="shared" ca="1" si="51"/>
        <v>#N/A</v>
      </c>
      <c r="U115" s="1219" t="e">
        <f ca="1">IF(AND(INDEX(FlowCalConstA,MATCH(R106,FlowCalNumber,0),1,1)*T115^INDEX(FlowCalConstB,MATCH(R106,FlowCalNumber,0),1,1)&gt;INDEX(FlowCalLowSetting,MATCH(R106,FlowCalNumber,0),1,1), (INDEX(FlowCalConstA,MATCH(R106,FlowCalNumber,0),1,1)*T115^INDEX(FlowCalConstB,MATCH(R106,FlowCalNumber,0),1,1)&lt;INDEX(FlowCalHighSetting,MATCH(R106,FlowCalNumber,0),1,1))),INDEX(FlowCalConstA,MATCH(R106,FlowCalNumber,0),1,1)*T115^INDEX(FlowCalConstB,MATCH(R106,FlowCalNumber,0),1,1)," ")</f>
        <v>#N/A</v>
      </c>
      <c r="V115" s="1216"/>
      <c r="W115" s="1217">
        <f t="shared" si="52"/>
        <v>0.5</v>
      </c>
      <c r="X115" s="1218" t="e">
        <f t="shared" ca="1" si="53"/>
        <v>#N/A</v>
      </c>
      <c r="Y115" s="1220" t="e">
        <f ca="1">IF(AND(INDEX(FlowCalConstA,MATCH(V106,FlowCalNumber,0),1,1)*X115^INDEX(FlowCalConstB,MATCH(V106,FlowCalNumber,0),1,1)&gt;INDEX(FlowCalLowSetting,MATCH(V106,FlowCalNumber,0),1,1), (INDEX(FlowCalConstA,MATCH(V106,FlowCalNumber,0),1,1)*X115^INDEX(FlowCalConstB,MATCH(V106,FlowCalNumber,0),1,1)&lt;INDEX(FlowCalHighSetting,MATCH(V106,FlowCalNumber,0),1,1))),INDEX(FlowCalConstA,MATCH(V106,FlowCalNumber,0),1,1)*X115^INDEX(FlowCalConstB,MATCH(V106,FlowCalNumber,0),1,1)," ")</f>
        <v>#N/A</v>
      </c>
    </row>
    <row r="116" spans="1:25">
      <c r="A116" s="412"/>
      <c r="B116" s="2"/>
      <c r="C116" s="235"/>
      <c r="D116" s="24">
        <f>'1% Wind'!$M$91</f>
        <v>4.2</v>
      </c>
      <c r="E116" s="90"/>
      <c r="F116" s="90"/>
      <c r="G116" s="79" t="e">
        <f ca="1">IF(I106=1,$G115,MAX(G115/D115*D116,2))</f>
        <v>#N/A</v>
      </c>
      <c r="H116" s="121" t="e">
        <f t="shared" ca="1" si="45"/>
        <v>#N/A</v>
      </c>
      <c r="J116" s="377"/>
      <c r="K116" s="242">
        <f t="shared" si="46"/>
        <v>1</v>
      </c>
      <c r="L116" s="241" t="e">
        <f t="shared" ca="1" si="47"/>
        <v>#N/A</v>
      </c>
      <c r="M116" s="243" t="e">
        <f ca="1">IF(AND(INDEX(FlowCalConstA,MATCH(J106,FlowCalNumber,0),1,1)*L116^INDEX(FlowCalConstB,MATCH(J106,FlowCalNumber,0),1,1)&gt;INDEX(FlowCalLowSetting,MATCH(J106,FlowCalNumber,0),1,1), (INDEX(FlowCalConstA,MATCH(J106,FlowCalNumber,0),1,1)*L116^INDEX(FlowCalConstB,MATCH(J106,FlowCalNumber,0),1,1)&lt;INDEX(FlowCalHighSetting,MATCH(J106,FlowCalNumber,0),1,1))),INDEX(FlowCalConstA,MATCH(J106,FlowCalNumber,0),1,1)*L116^INDEX(FlowCalConstB,MATCH(J106,FlowCalNumber,0),1,1)," ")</f>
        <v>#N/A</v>
      </c>
      <c r="N116" s="377"/>
      <c r="O116" s="242">
        <f t="shared" si="48"/>
        <v>1</v>
      </c>
      <c r="P116" s="241" t="e">
        <f t="shared" ca="1" si="49"/>
        <v>#N/A</v>
      </c>
      <c r="Q116" s="244" t="e">
        <f ca="1">IF(AND(INDEX(FlowCalConstA,MATCH(N106,FlowCalNumber,0),1,1)*P116^INDEX(FlowCalConstB,MATCH(N106,FlowCalNumber,0),1,1)&gt;INDEX(FlowCalLowSetting,MATCH(N106,FlowCalNumber,0),1,1), (INDEX(FlowCalConstA,MATCH(N106,FlowCalNumber,0),1,1)*P116^INDEX(FlowCalConstB,MATCH(N106,FlowCalNumber,0),1,1)&lt;INDEX(FlowCalHighSetting,MATCH(N106,FlowCalNumber,0),1,1))),INDEX(FlowCalConstA,MATCH(N106,FlowCalNumber,0),1,1)*P116^INDEX(FlowCalConstB,MATCH(N106,FlowCalNumber,0),1,1)," ")</f>
        <v>#N/A</v>
      </c>
      <c r="R116" s="377"/>
      <c r="S116" s="242">
        <f t="shared" si="50"/>
        <v>0.5</v>
      </c>
      <c r="T116" s="241" t="e">
        <f t="shared" ca="1" si="51"/>
        <v>#N/A</v>
      </c>
      <c r="U116" s="243" t="e">
        <f ca="1">IF(AND(INDEX(FlowCalConstA,MATCH(R106,FlowCalNumber,0),1,1)*T116^INDEX(FlowCalConstB,MATCH(R106,FlowCalNumber,0),1,1)&gt;INDEX(FlowCalLowSetting,MATCH(R106,FlowCalNumber,0),1,1), (INDEX(FlowCalConstA,MATCH(R106,FlowCalNumber,0),1,1)*T116^INDEX(FlowCalConstB,MATCH(R106,FlowCalNumber,0),1,1)&lt;INDEX(FlowCalHighSetting,MATCH(R106,FlowCalNumber,0),1,1))),INDEX(FlowCalConstA,MATCH(R106,FlowCalNumber,0),1,1)*T116^INDEX(FlowCalConstB,MATCH(R106,FlowCalNumber,0),1,1)," ")</f>
        <v>#N/A</v>
      </c>
      <c r="V116" s="377"/>
      <c r="W116" s="242">
        <f t="shared" si="52"/>
        <v>0.5</v>
      </c>
      <c r="X116" s="241" t="e">
        <f t="shared" ca="1" si="53"/>
        <v>#N/A</v>
      </c>
      <c r="Y116" s="244" t="e">
        <f ca="1">IF(AND(INDEX(FlowCalConstA,MATCH(V106,FlowCalNumber,0),1,1)*X116^INDEX(FlowCalConstB,MATCH(V106,FlowCalNumber,0),1,1)&gt;INDEX(FlowCalLowSetting,MATCH(V106,FlowCalNumber,0),1,1), (INDEX(FlowCalConstA,MATCH(V106,FlowCalNumber,0),1,1)*X116^INDEX(FlowCalConstB,MATCH(V106,FlowCalNumber,0),1,1)&lt;INDEX(FlowCalHighSetting,MATCH(V106,FlowCalNumber,0),1,1))),INDEX(FlowCalConstA,MATCH(V106,FlowCalNumber,0),1,1)*X116^INDEX(FlowCalConstB,MATCH(V106,FlowCalNumber,0),1,1)," ")</f>
        <v>#N/A</v>
      </c>
    </row>
    <row r="117" spans="1:25" s="1215" customFormat="1">
      <c r="A117" s="1208"/>
      <c r="B117" s="1209"/>
      <c r="C117" s="1210"/>
      <c r="D117" s="1211">
        <f>'1% Wind'!$M$92</f>
        <v>3.2</v>
      </c>
      <c r="E117" s="1212"/>
      <c r="F117" s="1212"/>
      <c r="G117" s="1213" t="e">
        <f ca="1">IF(I106=1,$G116,MAX(G116/D116*D117,2))</f>
        <v>#N/A</v>
      </c>
      <c r="H117" s="1214" t="e">
        <f t="shared" ca="1" si="45"/>
        <v>#N/A</v>
      </c>
      <c r="J117" s="1216"/>
      <c r="K117" s="1217">
        <f t="shared" si="46"/>
        <v>1</v>
      </c>
      <c r="L117" s="1218" t="e">
        <f t="shared" ca="1" si="47"/>
        <v>#N/A</v>
      </c>
      <c r="M117" s="1219" t="e">
        <f ca="1">IF(AND(INDEX(FlowCalConstA,MATCH(J106,FlowCalNumber,0),1,1)*L117^INDEX(FlowCalConstB,MATCH(J106,FlowCalNumber,0),1,1)&gt;INDEX(FlowCalLowSetting,MATCH(J106,FlowCalNumber,0),1,1), (INDEX(FlowCalConstA,MATCH(J106,FlowCalNumber,0),1,1)*L117^INDEX(FlowCalConstB,MATCH(J106,FlowCalNumber,0),1,1)&lt;INDEX(FlowCalHighSetting,MATCH(J106,FlowCalNumber,0),1,1))),INDEX(FlowCalConstA,MATCH(J106,FlowCalNumber,0),1,1)*L117^INDEX(FlowCalConstB,MATCH(J106,FlowCalNumber,0),1,1)," ")</f>
        <v>#N/A</v>
      </c>
      <c r="N117" s="1216"/>
      <c r="O117" s="1217">
        <f t="shared" si="48"/>
        <v>1</v>
      </c>
      <c r="P117" s="1218" t="e">
        <f t="shared" ca="1" si="49"/>
        <v>#N/A</v>
      </c>
      <c r="Q117" s="1220" t="e">
        <f ca="1">IF(AND(INDEX(FlowCalConstA,MATCH(N106,FlowCalNumber,0),1,1)*P117^INDEX(FlowCalConstB,MATCH(N106,FlowCalNumber,0),1,1)&gt;INDEX(FlowCalLowSetting,MATCH(N106,FlowCalNumber,0),1,1), (INDEX(FlowCalConstA,MATCH(N106,FlowCalNumber,0),1,1)*P117^INDEX(FlowCalConstB,MATCH(N106,FlowCalNumber,0),1,1)&lt;INDEX(FlowCalHighSetting,MATCH(N106,FlowCalNumber,0),1,1))),INDEX(FlowCalConstA,MATCH(N106,FlowCalNumber,0),1,1)*P117^INDEX(FlowCalConstB,MATCH(N106,FlowCalNumber,0),1,1)," ")</f>
        <v>#N/A</v>
      </c>
      <c r="R117" s="1216"/>
      <c r="S117" s="1217">
        <f t="shared" si="50"/>
        <v>0.5</v>
      </c>
      <c r="T117" s="1218" t="e">
        <f t="shared" ca="1" si="51"/>
        <v>#N/A</v>
      </c>
      <c r="U117" s="1219" t="e">
        <f ca="1">IF(AND(INDEX(FlowCalConstA,MATCH(R106,FlowCalNumber,0),1,1)*T117^INDEX(FlowCalConstB,MATCH(R106,FlowCalNumber,0),1,1)&gt;INDEX(FlowCalLowSetting,MATCH(R106,FlowCalNumber,0),1,1), (INDEX(FlowCalConstA,MATCH(R106,FlowCalNumber,0),1,1)*T117^INDEX(FlowCalConstB,MATCH(R106,FlowCalNumber,0),1,1)&lt;INDEX(FlowCalHighSetting,MATCH(R106,FlowCalNumber,0),1,1))),INDEX(FlowCalConstA,MATCH(R106,FlowCalNumber,0),1,1)*T117^INDEX(FlowCalConstB,MATCH(R106,FlowCalNumber,0),1,1)," ")</f>
        <v>#N/A</v>
      </c>
      <c r="V117" s="1216"/>
      <c r="W117" s="1217">
        <f t="shared" si="52"/>
        <v>0.5</v>
      </c>
      <c r="X117" s="1218" t="e">
        <f t="shared" ca="1" si="53"/>
        <v>#N/A</v>
      </c>
      <c r="Y117" s="1220" t="e">
        <f ca="1">IF(AND(INDEX(FlowCalConstA,MATCH(V106,FlowCalNumber,0),1,1)*X117^INDEX(FlowCalConstB,MATCH(V106,FlowCalNumber,0),1,1)&gt;INDEX(FlowCalLowSetting,MATCH(V106,FlowCalNumber,0),1,1), (INDEX(FlowCalConstA,MATCH(V106,FlowCalNumber,0),1,1)*X117^INDEX(FlowCalConstB,MATCH(V106,FlowCalNumber,0),1,1)&lt;INDEX(FlowCalHighSetting,MATCH(V106,FlowCalNumber,0),1,1))),INDEX(FlowCalConstA,MATCH(V106,FlowCalNumber,0),1,1)*X117^INDEX(FlowCalConstB,MATCH(V106,FlowCalNumber,0),1,1)," ")</f>
        <v>#N/A</v>
      </c>
    </row>
    <row r="118" spans="1:25">
      <c r="A118" s="412"/>
      <c r="B118" s="2"/>
      <c r="C118" s="235"/>
      <c r="D118" s="24">
        <f>'1% Wind'!$M$93</f>
        <v>2.4</v>
      </c>
      <c r="E118" s="90"/>
      <c r="F118" s="90"/>
      <c r="G118" s="79" t="e">
        <f ca="1">IF(I106=1,$G117,MAX(G117/D117*D118,2))</f>
        <v>#N/A</v>
      </c>
      <c r="H118" s="121" t="e">
        <f t="shared" ca="1" si="45"/>
        <v>#N/A</v>
      </c>
      <c r="J118" s="377"/>
      <c r="K118" s="242">
        <f t="shared" si="46"/>
        <v>1</v>
      </c>
      <c r="L118" s="241" t="e">
        <f t="shared" ca="1" si="47"/>
        <v>#N/A</v>
      </c>
      <c r="M118" s="243" t="e">
        <f ca="1">IF(AND(INDEX(FlowCalConstA,MATCH(J106,FlowCalNumber,0),1,1)*L118^INDEX(FlowCalConstB,MATCH(J106,FlowCalNumber,0),1,1)&gt;INDEX(FlowCalLowSetting,MATCH(J106,FlowCalNumber,0),1,1), (INDEX(FlowCalConstA,MATCH(J106,FlowCalNumber,0),1,1)*L118^INDEX(FlowCalConstB,MATCH(J106,FlowCalNumber,0),1,1)&lt;INDEX(FlowCalHighSetting,MATCH(J106,FlowCalNumber,0),1,1))),INDEX(FlowCalConstA,MATCH(J106,FlowCalNumber,0),1,1)*L118^INDEX(FlowCalConstB,MATCH(J106,FlowCalNumber,0),1,1)," ")</f>
        <v>#N/A</v>
      </c>
      <c r="N118" s="377"/>
      <c r="O118" s="242">
        <f t="shared" si="48"/>
        <v>1</v>
      </c>
      <c r="P118" s="241" t="e">
        <f t="shared" ca="1" si="49"/>
        <v>#N/A</v>
      </c>
      <c r="Q118" s="244" t="e">
        <f ca="1">IF(AND(INDEX(FlowCalConstA,MATCH(N106,FlowCalNumber,0),1,1)*P118^INDEX(FlowCalConstB,MATCH(N106,FlowCalNumber,0),1,1)&gt;INDEX(FlowCalLowSetting,MATCH(N106,FlowCalNumber,0),1,1), (INDEX(FlowCalConstA,MATCH(N106,FlowCalNumber,0),1,1)*P118^INDEX(FlowCalConstB,MATCH(N106,FlowCalNumber,0),1,1)&lt;INDEX(FlowCalHighSetting,MATCH(N106,FlowCalNumber,0),1,1))),INDEX(FlowCalConstA,MATCH(N106,FlowCalNumber,0),1,1)*P118^INDEX(FlowCalConstB,MATCH(N106,FlowCalNumber,0),1,1)," ")</f>
        <v>#N/A</v>
      </c>
      <c r="R118" s="377"/>
      <c r="S118" s="242">
        <f t="shared" si="50"/>
        <v>0.5</v>
      </c>
      <c r="T118" s="241" t="e">
        <f t="shared" ca="1" si="51"/>
        <v>#N/A</v>
      </c>
      <c r="U118" s="243" t="e">
        <f ca="1">IF(AND(INDEX(FlowCalConstA,MATCH(R106,FlowCalNumber,0),1,1)*T118^INDEX(FlowCalConstB,MATCH(R106,FlowCalNumber,0),1,1)&gt;INDEX(FlowCalLowSetting,MATCH(R106,FlowCalNumber,0),1,1), (INDEX(FlowCalConstA,MATCH(R106,FlowCalNumber,0),1,1)*T118^INDEX(FlowCalConstB,MATCH(R106,FlowCalNumber,0),1,1)&lt;INDEX(FlowCalHighSetting,MATCH(R106,FlowCalNumber,0),1,1))),INDEX(FlowCalConstA,MATCH(R106,FlowCalNumber,0),1,1)*T118^INDEX(FlowCalConstB,MATCH(R106,FlowCalNumber,0),1,1)," ")</f>
        <v>#N/A</v>
      </c>
      <c r="V118" s="377"/>
      <c r="W118" s="242">
        <f t="shared" si="52"/>
        <v>0.5</v>
      </c>
      <c r="X118" s="241" t="e">
        <f t="shared" ca="1" si="53"/>
        <v>#N/A</v>
      </c>
      <c r="Y118" s="244" t="e">
        <f ca="1">IF(AND(INDEX(FlowCalConstA,MATCH(V106,FlowCalNumber,0),1,1)*X118^INDEX(FlowCalConstB,MATCH(V106,FlowCalNumber,0),1,1)&gt;INDEX(FlowCalLowSetting,MATCH(V106,FlowCalNumber,0),1,1), (INDEX(FlowCalConstA,MATCH(V106,FlowCalNumber,0),1,1)*X118^INDEX(FlowCalConstB,MATCH(V106,FlowCalNumber,0),1,1)&lt;INDEX(FlowCalHighSetting,MATCH(V106,FlowCalNumber,0),1,1))),INDEX(FlowCalConstA,MATCH(V106,FlowCalNumber,0),1,1)*X118^INDEX(FlowCalConstB,MATCH(V106,FlowCalNumber,0),1,1)," ")</f>
        <v>#N/A</v>
      </c>
    </row>
    <row r="119" spans="1:25" s="1215" customFormat="1">
      <c r="A119" s="1208"/>
      <c r="B119" s="1209"/>
      <c r="C119" s="1210"/>
      <c r="D119" s="1211">
        <f>'1% Wind'!$M$94</f>
        <v>1.8</v>
      </c>
      <c r="E119" s="1212"/>
      <c r="F119" s="1212"/>
      <c r="G119" s="1213" t="e">
        <f ca="1">IF(I106=1,$G118,MAX(G118/D118*D119,2))</f>
        <v>#N/A</v>
      </c>
      <c r="H119" s="1214" t="e">
        <f t="shared" ca="1" si="45"/>
        <v>#N/A</v>
      </c>
      <c r="J119" s="1216"/>
      <c r="K119" s="1217">
        <f t="shared" si="46"/>
        <v>1</v>
      </c>
      <c r="L119" s="1218" t="e">
        <f t="shared" ca="1" si="47"/>
        <v>#N/A</v>
      </c>
      <c r="M119" s="1219" t="e">
        <f ca="1">IF(AND(INDEX(FlowCalConstA,MATCH(J106,FlowCalNumber,0),1,1)*L119^INDEX(FlowCalConstB,MATCH(J106,FlowCalNumber,0),1,1)&gt;INDEX(FlowCalLowSetting,MATCH(J106,FlowCalNumber,0),1,1), (INDEX(FlowCalConstA,MATCH(J106,FlowCalNumber,0),1,1)*L119^INDEX(FlowCalConstB,MATCH(J106,FlowCalNumber,0),1,1)&lt;INDEX(FlowCalHighSetting,MATCH(J106,FlowCalNumber,0),1,1))),INDEX(FlowCalConstA,MATCH(J106,FlowCalNumber,0),1,1)*L119^INDEX(FlowCalConstB,MATCH(J106,FlowCalNumber,0),1,1)," ")</f>
        <v>#N/A</v>
      </c>
      <c r="N119" s="1216"/>
      <c r="O119" s="1217">
        <f t="shared" si="48"/>
        <v>1</v>
      </c>
      <c r="P119" s="1218" t="e">
        <f t="shared" ca="1" si="49"/>
        <v>#N/A</v>
      </c>
      <c r="Q119" s="1220" t="e">
        <f ca="1">IF(AND(INDEX(FlowCalConstA,MATCH(N106,FlowCalNumber,0),1,1)*P119^INDEX(FlowCalConstB,MATCH(N106,FlowCalNumber,0),1,1)&gt;INDEX(FlowCalLowSetting,MATCH(N106,FlowCalNumber,0),1,1), (INDEX(FlowCalConstA,MATCH(N106,FlowCalNumber,0),1,1)*P119^INDEX(FlowCalConstB,MATCH(N106,FlowCalNumber,0),1,1)&lt;INDEX(FlowCalHighSetting,MATCH(N106,FlowCalNumber,0),1,1))),INDEX(FlowCalConstA,MATCH(N106,FlowCalNumber,0),1,1)*P119^INDEX(FlowCalConstB,MATCH(N106,FlowCalNumber,0),1,1)," ")</f>
        <v>#N/A</v>
      </c>
      <c r="R119" s="1216"/>
      <c r="S119" s="1217">
        <f t="shared" si="50"/>
        <v>0.5</v>
      </c>
      <c r="T119" s="1218" t="e">
        <f t="shared" ca="1" si="51"/>
        <v>#N/A</v>
      </c>
      <c r="U119" s="1219" t="e">
        <f ca="1">IF(AND(INDEX(FlowCalConstA,MATCH(R106,FlowCalNumber,0),1,1)*T119^INDEX(FlowCalConstB,MATCH(R106,FlowCalNumber,0),1,1)&gt;INDEX(FlowCalLowSetting,MATCH(R106,FlowCalNumber,0),1,1), (INDEX(FlowCalConstA,MATCH(R106,FlowCalNumber,0),1,1)*T119^INDEX(FlowCalConstB,MATCH(R106,FlowCalNumber,0),1,1)&lt;INDEX(FlowCalHighSetting,MATCH(R106,FlowCalNumber,0),1,1))),INDEX(FlowCalConstA,MATCH(R106,FlowCalNumber,0),1,1)*T119^INDEX(FlowCalConstB,MATCH(R106,FlowCalNumber,0),1,1)," ")</f>
        <v>#N/A</v>
      </c>
      <c r="V119" s="1216"/>
      <c r="W119" s="1217">
        <f t="shared" si="52"/>
        <v>0.5</v>
      </c>
      <c r="X119" s="1218" t="e">
        <f t="shared" ca="1" si="53"/>
        <v>#N/A</v>
      </c>
      <c r="Y119" s="1220" t="e">
        <f ca="1">IF(AND(INDEX(FlowCalConstA,MATCH(V106,FlowCalNumber,0),1,1)*X119^INDEX(FlowCalConstB,MATCH(V106,FlowCalNumber,0),1,1)&gt;INDEX(FlowCalLowSetting,MATCH(V106,FlowCalNumber,0),1,1), (INDEX(FlowCalConstA,MATCH(V106,FlowCalNumber,0),1,1)*X119^INDEX(FlowCalConstB,MATCH(V106,FlowCalNumber,0),1,1)&lt;INDEX(FlowCalHighSetting,MATCH(V106,FlowCalNumber,0),1,1))),INDEX(FlowCalConstA,MATCH(V106,FlowCalNumber,0),1,1)*X119^INDEX(FlowCalConstB,MATCH(V106,FlowCalNumber,0),1,1)," ")</f>
        <v>#N/A</v>
      </c>
    </row>
    <row r="120" spans="1:25">
      <c r="A120" s="412"/>
      <c r="B120" s="2"/>
      <c r="C120" s="235"/>
      <c r="D120" s="24">
        <f>'1% Wind'!$M$95</f>
        <v>1.3</v>
      </c>
      <c r="E120" s="90"/>
      <c r="F120" s="90"/>
      <c r="G120" s="79" t="e">
        <f ca="1">IF(I106=1,$G119,MAX(G119/D119*D120,2))</f>
        <v>#N/A</v>
      </c>
      <c r="H120" s="121" t="e">
        <f t="shared" ca="1" si="45"/>
        <v>#N/A</v>
      </c>
      <c r="J120" s="377"/>
      <c r="K120" s="242">
        <f t="shared" si="46"/>
        <v>1</v>
      </c>
      <c r="L120" s="241" t="e">
        <f t="shared" ca="1" si="47"/>
        <v>#N/A</v>
      </c>
      <c r="M120" s="243" t="e">
        <f ca="1">IF(AND(INDEX(FlowCalConstA,MATCH(J106,FlowCalNumber,0),1,1)*L120^INDEX(FlowCalConstB,MATCH(J106,FlowCalNumber,0),1,1)&gt;INDEX(FlowCalLowSetting,MATCH(J106,FlowCalNumber,0),1,1), (INDEX(FlowCalConstA,MATCH(J106,FlowCalNumber,0),1,1)*L120^INDEX(FlowCalConstB,MATCH(J106,FlowCalNumber,0),1,1)&lt;INDEX(FlowCalHighSetting,MATCH(J106,FlowCalNumber,0),1,1))),INDEX(FlowCalConstA,MATCH(J106,FlowCalNumber,0),1,1)*L120^INDEX(FlowCalConstB,MATCH(J106,FlowCalNumber,0),1,1)," ")</f>
        <v>#N/A</v>
      </c>
      <c r="N120" s="377"/>
      <c r="O120" s="242">
        <f t="shared" si="48"/>
        <v>1</v>
      </c>
      <c r="P120" s="241" t="e">
        <f t="shared" ca="1" si="49"/>
        <v>#N/A</v>
      </c>
      <c r="Q120" s="244" t="e">
        <f ca="1">IF(AND(INDEX(FlowCalConstA,MATCH(N106,FlowCalNumber,0),1,1)*P120^INDEX(FlowCalConstB,MATCH(N106,FlowCalNumber,0),1,1)&gt;INDEX(FlowCalLowSetting,MATCH(N106,FlowCalNumber,0),1,1), (INDEX(FlowCalConstA,MATCH(N106,FlowCalNumber,0),1,1)*P120^INDEX(FlowCalConstB,MATCH(N106,FlowCalNumber,0),1,1)&lt;INDEX(FlowCalHighSetting,MATCH(N106,FlowCalNumber,0),1,1))),INDEX(FlowCalConstA,MATCH(N106,FlowCalNumber,0),1,1)*P120^INDEX(FlowCalConstB,MATCH(N106,FlowCalNumber,0),1,1)," ")</f>
        <v>#N/A</v>
      </c>
      <c r="R120" s="377"/>
      <c r="S120" s="242">
        <f t="shared" si="50"/>
        <v>0.5</v>
      </c>
      <c r="T120" s="241" t="e">
        <f t="shared" ca="1" si="51"/>
        <v>#N/A</v>
      </c>
      <c r="U120" s="243" t="e">
        <f ca="1">IF(AND(INDEX(FlowCalConstA,MATCH(R106,FlowCalNumber,0),1,1)*T120^INDEX(FlowCalConstB,MATCH(R106,FlowCalNumber,0),1,1)&gt;INDEX(FlowCalLowSetting,MATCH(R106,FlowCalNumber,0),1,1), (INDEX(FlowCalConstA,MATCH(R106,FlowCalNumber,0),1,1)*T120^INDEX(FlowCalConstB,MATCH(R106,FlowCalNumber,0),1,1)&lt;INDEX(FlowCalHighSetting,MATCH(R106,FlowCalNumber,0),1,1))),INDEX(FlowCalConstA,MATCH(R106,FlowCalNumber,0),1,1)*T120^INDEX(FlowCalConstB,MATCH(R106,FlowCalNumber,0),1,1)," ")</f>
        <v>#N/A</v>
      </c>
      <c r="V120" s="377"/>
      <c r="W120" s="242">
        <f t="shared" si="52"/>
        <v>0.5</v>
      </c>
      <c r="X120" s="241" t="e">
        <f t="shared" ca="1" si="53"/>
        <v>#N/A</v>
      </c>
      <c r="Y120" s="244" t="e">
        <f ca="1">IF(AND(INDEX(FlowCalConstA,MATCH(V106,FlowCalNumber,0),1,1)*X120^INDEX(FlowCalConstB,MATCH(V106,FlowCalNumber,0),1,1)&gt;INDEX(FlowCalLowSetting,MATCH(V106,FlowCalNumber,0),1,1), (INDEX(FlowCalConstA,MATCH(V106,FlowCalNumber,0),1,1)*X120^INDEX(FlowCalConstB,MATCH(V106,FlowCalNumber,0),1,1)&lt;INDEX(FlowCalHighSetting,MATCH(V106,FlowCalNumber,0),1,1))),INDEX(FlowCalConstA,MATCH(V106,FlowCalNumber,0),1,1)*X120^INDEX(FlowCalConstB,MATCH(V106,FlowCalNumber,0),1,1)," ")</f>
        <v>#N/A</v>
      </c>
    </row>
    <row r="121" spans="1:25" s="1215" customFormat="1">
      <c r="A121" s="1208"/>
      <c r="B121" s="1209"/>
      <c r="C121" s="1210"/>
      <c r="D121" s="1211">
        <f>'1% Wind'!$M$96</f>
        <v>1</v>
      </c>
      <c r="E121" s="1212"/>
      <c r="F121" s="1212"/>
      <c r="G121" s="1213" t="e">
        <f ca="1">IF(I106=1,$G120,MAX(G120/D120*D121,2))</f>
        <v>#N/A</v>
      </c>
      <c r="H121" s="1214" t="e">
        <f t="shared" ca="1" si="45"/>
        <v>#N/A</v>
      </c>
      <c r="J121" s="1216"/>
      <c r="K121" s="1217">
        <f t="shared" si="46"/>
        <v>1</v>
      </c>
      <c r="L121" s="1218" t="e">
        <f t="shared" ca="1" si="47"/>
        <v>#N/A</v>
      </c>
      <c r="M121" s="1219" t="e">
        <f ca="1">IF(AND(INDEX(FlowCalConstA,MATCH(J106,FlowCalNumber,0),1,1)*L121^INDEX(FlowCalConstB,MATCH(J106,FlowCalNumber,0),1,1)&gt;INDEX(FlowCalLowSetting,MATCH(J106,FlowCalNumber,0),1,1), (INDEX(FlowCalConstA,MATCH(J106,FlowCalNumber,0),1,1)*L121^INDEX(FlowCalConstB,MATCH(J106,FlowCalNumber,0),1,1)&lt;INDEX(FlowCalHighSetting,MATCH(J106,FlowCalNumber,0),1,1))),INDEX(FlowCalConstA,MATCH(J106,FlowCalNumber,0),1,1)*L121^INDEX(FlowCalConstB,MATCH(J106,FlowCalNumber,0),1,1)," ")</f>
        <v>#N/A</v>
      </c>
      <c r="N121" s="1216"/>
      <c r="O121" s="1217">
        <f t="shared" si="48"/>
        <v>1</v>
      </c>
      <c r="P121" s="1218" t="e">
        <f t="shared" ca="1" si="49"/>
        <v>#N/A</v>
      </c>
      <c r="Q121" s="1220" t="e">
        <f ca="1">IF(AND(INDEX(FlowCalConstA,MATCH(N106,FlowCalNumber,0),1,1)*P121^INDEX(FlowCalConstB,MATCH(N106,FlowCalNumber,0),1,1)&gt;INDEX(FlowCalLowSetting,MATCH(N106,FlowCalNumber,0),1,1), (INDEX(FlowCalConstA,MATCH(N106,FlowCalNumber,0),1,1)*P121^INDEX(FlowCalConstB,MATCH(N106,FlowCalNumber,0),1,1)&lt;INDEX(FlowCalHighSetting,MATCH(N106,FlowCalNumber,0),1,1))),INDEX(FlowCalConstA,MATCH(N106,FlowCalNumber,0),1,1)*P121^INDEX(FlowCalConstB,MATCH(N106,FlowCalNumber,0),1,1)," ")</f>
        <v>#N/A</v>
      </c>
      <c r="R121" s="1216"/>
      <c r="S121" s="1217">
        <f t="shared" si="50"/>
        <v>0.5</v>
      </c>
      <c r="T121" s="1218" t="e">
        <f t="shared" ca="1" si="51"/>
        <v>#N/A</v>
      </c>
      <c r="U121" s="1219" t="e">
        <f ca="1">IF(AND(INDEX(FlowCalConstA,MATCH(R106,FlowCalNumber,0),1,1)*T121^INDEX(FlowCalConstB,MATCH(R106,FlowCalNumber,0),1,1)&gt;INDEX(FlowCalLowSetting,MATCH(R106,FlowCalNumber,0),1,1), (INDEX(FlowCalConstA,MATCH(R106,FlowCalNumber,0),1,1)*T121^INDEX(FlowCalConstB,MATCH(R106,FlowCalNumber,0),1,1)&lt;INDEX(FlowCalHighSetting,MATCH(R106,FlowCalNumber,0),1,1))),INDEX(FlowCalConstA,MATCH(R106,FlowCalNumber,0),1,1)*T121^INDEX(FlowCalConstB,MATCH(R106,FlowCalNumber,0),1,1)," ")</f>
        <v>#N/A</v>
      </c>
      <c r="V121" s="1216"/>
      <c r="W121" s="1217">
        <f t="shared" si="52"/>
        <v>0.5</v>
      </c>
      <c r="X121" s="1218" t="e">
        <f t="shared" ca="1" si="53"/>
        <v>#N/A</v>
      </c>
      <c r="Y121" s="1220" t="e">
        <f ca="1">IF(AND(INDEX(FlowCalConstA,MATCH(V106,FlowCalNumber,0),1,1)*X121^INDEX(FlowCalConstB,MATCH(V106,FlowCalNumber,0),1,1)&gt;INDEX(FlowCalLowSetting,MATCH(V106,FlowCalNumber,0),1,1), (INDEX(FlowCalConstA,MATCH(V106,FlowCalNumber,0),1,1)*X121^INDEX(FlowCalConstB,MATCH(V106,FlowCalNumber,0),1,1)&lt;INDEX(FlowCalHighSetting,MATCH(V106,FlowCalNumber,0),1,1))),INDEX(FlowCalConstA,MATCH(V106,FlowCalNumber,0),1,1)*X121^INDEX(FlowCalConstB,MATCH(V106,FlowCalNumber,0),1,1)," ")</f>
        <v>#N/A</v>
      </c>
    </row>
    <row r="122" spans="1:25">
      <c r="A122" s="90"/>
      <c r="C122" s="235"/>
      <c r="E122" s="90"/>
      <c r="F122" s="90"/>
      <c r="G122" s="33"/>
      <c r="J122" s="377"/>
      <c r="M122" s="243"/>
      <c r="N122" s="377"/>
      <c r="Q122" s="244"/>
      <c r="R122" s="377"/>
      <c r="U122" s="243"/>
      <c r="V122" s="377"/>
      <c r="Y122" s="244"/>
    </row>
    <row r="123" spans="1:25">
      <c r="A123" s="639">
        <f>A106+1</f>
        <v>7</v>
      </c>
      <c r="B123" s="42" t="e">
        <f>INDEX(SourceID,MATCH($A123,SourceNumber,0),1,1)</f>
        <v>#N/A</v>
      </c>
      <c r="C123" s="354" t="e">
        <f>INDEX(SourceExitDiameter,MATCH($A123,SourceNumber,0),1,1)*3.28*12</f>
        <v>#N/A</v>
      </c>
      <c r="D123" s="24" t="str">
        <f>UAnem1percent</f>
        <v>1% Wind</v>
      </c>
      <c r="E123" s="85" t="e">
        <f ca="1">INDIRECT(ADDRESS(53,6,1,,$A123))</f>
        <v>#N/A</v>
      </c>
      <c r="F123" s="626" t="e">
        <f ca="1">(ROUND((INDIRECT(ADDRESS(15,7,1,,$A123))*3.28*12*32),0)&amp;"/32")</f>
        <v>#N/A</v>
      </c>
      <c r="G123" s="125" t="e">
        <f ca="1">INDIRECT(ADDRESS(29,7,1,,$A123))</f>
        <v>#N/A</v>
      </c>
      <c r="H123" s="24" t="e">
        <f ca="1">INDIRECT(ADDRESS(19,7,1,,$A123))*100^3</f>
        <v>#N/A</v>
      </c>
      <c r="I123" s="24" t="e">
        <f ca="1">INDIRECT(ADDRESS(53,7,1,,$A123))</f>
        <v>#N/A</v>
      </c>
      <c r="J123" s="20" t="str">
        <f>K$15&amp;$H$6&amp;J$6</f>
        <v>100AirPick a Tunnel</v>
      </c>
      <c r="K123" t="e">
        <f>INDEX(FlowCalGasMixture,MATCH(J123,FlowCalNumber,0),1,1)</f>
        <v>#N/A</v>
      </c>
      <c r="M123" s="355" t="e">
        <f>INDEX(FlowCalDevice,MATCH(J123,FlowCalNumber,0),1,1)</f>
        <v>#N/A</v>
      </c>
      <c r="N123" s="20" t="str">
        <f>O$15&amp;$H$6&amp;N$6</f>
        <v>100AirPick a Tunnel</v>
      </c>
      <c r="O123" t="e">
        <f>INDEX(FlowCalGasMixture,MATCH(N123,FlowCalNumber,0),1,1)</f>
        <v>#N/A</v>
      </c>
      <c r="Q123" s="355" t="e">
        <f>INDEX(FlowCalDevice,MATCH(N123,FlowCalNumber,0),1,1)</f>
        <v>#N/A</v>
      </c>
      <c r="R123" s="20" t="str">
        <f>S$15&amp;$H$6&amp;R$6</f>
        <v>100AirPick a Tunnel</v>
      </c>
      <c r="S123" t="e">
        <f>INDEX(FlowCalGasMixture,MATCH(R123,FlowCalNumber,0),1,1)</f>
        <v>#N/A</v>
      </c>
      <c r="U123" s="944" t="e">
        <f>INDEX(FlowCalDevice,MATCH(R123,FlowCalNumber,0),1,1)</f>
        <v>#N/A</v>
      </c>
      <c r="V123" s="946" t="str">
        <f>W$15&amp;$H$6&amp;V$6</f>
        <v>100AirPick a Tunnel</v>
      </c>
      <c r="W123" t="e">
        <f>INDEX(FlowCalGasMixture,MATCH(V123,FlowCalNumber,0),1,1)</f>
        <v>#N/A</v>
      </c>
      <c r="Y123" s="982" t="e">
        <f>INDEX(FlowCalDevice,MATCH(V123,FlowCalNumber,0),1,1)</f>
        <v>#N/A</v>
      </c>
    </row>
    <row r="124" spans="1:25" s="1215" customFormat="1">
      <c r="A124" s="1208"/>
      <c r="B124" s="1209"/>
      <c r="C124" s="1210"/>
      <c r="D124" s="1211">
        <f>'1% Wind'!$M$82</f>
        <v>27</v>
      </c>
      <c r="E124" s="1212"/>
      <c r="F124" s="1212"/>
      <c r="G124" s="1213" t="e">
        <f ca="1">IF(I123=1,$G123,MAX(G123/D123*D124,2))</f>
        <v>#N/A</v>
      </c>
      <c r="H124" s="1214" t="e">
        <f t="shared" ref="H124:H138" ca="1" si="54">H123*(D123/D124)*(G124/G123)</f>
        <v>#N/A</v>
      </c>
      <c r="J124" s="1216"/>
      <c r="K124" s="1221">
        <f>K$16/100</f>
        <v>1</v>
      </c>
      <c r="L124" s="1218" t="e">
        <f ca="1">K124*$H124</f>
        <v>#N/A</v>
      </c>
      <c r="M124" s="1219" t="e">
        <f ca="1">IF(AND(INDEX(FlowCalConstA,MATCH(J123,FlowCalNumber,0),1,1)*L124^INDEX(FlowCalConstB,MATCH(J123,FlowCalNumber,0),1,1)&gt;INDEX(FlowCalLowSetting,MATCH(J123,FlowCalNumber,0),1,1), (INDEX(FlowCalConstA,MATCH(J123,FlowCalNumber,0),1,1)*L124^INDEX(FlowCalConstB,MATCH(J123,FlowCalNumber,0),1,1)&lt;INDEX(FlowCalHighSetting,MATCH(J123,FlowCalNumber,0),1,1))),INDEX(FlowCalConstA,MATCH(J123,FlowCalNumber,0),1,1)*L124^INDEX(FlowCalConstB,MATCH(J123,FlowCalNumber,0),1,1)," ")</f>
        <v>#N/A</v>
      </c>
      <c r="N124" s="1216"/>
      <c r="O124" s="1221">
        <f>O$16/100</f>
        <v>1</v>
      </c>
      <c r="P124" s="1218" t="e">
        <f ca="1">O124*$H124</f>
        <v>#N/A</v>
      </c>
      <c r="Q124" s="1220" t="e">
        <f ca="1">IF(AND(INDEX(FlowCalConstA,MATCH(N123,FlowCalNumber,0),1,1)*P124^INDEX(FlowCalConstB,MATCH(N123,FlowCalNumber,0),1,1)&gt;INDEX(FlowCalLowSetting,MATCH(N123,FlowCalNumber,0),1,1), (INDEX(FlowCalConstA,MATCH(N123,FlowCalNumber,0),1,1)*P124^INDEX(FlowCalConstB,MATCH(N123,FlowCalNumber,0),1,1)&lt;INDEX(FlowCalHighSetting,MATCH(N123,FlowCalNumber,0),1,1))),INDEX(FlowCalConstA,MATCH(N123,FlowCalNumber,0),1,1)*P124^INDEX(FlowCalConstB,MATCH(N123,FlowCalNumber,0),1,1)," ")</f>
        <v>#N/A</v>
      </c>
      <c r="R124" s="1216"/>
      <c r="S124" s="1221">
        <f>S$16/100</f>
        <v>0.5</v>
      </c>
      <c r="T124" s="1218" t="e">
        <f ca="1">S124*$H124</f>
        <v>#N/A</v>
      </c>
      <c r="U124" s="1219" t="e">
        <f ca="1">IF(AND(INDEX(FlowCalConstA,MATCH(R123,FlowCalNumber,0),1,1)*T124^INDEX(FlowCalConstB,MATCH(R123,FlowCalNumber,0),1,1)&gt;INDEX(FlowCalLowSetting,MATCH(R123,FlowCalNumber,0),1,1), (INDEX(FlowCalConstA,MATCH(R123,FlowCalNumber,0),1,1)*T124^INDEX(FlowCalConstB,MATCH(R123,FlowCalNumber,0),1,1)&lt;INDEX(FlowCalHighSetting,MATCH(R123,FlowCalNumber,0),1,1))),INDEX(FlowCalConstA,MATCH(R123,FlowCalNumber,0),1,1)*T124^INDEX(FlowCalConstB,MATCH(R123,FlowCalNumber,0),1,1)," ")</f>
        <v>#N/A</v>
      </c>
      <c r="V124" s="1216"/>
      <c r="W124" s="1221">
        <f>W$16/100</f>
        <v>0.5</v>
      </c>
      <c r="X124" s="1218" t="e">
        <f ca="1">W124*$H124</f>
        <v>#N/A</v>
      </c>
      <c r="Y124" s="1220" t="e">
        <f ca="1">IF(AND(INDEX(FlowCalConstA,MATCH(V123,FlowCalNumber,0),1,1)*X124^INDEX(FlowCalConstB,MATCH(V123,FlowCalNumber,0),1,1)&gt;INDEX(FlowCalLowSetting,MATCH(V123,FlowCalNumber,0),1,1), (INDEX(FlowCalConstA,MATCH(V123,FlowCalNumber,0),1,1)*X124^INDEX(FlowCalConstB,MATCH(V123,FlowCalNumber,0),1,1)&lt;INDEX(FlowCalHighSetting,MATCH(V123,FlowCalNumber,0),1,1))),INDEX(FlowCalConstA,MATCH(V123,FlowCalNumber,0),1,1)*X124^INDEX(FlowCalConstB,MATCH(V123,FlowCalNumber,0),1,1)," ")</f>
        <v>#N/A</v>
      </c>
    </row>
    <row r="125" spans="1:25">
      <c r="A125" s="412"/>
      <c r="B125" s="2"/>
      <c r="C125" s="235"/>
      <c r="D125" s="24">
        <f>'1% Wind'!$M$83</f>
        <v>23.5</v>
      </c>
      <c r="E125" s="90"/>
      <c r="F125" s="90"/>
      <c r="G125" s="79" t="e">
        <f ca="1">IF(I123=1,$G124,MAX(G124/D124*D125,2))</f>
        <v>#N/A</v>
      </c>
      <c r="H125" s="121" t="e">
        <f t="shared" ca="1" si="54"/>
        <v>#N/A</v>
      </c>
      <c r="J125" s="377"/>
      <c r="K125" s="242">
        <f t="shared" ref="K125:K138" si="55">K124</f>
        <v>1</v>
      </c>
      <c r="L125" s="241" t="e">
        <f t="shared" ref="L125:L138" ca="1" si="56">K125*$H125</f>
        <v>#N/A</v>
      </c>
      <c r="M125" s="243" t="e">
        <f ca="1">IF(AND(INDEX(FlowCalConstA,MATCH(J123,FlowCalNumber,0),1,1)*L125^INDEX(FlowCalConstB,MATCH(J123,FlowCalNumber,0),1,1)&gt;INDEX(FlowCalLowSetting,MATCH(J123,FlowCalNumber,0),1,1), (INDEX(FlowCalConstA,MATCH(J123,FlowCalNumber,0),1,1)*L125^INDEX(FlowCalConstB,MATCH(J123,FlowCalNumber,0),1,1)&lt;INDEX(FlowCalHighSetting,MATCH(J123,FlowCalNumber,0),1,1))),INDEX(FlowCalConstA,MATCH(J123,FlowCalNumber,0),1,1)*L125^INDEX(FlowCalConstB,MATCH(J123,FlowCalNumber,0),1,1)," ")</f>
        <v>#N/A</v>
      </c>
      <c r="N125" s="377"/>
      <c r="O125" s="242">
        <f t="shared" ref="O125:O138" si="57">O124</f>
        <v>1</v>
      </c>
      <c r="P125" s="241" t="e">
        <f t="shared" ref="P125:P138" ca="1" si="58">O125*$H125</f>
        <v>#N/A</v>
      </c>
      <c r="Q125" s="244" t="e">
        <f ca="1">IF(AND(INDEX(FlowCalConstA,MATCH(N123,FlowCalNumber,0),1,1)*P125^INDEX(FlowCalConstB,MATCH(N123,FlowCalNumber,0),1,1)&gt;INDEX(FlowCalLowSetting,MATCH(N123,FlowCalNumber,0),1,1), (INDEX(FlowCalConstA,MATCH(N123,FlowCalNumber,0),1,1)*P125^INDEX(FlowCalConstB,MATCH(N123,FlowCalNumber,0),1,1)&lt;INDEX(FlowCalHighSetting,MATCH(N123,FlowCalNumber,0),1,1))),INDEX(FlowCalConstA,MATCH(N123,FlowCalNumber,0),1,1)*P125^INDEX(FlowCalConstB,MATCH(N123,FlowCalNumber,0),1,1)," ")</f>
        <v>#N/A</v>
      </c>
      <c r="R125" s="377"/>
      <c r="S125" s="242">
        <f t="shared" ref="S125:S138" si="59">S124</f>
        <v>0.5</v>
      </c>
      <c r="T125" s="241" t="e">
        <f t="shared" ref="T125:T138" ca="1" si="60">S125*$H125</f>
        <v>#N/A</v>
      </c>
      <c r="U125" s="243" t="e">
        <f ca="1">IF(AND(INDEX(FlowCalConstA,MATCH(R123,FlowCalNumber,0),1,1)*T125^INDEX(FlowCalConstB,MATCH(R123,FlowCalNumber,0),1,1)&gt;INDEX(FlowCalLowSetting,MATCH(R123,FlowCalNumber,0),1,1), (INDEX(FlowCalConstA,MATCH(R123,FlowCalNumber,0),1,1)*T125^INDEX(FlowCalConstB,MATCH(R123,FlowCalNumber,0),1,1)&lt;INDEX(FlowCalHighSetting,MATCH(R123,FlowCalNumber,0),1,1))),INDEX(FlowCalConstA,MATCH(R123,FlowCalNumber,0),1,1)*T125^INDEX(FlowCalConstB,MATCH(R123,FlowCalNumber,0),1,1)," ")</f>
        <v>#N/A</v>
      </c>
      <c r="V125" s="377"/>
      <c r="W125" s="242">
        <f t="shared" ref="W125:W138" si="61">W124</f>
        <v>0.5</v>
      </c>
      <c r="X125" s="241" t="e">
        <f t="shared" ref="X125:X138" ca="1" si="62">W125*$H125</f>
        <v>#N/A</v>
      </c>
      <c r="Y125" s="244" t="e">
        <f ca="1">IF(AND(INDEX(FlowCalConstA,MATCH(V123,FlowCalNumber,0),1,1)*X125^INDEX(FlowCalConstB,MATCH(V123,FlowCalNumber,0),1,1)&gt;INDEX(FlowCalLowSetting,MATCH(V123,FlowCalNumber,0),1,1), (INDEX(FlowCalConstA,MATCH(V123,FlowCalNumber,0),1,1)*X125^INDEX(FlowCalConstB,MATCH(V123,FlowCalNumber,0),1,1)&lt;INDEX(FlowCalHighSetting,MATCH(V123,FlowCalNumber,0),1,1))),INDEX(FlowCalConstA,MATCH(V123,FlowCalNumber,0),1,1)*X125^INDEX(FlowCalConstB,MATCH(V123,FlowCalNumber,0),1,1)," ")</f>
        <v>#N/A</v>
      </c>
    </row>
    <row r="126" spans="1:25" s="1215" customFormat="1">
      <c r="A126" s="1208"/>
      <c r="B126" s="1209"/>
      <c r="C126" s="1210"/>
      <c r="D126" s="1211">
        <f>'1% Wind'!$M$84</f>
        <v>20.5</v>
      </c>
      <c r="E126" s="1212"/>
      <c r="F126" s="1212"/>
      <c r="G126" s="1213" t="e">
        <f ca="1">IF(I123=1,$G125,MAX(G125/D125*D126,2))</f>
        <v>#N/A</v>
      </c>
      <c r="H126" s="1214" t="e">
        <f t="shared" ca="1" si="54"/>
        <v>#N/A</v>
      </c>
      <c r="J126" s="1216"/>
      <c r="K126" s="1217">
        <f t="shared" si="55"/>
        <v>1</v>
      </c>
      <c r="L126" s="1218" t="e">
        <f t="shared" ca="1" si="56"/>
        <v>#N/A</v>
      </c>
      <c r="M126" s="1219" t="e">
        <f ca="1">IF(AND(INDEX(FlowCalConstA,MATCH(J123,FlowCalNumber,0),1,1)*L126^INDEX(FlowCalConstB,MATCH(J123,FlowCalNumber,0),1,1)&gt;INDEX(FlowCalLowSetting,MATCH(J123,FlowCalNumber,0),1,1), (INDEX(FlowCalConstA,MATCH(J123,FlowCalNumber,0),1,1)*L126^INDEX(FlowCalConstB,MATCH(J123,FlowCalNumber,0),1,1)&lt;INDEX(FlowCalHighSetting,MATCH(J123,FlowCalNumber,0),1,1))),INDEX(FlowCalConstA,MATCH(J123,FlowCalNumber,0),1,1)*L126^INDEX(FlowCalConstB,MATCH(J123,FlowCalNumber,0),1,1)," ")</f>
        <v>#N/A</v>
      </c>
      <c r="N126" s="1216"/>
      <c r="O126" s="1217">
        <f t="shared" si="57"/>
        <v>1</v>
      </c>
      <c r="P126" s="1218" t="e">
        <f t="shared" ca="1" si="58"/>
        <v>#N/A</v>
      </c>
      <c r="Q126" s="1220" t="e">
        <f ca="1">IF(AND(INDEX(FlowCalConstA,MATCH(N123,FlowCalNumber,0),1,1)*P126^INDEX(FlowCalConstB,MATCH(N123,FlowCalNumber,0),1,1)&gt;INDEX(FlowCalLowSetting,MATCH(N123,FlowCalNumber,0),1,1), (INDEX(FlowCalConstA,MATCH(N123,FlowCalNumber,0),1,1)*P126^INDEX(FlowCalConstB,MATCH(N123,FlowCalNumber,0),1,1)&lt;INDEX(FlowCalHighSetting,MATCH(N123,FlowCalNumber,0),1,1))),INDEX(FlowCalConstA,MATCH(N123,FlowCalNumber,0),1,1)*P126^INDEX(FlowCalConstB,MATCH(N123,FlowCalNumber,0),1,1)," ")</f>
        <v>#N/A</v>
      </c>
      <c r="R126" s="1216"/>
      <c r="S126" s="1217">
        <f t="shared" si="59"/>
        <v>0.5</v>
      </c>
      <c r="T126" s="1218" t="e">
        <f t="shared" ca="1" si="60"/>
        <v>#N/A</v>
      </c>
      <c r="U126" s="1219" t="e">
        <f ca="1">IF(AND(INDEX(FlowCalConstA,MATCH(R123,FlowCalNumber,0),1,1)*T126^INDEX(FlowCalConstB,MATCH(R123,FlowCalNumber,0),1,1)&gt;INDEX(FlowCalLowSetting,MATCH(R123,FlowCalNumber,0),1,1), (INDEX(FlowCalConstA,MATCH(R123,FlowCalNumber,0),1,1)*T126^INDEX(FlowCalConstB,MATCH(R123,FlowCalNumber,0),1,1)&lt;INDEX(FlowCalHighSetting,MATCH(R123,FlowCalNumber,0),1,1))),INDEX(FlowCalConstA,MATCH(R123,FlowCalNumber,0),1,1)*T126^INDEX(FlowCalConstB,MATCH(R123,FlowCalNumber,0),1,1)," ")</f>
        <v>#N/A</v>
      </c>
      <c r="V126" s="1216"/>
      <c r="W126" s="1217">
        <f t="shared" si="61"/>
        <v>0.5</v>
      </c>
      <c r="X126" s="1218" t="e">
        <f t="shared" ca="1" si="62"/>
        <v>#N/A</v>
      </c>
      <c r="Y126" s="1220" t="e">
        <f ca="1">IF(AND(INDEX(FlowCalConstA,MATCH(V123,FlowCalNumber,0),1,1)*X126^INDEX(FlowCalConstB,MATCH(V123,FlowCalNumber,0),1,1)&gt;INDEX(FlowCalLowSetting,MATCH(V123,FlowCalNumber,0),1,1), (INDEX(FlowCalConstA,MATCH(V123,FlowCalNumber,0),1,1)*X126^INDEX(FlowCalConstB,MATCH(V123,FlowCalNumber,0),1,1)&lt;INDEX(FlowCalHighSetting,MATCH(V123,FlowCalNumber,0),1,1))),INDEX(FlowCalConstA,MATCH(V123,FlowCalNumber,0),1,1)*X126^INDEX(FlowCalConstB,MATCH(V123,FlowCalNumber,0),1,1)," ")</f>
        <v>#N/A</v>
      </c>
    </row>
    <row r="127" spans="1:25">
      <c r="A127" s="412"/>
      <c r="B127" s="2"/>
      <c r="C127" s="235"/>
      <c r="D127" s="24">
        <f>'1% Wind'!$M$85</f>
        <v>17.8</v>
      </c>
      <c r="E127" s="90"/>
      <c r="F127" s="90"/>
      <c r="G127" s="79" t="e">
        <f ca="1">IF(I123=1,$G126,MAX(G126/D126*D127,2))</f>
        <v>#N/A</v>
      </c>
      <c r="H127" s="121" t="e">
        <f t="shared" ca="1" si="54"/>
        <v>#N/A</v>
      </c>
      <c r="J127" s="377"/>
      <c r="K127" s="242">
        <f t="shared" si="55"/>
        <v>1</v>
      </c>
      <c r="L127" s="241" t="e">
        <f t="shared" ca="1" si="56"/>
        <v>#N/A</v>
      </c>
      <c r="M127" s="243" t="e">
        <f ca="1">IF(AND(INDEX(FlowCalConstA,MATCH(J123,FlowCalNumber,0),1,1)*L127^INDEX(FlowCalConstB,MATCH(J123,FlowCalNumber,0),1,1)&gt;INDEX(FlowCalLowSetting,MATCH(J123,FlowCalNumber,0),1,1), (INDEX(FlowCalConstA,MATCH(J123,FlowCalNumber,0),1,1)*L127^INDEX(FlowCalConstB,MATCH(J123,FlowCalNumber,0),1,1)&lt;INDEX(FlowCalHighSetting,MATCH(J123,FlowCalNumber,0),1,1))),INDEX(FlowCalConstA,MATCH(J123,FlowCalNumber,0),1,1)*L127^INDEX(FlowCalConstB,MATCH(J123,FlowCalNumber,0),1,1)," ")</f>
        <v>#N/A</v>
      </c>
      <c r="N127" s="377"/>
      <c r="O127" s="242">
        <f t="shared" si="57"/>
        <v>1</v>
      </c>
      <c r="P127" s="241" t="e">
        <f t="shared" ca="1" si="58"/>
        <v>#N/A</v>
      </c>
      <c r="Q127" s="244" t="e">
        <f ca="1">IF(AND(INDEX(FlowCalConstA,MATCH(N123,FlowCalNumber,0),1,1)*P127^INDEX(FlowCalConstB,MATCH(N123,FlowCalNumber,0),1,1)&gt;INDEX(FlowCalLowSetting,MATCH(N123,FlowCalNumber,0),1,1), (INDEX(FlowCalConstA,MATCH(N123,FlowCalNumber,0),1,1)*P127^INDEX(FlowCalConstB,MATCH(N123,FlowCalNumber,0),1,1)&lt;INDEX(FlowCalHighSetting,MATCH(N123,FlowCalNumber,0),1,1))),INDEX(FlowCalConstA,MATCH(N123,FlowCalNumber,0),1,1)*P127^INDEX(FlowCalConstB,MATCH(N123,FlowCalNumber,0),1,1)," ")</f>
        <v>#N/A</v>
      </c>
      <c r="R127" s="377"/>
      <c r="S127" s="242">
        <f t="shared" si="59"/>
        <v>0.5</v>
      </c>
      <c r="T127" s="241" t="e">
        <f t="shared" ca="1" si="60"/>
        <v>#N/A</v>
      </c>
      <c r="U127" s="243" t="e">
        <f ca="1">IF(AND(INDEX(FlowCalConstA,MATCH(R123,FlowCalNumber,0),1,1)*T127^INDEX(FlowCalConstB,MATCH(R123,FlowCalNumber,0),1,1)&gt;INDEX(FlowCalLowSetting,MATCH(R123,FlowCalNumber,0),1,1), (INDEX(FlowCalConstA,MATCH(R123,FlowCalNumber,0),1,1)*T127^INDEX(FlowCalConstB,MATCH(R123,FlowCalNumber,0),1,1)&lt;INDEX(FlowCalHighSetting,MATCH(R123,FlowCalNumber,0),1,1))),INDEX(FlowCalConstA,MATCH(R123,FlowCalNumber,0),1,1)*T127^INDEX(FlowCalConstB,MATCH(R123,FlowCalNumber,0),1,1)," ")</f>
        <v>#N/A</v>
      </c>
      <c r="V127" s="377"/>
      <c r="W127" s="242">
        <f t="shared" si="61"/>
        <v>0.5</v>
      </c>
      <c r="X127" s="241" t="e">
        <f t="shared" ca="1" si="62"/>
        <v>#N/A</v>
      </c>
      <c r="Y127" s="244" t="e">
        <f ca="1">IF(AND(INDEX(FlowCalConstA,MATCH(V123,FlowCalNumber,0),1,1)*X127^INDEX(FlowCalConstB,MATCH(V123,FlowCalNumber,0),1,1)&gt;INDEX(FlowCalLowSetting,MATCH(V123,FlowCalNumber,0),1,1), (INDEX(FlowCalConstA,MATCH(V123,FlowCalNumber,0),1,1)*X127^INDEX(FlowCalConstB,MATCH(V123,FlowCalNumber,0),1,1)&lt;INDEX(FlowCalHighSetting,MATCH(V123,FlowCalNumber,0),1,1))),INDEX(FlowCalConstA,MATCH(V123,FlowCalNumber,0),1,1)*X127^INDEX(FlowCalConstB,MATCH(V123,FlowCalNumber,0),1,1)," ")</f>
        <v>#N/A</v>
      </c>
    </row>
    <row r="128" spans="1:25" s="1215" customFormat="1">
      <c r="A128" s="1208"/>
      <c r="B128" s="1209"/>
      <c r="C128" s="1210"/>
      <c r="D128" s="1211">
        <f>'1% Wind'!$M$86</f>
        <v>15.5</v>
      </c>
      <c r="E128" s="1212"/>
      <c r="F128" s="1212"/>
      <c r="G128" s="1213" t="e">
        <f ca="1">IF(I123=1,$G127,MAX(G127/D127*D128,2))</f>
        <v>#N/A</v>
      </c>
      <c r="H128" s="1214" t="e">
        <f t="shared" ca="1" si="54"/>
        <v>#N/A</v>
      </c>
      <c r="J128" s="1216"/>
      <c r="K128" s="1217">
        <f t="shared" si="55"/>
        <v>1</v>
      </c>
      <c r="L128" s="1218" t="e">
        <f t="shared" ca="1" si="56"/>
        <v>#N/A</v>
      </c>
      <c r="M128" s="1219" t="e">
        <f ca="1">IF(AND(INDEX(FlowCalConstA,MATCH(J123,FlowCalNumber,0),1,1)*L128^INDEX(FlowCalConstB,MATCH(J123,FlowCalNumber,0),1,1)&gt;INDEX(FlowCalLowSetting,MATCH(J123,FlowCalNumber,0),1,1), (INDEX(FlowCalConstA,MATCH(J123,FlowCalNumber,0),1,1)*L128^INDEX(FlowCalConstB,MATCH(J123,FlowCalNumber,0),1,1)&lt;INDEX(FlowCalHighSetting,MATCH(J123,FlowCalNumber,0),1,1))),INDEX(FlowCalConstA,MATCH(J123,FlowCalNumber,0),1,1)*L128^INDEX(FlowCalConstB,MATCH(J123,FlowCalNumber,0),1,1)," ")</f>
        <v>#N/A</v>
      </c>
      <c r="N128" s="1216"/>
      <c r="O128" s="1217">
        <f t="shared" si="57"/>
        <v>1</v>
      </c>
      <c r="P128" s="1218" t="e">
        <f t="shared" ca="1" si="58"/>
        <v>#N/A</v>
      </c>
      <c r="Q128" s="1220" t="e">
        <f ca="1">IF(AND(INDEX(FlowCalConstA,MATCH(N123,FlowCalNumber,0),1,1)*P128^INDEX(FlowCalConstB,MATCH(N123,FlowCalNumber,0),1,1)&gt;INDEX(FlowCalLowSetting,MATCH(N123,FlowCalNumber,0),1,1), (INDEX(FlowCalConstA,MATCH(N123,FlowCalNumber,0),1,1)*P128^INDEX(FlowCalConstB,MATCH(N123,FlowCalNumber,0),1,1)&lt;INDEX(FlowCalHighSetting,MATCH(N123,FlowCalNumber,0),1,1))),INDEX(FlowCalConstA,MATCH(N123,FlowCalNumber,0),1,1)*P128^INDEX(FlowCalConstB,MATCH(N123,FlowCalNumber,0),1,1)," ")</f>
        <v>#N/A</v>
      </c>
      <c r="R128" s="1216"/>
      <c r="S128" s="1217">
        <f t="shared" si="59"/>
        <v>0.5</v>
      </c>
      <c r="T128" s="1218" t="e">
        <f t="shared" ca="1" si="60"/>
        <v>#N/A</v>
      </c>
      <c r="U128" s="1219" t="e">
        <f ca="1">IF(AND(INDEX(FlowCalConstA,MATCH(R123,FlowCalNumber,0),1,1)*T128^INDEX(FlowCalConstB,MATCH(R123,FlowCalNumber,0),1,1)&gt;INDEX(FlowCalLowSetting,MATCH(R123,FlowCalNumber,0),1,1), (INDEX(FlowCalConstA,MATCH(R123,FlowCalNumber,0),1,1)*T128^INDEX(FlowCalConstB,MATCH(R123,FlowCalNumber,0),1,1)&lt;INDEX(FlowCalHighSetting,MATCH(R123,FlowCalNumber,0),1,1))),INDEX(FlowCalConstA,MATCH(R123,FlowCalNumber,0),1,1)*T128^INDEX(FlowCalConstB,MATCH(R123,FlowCalNumber,0),1,1)," ")</f>
        <v>#N/A</v>
      </c>
      <c r="V128" s="1216"/>
      <c r="W128" s="1217">
        <f t="shared" si="61"/>
        <v>0.5</v>
      </c>
      <c r="X128" s="1218" t="e">
        <f t="shared" ca="1" si="62"/>
        <v>#N/A</v>
      </c>
      <c r="Y128" s="1220" t="e">
        <f ca="1">IF(AND(INDEX(FlowCalConstA,MATCH(V123,FlowCalNumber,0),1,1)*X128^INDEX(FlowCalConstB,MATCH(V123,FlowCalNumber,0),1,1)&gt;INDEX(FlowCalLowSetting,MATCH(V123,FlowCalNumber,0),1,1), (INDEX(FlowCalConstA,MATCH(V123,FlowCalNumber,0),1,1)*X128^INDEX(FlowCalConstB,MATCH(V123,FlowCalNumber,0),1,1)&lt;INDEX(FlowCalHighSetting,MATCH(V123,FlowCalNumber,0),1,1))),INDEX(FlowCalConstA,MATCH(V123,FlowCalNumber,0),1,1)*X128^INDEX(FlowCalConstB,MATCH(V123,FlowCalNumber,0),1,1)," ")</f>
        <v>#N/A</v>
      </c>
    </row>
    <row r="129" spans="1:25">
      <c r="A129" s="412"/>
      <c r="B129" s="2"/>
      <c r="C129" s="235"/>
      <c r="D129" s="24">
        <f>'1% Wind'!$M$87</f>
        <v>13.5</v>
      </c>
      <c r="E129" s="90"/>
      <c r="F129" s="90"/>
      <c r="G129" s="79" t="e">
        <f ca="1">IF(I123=1,$G128,MAX(G128/D128*D129,2))</f>
        <v>#N/A</v>
      </c>
      <c r="H129" s="121" t="e">
        <f t="shared" ca="1" si="54"/>
        <v>#N/A</v>
      </c>
      <c r="J129" s="377"/>
      <c r="K129" s="242">
        <f t="shared" si="55"/>
        <v>1</v>
      </c>
      <c r="L129" s="241" t="e">
        <f t="shared" ca="1" si="56"/>
        <v>#N/A</v>
      </c>
      <c r="M129" s="243" t="e">
        <f ca="1">IF(AND(INDEX(FlowCalConstA,MATCH(J123,FlowCalNumber,0),1,1)*L129^INDEX(FlowCalConstB,MATCH(J123,FlowCalNumber,0),1,1)&gt;INDEX(FlowCalLowSetting,MATCH(J123,FlowCalNumber,0),1,1), (INDEX(FlowCalConstA,MATCH(J123,FlowCalNumber,0),1,1)*L129^INDEX(FlowCalConstB,MATCH(J123,FlowCalNumber,0),1,1)&lt;INDEX(FlowCalHighSetting,MATCH(J123,FlowCalNumber,0),1,1))),INDEX(FlowCalConstA,MATCH(J123,FlowCalNumber,0),1,1)*L129^INDEX(FlowCalConstB,MATCH(J123,FlowCalNumber,0),1,1)," ")</f>
        <v>#N/A</v>
      </c>
      <c r="N129" s="377"/>
      <c r="O129" s="242">
        <f t="shared" si="57"/>
        <v>1</v>
      </c>
      <c r="P129" s="241" t="e">
        <f t="shared" ca="1" si="58"/>
        <v>#N/A</v>
      </c>
      <c r="Q129" s="244" t="e">
        <f ca="1">IF(AND(INDEX(FlowCalConstA,MATCH(N123,FlowCalNumber,0),1,1)*P129^INDEX(FlowCalConstB,MATCH(N123,FlowCalNumber,0),1,1)&gt;INDEX(FlowCalLowSetting,MATCH(N123,FlowCalNumber,0),1,1), (INDEX(FlowCalConstA,MATCH(N123,FlowCalNumber,0),1,1)*P129^INDEX(FlowCalConstB,MATCH(N123,FlowCalNumber,0),1,1)&lt;INDEX(FlowCalHighSetting,MATCH(N123,FlowCalNumber,0),1,1))),INDEX(FlowCalConstA,MATCH(N123,FlowCalNumber,0),1,1)*P129^INDEX(FlowCalConstB,MATCH(N123,FlowCalNumber,0),1,1)," ")</f>
        <v>#N/A</v>
      </c>
      <c r="R129" s="377"/>
      <c r="S129" s="242">
        <f t="shared" si="59"/>
        <v>0.5</v>
      </c>
      <c r="T129" s="241" t="e">
        <f t="shared" ca="1" si="60"/>
        <v>#N/A</v>
      </c>
      <c r="U129" s="243" t="e">
        <f ca="1">IF(AND(INDEX(FlowCalConstA,MATCH(R123,FlowCalNumber,0),1,1)*T129^INDEX(FlowCalConstB,MATCH(R123,FlowCalNumber,0),1,1)&gt;INDEX(FlowCalLowSetting,MATCH(R123,FlowCalNumber,0),1,1), (INDEX(FlowCalConstA,MATCH(R123,FlowCalNumber,0),1,1)*T129^INDEX(FlowCalConstB,MATCH(R123,FlowCalNumber,0),1,1)&lt;INDEX(FlowCalHighSetting,MATCH(R123,FlowCalNumber,0),1,1))),INDEX(FlowCalConstA,MATCH(R123,FlowCalNumber,0),1,1)*T129^INDEX(FlowCalConstB,MATCH(R123,FlowCalNumber,0),1,1)," ")</f>
        <v>#N/A</v>
      </c>
      <c r="V129" s="377"/>
      <c r="W129" s="242">
        <f t="shared" si="61"/>
        <v>0.5</v>
      </c>
      <c r="X129" s="241" t="e">
        <f t="shared" ca="1" si="62"/>
        <v>#N/A</v>
      </c>
      <c r="Y129" s="244" t="e">
        <f ca="1">IF(AND(INDEX(FlowCalConstA,MATCH(V123,FlowCalNumber,0),1,1)*X129^INDEX(FlowCalConstB,MATCH(V123,FlowCalNumber,0),1,1)&gt;INDEX(FlowCalLowSetting,MATCH(V123,FlowCalNumber,0),1,1), (INDEX(FlowCalConstA,MATCH(V123,FlowCalNumber,0),1,1)*X129^INDEX(FlowCalConstB,MATCH(V123,FlowCalNumber,0),1,1)&lt;INDEX(FlowCalHighSetting,MATCH(V123,FlowCalNumber,0),1,1))),INDEX(FlowCalConstA,MATCH(V123,FlowCalNumber,0),1,1)*X129^INDEX(FlowCalConstB,MATCH(V123,FlowCalNumber,0),1,1)," ")</f>
        <v>#N/A</v>
      </c>
    </row>
    <row r="130" spans="1:25" s="1215" customFormat="1">
      <c r="A130" s="1208"/>
      <c r="B130" s="1209"/>
      <c r="C130" s="1210"/>
      <c r="D130" s="1211">
        <f>'1% Wind'!$M$88</f>
        <v>10.1</v>
      </c>
      <c r="E130" s="1212"/>
      <c r="F130" s="1212"/>
      <c r="G130" s="1213" t="e">
        <f ca="1">IF(I123=1,$G129,MAX(G129/D129*D130,2))</f>
        <v>#N/A</v>
      </c>
      <c r="H130" s="1214" t="e">
        <f t="shared" ca="1" si="54"/>
        <v>#N/A</v>
      </c>
      <c r="J130" s="1216"/>
      <c r="K130" s="1217">
        <f t="shared" si="55"/>
        <v>1</v>
      </c>
      <c r="L130" s="1218" t="e">
        <f t="shared" ca="1" si="56"/>
        <v>#N/A</v>
      </c>
      <c r="M130" s="1219" t="e">
        <f ca="1">IF(AND(INDEX(FlowCalConstA,MATCH(J123,FlowCalNumber,0),1,1)*L130^INDEX(FlowCalConstB,MATCH(J123,FlowCalNumber,0),1,1)&gt;INDEX(FlowCalLowSetting,MATCH(J123,FlowCalNumber,0),1,1), (INDEX(FlowCalConstA,MATCH(J123,FlowCalNumber,0),1,1)*L130^INDEX(FlowCalConstB,MATCH(J123,FlowCalNumber,0),1,1)&lt;INDEX(FlowCalHighSetting,MATCH(J123,FlowCalNumber,0),1,1))),INDEX(FlowCalConstA,MATCH(J123,FlowCalNumber,0),1,1)*L130^INDEX(FlowCalConstB,MATCH(J123,FlowCalNumber,0),1,1)," ")</f>
        <v>#N/A</v>
      </c>
      <c r="N130" s="1216"/>
      <c r="O130" s="1217">
        <f t="shared" si="57"/>
        <v>1</v>
      </c>
      <c r="P130" s="1218" t="e">
        <f t="shared" ca="1" si="58"/>
        <v>#N/A</v>
      </c>
      <c r="Q130" s="1220" t="e">
        <f ca="1">IF(AND(INDEX(FlowCalConstA,MATCH(N123,FlowCalNumber,0),1,1)*P130^INDEX(FlowCalConstB,MATCH(N123,FlowCalNumber,0),1,1)&gt;INDEX(FlowCalLowSetting,MATCH(N123,FlowCalNumber,0),1,1), (INDEX(FlowCalConstA,MATCH(N123,FlowCalNumber,0),1,1)*P130^INDEX(FlowCalConstB,MATCH(N123,FlowCalNumber,0),1,1)&lt;INDEX(FlowCalHighSetting,MATCH(N123,FlowCalNumber,0),1,1))),INDEX(FlowCalConstA,MATCH(N123,FlowCalNumber,0),1,1)*P130^INDEX(FlowCalConstB,MATCH(N123,FlowCalNumber,0),1,1)," ")</f>
        <v>#N/A</v>
      </c>
      <c r="R130" s="1216"/>
      <c r="S130" s="1217">
        <f t="shared" si="59"/>
        <v>0.5</v>
      </c>
      <c r="T130" s="1218" t="e">
        <f t="shared" ca="1" si="60"/>
        <v>#N/A</v>
      </c>
      <c r="U130" s="1219" t="e">
        <f ca="1">IF(AND(INDEX(FlowCalConstA,MATCH(R123,FlowCalNumber,0),1,1)*T130^INDEX(FlowCalConstB,MATCH(R123,FlowCalNumber,0),1,1)&gt;INDEX(FlowCalLowSetting,MATCH(R123,FlowCalNumber,0),1,1), (INDEX(FlowCalConstA,MATCH(R123,FlowCalNumber,0),1,1)*T130^INDEX(FlowCalConstB,MATCH(R123,FlowCalNumber,0),1,1)&lt;INDEX(FlowCalHighSetting,MATCH(R123,FlowCalNumber,0),1,1))),INDEX(FlowCalConstA,MATCH(R123,FlowCalNumber,0),1,1)*T130^INDEX(FlowCalConstB,MATCH(R123,FlowCalNumber,0),1,1)," ")</f>
        <v>#N/A</v>
      </c>
      <c r="V130" s="1216"/>
      <c r="W130" s="1217">
        <f t="shared" si="61"/>
        <v>0.5</v>
      </c>
      <c r="X130" s="1218" t="e">
        <f t="shared" ca="1" si="62"/>
        <v>#N/A</v>
      </c>
      <c r="Y130" s="1220" t="e">
        <f ca="1">IF(AND(INDEX(FlowCalConstA,MATCH(V123,FlowCalNumber,0),1,1)*X130^INDEX(FlowCalConstB,MATCH(V123,FlowCalNumber,0),1,1)&gt;INDEX(FlowCalLowSetting,MATCH(V123,FlowCalNumber,0),1,1), (INDEX(FlowCalConstA,MATCH(V123,FlowCalNumber,0),1,1)*X130^INDEX(FlowCalConstB,MATCH(V123,FlowCalNumber,0),1,1)&lt;INDEX(FlowCalHighSetting,MATCH(V123,FlowCalNumber,0),1,1))),INDEX(FlowCalConstA,MATCH(V123,FlowCalNumber,0),1,1)*X130^INDEX(FlowCalConstB,MATCH(V123,FlowCalNumber,0),1,1)," ")</f>
        <v>#N/A</v>
      </c>
    </row>
    <row r="131" spans="1:25">
      <c r="A131" s="412"/>
      <c r="B131" s="2"/>
      <c r="C131" s="235"/>
      <c r="D131" s="24">
        <f>'1% Wind'!$M$89</f>
        <v>7.6</v>
      </c>
      <c r="E131" s="90"/>
      <c r="F131" s="90"/>
      <c r="G131" s="79" t="e">
        <f ca="1">IF(I123=1,$G130,MAX(G130/D130*D131,2))</f>
        <v>#N/A</v>
      </c>
      <c r="H131" s="121" t="e">
        <f t="shared" ca="1" si="54"/>
        <v>#N/A</v>
      </c>
      <c r="J131" s="377"/>
      <c r="K131" s="242">
        <f t="shared" si="55"/>
        <v>1</v>
      </c>
      <c r="L131" s="241" t="e">
        <f t="shared" ca="1" si="56"/>
        <v>#N/A</v>
      </c>
      <c r="M131" s="243" t="e">
        <f ca="1">IF(AND(INDEX(FlowCalConstA,MATCH(J123,FlowCalNumber,0),1,1)*L131^INDEX(FlowCalConstB,MATCH(J123,FlowCalNumber,0),1,1)&gt;INDEX(FlowCalLowSetting,MATCH(J123,FlowCalNumber,0),1,1), (INDEX(FlowCalConstA,MATCH(J123,FlowCalNumber,0),1,1)*L131^INDEX(FlowCalConstB,MATCH(J123,FlowCalNumber,0),1,1)&lt;INDEX(FlowCalHighSetting,MATCH(J123,FlowCalNumber,0),1,1))),INDEX(FlowCalConstA,MATCH(J123,FlowCalNumber,0),1,1)*L131^INDEX(FlowCalConstB,MATCH(J123,FlowCalNumber,0),1,1)," ")</f>
        <v>#N/A</v>
      </c>
      <c r="N131" s="377"/>
      <c r="O131" s="242">
        <f t="shared" si="57"/>
        <v>1</v>
      </c>
      <c r="P131" s="241" t="e">
        <f t="shared" ca="1" si="58"/>
        <v>#N/A</v>
      </c>
      <c r="Q131" s="244" t="e">
        <f ca="1">IF(AND(INDEX(FlowCalConstA,MATCH(N123,FlowCalNumber,0),1,1)*P131^INDEX(FlowCalConstB,MATCH(N123,FlowCalNumber,0),1,1)&gt;INDEX(FlowCalLowSetting,MATCH(N123,FlowCalNumber,0),1,1), (INDEX(FlowCalConstA,MATCH(N123,FlowCalNumber,0),1,1)*P131^INDEX(FlowCalConstB,MATCH(N123,FlowCalNumber,0),1,1)&lt;INDEX(FlowCalHighSetting,MATCH(N123,FlowCalNumber,0),1,1))),INDEX(FlowCalConstA,MATCH(N123,FlowCalNumber,0),1,1)*P131^INDEX(FlowCalConstB,MATCH(N123,FlowCalNumber,0),1,1)," ")</f>
        <v>#N/A</v>
      </c>
      <c r="R131" s="377"/>
      <c r="S131" s="242">
        <f t="shared" si="59"/>
        <v>0.5</v>
      </c>
      <c r="T131" s="241" t="e">
        <f t="shared" ca="1" si="60"/>
        <v>#N/A</v>
      </c>
      <c r="U131" s="243" t="e">
        <f ca="1">IF(AND(INDEX(FlowCalConstA,MATCH(R123,FlowCalNumber,0),1,1)*T131^INDEX(FlowCalConstB,MATCH(R123,FlowCalNumber,0),1,1)&gt;INDEX(FlowCalLowSetting,MATCH(R123,FlowCalNumber,0),1,1), (INDEX(FlowCalConstA,MATCH(R123,FlowCalNumber,0),1,1)*T131^INDEX(FlowCalConstB,MATCH(R123,FlowCalNumber,0),1,1)&lt;INDEX(FlowCalHighSetting,MATCH(R123,FlowCalNumber,0),1,1))),INDEX(FlowCalConstA,MATCH(R123,FlowCalNumber,0),1,1)*T131^INDEX(FlowCalConstB,MATCH(R123,FlowCalNumber,0),1,1)," ")</f>
        <v>#N/A</v>
      </c>
      <c r="V131" s="377"/>
      <c r="W131" s="242">
        <f t="shared" si="61"/>
        <v>0.5</v>
      </c>
      <c r="X131" s="241" t="e">
        <f t="shared" ca="1" si="62"/>
        <v>#N/A</v>
      </c>
      <c r="Y131" s="244" t="e">
        <f ca="1">IF(AND(INDEX(FlowCalConstA,MATCH(V123,FlowCalNumber,0),1,1)*X131^INDEX(FlowCalConstB,MATCH(V123,FlowCalNumber,0),1,1)&gt;INDEX(FlowCalLowSetting,MATCH(V123,FlowCalNumber,0),1,1), (INDEX(FlowCalConstA,MATCH(V123,FlowCalNumber,0),1,1)*X131^INDEX(FlowCalConstB,MATCH(V123,FlowCalNumber,0),1,1)&lt;INDEX(FlowCalHighSetting,MATCH(V123,FlowCalNumber,0),1,1))),INDEX(FlowCalConstA,MATCH(V123,FlowCalNumber,0),1,1)*X131^INDEX(FlowCalConstB,MATCH(V123,FlowCalNumber,0),1,1)," ")</f>
        <v>#N/A</v>
      </c>
    </row>
    <row r="132" spans="1:25" s="1215" customFormat="1">
      <c r="A132" s="1208"/>
      <c r="B132" s="1209"/>
      <c r="C132" s="1210"/>
      <c r="D132" s="1211">
        <f>'1% Wind'!$M$90</f>
        <v>5.7</v>
      </c>
      <c r="E132" s="1212"/>
      <c r="F132" s="1212"/>
      <c r="G132" s="1213" t="e">
        <f ca="1">IF(I123=1,$G131,MAX(G131/D131*D132,2))</f>
        <v>#N/A</v>
      </c>
      <c r="H132" s="1214" t="e">
        <f t="shared" ca="1" si="54"/>
        <v>#N/A</v>
      </c>
      <c r="J132" s="1216"/>
      <c r="K132" s="1217">
        <f t="shared" si="55"/>
        <v>1</v>
      </c>
      <c r="L132" s="1218" t="e">
        <f t="shared" ca="1" si="56"/>
        <v>#N/A</v>
      </c>
      <c r="M132" s="1219" t="e">
        <f ca="1">IF(AND(INDEX(FlowCalConstA,MATCH(J123,FlowCalNumber,0),1,1)*L132^INDEX(FlowCalConstB,MATCH(J123,FlowCalNumber,0),1,1)&gt;INDEX(FlowCalLowSetting,MATCH(J123,FlowCalNumber,0),1,1), (INDEX(FlowCalConstA,MATCH(J123,FlowCalNumber,0),1,1)*L132^INDEX(FlowCalConstB,MATCH(J123,FlowCalNumber,0),1,1)&lt;INDEX(FlowCalHighSetting,MATCH(J123,FlowCalNumber,0),1,1))),INDEX(FlowCalConstA,MATCH(J123,FlowCalNumber,0),1,1)*L132^INDEX(FlowCalConstB,MATCH(J123,FlowCalNumber,0),1,1)," ")</f>
        <v>#N/A</v>
      </c>
      <c r="N132" s="1216"/>
      <c r="O132" s="1217">
        <f t="shared" si="57"/>
        <v>1</v>
      </c>
      <c r="P132" s="1218" t="e">
        <f t="shared" ca="1" si="58"/>
        <v>#N/A</v>
      </c>
      <c r="Q132" s="1220" t="e">
        <f ca="1">IF(AND(INDEX(FlowCalConstA,MATCH(N123,FlowCalNumber,0),1,1)*P132^INDEX(FlowCalConstB,MATCH(N123,FlowCalNumber,0),1,1)&gt;INDEX(FlowCalLowSetting,MATCH(N123,FlowCalNumber,0),1,1), (INDEX(FlowCalConstA,MATCH(N123,FlowCalNumber,0),1,1)*P132^INDEX(FlowCalConstB,MATCH(N123,FlowCalNumber,0),1,1)&lt;INDEX(FlowCalHighSetting,MATCH(N123,FlowCalNumber,0),1,1))),INDEX(FlowCalConstA,MATCH(N123,FlowCalNumber,0),1,1)*P132^INDEX(FlowCalConstB,MATCH(N123,FlowCalNumber,0),1,1)," ")</f>
        <v>#N/A</v>
      </c>
      <c r="R132" s="1216"/>
      <c r="S132" s="1217">
        <f t="shared" si="59"/>
        <v>0.5</v>
      </c>
      <c r="T132" s="1218" t="e">
        <f t="shared" ca="1" si="60"/>
        <v>#N/A</v>
      </c>
      <c r="U132" s="1219" t="e">
        <f ca="1">IF(AND(INDEX(FlowCalConstA,MATCH(R123,FlowCalNumber,0),1,1)*T132^INDEX(FlowCalConstB,MATCH(R123,FlowCalNumber,0),1,1)&gt;INDEX(FlowCalLowSetting,MATCH(R123,FlowCalNumber,0),1,1), (INDEX(FlowCalConstA,MATCH(R123,FlowCalNumber,0),1,1)*T132^INDEX(FlowCalConstB,MATCH(R123,FlowCalNumber,0),1,1)&lt;INDEX(FlowCalHighSetting,MATCH(R123,FlowCalNumber,0),1,1))),INDEX(FlowCalConstA,MATCH(R123,FlowCalNumber,0),1,1)*T132^INDEX(FlowCalConstB,MATCH(R123,FlowCalNumber,0),1,1)," ")</f>
        <v>#N/A</v>
      </c>
      <c r="V132" s="1216"/>
      <c r="W132" s="1217">
        <f t="shared" si="61"/>
        <v>0.5</v>
      </c>
      <c r="X132" s="1218" t="e">
        <f t="shared" ca="1" si="62"/>
        <v>#N/A</v>
      </c>
      <c r="Y132" s="1220" t="e">
        <f ca="1">IF(AND(INDEX(FlowCalConstA,MATCH(V123,FlowCalNumber,0),1,1)*X132^INDEX(FlowCalConstB,MATCH(V123,FlowCalNumber,0),1,1)&gt;INDEX(FlowCalLowSetting,MATCH(V123,FlowCalNumber,0),1,1), (INDEX(FlowCalConstA,MATCH(V123,FlowCalNumber,0),1,1)*X132^INDEX(FlowCalConstB,MATCH(V123,FlowCalNumber,0),1,1)&lt;INDEX(FlowCalHighSetting,MATCH(V123,FlowCalNumber,0),1,1))),INDEX(FlowCalConstA,MATCH(V123,FlowCalNumber,0),1,1)*X132^INDEX(FlowCalConstB,MATCH(V123,FlowCalNumber,0),1,1)," ")</f>
        <v>#N/A</v>
      </c>
    </row>
    <row r="133" spans="1:25">
      <c r="A133" s="412"/>
      <c r="B133" s="2"/>
      <c r="C133" s="235"/>
      <c r="D133" s="24">
        <f>'1% Wind'!$M$91</f>
        <v>4.2</v>
      </c>
      <c r="E133" s="90"/>
      <c r="F133" s="90"/>
      <c r="G133" s="79" t="e">
        <f ca="1">IF(I123=1,$G132,MAX(G132/D132*D133,2))</f>
        <v>#N/A</v>
      </c>
      <c r="H133" s="121" t="e">
        <f t="shared" ca="1" si="54"/>
        <v>#N/A</v>
      </c>
      <c r="J133" s="377"/>
      <c r="K133" s="242">
        <f t="shared" si="55"/>
        <v>1</v>
      </c>
      <c r="L133" s="241" t="e">
        <f t="shared" ca="1" si="56"/>
        <v>#N/A</v>
      </c>
      <c r="M133" s="243" t="e">
        <f ca="1">IF(AND(INDEX(FlowCalConstA,MATCH(J123,FlowCalNumber,0),1,1)*L133^INDEX(FlowCalConstB,MATCH(J123,FlowCalNumber,0),1,1)&gt;INDEX(FlowCalLowSetting,MATCH(J123,FlowCalNumber,0),1,1), (INDEX(FlowCalConstA,MATCH(J123,FlowCalNumber,0),1,1)*L133^INDEX(FlowCalConstB,MATCH(J123,FlowCalNumber,0),1,1)&lt;INDEX(FlowCalHighSetting,MATCH(J123,FlowCalNumber,0),1,1))),INDEX(FlowCalConstA,MATCH(J123,FlowCalNumber,0),1,1)*L133^INDEX(FlowCalConstB,MATCH(J123,FlowCalNumber,0),1,1)," ")</f>
        <v>#N/A</v>
      </c>
      <c r="N133" s="377"/>
      <c r="O133" s="242">
        <f t="shared" si="57"/>
        <v>1</v>
      </c>
      <c r="P133" s="241" t="e">
        <f t="shared" ca="1" si="58"/>
        <v>#N/A</v>
      </c>
      <c r="Q133" s="244" t="e">
        <f ca="1">IF(AND(INDEX(FlowCalConstA,MATCH(N123,FlowCalNumber,0),1,1)*P133^INDEX(FlowCalConstB,MATCH(N123,FlowCalNumber,0),1,1)&gt;INDEX(FlowCalLowSetting,MATCH(N123,FlowCalNumber,0),1,1), (INDEX(FlowCalConstA,MATCH(N123,FlowCalNumber,0),1,1)*P133^INDEX(FlowCalConstB,MATCH(N123,FlowCalNumber,0),1,1)&lt;INDEX(FlowCalHighSetting,MATCH(N123,FlowCalNumber,0),1,1))),INDEX(FlowCalConstA,MATCH(N123,FlowCalNumber,0),1,1)*P133^INDEX(FlowCalConstB,MATCH(N123,FlowCalNumber,0),1,1)," ")</f>
        <v>#N/A</v>
      </c>
      <c r="R133" s="377"/>
      <c r="S133" s="242">
        <f t="shared" si="59"/>
        <v>0.5</v>
      </c>
      <c r="T133" s="241" t="e">
        <f t="shared" ca="1" si="60"/>
        <v>#N/A</v>
      </c>
      <c r="U133" s="243" t="e">
        <f ca="1">IF(AND(INDEX(FlowCalConstA,MATCH(R123,FlowCalNumber,0),1,1)*T133^INDEX(FlowCalConstB,MATCH(R123,FlowCalNumber,0),1,1)&gt;INDEX(FlowCalLowSetting,MATCH(R123,FlowCalNumber,0),1,1), (INDEX(FlowCalConstA,MATCH(R123,FlowCalNumber,0),1,1)*T133^INDEX(FlowCalConstB,MATCH(R123,FlowCalNumber,0),1,1)&lt;INDEX(FlowCalHighSetting,MATCH(R123,FlowCalNumber,0),1,1))),INDEX(FlowCalConstA,MATCH(R123,FlowCalNumber,0),1,1)*T133^INDEX(FlowCalConstB,MATCH(R123,FlowCalNumber,0),1,1)," ")</f>
        <v>#N/A</v>
      </c>
      <c r="V133" s="377"/>
      <c r="W133" s="242">
        <f t="shared" si="61"/>
        <v>0.5</v>
      </c>
      <c r="X133" s="241" t="e">
        <f t="shared" ca="1" si="62"/>
        <v>#N/A</v>
      </c>
      <c r="Y133" s="244" t="e">
        <f ca="1">IF(AND(INDEX(FlowCalConstA,MATCH(V123,FlowCalNumber,0),1,1)*X133^INDEX(FlowCalConstB,MATCH(V123,FlowCalNumber,0),1,1)&gt;INDEX(FlowCalLowSetting,MATCH(V123,FlowCalNumber,0),1,1), (INDEX(FlowCalConstA,MATCH(V123,FlowCalNumber,0),1,1)*X133^INDEX(FlowCalConstB,MATCH(V123,FlowCalNumber,0),1,1)&lt;INDEX(FlowCalHighSetting,MATCH(V123,FlowCalNumber,0),1,1))),INDEX(FlowCalConstA,MATCH(V123,FlowCalNumber,0),1,1)*X133^INDEX(FlowCalConstB,MATCH(V123,FlowCalNumber,0),1,1)," ")</f>
        <v>#N/A</v>
      </c>
    </row>
    <row r="134" spans="1:25" s="1215" customFormat="1">
      <c r="A134" s="1208"/>
      <c r="B134" s="1209"/>
      <c r="C134" s="1210"/>
      <c r="D134" s="1211">
        <f>'1% Wind'!$M$92</f>
        <v>3.2</v>
      </c>
      <c r="E134" s="1212"/>
      <c r="F134" s="1212"/>
      <c r="G134" s="1213" t="e">
        <f ca="1">IF(I123=1,$G133,MAX(G133/D133*D134,2))</f>
        <v>#N/A</v>
      </c>
      <c r="H134" s="1214" t="e">
        <f t="shared" ca="1" si="54"/>
        <v>#N/A</v>
      </c>
      <c r="J134" s="1216"/>
      <c r="K134" s="1217">
        <f t="shared" si="55"/>
        <v>1</v>
      </c>
      <c r="L134" s="1218" t="e">
        <f t="shared" ca="1" si="56"/>
        <v>#N/A</v>
      </c>
      <c r="M134" s="1219" t="e">
        <f ca="1">IF(AND(INDEX(FlowCalConstA,MATCH(J123,FlowCalNumber,0),1,1)*L134^INDEX(FlowCalConstB,MATCH(J123,FlowCalNumber,0),1,1)&gt;INDEX(FlowCalLowSetting,MATCH(J123,FlowCalNumber,0),1,1), (INDEX(FlowCalConstA,MATCH(J123,FlowCalNumber,0),1,1)*L134^INDEX(FlowCalConstB,MATCH(J123,FlowCalNumber,0),1,1)&lt;INDEX(FlowCalHighSetting,MATCH(J123,FlowCalNumber,0),1,1))),INDEX(FlowCalConstA,MATCH(J123,FlowCalNumber,0),1,1)*L134^INDEX(FlowCalConstB,MATCH(J123,FlowCalNumber,0),1,1)," ")</f>
        <v>#N/A</v>
      </c>
      <c r="N134" s="1216"/>
      <c r="O134" s="1217">
        <f t="shared" si="57"/>
        <v>1</v>
      </c>
      <c r="P134" s="1218" t="e">
        <f t="shared" ca="1" si="58"/>
        <v>#N/A</v>
      </c>
      <c r="Q134" s="1220" t="e">
        <f ca="1">IF(AND(INDEX(FlowCalConstA,MATCH(N123,FlowCalNumber,0),1,1)*P134^INDEX(FlowCalConstB,MATCH(N123,FlowCalNumber,0),1,1)&gt;INDEX(FlowCalLowSetting,MATCH(N123,FlowCalNumber,0),1,1), (INDEX(FlowCalConstA,MATCH(N123,FlowCalNumber,0),1,1)*P134^INDEX(FlowCalConstB,MATCH(N123,FlowCalNumber,0),1,1)&lt;INDEX(FlowCalHighSetting,MATCH(N123,FlowCalNumber,0),1,1))),INDEX(FlowCalConstA,MATCH(N123,FlowCalNumber,0),1,1)*P134^INDEX(FlowCalConstB,MATCH(N123,FlowCalNumber,0),1,1)," ")</f>
        <v>#N/A</v>
      </c>
      <c r="R134" s="1216"/>
      <c r="S134" s="1217">
        <f t="shared" si="59"/>
        <v>0.5</v>
      </c>
      <c r="T134" s="1218" t="e">
        <f t="shared" ca="1" si="60"/>
        <v>#N/A</v>
      </c>
      <c r="U134" s="1219" t="e">
        <f ca="1">IF(AND(INDEX(FlowCalConstA,MATCH(R123,FlowCalNumber,0),1,1)*T134^INDEX(FlowCalConstB,MATCH(R123,FlowCalNumber,0),1,1)&gt;INDEX(FlowCalLowSetting,MATCH(R123,FlowCalNumber,0),1,1), (INDEX(FlowCalConstA,MATCH(R123,FlowCalNumber,0),1,1)*T134^INDEX(FlowCalConstB,MATCH(R123,FlowCalNumber,0),1,1)&lt;INDEX(FlowCalHighSetting,MATCH(R123,FlowCalNumber,0),1,1))),INDEX(FlowCalConstA,MATCH(R123,FlowCalNumber,0),1,1)*T134^INDEX(FlowCalConstB,MATCH(R123,FlowCalNumber,0),1,1)," ")</f>
        <v>#N/A</v>
      </c>
      <c r="V134" s="1216"/>
      <c r="W134" s="1217">
        <f t="shared" si="61"/>
        <v>0.5</v>
      </c>
      <c r="X134" s="1218" t="e">
        <f t="shared" ca="1" si="62"/>
        <v>#N/A</v>
      </c>
      <c r="Y134" s="1220" t="e">
        <f ca="1">IF(AND(INDEX(FlowCalConstA,MATCH(V123,FlowCalNumber,0),1,1)*X134^INDEX(FlowCalConstB,MATCH(V123,FlowCalNumber,0),1,1)&gt;INDEX(FlowCalLowSetting,MATCH(V123,FlowCalNumber,0),1,1), (INDEX(FlowCalConstA,MATCH(V123,FlowCalNumber,0),1,1)*X134^INDEX(FlowCalConstB,MATCH(V123,FlowCalNumber,0),1,1)&lt;INDEX(FlowCalHighSetting,MATCH(V123,FlowCalNumber,0),1,1))),INDEX(FlowCalConstA,MATCH(V123,FlowCalNumber,0),1,1)*X134^INDEX(FlowCalConstB,MATCH(V123,FlowCalNumber,0),1,1)," ")</f>
        <v>#N/A</v>
      </c>
    </row>
    <row r="135" spans="1:25">
      <c r="A135" s="412"/>
      <c r="B135" s="2"/>
      <c r="C135" s="235"/>
      <c r="D135" s="24">
        <f>'1% Wind'!$M$93</f>
        <v>2.4</v>
      </c>
      <c r="E135" s="90"/>
      <c r="F135" s="90"/>
      <c r="G135" s="79" t="e">
        <f ca="1">IF(I123=1,$G134,MAX(G134/D134*D135,2))</f>
        <v>#N/A</v>
      </c>
      <c r="H135" s="121" t="e">
        <f t="shared" ca="1" si="54"/>
        <v>#N/A</v>
      </c>
      <c r="J135" s="377"/>
      <c r="K135" s="242">
        <f t="shared" si="55"/>
        <v>1</v>
      </c>
      <c r="L135" s="241" t="e">
        <f t="shared" ca="1" si="56"/>
        <v>#N/A</v>
      </c>
      <c r="M135" s="243" t="e">
        <f ca="1">IF(AND(INDEX(FlowCalConstA,MATCH(J123,FlowCalNumber,0),1,1)*L135^INDEX(FlowCalConstB,MATCH(J123,FlowCalNumber,0),1,1)&gt;INDEX(FlowCalLowSetting,MATCH(J123,FlowCalNumber,0),1,1), (INDEX(FlowCalConstA,MATCH(J123,FlowCalNumber,0),1,1)*L135^INDEX(FlowCalConstB,MATCH(J123,FlowCalNumber,0),1,1)&lt;INDEX(FlowCalHighSetting,MATCH(J123,FlowCalNumber,0),1,1))),INDEX(FlowCalConstA,MATCH(J123,FlowCalNumber,0),1,1)*L135^INDEX(FlowCalConstB,MATCH(J123,FlowCalNumber,0),1,1)," ")</f>
        <v>#N/A</v>
      </c>
      <c r="N135" s="377"/>
      <c r="O135" s="242">
        <f t="shared" si="57"/>
        <v>1</v>
      </c>
      <c r="P135" s="241" t="e">
        <f t="shared" ca="1" si="58"/>
        <v>#N/A</v>
      </c>
      <c r="Q135" s="244" t="e">
        <f ca="1">IF(AND(INDEX(FlowCalConstA,MATCH(N123,FlowCalNumber,0),1,1)*P135^INDEX(FlowCalConstB,MATCH(N123,FlowCalNumber,0),1,1)&gt;INDEX(FlowCalLowSetting,MATCH(N123,FlowCalNumber,0),1,1), (INDEX(FlowCalConstA,MATCH(N123,FlowCalNumber,0),1,1)*P135^INDEX(FlowCalConstB,MATCH(N123,FlowCalNumber,0),1,1)&lt;INDEX(FlowCalHighSetting,MATCH(N123,FlowCalNumber,0),1,1))),INDEX(FlowCalConstA,MATCH(N123,FlowCalNumber,0),1,1)*P135^INDEX(FlowCalConstB,MATCH(N123,FlowCalNumber,0),1,1)," ")</f>
        <v>#N/A</v>
      </c>
      <c r="R135" s="377"/>
      <c r="S135" s="242">
        <f t="shared" si="59"/>
        <v>0.5</v>
      </c>
      <c r="T135" s="241" t="e">
        <f t="shared" ca="1" si="60"/>
        <v>#N/A</v>
      </c>
      <c r="U135" s="243" t="e">
        <f ca="1">IF(AND(INDEX(FlowCalConstA,MATCH(R123,FlowCalNumber,0),1,1)*T135^INDEX(FlowCalConstB,MATCH(R123,FlowCalNumber,0),1,1)&gt;INDEX(FlowCalLowSetting,MATCH(R123,FlowCalNumber,0),1,1), (INDEX(FlowCalConstA,MATCH(R123,FlowCalNumber,0),1,1)*T135^INDEX(FlowCalConstB,MATCH(R123,FlowCalNumber,0),1,1)&lt;INDEX(FlowCalHighSetting,MATCH(R123,FlowCalNumber,0),1,1))),INDEX(FlowCalConstA,MATCH(R123,FlowCalNumber,0),1,1)*T135^INDEX(FlowCalConstB,MATCH(R123,FlowCalNumber,0),1,1)," ")</f>
        <v>#N/A</v>
      </c>
      <c r="V135" s="377"/>
      <c r="W135" s="242">
        <f t="shared" si="61"/>
        <v>0.5</v>
      </c>
      <c r="X135" s="241" t="e">
        <f t="shared" ca="1" si="62"/>
        <v>#N/A</v>
      </c>
      <c r="Y135" s="244" t="e">
        <f ca="1">IF(AND(INDEX(FlowCalConstA,MATCH(V123,FlowCalNumber,0),1,1)*X135^INDEX(FlowCalConstB,MATCH(V123,FlowCalNumber,0),1,1)&gt;INDEX(FlowCalLowSetting,MATCH(V123,FlowCalNumber,0),1,1), (INDEX(FlowCalConstA,MATCH(V123,FlowCalNumber,0),1,1)*X135^INDEX(FlowCalConstB,MATCH(V123,FlowCalNumber,0),1,1)&lt;INDEX(FlowCalHighSetting,MATCH(V123,FlowCalNumber,0),1,1))),INDEX(FlowCalConstA,MATCH(V123,FlowCalNumber,0),1,1)*X135^INDEX(FlowCalConstB,MATCH(V123,FlowCalNumber,0),1,1)," ")</f>
        <v>#N/A</v>
      </c>
    </row>
    <row r="136" spans="1:25" s="1215" customFormat="1">
      <c r="A136" s="1208"/>
      <c r="B136" s="1209"/>
      <c r="C136" s="1210"/>
      <c r="D136" s="1211">
        <f>'1% Wind'!$M$94</f>
        <v>1.8</v>
      </c>
      <c r="E136" s="1212"/>
      <c r="F136" s="1212"/>
      <c r="G136" s="1213" t="e">
        <f ca="1">IF(I123=1,$G135,MAX(G135/D135*D136,2))</f>
        <v>#N/A</v>
      </c>
      <c r="H136" s="1214" t="e">
        <f t="shared" ca="1" si="54"/>
        <v>#N/A</v>
      </c>
      <c r="J136" s="1216"/>
      <c r="K136" s="1217">
        <f t="shared" si="55"/>
        <v>1</v>
      </c>
      <c r="L136" s="1218" t="e">
        <f t="shared" ca="1" si="56"/>
        <v>#N/A</v>
      </c>
      <c r="M136" s="1219" t="e">
        <f ca="1">IF(AND(INDEX(FlowCalConstA,MATCH(J123,FlowCalNumber,0),1,1)*L136^INDEX(FlowCalConstB,MATCH(J123,FlowCalNumber,0),1,1)&gt;INDEX(FlowCalLowSetting,MATCH(J123,FlowCalNumber,0),1,1), (INDEX(FlowCalConstA,MATCH(J123,FlowCalNumber,0),1,1)*L136^INDEX(FlowCalConstB,MATCH(J123,FlowCalNumber,0),1,1)&lt;INDEX(FlowCalHighSetting,MATCH(J123,FlowCalNumber,0),1,1))),INDEX(FlowCalConstA,MATCH(J123,FlowCalNumber,0),1,1)*L136^INDEX(FlowCalConstB,MATCH(J123,FlowCalNumber,0),1,1)," ")</f>
        <v>#N/A</v>
      </c>
      <c r="N136" s="1216"/>
      <c r="O136" s="1217">
        <f t="shared" si="57"/>
        <v>1</v>
      </c>
      <c r="P136" s="1218" t="e">
        <f t="shared" ca="1" si="58"/>
        <v>#N/A</v>
      </c>
      <c r="Q136" s="1220" t="e">
        <f ca="1">IF(AND(INDEX(FlowCalConstA,MATCH(N123,FlowCalNumber,0),1,1)*P136^INDEX(FlowCalConstB,MATCH(N123,FlowCalNumber,0),1,1)&gt;INDEX(FlowCalLowSetting,MATCH(N123,FlowCalNumber,0),1,1), (INDEX(FlowCalConstA,MATCH(N123,FlowCalNumber,0),1,1)*P136^INDEX(FlowCalConstB,MATCH(N123,FlowCalNumber,0),1,1)&lt;INDEX(FlowCalHighSetting,MATCH(N123,FlowCalNumber,0),1,1))),INDEX(FlowCalConstA,MATCH(N123,FlowCalNumber,0),1,1)*P136^INDEX(FlowCalConstB,MATCH(N123,FlowCalNumber,0),1,1)," ")</f>
        <v>#N/A</v>
      </c>
      <c r="R136" s="1216"/>
      <c r="S136" s="1217">
        <f t="shared" si="59"/>
        <v>0.5</v>
      </c>
      <c r="T136" s="1218" t="e">
        <f t="shared" ca="1" si="60"/>
        <v>#N/A</v>
      </c>
      <c r="U136" s="1219" t="e">
        <f ca="1">IF(AND(INDEX(FlowCalConstA,MATCH(R123,FlowCalNumber,0),1,1)*T136^INDEX(FlowCalConstB,MATCH(R123,FlowCalNumber,0),1,1)&gt;INDEX(FlowCalLowSetting,MATCH(R123,FlowCalNumber,0),1,1), (INDEX(FlowCalConstA,MATCH(R123,FlowCalNumber,0),1,1)*T136^INDEX(FlowCalConstB,MATCH(R123,FlowCalNumber,0),1,1)&lt;INDEX(FlowCalHighSetting,MATCH(R123,FlowCalNumber,0),1,1))),INDEX(FlowCalConstA,MATCH(R123,FlowCalNumber,0),1,1)*T136^INDEX(FlowCalConstB,MATCH(R123,FlowCalNumber,0),1,1)," ")</f>
        <v>#N/A</v>
      </c>
      <c r="V136" s="1216"/>
      <c r="W136" s="1217">
        <f t="shared" si="61"/>
        <v>0.5</v>
      </c>
      <c r="X136" s="1218" t="e">
        <f t="shared" ca="1" si="62"/>
        <v>#N/A</v>
      </c>
      <c r="Y136" s="1220" t="e">
        <f ca="1">IF(AND(INDEX(FlowCalConstA,MATCH(V123,FlowCalNumber,0),1,1)*X136^INDEX(FlowCalConstB,MATCH(V123,FlowCalNumber,0),1,1)&gt;INDEX(FlowCalLowSetting,MATCH(V123,FlowCalNumber,0),1,1), (INDEX(FlowCalConstA,MATCH(V123,FlowCalNumber,0),1,1)*X136^INDEX(FlowCalConstB,MATCH(V123,FlowCalNumber,0),1,1)&lt;INDEX(FlowCalHighSetting,MATCH(V123,FlowCalNumber,0),1,1))),INDEX(FlowCalConstA,MATCH(V123,FlowCalNumber,0),1,1)*X136^INDEX(FlowCalConstB,MATCH(V123,FlowCalNumber,0),1,1)," ")</f>
        <v>#N/A</v>
      </c>
    </row>
    <row r="137" spans="1:25">
      <c r="A137" s="412"/>
      <c r="B137" s="2"/>
      <c r="C137" s="235"/>
      <c r="D137" s="24">
        <f>'1% Wind'!$M$95</f>
        <v>1.3</v>
      </c>
      <c r="E137" s="90"/>
      <c r="F137" s="90"/>
      <c r="G137" s="79" t="e">
        <f ca="1">IF(I123=1,$G136,MAX(G136/D136*D137,2))</f>
        <v>#N/A</v>
      </c>
      <c r="H137" s="121" t="e">
        <f t="shared" ca="1" si="54"/>
        <v>#N/A</v>
      </c>
      <c r="J137" s="377"/>
      <c r="K137" s="242">
        <f t="shared" si="55"/>
        <v>1</v>
      </c>
      <c r="L137" s="241" t="e">
        <f t="shared" ca="1" si="56"/>
        <v>#N/A</v>
      </c>
      <c r="M137" s="243" t="e">
        <f ca="1">IF(AND(INDEX(FlowCalConstA,MATCH(J123,FlowCalNumber,0),1,1)*L137^INDEX(FlowCalConstB,MATCH(J123,FlowCalNumber,0),1,1)&gt;INDEX(FlowCalLowSetting,MATCH(J123,FlowCalNumber,0),1,1), (INDEX(FlowCalConstA,MATCH(J123,FlowCalNumber,0),1,1)*L137^INDEX(FlowCalConstB,MATCH(J123,FlowCalNumber,0),1,1)&lt;INDEX(FlowCalHighSetting,MATCH(J123,FlowCalNumber,0),1,1))),INDEX(FlowCalConstA,MATCH(J123,FlowCalNumber,0),1,1)*L137^INDEX(FlowCalConstB,MATCH(J123,FlowCalNumber,0),1,1)," ")</f>
        <v>#N/A</v>
      </c>
      <c r="N137" s="377"/>
      <c r="O137" s="242">
        <f t="shared" si="57"/>
        <v>1</v>
      </c>
      <c r="P137" s="241" t="e">
        <f t="shared" ca="1" si="58"/>
        <v>#N/A</v>
      </c>
      <c r="Q137" s="244" t="e">
        <f ca="1">IF(AND(INDEX(FlowCalConstA,MATCH(N123,FlowCalNumber,0),1,1)*P137^INDEX(FlowCalConstB,MATCH(N123,FlowCalNumber,0),1,1)&gt;INDEX(FlowCalLowSetting,MATCH(N123,FlowCalNumber,0),1,1), (INDEX(FlowCalConstA,MATCH(N123,FlowCalNumber,0),1,1)*P137^INDEX(FlowCalConstB,MATCH(N123,FlowCalNumber,0),1,1)&lt;INDEX(FlowCalHighSetting,MATCH(N123,FlowCalNumber,0),1,1))),INDEX(FlowCalConstA,MATCH(N123,FlowCalNumber,0),1,1)*P137^INDEX(FlowCalConstB,MATCH(N123,FlowCalNumber,0),1,1)," ")</f>
        <v>#N/A</v>
      </c>
      <c r="R137" s="377"/>
      <c r="S137" s="242">
        <f t="shared" si="59"/>
        <v>0.5</v>
      </c>
      <c r="T137" s="241" t="e">
        <f t="shared" ca="1" si="60"/>
        <v>#N/A</v>
      </c>
      <c r="U137" s="243" t="e">
        <f ca="1">IF(AND(INDEX(FlowCalConstA,MATCH(R123,FlowCalNumber,0),1,1)*T137^INDEX(FlowCalConstB,MATCH(R123,FlowCalNumber,0),1,1)&gt;INDEX(FlowCalLowSetting,MATCH(R123,FlowCalNumber,0),1,1), (INDEX(FlowCalConstA,MATCH(R123,FlowCalNumber,0),1,1)*T137^INDEX(FlowCalConstB,MATCH(R123,FlowCalNumber,0),1,1)&lt;INDEX(FlowCalHighSetting,MATCH(R123,FlowCalNumber,0),1,1))),INDEX(FlowCalConstA,MATCH(R123,FlowCalNumber,0),1,1)*T137^INDEX(FlowCalConstB,MATCH(R123,FlowCalNumber,0),1,1)," ")</f>
        <v>#N/A</v>
      </c>
      <c r="V137" s="377"/>
      <c r="W137" s="242">
        <f t="shared" si="61"/>
        <v>0.5</v>
      </c>
      <c r="X137" s="241" t="e">
        <f t="shared" ca="1" si="62"/>
        <v>#N/A</v>
      </c>
      <c r="Y137" s="244" t="e">
        <f ca="1">IF(AND(INDEX(FlowCalConstA,MATCH(V123,FlowCalNumber,0),1,1)*X137^INDEX(FlowCalConstB,MATCH(V123,FlowCalNumber,0),1,1)&gt;INDEX(FlowCalLowSetting,MATCH(V123,FlowCalNumber,0),1,1), (INDEX(FlowCalConstA,MATCH(V123,FlowCalNumber,0),1,1)*X137^INDEX(FlowCalConstB,MATCH(V123,FlowCalNumber,0),1,1)&lt;INDEX(FlowCalHighSetting,MATCH(V123,FlowCalNumber,0),1,1))),INDEX(FlowCalConstA,MATCH(V123,FlowCalNumber,0),1,1)*X137^INDEX(FlowCalConstB,MATCH(V123,FlowCalNumber,0),1,1)," ")</f>
        <v>#N/A</v>
      </c>
    </row>
    <row r="138" spans="1:25" s="1215" customFormat="1">
      <c r="A138" s="1208"/>
      <c r="B138" s="1209"/>
      <c r="C138" s="1210"/>
      <c r="D138" s="1211">
        <f>'1% Wind'!$M$96</f>
        <v>1</v>
      </c>
      <c r="E138" s="1212"/>
      <c r="F138" s="1212"/>
      <c r="G138" s="1213" t="e">
        <f ca="1">IF(I123=1,$G137,MAX(G137/D137*D138,2))</f>
        <v>#N/A</v>
      </c>
      <c r="H138" s="1214" t="e">
        <f t="shared" ca="1" si="54"/>
        <v>#N/A</v>
      </c>
      <c r="J138" s="1216"/>
      <c r="K138" s="1217">
        <f t="shared" si="55"/>
        <v>1</v>
      </c>
      <c r="L138" s="1218" t="e">
        <f t="shared" ca="1" si="56"/>
        <v>#N/A</v>
      </c>
      <c r="M138" s="1219" t="e">
        <f ca="1">IF(AND(INDEX(FlowCalConstA,MATCH(J123,FlowCalNumber,0),1,1)*L138^INDEX(FlowCalConstB,MATCH(J123,FlowCalNumber,0),1,1)&gt;INDEX(FlowCalLowSetting,MATCH(J123,FlowCalNumber,0),1,1), (INDEX(FlowCalConstA,MATCH(J123,FlowCalNumber,0),1,1)*L138^INDEX(FlowCalConstB,MATCH(J123,FlowCalNumber,0),1,1)&lt;INDEX(FlowCalHighSetting,MATCH(J123,FlowCalNumber,0),1,1))),INDEX(FlowCalConstA,MATCH(J123,FlowCalNumber,0),1,1)*L138^INDEX(FlowCalConstB,MATCH(J123,FlowCalNumber,0),1,1)," ")</f>
        <v>#N/A</v>
      </c>
      <c r="N138" s="1216"/>
      <c r="O138" s="1217">
        <f t="shared" si="57"/>
        <v>1</v>
      </c>
      <c r="P138" s="1218" t="e">
        <f t="shared" ca="1" si="58"/>
        <v>#N/A</v>
      </c>
      <c r="Q138" s="1220" t="e">
        <f ca="1">IF(AND(INDEX(FlowCalConstA,MATCH(N123,FlowCalNumber,0),1,1)*P138^INDEX(FlowCalConstB,MATCH(N123,FlowCalNumber,0),1,1)&gt;INDEX(FlowCalLowSetting,MATCH(N123,FlowCalNumber,0),1,1), (INDEX(FlowCalConstA,MATCH(N123,FlowCalNumber,0),1,1)*P138^INDEX(FlowCalConstB,MATCH(N123,FlowCalNumber,0),1,1)&lt;INDEX(FlowCalHighSetting,MATCH(N123,FlowCalNumber,0),1,1))),INDEX(FlowCalConstA,MATCH(N123,FlowCalNumber,0),1,1)*P138^INDEX(FlowCalConstB,MATCH(N123,FlowCalNumber,0),1,1)," ")</f>
        <v>#N/A</v>
      </c>
      <c r="R138" s="1216"/>
      <c r="S138" s="1217">
        <f t="shared" si="59"/>
        <v>0.5</v>
      </c>
      <c r="T138" s="1218" t="e">
        <f t="shared" ca="1" si="60"/>
        <v>#N/A</v>
      </c>
      <c r="U138" s="1219" t="e">
        <f ca="1">IF(AND(INDEX(FlowCalConstA,MATCH(R123,FlowCalNumber,0),1,1)*T138^INDEX(FlowCalConstB,MATCH(R123,FlowCalNumber,0),1,1)&gt;INDEX(FlowCalLowSetting,MATCH(R123,FlowCalNumber,0),1,1), (INDEX(FlowCalConstA,MATCH(R123,FlowCalNumber,0),1,1)*T138^INDEX(FlowCalConstB,MATCH(R123,FlowCalNumber,0),1,1)&lt;INDEX(FlowCalHighSetting,MATCH(R123,FlowCalNumber,0),1,1))),INDEX(FlowCalConstA,MATCH(R123,FlowCalNumber,0),1,1)*T138^INDEX(FlowCalConstB,MATCH(R123,FlowCalNumber,0),1,1)," ")</f>
        <v>#N/A</v>
      </c>
      <c r="V138" s="1216"/>
      <c r="W138" s="1217">
        <f t="shared" si="61"/>
        <v>0.5</v>
      </c>
      <c r="X138" s="1218" t="e">
        <f t="shared" ca="1" si="62"/>
        <v>#N/A</v>
      </c>
      <c r="Y138" s="1220" t="e">
        <f ca="1">IF(AND(INDEX(FlowCalConstA,MATCH(V123,FlowCalNumber,0),1,1)*X138^INDEX(FlowCalConstB,MATCH(V123,FlowCalNumber,0),1,1)&gt;INDEX(FlowCalLowSetting,MATCH(V123,FlowCalNumber,0),1,1), (INDEX(FlowCalConstA,MATCH(V123,FlowCalNumber,0),1,1)*X138^INDEX(FlowCalConstB,MATCH(V123,FlowCalNumber,0),1,1)&lt;INDEX(FlowCalHighSetting,MATCH(V123,FlowCalNumber,0),1,1))),INDEX(FlowCalConstA,MATCH(V123,FlowCalNumber,0),1,1)*X138^INDEX(FlowCalConstB,MATCH(V123,FlowCalNumber,0),1,1)," ")</f>
        <v>#N/A</v>
      </c>
    </row>
    <row r="139" spans="1:25">
      <c r="A139" s="90"/>
      <c r="C139" s="235"/>
      <c r="E139" s="90"/>
      <c r="F139" s="90"/>
      <c r="G139" s="33"/>
      <c r="J139" s="377"/>
      <c r="M139" s="243"/>
      <c r="N139" s="377"/>
      <c r="Q139" s="244"/>
      <c r="R139" s="377"/>
      <c r="U139" s="243"/>
      <c r="V139" s="377"/>
      <c r="Y139" s="244"/>
    </row>
    <row r="140" spans="1:25">
      <c r="A140" s="639">
        <f>A123+1</f>
        <v>8</v>
      </c>
      <c r="B140" s="42" t="e">
        <f>INDEX(SourceID,MATCH($A140,SourceNumber,0),1,1)</f>
        <v>#N/A</v>
      </c>
      <c r="C140" s="354" t="e">
        <f>INDEX(SourceExitDiameter,MATCH($A140,SourceNumber,0),1,1)*3.28*12</f>
        <v>#N/A</v>
      </c>
      <c r="D140" s="24" t="str">
        <f>UAnem1percent</f>
        <v>1% Wind</v>
      </c>
      <c r="E140" s="85" t="e">
        <f ca="1">INDIRECT(ADDRESS(53,6,1,,$A140))</f>
        <v>#N/A</v>
      </c>
      <c r="F140" s="626" t="e">
        <f ca="1">(ROUND((INDIRECT(ADDRESS(15,7,1,,$A140))*3.28*12*32),0)&amp;"/32")</f>
        <v>#N/A</v>
      </c>
      <c r="G140" s="125" t="e">
        <f ca="1">INDIRECT(ADDRESS(29,7,1,,$A140))</f>
        <v>#N/A</v>
      </c>
      <c r="H140" s="24" t="e">
        <f ca="1">INDIRECT(ADDRESS(19,7,1,,$A140))*100^3</f>
        <v>#N/A</v>
      </c>
      <c r="I140" s="24" t="e">
        <f ca="1">INDIRECT(ADDRESS(53,7,1,,$A140))</f>
        <v>#N/A</v>
      </c>
      <c r="J140" s="20" t="str">
        <f>K$15&amp;$H$6&amp;J$6</f>
        <v>100AirPick a Tunnel</v>
      </c>
      <c r="K140" t="e">
        <f>INDEX(FlowCalGasMixture,MATCH(J140,FlowCalNumber,0),1,1)</f>
        <v>#N/A</v>
      </c>
      <c r="M140" s="355" t="e">
        <f>INDEX(FlowCalDevice,MATCH(J140,FlowCalNumber,0),1,1)</f>
        <v>#N/A</v>
      </c>
      <c r="N140" s="20" t="str">
        <f>O$15&amp;$H$6&amp;N$6</f>
        <v>100AirPick a Tunnel</v>
      </c>
      <c r="O140" t="e">
        <f>INDEX(FlowCalGasMixture,MATCH(N140,FlowCalNumber,0),1,1)</f>
        <v>#N/A</v>
      </c>
      <c r="Q140" s="355" t="e">
        <f>INDEX(FlowCalDevice,MATCH(N140,FlowCalNumber,0),1,1)</f>
        <v>#N/A</v>
      </c>
      <c r="R140" s="20" t="str">
        <f>S$15&amp;$H$6&amp;R$6</f>
        <v>100AirPick a Tunnel</v>
      </c>
      <c r="S140" t="e">
        <f>INDEX(FlowCalGasMixture,MATCH(R140,FlowCalNumber,0),1,1)</f>
        <v>#N/A</v>
      </c>
      <c r="U140" s="944" t="e">
        <f>INDEX(FlowCalDevice,MATCH(R140,FlowCalNumber,0),1,1)</f>
        <v>#N/A</v>
      </c>
      <c r="V140" s="946" t="str">
        <f>W$15&amp;$H$6&amp;V$6</f>
        <v>100AirPick a Tunnel</v>
      </c>
      <c r="W140" t="e">
        <f>INDEX(FlowCalGasMixture,MATCH(V140,FlowCalNumber,0),1,1)</f>
        <v>#N/A</v>
      </c>
      <c r="Y140" s="982" t="e">
        <f>INDEX(FlowCalDevice,MATCH(V140,FlowCalNumber,0),1,1)</f>
        <v>#N/A</v>
      </c>
    </row>
    <row r="141" spans="1:25" s="1215" customFormat="1">
      <c r="A141" s="1208"/>
      <c r="B141" s="1209"/>
      <c r="C141" s="1210"/>
      <c r="D141" s="1211">
        <f>'1% Wind'!$M$82</f>
        <v>27</v>
      </c>
      <c r="E141" s="1212"/>
      <c r="F141" s="1212"/>
      <c r="G141" s="1213" t="e">
        <f ca="1">IF(I140=1,$G140,MAX(G140/D140*D141,2))</f>
        <v>#N/A</v>
      </c>
      <c r="H141" s="1214" t="e">
        <f t="shared" ref="H141:H155" ca="1" si="63">H140*(D140/D141)*(G141/G140)</f>
        <v>#N/A</v>
      </c>
      <c r="J141" s="1216"/>
      <c r="K141" s="1221">
        <f>K$16/100</f>
        <v>1</v>
      </c>
      <c r="L141" s="1218" t="e">
        <f ca="1">K141*$H141</f>
        <v>#N/A</v>
      </c>
      <c r="M141" s="1219" t="e">
        <f ca="1">IF(AND(INDEX(FlowCalConstA,MATCH(J140,FlowCalNumber,0),1,1)*L141^INDEX(FlowCalConstB,MATCH(J140,FlowCalNumber,0),1,1)&gt;INDEX(FlowCalLowSetting,MATCH(J140,FlowCalNumber,0),1,1), (INDEX(FlowCalConstA,MATCH(J140,FlowCalNumber,0),1,1)*L141^INDEX(FlowCalConstB,MATCH(J140,FlowCalNumber,0),1,1)&lt;INDEX(FlowCalHighSetting,MATCH(J140,FlowCalNumber,0),1,1))),INDEX(FlowCalConstA,MATCH(J140,FlowCalNumber,0),1,1)*L141^INDEX(FlowCalConstB,MATCH(J140,FlowCalNumber,0),1,1)," ")</f>
        <v>#N/A</v>
      </c>
      <c r="N141" s="1216"/>
      <c r="O141" s="1221">
        <f>O$16/100</f>
        <v>1</v>
      </c>
      <c r="P141" s="1218" t="e">
        <f ca="1">O141*$H141</f>
        <v>#N/A</v>
      </c>
      <c r="Q141" s="1220" t="e">
        <f ca="1">IF(AND(INDEX(FlowCalConstA,MATCH(N140,FlowCalNumber,0),1,1)*P141^INDEX(FlowCalConstB,MATCH(N140,FlowCalNumber,0),1,1)&gt;INDEX(FlowCalLowSetting,MATCH(N140,FlowCalNumber,0),1,1), (INDEX(FlowCalConstA,MATCH(N140,FlowCalNumber,0),1,1)*P141^INDEX(FlowCalConstB,MATCH(N140,FlowCalNumber,0),1,1)&lt;INDEX(FlowCalHighSetting,MATCH(N140,FlowCalNumber,0),1,1))),INDEX(FlowCalConstA,MATCH(N140,FlowCalNumber,0),1,1)*P141^INDEX(FlowCalConstB,MATCH(N140,FlowCalNumber,0),1,1)," ")</f>
        <v>#N/A</v>
      </c>
      <c r="R141" s="1216"/>
      <c r="S141" s="1221">
        <f>S$16/100</f>
        <v>0.5</v>
      </c>
      <c r="T141" s="1218" t="e">
        <f ca="1">S141*$H141</f>
        <v>#N/A</v>
      </c>
      <c r="U141" s="1219" t="e">
        <f ca="1">IF(AND(INDEX(FlowCalConstA,MATCH(R140,FlowCalNumber,0),1,1)*T141^INDEX(FlowCalConstB,MATCH(R140,FlowCalNumber,0),1,1)&gt;INDEX(FlowCalLowSetting,MATCH(R140,FlowCalNumber,0),1,1), (INDEX(FlowCalConstA,MATCH(R140,FlowCalNumber,0),1,1)*T141^INDEX(FlowCalConstB,MATCH(R140,FlowCalNumber,0),1,1)&lt;INDEX(FlowCalHighSetting,MATCH(R140,FlowCalNumber,0),1,1))),INDEX(FlowCalConstA,MATCH(R140,FlowCalNumber,0),1,1)*T141^INDEX(FlowCalConstB,MATCH(R140,FlowCalNumber,0),1,1)," ")</f>
        <v>#N/A</v>
      </c>
      <c r="V141" s="1216"/>
      <c r="W141" s="1221">
        <f>W$16/100</f>
        <v>0.5</v>
      </c>
      <c r="X141" s="1218" t="e">
        <f ca="1">W141*$H141</f>
        <v>#N/A</v>
      </c>
      <c r="Y141" s="1220" t="e">
        <f ca="1">IF(AND(INDEX(FlowCalConstA,MATCH(V140,FlowCalNumber,0),1,1)*X141^INDEX(FlowCalConstB,MATCH(V140,FlowCalNumber,0),1,1)&gt;INDEX(FlowCalLowSetting,MATCH(V140,FlowCalNumber,0),1,1), (INDEX(FlowCalConstA,MATCH(V140,FlowCalNumber,0),1,1)*X141^INDEX(FlowCalConstB,MATCH(V140,FlowCalNumber,0),1,1)&lt;INDEX(FlowCalHighSetting,MATCH(V140,FlowCalNumber,0),1,1))),INDEX(FlowCalConstA,MATCH(V140,FlowCalNumber,0),1,1)*X141^INDEX(FlowCalConstB,MATCH(V140,FlowCalNumber,0),1,1)," ")</f>
        <v>#N/A</v>
      </c>
    </row>
    <row r="142" spans="1:25">
      <c r="A142" s="412"/>
      <c r="B142" s="2"/>
      <c r="C142" s="235"/>
      <c r="D142" s="24">
        <f>'1% Wind'!$M$83</f>
        <v>23.5</v>
      </c>
      <c r="E142" s="90"/>
      <c r="F142" s="90"/>
      <c r="G142" s="79" t="e">
        <f ca="1">IF(I140=1,$G141,MAX(G141/D141*D142,2))</f>
        <v>#N/A</v>
      </c>
      <c r="H142" s="121" t="e">
        <f t="shared" ca="1" si="63"/>
        <v>#N/A</v>
      </c>
      <c r="J142" s="377"/>
      <c r="K142" s="242">
        <f t="shared" ref="K142:K155" si="64">K141</f>
        <v>1</v>
      </c>
      <c r="L142" s="241" t="e">
        <f t="shared" ref="L142:L155" ca="1" si="65">K142*$H142</f>
        <v>#N/A</v>
      </c>
      <c r="M142" s="243" t="e">
        <f ca="1">IF(AND(INDEX(FlowCalConstA,MATCH(J140,FlowCalNumber,0),1,1)*L142^INDEX(FlowCalConstB,MATCH(J140,FlowCalNumber,0),1,1)&gt;INDEX(FlowCalLowSetting,MATCH(J140,FlowCalNumber,0),1,1), (INDEX(FlowCalConstA,MATCH(J140,FlowCalNumber,0),1,1)*L142^INDEX(FlowCalConstB,MATCH(J140,FlowCalNumber,0),1,1)&lt;INDEX(FlowCalHighSetting,MATCH(J140,FlowCalNumber,0),1,1))),INDEX(FlowCalConstA,MATCH(J140,FlowCalNumber,0),1,1)*L142^INDEX(FlowCalConstB,MATCH(J140,FlowCalNumber,0),1,1)," ")</f>
        <v>#N/A</v>
      </c>
      <c r="N142" s="377"/>
      <c r="O142" s="242">
        <f t="shared" ref="O142:O155" si="66">O141</f>
        <v>1</v>
      </c>
      <c r="P142" s="241" t="e">
        <f t="shared" ref="P142:P155" ca="1" si="67">O142*$H142</f>
        <v>#N/A</v>
      </c>
      <c r="Q142" s="244" t="e">
        <f ca="1">IF(AND(INDEX(FlowCalConstA,MATCH(N140,FlowCalNumber,0),1,1)*P142^INDEX(FlowCalConstB,MATCH(N140,FlowCalNumber,0),1,1)&gt;INDEX(FlowCalLowSetting,MATCH(N140,FlowCalNumber,0),1,1), (INDEX(FlowCalConstA,MATCH(N140,FlowCalNumber,0),1,1)*P142^INDEX(FlowCalConstB,MATCH(N140,FlowCalNumber,0),1,1)&lt;INDEX(FlowCalHighSetting,MATCH(N140,FlowCalNumber,0),1,1))),INDEX(FlowCalConstA,MATCH(N140,FlowCalNumber,0),1,1)*P142^INDEX(FlowCalConstB,MATCH(N140,FlowCalNumber,0),1,1)," ")</f>
        <v>#N/A</v>
      </c>
      <c r="R142" s="377"/>
      <c r="S142" s="242">
        <f t="shared" ref="S142:S155" si="68">S141</f>
        <v>0.5</v>
      </c>
      <c r="T142" s="241" t="e">
        <f t="shared" ref="T142:T155" ca="1" si="69">S142*$H142</f>
        <v>#N/A</v>
      </c>
      <c r="U142" s="243" t="e">
        <f ca="1">IF(AND(INDEX(FlowCalConstA,MATCH(R140,FlowCalNumber,0),1,1)*T142^INDEX(FlowCalConstB,MATCH(R140,FlowCalNumber,0),1,1)&gt;INDEX(FlowCalLowSetting,MATCH(R140,FlowCalNumber,0),1,1), (INDEX(FlowCalConstA,MATCH(R140,FlowCalNumber,0),1,1)*T142^INDEX(FlowCalConstB,MATCH(R140,FlowCalNumber,0),1,1)&lt;INDEX(FlowCalHighSetting,MATCH(R140,FlowCalNumber,0),1,1))),INDEX(FlowCalConstA,MATCH(R140,FlowCalNumber,0),1,1)*T142^INDEX(FlowCalConstB,MATCH(R140,FlowCalNumber,0),1,1)," ")</f>
        <v>#N/A</v>
      </c>
      <c r="V142" s="377"/>
      <c r="W142" s="242">
        <f t="shared" ref="W142:W155" si="70">W141</f>
        <v>0.5</v>
      </c>
      <c r="X142" s="241" t="e">
        <f t="shared" ref="X142:X155" ca="1" si="71">W142*$H142</f>
        <v>#N/A</v>
      </c>
      <c r="Y142" s="244" t="e">
        <f ca="1">IF(AND(INDEX(FlowCalConstA,MATCH(V140,FlowCalNumber,0),1,1)*X142^INDEX(FlowCalConstB,MATCH(V140,FlowCalNumber,0),1,1)&gt;INDEX(FlowCalLowSetting,MATCH(V140,FlowCalNumber,0),1,1), (INDEX(FlowCalConstA,MATCH(V140,FlowCalNumber,0),1,1)*X142^INDEX(FlowCalConstB,MATCH(V140,FlowCalNumber,0),1,1)&lt;INDEX(FlowCalHighSetting,MATCH(V140,FlowCalNumber,0),1,1))),INDEX(FlowCalConstA,MATCH(V140,FlowCalNumber,0),1,1)*X142^INDEX(FlowCalConstB,MATCH(V140,FlowCalNumber,0),1,1)," ")</f>
        <v>#N/A</v>
      </c>
    </row>
    <row r="143" spans="1:25" s="1215" customFormat="1">
      <c r="A143" s="1208"/>
      <c r="B143" s="1209"/>
      <c r="C143" s="1210"/>
      <c r="D143" s="1211">
        <f>'1% Wind'!$M$84</f>
        <v>20.5</v>
      </c>
      <c r="E143" s="1212"/>
      <c r="F143" s="1212"/>
      <c r="G143" s="1213" t="e">
        <f ca="1">IF(I140=1,$G142,MAX(G142/D142*D143,2))</f>
        <v>#N/A</v>
      </c>
      <c r="H143" s="1214" t="e">
        <f t="shared" ca="1" si="63"/>
        <v>#N/A</v>
      </c>
      <c r="J143" s="1216"/>
      <c r="K143" s="1217">
        <f t="shared" si="64"/>
        <v>1</v>
      </c>
      <c r="L143" s="1218" t="e">
        <f t="shared" ca="1" si="65"/>
        <v>#N/A</v>
      </c>
      <c r="M143" s="1219" t="e">
        <f ca="1">IF(AND(INDEX(FlowCalConstA,MATCH(J140,FlowCalNumber,0),1,1)*L143^INDEX(FlowCalConstB,MATCH(J140,FlowCalNumber,0),1,1)&gt;INDEX(FlowCalLowSetting,MATCH(J140,FlowCalNumber,0),1,1), (INDEX(FlowCalConstA,MATCH(J140,FlowCalNumber,0),1,1)*L143^INDEX(FlowCalConstB,MATCH(J140,FlowCalNumber,0),1,1)&lt;INDEX(FlowCalHighSetting,MATCH(J140,FlowCalNumber,0),1,1))),INDEX(FlowCalConstA,MATCH(J140,FlowCalNumber,0),1,1)*L143^INDEX(FlowCalConstB,MATCH(J140,FlowCalNumber,0),1,1)," ")</f>
        <v>#N/A</v>
      </c>
      <c r="N143" s="1216"/>
      <c r="O143" s="1217">
        <f t="shared" si="66"/>
        <v>1</v>
      </c>
      <c r="P143" s="1218" t="e">
        <f t="shared" ca="1" si="67"/>
        <v>#N/A</v>
      </c>
      <c r="Q143" s="1220" t="e">
        <f ca="1">IF(AND(INDEX(FlowCalConstA,MATCH(N140,FlowCalNumber,0),1,1)*P143^INDEX(FlowCalConstB,MATCH(N140,FlowCalNumber,0),1,1)&gt;INDEX(FlowCalLowSetting,MATCH(N140,FlowCalNumber,0),1,1), (INDEX(FlowCalConstA,MATCH(N140,FlowCalNumber,0),1,1)*P143^INDEX(FlowCalConstB,MATCH(N140,FlowCalNumber,0),1,1)&lt;INDEX(FlowCalHighSetting,MATCH(N140,FlowCalNumber,0),1,1))),INDEX(FlowCalConstA,MATCH(N140,FlowCalNumber,0),1,1)*P143^INDEX(FlowCalConstB,MATCH(N140,FlowCalNumber,0),1,1)," ")</f>
        <v>#N/A</v>
      </c>
      <c r="R143" s="1216"/>
      <c r="S143" s="1217">
        <f t="shared" si="68"/>
        <v>0.5</v>
      </c>
      <c r="T143" s="1218" t="e">
        <f t="shared" ca="1" si="69"/>
        <v>#N/A</v>
      </c>
      <c r="U143" s="1219" t="e">
        <f ca="1">IF(AND(INDEX(FlowCalConstA,MATCH(R140,FlowCalNumber,0),1,1)*T143^INDEX(FlowCalConstB,MATCH(R140,FlowCalNumber,0),1,1)&gt;INDEX(FlowCalLowSetting,MATCH(R140,FlowCalNumber,0),1,1), (INDEX(FlowCalConstA,MATCH(R140,FlowCalNumber,0),1,1)*T143^INDEX(FlowCalConstB,MATCH(R140,FlowCalNumber,0),1,1)&lt;INDEX(FlowCalHighSetting,MATCH(R140,FlowCalNumber,0),1,1))),INDEX(FlowCalConstA,MATCH(R140,FlowCalNumber,0),1,1)*T143^INDEX(FlowCalConstB,MATCH(R140,FlowCalNumber,0),1,1)," ")</f>
        <v>#N/A</v>
      </c>
      <c r="V143" s="1216"/>
      <c r="W143" s="1217">
        <f t="shared" si="70"/>
        <v>0.5</v>
      </c>
      <c r="X143" s="1218" t="e">
        <f t="shared" ca="1" si="71"/>
        <v>#N/A</v>
      </c>
      <c r="Y143" s="1220" t="e">
        <f ca="1">IF(AND(INDEX(FlowCalConstA,MATCH(V140,FlowCalNumber,0),1,1)*X143^INDEX(FlowCalConstB,MATCH(V140,FlowCalNumber,0),1,1)&gt;INDEX(FlowCalLowSetting,MATCH(V140,FlowCalNumber,0),1,1), (INDEX(FlowCalConstA,MATCH(V140,FlowCalNumber,0),1,1)*X143^INDEX(FlowCalConstB,MATCH(V140,FlowCalNumber,0),1,1)&lt;INDEX(FlowCalHighSetting,MATCH(V140,FlowCalNumber,0),1,1))),INDEX(FlowCalConstA,MATCH(V140,FlowCalNumber,0),1,1)*X143^INDEX(FlowCalConstB,MATCH(V140,FlowCalNumber,0),1,1)," ")</f>
        <v>#N/A</v>
      </c>
    </row>
    <row r="144" spans="1:25">
      <c r="A144" s="412"/>
      <c r="B144" s="2"/>
      <c r="C144" s="235"/>
      <c r="D144" s="24">
        <f>'1% Wind'!$M$85</f>
        <v>17.8</v>
      </c>
      <c r="E144" s="90"/>
      <c r="F144" s="90"/>
      <c r="G144" s="79" t="e">
        <f ca="1">IF(I140=1,$G143,MAX(G143/D143*D144,2))</f>
        <v>#N/A</v>
      </c>
      <c r="H144" s="121" t="e">
        <f t="shared" ca="1" si="63"/>
        <v>#N/A</v>
      </c>
      <c r="J144" s="377"/>
      <c r="K144" s="242">
        <f t="shared" si="64"/>
        <v>1</v>
      </c>
      <c r="L144" s="241" t="e">
        <f t="shared" ca="1" si="65"/>
        <v>#N/A</v>
      </c>
      <c r="M144" s="243" t="e">
        <f ca="1">IF(AND(INDEX(FlowCalConstA,MATCH(J140,FlowCalNumber,0),1,1)*L144^INDEX(FlowCalConstB,MATCH(J140,FlowCalNumber,0),1,1)&gt;INDEX(FlowCalLowSetting,MATCH(J140,FlowCalNumber,0),1,1), (INDEX(FlowCalConstA,MATCH(J140,FlowCalNumber,0),1,1)*L144^INDEX(FlowCalConstB,MATCH(J140,FlowCalNumber,0),1,1)&lt;INDEX(FlowCalHighSetting,MATCH(J140,FlowCalNumber,0),1,1))),INDEX(FlowCalConstA,MATCH(J140,FlowCalNumber,0),1,1)*L144^INDEX(FlowCalConstB,MATCH(J140,FlowCalNumber,0),1,1)," ")</f>
        <v>#N/A</v>
      </c>
      <c r="N144" s="377"/>
      <c r="O144" s="242">
        <f t="shared" si="66"/>
        <v>1</v>
      </c>
      <c r="P144" s="241" t="e">
        <f t="shared" ca="1" si="67"/>
        <v>#N/A</v>
      </c>
      <c r="Q144" s="244" t="e">
        <f ca="1">IF(AND(INDEX(FlowCalConstA,MATCH(N140,FlowCalNumber,0),1,1)*P144^INDEX(FlowCalConstB,MATCH(N140,FlowCalNumber,0),1,1)&gt;INDEX(FlowCalLowSetting,MATCH(N140,FlowCalNumber,0),1,1), (INDEX(FlowCalConstA,MATCH(N140,FlowCalNumber,0),1,1)*P144^INDEX(FlowCalConstB,MATCH(N140,FlowCalNumber,0),1,1)&lt;INDEX(FlowCalHighSetting,MATCH(N140,FlowCalNumber,0),1,1))),INDEX(FlowCalConstA,MATCH(N140,FlowCalNumber,0),1,1)*P144^INDEX(FlowCalConstB,MATCH(N140,FlowCalNumber,0),1,1)," ")</f>
        <v>#N/A</v>
      </c>
      <c r="R144" s="377"/>
      <c r="S144" s="242">
        <f t="shared" si="68"/>
        <v>0.5</v>
      </c>
      <c r="T144" s="241" t="e">
        <f t="shared" ca="1" si="69"/>
        <v>#N/A</v>
      </c>
      <c r="U144" s="243" t="e">
        <f ca="1">IF(AND(INDEX(FlowCalConstA,MATCH(R140,FlowCalNumber,0),1,1)*T144^INDEX(FlowCalConstB,MATCH(R140,FlowCalNumber,0),1,1)&gt;INDEX(FlowCalLowSetting,MATCH(R140,FlowCalNumber,0),1,1), (INDEX(FlowCalConstA,MATCH(R140,FlowCalNumber,0),1,1)*T144^INDEX(FlowCalConstB,MATCH(R140,FlowCalNumber,0),1,1)&lt;INDEX(FlowCalHighSetting,MATCH(R140,FlowCalNumber,0),1,1))),INDEX(FlowCalConstA,MATCH(R140,FlowCalNumber,0),1,1)*T144^INDEX(FlowCalConstB,MATCH(R140,FlowCalNumber,0),1,1)," ")</f>
        <v>#N/A</v>
      </c>
      <c r="V144" s="377"/>
      <c r="W144" s="242">
        <f t="shared" si="70"/>
        <v>0.5</v>
      </c>
      <c r="X144" s="241" t="e">
        <f t="shared" ca="1" si="71"/>
        <v>#N/A</v>
      </c>
      <c r="Y144" s="244" t="e">
        <f ca="1">IF(AND(INDEX(FlowCalConstA,MATCH(V140,FlowCalNumber,0),1,1)*X144^INDEX(FlowCalConstB,MATCH(V140,FlowCalNumber,0),1,1)&gt;INDEX(FlowCalLowSetting,MATCH(V140,FlowCalNumber,0),1,1), (INDEX(FlowCalConstA,MATCH(V140,FlowCalNumber,0),1,1)*X144^INDEX(FlowCalConstB,MATCH(V140,FlowCalNumber,0),1,1)&lt;INDEX(FlowCalHighSetting,MATCH(V140,FlowCalNumber,0),1,1))),INDEX(FlowCalConstA,MATCH(V140,FlowCalNumber,0),1,1)*X144^INDEX(FlowCalConstB,MATCH(V140,FlowCalNumber,0),1,1)," ")</f>
        <v>#N/A</v>
      </c>
    </row>
    <row r="145" spans="1:25" s="1215" customFormat="1">
      <c r="A145" s="1208"/>
      <c r="B145" s="1209"/>
      <c r="C145" s="1210"/>
      <c r="D145" s="1211">
        <f>'1% Wind'!$M$86</f>
        <v>15.5</v>
      </c>
      <c r="E145" s="1212"/>
      <c r="F145" s="1212"/>
      <c r="G145" s="1213" t="e">
        <f ca="1">IF(I140=1,$G144,MAX(G144/D144*D145,2))</f>
        <v>#N/A</v>
      </c>
      <c r="H145" s="1214" t="e">
        <f t="shared" ca="1" si="63"/>
        <v>#N/A</v>
      </c>
      <c r="J145" s="1216"/>
      <c r="K145" s="1217">
        <f t="shared" si="64"/>
        <v>1</v>
      </c>
      <c r="L145" s="1218" t="e">
        <f t="shared" ca="1" si="65"/>
        <v>#N/A</v>
      </c>
      <c r="M145" s="1219" t="e">
        <f ca="1">IF(AND(INDEX(FlowCalConstA,MATCH(J140,FlowCalNumber,0),1,1)*L145^INDEX(FlowCalConstB,MATCH(J140,FlowCalNumber,0),1,1)&gt;INDEX(FlowCalLowSetting,MATCH(J140,FlowCalNumber,0),1,1), (INDEX(FlowCalConstA,MATCH(J140,FlowCalNumber,0),1,1)*L145^INDEX(FlowCalConstB,MATCH(J140,FlowCalNumber,0),1,1)&lt;INDEX(FlowCalHighSetting,MATCH(J140,FlowCalNumber,0),1,1))),INDEX(FlowCalConstA,MATCH(J140,FlowCalNumber,0),1,1)*L145^INDEX(FlowCalConstB,MATCH(J140,FlowCalNumber,0),1,1)," ")</f>
        <v>#N/A</v>
      </c>
      <c r="N145" s="1216"/>
      <c r="O145" s="1217">
        <f t="shared" si="66"/>
        <v>1</v>
      </c>
      <c r="P145" s="1218" t="e">
        <f t="shared" ca="1" si="67"/>
        <v>#N/A</v>
      </c>
      <c r="Q145" s="1220" t="e">
        <f ca="1">IF(AND(INDEX(FlowCalConstA,MATCH(N140,FlowCalNumber,0),1,1)*P145^INDEX(FlowCalConstB,MATCH(N140,FlowCalNumber,0),1,1)&gt;INDEX(FlowCalLowSetting,MATCH(N140,FlowCalNumber,0),1,1), (INDEX(FlowCalConstA,MATCH(N140,FlowCalNumber,0),1,1)*P145^INDEX(FlowCalConstB,MATCH(N140,FlowCalNumber,0),1,1)&lt;INDEX(FlowCalHighSetting,MATCH(N140,FlowCalNumber,0),1,1))),INDEX(FlowCalConstA,MATCH(N140,FlowCalNumber,0),1,1)*P145^INDEX(FlowCalConstB,MATCH(N140,FlowCalNumber,0),1,1)," ")</f>
        <v>#N/A</v>
      </c>
      <c r="R145" s="1216"/>
      <c r="S145" s="1217">
        <f t="shared" si="68"/>
        <v>0.5</v>
      </c>
      <c r="T145" s="1218" t="e">
        <f t="shared" ca="1" si="69"/>
        <v>#N/A</v>
      </c>
      <c r="U145" s="1219" t="e">
        <f ca="1">IF(AND(INDEX(FlowCalConstA,MATCH(R140,FlowCalNumber,0),1,1)*T145^INDEX(FlowCalConstB,MATCH(R140,FlowCalNumber,0),1,1)&gt;INDEX(FlowCalLowSetting,MATCH(R140,FlowCalNumber,0),1,1), (INDEX(FlowCalConstA,MATCH(R140,FlowCalNumber,0),1,1)*T145^INDEX(FlowCalConstB,MATCH(R140,FlowCalNumber,0),1,1)&lt;INDEX(FlowCalHighSetting,MATCH(R140,FlowCalNumber,0),1,1))),INDEX(FlowCalConstA,MATCH(R140,FlowCalNumber,0),1,1)*T145^INDEX(FlowCalConstB,MATCH(R140,FlowCalNumber,0),1,1)," ")</f>
        <v>#N/A</v>
      </c>
      <c r="V145" s="1216"/>
      <c r="W145" s="1217">
        <f t="shared" si="70"/>
        <v>0.5</v>
      </c>
      <c r="X145" s="1218" t="e">
        <f t="shared" ca="1" si="71"/>
        <v>#N/A</v>
      </c>
      <c r="Y145" s="1220" t="e">
        <f ca="1">IF(AND(INDEX(FlowCalConstA,MATCH(V140,FlowCalNumber,0),1,1)*X145^INDEX(FlowCalConstB,MATCH(V140,FlowCalNumber,0),1,1)&gt;INDEX(FlowCalLowSetting,MATCH(V140,FlowCalNumber,0),1,1), (INDEX(FlowCalConstA,MATCH(V140,FlowCalNumber,0),1,1)*X145^INDEX(FlowCalConstB,MATCH(V140,FlowCalNumber,0),1,1)&lt;INDEX(FlowCalHighSetting,MATCH(V140,FlowCalNumber,0),1,1))),INDEX(FlowCalConstA,MATCH(V140,FlowCalNumber,0),1,1)*X145^INDEX(FlowCalConstB,MATCH(V140,FlowCalNumber,0),1,1)," ")</f>
        <v>#N/A</v>
      </c>
    </row>
    <row r="146" spans="1:25">
      <c r="A146" s="412"/>
      <c r="B146" s="2"/>
      <c r="C146" s="235"/>
      <c r="D146" s="24">
        <f>'1% Wind'!$M$87</f>
        <v>13.5</v>
      </c>
      <c r="E146" s="90"/>
      <c r="F146" s="90"/>
      <c r="G146" s="79" t="e">
        <f ca="1">IF(I140=1,$G145,MAX(G145/D145*D146,2))</f>
        <v>#N/A</v>
      </c>
      <c r="H146" s="121" t="e">
        <f t="shared" ca="1" si="63"/>
        <v>#N/A</v>
      </c>
      <c r="J146" s="377"/>
      <c r="K146" s="242">
        <f t="shared" si="64"/>
        <v>1</v>
      </c>
      <c r="L146" s="241" t="e">
        <f t="shared" ca="1" si="65"/>
        <v>#N/A</v>
      </c>
      <c r="M146" s="243" t="e">
        <f ca="1">IF(AND(INDEX(FlowCalConstA,MATCH(J140,FlowCalNumber,0),1,1)*L146^INDEX(FlowCalConstB,MATCH(J140,FlowCalNumber,0),1,1)&gt;INDEX(FlowCalLowSetting,MATCH(J140,FlowCalNumber,0),1,1), (INDEX(FlowCalConstA,MATCH(J140,FlowCalNumber,0),1,1)*L146^INDEX(FlowCalConstB,MATCH(J140,FlowCalNumber,0),1,1)&lt;INDEX(FlowCalHighSetting,MATCH(J140,FlowCalNumber,0),1,1))),INDEX(FlowCalConstA,MATCH(J140,FlowCalNumber,0),1,1)*L146^INDEX(FlowCalConstB,MATCH(J140,FlowCalNumber,0),1,1)," ")</f>
        <v>#N/A</v>
      </c>
      <c r="N146" s="377"/>
      <c r="O146" s="242">
        <f t="shared" si="66"/>
        <v>1</v>
      </c>
      <c r="P146" s="241" t="e">
        <f t="shared" ca="1" si="67"/>
        <v>#N/A</v>
      </c>
      <c r="Q146" s="244" t="e">
        <f ca="1">IF(AND(INDEX(FlowCalConstA,MATCH(N140,FlowCalNumber,0),1,1)*P146^INDEX(FlowCalConstB,MATCH(N140,FlowCalNumber,0),1,1)&gt;INDEX(FlowCalLowSetting,MATCH(N140,FlowCalNumber,0),1,1), (INDEX(FlowCalConstA,MATCH(N140,FlowCalNumber,0),1,1)*P146^INDEX(FlowCalConstB,MATCH(N140,FlowCalNumber,0),1,1)&lt;INDEX(FlowCalHighSetting,MATCH(N140,FlowCalNumber,0),1,1))),INDEX(FlowCalConstA,MATCH(N140,FlowCalNumber,0),1,1)*P146^INDEX(FlowCalConstB,MATCH(N140,FlowCalNumber,0),1,1)," ")</f>
        <v>#N/A</v>
      </c>
      <c r="R146" s="377"/>
      <c r="S146" s="242">
        <f t="shared" si="68"/>
        <v>0.5</v>
      </c>
      <c r="T146" s="241" t="e">
        <f t="shared" ca="1" si="69"/>
        <v>#N/A</v>
      </c>
      <c r="U146" s="243" t="e">
        <f ca="1">IF(AND(INDEX(FlowCalConstA,MATCH(R140,FlowCalNumber,0),1,1)*T146^INDEX(FlowCalConstB,MATCH(R140,FlowCalNumber,0),1,1)&gt;INDEX(FlowCalLowSetting,MATCH(R140,FlowCalNumber,0),1,1), (INDEX(FlowCalConstA,MATCH(R140,FlowCalNumber,0),1,1)*T146^INDEX(FlowCalConstB,MATCH(R140,FlowCalNumber,0),1,1)&lt;INDEX(FlowCalHighSetting,MATCH(R140,FlowCalNumber,0),1,1))),INDEX(FlowCalConstA,MATCH(R140,FlowCalNumber,0),1,1)*T146^INDEX(FlowCalConstB,MATCH(R140,FlowCalNumber,0),1,1)," ")</f>
        <v>#N/A</v>
      </c>
      <c r="V146" s="377"/>
      <c r="W146" s="242">
        <f t="shared" si="70"/>
        <v>0.5</v>
      </c>
      <c r="X146" s="241" t="e">
        <f t="shared" ca="1" si="71"/>
        <v>#N/A</v>
      </c>
      <c r="Y146" s="244" t="e">
        <f ca="1">IF(AND(INDEX(FlowCalConstA,MATCH(V140,FlowCalNumber,0),1,1)*X146^INDEX(FlowCalConstB,MATCH(V140,FlowCalNumber,0),1,1)&gt;INDEX(FlowCalLowSetting,MATCH(V140,FlowCalNumber,0),1,1), (INDEX(FlowCalConstA,MATCH(V140,FlowCalNumber,0),1,1)*X146^INDEX(FlowCalConstB,MATCH(V140,FlowCalNumber,0),1,1)&lt;INDEX(FlowCalHighSetting,MATCH(V140,FlowCalNumber,0),1,1))),INDEX(FlowCalConstA,MATCH(V140,FlowCalNumber,0),1,1)*X146^INDEX(FlowCalConstB,MATCH(V140,FlowCalNumber,0),1,1)," ")</f>
        <v>#N/A</v>
      </c>
    </row>
    <row r="147" spans="1:25" s="1215" customFormat="1">
      <c r="A147" s="1208"/>
      <c r="B147" s="1209"/>
      <c r="C147" s="1210"/>
      <c r="D147" s="1211">
        <f>'1% Wind'!$M$88</f>
        <v>10.1</v>
      </c>
      <c r="E147" s="1212"/>
      <c r="F147" s="1212"/>
      <c r="G147" s="1213" t="e">
        <f ca="1">IF(I140=1,$G146,MAX(G146/D146*D147,2))</f>
        <v>#N/A</v>
      </c>
      <c r="H147" s="1214" t="e">
        <f t="shared" ca="1" si="63"/>
        <v>#N/A</v>
      </c>
      <c r="J147" s="1216"/>
      <c r="K147" s="1217">
        <f t="shared" si="64"/>
        <v>1</v>
      </c>
      <c r="L147" s="1218" t="e">
        <f t="shared" ca="1" si="65"/>
        <v>#N/A</v>
      </c>
      <c r="M147" s="1219" t="e">
        <f ca="1">IF(AND(INDEX(FlowCalConstA,MATCH(J140,FlowCalNumber,0),1,1)*L147^INDEX(FlowCalConstB,MATCH(J140,FlowCalNumber,0),1,1)&gt;INDEX(FlowCalLowSetting,MATCH(J140,FlowCalNumber,0),1,1), (INDEX(FlowCalConstA,MATCH(J140,FlowCalNumber,0),1,1)*L147^INDEX(FlowCalConstB,MATCH(J140,FlowCalNumber,0),1,1)&lt;INDEX(FlowCalHighSetting,MATCH(J140,FlowCalNumber,0),1,1))),INDEX(FlowCalConstA,MATCH(J140,FlowCalNumber,0),1,1)*L147^INDEX(FlowCalConstB,MATCH(J140,FlowCalNumber,0),1,1)," ")</f>
        <v>#N/A</v>
      </c>
      <c r="N147" s="1216"/>
      <c r="O147" s="1217">
        <f t="shared" si="66"/>
        <v>1</v>
      </c>
      <c r="P147" s="1218" t="e">
        <f t="shared" ca="1" si="67"/>
        <v>#N/A</v>
      </c>
      <c r="Q147" s="1220" t="e">
        <f ca="1">IF(AND(INDEX(FlowCalConstA,MATCH(N140,FlowCalNumber,0),1,1)*P147^INDEX(FlowCalConstB,MATCH(N140,FlowCalNumber,0),1,1)&gt;INDEX(FlowCalLowSetting,MATCH(N140,FlowCalNumber,0),1,1), (INDEX(FlowCalConstA,MATCH(N140,FlowCalNumber,0),1,1)*P147^INDEX(FlowCalConstB,MATCH(N140,FlowCalNumber,0),1,1)&lt;INDEX(FlowCalHighSetting,MATCH(N140,FlowCalNumber,0),1,1))),INDEX(FlowCalConstA,MATCH(N140,FlowCalNumber,0),1,1)*P147^INDEX(FlowCalConstB,MATCH(N140,FlowCalNumber,0),1,1)," ")</f>
        <v>#N/A</v>
      </c>
      <c r="R147" s="1216"/>
      <c r="S147" s="1217">
        <f t="shared" si="68"/>
        <v>0.5</v>
      </c>
      <c r="T147" s="1218" t="e">
        <f t="shared" ca="1" si="69"/>
        <v>#N/A</v>
      </c>
      <c r="U147" s="1219" t="e">
        <f ca="1">IF(AND(INDEX(FlowCalConstA,MATCH(R140,FlowCalNumber,0),1,1)*T147^INDEX(FlowCalConstB,MATCH(R140,FlowCalNumber,0),1,1)&gt;INDEX(FlowCalLowSetting,MATCH(R140,FlowCalNumber,0),1,1), (INDEX(FlowCalConstA,MATCH(R140,FlowCalNumber,0),1,1)*T147^INDEX(FlowCalConstB,MATCH(R140,FlowCalNumber,0),1,1)&lt;INDEX(FlowCalHighSetting,MATCH(R140,FlowCalNumber,0),1,1))),INDEX(FlowCalConstA,MATCH(R140,FlowCalNumber,0),1,1)*T147^INDEX(FlowCalConstB,MATCH(R140,FlowCalNumber,0),1,1)," ")</f>
        <v>#N/A</v>
      </c>
      <c r="V147" s="1216"/>
      <c r="W147" s="1217">
        <f t="shared" si="70"/>
        <v>0.5</v>
      </c>
      <c r="X147" s="1218" t="e">
        <f t="shared" ca="1" si="71"/>
        <v>#N/A</v>
      </c>
      <c r="Y147" s="1220" t="e">
        <f ca="1">IF(AND(INDEX(FlowCalConstA,MATCH(V140,FlowCalNumber,0),1,1)*X147^INDEX(FlowCalConstB,MATCH(V140,FlowCalNumber,0),1,1)&gt;INDEX(FlowCalLowSetting,MATCH(V140,FlowCalNumber,0),1,1), (INDEX(FlowCalConstA,MATCH(V140,FlowCalNumber,0),1,1)*X147^INDEX(FlowCalConstB,MATCH(V140,FlowCalNumber,0),1,1)&lt;INDEX(FlowCalHighSetting,MATCH(V140,FlowCalNumber,0),1,1))),INDEX(FlowCalConstA,MATCH(V140,FlowCalNumber,0),1,1)*X147^INDEX(FlowCalConstB,MATCH(V140,FlowCalNumber,0),1,1)," ")</f>
        <v>#N/A</v>
      </c>
    </row>
    <row r="148" spans="1:25">
      <c r="A148" s="412"/>
      <c r="B148" s="2"/>
      <c r="C148" s="235"/>
      <c r="D148" s="24">
        <f>'1% Wind'!$M$89</f>
        <v>7.6</v>
      </c>
      <c r="E148" s="90"/>
      <c r="F148" s="90"/>
      <c r="G148" s="79" t="e">
        <f ca="1">IF(I140=1,$G147,MAX(G147/D147*D148,2))</f>
        <v>#N/A</v>
      </c>
      <c r="H148" s="121" t="e">
        <f t="shared" ca="1" si="63"/>
        <v>#N/A</v>
      </c>
      <c r="J148" s="377"/>
      <c r="K148" s="242">
        <f t="shared" si="64"/>
        <v>1</v>
      </c>
      <c r="L148" s="241" t="e">
        <f t="shared" ca="1" si="65"/>
        <v>#N/A</v>
      </c>
      <c r="M148" s="243" t="e">
        <f ca="1">IF(AND(INDEX(FlowCalConstA,MATCH(J140,FlowCalNumber,0),1,1)*L148^INDEX(FlowCalConstB,MATCH(J140,FlowCalNumber,0),1,1)&gt;INDEX(FlowCalLowSetting,MATCH(J140,FlowCalNumber,0),1,1), (INDEX(FlowCalConstA,MATCH(J140,FlowCalNumber,0),1,1)*L148^INDEX(FlowCalConstB,MATCH(J140,FlowCalNumber,0),1,1)&lt;INDEX(FlowCalHighSetting,MATCH(J140,FlowCalNumber,0),1,1))),INDEX(FlowCalConstA,MATCH(J140,FlowCalNumber,0),1,1)*L148^INDEX(FlowCalConstB,MATCH(J140,FlowCalNumber,0),1,1)," ")</f>
        <v>#N/A</v>
      </c>
      <c r="N148" s="377"/>
      <c r="O148" s="242">
        <f t="shared" si="66"/>
        <v>1</v>
      </c>
      <c r="P148" s="241" t="e">
        <f t="shared" ca="1" si="67"/>
        <v>#N/A</v>
      </c>
      <c r="Q148" s="244" t="e">
        <f ca="1">IF(AND(INDEX(FlowCalConstA,MATCH(N140,FlowCalNumber,0),1,1)*P148^INDEX(FlowCalConstB,MATCH(N140,FlowCalNumber,0),1,1)&gt;INDEX(FlowCalLowSetting,MATCH(N140,FlowCalNumber,0),1,1), (INDEX(FlowCalConstA,MATCH(N140,FlowCalNumber,0),1,1)*P148^INDEX(FlowCalConstB,MATCH(N140,FlowCalNumber,0),1,1)&lt;INDEX(FlowCalHighSetting,MATCH(N140,FlowCalNumber,0),1,1))),INDEX(FlowCalConstA,MATCH(N140,FlowCalNumber,0),1,1)*P148^INDEX(FlowCalConstB,MATCH(N140,FlowCalNumber,0),1,1)," ")</f>
        <v>#N/A</v>
      </c>
      <c r="R148" s="377"/>
      <c r="S148" s="242">
        <f t="shared" si="68"/>
        <v>0.5</v>
      </c>
      <c r="T148" s="241" t="e">
        <f t="shared" ca="1" si="69"/>
        <v>#N/A</v>
      </c>
      <c r="U148" s="243" t="e">
        <f ca="1">IF(AND(INDEX(FlowCalConstA,MATCH(R140,FlowCalNumber,0),1,1)*T148^INDEX(FlowCalConstB,MATCH(R140,FlowCalNumber,0),1,1)&gt;INDEX(FlowCalLowSetting,MATCH(R140,FlowCalNumber,0),1,1), (INDEX(FlowCalConstA,MATCH(R140,FlowCalNumber,0),1,1)*T148^INDEX(FlowCalConstB,MATCH(R140,FlowCalNumber,0),1,1)&lt;INDEX(FlowCalHighSetting,MATCH(R140,FlowCalNumber,0),1,1))),INDEX(FlowCalConstA,MATCH(R140,FlowCalNumber,0),1,1)*T148^INDEX(FlowCalConstB,MATCH(R140,FlowCalNumber,0),1,1)," ")</f>
        <v>#N/A</v>
      </c>
      <c r="V148" s="377"/>
      <c r="W148" s="242">
        <f t="shared" si="70"/>
        <v>0.5</v>
      </c>
      <c r="X148" s="241" t="e">
        <f t="shared" ca="1" si="71"/>
        <v>#N/A</v>
      </c>
      <c r="Y148" s="244" t="e">
        <f ca="1">IF(AND(INDEX(FlowCalConstA,MATCH(V140,FlowCalNumber,0),1,1)*X148^INDEX(FlowCalConstB,MATCH(V140,FlowCalNumber,0),1,1)&gt;INDEX(FlowCalLowSetting,MATCH(V140,FlowCalNumber,0),1,1), (INDEX(FlowCalConstA,MATCH(V140,FlowCalNumber,0),1,1)*X148^INDEX(FlowCalConstB,MATCH(V140,FlowCalNumber,0),1,1)&lt;INDEX(FlowCalHighSetting,MATCH(V140,FlowCalNumber,0),1,1))),INDEX(FlowCalConstA,MATCH(V140,FlowCalNumber,0),1,1)*X148^INDEX(FlowCalConstB,MATCH(V140,FlowCalNumber,0),1,1)," ")</f>
        <v>#N/A</v>
      </c>
    </row>
    <row r="149" spans="1:25" s="1215" customFormat="1">
      <c r="A149" s="1208"/>
      <c r="B149" s="1209"/>
      <c r="C149" s="1210"/>
      <c r="D149" s="1211">
        <f>'1% Wind'!$M$90</f>
        <v>5.7</v>
      </c>
      <c r="E149" s="1212"/>
      <c r="F149" s="1212"/>
      <c r="G149" s="1213" t="e">
        <f ca="1">IF(I140=1,$G148,MAX(G148/D148*D149,2))</f>
        <v>#N/A</v>
      </c>
      <c r="H149" s="1214" t="e">
        <f t="shared" ca="1" si="63"/>
        <v>#N/A</v>
      </c>
      <c r="J149" s="1216"/>
      <c r="K149" s="1217">
        <f t="shared" si="64"/>
        <v>1</v>
      </c>
      <c r="L149" s="1218" t="e">
        <f t="shared" ca="1" si="65"/>
        <v>#N/A</v>
      </c>
      <c r="M149" s="1219" t="e">
        <f ca="1">IF(AND(INDEX(FlowCalConstA,MATCH(J140,FlowCalNumber,0),1,1)*L149^INDEX(FlowCalConstB,MATCH(J140,FlowCalNumber,0),1,1)&gt;INDEX(FlowCalLowSetting,MATCH(J140,FlowCalNumber,0),1,1), (INDEX(FlowCalConstA,MATCH(J140,FlowCalNumber,0),1,1)*L149^INDEX(FlowCalConstB,MATCH(J140,FlowCalNumber,0),1,1)&lt;INDEX(FlowCalHighSetting,MATCH(J140,FlowCalNumber,0),1,1))),INDEX(FlowCalConstA,MATCH(J140,FlowCalNumber,0),1,1)*L149^INDEX(FlowCalConstB,MATCH(J140,FlowCalNumber,0),1,1)," ")</f>
        <v>#N/A</v>
      </c>
      <c r="N149" s="1216"/>
      <c r="O149" s="1217">
        <f t="shared" si="66"/>
        <v>1</v>
      </c>
      <c r="P149" s="1218" t="e">
        <f t="shared" ca="1" si="67"/>
        <v>#N/A</v>
      </c>
      <c r="Q149" s="1220" t="e">
        <f ca="1">IF(AND(INDEX(FlowCalConstA,MATCH(N140,FlowCalNumber,0),1,1)*P149^INDEX(FlowCalConstB,MATCH(N140,FlowCalNumber,0),1,1)&gt;INDEX(FlowCalLowSetting,MATCH(N140,FlowCalNumber,0),1,1), (INDEX(FlowCalConstA,MATCH(N140,FlowCalNumber,0),1,1)*P149^INDEX(FlowCalConstB,MATCH(N140,FlowCalNumber,0),1,1)&lt;INDEX(FlowCalHighSetting,MATCH(N140,FlowCalNumber,0),1,1))),INDEX(FlowCalConstA,MATCH(N140,FlowCalNumber,0),1,1)*P149^INDEX(FlowCalConstB,MATCH(N140,FlowCalNumber,0),1,1)," ")</f>
        <v>#N/A</v>
      </c>
      <c r="R149" s="1216"/>
      <c r="S149" s="1217">
        <f t="shared" si="68"/>
        <v>0.5</v>
      </c>
      <c r="T149" s="1218" t="e">
        <f t="shared" ca="1" si="69"/>
        <v>#N/A</v>
      </c>
      <c r="U149" s="1219" t="e">
        <f ca="1">IF(AND(INDEX(FlowCalConstA,MATCH(R140,FlowCalNumber,0),1,1)*T149^INDEX(FlowCalConstB,MATCH(R140,FlowCalNumber,0),1,1)&gt;INDEX(FlowCalLowSetting,MATCH(R140,FlowCalNumber,0),1,1), (INDEX(FlowCalConstA,MATCH(R140,FlowCalNumber,0),1,1)*T149^INDEX(FlowCalConstB,MATCH(R140,FlowCalNumber,0),1,1)&lt;INDEX(FlowCalHighSetting,MATCH(R140,FlowCalNumber,0),1,1))),INDEX(FlowCalConstA,MATCH(R140,FlowCalNumber,0),1,1)*T149^INDEX(FlowCalConstB,MATCH(R140,FlowCalNumber,0),1,1)," ")</f>
        <v>#N/A</v>
      </c>
      <c r="V149" s="1216"/>
      <c r="W149" s="1217">
        <f t="shared" si="70"/>
        <v>0.5</v>
      </c>
      <c r="X149" s="1218" t="e">
        <f t="shared" ca="1" si="71"/>
        <v>#N/A</v>
      </c>
      <c r="Y149" s="1220" t="e">
        <f ca="1">IF(AND(INDEX(FlowCalConstA,MATCH(V140,FlowCalNumber,0),1,1)*X149^INDEX(FlowCalConstB,MATCH(V140,FlowCalNumber,0),1,1)&gt;INDEX(FlowCalLowSetting,MATCH(V140,FlowCalNumber,0),1,1), (INDEX(FlowCalConstA,MATCH(V140,FlowCalNumber,0),1,1)*X149^INDEX(FlowCalConstB,MATCH(V140,FlowCalNumber,0),1,1)&lt;INDEX(FlowCalHighSetting,MATCH(V140,FlowCalNumber,0),1,1))),INDEX(FlowCalConstA,MATCH(V140,FlowCalNumber,0),1,1)*X149^INDEX(FlowCalConstB,MATCH(V140,FlowCalNumber,0),1,1)," ")</f>
        <v>#N/A</v>
      </c>
    </row>
    <row r="150" spans="1:25">
      <c r="A150" s="412"/>
      <c r="B150" s="2"/>
      <c r="C150" s="235"/>
      <c r="D150" s="24">
        <f>'1% Wind'!$M$91</f>
        <v>4.2</v>
      </c>
      <c r="E150" s="90"/>
      <c r="F150" s="90"/>
      <c r="G150" s="79" t="e">
        <f ca="1">IF(I140=1,$G149,MAX(G149/D149*D150,2))</f>
        <v>#N/A</v>
      </c>
      <c r="H150" s="121" t="e">
        <f t="shared" ca="1" si="63"/>
        <v>#N/A</v>
      </c>
      <c r="J150" s="377"/>
      <c r="K150" s="242">
        <f t="shared" si="64"/>
        <v>1</v>
      </c>
      <c r="L150" s="241" t="e">
        <f t="shared" ca="1" si="65"/>
        <v>#N/A</v>
      </c>
      <c r="M150" s="243" t="e">
        <f ca="1">IF(AND(INDEX(FlowCalConstA,MATCH(J140,FlowCalNumber,0),1,1)*L150^INDEX(FlowCalConstB,MATCH(J140,FlowCalNumber,0),1,1)&gt;INDEX(FlowCalLowSetting,MATCH(J140,FlowCalNumber,0),1,1), (INDEX(FlowCalConstA,MATCH(J140,FlowCalNumber,0),1,1)*L150^INDEX(FlowCalConstB,MATCH(J140,FlowCalNumber,0),1,1)&lt;INDEX(FlowCalHighSetting,MATCH(J140,FlowCalNumber,0),1,1))),INDEX(FlowCalConstA,MATCH(J140,FlowCalNumber,0),1,1)*L150^INDEX(FlowCalConstB,MATCH(J140,FlowCalNumber,0),1,1)," ")</f>
        <v>#N/A</v>
      </c>
      <c r="N150" s="377"/>
      <c r="O150" s="242">
        <f t="shared" si="66"/>
        <v>1</v>
      </c>
      <c r="P150" s="241" t="e">
        <f t="shared" ca="1" si="67"/>
        <v>#N/A</v>
      </c>
      <c r="Q150" s="244" t="e">
        <f ca="1">IF(AND(INDEX(FlowCalConstA,MATCH(N140,FlowCalNumber,0),1,1)*P150^INDEX(FlowCalConstB,MATCH(N140,FlowCalNumber,0),1,1)&gt;INDEX(FlowCalLowSetting,MATCH(N140,FlowCalNumber,0),1,1), (INDEX(FlowCalConstA,MATCH(N140,FlowCalNumber,0),1,1)*P150^INDEX(FlowCalConstB,MATCH(N140,FlowCalNumber,0),1,1)&lt;INDEX(FlowCalHighSetting,MATCH(N140,FlowCalNumber,0),1,1))),INDEX(FlowCalConstA,MATCH(N140,FlowCalNumber,0),1,1)*P150^INDEX(FlowCalConstB,MATCH(N140,FlowCalNumber,0),1,1)," ")</f>
        <v>#N/A</v>
      </c>
      <c r="R150" s="377"/>
      <c r="S150" s="242">
        <f t="shared" si="68"/>
        <v>0.5</v>
      </c>
      <c r="T150" s="241" t="e">
        <f t="shared" ca="1" si="69"/>
        <v>#N/A</v>
      </c>
      <c r="U150" s="243" t="e">
        <f ca="1">IF(AND(INDEX(FlowCalConstA,MATCH(R140,FlowCalNumber,0),1,1)*T150^INDEX(FlowCalConstB,MATCH(R140,FlowCalNumber,0),1,1)&gt;INDEX(FlowCalLowSetting,MATCH(R140,FlowCalNumber,0),1,1), (INDEX(FlowCalConstA,MATCH(R140,FlowCalNumber,0),1,1)*T150^INDEX(FlowCalConstB,MATCH(R140,FlowCalNumber,0),1,1)&lt;INDEX(FlowCalHighSetting,MATCH(R140,FlowCalNumber,0),1,1))),INDEX(FlowCalConstA,MATCH(R140,FlowCalNumber,0),1,1)*T150^INDEX(FlowCalConstB,MATCH(R140,FlowCalNumber,0),1,1)," ")</f>
        <v>#N/A</v>
      </c>
      <c r="V150" s="377"/>
      <c r="W150" s="242">
        <f t="shared" si="70"/>
        <v>0.5</v>
      </c>
      <c r="X150" s="241" t="e">
        <f t="shared" ca="1" si="71"/>
        <v>#N/A</v>
      </c>
      <c r="Y150" s="244" t="e">
        <f ca="1">IF(AND(INDEX(FlowCalConstA,MATCH(V140,FlowCalNumber,0),1,1)*X150^INDEX(FlowCalConstB,MATCH(V140,FlowCalNumber,0),1,1)&gt;INDEX(FlowCalLowSetting,MATCH(V140,FlowCalNumber,0),1,1), (INDEX(FlowCalConstA,MATCH(V140,FlowCalNumber,0),1,1)*X150^INDEX(FlowCalConstB,MATCH(V140,FlowCalNumber,0),1,1)&lt;INDEX(FlowCalHighSetting,MATCH(V140,FlowCalNumber,0),1,1))),INDEX(FlowCalConstA,MATCH(V140,FlowCalNumber,0),1,1)*X150^INDEX(FlowCalConstB,MATCH(V140,FlowCalNumber,0),1,1)," ")</f>
        <v>#N/A</v>
      </c>
    </row>
    <row r="151" spans="1:25" s="1215" customFormat="1">
      <c r="A151" s="1208"/>
      <c r="B151" s="1209"/>
      <c r="C151" s="1210"/>
      <c r="D151" s="1211">
        <f>'1% Wind'!$M$92</f>
        <v>3.2</v>
      </c>
      <c r="E151" s="1212"/>
      <c r="F151" s="1212"/>
      <c r="G151" s="1213" t="e">
        <f ca="1">IF(I140=1,$G150,MAX(G150/D150*D151,2))</f>
        <v>#N/A</v>
      </c>
      <c r="H151" s="1214" t="e">
        <f t="shared" ca="1" si="63"/>
        <v>#N/A</v>
      </c>
      <c r="J151" s="1216"/>
      <c r="K151" s="1217">
        <f t="shared" si="64"/>
        <v>1</v>
      </c>
      <c r="L151" s="1218" t="e">
        <f t="shared" ca="1" si="65"/>
        <v>#N/A</v>
      </c>
      <c r="M151" s="1219" t="e">
        <f ca="1">IF(AND(INDEX(FlowCalConstA,MATCH(J140,FlowCalNumber,0),1,1)*L151^INDEX(FlowCalConstB,MATCH(J140,FlowCalNumber,0),1,1)&gt;INDEX(FlowCalLowSetting,MATCH(J140,FlowCalNumber,0),1,1), (INDEX(FlowCalConstA,MATCH(J140,FlowCalNumber,0),1,1)*L151^INDEX(FlowCalConstB,MATCH(J140,FlowCalNumber,0),1,1)&lt;INDEX(FlowCalHighSetting,MATCH(J140,FlowCalNumber,0),1,1))),INDEX(FlowCalConstA,MATCH(J140,FlowCalNumber,0),1,1)*L151^INDEX(FlowCalConstB,MATCH(J140,FlowCalNumber,0),1,1)," ")</f>
        <v>#N/A</v>
      </c>
      <c r="N151" s="1216"/>
      <c r="O151" s="1217">
        <f t="shared" si="66"/>
        <v>1</v>
      </c>
      <c r="P151" s="1218" t="e">
        <f t="shared" ca="1" si="67"/>
        <v>#N/A</v>
      </c>
      <c r="Q151" s="1220" t="e">
        <f ca="1">IF(AND(INDEX(FlowCalConstA,MATCH(N140,FlowCalNumber,0),1,1)*P151^INDEX(FlowCalConstB,MATCH(N140,FlowCalNumber,0),1,1)&gt;INDEX(FlowCalLowSetting,MATCH(N140,FlowCalNumber,0),1,1), (INDEX(FlowCalConstA,MATCH(N140,FlowCalNumber,0),1,1)*P151^INDEX(FlowCalConstB,MATCH(N140,FlowCalNumber,0),1,1)&lt;INDEX(FlowCalHighSetting,MATCH(N140,FlowCalNumber,0),1,1))),INDEX(FlowCalConstA,MATCH(N140,FlowCalNumber,0),1,1)*P151^INDEX(FlowCalConstB,MATCH(N140,FlowCalNumber,0),1,1)," ")</f>
        <v>#N/A</v>
      </c>
      <c r="R151" s="1216"/>
      <c r="S151" s="1217">
        <f t="shared" si="68"/>
        <v>0.5</v>
      </c>
      <c r="T151" s="1218" t="e">
        <f t="shared" ca="1" si="69"/>
        <v>#N/A</v>
      </c>
      <c r="U151" s="1219" t="e">
        <f ca="1">IF(AND(INDEX(FlowCalConstA,MATCH(R140,FlowCalNumber,0),1,1)*T151^INDEX(FlowCalConstB,MATCH(R140,FlowCalNumber,0),1,1)&gt;INDEX(FlowCalLowSetting,MATCH(R140,FlowCalNumber,0),1,1), (INDEX(FlowCalConstA,MATCH(R140,FlowCalNumber,0),1,1)*T151^INDEX(FlowCalConstB,MATCH(R140,FlowCalNumber,0),1,1)&lt;INDEX(FlowCalHighSetting,MATCH(R140,FlowCalNumber,0),1,1))),INDEX(FlowCalConstA,MATCH(R140,FlowCalNumber,0),1,1)*T151^INDEX(FlowCalConstB,MATCH(R140,FlowCalNumber,0),1,1)," ")</f>
        <v>#N/A</v>
      </c>
      <c r="V151" s="1216"/>
      <c r="W151" s="1217">
        <f t="shared" si="70"/>
        <v>0.5</v>
      </c>
      <c r="X151" s="1218" t="e">
        <f t="shared" ca="1" si="71"/>
        <v>#N/A</v>
      </c>
      <c r="Y151" s="1220" t="e">
        <f ca="1">IF(AND(INDEX(FlowCalConstA,MATCH(V140,FlowCalNumber,0),1,1)*X151^INDEX(FlowCalConstB,MATCH(V140,FlowCalNumber,0),1,1)&gt;INDEX(FlowCalLowSetting,MATCH(V140,FlowCalNumber,0),1,1), (INDEX(FlowCalConstA,MATCH(V140,FlowCalNumber,0),1,1)*X151^INDEX(FlowCalConstB,MATCH(V140,FlowCalNumber,0),1,1)&lt;INDEX(FlowCalHighSetting,MATCH(V140,FlowCalNumber,0),1,1))),INDEX(FlowCalConstA,MATCH(V140,FlowCalNumber,0),1,1)*X151^INDEX(FlowCalConstB,MATCH(V140,FlowCalNumber,0),1,1)," ")</f>
        <v>#N/A</v>
      </c>
    </row>
    <row r="152" spans="1:25">
      <c r="A152" s="412"/>
      <c r="B152" s="2"/>
      <c r="C152" s="235"/>
      <c r="D152" s="24">
        <f>'1% Wind'!$M$93</f>
        <v>2.4</v>
      </c>
      <c r="E152" s="90"/>
      <c r="F152" s="90"/>
      <c r="G152" s="79" t="e">
        <f ca="1">IF(I140=1,$G151,MAX(G151/D151*D152,2))</f>
        <v>#N/A</v>
      </c>
      <c r="H152" s="121" t="e">
        <f t="shared" ca="1" si="63"/>
        <v>#N/A</v>
      </c>
      <c r="J152" s="377"/>
      <c r="K152" s="242">
        <f t="shared" si="64"/>
        <v>1</v>
      </c>
      <c r="L152" s="241" t="e">
        <f t="shared" ca="1" si="65"/>
        <v>#N/A</v>
      </c>
      <c r="M152" s="243" t="e">
        <f ca="1">IF(AND(INDEX(FlowCalConstA,MATCH(J140,FlowCalNumber,0),1,1)*L152^INDEX(FlowCalConstB,MATCH(J140,FlowCalNumber,0),1,1)&gt;INDEX(FlowCalLowSetting,MATCH(J140,FlowCalNumber,0),1,1), (INDEX(FlowCalConstA,MATCH(J140,FlowCalNumber,0),1,1)*L152^INDEX(FlowCalConstB,MATCH(J140,FlowCalNumber,0),1,1)&lt;INDEX(FlowCalHighSetting,MATCH(J140,FlowCalNumber,0),1,1))),INDEX(FlowCalConstA,MATCH(J140,FlowCalNumber,0),1,1)*L152^INDEX(FlowCalConstB,MATCH(J140,FlowCalNumber,0),1,1)," ")</f>
        <v>#N/A</v>
      </c>
      <c r="N152" s="377"/>
      <c r="O152" s="242">
        <f t="shared" si="66"/>
        <v>1</v>
      </c>
      <c r="P152" s="241" t="e">
        <f t="shared" ca="1" si="67"/>
        <v>#N/A</v>
      </c>
      <c r="Q152" s="244" t="e">
        <f ca="1">IF(AND(INDEX(FlowCalConstA,MATCH(N140,FlowCalNumber,0),1,1)*P152^INDEX(FlowCalConstB,MATCH(N140,FlowCalNumber,0),1,1)&gt;INDEX(FlowCalLowSetting,MATCH(N140,FlowCalNumber,0),1,1), (INDEX(FlowCalConstA,MATCH(N140,FlowCalNumber,0),1,1)*P152^INDEX(FlowCalConstB,MATCH(N140,FlowCalNumber,0),1,1)&lt;INDEX(FlowCalHighSetting,MATCH(N140,FlowCalNumber,0),1,1))),INDEX(FlowCalConstA,MATCH(N140,FlowCalNumber,0),1,1)*P152^INDEX(FlowCalConstB,MATCH(N140,FlowCalNumber,0),1,1)," ")</f>
        <v>#N/A</v>
      </c>
      <c r="R152" s="377"/>
      <c r="S152" s="242">
        <f t="shared" si="68"/>
        <v>0.5</v>
      </c>
      <c r="T152" s="241" t="e">
        <f t="shared" ca="1" si="69"/>
        <v>#N/A</v>
      </c>
      <c r="U152" s="243" t="e">
        <f ca="1">IF(AND(INDEX(FlowCalConstA,MATCH(R140,FlowCalNumber,0),1,1)*T152^INDEX(FlowCalConstB,MATCH(R140,FlowCalNumber,0),1,1)&gt;INDEX(FlowCalLowSetting,MATCH(R140,FlowCalNumber,0),1,1), (INDEX(FlowCalConstA,MATCH(R140,FlowCalNumber,0),1,1)*T152^INDEX(FlowCalConstB,MATCH(R140,FlowCalNumber,0),1,1)&lt;INDEX(FlowCalHighSetting,MATCH(R140,FlowCalNumber,0),1,1))),INDEX(FlowCalConstA,MATCH(R140,FlowCalNumber,0),1,1)*T152^INDEX(FlowCalConstB,MATCH(R140,FlowCalNumber,0),1,1)," ")</f>
        <v>#N/A</v>
      </c>
      <c r="V152" s="377"/>
      <c r="W152" s="242">
        <f t="shared" si="70"/>
        <v>0.5</v>
      </c>
      <c r="X152" s="241" t="e">
        <f t="shared" ca="1" si="71"/>
        <v>#N/A</v>
      </c>
      <c r="Y152" s="244" t="e">
        <f ca="1">IF(AND(INDEX(FlowCalConstA,MATCH(V140,FlowCalNumber,0),1,1)*X152^INDEX(FlowCalConstB,MATCH(V140,FlowCalNumber,0),1,1)&gt;INDEX(FlowCalLowSetting,MATCH(V140,FlowCalNumber,0),1,1), (INDEX(FlowCalConstA,MATCH(V140,FlowCalNumber,0),1,1)*X152^INDEX(FlowCalConstB,MATCH(V140,FlowCalNumber,0),1,1)&lt;INDEX(FlowCalHighSetting,MATCH(V140,FlowCalNumber,0),1,1))),INDEX(FlowCalConstA,MATCH(V140,FlowCalNumber,0),1,1)*X152^INDEX(FlowCalConstB,MATCH(V140,FlowCalNumber,0),1,1)," ")</f>
        <v>#N/A</v>
      </c>
    </row>
    <row r="153" spans="1:25" s="1215" customFormat="1">
      <c r="A153" s="1208"/>
      <c r="B153" s="1209"/>
      <c r="C153" s="1210"/>
      <c r="D153" s="1211">
        <f>'1% Wind'!$M$94</f>
        <v>1.8</v>
      </c>
      <c r="E153" s="1212"/>
      <c r="F153" s="1212"/>
      <c r="G153" s="1213" t="e">
        <f ca="1">IF(I140=1,$G152,MAX(G152/D152*D153,2))</f>
        <v>#N/A</v>
      </c>
      <c r="H153" s="1214" t="e">
        <f t="shared" ca="1" si="63"/>
        <v>#N/A</v>
      </c>
      <c r="J153" s="1216"/>
      <c r="K153" s="1217">
        <f t="shared" si="64"/>
        <v>1</v>
      </c>
      <c r="L153" s="1218" t="e">
        <f t="shared" ca="1" si="65"/>
        <v>#N/A</v>
      </c>
      <c r="M153" s="1219" t="e">
        <f ca="1">IF(AND(INDEX(FlowCalConstA,MATCH(J140,FlowCalNumber,0),1,1)*L153^INDEX(FlowCalConstB,MATCH(J140,FlowCalNumber,0),1,1)&gt;INDEX(FlowCalLowSetting,MATCH(J140,FlowCalNumber,0),1,1), (INDEX(FlowCalConstA,MATCH(J140,FlowCalNumber,0),1,1)*L153^INDEX(FlowCalConstB,MATCH(J140,FlowCalNumber,0),1,1)&lt;INDEX(FlowCalHighSetting,MATCH(J140,FlowCalNumber,0),1,1))),INDEX(FlowCalConstA,MATCH(J140,FlowCalNumber,0),1,1)*L153^INDEX(FlowCalConstB,MATCH(J140,FlowCalNumber,0),1,1)," ")</f>
        <v>#N/A</v>
      </c>
      <c r="N153" s="1216"/>
      <c r="O153" s="1217">
        <f t="shared" si="66"/>
        <v>1</v>
      </c>
      <c r="P153" s="1218" t="e">
        <f t="shared" ca="1" si="67"/>
        <v>#N/A</v>
      </c>
      <c r="Q153" s="1220" t="e">
        <f ca="1">IF(AND(INDEX(FlowCalConstA,MATCH(N140,FlowCalNumber,0),1,1)*P153^INDEX(FlowCalConstB,MATCH(N140,FlowCalNumber,0),1,1)&gt;INDEX(FlowCalLowSetting,MATCH(N140,FlowCalNumber,0),1,1), (INDEX(FlowCalConstA,MATCH(N140,FlowCalNumber,0),1,1)*P153^INDEX(FlowCalConstB,MATCH(N140,FlowCalNumber,0),1,1)&lt;INDEX(FlowCalHighSetting,MATCH(N140,FlowCalNumber,0),1,1))),INDEX(FlowCalConstA,MATCH(N140,FlowCalNumber,0),1,1)*P153^INDEX(FlowCalConstB,MATCH(N140,FlowCalNumber,0),1,1)," ")</f>
        <v>#N/A</v>
      </c>
      <c r="R153" s="1216"/>
      <c r="S153" s="1217">
        <f t="shared" si="68"/>
        <v>0.5</v>
      </c>
      <c r="T153" s="1218" t="e">
        <f t="shared" ca="1" si="69"/>
        <v>#N/A</v>
      </c>
      <c r="U153" s="1219" t="e">
        <f ca="1">IF(AND(INDEX(FlowCalConstA,MATCH(R140,FlowCalNumber,0),1,1)*T153^INDEX(FlowCalConstB,MATCH(R140,FlowCalNumber,0),1,1)&gt;INDEX(FlowCalLowSetting,MATCH(R140,FlowCalNumber,0),1,1), (INDEX(FlowCalConstA,MATCH(R140,FlowCalNumber,0),1,1)*T153^INDEX(FlowCalConstB,MATCH(R140,FlowCalNumber,0),1,1)&lt;INDEX(FlowCalHighSetting,MATCH(R140,FlowCalNumber,0),1,1))),INDEX(FlowCalConstA,MATCH(R140,FlowCalNumber,0),1,1)*T153^INDEX(FlowCalConstB,MATCH(R140,FlowCalNumber,0),1,1)," ")</f>
        <v>#N/A</v>
      </c>
      <c r="V153" s="1216"/>
      <c r="W153" s="1217">
        <f t="shared" si="70"/>
        <v>0.5</v>
      </c>
      <c r="X153" s="1218" t="e">
        <f t="shared" ca="1" si="71"/>
        <v>#N/A</v>
      </c>
      <c r="Y153" s="1220" t="e">
        <f ca="1">IF(AND(INDEX(FlowCalConstA,MATCH(V140,FlowCalNumber,0),1,1)*X153^INDEX(FlowCalConstB,MATCH(V140,FlowCalNumber,0),1,1)&gt;INDEX(FlowCalLowSetting,MATCH(V140,FlowCalNumber,0),1,1), (INDEX(FlowCalConstA,MATCH(V140,FlowCalNumber,0),1,1)*X153^INDEX(FlowCalConstB,MATCH(V140,FlowCalNumber,0),1,1)&lt;INDEX(FlowCalHighSetting,MATCH(V140,FlowCalNumber,0),1,1))),INDEX(FlowCalConstA,MATCH(V140,FlowCalNumber,0),1,1)*X153^INDEX(FlowCalConstB,MATCH(V140,FlowCalNumber,0),1,1)," ")</f>
        <v>#N/A</v>
      </c>
    </row>
    <row r="154" spans="1:25">
      <c r="A154" s="412"/>
      <c r="B154" s="2"/>
      <c r="C154" s="235"/>
      <c r="D154" s="24">
        <f>'1% Wind'!$M$95</f>
        <v>1.3</v>
      </c>
      <c r="E154" s="90"/>
      <c r="F154" s="90"/>
      <c r="G154" s="79" t="e">
        <f ca="1">IF(I140=1,$G153,MAX(G153/D153*D154,2))</f>
        <v>#N/A</v>
      </c>
      <c r="H154" s="121" t="e">
        <f t="shared" ca="1" si="63"/>
        <v>#N/A</v>
      </c>
      <c r="J154" s="377"/>
      <c r="K154" s="242">
        <f t="shared" si="64"/>
        <v>1</v>
      </c>
      <c r="L154" s="241" t="e">
        <f t="shared" ca="1" si="65"/>
        <v>#N/A</v>
      </c>
      <c r="M154" s="243" t="e">
        <f ca="1">IF(AND(INDEX(FlowCalConstA,MATCH(J140,FlowCalNumber,0),1,1)*L154^INDEX(FlowCalConstB,MATCH(J140,FlowCalNumber,0),1,1)&gt;INDEX(FlowCalLowSetting,MATCH(J140,FlowCalNumber,0),1,1), (INDEX(FlowCalConstA,MATCH(J140,FlowCalNumber,0),1,1)*L154^INDEX(FlowCalConstB,MATCH(J140,FlowCalNumber,0),1,1)&lt;INDEX(FlowCalHighSetting,MATCH(J140,FlowCalNumber,0),1,1))),INDEX(FlowCalConstA,MATCH(J140,FlowCalNumber,0),1,1)*L154^INDEX(FlowCalConstB,MATCH(J140,FlowCalNumber,0),1,1)," ")</f>
        <v>#N/A</v>
      </c>
      <c r="N154" s="377"/>
      <c r="O154" s="242">
        <f t="shared" si="66"/>
        <v>1</v>
      </c>
      <c r="P154" s="241" t="e">
        <f t="shared" ca="1" si="67"/>
        <v>#N/A</v>
      </c>
      <c r="Q154" s="244" t="e">
        <f ca="1">IF(AND(INDEX(FlowCalConstA,MATCH(N140,FlowCalNumber,0),1,1)*P154^INDEX(FlowCalConstB,MATCH(N140,FlowCalNumber,0),1,1)&gt;INDEX(FlowCalLowSetting,MATCH(N140,FlowCalNumber,0),1,1), (INDEX(FlowCalConstA,MATCH(N140,FlowCalNumber,0),1,1)*P154^INDEX(FlowCalConstB,MATCH(N140,FlowCalNumber,0),1,1)&lt;INDEX(FlowCalHighSetting,MATCH(N140,FlowCalNumber,0),1,1))),INDEX(FlowCalConstA,MATCH(N140,FlowCalNumber,0),1,1)*P154^INDEX(FlowCalConstB,MATCH(N140,FlowCalNumber,0),1,1)," ")</f>
        <v>#N/A</v>
      </c>
      <c r="R154" s="377"/>
      <c r="S154" s="242">
        <f t="shared" si="68"/>
        <v>0.5</v>
      </c>
      <c r="T154" s="241" t="e">
        <f t="shared" ca="1" si="69"/>
        <v>#N/A</v>
      </c>
      <c r="U154" s="243" t="e">
        <f ca="1">IF(AND(INDEX(FlowCalConstA,MATCH(R140,FlowCalNumber,0),1,1)*T154^INDEX(FlowCalConstB,MATCH(R140,FlowCalNumber,0),1,1)&gt;INDEX(FlowCalLowSetting,MATCH(R140,FlowCalNumber,0),1,1), (INDEX(FlowCalConstA,MATCH(R140,FlowCalNumber,0),1,1)*T154^INDEX(FlowCalConstB,MATCH(R140,FlowCalNumber,0),1,1)&lt;INDEX(FlowCalHighSetting,MATCH(R140,FlowCalNumber,0),1,1))),INDEX(FlowCalConstA,MATCH(R140,FlowCalNumber,0),1,1)*T154^INDEX(FlowCalConstB,MATCH(R140,FlowCalNumber,0),1,1)," ")</f>
        <v>#N/A</v>
      </c>
      <c r="V154" s="377"/>
      <c r="W154" s="242">
        <f t="shared" si="70"/>
        <v>0.5</v>
      </c>
      <c r="X154" s="241" t="e">
        <f t="shared" ca="1" si="71"/>
        <v>#N/A</v>
      </c>
      <c r="Y154" s="244" t="e">
        <f ca="1">IF(AND(INDEX(FlowCalConstA,MATCH(V140,FlowCalNumber,0),1,1)*X154^INDEX(FlowCalConstB,MATCH(V140,FlowCalNumber,0),1,1)&gt;INDEX(FlowCalLowSetting,MATCH(V140,FlowCalNumber,0),1,1), (INDEX(FlowCalConstA,MATCH(V140,FlowCalNumber,0),1,1)*X154^INDEX(FlowCalConstB,MATCH(V140,FlowCalNumber,0),1,1)&lt;INDEX(FlowCalHighSetting,MATCH(V140,FlowCalNumber,0),1,1))),INDEX(FlowCalConstA,MATCH(V140,FlowCalNumber,0),1,1)*X154^INDEX(FlowCalConstB,MATCH(V140,FlowCalNumber,0),1,1)," ")</f>
        <v>#N/A</v>
      </c>
    </row>
    <row r="155" spans="1:25" s="1215" customFormat="1">
      <c r="A155" s="1208"/>
      <c r="B155" s="1209"/>
      <c r="C155" s="1210"/>
      <c r="D155" s="1211">
        <f>'1% Wind'!$M$96</f>
        <v>1</v>
      </c>
      <c r="E155" s="1212"/>
      <c r="F155" s="1212"/>
      <c r="G155" s="1213" t="e">
        <f ca="1">IF(I140=1,$G154,MAX(G154/D154*D155,2))</f>
        <v>#N/A</v>
      </c>
      <c r="H155" s="1214" t="e">
        <f t="shared" ca="1" si="63"/>
        <v>#N/A</v>
      </c>
      <c r="J155" s="1216"/>
      <c r="K155" s="1217">
        <f t="shared" si="64"/>
        <v>1</v>
      </c>
      <c r="L155" s="1218" t="e">
        <f t="shared" ca="1" si="65"/>
        <v>#N/A</v>
      </c>
      <c r="M155" s="1219" t="e">
        <f ca="1">IF(AND(INDEX(FlowCalConstA,MATCH(J140,FlowCalNumber,0),1,1)*L155^INDEX(FlowCalConstB,MATCH(J140,FlowCalNumber,0),1,1)&gt;INDEX(FlowCalLowSetting,MATCH(J140,FlowCalNumber,0),1,1), (INDEX(FlowCalConstA,MATCH(J140,FlowCalNumber,0),1,1)*L155^INDEX(FlowCalConstB,MATCH(J140,FlowCalNumber,0),1,1)&lt;INDEX(FlowCalHighSetting,MATCH(J140,FlowCalNumber,0),1,1))),INDEX(FlowCalConstA,MATCH(J140,FlowCalNumber,0),1,1)*L155^INDEX(FlowCalConstB,MATCH(J140,FlowCalNumber,0),1,1)," ")</f>
        <v>#N/A</v>
      </c>
      <c r="N155" s="1216"/>
      <c r="O155" s="1217">
        <f t="shared" si="66"/>
        <v>1</v>
      </c>
      <c r="P155" s="1218" t="e">
        <f t="shared" ca="1" si="67"/>
        <v>#N/A</v>
      </c>
      <c r="Q155" s="1220" t="e">
        <f ca="1">IF(AND(INDEX(FlowCalConstA,MATCH(N140,FlowCalNumber,0),1,1)*P155^INDEX(FlowCalConstB,MATCH(N140,FlowCalNumber,0),1,1)&gt;INDEX(FlowCalLowSetting,MATCH(N140,FlowCalNumber,0),1,1), (INDEX(FlowCalConstA,MATCH(N140,FlowCalNumber,0),1,1)*P155^INDEX(FlowCalConstB,MATCH(N140,FlowCalNumber,0),1,1)&lt;INDEX(FlowCalHighSetting,MATCH(N140,FlowCalNumber,0),1,1))),INDEX(FlowCalConstA,MATCH(N140,FlowCalNumber,0),1,1)*P155^INDEX(FlowCalConstB,MATCH(N140,FlowCalNumber,0),1,1)," ")</f>
        <v>#N/A</v>
      </c>
      <c r="R155" s="1216"/>
      <c r="S155" s="1217">
        <f t="shared" si="68"/>
        <v>0.5</v>
      </c>
      <c r="T155" s="1218" t="e">
        <f t="shared" ca="1" si="69"/>
        <v>#N/A</v>
      </c>
      <c r="U155" s="1219" t="e">
        <f ca="1">IF(AND(INDEX(FlowCalConstA,MATCH(R140,FlowCalNumber,0),1,1)*T155^INDEX(FlowCalConstB,MATCH(R140,FlowCalNumber,0),1,1)&gt;INDEX(FlowCalLowSetting,MATCH(R140,FlowCalNumber,0),1,1), (INDEX(FlowCalConstA,MATCH(R140,FlowCalNumber,0),1,1)*T155^INDEX(FlowCalConstB,MATCH(R140,FlowCalNumber,0),1,1)&lt;INDEX(FlowCalHighSetting,MATCH(R140,FlowCalNumber,0),1,1))),INDEX(FlowCalConstA,MATCH(R140,FlowCalNumber,0),1,1)*T155^INDEX(FlowCalConstB,MATCH(R140,FlowCalNumber,0),1,1)," ")</f>
        <v>#N/A</v>
      </c>
      <c r="V155" s="1216"/>
      <c r="W155" s="1217">
        <f t="shared" si="70"/>
        <v>0.5</v>
      </c>
      <c r="X155" s="1218" t="e">
        <f t="shared" ca="1" si="71"/>
        <v>#N/A</v>
      </c>
      <c r="Y155" s="1220" t="e">
        <f ca="1">IF(AND(INDEX(FlowCalConstA,MATCH(V140,FlowCalNumber,0),1,1)*X155^INDEX(FlowCalConstB,MATCH(V140,FlowCalNumber,0),1,1)&gt;INDEX(FlowCalLowSetting,MATCH(V140,FlowCalNumber,0),1,1), (INDEX(FlowCalConstA,MATCH(V140,FlowCalNumber,0),1,1)*X155^INDEX(FlowCalConstB,MATCH(V140,FlowCalNumber,0),1,1)&lt;INDEX(FlowCalHighSetting,MATCH(V140,FlowCalNumber,0),1,1))),INDEX(FlowCalConstA,MATCH(V140,FlowCalNumber,0),1,1)*X155^INDEX(FlowCalConstB,MATCH(V140,FlowCalNumber,0),1,1)," ")</f>
        <v>#N/A</v>
      </c>
    </row>
    <row r="156" spans="1:25">
      <c r="A156" s="90"/>
      <c r="C156" s="235"/>
      <c r="E156" s="90"/>
      <c r="F156" s="90"/>
      <c r="G156" s="33"/>
      <c r="J156" s="377"/>
      <c r="M156" s="243"/>
      <c r="N156" s="377"/>
      <c r="Q156" s="244"/>
      <c r="R156" s="377"/>
      <c r="U156" s="243"/>
      <c r="V156" s="377"/>
      <c r="Y156" s="244"/>
    </row>
    <row r="157" spans="1:25">
      <c r="A157" s="639">
        <f>A140+1</f>
        <v>9</v>
      </c>
      <c r="B157" s="42" t="e">
        <f>INDEX(SourceID,MATCH($A157,SourceNumber,0),1,1)</f>
        <v>#N/A</v>
      </c>
      <c r="C157" s="354" t="e">
        <f>INDEX(SourceExitDiameter,MATCH($A157,SourceNumber,0),1,1)*3.28*12</f>
        <v>#N/A</v>
      </c>
      <c r="D157" s="24" t="str">
        <f>UAnem1percent</f>
        <v>1% Wind</v>
      </c>
      <c r="E157" s="85" t="e">
        <f ca="1">INDIRECT(ADDRESS(53,6,1,,$A157))</f>
        <v>#N/A</v>
      </c>
      <c r="F157" s="626" t="e">
        <f ca="1">(ROUND((INDIRECT(ADDRESS(15,7,1,,$A157))*3.28*12*32),0)&amp;"/32")</f>
        <v>#N/A</v>
      </c>
      <c r="G157" s="125" t="e">
        <f ca="1">INDIRECT(ADDRESS(29,7,1,,$A157))</f>
        <v>#N/A</v>
      </c>
      <c r="H157" s="24" t="e">
        <f ca="1">INDIRECT(ADDRESS(19,7,1,,$A157))*100^3</f>
        <v>#N/A</v>
      </c>
      <c r="I157" s="24" t="e">
        <f ca="1">INDIRECT(ADDRESS(53,7,1,,$A157))</f>
        <v>#N/A</v>
      </c>
      <c r="J157" s="20" t="str">
        <f>K$15&amp;$H$6&amp;J$6</f>
        <v>100AirPick a Tunnel</v>
      </c>
      <c r="K157" t="e">
        <f>INDEX(FlowCalGasMixture,MATCH(J157,FlowCalNumber,0),1,1)</f>
        <v>#N/A</v>
      </c>
      <c r="M157" s="355" t="e">
        <f>INDEX(FlowCalDevice,MATCH(J157,FlowCalNumber,0),1,1)</f>
        <v>#N/A</v>
      </c>
      <c r="N157" s="20" t="str">
        <f>O$15&amp;$H$6&amp;N$6</f>
        <v>100AirPick a Tunnel</v>
      </c>
      <c r="O157" t="e">
        <f>INDEX(FlowCalGasMixture,MATCH(N157,FlowCalNumber,0),1,1)</f>
        <v>#N/A</v>
      </c>
      <c r="Q157" s="355" t="e">
        <f>INDEX(FlowCalDevice,MATCH(N157,FlowCalNumber,0),1,1)</f>
        <v>#N/A</v>
      </c>
      <c r="R157" s="20" t="str">
        <f>S$15&amp;$H$6&amp;R$6</f>
        <v>100AirPick a Tunnel</v>
      </c>
      <c r="S157" t="e">
        <f>INDEX(FlowCalGasMixture,MATCH(R157,FlowCalNumber,0),1,1)</f>
        <v>#N/A</v>
      </c>
      <c r="U157" s="944" t="e">
        <f>INDEX(FlowCalDevice,MATCH(R157,FlowCalNumber,0),1,1)</f>
        <v>#N/A</v>
      </c>
      <c r="V157" s="946" t="str">
        <f>W$15&amp;$H$6&amp;V$6</f>
        <v>100AirPick a Tunnel</v>
      </c>
      <c r="W157" t="e">
        <f>INDEX(FlowCalGasMixture,MATCH(V157,FlowCalNumber,0),1,1)</f>
        <v>#N/A</v>
      </c>
      <c r="Y157" s="982" t="e">
        <f>INDEX(FlowCalDevice,MATCH(V157,FlowCalNumber,0),1,1)</f>
        <v>#N/A</v>
      </c>
    </row>
    <row r="158" spans="1:25" s="1215" customFormat="1">
      <c r="A158" s="1208"/>
      <c r="B158" s="1209"/>
      <c r="C158" s="1210"/>
      <c r="D158" s="1211">
        <f>'1% Wind'!$M$82</f>
        <v>27</v>
      </c>
      <c r="E158" s="1212"/>
      <c r="F158" s="1212"/>
      <c r="G158" s="1213" t="e">
        <f ca="1">IF(I157=1,$G157,MAX(G157/D157*D158,2))</f>
        <v>#N/A</v>
      </c>
      <c r="H158" s="1214" t="e">
        <f t="shared" ref="H158:H172" ca="1" si="72">H157*(D157/D158)*(G158/G157)</f>
        <v>#N/A</v>
      </c>
      <c r="J158" s="1216"/>
      <c r="K158" s="1221">
        <f>K$16/100</f>
        <v>1</v>
      </c>
      <c r="L158" s="1218" t="e">
        <f ca="1">K158*$H158</f>
        <v>#N/A</v>
      </c>
      <c r="M158" s="1219" t="e">
        <f ca="1">IF(AND(INDEX(FlowCalConstA,MATCH(J157,FlowCalNumber,0),1,1)*L158^INDEX(FlowCalConstB,MATCH(J157,FlowCalNumber,0),1,1)&gt;INDEX(FlowCalLowSetting,MATCH(J157,FlowCalNumber,0),1,1), (INDEX(FlowCalConstA,MATCH(J157,FlowCalNumber,0),1,1)*L158^INDEX(FlowCalConstB,MATCH(J157,FlowCalNumber,0),1,1)&lt;INDEX(FlowCalHighSetting,MATCH(J157,FlowCalNumber,0),1,1))),INDEX(FlowCalConstA,MATCH(J157,FlowCalNumber,0),1,1)*L158^INDEX(FlowCalConstB,MATCH(J157,FlowCalNumber,0),1,1)," ")</f>
        <v>#N/A</v>
      </c>
      <c r="N158" s="1216"/>
      <c r="O158" s="1221">
        <f>O$16/100</f>
        <v>1</v>
      </c>
      <c r="P158" s="1218" t="e">
        <f ca="1">O158*$H158</f>
        <v>#N/A</v>
      </c>
      <c r="Q158" s="1220" t="e">
        <f ca="1">IF(AND(INDEX(FlowCalConstA,MATCH(N157,FlowCalNumber,0),1,1)*P158^INDEX(FlowCalConstB,MATCH(N157,FlowCalNumber,0),1,1)&gt;INDEX(FlowCalLowSetting,MATCH(N157,FlowCalNumber,0),1,1), (INDEX(FlowCalConstA,MATCH(N157,FlowCalNumber,0),1,1)*P158^INDEX(FlowCalConstB,MATCH(N157,FlowCalNumber,0),1,1)&lt;INDEX(FlowCalHighSetting,MATCH(N157,FlowCalNumber,0),1,1))),INDEX(FlowCalConstA,MATCH(N157,FlowCalNumber,0),1,1)*P158^INDEX(FlowCalConstB,MATCH(N157,FlowCalNumber,0),1,1)," ")</f>
        <v>#N/A</v>
      </c>
      <c r="R158" s="1216"/>
      <c r="S158" s="1221">
        <f>S$16/100</f>
        <v>0.5</v>
      </c>
      <c r="T158" s="1218" t="e">
        <f ca="1">S158*$H158</f>
        <v>#N/A</v>
      </c>
      <c r="U158" s="1219" t="e">
        <f ca="1">IF(AND(INDEX(FlowCalConstA,MATCH(R157,FlowCalNumber,0),1,1)*T158^INDEX(FlowCalConstB,MATCH(R157,FlowCalNumber,0),1,1)&gt;INDEX(FlowCalLowSetting,MATCH(R157,FlowCalNumber,0),1,1), (INDEX(FlowCalConstA,MATCH(R157,FlowCalNumber,0),1,1)*T158^INDEX(FlowCalConstB,MATCH(R157,FlowCalNumber,0),1,1)&lt;INDEX(FlowCalHighSetting,MATCH(R157,FlowCalNumber,0),1,1))),INDEX(FlowCalConstA,MATCH(R157,FlowCalNumber,0),1,1)*T158^INDEX(FlowCalConstB,MATCH(R157,FlowCalNumber,0),1,1)," ")</f>
        <v>#N/A</v>
      </c>
      <c r="V158" s="1216"/>
      <c r="W158" s="1221">
        <f>W$16/100</f>
        <v>0.5</v>
      </c>
      <c r="X158" s="1218" t="e">
        <f ca="1">W158*$H158</f>
        <v>#N/A</v>
      </c>
      <c r="Y158" s="1220" t="e">
        <f ca="1">IF(AND(INDEX(FlowCalConstA,MATCH(V157,FlowCalNumber,0),1,1)*X158^INDEX(FlowCalConstB,MATCH(V157,FlowCalNumber,0),1,1)&gt;INDEX(FlowCalLowSetting,MATCH(V157,FlowCalNumber,0),1,1), (INDEX(FlowCalConstA,MATCH(V157,FlowCalNumber,0),1,1)*X158^INDEX(FlowCalConstB,MATCH(V157,FlowCalNumber,0),1,1)&lt;INDEX(FlowCalHighSetting,MATCH(V157,FlowCalNumber,0),1,1))),INDEX(FlowCalConstA,MATCH(V157,FlowCalNumber,0),1,1)*X158^INDEX(FlowCalConstB,MATCH(V157,FlowCalNumber,0),1,1)," ")</f>
        <v>#N/A</v>
      </c>
    </row>
    <row r="159" spans="1:25">
      <c r="A159" s="412"/>
      <c r="B159" s="2"/>
      <c r="C159" s="235"/>
      <c r="D159" s="24">
        <f>'1% Wind'!$M$83</f>
        <v>23.5</v>
      </c>
      <c r="E159" s="90"/>
      <c r="F159" s="90"/>
      <c r="G159" s="79" t="e">
        <f ca="1">IF(I157=1,$G158,MAX(G158/D158*D159,2))</f>
        <v>#N/A</v>
      </c>
      <c r="H159" s="121" t="e">
        <f t="shared" ca="1" si="72"/>
        <v>#N/A</v>
      </c>
      <c r="J159" s="377"/>
      <c r="K159" s="242">
        <f t="shared" ref="K159:K172" si="73">K158</f>
        <v>1</v>
      </c>
      <c r="L159" s="241" t="e">
        <f t="shared" ref="L159:L172" ca="1" si="74">K159*$H159</f>
        <v>#N/A</v>
      </c>
      <c r="M159" s="243" t="e">
        <f ca="1">IF(AND(INDEX(FlowCalConstA,MATCH(J157,FlowCalNumber,0),1,1)*L159^INDEX(FlowCalConstB,MATCH(J157,FlowCalNumber,0),1,1)&gt;INDEX(FlowCalLowSetting,MATCH(J157,FlowCalNumber,0),1,1), (INDEX(FlowCalConstA,MATCH(J157,FlowCalNumber,0),1,1)*L159^INDEX(FlowCalConstB,MATCH(J157,FlowCalNumber,0),1,1)&lt;INDEX(FlowCalHighSetting,MATCH(J157,FlowCalNumber,0),1,1))),INDEX(FlowCalConstA,MATCH(J157,FlowCalNumber,0),1,1)*L159^INDEX(FlowCalConstB,MATCH(J157,FlowCalNumber,0),1,1)," ")</f>
        <v>#N/A</v>
      </c>
      <c r="N159" s="377"/>
      <c r="O159" s="242">
        <f t="shared" ref="O159:O172" si="75">O158</f>
        <v>1</v>
      </c>
      <c r="P159" s="241" t="e">
        <f t="shared" ref="P159:P172" ca="1" si="76">O159*$H159</f>
        <v>#N/A</v>
      </c>
      <c r="Q159" s="244" t="e">
        <f ca="1">IF(AND(INDEX(FlowCalConstA,MATCH(N157,FlowCalNumber,0),1,1)*P159^INDEX(FlowCalConstB,MATCH(N157,FlowCalNumber,0),1,1)&gt;INDEX(FlowCalLowSetting,MATCH(N157,FlowCalNumber,0),1,1), (INDEX(FlowCalConstA,MATCH(N157,FlowCalNumber,0),1,1)*P159^INDEX(FlowCalConstB,MATCH(N157,FlowCalNumber,0),1,1)&lt;INDEX(FlowCalHighSetting,MATCH(N157,FlowCalNumber,0),1,1))),INDEX(FlowCalConstA,MATCH(N157,FlowCalNumber,0),1,1)*P159^INDEX(FlowCalConstB,MATCH(N157,FlowCalNumber,0),1,1)," ")</f>
        <v>#N/A</v>
      </c>
      <c r="R159" s="377"/>
      <c r="S159" s="242">
        <f t="shared" ref="S159:S172" si="77">S158</f>
        <v>0.5</v>
      </c>
      <c r="T159" s="241" t="e">
        <f t="shared" ref="T159:T172" ca="1" si="78">S159*$H159</f>
        <v>#N/A</v>
      </c>
      <c r="U159" s="243" t="e">
        <f ca="1">IF(AND(INDEX(FlowCalConstA,MATCH(R157,FlowCalNumber,0),1,1)*T159^INDEX(FlowCalConstB,MATCH(R157,FlowCalNumber,0),1,1)&gt;INDEX(FlowCalLowSetting,MATCH(R157,FlowCalNumber,0),1,1), (INDEX(FlowCalConstA,MATCH(R157,FlowCalNumber,0),1,1)*T159^INDEX(FlowCalConstB,MATCH(R157,FlowCalNumber,0),1,1)&lt;INDEX(FlowCalHighSetting,MATCH(R157,FlowCalNumber,0),1,1))),INDEX(FlowCalConstA,MATCH(R157,FlowCalNumber,0),1,1)*T159^INDEX(FlowCalConstB,MATCH(R157,FlowCalNumber,0),1,1)," ")</f>
        <v>#N/A</v>
      </c>
      <c r="V159" s="377"/>
      <c r="W159" s="242">
        <f t="shared" ref="W159:W172" si="79">W158</f>
        <v>0.5</v>
      </c>
      <c r="X159" s="241" t="e">
        <f t="shared" ref="X159:X172" ca="1" si="80">W159*$H159</f>
        <v>#N/A</v>
      </c>
      <c r="Y159" s="244" t="e">
        <f ca="1">IF(AND(INDEX(FlowCalConstA,MATCH(V157,FlowCalNumber,0),1,1)*X159^INDEX(FlowCalConstB,MATCH(V157,FlowCalNumber,0),1,1)&gt;INDEX(FlowCalLowSetting,MATCH(V157,FlowCalNumber,0),1,1), (INDEX(FlowCalConstA,MATCH(V157,FlowCalNumber,0),1,1)*X159^INDEX(FlowCalConstB,MATCH(V157,FlowCalNumber,0),1,1)&lt;INDEX(FlowCalHighSetting,MATCH(V157,FlowCalNumber,0),1,1))),INDEX(FlowCalConstA,MATCH(V157,FlowCalNumber,0),1,1)*X159^INDEX(FlowCalConstB,MATCH(V157,FlowCalNumber,0),1,1)," ")</f>
        <v>#N/A</v>
      </c>
    </row>
    <row r="160" spans="1:25" s="1215" customFormat="1">
      <c r="A160" s="1208"/>
      <c r="B160" s="1209"/>
      <c r="C160" s="1210"/>
      <c r="D160" s="1211">
        <f>'1% Wind'!$M$84</f>
        <v>20.5</v>
      </c>
      <c r="E160" s="1212"/>
      <c r="F160" s="1212"/>
      <c r="G160" s="1213" t="e">
        <f ca="1">IF(I157=1,$G159,MAX(G159/D159*D160,2))</f>
        <v>#N/A</v>
      </c>
      <c r="H160" s="1214" t="e">
        <f t="shared" ca="1" si="72"/>
        <v>#N/A</v>
      </c>
      <c r="J160" s="1216"/>
      <c r="K160" s="1217">
        <f t="shared" si="73"/>
        <v>1</v>
      </c>
      <c r="L160" s="1218" t="e">
        <f t="shared" ca="1" si="74"/>
        <v>#N/A</v>
      </c>
      <c r="M160" s="1219" t="e">
        <f ca="1">IF(AND(INDEX(FlowCalConstA,MATCH(J157,FlowCalNumber,0),1,1)*L160^INDEX(FlowCalConstB,MATCH(J157,FlowCalNumber,0),1,1)&gt;INDEX(FlowCalLowSetting,MATCH(J157,FlowCalNumber,0),1,1), (INDEX(FlowCalConstA,MATCH(J157,FlowCalNumber,0),1,1)*L160^INDEX(FlowCalConstB,MATCH(J157,FlowCalNumber,0),1,1)&lt;INDEX(FlowCalHighSetting,MATCH(J157,FlowCalNumber,0),1,1))),INDEX(FlowCalConstA,MATCH(J157,FlowCalNumber,0),1,1)*L160^INDEX(FlowCalConstB,MATCH(J157,FlowCalNumber,0),1,1)," ")</f>
        <v>#N/A</v>
      </c>
      <c r="N160" s="1216"/>
      <c r="O160" s="1217">
        <f t="shared" si="75"/>
        <v>1</v>
      </c>
      <c r="P160" s="1218" t="e">
        <f t="shared" ca="1" si="76"/>
        <v>#N/A</v>
      </c>
      <c r="Q160" s="1220" t="e">
        <f ca="1">IF(AND(INDEX(FlowCalConstA,MATCH(N157,FlowCalNumber,0),1,1)*P160^INDEX(FlowCalConstB,MATCH(N157,FlowCalNumber,0),1,1)&gt;INDEX(FlowCalLowSetting,MATCH(N157,FlowCalNumber,0),1,1), (INDEX(FlowCalConstA,MATCH(N157,FlowCalNumber,0),1,1)*P160^INDEX(FlowCalConstB,MATCH(N157,FlowCalNumber,0),1,1)&lt;INDEX(FlowCalHighSetting,MATCH(N157,FlowCalNumber,0),1,1))),INDEX(FlowCalConstA,MATCH(N157,FlowCalNumber,0),1,1)*P160^INDEX(FlowCalConstB,MATCH(N157,FlowCalNumber,0),1,1)," ")</f>
        <v>#N/A</v>
      </c>
      <c r="R160" s="1216"/>
      <c r="S160" s="1217">
        <f t="shared" si="77"/>
        <v>0.5</v>
      </c>
      <c r="T160" s="1218" t="e">
        <f t="shared" ca="1" si="78"/>
        <v>#N/A</v>
      </c>
      <c r="U160" s="1219" t="e">
        <f ca="1">IF(AND(INDEX(FlowCalConstA,MATCH(R157,FlowCalNumber,0),1,1)*T160^INDEX(FlowCalConstB,MATCH(R157,FlowCalNumber,0),1,1)&gt;INDEX(FlowCalLowSetting,MATCH(R157,FlowCalNumber,0),1,1), (INDEX(FlowCalConstA,MATCH(R157,FlowCalNumber,0),1,1)*T160^INDEX(FlowCalConstB,MATCH(R157,FlowCalNumber,0),1,1)&lt;INDEX(FlowCalHighSetting,MATCH(R157,FlowCalNumber,0),1,1))),INDEX(FlowCalConstA,MATCH(R157,FlowCalNumber,0),1,1)*T160^INDEX(FlowCalConstB,MATCH(R157,FlowCalNumber,0),1,1)," ")</f>
        <v>#N/A</v>
      </c>
      <c r="V160" s="1216"/>
      <c r="W160" s="1217">
        <f t="shared" si="79"/>
        <v>0.5</v>
      </c>
      <c r="X160" s="1218" t="e">
        <f t="shared" ca="1" si="80"/>
        <v>#N/A</v>
      </c>
      <c r="Y160" s="1220" t="e">
        <f ca="1">IF(AND(INDEX(FlowCalConstA,MATCH(V157,FlowCalNumber,0),1,1)*X160^INDEX(FlowCalConstB,MATCH(V157,FlowCalNumber,0),1,1)&gt;INDEX(FlowCalLowSetting,MATCH(V157,FlowCalNumber,0),1,1), (INDEX(FlowCalConstA,MATCH(V157,FlowCalNumber,0),1,1)*X160^INDEX(FlowCalConstB,MATCH(V157,FlowCalNumber,0),1,1)&lt;INDEX(FlowCalHighSetting,MATCH(V157,FlowCalNumber,0),1,1))),INDEX(FlowCalConstA,MATCH(V157,FlowCalNumber,0),1,1)*X160^INDEX(FlowCalConstB,MATCH(V157,FlowCalNumber,0),1,1)," ")</f>
        <v>#N/A</v>
      </c>
    </row>
    <row r="161" spans="1:25">
      <c r="A161" s="412"/>
      <c r="B161" s="2"/>
      <c r="C161" s="235"/>
      <c r="D161" s="24">
        <f>'1% Wind'!$M$85</f>
        <v>17.8</v>
      </c>
      <c r="E161" s="90"/>
      <c r="F161" s="90"/>
      <c r="G161" s="79" t="e">
        <f ca="1">IF(I157=1,$G160,MAX(G160/D160*D161,2))</f>
        <v>#N/A</v>
      </c>
      <c r="H161" s="121" t="e">
        <f t="shared" ca="1" si="72"/>
        <v>#N/A</v>
      </c>
      <c r="J161" s="377"/>
      <c r="K161" s="242">
        <f t="shared" si="73"/>
        <v>1</v>
      </c>
      <c r="L161" s="241" t="e">
        <f t="shared" ca="1" si="74"/>
        <v>#N/A</v>
      </c>
      <c r="M161" s="243" t="e">
        <f ca="1">IF(AND(INDEX(FlowCalConstA,MATCH(J157,FlowCalNumber,0),1,1)*L161^INDEX(FlowCalConstB,MATCH(J157,FlowCalNumber,0),1,1)&gt;INDEX(FlowCalLowSetting,MATCH(J157,FlowCalNumber,0),1,1), (INDEX(FlowCalConstA,MATCH(J157,FlowCalNumber,0),1,1)*L161^INDEX(FlowCalConstB,MATCH(J157,FlowCalNumber,0),1,1)&lt;INDEX(FlowCalHighSetting,MATCH(J157,FlowCalNumber,0),1,1))),INDEX(FlowCalConstA,MATCH(J157,FlowCalNumber,0),1,1)*L161^INDEX(FlowCalConstB,MATCH(J157,FlowCalNumber,0),1,1)," ")</f>
        <v>#N/A</v>
      </c>
      <c r="N161" s="377"/>
      <c r="O161" s="242">
        <f t="shared" si="75"/>
        <v>1</v>
      </c>
      <c r="P161" s="241" t="e">
        <f t="shared" ca="1" si="76"/>
        <v>#N/A</v>
      </c>
      <c r="Q161" s="244" t="e">
        <f ca="1">IF(AND(INDEX(FlowCalConstA,MATCH(N157,FlowCalNumber,0),1,1)*P161^INDEX(FlowCalConstB,MATCH(N157,FlowCalNumber,0),1,1)&gt;INDEX(FlowCalLowSetting,MATCH(N157,FlowCalNumber,0),1,1), (INDEX(FlowCalConstA,MATCH(N157,FlowCalNumber,0),1,1)*P161^INDEX(FlowCalConstB,MATCH(N157,FlowCalNumber,0),1,1)&lt;INDEX(FlowCalHighSetting,MATCH(N157,FlowCalNumber,0),1,1))),INDEX(FlowCalConstA,MATCH(N157,FlowCalNumber,0),1,1)*P161^INDEX(FlowCalConstB,MATCH(N157,FlowCalNumber,0),1,1)," ")</f>
        <v>#N/A</v>
      </c>
      <c r="R161" s="377"/>
      <c r="S161" s="242">
        <f t="shared" si="77"/>
        <v>0.5</v>
      </c>
      <c r="T161" s="241" t="e">
        <f t="shared" ca="1" si="78"/>
        <v>#N/A</v>
      </c>
      <c r="U161" s="243" t="e">
        <f ca="1">IF(AND(INDEX(FlowCalConstA,MATCH(R157,FlowCalNumber,0),1,1)*T161^INDEX(FlowCalConstB,MATCH(R157,FlowCalNumber,0),1,1)&gt;INDEX(FlowCalLowSetting,MATCH(R157,FlowCalNumber,0),1,1), (INDEX(FlowCalConstA,MATCH(R157,FlowCalNumber,0),1,1)*T161^INDEX(FlowCalConstB,MATCH(R157,FlowCalNumber,0),1,1)&lt;INDEX(FlowCalHighSetting,MATCH(R157,FlowCalNumber,0),1,1))),INDEX(FlowCalConstA,MATCH(R157,FlowCalNumber,0),1,1)*T161^INDEX(FlowCalConstB,MATCH(R157,FlowCalNumber,0),1,1)," ")</f>
        <v>#N/A</v>
      </c>
      <c r="V161" s="377"/>
      <c r="W161" s="242">
        <f t="shared" si="79"/>
        <v>0.5</v>
      </c>
      <c r="X161" s="241" t="e">
        <f t="shared" ca="1" si="80"/>
        <v>#N/A</v>
      </c>
      <c r="Y161" s="244" t="e">
        <f ca="1">IF(AND(INDEX(FlowCalConstA,MATCH(V157,FlowCalNumber,0),1,1)*X161^INDEX(FlowCalConstB,MATCH(V157,FlowCalNumber,0),1,1)&gt;INDEX(FlowCalLowSetting,MATCH(V157,FlowCalNumber,0),1,1), (INDEX(FlowCalConstA,MATCH(V157,FlowCalNumber,0),1,1)*X161^INDEX(FlowCalConstB,MATCH(V157,FlowCalNumber,0),1,1)&lt;INDEX(FlowCalHighSetting,MATCH(V157,FlowCalNumber,0),1,1))),INDEX(FlowCalConstA,MATCH(V157,FlowCalNumber,0),1,1)*X161^INDEX(FlowCalConstB,MATCH(V157,FlowCalNumber,0),1,1)," ")</f>
        <v>#N/A</v>
      </c>
    </row>
    <row r="162" spans="1:25" s="1215" customFormat="1">
      <c r="A162" s="1208"/>
      <c r="B162" s="1209"/>
      <c r="C162" s="1210"/>
      <c r="D162" s="1211">
        <f>'1% Wind'!$M$86</f>
        <v>15.5</v>
      </c>
      <c r="E162" s="1212"/>
      <c r="F162" s="1212"/>
      <c r="G162" s="1213" t="e">
        <f ca="1">IF(I157=1,$G161,MAX(G161/D161*D162,2))</f>
        <v>#N/A</v>
      </c>
      <c r="H162" s="1214" t="e">
        <f t="shared" ca="1" si="72"/>
        <v>#N/A</v>
      </c>
      <c r="J162" s="1216"/>
      <c r="K162" s="1217">
        <f t="shared" si="73"/>
        <v>1</v>
      </c>
      <c r="L162" s="1218" t="e">
        <f t="shared" ca="1" si="74"/>
        <v>#N/A</v>
      </c>
      <c r="M162" s="1219" t="e">
        <f ca="1">IF(AND(INDEX(FlowCalConstA,MATCH(J157,FlowCalNumber,0),1,1)*L162^INDEX(FlowCalConstB,MATCH(J157,FlowCalNumber,0),1,1)&gt;INDEX(FlowCalLowSetting,MATCH(J157,FlowCalNumber,0),1,1), (INDEX(FlowCalConstA,MATCH(J157,FlowCalNumber,0),1,1)*L162^INDEX(FlowCalConstB,MATCH(J157,FlowCalNumber,0),1,1)&lt;INDEX(FlowCalHighSetting,MATCH(J157,FlowCalNumber,0),1,1))),INDEX(FlowCalConstA,MATCH(J157,FlowCalNumber,0),1,1)*L162^INDEX(FlowCalConstB,MATCH(J157,FlowCalNumber,0),1,1)," ")</f>
        <v>#N/A</v>
      </c>
      <c r="N162" s="1216"/>
      <c r="O162" s="1217">
        <f t="shared" si="75"/>
        <v>1</v>
      </c>
      <c r="P162" s="1218" t="e">
        <f t="shared" ca="1" si="76"/>
        <v>#N/A</v>
      </c>
      <c r="Q162" s="1220" t="e">
        <f ca="1">IF(AND(INDEX(FlowCalConstA,MATCH(N157,FlowCalNumber,0),1,1)*P162^INDEX(FlowCalConstB,MATCH(N157,FlowCalNumber,0),1,1)&gt;INDEX(FlowCalLowSetting,MATCH(N157,FlowCalNumber,0),1,1), (INDEX(FlowCalConstA,MATCH(N157,FlowCalNumber,0),1,1)*P162^INDEX(FlowCalConstB,MATCH(N157,FlowCalNumber,0),1,1)&lt;INDEX(FlowCalHighSetting,MATCH(N157,FlowCalNumber,0),1,1))),INDEX(FlowCalConstA,MATCH(N157,FlowCalNumber,0),1,1)*P162^INDEX(FlowCalConstB,MATCH(N157,FlowCalNumber,0),1,1)," ")</f>
        <v>#N/A</v>
      </c>
      <c r="R162" s="1216"/>
      <c r="S162" s="1217">
        <f t="shared" si="77"/>
        <v>0.5</v>
      </c>
      <c r="T162" s="1218" t="e">
        <f t="shared" ca="1" si="78"/>
        <v>#N/A</v>
      </c>
      <c r="U162" s="1219" t="e">
        <f ca="1">IF(AND(INDEX(FlowCalConstA,MATCH(R157,FlowCalNumber,0),1,1)*T162^INDEX(FlowCalConstB,MATCH(R157,FlowCalNumber,0),1,1)&gt;INDEX(FlowCalLowSetting,MATCH(R157,FlowCalNumber,0),1,1), (INDEX(FlowCalConstA,MATCH(R157,FlowCalNumber,0),1,1)*T162^INDEX(FlowCalConstB,MATCH(R157,FlowCalNumber,0),1,1)&lt;INDEX(FlowCalHighSetting,MATCH(R157,FlowCalNumber,0),1,1))),INDEX(FlowCalConstA,MATCH(R157,FlowCalNumber,0),1,1)*T162^INDEX(FlowCalConstB,MATCH(R157,FlowCalNumber,0),1,1)," ")</f>
        <v>#N/A</v>
      </c>
      <c r="V162" s="1216"/>
      <c r="W162" s="1217">
        <f t="shared" si="79"/>
        <v>0.5</v>
      </c>
      <c r="X162" s="1218" t="e">
        <f t="shared" ca="1" si="80"/>
        <v>#N/A</v>
      </c>
      <c r="Y162" s="1220" t="e">
        <f ca="1">IF(AND(INDEX(FlowCalConstA,MATCH(V157,FlowCalNumber,0),1,1)*X162^INDEX(FlowCalConstB,MATCH(V157,FlowCalNumber,0),1,1)&gt;INDEX(FlowCalLowSetting,MATCH(V157,FlowCalNumber,0),1,1), (INDEX(FlowCalConstA,MATCH(V157,FlowCalNumber,0),1,1)*X162^INDEX(FlowCalConstB,MATCH(V157,FlowCalNumber,0),1,1)&lt;INDEX(FlowCalHighSetting,MATCH(V157,FlowCalNumber,0),1,1))),INDEX(FlowCalConstA,MATCH(V157,FlowCalNumber,0),1,1)*X162^INDEX(FlowCalConstB,MATCH(V157,FlowCalNumber,0),1,1)," ")</f>
        <v>#N/A</v>
      </c>
    </row>
    <row r="163" spans="1:25">
      <c r="A163" s="412"/>
      <c r="B163" s="2"/>
      <c r="C163" s="235"/>
      <c r="D163" s="24">
        <f>'1% Wind'!$M$87</f>
        <v>13.5</v>
      </c>
      <c r="E163" s="90"/>
      <c r="F163" s="90"/>
      <c r="G163" s="79" t="e">
        <f ca="1">IF(I157=1,$G162,MAX(G162/D162*D163,2))</f>
        <v>#N/A</v>
      </c>
      <c r="H163" s="121" t="e">
        <f t="shared" ca="1" si="72"/>
        <v>#N/A</v>
      </c>
      <c r="J163" s="377"/>
      <c r="K163" s="242">
        <f t="shared" si="73"/>
        <v>1</v>
      </c>
      <c r="L163" s="241" t="e">
        <f t="shared" ca="1" si="74"/>
        <v>#N/A</v>
      </c>
      <c r="M163" s="243" t="e">
        <f ca="1">IF(AND(INDEX(FlowCalConstA,MATCH(J157,FlowCalNumber,0),1,1)*L163^INDEX(FlowCalConstB,MATCH(J157,FlowCalNumber,0),1,1)&gt;INDEX(FlowCalLowSetting,MATCH(J157,FlowCalNumber,0),1,1), (INDEX(FlowCalConstA,MATCH(J157,FlowCalNumber,0),1,1)*L163^INDEX(FlowCalConstB,MATCH(J157,FlowCalNumber,0),1,1)&lt;INDEX(FlowCalHighSetting,MATCH(J157,FlowCalNumber,0),1,1))),INDEX(FlowCalConstA,MATCH(J157,FlowCalNumber,0),1,1)*L163^INDEX(FlowCalConstB,MATCH(J157,FlowCalNumber,0),1,1)," ")</f>
        <v>#N/A</v>
      </c>
      <c r="N163" s="377"/>
      <c r="O163" s="242">
        <f t="shared" si="75"/>
        <v>1</v>
      </c>
      <c r="P163" s="241" t="e">
        <f t="shared" ca="1" si="76"/>
        <v>#N/A</v>
      </c>
      <c r="Q163" s="244" t="e">
        <f ca="1">IF(AND(INDEX(FlowCalConstA,MATCH(N157,FlowCalNumber,0),1,1)*P163^INDEX(FlowCalConstB,MATCH(N157,FlowCalNumber,0),1,1)&gt;INDEX(FlowCalLowSetting,MATCH(N157,FlowCalNumber,0),1,1), (INDEX(FlowCalConstA,MATCH(N157,FlowCalNumber,0),1,1)*P163^INDEX(FlowCalConstB,MATCH(N157,FlowCalNumber,0),1,1)&lt;INDEX(FlowCalHighSetting,MATCH(N157,FlowCalNumber,0),1,1))),INDEX(FlowCalConstA,MATCH(N157,FlowCalNumber,0),1,1)*P163^INDEX(FlowCalConstB,MATCH(N157,FlowCalNumber,0),1,1)," ")</f>
        <v>#N/A</v>
      </c>
      <c r="R163" s="377"/>
      <c r="S163" s="242">
        <f t="shared" si="77"/>
        <v>0.5</v>
      </c>
      <c r="T163" s="241" t="e">
        <f t="shared" ca="1" si="78"/>
        <v>#N/A</v>
      </c>
      <c r="U163" s="243" t="e">
        <f ca="1">IF(AND(INDEX(FlowCalConstA,MATCH(R157,FlowCalNumber,0),1,1)*T163^INDEX(FlowCalConstB,MATCH(R157,FlowCalNumber,0),1,1)&gt;INDEX(FlowCalLowSetting,MATCH(R157,FlowCalNumber,0),1,1), (INDEX(FlowCalConstA,MATCH(R157,FlowCalNumber,0),1,1)*T163^INDEX(FlowCalConstB,MATCH(R157,FlowCalNumber,0),1,1)&lt;INDEX(FlowCalHighSetting,MATCH(R157,FlowCalNumber,0),1,1))),INDEX(FlowCalConstA,MATCH(R157,FlowCalNumber,0),1,1)*T163^INDEX(FlowCalConstB,MATCH(R157,FlowCalNumber,0),1,1)," ")</f>
        <v>#N/A</v>
      </c>
      <c r="V163" s="377"/>
      <c r="W163" s="242">
        <f t="shared" si="79"/>
        <v>0.5</v>
      </c>
      <c r="X163" s="241" t="e">
        <f t="shared" ca="1" si="80"/>
        <v>#N/A</v>
      </c>
      <c r="Y163" s="244" t="e">
        <f ca="1">IF(AND(INDEX(FlowCalConstA,MATCH(V157,FlowCalNumber,0),1,1)*X163^INDEX(FlowCalConstB,MATCH(V157,FlowCalNumber,0),1,1)&gt;INDEX(FlowCalLowSetting,MATCH(V157,FlowCalNumber,0),1,1), (INDEX(FlowCalConstA,MATCH(V157,FlowCalNumber,0),1,1)*X163^INDEX(FlowCalConstB,MATCH(V157,FlowCalNumber,0),1,1)&lt;INDEX(FlowCalHighSetting,MATCH(V157,FlowCalNumber,0),1,1))),INDEX(FlowCalConstA,MATCH(V157,FlowCalNumber,0),1,1)*X163^INDEX(FlowCalConstB,MATCH(V157,FlowCalNumber,0),1,1)," ")</f>
        <v>#N/A</v>
      </c>
    </row>
    <row r="164" spans="1:25" s="1215" customFormat="1">
      <c r="A164" s="1208"/>
      <c r="B164" s="1209"/>
      <c r="C164" s="1210"/>
      <c r="D164" s="1211">
        <f>'1% Wind'!$M$88</f>
        <v>10.1</v>
      </c>
      <c r="E164" s="1212"/>
      <c r="F164" s="1212"/>
      <c r="G164" s="1213" t="e">
        <f ca="1">IF(I157=1,$G163,MAX(G163/D163*D164,2))</f>
        <v>#N/A</v>
      </c>
      <c r="H164" s="1214" t="e">
        <f t="shared" ca="1" si="72"/>
        <v>#N/A</v>
      </c>
      <c r="J164" s="1216"/>
      <c r="K164" s="1217">
        <f t="shared" si="73"/>
        <v>1</v>
      </c>
      <c r="L164" s="1218" t="e">
        <f t="shared" ca="1" si="74"/>
        <v>#N/A</v>
      </c>
      <c r="M164" s="1219" t="e">
        <f ca="1">IF(AND(INDEX(FlowCalConstA,MATCH(J157,FlowCalNumber,0),1,1)*L164^INDEX(FlowCalConstB,MATCH(J157,FlowCalNumber,0),1,1)&gt;INDEX(FlowCalLowSetting,MATCH(J157,FlowCalNumber,0),1,1), (INDEX(FlowCalConstA,MATCH(J157,FlowCalNumber,0),1,1)*L164^INDEX(FlowCalConstB,MATCH(J157,FlowCalNumber,0),1,1)&lt;INDEX(FlowCalHighSetting,MATCH(J157,FlowCalNumber,0),1,1))),INDEX(FlowCalConstA,MATCH(J157,FlowCalNumber,0),1,1)*L164^INDEX(FlowCalConstB,MATCH(J157,FlowCalNumber,0),1,1)," ")</f>
        <v>#N/A</v>
      </c>
      <c r="N164" s="1216"/>
      <c r="O164" s="1217">
        <f t="shared" si="75"/>
        <v>1</v>
      </c>
      <c r="P164" s="1218" t="e">
        <f t="shared" ca="1" si="76"/>
        <v>#N/A</v>
      </c>
      <c r="Q164" s="1220" t="e">
        <f ca="1">IF(AND(INDEX(FlowCalConstA,MATCH(N157,FlowCalNumber,0),1,1)*P164^INDEX(FlowCalConstB,MATCH(N157,FlowCalNumber,0),1,1)&gt;INDEX(FlowCalLowSetting,MATCH(N157,FlowCalNumber,0),1,1), (INDEX(FlowCalConstA,MATCH(N157,FlowCalNumber,0),1,1)*P164^INDEX(FlowCalConstB,MATCH(N157,FlowCalNumber,0),1,1)&lt;INDEX(FlowCalHighSetting,MATCH(N157,FlowCalNumber,0),1,1))),INDEX(FlowCalConstA,MATCH(N157,FlowCalNumber,0),1,1)*P164^INDEX(FlowCalConstB,MATCH(N157,FlowCalNumber,0),1,1)," ")</f>
        <v>#N/A</v>
      </c>
      <c r="R164" s="1216"/>
      <c r="S164" s="1217">
        <f t="shared" si="77"/>
        <v>0.5</v>
      </c>
      <c r="T164" s="1218" t="e">
        <f t="shared" ca="1" si="78"/>
        <v>#N/A</v>
      </c>
      <c r="U164" s="1219" t="e">
        <f ca="1">IF(AND(INDEX(FlowCalConstA,MATCH(R157,FlowCalNumber,0),1,1)*T164^INDEX(FlowCalConstB,MATCH(R157,FlowCalNumber,0),1,1)&gt;INDEX(FlowCalLowSetting,MATCH(R157,FlowCalNumber,0),1,1), (INDEX(FlowCalConstA,MATCH(R157,FlowCalNumber,0),1,1)*T164^INDEX(FlowCalConstB,MATCH(R157,FlowCalNumber,0),1,1)&lt;INDEX(FlowCalHighSetting,MATCH(R157,FlowCalNumber,0),1,1))),INDEX(FlowCalConstA,MATCH(R157,FlowCalNumber,0),1,1)*T164^INDEX(FlowCalConstB,MATCH(R157,FlowCalNumber,0),1,1)," ")</f>
        <v>#N/A</v>
      </c>
      <c r="V164" s="1216"/>
      <c r="W164" s="1217">
        <f t="shared" si="79"/>
        <v>0.5</v>
      </c>
      <c r="X164" s="1218" t="e">
        <f t="shared" ca="1" si="80"/>
        <v>#N/A</v>
      </c>
      <c r="Y164" s="1220" t="e">
        <f ca="1">IF(AND(INDEX(FlowCalConstA,MATCH(V157,FlowCalNumber,0),1,1)*X164^INDEX(FlowCalConstB,MATCH(V157,FlowCalNumber,0),1,1)&gt;INDEX(FlowCalLowSetting,MATCH(V157,FlowCalNumber,0),1,1), (INDEX(FlowCalConstA,MATCH(V157,FlowCalNumber,0),1,1)*X164^INDEX(FlowCalConstB,MATCH(V157,FlowCalNumber,0),1,1)&lt;INDEX(FlowCalHighSetting,MATCH(V157,FlowCalNumber,0),1,1))),INDEX(FlowCalConstA,MATCH(V157,FlowCalNumber,0),1,1)*X164^INDEX(FlowCalConstB,MATCH(V157,FlowCalNumber,0),1,1)," ")</f>
        <v>#N/A</v>
      </c>
    </row>
    <row r="165" spans="1:25">
      <c r="A165" s="412"/>
      <c r="B165" s="2"/>
      <c r="C165" s="235"/>
      <c r="D165" s="24">
        <f>'1% Wind'!$M$89</f>
        <v>7.6</v>
      </c>
      <c r="E165" s="90"/>
      <c r="F165" s="90"/>
      <c r="G165" s="79" t="e">
        <f ca="1">IF(I157=1,$G164,MAX(G164/D164*D165,2))</f>
        <v>#N/A</v>
      </c>
      <c r="H165" s="121" t="e">
        <f t="shared" ca="1" si="72"/>
        <v>#N/A</v>
      </c>
      <c r="J165" s="377"/>
      <c r="K165" s="242">
        <f t="shared" si="73"/>
        <v>1</v>
      </c>
      <c r="L165" s="241" t="e">
        <f t="shared" ca="1" si="74"/>
        <v>#N/A</v>
      </c>
      <c r="M165" s="243" t="e">
        <f ca="1">IF(AND(INDEX(FlowCalConstA,MATCH(J157,FlowCalNumber,0),1,1)*L165^INDEX(FlowCalConstB,MATCH(J157,FlowCalNumber,0),1,1)&gt;INDEX(FlowCalLowSetting,MATCH(J157,FlowCalNumber,0),1,1), (INDEX(FlowCalConstA,MATCH(J157,FlowCalNumber,0),1,1)*L165^INDEX(FlowCalConstB,MATCH(J157,FlowCalNumber,0),1,1)&lt;INDEX(FlowCalHighSetting,MATCH(J157,FlowCalNumber,0),1,1))),INDEX(FlowCalConstA,MATCH(J157,FlowCalNumber,0),1,1)*L165^INDEX(FlowCalConstB,MATCH(J157,FlowCalNumber,0),1,1)," ")</f>
        <v>#N/A</v>
      </c>
      <c r="N165" s="377"/>
      <c r="O165" s="242">
        <f t="shared" si="75"/>
        <v>1</v>
      </c>
      <c r="P165" s="241" t="e">
        <f t="shared" ca="1" si="76"/>
        <v>#N/A</v>
      </c>
      <c r="Q165" s="244" t="e">
        <f ca="1">IF(AND(INDEX(FlowCalConstA,MATCH(N157,FlowCalNumber,0),1,1)*P165^INDEX(FlowCalConstB,MATCH(N157,FlowCalNumber,0),1,1)&gt;INDEX(FlowCalLowSetting,MATCH(N157,FlowCalNumber,0),1,1), (INDEX(FlowCalConstA,MATCH(N157,FlowCalNumber,0),1,1)*P165^INDEX(FlowCalConstB,MATCH(N157,FlowCalNumber,0),1,1)&lt;INDEX(FlowCalHighSetting,MATCH(N157,FlowCalNumber,0),1,1))),INDEX(FlowCalConstA,MATCH(N157,FlowCalNumber,0),1,1)*P165^INDEX(FlowCalConstB,MATCH(N157,FlowCalNumber,0),1,1)," ")</f>
        <v>#N/A</v>
      </c>
      <c r="R165" s="377"/>
      <c r="S165" s="242">
        <f t="shared" si="77"/>
        <v>0.5</v>
      </c>
      <c r="T165" s="241" t="e">
        <f t="shared" ca="1" si="78"/>
        <v>#N/A</v>
      </c>
      <c r="U165" s="243" t="e">
        <f ca="1">IF(AND(INDEX(FlowCalConstA,MATCH(R157,FlowCalNumber,0),1,1)*T165^INDEX(FlowCalConstB,MATCH(R157,FlowCalNumber,0),1,1)&gt;INDEX(FlowCalLowSetting,MATCH(R157,FlowCalNumber,0),1,1), (INDEX(FlowCalConstA,MATCH(R157,FlowCalNumber,0),1,1)*T165^INDEX(FlowCalConstB,MATCH(R157,FlowCalNumber,0),1,1)&lt;INDEX(FlowCalHighSetting,MATCH(R157,FlowCalNumber,0),1,1))),INDEX(FlowCalConstA,MATCH(R157,FlowCalNumber,0),1,1)*T165^INDEX(FlowCalConstB,MATCH(R157,FlowCalNumber,0),1,1)," ")</f>
        <v>#N/A</v>
      </c>
      <c r="V165" s="377"/>
      <c r="W165" s="242">
        <f t="shared" si="79"/>
        <v>0.5</v>
      </c>
      <c r="X165" s="241" t="e">
        <f t="shared" ca="1" si="80"/>
        <v>#N/A</v>
      </c>
      <c r="Y165" s="244" t="e">
        <f ca="1">IF(AND(INDEX(FlowCalConstA,MATCH(V157,FlowCalNumber,0),1,1)*X165^INDEX(FlowCalConstB,MATCH(V157,FlowCalNumber,0),1,1)&gt;INDEX(FlowCalLowSetting,MATCH(V157,FlowCalNumber,0),1,1), (INDEX(FlowCalConstA,MATCH(V157,FlowCalNumber,0),1,1)*X165^INDEX(FlowCalConstB,MATCH(V157,FlowCalNumber,0),1,1)&lt;INDEX(FlowCalHighSetting,MATCH(V157,FlowCalNumber,0),1,1))),INDEX(FlowCalConstA,MATCH(V157,FlowCalNumber,0),1,1)*X165^INDEX(FlowCalConstB,MATCH(V157,FlowCalNumber,0),1,1)," ")</f>
        <v>#N/A</v>
      </c>
    </row>
    <row r="166" spans="1:25" s="1215" customFormat="1">
      <c r="A166" s="1208"/>
      <c r="B166" s="1209"/>
      <c r="C166" s="1210"/>
      <c r="D166" s="1211">
        <f>'1% Wind'!$M$90</f>
        <v>5.7</v>
      </c>
      <c r="E166" s="1212"/>
      <c r="F166" s="1212"/>
      <c r="G166" s="1213" t="e">
        <f ca="1">IF(I157=1,$G165,MAX(G165/D165*D166,2))</f>
        <v>#N/A</v>
      </c>
      <c r="H166" s="1214" t="e">
        <f t="shared" ca="1" si="72"/>
        <v>#N/A</v>
      </c>
      <c r="J166" s="1216"/>
      <c r="K166" s="1217">
        <f t="shared" si="73"/>
        <v>1</v>
      </c>
      <c r="L166" s="1218" t="e">
        <f t="shared" ca="1" si="74"/>
        <v>#N/A</v>
      </c>
      <c r="M166" s="1219" t="e">
        <f ca="1">IF(AND(INDEX(FlowCalConstA,MATCH(J157,FlowCalNumber,0),1,1)*L166^INDEX(FlowCalConstB,MATCH(J157,FlowCalNumber,0),1,1)&gt;INDEX(FlowCalLowSetting,MATCH(J157,FlowCalNumber,0),1,1), (INDEX(FlowCalConstA,MATCH(J157,FlowCalNumber,0),1,1)*L166^INDEX(FlowCalConstB,MATCH(J157,FlowCalNumber,0),1,1)&lt;INDEX(FlowCalHighSetting,MATCH(J157,FlowCalNumber,0),1,1))),INDEX(FlowCalConstA,MATCH(J157,FlowCalNumber,0),1,1)*L166^INDEX(FlowCalConstB,MATCH(J157,FlowCalNumber,0),1,1)," ")</f>
        <v>#N/A</v>
      </c>
      <c r="N166" s="1216"/>
      <c r="O166" s="1217">
        <f t="shared" si="75"/>
        <v>1</v>
      </c>
      <c r="P166" s="1218" t="e">
        <f t="shared" ca="1" si="76"/>
        <v>#N/A</v>
      </c>
      <c r="Q166" s="1220" t="e">
        <f ca="1">IF(AND(INDEX(FlowCalConstA,MATCH(N157,FlowCalNumber,0),1,1)*P166^INDEX(FlowCalConstB,MATCH(N157,FlowCalNumber,0),1,1)&gt;INDEX(FlowCalLowSetting,MATCH(N157,FlowCalNumber,0),1,1), (INDEX(FlowCalConstA,MATCH(N157,FlowCalNumber,0),1,1)*P166^INDEX(FlowCalConstB,MATCH(N157,FlowCalNumber,0),1,1)&lt;INDEX(FlowCalHighSetting,MATCH(N157,FlowCalNumber,0),1,1))),INDEX(FlowCalConstA,MATCH(N157,FlowCalNumber,0),1,1)*P166^INDEX(FlowCalConstB,MATCH(N157,FlowCalNumber,0),1,1)," ")</f>
        <v>#N/A</v>
      </c>
      <c r="R166" s="1216"/>
      <c r="S166" s="1217">
        <f t="shared" si="77"/>
        <v>0.5</v>
      </c>
      <c r="T166" s="1218" t="e">
        <f t="shared" ca="1" si="78"/>
        <v>#N/A</v>
      </c>
      <c r="U166" s="1219" t="e">
        <f ca="1">IF(AND(INDEX(FlowCalConstA,MATCH(R157,FlowCalNumber,0),1,1)*T166^INDEX(FlowCalConstB,MATCH(R157,FlowCalNumber,0),1,1)&gt;INDEX(FlowCalLowSetting,MATCH(R157,FlowCalNumber,0),1,1), (INDEX(FlowCalConstA,MATCH(R157,FlowCalNumber,0),1,1)*T166^INDEX(FlowCalConstB,MATCH(R157,FlowCalNumber,0),1,1)&lt;INDEX(FlowCalHighSetting,MATCH(R157,FlowCalNumber,0),1,1))),INDEX(FlowCalConstA,MATCH(R157,FlowCalNumber,0),1,1)*T166^INDEX(FlowCalConstB,MATCH(R157,FlowCalNumber,0),1,1)," ")</f>
        <v>#N/A</v>
      </c>
      <c r="V166" s="1216"/>
      <c r="W166" s="1217">
        <f t="shared" si="79"/>
        <v>0.5</v>
      </c>
      <c r="X166" s="1218" t="e">
        <f t="shared" ca="1" si="80"/>
        <v>#N/A</v>
      </c>
      <c r="Y166" s="1220" t="e">
        <f ca="1">IF(AND(INDEX(FlowCalConstA,MATCH(V157,FlowCalNumber,0),1,1)*X166^INDEX(FlowCalConstB,MATCH(V157,FlowCalNumber,0),1,1)&gt;INDEX(FlowCalLowSetting,MATCH(V157,FlowCalNumber,0),1,1), (INDEX(FlowCalConstA,MATCH(V157,FlowCalNumber,0),1,1)*X166^INDEX(FlowCalConstB,MATCH(V157,FlowCalNumber,0),1,1)&lt;INDEX(FlowCalHighSetting,MATCH(V157,FlowCalNumber,0),1,1))),INDEX(FlowCalConstA,MATCH(V157,FlowCalNumber,0),1,1)*X166^INDEX(FlowCalConstB,MATCH(V157,FlowCalNumber,0),1,1)," ")</f>
        <v>#N/A</v>
      </c>
    </row>
    <row r="167" spans="1:25">
      <c r="A167" s="412"/>
      <c r="B167" s="2"/>
      <c r="C167" s="235"/>
      <c r="D167" s="24">
        <f>'1% Wind'!$M$91</f>
        <v>4.2</v>
      </c>
      <c r="E167" s="90"/>
      <c r="F167" s="90"/>
      <c r="G167" s="79" t="e">
        <f ca="1">IF(I157=1,$G166,MAX(G166/D166*D167,2))</f>
        <v>#N/A</v>
      </c>
      <c r="H167" s="121" t="e">
        <f t="shared" ca="1" si="72"/>
        <v>#N/A</v>
      </c>
      <c r="J167" s="377"/>
      <c r="K167" s="242">
        <f t="shared" si="73"/>
        <v>1</v>
      </c>
      <c r="L167" s="241" t="e">
        <f t="shared" ca="1" si="74"/>
        <v>#N/A</v>
      </c>
      <c r="M167" s="243" t="e">
        <f ca="1">IF(AND(INDEX(FlowCalConstA,MATCH(J157,FlowCalNumber,0),1,1)*L167^INDEX(FlowCalConstB,MATCH(J157,FlowCalNumber,0),1,1)&gt;INDEX(FlowCalLowSetting,MATCH(J157,FlowCalNumber,0),1,1), (INDEX(FlowCalConstA,MATCH(J157,FlowCalNumber,0),1,1)*L167^INDEX(FlowCalConstB,MATCH(J157,FlowCalNumber,0),1,1)&lt;INDEX(FlowCalHighSetting,MATCH(J157,FlowCalNumber,0),1,1))),INDEX(FlowCalConstA,MATCH(J157,FlowCalNumber,0),1,1)*L167^INDEX(FlowCalConstB,MATCH(J157,FlowCalNumber,0),1,1)," ")</f>
        <v>#N/A</v>
      </c>
      <c r="N167" s="377"/>
      <c r="O167" s="242">
        <f t="shared" si="75"/>
        <v>1</v>
      </c>
      <c r="P167" s="241" t="e">
        <f t="shared" ca="1" si="76"/>
        <v>#N/A</v>
      </c>
      <c r="Q167" s="244" t="e">
        <f ca="1">IF(AND(INDEX(FlowCalConstA,MATCH(N157,FlowCalNumber,0),1,1)*P167^INDEX(FlowCalConstB,MATCH(N157,FlowCalNumber,0),1,1)&gt;INDEX(FlowCalLowSetting,MATCH(N157,FlowCalNumber,0),1,1), (INDEX(FlowCalConstA,MATCH(N157,FlowCalNumber,0),1,1)*P167^INDEX(FlowCalConstB,MATCH(N157,FlowCalNumber,0),1,1)&lt;INDEX(FlowCalHighSetting,MATCH(N157,FlowCalNumber,0),1,1))),INDEX(FlowCalConstA,MATCH(N157,FlowCalNumber,0),1,1)*P167^INDEX(FlowCalConstB,MATCH(N157,FlowCalNumber,0),1,1)," ")</f>
        <v>#N/A</v>
      </c>
      <c r="R167" s="377"/>
      <c r="S167" s="242">
        <f t="shared" si="77"/>
        <v>0.5</v>
      </c>
      <c r="T167" s="241" t="e">
        <f t="shared" ca="1" si="78"/>
        <v>#N/A</v>
      </c>
      <c r="U167" s="243" t="e">
        <f ca="1">IF(AND(INDEX(FlowCalConstA,MATCH(R157,FlowCalNumber,0),1,1)*T167^INDEX(FlowCalConstB,MATCH(R157,FlowCalNumber,0),1,1)&gt;INDEX(FlowCalLowSetting,MATCH(R157,FlowCalNumber,0),1,1), (INDEX(FlowCalConstA,MATCH(R157,FlowCalNumber,0),1,1)*T167^INDEX(FlowCalConstB,MATCH(R157,FlowCalNumber,0),1,1)&lt;INDEX(FlowCalHighSetting,MATCH(R157,FlowCalNumber,0),1,1))),INDEX(FlowCalConstA,MATCH(R157,FlowCalNumber,0),1,1)*T167^INDEX(FlowCalConstB,MATCH(R157,FlowCalNumber,0),1,1)," ")</f>
        <v>#N/A</v>
      </c>
      <c r="V167" s="377"/>
      <c r="W167" s="242">
        <f t="shared" si="79"/>
        <v>0.5</v>
      </c>
      <c r="X167" s="241" t="e">
        <f t="shared" ca="1" si="80"/>
        <v>#N/A</v>
      </c>
      <c r="Y167" s="244" t="e">
        <f ca="1">IF(AND(INDEX(FlowCalConstA,MATCH(V157,FlowCalNumber,0),1,1)*X167^INDEX(FlowCalConstB,MATCH(V157,FlowCalNumber,0),1,1)&gt;INDEX(FlowCalLowSetting,MATCH(V157,FlowCalNumber,0),1,1), (INDEX(FlowCalConstA,MATCH(V157,FlowCalNumber,0),1,1)*X167^INDEX(FlowCalConstB,MATCH(V157,FlowCalNumber,0),1,1)&lt;INDEX(FlowCalHighSetting,MATCH(V157,FlowCalNumber,0),1,1))),INDEX(FlowCalConstA,MATCH(V157,FlowCalNumber,0),1,1)*X167^INDEX(FlowCalConstB,MATCH(V157,FlowCalNumber,0),1,1)," ")</f>
        <v>#N/A</v>
      </c>
    </row>
    <row r="168" spans="1:25" s="1215" customFormat="1">
      <c r="A168" s="1208"/>
      <c r="B168" s="1209"/>
      <c r="C168" s="1210"/>
      <c r="D168" s="1211">
        <f>'1% Wind'!$M$92</f>
        <v>3.2</v>
      </c>
      <c r="E168" s="1212"/>
      <c r="F168" s="1212"/>
      <c r="G168" s="1213" t="e">
        <f ca="1">IF(I157=1,$G167,MAX(G167/D167*D168,2))</f>
        <v>#N/A</v>
      </c>
      <c r="H168" s="1214" t="e">
        <f t="shared" ca="1" si="72"/>
        <v>#N/A</v>
      </c>
      <c r="J168" s="1216"/>
      <c r="K168" s="1217">
        <f t="shared" si="73"/>
        <v>1</v>
      </c>
      <c r="L168" s="1218" t="e">
        <f t="shared" ca="1" si="74"/>
        <v>#N/A</v>
      </c>
      <c r="M168" s="1219" t="e">
        <f ca="1">IF(AND(INDEX(FlowCalConstA,MATCH(J157,FlowCalNumber,0),1,1)*L168^INDEX(FlowCalConstB,MATCH(J157,FlowCalNumber,0),1,1)&gt;INDEX(FlowCalLowSetting,MATCH(J157,FlowCalNumber,0),1,1), (INDEX(FlowCalConstA,MATCH(J157,FlowCalNumber,0),1,1)*L168^INDEX(FlowCalConstB,MATCH(J157,FlowCalNumber,0),1,1)&lt;INDEX(FlowCalHighSetting,MATCH(J157,FlowCalNumber,0),1,1))),INDEX(FlowCalConstA,MATCH(J157,FlowCalNumber,0),1,1)*L168^INDEX(FlowCalConstB,MATCH(J157,FlowCalNumber,0),1,1)," ")</f>
        <v>#N/A</v>
      </c>
      <c r="N168" s="1216"/>
      <c r="O168" s="1217">
        <f t="shared" si="75"/>
        <v>1</v>
      </c>
      <c r="P168" s="1218" t="e">
        <f t="shared" ca="1" si="76"/>
        <v>#N/A</v>
      </c>
      <c r="Q168" s="1220" t="e">
        <f ca="1">IF(AND(INDEX(FlowCalConstA,MATCH(N157,FlowCalNumber,0),1,1)*P168^INDEX(FlowCalConstB,MATCH(N157,FlowCalNumber,0),1,1)&gt;INDEX(FlowCalLowSetting,MATCH(N157,FlowCalNumber,0),1,1), (INDEX(FlowCalConstA,MATCH(N157,FlowCalNumber,0),1,1)*P168^INDEX(FlowCalConstB,MATCH(N157,FlowCalNumber,0),1,1)&lt;INDEX(FlowCalHighSetting,MATCH(N157,FlowCalNumber,0),1,1))),INDEX(FlowCalConstA,MATCH(N157,FlowCalNumber,0),1,1)*P168^INDEX(FlowCalConstB,MATCH(N157,FlowCalNumber,0),1,1)," ")</f>
        <v>#N/A</v>
      </c>
      <c r="R168" s="1216"/>
      <c r="S168" s="1217">
        <f t="shared" si="77"/>
        <v>0.5</v>
      </c>
      <c r="T168" s="1218" t="e">
        <f t="shared" ca="1" si="78"/>
        <v>#N/A</v>
      </c>
      <c r="U168" s="1219" t="e">
        <f ca="1">IF(AND(INDEX(FlowCalConstA,MATCH(R157,FlowCalNumber,0),1,1)*T168^INDEX(FlowCalConstB,MATCH(R157,FlowCalNumber,0),1,1)&gt;INDEX(FlowCalLowSetting,MATCH(R157,FlowCalNumber,0),1,1), (INDEX(FlowCalConstA,MATCH(R157,FlowCalNumber,0),1,1)*T168^INDEX(FlowCalConstB,MATCH(R157,FlowCalNumber,0),1,1)&lt;INDEX(FlowCalHighSetting,MATCH(R157,FlowCalNumber,0),1,1))),INDEX(FlowCalConstA,MATCH(R157,FlowCalNumber,0),1,1)*T168^INDEX(FlowCalConstB,MATCH(R157,FlowCalNumber,0),1,1)," ")</f>
        <v>#N/A</v>
      </c>
      <c r="V168" s="1216"/>
      <c r="W168" s="1217">
        <f t="shared" si="79"/>
        <v>0.5</v>
      </c>
      <c r="X168" s="1218" t="e">
        <f t="shared" ca="1" si="80"/>
        <v>#N/A</v>
      </c>
      <c r="Y168" s="1220" t="e">
        <f ca="1">IF(AND(INDEX(FlowCalConstA,MATCH(V157,FlowCalNumber,0),1,1)*X168^INDEX(FlowCalConstB,MATCH(V157,FlowCalNumber,0),1,1)&gt;INDEX(FlowCalLowSetting,MATCH(V157,FlowCalNumber,0),1,1), (INDEX(FlowCalConstA,MATCH(V157,FlowCalNumber,0),1,1)*X168^INDEX(FlowCalConstB,MATCH(V157,FlowCalNumber,0),1,1)&lt;INDEX(FlowCalHighSetting,MATCH(V157,FlowCalNumber,0),1,1))),INDEX(FlowCalConstA,MATCH(V157,FlowCalNumber,0),1,1)*X168^INDEX(FlowCalConstB,MATCH(V157,FlowCalNumber,0),1,1)," ")</f>
        <v>#N/A</v>
      </c>
    </row>
    <row r="169" spans="1:25">
      <c r="A169" s="412"/>
      <c r="B169" s="2"/>
      <c r="C169" s="235"/>
      <c r="D169" s="24">
        <f>'1% Wind'!$M$93</f>
        <v>2.4</v>
      </c>
      <c r="E169" s="90"/>
      <c r="F169" s="90"/>
      <c r="G169" s="79" t="e">
        <f ca="1">IF(I157=1,$G168,MAX(G168/D168*D169,2))</f>
        <v>#N/A</v>
      </c>
      <c r="H169" s="121" t="e">
        <f t="shared" ca="1" si="72"/>
        <v>#N/A</v>
      </c>
      <c r="J169" s="377"/>
      <c r="K169" s="242">
        <f t="shared" si="73"/>
        <v>1</v>
      </c>
      <c r="L169" s="241" t="e">
        <f t="shared" ca="1" si="74"/>
        <v>#N/A</v>
      </c>
      <c r="M169" s="243" t="e">
        <f ca="1">IF(AND(INDEX(FlowCalConstA,MATCH(J157,FlowCalNumber,0),1,1)*L169^INDEX(FlowCalConstB,MATCH(J157,FlowCalNumber,0),1,1)&gt;INDEX(FlowCalLowSetting,MATCH(J157,FlowCalNumber,0),1,1), (INDEX(FlowCalConstA,MATCH(J157,FlowCalNumber,0),1,1)*L169^INDEX(FlowCalConstB,MATCH(J157,FlowCalNumber,0),1,1)&lt;INDEX(FlowCalHighSetting,MATCH(J157,FlowCalNumber,0),1,1))),INDEX(FlowCalConstA,MATCH(J157,FlowCalNumber,0),1,1)*L169^INDEX(FlowCalConstB,MATCH(J157,FlowCalNumber,0),1,1)," ")</f>
        <v>#N/A</v>
      </c>
      <c r="N169" s="377"/>
      <c r="O169" s="242">
        <f t="shared" si="75"/>
        <v>1</v>
      </c>
      <c r="P169" s="241" t="e">
        <f t="shared" ca="1" si="76"/>
        <v>#N/A</v>
      </c>
      <c r="Q169" s="244" t="e">
        <f ca="1">IF(AND(INDEX(FlowCalConstA,MATCH(N157,FlowCalNumber,0),1,1)*P169^INDEX(FlowCalConstB,MATCH(N157,FlowCalNumber,0),1,1)&gt;INDEX(FlowCalLowSetting,MATCH(N157,FlowCalNumber,0),1,1), (INDEX(FlowCalConstA,MATCH(N157,FlowCalNumber,0),1,1)*P169^INDEX(FlowCalConstB,MATCH(N157,FlowCalNumber,0),1,1)&lt;INDEX(FlowCalHighSetting,MATCH(N157,FlowCalNumber,0),1,1))),INDEX(FlowCalConstA,MATCH(N157,FlowCalNumber,0),1,1)*P169^INDEX(FlowCalConstB,MATCH(N157,FlowCalNumber,0),1,1)," ")</f>
        <v>#N/A</v>
      </c>
      <c r="R169" s="377"/>
      <c r="S169" s="242">
        <f t="shared" si="77"/>
        <v>0.5</v>
      </c>
      <c r="T169" s="241" t="e">
        <f t="shared" ca="1" si="78"/>
        <v>#N/A</v>
      </c>
      <c r="U169" s="243" t="e">
        <f ca="1">IF(AND(INDEX(FlowCalConstA,MATCH(R157,FlowCalNumber,0),1,1)*T169^INDEX(FlowCalConstB,MATCH(R157,FlowCalNumber,0),1,1)&gt;INDEX(FlowCalLowSetting,MATCH(R157,FlowCalNumber,0),1,1), (INDEX(FlowCalConstA,MATCH(R157,FlowCalNumber,0),1,1)*T169^INDEX(FlowCalConstB,MATCH(R157,FlowCalNumber,0),1,1)&lt;INDEX(FlowCalHighSetting,MATCH(R157,FlowCalNumber,0),1,1))),INDEX(FlowCalConstA,MATCH(R157,FlowCalNumber,0),1,1)*T169^INDEX(FlowCalConstB,MATCH(R157,FlowCalNumber,0),1,1)," ")</f>
        <v>#N/A</v>
      </c>
      <c r="V169" s="377"/>
      <c r="W169" s="242">
        <f t="shared" si="79"/>
        <v>0.5</v>
      </c>
      <c r="X169" s="241" t="e">
        <f t="shared" ca="1" si="80"/>
        <v>#N/A</v>
      </c>
      <c r="Y169" s="244" t="e">
        <f ca="1">IF(AND(INDEX(FlowCalConstA,MATCH(V157,FlowCalNumber,0),1,1)*X169^INDEX(FlowCalConstB,MATCH(V157,FlowCalNumber,0),1,1)&gt;INDEX(FlowCalLowSetting,MATCH(V157,FlowCalNumber,0),1,1), (INDEX(FlowCalConstA,MATCH(V157,FlowCalNumber,0),1,1)*X169^INDEX(FlowCalConstB,MATCH(V157,FlowCalNumber,0),1,1)&lt;INDEX(FlowCalHighSetting,MATCH(V157,FlowCalNumber,0),1,1))),INDEX(FlowCalConstA,MATCH(V157,FlowCalNumber,0),1,1)*X169^INDEX(FlowCalConstB,MATCH(V157,FlowCalNumber,0),1,1)," ")</f>
        <v>#N/A</v>
      </c>
    </row>
    <row r="170" spans="1:25" s="1215" customFormat="1">
      <c r="A170" s="1208"/>
      <c r="B170" s="1209"/>
      <c r="C170" s="1210"/>
      <c r="D170" s="1211">
        <f>'1% Wind'!$M$94</f>
        <v>1.8</v>
      </c>
      <c r="E170" s="1212"/>
      <c r="F170" s="1212"/>
      <c r="G170" s="1213" t="e">
        <f ca="1">IF(I157=1,$G169,MAX(G169/D169*D170,2))</f>
        <v>#N/A</v>
      </c>
      <c r="H170" s="1214" t="e">
        <f t="shared" ca="1" si="72"/>
        <v>#N/A</v>
      </c>
      <c r="J170" s="1216"/>
      <c r="K170" s="1217">
        <f t="shared" si="73"/>
        <v>1</v>
      </c>
      <c r="L170" s="1218" t="e">
        <f t="shared" ca="1" si="74"/>
        <v>#N/A</v>
      </c>
      <c r="M170" s="1219" t="e">
        <f ca="1">IF(AND(INDEX(FlowCalConstA,MATCH(J157,FlowCalNumber,0),1,1)*L170^INDEX(FlowCalConstB,MATCH(J157,FlowCalNumber,0),1,1)&gt;INDEX(FlowCalLowSetting,MATCH(J157,FlowCalNumber,0),1,1), (INDEX(FlowCalConstA,MATCH(J157,FlowCalNumber,0),1,1)*L170^INDEX(FlowCalConstB,MATCH(J157,FlowCalNumber,0),1,1)&lt;INDEX(FlowCalHighSetting,MATCH(J157,FlowCalNumber,0),1,1))),INDEX(FlowCalConstA,MATCH(J157,FlowCalNumber,0),1,1)*L170^INDEX(FlowCalConstB,MATCH(J157,FlowCalNumber,0),1,1)," ")</f>
        <v>#N/A</v>
      </c>
      <c r="N170" s="1216"/>
      <c r="O170" s="1217">
        <f t="shared" si="75"/>
        <v>1</v>
      </c>
      <c r="P170" s="1218" t="e">
        <f t="shared" ca="1" si="76"/>
        <v>#N/A</v>
      </c>
      <c r="Q170" s="1220" t="e">
        <f ca="1">IF(AND(INDEX(FlowCalConstA,MATCH(N157,FlowCalNumber,0),1,1)*P170^INDEX(FlowCalConstB,MATCH(N157,FlowCalNumber,0),1,1)&gt;INDEX(FlowCalLowSetting,MATCH(N157,FlowCalNumber,0),1,1), (INDEX(FlowCalConstA,MATCH(N157,FlowCalNumber,0),1,1)*P170^INDEX(FlowCalConstB,MATCH(N157,FlowCalNumber,0),1,1)&lt;INDEX(FlowCalHighSetting,MATCH(N157,FlowCalNumber,0),1,1))),INDEX(FlowCalConstA,MATCH(N157,FlowCalNumber,0),1,1)*P170^INDEX(FlowCalConstB,MATCH(N157,FlowCalNumber,0),1,1)," ")</f>
        <v>#N/A</v>
      </c>
      <c r="R170" s="1216"/>
      <c r="S170" s="1217">
        <f t="shared" si="77"/>
        <v>0.5</v>
      </c>
      <c r="T170" s="1218" t="e">
        <f t="shared" ca="1" si="78"/>
        <v>#N/A</v>
      </c>
      <c r="U170" s="1219" t="e">
        <f ca="1">IF(AND(INDEX(FlowCalConstA,MATCH(R157,FlowCalNumber,0),1,1)*T170^INDEX(FlowCalConstB,MATCH(R157,FlowCalNumber,0),1,1)&gt;INDEX(FlowCalLowSetting,MATCH(R157,FlowCalNumber,0),1,1), (INDEX(FlowCalConstA,MATCH(R157,FlowCalNumber,0),1,1)*T170^INDEX(FlowCalConstB,MATCH(R157,FlowCalNumber,0),1,1)&lt;INDEX(FlowCalHighSetting,MATCH(R157,FlowCalNumber,0),1,1))),INDEX(FlowCalConstA,MATCH(R157,FlowCalNumber,0),1,1)*T170^INDEX(FlowCalConstB,MATCH(R157,FlowCalNumber,0),1,1)," ")</f>
        <v>#N/A</v>
      </c>
      <c r="V170" s="1216"/>
      <c r="W170" s="1217">
        <f t="shared" si="79"/>
        <v>0.5</v>
      </c>
      <c r="X170" s="1218" t="e">
        <f t="shared" ca="1" si="80"/>
        <v>#N/A</v>
      </c>
      <c r="Y170" s="1220" t="e">
        <f ca="1">IF(AND(INDEX(FlowCalConstA,MATCH(V157,FlowCalNumber,0),1,1)*X170^INDEX(FlowCalConstB,MATCH(V157,FlowCalNumber,0),1,1)&gt;INDEX(FlowCalLowSetting,MATCH(V157,FlowCalNumber,0),1,1), (INDEX(FlowCalConstA,MATCH(V157,FlowCalNumber,0),1,1)*X170^INDEX(FlowCalConstB,MATCH(V157,FlowCalNumber,0),1,1)&lt;INDEX(FlowCalHighSetting,MATCH(V157,FlowCalNumber,0),1,1))),INDEX(FlowCalConstA,MATCH(V157,FlowCalNumber,0),1,1)*X170^INDEX(FlowCalConstB,MATCH(V157,FlowCalNumber,0),1,1)," ")</f>
        <v>#N/A</v>
      </c>
    </row>
    <row r="171" spans="1:25">
      <c r="A171" s="412"/>
      <c r="B171" s="2"/>
      <c r="C171" s="235"/>
      <c r="D171" s="24">
        <f>'1% Wind'!$M$95</f>
        <v>1.3</v>
      </c>
      <c r="E171" s="90"/>
      <c r="F171" s="90"/>
      <c r="G171" s="79" t="e">
        <f ca="1">IF(I157=1,$G170,MAX(G170/D170*D171,2))</f>
        <v>#N/A</v>
      </c>
      <c r="H171" s="121" t="e">
        <f t="shared" ca="1" si="72"/>
        <v>#N/A</v>
      </c>
      <c r="J171" s="377"/>
      <c r="K171" s="242">
        <f t="shared" si="73"/>
        <v>1</v>
      </c>
      <c r="L171" s="241" t="e">
        <f t="shared" ca="1" si="74"/>
        <v>#N/A</v>
      </c>
      <c r="M171" s="243" t="e">
        <f ca="1">IF(AND(INDEX(FlowCalConstA,MATCH(J157,FlowCalNumber,0),1,1)*L171^INDEX(FlowCalConstB,MATCH(J157,FlowCalNumber,0),1,1)&gt;INDEX(FlowCalLowSetting,MATCH(J157,FlowCalNumber,0),1,1), (INDEX(FlowCalConstA,MATCH(J157,FlowCalNumber,0),1,1)*L171^INDEX(FlowCalConstB,MATCH(J157,FlowCalNumber,0),1,1)&lt;INDEX(FlowCalHighSetting,MATCH(J157,FlowCalNumber,0),1,1))),INDEX(FlowCalConstA,MATCH(J157,FlowCalNumber,0),1,1)*L171^INDEX(FlowCalConstB,MATCH(J157,FlowCalNumber,0),1,1)," ")</f>
        <v>#N/A</v>
      </c>
      <c r="N171" s="377"/>
      <c r="O171" s="242">
        <f t="shared" si="75"/>
        <v>1</v>
      </c>
      <c r="P171" s="241" t="e">
        <f t="shared" ca="1" si="76"/>
        <v>#N/A</v>
      </c>
      <c r="Q171" s="244" t="e">
        <f ca="1">IF(AND(INDEX(FlowCalConstA,MATCH(N157,FlowCalNumber,0),1,1)*P171^INDEX(FlowCalConstB,MATCH(N157,FlowCalNumber,0),1,1)&gt;INDEX(FlowCalLowSetting,MATCH(N157,FlowCalNumber,0),1,1), (INDEX(FlowCalConstA,MATCH(N157,FlowCalNumber,0),1,1)*P171^INDEX(FlowCalConstB,MATCH(N157,FlowCalNumber,0),1,1)&lt;INDEX(FlowCalHighSetting,MATCH(N157,FlowCalNumber,0),1,1))),INDEX(FlowCalConstA,MATCH(N157,FlowCalNumber,0),1,1)*P171^INDEX(FlowCalConstB,MATCH(N157,FlowCalNumber,0),1,1)," ")</f>
        <v>#N/A</v>
      </c>
      <c r="R171" s="377"/>
      <c r="S171" s="242">
        <f t="shared" si="77"/>
        <v>0.5</v>
      </c>
      <c r="T171" s="241" t="e">
        <f t="shared" ca="1" si="78"/>
        <v>#N/A</v>
      </c>
      <c r="U171" s="243" t="e">
        <f ca="1">IF(AND(INDEX(FlowCalConstA,MATCH(R157,FlowCalNumber,0),1,1)*T171^INDEX(FlowCalConstB,MATCH(R157,FlowCalNumber,0),1,1)&gt;INDEX(FlowCalLowSetting,MATCH(R157,FlowCalNumber,0),1,1), (INDEX(FlowCalConstA,MATCH(R157,FlowCalNumber,0),1,1)*T171^INDEX(FlowCalConstB,MATCH(R157,FlowCalNumber,0),1,1)&lt;INDEX(FlowCalHighSetting,MATCH(R157,FlowCalNumber,0),1,1))),INDEX(FlowCalConstA,MATCH(R157,FlowCalNumber,0),1,1)*T171^INDEX(FlowCalConstB,MATCH(R157,FlowCalNumber,0),1,1)," ")</f>
        <v>#N/A</v>
      </c>
      <c r="V171" s="377"/>
      <c r="W171" s="242">
        <f t="shared" si="79"/>
        <v>0.5</v>
      </c>
      <c r="X171" s="241" t="e">
        <f t="shared" ca="1" si="80"/>
        <v>#N/A</v>
      </c>
      <c r="Y171" s="244" t="e">
        <f ca="1">IF(AND(INDEX(FlowCalConstA,MATCH(V157,FlowCalNumber,0),1,1)*X171^INDEX(FlowCalConstB,MATCH(V157,FlowCalNumber,0),1,1)&gt;INDEX(FlowCalLowSetting,MATCH(V157,FlowCalNumber,0),1,1), (INDEX(FlowCalConstA,MATCH(V157,FlowCalNumber,0),1,1)*X171^INDEX(FlowCalConstB,MATCH(V157,FlowCalNumber,0),1,1)&lt;INDEX(FlowCalHighSetting,MATCH(V157,FlowCalNumber,0),1,1))),INDEX(FlowCalConstA,MATCH(V157,FlowCalNumber,0),1,1)*X171^INDEX(FlowCalConstB,MATCH(V157,FlowCalNumber,0),1,1)," ")</f>
        <v>#N/A</v>
      </c>
    </row>
    <row r="172" spans="1:25" s="1215" customFormat="1">
      <c r="A172" s="1208"/>
      <c r="B172" s="1209"/>
      <c r="C172" s="1210"/>
      <c r="D172" s="1211">
        <f>'1% Wind'!$M$96</f>
        <v>1</v>
      </c>
      <c r="E172" s="1212"/>
      <c r="F172" s="1212"/>
      <c r="G172" s="1213" t="e">
        <f ca="1">IF(I157=1,$G171,MAX(G171/D171*D172,2))</f>
        <v>#N/A</v>
      </c>
      <c r="H172" s="1214" t="e">
        <f t="shared" ca="1" si="72"/>
        <v>#N/A</v>
      </c>
      <c r="J172" s="1216"/>
      <c r="K172" s="1217">
        <f t="shared" si="73"/>
        <v>1</v>
      </c>
      <c r="L172" s="1218" t="e">
        <f t="shared" ca="1" si="74"/>
        <v>#N/A</v>
      </c>
      <c r="M172" s="1219" t="e">
        <f ca="1">IF(AND(INDEX(FlowCalConstA,MATCH(J157,FlowCalNumber,0),1,1)*L172^INDEX(FlowCalConstB,MATCH(J157,FlowCalNumber,0),1,1)&gt;INDEX(FlowCalLowSetting,MATCH(J157,FlowCalNumber,0),1,1), (INDEX(FlowCalConstA,MATCH(J157,FlowCalNumber,0),1,1)*L172^INDEX(FlowCalConstB,MATCH(J157,FlowCalNumber,0),1,1)&lt;INDEX(FlowCalHighSetting,MATCH(J157,FlowCalNumber,0),1,1))),INDEX(FlowCalConstA,MATCH(J157,FlowCalNumber,0),1,1)*L172^INDEX(FlowCalConstB,MATCH(J157,FlowCalNumber,0),1,1)," ")</f>
        <v>#N/A</v>
      </c>
      <c r="N172" s="1216"/>
      <c r="O172" s="1217">
        <f t="shared" si="75"/>
        <v>1</v>
      </c>
      <c r="P172" s="1218" t="e">
        <f t="shared" ca="1" si="76"/>
        <v>#N/A</v>
      </c>
      <c r="Q172" s="1220" t="e">
        <f ca="1">IF(AND(INDEX(FlowCalConstA,MATCH(N157,FlowCalNumber,0),1,1)*P172^INDEX(FlowCalConstB,MATCH(N157,FlowCalNumber,0),1,1)&gt;INDEX(FlowCalLowSetting,MATCH(N157,FlowCalNumber,0),1,1), (INDEX(FlowCalConstA,MATCH(N157,FlowCalNumber,0),1,1)*P172^INDEX(FlowCalConstB,MATCH(N157,FlowCalNumber,0),1,1)&lt;INDEX(FlowCalHighSetting,MATCH(N157,FlowCalNumber,0),1,1))),INDEX(FlowCalConstA,MATCH(N157,FlowCalNumber,0),1,1)*P172^INDEX(FlowCalConstB,MATCH(N157,FlowCalNumber,0),1,1)," ")</f>
        <v>#N/A</v>
      </c>
      <c r="R172" s="1216"/>
      <c r="S172" s="1217">
        <f t="shared" si="77"/>
        <v>0.5</v>
      </c>
      <c r="T172" s="1218" t="e">
        <f t="shared" ca="1" si="78"/>
        <v>#N/A</v>
      </c>
      <c r="U172" s="1219" t="e">
        <f ca="1">IF(AND(INDEX(FlowCalConstA,MATCH(R157,FlowCalNumber,0),1,1)*T172^INDEX(FlowCalConstB,MATCH(R157,FlowCalNumber,0),1,1)&gt;INDEX(FlowCalLowSetting,MATCH(R157,FlowCalNumber,0),1,1), (INDEX(FlowCalConstA,MATCH(R157,FlowCalNumber,0),1,1)*T172^INDEX(FlowCalConstB,MATCH(R157,FlowCalNumber,0),1,1)&lt;INDEX(FlowCalHighSetting,MATCH(R157,FlowCalNumber,0),1,1))),INDEX(FlowCalConstA,MATCH(R157,FlowCalNumber,0),1,1)*T172^INDEX(FlowCalConstB,MATCH(R157,FlowCalNumber,0),1,1)," ")</f>
        <v>#N/A</v>
      </c>
      <c r="V172" s="1216"/>
      <c r="W172" s="1217">
        <f t="shared" si="79"/>
        <v>0.5</v>
      </c>
      <c r="X172" s="1218" t="e">
        <f t="shared" ca="1" si="80"/>
        <v>#N/A</v>
      </c>
      <c r="Y172" s="1220" t="e">
        <f ca="1">IF(AND(INDEX(FlowCalConstA,MATCH(V157,FlowCalNumber,0),1,1)*X172^INDEX(FlowCalConstB,MATCH(V157,FlowCalNumber,0),1,1)&gt;INDEX(FlowCalLowSetting,MATCH(V157,FlowCalNumber,0),1,1), (INDEX(FlowCalConstA,MATCH(V157,FlowCalNumber,0),1,1)*X172^INDEX(FlowCalConstB,MATCH(V157,FlowCalNumber,0),1,1)&lt;INDEX(FlowCalHighSetting,MATCH(V157,FlowCalNumber,0),1,1))),INDEX(FlowCalConstA,MATCH(V157,FlowCalNumber,0),1,1)*X172^INDEX(FlowCalConstB,MATCH(V157,FlowCalNumber,0),1,1)," ")</f>
        <v>#N/A</v>
      </c>
    </row>
    <row r="173" spans="1:25">
      <c r="A173" s="90"/>
      <c r="C173" s="235"/>
      <c r="E173" s="90"/>
      <c r="F173" s="90"/>
      <c r="G173" s="33"/>
      <c r="J173" s="377"/>
      <c r="M173" s="243"/>
      <c r="N173" s="377"/>
      <c r="Q173" s="244"/>
      <c r="R173" s="377"/>
      <c r="U173" s="243"/>
      <c r="V173" s="377"/>
      <c r="Y173" s="244"/>
    </row>
    <row r="174" spans="1:25">
      <c r="A174" s="639">
        <f>A157+1</f>
        <v>10</v>
      </c>
      <c r="B174" s="42" t="e">
        <f>INDEX(SourceID,MATCH($A174,SourceNumber,0),1,1)</f>
        <v>#N/A</v>
      </c>
      <c r="C174" s="354" t="e">
        <f>INDEX(SourceExitDiameter,MATCH($A174,SourceNumber,0),1,1)*3.28*12</f>
        <v>#N/A</v>
      </c>
      <c r="D174" s="24" t="str">
        <f>UAnem1percent</f>
        <v>1% Wind</v>
      </c>
      <c r="E174" s="85" t="e">
        <f ca="1">INDIRECT(ADDRESS(53,6,1,,$A174))</f>
        <v>#N/A</v>
      </c>
      <c r="F174" s="626" t="e">
        <f ca="1">(ROUND((INDIRECT(ADDRESS(15,7,1,,$A174))*3.28*12*32),0)&amp;"/32")</f>
        <v>#N/A</v>
      </c>
      <c r="G174" s="125" t="e">
        <f ca="1">INDIRECT(ADDRESS(29,7,1,,$A174))</f>
        <v>#N/A</v>
      </c>
      <c r="H174" s="24" t="e">
        <f ca="1">INDIRECT(ADDRESS(19,7,1,,$A174))*100^3</f>
        <v>#N/A</v>
      </c>
      <c r="I174" s="24" t="e">
        <f ca="1">INDIRECT(ADDRESS(53,7,1,,$A174))</f>
        <v>#N/A</v>
      </c>
      <c r="J174" s="20" t="str">
        <f>K$15&amp;$H$6&amp;J$6</f>
        <v>100AirPick a Tunnel</v>
      </c>
      <c r="K174" t="e">
        <f>INDEX(FlowCalGasMixture,MATCH(J174,FlowCalNumber,0),1,1)</f>
        <v>#N/A</v>
      </c>
      <c r="M174" s="355" t="e">
        <f>INDEX(FlowCalDevice,MATCH(J174,FlowCalNumber,0),1,1)</f>
        <v>#N/A</v>
      </c>
      <c r="N174" s="20" t="str">
        <f>O$15&amp;$H$6&amp;N$6</f>
        <v>100AirPick a Tunnel</v>
      </c>
      <c r="O174" t="e">
        <f>INDEX(FlowCalGasMixture,MATCH(N174,FlowCalNumber,0),1,1)</f>
        <v>#N/A</v>
      </c>
      <c r="Q174" s="355" t="e">
        <f>INDEX(FlowCalDevice,MATCH(N174,FlowCalNumber,0),1,1)</f>
        <v>#N/A</v>
      </c>
      <c r="R174" s="20" t="str">
        <f>S$15&amp;$H$6&amp;R$6</f>
        <v>100AirPick a Tunnel</v>
      </c>
      <c r="S174" t="e">
        <f>INDEX(FlowCalGasMixture,MATCH(R174,FlowCalNumber,0),1,1)</f>
        <v>#N/A</v>
      </c>
      <c r="U174" s="944" t="e">
        <f>INDEX(FlowCalDevice,MATCH(R174,FlowCalNumber,0),1,1)</f>
        <v>#N/A</v>
      </c>
      <c r="V174" s="946" t="str">
        <f>W$15&amp;$H$6&amp;V$6</f>
        <v>100AirPick a Tunnel</v>
      </c>
      <c r="W174" t="e">
        <f>INDEX(FlowCalGasMixture,MATCH(V174,FlowCalNumber,0),1,1)</f>
        <v>#N/A</v>
      </c>
      <c r="Y174" s="982" t="e">
        <f>INDEX(FlowCalDevice,MATCH(V174,FlowCalNumber,0),1,1)</f>
        <v>#N/A</v>
      </c>
    </row>
    <row r="175" spans="1:25" s="1215" customFormat="1">
      <c r="A175" s="1208"/>
      <c r="B175" s="1209"/>
      <c r="C175" s="1210"/>
      <c r="D175" s="1211">
        <f>'1% Wind'!$M$82</f>
        <v>27</v>
      </c>
      <c r="E175" s="1212"/>
      <c r="F175" s="1212"/>
      <c r="G175" s="1213" t="e">
        <f ca="1">IF(I174=1,$G174,MAX(G174/D174*D175,2))</f>
        <v>#N/A</v>
      </c>
      <c r="H175" s="1214" t="e">
        <f t="shared" ref="H175:H189" ca="1" si="81">H174*(D174/D175)*(G175/G174)</f>
        <v>#N/A</v>
      </c>
      <c r="J175" s="1216"/>
      <c r="K175" s="1221">
        <f>K$16/100</f>
        <v>1</v>
      </c>
      <c r="L175" s="1218" t="e">
        <f ca="1">K175*$H175</f>
        <v>#N/A</v>
      </c>
      <c r="M175" s="1219" t="e">
        <f ca="1">IF(AND(INDEX(FlowCalConstA,MATCH(J174,FlowCalNumber,0),1,1)*L175^INDEX(FlowCalConstB,MATCH(J174,FlowCalNumber,0),1,1)&gt;INDEX(FlowCalLowSetting,MATCH(J174,FlowCalNumber,0),1,1), (INDEX(FlowCalConstA,MATCH(J174,FlowCalNumber,0),1,1)*L175^INDEX(FlowCalConstB,MATCH(J174,FlowCalNumber,0),1,1)&lt;INDEX(FlowCalHighSetting,MATCH(J174,FlowCalNumber,0),1,1))),INDEX(FlowCalConstA,MATCH(J174,FlowCalNumber,0),1,1)*L175^INDEX(FlowCalConstB,MATCH(J174,FlowCalNumber,0),1,1)," ")</f>
        <v>#N/A</v>
      </c>
      <c r="N175" s="1216"/>
      <c r="O175" s="1221">
        <f>O$16/100</f>
        <v>1</v>
      </c>
      <c r="P175" s="1218" t="e">
        <f ca="1">O175*$H175</f>
        <v>#N/A</v>
      </c>
      <c r="Q175" s="1220" t="e">
        <f ca="1">IF(AND(INDEX(FlowCalConstA,MATCH(N174,FlowCalNumber,0),1,1)*P175^INDEX(FlowCalConstB,MATCH(N174,FlowCalNumber,0),1,1)&gt;INDEX(FlowCalLowSetting,MATCH(N174,FlowCalNumber,0),1,1), (INDEX(FlowCalConstA,MATCH(N174,FlowCalNumber,0),1,1)*P175^INDEX(FlowCalConstB,MATCH(N174,FlowCalNumber,0),1,1)&lt;INDEX(FlowCalHighSetting,MATCH(N174,FlowCalNumber,0),1,1))),INDEX(FlowCalConstA,MATCH(N174,FlowCalNumber,0),1,1)*P175^INDEX(FlowCalConstB,MATCH(N174,FlowCalNumber,0),1,1)," ")</f>
        <v>#N/A</v>
      </c>
      <c r="R175" s="1216"/>
      <c r="S175" s="1221">
        <f>S$16/100</f>
        <v>0.5</v>
      </c>
      <c r="T175" s="1218" t="e">
        <f ca="1">S175*$H175</f>
        <v>#N/A</v>
      </c>
      <c r="U175" s="1219" t="e">
        <f ca="1">IF(AND(INDEX(FlowCalConstA,MATCH(R174,FlowCalNumber,0),1,1)*T175^INDEX(FlowCalConstB,MATCH(R174,FlowCalNumber,0),1,1)&gt;INDEX(FlowCalLowSetting,MATCH(R174,FlowCalNumber,0),1,1), (INDEX(FlowCalConstA,MATCH(R174,FlowCalNumber,0),1,1)*T175^INDEX(FlowCalConstB,MATCH(R174,FlowCalNumber,0),1,1)&lt;INDEX(FlowCalHighSetting,MATCH(R174,FlowCalNumber,0),1,1))),INDEX(FlowCalConstA,MATCH(R174,FlowCalNumber,0),1,1)*T175^INDEX(FlowCalConstB,MATCH(R174,FlowCalNumber,0),1,1)," ")</f>
        <v>#N/A</v>
      </c>
      <c r="V175" s="1216"/>
      <c r="W175" s="1221">
        <f>W$16/100</f>
        <v>0.5</v>
      </c>
      <c r="X175" s="1218" t="e">
        <f ca="1">W175*$H175</f>
        <v>#N/A</v>
      </c>
      <c r="Y175" s="1220" t="e">
        <f ca="1">IF(AND(INDEX(FlowCalConstA,MATCH(V174,FlowCalNumber,0),1,1)*X175^INDEX(FlowCalConstB,MATCH(V174,FlowCalNumber,0),1,1)&gt;INDEX(FlowCalLowSetting,MATCH(V174,FlowCalNumber,0),1,1), (INDEX(FlowCalConstA,MATCH(V174,FlowCalNumber,0),1,1)*X175^INDEX(FlowCalConstB,MATCH(V174,FlowCalNumber,0),1,1)&lt;INDEX(FlowCalHighSetting,MATCH(V174,FlowCalNumber,0),1,1))),INDEX(FlowCalConstA,MATCH(V174,FlowCalNumber,0),1,1)*X175^INDEX(FlowCalConstB,MATCH(V174,FlowCalNumber,0),1,1)," ")</f>
        <v>#N/A</v>
      </c>
    </row>
    <row r="176" spans="1:25">
      <c r="A176" s="412"/>
      <c r="B176" s="2"/>
      <c r="C176" s="235"/>
      <c r="D176" s="24">
        <f>'1% Wind'!$M$83</f>
        <v>23.5</v>
      </c>
      <c r="E176" s="90"/>
      <c r="F176" s="90"/>
      <c r="G176" s="79" t="e">
        <f ca="1">IF(I174=1,$G175,MAX(G175/D175*D176,2))</f>
        <v>#N/A</v>
      </c>
      <c r="H176" s="121" t="e">
        <f t="shared" ca="1" si="81"/>
        <v>#N/A</v>
      </c>
      <c r="J176" s="377"/>
      <c r="K176" s="242">
        <f t="shared" ref="K176:K189" si="82">K175</f>
        <v>1</v>
      </c>
      <c r="L176" s="241" t="e">
        <f t="shared" ref="L176:L189" ca="1" si="83">K176*$H176</f>
        <v>#N/A</v>
      </c>
      <c r="M176" s="243" t="e">
        <f ca="1">IF(AND(INDEX(FlowCalConstA,MATCH(J174,FlowCalNumber,0),1,1)*L176^INDEX(FlowCalConstB,MATCH(J174,FlowCalNumber,0),1,1)&gt;INDEX(FlowCalLowSetting,MATCH(J174,FlowCalNumber,0),1,1), (INDEX(FlowCalConstA,MATCH(J174,FlowCalNumber,0),1,1)*L176^INDEX(FlowCalConstB,MATCH(J174,FlowCalNumber,0),1,1)&lt;INDEX(FlowCalHighSetting,MATCH(J174,FlowCalNumber,0),1,1))),INDEX(FlowCalConstA,MATCH(J174,FlowCalNumber,0),1,1)*L176^INDEX(FlowCalConstB,MATCH(J174,FlowCalNumber,0),1,1)," ")</f>
        <v>#N/A</v>
      </c>
      <c r="N176" s="377"/>
      <c r="O176" s="242">
        <f t="shared" ref="O176:O189" si="84">O175</f>
        <v>1</v>
      </c>
      <c r="P176" s="241" t="e">
        <f t="shared" ref="P176:P189" ca="1" si="85">O176*$H176</f>
        <v>#N/A</v>
      </c>
      <c r="Q176" s="244" t="e">
        <f ca="1">IF(AND(INDEX(FlowCalConstA,MATCH(N174,FlowCalNumber,0),1,1)*P176^INDEX(FlowCalConstB,MATCH(N174,FlowCalNumber,0),1,1)&gt;INDEX(FlowCalLowSetting,MATCH(N174,FlowCalNumber,0),1,1), (INDEX(FlowCalConstA,MATCH(N174,FlowCalNumber,0),1,1)*P176^INDEX(FlowCalConstB,MATCH(N174,FlowCalNumber,0),1,1)&lt;INDEX(FlowCalHighSetting,MATCH(N174,FlowCalNumber,0),1,1))),INDEX(FlowCalConstA,MATCH(N174,FlowCalNumber,0),1,1)*P176^INDEX(FlowCalConstB,MATCH(N174,FlowCalNumber,0),1,1)," ")</f>
        <v>#N/A</v>
      </c>
      <c r="R176" s="377"/>
      <c r="S176" s="242">
        <f t="shared" ref="S176:S189" si="86">S175</f>
        <v>0.5</v>
      </c>
      <c r="T176" s="241" t="e">
        <f t="shared" ref="T176:T189" ca="1" si="87">S176*$H176</f>
        <v>#N/A</v>
      </c>
      <c r="U176" s="243" t="e">
        <f ca="1">IF(AND(INDEX(FlowCalConstA,MATCH(R174,FlowCalNumber,0),1,1)*T176^INDEX(FlowCalConstB,MATCH(R174,FlowCalNumber,0),1,1)&gt;INDEX(FlowCalLowSetting,MATCH(R174,FlowCalNumber,0),1,1), (INDEX(FlowCalConstA,MATCH(R174,FlowCalNumber,0),1,1)*T176^INDEX(FlowCalConstB,MATCH(R174,FlowCalNumber,0),1,1)&lt;INDEX(FlowCalHighSetting,MATCH(R174,FlowCalNumber,0),1,1))),INDEX(FlowCalConstA,MATCH(R174,FlowCalNumber,0),1,1)*T176^INDEX(FlowCalConstB,MATCH(R174,FlowCalNumber,0),1,1)," ")</f>
        <v>#N/A</v>
      </c>
      <c r="V176" s="377"/>
      <c r="W176" s="242">
        <f t="shared" ref="W176:W189" si="88">W175</f>
        <v>0.5</v>
      </c>
      <c r="X176" s="241" t="e">
        <f t="shared" ref="X176:X189" ca="1" si="89">W176*$H176</f>
        <v>#N/A</v>
      </c>
      <c r="Y176" s="244" t="e">
        <f ca="1">IF(AND(INDEX(FlowCalConstA,MATCH(V174,FlowCalNumber,0),1,1)*X176^INDEX(FlowCalConstB,MATCH(V174,FlowCalNumber,0),1,1)&gt;INDEX(FlowCalLowSetting,MATCH(V174,FlowCalNumber,0),1,1), (INDEX(FlowCalConstA,MATCH(V174,FlowCalNumber,0),1,1)*X176^INDEX(FlowCalConstB,MATCH(V174,FlowCalNumber,0),1,1)&lt;INDEX(FlowCalHighSetting,MATCH(V174,FlowCalNumber,0),1,1))),INDEX(FlowCalConstA,MATCH(V174,FlowCalNumber,0),1,1)*X176^INDEX(FlowCalConstB,MATCH(V174,FlowCalNumber,0),1,1)," ")</f>
        <v>#N/A</v>
      </c>
    </row>
    <row r="177" spans="1:27" s="1215" customFormat="1">
      <c r="A177" s="1208"/>
      <c r="B177" s="1209"/>
      <c r="C177" s="1210"/>
      <c r="D177" s="1211">
        <f>'1% Wind'!$M$84</f>
        <v>20.5</v>
      </c>
      <c r="E177" s="1212"/>
      <c r="F177" s="1212"/>
      <c r="G177" s="1213" t="e">
        <f ca="1">IF(I174=1,$G176,MAX(G176/D176*D177,2))</f>
        <v>#N/A</v>
      </c>
      <c r="H177" s="1214" t="e">
        <f t="shared" ca="1" si="81"/>
        <v>#N/A</v>
      </c>
      <c r="J177" s="1216"/>
      <c r="K177" s="1217">
        <f t="shared" si="82"/>
        <v>1</v>
      </c>
      <c r="L177" s="1218" t="e">
        <f t="shared" ca="1" si="83"/>
        <v>#N/A</v>
      </c>
      <c r="M177" s="1219" t="e">
        <f ca="1">IF(AND(INDEX(FlowCalConstA,MATCH(J174,FlowCalNumber,0),1,1)*L177^INDEX(FlowCalConstB,MATCH(J174,FlowCalNumber,0),1,1)&gt;INDEX(FlowCalLowSetting,MATCH(J174,FlowCalNumber,0),1,1), (INDEX(FlowCalConstA,MATCH(J174,FlowCalNumber,0),1,1)*L177^INDEX(FlowCalConstB,MATCH(J174,FlowCalNumber,0),1,1)&lt;INDEX(FlowCalHighSetting,MATCH(J174,FlowCalNumber,0),1,1))),INDEX(FlowCalConstA,MATCH(J174,FlowCalNumber,0),1,1)*L177^INDEX(FlowCalConstB,MATCH(J174,FlowCalNumber,0),1,1)," ")</f>
        <v>#N/A</v>
      </c>
      <c r="N177" s="1216"/>
      <c r="O177" s="1217">
        <f t="shared" si="84"/>
        <v>1</v>
      </c>
      <c r="P177" s="1218" t="e">
        <f t="shared" ca="1" si="85"/>
        <v>#N/A</v>
      </c>
      <c r="Q177" s="1220" t="e">
        <f ca="1">IF(AND(INDEX(FlowCalConstA,MATCH(N174,FlowCalNumber,0),1,1)*P177^INDEX(FlowCalConstB,MATCH(N174,FlowCalNumber,0),1,1)&gt;INDEX(FlowCalLowSetting,MATCH(N174,FlowCalNumber,0),1,1), (INDEX(FlowCalConstA,MATCH(N174,FlowCalNumber,0),1,1)*P177^INDEX(FlowCalConstB,MATCH(N174,FlowCalNumber,0),1,1)&lt;INDEX(FlowCalHighSetting,MATCH(N174,FlowCalNumber,0),1,1))),INDEX(FlowCalConstA,MATCH(N174,FlowCalNumber,0),1,1)*P177^INDEX(FlowCalConstB,MATCH(N174,FlowCalNumber,0),1,1)," ")</f>
        <v>#N/A</v>
      </c>
      <c r="R177" s="1216"/>
      <c r="S177" s="1217">
        <f t="shared" si="86"/>
        <v>0.5</v>
      </c>
      <c r="T177" s="1218" t="e">
        <f t="shared" ca="1" si="87"/>
        <v>#N/A</v>
      </c>
      <c r="U177" s="1219" t="e">
        <f ca="1">IF(AND(INDEX(FlowCalConstA,MATCH(R174,FlowCalNumber,0),1,1)*T177^INDEX(FlowCalConstB,MATCH(R174,FlowCalNumber,0),1,1)&gt;INDEX(FlowCalLowSetting,MATCH(R174,FlowCalNumber,0),1,1), (INDEX(FlowCalConstA,MATCH(R174,FlowCalNumber,0),1,1)*T177^INDEX(FlowCalConstB,MATCH(R174,FlowCalNumber,0),1,1)&lt;INDEX(FlowCalHighSetting,MATCH(R174,FlowCalNumber,0),1,1))),INDEX(FlowCalConstA,MATCH(R174,FlowCalNumber,0),1,1)*T177^INDEX(FlowCalConstB,MATCH(R174,FlowCalNumber,0),1,1)," ")</f>
        <v>#N/A</v>
      </c>
      <c r="V177" s="1216"/>
      <c r="W177" s="1217">
        <f t="shared" si="88"/>
        <v>0.5</v>
      </c>
      <c r="X177" s="1218" t="e">
        <f t="shared" ca="1" si="89"/>
        <v>#N/A</v>
      </c>
      <c r="Y177" s="1220" t="e">
        <f ca="1">IF(AND(INDEX(FlowCalConstA,MATCH(V174,FlowCalNumber,0),1,1)*X177^INDEX(FlowCalConstB,MATCH(V174,FlowCalNumber,0),1,1)&gt;INDEX(FlowCalLowSetting,MATCH(V174,FlowCalNumber,0),1,1), (INDEX(FlowCalConstA,MATCH(V174,FlowCalNumber,0),1,1)*X177^INDEX(FlowCalConstB,MATCH(V174,FlowCalNumber,0),1,1)&lt;INDEX(FlowCalHighSetting,MATCH(V174,FlowCalNumber,0),1,1))),INDEX(FlowCalConstA,MATCH(V174,FlowCalNumber,0),1,1)*X177^INDEX(FlowCalConstB,MATCH(V174,FlowCalNumber,0),1,1)," ")</f>
        <v>#N/A</v>
      </c>
    </row>
    <row r="178" spans="1:27">
      <c r="A178" s="412"/>
      <c r="B178" s="2"/>
      <c r="C178" s="235"/>
      <c r="D178" s="24">
        <f>'1% Wind'!$M$85</f>
        <v>17.8</v>
      </c>
      <c r="E178" s="90"/>
      <c r="F178" s="90"/>
      <c r="G178" s="79" t="e">
        <f ca="1">IF(I174=1,$G177,MAX(G177/D177*D178,2))</f>
        <v>#N/A</v>
      </c>
      <c r="H178" s="121" t="e">
        <f t="shared" ca="1" si="81"/>
        <v>#N/A</v>
      </c>
      <c r="J178" s="377"/>
      <c r="K178" s="242">
        <f t="shared" si="82"/>
        <v>1</v>
      </c>
      <c r="L178" s="241" t="e">
        <f t="shared" ca="1" si="83"/>
        <v>#N/A</v>
      </c>
      <c r="M178" s="243" t="e">
        <f ca="1">IF(AND(INDEX(FlowCalConstA,MATCH(J174,FlowCalNumber,0),1,1)*L178^INDEX(FlowCalConstB,MATCH(J174,FlowCalNumber,0),1,1)&gt;INDEX(FlowCalLowSetting,MATCH(J174,FlowCalNumber,0),1,1), (INDEX(FlowCalConstA,MATCH(J174,FlowCalNumber,0),1,1)*L178^INDEX(FlowCalConstB,MATCH(J174,FlowCalNumber,0),1,1)&lt;INDEX(FlowCalHighSetting,MATCH(J174,FlowCalNumber,0),1,1))),INDEX(FlowCalConstA,MATCH(J174,FlowCalNumber,0),1,1)*L178^INDEX(FlowCalConstB,MATCH(J174,FlowCalNumber,0),1,1)," ")</f>
        <v>#N/A</v>
      </c>
      <c r="N178" s="377"/>
      <c r="O178" s="242">
        <f t="shared" si="84"/>
        <v>1</v>
      </c>
      <c r="P178" s="241" t="e">
        <f t="shared" ca="1" si="85"/>
        <v>#N/A</v>
      </c>
      <c r="Q178" s="244" t="e">
        <f ca="1">IF(AND(INDEX(FlowCalConstA,MATCH(N174,FlowCalNumber,0),1,1)*P178^INDEX(FlowCalConstB,MATCH(N174,FlowCalNumber,0),1,1)&gt;INDEX(FlowCalLowSetting,MATCH(N174,FlowCalNumber,0),1,1), (INDEX(FlowCalConstA,MATCH(N174,FlowCalNumber,0),1,1)*P178^INDEX(FlowCalConstB,MATCH(N174,FlowCalNumber,0),1,1)&lt;INDEX(FlowCalHighSetting,MATCH(N174,FlowCalNumber,0),1,1))),INDEX(FlowCalConstA,MATCH(N174,FlowCalNumber,0),1,1)*P178^INDEX(FlowCalConstB,MATCH(N174,FlowCalNumber,0),1,1)," ")</f>
        <v>#N/A</v>
      </c>
      <c r="R178" s="377"/>
      <c r="S178" s="242">
        <f t="shared" si="86"/>
        <v>0.5</v>
      </c>
      <c r="T178" s="241" t="e">
        <f t="shared" ca="1" si="87"/>
        <v>#N/A</v>
      </c>
      <c r="U178" s="243" t="e">
        <f ca="1">IF(AND(INDEX(FlowCalConstA,MATCH(R174,FlowCalNumber,0),1,1)*T178^INDEX(FlowCalConstB,MATCH(R174,FlowCalNumber,0),1,1)&gt;INDEX(FlowCalLowSetting,MATCH(R174,FlowCalNumber,0),1,1), (INDEX(FlowCalConstA,MATCH(R174,FlowCalNumber,0),1,1)*T178^INDEX(FlowCalConstB,MATCH(R174,FlowCalNumber,0),1,1)&lt;INDEX(FlowCalHighSetting,MATCH(R174,FlowCalNumber,0),1,1))),INDEX(FlowCalConstA,MATCH(R174,FlowCalNumber,0),1,1)*T178^INDEX(FlowCalConstB,MATCH(R174,FlowCalNumber,0),1,1)," ")</f>
        <v>#N/A</v>
      </c>
      <c r="V178" s="377"/>
      <c r="W178" s="242">
        <f t="shared" si="88"/>
        <v>0.5</v>
      </c>
      <c r="X178" s="241" t="e">
        <f t="shared" ca="1" si="89"/>
        <v>#N/A</v>
      </c>
      <c r="Y178" s="244" t="e">
        <f ca="1">IF(AND(INDEX(FlowCalConstA,MATCH(V174,FlowCalNumber,0),1,1)*X178^INDEX(FlowCalConstB,MATCH(V174,FlowCalNumber,0),1,1)&gt;INDEX(FlowCalLowSetting,MATCH(V174,FlowCalNumber,0),1,1), (INDEX(FlowCalConstA,MATCH(V174,FlowCalNumber,0),1,1)*X178^INDEX(FlowCalConstB,MATCH(V174,FlowCalNumber,0),1,1)&lt;INDEX(FlowCalHighSetting,MATCH(V174,FlowCalNumber,0),1,1))),INDEX(FlowCalConstA,MATCH(V174,FlowCalNumber,0),1,1)*X178^INDEX(FlowCalConstB,MATCH(V174,FlowCalNumber,0),1,1)," ")</f>
        <v>#N/A</v>
      </c>
    </row>
    <row r="179" spans="1:27" s="1215" customFormat="1">
      <c r="A179" s="1208"/>
      <c r="B179" s="1209"/>
      <c r="C179" s="1210"/>
      <c r="D179" s="1211">
        <f>'1% Wind'!$M$86</f>
        <v>15.5</v>
      </c>
      <c r="E179" s="1212"/>
      <c r="F179" s="1212"/>
      <c r="G179" s="1213" t="e">
        <f ca="1">IF(I174=1,$G178,MAX(G178/D178*D179,2))</f>
        <v>#N/A</v>
      </c>
      <c r="H179" s="1214" t="e">
        <f t="shared" ca="1" si="81"/>
        <v>#N/A</v>
      </c>
      <c r="J179" s="1216"/>
      <c r="K179" s="1217">
        <f t="shared" si="82"/>
        <v>1</v>
      </c>
      <c r="L179" s="1218" t="e">
        <f t="shared" ca="1" si="83"/>
        <v>#N/A</v>
      </c>
      <c r="M179" s="1219" t="e">
        <f ca="1">IF(AND(INDEX(FlowCalConstA,MATCH(J174,FlowCalNumber,0),1,1)*L179^INDEX(FlowCalConstB,MATCH(J174,FlowCalNumber,0),1,1)&gt;INDEX(FlowCalLowSetting,MATCH(J174,FlowCalNumber,0),1,1), (INDEX(FlowCalConstA,MATCH(J174,FlowCalNumber,0),1,1)*L179^INDEX(FlowCalConstB,MATCH(J174,FlowCalNumber,0),1,1)&lt;INDEX(FlowCalHighSetting,MATCH(J174,FlowCalNumber,0),1,1))),INDEX(FlowCalConstA,MATCH(J174,FlowCalNumber,0),1,1)*L179^INDEX(FlowCalConstB,MATCH(J174,FlowCalNumber,0),1,1)," ")</f>
        <v>#N/A</v>
      </c>
      <c r="N179" s="1216"/>
      <c r="O179" s="1217">
        <f t="shared" si="84"/>
        <v>1</v>
      </c>
      <c r="P179" s="1218" t="e">
        <f t="shared" ca="1" si="85"/>
        <v>#N/A</v>
      </c>
      <c r="Q179" s="1220" t="e">
        <f ca="1">IF(AND(INDEX(FlowCalConstA,MATCH(N174,FlowCalNumber,0),1,1)*P179^INDEX(FlowCalConstB,MATCH(N174,FlowCalNumber,0),1,1)&gt;INDEX(FlowCalLowSetting,MATCH(N174,FlowCalNumber,0),1,1), (INDEX(FlowCalConstA,MATCH(N174,FlowCalNumber,0),1,1)*P179^INDEX(FlowCalConstB,MATCH(N174,FlowCalNumber,0),1,1)&lt;INDEX(FlowCalHighSetting,MATCH(N174,FlowCalNumber,0),1,1))),INDEX(FlowCalConstA,MATCH(N174,FlowCalNumber,0),1,1)*P179^INDEX(FlowCalConstB,MATCH(N174,FlowCalNumber,0),1,1)," ")</f>
        <v>#N/A</v>
      </c>
      <c r="R179" s="1216"/>
      <c r="S179" s="1217">
        <f t="shared" si="86"/>
        <v>0.5</v>
      </c>
      <c r="T179" s="1218" t="e">
        <f t="shared" ca="1" si="87"/>
        <v>#N/A</v>
      </c>
      <c r="U179" s="1219" t="e">
        <f ca="1">IF(AND(INDEX(FlowCalConstA,MATCH(R174,FlowCalNumber,0),1,1)*T179^INDEX(FlowCalConstB,MATCH(R174,FlowCalNumber,0),1,1)&gt;INDEX(FlowCalLowSetting,MATCH(R174,FlowCalNumber,0),1,1), (INDEX(FlowCalConstA,MATCH(R174,FlowCalNumber,0),1,1)*T179^INDEX(FlowCalConstB,MATCH(R174,FlowCalNumber,0),1,1)&lt;INDEX(FlowCalHighSetting,MATCH(R174,FlowCalNumber,0),1,1))),INDEX(FlowCalConstA,MATCH(R174,FlowCalNumber,0),1,1)*T179^INDEX(FlowCalConstB,MATCH(R174,FlowCalNumber,0),1,1)," ")</f>
        <v>#N/A</v>
      </c>
      <c r="V179" s="1216"/>
      <c r="W179" s="1217">
        <f t="shared" si="88"/>
        <v>0.5</v>
      </c>
      <c r="X179" s="1218" t="e">
        <f t="shared" ca="1" si="89"/>
        <v>#N/A</v>
      </c>
      <c r="Y179" s="1220" t="e">
        <f ca="1">IF(AND(INDEX(FlowCalConstA,MATCH(V174,FlowCalNumber,0),1,1)*X179^INDEX(FlowCalConstB,MATCH(V174,FlowCalNumber,0),1,1)&gt;INDEX(FlowCalLowSetting,MATCH(V174,FlowCalNumber,0),1,1), (INDEX(FlowCalConstA,MATCH(V174,FlowCalNumber,0),1,1)*X179^INDEX(FlowCalConstB,MATCH(V174,FlowCalNumber,0),1,1)&lt;INDEX(FlowCalHighSetting,MATCH(V174,FlowCalNumber,0),1,1))),INDEX(FlowCalConstA,MATCH(V174,FlowCalNumber,0),1,1)*X179^INDEX(FlowCalConstB,MATCH(V174,FlowCalNumber,0),1,1)," ")</f>
        <v>#N/A</v>
      </c>
    </row>
    <row r="180" spans="1:27">
      <c r="A180" s="412"/>
      <c r="B180" s="2"/>
      <c r="C180" s="235"/>
      <c r="D180" s="24">
        <f>'1% Wind'!$M$87</f>
        <v>13.5</v>
      </c>
      <c r="E180" s="90"/>
      <c r="F180" s="90"/>
      <c r="G180" s="79" t="e">
        <f ca="1">IF(I174=1,$G179,MAX(G179/D179*D180,2))</f>
        <v>#N/A</v>
      </c>
      <c r="H180" s="121" t="e">
        <f t="shared" ca="1" si="81"/>
        <v>#N/A</v>
      </c>
      <c r="J180" s="377"/>
      <c r="K180" s="242">
        <f t="shared" si="82"/>
        <v>1</v>
      </c>
      <c r="L180" s="241" t="e">
        <f t="shared" ca="1" si="83"/>
        <v>#N/A</v>
      </c>
      <c r="M180" s="243" t="e">
        <f ca="1">IF(AND(INDEX(FlowCalConstA,MATCH(J174,FlowCalNumber,0),1,1)*L180^INDEX(FlowCalConstB,MATCH(J174,FlowCalNumber,0),1,1)&gt;INDEX(FlowCalLowSetting,MATCH(J174,FlowCalNumber,0),1,1), (INDEX(FlowCalConstA,MATCH(J174,FlowCalNumber,0),1,1)*L180^INDEX(FlowCalConstB,MATCH(J174,FlowCalNumber,0),1,1)&lt;INDEX(FlowCalHighSetting,MATCH(J174,FlowCalNumber,0),1,1))),INDEX(FlowCalConstA,MATCH(J174,FlowCalNumber,0),1,1)*L180^INDEX(FlowCalConstB,MATCH(J174,FlowCalNumber,0),1,1)," ")</f>
        <v>#N/A</v>
      </c>
      <c r="N180" s="377"/>
      <c r="O180" s="242">
        <f t="shared" si="84"/>
        <v>1</v>
      </c>
      <c r="P180" s="241" t="e">
        <f t="shared" ca="1" si="85"/>
        <v>#N/A</v>
      </c>
      <c r="Q180" s="244" t="e">
        <f ca="1">IF(AND(INDEX(FlowCalConstA,MATCH(N174,FlowCalNumber,0),1,1)*P180^INDEX(FlowCalConstB,MATCH(N174,FlowCalNumber,0),1,1)&gt;INDEX(FlowCalLowSetting,MATCH(N174,FlowCalNumber,0),1,1), (INDEX(FlowCalConstA,MATCH(N174,FlowCalNumber,0),1,1)*P180^INDEX(FlowCalConstB,MATCH(N174,FlowCalNumber,0),1,1)&lt;INDEX(FlowCalHighSetting,MATCH(N174,FlowCalNumber,0),1,1))),INDEX(FlowCalConstA,MATCH(N174,FlowCalNumber,0),1,1)*P180^INDEX(FlowCalConstB,MATCH(N174,FlowCalNumber,0),1,1)," ")</f>
        <v>#N/A</v>
      </c>
      <c r="R180" s="377"/>
      <c r="S180" s="242">
        <f t="shared" si="86"/>
        <v>0.5</v>
      </c>
      <c r="T180" s="241" t="e">
        <f t="shared" ca="1" si="87"/>
        <v>#N/A</v>
      </c>
      <c r="U180" s="243" t="e">
        <f ca="1">IF(AND(INDEX(FlowCalConstA,MATCH(R174,FlowCalNumber,0),1,1)*T180^INDEX(FlowCalConstB,MATCH(R174,FlowCalNumber,0),1,1)&gt;INDEX(FlowCalLowSetting,MATCH(R174,FlowCalNumber,0),1,1), (INDEX(FlowCalConstA,MATCH(R174,FlowCalNumber,0),1,1)*T180^INDEX(FlowCalConstB,MATCH(R174,FlowCalNumber,0),1,1)&lt;INDEX(FlowCalHighSetting,MATCH(R174,FlowCalNumber,0),1,1))),INDEX(FlowCalConstA,MATCH(R174,FlowCalNumber,0),1,1)*T180^INDEX(FlowCalConstB,MATCH(R174,FlowCalNumber,0),1,1)," ")</f>
        <v>#N/A</v>
      </c>
      <c r="V180" s="377"/>
      <c r="W180" s="242">
        <f t="shared" si="88"/>
        <v>0.5</v>
      </c>
      <c r="X180" s="241" t="e">
        <f t="shared" ca="1" si="89"/>
        <v>#N/A</v>
      </c>
      <c r="Y180" s="244" t="e">
        <f ca="1">IF(AND(INDEX(FlowCalConstA,MATCH(V174,FlowCalNumber,0),1,1)*X180^INDEX(FlowCalConstB,MATCH(V174,FlowCalNumber,0),1,1)&gt;INDEX(FlowCalLowSetting,MATCH(V174,FlowCalNumber,0),1,1), (INDEX(FlowCalConstA,MATCH(V174,FlowCalNumber,0),1,1)*X180^INDEX(FlowCalConstB,MATCH(V174,FlowCalNumber,0),1,1)&lt;INDEX(FlowCalHighSetting,MATCH(V174,FlowCalNumber,0),1,1))),INDEX(FlowCalConstA,MATCH(V174,FlowCalNumber,0),1,1)*X180^INDEX(FlowCalConstB,MATCH(V174,FlowCalNumber,0),1,1)," ")</f>
        <v>#N/A</v>
      </c>
    </row>
    <row r="181" spans="1:27" s="1215" customFormat="1">
      <c r="A181" s="1208"/>
      <c r="B181" s="1209"/>
      <c r="C181" s="1210"/>
      <c r="D181" s="1211">
        <f>'1% Wind'!$M$88</f>
        <v>10.1</v>
      </c>
      <c r="E181" s="1212"/>
      <c r="F181" s="1212"/>
      <c r="G181" s="1213" t="e">
        <f ca="1">IF(I174=1,$G180,MAX(G180/D180*D181,2))</f>
        <v>#N/A</v>
      </c>
      <c r="H181" s="1214" t="e">
        <f t="shared" ca="1" si="81"/>
        <v>#N/A</v>
      </c>
      <c r="J181" s="1216"/>
      <c r="K181" s="1217">
        <f t="shared" si="82"/>
        <v>1</v>
      </c>
      <c r="L181" s="1218" t="e">
        <f t="shared" ca="1" si="83"/>
        <v>#N/A</v>
      </c>
      <c r="M181" s="1219" t="e">
        <f ca="1">IF(AND(INDEX(FlowCalConstA,MATCH(J174,FlowCalNumber,0),1,1)*L181^INDEX(FlowCalConstB,MATCH(J174,FlowCalNumber,0),1,1)&gt;INDEX(FlowCalLowSetting,MATCH(J174,FlowCalNumber,0),1,1), (INDEX(FlowCalConstA,MATCH(J174,FlowCalNumber,0),1,1)*L181^INDEX(FlowCalConstB,MATCH(J174,FlowCalNumber,0),1,1)&lt;INDEX(FlowCalHighSetting,MATCH(J174,FlowCalNumber,0),1,1))),INDEX(FlowCalConstA,MATCH(J174,FlowCalNumber,0),1,1)*L181^INDEX(FlowCalConstB,MATCH(J174,FlowCalNumber,0),1,1)," ")</f>
        <v>#N/A</v>
      </c>
      <c r="N181" s="1216"/>
      <c r="O181" s="1217">
        <f t="shared" si="84"/>
        <v>1</v>
      </c>
      <c r="P181" s="1218" t="e">
        <f t="shared" ca="1" si="85"/>
        <v>#N/A</v>
      </c>
      <c r="Q181" s="1220" t="e">
        <f ca="1">IF(AND(INDEX(FlowCalConstA,MATCH(N174,FlowCalNumber,0),1,1)*P181^INDEX(FlowCalConstB,MATCH(N174,FlowCalNumber,0),1,1)&gt;INDEX(FlowCalLowSetting,MATCH(N174,FlowCalNumber,0),1,1), (INDEX(FlowCalConstA,MATCH(N174,FlowCalNumber,0),1,1)*P181^INDEX(FlowCalConstB,MATCH(N174,FlowCalNumber,0),1,1)&lt;INDEX(FlowCalHighSetting,MATCH(N174,FlowCalNumber,0),1,1))),INDEX(FlowCalConstA,MATCH(N174,FlowCalNumber,0),1,1)*P181^INDEX(FlowCalConstB,MATCH(N174,FlowCalNumber,0),1,1)," ")</f>
        <v>#N/A</v>
      </c>
      <c r="R181" s="1216"/>
      <c r="S181" s="1217">
        <f t="shared" si="86"/>
        <v>0.5</v>
      </c>
      <c r="T181" s="1218" t="e">
        <f t="shared" ca="1" si="87"/>
        <v>#N/A</v>
      </c>
      <c r="U181" s="1219" t="e">
        <f ca="1">IF(AND(INDEX(FlowCalConstA,MATCH(R174,FlowCalNumber,0),1,1)*T181^INDEX(FlowCalConstB,MATCH(R174,FlowCalNumber,0),1,1)&gt;INDEX(FlowCalLowSetting,MATCH(R174,FlowCalNumber,0),1,1), (INDEX(FlowCalConstA,MATCH(R174,FlowCalNumber,0),1,1)*T181^INDEX(FlowCalConstB,MATCH(R174,FlowCalNumber,0),1,1)&lt;INDEX(FlowCalHighSetting,MATCH(R174,FlowCalNumber,0),1,1))),INDEX(FlowCalConstA,MATCH(R174,FlowCalNumber,0),1,1)*T181^INDEX(FlowCalConstB,MATCH(R174,FlowCalNumber,0),1,1)," ")</f>
        <v>#N/A</v>
      </c>
      <c r="V181" s="1216"/>
      <c r="W181" s="1217">
        <f t="shared" si="88"/>
        <v>0.5</v>
      </c>
      <c r="X181" s="1218" t="e">
        <f t="shared" ca="1" si="89"/>
        <v>#N/A</v>
      </c>
      <c r="Y181" s="1220" t="e">
        <f ca="1">IF(AND(INDEX(FlowCalConstA,MATCH(V174,FlowCalNumber,0),1,1)*X181^INDEX(FlowCalConstB,MATCH(V174,FlowCalNumber,0),1,1)&gt;INDEX(FlowCalLowSetting,MATCH(V174,FlowCalNumber,0),1,1), (INDEX(FlowCalConstA,MATCH(V174,FlowCalNumber,0),1,1)*X181^INDEX(FlowCalConstB,MATCH(V174,FlowCalNumber,0),1,1)&lt;INDEX(FlowCalHighSetting,MATCH(V174,FlowCalNumber,0),1,1))),INDEX(FlowCalConstA,MATCH(V174,FlowCalNumber,0),1,1)*X181^INDEX(FlowCalConstB,MATCH(V174,FlowCalNumber,0),1,1)," ")</f>
        <v>#N/A</v>
      </c>
    </row>
    <row r="182" spans="1:27">
      <c r="A182" s="412"/>
      <c r="B182" s="2"/>
      <c r="C182" s="235"/>
      <c r="D182" s="24">
        <f>'1% Wind'!$M$89</f>
        <v>7.6</v>
      </c>
      <c r="E182" s="90"/>
      <c r="F182" s="90"/>
      <c r="G182" s="79" t="e">
        <f ca="1">IF(I174=1,$G181,MAX(G181/D181*D182,2))</f>
        <v>#N/A</v>
      </c>
      <c r="H182" s="121" t="e">
        <f t="shared" ca="1" si="81"/>
        <v>#N/A</v>
      </c>
      <c r="J182" s="377"/>
      <c r="K182" s="242">
        <f t="shared" si="82"/>
        <v>1</v>
      </c>
      <c r="L182" s="241" t="e">
        <f t="shared" ca="1" si="83"/>
        <v>#N/A</v>
      </c>
      <c r="M182" s="243" t="e">
        <f ca="1">IF(AND(INDEX(FlowCalConstA,MATCH(J174,FlowCalNumber,0),1,1)*L182^INDEX(FlowCalConstB,MATCH(J174,FlowCalNumber,0),1,1)&gt;INDEX(FlowCalLowSetting,MATCH(J174,FlowCalNumber,0),1,1), (INDEX(FlowCalConstA,MATCH(J174,FlowCalNumber,0),1,1)*L182^INDEX(FlowCalConstB,MATCH(J174,FlowCalNumber,0),1,1)&lt;INDEX(FlowCalHighSetting,MATCH(J174,FlowCalNumber,0),1,1))),INDEX(FlowCalConstA,MATCH(J174,FlowCalNumber,0),1,1)*L182^INDEX(FlowCalConstB,MATCH(J174,FlowCalNumber,0),1,1)," ")</f>
        <v>#N/A</v>
      </c>
      <c r="N182" s="377"/>
      <c r="O182" s="242">
        <f t="shared" si="84"/>
        <v>1</v>
      </c>
      <c r="P182" s="241" t="e">
        <f t="shared" ca="1" si="85"/>
        <v>#N/A</v>
      </c>
      <c r="Q182" s="244" t="e">
        <f ca="1">IF(AND(INDEX(FlowCalConstA,MATCH(N174,FlowCalNumber,0),1,1)*P182^INDEX(FlowCalConstB,MATCH(N174,FlowCalNumber,0),1,1)&gt;INDEX(FlowCalLowSetting,MATCH(N174,FlowCalNumber,0),1,1), (INDEX(FlowCalConstA,MATCH(N174,FlowCalNumber,0),1,1)*P182^INDEX(FlowCalConstB,MATCH(N174,FlowCalNumber,0),1,1)&lt;INDEX(FlowCalHighSetting,MATCH(N174,FlowCalNumber,0),1,1))),INDEX(FlowCalConstA,MATCH(N174,FlowCalNumber,0),1,1)*P182^INDEX(FlowCalConstB,MATCH(N174,FlowCalNumber,0),1,1)," ")</f>
        <v>#N/A</v>
      </c>
      <c r="R182" s="377"/>
      <c r="S182" s="242">
        <f t="shared" si="86"/>
        <v>0.5</v>
      </c>
      <c r="T182" s="241" t="e">
        <f t="shared" ca="1" si="87"/>
        <v>#N/A</v>
      </c>
      <c r="U182" s="243" t="e">
        <f ca="1">IF(AND(INDEX(FlowCalConstA,MATCH(R174,FlowCalNumber,0),1,1)*T182^INDEX(FlowCalConstB,MATCH(R174,FlowCalNumber,0),1,1)&gt;INDEX(FlowCalLowSetting,MATCH(R174,FlowCalNumber,0),1,1), (INDEX(FlowCalConstA,MATCH(R174,FlowCalNumber,0),1,1)*T182^INDEX(FlowCalConstB,MATCH(R174,FlowCalNumber,0),1,1)&lt;INDEX(FlowCalHighSetting,MATCH(R174,FlowCalNumber,0),1,1))),INDEX(FlowCalConstA,MATCH(R174,FlowCalNumber,0),1,1)*T182^INDEX(FlowCalConstB,MATCH(R174,FlowCalNumber,0),1,1)," ")</f>
        <v>#N/A</v>
      </c>
      <c r="V182" s="377"/>
      <c r="W182" s="242">
        <f t="shared" si="88"/>
        <v>0.5</v>
      </c>
      <c r="X182" s="241" t="e">
        <f t="shared" ca="1" si="89"/>
        <v>#N/A</v>
      </c>
      <c r="Y182" s="244" t="e">
        <f ca="1">IF(AND(INDEX(FlowCalConstA,MATCH(V174,FlowCalNumber,0),1,1)*X182^INDEX(FlowCalConstB,MATCH(V174,FlowCalNumber,0),1,1)&gt;INDEX(FlowCalLowSetting,MATCH(V174,FlowCalNumber,0),1,1), (INDEX(FlowCalConstA,MATCH(V174,FlowCalNumber,0),1,1)*X182^INDEX(FlowCalConstB,MATCH(V174,FlowCalNumber,0),1,1)&lt;INDEX(FlowCalHighSetting,MATCH(V174,FlowCalNumber,0),1,1))),INDEX(FlowCalConstA,MATCH(V174,FlowCalNumber,0),1,1)*X182^INDEX(FlowCalConstB,MATCH(V174,FlowCalNumber,0),1,1)," ")</f>
        <v>#N/A</v>
      </c>
    </row>
    <row r="183" spans="1:27" s="1215" customFormat="1">
      <c r="A183" s="1208"/>
      <c r="B183" s="1209"/>
      <c r="C183" s="1210"/>
      <c r="D183" s="1211">
        <f>'1% Wind'!$M$90</f>
        <v>5.7</v>
      </c>
      <c r="E183" s="1212"/>
      <c r="F183" s="1212"/>
      <c r="G183" s="1213" t="e">
        <f ca="1">IF(I174=1,$G182,MAX(G182/D182*D183,2))</f>
        <v>#N/A</v>
      </c>
      <c r="H183" s="1214" t="e">
        <f t="shared" ca="1" si="81"/>
        <v>#N/A</v>
      </c>
      <c r="J183" s="1216"/>
      <c r="K183" s="1217">
        <f t="shared" si="82"/>
        <v>1</v>
      </c>
      <c r="L183" s="1218" t="e">
        <f t="shared" ca="1" si="83"/>
        <v>#N/A</v>
      </c>
      <c r="M183" s="1219" t="e">
        <f ca="1">IF(AND(INDEX(FlowCalConstA,MATCH(J174,FlowCalNumber,0),1,1)*L183^INDEX(FlowCalConstB,MATCH(J174,FlowCalNumber,0),1,1)&gt;INDEX(FlowCalLowSetting,MATCH(J174,FlowCalNumber,0),1,1), (INDEX(FlowCalConstA,MATCH(J174,FlowCalNumber,0),1,1)*L183^INDEX(FlowCalConstB,MATCH(J174,FlowCalNumber,0),1,1)&lt;INDEX(FlowCalHighSetting,MATCH(J174,FlowCalNumber,0),1,1))),INDEX(FlowCalConstA,MATCH(J174,FlowCalNumber,0),1,1)*L183^INDEX(FlowCalConstB,MATCH(J174,FlowCalNumber,0),1,1)," ")</f>
        <v>#N/A</v>
      </c>
      <c r="N183" s="1216"/>
      <c r="O183" s="1217">
        <f t="shared" si="84"/>
        <v>1</v>
      </c>
      <c r="P183" s="1218" t="e">
        <f t="shared" ca="1" si="85"/>
        <v>#N/A</v>
      </c>
      <c r="Q183" s="1220" t="e">
        <f ca="1">IF(AND(INDEX(FlowCalConstA,MATCH(N174,FlowCalNumber,0),1,1)*P183^INDEX(FlowCalConstB,MATCH(N174,FlowCalNumber,0),1,1)&gt;INDEX(FlowCalLowSetting,MATCH(N174,FlowCalNumber,0),1,1), (INDEX(FlowCalConstA,MATCH(N174,FlowCalNumber,0),1,1)*P183^INDEX(FlowCalConstB,MATCH(N174,FlowCalNumber,0),1,1)&lt;INDEX(FlowCalHighSetting,MATCH(N174,FlowCalNumber,0),1,1))),INDEX(FlowCalConstA,MATCH(N174,FlowCalNumber,0),1,1)*P183^INDEX(FlowCalConstB,MATCH(N174,FlowCalNumber,0),1,1)," ")</f>
        <v>#N/A</v>
      </c>
      <c r="R183" s="1216"/>
      <c r="S183" s="1217">
        <f t="shared" si="86"/>
        <v>0.5</v>
      </c>
      <c r="T183" s="1218" t="e">
        <f t="shared" ca="1" si="87"/>
        <v>#N/A</v>
      </c>
      <c r="U183" s="1219" t="e">
        <f ca="1">IF(AND(INDEX(FlowCalConstA,MATCH(R174,FlowCalNumber,0),1,1)*T183^INDEX(FlowCalConstB,MATCH(R174,FlowCalNumber,0),1,1)&gt;INDEX(FlowCalLowSetting,MATCH(R174,FlowCalNumber,0),1,1), (INDEX(FlowCalConstA,MATCH(R174,FlowCalNumber,0),1,1)*T183^INDEX(FlowCalConstB,MATCH(R174,FlowCalNumber,0),1,1)&lt;INDEX(FlowCalHighSetting,MATCH(R174,FlowCalNumber,0),1,1))),INDEX(FlowCalConstA,MATCH(R174,FlowCalNumber,0),1,1)*T183^INDEX(FlowCalConstB,MATCH(R174,FlowCalNumber,0),1,1)," ")</f>
        <v>#N/A</v>
      </c>
      <c r="V183" s="1216"/>
      <c r="W183" s="1217">
        <f t="shared" si="88"/>
        <v>0.5</v>
      </c>
      <c r="X183" s="1218" t="e">
        <f t="shared" ca="1" si="89"/>
        <v>#N/A</v>
      </c>
      <c r="Y183" s="1220" t="e">
        <f ca="1">IF(AND(INDEX(FlowCalConstA,MATCH(V174,FlowCalNumber,0),1,1)*X183^INDEX(FlowCalConstB,MATCH(V174,FlowCalNumber,0),1,1)&gt;INDEX(FlowCalLowSetting,MATCH(V174,FlowCalNumber,0),1,1), (INDEX(FlowCalConstA,MATCH(V174,FlowCalNumber,0),1,1)*X183^INDEX(FlowCalConstB,MATCH(V174,FlowCalNumber,0),1,1)&lt;INDEX(FlowCalHighSetting,MATCH(V174,FlowCalNumber,0),1,1))),INDEX(FlowCalConstA,MATCH(V174,FlowCalNumber,0),1,1)*X183^INDEX(FlowCalConstB,MATCH(V174,FlowCalNumber,0),1,1)," ")</f>
        <v>#N/A</v>
      </c>
    </row>
    <row r="184" spans="1:27">
      <c r="A184" s="412"/>
      <c r="B184" s="2"/>
      <c r="C184" s="235"/>
      <c r="D184" s="24">
        <f>'1% Wind'!$M$91</f>
        <v>4.2</v>
      </c>
      <c r="E184" s="90"/>
      <c r="F184" s="90"/>
      <c r="G184" s="79" t="e">
        <f ca="1">IF(I174=1,$G183,MAX(G183/D183*D184,2))</f>
        <v>#N/A</v>
      </c>
      <c r="H184" s="121" t="e">
        <f t="shared" ca="1" si="81"/>
        <v>#N/A</v>
      </c>
      <c r="J184" s="377"/>
      <c r="K184" s="242">
        <f t="shared" si="82"/>
        <v>1</v>
      </c>
      <c r="L184" s="241" t="e">
        <f t="shared" ca="1" si="83"/>
        <v>#N/A</v>
      </c>
      <c r="M184" s="243" t="e">
        <f ca="1">IF(AND(INDEX(FlowCalConstA,MATCH(J174,FlowCalNumber,0),1,1)*L184^INDEX(FlowCalConstB,MATCH(J174,FlowCalNumber,0),1,1)&gt;INDEX(FlowCalLowSetting,MATCH(J174,FlowCalNumber,0),1,1), (INDEX(FlowCalConstA,MATCH(J174,FlowCalNumber,0),1,1)*L184^INDEX(FlowCalConstB,MATCH(J174,FlowCalNumber,0),1,1)&lt;INDEX(FlowCalHighSetting,MATCH(J174,FlowCalNumber,0),1,1))),INDEX(FlowCalConstA,MATCH(J174,FlowCalNumber,0),1,1)*L184^INDEX(FlowCalConstB,MATCH(J174,FlowCalNumber,0),1,1)," ")</f>
        <v>#N/A</v>
      </c>
      <c r="N184" s="377"/>
      <c r="O184" s="242">
        <f t="shared" si="84"/>
        <v>1</v>
      </c>
      <c r="P184" s="241" t="e">
        <f t="shared" ca="1" si="85"/>
        <v>#N/A</v>
      </c>
      <c r="Q184" s="244" t="e">
        <f ca="1">IF(AND(INDEX(FlowCalConstA,MATCH(N174,FlowCalNumber,0),1,1)*P184^INDEX(FlowCalConstB,MATCH(N174,FlowCalNumber,0),1,1)&gt;INDEX(FlowCalLowSetting,MATCH(N174,FlowCalNumber,0),1,1), (INDEX(FlowCalConstA,MATCH(N174,FlowCalNumber,0),1,1)*P184^INDEX(FlowCalConstB,MATCH(N174,FlowCalNumber,0),1,1)&lt;INDEX(FlowCalHighSetting,MATCH(N174,FlowCalNumber,0),1,1))),INDEX(FlowCalConstA,MATCH(N174,FlowCalNumber,0),1,1)*P184^INDEX(FlowCalConstB,MATCH(N174,FlowCalNumber,0),1,1)," ")</f>
        <v>#N/A</v>
      </c>
      <c r="R184" s="377"/>
      <c r="S184" s="242">
        <f t="shared" si="86"/>
        <v>0.5</v>
      </c>
      <c r="T184" s="241" t="e">
        <f t="shared" ca="1" si="87"/>
        <v>#N/A</v>
      </c>
      <c r="U184" s="243" t="e">
        <f ca="1">IF(AND(INDEX(FlowCalConstA,MATCH(R174,FlowCalNumber,0),1,1)*T184^INDEX(FlowCalConstB,MATCH(R174,FlowCalNumber,0),1,1)&gt;INDEX(FlowCalLowSetting,MATCH(R174,FlowCalNumber,0),1,1), (INDEX(FlowCalConstA,MATCH(R174,FlowCalNumber,0),1,1)*T184^INDEX(FlowCalConstB,MATCH(R174,FlowCalNumber,0),1,1)&lt;INDEX(FlowCalHighSetting,MATCH(R174,FlowCalNumber,0),1,1))),INDEX(FlowCalConstA,MATCH(R174,FlowCalNumber,0),1,1)*T184^INDEX(FlowCalConstB,MATCH(R174,FlowCalNumber,0),1,1)," ")</f>
        <v>#N/A</v>
      </c>
      <c r="V184" s="377"/>
      <c r="W184" s="242">
        <f t="shared" si="88"/>
        <v>0.5</v>
      </c>
      <c r="X184" s="241" t="e">
        <f t="shared" ca="1" si="89"/>
        <v>#N/A</v>
      </c>
      <c r="Y184" s="244" t="e">
        <f ca="1">IF(AND(INDEX(FlowCalConstA,MATCH(V174,FlowCalNumber,0),1,1)*X184^INDEX(FlowCalConstB,MATCH(V174,FlowCalNumber,0),1,1)&gt;INDEX(FlowCalLowSetting,MATCH(V174,FlowCalNumber,0),1,1), (INDEX(FlowCalConstA,MATCH(V174,FlowCalNumber,0),1,1)*X184^INDEX(FlowCalConstB,MATCH(V174,FlowCalNumber,0),1,1)&lt;INDEX(FlowCalHighSetting,MATCH(V174,FlowCalNumber,0),1,1))),INDEX(FlowCalConstA,MATCH(V174,FlowCalNumber,0),1,1)*X184^INDEX(FlowCalConstB,MATCH(V174,FlowCalNumber,0),1,1)," ")</f>
        <v>#N/A</v>
      </c>
    </row>
    <row r="185" spans="1:27" s="1215" customFormat="1">
      <c r="A185" s="1208"/>
      <c r="B185" s="1209"/>
      <c r="C185" s="1210"/>
      <c r="D185" s="1211">
        <f>'1% Wind'!$M$92</f>
        <v>3.2</v>
      </c>
      <c r="E185" s="1212"/>
      <c r="F185" s="1212"/>
      <c r="G185" s="1213" t="e">
        <f ca="1">IF(I174=1,$G184,MAX(G184/D184*D185,2))</f>
        <v>#N/A</v>
      </c>
      <c r="H185" s="1214" t="e">
        <f t="shared" ca="1" si="81"/>
        <v>#N/A</v>
      </c>
      <c r="J185" s="1216"/>
      <c r="K185" s="1217">
        <f t="shared" si="82"/>
        <v>1</v>
      </c>
      <c r="L185" s="1218" t="e">
        <f t="shared" ca="1" si="83"/>
        <v>#N/A</v>
      </c>
      <c r="M185" s="1219" t="e">
        <f ca="1">IF(AND(INDEX(FlowCalConstA,MATCH(J174,FlowCalNumber,0),1,1)*L185^INDEX(FlowCalConstB,MATCH(J174,FlowCalNumber,0),1,1)&gt;INDEX(FlowCalLowSetting,MATCH(J174,FlowCalNumber,0),1,1), (INDEX(FlowCalConstA,MATCH(J174,FlowCalNumber,0),1,1)*L185^INDEX(FlowCalConstB,MATCH(J174,FlowCalNumber,0),1,1)&lt;INDEX(FlowCalHighSetting,MATCH(J174,FlowCalNumber,0),1,1))),INDEX(FlowCalConstA,MATCH(J174,FlowCalNumber,0),1,1)*L185^INDEX(FlowCalConstB,MATCH(J174,FlowCalNumber,0),1,1)," ")</f>
        <v>#N/A</v>
      </c>
      <c r="N185" s="1216"/>
      <c r="O185" s="1217">
        <f t="shared" si="84"/>
        <v>1</v>
      </c>
      <c r="P185" s="1218" t="e">
        <f t="shared" ca="1" si="85"/>
        <v>#N/A</v>
      </c>
      <c r="Q185" s="1220" t="e">
        <f ca="1">IF(AND(INDEX(FlowCalConstA,MATCH(N174,FlowCalNumber,0),1,1)*P185^INDEX(FlowCalConstB,MATCH(N174,FlowCalNumber,0),1,1)&gt;INDEX(FlowCalLowSetting,MATCH(N174,FlowCalNumber,0),1,1), (INDEX(FlowCalConstA,MATCH(N174,FlowCalNumber,0),1,1)*P185^INDEX(FlowCalConstB,MATCH(N174,FlowCalNumber,0),1,1)&lt;INDEX(FlowCalHighSetting,MATCH(N174,FlowCalNumber,0),1,1))),INDEX(FlowCalConstA,MATCH(N174,FlowCalNumber,0),1,1)*P185^INDEX(FlowCalConstB,MATCH(N174,FlowCalNumber,0),1,1)," ")</f>
        <v>#N/A</v>
      </c>
      <c r="R185" s="1216"/>
      <c r="S185" s="1217">
        <f t="shared" si="86"/>
        <v>0.5</v>
      </c>
      <c r="T185" s="1218" t="e">
        <f t="shared" ca="1" si="87"/>
        <v>#N/A</v>
      </c>
      <c r="U185" s="1219" t="e">
        <f ca="1">IF(AND(INDEX(FlowCalConstA,MATCH(R174,FlowCalNumber,0),1,1)*T185^INDEX(FlowCalConstB,MATCH(R174,FlowCalNumber,0),1,1)&gt;INDEX(FlowCalLowSetting,MATCH(R174,FlowCalNumber,0),1,1), (INDEX(FlowCalConstA,MATCH(R174,FlowCalNumber,0),1,1)*T185^INDEX(FlowCalConstB,MATCH(R174,FlowCalNumber,0),1,1)&lt;INDEX(FlowCalHighSetting,MATCH(R174,FlowCalNumber,0),1,1))),INDEX(FlowCalConstA,MATCH(R174,FlowCalNumber,0),1,1)*T185^INDEX(FlowCalConstB,MATCH(R174,FlowCalNumber,0),1,1)," ")</f>
        <v>#N/A</v>
      </c>
      <c r="V185" s="1216"/>
      <c r="W185" s="1217">
        <f t="shared" si="88"/>
        <v>0.5</v>
      </c>
      <c r="X185" s="1218" t="e">
        <f t="shared" ca="1" si="89"/>
        <v>#N/A</v>
      </c>
      <c r="Y185" s="1220" t="e">
        <f ca="1">IF(AND(INDEX(FlowCalConstA,MATCH(V174,FlowCalNumber,0),1,1)*X185^INDEX(FlowCalConstB,MATCH(V174,FlowCalNumber,0),1,1)&gt;INDEX(FlowCalLowSetting,MATCH(V174,FlowCalNumber,0),1,1), (INDEX(FlowCalConstA,MATCH(V174,FlowCalNumber,0),1,1)*X185^INDEX(FlowCalConstB,MATCH(V174,FlowCalNumber,0),1,1)&lt;INDEX(FlowCalHighSetting,MATCH(V174,FlowCalNumber,0),1,1))),INDEX(FlowCalConstA,MATCH(V174,FlowCalNumber,0),1,1)*X185^INDEX(FlowCalConstB,MATCH(V174,FlowCalNumber,0),1,1)," ")</f>
        <v>#N/A</v>
      </c>
    </row>
    <row r="186" spans="1:27">
      <c r="A186" s="412"/>
      <c r="B186" s="2"/>
      <c r="C186" s="235"/>
      <c r="D186" s="24">
        <f>'1% Wind'!$M$93</f>
        <v>2.4</v>
      </c>
      <c r="E186" s="90"/>
      <c r="F186" s="90"/>
      <c r="G186" s="79" t="e">
        <f ca="1">IF(I174=1,$G185,MAX(G185/D185*D186,2))</f>
        <v>#N/A</v>
      </c>
      <c r="H186" s="121" t="e">
        <f t="shared" ca="1" si="81"/>
        <v>#N/A</v>
      </c>
      <c r="J186" s="377"/>
      <c r="K186" s="242">
        <f t="shared" si="82"/>
        <v>1</v>
      </c>
      <c r="L186" s="241" t="e">
        <f t="shared" ca="1" si="83"/>
        <v>#N/A</v>
      </c>
      <c r="M186" s="243" t="e">
        <f ca="1">IF(AND(INDEX(FlowCalConstA,MATCH(J174,FlowCalNumber,0),1,1)*L186^INDEX(FlowCalConstB,MATCH(J174,FlowCalNumber,0),1,1)&gt;INDEX(FlowCalLowSetting,MATCH(J174,FlowCalNumber,0),1,1), (INDEX(FlowCalConstA,MATCH(J174,FlowCalNumber,0),1,1)*L186^INDEX(FlowCalConstB,MATCH(J174,FlowCalNumber,0),1,1)&lt;INDEX(FlowCalHighSetting,MATCH(J174,FlowCalNumber,0),1,1))),INDEX(FlowCalConstA,MATCH(J174,FlowCalNumber,0),1,1)*L186^INDEX(FlowCalConstB,MATCH(J174,FlowCalNumber,0),1,1)," ")</f>
        <v>#N/A</v>
      </c>
      <c r="N186" s="377"/>
      <c r="O186" s="242">
        <f t="shared" si="84"/>
        <v>1</v>
      </c>
      <c r="P186" s="241" t="e">
        <f t="shared" ca="1" si="85"/>
        <v>#N/A</v>
      </c>
      <c r="Q186" s="244" t="e">
        <f ca="1">IF(AND(INDEX(FlowCalConstA,MATCH(N174,FlowCalNumber,0),1,1)*P186^INDEX(FlowCalConstB,MATCH(N174,FlowCalNumber,0),1,1)&gt;INDEX(FlowCalLowSetting,MATCH(N174,FlowCalNumber,0),1,1), (INDEX(FlowCalConstA,MATCH(N174,FlowCalNumber,0),1,1)*P186^INDEX(FlowCalConstB,MATCH(N174,FlowCalNumber,0),1,1)&lt;INDEX(FlowCalHighSetting,MATCH(N174,FlowCalNumber,0),1,1))),INDEX(FlowCalConstA,MATCH(N174,FlowCalNumber,0),1,1)*P186^INDEX(FlowCalConstB,MATCH(N174,FlowCalNumber,0),1,1)," ")</f>
        <v>#N/A</v>
      </c>
      <c r="R186" s="377"/>
      <c r="S186" s="242">
        <f t="shared" si="86"/>
        <v>0.5</v>
      </c>
      <c r="T186" s="241" t="e">
        <f t="shared" ca="1" si="87"/>
        <v>#N/A</v>
      </c>
      <c r="U186" s="243" t="e">
        <f ca="1">IF(AND(INDEX(FlowCalConstA,MATCH(R174,FlowCalNumber,0),1,1)*T186^INDEX(FlowCalConstB,MATCH(R174,FlowCalNumber,0),1,1)&gt;INDEX(FlowCalLowSetting,MATCH(R174,FlowCalNumber,0),1,1), (INDEX(FlowCalConstA,MATCH(R174,FlowCalNumber,0),1,1)*T186^INDEX(FlowCalConstB,MATCH(R174,FlowCalNumber,0),1,1)&lt;INDEX(FlowCalHighSetting,MATCH(R174,FlowCalNumber,0),1,1))),INDEX(FlowCalConstA,MATCH(R174,FlowCalNumber,0),1,1)*T186^INDEX(FlowCalConstB,MATCH(R174,FlowCalNumber,0),1,1)," ")</f>
        <v>#N/A</v>
      </c>
      <c r="V186" s="377"/>
      <c r="W186" s="242">
        <f t="shared" si="88"/>
        <v>0.5</v>
      </c>
      <c r="X186" s="241" t="e">
        <f t="shared" ca="1" si="89"/>
        <v>#N/A</v>
      </c>
      <c r="Y186" s="244" t="e">
        <f ca="1">IF(AND(INDEX(FlowCalConstA,MATCH(V174,FlowCalNumber,0),1,1)*X186^INDEX(FlowCalConstB,MATCH(V174,FlowCalNumber,0),1,1)&gt;INDEX(FlowCalLowSetting,MATCH(V174,FlowCalNumber,0),1,1), (INDEX(FlowCalConstA,MATCH(V174,FlowCalNumber,0),1,1)*X186^INDEX(FlowCalConstB,MATCH(V174,FlowCalNumber,0),1,1)&lt;INDEX(FlowCalHighSetting,MATCH(V174,FlowCalNumber,0),1,1))),INDEX(FlowCalConstA,MATCH(V174,FlowCalNumber,0),1,1)*X186^INDEX(FlowCalConstB,MATCH(V174,FlowCalNumber,0),1,1)," ")</f>
        <v>#N/A</v>
      </c>
    </row>
    <row r="187" spans="1:27" s="1215" customFormat="1">
      <c r="A187" s="1208"/>
      <c r="B187" s="1209"/>
      <c r="C187" s="1210"/>
      <c r="D187" s="1211">
        <f>'1% Wind'!$M$94</f>
        <v>1.8</v>
      </c>
      <c r="E187" s="1212"/>
      <c r="F187" s="1212"/>
      <c r="G187" s="1213" t="e">
        <f ca="1">IF(I174=1,$G186,MAX(G186/D186*D187,2))</f>
        <v>#N/A</v>
      </c>
      <c r="H187" s="1214" t="e">
        <f t="shared" ca="1" si="81"/>
        <v>#N/A</v>
      </c>
      <c r="J187" s="1216"/>
      <c r="K187" s="1217">
        <f t="shared" si="82"/>
        <v>1</v>
      </c>
      <c r="L187" s="1218" t="e">
        <f t="shared" ca="1" si="83"/>
        <v>#N/A</v>
      </c>
      <c r="M187" s="1219" t="e">
        <f ca="1">IF(AND(INDEX(FlowCalConstA,MATCH(J174,FlowCalNumber,0),1,1)*L187^INDEX(FlowCalConstB,MATCH(J174,FlowCalNumber,0),1,1)&gt;INDEX(FlowCalLowSetting,MATCH(J174,FlowCalNumber,0),1,1), (INDEX(FlowCalConstA,MATCH(J174,FlowCalNumber,0),1,1)*L187^INDEX(FlowCalConstB,MATCH(J174,FlowCalNumber,0),1,1)&lt;INDEX(FlowCalHighSetting,MATCH(J174,FlowCalNumber,0),1,1))),INDEX(FlowCalConstA,MATCH(J174,FlowCalNumber,0),1,1)*L187^INDEX(FlowCalConstB,MATCH(J174,FlowCalNumber,0),1,1)," ")</f>
        <v>#N/A</v>
      </c>
      <c r="N187" s="1216"/>
      <c r="O187" s="1217">
        <f t="shared" si="84"/>
        <v>1</v>
      </c>
      <c r="P187" s="1218" t="e">
        <f t="shared" ca="1" si="85"/>
        <v>#N/A</v>
      </c>
      <c r="Q187" s="1220" t="e">
        <f ca="1">IF(AND(INDEX(FlowCalConstA,MATCH(N174,FlowCalNumber,0),1,1)*P187^INDEX(FlowCalConstB,MATCH(N174,FlowCalNumber,0),1,1)&gt;INDEX(FlowCalLowSetting,MATCH(N174,FlowCalNumber,0),1,1), (INDEX(FlowCalConstA,MATCH(N174,FlowCalNumber,0),1,1)*P187^INDEX(FlowCalConstB,MATCH(N174,FlowCalNumber,0),1,1)&lt;INDEX(FlowCalHighSetting,MATCH(N174,FlowCalNumber,0),1,1))),INDEX(FlowCalConstA,MATCH(N174,FlowCalNumber,0),1,1)*P187^INDEX(FlowCalConstB,MATCH(N174,FlowCalNumber,0),1,1)," ")</f>
        <v>#N/A</v>
      </c>
      <c r="R187" s="1216"/>
      <c r="S187" s="1217">
        <f t="shared" si="86"/>
        <v>0.5</v>
      </c>
      <c r="T187" s="1218" t="e">
        <f t="shared" ca="1" si="87"/>
        <v>#N/A</v>
      </c>
      <c r="U187" s="1219" t="e">
        <f ca="1">IF(AND(INDEX(FlowCalConstA,MATCH(R174,FlowCalNumber,0),1,1)*T187^INDEX(FlowCalConstB,MATCH(R174,FlowCalNumber,0),1,1)&gt;INDEX(FlowCalLowSetting,MATCH(R174,FlowCalNumber,0),1,1), (INDEX(FlowCalConstA,MATCH(R174,FlowCalNumber,0),1,1)*T187^INDEX(FlowCalConstB,MATCH(R174,FlowCalNumber,0),1,1)&lt;INDEX(FlowCalHighSetting,MATCH(R174,FlowCalNumber,0),1,1))),INDEX(FlowCalConstA,MATCH(R174,FlowCalNumber,0),1,1)*T187^INDEX(FlowCalConstB,MATCH(R174,FlowCalNumber,0),1,1)," ")</f>
        <v>#N/A</v>
      </c>
      <c r="V187" s="1216"/>
      <c r="W187" s="1217">
        <f t="shared" si="88"/>
        <v>0.5</v>
      </c>
      <c r="X187" s="1218" t="e">
        <f t="shared" ca="1" si="89"/>
        <v>#N/A</v>
      </c>
      <c r="Y187" s="1220" t="e">
        <f ca="1">IF(AND(INDEX(FlowCalConstA,MATCH(V174,FlowCalNumber,0),1,1)*X187^INDEX(FlowCalConstB,MATCH(V174,FlowCalNumber,0),1,1)&gt;INDEX(FlowCalLowSetting,MATCH(V174,FlowCalNumber,0),1,1), (INDEX(FlowCalConstA,MATCH(V174,FlowCalNumber,0),1,1)*X187^INDEX(FlowCalConstB,MATCH(V174,FlowCalNumber,0),1,1)&lt;INDEX(FlowCalHighSetting,MATCH(V174,FlowCalNumber,0),1,1))),INDEX(FlowCalConstA,MATCH(V174,FlowCalNumber,0),1,1)*X187^INDEX(FlowCalConstB,MATCH(V174,FlowCalNumber,0),1,1)," ")</f>
        <v>#N/A</v>
      </c>
    </row>
    <row r="188" spans="1:27">
      <c r="A188" s="412"/>
      <c r="B188" s="2"/>
      <c r="C188" s="235"/>
      <c r="D188" s="24">
        <f>'1% Wind'!$M$95</f>
        <v>1.3</v>
      </c>
      <c r="E188" s="90"/>
      <c r="F188" s="90"/>
      <c r="G188" s="79" t="e">
        <f ca="1">IF(I174=1,$G187,MAX(G187/D187*D188,2))</f>
        <v>#N/A</v>
      </c>
      <c r="H188" s="121" t="e">
        <f t="shared" ca="1" si="81"/>
        <v>#N/A</v>
      </c>
      <c r="J188" s="377"/>
      <c r="K188" s="242">
        <f t="shared" si="82"/>
        <v>1</v>
      </c>
      <c r="L188" s="241" t="e">
        <f t="shared" ca="1" si="83"/>
        <v>#N/A</v>
      </c>
      <c r="M188" s="243" t="e">
        <f ca="1">IF(AND(INDEX(FlowCalConstA,MATCH(J174,FlowCalNumber,0),1,1)*L188^INDEX(FlowCalConstB,MATCH(J174,FlowCalNumber,0),1,1)&gt;INDEX(FlowCalLowSetting,MATCH(J174,FlowCalNumber,0),1,1), (INDEX(FlowCalConstA,MATCH(J174,FlowCalNumber,0),1,1)*L188^INDEX(FlowCalConstB,MATCH(J174,FlowCalNumber,0),1,1)&lt;INDEX(FlowCalHighSetting,MATCH(J174,FlowCalNumber,0),1,1))),INDEX(FlowCalConstA,MATCH(J174,FlowCalNumber,0),1,1)*L188^INDEX(FlowCalConstB,MATCH(J174,FlowCalNumber,0),1,1)," ")</f>
        <v>#N/A</v>
      </c>
      <c r="N188" s="377"/>
      <c r="O188" s="242">
        <f t="shared" si="84"/>
        <v>1</v>
      </c>
      <c r="P188" s="241" t="e">
        <f t="shared" ca="1" si="85"/>
        <v>#N/A</v>
      </c>
      <c r="Q188" s="244" t="e">
        <f ca="1">IF(AND(INDEX(FlowCalConstA,MATCH(N174,FlowCalNumber,0),1,1)*P188^INDEX(FlowCalConstB,MATCH(N174,FlowCalNumber,0),1,1)&gt;INDEX(FlowCalLowSetting,MATCH(N174,FlowCalNumber,0),1,1), (INDEX(FlowCalConstA,MATCH(N174,FlowCalNumber,0),1,1)*P188^INDEX(FlowCalConstB,MATCH(N174,FlowCalNumber,0),1,1)&lt;INDEX(FlowCalHighSetting,MATCH(N174,FlowCalNumber,0),1,1))),INDEX(FlowCalConstA,MATCH(N174,FlowCalNumber,0),1,1)*P188^INDEX(FlowCalConstB,MATCH(N174,FlowCalNumber,0),1,1)," ")</f>
        <v>#N/A</v>
      </c>
      <c r="R188" s="377"/>
      <c r="S188" s="242">
        <f t="shared" si="86"/>
        <v>0.5</v>
      </c>
      <c r="T188" s="241" t="e">
        <f t="shared" ca="1" si="87"/>
        <v>#N/A</v>
      </c>
      <c r="U188" s="243" t="e">
        <f ca="1">IF(AND(INDEX(FlowCalConstA,MATCH(R174,FlowCalNumber,0),1,1)*T188^INDEX(FlowCalConstB,MATCH(R174,FlowCalNumber,0),1,1)&gt;INDEX(FlowCalLowSetting,MATCH(R174,FlowCalNumber,0),1,1), (INDEX(FlowCalConstA,MATCH(R174,FlowCalNumber,0),1,1)*T188^INDEX(FlowCalConstB,MATCH(R174,FlowCalNumber,0),1,1)&lt;INDEX(FlowCalHighSetting,MATCH(R174,FlowCalNumber,0),1,1))),INDEX(FlowCalConstA,MATCH(R174,FlowCalNumber,0),1,1)*T188^INDEX(FlowCalConstB,MATCH(R174,FlowCalNumber,0),1,1)," ")</f>
        <v>#N/A</v>
      </c>
      <c r="V188" s="377"/>
      <c r="W188" s="242">
        <f t="shared" si="88"/>
        <v>0.5</v>
      </c>
      <c r="X188" s="241" t="e">
        <f t="shared" ca="1" si="89"/>
        <v>#N/A</v>
      </c>
      <c r="Y188" s="244" t="e">
        <f ca="1">IF(AND(INDEX(FlowCalConstA,MATCH(V174,FlowCalNumber,0),1,1)*X188^INDEX(FlowCalConstB,MATCH(V174,FlowCalNumber,0),1,1)&gt;INDEX(FlowCalLowSetting,MATCH(V174,FlowCalNumber,0),1,1), (INDEX(FlowCalConstA,MATCH(V174,FlowCalNumber,0),1,1)*X188^INDEX(FlowCalConstB,MATCH(V174,FlowCalNumber,0),1,1)&lt;INDEX(FlowCalHighSetting,MATCH(V174,FlowCalNumber,0),1,1))),INDEX(FlowCalConstA,MATCH(V174,FlowCalNumber,0),1,1)*X188^INDEX(FlowCalConstB,MATCH(V174,FlowCalNumber,0),1,1)," ")</f>
        <v>#N/A</v>
      </c>
    </row>
    <row r="189" spans="1:27" s="1215" customFormat="1">
      <c r="A189" s="1208"/>
      <c r="B189" s="1209"/>
      <c r="C189" s="1210"/>
      <c r="D189" s="1211">
        <f>'1% Wind'!$M$96</f>
        <v>1</v>
      </c>
      <c r="E189" s="1212"/>
      <c r="F189" s="1212"/>
      <c r="G189" s="1213" t="e">
        <f ca="1">IF(I174=1,$G188,MAX(G188/D188*D189,2))</f>
        <v>#N/A</v>
      </c>
      <c r="H189" s="1214" t="e">
        <f t="shared" ca="1" si="81"/>
        <v>#N/A</v>
      </c>
      <c r="J189" s="1216"/>
      <c r="K189" s="1217">
        <f t="shared" si="82"/>
        <v>1</v>
      </c>
      <c r="L189" s="1218" t="e">
        <f t="shared" ca="1" si="83"/>
        <v>#N/A</v>
      </c>
      <c r="M189" s="1219" t="e">
        <f ca="1">IF(AND(INDEX(FlowCalConstA,MATCH(J174,FlowCalNumber,0),1,1)*L189^INDEX(FlowCalConstB,MATCH(J174,FlowCalNumber,0),1,1)&gt;INDEX(FlowCalLowSetting,MATCH(J174,FlowCalNumber,0),1,1), (INDEX(FlowCalConstA,MATCH(J174,FlowCalNumber,0),1,1)*L189^INDEX(FlowCalConstB,MATCH(J174,FlowCalNumber,0),1,1)&lt;INDEX(FlowCalHighSetting,MATCH(J174,FlowCalNumber,0),1,1))),INDEX(FlowCalConstA,MATCH(J174,FlowCalNumber,0),1,1)*L189^INDEX(FlowCalConstB,MATCH(J174,FlowCalNumber,0),1,1)," ")</f>
        <v>#N/A</v>
      </c>
      <c r="N189" s="1216"/>
      <c r="O189" s="1217">
        <f t="shared" si="84"/>
        <v>1</v>
      </c>
      <c r="P189" s="1218" t="e">
        <f t="shared" ca="1" si="85"/>
        <v>#N/A</v>
      </c>
      <c r="Q189" s="1220" t="e">
        <f ca="1">IF(AND(INDEX(FlowCalConstA,MATCH(N174,FlowCalNumber,0),1,1)*P189^INDEX(FlowCalConstB,MATCH(N174,FlowCalNumber,0),1,1)&gt;INDEX(FlowCalLowSetting,MATCH(N174,FlowCalNumber,0),1,1), (INDEX(FlowCalConstA,MATCH(N174,FlowCalNumber,0),1,1)*P189^INDEX(FlowCalConstB,MATCH(N174,FlowCalNumber,0),1,1)&lt;INDEX(FlowCalHighSetting,MATCH(N174,FlowCalNumber,0),1,1))),INDEX(FlowCalConstA,MATCH(N174,FlowCalNumber,0),1,1)*P189^INDEX(FlowCalConstB,MATCH(N174,FlowCalNumber,0),1,1)," ")</f>
        <v>#N/A</v>
      </c>
      <c r="R189" s="1216"/>
      <c r="S189" s="1217">
        <f t="shared" si="86"/>
        <v>0.5</v>
      </c>
      <c r="T189" s="1218" t="e">
        <f t="shared" ca="1" si="87"/>
        <v>#N/A</v>
      </c>
      <c r="U189" s="1219" t="e">
        <f ca="1">IF(AND(INDEX(FlowCalConstA,MATCH(R174,FlowCalNumber,0),1,1)*T189^INDEX(FlowCalConstB,MATCH(R174,FlowCalNumber,0),1,1)&gt;INDEX(FlowCalLowSetting,MATCH(R174,FlowCalNumber,0),1,1), (INDEX(FlowCalConstA,MATCH(R174,FlowCalNumber,0),1,1)*T189^INDEX(FlowCalConstB,MATCH(R174,FlowCalNumber,0),1,1)&lt;INDEX(FlowCalHighSetting,MATCH(R174,FlowCalNumber,0),1,1))),INDEX(FlowCalConstA,MATCH(R174,FlowCalNumber,0),1,1)*T189^INDEX(FlowCalConstB,MATCH(R174,FlowCalNumber,0),1,1)," ")</f>
        <v>#N/A</v>
      </c>
      <c r="V189" s="1216"/>
      <c r="W189" s="1217">
        <f t="shared" si="88"/>
        <v>0.5</v>
      </c>
      <c r="X189" s="1218" t="e">
        <f t="shared" ca="1" si="89"/>
        <v>#N/A</v>
      </c>
      <c r="Y189" s="1220" t="e">
        <f ca="1">IF(AND(INDEX(FlowCalConstA,MATCH(V174,FlowCalNumber,0),1,1)*X189^INDEX(FlowCalConstB,MATCH(V174,FlowCalNumber,0),1,1)&gt;INDEX(FlowCalLowSetting,MATCH(V174,FlowCalNumber,0),1,1), (INDEX(FlowCalConstA,MATCH(V174,FlowCalNumber,0),1,1)*X189^INDEX(FlowCalConstB,MATCH(V174,FlowCalNumber,0),1,1)&lt;INDEX(FlowCalHighSetting,MATCH(V174,FlowCalNumber,0),1,1))),INDEX(FlowCalConstA,MATCH(V174,FlowCalNumber,0),1,1)*X189^INDEX(FlowCalConstB,MATCH(V174,FlowCalNumber,0),1,1)," ")</f>
        <v>#N/A</v>
      </c>
    </row>
    <row r="190" spans="1:27">
      <c r="A190" s="90"/>
      <c r="B190" s="2" t="str">
        <f>ROUND(G191,1)&amp;" m/s WT Reference Speed"</f>
        <v>2 m/s WT Reference Speed</v>
      </c>
      <c r="C190" s="695"/>
      <c r="D190" s="553"/>
      <c r="E190" s="696"/>
      <c r="F190" s="696"/>
      <c r="G190" s="697"/>
      <c r="H190" s="553"/>
      <c r="I190" s="553"/>
      <c r="J190" s="377"/>
      <c r="M190" s="243"/>
      <c r="N190" s="377"/>
      <c r="Q190" s="244"/>
      <c r="R190" s="377"/>
      <c r="U190" s="243"/>
      <c r="V190" s="377"/>
      <c r="Y190" s="244"/>
    </row>
    <row r="191" spans="1:27">
      <c r="A191" s="639">
        <v>1</v>
      </c>
      <c r="B191" s="42" t="str">
        <f>INDEX(SourceID,MATCH($A191,SourceNumber,0),1,1)</f>
        <v>AHU Labs-1</v>
      </c>
      <c r="C191" s="354">
        <f>INDEX(SourceExitDiameter,MATCH($A191,SourceNumber,0),1,1)*3.28*12</f>
        <v>172.59999999999997</v>
      </c>
      <c r="D191" s="24" t="str">
        <f>UAnem1percent</f>
        <v>1% Wind</v>
      </c>
      <c r="E191" s="85" t="e">
        <f ca="1">INDIRECT(ADDRESS(53,6,1,,$A191))</f>
        <v>#VALUE!</v>
      </c>
      <c r="F191" s="626" t="e">
        <f ca="1">(ROUND((INDIRECT(ADDRESS(15,7,1,,$A191))*3.28*12*32),0)&amp;"/32")</f>
        <v>#VALUE!</v>
      </c>
      <c r="G191" s="1687">
        <v>2</v>
      </c>
      <c r="H191" s="24" t="e">
        <f ca="1">INDIRECT(ADDRESS(19,7,1,,$A191))*100^3</f>
        <v>#VALUE!</v>
      </c>
      <c r="I191" s="24">
        <f ca="1">INDIRECT(ADDRESS(53,7,1,,$A191))</f>
        <v>1</v>
      </c>
      <c r="J191" s="20" t="str">
        <f>K$15&amp;$H$6&amp;J$6</f>
        <v>100AirPick a Tunnel</v>
      </c>
      <c r="K191" t="e">
        <f>INDEX(FlowCalGasMixture,MATCH(J191,FlowCalNumber,0),1,1)</f>
        <v>#N/A</v>
      </c>
      <c r="M191" s="355" t="e">
        <f>INDEX(FlowCalDevice,MATCH(J191,FlowCalNumber,0),1,1)</f>
        <v>#N/A</v>
      </c>
      <c r="N191" s="20" t="str">
        <f>O$15&amp;$H$6&amp;N$6</f>
        <v>100AirPick a Tunnel</v>
      </c>
      <c r="O191" t="e">
        <f>INDEX(FlowCalGasMixture,MATCH(N191,FlowCalNumber,0),1,1)</f>
        <v>#N/A</v>
      </c>
      <c r="Q191" s="355" t="e">
        <f>INDEX(FlowCalDevice,MATCH(N191,FlowCalNumber,0),1,1)</f>
        <v>#N/A</v>
      </c>
      <c r="R191" s="20" t="str">
        <f>S$15&amp;$H$6&amp;R$6</f>
        <v>100AirPick a Tunnel</v>
      </c>
      <c r="S191" t="e">
        <f>INDEX(FlowCalGasMixture,MATCH(R191,FlowCalNumber,0),1,1)</f>
        <v>#N/A</v>
      </c>
      <c r="U191" s="944" t="e">
        <f>INDEX(FlowCalDevice,MATCH(R191,FlowCalNumber,0),1,1)</f>
        <v>#N/A</v>
      </c>
      <c r="V191" s="946" t="str">
        <f>W$15&amp;$H$6&amp;V$6</f>
        <v>100AirPick a Tunnel</v>
      </c>
      <c r="W191" t="e">
        <f>INDEX(FlowCalGasMixture,MATCH(V191,FlowCalNumber,0),1,1)</f>
        <v>#N/A</v>
      </c>
      <c r="Y191" s="982" t="e">
        <f>INDEX(FlowCalDevice,MATCH(V191,FlowCalNumber,0),1,1)</f>
        <v>#N/A</v>
      </c>
      <c r="AA191" s="694"/>
    </row>
    <row r="192" spans="1:27" s="1215" customFormat="1">
      <c r="A192" s="1208"/>
      <c r="B192" s="1209"/>
      <c r="C192" s="1210"/>
      <c r="D192" s="1211">
        <f>'1% Wind'!$M$82</f>
        <v>27</v>
      </c>
      <c r="E192" s="1212"/>
      <c r="F192" s="1212"/>
      <c r="G192" s="1213">
        <v>2</v>
      </c>
      <c r="H192" s="1214" t="e">
        <f t="shared" ref="H192:H206" ca="1" si="90">H191*(D191/D192)*(G192/G191)</f>
        <v>#VALUE!</v>
      </c>
      <c r="J192" s="1216"/>
      <c r="K192" s="1221">
        <f>K$16/100</f>
        <v>1</v>
      </c>
      <c r="L192" s="1218" t="e">
        <f ca="1">K192*$H192</f>
        <v>#VALUE!</v>
      </c>
      <c r="M192" s="1219" t="e">
        <f ca="1">IF(AND(INDEX(FlowCalConstA,MATCH(J191,FlowCalNumber,0),1,1)*L192^INDEX(FlowCalConstB,MATCH(J191,FlowCalNumber,0),1,1)&gt;INDEX(FlowCalLowSetting,MATCH(J191,FlowCalNumber,0),1,1), (INDEX(FlowCalConstA,MATCH(J191,FlowCalNumber,0),1,1)*L192^INDEX(FlowCalConstB,MATCH(J191,FlowCalNumber,0),1,1)&lt;INDEX(FlowCalHighSetting,MATCH(J191,FlowCalNumber,0),1,1))),INDEX(FlowCalConstA,MATCH(J191,FlowCalNumber,0),1,1)*L192^INDEX(FlowCalConstB,MATCH(J191,FlowCalNumber,0),1,1)," ")</f>
        <v>#N/A</v>
      </c>
      <c r="N192" s="1216"/>
      <c r="O192" s="1221">
        <f>O$16/100</f>
        <v>1</v>
      </c>
      <c r="P192" s="1218" t="e">
        <f ca="1">O192*$H192</f>
        <v>#VALUE!</v>
      </c>
      <c r="Q192" s="1220" t="e">
        <f ca="1">IF(AND(INDEX(FlowCalConstA,MATCH(N191,FlowCalNumber,0),1,1)*P192^INDEX(FlowCalConstB,MATCH(N191,FlowCalNumber,0),1,1)&gt;INDEX(FlowCalLowSetting,MATCH(N191,FlowCalNumber,0),1,1), (INDEX(FlowCalConstA,MATCH(N191,FlowCalNumber,0),1,1)*P192^INDEX(FlowCalConstB,MATCH(N191,FlowCalNumber,0),1,1)&lt;INDEX(FlowCalHighSetting,MATCH(N191,FlowCalNumber,0),1,1))),INDEX(FlowCalConstA,MATCH(N191,FlowCalNumber,0),1,1)*P192^INDEX(FlowCalConstB,MATCH(N191,FlowCalNumber,0),1,1)," ")</f>
        <v>#N/A</v>
      </c>
      <c r="R192" s="1216"/>
      <c r="S192" s="1221">
        <f>S$16/100</f>
        <v>0.5</v>
      </c>
      <c r="T192" s="1218" t="e">
        <f ca="1">S192*$H192</f>
        <v>#VALUE!</v>
      </c>
      <c r="U192" s="1219" t="e">
        <f ca="1">IF(AND(INDEX(FlowCalConstA,MATCH(R191,FlowCalNumber,0),1,1)*T192^INDEX(FlowCalConstB,MATCH(R191,FlowCalNumber,0),1,1)&gt;INDEX(FlowCalLowSetting,MATCH(R191,FlowCalNumber,0),1,1), (INDEX(FlowCalConstA,MATCH(R191,FlowCalNumber,0),1,1)*T192^INDEX(FlowCalConstB,MATCH(R191,FlowCalNumber,0),1,1)&lt;INDEX(FlowCalHighSetting,MATCH(R191,FlowCalNumber,0),1,1))),INDEX(FlowCalConstA,MATCH(R191,FlowCalNumber,0),1,1)*T192^INDEX(FlowCalConstB,MATCH(R191,FlowCalNumber,0),1,1)," ")</f>
        <v>#N/A</v>
      </c>
      <c r="V192" s="1216"/>
      <c r="W192" s="1221">
        <f>W$16/100</f>
        <v>0.5</v>
      </c>
      <c r="X192" s="1218" t="e">
        <f ca="1">W192*$H192</f>
        <v>#VALUE!</v>
      </c>
      <c r="Y192" s="1220" t="e">
        <f ca="1">IF(AND(INDEX(FlowCalConstA,MATCH(V191,FlowCalNumber,0),1,1)*X192^INDEX(FlowCalConstB,MATCH(V191,FlowCalNumber,0),1,1)&gt;INDEX(FlowCalLowSetting,MATCH(V191,FlowCalNumber,0),1,1), (INDEX(FlowCalConstA,MATCH(V191,FlowCalNumber,0),1,1)*X192^INDEX(FlowCalConstB,MATCH(V191,FlowCalNumber,0),1,1)&lt;INDEX(FlowCalHighSetting,MATCH(V191,FlowCalNumber,0),1,1))),INDEX(FlowCalConstA,MATCH(V191,FlowCalNumber,0),1,1)*X192^INDEX(FlowCalConstB,MATCH(V191,FlowCalNumber,0),1,1)," ")</f>
        <v>#N/A</v>
      </c>
    </row>
    <row r="193" spans="1:25">
      <c r="A193" s="412"/>
      <c r="B193" s="2"/>
      <c r="C193" s="235"/>
      <c r="D193" s="24">
        <f>'1% Wind'!$M$83</f>
        <v>23.5</v>
      </c>
      <c r="E193" s="90"/>
      <c r="F193" s="90"/>
      <c r="G193" s="79">
        <f ca="1">IF(I191=1,$G192,MAX(G192/D192*D193,2))</f>
        <v>2</v>
      </c>
      <c r="H193" s="121" t="e">
        <f t="shared" ca="1" si="90"/>
        <v>#VALUE!</v>
      </c>
      <c r="J193" s="377"/>
      <c r="K193" s="242">
        <f t="shared" ref="K193:K206" si="91">K192</f>
        <v>1</v>
      </c>
      <c r="L193" s="241" t="e">
        <f t="shared" ref="L193:L206" ca="1" si="92">K193*$H193</f>
        <v>#VALUE!</v>
      </c>
      <c r="M193" s="243" t="e">
        <f ca="1">IF(AND(INDEX(FlowCalConstA,MATCH(J191,FlowCalNumber,0),1,1)*L193^INDEX(FlowCalConstB,MATCH(J191,FlowCalNumber,0),1,1)&gt;INDEX(FlowCalLowSetting,MATCH(J191,FlowCalNumber,0),1,1), (INDEX(FlowCalConstA,MATCH(J191,FlowCalNumber,0),1,1)*L193^INDEX(FlowCalConstB,MATCH(J191,FlowCalNumber,0),1,1)&lt;INDEX(FlowCalHighSetting,MATCH(J191,FlowCalNumber,0),1,1))),INDEX(FlowCalConstA,MATCH(J191,FlowCalNumber,0),1,1)*L193^INDEX(FlowCalConstB,MATCH(J191,FlowCalNumber,0),1,1)," ")</f>
        <v>#N/A</v>
      </c>
      <c r="N193" s="377"/>
      <c r="O193" s="242">
        <f t="shared" ref="O193:O206" si="93">O192</f>
        <v>1</v>
      </c>
      <c r="P193" s="241" t="e">
        <f t="shared" ref="P193:P206" ca="1" si="94">O193*$H193</f>
        <v>#VALUE!</v>
      </c>
      <c r="Q193" s="244" t="e">
        <f ca="1">IF(AND(INDEX(FlowCalConstA,MATCH(N191,FlowCalNumber,0),1,1)*P193^INDEX(FlowCalConstB,MATCH(N191,FlowCalNumber,0),1,1)&gt;INDEX(FlowCalLowSetting,MATCH(N191,FlowCalNumber,0),1,1), (INDEX(FlowCalConstA,MATCH(N191,FlowCalNumber,0),1,1)*P193^INDEX(FlowCalConstB,MATCH(N191,FlowCalNumber,0),1,1)&lt;INDEX(FlowCalHighSetting,MATCH(N191,FlowCalNumber,0),1,1))),INDEX(FlowCalConstA,MATCH(N191,FlowCalNumber,0),1,1)*P193^INDEX(FlowCalConstB,MATCH(N191,FlowCalNumber,0),1,1)," ")</f>
        <v>#N/A</v>
      </c>
      <c r="R193" s="377"/>
      <c r="S193" s="242">
        <f t="shared" ref="S193:S206" si="95">S192</f>
        <v>0.5</v>
      </c>
      <c r="T193" s="241" t="e">
        <f t="shared" ref="T193:T206" ca="1" si="96">S193*$H193</f>
        <v>#VALUE!</v>
      </c>
      <c r="U193" s="243" t="e">
        <f ca="1">IF(AND(INDEX(FlowCalConstA,MATCH(R191,FlowCalNumber,0),1,1)*T193^INDEX(FlowCalConstB,MATCH(R191,FlowCalNumber,0),1,1)&gt;INDEX(FlowCalLowSetting,MATCH(R191,FlowCalNumber,0),1,1), (INDEX(FlowCalConstA,MATCH(R191,FlowCalNumber,0),1,1)*T193^INDEX(FlowCalConstB,MATCH(R191,FlowCalNumber,0),1,1)&lt;INDEX(FlowCalHighSetting,MATCH(R191,FlowCalNumber,0),1,1))),INDEX(FlowCalConstA,MATCH(R191,FlowCalNumber,0),1,1)*T193^INDEX(FlowCalConstB,MATCH(R191,FlowCalNumber,0),1,1)," ")</f>
        <v>#N/A</v>
      </c>
      <c r="V193" s="377"/>
      <c r="W193" s="242">
        <f t="shared" ref="W193:W206" si="97">W192</f>
        <v>0.5</v>
      </c>
      <c r="X193" s="241" t="e">
        <f t="shared" ref="X193:X206" ca="1" si="98">W193*$H193</f>
        <v>#VALUE!</v>
      </c>
      <c r="Y193" s="244" t="e">
        <f ca="1">IF(AND(INDEX(FlowCalConstA,MATCH(V191,FlowCalNumber,0),1,1)*X193^INDEX(FlowCalConstB,MATCH(V191,FlowCalNumber,0),1,1)&gt;INDEX(FlowCalLowSetting,MATCH(V191,FlowCalNumber,0),1,1), (INDEX(FlowCalConstA,MATCH(V191,FlowCalNumber,0),1,1)*X193^INDEX(FlowCalConstB,MATCH(V191,FlowCalNumber,0),1,1)&lt;INDEX(FlowCalHighSetting,MATCH(V191,FlowCalNumber,0),1,1))),INDEX(FlowCalConstA,MATCH(V191,FlowCalNumber,0),1,1)*X193^INDEX(FlowCalConstB,MATCH(V191,FlowCalNumber,0),1,1)," ")</f>
        <v>#N/A</v>
      </c>
    </row>
    <row r="194" spans="1:25" s="1215" customFormat="1">
      <c r="A194" s="1208"/>
      <c r="B194" s="1209"/>
      <c r="C194" s="1210"/>
      <c r="D194" s="1211">
        <f>'1% Wind'!$M$84</f>
        <v>20.5</v>
      </c>
      <c r="E194" s="1212"/>
      <c r="F194" s="1212"/>
      <c r="G194" s="1213">
        <f ca="1">IF(I191=1,$G193,MAX(G193/D193*D194,2))</f>
        <v>2</v>
      </c>
      <c r="H194" s="1214" t="e">
        <f t="shared" ca="1" si="90"/>
        <v>#VALUE!</v>
      </c>
      <c r="J194" s="1216"/>
      <c r="K194" s="1217">
        <f t="shared" si="91"/>
        <v>1</v>
      </c>
      <c r="L194" s="1218" t="e">
        <f t="shared" ca="1" si="92"/>
        <v>#VALUE!</v>
      </c>
      <c r="M194" s="1219" t="e">
        <f ca="1">IF(AND(INDEX(FlowCalConstA,MATCH(J191,FlowCalNumber,0),1,1)*L194^INDEX(FlowCalConstB,MATCH(J191,FlowCalNumber,0),1,1)&gt;INDEX(FlowCalLowSetting,MATCH(J191,FlowCalNumber,0),1,1), (INDEX(FlowCalConstA,MATCH(J191,FlowCalNumber,0),1,1)*L194^INDEX(FlowCalConstB,MATCH(J191,FlowCalNumber,0),1,1)&lt;INDEX(FlowCalHighSetting,MATCH(J191,FlowCalNumber,0),1,1))),INDEX(FlowCalConstA,MATCH(J191,FlowCalNumber,0),1,1)*L194^INDEX(FlowCalConstB,MATCH(J191,FlowCalNumber,0),1,1)," ")</f>
        <v>#N/A</v>
      </c>
      <c r="N194" s="1216"/>
      <c r="O194" s="1217">
        <f t="shared" si="93"/>
        <v>1</v>
      </c>
      <c r="P194" s="1218" t="e">
        <f t="shared" ca="1" si="94"/>
        <v>#VALUE!</v>
      </c>
      <c r="Q194" s="1220" t="e">
        <f ca="1">IF(AND(INDEX(FlowCalConstA,MATCH(N191,FlowCalNumber,0),1,1)*P194^INDEX(FlowCalConstB,MATCH(N191,FlowCalNumber,0),1,1)&gt;INDEX(FlowCalLowSetting,MATCH(N191,FlowCalNumber,0),1,1), (INDEX(FlowCalConstA,MATCH(N191,FlowCalNumber,0),1,1)*P194^INDEX(FlowCalConstB,MATCH(N191,FlowCalNumber,0),1,1)&lt;INDEX(FlowCalHighSetting,MATCH(N191,FlowCalNumber,0),1,1))),INDEX(FlowCalConstA,MATCH(N191,FlowCalNumber,0),1,1)*P194^INDEX(FlowCalConstB,MATCH(N191,FlowCalNumber,0),1,1)," ")</f>
        <v>#N/A</v>
      </c>
      <c r="R194" s="1216"/>
      <c r="S194" s="1217">
        <f t="shared" si="95"/>
        <v>0.5</v>
      </c>
      <c r="T194" s="1218" t="e">
        <f t="shared" ca="1" si="96"/>
        <v>#VALUE!</v>
      </c>
      <c r="U194" s="1219" t="e">
        <f ca="1">IF(AND(INDEX(FlowCalConstA,MATCH(R191,FlowCalNumber,0),1,1)*T194^INDEX(FlowCalConstB,MATCH(R191,FlowCalNumber,0),1,1)&gt;INDEX(FlowCalLowSetting,MATCH(R191,FlowCalNumber,0),1,1), (INDEX(FlowCalConstA,MATCH(R191,FlowCalNumber,0),1,1)*T194^INDEX(FlowCalConstB,MATCH(R191,FlowCalNumber,0),1,1)&lt;INDEX(FlowCalHighSetting,MATCH(R191,FlowCalNumber,0),1,1))),INDEX(FlowCalConstA,MATCH(R191,FlowCalNumber,0),1,1)*T194^INDEX(FlowCalConstB,MATCH(R191,FlowCalNumber,0),1,1)," ")</f>
        <v>#N/A</v>
      </c>
      <c r="V194" s="1216"/>
      <c r="W194" s="1217">
        <f t="shared" si="97"/>
        <v>0.5</v>
      </c>
      <c r="X194" s="1218" t="e">
        <f t="shared" ca="1" si="98"/>
        <v>#VALUE!</v>
      </c>
      <c r="Y194" s="1220" t="e">
        <f ca="1">IF(AND(INDEX(FlowCalConstA,MATCH(V191,FlowCalNumber,0),1,1)*X194^INDEX(FlowCalConstB,MATCH(V191,FlowCalNumber,0),1,1)&gt;INDEX(FlowCalLowSetting,MATCH(V191,FlowCalNumber,0),1,1), (INDEX(FlowCalConstA,MATCH(V191,FlowCalNumber,0),1,1)*X194^INDEX(FlowCalConstB,MATCH(V191,FlowCalNumber,0),1,1)&lt;INDEX(FlowCalHighSetting,MATCH(V191,FlowCalNumber,0),1,1))),INDEX(FlowCalConstA,MATCH(V191,FlowCalNumber,0),1,1)*X194^INDEX(FlowCalConstB,MATCH(V191,FlowCalNumber,0),1,1)," ")</f>
        <v>#N/A</v>
      </c>
    </row>
    <row r="195" spans="1:25">
      <c r="A195" s="412"/>
      <c r="B195" s="2"/>
      <c r="C195" s="235"/>
      <c r="D195" s="24">
        <f>'1% Wind'!$M$85</f>
        <v>17.8</v>
      </c>
      <c r="E195" s="90"/>
      <c r="F195" s="90"/>
      <c r="G195" s="79">
        <f ca="1">IF(I191=1,$G194,MAX(G194/D194*D195,2))</f>
        <v>2</v>
      </c>
      <c r="H195" s="121" t="e">
        <f t="shared" ca="1" si="90"/>
        <v>#VALUE!</v>
      </c>
      <c r="J195" s="377"/>
      <c r="K195" s="242">
        <f t="shared" si="91"/>
        <v>1</v>
      </c>
      <c r="L195" s="241" t="e">
        <f t="shared" ca="1" si="92"/>
        <v>#VALUE!</v>
      </c>
      <c r="M195" s="243" t="e">
        <f ca="1">IF(AND(INDEX(FlowCalConstA,MATCH(J191,FlowCalNumber,0),1,1)*L195^INDEX(FlowCalConstB,MATCH(J191,FlowCalNumber,0),1,1)&gt;INDEX(FlowCalLowSetting,MATCH(J191,FlowCalNumber,0),1,1), (INDEX(FlowCalConstA,MATCH(J191,FlowCalNumber,0),1,1)*L195^INDEX(FlowCalConstB,MATCH(J191,FlowCalNumber,0),1,1)&lt;INDEX(FlowCalHighSetting,MATCH(J191,FlowCalNumber,0),1,1))),INDEX(FlowCalConstA,MATCH(J191,FlowCalNumber,0),1,1)*L195^INDEX(FlowCalConstB,MATCH(J191,FlowCalNumber,0),1,1)," ")</f>
        <v>#N/A</v>
      </c>
      <c r="N195" s="377"/>
      <c r="O195" s="242">
        <f t="shared" si="93"/>
        <v>1</v>
      </c>
      <c r="P195" s="241" t="e">
        <f t="shared" ca="1" si="94"/>
        <v>#VALUE!</v>
      </c>
      <c r="Q195" s="244" t="e">
        <f ca="1">IF(AND(INDEX(FlowCalConstA,MATCH(N191,FlowCalNumber,0),1,1)*P195^INDEX(FlowCalConstB,MATCH(N191,FlowCalNumber,0),1,1)&gt;INDEX(FlowCalLowSetting,MATCH(N191,FlowCalNumber,0),1,1), (INDEX(FlowCalConstA,MATCH(N191,FlowCalNumber,0),1,1)*P195^INDEX(FlowCalConstB,MATCH(N191,FlowCalNumber,0),1,1)&lt;INDEX(FlowCalHighSetting,MATCH(N191,FlowCalNumber,0),1,1))),INDEX(FlowCalConstA,MATCH(N191,FlowCalNumber,0),1,1)*P195^INDEX(FlowCalConstB,MATCH(N191,FlowCalNumber,0),1,1)," ")</f>
        <v>#N/A</v>
      </c>
      <c r="R195" s="377"/>
      <c r="S195" s="242">
        <f t="shared" si="95"/>
        <v>0.5</v>
      </c>
      <c r="T195" s="241" t="e">
        <f t="shared" ca="1" si="96"/>
        <v>#VALUE!</v>
      </c>
      <c r="U195" s="243" t="e">
        <f ca="1">IF(AND(INDEX(FlowCalConstA,MATCH(R191,FlowCalNumber,0),1,1)*T195^INDEX(FlowCalConstB,MATCH(R191,FlowCalNumber,0),1,1)&gt;INDEX(FlowCalLowSetting,MATCH(R191,FlowCalNumber,0),1,1), (INDEX(FlowCalConstA,MATCH(R191,FlowCalNumber,0),1,1)*T195^INDEX(FlowCalConstB,MATCH(R191,FlowCalNumber,0),1,1)&lt;INDEX(FlowCalHighSetting,MATCH(R191,FlowCalNumber,0),1,1))),INDEX(FlowCalConstA,MATCH(R191,FlowCalNumber,0),1,1)*T195^INDEX(FlowCalConstB,MATCH(R191,FlowCalNumber,0),1,1)," ")</f>
        <v>#N/A</v>
      </c>
      <c r="V195" s="377"/>
      <c r="W195" s="242">
        <f t="shared" si="97"/>
        <v>0.5</v>
      </c>
      <c r="X195" s="241" t="e">
        <f t="shared" ca="1" si="98"/>
        <v>#VALUE!</v>
      </c>
      <c r="Y195" s="244" t="e">
        <f ca="1">IF(AND(INDEX(FlowCalConstA,MATCH(V191,FlowCalNumber,0),1,1)*X195^INDEX(FlowCalConstB,MATCH(V191,FlowCalNumber,0),1,1)&gt;INDEX(FlowCalLowSetting,MATCH(V191,FlowCalNumber,0),1,1), (INDEX(FlowCalConstA,MATCH(V191,FlowCalNumber,0),1,1)*X195^INDEX(FlowCalConstB,MATCH(V191,FlowCalNumber,0),1,1)&lt;INDEX(FlowCalHighSetting,MATCH(V191,FlowCalNumber,0),1,1))),INDEX(FlowCalConstA,MATCH(V191,FlowCalNumber,0),1,1)*X195^INDEX(FlowCalConstB,MATCH(V191,FlowCalNumber,0),1,1)," ")</f>
        <v>#N/A</v>
      </c>
    </row>
    <row r="196" spans="1:25" s="1215" customFormat="1">
      <c r="A196" s="1208"/>
      <c r="B196" s="1209"/>
      <c r="C196" s="1210"/>
      <c r="D196" s="1211">
        <f>'1% Wind'!$M$86</f>
        <v>15.5</v>
      </c>
      <c r="E196" s="1212"/>
      <c r="F196" s="1212"/>
      <c r="G196" s="1213">
        <f ca="1">IF(I191=1,$G195,MAX(G195/D195*D196,2))</f>
        <v>2</v>
      </c>
      <c r="H196" s="1214" t="e">
        <f t="shared" ca="1" si="90"/>
        <v>#VALUE!</v>
      </c>
      <c r="J196" s="1216"/>
      <c r="K196" s="1217">
        <f t="shared" si="91"/>
        <v>1</v>
      </c>
      <c r="L196" s="1218" t="e">
        <f t="shared" ca="1" si="92"/>
        <v>#VALUE!</v>
      </c>
      <c r="M196" s="1219" t="e">
        <f ca="1">IF(AND(INDEX(FlowCalConstA,MATCH(J191,FlowCalNumber,0),1,1)*L196^INDEX(FlowCalConstB,MATCH(J191,FlowCalNumber,0),1,1)&gt;INDEX(FlowCalLowSetting,MATCH(J191,FlowCalNumber,0),1,1), (INDEX(FlowCalConstA,MATCH(J191,FlowCalNumber,0),1,1)*L196^INDEX(FlowCalConstB,MATCH(J191,FlowCalNumber,0),1,1)&lt;INDEX(FlowCalHighSetting,MATCH(J191,FlowCalNumber,0),1,1))),INDEX(FlowCalConstA,MATCH(J191,FlowCalNumber,0),1,1)*L196^INDEX(FlowCalConstB,MATCH(J191,FlowCalNumber,0),1,1)," ")</f>
        <v>#N/A</v>
      </c>
      <c r="N196" s="1216"/>
      <c r="O196" s="1217">
        <f t="shared" si="93"/>
        <v>1</v>
      </c>
      <c r="P196" s="1218" t="e">
        <f t="shared" ca="1" si="94"/>
        <v>#VALUE!</v>
      </c>
      <c r="Q196" s="1220" t="e">
        <f ca="1">IF(AND(INDEX(FlowCalConstA,MATCH(N191,FlowCalNumber,0),1,1)*P196^INDEX(FlowCalConstB,MATCH(N191,FlowCalNumber,0),1,1)&gt;INDEX(FlowCalLowSetting,MATCH(N191,FlowCalNumber,0),1,1), (INDEX(FlowCalConstA,MATCH(N191,FlowCalNumber,0),1,1)*P196^INDEX(FlowCalConstB,MATCH(N191,FlowCalNumber,0),1,1)&lt;INDEX(FlowCalHighSetting,MATCH(N191,FlowCalNumber,0),1,1))),INDEX(FlowCalConstA,MATCH(N191,FlowCalNumber,0),1,1)*P196^INDEX(FlowCalConstB,MATCH(N191,FlowCalNumber,0),1,1)," ")</f>
        <v>#N/A</v>
      </c>
      <c r="R196" s="1216"/>
      <c r="S196" s="1217">
        <f t="shared" si="95"/>
        <v>0.5</v>
      </c>
      <c r="T196" s="1218" t="e">
        <f t="shared" ca="1" si="96"/>
        <v>#VALUE!</v>
      </c>
      <c r="U196" s="1219" t="e">
        <f ca="1">IF(AND(INDEX(FlowCalConstA,MATCH(R191,FlowCalNumber,0),1,1)*T196^INDEX(FlowCalConstB,MATCH(R191,FlowCalNumber,0),1,1)&gt;INDEX(FlowCalLowSetting,MATCH(R191,FlowCalNumber,0),1,1), (INDEX(FlowCalConstA,MATCH(R191,FlowCalNumber,0),1,1)*T196^INDEX(FlowCalConstB,MATCH(R191,FlowCalNumber,0),1,1)&lt;INDEX(FlowCalHighSetting,MATCH(R191,FlowCalNumber,0),1,1))),INDEX(FlowCalConstA,MATCH(R191,FlowCalNumber,0),1,1)*T196^INDEX(FlowCalConstB,MATCH(R191,FlowCalNumber,0),1,1)," ")</f>
        <v>#N/A</v>
      </c>
      <c r="V196" s="1216"/>
      <c r="W196" s="1217">
        <f t="shared" si="97"/>
        <v>0.5</v>
      </c>
      <c r="X196" s="1218" t="e">
        <f t="shared" ca="1" si="98"/>
        <v>#VALUE!</v>
      </c>
      <c r="Y196" s="1220" t="e">
        <f ca="1">IF(AND(INDEX(FlowCalConstA,MATCH(V191,FlowCalNumber,0),1,1)*X196^INDEX(FlowCalConstB,MATCH(V191,FlowCalNumber,0),1,1)&gt;INDEX(FlowCalLowSetting,MATCH(V191,FlowCalNumber,0),1,1), (INDEX(FlowCalConstA,MATCH(V191,FlowCalNumber,0),1,1)*X196^INDEX(FlowCalConstB,MATCH(V191,FlowCalNumber,0),1,1)&lt;INDEX(FlowCalHighSetting,MATCH(V191,FlowCalNumber,0),1,1))),INDEX(FlowCalConstA,MATCH(V191,FlowCalNumber,0),1,1)*X196^INDEX(FlowCalConstB,MATCH(V191,FlowCalNumber,0),1,1)," ")</f>
        <v>#N/A</v>
      </c>
    </row>
    <row r="197" spans="1:25">
      <c r="A197" s="412"/>
      <c r="B197" s="2"/>
      <c r="C197" s="235"/>
      <c r="D197" s="24">
        <f>'1% Wind'!$M$87</f>
        <v>13.5</v>
      </c>
      <c r="E197" s="90"/>
      <c r="F197" s="90"/>
      <c r="G197" s="79">
        <f ca="1">IF(I191=1,$G196,MAX(G196/D196*D197,2))</f>
        <v>2</v>
      </c>
      <c r="H197" s="121" t="e">
        <f t="shared" ca="1" si="90"/>
        <v>#VALUE!</v>
      </c>
      <c r="J197" s="377"/>
      <c r="K197" s="242">
        <f t="shared" si="91"/>
        <v>1</v>
      </c>
      <c r="L197" s="241" t="e">
        <f t="shared" ca="1" si="92"/>
        <v>#VALUE!</v>
      </c>
      <c r="M197" s="243" t="e">
        <f ca="1">IF(AND(INDEX(FlowCalConstA,MATCH(J191,FlowCalNumber,0),1,1)*L197^INDEX(FlowCalConstB,MATCH(J191,FlowCalNumber,0),1,1)&gt;INDEX(FlowCalLowSetting,MATCH(J191,FlowCalNumber,0),1,1), (INDEX(FlowCalConstA,MATCH(J191,FlowCalNumber,0),1,1)*L197^INDEX(FlowCalConstB,MATCH(J191,FlowCalNumber,0),1,1)&lt;INDEX(FlowCalHighSetting,MATCH(J191,FlowCalNumber,0),1,1))),INDEX(FlowCalConstA,MATCH(J191,FlowCalNumber,0),1,1)*L197^INDEX(FlowCalConstB,MATCH(J191,FlowCalNumber,0),1,1)," ")</f>
        <v>#N/A</v>
      </c>
      <c r="N197" s="377"/>
      <c r="O197" s="242">
        <f t="shared" si="93"/>
        <v>1</v>
      </c>
      <c r="P197" s="241" t="e">
        <f t="shared" ca="1" si="94"/>
        <v>#VALUE!</v>
      </c>
      <c r="Q197" s="244" t="e">
        <f ca="1">IF(AND(INDEX(FlowCalConstA,MATCH(N191,FlowCalNumber,0),1,1)*P197^INDEX(FlowCalConstB,MATCH(N191,FlowCalNumber,0),1,1)&gt;INDEX(FlowCalLowSetting,MATCH(N191,FlowCalNumber,0),1,1), (INDEX(FlowCalConstA,MATCH(N191,FlowCalNumber,0),1,1)*P197^INDEX(FlowCalConstB,MATCH(N191,FlowCalNumber,0),1,1)&lt;INDEX(FlowCalHighSetting,MATCH(N191,FlowCalNumber,0),1,1))),INDEX(FlowCalConstA,MATCH(N191,FlowCalNumber,0),1,1)*P197^INDEX(FlowCalConstB,MATCH(N191,FlowCalNumber,0),1,1)," ")</f>
        <v>#N/A</v>
      </c>
      <c r="R197" s="377"/>
      <c r="S197" s="242">
        <f t="shared" si="95"/>
        <v>0.5</v>
      </c>
      <c r="T197" s="241" t="e">
        <f t="shared" ca="1" si="96"/>
        <v>#VALUE!</v>
      </c>
      <c r="U197" s="243" t="e">
        <f ca="1">IF(AND(INDEX(FlowCalConstA,MATCH(R191,FlowCalNumber,0),1,1)*T197^INDEX(FlowCalConstB,MATCH(R191,FlowCalNumber,0),1,1)&gt;INDEX(FlowCalLowSetting,MATCH(R191,FlowCalNumber,0),1,1), (INDEX(FlowCalConstA,MATCH(R191,FlowCalNumber,0),1,1)*T197^INDEX(FlowCalConstB,MATCH(R191,FlowCalNumber,0),1,1)&lt;INDEX(FlowCalHighSetting,MATCH(R191,FlowCalNumber,0),1,1))),INDEX(FlowCalConstA,MATCH(R191,FlowCalNumber,0),1,1)*T197^INDEX(FlowCalConstB,MATCH(R191,FlowCalNumber,0),1,1)," ")</f>
        <v>#N/A</v>
      </c>
      <c r="V197" s="377"/>
      <c r="W197" s="242">
        <f t="shared" si="97"/>
        <v>0.5</v>
      </c>
      <c r="X197" s="241" t="e">
        <f t="shared" ca="1" si="98"/>
        <v>#VALUE!</v>
      </c>
      <c r="Y197" s="244" t="e">
        <f ca="1">IF(AND(INDEX(FlowCalConstA,MATCH(V191,FlowCalNumber,0),1,1)*X197^INDEX(FlowCalConstB,MATCH(V191,FlowCalNumber,0),1,1)&gt;INDEX(FlowCalLowSetting,MATCH(V191,FlowCalNumber,0),1,1), (INDEX(FlowCalConstA,MATCH(V191,FlowCalNumber,0),1,1)*X197^INDEX(FlowCalConstB,MATCH(V191,FlowCalNumber,0),1,1)&lt;INDEX(FlowCalHighSetting,MATCH(V191,FlowCalNumber,0),1,1))),INDEX(FlowCalConstA,MATCH(V191,FlowCalNumber,0),1,1)*X197^INDEX(FlowCalConstB,MATCH(V191,FlowCalNumber,0),1,1)," ")</f>
        <v>#N/A</v>
      </c>
    </row>
    <row r="198" spans="1:25" s="1215" customFormat="1">
      <c r="A198" s="1208"/>
      <c r="B198" s="1209"/>
      <c r="C198" s="1210"/>
      <c r="D198" s="1211">
        <f>'1% Wind'!$M$88</f>
        <v>10.1</v>
      </c>
      <c r="E198" s="1212"/>
      <c r="F198" s="1212"/>
      <c r="G198" s="1213">
        <f ca="1">IF(I191=1,$G197,MAX(G197/D197*D198,2))</f>
        <v>2</v>
      </c>
      <c r="H198" s="1214" t="e">
        <f t="shared" ca="1" si="90"/>
        <v>#VALUE!</v>
      </c>
      <c r="J198" s="1216"/>
      <c r="K198" s="1217">
        <f t="shared" si="91"/>
        <v>1</v>
      </c>
      <c r="L198" s="1218" t="e">
        <f t="shared" ca="1" si="92"/>
        <v>#VALUE!</v>
      </c>
      <c r="M198" s="1219" t="e">
        <f ca="1">IF(AND(INDEX(FlowCalConstA,MATCH(J191,FlowCalNumber,0),1,1)*L198^INDEX(FlowCalConstB,MATCH(J191,FlowCalNumber,0),1,1)&gt;INDEX(FlowCalLowSetting,MATCH(J191,FlowCalNumber,0),1,1), (INDEX(FlowCalConstA,MATCH(J191,FlowCalNumber,0),1,1)*L198^INDEX(FlowCalConstB,MATCH(J191,FlowCalNumber,0),1,1)&lt;INDEX(FlowCalHighSetting,MATCH(J191,FlowCalNumber,0),1,1))),INDEX(FlowCalConstA,MATCH(J191,FlowCalNumber,0),1,1)*L198^INDEX(FlowCalConstB,MATCH(J191,FlowCalNumber,0),1,1)," ")</f>
        <v>#N/A</v>
      </c>
      <c r="N198" s="1216"/>
      <c r="O198" s="1217">
        <f t="shared" si="93"/>
        <v>1</v>
      </c>
      <c r="P198" s="1218" t="e">
        <f t="shared" ca="1" si="94"/>
        <v>#VALUE!</v>
      </c>
      <c r="Q198" s="1220" t="e">
        <f ca="1">IF(AND(INDEX(FlowCalConstA,MATCH(N191,FlowCalNumber,0),1,1)*P198^INDEX(FlowCalConstB,MATCH(N191,FlowCalNumber,0),1,1)&gt;INDEX(FlowCalLowSetting,MATCH(N191,FlowCalNumber,0),1,1), (INDEX(FlowCalConstA,MATCH(N191,FlowCalNumber,0),1,1)*P198^INDEX(FlowCalConstB,MATCH(N191,FlowCalNumber,0),1,1)&lt;INDEX(FlowCalHighSetting,MATCH(N191,FlowCalNumber,0),1,1))),INDEX(FlowCalConstA,MATCH(N191,FlowCalNumber,0),1,1)*P198^INDEX(FlowCalConstB,MATCH(N191,FlowCalNumber,0),1,1)," ")</f>
        <v>#N/A</v>
      </c>
      <c r="R198" s="1216"/>
      <c r="S198" s="1217">
        <f t="shared" si="95"/>
        <v>0.5</v>
      </c>
      <c r="T198" s="1218" t="e">
        <f t="shared" ca="1" si="96"/>
        <v>#VALUE!</v>
      </c>
      <c r="U198" s="1219" t="e">
        <f ca="1">IF(AND(INDEX(FlowCalConstA,MATCH(R191,FlowCalNumber,0),1,1)*T198^INDEX(FlowCalConstB,MATCH(R191,FlowCalNumber,0),1,1)&gt;INDEX(FlowCalLowSetting,MATCH(R191,FlowCalNumber,0),1,1), (INDEX(FlowCalConstA,MATCH(R191,FlowCalNumber,0),1,1)*T198^INDEX(FlowCalConstB,MATCH(R191,FlowCalNumber,0),1,1)&lt;INDEX(FlowCalHighSetting,MATCH(R191,FlowCalNumber,0),1,1))),INDEX(FlowCalConstA,MATCH(R191,FlowCalNumber,0),1,1)*T198^INDEX(FlowCalConstB,MATCH(R191,FlowCalNumber,0),1,1)," ")</f>
        <v>#N/A</v>
      </c>
      <c r="V198" s="1216"/>
      <c r="W198" s="1217">
        <f t="shared" si="97"/>
        <v>0.5</v>
      </c>
      <c r="X198" s="1218" t="e">
        <f t="shared" ca="1" si="98"/>
        <v>#VALUE!</v>
      </c>
      <c r="Y198" s="1220" t="e">
        <f ca="1">IF(AND(INDEX(FlowCalConstA,MATCH(V191,FlowCalNumber,0),1,1)*X198^INDEX(FlowCalConstB,MATCH(V191,FlowCalNumber,0),1,1)&gt;INDEX(FlowCalLowSetting,MATCH(V191,FlowCalNumber,0),1,1), (INDEX(FlowCalConstA,MATCH(V191,FlowCalNumber,0),1,1)*X198^INDEX(FlowCalConstB,MATCH(V191,FlowCalNumber,0),1,1)&lt;INDEX(FlowCalHighSetting,MATCH(V191,FlowCalNumber,0),1,1))),INDEX(FlowCalConstA,MATCH(V191,FlowCalNumber,0),1,1)*X198^INDEX(FlowCalConstB,MATCH(V191,FlowCalNumber,0),1,1)," ")</f>
        <v>#N/A</v>
      </c>
    </row>
    <row r="199" spans="1:25">
      <c r="A199" s="412"/>
      <c r="B199" s="2"/>
      <c r="C199" s="235"/>
      <c r="D199" s="24">
        <f>'1% Wind'!$M$89</f>
        <v>7.6</v>
      </c>
      <c r="E199" s="90"/>
      <c r="F199" s="90"/>
      <c r="G199" s="79">
        <f ca="1">IF(I191=1,$G198,MAX(G198/D198*D199,2))</f>
        <v>2</v>
      </c>
      <c r="H199" s="121" t="e">
        <f t="shared" ca="1" si="90"/>
        <v>#VALUE!</v>
      </c>
      <c r="J199" s="377"/>
      <c r="K199" s="242">
        <f t="shared" si="91"/>
        <v>1</v>
      </c>
      <c r="L199" s="241" t="e">
        <f t="shared" ca="1" si="92"/>
        <v>#VALUE!</v>
      </c>
      <c r="M199" s="243" t="e">
        <f ca="1">IF(AND(INDEX(FlowCalConstA,MATCH(J191,FlowCalNumber,0),1,1)*L199^INDEX(FlowCalConstB,MATCH(J191,FlowCalNumber,0),1,1)&gt;INDEX(FlowCalLowSetting,MATCH(J191,FlowCalNumber,0),1,1), (INDEX(FlowCalConstA,MATCH(J191,FlowCalNumber,0),1,1)*L199^INDEX(FlowCalConstB,MATCH(J191,FlowCalNumber,0),1,1)&lt;INDEX(FlowCalHighSetting,MATCH(J191,FlowCalNumber,0),1,1))),INDEX(FlowCalConstA,MATCH(J191,FlowCalNumber,0),1,1)*L199^INDEX(FlowCalConstB,MATCH(J191,FlowCalNumber,0),1,1)," ")</f>
        <v>#N/A</v>
      </c>
      <c r="N199" s="377"/>
      <c r="O199" s="242">
        <f t="shared" si="93"/>
        <v>1</v>
      </c>
      <c r="P199" s="241" t="e">
        <f t="shared" ca="1" si="94"/>
        <v>#VALUE!</v>
      </c>
      <c r="Q199" s="244" t="e">
        <f ca="1">IF(AND(INDEX(FlowCalConstA,MATCH(N191,FlowCalNumber,0),1,1)*P199^INDEX(FlowCalConstB,MATCH(N191,FlowCalNumber,0),1,1)&gt;INDEX(FlowCalLowSetting,MATCH(N191,FlowCalNumber,0),1,1), (INDEX(FlowCalConstA,MATCH(N191,FlowCalNumber,0),1,1)*P199^INDEX(FlowCalConstB,MATCH(N191,FlowCalNumber,0),1,1)&lt;INDEX(FlowCalHighSetting,MATCH(N191,FlowCalNumber,0),1,1))),INDEX(FlowCalConstA,MATCH(N191,FlowCalNumber,0),1,1)*P199^INDEX(FlowCalConstB,MATCH(N191,FlowCalNumber,0),1,1)," ")</f>
        <v>#N/A</v>
      </c>
      <c r="R199" s="377"/>
      <c r="S199" s="242">
        <f t="shared" si="95"/>
        <v>0.5</v>
      </c>
      <c r="T199" s="241" t="e">
        <f t="shared" ca="1" si="96"/>
        <v>#VALUE!</v>
      </c>
      <c r="U199" s="243" t="e">
        <f ca="1">IF(AND(INDEX(FlowCalConstA,MATCH(R191,FlowCalNumber,0),1,1)*T199^INDEX(FlowCalConstB,MATCH(R191,FlowCalNumber,0),1,1)&gt;INDEX(FlowCalLowSetting,MATCH(R191,FlowCalNumber,0),1,1), (INDEX(FlowCalConstA,MATCH(R191,FlowCalNumber,0),1,1)*T199^INDEX(FlowCalConstB,MATCH(R191,FlowCalNumber,0),1,1)&lt;INDEX(FlowCalHighSetting,MATCH(R191,FlowCalNumber,0),1,1))),INDEX(FlowCalConstA,MATCH(R191,FlowCalNumber,0),1,1)*T199^INDEX(FlowCalConstB,MATCH(R191,FlowCalNumber,0),1,1)," ")</f>
        <v>#N/A</v>
      </c>
      <c r="V199" s="377"/>
      <c r="W199" s="242">
        <f t="shared" si="97"/>
        <v>0.5</v>
      </c>
      <c r="X199" s="241" t="e">
        <f t="shared" ca="1" si="98"/>
        <v>#VALUE!</v>
      </c>
      <c r="Y199" s="244" t="e">
        <f ca="1">IF(AND(INDEX(FlowCalConstA,MATCH(V191,FlowCalNumber,0),1,1)*X199^INDEX(FlowCalConstB,MATCH(V191,FlowCalNumber,0),1,1)&gt;INDEX(FlowCalLowSetting,MATCH(V191,FlowCalNumber,0),1,1), (INDEX(FlowCalConstA,MATCH(V191,FlowCalNumber,0),1,1)*X199^INDEX(FlowCalConstB,MATCH(V191,FlowCalNumber,0),1,1)&lt;INDEX(FlowCalHighSetting,MATCH(V191,FlowCalNumber,0),1,1))),INDEX(FlowCalConstA,MATCH(V191,FlowCalNumber,0),1,1)*X199^INDEX(FlowCalConstB,MATCH(V191,FlowCalNumber,0),1,1)," ")</f>
        <v>#N/A</v>
      </c>
    </row>
    <row r="200" spans="1:25" s="1215" customFormat="1">
      <c r="A200" s="1208"/>
      <c r="B200" s="1209"/>
      <c r="C200" s="1210"/>
      <c r="D200" s="1211">
        <f>'1% Wind'!$M$90</f>
        <v>5.7</v>
      </c>
      <c r="E200" s="1212"/>
      <c r="F200" s="1212"/>
      <c r="G200" s="1213">
        <f ca="1">IF(I191=1,$G199,MAX(G199/D199*D200,2))</f>
        <v>2</v>
      </c>
      <c r="H200" s="1214" t="e">
        <f t="shared" ca="1" si="90"/>
        <v>#VALUE!</v>
      </c>
      <c r="J200" s="1216"/>
      <c r="K200" s="1217">
        <f t="shared" si="91"/>
        <v>1</v>
      </c>
      <c r="L200" s="1218" t="e">
        <f t="shared" ca="1" si="92"/>
        <v>#VALUE!</v>
      </c>
      <c r="M200" s="1219" t="e">
        <f ca="1">IF(AND(INDEX(FlowCalConstA,MATCH(J191,FlowCalNumber,0),1,1)*L200^INDEX(FlowCalConstB,MATCH(J191,FlowCalNumber,0),1,1)&gt;INDEX(FlowCalLowSetting,MATCH(J191,FlowCalNumber,0),1,1), (INDEX(FlowCalConstA,MATCH(J191,FlowCalNumber,0),1,1)*L200^INDEX(FlowCalConstB,MATCH(J191,FlowCalNumber,0),1,1)&lt;INDEX(FlowCalHighSetting,MATCH(J191,FlowCalNumber,0),1,1))),INDEX(FlowCalConstA,MATCH(J191,FlowCalNumber,0),1,1)*L200^INDEX(FlowCalConstB,MATCH(J191,FlowCalNumber,0),1,1)," ")</f>
        <v>#N/A</v>
      </c>
      <c r="N200" s="1216"/>
      <c r="O200" s="1217">
        <f t="shared" si="93"/>
        <v>1</v>
      </c>
      <c r="P200" s="1218" t="e">
        <f t="shared" ca="1" si="94"/>
        <v>#VALUE!</v>
      </c>
      <c r="Q200" s="1220" t="e">
        <f ca="1">IF(AND(INDEX(FlowCalConstA,MATCH(N191,FlowCalNumber,0),1,1)*P200^INDEX(FlowCalConstB,MATCH(N191,FlowCalNumber,0),1,1)&gt;INDEX(FlowCalLowSetting,MATCH(N191,FlowCalNumber,0),1,1), (INDEX(FlowCalConstA,MATCH(N191,FlowCalNumber,0),1,1)*P200^INDEX(FlowCalConstB,MATCH(N191,FlowCalNumber,0),1,1)&lt;INDEX(FlowCalHighSetting,MATCH(N191,FlowCalNumber,0),1,1))),INDEX(FlowCalConstA,MATCH(N191,FlowCalNumber,0),1,1)*P200^INDEX(FlowCalConstB,MATCH(N191,FlowCalNumber,0),1,1)," ")</f>
        <v>#N/A</v>
      </c>
      <c r="R200" s="1216"/>
      <c r="S200" s="1217">
        <f t="shared" si="95"/>
        <v>0.5</v>
      </c>
      <c r="T200" s="1218" t="e">
        <f t="shared" ca="1" si="96"/>
        <v>#VALUE!</v>
      </c>
      <c r="U200" s="1219" t="e">
        <f ca="1">IF(AND(INDEX(FlowCalConstA,MATCH(R191,FlowCalNumber,0),1,1)*T200^INDEX(FlowCalConstB,MATCH(R191,FlowCalNumber,0),1,1)&gt;INDEX(FlowCalLowSetting,MATCH(R191,FlowCalNumber,0),1,1), (INDEX(FlowCalConstA,MATCH(R191,FlowCalNumber,0),1,1)*T200^INDEX(FlowCalConstB,MATCH(R191,FlowCalNumber,0),1,1)&lt;INDEX(FlowCalHighSetting,MATCH(R191,FlowCalNumber,0),1,1))),INDEX(FlowCalConstA,MATCH(R191,FlowCalNumber,0),1,1)*T200^INDEX(FlowCalConstB,MATCH(R191,FlowCalNumber,0),1,1)," ")</f>
        <v>#N/A</v>
      </c>
      <c r="V200" s="1216"/>
      <c r="W200" s="1217">
        <f t="shared" si="97"/>
        <v>0.5</v>
      </c>
      <c r="X200" s="1218" t="e">
        <f t="shared" ca="1" si="98"/>
        <v>#VALUE!</v>
      </c>
      <c r="Y200" s="1220" t="e">
        <f ca="1">IF(AND(INDEX(FlowCalConstA,MATCH(V191,FlowCalNumber,0),1,1)*X200^INDEX(FlowCalConstB,MATCH(V191,FlowCalNumber,0),1,1)&gt;INDEX(FlowCalLowSetting,MATCH(V191,FlowCalNumber,0),1,1), (INDEX(FlowCalConstA,MATCH(V191,FlowCalNumber,0),1,1)*X200^INDEX(FlowCalConstB,MATCH(V191,FlowCalNumber,0),1,1)&lt;INDEX(FlowCalHighSetting,MATCH(V191,FlowCalNumber,0),1,1))),INDEX(FlowCalConstA,MATCH(V191,FlowCalNumber,0),1,1)*X200^INDEX(FlowCalConstB,MATCH(V191,FlowCalNumber,0),1,1)," ")</f>
        <v>#N/A</v>
      </c>
    </row>
    <row r="201" spans="1:25">
      <c r="A201" s="412"/>
      <c r="B201" s="2"/>
      <c r="C201" s="235"/>
      <c r="D201" s="24">
        <f>'1% Wind'!$M$91</f>
        <v>4.2</v>
      </c>
      <c r="E201" s="90"/>
      <c r="F201" s="90"/>
      <c r="G201" s="79">
        <f ca="1">IF(I191=1,$G200,MAX(G200/D200*D201,2))</f>
        <v>2</v>
      </c>
      <c r="H201" s="121" t="e">
        <f t="shared" ca="1" si="90"/>
        <v>#VALUE!</v>
      </c>
      <c r="J201" s="377"/>
      <c r="K201" s="242">
        <f t="shared" si="91"/>
        <v>1</v>
      </c>
      <c r="L201" s="241" t="e">
        <f t="shared" ca="1" si="92"/>
        <v>#VALUE!</v>
      </c>
      <c r="M201" s="243" t="e">
        <f ca="1">IF(AND(INDEX(FlowCalConstA,MATCH(J191,FlowCalNumber,0),1,1)*L201^INDEX(FlowCalConstB,MATCH(J191,FlowCalNumber,0),1,1)&gt;INDEX(FlowCalLowSetting,MATCH(J191,FlowCalNumber,0),1,1), (INDEX(FlowCalConstA,MATCH(J191,FlowCalNumber,0),1,1)*L201^INDEX(FlowCalConstB,MATCH(J191,FlowCalNumber,0),1,1)&lt;INDEX(FlowCalHighSetting,MATCH(J191,FlowCalNumber,0),1,1))),INDEX(FlowCalConstA,MATCH(J191,FlowCalNumber,0),1,1)*L201^INDEX(FlowCalConstB,MATCH(J191,FlowCalNumber,0),1,1)," ")</f>
        <v>#N/A</v>
      </c>
      <c r="N201" s="377"/>
      <c r="O201" s="242">
        <f t="shared" si="93"/>
        <v>1</v>
      </c>
      <c r="P201" s="241" t="e">
        <f t="shared" ca="1" si="94"/>
        <v>#VALUE!</v>
      </c>
      <c r="Q201" s="244" t="e">
        <f ca="1">IF(AND(INDEX(FlowCalConstA,MATCH(N191,FlowCalNumber,0),1,1)*P201^INDEX(FlowCalConstB,MATCH(N191,FlowCalNumber,0),1,1)&gt;INDEX(FlowCalLowSetting,MATCH(N191,FlowCalNumber,0),1,1), (INDEX(FlowCalConstA,MATCH(N191,FlowCalNumber,0),1,1)*P201^INDEX(FlowCalConstB,MATCH(N191,FlowCalNumber,0),1,1)&lt;INDEX(FlowCalHighSetting,MATCH(N191,FlowCalNumber,0),1,1))),INDEX(FlowCalConstA,MATCH(N191,FlowCalNumber,0),1,1)*P201^INDEX(FlowCalConstB,MATCH(N191,FlowCalNumber,0),1,1)," ")</f>
        <v>#N/A</v>
      </c>
      <c r="R201" s="377"/>
      <c r="S201" s="242">
        <f t="shared" si="95"/>
        <v>0.5</v>
      </c>
      <c r="T201" s="241" t="e">
        <f t="shared" ca="1" si="96"/>
        <v>#VALUE!</v>
      </c>
      <c r="U201" s="243" t="e">
        <f ca="1">IF(AND(INDEX(FlowCalConstA,MATCH(R191,FlowCalNumber,0),1,1)*T201^INDEX(FlowCalConstB,MATCH(R191,FlowCalNumber,0),1,1)&gt;INDEX(FlowCalLowSetting,MATCH(R191,FlowCalNumber,0),1,1), (INDEX(FlowCalConstA,MATCH(R191,FlowCalNumber,0),1,1)*T201^INDEX(FlowCalConstB,MATCH(R191,FlowCalNumber,0),1,1)&lt;INDEX(FlowCalHighSetting,MATCH(R191,FlowCalNumber,0),1,1))),INDEX(FlowCalConstA,MATCH(R191,FlowCalNumber,0),1,1)*T201^INDEX(FlowCalConstB,MATCH(R191,FlowCalNumber,0),1,1)," ")</f>
        <v>#N/A</v>
      </c>
      <c r="V201" s="377"/>
      <c r="W201" s="242">
        <f t="shared" si="97"/>
        <v>0.5</v>
      </c>
      <c r="X201" s="241" t="e">
        <f t="shared" ca="1" si="98"/>
        <v>#VALUE!</v>
      </c>
      <c r="Y201" s="244" t="e">
        <f ca="1">IF(AND(INDEX(FlowCalConstA,MATCH(V191,FlowCalNumber,0),1,1)*X201^INDEX(FlowCalConstB,MATCH(V191,FlowCalNumber,0),1,1)&gt;INDEX(FlowCalLowSetting,MATCH(V191,FlowCalNumber,0),1,1), (INDEX(FlowCalConstA,MATCH(V191,FlowCalNumber,0),1,1)*X201^INDEX(FlowCalConstB,MATCH(V191,FlowCalNumber,0),1,1)&lt;INDEX(FlowCalHighSetting,MATCH(V191,FlowCalNumber,0),1,1))),INDEX(FlowCalConstA,MATCH(V191,FlowCalNumber,0),1,1)*X201^INDEX(FlowCalConstB,MATCH(V191,FlowCalNumber,0),1,1)," ")</f>
        <v>#N/A</v>
      </c>
    </row>
    <row r="202" spans="1:25" s="1215" customFormat="1">
      <c r="A202" s="1208"/>
      <c r="B202" s="1209"/>
      <c r="C202" s="1210"/>
      <c r="D202" s="1211">
        <f>'1% Wind'!$M$92</f>
        <v>3.2</v>
      </c>
      <c r="E202" s="1212"/>
      <c r="F202" s="1212"/>
      <c r="G202" s="1213">
        <f ca="1">IF(I191=1,$G201,MAX(G201/D201*D202,2))</f>
        <v>2</v>
      </c>
      <c r="H202" s="1214" t="e">
        <f t="shared" ca="1" si="90"/>
        <v>#VALUE!</v>
      </c>
      <c r="J202" s="1216"/>
      <c r="K202" s="1217">
        <f t="shared" si="91"/>
        <v>1</v>
      </c>
      <c r="L202" s="1218" t="e">
        <f t="shared" ca="1" si="92"/>
        <v>#VALUE!</v>
      </c>
      <c r="M202" s="1219" t="e">
        <f ca="1">IF(AND(INDEX(FlowCalConstA,MATCH(J191,FlowCalNumber,0),1,1)*L202^INDEX(FlowCalConstB,MATCH(J191,FlowCalNumber,0),1,1)&gt;INDEX(FlowCalLowSetting,MATCH(J191,FlowCalNumber,0),1,1), (INDEX(FlowCalConstA,MATCH(J191,FlowCalNumber,0),1,1)*L202^INDEX(FlowCalConstB,MATCH(J191,FlowCalNumber,0),1,1)&lt;INDEX(FlowCalHighSetting,MATCH(J191,FlowCalNumber,0),1,1))),INDEX(FlowCalConstA,MATCH(J191,FlowCalNumber,0),1,1)*L202^INDEX(FlowCalConstB,MATCH(J191,FlowCalNumber,0),1,1)," ")</f>
        <v>#N/A</v>
      </c>
      <c r="N202" s="1216"/>
      <c r="O202" s="1217">
        <f t="shared" si="93"/>
        <v>1</v>
      </c>
      <c r="P202" s="1218" t="e">
        <f t="shared" ca="1" si="94"/>
        <v>#VALUE!</v>
      </c>
      <c r="Q202" s="1220" t="e">
        <f ca="1">IF(AND(INDEX(FlowCalConstA,MATCH(N191,FlowCalNumber,0),1,1)*P202^INDEX(FlowCalConstB,MATCH(N191,FlowCalNumber,0),1,1)&gt;INDEX(FlowCalLowSetting,MATCH(N191,FlowCalNumber,0),1,1), (INDEX(FlowCalConstA,MATCH(N191,FlowCalNumber,0),1,1)*P202^INDEX(FlowCalConstB,MATCH(N191,FlowCalNumber,0),1,1)&lt;INDEX(FlowCalHighSetting,MATCH(N191,FlowCalNumber,0),1,1))),INDEX(FlowCalConstA,MATCH(N191,FlowCalNumber,0),1,1)*P202^INDEX(FlowCalConstB,MATCH(N191,FlowCalNumber,0),1,1)," ")</f>
        <v>#N/A</v>
      </c>
      <c r="R202" s="1216"/>
      <c r="S202" s="1217">
        <f t="shared" si="95"/>
        <v>0.5</v>
      </c>
      <c r="T202" s="1218" t="e">
        <f t="shared" ca="1" si="96"/>
        <v>#VALUE!</v>
      </c>
      <c r="U202" s="1219" t="e">
        <f ca="1">IF(AND(INDEX(FlowCalConstA,MATCH(R191,FlowCalNumber,0),1,1)*T202^INDEX(FlowCalConstB,MATCH(R191,FlowCalNumber,0),1,1)&gt;INDEX(FlowCalLowSetting,MATCH(R191,FlowCalNumber,0),1,1), (INDEX(FlowCalConstA,MATCH(R191,FlowCalNumber,0),1,1)*T202^INDEX(FlowCalConstB,MATCH(R191,FlowCalNumber,0),1,1)&lt;INDEX(FlowCalHighSetting,MATCH(R191,FlowCalNumber,0),1,1))),INDEX(FlowCalConstA,MATCH(R191,FlowCalNumber,0),1,1)*T202^INDEX(FlowCalConstB,MATCH(R191,FlowCalNumber,0),1,1)," ")</f>
        <v>#N/A</v>
      </c>
      <c r="V202" s="1216"/>
      <c r="W202" s="1217">
        <f t="shared" si="97"/>
        <v>0.5</v>
      </c>
      <c r="X202" s="1218" t="e">
        <f t="shared" ca="1" si="98"/>
        <v>#VALUE!</v>
      </c>
      <c r="Y202" s="1220" t="e">
        <f ca="1">IF(AND(INDEX(FlowCalConstA,MATCH(V191,FlowCalNumber,0),1,1)*X202^INDEX(FlowCalConstB,MATCH(V191,FlowCalNumber,0),1,1)&gt;INDEX(FlowCalLowSetting,MATCH(V191,FlowCalNumber,0),1,1), (INDEX(FlowCalConstA,MATCH(V191,FlowCalNumber,0),1,1)*X202^INDEX(FlowCalConstB,MATCH(V191,FlowCalNumber,0),1,1)&lt;INDEX(FlowCalHighSetting,MATCH(V191,FlowCalNumber,0),1,1))),INDEX(FlowCalConstA,MATCH(V191,FlowCalNumber,0),1,1)*X202^INDEX(FlowCalConstB,MATCH(V191,FlowCalNumber,0),1,1)," ")</f>
        <v>#N/A</v>
      </c>
    </row>
    <row r="203" spans="1:25">
      <c r="A203" s="412"/>
      <c r="B203" s="2"/>
      <c r="C203" s="235"/>
      <c r="D203" s="24">
        <f>'1% Wind'!$M$93</f>
        <v>2.4</v>
      </c>
      <c r="E203" s="90"/>
      <c r="F203" s="90"/>
      <c r="G203" s="79">
        <f ca="1">IF(I191=1,$G202,MAX(G202/D202*D203,2))</f>
        <v>2</v>
      </c>
      <c r="H203" s="121" t="e">
        <f t="shared" ca="1" si="90"/>
        <v>#VALUE!</v>
      </c>
      <c r="J203" s="377"/>
      <c r="K203" s="242">
        <f t="shared" si="91"/>
        <v>1</v>
      </c>
      <c r="L203" s="241" t="e">
        <f t="shared" ca="1" si="92"/>
        <v>#VALUE!</v>
      </c>
      <c r="M203" s="243" t="e">
        <f ca="1">IF(AND(INDEX(FlowCalConstA,MATCH(J191,FlowCalNumber,0),1,1)*L203^INDEX(FlowCalConstB,MATCH(J191,FlowCalNumber,0),1,1)&gt;INDEX(FlowCalLowSetting,MATCH(J191,FlowCalNumber,0),1,1), (INDEX(FlowCalConstA,MATCH(J191,FlowCalNumber,0),1,1)*L203^INDEX(FlowCalConstB,MATCH(J191,FlowCalNumber,0),1,1)&lt;INDEX(FlowCalHighSetting,MATCH(J191,FlowCalNumber,0),1,1))),INDEX(FlowCalConstA,MATCH(J191,FlowCalNumber,0),1,1)*L203^INDEX(FlowCalConstB,MATCH(J191,FlowCalNumber,0),1,1)," ")</f>
        <v>#N/A</v>
      </c>
      <c r="N203" s="377"/>
      <c r="O203" s="242">
        <f t="shared" si="93"/>
        <v>1</v>
      </c>
      <c r="P203" s="241" t="e">
        <f t="shared" ca="1" si="94"/>
        <v>#VALUE!</v>
      </c>
      <c r="Q203" s="244" t="e">
        <f ca="1">IF(AND(INDEX(FlowCalConstA,MATCH(N191,FlowCalNumber,0),1,1)*P203^INDEX(FlowCalConstB,MATCH(N191,FlowCalNumber,0),1,1)&gt;INDEX(FlowCalLowSetting,MATCH(N191,FlowCalNumber,0),1,1), (INDEX(FlowCalConstA,MATCH(N191,FlowCalNumber,0),1,1)*P203^INDEX(FlowCalConstB,MATCH(N191,FlowCalNumber,0),1,1)&lt;INDEX(FlowCalHighSetting,MATCH(N191,FlowCalNumber,0),1,1))),INDEX(FlowCalConstA,MATCH(N191,FlowCalNumber,0),1,1)*P203^INDEX(FlowCalConstB,MATCH(N191,FlowCalNumber,0),1,1)," ")</f>
        <v>#N/A</v>
      </c>
      <c r="R203" s="377"/>
      <c r="S203" s="242">
        <f t="shared" si="95"/>
        <v>0.5</v>
      </c>
      <c r="T203" s="241" t="e">
        <f t="shared" ca="1" si="96"/>
        <v>#VALUE!</v>
      </c>
      <c r="U203" s="243" t="e">
        <f ca="1">IF(AND(INDEX(FlowCalConstA,MATCH(R191,FlowCalNumber,0),1,1)*T203^INDEX(FlowCalConstB,MATCH(R191,FlowCalNumber,0),1,1)&gt;INDEX(FlowCalLowSetting,MATCH(R191,FlowCalNumber,0),1,1), (INDEX(FlowCalConstA,MATCH(R191,FlowCalNumber,0),1,1)*T203^INDEX(FlowCalConstB,MATCH(R191,FlowCalNumber,0),1,1)&lt;INDEX(FlowCalHighSetting,MATCH(R191,FlowCalNumber,0),1,1))),INDEX(FlowCalConstA,MATCH(R191,FlowCalNumber,0),1,1)*T203^INDEX(FlowCalConstB,MATCH(R191,FlowCalNumber,0),1,1)," ")</f>
        <v>#N/A</v>
      </c>
      <c r="V203" s="377"/>
      <c r="W203" s="242">
        <f t="shared" si="97"/>
        <v>0.5</v>
      </c>
      <c r="X203" s="241" t="e">
        <f t="shared" ca="1" si="98"/>
        <v>#VALUE!</v>
      </c>
      <c r="Y203" s="244" t="e">
        <f ca="1">IF(AND(INDEX(FlowCalConstA,MATCH(V191,FlowCalNumber,0),1,1)*X203^INDEX(FlowCalConstB,MATCH(V191,FlowCalNumber,0),1,1)&gt;INDEX(FlowCalLowSetting,MATCH(V191,FlowCalNumber,0),1,1), (INDEX(FlowCalConstA,MATCH(V191,FlowCalNumber,0),1,1)*X203^INDEX(FlowCalConstB,MATCH(V191,FlowCalNumber,0),1,1)&lt;INDEX(FlowCalHighSetting,MATCH(V191,FlowCalNumber,0),1,1))),INDEX(FlowCalConstA,MATCH(V191,FlowCalNumber,0),1,1)*X203^INDEX(FlowCalConstB,MATCH(V191,FlowCalNumber,0),1,1)," ")</f>
        <v>#N/A</v>
      </c>
    </row>
    <row r="204" spans="1:25" s="1215" customFormat="1">
      <c r="A204" s="1208"/>
      <c r="B204" s="1209"/>
      <c r="C204" s="1210"/>
      <c r="D204" s="1211">
        <f>'1% Wind'!$M$94</f>
        <v>1.8</v>
      </c>
      <c r="E204" s="1212"/>
      <c r="F204" s="1212"/>
      <c r="G204" s="1213">
        <f ca="1">IF(I191=1,$G203,MAX(G203/D203*D204,2))</f>
        <v>2</v>
      </c>
      <c r="H204" s="1214" t="e">
        <f t="shared" ca="1" si="90"/>
        <v>#VALUE!</v>
      </c>
      <c r="J204" s="1216"/>
      <c r="K204" s="1217">
        <f t="shared" si="91"/>
        <v>1</v>
      </c>
      <c r="L204" s="1218" t="e">
        <f t="shared" ca="1" si="92"/>
        <v>#VALUE!</v>
      </c>
      <c r="M204" s="1219" t="e">
        <f ca="1">IF(AND(INDEX(FlowCalConstA,MATCH(J191,FlowCalNumber,0),1,1)*L204^INDEX(FlowCalConstB,MATCH(J191,FlowCalNumber,0),1,1)&gt;INDEX(FlowCalLowSetting,MATCH(J191,FlowCalNumber,0),1,1), (INDEX(FlowCalConstA,MATCH(J191,FlowCalNumber,0),1,1)*L204^INDEX(FlowCalConstB,MATCH(J191,FlowCalNumber,0),1,1)&lt;INDEX(FlowCalHighSetting,MATCH(J191,FlowCalNumber,0),1,1))),INDEX(FlowCalConstA,MATCH(J191,FlowCalNumber,0),1,1)*L204^INDEX(FlowCalConstB,MATCH(J191,FlowCalNumber,0),1,1)," ")</f>
        <v>#N/A</v>
      </c>
      <c r="N204" s="1216"/>
      <c r="O204" s="1217">
        <f t="shared" si="93"/>
        <v>1</v>
      </c>
      <c r="P204" s="1218" t="e">
        <f t="shared" ca="1" si="94"/>
        <v>#VALUE!</v>
      </c>
      <c r="Q204" s="1220" t="e">
        <f ca="1">IF(AND(INDEX(FlowCalConstA,MATCH(N191,FlowCalNumber,0),1,1)*P204^INDEX(FlowCalConstB,MATCH(N191,FlowCalNumber,0),1,1)&gt;INDEX(FlowCalLowSetting,MATCH(N191,FlowCalNumber,0),1,1), (INDEX(FlowCalConstA,MATCH(N191,FlowCalNumber,0),1,1)*P204^INDEX(FlowCalConstB,MATCH(N191,FlowCalNumber,0),1,1)&lt;INDEX(FlowCalHighSetting,MATCH(N191,FlowCalNumber,0),1,1))),INDEX(FlowCalConstA,MATCH(N191,FlowCalNumber,0),1,1)*P204^INDEX(FlowCalConstB,MATCH(N191,FlowCalNumber,0),1,1)," ")</f>
        <v>#N/A</v>
      </c>
      <c r="R204" s="1216"/>
      <c r="S204" s="1217">
        <f t="shared" si="95"/>
        <v>0.5</v>
      </c>
      <c r="T204" s="1218" t="e">
        <f t="shared" ca="1" si="96"/>
        <v>#VALUE!</v>
      </c>
      <c r="U204" s="1219" t="e">
        <f ca="1">IF(AND(INDEX(FlowCalConstA,MATCH(R191,FlowCalNumber,0),1,1)*T204^INDEX(FlowCalConstB,MATCH(R191,FlowCalNumber,0),1,1)&gt;INDEX(FlowCalLowSetting,MATCH(R191,FlowCalNumber,0),1,1), (INDEX(FlowCalConstA,MATCH(R191,FlowCalNumber,0),1,1)*T204^INDEX(FlowCalConstB,MATCH(R191,FlowCalNumber,0),1,1)&lt;INDEX(FlowCalHighSetting,MATCH(R191,FlowCalNumber,0),1,1))),INDEX(FlowCalConstA,MATCH(R191,FlowCalNumber,0),1,1)*T204^INDEX(FlowCalConstB,MATCH(R191,FlowCalNumber,0),1,1)," ")</f>
        <v>#N/A</v>
      </c>
      <c r="V204" s="1216"/>
      <c r="W204" s="1217">
        <f t="shared" si="97"/>
        <v>0.5</v>
      </c>
      <c r="X204" s="1218" t="e">
        <f t="shared" ca="1" si="98"/>
        <v>#VALUE!</v>
      </c>
      <c r="Y204" s="1220" t="e">
        <f ca="1">IF(AND(INDEX(FlowCalConstA,MATCH(V191,FlowCalNumber,0),1,1)*X204^INDEX(FlowCalConstB,MATCH(V191,FlowCalNumber,0),1,1)&gt;INDEX(FlowCalLowSetting,MATCH(V191,FlowCalNumber,0),1,1), (INDEX(FlowCalConstA,MATCH(V191,FlowCalNumber,0),1,1)*X204^INDEX(FlowCalConstB,MATCH(V191,FlowCalNumber,0),1,1)&lt;INDEX(FlowCalHighSetting,MATCH(V191,FlowCalNumber,0),1,1))),INDEX(FlowCalConstA,MATCH(V191,FlowCalNumber,0),1,1)*X204^INDEX(FlowCalConstB,MATCH(V191,FlowCalNumber,0),1,1)," ")</f>
        <v>#N/A</v>
      </c>
    </row>
    <row r="205" spans="1:25">
      <c r="A205" s="412"/>
      <c r="B205" s="2"/>
      <c r="C205" s="235"/>
      <c r="D205" s="24">
        <f>'1% Wind'!$M$95</f>
        <v>1.3</v>
      </c>
      <c r="E205" s="90"/>
      <c r="F205" s="90"/>
      <c r="G205" s="79">
        <f ca="1">IF(I191=1,$G204,MAX(G204/D204*D205,2))</f>
        <v>2</v>
      </c>
      <c r="H205" s="121" t="e">
        <f t="shared" ca="1" si="90"/>
        <v>#VALUE!</v>
      </c>
      <c r="J205" s="377"/>
      <c r="K205" s="242">
        <f t="shared" si="91"/>
        <v>1</v>
      </c>
      <c r="L205" s="241" t="e">
        <f t="shared" ca="1" si="92"/>
        <v>#VALUE!</v>
      </c>
      <c r="M205" s="243" t="e">
        <f ca="1">IF(AND(INDEX(FlowCalConstA,MATCH(J191,FlowCalNumber,0),1,1)*L205^INDEX(FlowCalConstB,MATCH(J191,FlowCalNumber,0),1,1)&gt;INDEX(FlowCalLowSetting,MATCH(J191,FlowCalNumber,0),1,1), (INDEX(FlowCalConstA,MATCH(J191,FlowCalNumber,0),1,1)*L205^INDEX(FlowCalConstB,MATCH(J191,FlowCalNumber,0),1,1)&lt;INDEX(FlowCalHighSetting,MATCH(J191,FlowCalNumber,0),1,1))),INDEX(FlowCalConstA,MATCH(J191,FlowCalNumber,0),1,1)*L205^INDEX(FlowCalConstB,MATCH(J191,FlowCalNumber,0),1,1)," ")</f>
        <v>#N/A</v>
      </c>
      <c r="N205" s="377"/>
      <c r="O205" s="242">
        <f t="shared" si="93"/>
        <v>1</v>
      </c>
      <c r="P205" s="241" t="e">
        <f t="shared" ca="1" si="94"/>
        <v>#VALUE!</v>
      </c>
      <c r="Q205" s="244" t="e">
        <f ca="1">IF(AND(INDEX(FlowCalConstA,MATCH(N191,FlowCalNumber,0),1,1)*P205^INDEX(FlowCalConstB,MATCH(N191,FlowCalNumber,0),1,1)&gt;INDEX(FlowCalLowSetting,MATCH(N191,FlowCalNumber,0),1,1), (INDEX(FlowCalConstA,MATCH(N191,FlowCalNumber,0),1,1)*P205^INDEX(FlowCalConstB,MATCH(N191,FlowCalNumber,0),1,1)&lt;INDEX(FlowCalHighSetting,MATCH(N191,FlowCalNumber,0),1,1))),INDEX(FlowCalConstA,MATCH(N191,FlowCalNumber,0),1,1)*P205^INDEX(FlowCalConstB,MATCH(N191,FlowCalNumber,0),1,1)," ")</f>
        <v>#N/A</v>
      </c>
      <c r="R205" s="377"/>
      <c r="S205" s="242">
        <f t="shared" si="95"/>
        <v>0.5</v>
      </c>
      <c r="T205" s="241" t="e">
        <f t="shared" ca="1" si="96"/>
        <v>#VALUE!</v>
      </c>
      <c r="U205" s="243" t="e">
        <f ca="1">IF(AND(INDEX(FlowCalConstA,MATCH(R191,FlowCalNumber,0),1,1)*T205^INDEX(FlowCalConstB,MATCH(R191,FlowCalNumber,0),1,1)&gt;INDEX(FlowCalLowSetting,MATCH(R191,FlowCalNumber,0),1,1), (INDEX(FlowCalConstA,MATCH(R191,FlowCalNumber,0),1,1)*T205^INDEX(FlowCalConstB,MATCH(R191,FlowCalNumber,0),1,1)&lt;INDEX(FlowCalHighSetting,MATCH(R191,FlowCalNumber,0),1,1))),INDEX(FlowCalConstA,MATCH(R191,FlowCalNumber,0),1,1)*T205^INDEX(FlowCalConstB,MATCH(R191,FlowCalNumber,0),1,1)," ")</f>
        <v>#N/A</v>
      </c>
      <c r="V205" s="377"/>
      <c r="W205" s="242">
        <f t="shared" si="97"/>
        <v>0.5</v>
      </c>
      <c r="X205" s="241" t="e">
        <f t="shared" ca="1" si="98"/>
        <v>#VALUE!</v>
      </c>
      <c r="Y205" s="244" t="e">
        <f ca="1">IF(AND(INDEX(FlowCalConstA,MATCH(V191,FlowCalNumber,0),1,1)*X205^INDEX(FlowCalConstB,MATCH(V191,FlowCalNumber,0),1,1)&gt;INDEX(FlowCalLowSetting,MATCH(V191,FlowCalNumber,0),1,1), (INDEX(FlowCalConstA,MATCH(V191,FlowCalNumber,0),1,1)*X205^INDEX(FlowCalConstB,MATCH(V191,FlowCalNumber,0),1,1)&lt;INDEX(FlowCalHighSetting,MATCH(V191,FlowCalNumber,0),1,1))),INDEX(FlowCalConstA,MATCH(V191,FlowCalNumber,0),1,1)*X205^INDEX(FlowCalConstB,MATCH(V191,FlowCalNumber,0),1,1)," ")</f>
        <v>#N/A</v>
      </c>
    </row>
    <row r="206" spans="1:25" s="1215" customFormat="1">
      <c r="A206" s="1208"/>
      <c r="B206" s="1209"/>
      <c r="C206" s="1210"/>
      <c r="D206" s="1211">
        <f>'1% Wind'!$M$96</f>
        <v>1</v>
      </c>
      <c r="E206" s="1212"/>
      <c r="F206" s="1212"/>
      <c r="G206" s="1213">
        <f ca="1">IF(I191=1,$G205,MAX(G205/D205*D206,2))</f>
        <v>2</v>
      </c>
      <c r="H206" s="1214" t="e">
        <f t="shared" ca="1" si="90"/>
        <v>#VALUE!</v>
      </c>
      <c r="J206" s="1216"/>
      <c r="K206" s="1217">
        <f t="shared" si="91"/>
        <v>1</v>
      </c>
      <c r="L206" s="1218" t="e">
        <f t="shared" ca="1" si="92"/>
        <v>#VALUE!</v>
      </c>
      <c r="M206" s="1219" t="e">
        <f ca="1">IF(AND(INDEX(FlowCalConstA,MATCH(J191,FlowCalNumber,0),1,1)*L206^INDEX(FlowCalConstB,MATCH(J191,FlowCalNumber,0),1,1)&gt;INDEX(FlowCalLowSetting,MATCH(J191,FlowCalNumber,0),1,1), (INDEX(FlowCalConstA,MATCH(J191,FlowCalNumber,0),1,1)*L206^INDEX(FlowCalConstB,MATCH(J191,FlowCalNumber,0),1,1)&lt;INDEX(FlowCalHighSetting,MATCH(J191,FlowCalNumber,0),1,1))),INDEX(FlowCalConstA,MATCH(J191,FlowCalNumber,0),1,1)*L206^INDEX(FlowCalConstB,MATCH(J191,FlowCalNumber,0),1,1)," ")</f>
        <v>#N/A</v>
      </c>
      <c r="N206" s="1216"/>
      <c r="O206" s="1217">
        <f t="shared" si="93"/>
        <v>1</v>
      </c>
      <c r="P206" s="1218" t="e">
        <f t="shared" ca="1" si="94"/>
        <v>#VALUE!</v>
      </c>
      <c r="Q206" s="1220" t="e">
        <f ca="1">IF(AND(INDEX(FlowCalConstA,MATCH(N191,FlowCalNumber,0),1,1)*P206^INDEX(FlowCalConstB,MATCH(N191,FlowCalNumber,0),1,1)&gt;INDEX(FlowCalLowSetting,MATCH(N191,FlowCalNumber,0),1,1), (INDEX(FlowCalConstA,MATCH(N191,FlowCalNumber,0),1,1)*P206^INDEX(FlowCalConstB,MATCH(N191,FlowCalNumber,0),1,1)&lt;INDEX(FlowCalHighSetting,MATCH(N191,FlowCalNumber,0),1,1))),INDEX(FlowCalConstA,MATCH(N191,FlowCalNumber,0),1,1)*P206^INDEX(FlowCalConstB,MATCH(N191,FlowCalNumber,0),1,1)," ")</f>
        <v>#N/A</v>
      </c>
      <c r="R206" s="1216"/>
      <c r="S206" s="1217">
        <f t="shared" si="95"/>
        <v>0.5</v>
      </c>
      <c r="T206" s="1218" t="e">
        <f t="shared" ca="1" si="96"/>
        <v>#VALUE!</v>
      </c>
      <c r="U206" s="1219" t="e">
        <f ca="1">IF(AND(INDEX(FlowCalConstA,MATCH(R191,FlowCalNumber,0),1,1)*T206^INDEX(FlowCalConstB,MATCH(R191,FlowCalNumber,0),1,1)&gt;INDEX(FlowCalLowSetting,MATCH(R191,FlowCalNumber,0),1,1), (INDEX(FlowCalConstA,MATCH(R191,FlowCalNumber,0),1,1)*T206^INDEX(FlowCalConstB,MATCH(R191,FlowCalNumber,0),1,1)&lt;INDEX(FlowCalHighSetting,MATCH(R191,FlowCalNumber,0),1,1))),INDEX(FlowCalConstA,MATCH(R191,FlowCalNumber,0),1,1)*T206^INDEX(FlowCalConstB,MATCH(R191,FlowCalNumber,0),1,1)," ")</f>
        <v>#N/A</v>
      </c>
      <c r="V206" s="1216"/>
      <c r="W206" s="1217">
        <f t="shared" si="97"/>
        <v>0.5</v>
      </c>
      <c r="X206" s="1218" t="e">
        <f t="shared" ca="1" si="98"/>
        <v>#VALUE!</v>
      </c>
      <c r="Y206" s="1220" t="e">
        <f ca="1">IF(AND(INDEX(FlowCalConstA,MATCH(V191,FlowCalNumber,0),1,1)*X206^INDEX(FlowCalConstB,MATCH(V191,FlowCalNumber,0),1,1)&gt;INDEX(FlowCalLowSetting,MATCH(V191,FlowCalNumber,0),1,1), (INDEX(FlowCalConstA,MATCH(V191,FlowCalNumber,0),1,1)*X206^INDEX(FlowCalConstB,MATCH(V191,FlowCalNumber,0),1,1)&lt;INDEX(FlowCalHighSetting,MATCH(V191,FlowCalNumber,0),1,1))),INDEX(FlowCalConstA,MATCH(V191,FlowCalNumber,0),1,1)*X206^INDEX(FlowCalConstB,MATCH(V191,FlowCalNumber,0),1,1)," ")</f>
        <v>#N/A</v>
      </c>
    </row>
    <row r="207" spans="1:25">
      <c r="A207" s="90"/>
      <c r="C207" s="235"/>
      <c r="E207" s="90"/>
      <c r="F207" s="90"/>
      <c r="G207" s="33"/>
      <c r="J207" s="377"/>
      <c r="M207" s="243"/>
      <c r="N207" s="377"/>
      <c r="Q207" s="244"/>
      <c r="R207" s="377"/>
      <c r="U207" s="243"/>
      <c r="V207" s="377"/>
      <c r="Y207" s="244"/>
    </row>
    <row r="208" spans="1:25">
      <c r="A208" s="639">
        <f>A191+1</f>
        <v>2</v>
      </c>
      <c r="B208" s="42" t="str">
        <f>INDEX(SourceID,MATCH($A208,SourceNumber,0),1,1)</f>
        <v>AHU Labs-2</v>
      </c>
      <c r="C208" s="354">
        <f>INDEX(SourceExitDiameter,MATCH($A208,SourceNumber,0),1,1)*3.28*12</f>
        <v>172.59999999999997</v>
      </c>
      <c r="D208" s="24" t="str">
        <f>UAnem1percent</f>
        <v>1% Wind</v>
      </c>
      <c r="E208" s="85" t="e">
        <f ca="1">INDIRECT(ADDRESS(53,6,1,,$A208))</f>
        <v>#VALUE!</v>
      </c>
      <c r="F208" s="626" t="e">
        <f ca="1">(ROUND((INDIRECT(ADDRESS(15,7,1,,$A208))*3.28*12*32),0)&amp;"/32")</f>
        <v>#VALUE!</v>
      </c>
      <c r="G208" s="125">
        <f ca="1">INDIRECT(ADDRESS(29,7,1,,$A208))</f>
        <v>6.001707317073171</v>
      </c>
      <c r="H208" s="24" t="e">
        <f ca="1">INDIRECT(ADDRESS(19,7,1,,$A208))*100^3</f>
        <v>#VALUE!</v>
      </c>
      <c r="I208" s="24">
        <f ca="1">INDIRECT(ADDRESS(53,7,1,,$A208))</f>
        <v>1</v>
      </c>
      <c r="J208" s="20" t="str">
        <f>K$15&amp;$H$6&amp;J$6</f>
        <v>100AirPick a Tunnel</v>
      </c>
      <c r="K208" t="e">
        <f>INDEX(FlowCalGasMixture,MATCH(J208,FlowCalNumber,0),1,1)</f>
        <v>#N/A</v>
      </c>
      <c r="M208" s="355" t="e">
        <f>INDEX(FlowCalDevice,MATCH(J208,FlowCalNumber,0),1,1)</f>
        <v>#N/A</v>
      </c>
      <c r="N208" s="20" t="str">
        <f>O$15&amp;$H$6&amp;N$6</f>
        <v>100AirPick a Tunnel</v>
      </c>
      <c r="O208" t="e">
        <f>INDEX(FlowCalGasMixture,MATCH(N208,FlowCalNumber,0),1,1)</f>
        <v>#N/A</v>
      </c>
      <c r="Q208" s="355" t="e">
        <f>INDEX(FlowCalDevice,MATCH(N208,FlowCalNumber,0),1,1)</f>
        <v>#N/A</v>
      </c>
      <c r="R208" s="20" t="str">
        <f>S$15&amp;$H$6&amp;R$6</f>
        <v>100AirPick a Tunnel</v>
      </c>
      <c r="S208" t="e">
        <f>INDEX(FlowCalGasMixture,MATCH(R208,FlowCalNumber,0),1,1)</f>
        <v>#N/A</v>
      </c>
      <c r="U208" s="944" t="e">
        <f>INDEX(FlowCalDevice,MATCH(R208,FlowCalNumber,0),1,1)</f>
        <v>#N/A</v>
      </c>
      <c r="V208" s="946" t="str">
        <f>W$15&amp;$H$6&amp;V$6</f>
        <v>100AirPick a Tunnel</v>
      </c>
      <c r="W208" t="e">
        <f>INDEX(FlowCalGasMixture,MATCH(V208,FlowCalNumber,0),1,1)</f>
        <v>#N/A</v>
      </c>
      <c r="Y208" s="982" t="e">
        <f>INDEX(FlowCalDevice,MATCH(V208,FlowCalNumber,0),1,1)</f>
        <v>#N/A</v>
      </c>
    </row>
    <row r="209" spans="1:25" s="1215" customFormat="1">
      <c r="A209" s="1208"/>
      <c r="B209" s="1209"/>
      <c r="C209" s="1210"/>
      <c r="D209" s="1211">
        <f>'1% Wind'!$M$82</f>
        <v>27</v>
      </c>
      <c r="E209" s="1212"/>
      <c r="F209" s="1212"/>
      <c r="G209" s="1213">
        <v>2</v>
      </c>
      <c r="H209" s="1214" t="e">
        <f t="shared" ref="H209:H223" ca="1" si="99">H208*(D208/D209)*(G209/G208)</f>
        <v>#VALUE!</v>
      </c>
      <c r="J209" s="1216"/>
      <c r="K209" s="1221">
        <f>K$16/100</f>
        <v>1</v>
      </c>
      <c r="L209" s="1218" t="e">
        <f ca="1">K209*$H209</f>
        <v>#VALUE!</v>
      </c>
      <c r="M209" s="1219" t="e">
        <f ca="1">IF(AND(INDEX(FlowCalConstA,MATCH(J208,FlowCalNumber,0),1,1)*L209^INDEX(FlowCalConstB,MATCH(J208,FlowCalNumber,0),1,1)&gt;INDEX(FlowCalLowSetting,MATCH(J208,FlowCalNumber,0),1,1), (INDEX(FlowCalConstA,MATCH(J208,FlowCalNumber,0),1,1)*L209^INDEX(FlowCalConstB,MATCH(J208,FlowCalNumber,0),1,1)&lt;INDEX(FlowCalHighSetting,MATCH(J208,FlowCalNumber,0),1,1))),INDEX(FlowCalConstA,MATCH(J208,FlowCalNumber,0),1,1)*L209^INDEX(FlowCalConstB,MATCH(J208,FlowCalNumber,0),1,1)," ")</f>
        <v>#N/A</v>
      </c>
      <c r="N209" s="1216"/>
      <c r="O209" s="1221">
        <f>O$16/100</f>
        <v>1</v>
      </c>
      <c r="P209" s="1218" t="e">
        <f ca="1">O209*$H209</f>
        <v>#VALUE!</v>
      </c>
      <c r="Q209" s="1220" t="e">
        <f ca="1">IF(AND(INDEX(FlowCalConstA,MATCH(N208,FlowCalNumber,0),1,1)*P209^INDEX(FlowCalConstB,MATCH(N208,FlowCalNumber,0),1,1)&gt;INDEX(FlowCalLowSetting,MATCH(N208,FlowCalNumber,0),1,1), (INDEX(FlowCalConstA,MATCH(N208,FlowCalNumber,0),1,1)*P209^INDEX(FlowCalConstB,MATCH(N208,FlowCalNumber,0),1,1)&lt;INDEX(FlowCalHighSetting,MATCH(N208,FlowCalNumber,0),1,1))),INDEX(FlowCalConstA,MATCH(N208,FlowCalNumber,0),1,1)*P209^INDEX(FlowCalConstB,MATCH(N208,FlowCalNumber,0),1,1)," ")</f>
        <v>#N/A</v>
      </c>
      <c r="R209" s="1216"/>
      <c r="S209" s="1221">
        <f>S$16/100</f>
        <v>0.5</v>
      </c>
      <c r="T209" s="1218" t="e">
        <f ca="1">S209*$H209</f>
        <v>#VALUE!</v>
      </c>
      <c r="U209" s="1219" t="e">
        <f ca="1">IF(AND(INDEX(FlowCalConstA,MATCH(R208,FlowCalNumber,0),1,1)*T209^INDEX(FlowCalConstB,MATCH(R208,FlowCalNumber,0),1,1)&gt;INDEX(FlowCalLowSetting,MATCH(R208,FlowCalNumber,0),1,1), (INDEX(FlowCalConstA,MATCH(R208,FlowCalNumber,0),1,1)*T209^INDEX(FlowCalConstB,MATCH(R208,FlowCalNumber,0),1,1)&lt;INDEX(FlowCalHighSetting,MATCH(R208,FlowCalNumber,0),1,1))),INDEX(FlowCalConstA,MATCH(R208,FlowCalNumber,0),1,1)*T209^INDEX(FlowCalConstB,MATCH(R208,FlowCalNumber,0),1,1)," ")</f>
        <v>#N/A</v>
      </c>
      <c r="V209" s="1216"/>
      <c r="W209" s="1221">
        <f>W$16/100</f>
        <v>0.5</v>
      </c>
      <c r="X209" s="1218" t="e">
        <f ca="1">W209*$H209</f>
        <v>#VALUE!</v>
      </c>
      <c r="Y209" s="1220" t="e">
        <f ca="1">IF(AND(INDEX(FlowCalConstA,MATCH(V208,FlowCalNumber,0),1,1)*X209^INDEX(FlowCalConstB,MATCH(V208,FlowCalNumber,0),1,1)&gt;INDEX(FlowCalLowSetting,MATCH(V208,FlowCalNumber,0),1,1), (INDEX(FlowCalConstA,MATCH(V208,FlowCalNumber,0),1,1)*X209^INDEX(FlowCalConstB,MATCH(V208,FlowCalNumber,0),1,1)&lt;INDEX(FlowCalHighSetting,MATCH(V208,FlowCalNumber,0),1,1))),INDEX(FlowCalConstA,MATCH(V208,FlowCalNumber,0),1,1)*X209^INDEX(FlowCalConstB,MATCH(V208,FlowCalNumber,0),1,1)," ")</f>
        <v>#N/A</v>
      </c>
    </row>
    <row r="210" spans="1:25">
      <c r="A210" s="412"/>
      <c r="B210" s="2"/>
      <c r="C210" s="235"/>
      <c r="D210" s="24">
        <f>'1% Wind'!$M$83</f>
        <v>23.5</v>
      </c>
      <c r="E210" s="90"/>
      <c r="F210" s="90"/>
      <c r="G210" s="79">
        <f ca="1">IF(I208=1,$G209,MAX(G209/D209*D210,2))</f>
        <v>2</v>
      </c>
      <c r="H210" s="121" t="e">
        <f t="shared" ca="1" si="99"/>
        <v>#VALUE!</v>
      </c>
      <c r="J210" s="377"/>
      <c r="K210" s="242">
        <f t="shared" ref="K210:K223" si="100">K209</f>
        <v>1</v>
      </c>
      <c r="L210" s="241" t="e">
        <f t="shared" ref="L210:L223" ca="1" si="101">K210*$H210</f>
        <v>#VALUE!</v>
      </c>
      <c r="M210" s="243" t="e">
        <f ca="1">IF(AND(INDEX(FlowCalConstA,MATCH(J208,FlowCalNumber,0),1,1)*L210^INDEX(FlowCalConstB,MATCH(J208,FlowCalNumber,0),1,1)&gt;INDEX(FlowCalLowSetting,MATCH(J208,FlowCalNumber,0),1,1), (INDEX(FlowCalConstA,MATCH(J208,FlowCalNumber,0),1,1)*L210^INDEX(FlowCalConstB,MATCH(J208,FlowCalNumber,0),1,1)&lt;INDEX(FlowCalHighSetting,MATCH(J208,FlowCalNumber,0),1,1))),INDEX(FlowCalConstA,MATCH(J208,FlowCalNumber,0),1,1)*L210^INDEX(FlowCalConstB,MATCH(J208,FlowCalNumber,0),1,1)," ")</f>
        <v>#N/A</v>
      </c>
      <c r="N210" s="377"/>
      <c r="O210" s="242">
        <f t="shared" ref="O210:O223" si="102">O209</f>
        <v>1</v>
      </c>
      <c r="P210" s="241" t="e">
        <f t="shared" ref="P210:P223" ca="1" si="103">O210*$H210</f>
        <v>#VALUE!</v>
      </c>
      <c r="Q210" s="244" t="e">
        <f ca="1">IF(AND(INDEX(FlowCalConstA,MATCH(N208,FlowCalNumber,0),1,1)*P210^INDEX(FlowCalConstB,MATCH(N208,FlowCalNumber,0),1,1)&gt;INDEX(FlowCalLowSetting,MATCH(N208,FlowCalNumber,0),1,1), (INDEX(FlowCalConstA,MATCH(N208,FlowCalNumber,0),1,1)*P210^INDEX(FlowCalConstB,MATCH(N208,FlowCalNumber,0),1,1)&lt;INDEX(FlowCalHighSetting,MATCH(N208,FlowCalNumber,0),1,1))),INDEX(FlowCalConstA,MATCH(N208,FlowCalNumber,0),1,1)*P210^INDEX(FlowCalConstB,MATCH(N208,FlowCalNumber,0),1,1)," ")</f>
        <v>#N/A</v>
      </c>
      <c r="R210" s="377"/>
      <c r="S210" s="242">
        <f t="shared" ref="S210:S223" si="104">S209</f>
        <v>0.5</v>
      </c>
      <c r="T210" s="241" t="e">
        <f t="shared" ref="T210:T223" ca="1" si="105">S210*$H210</f>
        <v>#VALUE!</v>
      </c>
      <c r="U210" s="243" t="e">
        <f ca="1">IF(AND(INDEX(FlowCalConstA,MATCH(R208,FlowCalNumber,0),1,1)*T210^INDEX(FlowCalConstB,MATCH(R208,FlowCalNumber,0),1,1)&gt;INDEX(FlowCalLowSetting,MATCH(R208,FlowCalNumber,0),1,1), (INDEX(FlowCalConstA,MATCH(R208,FlowCalNumber,0),1,1)*T210^INDEX(FlowCalConstB,MATCH(R208,FlowCalNumber,0),1,1)&lt;INDEX(FlowCalHighSetting,MATCH(R208,FlowCalNumber,0),1,1))),INDEX(FlowCalConstA,MATCH(R208,FlowCalNumber,0),1,1)*T210^INDEX(FlowCalConstB,MATCH(R208,FlowCalNumber,0),1,1)," ")</f>
        <v>#N/A</v>
      </c>
      <c r="V210" s="377"/>
      <c r="W210" s="242">
        <f t="shared" ref="W210:W223" si="106">W209</f>
        <v>0.5</v>
      </c>
      <c r="X210" s="241" t="e">
        <f t="shared" ref="X210:X223" ca="1" si="107">W210*$H210</f>
        <v>#VALUE!</v>
      </c>
      <c r="Y210" s="244" t="e">
        <f ca="1">IF(AND(INDEX(FlowCalConstA,MATCH(V208,FlowCalNumber,0),1,1)*X210^INDEX(FlowCalConstB,MATCH(V208,FlowCalNumber,0),1,1)&gt;INDEX(FlowCalLowSetting,MATCH(V208,FlowCalNumber,0),1,1), (INDEX(FlowCalConstA,MATCH(V208,FlowCalNumber,0),1,1)*X210^INDEX(FlowCalConstB,MATCH(V208,FlowCalNumber,0),1,1)&lt;INDEX(FlowCalHighSetting,MATCH(V208,FlowCalNumber,0),1,1))),INDEX(FlowCalConstA,MATCH(V208,FlowCalNumber,0),1,1)*X210^INDEX(FlowCalConstB,MATCH(V208,FlowCalNumber,0),1,1)," ")</f>
        <v>#N/A</v>
      </c>
    </row>
    <row r="211" spans="1:25" s="1215" customFormat="1">
      <c r="A211" s="1208"/>
      <c r="B211" s="1209"/>
      <c r="C211" s="1210"/>
      <c r="D211" s="1211">
        <f>'1% Wind'!$M$84</f>
        <v>20.5</v>
      </c>
      <c r="E211" s="1212"/>
      <c r="F211" s="1212"/>
      <c r="G211" s="1213">
        <f ca="1">IF(I208=1,$G210,MAX(G210/D210*D211,2))</f>
        <v>2</v>
      </c>
      <c r="H211" s="1214" t="e">
        <f t="shared" ca="1" si="99"/>
        <v>#VALUE!</v>
      </c>
      <c r="J211" s="1216"/>
      <c r="K211" s="1217">
        <f t="shared" si="100"/>
        <v>1</v>
      </c>
      <c r="L211" s="1218" t="e">
        <f t="shared" ca="1" si="101"/>
        <v>#VALUE!</v>
      </c>
      <c r="M211" s="1219" t="e">
        <f ca="1">IF(AND(INDEX(FlowCalConstA,MATCH(J208,FlowCalNumber,0),1,1)*L211^INDEX(FlowCalConstB,MATCH(J208,FlowCalNumber,0),1,1)&gt;INDEX(FlowCalLowSetting,MATCH(J208,FlowCalNumber,0),1,1), (INDEX(FlowCalConstA,MATCH(J208,FlowCalNumber,0),1,1)*L211^INDEX(FlowCalConstB,MATCH(J208,FlowCalNumber,0),1,1)&lt;INDEX(FlowCalHighSetting,MATCH(J208,FlowCalNumber,0),1,1))),INDEX(FlowCalConstA,MATCH(J208,FlowCalNumber,0),1,1)*L211^INDEX(FlowCalConstB,MATCH(J208,FlowCalNumber,0),1,1)," ")</f>
        <v>#N/A</v>
      </c>
      <c r="N211" s="1216"/>
      <c r="O211" s="1217">
        <f t="shared" si="102"/>
        <v>1</v>
      </c>
      <c r="P211" s="1218" t="e">
        <f t="shared" ca="1" si="103"/>
        <v>#VALUE!</v>
      </c>
      <c r="Q211" s="1220" t="e">
        <f ca="1">IF(AND(INDEX(FlowCalConstA,MATCH(N208,FlowCalNumber,0),1,1)*P211^INDEX(FlowCalConstB,MATCH(N208,FlowCalNumber,0),1,1)&gt;INDEX(FlowCalLowSetting,MATCH(N208,FlowCalNumber,0),1,1), (INDEX(FlowCalConstA,MATCH(N208,FlowCalNumber,0),1,1)*P211^INDEX(FlowCalConstB,MATCH(N208,FlowCalNumber,0),1,1)&lt;INDEX(FlowCalHighSetting,MATCH(N208,FlowCalNumber,0),1,1))),INDEX(FlowCalConstA,MATCH(N208,FlowCalNumber,0),1,1)*P211^INDEX(FlowCalConstB,MATCH(N208,FlowCalNumber,0),1,1)," ")</f>
        <v>#N/A</v>
      </c>
      <c r="R211" s="1216"/>
      <c r="S211" s="1217">
        <f t="shared" si="104"/>
        <v>0.5</v>
      </c>
      <c r="T211" s="1218" t="e">
        <f t="shared" ca="1" si="105"/>
        <v>#VALUE!</v>
      </c>
      <c r="U211" s="1219" t="e">
        <f ca="1">IF(AND(INDEX(FlowCalConstA,MATCH(R208,FlowCalNumber,0),1,1)*T211^INDEX(FlowCalConstB,MATCH(R208,FlowCalNumber,0),1,1)&gt;INDEX(FlowCalLowSetting,MATCH(R208,FlowCalNumber,0),1,1), (INDEX(FlowCalConstA,MATCH(R208,FlowCalNumber,0),1,1)*T211^INDEX(FlowCalConstB,MATCH(R208,FlowCalNumber,0),1,1)&lt;INDEX(FlowCalHighSetting,MATCH(R208,FlowCalNumber,0),1,1))),INDEX(FlowCalConstA,MATCH(R208,FlowCalNumber,0),1,1)*T211^INDEX(FlowCalConstB,MATCH(R208,FlowCalNumber,0),1,1)," ")</f>
        <v>#N/A</v>
      </c>
      <c r="V211" s="1216"/>
      <c r="W211" s="1217">
        <f t="shared" si="106"/>
        <v>0.5</v>
      </c>
      <c r="X211" s="1218" t="e">
        <f t="shared" ca="1" si="107"/>
        <v>#VALUE!</v>
      </c>
      <c r="Y211" s="1220" t="e">
        <f ca="1">IF(AND(INDEX(FlowCalConstA,MATCH(V208,FlowCalNumber,0),1,1)*X211^INDEX(FlowCalConstB,MATCH(V208,FlowCalNumber,0),1,1)&gt;INDEX(FlowCalLowSetting,MATCH(V208,FlowCalNumber,0),1,1), (INDEX(FlowCalConstA,MATCH(V208,FlowCalNumber,0),1,1)*X211^INDEX(FlowCalConstB,MATCH(V208,FlowCalNumber,0),1,1)&lt;INDEX(FlowCalHighSetting,MATCH(V208,FlowCalNumber,0),1,1))),INDEX(FlowCalConstA,MATCH(V208,FlowCalNumber,0),1,1)*X211^INDEX(FlowCalConstB,MATCH(V208,FlowCalNumber,0),1,1)," ")</f>
        <v>#N/A</v>
      </c>
    </row>
    <row r="212" spans="1:25">
      <c r="A212" s="412"/>
      <c r="B212" s="2"/>
      <c r="C212" s="235"/>
      <c r="D212" s="24">
        <f>'1% Wind'!$M$85</f>
        <v>17.8</v>
      </c>
      <c r="E212" s="90"/>
      <c r="F212" s="90"/>
      <c r="G212" s="79">
        <f ca="1">IF(I208=1,$G211,MAX(G211/D211*D212,2))</f>
        <v>2</v>
      </c>
      <c r="H212" s="121" t="e">
        <f t="shared" ca="1" si="99"/>
        <v>#VALUE!</v>
      </c>
      <c r="J212" s="377"/>
      <c r="K212" s="242">
        <f t="shared" si="100"/>
        <v>1</v>
      </c>
      <c r="L212" s="241" t="e">
        <f t="shared" ca="1" si="101"/>
        <v>#VALUE!</v>
      </c>
      <c r="M212" s="243" t="e">
        <f ca="1">IF(AND(INDEX(FlowCalConstA,MATCH(J208,FlowCalNumber,0),1,1)*L212^INDEX(FlowCalConstB,MATCH(J208,FlowCalNumber,0),1,1)&gt;INDEX(FlowCalLowSetting,MATCH(J208,FlowCalNumber,0),1,1), (INDEX(FlowCalConstA,MATCH(J208,FlowCalNumber,0),1,1)*L212^INDEX(FlowCalConstB,MATCH(J208,FlowCalNumber,0),1,1)&lt;INDEX(FlowCalHighSetting,MATCH(J208,FlowCalNumber,0),1,1))),INDEX(FlowCalConstA,MATCH(J208,FlowCalNumber,0),1,1)*L212^INDEX(FlowCalConstB,MATCH(J208,FlowCalNumber,0),1,1)," ")</f>
        <v>#N/A</v>
      </c>
      <c r="N212" s="377"/>
      <c r="O212" s="242">
        <f t="shared" si="102"/>
        <v>1</v>
      </c>
      <c r="P212" s="241" t="e">
        <f t="shared" ca="1" si="103"/>
        <v>#VALUE!</v>
      </c>
      <c r="Q212" s="244" t="e">
        <f ca="1">IF(AND(INDEX(FlowCalConstA,MATCH(N208,FlowCalNumber,0),1,1)*P212^INDEX(FlowCalConstB,MATCH(N208,FlowCalNumber,0),1,1)&gt;INDEX(FlowCalLowSetting,MATCH(N208,FlowCalNumber,0),1,1), (INDEX(FlowCalConstA,MATCH(N208,FlowCalNumber,0),1,1)*P212^INDEX(FlowCalConstB,MATCH(N208,FlowCalNumber,0),1,1)&lt;INDEX(FlowCalHighSetting,MATCH(N208,FlowCalNumber,0),1,1))),INDEX(FlowCalConstA,MATCH(N208,FlowCalNumber,0),1,1)*P212^INDEX(FlowCalConstB,MATCH(N208,FlowCalNumber,0),1,1)," ")</f>
        <v>#N/A</v>
      </c>
      <c r="R212" s="377"/>
      <c r="S212" s="242">
        <f t="shared" si="104"/>
        <v>0.5</v>
      </c>
      <c r="T212" s="241" t="e">
        <f t="shared" ca="1" si="105"/>
        <v>#VALUE!</v>
      </c>
      <c r="U212" s="243" t="e">
        <f ca="1">IF(AND(INDEX(FlowCalConstA,MATCH(R208,FlowCalNumber,0),1,1)*T212^INDEX(FlowCalConstB,MATCH(R208,FlowCalNumber,0),1,1)&gt;INDEX(FlowCalLowSetting,MATCH(R208,FlowCalNumber,0),1,1), (INDEX(FlowCalConstA,MATCH(R208,FlowCalNumber,0),1,1)*T212^INDEX(FlowCalConstB,MATCH(R208,FlowCalNumber,0),1,1)&lt;INDEX(FlowCalHighSetting,MATCH(R208,FlowCalNumber,0),1,1))),INDEX(FlowCalConstA,MATCH(R208,FlowCalNumber,0),1,1)*T212^INDEX(FlowCalConstB,MATCH(R208,FlowCalNumber,0),1,1)," ")</f>
        <v>#N/A</v>
      </c>
      <c r="V212" s="377"/>
      <c r="W212" s="242">
        <f t="shared" si="106"/>
        <v>0.5</v>
      </c>
      <c r="X212" s="241" t="e">
        <f t="shared" ca="1" si="107"/>
        <v>#VALUE!</v>
      </c>
      <c r="Y212" s="244" t="e">
        <f ca="1">IF(AND(INDEX(FlowCalConstA,MATCH(V208,FlowCalNumber,0),1,1)*X212^INDEX(FlowCalConstB,MATCH(V208,FlowCalNumber,0),1,1)&gt;INDEX(FlowCalLowSetting,MATCH(V208,FlowCalNumber,0),1,1), (INDEX(FlowCalConstA,MATCH(V208,FlowCalNumber,0),1,1)*X212^INDEX(FlowCalConstB,MATCH(V208,FlowCalNumber,0),1,1)&lt;INDEX(FlowCalHighSetting,MATCH(V208,FlowCalNumber,0),1,1))),INDEX(FlowCalConstA,MATCH(V208,FlowCalNumber,0),1,1)*X212^INDEX(FlowCalConstB,MATCH(V208,FlowCalNumber,0),1,1)," ")</f>
        <v>#N/A</v>
      </c>
    </row>
    <row r="213" spans="1:25" s="1215" customFormat="1">
      <c r="A213" s="1208"/>
      <c r="B213" s="1209"/>
      <c r="C213" s="1210"/>
      <c r="D213" s="1211">
        <f>'1% Wind'!$M$86</f>
        <v>15.5</v>
      </c>
      <c r="E213" s="1212"/>
      <c r="F213" s="1212"/>
      <c r="G213" s="1213">
        <f ca="1">IF(I208=1,$G212,MAX(G212/D212*D213,2))</f>
        <v>2</v>
      </c>
      <c r="H213" s="1214" t="e">
        <f t="shared" ca="1" si="99"/>
        <v>#VALUE!</v>
      </c>
      <c r="J213" s="1216"/>
      <c r="K213" s="1217">
        <f t="shared" si="100"/>
        <v>1</v>
      </c>
      <c r="L213" s="1218" t="e">
        <f t="shared" ca="1" si="101"/>
        <v>#VALUE!</v>
      </c>
      <c r="M213" s="1219" t="e">
        <f ca="1">IF(AND(INDEX(FlowCalConstA,MATCH(J208,FlowCalNumber,0),1,1)*L213^INDEX(FlowCalConstB,MATCH(J208,FlowCalNumber,0),1,1)&gt;INDEX(FlowCalLowSetting,MATCH(J208,FlowCalNumber,0),1,1), (INDEX(FlowCalConstA,MATCH(J208,FlowCalNumber,0),1,1)*L213^INDEX(FlowCalConstB,MATCH(J208,FlowCalNumber,0),1,1)&lt;INDEX(FlowCalHighSetting,MATCH(J208,FlowCalNumber,0),1,1))),INDEX(FlowCalConstA,MATCH(J208,FlowCalNumber,0),1,1)*L213^INDEX(FlowCalConstB,MATCH(J208,FlowCalNumber,0),1,1)," ")</f>
        <v>#N/A</v>
      </c>
      <c r="N213" s="1216"/>
      <c r="O213" s="1217">
        <f t="shared" si="102"/>
        <v>1</v>
      </c>
      <c r="P213" s="1218" t="e">
        <f t="shared" ca="1" si="103"/>
        <v>#VALUE!</v>
      </c>
      <c r="Q213" s="1220" t="e">
        <f ca="1">IF(AND(INDEX(FlowCalConstA,MATCH(N208,FlowCalNumber,0),1,1)*P213^INDEX(FlowCalConstB,MATCH(N208,FlowCalNumber,0),1,1)&gt;INDEX(FlowCalLowSetting,MATCH(N208,FlowCalNumber,0),1,1), (INDEX(FlowCalConstA,MATCH(N208,FlowCalNumber,0),1,1)*P213^INDEX(FlowCalConstB,MATCH(N208,FlowCalNumber,0),1,1)&lt;INDEX(FlowCalHighSetting,MATCH(N208,FlowCalNumber,0),1,1))),INDEX(FlowCalConstA,MATCH(N208,FlowCalNumber,0),1,1)*P213^INDEX(FlowCalConstB,MATCH(N208,FlowCalNumber,0),1,1)," ")</f>
        <v>#N/A</v>
      </c>
      <c r="R213" s="1216"/>
      <c r="S213" s="1217">
        <f t="shared" si="104"/>
        <v>0.5</v>
      </c>
      <c r="T213" s="1218" t="e">
        <f t="shared" ca="1" si="105"/>
        <v>#VALUE!</v>
      </c>
      <c r="U213" s="1219" t="e">
        <f ca="1">IF(AND(INDEX(FlowCalConstA,MATCH(R208,FlowCalNumber,0),1,1)*T213^INDEX(FlowCalConstB,MATCH(R208,FlowCalNumber,0),1,1)&gt;INDEX(FlowCalLowSetting,MATCH(R208,FlowCalNumber,0),1,1), (INDEX(FlowCalConstA,MATCH(R208,FlowCalNumber,0),1,1)*T213^INDEX(FlowCalConstB,MATCH(R208,FlowCalNumber,0),1,1)&lt;INDEX(FlowCalHighSetting,MATCH(R208,FlowCalNumber,0),1,1))),INDEX(FlowCalConstA,MATCH(R208,FlowCalNumber,0),1,1)*T213^INDEX(FlowCalConstB,MATCH(R208,FlowCalNumber,0),1,1)," ")</f>
        <v>#N/A</v>
      </c>
      <c r="V213" s="1216"/>
      <c r="W213" s="1217">
        <f t="shared" si="106"/>
        <v>0.5</v>
      </c>
      <c r="X213" s="1218" t="e">
        <f t="shared" ca="1" si="107"/>
        <v>#VALUE!</v>
      </c>
      <c r="Y213" s="1220" t="e">
        <f ca="1">IF(AND(INDEX(FlowCalConstA,MATCH(V208,FlowCalNumber,0),1,1)*X213^INDEX(FlowCalConstB,MATCH(V208,FlowCalNumber,0),1,1)&gt;INDEX(FlowCalLowSetting,MATCH(V208,FlowCalNumber,0),1,1), (INDEX(FlowCalConstA,MATCH(V208,FlowCalNumber,0),1,1)*X213^INDEX(FlowCalConstB,MATCH(V208,FlowCalNumber,0),1,1)&lt;INDEX(FlowCalHighSetting,MATCH(V208,FlowCalNumber,0),1,1))),INDEX(FlowCalConstA,MATCH(V208,FlowCalNumber,0),1,1)*X213^INDEX(FlowCalConstB,MATCH(V208,FlowCalNumber,0),1,1)," ")</f>
        <v>#N/A</v>
      </c>
    </row>
    <row r="214" spans="1:25">
      <c r="A214" s="412"/>
      <c r="B214" s="2"/>
      <c r="C214" s="235"/>
      <c r="D214" s="24">
        <f>'1% Wind'!$M$87</f>
        <v>13.5</v>
      </c>
      <c r="E214" s="90"/>
      <c r="F214" s="90"/>
      <c r="G214" s="79">
        <f ca="1">IF(I208=1,$G213,MAX(G213/D213*D214,2))</f>
        <v>2</v>
      </c>
      <c r="H214" s="121" t="e">
        <f t="shared" ca="1" si="99"/>
        <v>#VALUE!</v>
      </c>
      <c r="J214" s="377"/>
      <c r="K214" s="242">
        <f t="shared" si="100"/>
        <v>1</v>
      </c>
      <c r="L214" s="241" t="e">
        <f t="shared" ca="1" si="101"/>
        <v>#VALUE!</v>
      </c>
      <c r="M214" s="243" t="e">
        <f ca="1">IF(AND(INDEX(FlowCalConstA,MATCH(J208,FlowCalNumber,0),1,1)*L214^INDEX(FlowCalConstB,MATCH(J208,FlowCalNumber,0),1,1)&gt;INDEX(FlowCalLowSetting,MATCH(J208,FlowCalNumber,0),1,1), (INDEX(FlowCalConstA,MATCH(J208,FlowCalNumber,0),1,1)*L214^INDEX(FlowCalConstB,MATCH(J208,FlowCalNumber,0),1,1)&lt;INDEX(FlowCalHighSetting,MATCH(J208,FlowCalNumber,0),1,1))),INDEX(FlowCalConstA,MATCH(J208,FlowCalNumber,0),1,1)*L214^INDEX(FlowCalConstB,MATCH(J208,FlowCalNumber,0),1,1)," ")</f>
        <v>#N/A</v>
      </c>
      <c r="N214" s="377"/>
      <c r="O214" s="242">
        <f t="shared" si="102"/>
        <v>1</v>
      </c>
      <c r="P214" s="241" t="e">
        <f t="shared" ca="1" si="103"/>
        <v>#VALUE!</v>
      </c>
      <c r="Q214" s="244" t="e">
        <f ca="1">IF(AND(INDEX(FlowCalConstA,MATCH(N208,FlowCalNumber,0),1,1)*P214^INDEX(FlowCalConstB,MATCH(N208,FlowCalNumber,0),1,1)&gt;INDEX(FlowCalLowSetting,MATCH(N208,FlowCalNumber,0),1,1), (INDEX(FlowCalConstA,MATCH(N208,FlowCalNumber,0),1,1)*P214^INDEX(FlowCalConstB,MATCH(N208,FlowCalNumber,0),1,1)&lt;INDEX(FlowCalHighSetting,MATCH(N208,FlowCalNumber,0),1,1))),INDEX(FlowCalConstA,MATCH(N208,FlowCalNumber,0),1,1)*P214^INDEX(FlowCalConstB,MATCH(N208,FlowCalNumber,0),1,1)," ")</f>
        <v>#N/A</v>
      </c>
      <c r="R214" s="377"/>
      <c r="S214" s="242">
        <f t="shared" si="104"/>
        <v>0.5</v>
      </c>
      <c r="T214" s="241" t="e">
        <f t="shared" ca="1" si="105"/>
        <v>#VALUE!</v>
      </c>
      <c r="U214" s="243" t="e">
        <f ca="1">IF(AND(INDEX(FlowCalConstA,MATCH(R208,FlowCalNumber,0),1,1)*T214^INDEX(FlowCalConstB,MATCH(R208,FlowCalNumber,0),1,1)&gt;INDEX(FlowCalLowSetting,MATCH(R208,FlowCalNumber,0),1,1), (INDEX(FlowCalConstA,MATCH(R208,FlowCalNumber,0),1,1)*T214^INDEX(FlowCalConstB,MATCH(R208,FlowCalNumber,0),1,1)&lt;INDEX(FlowCalHighSetting,MATCH(R208,FlowCalNumber,0),1,1))),INDEX(FlowCalConstA,MATCH(R208,FlowCalNumber,0),1,1)*T214^INDEX(FlowCalConstB,MATCH(R208,FlowCalNumber,0),1,1)," ")</f>
        <v>#N/A</v>
      </c>
      <c r="V214" s="377"/>
      <c r="W214" s="242">
        <f t="shared" si="106"/>
        <v>0.5</v>
      </c>
      <c r="X214" s="241" t="e">
        <f t="shared" ca="1" si="107"/>
        <v>#VALUE!</v>
      </c>
      <c r="Y214" s="244" t="e">
        <f ca="1">IF(AND(INDEX(FlowCalConstA,MATCH(V208,FlowCalNumber,0),1,1)*X214^INDEX(FlowCalConstB,MATCH(V208,FlowCalNumber,0),1,1)&gt;INDEX(FlowCalLowSetting,MATCH(V208,FlowCalNumber,0),1,1), (INDEX(FlowCalConstA,MATCH(V208,FlowCalNumber,0),1,1)*X214^INDEX(FlowCalConstB,MATCH(V208,FlowCalNumber,0),1,1)&lt;INDEX(FlowCalHighSetting,MATCH(V208,FlowCalNumber,0),1,1))),INDEX(FlowCalConstA,MATCH(V208,FlowCalNumber,0),1,1)*X214^INDEX(FlowCalConstB,MATCH(V208,FlowCalNumber,0),1,1)," ")</f>
        <v>#N/A</v>
      </c>
    </row>
    <row r="215" spans="1:25" s="1215" customFormat="1">
      <c r="A215" s="1208"/>
      <c r="B215" s="1209"/>
      <c r="C215" s="1210"/>
      <c r="D215" s="1211">
        <f>'1% Wind'!$M$88</f>
        <v>10.1</v>
      </c>
      <c r="E215" s="1212"/>
      <c r="F215" s="1212"/>
      <c r="G215" s="1213">
        <f ca="1">IF(I208=1,$G214,MAX(G214/D214*D215,2))</f>
        <v>2</v>
      </c>
      <c r="H215" s="1214" t="e">
        <f t="shared" ca="1" si="99"/>
        <v>#VALUE!</v>
      </c>
      <c r="J215" s="1216"/>
      <c r="K215" s="1217">
        <f t="shared" si="100"/>
        <v>1</v>
      </c>
      <c r="L215" s="1218" t="e">
        <f t="shared" ca="1" si="101"/>
        <v>#VALUE!</v>
      </c>
      <c r="M215" s="1219" t="e">
        <f ca="1">IF(AND(INDEX(FlowCalConstA,MATCH(J208,FlowCalNumber,0),1,1)*L215^INDEX(FlowCalConstB,MATCH(J208,FlowCalNumber,0),1,1)&gt;INDEX(FlowCalLowSetting,MATCH(J208,FlowCalNumber,0),1,1), (INDEX(FlowCalConstA,MATCH(J208,FlowCalNumber,0),1,1)*L215^INDEX(FlowCalConstB,MATCH(J208,FlowCalNumber,0),1,1)&lt;INDEX(FlowCalHighSetting,MATCH(J208,FlowCalNumber,0),1,1))),INDEX(FlowCalConstA,MATCH(J208,FlowCalNumber,0),1,1)*L215^INDEX(FlowCalConstB,MATCH(J208,FlowCalNumber,0),1,1)," ")</f>
        <v>#N/A</v>
      </c>
      <c r="N215" s="1216"/>
      <c r="O215" s="1217">
        <f t="shared" si="102"/>
        <v>1</v>
      </c>
      <c r="P215" s="1218" t="e">
        <f t="shared" ca="1" si="103"/>
        <v>#VALUE!</v>
      </c>
      <c r="Q215" s="1220" t="e">
        <f ca="1">IF(AND(INDEX(FlowCalConstA,MATCH(N208,FlowCalNumber,0),1,1)*P215^INDEX(FlowCalConstB,MATCH(N208,FlowCalNumber,0),1,1)&gt;INDEX(FlowCalLowSetting,MATCH(N208,FlowCalNumber,0),1,1), (INDEX(FlowCalConstA,MATCH(N208,FlowCalNumber,0),1,1)*P215^INDEX(FlowCalConstB,MATCH(N208,FlowCalNumber,0),1,1)&lt;INDEX(FlowCalHighSetting,MATCH(N208,FlowCalNumber,0),1,1))),INDEX(FlowCalConstA,MATCH(N208,FlowCalNumber,0),1,1)*P215^INDEX(FlowCalConstB,MATCH(N208,FlowCalNumber,0),1,1)," ")</f>
        <v>#N/A</v>
      </c>
      <c r="R215" s="1216"/>
      <c r="S215" s="1217">
        <f t="shared" si="104"/>
        <v>0.5</v>
      </c>
      <c r="T215" s="1218" t="e">
        <f t="shared" ca="1" si="105"/>
        <v>#VALUE!</v>
      </c>
      <c r="U215" s="1219" t="e">
        <f ca="1">IF(AND(INDEX(FlowCalConstA,MATCH(R208,FlowCalNumber,0),1,1)*T215^INDEX(FlowCalConstB,MATCH(R208,FlowCalNumber,0),1,1)&gt;INDEX(FlowCalLowSetting,MATCH(R208,FlowCalNumber,0),1,1), (INDEX(FlowCalConstA,MATCH(R208,FlowCalNumber,0),1,1)*T215^INDEX(FlowCalConstB,MATCH(R208,FlowCalNumber,0),1,1)&lt;INDEX(FlowCalHighSetting,MATCH(R208,FlowCalNumber,0),1,1))),INDEX(FlowCalConstA,MATCH(R208,FlowCalNumber,0),1,1)*T215^INDEX(FlowCalConstB,MATCH(R208,FlowCalNumber,0),1,1)," ")</f>
        <v>#N/A</v>
      </c>
      <c r="V215" s="1216"/>
      <c r="W215" s="1217">
        <f t="shared" si="106"/>
        <v>0.5</v>
      </c>
      <c r="X215" s="1218" t="e">
        <f t="shared" ca="1" si="107"/>
        <v>#VALUE!</v>
      </c>
      <c r="Y215" s="1220" t="e">
        <f ca="1">IF(AND(INDEX(FlowCalConstA,MATCH(V208,FlowCalNumber,0),1,1)*X215^INDEX(FlowCalConstB,MATCH(V208,FlowCalNumber,0),1,1)&gt;INDEX(FlowCalLowSetting,MATCH(V208,FlowCalNumber,0),1,1), (INDEX(FlowCalConstA,MATCH(V208,FlowCalNumber,0),1,1)*X215^INDEX(FlowCalConstB,MATCH(V208,FlowCalNumber,0),1,1)&lt;INDEX(FlowCalHighSetting,MATCH(V208,FlowCalNumber,0),1,1))),INDEX(FlowCalConstA,MATCH(V208,FlowCalNumber,0),1,1)*X215^INDEX(FlowCalConstB,MATCH(V208,FlowCalNumber,0),1,1)," ")</f>
        <v>#N/A</v>
      </c>
    </row>
    <row r="216" spans="1:25">
      <c r="A216" s="412"/>
      <c r="B216" s="2"/>
      <c r="C216" s="235"/>
      <c r="D216" s="24">
        <f>'1% Wind'!$M$89</f>
        <v>7.6</v>
      </c>
      <c r="E216" s="90"/>
      <c r="F216" s="90"/>
      <c r="G216" s="79">
        <f ca="1">IF(I208=1,$G215,MAX(G215/D215*D216,2))</f>
        <v>2</v>
      </c>
      <c r="H216" s="121" t="e">
        <f t="shared" ca="1" si="99"/>
        <v>#VALUE!</v>
      </c>
      <c r="J216" s="377"/>
      <c r="K216" s="242">
        <f t="shared" si="100"/>
        <v>1</v>
      </c>
      <c r="L216" s="241" t="e">
        <f t="shared" ca="1" si="101"/>
        <v>#VALUE!</v>
      </c>
      <c r="M216" s="243" t="e">
        <f ca="1">IF(AND(INDEX(FlowCalConstA,MATCH(J208,FlowCalNumber,0),1,1)*L216^INDEX(FlowCalConstB,MATCH(J208,FlowCalNumber,0),1,1)&gt;INDEX(FlowCalLowSetting,MATCH(J208,FlowCalNumber,0),1,1), (INDEX(FlowCalConstA,MATCH(J208,FlowCalNumber,0),1,1)*L216^INDEX(FlowCalConstB,MATCH(J208,FlowCalNumber,0),1,1)&lt;INDEX(FlowCalHighSetting,MATCH(J208,FlowCalNumber,0),1,1))),INDEX(FlowCalConstA,MATCH(J208,FlowCalNumber,0),1,1)*L216^INDEX(FlowCalConstB,MATCH(J208,FlowCalNumber,0),1,1)," ")</f>
        <v>#N/A</v>
      </c>
      <c r="N216" s="377"/>
      <c r="O216" s="242">
        <f t="shared" si="102"/>
        <v>1</v>
      </c>
      <c r="P216" s="241" t="e">
        <f t="shared" ca="1" si="103"/>
        <v>#VALUE!</v>
      </c>
      <c r="Q216" s="244" t="e">
        <f ca="1">IF(AND(INDEX(FlowCalConstA,MATCH(N208,FlowCalNumber,0),1,1)*P216^INDEX(FlowCalConstB,MATCH(N208,FlowCalNumber,0),1,1)&gt;INDEX(FlowCalLowSetting,MATCH(N208,FlowCalNumber,0),1,1), (INDEX(FlowCalConstA,MATCH(N208,FlowCalNumber,0),1,1)*P216^INDEX(FlowCalConstB,MATCH(N208,FlowCalNumber,0),1,1)&lt;INDEX(FlowCalHighSetting,MATCH(N208,FlowCalNumber,0),1,1))),INDEX(FlowCalConstA,MATCH(N208,FlowCalNumber,0),1,1)*P216^INDEX(FlowCalConstB,MATCH(N208,FlowCalNumber,0),1,1)," ")</f>
        <v>#N/A</v>
      </c>
      <c r="R216" s="377"/>
      <c r="S216" s="242">
        <f t="shared" si="104"/>
        <v>0.5</v>
      </c>
      <c r="T216" s="241" t="e">
        <f t="shared" ca="1" si="105"/>
        <v>#VALUE!</v>
      </c>
      <c r="U216" s="243" t="e">
        <f ca="1">IF(AND(INDEX(FlowCalConstA,MATCH(R208,FlowCalNumber,0),1,1)*T216^INDEX(FlowCalConstB,MATCH(R208,FlowCalNumber,0),1,1)&gt;INDEX(FlowCalLowSetting,MATCH(R208,FlowCalNumber,0),1,1), (INDEX(FlowCalConstA,MATCH(R208,FlowCalNumber,0),1,1)*T216^INDEX(FlowCalConstB,MATCH(R208,FlowCalNumber,0),1,1)&lt;INDEX(FlowCalHighSetting,MATCH(R208,FlowCalNumber,0),1,1))),INDEX(FlowCalConstA,MATCH(R208,FlowCalNumber,0),1,1)*T216^INDEX(FlowCalConstB,MATCH(R208,FlowCalNumber,0),1,1)," ")</f>
        <v>#N/A</v>
      </c>
      <c r="V216" s="377"/>
      <c r="W216" s="242">
        <f t="shared" si="106"/>
        <v>0.5</v>
      </c>
      <c r="X216" s="241" t="e">
        <f t="shared" ca="1" si="107"/>
        <v>#VALUE!</v>
      </c>
      <c r="Y216" s="244" t="e">
        <f ca="1">IF(AND(INDEX(FlowCalConstA,MATCH(V208,FlowCalNumber,0),1,1)*X216^INDEX(FlowCalConstB,MATCH(V208,FlowCalNumber,0),1,1)&gt;INDEX(FlowCalLowSetting,MATCH(V208,FlowCalNumber,0),1,1), (INDEX(FlowCalConstA,MATCH(V208,FlowCalNumber,0),1,1)*X216^INDEX(FlowCalConstB,MATCH(V208,FlowCalNumber,0),1,1)&lt;INDEX(FlowCalHighSetting,MATCH(V208,FlowCalNumber,0),1,1))),INDEX(FlowCalConstA,MATCH(V208,FlowCalNumber,0),1,1)*X216^INDEX(FlowCalConstB,MATCH(V208,FlowCalNumber,0),1,1)," ")</f>
        <v>#N/A</v>
      </c>
    </row>
    <row r="217" spans="1:25" s="1215" customFormat="1">
      <c r="A217" s="1208"/>
      <c r="B217" s="1209"/>
      <c r="C217" s="1210"/>
      <c r="D217" s="1211">
        <f>'1% Wind'!$M$90</f>
        <v>5.7</v>
      </c>
      <c r="E217" s="1212"/>
      <c r="F217" s="1212"/>
      <c r="G217" s="1213">
        <f ca="1">IF(I208=1,$G216,MAX(G216/D216*D217,2))</f>
        <v>2</v>
      </c>
      <c r="H217" s="1214" t="e">
        <f t="shared" ca="1" si="99"/>
        <v>#VALUE!</v>
      </c>
      <c r="J217" s="1216"/>
      <c r="K217" s="1217">
        <f t="shared" si="100"/>
        <v>1</v>
      </c>
      <c r="L217" s="1218" t="e">
        <f t="shared" ca="1" si="101"/>
        <v>#VALUE!</v>
      </c>
      <c r="M217" s="1219" t="e">
        <f ca="1">IF(AND(INDEX(FlowCalConstA,MATCH(J208,FlowCalNumber,0),1,1)*L217^INDEX(FlowCalConstB,MATCH(J208,FlowCalNumber,0),1,1)&gt;INDEX(FlowCalLowSetting,MATCH(J208,FlowCalNumber,0),1,1), (INDEX(FlowCalConstA,MATCH(J208,FlowCalNumber,0),1,1)*L217^INDEX(FlowCalConstB,MATCH(J208,FlowCalNumber,0),1,1)&lt;INDEX(FlowCalHighSetting,MATCH(J208,FlowCalNumber,0),1,1))),INDEX(FlowCalConstA,MATCH(J208,FlowCalNumber,0),1,1)*L217^INDEX(FlowCalConstB,MATCH(J208,FlowCalNumber,0),1,1)," ")</f>
        <v>#N/A</v>
      </c>
      <c r="N217" s="1216"/>
      <c r="O217" s="1217">
        <f t="shared" si="102"/>
        <v>1</v>
      </c>
      <c r="P217" s="1218" t="e">
        <f t="shared" ca="1" si="103"/>
        <v>#VALUE!</v>
      </c>
      <c r="Q217" s="1220" t="e">
        <f ca="1">IF(AND(INDEX(FlowCalConstA,MATCH(N208,FlowCalNumber,0),1,1)*P217^INDEX(FlowCalConstB,MATCH(N208,FlowCalNumber,0),1,1)&gt;INDEX(FlowCalLowSetting,MATCH(N208,FlowCalNumber,0),1,1), (INDEX(FlowCalConstA,MATCH(N208,FlowCalNumber,0),1,1)*P217^INDEX(FlowCalConstB,MATCH(N208,FlowCalNumber,0),1,1)&lt;INDEX(FlowCalHighSetting,MATCH(N208,FlowCalNumber,0),1,1))),INDEX(FlowCalConstA,MATCH(N208,FlowCalNumber,0),1,1)*P217^INDEX(FlowCalConstB,MATCH(N208,FlowCalNumber,0),1,1)," ")</f>
        <v>#N/A</v>
      </c>
      <c r="R217" s="1216"/>
      <c r="S217" s="1217">
        <f t="shared" si="104"/>
        <v>0.5</v>
      </c>
      <c r="T217" s="1218" t="e">
        <f t="shared" ca="1" si="105"/>
        <v>#VALUE!</v>
      </c>
      <c r="U217" s="1219" t="e">
        <f ca="1">IF(AND(INDEX(FlowCalConstA,MATCH(R208,FlowCalNumber,0),1,1)*T217^INDEX(FlowCalConstB,MATCH(R208,FlowCalNumber,0),1,1)&gt;INDEX(FlowCalLowSetting,MATCH(R208,FlowCalNumber,0),1,1), (INDEX(FlowCalConstA,MATCH(R208,FlowCalNumber,0),1,1)*T217^INDEX(FlowCalConstB,MATCH(R208,FlowCalNumber,0),1,1)&lt;INDEX(FlowCalHighSetting,MATCH(R208,FlowCalNumber,0),1,1))),INDEX(FlowCalConstA,MATCH(R208,FlowCalNumber,0),1,1)*T217^INDEX(FlowCalConstB,MATCH(R208,FlowCalNumber,0),1,1)," ")</f>
        <v>#N/A</v>
      </c>
      <c r="V217" s="1216"/>
      <c r="W217" s="1217">
        <f t="shared" si="106"/>
        <v>0.5</v>
      </c>
      <c r="X217" s="1218" t="e">
        <f t="shared" ca="1" si="107"/>
        <v>#VALUE!</v>
      </c>
      <c r="Y217" s="1220" t="e">
        <f ca="1">IF(AND(INDEX(FlowCalConstA,MATCH(V208,FlowCalNumber,0),1,1)*X217^INDEX(FlowCalConstB,MATCH(V208,FlowCalNumber,0),1,1)&gt;INDEX(FlowCalLowSetting,MATCH(V208,FlowCalNumber,0),1,1), (INDEX(FlowCalConstA,MATCH(V208,FlowCalNumber,0),1,1)*X217^INDEX(FlowCalConstB,MATCH(V208,FlowCalNumber,0),1,1)&lt;INDEX(FlowCalHighSetting,MATCH(V208,FlowCalNumber,0),1,1))),INDEX(FlowCalConstA,MATCH(V208,FlowCalNumber,0),1,1)*X217^INDEX(FlowCalConstB,MATCH(V208,FlowCalNumber,0),1,1)," ")</f>
        <v>#N/A</v>
      </c>
    </row>
    <row r="218" spans="1:25">
      <c r="A218" s="412"/>
      <c r="B218" s="2"/>
      <c r="C218" s="235"/>
      <c r="D218" s="24">
        <f>'1% Wind'!$M$91</f>
        <v>4.2</v>
      </c>
      <c r="E218" s="90"/>
      <c r="F218" s="90"/>
      <c r="G218" s="79">
        <f ca="1">IF(I208=1,$G217,MAX(G217/D217*D218,2))</f>
        <v>2</v>
      </c>
      <c r="H218" s="121" t="e">
        <f t="shared" ca="1" si="99"/>
        <v>#VALUE!</v>
      </c>
      <c r="J218" s="377"/>
      <c r="K218" s="242">
        <f t="shared" si="100"/>
        <v>1</v>
      </c>
      <c r="L218" s="241" t="e">
        <f t="shared" ca="1" si="101"/>
        <v>#VALUE!</v>
      </c>
      <c r="M218" s="243" t="e">
        <f ca="1">IF(AND(INDEX(FlowCalConstA,MATCH(J208,FlowCalNumber,0),1,1)*L218^INDEX(FlowCalConstB,MATCH(J208,FlowCalNumber,0),1,1)&gt;INDEX(FlowCalLowSetting,MATCH(J208,FlowCalNumber,0),1,1), (INDEX(FlowCalConstA,MATCH(J208,FlowCalNumber,0),1,1)*L218^INDEX(FlowCalConstB,MATCH(J208,FlowCalNumber,0),1,1)&lt;INDEX(FlowCalHighSetting,MATCH(J208,FlowCalNumber,0),1,1))),INDEX(FlowCalConstA,MATCH(J208,FlowCalNumber,0),1,1)*L218^INDEX(FlowCalConstB,MATCH(J208,FlowCalNumber,0),1,1)," ")</f>
        <v>#N/A</v>
      </c>
      <c r="N218" s="377"/>
      <c r="O218" s="242">
        <f t="shared" si="102"/>
        <v>1</v>
      </c>
      <c r="P218" s="241" t="e">
        <f t="shared" ca="1" si="103"/>
        <v>#VALUE!</v>
      </c>
      <c r="Q218" s="244" t="e">
        <f ca="1">IF(AND(INDEX(FlowCalConstA,MATCH(N208,FlowCalNumber,0),1,1)*P218^INDEX(FlowCalConstB,MATCH(N208,FlowCalNumber,0),1,1)&gt;INDEX(FlowCalLowSetting,MATCH(N208,FlowCalNumber,0),1,1), (INDEX(FlowCalConstA,MATCH(N208,FlowCalNumber,0),1,1)*P218^INDEX(FlowCalConstB,MATCH(N208,FlowCalNumber,0),1,1)&lt;INDEX(FlowCalHighSetting,MATCH(N208,FlowCalNumber,0),1,1))),INDEX(FlowCalConstA,MATCH(N208,FlowCalNumber,0),1,1)*P218^INDEX(FlowCalConstB,MATCH(N208,FlowCalNumber,0),1,1)," ")</f>
        <v>#N/A</v>
      </c>
      <c r="R218" s="377"/>
      <c r="S218" s="242">
        <f t="shared" si="104"/>
        <v>0.5</v>
      </c>
      <c r="T218" s="241" t="e">
        <f t="shared" ca="1" si="105"/>
        <v>#VALUE!</v>
      </c>
      <c r="U218" s="243" t="e">
        <f ca="1">IF(AND(INDEX(FlowCalConstA,MATCH(R208,FlowCalNumber,0),1,1)*T218^INDEX(FlowCalConstB,MATCH(R208,FlowCalNumber,0),1,1)&gt;INDEX(FlowCalLowSetting,MATCH(R208,FlowCalNumber,0),1,1), (INDEX(FlowCalConstA,MATCH(R208,FlowCalNumber,0),1,1)*T218^INDEX(FlowCalConstB,MATCH(R208,FlowCalNumber,0),1,1)&lt;INDEX(FlowCalHighSetting,MATCH(R208,FlowCalNumber,0),1,1))),INDEX(FlowCalConstA,MATCH(R208,FlowCalNumber,0),1,1)*T218^INDEX(FlowCalConstB,MATCH(R208,FlowCalNumber,0),1,1)," ")</f>
        <v>#N/A</v>
      </c>
      <c r="V218" s="377"/>
      <c r="W218" s="242">
        <f t="shared" si="106"/>
        <v>0.5</v>
      </c>
      <c r="X218" s="241" t="e">
        <f t="shared" ca="1" si="107"/>
        <v>#VALUE!</v>
      </c>
      <c r="Y218" s="244" t="e">
        <f ca="1">IF(AND(INDEX(FlowCalConstA,MATCH(V208,FlowCalNumber,0),1,1)*X218^INDEX(FlowCalConstB,MATCH(V208,FlowCalNumber,0),1,1)&gt;INDEX(FlowCalLowSetting,MATCH(V208,FlowCalNumber,0),1,1), (INDEX(FlowCalConstA,MATCH(V208,FlowCalNumber,0),1,1)*X218^INDEX(FlowCalConstB,MATCH(V208,FlowCalNumber,0),1,1)&lt;INDEX(FlowCalHighSetting,MATCH(V208,FlowCalNumber,0),1,1))),INDEX(FlowCalConstA,MATCH(V208,FlowCalNumber,0),1,1)*X218^INDEX(FlowCalConstB,MATCH(V208,FlowCalNumber,0),1,1)," ")</f>
        <v>#N/A</v>
      </c>
    </row>
    <row r="219" spans="1:25" s="1215" customFormat="1">
      <c r="A219" s="1208"/>
      <c r="B219" s="1209"/>
      <c r="C219" s="1210"/>
      <c r="D219" s="1211">
        <f>'1% Wind'!$M$92</f>
        <v>3.2</v>
      </c>
      <c r="E219" s="1212"/>
      <c r="F219" s="1212"/>
      <c r="G219" s="1213">
        <f ca="1">IF(I208=1,$G218,MAX(G218/D218*D219,2))</f>
        <v>2</v>
      </c>
      <c r="H219" s="1214" t="e">
        <f t="shared" ca="1" si="99"/>
        <v>#VALUE!</v>
      </c>
      <c r="J219" s="1216"/>
      <c r="K219" s="1217">
        <f t="shared" si="100"/>
        <v>1</v>
      </c>
      <c r="L219" s="1218" t="e">
        <f t="shared" ca="1" si="101"/>
        <v>#VALUE!</v>
      </c>
      <c r="M219" s="1219" t="e">
        <f ca="1">IF(AND(INDEX(FlowCalConstA,MATCH(J208,FlowCalNumber,0),1,1)*L219^INDEX(FlowCalConstB,MATCH(J208,FlowCalNumber,0),1,1)&gt;INDEX(FlowCalLowSetting,MATCH(J208,FlowCalNumber,0),1,1), (INDEX(FlowCalConstA,MATCH(J208,FlowCalNumber,0),1,1)*L219^INDEX(FlowCalConstB,MATCH(J208,FlowCalNumber,0),1,1)&lt;INDEX(FlowCalHighSetting,MATCH(J208,FlowCalNumber,0),1,1))),INDEX(FlowCalConstA,MATCH(J208,FlowCalNumber,0),1,1)*L219^INDEX(FlowCalConstB,MATCH(J208,FlowCalNumber,0),1,1)," ")</f>
        <v>#N/A</v>
      </c>
      <c r="N219" s="1216"/>
      <c r="O219" s="1217">
        <f t="shared" si="102"/>
        <v>1</v>
      </c>
      <c r="P219" s="1218" t="e">
        <f t="shared" ca="1" si="103"/>
        <v>#VALUE!</v>
      </c>
      <c r="Q219" s="1220" t="e">
        <f ca="1">IF(AND(INDEX(FlowCalConstA,MATCH(N208,FlowCalNumber,0),1,1)*P219^INDEX(FlowCalConstB,MATCH(N208,FlowCalNumber,0),1,1)&gt;INDEX(FlowCalLowSetting,MATCH(N208,FlowCalNumber,0),1,1), (INDEX(FlowCalConstA,MATCH(N208,FlowCalNumber,0),1,1)*P219^INDEX(FlowCalConstB,MATCH(N208,FlowCalNumber,0),1,1)&lt;INDEX(FlowCalHighSetting,MATCH(N208,FlowCalNumber,0),1,1))),INDEX(FlowCalConstA,MATCH(N208,FlowCalNumber,0),1,1)*P219^INDEX(FlowCalConstB,MATCH(N208,FlowCalNumber,0),1,1)," ")</f>
        <v>#N/A</v>
      </c>
      <c r="R219" s="1216"/>
      <c r="S219" s="1217">
        <f t="shared" si="104"/>
        <v>0.5</v>
      </c>
      <c r="T219" s="1218" t="e">
        <f t="shared" ca="1" si="105"/>
        <v>#VALUE!</v>
      </c>
      <c r="U219" s="1219" t="e">
        <f ca="1">IF(AND(INDEX(FlowCalConstA,MATCH(R208,FlowCalNumber,0),1,1)*T219^INDEX(FlowCalConstB,MATCH(R208,FlowCalNumber,0),1,1)&gt;INDEX(FlowCalLowSetting,MATCH(R208,FlowCalNumber,0),1,1), (INDEX(FlowCalConstA,MATCH(R208,FlowCalNumber,0),1,1)*T219^INDEX(FlowCalConstB,MATCH(R208,FlowCalNumber,0),1,1)&lt;INDEX(FlowCalHighSetting,MATCH(R208,FlowCalNumber,0),1,1))),INDEX(FlowCalConstA,MATCH(R208,FlowCalNumber,0),1,1)*T219^INDEX(FlowCalConstB,MATCH(R208,FlowCalNumber,0),1,1)," ")</f>
        <v>#N/A</v>
      </c>
      <c r="V219" s="1216"/>
      <c r="W219" s="1217">
        <f t="shared" si="106"/>
        <v>0.5</v>
      </c>
      <c r="X219" s="1218" t="e">
        <f t="shared" ca="1" si="107"/>
        <v>#VALUE!</v>
      </c>
      <c r="Y219" s="1220" t="e">
        <f ca="1">IF(AND(INDEX(FlowCalConstA,MATCH(V208,FlowCalNumber,0),1,1)*X219^INDEX(FlowCalConstB,MATCH(V208,FlowCalNumber,0),1,1)&gt;INDEX(FlowCalLowSetting,MATCH(V208,FlowCalNumber,0),1,1), (INDEX(FlowCalConstA,MATCH(V208,FlowCalNumber,0),1,1)*X219^INDEX(FlowCalConstB,MATCH(V208,FlowCalNumber,0),1,1)&lt;INDEX(FlowCalHighSetting,MATCH(V208,FlowCalNumber,0),1,1))),INDEX(FlowCalConstA,MATCH(V208,FlowCalNumber,0),1,1)*X219^INDEX(FlowCalConstB,MATCH(V208,FlowCalNumber,0),1,1)," ")</f>
        <v>#N/A</v>
      </c>
    </row>
    <row r="220" spans="1:25">
      <c r="A220" s="412"/>
      <c r="B220" s="2"/>
      <c r="C220" s="235"/>
      <c r="D220" s="24">
        <f>'1% Wind'!$M$93</f>
        <v>2.4</v>
      </c>
      <c r="E220" s="90"/>
      <c r="F220" s="90"/>
      <c r="G220" s="79">
        <f ca="1">IF(I208=1,$G219,MAX(G219/D219*D220,2))</f>
        <v>2</v>
      </c>
      <c r="H220" s="121" t="e">
        <f t="shared" ca="1" si="99"/>
        <v>#VALUE!</v>
      </c>
      <c r="J220" s="377"/>
      <c r="K220" s="242">
        <f t="shared" si="100"/>
        <v>1</v>
      </c>
      <c r="L220" s="241" t="e">
        <f t="shared" ca="1" si="101"/>
        <v>#VALUE!</v>
      </c>
      <c r="M220" s="243" t="e">
        <f ca="1">IF(AND(INDEX(FlowCalConstA,MATCH(J208,FlowCalNumber,0),1,1)*L220^INDEX(FlowCalConstB,MATCH(J208,FlowCalNumber,0),1,1)&gt;INDEX(FlowCalLowSetting,MATCH(J208,FlowCalNumber,0),1,1), (INDEX(FlowCalConstA,MATCH(J208,FlowCalNumber,0),1,1)*L220^INDEX(FlowCalConstB,MATCH(J208,FlowCalNumber,0),1,1)&lt;INDEX(FlowCalHighSetting,MATCH(J208,FlowCalNumber,0),1,1))),INDEX(FlowCalConstA,MATCH(J208,FlowCalNumber,0),1,1)*L220^INDEX(FlowCalConstB,MATCH(J208,FlowCalNumber,0),1,1)," ")</f>
        <v>#N/A</v>
      </c>
      <c r="N220" s="377"/>
      <c r="O220" s="242">
        <f t="shared" si="102"/>
        <v>1</v>
      </c>
      <c r="P220" s="241" t="e">
        <f t="shared" ca="1" si="103"/>
        <v>#VALUE!</v>
      </c>
      <c r="Q220" s="244" t="e">
        <f ca="1">IF(AND(INDEX(FlowCalConstA,MATCH(N208,FlowCalNumber,0),1,1)*P220^INDEX(FlowCalConstB,MATCH(N208,FlowCalNumber,0),1,1)&gt;INDEX(FlowCalLowSetting,MATCH(N208,FlowCalNumber,0),1,1), (INDEX(FlowCalConstA,MATCH(N208,FlowCalNumber,0),1,1)*P220^INDEX(FlowCalConstB,MATCH(N208,FlowCalNumber,0),1,1)&lt;INDEX(FlowCalHighSetting,MATCH(N208,FlowCalNumber,0),1,1))),INDEX(FlowCalConstA,MATCH(N208,FlowCalNumber,0),1,1)*P220^INDEX(FlowCalConstB,MATCH(N208,FlowCalNumber,0),1,1)," ")</f>
        <v>#N/A</v>
      </c>
      <c r="R220" s="377"/>
      <c r="S220" s="242">
        <f t="shared" si="104"/>
        <v>0.5</v>
      </c>
      <c r="T220" s="241" t="e">
        <f t="shared" ca="1" si="105"/>
        <v>#VALUE!</v>
      </c>
      <c r="U220" s="243" t="e">
        <f ca="1">IF(AND(INDEX(FlowCalConstA,MATCH(R208,FlowCalNumber,0),1,1)*T220^INDEX(FlowCalConstB,MATCH(R208,FlowCalNumber,0),1,1)&gt;INDEX(FlowCalLowSetting,MATCH(R208,FlowCalNumber,0),1,1), (INDEX(FlowCalConstA,MATCH(R208,FlowCalNumber,0),1,1)*T220^INDEX(FlowCalConstB,MATCH(R208,FlowCalNumber,0),1,1)&lt;INDEX(FlowCalHighSetting,MATCH(R208,FlowCalNumber,0),1,1))),INDEX(FlowCalConstA,MATCH(R208,FlowCalNumber,0),1,1)*T220^INDEX(FlowCalConstB,MATCH(R208,FlowCalNumber,0),1,1)," ")</f>
        <v>#N/A</v>
      </c>
      <c r="V220" s="377"/>
      <c r="W220" s="242">
        <f t="shared" si="106"/>
        <v>0.5</v>
      </c>
      <c r="X220" s="241" t="e">
        <f t="shared" ca="1" si="107"/>
        <v>#VALUE!</v>
      </c>
      <c r="Y220" s="244" t="e">
        <f ca="1">IF(AND(INDEX(FlowCalConstA,MATCH(V208,FlowCalNumber,0),1,1)*X220^INDEX(FlowCalConstB,MATCH(V208,FlowCalNumber,0),1,1)&gt;INDEX(FlowCalLowSetting,MATCH(V208,FlowCalNumber,0),1,1), (INDEX(FlowCalConstA,MATCH(V208,FlowCalNumber,0),1,1)*X220^INDEX(FlowCalConstB,MATCH(V208,FlowCalNumber,0),1,1)&lt;INDEX(FlowCalHighSetting,MATCH(V208,FlowCalNumber,0),1,1))),INDEX(FlowCalConstA,MATCH(V208,FlowCalNumber,0),1,1)*X220^INDEX(FlowCalConstB,MATCH(V208,FlowCalNumber,0),1,1)," ")</f>
        <v>#N/A</v>
      </c>
    </row>
    <row r="221" spans="1:25" s="1215" customFormat="1">
      <c r="A221" s="1208"/>
      <c r="B221" s="1209"/>
      <c r="C221" s="1210"/>
      <c r="D221" s="1211">
        <f>'1% Wind'!$M$94</f>
        <v>1.8</v>
      </c>
      <c r="E221" s="1212"/>
      <c r="F221" s="1212"/>
      <c r="G221" s="1213">
        <f ca="1">IF(I208=1,$G220,MAX(G220/D220*D221,2))</f>
        <v>2</v>
      </c>
      <c r="H221" s="1214" t="e">
        <f t="shared" ca="1" si="99"/>
        <v>#VALUE!</v>
      </c>
      <c r="J221" s="1216"/>
      <c r="K221" s="1217">
        <f t="shared" si="100"/>
        <v>1</v>
      </c>
      <c r="L221" s="1218" t="e">
        <f t="shared" ca="1" si="101"/>
        <v>#VALUE!</v>
      </c>
      <c r="M221" s="1219" t="e">
        <f ca="1">IF(AND(INDEX(FlowCalConstA,MATCH(J208,FlowCalNumber,0),1,1)*L221^INDEX(FlowCalConstB,MATCH(J208,FlowCalNumber,0),1,1)&gt;INDEX(FlowCalLowSetting,MATCH(J208,FlowCalNumber,0),1,1), (INDEX(FlowCalConstA,MATCH(J208,FlowCalNumber,0),1,1)*L221^INDEX(FlowCalConstB,MATCH(J208,FlowCalNumber,0),1,1)&lt;INDEX(FlowCalHighSetting,MATCH(J208,FlowCalNumber,0),1,1))),INDEX(FlowCalConstA,MATCH(J208,FlowCalNumber,0),1,1)*L221^INDEX(FlowCalConstB,MATCH(J208,FlowCalNumber,0),1,1)," ")</f>
        <v>#N/A</v>
      </c>
      <c r="N221" s="1216"/>
      <c r="O221" s="1217">
        <f t="shared" si="102"/>
        <v>1</v>
      </c>
      <c r="P221" s="1218" t="e">
        <f t="shared" ca="1" si="103"/>
        <v>#VALUE!</v>
      </c>
      <c r="Q221" s="1220" t="e">
        <f ca="1">IF(AND(INDEX(FlowCalConstA,MATCH(N208,FlowCalNumber,0),1,1)*P221^INDEX(FlowCalConstB,MATCH(N208,FlowCalNumber,0),1,1)&gt;INDEX(FlowCalLowSetting,MATCH(N208,FlowCalNumber,0),1,1), (INDEX(FlowCalConstA,MATCH(N208,FlowCalNumber,0),1,1)*P221^INDEX(FlowCalConstB,MATCH(N208,FlowCalNumber,0),1,1)&lt;INDEX(FlowCalHighSetting,MATCH(N208,FlowCalNumber,0),1,1))),INDEX(FlowCalConstA,MATCH(N208,FlowCalNumber,0),1,1)*P221^INDEX(FlowCalConstB,MATCH(N208,FlowCalNumber,0),1,1)," ")</f>
        <v>#N/A</v>
      </c>
      <c r="R221" s="1216"/>
      <c r="S221" s="1217">
        <f t="shared" si="104"/>
        <v>0.5</v>
      </c>
      <c r="T221" s="1218" t="e">
        <f t="shared" ca="1" si="105"/>
        <v>#VALUE!</v>
      </c>
      <c r="U221" s="1219" t="e">
        <f ca="1">IF(AND(INDEX(FlowCalConstA,MATCH(R208,FlowCalNumber,0),1,1)*T221^INDEX(FlowCalConstB,MATCH(R208,FlowCalNumber,0),1,1)&gt;INDEX(FlowCalLowSetting,MATCH(R208,FlowCalNumber,0),1,1), (INDEX(FlowCalConstA,MATCH(R208,FlowCalNumber,0),1,1)*T221^INDEX(FlowCalConstB,MATCH(R208,FlowCalNumber,0),1,1)&lt;INDEX(FlowCalHighSetting,MATCH(R208,FlowCalNumber,0),1,1))),INDEX(FlowCalConstA,MATCH(R208,FlowCalNumber,0),1,1)*T221^INDEX(FlowCalConstB,MATCH(R208,FlowCalNumber,0),1,1)," ")</f>
        <v>#N/A</v>
      </c>
      <c r="V221" s="1216"/>
      <c r="W221" s="1217">
        <f t="shared" si="106"/>
        <v>0.5</v>
      </c>
      <c r="X221" s="1218" t="e">
        <f t="shared" ca="1" si="107"/>
        <v>#VALUE!</v>
      </c>
      <c r="Y221" s="1220" t="e">
        <f ca="1">IF(AND(INDEX(FlowCalConstA,MATCH(V208,FlowCalNumber,0),1,1)*X221^INDEX(FlowCalConstB,MATCH(V208,FlowCalNumber,0),1,1)&gt;INDEX(FlowCalLowSetting,MATCH(V208,FlowCalNumber,0),1,1), (INDEX(FlowCalConstA,MATCH(V208,FlowCalNumber,0),1,1)*X221^INDEX(FlowCalConstB,MATCH(V208,FlowCalNumber,0),1,1)&lt;INDEX(FlowCalHighSetting,MATCH(V208,FlowCalNumber,0),1,1))),INDEX(FlowCalConstA,MATCH(V208,FlowCalNumber,0),1,1)*X221^INDEX(FlowCalConstB,MATCH(V208,FlowCalNumber,0),1,1)," ")</f>
        <v>#N/A</v>
      </c>
    </row>
    <row r="222" spans="1:25">
      <c r="A222" s="412"/>
      <c r="B222" s="2"/>
      <c r="C222" s="235"/>
      <c r="D222" s="24">
        <f>'1% Wind'!$M$95</f>
        <v>1.3</v>
      </c>
      <c r="E222" s="90"/>
      <c r="F222" s="90"/>
      <c r="G222" s="79">
        <f ca="1">IF(I208=1,$G221,MAX(G221/D221*D222,2))</f>
        <v>2</v>
      </c>
      <c r="H222" s="121" t="e">
        <f t="shared" ca="1" si="99"/>
        <v>#VALUE!</v>
      </c>
      <c r="J222" s="377"/>
      <c r="K222" s="242">
        <f t="shared" si="100"/>
        <v>1</v>
      </c>
      <c r="L222" s="241" t="e">
        <f t="shared" ca="1" si="101"/>
        <v>#VALUE!</v>
      </c>
      <c r="M222" s="243" t="e">
        <f ca="1">IF(AND(INDEX(FlowCalConstA,MATCH(J208,FlowCalNumber,0),1,1)*L222^INDEX(FlowCalConstB,MATCH(J208,FlowCalNumber,0),1,1)&gt;INDEX(FlowCalLowSetting,MATCH(J208,FlowCalNumber,0),1,1), (INDEX(FlowCalConstA,MATCH(J208,FlowCalNumber,0),1,1)*L222^INDEX(FlowCalConstB,MATCH(J208,FlowCalNumber,0),1,1)&lt;INDEX(FlowCalHighSetting,MATCH(J208,FlowCalNumber,0),1,1))),INDEX(FlowCalConstA,MATCH(J208,FlowCalNumber,0),1,1)*L222^INDEX(FlowCalConstB,MATCH(J208,FlowCalNumber,0),1,1)," ")</f>
        <v>#N/A</v>
      </c>
      <c r="N222" s="377"/>
      <c r="O222" s="242">
        <f t="shared" si="102"/>
        <v>1</v>
      </c>
      <c r="P222" s="241" t="e">
        <f t="shared" ca="1" si="103"/>
        <v>#VALUE!</v>
      </c>
      <c r="Q222" s="244" t="e">
        <f ca="1">IF(AND(INDEX(FlowCalConstA,MATCH(N208,FlowCalNumber,0),1,1)*P222^INDEX(FlowCalConstB,MATCH(N208,FlowCalNumber,0),1,1)&gt;INDEX(FlowCalLowSetting,MATCH(N208,FlowCalNumber,0),1,1), (INDEX(FlowCalConstA,MATCH(N208,FlowCalNumber,0),1,1)*P222^INDEX(FlowCalConstB,MATCH(N208,FlowCalNumber,0),1,1)&lt;INDEX(FlowCalHighSetting,MATCH(N208,FlowCalNumber,0),1,1))),INDEX(FlowCalConstA,MATCH(N208,FlowCalNumber,0),1,1)*P222^INDEX(FlowCalConstB,MATCH(N208,FlowCalNumber,0),1,1)," ")</f>
        <v>#N/A</v>
      </c>
      <c r="R222" s="377"/>
      <c r="S222" s="242">
        <f t="shared" si="104"/>
        <v>0.5</v>
      </c>
      <c r="T222" s="241" t="e">
        <f t="shared" ca="1" si="105"/>
        <v>#VALUE!</v>
      </c>
      <c r="U222" s="243" t="e">
        <f ca="1">IF(AND(INDEX(FlowCalConstA,MATCH(R208,FlowCalNumber,0),1,1)*T222^INDEX(FlowCalConstB,MATCH(R208,FlowCalNumber,0),1,1)&gt;INDEX(FlowCalLowSetting,MATCH(R208,FlowCalNumber,0),1,1), (INDEX(FlowCalConstA,MATCH(R208,FlowCalNumber,0),1,1)*T222^INDEX(FlowCalConstB,MATCH(R208,FlowCalNumber,0),1,1)&lt;INDEX(FlowCalHighSetting,MATCH(R208,FlowCalNumber,0),1,1))),INDEX(FlowCalConstA,MATCH(R208,FlowCalNumber,0),1,1)*T222^INDEX(FlowCalConstB,MATCH(R208,FlowCalNumber,0),1,1)," ")</f>
        <v>#N/A</v>
      </c>
      <c r="V222" s="377"/>
      <c r="W222" s="242">
        <f t="shared" si="106"/>
        <v>0.5</v>
      </c>
      <c r="X222" s="241" t="e">
        <f t="shared" ca="1" si="107"/>
        <v>#VALUE!</v>
      </c>
      <c r="Y222" s="244" t="e">
        <f ca="1">IF(AND(INDEX(FlowCalConstA,MATCH(V208,FlowCalNumber,0),1,1)*X222^INDEX(FlowCalConstB,MATCH(V208,FlowCalNumber,0),1,1)&gt;INDEX(FlowCalLowSetting,MATCH(V208,FlowCalNumber,0),1,1), (INDEX(FlowCalConstA,MATCH(V208,FlowCalNumber,0),1,1)*X222^INDEX(FlowCalConstB,MATCH(V208,FlowCalNumber,0),1,1)&lt;INDEX(FlowCalHighSetting,MATCH(V208,FlowCalNumber,0),1,1))),INDEX(FlowCalConstA,MATCH(V208,FlowCalNumber,0),1,1)*X222^INDEX(FlowCalConstB,MATCH(V208,FlowCalNumber,0),1,1)," ")</f>
        <v>#N/A</v>
      </c>
    </row>
    <row r="223" spans="1:25" s="1215" customFormat="1">
      <c r="A223" s="1208"/>
      <c r="B223" s="1209"/>
      <c r="C223" s="1210"/>
      <c r="D223" s="1211">
        <f>'1% Wind'!$M$96</f>
        <v>1</v>
      </c>
      <c r="E223" s="1212"/>
      <c r="F223" s="1212"/>
      <c r="G223" s="1213">
        <f ca="1">IF(I208=1,$G222,MAX(G222/D222*D223,2))</f>
        <v>2</v>
      </c>
      <c r="H223" s="1214" t="e">
        <f t="shared" ca="1" si="99"/>
        <v>#VALUE!</v>
      </c>
      <c r="J223" s="1216"/>
      <c r="K223" s="1217">
        <f t="shared" si="100"/>
        <v>1</v>
      </c>
      <c r="L223" s="1218" t="e">
        <f t="shared" ca="1" si="101"/>
        <v>#VALUE!</v>
      </c>
      <c r="M223" s="1219" t="e">
        <f ca="1">IF(AND(INDEX(FlowCalConstA,MATCH(J208,FlowCalNumber,0),1,1)*L223^INDEX(FlowCalConstB,MATCH(J208,FlowCalNumber,0),1,1)&gt;INDEX(FlowCalLowSetting,MATCH(J208,FlowCalNumber,0),1,1), (INDEX(FlowCalConstA,MATCH(J208,FlowCalNumber,0),1,1)*L223^INDEX(FlowCalConstB,MATCH(J208,FlowCalNumber,0),1,1)&lt;INDEX(FlowCalHighSetting,MATCH(J208,FlowCalNumber,0),1,1))),INDEX(FlowCalConstA,MATCH(J208,FlowCalNumber,0),1,1)*L223^INDEX(FlowCalConstB,MATCH(J208,FlowCalNumber,0),1,1)," ")</f>
        <v>#N/A</v>
      </c>
      <c r="N223" s="1216"/>
      <c r="O223" s="1217">
        <f t="shared" si="102"/>
        <v>1</v>
      </c>
      <c r="P223" s="1218" t="e">
        <f t="shared" ca="1" si="103"/>
        <v>#VALUE!</v>
      </c>
      <c r="Q223" s="1220" t="e">
        <f ca="1">IF(AND(INDEX(FlowCalConstA,MATCH(N208,FlowCalNumber,0),1,1)*P223^INDEX(FlowCalConstB,MATCH(N208,FlowCalNumber,0),1,1)&gt;INDEX(FlowCalLowSetting,MATCH(N208,FlowCalNumber,0),1,1), (INDEX(FlowCalConstA,MATCH(N208,FlowCalNumber,0),1,1)*P223^INDEX(FlowCalConstB,MATCH(N208,FlowCalNumber,0),1,1)&lt;INDEX(FlowCalHighSetting,MATCH(N208,FlowCalNumber,0),1,1))),INDEX(FlowCalConstA,MATCH(N208,FlowCalNumber,0),1,1)*P223^INDEX(FlowCalConstB,MATCH(N208,FlowCalNumber,0),1,1)," ")</f>
        <v>#N/A</v>
      </c>
      <c r="R223" s="1216"/>
      <c r="S223" s="1217">
        <f t="shared" si="104"/>
        <v>0.5</v>
      </c>
      <c r="T223" s="1218" t="e">
        <f t="shared" ca="1" si="105"/>
        <v>#VALUE!</v>
      </c>
      <c r="U223" s="1219" t="e">
        <f ca="1">IF(AND(INDEX(FlowCalConstA,MATCH(R208,FlowCalNumber,0),1,1)*T223^INDEX(FlowCalConstB,MATCH(R208,FlowCalNumber,0),1,1)&gt;INDEX(FlowCalLowSetting,MATCH(R208,FlowCalNumber,0),1,1), (INDEX(FlowCalConstA,MATCH(R208,FlowCalNumber,0),1,1)*T223^INDEX(FlowCalConstB,MATCH(R208,FlowCalNumber,0),1,1)&lt;INDEX(FlowCalHighSetting,MATCH(R208,FlowCalNumber,0),1,1))),INDEX(FlowCalConstA,MATCH(R208,FlowCalNumber,0),1,1)*T223^INDEX(FlowCalConstB,MATCH(R208,FlowCalNumber,0),1,1)," ")</f>
        <v>#N/A</v>
      </c>
      <c r="V223" s="1216"/>
      <c r="W223" s="1217">
        <f t="shared" si="106"/>
        <v>0.5</v>
      </c>
      <c r="X223" s="1218" t="e">
        <f t="shared" ca="1" si="107"/>
        <v>#VALUE!</v>
      </c>
      <c r="Y223" s="1220" t="e">
        <f ca="1">IF(AND(INDEX(FlowCalConstA,MATCH(V208,FlowCalNumber,0),1,1)*X223^INDEX(FlowCalConstB,MATCH(V208,FlowCalNumber,0),1,1)&gt;INDEX(FlowCalLowSetting,MATCH(V208,FlowCalNumber,0),1,1), (INDEX(FlowCalConstA,MATCH(V208,FlowCalNumber,0),1,1)*X223^INDEX(FlowCalConstB,MATCH(V208,FlowCalNumber,0),1,1)&lt;INDEX(FlowCalHighSetting,MATCH(V208,FlowCalNumber,0),1,1))),INDEX(FlowCalConstA,MATCH(V208,FlowCalNumber,0),1,1)*X223^INDEX(FlowCalConstB,MATCH(V208,FlowCalNumber,0),1,1)," ")</f>
        <v>#N/A</v>
      </c>
    </row>
    <row r="224" spans="1:25">
      <c r="A224" s="90"/>
      <c r="C224" s="235"/>
      <c r="E224" s="90"/>
      <c r="F224" s="90"/>
      <c r="G224" s="33"/>
      <c r="J224" s="377"/>
      <c r="M224" s="243"/>
      <c r="N224" s="377"/>
      <c r="Q224" s="244"/>
      <c r="R224" s="377"/>
      <c r="U224" s="243"/>
      <c r="V224" s="377"/>
      <c r="Y224" s="244"/>
    </row>
    <row r="225" spans="1:25">
      <c r="A225" s="639">
        <f>A208+1</f>
        <v>3</v>
      </c>
      <c r="B225" s="42" t="str">
        <f>INDEX(SourceID,MATCH($A225,SourceNumber,0),1,1)</f>
        <v>AHU Labs-3</v>
      </c>
      <c r="C225" s="354">
        <f>INDEX(SourceExitDiameter,MATCH($A225,SourceNumber,0),1,1)*3.28*12</f>
        <v>172.59999999999997</v>
      </c>
      <c r="D225" s="24" t="str">
        <f>UAnem1percent</f>
        <v>1% Wind</v>
      </c>
      <c r="E225" s="85" t="e">
        <f ca="1">INDIRECT(ADDRESS(53,6,1,,$A225))</f>
        <v>#VALUE!</v>
      </c>
      <c r="F225" s="626" t="e">
        <f ca="1">(ROUND((INDIRECT(ADDRESS(15,7,1,,$A225))*3.28*12*32),0)&amp;"/32")</f>
        <v>#VALUE!</v>
      </c>
      <c r="G225" s="125">
        <f ca="1">INDIRECT(ADDRESS(29,7,1,,$A225))</f>
        <v>6.001707317073171</v>
      </c>
      <c r="H225" s="24" t="e">
        <f ca="1">INDIRECT(ADDRESS(19,7,1,,$A225))*100^3</f>
        <v>#VALUE!</v>
      </c>
      <c r="I225" s="24">
        <f ca="1">INDIRECT(ADDRESS(53,7,1,,$A225))</f>
        <v>1</v>
      </c>
      <c r="J225" s="20" t="str">
        <f>K$15&amp;$H$6&amp;J$6</f>
        <v>100AirPick a Tunnel</v>
      </c>
      <c r="K225" t="e">
        <f>INDEX(FlowCalGasMixture,MATCH(J225,FlowCalNumber,0),1,1)</f>
        <v>#N/A</v>
      </c>
      <c r="M225" s="355" t="e">
        <f>INDEX(FlowCalDevice,MATCH(J225,FlowCalNumber,0),1,1)</f>
        <v>#N/A</v>
      </c>
      <c r="N225" s="20" t="str">
        <f>O$15&amp;$H$6&amp;N$6</f>
        <v>100AirPick a Tunnel</v>
      </c>
      <c r="O225" t="e">
        <f>INDEX(FlowCalGasMixture,MATCH(N225,FlowCalNumber,0),1,1)</f>
        <v>#N/A</v>
      </c>
      <c r="Q225" s="355" t="e">
        <f>INDEX(FlowCalDevice,MATCH(N225,FlowCalNumber,0),1,1)</f>
        <v>#N/A</v>
      </c>
      <c r="R225" s="20" t="str">
        <f>S$15&amp;$H$6&amp;R$6</f>
        <v>100AirPick a Tunnel</v>
      </c>
      <c r="S225" t="e">
        <f>INDEX(FlowCalGasMixture,MATCH(R225,FlowCalNumber,0),1,1)</f>
        <v>#N/A</v>
      </c>
      <c r="U225" s="944" t="e">
        <f>INDEX(FlowCalDevice,MATCH(R225,FlowCalNumber,0),1,1)</f>
        <v>#N/A</v>
      </c>
      <c r="V225" s="946" t="str">
        <f>W$15&amp;$H$6&amp;V$6</f>
        <v>100AirPick a Tunnel</v>
      </c>
      <c r="W225" t="e">
        <f>INDEX(FlowCalGasMixture,MATCH(V225,FlowCalNumber,0),1,1)</f>
        <v>#N/A</v>
      </c>
      <c r="Y225" s="982" t="e">
        <f>INDEX(FlowCalDevice,MATCH(V225,FlowCalNumber,0),1,1)</f>
        <v>#N/A</v>
      </c>
    </row>
    <row r="226" spans="1:25" s="1215" customFormat="1">
      <c r="A226" s="1208"/>
      <c r="B226" s="1209"/>
      <c r="C226" s="1210"/>
      <c r="D226" s="1211">
        <f>'1% Wind'!$M$82</f>
        <v>27</v>
      </c>
      <c r="E226" s="1212"/>
      <c r="F226" s="1212"/>
      <c r="G226" s="1213">
        <v>2</v>
      </c>
      <c r="H226" s="1214" t="e">
        <f t="shared" ref="H226:H240" ca="1" si="108">H225*(D225/D226)*(G226/G225)</f>
        <v>#VALUE!</v>
      </c>
      <c r="J226" s="1216"/>
      <c r="K226" s="1221">
        <f>K$16/100</f>
        <v>1</v>
      </c>
      <c r="L226" s="1218" t="e">
        <f ca="1">K226*$H226</f>
        <v>#VALUE!</v>
      </c>
      <c r="M226" s="1219" t="e">
        <f ca="1">IF(AND(INDEX(FlowCalConstA,MATCH(J225,FlowCalNumber,0),1,1)*L226^INDEX(FlowCalConstB,MATCH(J225,FlowCalNumber,0),1,1)&gt;INDEX(FlowCalLowSetting,MATCH(J225,FlowCalNumber,0),1,1), (INDEX(FlowCalConstA,MATCH(J225,FlowCalNumber,0),1,1)*L226^INDEX(FlowCalConstB,MATCH(J225,FlowCalNumber,0),1,1)&lt;INDEX(FlowCalHighSetting,MATCH(J225,FlowCalNumber,0),1,1))),INDEX(FlowCalConstA,MATCH(J225,FlowCalNumber,0),1,1)*L226^INDEX(FlowCalConstB,MATCH(J225,FlowCalNumber,0),1,1)," ")</f>
        <v>#N/A</v>
      </c>
      <c r="N226" s="1216"/>
      <c r="O226" s="1221">
        <f>O$16/100</f>
        <v>1</v>
      </c>
      <c r="P226" s="1218" t="e">
        <f ca="1">O226*$H226</f>
        <v>#VALUE!</v>
      </c>
      <c r="Q226" s="1220" t="e">
        <f ca="1">IF(AND(INDEX(FlowCalConstA,MATCH(N225,FlowCalNumber,0),1,1)*P226^INDEX(FlowCalConstB,MATCH(N225,FlowCalNumber,0),1,1)&gt;INDEX(FlowCalLowSetting,MATCH(N225,FlowCalNumber,0),1,1), (INDEX(FlowCalConstA,MATCH(N225,FlowCalNumber,0),1,1)*P226^INDEX(FlowCalConstB,MATCH(N225,FlowCalNumber,0),1,1)&lt;INDEX(FlowCalHighSetting,MATCH(N225,FlowCalNumber,0),1,1))),INDEX(FlowCalConstA,MATCH(N225,FlowCalNumber,0),1,1)*P226^INDEX(FlowCalConstB,MATCH(N225,FlowCalNumber,0),1,1)," ")</f>
        <v>#N/A</v>
      </c>
      <c r="R226" s="1216"/>
      <c r="S226" s="1221">
        <f>S$16/100</f>
        <v>0.5</v>
      </c>
      <c r="T226" s="1218" t="e">
        <f ca="1">S226*$H226</f>
        <v>#VALUE!</v>
      </c>
      <c r="U226" s="1219" t="e">
        <f ca="1">IF(AND(INDEX(FlowCalConstA,MATCH(R225,FlowCalNumber,0),1,1)*T226^INDEX(FlowCalConstB,MATCH(R225,FlowCalNumber,0),1,1)&gt;INDEX(FlowCalLowSetting,MATCH(R225,FlowCalNumber,0),1,1), (INDEX(FlowCalConstA,MATCH(R225,FlowCalNumber,0),1,1)*T226^INDEX(FlowCalConstB,MATCH(R225,FlowCalNumber,0),1,1)&lt;INDEX(FlowCalHighSetting,MATCH(R225,FlowCalNumber,0),1,1))),INDEX(FlowCalConstA,MATCH(R225,FlowCalNumber,0),1,1)*T226^INDEX(FlowCalConstB,MATCH(R225,FlowCalNumber,0),1,1)," ")</f>
        <v>#N/A</v>
      </c>
      <c r="V226" s="1216"/>
      <c r="W226" s="1221">
        <f>W$16/100</f>
        <v>0.5</v>
      </c>
      <c r="X226" s="1218" t="e">
        <f ca="1">W226*$H226</f>
        <v>#VALUE!</v>
      </c>
      <c r="Y226" s="1220" t="e">
        <f ca="1">IF(AND(INDEX(FlowCalConstA,MATCH(V225,FlowCalNumber,0),1,1)*X226^INDEX(FlowCalConstB,MATCH(V225,FlowCalNumber,0),1,1)&gt;INDEX(FlowCalLowSetting,MATCH(V225,FlowCalNumber,0),1,1), (INDEX(FlowCalConstA,MATCH(V225,FlowCalNumber,0),1,1)*X226^INDEX(FlowCalConstB,MATCH(V225,FlowCalNumber,0),1,1)&lt;INDEX(FlowCalHighSetting,MATCH(V225,FlowCalNumber,0),1,1))),INDEX(FlowCalConstA,MATCH(V225,FlowCalNumber,0),1,1)*X226^INDEX(FlowCalConstB,MATCH(V225,FlowCalNumber,0),1,1)," ")</f>
        <v>#N/A</v>
      </c>
    </row>
    <row r="227" spans="1:25">
      <c r="A227" s="412"/>
      <c r="B227" s="2"/>
      <c r="C227" s="235"/>
      <c r="D227" s="24">
        <f>'1% Wind'!$M$83</f>
        <v>23.5</v>
      </c>
      <c r="E227" s="90"/>
      <c r="F227" s="90"/>
      <c r="G227" s="79">
        <f ca="1">IF(I225=1,$G226,MAX(G226/D226*D227,2))</f>
        <v>2</v>
      </c>
      <c r="H227" s="121" t="e">
        <f t="shared" ca="1" si="108"/>
        <v>#VALUE!</v>
      </c>
      <c r="J227" s="377"/>
      <c r="K227" s="242">
        <f t="shared" ref="K227:K240" si="109">K226</f>
        <v>1</v>
      </c>
      <c r="L227" s="241" t="e">
        <f t="shared" ref="L227:L240" ca="1" si="110">K227*$H227</f>
        <v>#VALUE!</v>
      </c>
      <c r="M227" s="243" t="e">
        <f ca="1">IF(AND(INDEX(FlowCalConstA,MATCH(J225,FlowCalNumber,0),1,1)*L227^INDEX(FlowCalConstB,MATCH(J225,FlowCalNumber,0),1,1)&gt;INDEX(FlowCalLowSetting,MATCH(J225,FlowCalNumber,0),1,1), (INDEX(FlowCalConstA,MATCH(J225,FlowCalNumber,0),1,1)*L227^INDEX(FlowCalConstB,MATCH(J225,FlowCalNumber,0),1,1)&lt;INDEX(FlowCalHighSetting,MATCH(J225,FlowCalNumber,0),1,1))),INDEX(FlowCalConstA,MATCH(J225,FlowCalNumber,0),1,1)*L227^INDEX(FlowCalConstB,MATCH(J225,FlowCalNumber,0),1,1)," ")</f>
        <v>#N/A</v>
      </c>
      <c r="N227" s="377"/>
      <c r="O227" s="242">
        <f t="shared" ref="O227:O240" si="111">O226</f>
        <v>1</v>
      </c>
      <c r="P227" s="241" t="e">
        <f t="shared" ref="P227:P240" ca="1" si="112">O227*$H227</f>
        <v>#VALUE!</v>
      </c>
      <c r="Q227" s="244" t="e">
        <f ca="1">IF(AND(INDEX(FlowCalConstA,MATCH(N225,FlowCalNumber,0),1,1)*P227^INDEX(FlowCalConstB,MATCH(N225,FlowCalNumber,0),1,1)&gt;INDEX(FlowCalLowSetting,MATCH(N225,FlowCalNumber,0),1,1), (INDEX(FlowCalConstA,MATCH(N225,FlowCalNumber,0),1,1)*P227^INDEX(FlowCalConstB,MATCH(N225,FlowCalNumber,0),1,1)&lt;INDEX(FlowCalHighSetting,MATCH(N225,FlowCalNumber,0),1,1))),INDEX(FlowCalConstA,MATCH(N225,FlowCalNumber,0),1,1)*P227^INDEX(FlowCalConstB,MATCH(N225,FlowCalNumber,0),1,1)," ")</f>
        <v>#N/A</v>
      </c>
      <c r="R227" s="377"/>
      <c r="S227" s="242">
        <f t="shared" ref="S227:S240" si="113">S226</f>
        <v>0.5</v>
      </c>
      <c r="T227" s="241" t="e">
        <f t="shared" ref="T227:T240" ca="1" si="114">S227*$H227</f>
        <v>#VALUE!</v>
      </c>
      <c r="U227" s="243" t="e">
        <f ca="1">IF(AND(INDEX(FlowCalConstA,MATCH(R225,FlowCalNumber,0),1,1)*T227^INDEX(FlowCalConstB,MATCH(R225,FlowCalNumber,0),1,1)&gt;INDEX(FlowCalLowSetting,MATCH(R225,FlowCalNumber,0),1,1), (INDEX(FlowCalConstA,MATCH(R225,FlowCalNumber,0),1,1)*T227^INDEX(FlowCalConstB,MATCH(R225,FlowCalNumber,0),1,1)&lt;INDEX(FlowCalHighSetting,MATCH(R225,FlowCalNumber,0),1,1))),INDEX(FlowCalConstA,MATCH(R225,FlowCalNumber,0),1,1)*T227^INDEX(FlowCalConstB,MATCH(R225,FlowCalNumber,0),1,1)," ")</f>
        <v>#N/A</v>
      </c>
      <c r="V227" s="377"/>
      <c r="W227" s="242">
        <f t="shared" ref="W227:W240" si="115">W226</f>
        <v>0.5</v>
      </c>
      <c r="X227" s="241" t="e">
        <f t="shared" ref="X227:X240" ca="1" si="116">W227*$H227</f>
        <v>#VALUE!</v>
      </c>
      <c r="Y227" s="244" t="e">
        <f ca="1">IF(AND(INDEX(FlowCalConstA,MATCH(V225,FlowCalNumber,0),1,1)*X227^INDEX(FlowCalConstB,MATCH(V225,FlowCalNumber,0),1,1)&gt;INDEX(FlowCalLowSetting,MATCH(V225,FlowCalNumber,0),1,1), (INDEX(FlowCalConstA,MATCH(V225,FlowCalNumber,0),1,1)*X227^INDEX(FlowCalConstB,MATCH(V225,FlowCalNumber,0),1,1)&lt;INDEX(FlowCalHighSetting,MATCH(V225,FlowCalNumber,0),1,1))),INDEX(FlowCalConstA,MATCH(V225,FlowCalNumber,0),1,1)*X227^INDEX(FlowCalConstB,MATCH(V225,FlowCalNumber,0),1,1)," ")</f>
        <v>#N/A</v>
      </c>
    </row>
    <row r="228" spans="1:25" s="1215" customFormat="1">
      <c r="A228" s="1208"/>
      <c r="B228" s="1209"/>
      <c r="C228" s="1210"/>
      <c r="D228" s="1211">
        <f>'1% Wind'!$M$84</f>
        <v>20.5</v>
      </c>
      <c r="E228" s="1212"/>
      <c r="F228" s="1212"/>
      <c r="G228" s="1213">
        <f ca="1">IF(I225=1,$G227,MAX(G227/D227*D228,2))</f>
        <v>2</v>
      </c>
      <c r="H228" s="1214" t="e">
        <f t="shared" ca="1" si="108"/>
        <v>#VALUE!</v>
      </c>
      <c r="J228" s="1216"/>
      <c r="K228" s="1217">
        <f t="shared" si="109"/>
        <v>1</v>
      </c>
      <c r="L228" s="1218" t="e">
        <f t="shared" ca="1" si="110"/>
        <v>#VALUE!</v>
      </c>
      <c r="M228" s="1219" t="e">
        <f ca="1">IF(AND(INDEX(FlowCalConstA,MATCH(J225,FlowCalNumber,0),1,1)*L228^INDEX(FlowCalConstB,MATCH(J225,FlowCalNumber,0),1,1)&gt;INDEX(FlowCalLowSetting,MATCH(J225,FlowCalNumber,0),1,1), (INDEX(FlowCalConstA,MATCH(J225,FlowCalNumber,0),1,1)*L228^INDEX(FlowCalConstB,MATCH(J225,FlowCalNumber,0),1,1)&lt;INDEX(FlowCalHighSetting,MATCH(J225,FlowCalNumber,0),1,1))),INDEX(FlowCalConstA,MATCH(J225,FlowCalNumber,0),1,1)*L228^INDEX(FlowCalConstB,MATCH(J225,FlowCalNumber,0),1,1)," ")</f>
        <v>#N/A</v>
      </c>
      <c r="N228" s="1216"/>
      <c r="O228" s="1217">
        <f t="shared" si="111"/>
        <v>1</v>
      </c>
      <c r="P228" s="1218" t="e">
        <f t="shared" ca="1" si="112"/>
        <v>#VALUE!</v>
      </c>
      <c r="Q228" s="1220" t="e">
        <f ca="1">IF(AND(INDEX(FlowCalConstA,MATCH(N225,FlowCalNumber,0),1,1)*P228^INDEX(FlowCalConstB,MATCH(N225,FlowCalNumber,0),1,1)&gt;INDEX(FlowCalLowSetting,MATCH(N225,FlowCalNumber,0),1,1), (INDEX(FlowCalConstA,MATCH(N225,FlowCalNumber,0),1,1)*P228^INDEX(FlowCalConstB,MATCH(N225,FlowCalNumber,0),1,1)&lt;INDEX(FlowCalHighSetting,MATCH(N225,FlowCalNumber,0),1,1))),INDEX(FlowCalConstA,MATCH(N225,FlowCalNumber,0),1,1)*P228^INDEX(FlowCalConstB,MATCH(N225,FlowCalNumber,0),1,1)," ")</f>
        <v>#N/A</v>
      </c>
      <c r="R228" s="1216"/>
      <c r="S228" s="1217">
        <f t="shared" si="113"/>
        <v>0.5</v>
      </c>
      <c r="T228" s="1218" t="e">
        <f t="shared" ca="1" si="114"/>
        <v>#VALUE!</v>
      </c>
      <c r="U228" s="1219" t="e">
        <f ca="1">IF(AND(INDEX(FlowCalConstA,MATCH(R225,FlowCalNumber,0),1,1)*T228^INDEX(FlowCalConstB,MATCH(R225,FlowCalNumber,0),1,1)&gt;INDEX(FlowCalLowSetting,MATCH(R225,FlowCalNumber,0),1,1), (INDEX(FlowCalConstA,MATCH(R225,FlowCalNumber,0),1,1)*T228^INDEX(FlowCalConstB,MATCH(R225,FlowCalNumber,0),1,1)&lt;INDEX(FlowCalHighSetting,MATCH(R225,FlowCalNumber,0),1,1))),INDEX(FlowCalConstA,MATCH(R225,FlowCalNumber,0),1,1)*T228^INDEX(FlowCalConstB,MATCH(R225,FlowCalNumber,0),1,1)," ")</f>
        <v>#N/A</v>
      </c>
      <c r="V228" s="1216"/>
      <c r="W228" s="1217">
        <f t="shared" si="115"/>
        <v>0.5</v>
      </c>
      <c r="X228" s="1218" t="e">
        <f t="shared" ca="1" si="116"/>
        <v>#VALUE!</v>
      </c>
      <c r="Y228" s="1220" t="e">
        <f ca="1">IF(AND(INDEX(FlowCalConstA,MATCH(V225,FlowCalNumber,0),1,1)*X228^INDEX(FlowCalConstB,MATCH(V225,FlowCalNumber,0),1,1)&gt;INDEX(FlowCalLowSetting,MATCH(V225,FlowCalNumber,0),1,1), (INDEX(FlowCalConstA,MATCH(V225,FlowCalNumber,0),1,1)*X228^INDEX(FlowCalConstB,MATCH(V225,FlowCalNumber,0),1,1)&lt;INDEX(FlowCalHighSetting,MATCH(V225,FlowCalNumber,0),1,1))),INDEX(FlowCalConstA,MATCH(V225,FlowCalNumber,0),1,1)*X228^INDEX(FlowCalConstB,MATCH(V225,FlowCalNumber,0),1,1)," ")</f>
        <v>#N/A</v>
      </c>
    </row>
    <row r="229" spans="1:25">
      <c r="A229" s="412"/>
      <c r="B229" s="2"/>
      <c r="C229" s="235"/>
      <c r="D229" s="24">
        <f>'1% Wind'!$M$85</f>
        <v>17.8</v>
      </c>
      <c r="E229" s="90"/>
      <c r="F229" s="90"/>
      <c r="G229" s="79">
        <f ca="1">IF(I225=1,$G228,MAX(G228/D228*D229,2))</f>
        <v>2</v>
      </c>
      <c r="H229" s="121" t="e">
        <f t="shared" ca="1" si="108"/>
        <v>#VALUE!</v>
      </c>
      <c r="J229" s="377"/>
      <c r="K229" s="242">
        <f t="shared" si="109"/>
        <v>1</v>
      </c>
      <c r="L229" s="241" t="e">
        <f t="shared" ca="1" si="110"/>
        <v>#VALUE!</v>
      </c>
      <c r="M229" s="243" t="e">
        <f ca="1">IF(AND(INDEX(FlowCalConstA,MATCH(J225,FlowCalNumber,0),1,1)*L229^INDEX(FlowCalConstB,MATCH(J225,FlowCalNumber,0),1,1)&gt;INDEX(FlowCalLowSetting,MATCH(J225,FlowCalNumber,0),1,1), (INDEX(FlowCalConstA,MATCH(J225,FlowCalNumber,0),1,1)*L229^INDEX(FlowCalConstB,MATCH(J225,FlowCalNumber,0),1,1)&lt;INDEX(FlowCalHighSetting,MATCH(J225,FlowCalNumber,0),1,1))),INDEX(FlowCalConstA,MATCH(J225,FlowCalNumber,0),1,1)*L229^INDEX(FlowCalConstB,MATCH(J225,FlowCalNumber,0),1,1)," ")</f>
        <v>#N/A</v>
      </c>
      <c r="N229" s="377"/>
      <c r="O229" s="242">
        <f t="shared" si="111"/>
        <v>1</v>
      </c>
      <c r="P229" s="241" t="e">
        <f t="shared" ca="1" si="112"/>
        <v>#VALUE!</v>
      </c>
      <c r="Q229" s="244" t="e">
        <f ca="1">IF(AND(INDEX(FlowCalConstA,MATCH(N225,FlowCalNumber,0),1,1)*P229^INDEX(FlowCalConstB,MATCH(N225,FlowCalNumber,0),1,1)&gt;INDEX(FlowCalLowSetting,MATCH(N225,FlowCalNumber,0),1,1), (INDEX(FlowCalConstA,MATCH(N225,FlowCalNumber,0),1,1)*P229^INDEX(FlowCalConstB,MATCH(N225,FlowCalNumber,0),1,1)&lt;INDEX(FlowCalHighSetting,MATCH(N225,FlowCalNumber,0),1,1))),INDEX(FlowCalConstA,MATCH(N225,FlowCalNumber,0),1,1)*P229^INDEX(FlowCalConstB,MATCH(N225,FlowCalNumber,0),1,1)," ")</f>
        <v>#N/A</v>
      </c>
      <c r="R229" s="377"/>
      <c r="S229" s="242">
        <f t="shared" si="113"/>
        <v>0.5</v>
      </c>
      <c r="T229" s="241" t="e">
        <f t="shared" ca="1" si="114"/>
        <v>#VALUE!</v>
      </c>
      <c r="U229" s="243" t="e">
        <f ca="1">IF(AND(INDEX(FlowCalConstA,MATCH(R225,FlowCalNumber,0),1,1)*T229^INDEX(FlowCalConstB,MATCH(R225,FlowCalNumber,0),1,1)&gt;INDEX(FlowCalLowSetting,MATCH(R225,FlowCalNumber,0),1,1), (INDEX(FlowCalConstA,MATCH(R225,FlowCalNumber,0),1,1)*T229^INDEX(FlowCalConstB,MATCH(R225,FlowCalNumber,0),1,1)&lt;INDEX(FlowCalHighSetting,MATCH(R225,FlowCalNumber,0),1,1))),INDEX(FlowCalConstA,MATCH(R225,FlowCalNumber,0),1,1)*T229^INDEX(FlowCalConstB,MATCH(R225,FlowCalNumber,0),1,1)," ")</f>
        <v>#N/A</v>
      </c>
      <c r="V229" s="377"/>
      <c r="W229" s="242">
        <f t="shared" si="115"/>
        <v>0.5</v>
      </c>
      <c r="X229" s="241" t="e">
        <f t="shared" ca="1" si="116"/>
        <v>#VALUE!</v>
      </c>
      <c r="Y229" s="244" t="e">
        <f ca="1">IF(AND(INDEX(FlowCalConstA,MATCH(V225,FlowCalNumber,0),1,1)*X229^INDEX(FlowCalConstB,MATCH(V225,FlowCalNumber,0),1,1)&gt;INDEX(FlowCalLowSetting,MATCH(V225,FlowCalNumber,0),1,1), (INDEX(FlowCalConstA,MATCH(V225,FlowCalNumber,0),1,1)*X229^INDEX(FlowCalConstB,MATCH(V225,FlowCalNumber,0),1,1)&lt;INDEX(FlowCalHighSetting,MATCH(V225,FlowCalNumber,0),1,1))),INDEX(FlowCalConstA,MATCH(V225,FlowCalNumber,0),1,1)*X229^INDEX(FlowCalConstB,MATCH(V225,FlowCalNumber,0),1,1)," ")</f>
        <v>#N/A</v>
      </c>
    </row>
    <row r="230" spans="1:25" s="1215" customFormat="1">
      <c r="A230" s="1208"/>
      <c r="B230" s="1209"/>
      <c r="C230" s="1210"/>
      <c r="D230" s="1211">
        <f>'1% Wind'!$M$86</f>
        <v>15.5</v>
      </c>
      <c r="E230" s="1212"/>
      <c r="F230" s="1212"/>
      <c r="G230" s="1213">
        <f ca="1">IF(I225=1,$G229,MAX(G229/D229*D230,2))</f>
        <v>2</v>
      </c>
      <c r="H230" s="1214" t="e">
        <f t="shared" ca="1" si="108"/>
        <v>#VALUE!</v>
      </c>
      <c r="J230" s="1216"/>
      <c r="K230" s="1217">
        <f t="shared" si="109"/>
        <v>1</v>
      </c>
      <c r="L230" s="1218" t="e">
        <f t="shared" ca="1" si="110"/>
        <v>#VALUE!</v>
      </c>
      <c r="M230" s="1219" t="e">
        <f ca="1">IF(AND(INDEX(FlowCalConstA,MATCH(J225,FlowCalNumber,0),1,1)*L230^INDEX(FlowCalConstB,MATCH(J225,FlowCalNumber,0),1,1)&gt;INDEX(FlowCalLowSetting,MATCH(J225,FlowCalNumber,0),1,1), (INDEX(FlowCalConstA,MATCH(J225,FlowCalNumber,0),1,1)*L230^INDEX(FlowCalConstB,MATCH(J225,FlowCalNumber,0),1,1)&lt;INDEX(FlowCalHighSetting,MATCH(J225,FlowCalNumber,0),1,1))),INDEX(FlowCalConstA,MATCH(J225,FlowCalNumber,0),1,1)*L230^INDEX(FlowCalConstB,MATCH(J225,FlowCalNumber,0),1,1)," ")</f>
        <v>#N/A</v>
      </c>
      <c r="N230" s="1216"/>
      <c r="O230" s="1217">
        <f t="shared" si="111"/>
        <v>1</v>
      </c>
      <c r="P230" s="1218" t="e">
        <f t="shared" ca="1" si="112"/>
        <v>#VALUE!</v>
      </c>
      <c r="Q230" s="1220" t="e">
        <f ca="1">IF(AND(INDEX(FlowCalConstA,MATCH(N225,FlowCalNumber,0),1,1)*P230^INDEX(FlowCalConstB,MATCH(N225,FlowCalNumber,0),1,1)&gt;INDEX(FlowCalLowSetting,MATCH(N225,FlowCalNumber,0),1,1), (INDEX(FlowCalConstA,MATCH(N225,FlowCalNumber,0),1,1)*P230^INDEX(FlowCalConstB,MATCH(N225,FlowCalNumber,0),1,1)&lt;INDEX(FlowCalHighSetting,MATCH(N225,FlowCalNumber,0),1,1))),INDEX(FlowCalConstA,MATCH(N225,FlowCalNumber,0),1,1)*P230^INDEX(FlowCalConstB,MATCH(N225,FlowCalNumber,0),1,1)," ")</f>
        <v>#N/A</v>
      </c>
      <c r="R230" s="1216"/>
      <c r="S230" s="1217">
        <f t="shared" si="113"/>
        <v>0.5</v>
      </c>
      <c r="T230" s="1218" t="e">
        <f t="shared" ca="1" si="114"/>
        <v>#VALUE!</v>
      </c>
      <c r="U230" s="1219" t="e">
        <f ca="1">IF(AND(INDEX(FlowCalConstA,MATCH(R225,FlowCalNumber,0),1,1)*T230^INDEX(FlowCalConstB,MATCH(R225,FlowCalNumber,0),1,1)&gt;INDEX(FlowCalLowSetting,MATCH(R225,FlowCalNumber,0),1,1), (INDEX(FlowCalConstA,MATCH(R225,FlowCalNumber,0),1,1)*T230^INDEX(FlowCalConstB,MATCH(R225,FlowCalNumber,0),1,1)&lt;INDEX(FlowCalHighSetting,MATCH(R225,FlowCalNumber,0),1,1))),INDEX(FlowCalConstA,MATCH(R225,FlowCalNumber,0),1,1)*T230^INDEX(FlowCalConstB,MATCH(R225,FlowCalNumber,0),1,1)," ")</f>
        <v>#N/A</v>
      </c>
      <c r="V230" s="1216"/>
      <c r="W230" s="1217">
        <f t="shared" si="115"/>
        <v>0.5</v>
      </c>
      <c r="X230" s="1218" t="e">
        <f t="shared" ca="1" si="116"/>
        <v>#VALUE!</v>
      </c>
      <c r="Y230" s="1220" t="e">
        <f ca="1">IF(AND(INDEX(FlowCalConstA,MATCH(V225,FlowCalNumber,0),1,1)*X230^INDEX(FlowCalConstB,MATCH(V225,FlowCalNumber,0),1,1)&gt;INDEX(FlowCalLowSetting,MATCH(V225,FlowCalNumber,0),1,1), (INDEX(FlowCalConstA,MATCH(V225,FlowCalNumber,0),1,1)*X230^INDEX(FlowCalConstB,MATCH(V225,FlowCalNumber,0),1,1)&lt;INDEX(FlowCalHighSetting,MATCH(V225,FlowCalNumber,0),1,1))),INDEX(FlowCalConstA,MATCH(V225,FlowCalNumber,0),1,1)*X230^INDEX(FlowCalConstB,MATCH(V225,FlowCalNumber,0),1,1)," ")</f>
        <v>#N/A</v>
      </c>
    </row>
    <row r="231" spans="1:25">
      <c r="A231" s="412"/>
      <c r="B231" s="2"/>
      <c r="C231" s="235"/>
      <c r="D231" s="24">
        <f>'1% Wind'!$M$87</f>
        <v>13.5</v>
      </c>
      <c r="E231" s="90"/>
      <c r="F231" s="90"/>
      <c r="G231" s="79">
        <f ca="1">IF(I225=1,$G230,MAX(G230/D230*D231,2))</f>
        <v>2</v>
      </c>
      <c r="H231" s="121" t="e">
        <f t="shared" ca="1" si="108"/>
        <v>#VALUE!</v>
      </c>
      <c r="J231" s="377"/>
      <c r="K231" s="242">
        <f t="shared" si="109"/>
        <v>1</v>
      </c>
      <c r="L231" s="241" t="e">
        <f t="shared" ca="1" si="110"/>
        <v>#VALUE!</v>
      </c>
      <c r="M231" s="243" t="e">
        <f ca="1">IF(AND(INDEX(FlowCalConstA,MATCH(J225,FlowCalNumber,0),1,1)*L231^INDEX(FlowCalConstB,MATCH(J225,FlowCalNumber,0),1,1)&gt;INDEX(FlowCalLowSetting,MATCH(J225,FlowCalNumber,0),1,1), (INDEX(FlowCalConstA,MATCH(J225,FlowCalNumber,0),1,1)*L231^INDEX(FlowCalConstB,MATCH(J225,FlowCalNumber,0),1,1)&lt;INDEX(FlowCalHighSetting,MATCH(J225,FlowCalNumber,0),1,1))),INDEX(FlowCalConstA,MATCH(J225,FlowCalNumber,0),1,1)*L231^INDEX(FlowCalConstB,MATCH(J225,FlowCalNumber,0),1,1)," ")</f>
        <v>#N/A</v>
      </c>
      <c r="N231" s="377"/>
      <c r="O231" s="242">
        <f t="shared" si="111"/>
        <v>1</v>
      </c>
      <c r="P231" s="241" t="e">
        <f t="shared" ca="1" si="112"/>
        <v>#VALUE!</v>
      </c>
      <c r="Q231" s="244" t="e">
        <f ca="1">IF(AND(INDEX(FlowCalConstA,MATCH(N225,FlowCalNumber,0),1,1)*P231^INDEX(FlowCalConstB,MATCH(N225,FlowCalNumber,0),1,1)&gt;INDEX(FlowCalLowSetting,MATCH(N225,FlowCalNumber,0),1,1), (INDEX(FlowCalConstA,MATCH(N225,FlowCalNumber,0),1,1)*P231^INDEX(FlowCalConstB,MATCH(N225,FlowCalNumber,0),1,1)&lt;INDEX(FlowCalHighSetting,MATCH(N225,FlowCalNumber,0),1,1))),INDEX(FlowCalConstA,MATCH(N225,FlowCalNumber,0),1,1)*P231^INDEX(FlowCalConstB,MATCH(N225,FlowCalNumber,0),1,1)," ")</f>
        <v>#N/A</v>
      </c>
      <c r="R231" s="377"/>
      <c r="S231" s="242">
        <f t="shared" si="113"/>
        <v>0.5</v>
      </c>
      <c r="T231" s="241" t="e">
        <f t="shared" ca="1" si="114"/>
        <v>#VALUE!</v>
      </c>
      <c r="U231" s="243" t="e">
        <f ca="1">IF(AND(INDEX(FlowCalConstA,MATCH(R225,FlowCalNumber,0),1,1)*T231^INDEX(FlowCalConstB,MATCH(R225,FlowCalNumber,0),1,1)&gt;INDEX(FlowCalLowSetting,MATCH(R225,FlowCalNumber,0),1,1), (INDEX(FlowCalConstA,MATCH(R225,FlowCalNumber,0),1,1)*T231^INDEX(FlowCalConstB,MATCH(R225,FlowCalNumber,0),1,1)&lt;INDEX(FlowCalHighSetting,MATCH(R225,FlowCalNumber,0),1,1))),INDEX(FlowCalConstA,MATCH(R225,FlowCalNumber,0),1,1)*T231^INDEX(FlowCalConstB,MATCH(R225,FlowCalNumber,0),1,1)," ")</f>
        <v>#N/A</v>
      </c>
      <c r="V231" s="377"/>
      <c r="W231" s="242">
        <f t="shared" si="115"/>
        <v>0.5</v>
      </c>
      <c r="X231" s="241" t="e">
        <f t="shared" ca="1" si="116"/>
        <v>#VALUE!</v>
      </c>
      <c r="Y231" s="244" t="e">
        <f ca="1">IF(AND(INDEX(FlowCalConstA,MATCH(V225,FlowCalNumber,0),1,1)*X231^INDEX(FlowCalConstB,MATCH(V225,FlowCalNumber,0),1,1)&gt;INDEX(FlowCalLowSetting,MATCH(V225,FlowCalNumber,0),1,1), (INDEX(FlowCalConstA,MATCH(V225,FlowCalNumber,0),1,1)*X231^INDEX(FlowCalConstB,MATCH(V225,FlowCalNumber,0),1,1)&lt;INDEX(FlowCalHighSetting,MATCH(V225,FlowCalNumber,0),1,1))),INDEX(FlowCalConstA,MATCH(V225,FlowCalNumber,0),1,1)*X231^INDEX(FlowCalConstB,MATCH(V225,FlowCalNumber,0),1,1)," ")</f>
        <v>#N/A</v>
      </c>
    </row>
    <row r="232" spans="1:25" s="1215" customFormat="1">
      <c r="A232" s="1208"/>
      <c r="B232" s="1209"/>
      <c r="C232" s="1210"/>
      <c r="D232" s="1211">
        <f>'1% Wind'!$M$88</f>
        <v>10.1</v>
      </c>
      <c r="E232" s="1212"/>
      <c r="F232" s="1212"/>
      <c r="G232" s="1213">
        <f ca="1">IF(I225=1,$G231,MAX(G231/D231*D232,2))</f>
        <v>2</v>
      </c>
      <c r="H232" s="1214" t="e">
        <f t="shared" ca="1" si="108"/>
        <v>#VALUE!</v>
      </c>
      <c r="J232" s="1216"/>
      <c r="K232" s="1217">
        <f t="shared" si="109"/>
        <v>1</v>
      </c>
      <c r="L232" s="1218" t="e">
        <f t="shared" ca="1" si="110"/>
        <v>#VALUE!</v>
      </c>
      <c r="M232" s="1219" t="e">
        <f ca="1">IF(AND(INDEX(FlowCalConstA,MATCH(J225,FlowCalNumber,0),1,1)*L232^INDEX(FlowCalConstB,MATCH(J225,FlowCalNumber,0),1,1)&gt;INDEX(FlowCalLowSetting,MATCH(J225,FlowCalNumber,0),1,1), (INDEX(FlowCalConstA,MATCH(J225,FlowCalNumber,0),1,1)*L232^INDEX(FlowCalConstB,MATCH(J225,FlowCalNumber,0),1,1)&lt;INDEX(FlowCalHighSetting,MATCH(J225,FlowCalNumber,0),1,1))),INDEX(FlowCalConstA,MATCH(J225,FlowCalNumber,0),1,1)*L232^INDEX(FlowCalConstB,MATCH(J225,FlowCalNumber,0),1,1)," ")</f>
        <v>#N/A</v>
      </c>
      <c r="N232" s="1216"/>
      <c r="O232" s="1217">
        <f t="shared" si="111"/>
        <v>1</v>
      </c>
      <c r="P232" s="1218" t="e">
        <f t="shared" ca="1" si="112"/>
        <v>#VALUE!</v>
      </c>
      <c r="Q232" s="1220" t="e">
        <f ca="1">IF(AND(INDEX(FlowCalConstA,MATCH(N225,FlowCalNumber,0),1,1)*P232^INDEX(FlowCalConstB,MATCH(N225,FlowCalNumber,0),1,1)&gt;INDEX(FlowCalLowSetting,MATCH(N225,FlowCalNumber,0),1,1), (INDEX(FlowCalConstA,MATCH(N225,FlowCalNumber,0),1,1)*P232^INDEX(FlowCalConstB,MATCH(N225,FlowCalNumber,0),1,1)&lt;INDEX(FlowCalHighSetting,MATCH(N225,FlowCalNumber,0),1,1))),INDEX(FlowCalConstA,MATCH(N225,FlowCalNumber,0),1,1)*P232^INDEX(FlowCalConstB,MATCH(N225,FlowCalNumber,0),1,1)," ")</f>
        <v>#N/A</v>
      </c>
      <c r="R232" s="1216"/>
      <c r="S232" s="1217">
        <f t="shared" si="113"/>
        <v>0.5</v>
      </c>
      <c r="T232" s="1218" t="e">
        <f t="shared" ca="1" si="114"/>
        <v>#VALUE!</v>
      </c>
      <c r="U232" s="1219" t="e">
        <f ca="1">IF(AND(INDEX(FlowCalConstA,MATCH(R225,FlowCalNumber,0),1,1)*T232^INDEX(FlowCalConstB,MATCH(R225,FlowCalNumber,0),1,1)&gt;INDEX(FlowCalLowSetting,MATCH(R225,FlowCalNumber,0),1,1), (INDEX(FlowCalConstA,MATCH(R225,FlowCalNumber,0),1,1)*T232^INDEX(FlowCalConstB,MATCH(R225,FlowCalNumber,0),1,1)&lt;INDEX(FlowCalHighSetting,MATCH(R225,FlowCalNumber,0),1,1))),INDEX(FlowCalConstA,MATCH(R225,FlowCalNumber,0),1,1)*T232^INDEX(FlowCalConstB,MATCH(R225,FlowCalNumber,0),1,1)," ")</f>
        <v>#N/A</v>
      </c>
      <c r="V232" s="1216"/>
      <c r="W232" s="1217">
        <f t="shared" si="115"/>
        <v>0.5</v>
      </c>
      <c r="X232" s="1218" t="e">
        <f t="shared" ca="1" si="116"/>
        <v>#VALUE!</v>
      </c>
      <c r="Y232" s="1220" t="e">
        <f ca="1">IF(AND(INDEX(FlowCalConstA,MATCH(V225,FlowCalNumber,0),1,1)*X232^INDEX(FlowCalConstB,MATCH(V225,FlowCalNumber,0),1,1)&gt;INDEX(FlowCalLowSetting,MATCH(V225,FlowCalNumber,0),1,1), (INDEX(FlowCalConstA,MATCH(V225,FlowCalNumber,0),1,1)*X232^INDEX(FlowCalConstB,MATCH(V225,FlowCalNumber,0),1,1)&lt;INDEX(FlowCalHighSetting,MATCH(V225,FlowCalNumber,0),1,1))),INDEX(FlowCalConstA,MATCH(V225,FlowCalNumber,0),1,1)*X232^INDEX(FlowCalConstB,MATCH(V225,FlowCalNumber,0),1,1)," ")</f>
        <v>#N/A</v>
      </c>
    </row>
    <row r="233" spans="1:25">
      <c r="A233" s="412"/>
      <c r="B233" s="2"/>
      <c r="C233" s="235"/>
      <c r="D233" s="24">
        <f>'1% Wind'!$M$89</f>
        <v>7.6</v>
      </c>
      <c r="E233" s="90"/>
      <c r="F233" s="90"/>
      <c r="G233" s="79">
        <f ca="1">IF(I225=1,$G232,MAX(G232/D232*D233,2))</f>
        <v>2</v>
      </c>
      <c r="H233" s="121" t="e">
        <f t="shared" ca="1" si="108"/>
        <v>#VALUE!</v>
      </c>
      <c r="J233" s="377"/>
      <c r="K233" s="242">
        <f t="shared" si="109"/>
        <v>1</v>
      </c>
      <c r="L233" s="241" t="e">
        <f t="shared" ca="1" si="110"/>
        <v>#VALUE!</v>
      </c>
      <c r="M233" s="243" t="e">
        <f ca="1">IF(AND(INDEX(FlowCalConstA,MATCH(J225,FlowCalNumber,0),1,1)*L233^INDEX(FlowCalConstB,MATCH(J225,FlowCalNumber,0),1,1)&gt;INDEX(FlowCalLowSetting,MATCH(J225,FlowCalNumber,0),1,1), (INDEX(FlowCalConstA,MATCH(J225,FlowCalNumber,0),1,1)*L233^INDEX(FlowCalConstB,MATCH(J225,FlowCalNumber,0),1,1)&lt;INDEX(FlowCalHighSetting,MATCH(J225,FlowCalNumber,0),1,1))),INDEX(FlowCalConstA,MATCH(J225,FlowCalNumber,0),1,1)*L233^INDEX(FlowCalConstB,MATCH(J225,FlowCalNumber,0),1,1)," ")</f>
        <v>#N/A</v>
      </c>
      <c r="N233" s="377"/>
      <c r="O233" s="242">
        <f t="shared" si="111"/>
        <v>1</v>
      </c>
      <c r="P233" s="241" t="e">
        <f t="shared" ca="1" si="112"/>
        <v>#VALUE!</v>
      </c>
      <c r="Q233" s="244" t="e">
        <f ca="1">IF(AND(INDEX(FlowCalConstA,MATCH(N225,FlowCalNumber,0),1,1)*P233^INDEX(FlowCalConstB,MATCH(N225,FlowCalNumber,0),1,1)&gt;INDEX(FlowCalLowSetting,MATCH(N225,FlowCalNumber,0),1,1), (INDEX(FlowCalConstA,MATCH(N225,FlowCalNumber,0),1,1)*P233^INDEX(FlowCalConstB,MATCH(N225,FlowCalNumber,0),1,1)&lt;INDEX(FlowCalHighSetting,MATCH(N225,FlowCalNumber,0),1,1))),INDEX(FlowCalConstA,MATCH(N225,FlowCalNumber,0),1,1)*P233^INDEX(FlowCalConstB,MATCH(N225,FlowCalNumber,0),1,1)," ")</f>
        <v>#N/A</v>
      </c>
      <c r="R233" s="377"/>
      <c r="S233" s="242">
        <f t="shared" si="113"/>
        <v>0.5</v>
      </c>
      <c r="T233" s="241" t="e">
        <f t="shared" ca="1" si="114"/>
        <v>#VALUE!</v>
      </c>
      <c r="U233" s="243" t="e">
        <f ca="1">IF(AND(INDEX(FlowCalConstA,MATCH(R225,FlowCalNumber,0),1,1)*T233^INDEX(FlowCalConstB,MATCH(R225,FlowCalNumber,0),1,1)&gt;INDEX(FlowCalLowSetting,MATCH(R225,FlowCalNumber,0),1,1), (INDEX(FlowCalConstA,MATCH(R225,FlowCalNumber,0),1,1)*T233^INDEX(FlowCalConstB,MATCH(R225,FlowCalNumber,0),1,1)&lt;INDEX(FlowCalHighSetting,MATCH(R225,FlowCalNumber,0),1,1))),INDEX(FlowCalConstA,MATCH(R225,FlowCalNumber,0),1,1)*T233^INDEX(FlowCalConstB,MATCH(R225,FlowCalNumber,0),1,1)," ")</f>
        <v>#N/A</v>
      </c>
      <c r="V233" s="377"/>
      <c r="W233" s="242">
        <f t="shared" si="115"/>
        <v>0.5</v>
      </c>
      <c r="X233" s="241" t="e">
        <f t="shared" ca="1" si="116"/>
        <v>#VALUE!</v>
      </c>
      <c r="Y233" s="244" t="e">
        <f ca="1">IF(AND(INDEX(FlowCalConstA,MATCH(V225,FlowCalNumber,0),1,1)*X233^INDEX(FlowCalConstB,MATCH(V225,FlowCalNumber,0),1,1)&gt;INDEX(FlowCalLowSetting,MATCH(V225,FlowCalNumber,0),1,1), (INDEX(FlowCalConstA,MATCH(V225,FlowCalNumber,0),1,1)*X233^INDEX(FlowCalConstB,MATCH(V225,FlowCalNumber,0),1,1)&lt;INDEX(FlowCalHighSetting,MATCH(V225,FlowCalNumber,0),1,1))),INDEX(FlowCalConstA,MATCH(V225,FlowCalNumber,0),1,1)*X233^INDEX(FlowCalConstB,MATCH(V225,FlowCalNumber,0),1,1)," ")</f>
        <v>#N/A</v>
      </c>
    </row>
    <row r="234" spans="1:25" s="1215" customFormat="1">
      <c r="A234" s="1208"/>
      <c r="B234" s="1209"/>
      <c r="C234" s="1210"/>
      <c r="D234" s="1211">
        <f>'1% Wind'!$M$90</f>
        <v>5.7</v>
      </c>
      <c r="E234" s="1212"/>
      <c r="F234" s="1212"/>
      <c r="G234" s="1213">
        <f ca="1">IF(I225=1,$G233,MAX(G233/D233*D234,2))</f>
        <v>2</v>
      </c>
      <c r="H234" s="1214" t="e">
        <f t="shared" ca="1" si="108"/>
        <v>#VALUE!</v>
      </c>
      <c r="J234" s="1216"/>
      <c r="K234" s="1217">
        <f t="shared" si="109"/>
        <v>1</v>
      </c>
      <c r="L234" s="1218" t="e">
        <f t="shared" ca="1" si="110"/>
        <v>#VALUE!</v>
      </c>
      <c r="M234" s="1219" t="e">
        <f ca="1">IF(AND(INDEX(FlowCalConstA,MATCH(J225,FlowCalNumber,0),1,1)*L234^INDEX(FlowCalConstB,MATCH(J225,FlowCalNumber,0),1,1)&gt;INDEX(FlowCalLowSetting,MATCH(J225,FlowCalNumber,0),1,1), (INDEX(FlowCalConstA,MATCH(J225,FlowCalNumber,0),1,1)*L234^INDEX(FlowCalConstB,MATCH(J225,FlowCalNumber,0),1,1)&lt;INDEX(FlowCalHighSetting,MATCH(J225,FlowCalNumber,0),1,1))),INDEX(FlowCalConstA,MATCH(J225,FlowCalNumber,0),1,1)*L234^INDEX(FlowCalConstB,MATCH(J225,FlowCalNumber,0),1,1)," ")</f>
        <v>#N/A</v>
      </c>
      <c r="N234" s="1216"/>
      <c r="O234" s="1217">
        <f t="shared" si="111"/>
        <v>1</v>
      </c>
      <c r="P234" s="1218" t="e">
        <f t="shared" ca="1" si="112"/>
        <v>#VALUE!</v>
      </c>
      <c r="Q234" s="1220" t="e">
        <f ca="1">IF(AND(INDEX(FlowCalConstA,MATCH(N225,FlowCalNumber,0),1,1)*P234^INDEX(FlowCalConstB,MATCH(N225,FlowCalNumber,0),1,1)&gt;INDEX(FlowCalLowSetting,MATCH(N225,FlowCalNumber,0),1,1), (INDEX(FlowCalConstA,MATCH(N225,FlowCalNumber,0),1,1)*P234^INDEX(FlowCalConstB,MATCH(N225,FlowCalNumber,0),1,1)&lt;INDEX(FlowCalHighSetting,MATCH(N225,FlowCalNumber,0),1,1))),INDEX(FlowCalConstA,MATCH(N225,FlowCalNumber,0),1,1)*P234^INDEX(FlowCalConstB,MATCH(N225,FlowCalNumber,0),1,1)," ")</f>
        <v>#N/A</v>
      </c>
      <c r="R234" s="1216"/>
      <c r="S234" s="1217">
        <f t="shared" si="113"/>
        <v>0.5</v>
      </c>
      <c r="T234" s="1218" t="e">
        <f t="shared" ca="1" si="114"/>
        <v>#VALUE!</v>
      </c>
      <c r="U234" s="1219" t="e">
        <f ca="1">IF(AND(INDEX(FlowCalConstA,MATCH(R225,FlowCalNumber,0),1,1)*T234^INDEX(FlowCalConstB,MATCH(R225,FlowCalNumber,0),1,1)&gt;INDEX(FlowCalLowSetting,MATCH(R225,FlowCalNumber,0),1,1), (INDEX(FlowCalConstA,MATCH(R225,FlowCalNumber,0),1,1)*T234^INDEX(FlowCalConstB,MATCH(R225,FlowCalNumber,0),1,1)&lt;INDEX(FlowCalHighSetting,MATCH(R225,FlowCalNumber,0),1,1))),INDEX(FlowCalConstA,MATCH(R225,FlowCalNumber,0),1,1)*T234^INDEX(FlowCalConstB,MATCH(R225,FlowCalNumber,0),1,1)," ")</f>
        <v>#N/A</v>
      </c>
      <c r="V234" s="1216"/>
      <c r="W234" s="1217">
        <f t="shared" si="115"/>
        <v>0.5</v>
      </c>
      <c r="X234" s="1218" t="e">
        <f t="shared" ca="1" si="116"/>
        <v>#VALUE!</v>
      </c>
      <c r="Y234" s="1220" t="e">
        <f ca="1">IF(AND(INDEX(FlowCalConstA,MATCH(V225,FlowCalNumber,0),1,1)*X234^INDEX(FlowCalConstB,MATCH(V225,FlowCalNumber,0),1,1)&gt;INDEX(FlowCalLowSetting,MATCH(V225,FlowCalNumber,0),1,1), (INDEX(FlowCalConstA,MATCH(V225,FlowCalNumber,0),1,1)*X234^INDEX(FlowCalConstB,MATCH(V225,FlowCalNumber,0),1,1)&lt;INDEX(FlowCalHighSetting,MATCH(V225,FlowCalNumber,0),1,1))),INDEX(FlowCalConstA,MATCH(V225,FlowCalNumber,0),1,1)*X234^INDEX(FlowCalConstB,MATCH(V225,FlowCalNumber,0),1,1)," ")</f>
        <v>#N/A</v>
      </c>
    </row>
    <row r="235" spans="1:25">
      <c r="A235" s="412"/>
      <c r="B235" s="2"/>
      <c r="C235" s="235"/>
      <c r="D235" s="24">
        <f>'1% Wind'!$M$91</f>
        <v>4.2</v>
      </c>
      <c r="E235" s="90"/>
      <c r="F235" s="90"/>
      <c r="G235" s="79">
        <f ca="1">IF(I225=1,$G234,MAX(G234/D234*D235,2))</f>
        <v>2</v>
      </c>
      <c r="H235" s="121" t="e">
        <f t="shared" ca="1" si="108"/>
        <v>#VALUE!</v>
      </c>
      <c r="J235" s="377"/>
      <c r="K235" s="242">
        <f t="shared" si="109"/>
        <v>1</v>
      </c>
      <c r="L235" s="241" t="e">
        <f t="shared" ca="1" si="110"/>
        <v>#VALUE!</v>
      </c>
      <c r="M235" s="243" t="e">
        <f ca="1">IF(AND(INDEX(FlowCalConstA,MATCH(J225,FlowCalNumber,0),1,1)*L235^INDEX(FlowCalConstB,MATCH(J225,FlowCalNumber,0),1,1)&gt;INDEX(FlowCalLowSetting,MATCH(J225,FlowCalNumber,0),1,1), (INDEX(FlowCalConstA,MATCH(J225,FlowCalNumber,0),1,1)*L235^INDEX(FlowCalConstB,MATCH(J225,FlowCalNumber,0),1,1)&lt;INDEX(FlowCalHighSetting,MATCH(J225,FlowCalNumber,0),1,1))),INDEX(FlowCalConstA,MATCH(J225,FlowCalNumber,0),1,1)*L235^INDEX(FlowCalConstB,MATCH(J225,FlowCalNumber,0),1,1)," ")</f>
        <v>#N/A</v>
      </c>
      <c r="N235" s="377"/>
      <c r="O235" s="242">
        <f t="shared" si="111"/>
        <v>1</v>
      </c>
      <c r="P235" s="241" t="e">
        <f t="shared" ca="1" si="112"/>
        <v>#VALUE!</v>
      </c>
      <c r="Q235" s="244" t="e">
        <f ca="1">IF(AND(INDEX(FlowCalConstA,MATCH(N225,FlowCalNumber,0),1,1)*P235^INDEX(FlowCalConstB,MATCH(N225,FlowCalNumber,0),1,1)&gt;INDEX(FlowCalLowSetting,MATCH(N225,FlowCalNumber,0),1,1), (INDEX(FlowCalConstA,MATCH(N225,FlowCalNumber,0),1,1)*P235^INDEX(FlowCalConstB,MATCH(N225,FlowCalNumber,0),1,1)&lt;INDEX(FlowCalHighSetting,MATCH(N225,FlowCalNumber,0),1,1))),INDEX(FlowCalConstA,MATCH(N225,FlowCalNumber,0),1,1)*P235^INDEX(FlowCalConstB,MATCH(N225,FlowCalNumber,0),1,1)," ")</f>
        <v>#N/A</v>
      </c>
      <c r="R235" s="377"/>
      <c r="S235" s="242">
        <f t="shared" si="113"/>
        <v>0.5</v>
      </c>
      <c r="T235" s="241" t="e">
        <f t="shared" ca="1" si="114"/>
        <v>#VALUE!</v>
      </c>
      <c r="U235" s="243" t="e">
        <f ca="1">IF(AND(INDEX(FlowCalConstA,MATCH(R225,FlowCalNumber,0),1,1)*T235^INDEX(FlowCalConstB,MATCH(R225,FlowCalNumber,0),1,1)&gt;INDEX(FlowCalLowSetting,MATCH(R225,FlowCalNumber,0),1,1), (INDEX(FlowCalConstA,MATCH(R225,FlowCalNumber,0),1,1)*T235^INDEX(FlowCalConstB,MATCH(R225,FlowCalNumber,0),1,1)&lt;INDEX(FlowCalHighSetting,MATCH(R225,FlowCalNumber,0),1,1))),INDEX(FlowCalConstA,MATCH(R225,FlowCalNumber,0),1,1)*T235^INDEX(FlowCalConstB,MATCH(R225,FlowCalNumber,0),1,1)," ")</f>
        <v>#N/A</v>
      </c>
      <c r="V235" s="377"/>
      <c r="W235" s="242">
        <f t="shared" si="115"/>
        <v>0.5</v>
      </c>
      <c r="X235" s="241" t="e">
        <f t="shared" ca="1" si="116"/>
        <v>#VALUE!</v>
      </c>
      <c r="Y235" s="244" t="e">
        <f ca="1">IF(AND(INDEX(FlowCalConstA,MATCH(V225,FlowCalNumber,0),1,1)*X235^INDEX(FlowCalConstB,MATCH(V225,FlowCalNumber,0),1,1)&gt;INDEX(FlowCalLowSetting,MATCH(V225,FlowCalNumber,0),1,1), (INDEX(FlowCalConstA,MATCH(V225,FlowCalNumber,0),1,1)*X235^INDEX(FlowCalConstB,MATCH(V225,FlowCalNumber,0),1,1)&lt;INDEX(FlowCalHighSetting,MATCH(V225,FlowCalNumber,0),1,1))),INDEX(FlowCalConstA,MATCH(V225,FlowCalNumber,0),1,1)*X235^INDEX(FlowCalConstB,MATCH(V225,FlowCalNumber,0),1,1)," ")</f>
        <v>#N/A</v>
      </c>
    </row>
    <row r="236" spans="1:25" s="1215" customFormat="1">
      <c r="A236" s="1208"/>
      <c r="B236" s="1209"/>
      <c r="C236" s="1210"/>
      <c r="D236" s="1211">
        <f>'1% Wind'!$M$92</f>
        <v>3.2</v>
      </c>
      <c r="E236" s="1212"/>
      <c r="F236" s="1212"/>
      <c r="G236" s="1213">
        <f ca="1">IF(I225=1,$G235,MAX(G235/D235*D236,2))</f>
        <v>2</v>
      </c>
      <c r="H236" s="1214" t="e">
        <f t="shared" ca="1" si="108"/>
        <v>#VALUE!</v>
      </c>
      <c r="J236" s="1216"/>
      <c r="K236" s="1217">
        <f t="shared" si="109"/>
        <v>1</v>
      </c>
      <c r="L236" s="1218" t="e">
        <f t="shared" ca="1" si="110"/>
        <v>#VALUE!</v>
      </c>
      <c r="M236" s="1219" t="e">
        <f ca="1">IF(AND(INDEX(FlowCalConstA,MATCH(J225,FlowCalNumber,0),1,1)*L236^INDEX(FlowCalConstB,MATCH(J225,FlowCalNumber,0),1,1)&gt;INDEX(FlowCalLowSetting,MATCH(J225,FlowCalNumber,0),1,1), (INDEX(FlowCalConstA,MATCH(J225,FlowCalNumber,0),1,1)*L236^INDEX(FlowCalConstB,MATCH(J225,FlowCalNumber,0),1,1)&lt;INDEX(FlowCalHighSetting,MATCH(J225,FlowCalNumber,0),1,1))),INDEX(FlowCalConstA,MATCH(J225,FlowCalNumber,0),1,1)*L236^INDEX(FlowCalConstB,MATCH(J225,FlowCalNumber,0),1,1)," ")</f>
        <v>#N/A</v>
      </c>
      <c r="N236" s="1216"/>
      <c r="O236" s="1217">
        <f t="shared" si="111"/>
        <v>1</v>
      </c>
      <c r="P236" s="1218" t="e">
        <f t="shared" ca="1" si="112"/>
        <v>#VALUE!</v>
      </c>
      <c r="Q236" s="1220" t="e">
        <f ca="1">IF(AND(INDEX(FlowCalConstA,MATCH(N225,FlowCalNumber,0),1,1)*P236^INDEX(FlowCalConstB,MATCH(N225,FlowCalNumber,0),1,1)&gt;INDEX(FlowCalLowSetting,MATCH(N225,FlowCalNumber,0),1,1), (INDEX(FlowCalConstA,MATCH(N225,FlowCalNumber,0),1,1)*P236^INDEX(FlowCalConstB,MATCH(N225,FlowCalNumber,0),1,1)&lt;INDEX(FlowCalHighSetting,MATCH(N225,FlowCalNumber,0),1,1))),INDEX(FlowCalConstA,MATCH(N225,FlowCalNumber,0),1,1)*P236^INDEX(FlowCalConstB,MATCH(N225,FlowCalNumber,0),1,1)," ")</f>
        <v>#N/A</v>
      </c>
      <c r="R236" s="1216"/>
      <c r="S236" s="1217">
        <f t="shared" si="113"/>
        <v>0.5</v>
      </c>
      <c r="T236" s="1218" t="e">
        <f t="shared" ca="1" si="114"/>
        <v>#VALUE!</v>
      </c>
      <c r="U236" s="1219" t="e">
        <f ca="1">IF(AND(INDEX(FlowCalConstA,MATCH(R225,FlowCalNumber,0),1,1)*T236^INDEX(FlowCalConstB,MATCH(R225,FlowCalNumber,0),1,1)&gt;INDEX(FlowCalLowSetting,MATCH(R225,FlowCalNumber,0),1,1), (INDEX(FlowCalConstA,MATCH(R225,FlowCalNumber,0),1,1)*T236^INDEX(FlowCalConstB,MATCH(R225,FlowCalNumber,0),1,1)&lt;INDEX(FlowCalHighSetting,MATCH(R225,FlowCalNumber,0),1,1))),INDEX(FlowCalConstA,MATCH(R225,FlowCalNumber,0),1,1)*T236^INDEX(FlowCalConstB,MATCH(R225,FlowCalNumber,0),1,1)," ")</f>
        <v>#N/A</v>
      </c>
      <c r="V236" s="1216"/>
      <c r="W236" s="1217">
        <f t="shared" si="115"/>
        <v>0.5</v>
      </c>
      <c r="X236" s="1218" t="e">
        <f t="shared" ca="1" si="116"/>
        <v>#VALUE!</v>
      </c>
      <c r="Y236" s="1220" t="e">
        <f ca="1">IF(AND(INDEX(FlowCalConstA,MATCH(V225,FlowCalNumber,0),1,1)*X236^INDEX(FlowCalConstB,MATCH(V225,FlowCalNumber,0),1,1)&gt;INDEX(FlowCalLowSetting,MATCH(V225,FlowCalNumber,0),1,1), (INDEX(FlowCalConstA,MATCH(V225,FlowCalNumber,0),1,1)*X236^INDEX(FlowCalConstB,MATCH(V225,FlowCalNumber,0),1,1)&lt;INDEX(FlowCalHighSetting,MATCH(V225,FlowCalNumber,0),1,1))),INDEX(FlowCalConstA,MATCH(V225,FlowCalNumber,0),1,1)*X236^INDEX(FlowCalConstB,MATCH(V225,FlowCalNumber,0),1,1)," ")</f>
        <v>#N/A</v>
      </c>
    </row>
    <row r="237" spans="1:25">
      <c r="A237" s="412"/>
      <c r="B237" s="2"/>
      <c r="C237" s="235"/>
      <c r="D237" s="24">
        <f>'1% Wind'!$M$93</f>
        <v>2.4</v>
      </c>
      <c r="E237" s="90"/>
      <c r="F237" s="90"/>
      <c r="G237" s="79">
        <f ca="1">IF(I225=1,$G236,MAX(G236/D236*D237,2))</f>
        <v>2</v>
      </c>
      <c r="H237" s="121" t="e">
        <f t="shared" ca="1" si="108"/>
        <v>#VALUE!</v>
      </c>
      <c r="J237" s="377"/>
      <c r="K237" s="242">
        <f t="shared" si="109"/>
        <v>1</v>
      </c>
      <c r="L237" s="241" t="e">
        <f t="shared" ca="1" si="110"/>
        <v>#VALUE!</v>
      </c>
      <c r="M237" s="243" t="e">
        <f ca="1">IF(AND(INDEX(FlowCalConstA,MATCH(J225,FlowCalNumber,0),1,1)*L237^INDEX(FlowCalConstB,MATCH(J225,FlowCalNumber,0),1,1)&gt;INDEX(FlowCalLowSetting,MATCH(J225,FlowCalNumber,0),1,1), (INDEX(FlowCalConstA,MATCH(J225,FlowCalNumber,0),1,1)*L237^INDEX(FlowCalConstB,MATCH(J225,FlowCalNumber,0),1,1)&lt;INDEX(FlowCalHighSetting,MATCH(J225,FlowCalNumber,0),1,1))),INDEX(FlowCalConstA,MATCH(J225,FlowCalNumber,0),1,1)*L237^INDEX(FlowCalConstB,MATCH(J225,FlowCalNumber,0),1,1)," ")</f>
        <v>#N/A</v>
      </c>
      <c r="N237" s="377"/>
      <c r="O237" s="242">
        <f t="shared" si="111"/>
        <v>1</v>
      </c>
      <c r="P237" s="241" t="e">
        <f t="shared" ca="1" si="112"/>
        <v>#VALUE!</v>
      </c>
      <c r="Q237" s="244" t="e">
        <f ca="1">IF(AND(INDEX(FlowCalConstA,MATCH(N225,FlowCalNumber,0),1,1)*P237^INDEX(FlowCalConstB,MATCH(N225,FlowCalNumber,0),1,1)&gt;INDEX(FlowCalLowSetting,MATCH(N225,FlowCalNumber,0),1,1), (INDEX(FlowCalConstA,MATCH(N225,FlowCalNumber,0),1,1)*P237^INDEX(FlowCalConstB,MATCH(N225,FlowCalNumber,0),1,1)&lt;INDEX(FlowCalHighSetting,MATCH(N225,FlowCalNumber,0),1,1))),INDEX(FlowCalConstA,MATCH(N225,FlowCalNumber,0),1,1)*P237^INDEX(FlowCalConstB,MATCH(N225,FlowCalNumber,0),1,1)," ")</f>
        <v>#N/A</v>
      </c>
      <c r="R237" s="377"/>
      <c r="S237" s="242">
        <f t="shared" si="113"/>
        <v>0.5</v>
      </c>
      <c r="T237" s="241" t="e">
        <f t="shared" ca="1" si="114"/>
        <v>#VALUE!</v>
      </c>
      <c r="U237" s="243" t="e">
        <f ca="1">IF(AND(INDEX(FlowCalConstA,MATCH(R225,FlowCalNumber,0),1,1)*T237^INDEX(FlowCalConstB,MATCH(R225,FlowCalNumber,0),1,1)&gt;INDEX(FlowCalLowSetting,MATCH(R225,FlowCalNumber,0),1,1), (INDEX(FlowCalConstA,MATCH(R225,FlowCalNumber,0),1,1)*T237^INDEX(FlowCalConstB,MATCH(R225,FlowCalNumber,0),1,1)&lt;INDEX(FlowCalHighSetting,MATCH(R225,FlowCalNumber,0),1,1))),INDEX(FlowCalConstA,MATCH(R225,FlowCalNumber,0),1,1)*T237^INDEX(FlowCalConstB,MATCH(R225,FlowCalNumber,0),1,1)," ")</f>
        <v>#N/A</v>
      </c>
      <c r="V237" s="377"/>
      <c r="W237" s="242">
        <f t="shared" si="115"/>
        <v>0.5</v>
      </c>
      <c r="X237" s="241" t="e">
        <f t="shared" ca="1" si="116"/>
        <v>#VALUE!</v>
      </c>
      <c r="Y237" s="244" t="e">
        <f ca="1">IF(AND(INDEX(FlowCalConstA,MATCH(V225,FlowCalNumber,0),1,1)*X237^INDEX(FlowCalConstB,MATCH(V225,FlowCalNumber,0),1,1)&gt;INDEX(FlowCalLowSetting,MATCH(V225,FlowCalNumber,0),1,1), (INDEX(FlowCalConstA,MATCH(V225,FlowCalNumber,0),1,1)*X237^INDEX(FlowCalConstB,MATCH(V225,FlowCalNumber,0),1,1)&lt;INDEX(FlowCalHighSetting,MATCH(V225,FlowCalNumber,0),1,1))),INDEX(FlowCalConstA,MATCH(V225,FlowCalNumber,0),1,1)*X237^INDEX(FlowCalConstB,MATCH(V225,FlowCalNumber,0),1,1)," ")</f>
        <v>#N/A</v>
      </c>
    </row>
    <row r="238" spans="1:25" s="1215" customFormat="1">
      <c r="A238" s="1208"/>
      <c r="B238" s="1209"/>
      <c r="C238" s="1210"/>
      <c r="D238" s="1211">
        <f>'1% Wind'!$M$94</f>
        <v>1.8</v>
      </c>
      <c r="E238" s="1212"/>
      <c r="F238" s="1212"/>
      <c r="G238" s="1213">
        <f ca="1">IF(I225=1,$G237,MAX(G237/D237*D238,2))</f>
        <v>2</v>
      </c>
      <c r="H238" s="1214" t="e">
        <f t="shared" ca="1" si="108"/>
        <v>#VALUE!</v>
      </c>
      <c r="J238" s="1216"/>
      <c r="K238" s="1217">
        <f t="shared" si="109"/>
        <v>1</v>
      </c>
      <c r="L238" s="1218" t="e">
        <f t="shared" ca="1" si="110"/>
        <v>#VALUE!</v>
      </c>
      <c r="M238" s="1219" t="e">
        <f ca="1">IF(AND(INDEX(FlowCalConstA,MATCH(J225,FlowCalNumber,0),1,1)*L238^INDEX(FlowCalConstB,MATCH(J225,FlowCalNumber,0),1,1)&gt;INDEX(FlowCalLowSetting,MATCH(J225,FlowCalNumber,0),1,1), (INDEX(FlowCalConstA,MATCH(J225,FlowCalNumber,0),1,1)*L238^INDEX(FlowCalConstB,MATCH(J225,FlowCalNumber,0),1,1)&lt;INDEX(FlowCalHighSetting,MATCH(J225,FlowCalNumber,0),1,1))),INDEX(FlowCalConstA,MATCH(J225,FlowCalNumber,0),1,1)*L238^INDEX(FlowCalConstB,MATCH(J225,FlowCalNumber,0),1,1)," ")</f>
        <v>#N/A</v>
      </c>
      <c r="N238" s="1216"/>
      <c r="O238" s="1217">
        <f t="shared" si="111"/>
        <v>1</v>
      </c>
      <c r="P238" s="1218" t="e">
        <f t="shared" ca="1" si="112"/>
        <v>#VALUE!</v>
      </c>
      <c r="Q238" s="1220" t="e">
        <f ca="1">IF(AND(INDEX(FlowCalConstA,MATCH(N225,FlowCalNumber,0),1,1)*P238^INDEX(FlowCalConstB,MATCH(N225,FlowCalNumber,0),1,1)&gt;INDEX(FlowCalLowSetting,MATCH(N225,FlowCalNumber,0),1,1), (INDEX(FlowCalConstA,MATCH(N225,FlowCalNumber,0),1,1)*P238^INDEX(FlowCalConstB,MATCH(N225,FlowCalNumber,0),1,1)&lt;INDEX(FlowCalHighSetting,MATCH(N225,FlowCalNumber,0),1,1))),INDEX(FlowCalConstA,MATCH(N225,FlowCalNumber,0),1,1)*P238^INDEX(FlowCalConstB,MATCH(N225,FlowCalNumber,0),1,1)," ")</f>
        <v>#N/A</v>
      </c>
      <c r="R238" s="1216"/>
      <c r="S238" s="1217">
        <f t="shared" si="113"/>
        <v>0.5</v>
      </c>
      <c r="T238" s="1218" t="e">
        <f t="shared" ca="1" si="114"/>
        <v>#VALUE!</v>
      </c>
      <c r="U238" s="1219" t="e">
        <f ca="1">IF(AND(INDEX(FlowCalConstA,MATCH(R225,FlowCalNumber,0),1,1)*T238^INDEX(FlowCalConstB,MATCH(R225,FlowCalNumber,0),1,1)&gt;INDEX(FlowCalLowSetting,MATCH(R225,FlowCalNumber,0),1,1), (INDEX(FlowCalConstA,MATCH(R225,FlowCalNumber,0),1,1)*T238^INDEX(FlowCalConstB,MATCH(R225,FlowCalNumber,0),1,1)&lt;INDEX(FlowCalHighSetting,MATCH(R225,FlowCalNumber,0),1,1))),INDEX(FlowCalConstA,MATCH(R225,FlowCalNumber,0),1,1)*T238^INDEX(FlowCalConstB,MATCH(R225,FlowCalNumber,0),1,1)," ")</f>
        <v>#N/A</v>
      </c>
      <c r="V238" s="1216"/>
      <c r="W238" s="1217">
        <f t="shared" si="115"/>
        <v>0.5</v>
      </c>
      <c r="X238" s="1218" t="e">
        <f t="shared" ca="1" si="116"/>
        <v>#VALUE!</v>
      </c>
      <c r="Y238" s="1220" t="e">
        <f ca="1">IF(AND(INDEX(FlowCalConstA,MATCH(V225,FlowCalNumber,0),1,1)*X238^INDEX(FlowCalConstB,MATCH(V225,FlowCalNumber,0),1,1)&gt;INDEX(FlowCalLowSetting,MATCH(V225,FlowCalNumber,0),1,1), (INDEX(FlowCalConstA,MATCH(V225,FlowCalNumber,0),1,1)*X238^INDEX(FlowCalConstB,MATCH(V225,FlowCalNumber,0),1,1)&lt;INDEX(FlowCalHighSetting,MATCH(V225,FlowCalNumber,0),1,1))),INDEX(FlowCalConstA,MATCH(V225,FlowCalNumber,0),1,1)*X238^INDEX(FlowCalConstB,MATCH(V225,FlowCalNumber,0),1,1)," ")</f>
        <v>#N/A</v>
      </c>
    </row>
    <row r="239" spans="1:25">
      <c r="A239" s="412"/>
      <c r="B239" s="2"/>
      <c r="C239" s="235"/>
      <c r="D239" s="24">
        <f>'1% Wind'!$M$95</f>
        <v>1.3</v>
      </c>
      <c r="E239" s="90"/>
      <c r="F239" s="90"/>
      <c r="G239" s="79">
        <f ca="1">IF(I225=1,$G238,MAX(G238/D238*D239,2))</f>
        <v>2</v>
      </c>
      <c r="H239" s="121" t="e">
        <f t="shared" ca="1" si="108"/>
        <v>#VALUE!</v>
      </c>
      <c r="J239" s="377"/>
      <c r="K239" s="242">
        <f t="shared" si="109"/>
        <v>1</v>
      </c>
      <c r="L239" s="241" t="e">
        <f t="shared" ca="1" si="110"/>
        <v>#VALUE!</v>
      </c>
      <c r="M239" s="243" t="e">
        <f ca="1">IF(AND(INDEX(FlowCalConstA,MATCH(J225,FlowCalNumber,0),1,1)*L239^INDEX(FlowCalConstB,MATCH(J225,FlowCalNumber,0),1,1)&gt;INDEX(FlowCalLowSetting,MATCH(J225,FlowCalNumber,0),1,1), (INDEX(FlowCalConstA,MATCH(J225,FlowCalNumber,0),1,1)*L239^INDEX(FlowCalConstB,MATCH(J225,FlowCalNumber,0),1,1)&lt;INDEX(FlowCalHighSetting,MATCH(J225,FlowCalNumber,0),1,1))),INDEX(FlowCalConstA,MATCH(J225,FlowCalNumber,0),1,1)*L239^INDEX(FlowCalConstB,MATCH(J225,FlowCalNumber,0),1,1)," ")</f>
        <v>#N/A</v>
      </c>
      <c r="N239" s="377"/>
      <c r="O239" s="242">
        <f t="shared" si="111"/>
        <v>1</v>
      </c>
      <c r="P239" s="241" t="e">
        <f t="shared" ca="1" si="112"/>
        <v>#VALUE!</v>
      </c>
      <c r="Q239" s="244" t="e">
        <f ca="1">IF(AND(INDEX(FlowCalConstA,MATCH(N225,FlowCalNumber,0),1,1)*P239^INDEX(FlowCalConstB,MATCH(N225,FlowCalNumber,0),1,1)&gt;INDEX(FlowCalLowSetting,MATCH(N225,FlowCalNumber,0),1,1), (INDEX(FlowCalConstA,MATCH(N225,FlowCalNumber,0),1,1)*P239^INDEX(FlowCalConstB,MATCH(N225,FlowCalNumber,0),1,1)&lt;INDEX(FlowCalHighSetting,MATCH(N225,FlowCalNumber,0),1,1))),INDEX(FlowCalConstA,MATCH(N225,FlowCalNumber,0),1,1)*P239^INDEX(FlowCalConstB,MATCH(N225,FlowCalNumber,0),1,1)," ")</f>
        <v>#N/A</v>
      </c>
      <c r="R239" s="377"/>
      <c r="S239" s="242">
        <f t="shared" si="113"/>
        <v>0.5</v>
      </c>
      <c r="T239" s="241" t="e">
        <f t="shared" ca="1" si="114"/>
        <v>#VALUE!</v>
      </c>
      <c r="U239" s="243" t="e">
        <f ca="1">IF(AND(INDEX(FlowCalConstA,MATCH(R225,FlowCalNumber,0),1,1)*T239^INDEX(FlowCalConstB,MATCH(R225,FlowCalNumber,0),1,1)&gt;INDEX(FlowCalLowSetting,MATCH(R225,FlowCalNumber,0),1,1), (INDEX(FlowCalConstA,MATCH(R225,FlowCalNumber,0),1,1)*T239^INDEX(FlowCalConstB,MATCH(R225,FlowCalNumber,0),1,1)&lt;INDEX(FlowCalHighSetting,MATCH(R225,FlowCalNumber,0),1,1))),INDEX(FlowCalConstA,MATCH(R225,FlowCalNumber,0),1,1)*T239^INDEX(FlowCalConstB,MATCH(R225,FlowCalNumber,0),1,1)," ")</f>
        <v>#N/A</v>
      </c>
      <c r="V239" s="377"/>
      <c r="W239" s="242">
        <f t="shared" si="115"/>
        <v>0.5</v>
      </c>
      <c r="X239" s="241" t="e">
        <f t="shared" ca="1" si="116"/>
        <v>#VALUE!</v>
      </c>
      <c r="Y239" s="244" t="e">
        <f ca="1">IF(AND(INDEX(FlowCalConstA,MATCH(V225,FlowCalNumber,0),1,1)*X239^INDEX(FlowCalConstB,MATCH(V225,FlowCalNumber,0),1,1)&gt;INDEX(FlowCalLowSetting,MATCH(V225,FlowCalNumber,0),1,1), (INDEX(FlowCalConstA,MATCH(V225,FlowCalNumber,0),1,1)*X239^INDEX(FlowCalConstB,MATCH(V225,FlowCalNumber,0),1,1)&lt;INDEX(FlowCalHighSetting,MATCH(V225,FlowCalNumber,0),1,1))),INDEX(FlowCalConstA,MATCH(V225,FlowCalNumber,0),1,1)*X239^INDEX(FlowCalConstB,MATCH(V225,FlowCalNumber,0),1,1)," ")</f>
        <v>#N/A</v>
      </c>
    </row>
    <row r="240" spans="1:25" s="1215" customFormat="1">
      <c r="A240" s="1208"/>
      <c r="B240" s="1209"/>
      <c r="C240" s="1210"/>
      <c r="D240" s="1211">
        <f>'1% Wind'!$M$96</f>
        <v>1</v>
      </c>
      <c r="E240" s="1212"/>
      <c r="F240" s="1212"/>
      <c r="G240" s="1213">
        <f ca="1">IF(I225=1,$G239,MAX(G239/D239*D240,2))</f>
        <v>2</v>
      </c>
      <c r="H240" s="1214" t="e">
        <f t="shared" ca="1" si="108"/>
        <v>#VALUE!</v>
      </c>
      <c r="J240" s="1216"/>
      <c r="K240" s="1217">
        <f t="shared" si="109"/>
        <v>1</v>
      </c>
      <c r="L240" s="1218" t="e">
        <f t="shared" ca="1" si="110"/>
        <v>#VALUE!</v>
      </c>
      <c r="M240" s="1219" t="e">
        <f ca="1">IF(AND(INDEX(FlowCalConstA,MATCH(J225,FlowCalNumber,0),1,1)*L240^INDEX(FlowCalConstB,MATCH(J225,FlowCalNumber,0),1,1)&gt;INDEX(FlowCalLowSetting,MATCH(J225,FlowCalNumber,0),1,1), (INDEX(FlowCalConstA,MATCH(J225,FlowCalNumber,0),1,1)*L240^INDEX(FlowCalConstB,MATCH(J225,FlowCalNumber,0),1,1)&lt;INDEX(FlowCalHighSetting,MATCH(J225,FlowCalNumber,0),1,1))),INDEX(FlowCalConstA,MATCH(J225,FlowCalNumber,0),1,1)*L240^INDEX(FlowCalConstB,MATCH(J225,FlowCalNumber,0),1,1)," ")</f>
        <v>#N/A</v>
      </c>
      <c r="N240" s="1216"/>
      <c r="O240" s="1217">
        <f t="shared" si="111"/>
        <v>1</v>
      </c>
      <c r="P240" s="1218" t="e">
        <f t="shared" ca="1" si="112"/>
        <v>#VALUE!</v>
      </c>
      <c r="Q240" s="1220" t="e">
        <f ca="1">IF(AND(INDEX(FlowCalConstA,MATCH(N225,FlowCalNumber,0),1,1)*P240^INDEX(FlowCalConstB,MATCH(N225,FlowCalNumber,0),1,1)&gt;INDEX(FlowCalLowSetting,MATCH(N225,FlowCalNumber,0),1,1), (INDEX(FlowCalConstA,MATCH(N225,FlowCalNumber,0),1,1)*P240^INDEX(FlowCalConstB,MATCH(N225,FlowCalNumber,0),1,1)&lt;INDEX(FlowCalHighSetting,MATCH(N225,FlowCalNumber,0),1,1))),INDEX(FlowCalConstA,MATCH(N225,FlowCalNumber,0),1,1)*P240^INDEX(FlowCalConstB,MATCH(N225,FlowCalNumber,0),1,1)," ")</f>
        <v>#N/A</v>
      </c>
      <c r="R240" s="1216"/>
      <c r="S240" s="1217">
        <f t="shared" si="113"/>
        <v>0.5</v>
      </c>
      <c r="T240" s="1218" t="e">
        <f t="shared" ca="1" si="114"/>
        <v>#VALUE!</v>
      </c>
      <c r="U240" s="1219" t="e">
        <f ca="1">IF(AND(INDEX(FlowCalConstA,MATCH(R225,FlowCalNumber,0),1,1)*T240^INDEX(FlowCalConstB,MATCH(R225,FlowCalNumber,0),1,1)&gt;INDEX(FlowCalLowSetting,MATCH(R225,FlowCalNumber,0),1,1), (INDEX(FlowCalConstA,MATCH(R225,FlowCalNumber,0),1,1)*T240^INDEX(FlowCalConstB,MATCH(R225,FlowCalNumber,0),1,1)&lt;INDEX(FlowCalHighSetting,MATCH(R225,FlowCalNumber,0),1,1))),INDEX(FlowCalConstA,MATCH(R225,FlowCalNumber,0),1,1)*T240^INDEX(FlowCalConstB,MATCH(R225,FlowCalNumber,0),1,1)," ")</f>
        <v>#N/A</v>
      </c>
      <c r="V240" s="1216"/>
      <c r="W240" s="1217">
        <f t="shared" si="115"/>
        <v>0.5</v>
      </c>
      <c r="X240" s="1218" t="e">
        <f t="shared" ca="1" si="116"/>
        <v>#VALUE!</v>
      </c>
      <c r="Y240" s="1220" t="e">
        <f ca="1">IF(AND(INDEX(FlowCalConstA,MATCH(V225,FlowCalNumber,0),1,1)*X240^INDEX(FlowCalConstB,MATCH(V225,FlowCalNumber,0),1,1)&gt;INDEX(FlowCalLowSetting,MATCH(V225,FlowCalNumber,0),1,1), (INDEX(FlowCalConstA,MATCH(V225,FlowCalNumber,0),1,1)*X240^INDEX(FlowCalConstB,MATCH(V225,FlowCalNumber,0),1,1)&lt;INDEX(FlowCalHighSetting,MATCH(V225,FlowCalNumber,0),1,1))),INDEX(FlowCalConstA,MATCH(V225,FlowCalNumber,0),1,1)*X240^INDEX(FlowCalConstB,MATCH(V225,FlowCalNumber,0),1,1)," ")</f>
        <v>#N/A</v>
      </c>
    </row>
    <row r="241" spans="1:25">
      <c r="A241" s="90"/>
      <c r="C241" s="235"/>
      <c r="E241" s="90"/>
      <c r="F241" s="90"/>
      <c r="G241" s="33"/>
      <c r="J241" s="377"/>
      <c r="M241" s="243"/>
      <c r="N241" s="377"/>
      <c r="Q241" s="244"/>
      <c r="R241" s="377"/>
      <c r="U241" s="243"/>
      <c r="V241" s="377"/>
      <c r="Y241" s="244"/>
    </row>
    <row r="242" spans="1:25">
      <c r="A242" s="639">
        <f>A225+1</f>
        <v>4</v>
      </c>
      <c r="B242" s="42" t="e">
        <f>INDEX(SourceID,MATCH($A242,SourceNumber,0),1,1)</f>
        <v>#N/A</v>
      </c>
      <c r="C242" s="354" t="e">
        <f>INDEX(SourceExitDiameter,MATCH($A242,SourceNumber,0),1,1)*3.28*12</f>
        <v>#N/A</v>
      </c>
      <c r="D242" s="24" t="str">
        <f>UAnem1percent</f>
        <v>1% Wind</v>
      </c>
      <c r="E242" s="85" t="e">
        <f ca="1">INDIRECT(ADDRESS(53,6,1,,$A242))</f>
        <v>#N/A</v>
      </c>
      <c r="F242" s="626" t="e">
        <f ca="1">(ROUND((INDIRECT(ADDRESS(15,7,1,,$A242))*3.28*12*32),0)&amp;"/32")</f>
        <v>#N/A</v>
      </c>
      <c r="G242" s="125" t="e">
        <f ca="1">INDIRECT(ADDRESS(29,7,1,,$A242))</f>
        <v>#N/A</v>
      </c>
      <c r="H242" s="24" t="e">
        <f ca="1">INDIRECT(ADDRESS(19,7,1,,$A242))*100^3</f>
        <v>#N/A</v>
      </c>
      <c r="I242" s="24" t="e">
        <f ca="1">INDIRECT(ADDRESS(53,7,1,,$A242))</f>
        <v>#N/A</v>
      </c>
      <c r="J242" s="20" t="str">
        <f>K$15&amp;$H$6&amp;J$6</f>
        <v>100AirPick a Tunnel</v>
      </c>
      <c r="K242" t="e">
        <f>INDEX(FlowCalGasMixture,MATCH(J242,FlowCalNumber,0),1,1)</f>
        <v>#N/A</v>
      </c>
      <c r="M242" s="355" t="e">
        <f>INDEX(FlowCalDevice,MATCH(J242,FlowCalNumber,0),1,1)</f>
        <v>#N/A</v>
      </c>
      <c r="N242" s="20" t="str">
        <f>O$15&amp;$H$6&amp;N$6</f>
        <v>100AirPick a Tunnel</v>
      </c>
      <c r="O242" t="e">
        <f>INDEX(FlowCalGasMixture,MATCH(N242,FlowCalNumber,0),1,1)</f>
        <v>#N/A</v>
      </c>
      <c r="Q242" s="355" t="e">
        <f>INDEX(FlowCalDevice,MATCH(N242,FlowCalNumber,0),1,1)</f>
        <v>#N/A</v>
      </c>
      <c r="R242" s="20" t="str">
        <f>S$15&amp;$H$6&amp;R$6</f>
        <v>100AirPick a Tunnel</v>
      </c>
      <c r="S242" t="e">
        <f>INDEX(FlowCalGasMixture,MATCH(R242,FlowCalNumber,0),1,1)</f>
        <v>#N/A</v>
      </c>
      <c r="U242" s="944" t="e">
        <f>INDEX(FlowCalDevice,MATCH(R242,FlowCalNumber,0),1,1)</f>
        <v>#N/A</v>
      </c>
      <c r="V242" s="946" t="str">
        <f>W$15&amp;$H$6&amp;V$6</f>
        <v>100AirPick a Tunnel</v>
      </c>
      <c r="W242" t="e">
        <f>INDEX(FlowCalGasMixture,MATCH(V242,FlowCalNumber,0),1,1)</f>
        <v>#N/A</v>
      </c>
      <c r="Y242" s="982" t="e">
        <f>INDEX(FlowCalDevice,MATCH(V242,FlowCalNumber,0),1,1)</f>
        <v>#N/A</v>
      </c>
    </row>
    <row r="243" spans="1:25" s="1215" customFormat="1">
      <c r="A243" s="1208"/>
      <c r="B243" s="1209"/>
      <c r="C243" s="1210"/>
      <c r="D243" s="1211">
        <f>'1% Wind'!$M$82</f>
        <v>27</v>
      </c>
      <c r="E243" s="1212"/>
      <c r="F243" s="1212"/>
      <c r="G243" s="1213">
        <v>2</v>
      </c>
      <c r="H243" s="1214" t="e">
        <f t="shared" ref="H243:H257" ca="1" si="117">H242*(D242/D243)*(G243/G242)</f>
        <v>#N/A</v>
      </c>
      <c r="J243" s="1216"/>
      <c r="K243" s="1221">
        <f>K$16/100</f>
        <v>1</v>
      </c>
      <c r="L243" s="1218" t="e">
        <f ca="1">K243*$H243</f>
        <v>#N/A</v>
      </c>
      <c r="M243" s="1219" t="e">
        <f ca="1">IF(AND(INDEX(FlowCalConstA,MATCH(J242,FlowCalNumber,0),1,1)*L243^INDEX(FlowCalConstB,MATCH(J242,FlowCalNumber,0),1,1)&gt;INDEX(FlowCalLowSetting,MATCH(J242,FlowCalNumber,0),1,1), (INDEX(FlowCalConstA,MATCH(J242,FlowCalNumber,0),1,1)*L243^INDEX(FlowCalConstB,MATCH(J242,FlowCalNumber,0),1,1)&lt;INDEX(FlowCalHighSetting,MATCH(J242,FlowCalNumber,0),1,1))),INDEX(FlowCalConstA,MATCH(J242,FlowCalNumber,0),1,1)*L243^INDEX(FlowCalConstB,MATCH(J242,FlowCalNumber,0),1,1)," ")</f>
        <v>#N/A</v>
      </c>
      <c r="N243" s="1216"/>
      <c r="O243" s="1221">
        <f>O$16/100</f>
        <v>1</v>
      </c>
      <c r="P243" s="1218" t="e">
        <f ca="1">O243*$H243</f>
        <v>#N/A</v>
      </c>
      <c r="Q243" s="1220" t="e">
        <f ca="1">IF(AND(INDEX(FlowCalConstA,MATCH(N242,FlowCalNumber,0),1,1)*P243^INDEX(FlowCalConstB,MATCH(N242,FlowCalNumber,0),1,1)&gt;INDEX(FlowCalLowSetting,MATCH(N242,FlowCalNumber,0),1,1), (INDEX(FlowCalConstA,MATCH(N242,FlowCalNumber,0),1,1)*P243^INDEX(FlowCalConstB,MATCH(N242,FlowCalNumber,0),1,1)&lt;INDEX(FlowCalHighSetting,MATCH(N242,FlowCalNumber,0),1,1))),INDEX(FlowCalConstA,MATCH(N242,FlowCalNumber,0),1,1)*P243^INDEX(FlowCalConstB,MATCH(N242,FlowCalNumber,0),1,1)," ")</f>
        <v>#N/A</v>
      </c>
      <c r="R243" s="1216"/>
      <c r="S243" s="1221">
        <f>S$16/100</f>
        <v>0.5</v>
      </c>
      <c r="T243" s="1218" t="e">
        <f ca="1">S243*$H243</f>
        <v>#N/A</v>
      </c>
      <c r="U243" s="1219" t="e">
        <f ca="1">IF(AND(INDEX(FlowCalConstA,MATCH(R242,FlowCalNumber,0),1,1)*T243^INDEX(FlowCalConstB,MATCH(R242,FlowCalNumber,0),1,1)&gt;INDEX(FlowCalLowSetting,MATCH(R242,FlowCalNumber,0),1,1), (INDEX(FlowCalConstA,MATCH(R242,FlowCalNumber,0),1,1)*T243^INDEX(FlowCalConstB,MATCH(R242,FlowCalNumber,0),1,1)&lt;INDEX(FlowCalHighSetting,MATCH(R242,FlowCalNumber,0),1,1))),INDEX(FlowCalConstA,MATCH(R242,FlowCalNumber,0),1,1)*T243^INDEX(FlowCalConstB,MATCH(R242,FlowCalNumber,0),1,1)," ")</f>
        <v>#N/A</v>
      </c>
      <c r="V243" s="1216"/>
      <c r="W243" s="1221">
        <f>W$16/100</f>
        <v>0.5</v>
      </c>
      <c r="X243" s="1218" t="e">
        <f ca="1">W243*$H243</f>
        <v>#N/A</v>
      </c>
      <c r="Y243" s="1220" t="e">
        <f ca="1">IF(AND(INDEX(FlowCalConstA,MATCH(V242,FlowCalNumber,0),1,1)*X243^INDEX(FlowCalConstB,MATCH(V242,FlowCalNumber,0),1,1)&gt;INDEX(FlowCalLowSetting,MATCH(V242,FlowCalNumber,0),1,1), (INDEX(FlowCalConstA,MATCH(V242,FlowCalNumber,0),1,1)*X243^INDEX(FlowCalConstB,MATCH(V242,FlowCalNumber,0),1,1)&lt;INDEX(FlowCalHighSetting,MATCH(V242,FlowCalNumber,0),1,1))),INDEX(FlowCalConstA,MATCH(V242,FlowCalNumber,0),1,1)*X243^INDEX(FlowCalConstB,MATCH(V242,FlowCalNumber,0),1,1)," ")</f>
        <v>#N/A</v>
      </c>
    </row>
    <row r="244" spans="1:25">
      <c r="A244" s="412"/>
      <c r="B244" s="2"/>
      <c r="C244" s="235"/>
      <c r="D244" s="24">
        <f>'1% Wind'!$M$83</f>
        <v>23.5</v>
      </c>
      <c r="E244" s="90"/>
      <c r="F244" s="90"/>
      <c r="G244" s="79" t="e">
        <f ca="1">IF(I242=1,$G243,MAX(G243/D243*D244,2))</f>
        <v>#N/A</v>
      </c>
      <c r="H244" s="121" t="e">
        <f t="shared" ca="1" si="117"/>
        <v>#N/A</v>
      </c>
      <c r="J244" s="377"/>
      <c r="K244" s="242">
        <f t="shared" ref="K244:K257" si="118">K243</f>
        <v>1</v>
      </c>
      <c r="L244" s="241" t="e">
        <f t="shared" ref="L244:L257" ca="1" si="119">K244*$H244</f>
        <v>#N/A</v>
      </c>
      <c r="M244" s="243" t="e">
        <f ca="1">IF(AND(INDEX(FlowCalConstA,MATCH(J242,FlowCalNumber,0),1,1)*L244^INDEX(FlowCalConstB,MATCH(J242,FlowCalNumber,0),1,1)&gt;INDEX(FlowCalLowSetting,MATCH(J242,FlowCalNumber,0),1,1), (INDEX(FlowCalConstA,MATCH(J242,FlowCalNumber,0),1,1)*L244^INDEX(FlowCalConstB,MATCH(J242,FlowCalNumber,0),1,1)&lt;INDEX(FlowCalHighSetting,MATCH(J242,FlowCalNumber,0),1,1))),INDEX(FlowCalConstA,MATCH(J242,FlowCalNumber,0),1,1)*L244^INDEX(FlowCalConstB,MATCH(J242,FlowCalNumber,0),1,1)," ")</f>
        <v>#N/A</v>
      </c>
      <c r="N244" s="377"/>
      <c r="O244" s="242">
        <f t="shared" ref="O244:O257" si="120">O243</f>
        <v>1</v>
      </c>
      <c r="P244" s="241" t="e">
        <f t="shared" ref="P244:P257" ca="1" si="121">O244*$H244</f>
        <v>#N/A</v>
      </c>
      <c r="Q244" s="244" t="e">
        <f ca="1">IF(AND(INDEX(FlowCalConstA,MATCH(N242,FlowCalNumber,0),1,1)*P244^INDEX(FlowCalConstB,MATCH(N242,FlowCalNumber,0),1,1)&gt;INDEX(FlowCalLowSetting,MATCH(N242,FlowCalNumber,0),1,1), (INDEX(FlowCalConstA,MATCH(N242,FlowCalNumber,0),1,1)*P244^INDEX(FlowCalConstB,MATCH(N242,FlowCalNumber,0),1,1)&lt;INDEX(FlowCalHighSetting,MATCH(N242,FlowCalNumber,0),1,1))),INDEX(FlowCalConstA,MATCH(N242,FlowCalNumber,0),1,1)*P244^INDEX(FlowCalConstB,MATCH(N242,FlowCalNumber,0),1,1)," ")</f>
        <v>#N/A</v>
      </c>
      <c r="R244" s="377"/>
      <c r="S244" s="242">
        <f t="shared" ref="S244:S257" si="122">S243</f>
        <v>0.5</v>
      </c>
      <c r="T244" s="241" t="e">
        <f t="shared" ref="T244:T257" ca="1" si="123">S244*$H244</f>
        <v>#N/A</v>
      </c>
      <c r="U244" s="243" t="e">
        <f ca="1">IF(AND(INDEX(FlowCalConstA,MATCH(R242,FlowCalNumber,0),1,1)*T244^INDEX(FlowCalConstB,MATCH(R242,FlowCalNumber,0),1,1)&gt;INDEX(FlowCalLowSetting,MATCH(R242,FlowCalNumber,0),1,1), (INDEX(FlowCalConstA,MATCH(R242,FlowCalNumber,0),1,1)*T244^INDEX(FlowCalConstB,MATCH(R242,FlowCalNumber,0),1,1)&lt;INDEX(FlowCalHighSetting,MATCH(R242,FlowCalNumber,0),1,1))),INDEX(FlowCalConstA,MATCH(R242,FlowCalNumber,0),1,1)*T244^INDEX(FlowCalConstB,MATCH(R242,FlowCalNumber,0),1,1)," ")</f>
        <v>#N/A</v>
      </c>
      <c r="V244" s="377"/>
      <c r="W244" s="242">
        <f t="shared" ref="W244:W257" si="124">W243</f>
        <v>0.5</v>
      </c>
      <c r="X244" s="241" t="e">
        <f t="shared" ref="X244:X257" ca="1" si="125">W244*$H244</f>
        <v>#N/A</v>
      </c>
      <c r="Y244" s="244" t="e">
        <f ca="1">IF(AND(INDEX(FlowCalConstA,MATCH(V242,FlowCalNumber,0),1,1)*X244^INDEX(FlowCalConstB,MATCH(V242,FlowCalNumber,0),1,1)&gt;INDEX(FlowCalLowSetting,MATCH(V242,FlowCalNumber,0),1,1), (INDEX(FlowCalConstA,MATCH(V242,FlowCalNumber,0),1,1)*X244^INDEX(FlowCalConstB,MATCH(V242,FlowCalNumber,0),1,1)&lt;INDEX(FlowCalHighSetting,MATCH(V242,FlowCalNumber,0),1,1))),INDEX(FlowCalConstA,MATCH(V242,FlowCalNumber,0),1,1)*X244^INDEX(FlowCalConstB,MATCH(V242,FlowCalNumber,0),1,1)," ")</f>
        <v>#N/A</v>
      </c>
    </row>
    <row r="245" spans="1:25" s="1215" customFormat="1">
      <c r="A245" s="1208"/>
      <c r="B245" s="1209"/>
      <c r="C245" s="1210"/>
      <c r="D245" s="1211">
        <f>'1% Wind'!$M$84</f>
        <v>20.5</v>
      </c>
      <c r="E245" s="1212"/>
      <c r="F245" s="1212"/>
      <c r="G245" s="1213" t="e">
        <f ca="1">IF(I242=1,$G244,MAX(G244/D244*D245,2))</f>
        <v>#N/A</v>
      </c>
      <c r="H245" s="1214" t="e">
        <f t="shared" ca="1" si="117"/>
        <v>#N/A</v>
      </c>
      <c r="J245" s="1216"/>
      <c r="K245" s="1217">
        <f t="shared" si="118"/>
        <v>1</v>
      </c>
      <c r="L245" s="1218" t="e">
        <f t="shared" ca="1" si="119"/>
        <v>#N/A</v>
      </c>
      <c r="M245" s="1219" t="e">
        <f ca="1">IF(AND(INDEX(FlowCalConstA,MATCH(J242,FlowCalNumber,0),1,1)*L245^INDEX(FlowCalConstB,MATCH(J242,FlowCalNumber,0),1,1)&gt;INDEX(FlowCalLowSetting,MATCH(J242,FlowCalNumber,0),1,1), (INDEX(FlowCalConstA,MATCH(J242,FlowCalNumber,0),1,1)*L245^INDEX(FlowCalConstB,MATCH(J242,FlowCalNumber,0),1,1)&lt;INDEX(FlowCalHighSetting,MATCH(J242,FlowCalNumber,0),1,1))),INDEX(FlowCalConstA,MATCH(J242,FlowCalNumber,0),1,1)*L245^INDEX(FlowCalConstB,MATCH(J242,FlowCalNumber,0),1,1)," ")</f>
        <v>#N/A</v>
      </c>
      <c r="N245" s="1216"/>
      <c r="O245" s="1217">
        <f t="shared" si="120"/>
        <v>1</v>
      </c>
      <c r="P245" s="1218" t="e">
        <f t="shared" ca="1" si="121"/>
        <v>#N/A</v>
      </c>
      <c r="Q245" s="1220" t="e">
        <f ca="1">IF(AND(INDEX(FlowCalConstA,MATCH(N242,FlowCalNumber,0),1,1)*P245^INDEX(FlowCalConstB,MATCH(N242,FlowCalNumber,0),1,1)&gt;INDEX(FlowCalLowSetting,MATCH(N242,FlowCalNumber,0),1,1), (INDEX(FlowCalConstA,MATCH(N242,FlowCalNumber,0),1,1)*P245^INDEX(FlowCalConstB,MATCH(N242,FlowCalNumber,0),1,1)&lt;INDEX(FlowCalHighSetting,MATCH(N242,FlowCalNumber,0),1,1))),INDEX(FlowCalConstA,MATCH(N242,FlowCalNumber,0),1,1)*P245^INDEX(FlowCalConstB,MATCH(N242,FlowCalNumber,0),1,1)," ")</f>
        <v>#N/A</v>
      </c>
      <c r="R245" s="1216"/>
      <c r="S245" s="1217">
        <f t="shared" si="122"/>
        <v>0.5</v>
      </c>
      <c r="T245" s="1218" t="e">
        <f t="shared" ca="1" si="123"/>
        <v>#N/A</v>
      </c>
      <c r="U245" s="1219" t="e">
        <f ca="1">IF(AND(INDEX(FlowCalConstA,MATCH(R242,FlowCalNumber,0),1,1)*T245^INDEX(FlowCalConstB,MATCH(R242,FlowCalNumber,0),1,1)&gt;INDEX(FlowCalLowSetting,MATCH(R242,FlowCalNumber,0),1,1), (INDEX(FlowCalConstA,MATCH(R242,FlowCalNumber,0),1,1)*T245^INDEX(FlowCalConstB,MATCH(R242,FlowCalNumber,0),1,1)&lt;INDEX(FlowCalHighSetting,MATCH(R242,FlowCalNumber,0),1,1))),INDEX(FlowCalConstA,MATCH(R242,FlowCalNumber,0),1,1)*T245^INDEX(FlowCalConstB,MATCH(R242,FlowCalNumber,0),1,1)," ")</f>
        <v>#N/A</v>
      </c>
      <c r="V245" s="1216"/>
      <c r="W245" s="1217">
        <f t="shared" si="124"/>
        <v>0.5</v>
      </c>
      <c r="X245" s="1218" t="e">
        <f t="shared" ca="1" si="125"/>
        <v>#N/A</v>
      </c>
      <c r="Y245" s="1220" t="e">
        <f ca="1">IF(AND(INDEX(FlowCalConstA,MATCH(V242,FlowCalNumber,0),1,1)*X245^INDEX(FlowCalConstB,MATCH(V242,FlowCalNumber,0),1,1)&gt;INDEX(FlowCalLowSetting,MATCH(V242,FlowCalNumber,0),1,1), (INDEX(FlowCalConstA,MATCH(V242,FlowCalNumber,0),1,1)*X245^INDEX(FlowCalConstB,MATCH(V242,FlowCalNumber,0),1,1)&lt;INDEX(FlowCalHighSetting,MATCH(V242,FlowCalNumber,0),1,1))),INDEX(FlowCalConstA,MATCH(V242,FlowCalNumber,0),1,1)*X245^INDEX(FlowCalConstB,MATCH(V242,FlowCalNumber,0),1,1)," ")</f>
        <v>#N/A</v>
      </c>
    </row>
    <row r="246" spans="1:25">
      <c r="A246" s="412"/>
      <c r="B246" s="2"/>
      <c r="C246" s="235"/>
      <c r="D246" s="24">
        <f>'1% Wind'!$M$85</f>
        <v>17.8</v>
      </c>
      <c r="E246" s="90"/>
      <c r="F246" s="90"/>
      <c r="G246" s="79" t="e">
        <f ca="1">IF(I242=1,$G245,MAX(G245/D245*D246,2))</f>
        <v>#N/A</v>
      </c>
      <c r="H246" s="121" t="e">
        <f t="shared" ca="1" si="117"/>
        <v>#N/A</v>
      </c>
      <c r="J246" s="377"/>
      <c r="K246" s="242">
        <f t="shared" si="118"/>
        <v>1</v>
      </c>
      <c r="L246" s="241" t="e">
        <f t="shared" ca="1" si="119"/>
        <v>#N/A</v>
      </c>
      <c r="M246" s="243" t="e">
        <f ca="1">IF(AND(INDEX(FlowCalConstA,MATCH(J242,FlowCalNumber,0),1,1)*L246^INDEX(FlowCalConstB,MATCH(J242,FlowCalNumber,0),1,1)&gt;INDEX(FlowCalLowSetting,MATCH(J242,FlowCalNumber,0),1,1), (INDEX(FlowCalConstA,MATCH(J242,FlowCalNumber,0),1,1)*L246^INDEX(FlowCalConstB,MATCH(J242,FlowCalNumber,0),1,1)&lt;INDEX(FlowCalHighSetting,MATCH(J242,FlowCalNumber,0),1,1))),INDEX(FlowCalConstA,MATCH(J242,FlowCalNumber,0),1,1)*L246^INDEX(FlowCalConstB,MATCH(J242,FlowCalNumber,0),1,1)," ")</f>
        <v>#N/A</v>
      </c>
      <c r="N246" s="377"/>
      <c r="O246" s="242">
        <f t="shared" si="120"/>
        <v>1</v>
      </c>
      <c r="P246" s="241" t="e">
        <f t="shared" ca="1" si="121"/>
        <v>#N/A</v>
      </c>
      <c r="Q246" s="244" t="e">
        <f ca="1">IF(AND(INDEX(FlowCalConstA,MATCH(N242,FlowCalNumber,0),1,1)*P246^INDEX(FlowCalConstB,MATCH(N242,FlowCalNumber,0),1,1)&gt;INDEX(FlowCalLowSetting,MATCH(N242,FlowCalNumber,0),1,1), (INDEX(FlowCalConstA,MATCH(N242,FlowCalNumber,0),1,1)*P246^INDEX(FlowCalConstB,MATCH(N242,FlowCalNumber,0),1,1)&lt;INDEX(FlowCalHighSetting,MATCH(N242,FlowCalNumber,0),1,1))),INDEX(FlowCalConstA,MATCH(N242,FlowCalNumber,0),1,1)*P246^INDEX(FlowCalConstB,MATCH(N242,FlowCalNumber,0),1,1)," ")</f>
        <v>#N/A</v>
      </c>
      <c r="R246" s="377"/>
      <c r="S246" s="242">
        <f t="shared" si="122"/>
        <v>0.5</v>
      </c>
      <c r="T246" s="241" t="e">
        <f t="shared" ca="1" si="123"/>
        <v>#N/A</v>
      </c>
      <c r="U246" s="243" t="e">
        <f ca="1">IF(AND(INDEX(FlowCalConstA,MATCH(R242,FlowCalNumber,0),1,1)*T246^INDEX(FlowCalConstB,MATCH(R242,FlowCalNumber,0),1,1)&gt;INDEX(FlowCalLowSetting,MATCH(R242,FlowCalNumber,0),1,1), (INDEX(FlowCalConstA,MATCH(R242,FlowCalNumber,0),1,1)*T246^INDEX(FlowCalConstB,MATCH(R242,FlowCalNumber,0),1,1)&lt;INDEX(FlowCalHighSetting,MATCH(R242,FlowCalNumber,0),1,1))),INDEX(FlowCalConstA,MATCH(R242,FlowCalNumber,0),1,1)*T246^INDEX(FlowCalConstB,MATCH(R242,FlowCalNumber,0),1,1)," ")</f>
        <v>#N/A</v>
      </c>
      <c r="V246" s="377"/>
      <c r="W246" s="242">
        <f t="shared" si="124"/>
        <v>0.5</v>
      </c>
      <c r="X246" s="241" t="e">
        <f t="shared" ca="1" si="125"/>
        <v>#N/A</v>
      </c>
      <c r="Y246" s="244" t="e">
        <f ca="1">IF(AND(INDEX(FlowCalConstA,MATCH(V242,FlowCalNumber,0),1,1)*X246^INDEX(FlowCalConstB,MATCH(V242,FlowCalNumber,0),1,1)&gt;INDEX(FlowCalLowSetting,MATCH(V242,FlowCalNumber,0),1,1), (INDEX(FlowCalConstA,MATCH(V242,FlowCalNumber,0),1,1)*X246^INDEX(FlowCalConstB,MATCH(V242,FlowCalNumber,0),1,1)&lt;INDEX(FlowCalHighSetting,MATCH(V242,FlowCalNumber,0),1,1))),INDEX(FlowCalConstA,MATCH(V242,FlowCalNumber,0),1,1)*X246^INDEX(FlowCalConstB,MATCH(V242,FlowCalNumber,0),1,1)," ")</f>
        <v>#N/A</v>
      </c>
    </row>
    <row r="247" spans="1:25" s="1215" customFormat="1">
      <c r="A247" s="1208"/>
      <c r="B247" s="1209"/>
      <c r="C247" s="1210"/>
      <c r="D247" s="1211">
        <f>'1% Wind'!$M$86</f>
        <v>15.5</v>
      </c>
      <c r="E247" s="1212"/>
      <c r="F247" s="1212"/>
      <c r="G247" s="1213" t="e">
        <f ca="1">IF(I242=1,$G246,MAX(G246/D246*D247,2))</f>
        <v>#N/A</v>
      </c>
      <c r="H247" s="1214" t="e">
        <f t="shared" ca="1" si="117"/>
        <v>#N/A</v>
      </c>
      <c r="J247" s="1216"/>
      <c r="K247" s="1217">
        <f t="shared" si="118"/>
        <v>1</v>
      </c>
      <c r="L247" s="1218" t="e">
        <f t="shared" ca="1" si="119"/>
        <v>#N/A</v>
      </c>
      <c r="M247" s="1219" t="e">
        <f ca="1">IF(AND(INDEX(FlowCalConstA,MATCH(J242,FlowCalNumber,0),1,1)*L247^INDEX(FlowCalConstB,MATCH(J242,FlowCalNumber,0),1,1)&gt;INDEX(FlowCalLowSetting,MATCH(J242,FlowCalNumber,0),1,1), (INDEX(FlowCalConstA,MATCH(J242,FlowCalNumber,0),1,1)*L247^INDEX(FlowCalConstB,MATCH(J242,FlowCalNumber,0),1,1)&lt;INDEX(FlowCalHighSetting,MATCH(J242,FlowCalNumber,0),1,1))),INDEX(FlowCalConstA,MATCH(J242,FlowCalNumber,0),1,1)*L247^INDEX(FlowCalConstB,MATCH(J242,FlowCalNumber,0),1,1)," ")</f>
        <v>#N/A</v>
      </c>
      <c r="N247" s="1216"/>
      <c r="O247" s="1217">
        <f t="shared" si="120"/>
        <v>1</v>
      </c>
      <c r="P247" s="1218" t="e">
        <f t="shared" ca="1" si="121"/>
        <v>#N/A</v>
      </c>
      <c r="Q247" s="1220" t="e">
        <f ca="1">IF(AND(INDEX(FlowCalConstA,MATCH(N242,FlowCalNumber,0),1,1)*P247^INDEX(FlowCalConstB,MATCH(N242,FlowCalNumber,0),1,1)&gt;INDEX(FlowCalLowSetting,MATCH(N242,FlowCalNumber,0),1,1), (INDEX(FlowCalConstA,MATCH(N242,FlowCalNumber,0),1,1)*P247^INDEX(FlowCalConstB,MATCH(N242,FlowCalNumber,0),1,1)&lt;INDEX(FlowCalHighSetting,MATCH(N242,FlowCalNumber,0),1,1))),INDEX(FlowCalConstA,MATCH(N242,FlowCalNumber,0),1,1)*P247^INDEX(FlowCalConstB,MATCH(N242,FlowCalNumber,0),1,1)," ")</f>
        <v>#N/A</v>
      </c>
      <c r="R247" s="1216"/>
      <c r="S247" s="1217">
        <f t="shared" si="122"/>
        <v>0.5</v>
      </c>
      <c r="T247" s="1218" t="e">
        <f t="shared" ca="1" si="123"/>
        <v>#N/A</v>
      </c>
      <c r="U247" s="1219" t="e">
        <f ca="1">IF(AND(INDEX(FlowCalConstA,MATCH(R242,FlowCalNumber,0),1,1)*T247^INDEX(FlowCalConstB,MATCH(R242,FlowCalNumber,0),1,1)&gt;INDEX(FlowCalLowSetting,MATCH(R242,FlowCalNumber,0),1,1), (INDEX(FlowCalConstA,MATCH(R242,FlowCalNumber,0),1,1)*T247^INDEX(FlowCalConstB,MATCH(R242,FlowCalNumber,0),1,1)&lt;INDEX(FlowCalHighSetting,MATCH(R242,FlowCalNumber,0),1,1))),INDEX(FlowCalConstA,MATCH(R242,FlowCalNumber,0),1,1)*T247^INDEX(FlowCalConstB,MATCH(R242,FlowCalNumber,0),1,1)," ")</f>
        <v>#N/A</v>
      </c>
      <c r="V247" s="1216"/>
      <c r="W247" s="1217">
        <f t="shared" si="124"/>
        <v>0.5</v>
      </c>
      <c r="X247" s="1218" t="e">
        <f t="shared" ca="1" si="125"/>
        <v>#N/A</v>
      </c>
      <c r="Y247" s="1220" t="e">
        <f ca="1">IF(AND(INDEX(FlowCalConstA,MATCH(V242,FlowCalNumber,0),1,1)*X247^INDEX(FlowCalConstB,MATCH(V242,FlowCalNumber,0),1,1)&gt;INDEX(FlowCalLowSetting,MATCH(V242,FlowCalNumber,0),1,1), (INDEX(FlowCalConstA,MATCH(V242,FlowCalNumber,0),1,1)*X247^INDEX(FlowCalConstB,MATCH(V242,FlowCalNumber,0),1,1)&lt;INDEX(FlowCalHighSetting,MATCH(V242,FlowCalNumber,0),1,1))),INDEX(FlowCalConstA,MATCH(V242,FlowCalNumber,0),1,1)*X247^INDEX(FlowCalConstB,MATCH(V242,FlowCalNumber,0),1,1)," ")</f>
        <v>#N/A</v>
      </c>
    </row>
    <row r="248" spans="1:25">
      <c r="A248" s="412"/>
      <c r="B248" s="2"/>
      <c r="C248" s="235"/>
      <c r="D248" s="24">
        <f>'1% Wind'!$M$87</f>
        <v>13.5</v>
      </c>
      <c r="E248" s="90"/>
      <c r="F248" s="90"/>
      <c r="G248" s="79" t="e">
        <f ca="1">IF(I242=1,$G247,MAX(G247/D247*D248,2))</f>
        <v>#N/A</v>
      </c>
      <c r="H248" s="121" t="e">
        <f t="shared" ca="1" si="117"/>
        <v>#N/A</v>
      </c>
      <c r="J248" s="377"/>
      <c r="K248" s="242">
        <f t="shared" si="118"/>
        <v>1</v>
      </c>
      <c r="L248" s="241" t="e">
        <f t="shared" ca="1" si="119"/>
        <v>#N/A</v>
      </c>
      <c r="M248" s="243" t="e">
        <f ca="1">IF(AND(INDEX(FlowCalConstA,MATCH(J242,FlowCalNumber,0),1,1)*L248^INDEX(FlowCalConstB,MATCH(J242,FlowCalNumber,0),1,1)&gt;INDEX(FlowCalLowSetting,MATCH(J242,FlowCalNumber,0),1,1), (INDEX(FlowCalConstA,MATCH(J242,FlowCalNumber,0),1,1)*L248^INDEX(FlowCalConstB,MATCH(J242,FlowCalNumber,0),1,1)&lt;INDEX(FlowCalHighSetting,MATCH(J242,FlowCalNumber,0),1,1))),INDEX(FlowCalConstA,MATCH(J242,FlowCalNumber,0),1,1)*L248^INDEX(FlowCalConstB,MATCH(J242,FlowCalNumber,0),1,1)," ")</f>
        <v>#N/A</v>
      </c>
      <c r="N248" s="377"/>
      <c r="O248" s="242">
        <f t="shared" si="120"/>
        <v>1</v>
      </c>
      <c r="P248" s="241" t="e">
        <f t="shared" ca="1" si="121"/>
        <v>#N/A</v>
      </c>
      <c r="Q248" s="244" t="e">
        <f ca="1">IF(AND(INDEX(FlowCalConstA,MATCH(N242,FlowCalNumber,0),1,1)*P248^INDEX(FlowCalConstB,MATCH(N242,FlowCalNumber,0),1,1)&gt;INDEX(FlowCalLowSetting,MATCH(N242,FlowCalNumber,0),1,1), (INDEX(FlowCalConstA,MATCH(N242,FlowCalNumber,0),1,1)*P248^INDEX(FlowCalConstB,MATCH(N242,FlowCalNumber,0),1,1)&lt;INDEX(FlowCalHighSetting,MATCH(N242,FlowCalNumber,0),1,1))),INDEX(FlowCalConstA,MATCH(N242,FlowCalNumber,0),1,1)*P248^INDEX(FlowCalConstB,MATCH(N242,FlowCalNumber,0),1,1)," ")</f>
        <v>#N/A</v>
      </c>
      <c r="R248" s="377"/>
      <c r="S248" s="242">
        <f t="shared" si="122"/>
        <v>0.5</v>
      </c>
      <c r="T248" s="241" t="e">
        <f t="shared" ca="1" si="123"/>
        <v>#N/A</v>
      </c>
      <c r="U248" s="243" t="e">
        <f ca="1">IF(AND(INDEX(FlowCalConstA,MATCH(R242,FlowCalNumber,0),1,1)*T248^INDEX(FlowCalConstB,MATCH(R242,FlowCalNumber,0),1,1)&gt;INDEX(FlowCalLowSetting,MATCH(R242,FlowCalNumber,0),1,1), (INDEX(FlowCalConstA,MATCH(R242,FlowCalNumber,0),1,1)*T248^INDEX(FlowCalConstB,MATCH(R242,FlowCalNumber,0),1,1)&lt;INDEX(FlowCalHighSetting,MATCH(R242,FlowCalNumber,0),1,1))),INDEX(FlowCalConstA,MATCH(R242,FlowCalNumber,0),1,1)*T248^INDEX(FlowCalConstB,MATCH(R242,FlowCalNumber,0),1,1)," ")</f>
        <v>#N/A</v>
      </c>
      <c r="V248" s="377"/>
      <c r="W248" s="242">
        <f t="shared" si="124"/>
        <v>0.5</v>
      </c>
      <c r="X248" s="241" t="e">
        <f t="shared" ca="1" si="125"/>
        <v>#N/A</v>
      </c>
      <c r="Y248" s="244" t="e">
        <f ca="1">IF(AND(INDEX(FlowCalConstA,MATCH(V242,FlowCalNumber,0),1,1)*X248^INDEX(FlowCalConstB,MATCH(V242,FlowCalNumber,0),1,1)&gt;INDEX(FlowCalLowSetting,MATCH(V242,FlowCalNumber,0),1,1), (INDEX(FlowCalConstA,MATCH(V242,FlowCalNumber,0),1,1)*X248^INDEX(FlowCalConstB,MATCH(V242,FlowCalNumber,0),1,1)&lt;INDEX(FlowCalHighSetting,MATCH(V242,FlowCalNumber,0),1,1))),INDEX(FlowCalConstA,MATCH(V242,FlowCalNumber,0),1,1)*X248^INDEX(FlowCalConstB,MATCH(V242,FlowCalNumber,0),1,1)," ")</f>
        <v>#N/A</v>
      </c>
    </row>
    <row r="249" spans="1:25" s="1215" customFormat="1">
      <c r="A249" s="1208"/>
      <c r="B249" s="1209"/>
      <c r="C249" s="1210"/>
      <c r="D249" s="1211">
        <f>'1% Wind'!$M$88</f>
        <v>10.1</v>
      </c>
      <c r="E249" s="1212"/>
      <c r="F249" s="1212"/>
      <c r="G249" s="1213" t="e">
        <f ca="1">IF(I242=1,$G248,MAX(G248/D248*D249,2))</f>
        <v>#N/A</v>
      </c>
      <c r="H249" s="1214" t="e">
        <f t="shared" ca="1" si="117"/>
        <v>#N/A</v>
      </c>
      <c r="J249" s="1216"/>
      <c r="K249" s="1217">
        <f t="shared" si="118"/>
        <v>1</v>
      </c>
      <c r="L249" s="1218" t="e">
        <f t="shared" ca="1" si="119"/>
        <v>#N/A</v>
      </c>
      <c r="M249" s="1219" t="e">
        <f ca="1">IF(AND(INDEX(FlowCalConstA,MATCH(J242,FlowCalNumber,0),1,1)*L249^INDEX(FlowCalConstB,MATCH(J242,FlowCalNumber,0),1,1)&gt;INDEX(FlowCalLowSetting,MATCH(J242,FlowCalNumber,0),1,1), (INDEX(FlowCalConstA,MATCH(J242,FlowCalNumber,0),1,1)*L249^INDEX(FlowCalConstB,MATCH(J242,FlowCalNumber,0),1,1)&lt;INDEX(FlowCalHighSetting,MATCH(J242,FlowCalNumber,0),1,1))),INDEX(FlowCalConstA,MATCH(J242,FlowCalNumber,0),1,1)*L249^INDEX(FlowCalConstB,MATCH(J242,FlowCalNumber,0),1,1)," ")</f>
        <v>#N/A</v>
      </c>
      <c r="N249" s="1216"/>
      <c r="O249" s="1217">
        <f t="shared" si="120"/>
        <v>1</v>
      </c>
      <c r="P249" s="1218" t="e">
        <f t="shared" ca="1" si="121"/>
        <v>#N/A</v>
      </c>
      <c r="Q249" s="1220" t="e">
        <f ca="1">IF(AND(INDEX(FlowCalConstA,MATCH(N242,FlowCalNumber,0),1,1)*P249^INDEX(FlowCalConstB,MATCH(N242,FlowCalNumber,0),1,1)&gt;INDEX(FlowCalLowSetting,MATCH(N242,FlowCalNumber,0),1,1), (INDEX(FlowCalConstA,MATCH(N242,FlowCalNumber,0),1,1)*P249^INDEX(FlowCalConstB,MATCH(N242,FlowCalNumber,0),1,1)&lt;INDEX(FlowCalHighSetting,MATCH(N242,FlowCalNumber,0),1,1))),INDEX(FlowCalConstA,MATCH(N242,FlowCalNumber,0),1,1)*P249^INDEX(FlowCalConstB,MATCH(N242,FlowCalNumber,0),1,1)," ")</f>
        <v>#N/A</v>
      </c>
      <c r="R249" s="1216"/>
      <c r="S249" s="1217">
        <f t="shared" si="122"/>
        <v>0.5</v>
      </c>
      <c r="T249" s="1218" t="e">
        <f t="shared" ca="1" si="123"/>
        <v>#N/A</v>
      </c>
      <c r="U249" s="1219" t="e">
        <f ca="1">IF(AND(INDEX(FlowCalConstA,MATCH(R242,FlowCalNumber,0),1,1)*T249^INDEX(FlowCalConstB,MATCH(R242,FlowCalNumber,0),1,1)&gt;INDEX(FlowCalLowSetting,MATCH(R242,FlowCalNumber,0),1,1), (INDEX(FlowCalConstA,MATCH(R242,FlowCalNumber,0),1,1)*T249^INDEX(FlowCalConstB,MATCH(R242,FlowCalNumber,0),1,1)&lt;INDEX(FlowCalHighSetting,MATCH(R242,FlowCalNumber,0),1,1))),INDEX(FlowCalConstA,MATCH(R242,FlowCalNumber,0),1,1)*T249^INDEX(FlowCalConstB,MATCH(R242,FlowCalNumber,0),1,1)," ")</f>
        <v>#N/A</v>
      </c>
      <c r="V249" s="1216"/>
      <c r="W249" s="1217">
        <f t="shared" si="124"/>
        <v>0.5</v>
      </c>
      <c r="X249" s="1218" t="e">
        <f t="shared" ca="1" si="125"/>
        <v>#N/A</v>
      </c>
      <c r="Y249" s="1220" t="e">
        <f ca="1">IF(AND(INDEX(FlowCalConstA,MATCH(V242,FlowCalNumber,0),1,1)*X249^INDEX(FlowCalConstB,MATCH(V242,FlowCalNumber,0),1,1)&gt;INDEX(FlowCalLowSetting,MATCH(V242,FlowCalNumber,0),1,1), (INDEX(FlowCalConstA,MATCH(V242,FlowCalNumber,0),1,1)*X249^INDEX(FlowCalConstB,MATCH(V242,FlowCalNumber,0),1,1)&lt;INDEX(FlowCalHighSetting,MATCH(V242,FlowCalNumber,0),1,1))),INDEX(FlowCalConstA,MATCH(V242,FlowCalNumber,0),1,1)*X249^INDEX(FlowCalConstB,MATCH(V242,FlowCalNumber,0),1,1)," ")</f>
        <v>#N/A</v>
      </c>
    </row>
    <row r="250" spans="1:25">
      <c r="A250" s="412"/>
      <c r="B250" s="2"/>
      <c r="C250" s="235"/>
      <c r="D250" s="24">
        <f>'1% Wind'!$M$89</f>
        <v>7.6</v>
      </c>
      <c r="E250" s="90"/>
      <c r="F250" s="90"/>
      <c r="G250" s="79" t="e">
        <f ca="1">IF(I242=1,$G249,MAX(G249/D249*D250,2))</f>
        <v>#N/A</v>
      </c>
      <c r="H250" s="121" t="e">
        <f t="shared" ca="1" si="117"/>
        <v>#N/A</v>
      </c>
      <c r="J250" s="377"/>
      <c r="K250" s="242">
        <f t="shared" si="118"/>
        <v>1</v>
      </c>
      <c r="L250" s="241" t="e">
        <f t="shared" ca="1" si="119"/>
        <v>#N/A</v>
      </c>
      <c r="M250" s="243" t="e">
        <f ca="1">IF(AND(INDEX(FlowCalConstA,MATCH(J242,FlowCalNumber,0),1,1)*L250^INDEX(FlowCalConstB,MATCH(J242,FlowCalNumber,0),1,1)&gt;INDEX(FlowCalLowSetting,MATCH(J242,FlowCalNumber,0),1,1), (INDEX(FlowCalConstA,MATCH(J242,FlowCalNumber,0),1,1)*L250^INDEX(FlowCalConstB,MATCH(J242,FlowCalNumber,0),1,1)&lt;INDEX(FlowCalHighSetting,MATCH(J242,FlowCalNumber,0),1,1))),INDEX(FlowCalConstA,MATCH(J242,FlowCalNumber,0),1,1)*L250^INDEX(FlowCalConstB,MATCH(J242,FlowCalNumber,0),1,1)," ")</f>
        <v>#N/A</v>
      </c>
      <c r="N250" s="377"/>
      <c r="O250" s="242">
        <f t="shared" si="120"/>
        <v>1</v>
      </c>
      <c r="P250" s="241" t="e">
        <f t="shared" ca="1" si="121"/>
        <v>#N/A</v>
      </c>
      <c r="Q250" s="244" t="e">
        <f ca="1">IF(AND(INDEX(FlowCalConstA,MATCH(N242,FlowCalNumber,0),1,1)*P250^INDEX(FlowCalConstB,MATCH(N242,FlowCalNumber,0),1,1)&gt;INDEX(FlowCalLowSetting,MATCH(N242,FlowCalNumber,0),1,1), (INDEX(FlowCalConstA,MATCH(N242,FlowCalNumber,0),1,1)*P250^INDEX(FlowCalConstB,MATCH(N242,FlowCalNumber,0),1,1)&lt;INDEX(FlowCalHighSetting,MATCH(N242,FlowCalNumber,0),1,1))),INDEX(FlowCalConstA,MATCH(N242,FlowCalNumber,0),1,1)*P250^INDEX(FlowCalConstB,MATCH(N242,FlowCalNumber,0),1,1)," ")</f>
        <v>#N/A</v>
      </c>
      <c r="R250" s="377"/>
      <c r="S250" s="242">
        <f t="shared" si="122"/>
        <v>0.5</v>
      </c>
      <c r="T250" s="241" t="e">
        <f t="shared" ca="1" si="123"/>
        <v>#N/A</v>
      </c>
      <c r="U250" s="243" t="e">
        <f ca="1">IF(AND(INDEX(FlowCalConstA,MATCH(R242,FlowCalNumber,0),1,1)*T250^INDEX(FlowCalConstB,MATCH(R242,FlowCalNumber,0),1,1)&gt;INDEX(FlowCalLowSetting,MATCH(R242,FlowCalNumber,0),1,1), (INDEX(FlowCalConstA,MATCH(R242,FlowCalNumber,0),1,1)*T250^INDEX(FlowCalConstB,MATCH(R242,FlowCalNumber,0),1,1)&lt;INDEX(FlowCalHighSetting,MATCH(R242,FlowCalNumber,0),1,1))),INDEX(FlowCalConstA,MATCH(R242,FlowCalNumber,0),1,1)*T250^INDEX(FlowCalConstB,MATCH(R242,FlowCalNumber,0),1,1)," ")</f>
        <v>#N/A</v>
      </c>
      <c r="V250" s="377"/>
      <c r="W250" s="242">
        <f t="shared" si="124"/>
        <v>0.5</v>
      </c>
      <c r="X250" s="241" t="e">
        <f t="shared" ca="1" si="125"/>
        <v>#N/A</v>
      </c>
      <c r="Y250" s="244" t="e">
        <f ca="1">IF(AND(INDEX(FlowCalConstA,MATCH(V242,FlowCalNumber,0),1,1)*X250^INDEX(FlowCalConstB,MATCH(V242,FlowCalNumber,0),1,1)&gt;INDEX(FlowCalLowSetting,MATCH(V242,FlowCalNumber,0),1,1), (INDEX(FlowCalConstA,MATCH(V242,FlowCalNumber,0),1,1)*X250^INDEX(FlowCalConstB,MATCH(V242,FlowCalNumber,0),1,1)&lt;INDEX(FlowCalHighSetting,MATCH(V242,FlowCalNumber,0),1,1))),INDEX(FlowCalConstA,MATCH(V242,FlowCalNumber,0),1,1)*X250^INDEX(FlowCalConstB,MATCH(V242,FlowCalNumber,0),1,1)," ")</f>
        <v>#N/A</v>
      </c>
    </row>
    <row r="251" spans="1:25" s="1215" customFormat="1">
      <c r="A251" s="1208"/>
      <c r="B251" s="1209"/>
      <c r="C251" s="1210"/>
      <c r="D251" s="1211">
        <f>'1% Wind'!$M$90</f>
        <v>5.7</v>
      </c>
      <c r="E251" s="1212"/>
      <c r="F251" s="1212"/>
      <c r="G251" s="1213" t="e">
        <f ca="1">IF(I242=1,$G250,MAX(G250/D250*D251,2))</f>
        <v>#N/A</v>
      </c>
      <c r="H251" s="1214" t="e">
        <f t="shared" ca="1" si="117"/>
        <v>#N/A</v>
      </c>
      <c r="J251" s="1216"/>
      <c r="K251" s="1217">
        <f t="shared" si="118"/>
        <v>1</v>
      </c>
      <c r="L251" s="1218" t="e">
        <f t="shared" ca="1" si="119"/>
        <v>#N/A</v>
      </c>
      <c r="M251" s="1219" t="e">
        <f ca="1">IF(AND(INDEX(FlowCalConstA,MATCH(J242,FlowCalNumber,0),1,1)*L251^INDEX(FlowCalConstB,MATCH(J242,FlowCalNumber,0),1,1)&gt;INDEX(FlowCalLowSetting,MATCH(J242,FlowCalNumber,0),1,1), (INDEX(FlowCalConstA,MATCH(J242,FlowCalNumber,0),1,1)*L251^INDEX(FlowCalConstB,MATCH(J242,FlowCalNumber,0),1,1)&lt;INDEX(FlowCalHighSetting,MATCH(J242,FlowCalNumber,0),1,1))),INDEX(FlowCalConstA,MATCH(J242,FlowCalNumber,0),1,1)*L251^INDEX(FlowCalConstB,MATCH(J242,FlowCalNumber,0),1,1)," ")</f>
        <v>#N/A</v>
      </c>
      <c r="N251" s="1216"/>
      <c r="O251" s="1217">
        <f t="shared" si="120"/>
        <v>1</v>
      </c>
      <c r="P251" s="1218" t="e">
        <f t="shared" ca="1" si="121"/>
        <v>#N/A</v>
      </c>
      <c r="Q251" s="1220" t="e">
        <f ca="1">IF(AND(INDEX(FlowCalConstA,MATCH(N242,FlowCalNumber,0),1,1)*P251^INDEX(FlowCalConstB,MATCH(N242,FlowCalNumber,0),1,1)&gt;INDEX(FlowCalLowSetting,MATCH(N242,FlowCalNumber,0),1,1), (INDEX(FlowCalConstA,MATCH(N242,FlowCalNumber,0),1,1)*P251^INDEX(FlowCalConstB,MATCH(N242,FlowCalNumber,0),1,1)&lt;INDEX(FlowCalHighSetting,MATCH(N242,FlowCalNumber,0),1,1))),INDEX(FlowCalConstA,MATCH(N242,FlowCalNumber,0),1,1)*P251^INDEX(FlowCalConstB,MATCH(N242,FlowCalNumber,0),1,1)," ")</f>
        <v>#N/A</v>
      </c>
      <c r="R251" s="1216"/>
      <c r="S251" s="1217">
        <f t="shared" si="122"/>
        <v>0.5</v>
      </c>
      <c r="T251" s="1218" t="e">
        <f t="shared" ca="1" si="123"/>
        <v>#N/A</v>
      </c>
      <c r="U251" s="1219" t="e">
        <f ca="1">IF(AND(INDEX(FlowCalConstA,MATCH(R242,FlowCalNumber,0),1,1)*T251^INDEX(FlowCalConstB,MATCH(R242,FlowCalNumber,0),1,1)&gt;INDEX(FlowCalLowSetting,MATCH(R242,FlowCalNumber,0),1,1), (INDEX(FlowCalConstA,MATCH(R242,FlowCalNumber,0),1,1)*T251^INDEX(FlowCalConstB,MATCH(R242,FlowCalNumber,0),1,1)&lt;INDEX(FlowCalHighSetting,MATCH(R242,FlowCalNumber,0),1,1))),INDEX(FlowCalConstA,MATCH(R242,FlowCalNumber,0),1,1)*T251^INDEX(FlowCalConstB,MATCH(R242,FlowCalNumber,0),1,1)," ")</f>
        <v>#N/A</v>
      </c>
      <c r="V251" s="1216"/>
      <c r="W251" s="1217">
        <f t="shared" si="124"/>
        <v>0.5</v>
      </c>
      <c r="X251" s="1218" t="e">
        <f t="shared" ca="1" si="125"/>
        <v>#N/A</v>
      </c>
      <c r="Y251" s="1220" t="e">
        <f ca="1">IF(AND(INDEX(FlowCalConstA,MATCH(V242,FlowCalNumber,0),1,1)*X251^INDEX(FlowCalConstB,MATCH(V242,FlowCalNumber,0),1,1)&gt;INDEX(FlowCalLowSetting,MATCH(V242,FlowCalNumber,0),1,1), (INDEX(FlowCalConstA,MATCH(V242,FlowCalNumber,0),1,1)*X251^INDEX(FlowCalConstB,MATCH(V242,FlowCalNumber,0),1,1)&lt;INDEX(FlowCalHighSetting,MATCH(V242,FlowCalNumber,0),1,1))),INDEX(FlowCalConstA,MATCH(V242,FlowCalNumber,0),1,1)*X251^INDEX(FlowCalConstB,MATCH(V242,FlowCalNumber,0),1,1)," ")</f>
        <v>#N/A</v>
      </c>
    </row>
    <row r="252" spans="1:25">
      <c r="A252" s="412"/>
      <c r="B252" s="2"/>
      <c r="C252" s="235"/>
      <c r="D252" s="24">
        <f>'1% Wind'!$M$91</f>
        <v>4.2</v>
      </c>
      <c r="E252" s="90"/>
      <c r="F252" s="90"/>
      <c r="G252" s="79" t="e">
        <f ca="1">IF(I242=1,$G251,MAX(G251/D251*D252,2))</f>
        <v>#N/A</v>
      </c>
      <c r="H252" s="121" t="e">
        <f t="shared" ca="1" si="117"/>
        <v>#N/A</v>
      </c>
      <c r="J252" s="377"/>
      <c r="K252" s="242">
        <f t="shared" si="118"/>
        <v>1</v>
      </c>
      <c r="L252" s="241" t="e">
        <f t="shared" ca="1" si="119"/>
        <v>#N/A</v>
      </c>
      <c r="M252" s="243" t="e">
        <f ca="1">IF(AND(INDEX(FlowCalConstA,MATCH(J242,FlowCalNumber,0),1,1)*L252^INDEX(FlowCalConstB,MATCH(J242,FlowCalNumber,0),1,1)&gt;INDEX(FlowCalLowSetting,MATCH(J242,FlowCalNumber,0),1,1), (INDEX(FlowCalConstA,MATCH(J242,FlowCalNumber,0),1,1)*L252^INDEX(FlowCalConstB,MATCH(J242,FlowCalNumber,0),1,1)&lt;INDEX(FlowCalHighSetting,MATCH(J242,FlowCalNumber,0),1,1))),INDEX(FlowCalConstA,MATCH(J242,FlowCalNumber,0),1,1)*L252^INDEX(FlowCalConstB,MATCH(J242,FlowCalNumber,0),1,1)," ")</f>
        <v>#N/A</v>
      </c>
      <c r="N252" s="377"/>
      <c r="O252" s="242">
        <f t="shared" si="120"/>
        <v>1</v>
      </c>
      <c r="P252" s="241" t="e">
        <f t="shared" ca="1" si="121"/>
        <v>#N/A</v>
      </c>
      <c r="Q252" s="244" t="e">
        <f ca="1">IF(AND(INDEX(FlowCalConstA,MATCH(N242,FlowCalNumber,0),1,1)*P252^INDEX(FlowCalConstB,MATCH(N242,FlowCalNumber,0),1,1)&gt;INDEX(FlowCalLowSetting,MATCH(N242,FlowCalNumber,0),1,1), (INDEX(FlowCalConstA,MATCH(N242,FlowCalNumber,0),1,1)*P252^INDEX(FlowCalConstB,MATCH(N242,FlowCalNumber,0),1,1)&lt;INDEX(FlowCalHighSetting,MATCH(N242,FlowCalNumber,0),1,1))),INDEX(FlowCalConstA,MATCH(N242,FlowCalNumber,0),1,1)*P252^INDEX(FlowCalConstB,MATCH(N242,FlowCalNumber,0),1,1)," ")</f>
        <v>#N/A</v>
      </c>
      <c r="R252" s="377"/>
      <c r="S252" s="242">
        <f t="shared" si="122"/>
        <v>0.5</v>
      </c>
      <c r="T252" s="241" t="e">
        <f t="shared" ca="1" si="123"/>
        <v>#N/A</v>
      </c>
      <c r="U252" s="243" t="e">
        <f ca="1">IF(AND(INDEX(FlowCalConstA,MATCH(R242,FlowCalNumber,0),1,1)*T252^INDEX(FlowCalConstB,MATCH(R242,FlowCalNumber,0),1,1)&gt;INDEX(FlowCalLowSetting,MATCH(R242,FlowCalNumber,0),1,1), (INDEX(FlowCalConstA,MATCH(R242,FlowCalNumber,0),1,1)*T252^INDEX(FlowCalConstB,MATCH(R242,FlowCalNumber,0),1,1)&lt;INDEX(FlowCalHighSetting,MATCH(R242,FlowCalNumber,0),1,1))),INDEX(FlowCalConstA,MATCH(R242,FlowCalNumber,0),1,1)*T252^INDEX(FlowCalConstB,MATCH(R242,FlowCalNumber,0),1,1)," ")</f>
        <v>#N/A</v>
      </c>
      <c r="V252" s="377"/>
      <c r="W252" s="242">
        <f t="shared" si="124"/>
        <v>0.5</v>
      </c>
      <c r="X252" s="241" t="e">
        <f t="shared" ca="1" si="125"/>
        <v>#N/A</v>
      </c>
      <c r="Y252" s="244" t="e">
        <f ca="1">IF(AND(INDEX(FlowCalConstA,MATCH(V242,FlowCalNumber,0),1,1)*X252^INDEX(FlowCalConstB,MATCH(V242,FlowCalNumber,0),1,1)&gt;INDEX(FlowCalLowSetting,MATCH(V242,FlowCalNumber,0),1,1), (INDEX(FlowCalConstA,MATCH(V242,FlowCalNumber,0),1,1)*X252^INDEX(FlowCalConstB,MATCH(V242,FlowCalNumber,0),1,1)&lt;INDEX(FlowCalHighSetting,MATCH(V242,FlowCalNumber,0),1,1))),INDEX(FlowCalConstA,MATCH(V242,FlowCalNumber,0),1,1)*X252^INDEX(FlowCalConstB,MATCH(V242,FlowCalNumber,0),1,1)," ")</f>
        <v>#N/A</v>
      </c>
    </row>
    <row r="253" spans="1:25" s="1215" customFormat="1">
      <c r="A253" s="1208"/>
      <c r="B253" s="1209"/>
      <c r="C253" s="1210"/>
      <c r="D253" s="1211">
        <f>'1% Wind'!$M$92</f>
        <v>3.2</v>
      </c>
      <c r="E253" s="1212"/>
      <c r="F253" s="1212"/>
      <c r="G253" s="1213" t="e">
        <f ca="1">IF(I242=1,$G252,MAX(G252/D252*D253,2))</f>
        <v>#N/A</v>
      </c>
      <c r="H253" s="1214" t="e">
        <f t="shared" ca="1" si="117"/>
        <v>#N/A</v>
      </c>
      <c r="J253" s="1216"/>
      <c r="K253" s="1217">
        <f t="shared" si="118"/>
        <v>1</v>
      </c>
      <c r="L253" s="1218" t="e">
        <f t="shared" ca="1" si="119"/>
        <v>#N/A</v>
      </c>
      <c r="M253" s="1219" t="e">
        <f ca="1">IF(AND(INDEX(FlowCalConstA,MATCH(J242,FlowCalNumber,0),1,1)*L253^INDEX(FlowCalConstB,MATCH(J242,FlowCalNumber,0),1,1)&gt;INDEX(FlowCalLowSetting,MATCH(J242,FlowCalNumber,0),1,1), (INDEX(FlowCalConstA,MATCH(J242,FlowCalNumber,0),1,1)*L253^INDEX(FlowCalConstB,MATCH(J242,FlowCalNumber,0),1,1)&lt;INDEX(FlowCalHighSetting,MATCH(J242,FlowCalNumber,0),1,1))),INDEX(FlowCalConstA,MATCH(J242,FlowCalNumber,0),1,1)*L253^INDEX(FlowCalConstB,MATCH(J242,FlowCalNumber,0),1,1)," ")</f>
        <v>#N/A</v>
      </c>
      <c r="N253" s="1216"/>
      <c r="O253" s="1217">
        <f t="shared" si="120"/>
        <v>1</v>
      </c>
      <c r="P253" s="1218" t="e">
        <f t="shared" ca="1" si="121"/>
        <v>#N/A</v>
      </c>
      <c r="Q253" s="1220" t="e">
        <f ca="1">IF(AND(INDEX(FlowCalConstA,MATCH(N242,FlowCalNumber,0),1,1)*P253^INDEX(FlowCalConstB,MATCH(N242,FlowCalNumber,0),1,1)&gt;INDEX(FlowCalLowSetting,MATCH(N242,FlowCalNumber,0),1,1), (INDEX(FlowCalConstA,MATCH(N242,FlowCalNumber,0),1,1)*P253^INDEX(FlowCalConstB,MATCH(N242,FlowCalNumber,0),1,1)&lt;INDEX(FlowCalHighSetting,MATCH(N242,FlowCalNumber,0),1,1))),INDEX(FlowCalConstA,MATCH(N242,FlowCalNumber,0),1,1)*P253^INDEX(FlowCalConstB,MATCH(N242,FlowCalNumber,0),1,1)," ")</f>
        <v>#N/A</v>
      </c>
      <c r="R253" s="1216"/>
      <c r="S253" s="1217">
        <f t="shared" si="122"/>
        <v>0.5</v>
      </c>
      <c r="T253" s="1218" t="e">
        <f t="shared" ca="1" si="123"/>
        <v>#N/A</v>
      </c>
      <c r="U253" s="1219" t="e">
        <f ca="1">IF(AND(INDEX(FlowCalConstA,MATCH(R242,FlowCalNumber,0),1,1)*T253^INDEX(FlowCalConstB,MATCH(R242,FlowCalNumber,0),1,1)&gt;INDEX(FlowCalLowSetting,MATCH(R242,FlowCalNumber,0),1,1), (INDEX(FlowCalConstA,MATCH(R242,FlowCalNumber,0),1,1)*T253^INDEX(FlowCalConstB,MATCH(R242,FlowCalNumber,0),1,1)&lt;INDEX(FlowCalHighSetting,MATCH(R242,FlowCalNumber,0),1,1))),INDEX(FlowCalConstA,MATCH(R242,FlowCalNumber,0),1,1)*T253^INDEX(FlowCalConstB,MATCH(R242,FlowCalNumber,0),1,1)," ")</f>
        <v>#N/A</v>
      </c>
      <c r="V253" s="1216"/>
      <c r="W253" s="1217">
        <f t="shared" si="124"/>
        <v>0.5</v>
      </c>
      <c r="X253" s="1218" t="e">
        <f t="shared" ca="1" si="125"/>
        <v>#N/A</v>
      </c>
      <c r="Y253" s="1220" t="e">
        <f ca="1">IF(AND(INDEX(FlowCalConstA,MATCH(V242,FlowCalNumber,0),1,1)*X253^INDEX(FlowCalConstB,MATCH(V242,FlowCalNumber,0),1,1)&gt;INDEX(FlowCalLowSetting,MATCH(V242,FlowCalNumber,0),1,1), (INDEX(FlowCalConstA,MATCH(V242,FlowCalNumber,0),1,1)*X253^INDEX(FlowCalConstB,MATCH(V242,FlowCalNumber,0),1,1)&lt;INDEX(FlowCalHighSetting,MATCH(V242,FlowCalNumber,0),1,1))),INDEX(FlowCalConstA,MATCH(V242,FlowCalNumber,0),1,1)*X253^INDEX(FlowCalConstB,MATCH(V242,FlowCalNumber,0),1,1)," ")</f>
        <v>#N/A</v>
      </c>
    </row>
    <row r="254" spans="1:25">
      <c r="A254" s="412"/>
      <c r="B254" s="2"/>
      <c r="C254" s="235"/>
      <c r="D254" s="24">
        <f>'1% Wind'!$M$93</f>
        <v>2.4</v>
      </c>
      <c r="E254" s="90"/>
      <c r="F254" s="90"/>
      <c r="G254" s="79" t="e">
        <f ca="1">IF(I242=1,$G253,MAX(G253/D253*D254,2))</f>
        <v>#N/A</v>
      </c>
      <c r="H254" s="121" t="e">
        <f t="shared" ca="1" si="117"/>
        <v>#N/A</v>
      </c>
      <c r="J254" s="377"/>
      <c r="K254" s="242">
        <f t="shared" si="118"/>
        <v>1</v>
      </c>
      <c r="L254" s="241" t="e">
        <f t="shared" ca="1" si="119"/>
        <v>#N/A</v>
      </c>
      <c r="M254" s="243" t="e">
        <f ca="1">IF(AND(INDEX(FlowCalConstA,MATCH(J242,FlowCalNumber,0),1,1)*L254^INDEX(FlowCalConstB,MATCH(J242,FlowCalNumber,0),1,1)&gt;INDEX(FlowCalLowSetting,MATCH(J242,FlowCalNumber,0),1,1), (INDEX(FlowCalConstA,MATCH(J242,FlowCalNumber,0),1,1)*L254^INDEX(FlowCalConstB,MATCH(J242,FlowCalNumber,0),1,1)&lt;INDEX(FlowCalHighSetting,MATCH(J242,FlowCalNumber,0),1,1))),INDEX(FlowCalConstA,MATCH(J242,FlowCalNumber,0),1,1)*L254^INDEX(FlowCalConstB,MATCH(J242,FlowCalNumber,0),1,1)," ")</f>
        <v>#N/A</v>
      </c>
      <c r="N254" s="377"/>
      <c r="O254" s="242">
        <f t="shared" si="120"/>
        <v>1</v>
      </c>
      <c r="P254" s="241" t="e">
        <f t="shared" ca="1" si="121"/>
        <v>#N/A</v>
      </c>
      <c r="Q254" s="244" t="e">
        <f ca="1">IF(AND(INDEX(FlowCalConstA,MATCH(N242,FlowCalNumber,0),1,1)*P254^INDEX(FlowCalConstB,MATCH(N242,FlowCalNumber,0),1,1)&gt;INDEX(FlowCalLowSetting,MATCH(N242,FlowCalNumber,0),1,1), (INDEX(FlowCalConstA,MATCH(N242,FlowCalNumber,0),1,1)*P254^INDEX(FlowCalConstB,MATCH(N242,FlowCalNumber,0),1,1)&lt;INDEX(FlowCalHighSetting,MATCH(N242,FlowCalNumber,0),1,1))),INDEX(FlowCalConstA,MATCH(N242,FlowCalNumber,0),1,1)*P254^INDEX(FlowCalConstB,MATCH(N242,FlowCalNumber,0),1,1)," ")</f>
        <v>#N/A</v>
      </c>
      <c r="R254" s="377"/>
      <c r="S254" s="242">
        <f t="shared" si="122"/>
        <v>0.5</v>
      </c>
      <c r="T254" s="241" t="e">
        <f t="shared" ca="1" si="123"/>
        <v>#N/A</v>
      </c>
      <c r="U254" s="243" t="e">
        <f ca="1">IF(AND(INDEX(FlowCalConstA,MATCH(R242,FlowCalNumber,0),1,1)*T254^INDEX(FlowCalConstB,MATCH(R242,FlowCalNumber,0),1,1)&gt;INDEX(FlowCalLowSetting,MATCH(R242,FlowCalNumber,0),1,1), (INDEX(FlowCalConstA,MATCH(R242,FlowCalNumber,0),1,1)*T254^INDEX(FlowCalConstB,MATCH(R242,FlowCalNumber,0),1,1)&lt;INDEX(FlowCalHighSetting,MATCH(R242,FlowCalNumber,0),1,1))),INDEX(FlowCalConstA,MATCH(R242,FlowCalNumber,0),1,1)*T254^INDEX(FlowCalConstB,MATCH(R242,FlowCalNumber,0),1,1)," ")</f>
        <v>#N/A</v>
      </c>
      <c r="V254" s="377"/>
      <c r="W254" s="242">
        <f t="shared" si="124"/>
        <v>0.5</v>
      </c>
      <c r="X254" s="241" t="e">
        <f t="shared" ca="1" si="125"/>
        <v>#N/A</v>
      </c>
      <c r="Y254" s="244" t="e">
        <f ca="1">IF(AND(INDEX(FlowCalConstA,MATCH(V242,FlowCalNumber,0),1,1)*X254^INDEX(FlowCalConstB,MATCH(V242,FlowCalNumber,0),1,1)&gt;INDEX(FlowCalLowSetting,MATCH(V242,FlowCalNumber,0),1,1), (INDEX(FlowCalConstA,MATCH(V242,FlowCalNumber,0),1,1)*X254^INDEX(FlowCalConstB,MATCH(V242,FlowCalNumber,0),1,1)&lt;INDEX(FlowCalHighSetting,MATCH(V242,FlowCalNumber,0),1,1))),INDEX(FlowCalConstA,MATCH(V242,FlowCalNumber,0),1,1)*X254^INDEX(FlowCalConstB,MATCH(V242,FlowCalNumber,0),1,1)," ")</f>
        <v>#N/A</v>
      </c>
    </row>
    <row r="255" spans="1:25" s="1215" customFormat="1">
      <c r="A255" s="1208"/>
      <c r="B255" s="1209"/>
      <c r="C255" s="1210"/>
      <c r="D255" s="1211">
        <f>'1% Wind'!$M$94</f>
        <v>1.8</v>
      </c>
      <c r="E255" s="1212"/>
      <c r="F255" s="1212"/>
      <c r="G255" s="1213" t="e">
        <f ca="1">IF(I242=1,$G254,MAX(G254/D254*D255,2))</f>
        <v>#N/A</v>
      </c>
      <c r="H255" s="1214" t="e">
        <f t="shared" ca="1" si="117"/>
        <v>#N/A</v>
      </c>
      <c r="J255" s="1216"/>
      <c r="K255" s="1217">
        <f t="shared" si="118"/>
        <v>1</v>
      </c>
      <c r="L255" s="1218" t="e">
        <f t="shared" ca="1" si="119"/>
        <v>#N/A</v>
      </c>
      <c r="M255" s="1219" t="e">
        <f ca="1">IF(AND(INDEX(FlowCalConstA,MATCH(J242,FlowCalNumber,0),1,1)*L255^INDEX(FlowCalConstB,MATCH(J242,FlowCalNumber,0),1,1)&gt;INDEX(FlowCalLowSetting,MATCH(J242,FlowCalNumber,0),1,1), (INDEX(FlowCalConstA,MATCH(J242,FlowCalNumber,0),1,1)*L255^INDEX(FlowCalConstB,MATCH(J242,FlowCalNumber,0),1,1)&lt;INDEX(FlowCalHighSetting,MATCH(J242,FlowCalNumber,0),1,1))),INDEX(FlowCalConstA,MATCH(J242,FlowCalNumber,0),1,1)*L255^INDEX(FlowCalConstB,MATCH(J242,FlowCalNumber,0),1,1)," ")</f>
        <v>#N/A</v>
      </c>
      <c r="N255" s="1216"/>
      <c r="O255" s="1217">
        <f t="shared" si="120"/>
        <v>1</v>
      </c>
      <c r="P255" s="1218" t="e">
        <f t="shared" ca="1" si="121"/>
        <v>#N/A</v>
      </c>
      <c r="Q255" s="1220" t="e">
        <f ca="1">IF(AND(INDEX(FlowCalConstA,MATCH(N242,FlowCalNumber,0),1,1)*P255^INDEX(FlowCalConstB,MATCH(N242,FlowCalNumber,0),1,1)&gt;INDEX(FlowCalLowSetting,MATCH(N242,FlowCalNumber,0),1,1), (INDEX(FlowCalConstA,MATCH(N242,FlowCalNumber,0),1,1)*P255^INDEX(FlowCalConstB,MATCH(N242,FlowCalNumber,0),1,1)&lt;INDEX(FlowCalHighSetting,MATCH(N242,FlowCalNumber,0),1,1))),INDEX(FlowCalConstA,MATCH(N242,FlowCalNumber,0),1,1)*P255^INDEX(FlowCalConstB,MATCH(N242,FlowCalNumber,0),1,1)," ")</f>
        <v>#N/A</v>
      </c>
      <c r="R255" s="1216"/>
      <c r="S255" s="1217">
        <f t="shared" si="122"/>
        <v>0.5</v>
      </c>
      <c r="T255" s="1218" t="e">
        <f t="shared" ca="1" si="123"/>
        <v>#N/A</v>
      </c>
      <c r="U255" s="1219" t="e">
        <f ca="1">IF(AND(INDEX(FlowCalConstA,MATCH(R242,FlowCalNumber,0),1,1)*T255^INDEX(FlowCalConstB,MATCH(R242,FlowCalNumber,0),1,1)&gt;INDEX(FlowCalLowSetting,MATCH(R242,FlowCalNumber,0),1,1), (INDEX(FlowCalConstA,MATCH(R242,FlowCalNumber,0),1,1)*T255^INDEX(FlowCalConstB,MATCH(R242,FlowCalNumber,0),1,1)&lt;INDEX(FlowCalHighSetting,MATCH(R242,FlowCalNumber,0),1,1))),INDEX(FlowCalConstA,MATCH(R242,FlowCalNumber,0),1,1)*T255^INDEX(FlowCalConstB,MATCH(R242,FlowCalNumber,0),1,1)," ")</f>
        <v>#N/A</v>
      </c>
      <c r="V255" s="1216"/>
      <c r="W255" s="1217">
        <f t="shared" si="124"/>
        <v>0.5</v>
      </c>
      <c r="X255" s="1218" t="e">
        <f t="shared" ca="1" si="125"/>
        <v>#N/A</v>
      </c>
      <c r="Y255" s="1220" t="e">
        <f ca="1">IF(AND(INDEX(FlowCalConstA,MATCH(V242,FlowCalNumber,0),1,1)*X255^INDEX(FlowCalConstB,MATCH(V242,FlowCalNumber,0),1,1)&gt;INDEX(FlowCalLowSetting,MATCH(V242,FlowCalNumber,0),1,1), (INDEX(FlowCalConstA,MATCH(V242,FlowCalNumber,0),1,1)*X255^INDEX(FlowCalConstB,MATCH(V242,FlowCalNumber,0),1,1)&lt;INDEX(FlowCalHighSetting,MATCH(V242,FlowCalNumber,0),1,1))),INDEX(FlowCalConstA,MATCH(V242,FlowCalNumber,0),1,1)*X255^INDEX(FlowCalConstB,MATCH(V242,FlowCalNumber,0),1,1)," ")</f>
        <v>#N/A</v>
      </c>
    </row>
    <row r="256" spans="1:25">
      <c r="A256" s="412"/>
      <c r="B256" s="2"/>
      <c r="C256" s="235"/>
      <c r="D256" s="24">
        <f>'1% Wind'!$M$95</f>
        <v>1.3</v>
      </c>
      <c r="E256" s="90"/>
      <c r="F256" s="90"/>
      <c r="G256" s="79" t="e">
        <f ca="1">IF(I242=1,$G255,MAX(G255/D255*D256,2))</f>
        <v>#N/A</v>
      </c>
      <c r="H256" s="121" t="e">
        <f t="shared" ca="1" si="117"/>
        <v>#N/A</v>
      </c>
      <c r="J256" s="377"/>
      <c r="K256" s="242">
        <f t="shared" si="118"/>
        <v>1</v>
      </c>
      <c r="L256" s="241" t="e">
        <f t="shared" ca="1" si="119"/>
        <v>#N/A</v>
      </c>
      <c r="M256" s="243" t="e">
        <f ca="1">IF(AND(INDEX(FlowCalConstA,MATCH(J242,FlowCalNumber,0),1,1)*L256^INDEX(FlowCalConstB,MATCH(J242,FlowCalNumber,0),1,1)&gt;INDEX(FlowCalLowSetting,MATCH(J242,FlowCalNumber,0),1,1), (INDEX(FlowCalConstA,MATCH(J242,FlowCalNumber,0),1,1)*L256^INDEX(FlowCalConstB,MATCH(J242,FlowCalNumber,0),1,1)&lt;INDEX(FlowCalHighSetting,MATCH(J242,FlowCalNumber,0),1,1))),INDEX(FlowCalConstA,MATCH(J242,FlowCalNumber,0),1,1)*L256^INDEX(FlowCalConstB,MATCH(J242,FlowCalNumber,0),1,1)," ")</f>
        <v>#N/A</v>
      </c>
      <c r="N256" s="377"/>
      <c r="O256" s="242">
        <f t="shared" si="120"/>
        <v>1</v>
      </c>
      <c r="P256" s="241" t="e">
        <f t="shared" ca="1" si="121"/>
        <v>#N/A</v>
      </c>
      <c r="Q256" s="244" t="e">
        <f ca="1">IF(AND(INDEX(FlowCalConstA,MATCH(N242,FlowCalNumber,0),1,1)*P256^INDEX(FlowCalConstB,MATCH(N242,FlowCalNumber,0),1,1)&gt;INDEX(FlowCalLowSetting,MATCH(N242,FlowCalNumber,0),1,1), (INDEX(FlowCalConstA,MATCH(N242,FlowCalNumber,0),1,1)*P256^INDEX(FlowCalConstB,MATCH(N242,FlowCalNumber,0),1,1)&lt;INDEX(FlowCalHighSetting,MATCH(N242,FlowCalNumber,0),1,1))),INDEX(FlowCalConstA,MATCH(N242,FlowCalNumber,0),1,1)*P256^INDEX(FlowCalConstB,MATCH(N242,FlowCalNumber,0),1,1)," ")</f>
        <v>#N/A</v>
      </c>
      <c r="R256" s="377"/>
      <c r="S256" s="242">
        <f t="shared" si="122"/>
        <v>0.5</v>
      </c>
      <c r="T256" s="241" t="e">
        <f t="shared" ca="1" si="123"/>
        <v>#N/A</v>
      </c>
      <c r="U256" s="243" t="e">
        <f ca="1">IF(AND(INDEX(FlowCalConstA,MATCH(R242,FlowCalNumber,0),1,1)*T256^INDEX(FlowCalConstB,MATCH(R242,FlowCalNumber,0),1,1)&gt;INDEX(FlowCalLowSetting,MATCH(R242,FlowCalNumber,0),1,1), (INDEX(FlowCalConstA,MATCH(R242,FlowCalNumber,0),1,1)*T256^INDEX(FlowCalConstB,MATCH(R242,FlowCalNumber,0),1,1)&lt;INDEX(FlowCalHighSetting,MATCH(R242,FlowCalNumber,0),1,1))),INDEX(FlowCalConstA,MATCH(R242,FlowCalNumber,0),1,1)*T256^INDEX(FlowCalConstB,MATCH(R242,FlowCalNumber,0),1,1)," ")</f>
        <v>#N/A</v>
      </c>
      <c r="V256" s="377"/>
      <c r="W256" s="242">
        <f t="shared" si="124"/>
        <v>0.5</v>
      </c>
      <c r="X256" s="241" t="e">
        <f t="shared" ca="1" si="125"/>
        <v>#N/A</v>
      </c>
      <c r="Y256" s="244" t="e">
        <f ca="1">IF(AND(INDEX(FlowCalConstA,MATCH(V242,FlowCalNumber,0),1,1)*X256^INDEX(FlowCalConstB,MATCH(V242,FlowCalNumber,0),1,1)&gt;INDEX(FlowCalLowSetting,MATCH(V242,FlowCalNumber,0),1,1), (INDEX(FlowCalConstA,MATCH(V242,FlowCalNumber,0),1,1)*X256^INDEX(FlowCalConstB,MATCH(V242,FlowCalNumber,0),1,1)&lt;INDEX(FlowCalHighSetting,MATCH(V242,FlowCalNumber,0),1,1))),INDEX(FlowCalConstA,MATCH(V242,FlowCalNumber,0),1,1)*X256^INDEX(FlowCalConstB,MATCH(V242,FlowCalNumber,0),1,1)," ")</f>
        <v>#N/A</v>
      </c>
    </row>
    <row r="257" spans="1:25" s="1215" customFormat="1">
      <c r="A257" s="1208"/>
      <c r="B257" s="1209"/>
      <c r="C257" s="1210"/>
      <c r="D257" s="1211">
        <f>'1% Wind'!$M$96</f>
        <v>1</v>
      </c>
      <c r="E257" s="1212"/>
      <c r="F257" s="1212"/>
      <c r="G257" s="1213" t="e">
        <f ca="1">IF(I242=1,$G256,MAX(G256/D256*D257,2))</f>
        <v>#N/A</v>
      </c>
      <c r="H257" s="1214" t="e">
        <f t="shared" ca="1" si="117"/>
        <v>#N/A</v>
      </c>
      <c r="J257" s="1216"/>
      <c r="K257" s="1217">
        <f t="shared" si="118"/>
        <v>1</v>
      </c>
      <c r="L257" s="1218" t="e">
        <f t="shared" ca="1" si="119"/>
        <v>#N/A</v>
      </c>
      <c r="M257" s="1219" t="e">
        <f ca="1">IF(AND(INDEX(FlowCalConstA,MATCH(J242,FlowCalNumber,0),1,1)*L257^INDEX(FlowCalConstB,MATCH(J242,FlowCalNumber,0),1,1)&gt;INDEX(FlowCalLowSetting,MATCH(J242,FlowCalNumber,0),1,1), (INDEX(FlowCalConstA,MATCH(J242,FlowCalNumber,0),1,1)*L257^INDEX(FlowCalConstB,MATCH(J242,FlowCalNumber,0),1,1)&lt;INDEX(FlowCalHighSetting,MATCH(J242,FlowCalNumber,0),1,1))),INDEX(FlowCalConstA,MATCH(J242,FlowCalNumber,0),1,1)*L257^INDEX(FlowCalConstB,MATCH(J242,FlowCalNumber,0),1,1)," ")</f>
        <v>#N/A</v>
      </c>
      <c r="N257" s="1216"/>
      <c r="O257" s="1217">
        <f t="shared" si="120"/>
        <v>1</v>
      </c>
      <c r="P257" s="1218" t="e">
        <f t="shared" ca="1" si="121"/>
        <v>#N/A</v>
      </c>
      <c r="Q257" s="1220" t="e">
        <f ca="1">IF(AND(INDEX(FlowCalConstA,MATCH(N242,FlowCalNumber,0),1,1)*P257^INDEX(FlowCalConstB,MATCH(N242,FlowCalNumber,0),1,1)&gt;INDEX(FlowCalLowSetting,MATCH(N242,FlowCalNumber,0),1,1), (INDEX(FlowCalConstA,MATCH(N242,FlowCalNumber,0),1,1)*P257^INDEX(FlowCalConstB,MATCH(N242,FlowCalNumber,0),1,1)&lt;INDEX(FlowCalHighSetting,MATCH(N242,FlowCalNumber,0),1,1))),INDEX(FlowCalConstA,MATCH(N242,FlowCalNumber,0),1,1)*P257^INDEX(FlowCalConstB,MATCH(N242,FlowCalNumber,0),1,1)," ")</f>
        <v>#N/A</v>
      </c>
      <c r="R257" s="1216"/>
      <c r="S257" s="1217">
        <f t="shared" si="122"/>
        <v>0.5</v>
      </c>
      <c r="T257" s="1218" t="e">
        <f t="shared" ca="1" si="123"/>
        <v>#N/A</v>
      </c>
      <c r="U257" s="1219" t="e">
        <f ca="1">IF(AND(INDEX(FlowCalConstA,MATCH(R242,FlowCalNumber,0),1,1)*T257^INDEX(FlowCalConstB,MATCH(R242,FlowCalNumber,0),1,1)&gt;INDEX(FlowCalLowSetting,MATCH(R242,FlowCalNumber,0),1,1), (INDEX(FlowCalConstA,MATCH(R242,FlowCalNumber,0),1,1)*T257^INDEX(FlowCalConstB,MATCH(R242,FlowCalNumber,0),1,1)&lt;INDEX(FlowCalHighSetting,MATCH(R242,FlowCalNumber,0),1,1))),INDEX(FlowCalConstA,MATCH(R242,FlowCalNumber,0),1,1)*T257^INDEX(FlowCalConstB,MATCH(R242,FlowCalNumber,0),1,1)," ")</f>
        <v>#N/A</v>
      </c>
      <c r="V257" s="1216"/>
      <c r="W257" s="1217">
        <f t="shared" si="124"/>
        <v>0.5</v>
      </c>
      <c r="X257" s="1218" t="e">
        <f t="shared" ca="1" si="125"/>
        <v>#N/A</v>
      </c>
      <c r="Y257" s="1220" t="e">
        <f ca="1">IF(AND(INDEX(FlowCalConstA,MATCH(V242,FlowCalNumber,0),1,1)*X257^INDEX(FlowCalConstB,MATCH(V242,FlowCalNumber,0),1,1)&gt;INDEX(FlowCalLowSetting,MATCH(V242,FlowCalNumber,0),1,1), (INDEX(FlowCalConstA,MATCH(V242,FlowCalNumber,0),1,1)*X257^INDEX(FlowCalConstB,MATCH(V242,FlowCalNumber,0),1,1)&lt;INDEX(FlowCalHighSetting,MATCH(V242,FlowCalNumber,0),1,1))),INDEX(FlowCalConstA,MATCH(V242,FlowCalNumber,0),1,1)*X257^INDEX(FlowCalConstB,MATCH(V242,FlowCalNumber,0),1,1)," ")</f>
        <v>#N/A</v>
      </c>
    </row>
    <row r="258" spans="1:25">
      <c r="A258" s="90"/>
      <c r="C258" s="235"/>
      <c r="E258" s="90"/>
      <c r="F258" s="90"/>
      <c r="G258" s="33"/>
      <c r="J258" s="377"/>
      <c r="M258" s="243"/>
      <c r="N258" s="377"/>
      <c r="Q258" s="244"/>
      <c r="R258" s="377"/>
      <c r="U258" s="243"/>
      <c r="V258" s="377"/>
      <c r="Y258" s="244"/>
    </row>
    <row r="259" spans="1:25">
      <c r="A259" s="639">
        <f>A242+1</f>
        <v>5</v>
      </c>
      <c r="B259" s="42" t="e">
        <f>INDEX(SourceID,MATCH($A259,SourceNumber,0),1,1)</f>
        <v>#N/A</v>
      </c>
      <c r="C259" s="354" t="e">
        <f>INDEX(SourceExitDiameter,MATCH($A259,SourceNumber,0),1,1)*3.28*12</f>
        <v>#N/A</v>
      </c>
      <c r="D259" s="24" t="str">
        <f>UAnem1percent</f>
        <v>1% Wind</v>
      </c>
      <c r="E259" s="85" t="e">
        <f ca="1">INDIRECT(ADDRESS(53,6,1,,$A259))</f>
        <v>#N/A</v>
      </c>
      <c r="F259" s="626" t="e">
        <f ca="1">(ROUND((INDIRECT(ADDRESS(15,7,1,,$A259))*3.28*12*32),0)&amp;"/32")</f>
        <v>#N/A</v>
      </c>
      <c r="G259" s="125" t="e">
        <f ca="1">INDIRECT(ADDRESS(29,7,1,,$A259))</f>
        <v>#N/A</v>
      </c>
      <c r="H259" s="24" t="e">
        <f ca="1">INDIRECT(ADDRESS(19,7,1,,$A259))*100^3</f>
        <v>#N/A</v>
      </c>
      <c r="I259" s="24" t="e">
        <f ca="1">INDIRECT(ADDRESS(53,7,1,,$A259))</f>
        <v>#N/A</v>
      </c>
      <c r="J259" s="20" t="str">
        <f>K$15&amp;$H$6&amp;J$6</f>
        <v>100AirPick a Tunnel</v>
      </c>
      <c r="K259" t="e">
        <f>INDEX(FlowCalGasMixture,MATCH(J259,FlowCalNumber,0),1,1)</f>
        <v>#N/A</v>
      </c>
      <c r="M259" s="355" t="e">
        <f>INDEX(FlowCalDevice,MATCH(J259,FlowCalNumber,0),1,1)</f>
        <v>#N/A</v>
      </c>
      <c r="N259" s="20" t="str">
        <f>O$15&amp;$H$6&amp;N$6</f>
        <v>100AirPick a Tunnel</v>
      </c>
      <c r="O259" t="e">
        <f>INDEX(FlowCalGasMixture,MATCH(N259,FlowCalNumber,0),1,1)</f>
        <v>#N/A</v>
      </c>
      <c r="Q259" s="355" t="e">
        <f>INDEX(FlowCalDevice,MATCH(N259,FlowCalNumber,0),1,1)</f>
        <v>#N/A</v>
      </c>
      <c r="R259" s="20" t="str">
        <f>S$15&amp;$H$6&amp;R$6</f>
        <v>100AirPick a Tunnel</v>
      </c>
      <c r="S259" t="e">
        <f>INDEX(FlowCalGasMixture,MATCH(R259,FlowCalNumber,0),1,1)</f>
        <v>#N/A</v>
      </c>
      <c r="U259" s="944" t="e">
        <f>INDEX(FlowCalDevice,MATCH(R259,FlowCalNumber,0),1,1)</f>
        <v>#N/A</v>
      </c>
      <c r="V259" s="946" t="str">
        <f>W$15&amp;$H$6&amp;V$6</f>
        <v>100AirPick a Tunnel</v>
      </c>
      <c r="W259" t="e">
        <f>INDEX(FlowCalGasMixture,MATCH(V259,FlowCalNumber,0),1,1)</f>
        <v>#N/A</v>
      </c>
      <c r="Y259" s="982" t="e">
        <f>INDEX(FlowCalDevice,MATCH(V259,FlowCalNumber,0),1,1)</f>
        <v>#N/A</v>
      </c>
    </row>
    <row r="260" spans="1:25" s="1215" customFormat="1">
      <c r="A260" s="1208"/>
      <c r="B260" s="1209"/>
      <c r="C260" s="1210"/>
      <c r="D260" s="1211">
        <f>'1% Wind'!$M$82</f>
        <v>27</v>
      </c>
      <c r="E260" s="1212"/>
      <c r="F260" s="1212"/>
      <c r="G260" s="1213">
        <v>2</v>
      </c>
      <c r="H260" s="1214" t="e">
        <f t="shared" ref="H260:H274" ca="1" si="126">H259*(D259/D260)*(G260/G259)</f>
        <v>#N/A</v>
      </c>
      <c r="J260" s="1216"/>
      <c r="K260" s="1221">
        <f>K$16/100</f>
        <v>1</v>
      </c>
      <c r="L260" s="1218" t="e">
        <f ca="1">K260*$H260</f>
        <v>#N/A</v>
      </c>
      <c r="M260" s="1219" t="e">
        <f ca="1">IF(AND(INDEX(FlowCalConstA,MATCH(J259,FlowCalNumber,0),1,1)*L260^INDEX(FlowCalConstB,MATCH(J259,FlowCalNumber,0),1,1)&gt;INDEX(FlowCalLowSetting,MATCH(J259,FlowCalNumber,0),1,1), (INDEX(FlowCalConstA,MATCH(J259,FlowCalNumber,0),1,1)*L260^INDEX(FlowCalConstB,MATCH(J259,FlowCalNumber,0),1,1)&lt;INDEX(FlowCalHighSetting,MATCH(J259,FlowCalNumber,0),1,1))),INDEX(FlowCalConstA,MATCH(J259,FlowCalNumber,0),1,1)*L260^INDEX(FlowCalConstB,MATCH(J259,FlowCalNumber,0),1,1)," ")</f>
        <v>#N/A</v>
      </c>
      <c r="N260" s="1216"/>
      <c r="O260" s="1221">
        <f>O$16/100</f>
        <v>1</v>
      </c>
      <c r="P260" s="1218" t="e">
        <f ca="1">O260*$H260</f>
        <v>#N/A</v>
      </c>
      <c r="Q260" s="1220" t="e">
        <f ca="1">IF(AND(INDEX(FlowCalConstA,MATCH(N259,FlowCalNumber,0),1,1)*P260^INDEX(FlowCalConstB,MATCH(N259,FlowCalNumber,0),1,1)&gt;INDEX(FlowCalLowSetting,MATCH(N259,FlowCalNumber,0),1,1), (INDEX(FlowCalConstA,MATCH(N259,FlowCalNumber,0),1,1)*P260^INDEX(FlowCalConstB,MATCH(N259,FlowCalNumber,0),1,1)&lt;INDEX(FlowCalHighSetting,MATCH(N259,FlowCalNumber,0),1,1))),INDEX(FlowCalConstA,MATCH(N259,FlowCalNumber,0),1,1)*P260^INDEX(FlowCalConstB,MATCH(N259,FlowCalNumber,0),1,1)," ")</f>
        <v>#N/A</v>
      </c>
      <c r="R260" s="1216"/>
      <c r="S260" s="1221">
        <f>S$16/100</f>
        <v>0.5</v>
      </c>
      <c r="T260" s="1218" t="e">
        <f ca="1">S260*$H260</f>
        <v>#N/A</v>
      </c>
      <c r="U260" s="1219" t="e">
        <f ca="1">IF(AND(INDEX(FlowCalConstA,MATCH(R259,FlowCalNumber,0),1,1)*T260^INDEX(FlowCalConstB,MATCH(R259,FlowCalNumber,0),1,1)&gt;INDEX(FlowCalLowSetting,MATCH(R259,FlowCalNumber,0),1,1), (INDEX(FlowCalConstA,MATCH(R259,FlowCalNumber,0),1,1)*T260^INDEX(FlowCalConstB,MATCH(R259,FlowCalNumber,0),1,1)&lt;INDEX(FlowCalHighSetting,MATCH(R259,FlowCalNumber,0),1,1))),INDEX(FlowCalConstA,MATCH(R259,FlowCalNumber,0),1,1)*T260^INDEX(FlowCalConstB,MATCH(R259,FlowCalNumber,0),1,1)," ")</f>
        <v>#N/A</v>
      </c>
      <c r="V260" s="1216"/>
      <c r="W260" s="1221">
        <f>W$16/100</f>
        <v>0.5</v>
      </c>
      <c r="X260" s="1218" t="e">
        <f ca="1">W260*$H260</f>
        <v>#N/A</v>
      </c>
      <c r="Y260" s="1220" t="e">
        <f ca="1">IF(AND(INDEX(FlowCalConstA,MATCH(V259,FlowCalNumber,0),1,1)*X260^INDEX(FlowCalConstB,MATCH(V259,FlowCalNumber,0),1,1)&gt;INDEX(FlowCalLowSetting,MATCH(V259,FlowCalNumber,0),1,1), (INDEX(FlowCalConstA,MATCH(V259,FlowCalNumber,0),1,1)*X260^INDEX(FlowCalConstB,MATCH(V259,FlowCalNumber,0),1,1)&lt;INDEX(FlowCalHighSetting,MATCH(V259,FlowCalNumber,0),1,1))),INDEX(FlowCalConstA,MATCH(V259,FlowCalNumber,0),1,1)*X260^INDEX(FlowCalConstB,MATCH(V259,FlowCalNumber,0),1,1)," ")</f>
        <v>#N/A</v>
      </c>
    </row>
    <row r="261" spans="1:25">
      <c r="A261" s="412"/>
      <c r="B261" s="2"/>
      <c r="C261" s="235"/>
      <c r="D261" s="24">
        <f>'1% Wind'!$M$83</f>
        <v>23.5</v>
      </c>
      <c r="E261" s="90"/>
      <c r="F261" s="90"/>
      <c r="G261" s="79" t="e">
        <f ca="1">IF(I259=1,$G260,MAX(G260/D260*D261,2))</f>
        <v>#N/A</v>
      </c>
      <c r="H261" s="121" t="e">
        <f t="shared" ca="1" si="126"/>
        <v>#N/A</v>
      </c>
      <c r="J261" s="377"/>
      <c r="K261" s="242">
        <f t="shared" ref="K261:K274" si="127">K260</f>
        <v>1</v>
      </c>
      <c r="L261" s="241" t="e">
        <f t="shared" ref="L261:L274" ca="1" si="128">K261*$H261</f>
        <v>#N/A</v>
      </c>
      <c r="M261" s="243" t="e">
        <f ca="1">IF(AND(INDEX(FlowCalConstA,MATCH(J259,FlowCalNumber,0),1,1)*L261^INDEX(FlowCalConstB,MATCH(J259,FlowCalNumber,0),1,1)&gt;INDEX(FlowCalLowSetting,MATCH(J259,FlowCalNumber,0),1,1), (INDEX(FlowCalConstA,MATCH(J259,FlowCalNumber,0),1,1)*L261^INDEX(FlowCalConstB,MATCH(J259,FlowCalNumber,0),1,1)&lt;INDEX(FlowCalHighSetting,MATCH(J259,FlowCalNumber,0),1,1))),INDEX(FlowCalConstA,MATCH(J259,FlowCalNumber,0),1,1)*L261^INDEX(FlowCalConstB,MATCH(J259,FlowCalNumber,0),1,1)," ")</f>
        <v>#N/A</v>
      </c>
      <c r="N261" s="377"/>
      <c r="O261" s="242">
        <f t="shared" ref="O261:O274" si="129">O260</f>
        <v>1</v>
      </c>
      <c r="P261" s="241" t="e">
        <f t="shared" ref="P261:P274" ca="1" si="130">O261*$H261</f>
        <v>#N/A</v>
      </c>
      <c r="Q261" s="244" t="e">
        <f ca="1">IF(AND(INDEX(FlowCalConstA,MATCH(N259,FlowCalNumber,0),1,1)*P261^INDEX(FlowCalConstB,MATCH(N259,FlowCalNumber,0),1,1)&gt;INDEX(FlowCalLowSetting,MATCH(N259,FlowCalNumber,0),1,1), (INDEX(FlowCalConstA,MATCH(N259,FlowCalNumber,0),1,1)*P261^INDEX(FlowCalConstB,MATCH(N259,FlowCalNumber,0),1,1)&lt;INDEX(FlowCalHighSetting,MATCH(N259,FlowCalNumber,0),1,1))),INDEX(FlowCalConstA,MATCH(N259,FlowCalNumber,0),1,1)*P261^INDEX(FlowCalConstB,MATCH(N259,FlowCalNumber,0),1,1)," ")</f>
        <v>#N/A</v>
      </c>
      <c r="R261" s="377"/>
      <c r="S261" s="242">
        <f t="shared" ref="S261:S274" si="131">S260</f>
        <v>0.5</v>
      </c>
      <c r="T261" s="241" t="e">
        <f t="shared" ref="T261:T274" ca="1" si="132">S261*$H261</f>
        <v>#N/A</v>
      </c>
      <c r="U261" s="243" t="e">
        <f ca="1">IF(AND(INDEX(FlowCalConstA,MATCH(R259,FlowCalNumber,0),1,1)*T261^INDEX(FlowCalConstB,MATCH(R259,FlowCalNumber,0),1,1)&gt;INDEX(FlowCalLowSetting,MATCH(R259,FlowCalNumber,0),1,1), (INDEX(FlowCalConstA,MATCH(R259,FlowCalNumber,0),1,1)*T261^INDEX(FlowCalConstB,MATCH(R259,FlowCalNumber,0),1,1)&lt;INDEX(FlowCalHighSetting,MATCH(R259,FlowCalNumber,0),1,1))),INDEX(FlowCalConstA,MATCH(R259,FlowCalNumber,0),1,1)*T261^INDEX(FlowCalConstB,MATCH(R259,FlowCalNumber,0),1,1)," ")</f>
        <v>#N/A</v>
      </c>
      <c r="V261" s="377"/>
      <c r="W261" s="242">
        <f t="shared" ref="W261:W274" si="133">W260</f>
        <v>0.5</v>
      </c>
      <c r="X261" s="241" t="e">
        <f t="shared" ref="X261:X274" ca="1" si="134">W261*$H261</f>
        <v>#N/A</v>
      </c>
      <c r="Y261" s="244" t="e">
        <f ca="1">IF(AND(INDEX(FlowCalConstA,MATCH(V259,FlowCalNumber,0),1,1)*X261^INDEX(FlowCalConstB,MATCH(V259,FlowCalNumber,0),1,1)&gt;INDEX(FlowCalLowSetting,MATCH(V259,FlowCalNumber,0),1,1), (INDEX(FlowCalConstA,MATCH(V259,FlowCalNumber,0),1,1)*X261^INDEX(FlowCalConstB,MATCH(V259,FlowCalNumber,0),1,1)&lt;INDEX(FlowCalHighSetting,MATCH(V259,FlowCalNumber,0),1,1))),INDEX(FlowCalConstA,MATCH(V259,FlowCalNumber,0),1,1)*X261^INDEX(FlowCalConstB,MATCH(V259,FlowCalNumber,0),1,1)," ")</f>
        <v>#N/A</v>
      </c>
    </row>
    <row r="262" spans="1:25" s="1215" customFormat="1">
      <c r="A262" s="1208"/>
      <c r="B262" s="1209"/>
      <c r="C262" s="1210"/>
      <c r="D262" s="1211">
        <f>'1% Wind'!$M$84</f>
        <v>20.5</v>
      </c>
      <c r="E262" s="1212"/>
      <c r="F262" s="1212"/>
      <c r="G262" s="1213" t="e">
        <f ca="1">IF(I259=1,$G261,MAX(G261/D261*D262,2))</f>
        <v>#N/A</v>
      </c>
      <c r="H262" s="1214" t="e">
        <f t="shared" ca="1" si="126"/>
        <v>#N/A</v>
      </c>
      <c r="J262" s="1216"/>
      <c r="K262" s="1217">
        <f t="shared" si="127"/>
        <v>1</v>
      </c>
      <c r="L262" s="1218" t="e">
        <f t="shared" ca="1" si="128"/>
        <v>#N/A</v>
      </c>
      <c r="M262" s="1219" t="e">
        <f ca="1">IF(AND(INDEX(FlowCalConstA,MATCH(J259,FlowCalNumber,0),1,1)*L262^INDEX(FlowCalConstB,MATCH(J259,FlowCalNumber,0),1,1)&gt;INDEX(FlowCalLowSetting,MATCH(J259,FlowCalNumber,0),1,1), (INDEX(FlowCalConstA,MATCH(J259,FlowCalNumber,0),1,1)*L262^INDEX(FlowCalConstB,MATCH(J259,FlowCalNumber,0),1,1)&lt;INDEX(FlowCalHighSetting,MATCH(J259,FlowCalNumber,0),1,1))),INDEX(FlowCalConstA,MATCH(J259,FlowCalNumber,0),1,1)*L262^INDEX(FlowCalConstB,MATCH(J259,FlowCalNumber,0),1,1)," ")</f>
        <v>#N/A</v>
      </c>
      <c r="N262" s="1216"/>
      <c r="O262" s="1217">
        <f t="shared" si="129"/>
        <v>1</v>
      </c>
      <c r="P262" s="1218" t="e">
        <f t="shared" ca="1" si="130"/>
        <v>#N/A</v>
      </c>
      <c r="Q262" s="1220" t="e">
        <f ca="1">IF(AND(INDEX(FlowCalConstA,MATCH(N259,FlowCalNumber,0),1,1)*P262^INDEX(FlowCalConstB,MATCH(N259,FlowCalNumber,0),1,1)&gt;INDEX(FlowCalLowSetting,MATCH(N259,FlowCalNumber,0),1,1), (INDEX(FlowCalConstA,MATCH(N259,FlowCalNumber,0),1,1)*P262^INDEX(FlowCalConstB,MATCH(N259,FlowCalNumber,0),1,1)&lt;INDEX(FlowCalHighSetting,MATCH(N259,FlowCalNumber,0),1,1))),INDEX(FlowCalConstA,MATCH(N259,FlowCalNumber,0),1,1)*P262^INDEX(FlowCalConstB,MATCH(N259,FlowCalNumber,0),1,1)," ")</f>
        <v>#N/A</v>
      </c>
      <c r="R262" s="1216"/>
      <c r="S262" s="1217">
        <f t="shared" si="131"/>
        <v>0.5</v>
      </c>
      <c r="T262" s="1218" t="e">
        <f t="shared" ca="1" si="132"/>
        <v>#N/A</v>
      </c>
      <c r="U262" s="1219" t="e">
        <f ca="1">IF(AND(INDEX(FlowCalConstA,MATCH(R259,FlowCalNumber,0),1,1)*T262^INDEX(FlowCalConstB,MATCH(R259,FlowCalNumber,0),1,1)&gt;INDEX(FlowCalLowSetting,MATCH(R259,FlowCalNumber,0),1,1), (INDEX(FlowCalConstA,MATCH(R259,FlowCalNumber,0),1,1)*T262^INDEX(FlowCalConstB,MATCH(R259,FlowCalNumber,0),1,1)&lt;INDEX(FlowCalHighSetting,MATCH(R259,FlowCalNumber,0),1,1))),INDEX(FlowCalConstA,MATCH(R259,FlowCalNumber,0),1,1)*T262^INDEX(FlowCalConstB,MATCH(R259,FlowCalNumber,0),1,1)," ")</f>
        <v>#N/A</v>
      </c>
      <c r="V262" s="1216"/>
      <c r="W262" s="1217">
        <f t="shared" si="133"/>
        <v>0.5</v>
      </c>
      <c r="X262" s="1218" t="e">
        <f t="shared" ca="1" si="134"/>
        <v>#N/A</v>
      </c>
      <c r="Y262" s="1220" t="e">
        <f ca="1">IF(AND(INDEX(FlowCalConstA,MATCH(V259,FlowCalNumber,0),1,1)*X262^INDEX(FlowCalConstB,MATCH(V259,FlowCalNumber,0),1,1)&gt;INDEX(FlowCalLowSetting,MATCH(V259,FlowCalNumber,0),1,1), (INDEX(FlowCalConstA,MATCH(V259,FlowCalNumber,0),1,1)*X262^INDEX(FlowCalConstB,MATCH(V259,FlowCalNumber,0),1,1)&lt;INDEX(FlowCalHighSetting,MATCH(V259,FlowCalNumber,0),1,1))),INDEX(FlowCalConstA,MATCH(V259,FlowCalNumber,0),1,1)*X262^INDEX(FlowCalConstB,MATCH(V259,FlowCalNumber,0),1,1)," ")</f>
        <v>#N/A</v>
      </c>
    </row>
    <row r="263" spans="1:25">
      <c r="A263" s="412"/>
      <c r="B263" s="2"/>
      <c r="C263" s="235"/>
      <c r="D263" s="24">
        <f>'1% Wind'!$M$85</f>
        <v>17.8</v>
      </c>
      <c r="E263" s="90"/>
      <c r="F263" s="90"/>
      <c r="G263" s="79" t="e">
        <f ca="1">IF(I259=1,$G262,MAX(G262/D262*D263,2))</f>
        <v>#N/A</v>
      </c>
      <c r="H263" s="121" t="e">
        <f t="shared" ca="1" si="126"/>
        <v>#N/A</v>
      </c>
      <c r="J263" s="377"/>
      <c r="K263" s="242">
        <f t="shared" si="127"/>
        <v>1</v>
      </c>
      <c r="L263" s="241" t="e">
        <f t="shared" ca="1" si="128"/>
        <v>#N/A</v>
      </c>
      <c r="M263" s="243" t="e">
        <f ca="1">IF(AND(INDEX(FlowCalConstA,MATCH(J259,FlowCalNumber,0),1,1)*L263^INDEX(FlowCalConstB,MATCH(J259,FlowCalNumber,0),1,1)&gt;INDEX(FlowCalLowSetting,MATCH(J259,FlowCalNumber,0),1,1), (INDEX(FlowCalConstA,MATCH(J259,FlowCalNumber,0),1,1)*L263^INDEX(FlowCalConstB,MATCH(J259,FlowCalNumber,0),1,1)&lt;INDEX(FlowCalHighSetting,MATCH(J259,FlowCalNumber,0),1,1))),INDEX(FlowCalConstA,MATCH(J259,FlowCalNumber,0),1,1)*L263^INDEX(FlowCalConstB,MATCH(J259,FlowCalNumber,0),1,1)," ")</f>
        <v>#N/A</v>
      </c>
      <c r="N263" s="377"/>
      <c r="O263" s="242">
        <f t="shared" si="129"/>
        <v>1</v>
      </c>
      <c r="P263" s="241" t="e">
        <f t="shared" ca="1" si="130"/>
        <v>#N/A</v>
      </c>
      <c r="Q263" s="244" t="e">
        <f ca="1">IF(AND(INDEX(FlowCalConstA,MATCH(N259,FlowCalNumber,0),1,1)*P263^INDEX(FlowCalConstB,MATCH(N259,FlowCalNumber,0),1,1)&gt;INDEX(FlowCalLowSetting,MATCH(N259,FlowCalNumber,0),1,1), (INDEX(FlowCalConstA,MATCH(N259,FlowCalNumber,0),1,1)*P263^INDEX(FlowCalConstB,MATCH(N259,FlowCalNumber,0),1,1)&lt;INDEX(FlowCalHighSetting,MATCH(N259,FlowCalNumber,0),1,1))),INDEX(FlowCalConstA,MATCH(N259,FlowCalNumber,0),1,1)*P263^INDEX(FlowCalConstB,MATCH(N259,FlowCalNumber,0),1,1)," ")</f>
        <v>#N/A</v>
      </c>
      <c r="R263" s="377"/>
      <c r="S263" s="242">
        <f t="shared" si="131"/>
        <v>0.5</v>
      </c>
      <c r="T263" s="241" t="e">
        <f t="shared" ca="1" si="132"/>
        <v>#N/A</v>
      </c>
      <c r="U263" s="243" t="e">
        <f ca="1">IF(AND(INDEX(FlowCalConstA,MATCH(R259,FlowCalNumber,0),1,1)*T263^INDEX(FlowCalConstB,MATCH(R259,FlowCalNumber,0),1,1)&gt;INDEX(FlowCalLowSetting,MATCH(R259,FlowCalNumber,0),1,1), (INDEX(FlowCalConstA,MATCH(R259,FlowCalNumber,0),1,1)*T263^INDEX(FlowCalConstB,MATCH(R259,FlowCalNumber,0),1,1)&lt;INDEX(FlowCalHighSetting,MATCH(R259,FlowCalNumber,0),1,1))),INDEX(FlowCalConstA,MATCH(R259,FlowCalNumber,0),1,1)*T263^INDEX(FlowCalConstB,MATCH(R259,FlowCalNumber,0),1,1)," ")</f>
        <v>#N/A</v>
      </c>
      <c r="V263" s="377"/>
      <c r="W263" s="242">
        <f t="shared" si="133"/>
        <v>0.5</v>
      </c>
      <c r="X263" s="241" t="e">
        <f t="shared" ca="1" si="134"/>
        <v>#N/A</v>
      </c>
      <c r="Y263" s="244" t="e">
        <f ca="1">IF(AND(INDEX(FlowCalConstA,MATCH(V259,FlowCalNumber,0),1,1)*X263^INDEX(FlowCalConstB,MATCH(V259,FlowCalNumber,0),1,1)&gt;INDEX(FlowCalLowSetting,MATCH(V259,FlowCalNumber,0),1,1), (INDEX(FlowCalConstA,MATCH(V259,FlowCalNumber,0),1,1)*X263^INDEX(FlowCalConstB,MATCH(V259,FlowCalNumber,0),1,1)&lt;INDEX(FlowCalHighSetting,MATCH(V259,FlowCalNumber,0),1,1))),INDEX(FlowCalConstA,MATCH(V259,FlowCalNumber,0),1,1)*X263^INDEX(FlowCalConstB,MATCH(V259,FlowCalNumber,0),1,1)," ")</f>
        <v>#N/A</v>
      </c>
    </row>
    <row r="264" spans="1:25" s="1215" customFormat="1">
      <c r="A264" s="1208"/>
      <c r="B264" s="1209"/>
      <c r="C264" s="1210"/>
      <c r="D264" s="1211">
        <f>'1% Wind'!$M$86</f>
        <v>15.5</v>
      </c>
      <c r="E264" s="1212"/>
      <c r="F264" s="1212"/>
      <c r="G264" s="1213" t="e">
        <f ca="1">IF(I259=1,$G263,MAX(G263/D263*D264,2))</f>
        <v>#N/A</v>
      </c>
      <c r="H264" s="1214" t="e">
        <f t="shared" ca="1" si="126"/>
        <v>#N/A</v>
      </c>
      <c r="J264" s="1216"/>
      <c r="K264" s="1217">
        <f t="shared" si="127"/>
        <v>1</v>
      </c>
      <c r="L264" s="1218" t="e">
        <f t="shared" ca="1" si="128"/>
        <v>#N/A</v>
      </c>
      <c r="M264" s="1219" t="e">
        <f ca="1">IF(AND(INDEX(FlowCalConstA,MATCH(J259,FlowCalNumber,0),1,1)*L264^INDEX(FlowCalConstB,MATCH(J259,FlowCalNumber,0),1,1)&gt;INDEX(FlowCalLowSetting,MATCH(J259,FlowCalNumber,0),1,1), (INDEX(FlowCalConstA,MATCH(J259,FlowCalNumber,0),1,1)*L264^INDEX(FlowCalConstB,MATCH(J259,FlowCalNumber,0),1,1)&lt;INDEX(FlowCalHighSetting,MATCH(J259,FlowCalNumber,0),1,1))),INDEX(FlowCalConstA,MATCH(J259,FlowCalNumber,0),1,1)*L264^INDEX(FlowCalConstB,MATCH(J259,FlowCalNumber,0),1,1)," ")</f>
        <v>#N/A</v>
      </c>
      <c r="N264" s="1216"/>
      <c r="O264" s="1217">
        <f t="shared" si="129"/>
        <v>1</v>
      </c>
      <c r="P264" s="1218" t="e">
        <f t="shared" ca="1" si="130"/>
        <v>#N/A</v>
      </c>
      <c r="Q264" s="1220" t="e">
        <f ca="1">IF(AND(INDEX(FlowCalConstA,MATCH(N259,FlowCalNumber,0),1,1)*P264^INDEX(FlowCalConstB,MATCH(N259,FlowCalNumber,0),1,1)&gt;INDEX(FlowCalLowSetting,MATCH(N259,FlowCalNumber,0),1,1), (INDEX(FlowCalConstA,MATCH(N259,FlowCalNumber,0),1,1)*P264^INDEX(FlowCalConstB,MATCH(N259,FlowCalNumber,0),1,1)&lt;INDEX(FlowCalHighSetting,MATCH(N259,FlowCalNumber,0),1,1))),INDEX(FlowCalConstA,MATCH(N259,FlowCalNumber,0),1,1)*P264^INDEX(FlowCalConstB,MATCH(N259,FlowCalNumber,0),1,1)," ")</f>
        <v>#N/A</v>
      </c>
      <c r="R264" s="1216"/>
      <c r="S264" s="1217">
        <f t="shared" si="131"/>
        <v>0.5</v>
      </c>
      <c r="T264" s="1218" t="e">
        <f t="shared" ca="1" si="132"/>
        <v>#N/A</v>
      </c>
      <c r="U264" s="1219" t="e">
        <f ca="1">IF(AND(INDEX(FlowCalConstA,MATCH(R259,FlowCalNumber,0),1,1)*T264^INDEX(FlowCalConstB,MATCH(R259,FlowCalNumber,0),1,1)&gt;INDEX(FlowCalLowSetting,MATCH(R259,FlowCalNumber,0),1,1), (INDEX(FlowCalConstA,MATCH(R259,FlowCalNumber,0),1,1)*T264^INDEX(FlowCalConstB,MATCH(R259,FlowCalNumber,0),1,1)&lt;INDEX(FlowCalHighSetting,MATCH(R259,FlowCalNumber,0),1,1))),INDEX(FlowCalConstA,MATCH(R259,FlowCalNumber,0),1,1)*T264^INDEX(FlowCalConstB,MATCH(R259,FlowCalNumber,0),1,1)," ")</f>
        <v>#N/A</v>
      </c>
      <c r="V264" s="1216"/>
      <c r="W264" s="1217">
        <f t="shared" si="133"/>
        <v>0.5</v>
      </c>
      <c r="X264" s="1218" t="e">
        <f t="shared" ca="1" si="134"/>
        <v>#N/A</v>
      </c>
      <c r="Y264" s="1220" t="e">
        <f ca="1">IF(AND(INDEX(FlowCalConstA,MATCH(V259,FlowCalNumber,0),1,1)*X264^INDEX(FlowCalConstB,MATCH(V259,FlowCalNumber,0),1,1)&gt;INDEX(FlowCalLowSetting,MATCH(V259,FlowCalNumber,0),1,1), (INDEX(FlowCalConstA,MATCH(V259,FlowCalNumber,0),1,1)*X264^INDEX(FlowCalConstB,MATCH(V259,FlowCalNumber,0),1,1)&lt;INDEX(FlowCalHighSetting,MATCH(V259,FlowCalNumber,0),1,1))),INDEX(FlowCalConstA,MATCH(V259,FlowCalNumber,0),1,1)*X264^INDEX(FlowCalConstB,MATCH(V259,FlowCalNumber,0),1,1)," ")</f>
        <v>#N/A</v>
      </c>
    </row>
    <row r="265" spans="1:25">
      <c r="A265" s="412"/>
      <c r="B265" s="2"/>
      <c r="C265" s="235"/>
      <c r="D265" s="24">
        <f>'1% Wind'!$M$87</f>
        <v>13.5</v>
      </c>
      <c r="E265" s="90"/>
      <c r="F265" s="90"/>
      <c r="G265" s="79" t="e">
        <f ca="1">IF(I259=1,$G264,MAX(G264/D264*D265,2))</f>
        <v>#N/A</v>
      </c>
      <c r="H265" s="121" t="e">
        <f t="shared" ca="1" si="126"/>
        <v>#N/A</v>
      </c>
      <c r="J265" s="377"/>
      <c r="K265" s="242">
        <f t="shared" si="127"/>
        <v>1</v>
      </c>
      <c r="L265" s="241" t="e">
        <f t="shared" ca="1" si="128"/>
        <v>#N/A</v>
      </c>
      <c r="M265" s="243" t="e">
        <f ca="1">IF(AND(INDEX(FlowCalConstA,MATCH(J259,FlowCalNumber,0),1,1)*L265^INDEX(FlowCalConstB,MATCH(J259,FlowCalNumber,0),1,1)&gt;INDEX(FlowCalLowSetting,MATCH(J259,FlowCalNumber,0),1,1), (INDEX(FlowCalConstA,MATCH(J259,FlowCalNumber,0),1,1)*L265^INDEX(FlowCalConstB,MATCH(J259,FlowCalNumber,0),1,1)&lt;INDEX(FlowCalHighSetting,MATCH(J259,FlowCalNumber,0),1,1))),INDEX(FlowCalConstA,MATCH(J259,FlowCalNumber,0),1,1)*L265^INDEX(FlowCalConstB,MATCH(J259,FlowCalNumber,0),1,1)," ")</f>
        <v>#N/A</v>
      </c>
      <c r="N265" s="377"/>
      <c r="O265" s="242">
        <f t="shared" si="129"/>
        <v>1</v>
      </c>
      <c r="P265" s="241" t="e">
        <f t="shared" ca="1" si="130"/>
        <v>#N/A</v>
      </c>
      <c r="Q265" s="244" t="e">
        <f ca="1">IF(AND(INDEX(FlowCalConstA,MATCH(N259,FlowCalNumber,0),1,1)*P265^INDEX(FlowCalConstB,MATCH(N259,FlowCalNumber,0),1,1)&gt;INDEX(FlowCalLowSetting,MATCH(N259,FlowCalNumber,0),1,1), (INDEX(FlowCalConstA,MATCH(N259,FlowCalNumber,0),1,1)*P265^INDEX(FlowCalConstB,MATCH(N259,FlowCalNumber,0),1,1)&lt;INDEX(FlowCalHighSetting,MATCH(N259,FlowCalNumber,0),1,1))),INDEX(FlowCalConstA,MATCH(N259,FlowCalNumber,0),1,1)*P265^INDEX(FlowCalConstB,MATCH(N259,FlowCalNumber,0),1,1)," ")</f>
        <v>#N/A</v>
      </c>
      <c r="R265" s="377"/>
      <c r="S265" s="242">
        <f t="shared" si="131"/>
        <v>0.5</v>
      </c>
      <c r="T265" s="241" t="e">
        <f t="shared" ca="1" si="132"/>
        <v>#N/A</v>
      </c>
      <c r="U265" s="243" t="e">
        <f ca="1">IF(AND(INDEX(FlowCalConstA,MATCH(R259,FlowCalNumber,0),1,1)*T265^INDEX(FlowCalConstB,MATCH(R259,FlowCalNumber,0),1,1)&gt;INDEX(FlowCalLowSetting,MATCH(R259,FlowCalNumber,0),1,1), (INDEX(FlowCalConstA,MATCH(R259,FlowCalNumber,0),1,1)*T265^INDEX(FlowCalConstB,MATCH(R259,FlowCalNumber,0),1,1)&lt;INDEX(FlowCalHighSetting,MATCH(R259,FlowCalNumber,0),1,1))),INDEX(FlowCalConstA,MATCH(R259,FlowCalNumber,0),1,1)*T265^INDEX(FlowCalConstB,MATCH(R259,FlowCalNumber,0),1,1)," ")</f>
        <v>#N/A</v>
      </c>
      <c r="V265" s="377"/>
      <c r="W265" s="242">
        <f t="shared" si="133"/>
        <v>0.5</v>
      </c>
      <c r="X265" s="241" t="e">
        <f t="shared" ca="1" si="134"/>
        <v>#N/A</v>
      </c>
      <c r="Y265" s="244" t="e">
        <f ca="1">IF(AND(INDEX(FlowCalConstA,MATCH(V259,FlowCalNumber,0),1,1)*X265^INDEX(FlowCalConstB,MATCH(V259,FlowCalNumber,0),1,1)&gt;INDEX(FlowCalLowSetting,MATCH(V259,FlowCalNumber,0),1,1), (INDEX(FlowCalConstA,MATCH(V259,FlowCalNumber,0),1,1)*X265^INDEX(FlowCalConstB,MATCH(V259,FlowCalNumber,0),1,1)&lt;INDEX(FlowCalHighSetting,MATCH(V259,FlowCalNumber,0),1,1))),INDEX(FlowCalConstA,MATCH(V259,FlowCalNumber,0),1,1)*X265^INDEX(FlowCalConstB,MATCH(V259,FlowCalNumber,0),1,1)," ")</f>
        <v>#N/A</v>
      </c>
    </row>
    <row r="266" spans="1:25" s="1215" customFormat="1">
      <c r="A266" s="1208"/>
      <c r="B266" s="1209"/>
      <c r="C266" s="1210"/>
      <c r="D266" s="1211">
        <f>'1% Wind'!$M$88</f>
        <v>10.1</v>
      </c>
      <c r="E266" s="1212"/>
      <c r="F266" s="1212"/>
      <c r="G266" s="1213" t="e">
        <f ca="1">IF(I259=1,$G265,MAX(G265/D265*D266,2))</f>
        <v>#N/A</v>
      </c>
      <c r="H266" s="1214" t="e">
        <f t="shared" ca="1" si="126"/>
        <v>#N/A</v>
      </c>
      <c r="J266" s="1216"/>
      <c r="K266" s="1217">
        <f t="shared" si="127"/>
        <v>1</v>
      </c>
      <c r="L266" s="1218" t="e">
        <f t="shared" ca="1" si="128"/>
        <v>#N/A</v>
      </c>
      <c r="M266" s="1219" t="e">
        <f ca="1">IF(AND(INDEX(FlowCalConstA,MATCH(J259,FlowCalNumber,0),1,1)*L266^INDEX(FlowCalConstB,MATCH(J259,FlowCalNumber,0),1,1)&gt;INDEX(FlowCalLowSetting,MATCH(J259,FlowCalNumber,0),1,1), (INDEX(FlowCalConstA,MATCH(J259,FlowCalNumber,0),1,1)*L266^INDEX(FlowCalConstB,MATCH(J259,FlowCalNumber,0),1,1)&lt;INDEX(FlowCalHighSetting,MATCH(J259,FlowCalNumber,0),1,1))),INDEX(FlowCalConstA,MATCH(J259,FlowCalNumber,0),1,1)*L266^INDEX(FlowCalConstB,MATCH(J259,FlowCalNumber,0),1,1)," ")</f>
        <v>#N/A</v>
      </c>
      <c r="N266" s="1216"/>
      <c r="O266" s="1217">
        <f t="shared" si="129"/>
        <v>1</v>
      </c>
      <c r="P266" s="1218" t="e">
        <f t="shared" ca="1" si="130"/>
        <v>#N/A</v>
      </c>
      <c r="Q266" s="1220" t="e">
        <f ca="1">IF(AND(INDEX(FlowCalConstA,MATCH(N259,FlowCalNumber,0),1,1)*P266^INDEX(FlowCalConstB,MATCH(N259,FlowCalNumber,0),1,1)&gt;INDEX(FlowCalLowSetting,MATCH(N259,FlowCalNumber,0),1,1), (INDEX(FlowCalConstA,MATCH(N259,FlowCalNumber,0),1,1)*P266^INDEX(FlowCalConstB,MATCH(N259,FlowCalNumber,0),1,1)&lt;INDEX(FlowCalHighSetting,MATCH(N259,FlowCalNumber,0),1,1))),INDEX(FlowCalConstA,MATCH(N259,FlowCalNumber,0),1,1)*P266^INDEX(FlowCalConstB,MATCH(N259,FlowCalNumber,0),1,1)," ")</f>
        <v>#N/A</v>
      </c>
      <c r="R266" s="1216"/>
      <c r="S266" s="1217">
        <f t="shared" si="131"/>
        <v>0.5</v>
      </c>
      <c r="T266" s="1218" t="e">
        <f t="shared" ca="1" si="132"/>
        <v>#N/A</v>
      </c>
      <c r="U266" s="1219" t="e">
        <f ca="1">IF(AND(INDEX(FlowCalConstA,MATCH(R259,FlowCalNumber,0),1,1)*T266^INDEX(FlowCalConstB,MATCH(R259,FlowCalNumber,0),1,1)&gt;INDEX(FlowCalLowSetting,MATCH(R259,FlowCalNumber,0),1,1), (INDEX(FlowCalConstA,MATCH(R259,FlowCalNumber,0),1,1)*T266^INDEX(FlowCalConstB,MATCH(R259,FlowCalNumber,0),1,1)&lt;INDEX(FlowCalHighSetting,MATCH(R259,FlowCalNumber,0),1,1))),INDEX(FlowCalConstA,MATCH(R259,FlowCalNumber,0),1,1)*T266^INDEX(FlowCalConstB,MATCH(R259,FlowCalNumber,0),1,1)," ")</f>
        <v>#N/A</v>
      </c>
      <c r="V266" s="1216"/>
      <c r="W266" s="1217">
        <f t="shared" si="133"/>
        <v>0.5</v>
      </c>
      <c r="X266" s="1218" t="e">
        <f t="shared" ca="1" si="134"/>
        <v>#N/A</v>
      </c>
      <c r="Y266" s="1220" t="e">
        <f ca="1">IF(AND(INDEX(FlowCalConstA,MATCH(V259,FlowCalNumber,0),1,1)*X266^INDEX(FlowCalConstB,MATCH(V259,FlowCalNumber,0),1,1)&gt;INDEX(FlowCalLowSetting,MATCH(V259,FlowCalNumber,0),1,1), (INDEX(FlowCalConstA,MATCH(V259,FlowCalNumber,0),1,1)*X266^INDEX(FlowCalConstB,MATCH(V259,FlowCalNumber,0),1,1)&lt;INDEX(FlowCalHighSetting,MATCH(V259,FlowCalNumber,0),1,1))),INDEX(FlowCalConstA,MATCH(V259,FlowCalNumber,0),1,1)*X266^INDEX(FlowCalConstB,MATCH(V259,FlowCalNumber,0),1,1)," ")</f>
        <v>#N/A</v>
      </c>
    </row>
    <row r="267" spans="1:25">
      <c r="A267" s="412"/>
      <c r="B267" s="2"/>
      <c r="C267" s="235"/>
      <c r="D267" s="24">
        <f>'1% Wind'!$M$89</f>
        <v>7.6</v>
      </c>
      <c r="E267" s="90"/>
      <c r="F267" s="90"/>
      <c r="G267" s="79" t="e">
        <f ca="1">IF(I259=1,$G266,MAX(G266/D266*D267,2))</f>
        <v>#N/A</v>
      </c>
      <c r="H267" s="121" t="e">
        <f t="shared" ca="1" si="126"/>
        <v>#N/A</v>
      </c>
      <c r="J267" s="377"/>
      <c r="K267" s="242">
        <f t="shared" si="127"/>
        <v>1</v>
      </c>
      <c r="L267" s="241" t="e">
        <f t="shared" ca="1" si="128"/>
        <v>#N/A</v>
      </c>
      <c r="M267" s="243" t="e">
        <f ca="1">IF(AND(INDEX(FlowCalConstA,MATCH(J259,FlowCalNumber,0),1,1)*L267^INDEX(FlowCalConstB,MATCH(J259,FlowCalNumber,0),1,1)&gt;INDEX(FlowCalLowSetting,MATCH(J259,FlowCalNumber,0),1,1), (INDEX(FlowCalConstA,MATCH(J259,FlowCalNumber,0),1,1)*L267^INDEX(FlowCalConstB,MATCH(J259,FlowCalNumber,0),1,1)&lt;INDEX(FlowCalHighSetting,MATCH(J259,FlowCalNumber,0),1,1))),INDEX(FlowCalConstA,MATCH(J259,FlowCalNumber,0),1,1)*L267^INDEX(FlowCalConstB,MATCH(J259,FlowCalNumber,0),1,1)," ")</f>
        <v>#N/A</v>
      </c>
      <c r="N267" s="377"/>
      <c r="O267" s="242">
        <f t="shared" si="129"/>
        <v>1</v>
      </c>
      <c r="P267" s="241" t="e">
        <f t="shared" ca="1" si="130"/>
        <v>#N/A</v>
      </c>
      <c r="Q267" s="244" t="e">
        <f ca="1">IF(AND(INDEX(FlowCalConstA,MATCH(N259,FlowCalNumber,0),1,1)*P267^INDEX(FlowCalConstB,MATCH(N259,FlowCalNumber,0),1,1)&gt;INDEX(FlowCalLowSetting,MATCH(N259,FlowCalNumber,0),1,1), (INDEX(FlowCalConstA,MATCH(N259,FlowCalNumber,0),1,1)*P267^INDEX(FlowCalConstB,MATCH(N259,FlowCalNumber,0),1,1)&lt;INDEX(FlowCalHighSetting,MATCH(N259,FlowCalNumber,0),1,1))),INDEX(FlowCalConstA,MATCH(N259,FlowCalNumber,0),1,1)*P267^INDEX(FlowCalConstB,MATCH(N259,FlowCalNumber,0),1,1)," ")</f>
        <v>#N/A</v>
      </c>
      <c r="R267" s="377"/>
      <c r="S267" s="242">
        <f t="shared" si="131"/>
        <v>0.5</v>
      </c>
      <c r="T267" s="241" t="e">
        <f t="shared" ca="1" si="132"/>
        <v>#N/A</v>
      </c>
      <c r="U267" s="243" t="e">
        <f ca="1">IF(AND(INDEX(FlowCalConstA,MATCH(R259,FlowCalNumber,0),1,1)*T267^INDEX(FlowCalConstB,MATCH(R259,FlowCalNumber,0),1,1)&gt;INDEX(FlowCalLowSetting,MATCH(R259,FlowCalNumber,0),1,1), (INDEX(FlowCalConstA,MATCH(R259,FlowCalNumber,0),1,1)*T267^INDEX(FlowCalConstB,MATCH(R259,FlowCalNumber,0),1,1)&lt;INDEX(FlowCalHighSetting,MATCH(R259,FlowCalNumber,0),1,1))),INDEX(FlowCalConstA,MATCH(R259,FlowCalNumber,0),1,1)*T267^INDEX(FlowCalConstB,MATCH(R259,FlowCalNumber,0),1,1)," ")</f>
        <v>#N/A</v>
      </c>
      <c r="V267" s="377"/>
      <c r="W267" s="242">
        <f t="shared" si="133"/>
        <v>0.5</v>
      </c>
      <c r="X267" s="241" t="e">
        <f t="shared" ca="1" si="134"/>
        <v>#N/A</v>
      </c>
      <c r="Y267" s="244" t="e">
        <f ca="1">IF(AND(INDEX(FlowCalConstA,MATCH(V259,FlowCalNumber,0),1,1)*X267^INDEX(FlowCalConstB,MATCH(V259,FlowCalNumber,0),1,1)&gt;INDEX(FlowCalLowSetting,MATCH(V259,FlowCalNumber,0),1,1), (INDEX(FlowCalConstA,MATCH(V259,FlowCalNumber,0),1,1)*X267^INDEX(FlowCalConstB,MATCH(V259,FlowCalNumber,0),1,1)&lt;INDEX(FlowCalHighSetting,MATCH(V259,FlowCalNumber,0),1,1))),INDEX(FlowCalConstA,MATCH(V259,FlowCalNumber,0),1,1)*X267^INDEX(FlowCalConstB,MATCH(V259,FlowCalNumber,0),1,1)," ")</f>
        <v>#N/A</v>
      </c>
    </row>
    <row r="268" spans="1:25" s="1215" customFormat="1">
      <c r="A268" s="1208"/>
      <c r="B268" s="1209"/>
      <c r="C268" s="1210"/>
      <c r="D268" s="1211">
        <f>'1% Wind'!$M$90</f>
        <v>5.7</v>
      </c>
      <c r="E268" s="1212"/>
      <c r="F268" s="1212"/>
      <c r="G268" s="1213" t="e">
        <f ca="1">IF(I259=1,$G267,MAX(G267/D267*D268,2))</f>
        <v>#N/A</v>
      </c>
      <c r="H268" s="1214" t="e">
        <f t="shared" ca="1" si="126"/>
        <v>#N/A</v>
      </c>
      <c r="J268" s="1216"/>
      <c r="K268" s="1217">
        <f t="shared" si="127"/>
        <v>1</v>
      </c>
      <c r="L268" s="1218" t="e">
        <f t="shared" ca="1" si="128"/>
        <v>#N/A</v>
      </c>
      <c r="M268" s="1219" t="e">
        <f ca="1">IF(AND(INDEX(FlowCalConstA,MATCH(J259,FlowCalNumber,0),1,1)*L268^INDEX(FlowCalConstB,MATCH(J259,FlowCalNumber,0),1,1)&gt;INDEX(FlowCalLowSetting,MATCH(J259,FlowCalNumber,0),1,1), (INDEX(FlowCalConstA,MATCH(J259,FlowCalNumber,0),1,1)*L268^INDEX(FlowCalConstB,MATCH(J259,FlowCalNumber,0),1,1)&lt;INDEX(FlowCalHighSetting,MATCH(J259,FlowCalNumber,0),1,1))),INDEX(FlowCalConstA,MATCH(J259,FlowCalNumber,0),1,1)*L268^INDEX(FlowCalConstB,MATCH(J259,FlowCalNumber,0),1,1)," ")</f>
        <v>#N/A</v>
      </c>
      <c r="N268" s="1216"/>
      <c r="O268" s="1217">
        <f t="shared" si="129"/>
        <v>1</v>
      </c>
      <c r="P268" s="1218" t="e">
        <f t="shared" ca="1" si="130"/>
        <v>#N/A</v>
      </c>
      <c r="Q268" s="1220" t="e">
        <f ca="1">IF(AND(INDEX(FlowCalConstA,MATCH(N259,FlowCalNumber,0),1,1)*P268^INDEX(FlowCalConstB,MATCH(N259,FlowCalNumber,0),1,1)&gt;INDEX(FlowCalLowSetting,MATCH(N259,FlowCalNumber,0),1,1), (INDEX(FlowCalConstA,MATCH(N259,FlowCalNumber,0),1,1)*P268^INDEX(FlowCalConstB,MATCH(N259,FlowCalNumber,0),1,1)&lt;INDEX(FlowCalHighSetting,MATCH(N259,FlowCalNumber,0),1,1))),INDEX(FlowCalConstA,MATCH(N259,FlowCalNumber,0),1,1)*P268^INDEX(FlowCalConstB,MATCH(N259,FlowCalNumber,0),1,1)," ")</f>
        <v>#N/A</v>
      </c>
      <c r="R268" s="1216"/>
      <c r="S268" s="1217">
        <f t="shared" si="131"/>
        <v>0.5</v>
      </c>
      <c r="T268" s="1218" t="e">
        <f t="shared" ca="1" si="132"/>
        <v>#N/A</v>
      </c>
      <c r="U268" s="1219" t="e">
        <f ca="1">IF(AND(INDEX(FlowCalConstA,MATCH(R259,FlowCalNumber,0),1,1)*T268^INDEX(FlowCalConstB,MATCH(R259,FlowCalNumber,0),1,1)&gt;INDEX(FlowCalLowSetting,MATCH(R259,FlowCalNumber,0),1,1), (INDEX(FlowCalConstA,MATCH(R259,FlowCalNumber,0),1,1)*T268^INDEX(FlowCalConstB,MATCH(R259,FlowCalNumber,0),1,1)&lt;INDEX(FlowCalHighSetting,MATCH(R259,FlowCalNumber,0),1,1))),INDEX(FlowCalConstA,MATCH(R259,FlowCalNumber,0),1,1)*T268^INDEX(FlowCalConstB,MATCH(R259,FlowCalNumber,0),1,1)," ")</f>
        <v>#N/A</v>
      </c>
      <c r="V268" s="1216"/>
      <c r="W268" s="1217">
        <f t="shared" si="133"/>
        <v>0.5</v>
      </c>
      <c r="X268" s="1218" t="e">
        <f t="shared" ca="1" si="134"/>
        <v>#N/A</v>
      </c>
      <c r="Y268" s="1220" t="e">
        <f ca="1">IF(AND(INDEX(FlowCalConstA,MATCH(V259,FlowCalNumber,0),1,1)*X268^INDEX(FlowCalConstB,MATCH(V259,FlowCalNumber,0),1,1)&gt;INDEX(FlowCalLowSetting,MATCH(V259,FlowCalNumber,0),1,1), (INDEX(FlowCalConstA,MATCH(V259,FlowCalNumber,0),1,1)*X268^INDEX(FlowCalConstB,MATCH(V259,FlowCalNumber,0),1,1)&lt;INDEX(FlowCalHighSetting,MATCH(V259,FlowCalNumber,0),1,1))),INDEX(FlowCalConstA,MATCH(V259,FlowCalNumber,0),1,1)*X268^INDEX(FlowCalConstB,MATCH(V259,FlowCalNumber,0),1,1)," ")</f>
        <v>#N/A</v>
      </c>
    </row>
    <row r="269" spans="1:25">
      <c r="A269" s="412"/>
      <c r="B269" s="2"/>
      <c r="C269" s="235"/>
      <c r="D269" s="24">
        <f>'1% Wind'!$M$91</f>
        <v>4.2</v>
      </c>
      <c r="E269" s="90"/>
      <c r="F269" s="90"/>
      <c r="G269" s="79" t="e">
        <f ca="1">IF(I259=1,$G268,MAX(G268/D268*D269,2))</f>
        <v>#N/A</v>
      </c>
      <c r="H269" s="121" t="e">
        <f t="shared" ca="1" si="126"/>
        <v>#N/A</v>
      </c>
      <c r="J269" s="377"/>
      <c r="K269" s="242">
        <f t="shared" si="127"/>
        <v>1</v>
      </c>
      <c r="L269" s="241" t="e">
        <f t="shared" ca="1" si="128"/>
        <v>#N/A</v>
      </c>
      <c r="M269" s="243" t="e">
        <f ca="1">IF(AND(INDEX(FlowCalConstA,MATCH(J259,FlowCalNumber,0),1,1)*L269^INDEX(FlowCalConstB,MATCH(J259,FlowCalNumber,0),1,1)&gt;INDEX(FlowCalLowSetting,MATCH(J259,FlowCalNumber,0),1,1), (INDEX(FlowCalConstA,MATCH(J259,FlowCalNumber,0),1,1)*L269^INDEX(FlowCalConstB,MATCH(J259,FlowCalNumber,0),1,1)&lt;INDEX(FlowCalHighSetting,MATCH(J259,FlowCalNumber,0),1,1))),INDEX(FlowCalConstA,MATCH(J259,FlowCalNumber,0),1,1)*L269^INDEX(FlowCalConstB,MATCH(J259,FlowCalNumber,0),1,1)," ")</f>
        <v>#N/A</v>
      </c>
      <c r="N269" s="377"/>
      <c r="O269" s="242">
        <f t="shared" si="129"/>
        <v>1</v>
      </c>
      <c r="P269" s="241" t="e">
        <f t="shared" ca="1" si="130"/>
        <v>#N/A</v>
      </c>
      <c r="Q269" s="244" t="e">
        <f ca="1">IF(AND(INDEX(FlowCalConstA,MATCH(N259,FlowCalNumber,0),1,1)*P269^INDEX(FlowCalConstB,MATCH(N259,FlowCalNumber,0),1,1)&gt;INDEX(FlowCalLowSetting,MATCH(N259,FlowCalNumber,0),1,1), (INDEX(FlowCalConstA,MATCH(N259,FlowCalNumber,0),1,1)*P269^INDEX(FlowCalConstB,MATCH(N259,FlowCalNumber,0),1,1)&lt;INDEX(FlowCalHighSetting,MATCH(N259,FlowCalNumber,0),1,1))),INDEX(FlowCalConstA,MATCH(N259,FlowCalNumber,0),1,1)*P269^INDEX(FlowCalConstB,MATCH(N259,FlowCalNumber,0),1,1)," ")</f>
        <v>#N/A</v>
      </c>
      <c r="R269" s="377"/>
      <c r="S269" s="242">
        <f t="shared" si="131"/>
        <v>0.5</v>
      </c>
      <c r="T269" s="241" t="e">
        <f t="shared" ca="1" si="132"/>
        <v>#N/A</v>
      </c>
      <c r="U269" s="243" t="e">
        <f ca="1">IF(AND(INDEX(FlowCalConstA,MATCH(R259,FlowCalNumber,0),1,1)*T269^INDEX(FlowCalConstB,MATCH(R259,FlowCalNumber,0),1,1)&gt;INDEX(FlowCalLowSetting,MATCH(R259,FlowCalNumber,0),1,1), (INDEX(FlowCalConstA,MATCH(R259,FlowCalNumber,0),1,1)*T269^INDEX(FlowCalConstB,MATCH(R259,FlowCalNumber,0),1,1)&lt;INDEX(FlowCalHighSetting,MATCH(R259,FlowCalNumber,0),1,1))),INDEX(FlowCalConstA,MATCH(R259,FlowCalNumber,0),1,1)*T269^INDEX(FlowCalConstB,MATCH(R259,FlowCalNumber,0),1,1)," ")</f>
        <v>#N/A</v>
      </c>
      <c r="V269" s="377"/>
      <c r="W269" s="242">
        <f t="shared" si="133"/>
        <v>0.5</v>
      </c>
      <c r="X269" s="241" t="e">
        <f t="shared" ca="1" si="134"/>
        <v>#N/A</v>
      </c>
      <c r="Y269" s="244" t="e">
        <f ca="1">IF(AND(INDEX(FlowCalConstA,MATCH(V259,FlowCalNumber,0),1,1)*X269^INDEX(FlowCalConstB,MATCH(V259,FlowCalNumber,0),1,1)&gt;INDEX(FlowCalLowSetting,MATCH(V259,FlowCalNumber,0),1,1), (INDEX(FlowCalConstA,MATCH(V259,FlowCalNumber,0),1,1)*X269^INDEX(FlowCalConstB,MATCH(V259,FlowCalNumber,0),1,1)&lt;INDEX(FlowCalHighSetting,MATCH(V259,FlowCalNumber,0),1,1))),INDEX(FlowCalConstA,MATCH(V259,FlowCalNumber,0),1,1)*X269^INDEX(FlowCalConstB,MATCH(V259,FlowCalNumber,0),1,1)," ")</f>
        <v>#N/A</v>
      </c>
    </row>
    <row r="270" spans="1:25" s="1215" customFormat="1">
      <c r="A270" s="1208"/>
      <c r="B270" s="1209"/>
      <c r="C270" s="1210"/>
      <c r="D270" s="1211">
        <f>'1% Wind'!$M$92</f>
        <v>3.2</v>
      </c>
      <c r="E270" s="1212"/>
      <c r="F270" s="1212"/>
      <c r="G270" s="1213" t="e">
        <f ca="1">IF(I259=1,$G269,MAX(G269/D269*D270,2))</f>
        <v>#N/A</v>
      </c>
      <c r="H270" s="1214" t="e">
        <f t="shared" ca="1" si="126"/>
        <v>#N/A</v>
      </c>
      <c r="J270" s="1216"/>
      <c r="K270" s="1217">
        <f t="shared" si="127"/>
        <v>1</v>
      </c>
      <c r="L270" s="1218" t="e">
        <f t="shared" ca="1" si="128"/>
        <v>#N/A</v>
      </c>
      <c r="M270" s="1219" t="e">
        <f ca="1">IF(AND(INDEX(FlowCalConstA,MATCH(J259,FlowCalNumber,0),1,1)*L270^INDEX(FlowCalConstB,MATCH(J259,FlowCalNumber,0),1,1)&gt;INDEX(FlowCalLowSetting,MATCH(J259,FlowCalNumber,0),1,1), (INDEX(FlowCalConstA,MATCH(J259,FlowCalNumber,0),1,1)*L270^INDEX(FlowCalConstB,MATCH(J259,FlowCalNumber,0),1,1)&lt;INDEX(FlowCalHighSetting,MATCH(J259,FlowCalNumber,0),1,1))),INDEX(FlowCalConstA,MATCH(J259,FlowCalNumber,0),1,1)*L270^INDEX(FlowCalConstB,MATCH(J259,FlowCalNumber,0),1,1)," ")</f>
        <v>#N/A</v>
      </c>
      <c r="N270" s="1216"/>
      <c r="O270" s="1217">
        <f t="shared" si="129"/>
        <v>1</v>
      </c>
      <c r="P270" s="1218" t="e">
        <f t="shared" ca="1" si="130"/>
        <v>#N/A</v>
      </c>
      <c r="Q270" s="1220" t="e">
        <f ca="1">IF(AND(INDEX(FlowCalConstA,MATCH(N259,FlowCalNumber,0),1,1)*P270^INDEX(FlowCalConstB,MATCH(N259,FlowCalNumber,0),1,1)&gt;INDEX(FlowCalLowSetting,MATCH(N259,FlowCalNumber,0),1,1), (INDEX(FlowCalConstA,MATCH(N259,FlowCalNumber,0),1,1)*P270^INDEX(FlowCalConstB,MATCH(N259,FlowCalNumber,0),1,1)&lt;INDEX(FlowCalHighSetting,MATCH(N259,FlowCalNumber,0),1,1))),INDEX(FlowCalConstA,MATCH(N259,FlowCalNumber,0),1,1)*P270^INDEX(FlowCalConstB,MATCH(N259,FlowCalNumber,0),1,1)," ")</f>
        <v>#N/A</v>
      </c>
      <c r="R270" s="1216"/>
      <c r="S270" s="1217">
        <f t="shared" si="131"/>
        <v>0.5</v>
      </c>
      <c r="T270" s="1218" t="e">
        <f t="shared" ca="1" si="132"/>
        <v>#N/A</v>
      </c>
      <c r="U270" s="1219" t="e">
        <f ca="1">IF(AND(INDEX(FlowCalConstA,MATCH(R259,FlowCalNumber,0),1,1)*T270^INDEX(FlowCalConstB,MATCH(R259,FlowCalNumber,0),1,1)&gt;INDEX(FlowCalLowSetting,MATCH(R259,FlowCalNumber,0),1,1), (INDEX(FlowCalConstA,MATCH(R259,FlowCalNumber,0),1,1)*T270^INDEX(FlowCalConstB,MATCH(R259,FlowCalNumber,0),1,1)&lt;INDEX(FlowCalHighSetting,MATCH(R259,FlowCalNumber,0),1,1))),INDEX(FlowCalConstA,MATCH(R259,FlowCalNumber,0),1,1)*T270^INDEX(FlowCalConstB,MATCH(R259,FlowCalNumber,0),1,1)," ")</f>
        <v>#N/A</v>
      </c>
      <c r="V270" s="1216"/>
      <c r="W270" s="1217">
        <f t="shared" si="133"/>
        <v>0.5</v>
      </c>
      <c r="X270" s="1218" t="e">
        <f t="shared" ca="1" si="134"/>
        <v>#N/A</v>
      </c>
      <c r="Y270" s="1220" t="e">
        <f ca="1">IF(AND(INDEX(FlowCalConstA,MATCH(V259,FlowCalNumber,0),1,1)*X270^INDEX(FlowCalConstB,MATCH(V259,FlowCalNumber,0),1,1)&gt;INDEX(FlowCalLowSetting,MATCH(V259,FlowCalNumber,0),1,1), (INDEX(FlowCalConstA,MATCH(V259,FlowCalNumber,0),1,1)*X270^INDEX(FlowCalConstB,MATCH(V259,FlowCalNumber,0),1,1)&lt;INDEX(FlowCalHighSetting,MATCH(V259,FlowCalNumber,0),1,1))),INDEX(FlowCalConstA,MATCH(V259,FlowCalNumber,0),1,1)*X270^INDEX(FlowCalConstB,MATCH(V259,FlowCalNumber,0),1,1)," ")</f>
        <v>#N/A</v>
      </c>
    </row>
    <row r="271" spans="1:25">
      <c r="A271" s="412"/>
      <c r="B271" s="2"/>
      <c r="C271" s="235"/>
      <c r="D271" s="24">
        <f>'1% Wind'!$M$93</f>
        <v>2.4</v>
      </c>
      <c r="E271" s="90"/>
      <c r="F271" s="90"/>
      <c r="G271" s="79" t="e">
        <f ca="1">IF(I259=1,$G270,MAX(G270/D270*D271,2))</f>
        <v>#N/A</v>
      </c>
      <c r="H271" s="121" t="e">
        <f t="shared" ca="1" si="126"/>
        <v>#N/A</v>
      </c>
      <c r="J271" s="377"/>
      <c r="K271" s="242">
        <f t="shared" si="127"/>
        <v>1</v>
      </c>
      <c r="L271" s="241" t="e">
        <f t="shared" ca="1" si="128"/>
        <v>#N/A</v>
      </c>
      <c r="M271" s="243" t="e">
        <f ca="1">IF(AND(INDEX(FlowCalConstA,MATCH(J259,FlowCalNumber,0),1,1)*L271^INDEX(FlowCalConstB,MATCH(J259,FlowCalNumber,0),1,1)&gt;INDEX(FlowCalLowSetting,MATCH(J259,FlowCalNumber,0),1,1), (INDEX(FlowCalConstA,MATCH(J259,FlowCalNumber,0),1,1)*L271^INDEX(FlowCalConstB,MATCH(J259,FlowCalNumber,0),1,1)&lt;INDEX(FlowCalHighSetting,MATCH(J259,FlowCalNumber,0),1,1))),INDEX(FlowCalConstA,MATCH(J259,FlowCalNumber,0),1,1)*L271^INDEX(FlowCalConstB,MATCH(J259,FlowCalNumber,0),1,1)," ")</f>
        <v>#N/A</v>
      </c>
      <c r="N271" s="377"/>
      <c r="O271" s="242">
        <f t="shared" si="129"/>
        <v>1</v>
      </c>
      <c r="P271" s="241" t="e">
        <f t="shared" ca="1" si="130"/>
        <v>#N/A</v>
      </c>
      <c r="Q271" s="244" t="e">
        <f ca="1">IF(AND(INDEX(FlowCalConstA,MATCH(N259,FlowCalNumber,0),1,1)*P271^INDEX(FlowCalConstB,MATCH(N259,FlowCalNumber,0),1,1)&gt;INDEX(FlowCalLowSetting,MATCH(N259,FlowCalNumber,0),1,1), (INDEX(FlowCalConstA,MATCH(N259,FlowCalNumber,0),1,1)*P271^INDEX(FlowCalConstB,MATCH(N259,FlowCalNumber,0),1,1)&lt;INDEX(FlowCalHighSetting,MATCH(N259,FlowCalNumber,0),1,1))),INDEX(FlowCalConstA,MATCH(N259,FlowCalNumber,0),1,1)*P271^INDEX(FlowCalConstB,MATCH(N259,FlowCalNumber,0),1,1)," ")</f>
        <v>#N/A</v>
      </c>
      <c r="R271" s="377"/>
      <c r="S271" s="242">
        <f t="shared" si="131"/>
        <v>0.5</v>
      </c>
      <c r="T271" s="241" t="e">
        <f t="shared" ca="1" si="132"/>
        <v>#N/A</v>
      </c>
      <c r="U271" s="243" t="e">
        <f ca="1">IF(AND(INDEX(FlowCalConstA,MATCH(R259,FlowCalNumber,0),1,1)*T271^INDEX(FlowCalConstB,MATCH(R259,FlowCalNumber,0),1,1)&gt;INDEX(FlowCalLowSetting,MATCH(R259,FlowCalNumber,0),1,1), (INDEX(FlowCalConstA,MATCH(R259,FlowCalNumber,0),1,1)*T271^INDEX(FlowCalConstB,MATCH(R259,FlowCalNumber,0),1,1)&lt;INDEX(FlowCalHighSetting,MATCH(R259,FlowCalNumber,0),1,1))),INDEX(FlowCalConstA,MATCH(R259,FlowCalNumber,0),1,1)*T271^INDEX(FlowCalConstB,MATCH(R259,FlowCalNumber,0),1,1)," ")</f>
        <v>#N/A</v>
      </c>
      <c r="V271" s="377"/>
      <c r="W271" s="242">
        <f t="shared" si="133"/>
        <v>0.5</v>
      </c>
      <c r="X271" s="241" t="e">
        <f t="shared" ca="1" si="134"/>
        <v>#N/A</v>
      </c>
      <c r="Y271" s="244" t="e">
        <f ca="1">IF(AND(INDEX(FlowCalConstA,MATCH(V259,FlowCalNumber,0),1,1)*X271^INDEX(FlowCalConstB,MATCH(V259,FlowCalNumber,0),1,1)&gt;INDEX(FlowCalLowSetting,MATCH(V259,FlowCalNumber,0),1,1), (INDEX(FlowCalConstA,MATCH(V259,FlowCalNumber,0),1,1)*X271^INDEX(FlowCalConstB,MATCH(V259,FlowCalNumber,0),1,1)&lt;INDEX(FlowCalHighSetting,MATCH(V259,FlowCalNumber,0),1,1))),INDEX(FlowCalConstA,MATCH(V259,FlowCalNumber,0),1,1)*X271^INDEX(FlowCalConstB,MATCH(V259,FlowCalNumber,0),1,1)," ")</f>
        <v>#N/A</v>
      </c>
    </row>
    <row r="272" spans="1:25" s="1215" customFormat="1">
      <c r="A272" s="1208"/>
      <c r="B272" s="1209"/>
      <c r="C272" s="1210"/>
      <c r="D272" s="1211">
        <f>'1% Wind'!$M$94</f>
        <v>1.8</v>
      </c>
      <c r="E272" s="1212"/>
      <c r="F272" s="1212"/>
      <c r="G272" s="1213" t="e">
        <f ca="1">IF(I259=1,$G271,MAX(G271/D271*D272,2))</f>
        <v>#N/A</v>
      </c>
      <c r="H272" s="1214" t="e">
        <f t="shared" ca="1" si="126"/>
        <v>#N/A</v>
      </c>
      <c r="J272" s="1216"/>
      <c r="K272" s="1217">
        <f t="shared" si="127"/>
        <v>1</v>
      </c>
      <c r="L272" s="1218" t="e">
        <f t="shared" ca="1" si="128"/>
        <v>#N/A</v>
      </c>
      <c r="M272" s="1219" t="e">
        <f ca="1">IF(AND(INDEX(FlowCalConstA,MATCH(J259,FlowCalNumber,0),1,1)*L272^INDEX(FlowCalConstB,MATCH(J259,FlowCalNumber,0),1,1)&gt;INDEX(FlowCalLowSetting,MATCH(J259,FlowCalNumber,0),1,1), (INDEX(FlowCalConstA,MATCH(J259,FlowCalNumber,0),1,1)*L272^INDEX(FlowCalConstB,MATCH(J259,FlowCalNumber,0),1,1)&lt;INDEX(FlowCalHighSetting,MATCH(J259,FlowCalNumber,0),1,1))),INDEX(FlowCalConstA,MATCH(J259,FlowCalNumber,0),1,1)*L272^INDEX(FlowCalConstB,MATCH(J259,FlowCalNumber,0),1,1)," ")</f>
        <v>#N/A</v>
      </c>
      <c r="N272" s="1216"/>
      <c r="O272" s="1217">
        <f t="shared" si="129"/>
        <v>1</v>
      </c>
      <c r="P272" s="1218" t="e">
        <f t="shared" ca="1" si="130"/>
        <v>#N/A</v>
      </c>
      <c r="Q272" s="1220" t="e">
        <f ca="1">IF(AND(INDEX(FlowCalConstA,MATCH(N259,FlowCalNumber,0),1,1)*P272^INDEX(FlowCalConstB,MATCH(N259,FlowCalNumber,0),1,1)&gt;INDEX(FlowCalLowSetting,MATCH(N259,FlowCalNumber,0),1,1), (INDEX(FlowCalConstA,MATCH(N259,FlowCalNumber,0),1,1)*P272^INDEX(FlowCalConstB,MATCH(N259,FlowCalNumber,0),1,1)&lt;INDEX(FlowCalHighSetting,MATCH(N259,FlowCalNumber,0),1,1))),INDEX(FlowCalConstA,MATCH(N259,FlowCalNumber,0),1,1)*P272^INDEX(FlowCalConstB,MATCH(N259,FlowCalNumber,0),1,1)," ")</f>
        <v>#N/A</v>
      </c>
      <c r="R272" s="1216"/>
      <c r="S272" s="1217">
        <f t="shared" si="131"/>
        <v>0.5</v>
      </c>
      <c r="T272" s="1218" t="e">
        <f t="shared" ca="1" si="132"/>
        <v>#N/A</v>
      </c>
      <c r="U272" s="1219" t="e">
        <f ca="1">IF(AND(INDEX(FlowCalConstA,MATCH(R259,FlowCalNumber,0),1,1)*T272^INDEX(FlowCalConstB,MATCH(R259,FlowCalNumber,0),1,1)&gt;INDEX(FlowCalLowSetting,MATCH(R259,FlowCalNumber,0),1,1), (INDEX(FlowCalConstA,MATCH(R259,FlowCalNumber,0),1,1)*T272^INDEX(FlowCalConstB,MATCH(R259,FlowCalNumber,0),1,1)&lt;INDEX(FlowCalHighSetting,MATCH(R259,FlowCalNumber,0),1,1))),INDEX(FlowCalConstA,MATCH(R259,FlowCalNumber,0),1,1)*T272^INDEX(FlowCalConstB,MATCH(R259,FlowCalNumber,0),1,1)," ")</f>
        <v>#N/A</v>
      </c>
      <c r="V272" s="1216"/>
      <c r="W272" s="1217">
        <f t="shared" si="133"/>
        <v>0.5</v>
      </c>
      <c r="X272" s="1218" t="e">
        <f t="shared" ca="1" si="134"/>
        <v>#N/A</v>
      </c>
      <c r="Y272" s="1220" t="e">
        <f ca="1">IF(AND(INDEX(FlowCalConstA,MATCH(V259,FlowCalNumber,0),1,1)*X272^INDEX(FlowCalConstB,MATCH(V259,FlowCalNumber,0),1,1)&gt;INDEX(FlowCalLowSetting,MATCH(V259,FlowCalNumber,0),1,1), (INDEX(FlowCalConstA,MATCH(V259,FlowCalNumber,0),1,1)*X272^INDEX(FlowCalConstB,MATCH(V259,FlowCalNumber,0),1,1)&lt;INDEX(FlowCalHighSetting,MATCH(V259,FlowCalNumber,0),1,1))),INDEX(FlowCalConstA,MATCH(V259,FlowCalNumber,0),1,1)*X272^INDEX(FlowCalConstB,MATCH(V259,FlowCalNumber,0),1,1)," ")</f>
        <v>#N/A</v>
      </c>
    </row>
    <row r="273" spans="1:25">
      <c r="A273" s="412"/>
      <c r="B273" s="2"/>
      <c r="C273" s="235"/>
      <c r="D273" s="24">
        <f>'1% Wind'!$M$95</f>
        <v>1.3</v>
      </c>
      <c r="E273" s="90"/>
      <c r="F273" s="90"/>
      <c r="G273" s="79" t="e">
        <f ca="1">IF(I259=1,$G272,MAX(G272/D272*D273,2))</f>
        <v>#N/A</v>
      </c>
      <c r="H273" s="121" t="e">
        <f t="shared" ca="1" si="126"/>
        <v>#N/A</v>
      </c>
      <c r="J273" s="377"/>
      <c r="K273" s="242">
        <f t="shared" si="127"/>
        <v>1</v>
      </c>
      <c r="L273" s="241" t="e">
        <f t="shared" ca="1" si="128"/>
        <v>#N/A</v>
      </c>
      <c r="M273" s="243" t="e">
        <f ca="1">IF(AND(INDEX(FlowCalConstA,MATCH(J259,FlowCalNumber,0),1,1)*L273^INDEX(FlowCalConstB,MATCH(J259,FlowCalNumber,0),1,1)&gt;INDEX(FlowCalLowSetting,MATCH(J259,FlowCalNumber,0),1,1), (INDEX(FlowCalConstA,MATCH(J259,FlowCalNumber,0),1,1)*L273^INDEX(FlowCalConstB,MATCH(J259,FlowCalNumber,0),1,1)&lt;INDEX(FlowCalHighSetting,MATCH(J259,FlowCalNumber,0),1,1))),INDEX(FlowCalConstA,MATCH(J259,FlowCalNumber,0),1,1)*L273^INDEX(FlowCalConstB,MATCH(J259,FlowCalNumber,0),1,1)," ")</f>
        <v>#N/A</v>
      </c>
      <c r="N273" s="377"/>
      <c r="O273" s="242">
        <f t="shared" si="129"/>
        <v>1</v>
      </c>
      <c r="P273" s="241" t="e">
        <f t="shared" ca="1" si="130"/>
        <v>#N/A</v>
      </c>
      <c r="Q273" s="244" t="e">
        <f ca="1">IF(AND(INDEX(FlowCalConstA,MATCH(N259,FlowCalNumber,0),1,1)*P273^INDEX(FlowCalConstB,MATCH(N259,FlowCalNumber,0),1,1)&gt;INDEX(FlowCalLowSetting,MATCH(N259,FlowCalNumber,0),1,1), (INDEX(FlowCalConstA,MATCH(N259,FlowCalNumber,0),1,1)*P273^INDEX(FlowCalConstB,MATCH(N259,FlowCalNumber,0),1,1)&lt;INDEX(FlowCalHighSetting,MATCH(N259,FlowCalNumber,0),1,1))),INDEX(FlowCalConstA,MATCH(N259,FlowCalNumber,0),1,1)*P273^INDEX(FlowCalConstB,MATCH(N259,FlowCalNumber,0),1,1)," ")</f>
        <v>#N/A</v>
      </c>
      <c r="R273" s="377"/>
      <c r="S273" s="242">
        <f t="shared" si="131"/>
        <v>0.5</v>
      </c>
      <c r="T273" s="241" t="e">
        <f t="shared" ca="1" si="132"/>
        <v>#N/A</v>
      </c>
      <c r="U273" s="243" t="e">
        <f ca="1">IF(AND(INDEX(FlowCalConstA,MATCH(R259,FlowCalNumber,0),1,1)*T273^INDEX(FlowCalConstB,MATCH(R259,FlowCalNumber,0),1,1)&gt;INDEX(FlowCalLowSetting,MATCH(R259,FlowCalNumber,0),1,1), (INDEX(FlowCalConstA,MATCH(R259,FlowCalNumber,0),1,1)*T273^INDEX(FlowCalConstB,MATCH(R259,FlowCalNumber,0),1,1)&lt;INDEX(FlowCalHighSetting,MATCH(R259,FlowCalNumber,0),1,1))),INDEX(FlowCalConstA,MATCH(R259,FlowCalNumber,0),1,1)*T273^INDEX(FlowCalConstB,MATCH(R259,FlowCalNumber,0),1,1)," ")</f>
        <v>#N/A</v>
      </c>
      <c r="V273" s="377"/>
      <c r="W273" s="242">
        <f t="shared" si="133"/>
        <v>0.5</v>
      </c>
      <c r="X273" s="241" t="e">
        <f t="shared" ca="1" si="134"/>
        <v>#N/A</v>
      </c>
      <c r="Y273" s="244" t="e">
        <f ca="1">IF(AND(INDEX(FlowCalConstA,MATCH(V259,FlowCalNumber,0),1,1)*X273^INDEX(FlowCalConstB,MATCH(V259,FlowCalNumber,0),1,1)&gt;INDEX(FlowCalLowSetting,MATCH(V259,FlowCalNumber,0),1,1), (INDEX(FlowCalConstA,MATCH(V259,FlowCalNumber,0),1,1)*X273^INDEX(FlowCalConstB,MATCH(V259,FlowCalNumber,0),1,1)&lt;INDEX(FlowCalHighSetting,MATCH(V259,FlowCalNumber,0),1,1))),INDEX(FlowCalConstA,MATCH(V259,FlowCalNumber,0),1,1)*X273^INDEX(FlowCalConstB,MATCH(V259,FlowCalNumber,0),1,1)," ")</f>
        <v>#N/A</v>
      </c>
    </row>
    <row r="274" spans="1:25" s="1215" customFormat="1">
      <c r="A274" s="1208"/>
      <c r="B274" s="1209"/>
      <c r="C274" s="1210"/>
      <c r="D274" s="1211">
        <f>'1% Wind'!$M$96</f>
        <v>1</v>
      </c>
      <c r="E274" s="1212"/>
      <c r="F274" s="1212"/>
      <c r="G274" s="1213" t="e">
        <f ca="1">IF(I259=1,$G273,MAX(G273/D273*D274,2))</f>
        <v>#N/A</v>
      </c>
      <c r="H274" s="1214" t="e">
        <f t="shared" ca="1" si="126"/>
        <v>#N/A</v>
      </c>
      <c r="J274" s="1216"/>
      <c r="K274" s="1217">
        <f t="shared" si="127"/>
        <v>1</v>
      </c>
      <c r="L274" s="1218" t="e">
        <f t="shared" ca="1" si="128"/>
        <v>#N/A</v>
      </c>
      <c r="M274" s="1219" t="e">
        <f ca="1">IF(AND(INDEX(FlowCalConstA,MATCH(J259,FlowCalNumber,0),1,1)*L274^INDEX(FlowCalConstB,MATCH(J259,FlowCalNumber,0),1,1)&gt;INDEX(FlowCalLowSetting,MATCH(J259,FlowCalNumber,0),1,1), (INDEX(FlowCalConstA,MATCH(J259,FlowCalNumber,0),1,1)*L274^INDEX(FlowCalConstB,MATCH(J259,FlowCalNumber,0),1,1)&lt;INDEX(FlowCalHighSetting,MATCH(J259,FlowCalNumber,0),1,1))),INDEX(FlowCalConstA,MATCH(J259,FlowCalNumber,0),1,1)*L274^INDEX(FlowCalConstB,MATCH(J259,FlowCalNumber,0),1,1)," ")</f>
        <v>#N/A</v>
      </c>
      <c r="N274" s="1216"/>
      <c r="O274" s="1217">
        <f t="shared" si="129"/>
        <v>1</v>
      </c>
      <c r="P274" s="1218" t="e">
        <f t="shared" ca="1" si="130"/>
        <v>#N/A</v>
      </c>
      <c r="Q274" s="1220" t="e">
        <f ca="1">IF(AND(INDEX(FlowCalConstA,MATCH(N259,FlowCalNumber,0),1,1)*P274^INDEX(FlowCalConstB,MATCH(N259,FlowCalNumber,0),1,1)&gt;INDEX(FlowCalLowSetting,MATCH(N259,FlowCalNumber,0),1,1), (INDEX(FlowCalConstA,MATCH(N259,FlowCalNumber,0),1,1)*P274^INDEX(FlowCalConstB,MATCH(N259,FlowCalNumber,0),1,1)&lt;INDEX(FlowCalHighSetting,MATCH(N259,FlowCalNumber,0),1,1))),INDEX(FlowCalConstA,MATCH(N259,FlowCalNumber,0),1,1)*P274^INDEX(FlowCalConstB,MATCH(N259,FlowCalNumber,0),1,1)," ")</f>
        <v>#N/A</v>
      </c>
      <c r="R274" s="1216"/>
      <c r="S274" s="1217">
        <f t="shared" si="131"/>
        <v>0.5</v>
      </c>
      <c r="T274" s="1218" t="e">
        <f t="shared" ca="1" si="132"/>
        <v>#N/A</v>
      </c>
      <c r="U274" s="1219" t="e">
        <f ca="1">IF(AND(INDEX(FlowCalConstA,MATCH(R259,FlowCalNumber,0),1,1)*T274^INDEX(FlowCalConstB,MATCH(R259,FlowCalNumber,0),1,1)&gt;INDEX(FlowCalLowSetting,MATCH(R259,FlowCalNumber,0),1,1), (INDEX(FlowCalConstA,MATCH(R259,FlowCalNumber,0),1,1)*T274^INDEX(FlowCalConstB,MATCH(R259,FlowCalNumber,0),1,1)&lt;INDEX(FlowCalHighSetting,MATCH(R259,FlowCalNumber,0),1,1))),INDEX(FlowCalConstA,MATCH(R259,FlowCalNumber,0),1,1)*T274^INDEX(FlowCalConstB,MATCH(R259,FlowCalNumber,0),1,1)," ")</f>
        <v>#N/A</v>
      </c>
      <c r="V274" s="1216"/>
      <c r="W274" s="1217">
        <f t="shared" si="133"/>
        <v>0.5</v>
      </c>
      <c r="X274" s="1218" t="e">
        <f t="shared" ca="1" si="134"/>
        <v>#N/A</v>
      </c>
      <c r="Y274" s="1220" t="e">
        <f ca="1">IF(AND(INDEX(FlowCalConstA,MATCH(V259,FlowCalNumber,0),1,1)*X274^INDEX(FlowCalConstB,MATCH(V259,FlowCalNumber,0),1,1)&gt;INDEX(FlowCalLowSetting,MATCH(V259,FlowCalNumber,0),1,1), (INDEX(FlowCalConstA,MATCH(V259,FlowCalNumber,0),1,1)*X274^INDEX(FlowCalConstB,MATCH(V259,FlowCalNumber,0),1,1)&lt;INDEX(FlowCalHighSetting,MATCH(V259,FlowCalNumber,0),1,1))),INDEX(FlowCalConstA,MATCH(V259,FlowCalNumber,0),1,1)*X274^INDEX(FlowCalConstB,MATCH(V259,FlowCalNumber,0),1,1)," ")</f>
        <v>#N/A</v>
      </c>
    </row>
    <row r="275" spans="1:25">
      <c r="A275" s="90"/>
      <c r="C275" s="235"/>
      <c r="E275" s="90"/>
      <c r="F275" s="90"/>
      <c r="G275" s="33"/>
      <c r="J275" s="377"/>
      <c r="M275" s="243"/>
      <c r="N275" s="377"/>
      <c r="Q275" s="244"/>
      <c r="R275" s="377"/>
      <c r="U275" s="243"/>
      <c r="V275" s="377"/>
      <c r="Y275" s="244"/>
    </row>
    <row r="276" spans="1:25">
      <c r="A276" s="639">
        <f>A259+1</f>
        <v>6</v>
      </c>
      <c r="B276" s="42" t="e">
        <f>INDEX(SourceID,MATCH($A276,SourceNumber,0),1,1)</f>
        <v>#N/A</v>
      </c>
      <c r="C276" s="354" t="e">
        <f>INDEX(SourceExitDiameter,MATCH($A276,SourceNumber,0),1,1)*3.28*12</f>
        <v>#N/A</v>
      </c>
      <c r="D276" s="24" t="str">
        <f>UAnem1percent</f>
        <v>1% Wind</v>
      </c>
      <c r="E276" s="85" t="e">
        <f ca="1">INDIRECT(ADDRESS(53,6,1,,$A276))</f>
        <v>#N/A</v>
      </c>
      <c r="F276" s="626" t="e">
        <f ca="1">(ROUND((INDIRECT(ADDRESS(15,7,1,,$A276))*3.28*12*32),0)&amp;"/32")</f>
        <v>#N/A</v>
      </c>
      <c r="G276" s="125" t="e">
        <f ca="1">INDIRECT(ADDRESS(29,7,1,,$A276))</f>
        <v>#N/A</v>
      </c>
      <c r="H276" s="24" t="e">
        <f ca="1">INDIRECT(ADDRESS(19,7,1,,$A276))*100^3</f>
        <v>#N/A</v>
      </c>
      <c r="I276" s="24" t="e">
        <f ca="1">INDIRECT(ADDRESS(53,7,1,,$A276))</f>
        <v>#N/A</v>
      </c>
      <c r="J276" s="20" t="str">
        <f>K$15&amp;$H$6&amp;J$6</f>
        <v>100AirPick a Tunnel</v>
      </c>
      <c r="K276" t="e">
        <f>INDEX(FlowCalGasMixture,MATCH(J276,FlowCalNumber,0),1,1)</f>
        <v>#N/A</v>
      </c>
      <c r="M276" s="355" t="e">
        <f>INDEX(FlowCalDevice,MATCH(J276,FlowCalNumber,0),1,1)</f>
        <v>#N/A</v>
      </c>
      <c r="N276" s="20" t="str">
        <f>O$15&amp;$H$6&amp;N$6</f>
        <v>100AirPick a Tunnel</v>
      </c>
      <c r="O276" t="e">
        <f>INDEX(FlowCalGasMixture,MATCH(N276,FlowCalNumber,0),1,1)</f>
        <v>#N/A</v>
      </c>
      <c r="Q276" s="355" t="e">
        <f>INDEX(FlowCalDevice,MATCH(N276,FlowCalNumber,0),1,1)</f>
        <v>#N/A</v>
      </c>
      <c r="R276" s="20" t="str">
        <f>S$15&amp;$H$6&amp;R$6</f>
        <v>100AirPick a Tunnel</v>
      </c>
      <c r="S276" t="e">
        <f>INDEX(FlowCalGasMixture,MATCH(R276,FlowCalNumber,0),1,1)</f>
        <v>#N/A</v>
      </c>
      <c r="U276" s="944" t="e">
        <f>INDEX(FlowCalDevice,MATCH(R276,FlowCalNumber,0),1,1)</f>
        <v>#N/A</v>
      </c>
      <c r="V276" s="946" t="str">
        <f>W$15&amp;$H$6&amp;V$6</f>
        <v>100AirPick a Tunnel</v>
      </c>
      <c r="W276" t="e">
        <f>INDEX(FlowCalGasMixture,MATCH(V276,FlowCalNumber,0),1,1)</f>
        <v>#N/A</v>
      </c>
      <c r="Y276" s="982" t="e">
        <f>INDEX(FlowCalDevice,MATCH(V276,FlowCalNumber,0),1,1)</f>
        <v>#N/A</v>
      </c>
    </row>
    <row r="277" spans="1:25" s="1215" customFormat="1">
      <c r="A277" s="1208"/>
      <c r="B277" s="1209"/>
      <c r="C277" s="1210"/>
      <c r="D277" s="1211">
        <f>'1% Wind'!$M$82</f>
        <v>27</v>
      </c>
      <c r="E277" s="1212"/>
      <c r="F277" s="1212"/>
      <c r="G277" s="1213">
        <v>2</v>
      </c>
      <c r="H277" s="1214" t="e">
        <f t="shared" ref="H277:H291" ca="1" si="135">H276*(D276/D277)*(G277/G276)</f>
        <v>#N/A</v>
      </c>
      <c r="J277" s="1216"/>
      <c r="K277" s="1221">
        <f>K$16/100</f>
        <v>1</v>
      </c>
      <c r="L277" s="1218" t="e">
        <f ca="1">K277*$H277</f>
        <v>#N/A</v>
      </c>
      <c r="M277" s="1219" t="e">
        <f ca="1">IF(AND(INDEX(FlowCalConstA,MATCH(J276,FlowCalNumber,0),1,1)*L277^INDEX(FlowCalConstB,MATCH(J276,FlowCalNumber,0),1,1)&gt;INDEX(FlowCalLowSetting,MATCH(J276,FlowCalNumber,0),1,1), (INDEX(FlowCalConstA,MATCH(J276,FlowCalNumber,0),1,1)*L277^INDEX(FlowCalConstB,MATCH(J276,FlowCalNumber,0),1,1)&lt;INDEX(FlowCalHighSetting,MATCH(J276,FlowCalNumber,0),1,1))),INDEX(FlowCalConstA,MATCH(J276,FlowCalNumber,0),1,1)*L277^INDEX(FlowCalConstB,MATCH(J276,FlowCalNumber,0),1,1)," ")</f>
        <v>#N/A</v>
      </c>
      <c r="N277" s="1216"/>
      <c r="O277" s="1221">
        <f>O$16/100</f>
        <v>1</v>
      </c>
      <c r="P277" s="1218" t="e">
        <f ca="1">O277*$H277</f>
        <v>#N/A</v>
      </c>
      <c r="Q277" s="1220" t="e">
        <f ca="1">IF(AND(INDEX(FlowCalConstA,MATCH(N276,FlowCalNumber,0),1,1)*P277^INDEX(FlowCalConstB,MATCH(N276,FlowCalNumber,0),1,1)&gt;INDEX(FlowCalLowSetting,MATCH(N276,FlowCalNumber,0),1,1), (INDEX(FlowCalConstA,MATCH(N276,FlowCalNumber,0),1,1)*P277^INDEX(FlowCalConstB,MATCH(N276,FlowCalNumber,0),1,1)&lt;INDEX(FlowCalHighSetting,MATCH(N276,FlowCalNumber,0),1,1))),INDEX(FlowCalConstA,MATCH(N276,FlowCalNumber,0),1,1)*P277^INDEX(FlowCalConstB,MATCH(N276,FlowCalNumber,0),1,1)," ")</f>
        <v>#N/A</v>
      </c>
      <c r="R277" s="1216"/>
      <c r="S277" s="1221">
        <f>S$16/100</f>
        <v>0.5</v>
      </c>
      <c r="T277" s="1218" t="e">
        <f ca="1">S277*$H277</f>
        <v>#N/A</v>
      </c>
      <c r="U277" s="1219" t="e">
        <f ca="1">IF(AND(INDEX(FlowCalConstA,MATCH(R276,FlowCalNumber,0),1,1)*T277^INDEX(FlowCalConstB,MATCH(R276,FlowCalNumber,0),1,1)&gt;INDEX(FlowCalLowSetting,MATCH(R276,FlowCalNumber,0),1,1), (INDEX(FlowCalConstA,MATCH(R276,FlowCalNumber,0),1,1)*T277^INDEX(FlowCalConstB,MATCH(R276,FlowCalNumber,0),1,1)&lt;INDEX(FlowCalHighSetting,MATCH(R276,FlowCalNumber,0),1,1))),INDEX(FlowCalConstA,MATCH(R276,FlowCalNumber,0),1,1)*T277^INDEX(FlowCalConstB,MATCH(R276,FlowCalNumber,0),1,1)," ")</f>
        <v>#N/A</v>
      </c>
      <c r="V277" s="1216"/>
      <c r="W277" s="1221">
        <f>W$16/100</f>
        <v>0.5</v>
      </c>
      <c r="X277" s="1218" t="e">
        <f ca="1">W277*$H277</f>
        <v>#N/A</v>
      </c>
      <c r="Y277" s="1220" t="e">
        <f ca="1">IF(AND(INDEX(FlowCalConstA,MATCH(V276,FlowCalNumber,0),1,1)*X277^INDEX(FlowCalConstB,MATCH(V276,FlowCalNumber,0),1,1)&gt;INDEX(FlowCalLowSetting,MATCH(V276,FlowCalNumber,0),1,1), (INDEX(FlowCalConstA,MATCH(V276,FlowCalNumber,0),1,1)*X277^INDEX(FlowCalConstB,MATCH(V276,FlowCalNumber,0),1,1)&lt;INDEX(FlowCalHighSetting,MATCH(V276,FlowCalNumber,0),1,1))),INDEX(FlowCalConstA,MATCH(V276,FlowCalNumber,0),1,1)*X277^INDEX(FlowCalConstB,MATCH(V276,FlowCalNumber,0),1,1)," ")</f>
        <v>#N/A</v>
      </c>
    </row>
    <row r="278" spans="1:25">
      <c r="A278" s="412"/>
      <c r="B278" s="2"/>
      <c r="C278" s="235"/>
      <c r="D278" s="24">
        <f>'1% Wind'!$M$83</f>
        <v>23.5</v>
      </c>
      <c r="E278" s="90"/>
      <c r="F278" s="90"/>
      <c r="G278" s="79" t="e">
        <f ca="1">IF(I276=1,$G277,MAX(G277/D277*D278,2))</f>
        <v>#N/A</v>
      </c>
      <c r="H278" s="121" t="e">
        <f t="shared" ca="1" si="135"/>
        <v>#N/A</v>
      </c>
      <c r="J278" s="377"/>
      <c r="K278" s="242">
        <f t="shared" ref="K278:K291" si="136">K277</f>
        <v>1</v>
      </c>
      <c r="L278" s="241" t="e">
        <f t="shared" ref="L278:L291" ca="1" si="137">K278*$H278</f>
        <v>#N/A</v>
      </c>
      <c r="M278" s="243" t="e">
        <f ca="1">IF(AND(INDEX(FlowCalConstA,MATCH(J276,FlowCalNumber,0),1,1)*L278^INDEX(FlowCalConstB,MATCH(J276,FlowCalNumber,0),1,1)&gt;INDEX(FlowCalLowSetting,MATCH(J276,FlowCalNumber,0),1,1), (INDEX(FlowCalConstA,MATCH(J276,FlowCalNumber,0),1,1)*L278^INDEX(FlowCalConstB,MATCH(J276,FlowCalNumber,0),1,1)&lt;INDEX(FlowCalHighSetting,MATCH(J276,FlowCalNumber,0),1,1))),INDEX(FlowCalConstA,MATCH(J276,FlowCalNumber,0),1,1)*L278^INDEX(FlowCalConstB,MATCH(J276,FlowCalNumber,0),1,1)," ")</f>
        <v>#N/A</v>
      </c>
      <c r="N278" s="377"/>
      <c r="O278" s="242">
        <f t="shared" ref="O278:O291" si="138">O277</f>
        <v>1</v>
      </c>
      <c r="P278" s="241" t="e">
        <f t="shared" ref="P278:P291" ca="1" si="139">O278*$H278</f>
        <v>#N/A</v>
      </c>
      <c r="Q278" s="244" t="e">
        <f ca="1">IF(AND(INDEX(FlowCalConstA,MATCH(N276,FlowCalNumber,0),1,1)*P278^INDEX(FlowCalConstB,MATCH(N276,FlowCalNumber,0),1,1)&gt;INDEX(FlowCalLowSetting,MATCH(N276,FlowCalNumber,0),1,1), (INDEX(FlowCalConstA,MATCH(N276,FlowCalNumber,0),1,1)*P278^INDEX(FlowCalConstB,MATCH(N276,FlowCalNumber,0),1,1)&lt;INDEX(FlowCalHighSetting,MATCH(N276,FlowCalNumber,0),1,1))),INDEX(FlowCalConstA,MATCH(N276,FlowCalNumber,0),1,1)*P278^INDEX(FlowCalConstB,MATCH(N276,FlowCalNumber,0),1,1)," ")</f>
        <v>#N/A</v>
      </c>
      <c r="R278" s="377"/>
      <c r="S278" s="242">
        <f t="shared" ref="S278:S291" si="140">S277</f>
        <v>0.5</v>
      </c>
      <c r="T278" s="241" t="e">
        <f t="shared" ref="T278:T291" ca="1" si="141">S278*$H278</f>
        <v>#N/A</v>
      </c>
      <c r="U278" s="243" t="e">
        <f ca="1">IF(AND(INDEX(FlowCalConstA,MATCH(R276,FlowCalNumber,0),1,1)*T278^INDEX(FlowCalConstB,MATCH(R276,FlowCalNumber,0),1,1)&gt;INDEX(FlowCalLowSetting,MATCH(R276,FlowCalNumber,0),1,1), (INDEX(FlowCalConstA,MATCH(R276,FlowCalNumber,0),1,1)*T278^INDEX(FlowCalConstB,MATCH(R276,FlowCalNumber,0),1,1)&lt;INDEX(FlowCalHighSetting,MATCH(R276,FlowCalNumber,0),1,1))),INDEX(FlowCalConstA,MATCH(R276,FlowCalNumber,0),1,1)*T278^INDEX(FlowCalConstB,MATCH(R276,FlowCalNumber,0),1,1)," ")</f>
        <v>#N/A</v>
      </c>
      <c r="V278" s="377"/>
      <c r="W278" s="242">
        <f t="shared" ref="W278:W291" si="142">W277</f>
        <v>0.5</v>
      </c>
      <c r="X278" s="241" t="e">
        <f t="shared" ref="X278:X291" ca="1" si="143">W278*$H278</f>
        <v>#N/A</v>
      </c>
      <c r="Y278" s="244" t="e">
        <f ca="1">IF(AND(INDEX(FlowCalConstA,MATCH(V276,FlowCalNumber,0),1,1)*X278^INDEX(FlowCalConstB,MATCH(V276,FlowCalNumber,0),1,1)&gt;INDEX(FlowCalLowSetting,MATCH(V276,FlowCalNumber,0),1,1), (INDEX(FlowCalConstA,MATCH(V276,FlowCalNumber,0),1,1)*X278^INDEX(FlowCalConstB,MATCH(V276,FlowCalNumber,0),1,1)&lt;INDEX(FlowCalHighSetting,MATCH(V276,FlowCalNumber,0),1,1))),INDEX(FlowCalConstA,MATCH(V276,FlowCalNumber,0),1,1)*X278^INDEX(FlowCalConstB,MATCH(V276,FlowCalNumber,0),1,1)," ")</f>
        <v>#N/A</v>
      </c>
    </row>
    <row r="279" spans="1:25" s="1215" customFormat="1">
      <c r="A279" s="1208"/>
      <c r="B279" s="1209"/>
      <c r="C279" s="1210"/>
      <c r="D279" s="1211">
        <f>'1% Wind'!$M$84</f>
        <v>20.5</v>
      </c>
      <c r="E279" s="1212"/>
      <c r="F279" s="1212"/>
      <c r="G279" s="1213" t="e">
        <f ca="1">IF(I276=1,$G278,MAX(G278/D278*D279,2))</f>
        <v>#N/A</v>
      </c>
      <c r="H279" s="1214" t="e">
        <f t="shared" ca="1" si="135"/>
        <v>#N/A</v>
      </c>
      <c r="J279" s="1216"/>
      <c r="K279" s="1217">
        <f t="shared" si="136"/>
        <v>1</v>
      </c>
      <c r="L279" s="1218" t="e">
        <f t="shared" ca="1" si="137"/>
        <v>#N/A</v>
      </c>
      <c r="M279" s="1219" t="e">
        <f ca="1">IF(AND(INDEX(FlowCalConstA,MATCH(J276,FlowCalNumber,0),1,1)*L279^INDEX(FlowCalConstB,MATCH(J276,FlowCalNumber,0),1,1)&gt;INDEX(FlowCalLowSetting,MATCH(J276,FlowCalNumber,0),1,1), (INDEX(FlowCalConstA,MATCH(J276,FlowCalNumber,0),1,1)*L279^INDEX(FlowCalConstB,MATCH(J276,FlowCalNumber,0),1,1)&lt;INDEX(FlowCalHighSetting,MATCH(J276,FlowCalNumber,0),1,1))),INDEX(FlowCalConstA,MATCH(J276,FlowCalNumber,0),1,1)*L279^INDEX(FlowCalConstB,MATCH(J276,FlowCalNumber,0),1,1)," ")</f>
        <v>#N/A</v>
      </c>
      <c r="N279" s="1216"/>
      <c r="O279" s="1217">
        <f t="shared" si="138"/>
        <v>1</v>
      </c>
      <c r="P279" s="1218" t="e">
        <f t="shared" ca="1" si="139"/>
        <v>#N/A</v>
      </c>
      <c r="Q279" s="1220" t="e">
        <f ca="1">IF(AND(INDEX(FlowCalConstA,MATCH(N276,FlowCalNumber,0),1,1)*P279^INDEX(FlowCalConstB,MATCH(N276,FlowCalNumber,0),1,1)&gt;INDEX(FlowCalLowSetting,MATCH(N276,FlowCalNumber,0),1,1), (INDEX(FlowCalConstA,MATCH(N276,FlowCalNumber,0),1,1)*P279^INDEX(FlowCalConstB,MATCH(N276,FlowCalNumber,0),1,1)&lt;INDEX(FlowCalHighSetting,MATCH(N276,FlowCalNumber,0),1,1))),INDEX(FlowCalConstA,MATCH(N276,FlowCalNumber,0),1,1)*P279^INDEX(FlowCalConstB,MATCH(N276,FlowCalNumber,0),1,1)," ")</f>
        <v>#N/A</v>
      </c>
      <c r="R279" s="1216"/>
      <c r="S279" s="1217">
        <f t="shared" si="140"/>
        <v>0.5</v>
      </c>
      <c r="T279" s="1218" t="e">
        <f t="shared" ca="1" si="141"/>
        <v>#N/A</v>
      </c>
      <c r="U279" s="1219" t="e">
        <f ca="1">IF(AND(INDEX(FlowCalConstA,MATCH(R276,FlowCalNumber,0),1,1)*T279^INDEX(FlowCalConstB,MATCH(R276,FlowCalNumber,0),1,1)&gt;INDEX(FlowCalLowSetting,MATCH(R276,FlowCalNumber,0),1,1), (INDEX(FlowCalConstA,MATCH(R276,FlowCalNumber,0),1,1)*T279^INDEX(FlowCalConstB,MATCH(R276,FlowCalNumber,0),1,1)&lt;INDEX(FlowCalHighSetting,MATCH(R276,FlowCalNumber,0),1,1))),INDEX(FlowCalConstA,MATCH(R276,FlowCalNumber,0),1,1)*T279^INDEX(FlowCalConstB,MATCH(R276,FlowCalNumber,0),1,1)," ")</f>
        <v>#N/A</v>
      </c>
      <c r="V279" s="1216"/>
      <c r="W279" s="1217">
        <f t="shared" si="142"/>
        <v>0.5</v>
      </c>
      <c r="X279" s="1218" t="e">
        <f t="shared" ca="1" si="143"/>
        <v>#N/A</v>
      </c>
      <c r="Y279" s="1220" t="e">
        <f ca="1">IF(AND(INDEX(FlowCalConstA,MATCH(V276,FlowCalNumber,0),1,1)*X279^INDEX(FlowCalConstB,MATCH(V276,FlowCalNumber,0),1,1)&gt;INDEX(FlowCalLowSetting,MATCH(V276,FlowCalNumber,0),1,1), (INDEX(FlowCalConstA,MATCH(V276,FlowCalNumber,0),1,1)*X279^INDEX(FlowCalConstB,MATCH(V276,FlowCalNumber,0),1,1)&lt;INDEX(FlowCalHighSetting,MATCH(V276,FlowCalNumber,0),1,1))),INDEX(FlowCalConstA,MATCH(V276,FlowCalNumber,0),1,1)*X279^INDEX(FlowCalConstB,MATCH(V276,FlowCalNumber,0),1,1)," ")</f>
        <v>#N/A</v>
      </c>
    </row>
    <row r="280" spans="1:25">
      <c r="A280" s="412"/>
      <c r="B280" s="2"/>
      <c r="C280" s="235"/>
      <c r="D280" s="24">
        <f>'1% Wind'!$M$85</f>
        <v>17.8</v>
      </c>
      <c r="E280" s="90"/>
      <c r="F280" s="90"/>
      <c r="G280" s="79" t="e">
        <f ca="1">IF(I276=1,$G279,MAX(G279/D279*D280,2))</f>
        <v>#N/A</v>
      </c>
      <c r="H280" s="121" t="e">
        <f t="shared" ca="1" si="135"/>
        <v>#N/A</v>
      </c>
      <c r="J280" s="377"/>
      <c r="K280" s="242">
        <f t="shared" si="136"/>
        <v>1</v>
      </c>
      <c r="L280" s="241" t="e">
        <f t="shared" ca="1" si="137"/>
        <v>#N/A</v>
      </c>
      <c r="M280" s="243" t="e">
        <f ca="1">IF(AND(INDEX(FlowCalConstA,MATCH(J276,FlowCalNumber,0),1,1)*L280^INDEX(FlowCalConstB,MATCH(J276,FlowCalNumber,0),1,1)&gt;INDEX(FlowCalLowSetting,MATCH(J276,FlowCalNumber,0),1,1), (INDEX(FlowCalConstA,MATCH(J276,FlowCalNumber,0),1,1)*L280^INDEX(FlowCalConstB,MATCH(J276,FlowCalNumber,0),1,1)&lt;INDEX(FlowCalHighSetting,MATCH(J276,FlowCalNumber,0),1,1))),INDEX(FlowCalConstA,MATCH(J276,FlowCalNumber,0),1,1)*L280^INDEX(FlowCalConstB,MATCH(J276,FlowCalNumber,0),1,1)," ")</f>
        <v>#N/A</v>
      </c>
      <c r="N280" s="377"/>
      <c r="O280" s="242">
        <f t="shared" si="138"/>
        <v>1</v>
      </c>
      <c r="P280" s="241" t="e">
        <f t="shared" ca="1" si="139"/>
        <v>#N/A</v>
      </c>
      <c r="Q280" s="244" t="e">
        <f ca="1">IF(AND(INDEX(FlowCalConstA,MATCH(N276,FlowCalNumber,0),1,1)*P280^INDEX(FlowCalConstB,MATCH(N276,FlowCalNumber,0),1,1)&gt;INDEX(FlowCalLowSetting,MATCH(N276,FlowCalNumber,0),1,1), (INDEX(FlowCalConstA,MATCH(N276,FlowCalNumber,0),1,1)*P280^INDEX(FlowCalConstB,MATCH(N276,FlowCalNumber,0),1,1)&lt;INDEX(FlowCalHighSetting,MATCH(N276,FlowCalNumber,0),1,1))),INDEX(FlowCalConstA,MATCH(N276,FlowCalNumber,0),1,1)*P280^INDEX(FlowCalConstB,MATCH(N276,FlowCalNumber,0),1,1)," ")</f>
        <v>#N/A</v>
      </c>
      <c r="R280" s="377"/>
      <c r="S280" s="242">
        <f t="shared" si="140"/>
        <v>0.5</v>
      </c>
      <c r="T280" s="241" t="e">
        <f t="shared" ca="1" si="141"/>
        <v>#N/A</v>
      </c>
      <c r="U280" s="243" t="e">
        <f ca="1">IF(AND(INDEX(FlowCalConstA,MATCH(R276,FlowCalNumber,0),1,1)*T280^INDEX(FlowCalConstB,MATCH(R276,FlowCalNumber,0),1,1)&gt;INDEX(FlowCalLowSetting,MATCH(R276,FlowCalNumber,0),1,1), (INDEX(FlowCalConstA,MATCH(R276,FlowCalNumber,0),1,1)*T280^INDEX(FlowCalConstB,MATCH(R276,FlowCalNumber,0),1,1)&lt;INDEX(FlowCalHighSetting,MATCH(R276,FlowCalNumber,0),1,1))),INDEX(FlowCalConstA,MATCH(R276,FlowCalNumber,0),1,1)*T280^INDEX(FlowCalConstB,MATCH(R276,FlowCalNumber,0),1,1)," ")</f>
        <v>#N/A</v>
      </c>
      <c r="V280" s="377"/>
      <c r="W280" s="242">
        <f t="shared" si="142"/>
        <v>0.5</v>
      </c>
      <c r="X280" s="241" t="e">
        <f t="shared" ca="1" si="143"/>
        <v>#N/A</v>
      </c>
      <c r="Y280" s="244" t="e">
        <f ca="1">IF(AND(INDEX(FlowCalConstA,MATCH(V276,FlowCalNumber,0),1,1)*X280^INDEX(FlowCalConstB,MATCH(V276,FlowCalNumber,0),1,1)&gt;INDEX(FlowCalLowSetting,MATCH(V276,FlowCalNumber,0),1,1), (INDEX(FlowCalConstA,MATCH(V276,FlowCalNumber,0),1,1)*X280^INDEX(FlowCalConstB,MATCH(V276,FlowCalNumber,0),1,1)&lt;INDEX(FlowCalHighSetting,MATCH(V276,FlowCalNumber,0),1,1))),INDEX(FlowCalConstA,MATCH(V276,FlowCalNumber,0),1,1)*X280^INDEX(FlowCalConstB,MATCH(V276,FlowCalNumber,0),1,1)," ")</f>
        <v>#N/A</v>
      </c>
    </row>
    <row r="281" spans="1:25" s="1215" customFormat="1">
      <c r="A281" s="1208"/>
      <c r="B281" s="1209"/>
      <c r="C281" s="1210"/>
      <c r="D281" s="1211">
        <f>'1% Wind'!$M$86</f>
        <v>15.5</v>
      </c>
      <c r="E281" s="1212"/>
      <c r="F281" s="1212"/>
      <c r="G281" s="1213" t="e">
        <f ca="1">IF(I276=1,$G280,MAX(G280/D280*D281,2))</f>
        <v>#N/A</v>
      </c>
      <c r="H281" s="1214" t="e">
        <f t="shared" ca="1" si="135"/>
        <v>#N/A</v>
      </c>
      <c r="J281" s="1216"/>
      <c r="K281" s="1217">
        <f t="shared" si="136"/>
        <v>1</v>
      </c>
      <c r="L281" s="1218" t="e">
        <f t="shared" ca="1" si="137"/>
        <v>#N/A</v>
      </c>
      <c r="M281" s="1219" t="e">
        <f ca="1">IF(AND(INDEX(FlowCalConstA,MATCH(J276,FlowCalNumber,0),1,1)*L281^INDEX(FlowCalConstB,MATCH(J276,FlowCalNumber,0),1,1)&gt;INDEX(FlowCalLowSetting,MATCH(J276,FlowCalNumber,0),1,1), (INDEX(FlowCalConstA,MATCH(J276,FlowCalNumber,0),1,1)*L281^INDEX(FlowCalConstB,MATCH(J276,FlowCalNumber,0),1,1)&lt;INDEX(FlowCalHighSetting,MATCH(J276,FlowCalNumber,0),1,1))),INDEX(FlowCalConstA,MATCH(J276,FlowCalNumber,0),1,1)*L281^INDEX(FlowCalConstB,MATCH(J276,FlowCalNumber,0),1,1)," ")</f>
        <v>#N/A</v>
      </c>
      <c r="N281" s="1216"/>
      <c r="O281" s="1217">
        <f t="shared" si="138"/>
        <v>1</v>
      </c>
      <c r="P281" s="1218" t="e">
        <f t="shared" ca="1" si="139"/>
        <v>#N/A</v>
      </c>
      <c r="Q281" s="1220" t="e">
        <f ca="1">IF(AND(INDEX(FlowCalConstA,MATCH(N276,FlowCalNumber,0),1,1)*P281^INDEX(FlowCalConstB,MATCH(N276,FlowCalNumber,0),1,1)&gt;INDEX(FlowCalLowSetting,MATCH(N276,FlowCalNumber,0),1,1), (INDEX(FlowCalConstA,MATCH(N276,FlowCalNumber,0),1,1)*P281^INDEX(FlowCalConstB,MATCH(N276,FlowCalNumber,0),1,1)&lt;INDEX(FlowCalHighSetting,MATCH(N276,FlowCalNumber,0),1,1))),INDEX(FlowCalConstA,MATCH(N276,FlowCalNumber,0),1,1)*P281^INDEX(FlowCalConstB,MATCH(N276,FlowCalNumber,0),1,1)," ")</f>
        <v>#N/A</v>
      </c>
      <c r="R281" s="1216"/>
      <c r="S281" s="1217">
        <f t="shared" si="140"/>
        <v>0.5</v>
      </c>
      <c r="T281" s="1218" t="e">
        <f t="shared" ca="1" si="141"/>
        <v>#N/A</v>
      </c>
      <c r="U281" s="1219" t="e">
        <f ca="1">IF(AND(INDEX(FlowCalConstA,MATCH(R276,FlowCalNumber,0),1,1)*T281^INDEX(FlowCalConstB,MATCH(R276,FlowCalNumber,0),1,1)&gt;INDEX(FlowCalLowSetting,MATCH(R276,FlowCalNumber,0),1,1), (INDEX(FlowCalConstA,MATCH(R276,FlowCalNumber,0),1,1)*T281^INDEX(FlowCalConstB,MATCH(R276,FlowCalNumber,0),1,1)&lt;INDEX(FlowCalHighSetting,MATCH(R276,FlowCalNumber,0),1,1))),INDEX(FlowCalConstA,MATCH(R276,FlowCalNumber,0),1,1)*T281^INDEX(FlowCalConstB,MATCH(R276,FlowCalNumber,0),1,1)," ")</f>
        <v>#N/A</v>
      </c>
      <c r="V281" s="1216"/>
      <c r="W281" s="1217">
        <f t="shared" si="142"/>
        <v>0.5</v>
      </c>
      <c r="X281" s="1218" t="e">
        <f t="shared" ca="1" si="143"/>
        <v>#N/A</v>
      </c>
      <c r="Y281" s="1220" t="e">
        <f ca="1">IF(AND(INDEX(FlowCalConstA,MATCH(V276,FlowCalNumber,0),1,1)*X281^INDEX(FlowCalConstB,MATCH(V276,FlowCalNumber,0),1,1)&gt;INDEX(FlowCalLowSetting,MATCH(V276,FlowCalNumber,0),1,1), (INDEX(FlowCalConstA,MATCH(V276,FlowCalNumber,0),1,1)*X281^INDEX(FlowCalConstB,MATCH(V276,FlowCalNumber,0),1,1)&lt;INDEX(FlowCalHighSetting,MATCH(V276,FlowCalNumber,0),1,1))),INDEX(FlowCalConstA,MATCH(V276,FlowCalNumber,0),1,1)*X281^INDEX(FlowCalConstB,MATCH(V276,FlowCalNumber,0),1,1)," ")</f>
        <v>#N/A</v>
      </c>
    </row>
    <row r="282" spans="1:25">
      <c r="A282" s="412"/>
      <c r="B282" s="2"/>
      <c r="C282" s="235"/>
      <c r="D282" s="24">
        <f>'1% Wind'!$M$87</f>
        <v>13.5</v>
      </c>
      <c r="E282" s="90"/>
      <c r="F282" s="90"/>
      <c r="G282" s="79" t="e">
        <f ca="1">IF(I276=1,$G281,MAX(G281/D281*D282,2))</f>
        <v>#N/A</v>
      </c>
      <c r="H282" s="121" t="e">
        <f t="shared" ca="1" si="135"/>
        <v>#N/A</v>
      </c>
      <c r="J282" s="377"/>
      <c r="K282" s="242">
        <f t="shared" si="136"/>
        <v>1</v>
      </c>
      <c r="L282" s="241" t="e">
        <f t="shared" ca="1" si="137"/>
        <v>#N/A</v>
      </c>
      <c r="M282" s="243" t="e">
        <f ca="1">IF(AND(INDEX(FlowCalConstA,MATCH(J276,FlowCalNumber,0),1,1)*L282^INDEX(FlowCalConstB,MATCH(J276,FlowCalNumber,0),1,1)&gt;INDEX(FlowCalLowSetting,MATCH(J276,FlowCalNumber,0),1,1), (INDEX(FlowCalConstA,MATCH(J276,FlowCalNumber,0),1,1)*L282^INDEX(FlowCalConstB,MATCH(J276,FlowCalNumber,0),1,1)&lt;INDEX(FlowCalHighSetting,MATCH(J276,FlowCalNumber,0),1,1))),INDEX(FlowCalConstA,MATCH(J276,FlowCalNumber,0),1,1)*L282^INDEX(FlowCalConstB,MATCH(J276,FlowCalNumber,0),1,1)," ")</f>
        <v>#N/A</v>
      </c>
      <c r="N282" s="377"/>
      <c r="O282" s="242">
        <f t="shared" si="138"/>
        <v>1</v>
      </c>
      <c r="P282" s="241" t="e">
        <f t="shared" ca="1" si="139"/>
        <v>#N/A</v>
      </c>
      <c r="Q282" s="244" t="e">
        <f ca="1">IF(AND(INDEX(FlowCalConstA,MATCH(N276,FlowCalNumber,0),1,1)*P282^INDEX(FlowCalConstB,MATCH(N276,FlowCalNumber,0),1,1)&gt;INDEX(FlowCalLowSetting,MATCH(N276,FlowCalNumber,0),1,1), (INDEX(FlowCalConstA,MATCH(N276,FlowCalNumber,0),1,1)*P282^INDEX(FlowCalConstB,MATCH(N276,FlowCalNumber,0),1,1)&lt;INDEX(FlowCalHighSetting,MATCH(N276,FlowCalNumber,0),1,1))),INDEX(FlowCalConstA,MATCH(N276,FlowCalNumber,0),1,1)*P282^INDEX(FlowCalConstB,MATCH(N276,FlowCalNumber,0),1,1)," ")</f>
        <v>#N/A</v>
      </c>
      <c r="R282" s="377"/>
      <c r="S282" s="242">
        <f t="shared" si="140"/>
        <v>0.5</v>
      </c>
      <c r="T282" s="241" t="e">
        <f t="shared" ca="1" si="141"/>
        <v>#N/A</v>
      </c>
      <c r="U282" s="243" t="e">
        <f ca="1">IF(AND(INDEX(FlowCalConstA,MATCH(R276,FlowCalNumber,0),1,1)*T282^INDEX(FlowCalConstB,MATCH(R276,FlowCalNumber,0),1,1)&gt;INDEX(FlowCalLowSetting,MATCH(R276,FlowCalNumber,0),1,1), (INDEX(FlowCalConstA,MATCH(R276,FlowCalNumber,0),1,1)*T282^INDEX(FlowCalConstB,MATCH(R276,FlowCalNumber,0),1,1)&lt;INDEX(FlowCalHighSetting,MATCH(R276,FlowCalNumber,0),1,1))),INDEX(FlowCalConstA,MATCH(R276,FlowCalNumber,0),1,1)*T282^INDEX(FlowCalConstB,MATCH(R276,FlowCalNumber,0),1,1)," ")</f>
        <v>#N/A</v>
      </c>
      <c r="V282" s="377"/>
      <c r="W282" s="242">
        <f t="shared" si="142"/>
        <v>0.5</v>
      </c>
      <c r="X282" s="241" t="e">
        <f t="shared" ca="1" si="143"/>
        <v>#N/A</v>
      </c>
      <c r="Y282" s="244" t="e">
        <f ca="1">IF(AND(INDEX(FlowCalConstA,MATCH(V276,FlowCalNumber,0),1,1)*X282^INDEX(FlowCalConstB,MATCH(V276,FlowCalNumber,0),1,1)&gt;INDEX(FlowCalLowSetting,MATCH(V276,FlowCalNumber,0),1,1), (INDEX(FlowCalConstA,MATCH(V276,FlowCalNumber,0),1,1)*X282^INDEX(FlowCalConstB,MATCH(V276,FlowCalNumber,0),1,1)&lt;INDEX(FlowCalHighSetting,MATCH(V276,FlowCalNumber,0),1,1))),INDEX(FlowCalConstA,MATCH(V276,FlowCalNumber,0),1,1)*X282^INDEX(FlowCalConstB,MATCH(V276,FlowCalNumber,0),1,1)," ")</f>
        <v>#N/A</v>
      </c>
    </row>
    <row r="283" spans="1:25" s="1215" customFormat="1">
      <c r="A283" s="1208"/>
      <c r="B283" s="1209"/>
      <c r="C283" s="1210"/>
      <c r="D283" s="1211">
        <f>'1% Wind'!$M$88</f>
        <v>10.1</v>
      </c>
      <c r="E283" s="1212"/>
      <c r="F283" s="1212"/>
      <c r="G283" s="1213" t="e">
        <f ca="1">IF(I276=1,$G282,MAX(G282/D282*D283,2))</f>
        <v>#N/A</v>
      </c>
      <c r="H283" s="1214" t="e">
        <f t="shared" ca="1" si="135"/>
        <v>#N/A</v>
      </c>
      <c r="J283" s="1216"/>
      <c r="K283" s="1217">
        <f t="shared" si="136"/>
        <v>1</v>
      </c>
      <c r="L283" s="1218" t="e">
        <f t="shared" ca="1" si="137"/>
        <v>#N/A</v>
      </c>
      <c r="M283" s="1219" t="e">
        <f ca="1">IF(AND(INDEX(FlowCalConstA,MATCH(J276,FlowCalNumber,0),1,1)*L283^INDEX(FlowCalConstB,MATCH(J276,FlowCalNumber,0),1,1)&gt;INDEX(FlowCalLowSetting,MATCH(J276,FlowCalNumber,0),1,1), (INDEX(FlowCalConstA,MATCH(J276,FlowCalNumber,0),1,1)*L283^INDEX(FlowCalConstB,MATCH(J276,FlowCalNumber,0),1,1)&lt;INDEX(FlowCalHighSetting,MATCH(J276,FlowCalNumber,0),1,1))),INDEX(FlowCalConstA,MATCH(J276,FlowCalNumber,0),1,1)*L283^INDEX(FlowCalConstB,MATCH(J276,FlowCalNumber,0),1,1)," ")</f>
        <v>#N/A</v>
      </c>
      <c r="N283" s="1216"/>
      <c r="O283" s="1217">
        <f t="shared" si="138"/>
        <v>1</v>
      </c>
      <c r="P283" s="1218" t="e">
        <f t="shared" ca="1" si="139"/>
        <v>#N/A</v>
      </c>
      <c r="Q283" s="1220" t="e">
        <f ca="1">IF(AND(INDEX(FlowCalConstA,MATCH(N276,FlowCalNumber,0),1,1)*P283^INDEX(FlowCalConstB,MATCH(N276,FlowCalNumber,0),1,1)&gt;INDEX(FlowCalLowSetting,MATCH(N276,FlowCalNumber,0),1,1), (INDEX(FlowCalConstA,MATCH(N276,FlowCalNumber,0),1,1)*P283^INDEX(FlowCalConstB,MATCH(N276,FlowCalNumber,0),1,1)&lt;INDEX(FlowCalHighSetting,MATCH(N276,FlowCalNumber,0),1,1))),INDEX(FlowCalConstA,MATCH(N276,FlowCalNumber,0),1,1)*P283^INDEX(FlowCalConstB,MATCH(N276,FlowCalNumber,0),1,1)," ")</f>
        <v>#N/A</v>
      </c>
      <c r="R283" s="1216"/>
      <c r="S283" s="1217">
        <f t="shared" si="140"/>
        <v>0.5</v>
      </c>
      <c r="T283" s="1218" t="e">
        <f t="shared" ca="1" si="141"/>
        <v>#N/A</v>
      </c>
      <c r="U283" s="1219" t="e">
        <f ca="1">IF(AND(INDEX(FlowCalConstA,MATCH(R276,FlowCalNumber,0),1,1)*T283^INDEX(FlowCalConstB,MATCH(R276,FlowCalNumber,0),1,1)&gt;INDEX(FlowCalLowSetting,MATCH(R276,FlowCalNumber,0),1,1), (INDEX(FlowCalConstA,MATCH(R276,FlowCalNumber,0),1,1)*T283^INDEX(FlowCalConstB,MATCH(R276,FlowCalNumber,0),1,1)&lt;INDEX(FlowCalHighSetting,MATCH(R276,FlowCalNumber,0),1,1))),INDEX(FlowCalConstA,MATCH(R276,FlowCalNumber,0),1,1)*T283^INDEX(FlowCalConstB,MATCH(R276,FlowCalNumber,0),1,1)," ")</f>
        <v>#N/A</v>
      </c>
      <c r="V283" s="1216"/>
      <c r="W283" s="1217">
        <f t="shared" si="142"/>
        <v>0.5</v>
      </c>
      <c r="X283" s="1218" t="e">
        <f t="shared" ca="1" si="143"/>
        <v>#N/A</v>
      </c>
      <c r="Y283" s="1220" t="e">
        <f ca="1">IF(AND(INDEX(FlowCalConstA,MATCH(V276,FlowCalNumber,0),1,1)*X283^INDEX(FlowCalConstB,MATCH(V276,FlowCalNumber,0),1,1)&gt;INDEX(FlowCalLowSetting,MATCH(V276,FlowCalNumber,0),1,1), (INDEX(FlowCalConstA,MATCH(V276,FlowCalNumber,0),1,1)*X283^INDEX(FlowCalConstB,MATCH(V276,FlowCalNumber,0),1,1)&lt;INDEX(FlowCalHighSetting,MATCH(V276,FlowCalNumber,0),1,1))),INDEX(FlowCalConstA,MATCH(V276,FlowCalNumber,0),1,1)*X283^INDEX(FlowCalConstB,MATCH(V276,FlowCalNumber,0),1,1)," ")</f>
        <v>#N/A</v>
      </c>
    </row>
    <row r="284" spans="1:25">
      <c r="A284" s="412"/>
      <c r="B284" s="2"/>
      <c r="C284" s="235"/>
      <c r="D284" s="24">
        <f>'1% Wind'!$M$89</f>
        <v>7.6</v>
      </c>
      <c r="E284" s="90"/>
      <c r="F284" s="90"/>
      <c r="G284" s="79" t="e">
        <f ca="1">IF(I276=1,$G283,MAX(G283/D283*D284,2))</f>
        <v>#N/A</v>
      </c>
      <c r="H284" s="121" t="e">
        <f t="shared" ca="1" si="135"/>
        <v>#N/A</v>
      </c>
      <c r="J284" s="377"/>
      <c r="K284" s="242">
        <f t="shared" si="136"/>
        <v>1</v>
      </c>
      <c r="L284" s="241" t="e">
        <f t="shared" ca="1" si="137"/>
        <v>#N/A</v>
      </c>
      <c r="M284" s="243" t="e">
        <f ca="1">IF(AND(INDEX(FlowCalConstA,MATCH(J276,FlowCalNumber,0),1,1)*L284^INDEX(FlowCalConstB,MATCH(J276,FlowCalNumber,0),1,1)&gt;INDEX(FlowCalLowSetting,MATCH(J276,FlowCalNumber,0),1,1), (INDEX(FlowCalConstA,MATCH(J276,FlowCalNumber,0),1,1)*L284^INDEX(FlowCalConstB,MATCH(J276,FlowCalNumber,0),1,1)&lt;INDEX(FlowCalHighSetting,MATCH(J276,FlowCalNumber,0),1,1))),INDEX(FlowCalConstA,MATCH(J276,FlowCalNumber,0),1,1)*L284^INDEX(FlowCalConstB,MATCH(J276,FlowCalNumber,0),1,1)," ")</f>
        <v>#N/A</v>
      </c>
      <c r="N284" s="377"/>
      <c r="O284" s="242">
        <f t="shared" si="138"/>
        <v>1</v>
      </c>
      <c r="P284" s="241" t="e">
        <f t="shared" ca="1" si="139"/>
        <v>#N/A</v>
      </c>
      <c r="Q284" s="244" t="e">
        <f ca="1">IF(AND(INDEX(FlowCalConstA,MATCH(N276,FlowCalNumber,0),1,1)*P284^INDEX(FlowCalConstB,MATCH(N276,FlowCalNumber,0),1,1)&gt;INDEX(FlowCalLowSetting,MATCH(N276,FlowCalNumber,0),1,1), (INDEX(FlowCalConstA,MATCH(N276,FlowCalNumber,0),1,1)*P284^INDEX(FlowCalConstB,MATCH(N276,FlowCalNumber,0),1,1)&lt;INDEX(FlowCalHighSetting,MATCH(N276,FlowCalNumber,0),1,1))),INDEX(FlowCalConstA,MATCH(N276,FlowCalNumber,0),1,1)*P284^INDEX(FlowCalConstB,MATCH(N276,FlowCalNumber,0),1,1)," ")</f>
        <v>#N/A</v>
      </c>
      <c r="R284" s="377"/>
      <c r="S284" s="242">
        <f t="shared" si="140"/>
        <v>0.5</v>
      </c>
      <c r="T284" s="241" t="e">
        <f t="shared" ca="1" si="141"/>
        <v>#N/A</v>
      </c>
      <c r="U284" s="243" t="e">
        <f ca="1">IF(AND(INDEX(FlowCalConstA,MATCH(R276,FlowCalNumber,0),1,1)*T284^INDEX(FlowCalConstB,MATCH(R276,FlowCalNumber,0),1,1)&gt;INDEX(FlowCalLowSetting,MATCH(R276,FlowCalNumber,0),1,1), (INDEX(FlowCalConstA,MATCH(R276,FlowCalNumber,0),1,1)*T284^INDEX(FlowCalConstB,MATCH(R276,FlowCalNumber,0),1,1)&lt;INDEX(FlowCalHighSetting,MATCH(R276,FlowCalNumber,0),1,1))),INDEX(FlowCalConstA,MATCH(R276,FlowCalNumber,0),1,1)*T284^INDEX(FlowCalConstB,MATCH(R276,FlowCalNumber,0),1,1)," ")</f>
        <v>#N/A</v>
      </c>
      <c r="V284" s="377"/>
      <c r="W284" s="242">
        <f t="shared" si="142"/>
        <v>0.5</v>
      </c>
      <c r="X284" s="241" t="e">
        <f t="shared" ca="1" si="143"/>
        <v>#N/A</v>
      </c>
      <c r="Y284" s="244" t="e">
        <f ca="1">IF(AND(INDEX(FlowCalConstA,MATCH(V276,FlowCalNumber,0),1,1)*X284^INDEX(FlowCalConstB,MATCH(V276,FlowCalNumber,0),1,1)&gt;INDEX(FlowCalLowSetting,MATCH(V276,FlowCalNumber,0),1,1), (INDEX(FlowCalConstA,MATCH(V276,FlowCalNumber,0),1,1)*X284^INDEX(FlowCalConstB,MATCH(V276,FlowCalNumber,0),1,1)&lt;INDEX(FlowCalHighSetting,MATCH(V276,FlowCalNumber,0),1,1))),INDEX(FlowCalConstA,MATCH(V276,FlowCalNumber,0),1,1)*X284^INDEX(FlowCalConstB,MATCH(V276,FlowCalNumber,0),1,1)," ")</f>
        <v>#N/A</v>
      </c>
    </row>
    <row r="285" spans="1:25" s="1215" customFormat="1">
      <c r="A285" s="1208"/>
      <c r="B285" s="1209"/>
      <c r="C285" s="1210"/>
      <c r="D285" s="1211">
        <f>'1% Wind'!$M$90</f>
        <v>5.7</v>
      </c>
      <c r="E285" s="1212"/>
      <c r="F285" s="1212"/>
      <c r="G285" s="1213" t="e">
        <f ca="1">IF(I276=1,$G284,MAX(G284/D284*D285,2))</f>
        <v>#N/A</v>
      </c>
      <c r="H285" s="1214" t="e">
        <f t="shared" ca="1" si="135"/>
        <v>#N/A</v>
      </c>
      <c r="J285" s="1216"/>
      <c r="K285" s="1217">
        <f t="shared" si="136"/>
        <v>1</v>
      </c>
      <c r="L285" s="1218" t="e">
        <f t="shared" ca="1" si="137"/>
        <v>#N/A</v>
      </c>
      <c r="M285" s="1219" t="e">
        <f ca="1">IF(AND(INDEX(FlowCalConstA,MATCH(J276,FlowCalNumber,0),1,1)*L285^INDEX(FlowCalConstB,MATCH(J276,FlowCalNumber,0),1,1)&gt;INDEX(FlowCalLowSetting,MATCH(J276,FlowCalNumber,0),1,1), (INDEX(FlowCalConstA,MATCH(J276,FlowCalNumber,0),1,1)*L285^INDEX(FlowCalConstB,MATCH(J276,FlowCalNumber,0),1,1)&lt;INDEX(FlowCalHighSetting,MATCH(J276,FlowCalNumber,0),1,1))),INDEX(FlowCalConstA,MATCH(J276,FlowCalNumber,0),1,1)*L285^INDEX(FlowCalConstB,MATCH(J276,FlowCalNumber,0),1,1)," ")</f>
        <v>#N/A</v>
      </c>
      <c r="N285" s="1216"/>
      <c r="O285" s="1217">
        <f t="shared" si="138"/>
        <v>1</v>
      </c>
      <c r="P285" s="1218" t="e">
        <f t="shared" ca="1" si="139"/>
        <v>#N/A</v>
      </c>
      <c r="Q285" s="1220" t="e">
        <f ca="1">IF(AND(INDEX(FlowCalConstA,MATCH(N276,FlowCalNumber,0),1,1)*P285^INDEX(FlowCalConstB,MATCH(N276,FlowCalNumber,0),1,1)&gt;INDEX(FlowCalLowSetting,MATCH(N276,FlowCalNumber,0),1,1), (INDEX(FlowCalConstA,MATCH(N276,FlowCalNumber,0),1,1)*P285^INDEX(FlowCalConstB,MATCH(N276,FlowCalNumber,0),1,1)&lt;INDEX(FlowCalHighSetting,MATCH(N276,FlowCalNumber,0),1,1))),INDEX(FlowCalConstA,MATCH(N276,FlowCalNumber,0),1,1)*P285^INDEX(FlowCalConstB,MATCH(N276,FlowCalNumber,0),1,1)," ")</f>
        <v>#N/A</v>
      </c>
      <c r="R285" s="1216"/>
      <c r="S285" s="1217">
        <f t="shared" si="140"/>
        <v>0.5</v>
      </c>
      <c r="T285" s="1218" t="e">
        <f t="shared" ca="1" si="141"/>
        <v>#N/A</v>
      </c>
      <c r="U285" s="1219" t="e">
        <f ca="1">IF(AND(INDEX(FlowCalConstA,MATCH(R276,FlowCalNumber,0),1,1)*T285^INDEX(FlowCalConstB,MATCH(R276,FlowCalNumber,0),1,1)&gt;INDEX(FlowCalLowSetting,MATCH(R276,FlowCalNumber,0),1,1), (INDEX(FlowCalConstA,MATCH(R276,FlowCalNumber,0),1,1)*T285^INDEX(FlowCalConstB,MATCH(R276,FlowCalNumber,0),1,1)&lt;INDEX(FlowCalHighSetting,MATCH(R276,FlowCalNumber,0),1,1))),INDEX(FlowCalConstA,MATCH(R276,FlowCalNumber,0),1,1)*T285^INDEX(FlowCalConstB,MATCH(R276,FlowCalNumber,0),1,1)," ")</f>
        <v>#N/A</v>
      </c>
      <c r="V285" s="1216"/>
      <c r="W285" s="1217">
        <f t="shared" si="142"/>
        <v>0.5</v>
      </c>
      <c r="X285" s="1218" t="e">
        <f t="shared" ca="1" si="143"/>
        <v>#N/A</v>
      </c>
      <c r="Y285" s="1220" t="e">
        <f ca="1">IF(AND(INDEX(FlowCalConstA,MATCH(V276,FlowCalNumber,0),1,1)*X285^INDEX(FlowCalConstB,MATCH(V276,FlowCalNumber,0),1,1)&gt;INDEX(FlowCalLowSetting,MATCH(V276,FlowCalNumber,0),1,1), (INDEX(FlowCalConstA,MATCH(V276,FlowCalNumber,0),1,1)*X285^INDEX(FlowCalConstB,MATCH(V276,FlowCalNumber,0),1,1)&lt;INDEX(FlowCalHighSetting,MATCH(V276,FlowCalNumber,0),1,1))),INDEX(FlowCalConstA,MATCH(V276,FlowCalNumber,0),1,1)*X285^INDEX(FlowCalConstB,MATCH(V276,FlowCalNumber,0),1,1)," ")</f>
        <v>#N/A</v>
      </c>
    </row>
    <row r="286" spans="1:25">
      <c r="A286" s="412"/>
      <c r="B286" s="2"/>
      <c r="C286" s="235"/>
      <c r="D286" s="24">
        <f>'1% Wind'!$M$91</f>
        <v>4.2</v>
      </c>
      <c r="E286" s="90"/>
      <c r="F286" s="90"/>
      <c r="G286" s="79" t="e">
        <f ca="1">IF(I276=1,$G285,MAX(G285/D285*D286,2))</f>
        <v>#N/A</v>
      </c>
      <c r="H286" s="121" t="e">
        <f t="shared" ca="1" si="135"/>
        <v>#N/A</v>
      </c>
      <c r="J286" s="377"/>
      <c r="K286" s="242">
        <f t="shared" si="136"/>
        <v>1</v>
      </c>
      <c r="L286" s="241" t="e">
        <f t="shared" ca="1" si="137"/>
        <v>#N/A</v>
      </c>
      <c r="M286" s="243" t="e">
        <f ca="1">IF(AND(INDEX(FlowCalConstA,MATCH(J276,FlowCalNumber,0),1,1)*L286^INDEX(FlowCalConstB,MATCH(J276,FlowCalNumber,0),1,1)&gt;INDEX(FlowCalLowSetting,MATCH(J276,FlowCalNumber,0),1,1), (INDEX(FlowCalConstA,MATCH(J276,FlowCalNumber,0),1,1)*L286^INDEX(FlowCalConstB,MATCH(J276,FlowCalNumber,0),1,1)&lt;INDEX(FlowCalHighSetting,MATCH(J276,FlowCalNumber,0),1,1))),INDEX(FlowCalConstA,MATCH(J276,FlowCalNumber,0),1,1)*L286^INDEX(FlowCalConstB,MATCH(J276,FlowCalNumber,0),1,1)," ")</f>
        <v>#N/A</v>
      </c>
      <c r="N286" s="377"/>
      <c r="O286" s="242">
        <f t="shared" si="138"/>
        <v>1</v>
      </c>
      <c r="P286" s="241" t="e">
        <f t="shared" ca="1" si="139"/>
        <v>#N/A</v>
      </c>
      <c r="Q286" s="244" t="e">
        <f ca="1">IF(AND(INDEX(FlowCalConstA,MATCH(N276,FlowCalNumber,0),1,1)*P286^INDEX(FlowCalConstB,MATCH(N276,FlowCalNumber,0),1,1)&gt;INDEX(FlowCalLowSetting,MATCH(N276,FlowCalNumber,0),1,1), (INDEX(FlowCalConstA,MATCH(N276,FlowCalNumber,0),1,1)*P286^INDEX(FlowCalConstB,MATCH(N276,FlowCalNumber,0),1,1)&lt;INDEX(FlowCalHighSetting,MATCH(N276,FlowCalNumber,0),1,1))),INDEX(FlowCalConstA,MATCH(N276,FlowCalNumber,0),1,1)*P286^INDEX(FlowCalConstB,MATCH(N276,FlowCalNumber,0),1,1)," ")</f>
        <v>#N/A</v>
      </c>
      <c r="R286" s="377"/>
      <c r="S286" s="242">
        <f t="shared" si="140"/>
        <v>0.5</v>
      </c>
      <c r="T286" s="241" t="e">
        <f t="shared" ca="1" si="141"/>
        <v>#N/A</v>
      </c>
      <c r="U286" s="243" t="e">
        <f ca="1">IF(AND(INDEX(FlowCalConstA,MATCH(R276,FlowCalNumber,0),1,1)*T286^INDEX(FlowCalConstB,MATCH(R276,FlowCalNumber,0),1,1)&gt;INDEX(FlowCalLowSetting,MATCH(R276,FlowCalNumber,0),1,1), (INDEX(FlowCalConstA,MATCH(R276,FlowCalNumber,0),1,1)*T286^INDEX(FlowCalConstB,MATCH(R276,FlowCalNumber,0),1,1)&lt;INDEX(FlowCalHighSetting,MATCH(R276,FlowCalNumber,0),1,1))),INDEX(FlowCalConstA,MATCH(R276,FlowCalNumber,0),1,1)*T286^INDEX(FlowCalConstB,MATCH(R276,FlowCalNumber,0),1,1)," ")</f>
        <v>#N/A</v>
      </c>
      <c r="V286" s="377"/>
      <c r="W286" s="242">
        <f t="shared" si="142"/>
        <v>0.5</v>
      </c>
      <c r="X286" s="241" t="e">
        <f t="shared" ca="1" si="143"/>
        <v>#N/A</v>
      </c>
      <c r="Y286" s="244" t="e">
        <f ca="1">IF(AND(INDEX(FlowCalConstA,MATCH(V276,FlowCalNumber,0),1,1)*X286^INDEX(FlowCalConstB,MATCH(V276,FlowCalNumber,0),1,1)&gt;INDEX(FlowCalLowSetting,MATCH(V276,FlowCalNumber,0),1,1), (INDEX(FlowCalConstA,MATCH(V276,FlowCalNumber,0),1,1)*X286^INDEX(FlowCalConstB,MATCH(V276,FlowCalNumber,0),1,1)&lt;INDEX(FlowCalHighSetting,MATCH(V276,FlowCalNumber,0),1,1))),INDEX(FlowCalConstA,MATCH(V276,FlowCalNumber,0),1,1)*X286^INDEX(FlowCalConstB,MATCH(V276,FlowCalNumber,0),1,1)," ")</f>
        <v>#N/A</v>
      </c>
    </row>
    <row r="287" spans="1:25" s="1215" customFormat="1">
      <c r="A287" s="1208"/>
      <c r="B287" s="1209"/>
      <c r="C287" s="1210"/>
      <c r="D287" s="1211">
        <f>'1% Wind'!$M$92</f>
        <v>3.2</v>
      </c>
      <c r="E287" s="1212"/>
      <c r="F287" s="1212"/>
      <c r="G287" s="1213" t="e">
        <f ca="1">IF(I276=1,$G286,MAX(G286/D286*D287,2))</f>
        <v>#N/A</v>
      </c>
      <c r="H287" s="1214" t="e">
        <f t="shared" ca="1" si="135"/>
        <v>#N/A</v>
      </c>
      <c r="J287" s="1216"/>
      <c r="K287" s="1217">
        <f t="shared" si="136"/>
        <v>1</v>
      </c>
      <c r="L287" s="1218" t="e">
        <f t="shared" ca="1" si="137"/>
        <v>#N/A</v>
      </c>
      <c r="M287" s="1219" t="e">
        <f ca="1">IF(AND(INDEX(FlowCalConstA,MATCH(J276,FlowCalNumber,0),1,1)*L287^INDEX(FlowCalConstB,MATCH(J276,FlowCalNumber,0),1,1)&gt;INDEX(FlowCalLowSetting,MATCH(J276,FlowCalNumber,0),1,1), (INDEX(FlowCalConstA,MATCH(J276,FlowCalNumber,0),1,1)*L287^INDEX(FlowCalConstB,MATCH(J276,FlowCalNumber,0),1,1)&lt;INDEX(FlowCalHighSetting,MATCH(J276,FlowCalNumber,0),1,1))),INDEX(FlowCalConstA,MATCH(J276,FlowCalNumber,0),1,1)*L287^INDEX(FlowCalConstB,MATCH(J276,FlowCalNumber,0),1,1)," ")</f>
        <v>#N/A</v>
      </c>
      <c r="N287" s="1216"/>
      <c r="O287" s="1217">
        <f t="shared" si="138"/>
        <v>1</v>
      </c>
      <c r="P287" s="1218" t="e">
        <f t="shared" ca="1" si="139"/>
        <v>#N/A</v>
      </c>
      <c r="Q287" s="1220" t="e">
        <f ca="1">IF(AND(INDEX(FlowCalConstA,MATCH(N276,FlowCalNumber,0),1,1)*P287^INDEX(FlowCalConstB,MATCH(N276,FlowCalNumber,0),1,1)&gt;INDEX(FlowCalLowSetting,MATCH(N276,FlowCalNumber,0),1,1), (INDEX(FlowCalConstA,MATCH(N276,FlowCalNumber,0),1,1)*P287^INDEX(FlowCalConstB,MATCH(N276,FlowCalNumber,0),1,1)&lt;INDEX(FlowCalHighSetting,MATCH(N276,FlowCalNumber,0),1,1))),INDEX(FlowCalConstA,MATCH(N276,FlowCalNumber,0),1,1)*P287^INDEX(FlowCalConstB,MATCH(N276,FlowCalNumber,0),1,1)," ")</f>
        <v>#N/A</v>
      </c>
      <c r="R287" s="1216"/>
      <c r="S287" s="1217">
        <f t="shared" si="140"/>
        <v>0.5</v>
      </c>
      <c r="T287" s="1218" t="e">
        <f t="shared" ca="1" si="141"/>
        <v>#N/A</v>
      </c>
      <c r="U287" s="1219" t="e">
        <f ca="1">IF(AND(INDEX(FlowCalConstA,MATCH(R276,FlowCalNumber,0),1,1)*T287^INDEX(FlowCalConstB,MATCH(R276,FlowCalNumber,0),1,1)&gt;INDEX(FlowCalLowSetting,MATCH(R276,FlowCalNumber,0),1,1), (INDEX(FlowCalConstA,MATCH(R276,FlowCalNumber,0),1,1)*T287^INDEX(FlowCalConstB,MATCH(R276,FlowCalNumber,0),1,1)&lt;INDEX(FlowCalHighSetting,MATCH(R276,FlowCalNumber,0),1,1))),INDEX(FlowCalConstA,MATCH(R276,FlowCalNumber,0),1,1)*T287^INDEX(FlowCalConstB,MATCH(R276,FlowCalNumber,0),1,1)," ")</f>
        <v>#N/A</v>
      </c>
      <c r="V287" s="1216"/>
      <c r="W287" s="1217">
        <f t="shared" si="142"/>
        <v>0.5</v>
      </c>
      <c r="X287" s="1218" t="e">
        <f t="shared" ca="1" si="143"/>
        <v>#N/A</v>
      </c>
      <c r="Y287" s="1220" t="e">
        <f ca="1">IF(AND(INDEX(FlowCalConstA,MATCH(V276,FlowCalNumber,0),1,1)*X287^INDEX(FlowCalConstB,MATCH(V276,FlowCalNumber,0),1,1)&gt;INDEX(FlowCalLowSetting,MATCH(V276,FlowCalNumber,0),1,1), (INDEX(FlowCalConstA,MATCH(V276,FlowCalNumber,0),1,1)*X287^INDEX(FlowCalConstB,MATCH(V276,FlowCalNumber,0),1,1)&lt;INDEX(FlowCalHighSetting,MATCH(V276,FlowCalNumber,0),1,1))),INDEX(FlowCalConstA,MATCH(V276,FlowCalNumber,0),1,1)*X287^INDEX(FlowCalConstB,MATCH(V276,FlowCalNumber,0),1,1)," ")</f>
        <v>#N/A</v>
      </c>
    </row>
    <row r="288" spans="1:25">
      <c r="A288" s="412"/>
      <c r="B288" s="2"/>
      <c r="C288" s="235"/>
      <c r="D288" s="24">
        <f>'1% Wind'!$M$93</f>
        <v>2.4</v>
      </c>
      <c r="E288" s="90"/>
      <c r="F288" s="90"/>
      <c r="G288" s="79" t="e">
        <f ca="1">IF(I276=1,$G287,MAX(G287/D287*D288,2))</f>
        <v>#N/A</v>
      </c>
      <c r="H288" s="121" t="e">
        <f t="shared" ca="1" si="135"/>
        <v>#N/A</v>
      </c>
      <c r="J288" s="377"/>
      <c r="K288" s="242">
        <f t="shared" si="136"/>
        <v>1</v>
      </c>
      <c r="L288" s="241" t="e">
        <f t="shared" ca="1" si="137"/>
        <v>#N/A</v>
      </c>
      <c r="M288" s="243" t="e">
        <f ca="1">IF(AND(INDEX(FlowCalConstA,MATCH(J276,FlowCalNumber,0),1,1)*L288^INDEX(FlowCalConstB,MATCH(J276,FlowCalNumber,0),1,1)&gt;INDEX(FlowCalLowSetting,MATCH(J276,FlowCalNumber,0),1,1), (INDEX(FlowCalConstA,MATCH(J276,FlowCalNumber,0),1,1)*L288^INDEX(FlowCalConstB,MATCH(J276,FlowCalNumber,0),1,1)&lt;INDEX(FlowCalHighSetting,MATCH(J276,FlowCalNumber,0),1,1))),INDEX(FlowCalConstA,MATCH(J276,FlowCalNumber,0),1,1)*L288^INDEX(FlowCalConstB,MATCH(J276,FlowCalNumber,0),1,1)," ")</f>
        <v>#N/A</v>
      </c>
      <c r="N288" s="377"/>
      <c r="O288" s="242">
        <f t="shared" si="138"/>
        <v>1</v>
      </c>
      <c r="P288" s="241" t="e">
        <f t="shared" ca="1" si="139"/>
        <v>#N/A</v>
      </c>
      <c r="Q288" s="244" t="e">
        <f ca="1">IF(AND(INDEX(FlowCalConstA,MATCH(N276,FlowCalNumber,0),1,1)*P288^INDEX(FlowCalConstB,MATCH(N276,FlowCalNumber,0),1,1)&gt;INDEX(FlowCalLowSetting,MATCH(N276,FlowCalNumber,0),1,1), (INDEX(FlowCalConstA,MATCH(N276,FlowCalNumber,0),1,1)*P288^INDEX(FlowCalConstB,MATCH(N276,FlowCalNumber,0),1,1)&lt;INDEX(FlowCalHighSetting,MATCH(N276,FlowCalNumber,0),1,1))),INDEX(FlowCalConstA,MATCH(N276,FlowCalNumber,0),1,1)*P288^INDEX(FlowCalConstB,MATCH(N276,FlowCalNumber,0),1,1)," ")</f>
        <v>#N/A</v>
      </c>
      <c r="R288" s="377"/>
      <c r="S288" s="242">
        <f t="shared" si="140"/>
        <v>0.5</v>
      </c>
      <c r="T288" s="241" t="e">
        <f t="shared" ca="1" si="141"/>
        <v>#N/A</v>
      </c>
      <c r="U288" s="243" t="e">
        <f ca="1">IF(AND(INDEX(FlowCalConstA,MATCH(R276,FlowCalNumber,0),1,1)*T288^INDEX(FlowCalConstB,MATCH(R276,FlowCalNumber,0),1,1)&gt;INDEX(FlowCalLowSetting,MATCH(R276,FlowCalNumber,0),1,1), (INDEX(FlowCalConstA,MATCH(R276,FlowCalNumber,0),1,1)*T288^INDEX(FlowCalConstB,MATCH(R276,FlowCalNumber,0),1,1)&lt;INDEX(FlowCalHighSetting,MATCH(R276,FlowCalNumber,0),1,1))),INDEX(FlowCalConstA,MATCH(R276,FlowCalNumber,0),1,1)*T288^INDEX(FlowCalConstB,MATCH(R276,FlowCalNumber,0),1,1)," ")</f>
        <v>#N/A</v>
      </c>
      <c r="V288" s="377"/>
      <c r="W288" s="242">
        <f t="shared" si="142"/>
        <v>0.5</v>
      </c>
      <c r="X288" s="241" t="e">
        <f t="shared" ca="1" si="143"/>
        <v>#N/A</v>
      </c>
      <c r="Y288" s="244" t="e">
        <f ca="1">IF(AND(INDEX(FlowCalConstA,MATCH(V276,FlowCalNumber,0),1,1)*X288^INDEX(FlowCalConstB,MATCH(V276,FlowCalNumber,0),1,1)&gt;INDEX(FlowCalLowSetting,MATCH(V276,FlowCalNumber,0),1,1), (INDEX(FlowCalConstA,MATCH(V276,FlowCalNumber,0),1,1)*X288^INDEX(FlowCalConstB,MATCH(V276,FlowCalNumber,0),1,1)&lt;INDEX(FlowCalHighSetting,MATCH(V276,FlowCalNumber,0),1,1))),INDEX(FlowCalConstA,MATCH(V276,FlowCalNumber,0),1,1)*X288^INDEX(FlowCalConstB,MATCH(V276,FlowCalNumber,0),1,1)," ")</f>
        <v>#N/A</v>
      </c>
    </row>
    <row r="289" spans="1:25" s="1215" customFormat="1">
      <c r="A289" s="1208"/>
      <c r="B289" s="1209"/>
      <c r="C289" s="1210"/>
      <c r="D289" s="1211">
        <f>'1% Wind'!$M$94</f>
        <v>1.8</v>
      </c>
      <c r="E289" s="1212"/>
      <c r="F289" s="1212"/>
      <c r="G289" s="1213" t="e">
        <f ca="1">IF(I276=1,$G288,MAX(G288/D288*D289,2))</f>
        <v>#N/A</v>
      </c>
      <c r="H289" s="1214" t="e">
        <f t="shared" ca="1" si="135"/>
        <v>#N/A</v>
      </c>
      <c r="J289" s="1216"/>
      <c r="K289" s="1217">
        <f t="shared" si="136"/>
        <v>1</v>
      </c>
      <c r="L289" s="1218" t="e">
        <f t="shared" ca="1" si="137"/>
        <v>#N/A</v>
      </c>
      <c r="M289" s="1219" t="e">
        <f ca="1">IF(AND(INDEX(FlowCalConstA,MATCH(J276,FlowCalNumber,0),1,1)*L289^INDEX(FlowCalConstB,MATCH(J276,FlowCalNumber,0),1,1)&gt;INDEX(FlowCalLowSetting,MATCH(J276,FlowCalNumber,0),1,1), (INDEX(FlowCalConstA,MATCH(J276,FlowCalNumber,0),1,1)*L289^INDEX(FlowCalConstB,MATCH(J276,FlowCalNumber,0),1,1)&lt;INDEX(FlowCalHighSetting,MATCH(J276,FlowCalNumber,0),1,1))),INDEX(FlowCalConstA,MATCH(J276,FlowCalNumber,0),1,1)*L289^INDEX(FlowCalConstB,MATCH(J276,FlowCalNumber,0),1,1)," ")</f>
        <v>#N/A</v>
      </c>
      <c r="N289" s="1216"/>
      <c r="O289" s="1217">
        <f t="shared" si="138"/>
        <v>1</v>
      </c>
      <c r="P289" s="1218" t="e">
        <f t="shared" ca="1" si="139"/>
        <v>#N/A</v>
      </c>
      <c r="Q289" s="1220" t="e">
        <f ca="1">IF(AND(INDEX(FlowCalConstA,MATCH(N276,FlowCalNumber,0),1,1)*P289^INDEX(FlowCalConstB,MATCH(N276,FlowCalNumber,0),1,1)&gt;INDEX(FlowCalLowSetting,MATCH(N276,FlowCalNumber,0),1,1), (INDEX(FlowCalConstA,MATCH(N276,FlowCalNumber,0),1,1)*P289^INDEX(FlowCalConstB,MATCH(N276,FlowCalNumber,0),1,1)&lt;INDEX(FlowCalHighSetting,MATCH(N276,FlowCalNumber,0),1,1))),INDEX(FlowCalConstA,MATCH(N276,FlowCalNumber,0),1,1)*P289^INDEX(FlowCalConstB,MATCH(N276,FlowCalNumber,0),1,1)," ")</f>
        <v>#N/A</v>
      </c>
      <c r="R289" s="1216"/>
      <c r="S289" s="1217">
        <f t="shared" si="140"/>
        <v>0.5</v>
      </c>
      <c r="T289" s="1218" t="e">
        <f t="shared" ca="1" si="141"/>
        <v>#N/A</v>
      </c>
      <c r="U289" s="1219" t="e">
        <f ca="1">IF(AND(INDEX(FlowCalConstA,MATCH(R276,FlowCalNumber,0),1,1)*T289^INDEX(FlowCalConstB,MATCH(R276,FlowCalNumber,0),1,1)&gt;INDEX(FlowCalLowSetting,MATCH(R276,FlowCalNumber,0),1,1), (INDEX(FlowCalConstA,MATCH(R276,FlowCalNumber,0),1,1)*T289^INDEX(FlowCalConstB,MATCH(R276,FlowCalNumber,0),1,1)&lt;INDEX(FlowCalHighSetting,MATCH(R276,FlowCalNumber,0),1,1))),INDEX(FlowCalConstA,MATCH(R276,FlowCalNumber,0),1,1)*T289^INDEX(FlowCalConstB,MATCH(R276,FlowCalNumber,0),1,1)," ")</f>
        <v>#N/A</v>
      </c>
      <c r="V289" s="1216"/>
      <c r="W289" s="1217">
        <f t="shared" si="142"/>
        <v>0.5</v>
      </c>
      <c r="X289" s="1218" t="e">
        <f t="shared" ca="1" si="143"/>
        <v>#N/A</v>
      </c>
      <c r="Y289" s="1220" t="e">
        <f ca="1">IF(AND(INDEX(FlowCalConstA,MATCH(V276,FlowCalNumber,0),1,1)*X289^INDEX(FlowCalConstB,MATCH(V276,FlowCalNumber,0),1,1)&gt;INDEX(FlowCalLowSetting,MATCH(V276,FlowCalNumber,0),1,1), (INDEX(FlowCalConstA,MATCH(V276,FlowCalNumber,0),1,1)*X289^INDEX(FlowCalConstB,MATCH(V276,FlowCalNumber,0),1,1)&lt;INDEX(FlowCalHighSetting,MATCH(V276,FlowCalNumber,0),1,1))),INDEX(FlowCalConstA,MATCH(V276,FlowCalNumber,0),1,1)*X289^INDEX(FlowCalConstB,MATCH(V276,FlowCalNumber,0),1,1)," ")</f>
        <v>#N/A</v>
      </c>
    </row>
    <row r="290" spans="1:25">
      <c r="A290" s="412"/>
      <c r="B290" s="2"/>
      <c r="C290" s="235"/>
      <c r="D290" s="24">
        <f>'1% Wind'!$M$95</f>
        <v>1.3</v>
      </c>
      <c r="E290" s="90"/>
      <c r="F290" s="90"/>
      <c r="G290" s="79" t="e">
        <f ca="1">IF(I276=1,$G289,MAX(G289/D289*D290,2))</f>
        <v>#N/A</v>
      </c>
      <c r="H290" s="121" t="e">
        <f t="shared" ca="1" si="135"/>
        <v>#N/A</v>
      </c>
      <c r="J290" s="377"/>
      <c r="K290" s="242">
        <f t="shared" si="136"/>
        <v>1</v>
      </c>
      <c r="L290" s="241" t="e">
        <f t="shared" ca="1" si="137"/>
        <v>#N/A</v>
      </c>
      <c r="M290" s="243" t="e">
        <f ca="1">IF(AND(INDEX(FlowCalConstA,MATCH(J276,FlowCalNumber,0),1,1)*L290^INDEX(FlowCalConstB,MATCH(J276,FlowCalNumber,0),1,1)&gt;INDEX(FlowCalLowSetting,MATCH(J276,FlowCalNumber,0),1,1), (INDEX(FlowCalConstA,MATCH(J276,FlowCalNumber,0),1,1)*L290^INDEX(FlowCalConstB,MATCH(J276,FlowCalNumber,0),1,1)&lt;INDEX(FlowCalHighSetting,MATCH(J276,FlowCalNumber,0),1,1))),INDEX(FlowCalConstA,MATCH(J276,FlowCalNumber,0),1,1)*L290^INDEX(FlowCalConstB,MATCH(J276,FlowCalNumber,0),1,1)," ")</f>
        <v>#N/A</v>
      </c>
      <c r="N290" s="377"/>
      <c r="O290" s="242">
        <f t="shared" si="138"/>
        <v>1</v>
      </c>
      <c r="P290" s="241" t="e">
        <f t="shared" ca="1" si="139"/>
        <v>#N/A</v>
      </c>
      <c r="Q290" s="244" t="e">
        <f ca="1">IF(AND(INDEX(FlowCalConstA,MATCH(N276,FlowCalNumber,0),1,1)*P290^INDEX(FlowCalConstB,MATCH(N276,FlowCalNumber,0),1,1)&gt;INDEX(FlowCalLowSetting,MATCH(N276,FlowCalNumber,0),1,1), (INDEX(FlowCalConstA,MATCH(N276,FlowCalNumber,0),1,1)*P290^INDEX(FlowCalConstB,MATCH(N276,FlowCalNumber,0),1,1)&lt;INDEX(FlowCalHighSetting,MATCH(N276,FlowCalNumber,0),1,1))),INDEX(FlowCalConstA,MATCH(N276,FlowCalNumber,0),1,1)*P290^INDEX(FlowCalConstB,MATCH(N276,FlowCalNumber,0),1,1)," ")</f>
        <v>#N/A</v>
      </c>
      <c r="R290" s="377"/>
      <c r="S290" s="242">
        <f t="shared" si="140"/>
        <v>0.5</v>
      </c>
      <c r="T290" s="241" t="e">
        <f t="shared" ca="1" si="141"/>
        <v>#N/A</v>
      </c>
      <c r="U290" s="243" t="e">
        <f ca="1">IF(AND(INDEX(FlowCalConstA,MATCH(R276,FlowCalNumber,0),1,1)*T290^INDEX(FlowCalConstB,MATCH(R276,FlowCalNumber,0),1,1)&gt;INDEX(FlowCalLowSetting,MATCH(R276,FlowCalNumber,0),1,1), (INDEX(FlowCalConstA,MATCH(R276,FlowCalNumber,0),1,1)*T290^INDEX(FlowCalConstB,MATCH(R276,FlowCalNumber,0),1,1)&lt;INDEX(FlowCalHighSetting,MATCH(R276,FlowCalNumber,0),1,1))),INDEX(FlowCalConstA,MATCH(R276,FlowCalNumber,0),1,1)*T290^INDEX(FlowCalConstB,MATCH(R276,FlowCalNumber,0),1,1)," ")</f>
        <v>#N/A</v>
      </c>
      <c r="V290" s="377"/>
      <c r="W290" s="242">
        <f t="shared" si="142"/>
        <v>0.5</v>
      </c>
      <c r="X290" s="241" t="e">
        <f t="shared" ca="1" si="143"/>
        <v>#N/A</v>
      </c>
      <c r="Y290" s="244" t="e">
        <f ca="1">IF(AND(INDEX(FlowCalConstA,MATCH(V276,FlowCalNumber,0),1,1)*X290^INDEX(FlowCalConstB,MATCH(V276,FlowCalNumber,0),1,1)&gt;INDEX(FlowCalLowSetting,MATCH(V276,FlowCalNumber,0),1,1), (INDEX(FlowCalConstA,MATCH(V276,FlowCalNumber,0),1,1)*X290^INDEX(FlowCalConstB,MATCH(V276,FlowCalNumber,0),1,1)&lt;INDEX(FlowCalHighSetting,MATCH(V276,FlowCalNumber,0),1,1))),INDEX(FlowCalConstA,MATCH(V276,FlowCalNumber,0),1,1)*X290^INDEX(FlowCalConstB,MATCH(V276,FlowCalNumber,0),1,1)," ")</f>
        <v>#N/A</v>
      </c>
    </row>
    <row r="291" spans="1:25" s="1215" customFormat="1">
      <c r="A291" s="1208"/>
      <c r="B291" s="1209"/>
      <c r="C291" s="1210"/>
      <c r="D291" s="1211">
        <f>'1% Wind'!$M$96</f>
        <v>1</v>
      </c>
      <c r="E291" s="1212"/>
      <c r="F291" s="1212"/>
      <c r="G291" s="1213" t="e">
        <f ca="1">IF(I276=1,$G290,MAX(G290/D290*D291,2))</f>
        <v>#N/A</v>
      </c>
      <c r="H291" s="1214" t="e">
        <f t="shared" ca="1" si="135"/>
        <v>#N/A</v>
      </c>
      <c r="J291" s="1216"/>
      <c r="K291" s="1217">
        <f t="shared" si="136"/>
        <v>1</v>
      </c>
      <c r="L291" s="1218" t="e">
        <f t="shared" ca="1" si="137"/>
        <v>#N/A</v>
      </c>
      <c r="M291" s="1219" t="e">
        <f ca="1">IF(AND(INDEX(FlowCalConstA,MATCH(J276,FlowCalNumber,0),1,1)*L291^INDEX(FlowCalConstB,MATCH(J276,FlowCalNumber,0),1,1)&gt;INDEX(FlowCalLowSetting,MATCH(J276,FlowCalNumber,0),1,1), (INDEX(FlowCalConstA,MATCH(J276,FlowCalNumber,0),1,1)*L291^INDEX(FlowCalConstB,MATCH(J276,FlowCalNumber,0),1,1)&lt;INDEX(FlowCalHighSetting,MATCH(J276,FlowCalNumber,0),1,1))),INDEX(FlowCalConstA,MATCH(J276,FlowCalNumber,0),1,1)*L291^INDEX(FlowCalConstB,MATCH(J276,FlowCalNumber,0),1,1)," ")</f>
        <v>#N/A</v>
      </c>
      <c r="N291" s="1216"/>
      <c r="O291" s="1217">
        <f t="shared" si="138"/>
        <v>1</v>
      </c>
      <c r="P291" s="1218" t="e">
        <f t="shared" ca="1" si="139"/>
        <v>#N/A</v>
      </c>
      <c r="Q291" s="1220" t="e">
        <f ca="1">IF(AND(INDEX(FlowCalConstA,MATCH(N276,FlowCalNumber,0),1,1)*P291^INDEX(FlowCalConstB,MATCH(N276,FlowCalNumber,0),1,1)&gt;INDEX(FlowCalLowSetting,MATCH(N276,FlowCalNumber,0),1,1), (INDEX(FlowCalConstA,MATCH(N276,FlowCalNumber,0),1,1)*P291^INDEX(FlowCalConstB,MATCH(N276,FlowCalNumber,0),1,1)&lt;INDEX(FlowCalHighSetting,MATCH(N276,FlowCalNumber,0),1,1))),INDEX(FlowCalConstA,MATCH(N276,FlowCalNumber,0),1,1)*P291^INDEX(FlowCalConstB,MATCH(N276,FlowCalNumber,0),1,1)," ")</f>
        <v>#N/A</v>
      </c>
      <c r="R291" s="1216"/>
      <c r="S291" s="1217">
        <f t="shared" si="140"/>
        <v>0.5</v>
      </c>
      <c r="T291" s="1218" t="e">
        <f t="shared" ca="1" si="141"/>
        <v>#N/A</v>
      </c>
      <c r="U291" s="1219" t="e">
        <f ca="1">IF(AND(INDEX(FlowCalConstA,MATCH(R276,FlowCalNumber,0),1,1)*T291^INDEX(FlowCalConstB,MATCH(R276,FlowCalNumber,0),1,1)&gt;INDEX(FlowCalLowSetting,MATCH(R276,FlowCalNumber,0),1,1), (INDEX(FlowCalConstA,MATCH(R276,FlowCalNumber,0),1,1)*T291^INDEX(FlowCalConstB,MATCH(R276,FlowCalNumber,0),1,1)&lt;INDEX(FlowCalHighSetting,MATCH(R276,FlowCalNumber,0),1,1))),INDEX(FlowCalConstA,MATCH(R276,FlowCalNumber,0),1,1)*T291^INDEX(FlowCalConstB,MATCH(R276,FlowCalNumber,0),1,1)," ")</f>
        <v>#N/A</v>
      </c>
      <c r="V291" s="1216"/>
      <c r="W291" s="1217">
        <f t="shared" si="142"/>
        <v>0.5</v>
      </c>
      <c r="X291" s="1218" t="e">
        <f t="shared" ca="1" si="143"/>
        <v>#N/A</v>
      </c>
      <c r="Y291" s="1220" t="e">
        <f ca="1">IF(AND(INDEX(FlowCalConstA,MATCH(V276,FlowCalNumber,0),1,1)*X291^INDEX(FlowCalConstB,MATCH(V276,FlowCalNumber,0),1,1)&gt;INDEX(FlowCalLowSetting,MATCH(V276,FlowCalNumber,0),1,1), (INDEX(FlowCalConstA,MATCH(V276,FlowCalNumber,0),1,1)*X291^INDEX(FlowCalConstB,MATCH(V276,FlowCalNumber,0),1,1)&lt;INDEX(FlowCalHighSetting,MATCH(V276,FlowCalNumber,0),1,1))),INDEX(FlowCalConstA,MATCH(V276,FlowCalNumber,0),1,1)*X291^INDEX(FlowCalConstB,MATCH(V276,FlowCalNumber,0),1,1)," ")</f>
        <v>#N/A</v>
      </c>
    </row>
    <row r="292" spans="1:25">
      <c r="A292" s="90"/>
      <c r="C292" s="235"/>
      <c r="E292" s="90"/>
      <c r="F292" s="90"/>
      <c r="G292" s="33"/>
      <c r="J292" s="377"/>
      <c r="M292" s="243"/>
      <c r="N292" s="377"/>
      <c r="Q292" s="244"/>
      <c r="R292" s="377"/>
      <c r="U292" s="243"/>
      <c r="V292" s="377"/>
      <c r="Y292" s="244"/>
    </row>
    <row r="293" spans="1:25">
      <c r="A293" s="639">
        <f>A276+1</f>
        <v>7</v>
      </c>
      <c r="B293" s="42" t="e">
        <f>INDEX(SourceID,MATCH($A293,SourceNumber,0),1,1)</f>
        <v>#N/A</v>
      </c>
      <c r="C293" s="354" t="e">
        <f>INDEX(SourceExitDiameter,MATCH($A293,SourceNumber,0),1,1)*3.28*12</f>
        <v>#N/A</v>
      </c>
      <c r="D293" s="24" t="str">
        <f>UAnem1percent</f>
        <v>1% Wind</v>
      </c>
      <c r="E293" s="85" t="e">
        <f ca="1">INDIRECT(ADDRESS(53,6,1,,$A293))</f>
        <v>#N/A</v>
      </c>
      <c r="F293" s="626" t="e">
        <f ca="1">(ROUND((INDIRECT(ADDRESS(15,7,1,,$A293))*3.28*12*32),0)&amp;"/32")</f>
        <v>#N/A</v>
      </c>
      <c r="G293" s="125" t="e">
        <f ca="1">INDIRECT(ADDRESS(29,7,1,,$A293))</f>
        <v>#N/A</v>
      </c>
      <c r="H293" s="24" t="e">
        <f ca="1">INDIRECT(ADDRESS(19,7,1,,$A293))*100^3</f>
        <v>#N/A</v>
      </c>
      <c r="I293" s="24" t="e">
        <f ca="1">INDIRECT(ADDRESS(53,7,1,,$A293))</f>
        <v>#N/A</v>
      </c>
      <c r="J293" s="20" t="str">
        <f>K$15&amp;$H$6&amp;J$6</f>
        <v>100AirPick a Tunnel</v>
      </c>
      <c r="K293" t="e">
        <f>INDEX(FlowCalGasMixture,MATCH(J293,FlowCalNumber,0),1,1)</f>
        <v>#N/A</v>
      </c>
      <c r="M293" s="355" t="e">
        <f>INDEX(FlowCalDevice,MATCH(J293,FlowCalNumber,0),1,1)</f>
        <v>#N/A</v>
      </c>
      <c r="N293" s="20" t="str">
        <f>O$15&amp;$H$6&amp;N$6</f>
        <v>100AirPick a Tunnel</v>
      </c>
      <c r="O293" t="e">
        <f>INDEX(FlowCalGasMixture,MATCH(N293,FlowCalNumber,0),1,1)</f>
        <v>#N/A</v>
      </c>
      <c r="Q293" s="355" t="e">
        <f>INDEX(FlowCalDevice,MATCH(N293,FlowCalNumber,0),1,1)</f>
        <v>#N/A</v>
      </c>
      <c r="R293" s="20" t="str">
        <f>S$15&amp;$H$6&amp;R$6</f>
        <v>100AirPick a Tunnel</v>
      </c>
      <c r="S293" t="e">
        <f>INDEX(FlowCalGasMixture,MATCH(R293,FlowCalNumber,0),1,1)</f>
        <v>#N/A</v>
      </c>
      <c r="U293" s="944" t="e">
        <f>INDEX(FlowCalDevice,MATCH(R293,FlowCalNumber,0),1,1)</f>
        <v>#N/A</v>
      </c>
      <c r="V293" s="946" t="str">
        <f>W$15&amp;$H$6&amp;V$6</f>
        <v>100AirPick a Tunnel</v>
      </c>
      <c r="W293" t="e">
        <f>INDEX(FlowCalGasMixture,MATCH(V293,FlowCalNumber,0),1,1)</f>
        <v>#N/A</v>
      </c>
      <c r="Y293" s="982" t="e">
        <f>INDEX(FlowCalDevice,MATCH(V293,FlowCalNumber,0),1,1)</f>
        <v>#N/A</v>
      </c>
    </row>
    <row r="294" spans="1:25" s="1215" customFormat="1">
      <c r="A294" s="1208"/>
      <c r="B294" s="1209"/>
      <c r="C294" s="1210"/>
      <c r="D294" s="1211">
        <f>'1% Wind'!$M$82</f>
        <v>27</v>
      </c>
      <c r="E294" s="1212"/>
      <c r="F294" s="1212"/>
      <c r="G294" s="1213">
        <v>2</v>
      </c>
      <c r="H294" s="1214" t="e">
        <f t="shared" ref="H294:H308" ca="1" si="144">H293*(D293/D294)*(G294/G293)</f>
        <v>#N/A</v>
      </c>
      <c r="J294" s="1216"/>
      <c r="K294" s="1221">
        <f>K$16/100</f>
        <v>1</v>
      </c>
      <c r="L294" s="1218" t="e">
        <f ca="1">K294*$H294</f>
        <v>#N/A</v>
      </c>
      <c r="M294" s="1219" t="e">
        <f ca="1">IF(AND(INDEX(FlowCalConstA,MATCH(J293,FlowCalNumber,0),1,1)*L294^INDEX(FlowCalConstB,MATCH(J293,FlowCalNumber,0),1,1)&gt;INDEX(FlowCalLowSetting,MATCH(J293,FlowCalNumber,0),1,1), (INDEX(FlowCalConstA,MATCH(J293,FlowCalNumber,0),1,1)*L294^INDEX(FlowCalConstB,MATCH(J293,FlowCalNumber,0),1,1)&lt;INDEX(FlowCalHighSetting,MATCH(J293,FlowCalNumber,0),1,1))),INDEX(FlowCalConstA,MATCH(J293,FlowCalNumber,0),1,1)*L294^INDEX(FlowCalConstB,MATCH(J293,FlowCalNumber,0),1,1)," ")</f>
        <v>#N/A</v>
      </c>
      <c r="N294" s="1216"/>
      <c r="O294" s="1221">
        <f>O$16/100</f>
        <v>1</v>
      </c>
      <c r="P294" s="1218" t="e">
        <f ca="1">O294*$H294</f>
        <v>#N/A</v>
      </c>
      <c r="Q294" s="1220" t="e">
        <f ca="1">IF(AND(INDEX(FlowCalConstA,MATCH(N293,FlowCalNumber,0),1,1)*P294^INDEX(FlowCalConstB,MATCH(N293,FlowCalNumber,0),1,1)&gt;INDEX(FlowCalLowSetting,MATCH(N293,FlowCalNumber,0),1,1), (INDEX(FlowCalConstA,MATCH(N293,FlowCalNumber,0),1,1)*P294^INDEX(FlowCalConstB,MATCH(N293,FlowCalNumber,0),1,1)&lt;INDEX(FlowCalHighSetting,MATCH(N293,FlowCalNumber,0),1,1))),INDEX(FlowCalConstA,MATCH(N293,FlowCalNumber,0),1,1)*P294^INDEX(FlowCalConstB,MATCH(N293,FlowCalNumber,0),1,1)," ")</f>
        <v>#N/A</v>
      </c>
      <c r="R294" s="1216"/>
      <c r="S294" s="1221">
        <f>S$16/100</f>
        <v>0.5</v>
      </c>
      <c r="T294" s="1218" t="e">
        <f ca="1">S294*$H294</f>
        <v>#N/A</v>
      </c>
      <c r="U294" s="1219" t="e">
        <f ca="1">IF(AND(INDEX(FlowCalConstA,MATCH(R293,FlowCalNumber,0),1,1)*T294^INDEX(FlowCalConstB,MATCH(R293,FlowCalNumber,0),1,1)&gt;INDEX(FlowCalLowSetting,MATCH(R293,FlowCalNumber,0),1,1), (INDEX(FlowCalConstA,MATCH(R293,FlowCalNumber,0),1,1)*T294^INDEX(FlowCalConstB,MATCH(R293,FlowCalNumber,0),1,1)&lt;INDEX(FlowCalHighSetting,MATCH(R293,FlowCalNumber,0),1,1))),INDEX(FlowCalConstA,MATCH(R293,FlowCalNumber,0),1,1)*T294^INDEX(FlowCalConstB,MATCH(R293,FlowCalNumber,0),1,1)," ")</f>
        <v>#N/A</v>
      </c>
      <c r="V294" s="1216"/>
      <c r="W294" s="1221">
        <f>W$16/100</f>
        <v>0.5</v>
      </c>
      <c r="X294" s="1218" t="e">
        <f ca="1">W294*$H294</f>
        <v>#N/A</v>
      </c>
      <c r="Y294" s="1220" t="e">
        <f ca="1">IF(AND(INDEX(FlowCalConstA,MATCH(V293,FlowCalNumber,0),1,1)*X294^INDEX(FlowCalConstB,MATCH(V293,FlowCalNumber,0),1,1)&gt;INDEX(FlowCalLowSetting,MATCH(V293,FlowCalNumber,0),1,1), (INDEX(FlowCalConstA,MATCH(V293,FlowCalNumber,0),1,1)*X294^INDEX(FlowCalConstB,MATCH(V293,FlowCalNumber,0),1,1)&lt;INDEX(FlowCalHighSetting,MATCH(V293,FlowCalNumber,0),1,1))),INDEX(FlowCalConstA,MATCH(V293,FlowCalNumber,0),1,1)*X294^INDEX(FlowCalConstB,MATCH(V293,FlowCalNumber,0),1,1)," ")</f>
        <v>#N/A</v>
      </c>
    </row>
    <row r="295" spans="1:25">
      <c r="A295" s="412"/>
      <c r="B295" s="2"/>
      <c r="C295" s="235"/>
      <c r="D295" s="24">
        <f>'1% Wind'!$M$83</f>
        <v>23.5</v>
      </c>
      <c r="E295" s="90"/>
      <c r="F295" s="90"/>
      <c r="G295" s="79" t="e">
        <f ca="1">IF(I293=1,$G294,MAX(G294/D294*D295,2))</f>
        <v>#N/A</v>
      </c>
      <c r="H295" s="121" t="e">
        <f t="shared" ca="1" si="144"/>
        <v>#N/A</v>
      </c>
      <c r="J295" s="377"/>
      <c r="K295" s="242">
        <f t="shared" ref="K295:K308" si="145">K294</f>
        <v>1</v>
      </c>
      <c r="L295" s="241" t="e">
        <f t="shared" ref="L295:L308" ca="1" si="146">K295*$H295</f>
        <v>#N/A</v>
      </c>
      <c r="M295" s="243" t="e">
        <f ca="1">IF(AND(INDEX(FlowCalConstA,MATCH(J293,FlowCalNumber,0),1,1)*L295^INDEX(FlowCalConstB,MATCH(J293,FlowCalNumber,0),1,1)&gt;INDEX(FlowCalLowSetting,MATCH(J293,FlowCalNumber,0),1,1), (INDEX(FlowCalConstA,MATCH(J293,FlowCalNumber,0),1,1)*L295^INDEX(FlowCalConstB,MATCH(J293,FlowCalNumber,0),1,1)&lt;INDEX(FlowCalHighSetting,MATCH(J293,FlowCalNumber,0),1,1))),INDEX(FlowCalConstA,MATCH(J293,FlowCalNumber,0),1,1)*L295^INDEX(FlowCalConstB,MATCH(J293,FlowCalNumber,0),1,1)," ")</f>
        <v>#N/A</v>
      </c>
      <c r="N295" s="377"/>
      <c r="O295" s="242">
        <f t="shared" ref="O295:O308" si="147">O294</f>
        <v>1</v>
      </c>
      <c r="P295" s="241" t="e">
        <f t="shared" ref="P295:P308" ca="1" si="148">O295*$H295</f>
        <v>#N/A</v>
      </c>
      <c r="Q295" s="244" t="e">
        <f ca="1">IF(AND(INDEX(FlowCalConstA,MATCH(N293,FlowCalNumber,0),1,1)*P295^INDEX(FlowCalConstB,MATCH(N293,FlowCalNumber,0),1,1)&gt;INDEX(FlowCalLowSetting,MATCH(N293,FlowCalNumber,0),1,1), (INDEX(FlowCalConstA,MATCH(N293,FlowCalNumber,0),1,1)*P295^INDEX(FlowCalConstB,MATCH(N293,FlowCalNumber,0),1,1)&lt;INDEX(FlowCalHighSetting,MATCH(N293,FlowCalNumber,0),1,1))),INDEX(FlowCalConstA,MATCH(N293,FlowCalNumber,0),1,1)*P295^INDEX(FlowCalConstB,MATCH(N293,FlowCalNumber,0),1,1)," ")</f>
        <v>#N/A</v>
      </c>
      <c r="R295" s="377"/>
      <c r="S295" s="242">
        <f t="shared" ref="S295:S308" si="149">S294</f>
        <v>0.5</v>
      </c>
      <c r="T295" s="241" t="e">
        <f t="shared" ref="T295:T308" ca="1" si="150">S295*$H295</f>
        <v>#N/A</v>
      </c>
      <c r="U295" s="243" t="e">
        <f ca="1">IF(AND(INDEX(FlowCalConstA,MATCH(R293,FlowCalNumber,0),1,1)*T295^INDEX(FlowCalConstB,MATCH(R293,FlowCalNumber,0),1,1)&gt;INDEX(FlowCalLowSetting,MATCH(R293,FlowCalNumber,0),1,1), (INDEX(FlowCalConstA,MATCH(R293,FlowCalNumber,0),1,1)*T295^INDEX(FlowCalConstB,MATCH(R293,FlowCalNumber,0),1,1)&lt;INDEX(FlowCalHighSetting,MATCH(R293,FlowCalNumber,0),1,1))),INDEX(FlowCalConstA,MATCH(R293,FlowCalNumber,0),1,1)*T295^INDEX(FlowCalConstB,MATCH(R293,FlowCalNumber,0),1,1)," ")</f>
        <v>#N/A</v>
      </c>
      <c r="V295" s="377"/>
      <c r="W295" s="242">
        <f t="shared" ref="W295:W308" si="151">W294</f>
        <v>0.5</v>
      </c>
      <c r="X295" s="241" t="e">
        <f t="shared" ref="X295:X308" ca="1" si="152">W295*$H295</f>
        <v>#N/A</v>
      </c>
      <c r="Y295" s="244" t="e">
        <f ca="1">IF(AND(INDEX(FlowCalConstA,MATCH(V293,FlowCalNumber,0),1,1)*X295^INDEX(FlowCalConstB,MATCH(V293,FlowCalNumber,0),1,1)&gt;INDEX(FlowCalLowSetting,MATCH(V293,FlowCalNumber,0),1,1), (INDEX(FlowCalConstA,MATCH(V293,FlowCalNumber,0),1,1)*X295^INDEX(FlowCalConstB,MATCH(V293,FlowCalNumber,0),1,1)&lt;INDEX(FlowCalHighSetting,MATCH(V293,FlowCalNumber,0),1,1))),INDEX(FlowCalConstA,MATCH(V293,FlowCalNumber,0),1,1)*X295^INDEX(FlowCalConstB,MATCH(V293,FlowCalNumber,0),1,1)," ")</f>
        <v>#N/A</v>
      </c>
    </row>
    <row r="296" spans="1:25" s="1215" customFormat="1">
      <c r="A296" s="1208"/>
      <c r="B296" s="1209"/>
      <c r="C296" s="1210"/>
      <c r="D296" s="1211">
        <f>'1% Wind'!$M$84</f>
        <v>20.5</v>
      </c>
      <c r="E296" s="1212"/>
      <c r="F296" s="1212"/>
      <c r="G296" s="1213" t="e">
        <f ca="1">IF(I293=1,$G295,MAX(G295/D295*D296,2))</f>
        <v>#N/A</v>
      </c>
      <c r="H296" s="1214" t="e">
        <f t="shared" ca="1" si="144"/>
        <v>#N/A</v>
      </c>
      <c r="J296" s="1216"/>
      <c r="K296" s="1217">
        <f t="shared" si="145"/>
        <v>1</v>
      </c>
      <c r="L296" s="1218" t="e">
        <f t="shared" ca="1" si="146"/>
        <v>#N/A</v>
      </c>
      <c r="M296" s="1219" t="e">
        <f ca="1">IF(AND(INDEX(FlowCalConstA,MATCH(J293,FlowCalNumber,0),1,1)*L296^INDEX(FlowCalConstB,MATCH(J293,FlowCalNumber,0),1,1)&gt;INDEX(FlowCalLowSetting,MATCH(J293,FlowCalNumber,0),1,1), (INDEX(FlowCalConstA,MATCH(J293,FlowCalNumber,0),1,1)*L296^INDEX(FlowCalConstB,MATCH(J293,FlowCalNumber,0),1,1)&lt;INDEX(FlowCalHighSetting,MATCH(J293,FlowCalNumber,0),1,1))),INDEX(FlowCalConstA,MATCH(J293,FlowCalNumber,0),1,1)*L296^INDEX(FlowCalConstB,MATCH(J293,FlowCalNumber,0),1,1)," ")</f>
        <v>#N/A</v>
      </c>
      <c r="N296" s="1216"/>
      <c r="O296" s="1217">
        <f t="shared" si="147"/>
        <v>1</v>
      </c>
      <c r="P296" s="1218" t="e">
        <f t="shared" ca="1" si="148"/>
        <v>#N/A</v>
      </c>
      <c r="Q296" s="1220" t="e">
        <f ca="1">IF(AND(INDEX(FlowCalConstA,MATCH(N293,FlowCalNumber,0),1,1)*P296^INDEX(FlowCalConstB,MATCH(N293,FlowCalNumber,0),1,1)&gt;INDEX(FlowCalLowSetting,MATCH(N293,FlowCalNumber,0),1,1), (INDEX(FlowCalConstA,MATCH(N293,FlowCalNumber,0),1,1)*P296^INDEX(FlowCalConstB,MATCH(N293,FlowCalNumber,0),1,1)&lt;INDEX(FlowCalHighSetting,MATCH(N293,FlowCalNumber,0),1,1))),INDEX(FlowCalConstA,MATCH(N293,FlowCalNumber,0),1,1)*P296^INDEX(FlowCalConstB,MATCH(N293,FlowCalNumber,0),1,1)," ")</f>
        <v>#N/A</v>
      </c>
      <c r="R296" s="1216"/>
      <c r="S296" s="1217">
        <f t="shared" si="149"/>
        <v>0.5</v>
      </c>
      <c r="T296" s="1218" t="e">
        <f t="shared" ca="1" si="150"/>
        <v>#N/A</v>
      </c>
      <c r="U296" s="1219" t="e">
        <f ca="1">IF(AND(INDEX(FlowCalConstA,MATCH(R293,FlowCalNumber,0),1,1)*T296^INDEX(FlowCalConstB,MATCH(R293,FlowCalNumber,0),1,1)&gt;INDEX(FlowCalLowSetting,MATCH(R293,FlowCalNumber,0),1,1), (INDEX(FlowCalConstA,MATCH(R293,FlowCalNumber,0),1,1)*T296^INDEX(FlowCalConstB,MATCH(R293,FlowCalNumber,0),1,1)&lt;INDEX(FlowCalHighSetting,MATCH(R293,FlowCalNumber,0),1,1))),INDEX(FlowCalConstA,MATCH(R293,FlowCalNumber,0),1,1)*T296^INDEX(FlowCalConstB,MATCH(R293,FlowCalNumber,0),1,1)," ")</f>
        <v>#N/A</v>
      </c>
      <c r="V296" s="1216"/>
      <c r="W296" s="1217">
        <f t="shared" si="151"/>
        <v>0.5</v>
      </c>
      <c r="X296" s="1218" t="e">
        <f t="shared" ca="1" si="152"/>
        <v>#N/A</v>
      </c>
      <c r="Y296" s="1220" t="e">
        <f ca="1">IF(AND(INDEX(FlowCalConstA,MATCH(V293,FlowCalNumber,0),1,1)*X296^INDEX(FlowCalConstB,MATCH(V293,FlowCalNumber,0),1,1)&gt;INDEX(FlowCalLowSetting,MATCH(V293,FlowCalNumber,0),1,1), (INDEX(FlowCalConstA,MATCH(V293,FlowCalNumber,0),1,1)*X296^INDEX(FlowCalConstB,MATCH(V293,FlowCalNumber,0),1,1)&lt;INDEX(FlowCalHighSetting,MATCH(V293,FlowCalNumber,0),1,1))),INDEX(FlowCalConstA,MATCH(V293,FlowCalNumber,0),1,1)*X296^INDEX(FlowCalConstB,MATCH(V293,FlowCalNumber,0),1,1)," ")</f>
        <v>#N/A</v>
      </c>
    </row>
    <row r="297" spans="1:25">
      <c r="A297" s="412"/>
      <c r="B297" s="2"/>
      <c r="C297" s="235"/>
      <c r="D297" s="24">
        <f>'1% Wind'!$M$85</f>
        <v>17.8</v>
      </c>
      <c r="E297" s="90"/>
      <c r="F297" s="90"/>
      <c r="G297" s="79" t="e">
        <f ca="1">IF(I293=1,$G296,MAX(G296/D296*D297,2))</f>
        <v>#N/A</v>
      </c>
      <c r="H297" s="121" t="e">
        <f t="shared" ca="1" si="144"/>
        <v>#N/A</v>
      </c>
      <c r="J297" s="377"/>
      <c r="K297" s="242">
        <f t="shared" si="145"/>
        <v>1</v>
      </c>
      <c r="L297" s="241" t="e">
        <f t="shared" ca="1" si="146"/>
        <v>#N/A</v>
      </c>
      <c r="M297" s="243" t="e">
        <f ca="1">IF(AND(INDEX(FlowCalConstA,MATCH(J293,FlowCalNumber,0),1,1)*L297^INDEX(FlowCalConstB,MATCH(J293,FlowCalNumber,0),1,1)&gt;INDEX(FlowCalLowSetting,MATCH(J293,FlowCalNumber,0),1,1), (INDEX(FlowCalConstA,MATCH(J293,FlowCalNumber,0),1,1)*L297^INDEX(FlowCalConstB,MATCH(J293,FlowCalNumber,0),1,1)&lt;INDEX(FlowCalHighSetting,MATCH(J293,FlowCalNumber,0),1,1))),INDEX(FlowCalConstA,MATCH(J293,FlowCalNumber,0),1,1)*L297^INDEX(FlowCalConstB,MATCH(J293,FlowCalNumber,0),1,1)," ")</f>
        <v>#N/A</v>
      </c>
      <c r="N297" s="377"/>
      <c r="O297" s="242">
        <f t="shared" si="147"/>
        <v>1</v>
      </c>
      <c r="P297" s="241" t="e">
        <f t="shared" ca="1" si="148"/>
        <v>#N/A</v>
      </c>
      <c r="Q297" s="244" t="e">
        <f ca="1">IF(AND(INDEX(FlowCalConstA,MATCH(N293,FlowCalNumber,0),1,1)*P297^INDEX(FlowCalConstB,MATCH(N293,FlowCalNumber,0),1,1)&gt;INDEX(FlowCalLowSetting,MATCH(N293,FlowCalNumber,0),1,1), (INDEX(FlowCalConstA,MATCH(N293,FlowCalNumber,0),1,1)*P297^INDEX(FlowCalConstB,MATCH(N293,FlowCalNumber,0),1,1)&lt;INDEX(FlowCalHighSetting,MATCH(N293,FlowCalNumber,0),1,1))),INDEX(FlowCalConstA,MATCH(N293,FlowCalNumber,0),1,1)*P297^INDEX(FlowCalConstB,MATCH(N293,FlowCalNumber,0),1,1)," ")</f>
        <v>#N/A</v>
      </c>
      <c r="R297" s="377"/>
      <c r="S297" s="242">
        <f t="shared" si="149"/>
        <v>0.5</v>
      </c>
      <c r="T297" s="241" t="e">
        <f t="shared" ca="1" si="150"/>
        <v>#N/A</v>
      </c>
      <c r="U297" s="243" t="e">
        <f ca="1">IF(AND(INDEX(FlowCalConstA,MATCH(R293,FlowCalNumber,0),1,1)*T297^INDEX(FlowCalConstB,MATCH(R293,FlowCalNumber,0),1,1)&gt;INDEX(FlowCalLowSetting,MATCH(R293,FlowCalNumber,0),1,1), (INDEX(FlowCalConstA,MATCH(R293,FlowCalNumber,0),1,1)*T297^INDEX(FlowCalConstB,MATCH(R293,FlowCalNumber,0),1,1)&lt;INDEX(FlowCalHighSetting,MATCH(R293,FlowCalNumber,0),1,1))),INDEX(FlowCalConstA,MATCH(R293,FlowCalNumber,0),1,1)*T297^INDEX(FlowCalConstB,MATCH(R293,FlowCalNumber,0),1,1)," ")</f>
        <v>#N/A</v>
      </c>
      <c r="V297" s="377"/>
      <c r="W297" s="242">
        <f t="shared" si="151"/>
        <v>0.5</v>
      </c>
      <c r="X297" s="241" t="e">
        <f t="shared" ca="1" si="152"/>
        <v>#N/A</v>
      </c>
      <c r="Y297" s="244" t="e">
        <f ca="1">IF(AND(INDEX(FlowCalConstA,MATCH(V293,FlowCalNumber,0),1,1)*X297^INDEX(FlowCalConstB,MATCH(V293,FlowCalNumber,0),1,1)&gt;INDEX(FlowCalLowSetting,MATCH(V293,FlowCalNumber,0),1,1), (INDEX(FlowCalConstA,MATCH(V293,FlowCalNumber,0),1,1)*X297^INDEX(FlowCalConstB,MATCH(V293,FlowCalNumber,0),1,1)&lt;INDEX(FlowCalHighSetting,MATCH(V293,FlowCalNumber,0),1,1))),INDEX(FlowCalConstA,MATCH(V293,FlowCalNumber,0),1,1)*X297^INDEX(FlowCalConstB,MATCH(V293,FlowCalNumber,0),1,1)," ")</f>
        <v>#N/A</v>
      </c>
    </row>
    <row r="298" spans="1:25" s="1215" customFormat="1">
      <c r="A298" s="1208"/>
      <c r="B298" s="1209"/>
      <c r="C298" s="1210"/>
      <c r="D298" s="1211">
        <f>'1% Wind'!$M$86</f>
        <v>15.5</v>
      </c>
      <c r="E298" s="1212"/>
      <c r="F298" s="1212"/>
      <c r="G298" s="1213" t="e">
        <f ca="1">IF(I293=1,$G297,MAX(G297/D297*D298,2))</f>
        <v>#N/A</v>
      </c>
      <c r="H298" s="1214" t="e">
        <f t="shared" ca="1" si="144"/>
        <v>#N/A</v>
      </c>
      <c r="J298" s="1216"/>
      <c r="K298" s="1217">
        <f t="shared" si="145"/>
        <v>1</v>
      </c>
      <c r="L298" s="1218" t="e">
        <f t="shared" ca="1" si="146"/>
        <v>#N/A</v>
      </c>
      <c r="M298" s="1219" t="e">
        <f ca="1">IF(AND(INDEX(FlowCalConstA,MATCH(J293,FlowCalNumber,0),1,1)*L298^INDEX(FlowCalConstB,MATCH(J293,FlowCalNumber,0),1,1)&gt;INDEX(FlowCalLowSetting,MATCH(J293,FlowCalNumber,0),1,1), (INDEX(FlowCalConstA,MATCH(J293,FlowCalNumber,0),1,1)*L298^INDEX(FlowCalConstB,MATCH(J293,FlowCalNumber,0),1,1)&lt;INDEX(FlowCalHighSetting,MATCH(J293,FlowCalNumber,0),1,1))),INDEX(FlowCalConstA,MATCH(J293,FlowCalNumber,0),1,1)*L298^INDEX(FlowCalConstB,MATCH(J293,FlowCalNumber,0),1,1)," ")</f>
        <v>#N/A</v>
      </c>
      <c r="N298" s="1216"/>
      <c r="O298" s="1217">
        <f t="shared" si="147"/>
        <v>1</v>
      </c>
      <c r="P298" s="1218" t="e">
        <f t="shared" ca="1" si="148"/>
        <v>#N/A</v>
      </c>
      <c r="Q298" s="1220" t="e">
        <f ca="1">IF(AND(INDEX(FlowCalConstA,MATCH(N293,FlowCalNumber,0),1,1)*P298^INDEX(FlowCalConstB,MATCH(N293,FlowCalNumber,0),1,1)&gt;INDEX(FlowCalLowSetting,MATCH(N293,FlowCalNumber,0),1,1), (INDEX(FlowCalConstA,MATCH(N293,FlowCalNumber,0),1,1)*P298^INDEX(FlowCalConstB,MATCH(N293,FlowCalNumber,0),1,1)&lt;INDEX(FlowCalHighSetting,MATCH(N293,FlowCalNumber,0),1,1))),INDEX(FlowCalConstA,MATCH(N293,FlowCalNumber,0),1,1)*P298^INDEX(FlowCalConstB,MATCH(N293,FlowCalNumber,0),1,1)," ")</f>
        <v>#N/A</v>
      </c>
      <c r="R298" s="1216"/>
      <c r="S298" s="1217">
        <f t="shared" si="149"/>
        <v>0.5</v>
      </c>
      <c r="T298" s="1218" t="e">
        <f t="shared" ca="1" si="150"/>
        <v>#N/A</v>
      </c>
      <c r="U298" s="1219" t="e">
        <f ca="1">IF(AND(INDEX(FlowCalConstA,MATCH(R293,FlowCalNumber,0),1,1)*T298^INDEX(FlowCalConstB,MATCH(R293,FlowCalNumber,0),1,1)&gt;INDEX(FlowCalLowSetting,MATCH(R293,FlowCalNumber,0),1,1), (INDEX(FlowCalConstA,MATCH(R293,FlowCalNumber,0),1,1)*T298^INDEX(FlowCalConstB,MATCH(R293,FlowCalNumber,0),1,1)&lt;INDEX(FlowCalHighSetting,MATCH(R293,FlowCalNumber,0),1,1))),INDEX(FlowCalConstA,MATCH(R293,FlowCalNumber,0),1,1)*T298^INDEX(FlowCalConstB,MATCH(R293,FlowCalNumber,0),1,1)," ")</f>
        <v>#N/A</v>
      </c>
      <c r="V298" s="1216"/>
      <c r="W298" s="1217">
        <f t="shared" si="151"/>
        <v>0.5</v>
      </c>
      <c r="X298" s="1218" t="e">
        <f t="shared" ca="1" si="152"/>
        <v>#N/A</v>
      </c>
      <c r="Y298" s="1220" t="e">
        <f ca="1">IF(AND(INDEX(FlowCalConstA,MATCH(V293,FlowCalNumber,0),1,1)*X298^INDEX(FlowCalConstB,MATCH(V293,FlowCalNumber,0),1,1)&gt;INDEX(FlowCalLowSetting,MATCH(V293,FlowCalNumber,0),1,1), (INDEX(FlowCalConstA,MATCH(V293,FlowCalNumber,0),1,1)*X298^INDEX(FlowCalConstB,MATCH(V293,FlowCalNumber,0),1,1)&lt;INDEX(FlowCalHighSetting,MATCH(V293,FlowCalNumber,0),1,1))),INDEX(FlowCalConstA,MATCH(V293,FlowCalNumber,0),1,1)*X298^INDEX(FlowCalConstB,MATCH(V293,FlowCalNumber,0),1,1)," ")</f>
        <v>#N/A</v>
      </c>
    </row>
    <row r="299" spans="1:25">
      <c r="A299" s="412"/>
      <c r="B299" s="2"/>
      <c r="C299" s="235"/>
      <c r="D299" s="24">
        <f>'1% Wind'!$M$87</f>
        <v>13.5</v>
      </c>
      <c r="E299" s="90"/>
      <c r="F299" s="90"/>
      <c r="G299" s="79" t="e">
        <f ca="1">IF(I293=1,$G298,MAX(G298/D298*D299,2))</f>
        <v>#N/A</v>
      </c>
      <c r="H299" s="121" t="e">
        <f t="shared" ca="1" si="144"/>
        <v>#N/A</v>
      </c>
      <c r="J299" s="377"/>
      <c r="K299" s="242">
        <f t="shared" si="145"/>
        <v>1</v>
      </c>
      <c r="L299" s="241" t="e">
        <f t="shared" ca="1" si="146"/>
        <v>#N/A</v>
      </c>
      <c r="M299" s="243" t="e">
        <f ca="1">IF(AND(INDEX(FlowCalConstA,MATCH(J293,FlowCalNumber,0),1,1)*L299^INDEX(FlowCalConstB,MATCH(J293,FlowCalNumber,0),1,1)&gt;INDEX(FlowCalLowSetting,MATCH(J293,FlowCalNumber,0),1,1), (INDEX(FlowCalConstA,MATCH(J293,FlowCalNumber,0),1,1)*L299^INDEX(FlowCalConstB,MATCH(J293,FlowCalNumber,0),1,1)&lt;INDEX(FlowCalHighSetting,MATCH(J293,FlowCalNumber,0),1,1))),INDEX(FlowCalConstA,MATCH(J293,FlowCalNumber,0),1,1)*L299^INDEX(FlowCalConstB,MATCH(J293,FlowCalNumber,0),1,1)," ")</f>
        <v>#N/A</v>
      </c>
      <c r="N299" s="377"/>
      <c r="O299" s="242">
        <f t="shared" si="147"/>
        <v>1</v>
      </c>
      <c r="P299" s="241" t="e">
        <f t="shared" ca="1" si="148"/>
        <v>#N/A</v>
      </c>
      <c r="Q299" s="244" t="e">
        <f ca="1">IF(AND(INDEX(FlowCalConstA,MATCH(N293,FlowCalNumber,0),1,1)*P299^INDEX(FlowCalConstB,MATCH(N293,FlowCalNumber,0),1,1)&gt;INDEX(FlowCalLowSetting,MATCH(N293,FlowCalNumber,0),1,1), (INDEX(FlowCalConstA,MATCH(N293,FlowCalNumber,0),1,1)*P299^INDEX(FlowCalConstB,MATCH(N293,FlowCalNumber,0),1,1)&lt;INDEX(FlowCalHighSetting,MATCH(N293,FlowCalNumber,0),1,1))),INDEX(FlowCalConstA,MATCH(N293,FlowCalNumber,0),1,1)*P299^INDEX(FlowCalConstB,MATCH(N293,FlowCalNumber,0),1,1)," ")</f>
        <v>#N/A</v>
      </c>
      <c r="R299" s="377"/>
      <c r="S299" s="242">
        <f t="shared" si="149"/>
        <v>0.5</v>
      </c>
      <c r="T299" s="241" t="e">
        <f t="shared" ca="1" si="150"/>
        <v>#N/A</v>
      </c>
      <c r="U299" s="243" t="e">
        <f ca="1">IF(AND(INDEX(FlowCalConstA,MATCH(R293,FlowCalNumber,0),1,1)*T299^INDEX(FlowCalConstB,MATCH(R293,FlowCalNumber,0),1,1)&gt;INDEX(FlowCalLowSetting,MATCH(R293,FlowCalNumber,0),1,1), (INDEX(FlowCalConstA,MATCH(R293,FlowCalNumber,0),1,1)*T299^INDEX(FlowCalConstB,MATCH(R293,FlowCalNumber,0),1,1)&lt;INDEX(FlowCalHighSetting,MATCH(R293,FlowCalNumber,0),1,1))),INDEX(FlowCalConstA,MATCH(R293,FlowCalNumber,0),1,1)*T299^INDEX(FlowCalConstB,MATCH(R293,FlowCalNumber,0),1,1)," ")</f>
        <v>#N/A</v>
      </c>
      <c r="V299" s="377"/>
      <c r="W299" s="242">
        <f t="shared" si="151"/>
        <v>0.5</v>
      </c>
      <c r="X299" s="241" t="e">
        <f t="shared" ca="1" si="152"/>
        <v>#N/A</v>
      </c>
      <c r="Y299" s="244" t="e">
        <f ca="1">IF(AND(INDEX(FlowCalConstA,MATCH(V293,FlowCalNumber,0),1,1)*X299^INDEX(FlowCalConstB,MATCH(V293,FlowCalNumber,0),1,1)&gt;INDEX(FlowCalLowSetting,MATCH(V293,FlowCalNumber,0),1,1), (INDEX(FlowCalConstA,MATCH(V293,FlowCalNumber,0),1,1)*X299^INDEX(FlowCalConstB,MATCH(V293,FlowCalNumber,0),1,1)&lt;INDEX(FlowCalHighSetting,MATCH(V293,FlowCalNumber,0),1,1))),INDEX(FlowCalConstA,MATCH(V293,FlowCalNumber,0),1,1)*X299^INDEX(FlowCalConstB,MATCH(V293,FlowCalNumber,0),1,1)," ")</f>
        <v>#N/A</v>
      </c>
    </row>
    <row r="300" spans="1:25" s="1215" customFormat="1">
      <c r="A300" s="1208"/>
      <c r="B300" s="1209"/>
      <c r="C300" s="1210"/>
      <c r="D300" s="1211">
        <f>'1% Wind'!$M$88</f>
        <v>10.1</v>
      </c>
      <c r="E300" s="1212"/>
      <c r="F300" s="1212"/>
      <c r="G300" s="1213" t="e">
        <f ca="1">IF(I293=1,$G299,MAX(G299/D299*D300,2))</f>
        <v>#N/A</v>
      </c>
      <c r="H300" s="1214" t="e">
        <f t="shared" ca="1" si="144"/>
        <v>#N/A</v>
      </c>
      <c r="J300" s="1216"/>
      <c r="K300" s="1217">
        <f t="shared" si="145"/>
        <v>1</v>
      </c>
      <c r="L300" s="1218" t="e">
        <f t="shared" ca="1" si="146"/>
        <v>#N/A</v>
      </c>
      <c r="M300" s="1219" t="e">
        <f ca="1">IF(AND(INDEX(FlowCalConstA,MATCH(J293,FlowCalNumber,0),1,1)*L300^INDEX(FlowCalConstB,MATCH(J293,FlowCalNumber,0),1,1)&gt;INDEX(FlowCalLowSetting,MATCH(J293,FlowCalNumber,0),1,1), (INDEX(FlowCalConstA,MATCH(J293,FlowCalNumber,0),1,1)*L300^INDEX(FlowCalConstB,MATCH(J293,FlowCalNumber,0),1,1)&lt;INDEX(FlowCalHighSetting,MATCH(J293,FlowCalNumber,0),1,1))),INDEX(FlowCalConstA,MATCH(J293,FlowCalNumber,0),1,1)*L300^INDEX(FlowCalConstB,MATCH(J293,FlowCalNumber,0),1,1)," ")</f>
        <v>#N/A</v>
      </c>
      <c r="N300" s="1216"/>
      <c r="O300" s="1217">
        <f t="shared" si="147"/>
        <v>1</v>
      </c>
      <c r="P300" s="1218" t="e">
        <f t="shared" ca="1" si="148"/>
        <v>#N/A</v>
      </c>
      <c r="Q300" s="1220" t="e">
        <f ca="1">IF(AND(INDEX(FlowCalConstA,MATCH(N293,FlowCalNumber,0),1,1)*P300^INDEX(FlowCalConstB,MATCH(N293,FlowCalNumber,0),1,1)&gt;INDEX(FlowCalLowSetting,MATCH(N293,FlowCalNumber,0),1,1), (INDEX(FlowCalConstA,MATCH(N293,FlowCalNumber,0),1,1)*P300^INDEX(FlowCalConstB,MATCH(N293,FlowCalNumber,0),1,1)&lt;INDEX(FlowCalHighSetting,MATCH(N293,FlowCalNumber,0),1,1))),INDEX(FlowCalConstA,MATCH(N293,FlowCalNumber,0),1,1)*P300^INDEX(FlowCalConstB,MATCH(N293,FlowCalNumber,0),1,1)," ")</f>
        <v>#N/A</v>
      </c>
      <c r="R300" s="1216"/>
      <c r="S300" s="1217">
        <f t="shared" si="149"/>
        <v>0.5</v>
      </c>
      <c r="T300" s="1218" t="e">
        <f t="shared" ca="1" si="150"/>
        <v>#N/A</v>
      </c>
      <c r="U300" s="1219" t="e">
        <f ca="1">IF(AND(INDEX(FlowCalConstA,MATCH(R293,FlowCalNumber,0),1,1)*T300^INDEX(FlowCalConstB,MATCH(R293,FlowCalNumber,0),1,1)&gt;INDEX(FlowCalLowSetting,MATCH(R293,FlowCalNumber,0),1,1), (INDEX(FlowCalConstA,MATCH(R293,FlowCalNumber,0),1,1)*T300^INDEX(FlowCalConstB,MATCH(R293,FlowCalNumber,0),1,1)&lt;INDEX(FlowCalHighSetting,MATCH(R293,FlowCalNumber,0),1,1))),INDEX(FlowCalConstA,MATCH(R293,FlowCalNumber,0),1,1)*T300^INDEX(FlowCalConstB,MATCH(R293,FlowCalNumber,0),1,1)," ")</f>
        <v>#N/A</v>
      </c>
      <c r="V300" s="1216"/>
      <c r="W300" s="1217">
        <f t="shared" si="151"/>
        <v>0.5</v>
      </c>
      <c r="X300" s="1218" t="e">
        <f t="shared" ca="1" si="152"/>
        <v>#N/A</v>
      </c>
      <c r="Y300" s="1220" t="e">
        <f ca="1">IF(AND(INDEX(FlowCalConstA,MATCH(V293,FlowCalNumber,0),1,1)*X300^INDEX(FlowCalConstB,MATCH(V293,FlowCalNumber,0),1,1)&gt;INDEX(FlowCalLowSetting,MATCH(V293,FlowCalNumber,0),1,1), (INDEX(FlowCalConstA,MATCH(V293,FlowCalNumber,0),1,1)*X300^INDEX(FlowCalConstB,MATCH(V293,FlowCalNumber,0),1,1)&lt;INDEX(FlowCalHighSetting,MATCH(V293,FlowCalNumber,0),1,1))),INDEX(FlowCalConstA,MATCH(V293,FlowCalNumber,0),1,1)*X300^INDEX(FlowCalConstB,MATCH(V293,FlowCalNumber,0),1,1)," ")</f>
        <v>#N/A</v>
      </c>
    </row>
    <row r="301" spans="1:25">
      <c r="A301" s="412"/>
      <c r="B301" s="2"/>
      <c r="C301" s="235"/>
      <c r="D301" s="24">
        <f>'1% Wind'!$M$89</f>
        <v>7.6</v>
      </c>
      <c r="E301" s="90"/>
      <c r="F301" s="90"/>
      <c r="G301" s="79" t="e">
        <f ca="1">IF(I293=1,$G300,MAX(G300/D300*D301,2))</f>
        <v>#N/A</v>
      </c>
      <c r="H301" s="121" t="e">
        <f t="shared" ca="1" si="144"/>
        <v>#N/A</v>
      </c>
      <c r="J301" s="377"/>
      <c r="K301" s="242">
        <f t="shared" si="145"/>
        <v>1</v>
      </c>
      <c r="L301" s="241" t="e">
        <f t="shared" ca="1" si="146"/>
        <v>#N/A</v>
      </c>
      <c r="M301" s="243" t="e">
        <f ca="1">IF(AND(INDEX(FlowCalConstA,MATCH(J293,FlowCalNumber,0),1,1)*L301^INDEX(FlowCalConstB,MATCH(J293,FlowCalNumber,0),1,1)&gt;INDEX(FlowCalLowSetting,MATCH(J293,FlowCalNumber,0),1,1), (INDEX(FlowCalConstA,MATCH(J293,FlowCalNumber,0),1,1)*L301^INDEX(FlowCalConstB,MATCH(J293,FlowCalNumber,0),1,1)&lt;INDEX(FlowCalHighSetting,MATCH(J293,FlowCalNumber,0),1,1))),INDEX(FlowCalConstA,MATCH(J293,FlowCalNumber,0),1,1)*L301^INDEX(FlowCalConstB,MATCH(J293,FlowCalNumber,0),1,1)," ")</f>
        <v>#N/A</v>
      </c>
      <c r="N301" s="377"/>
      <c r="O301" s="242">
        <f t="shared" si="147"/>
        <v>1</v>
      </c>
      <c r="P301" s="241" t="e">
        <f t="shared" ca="1" si="148"/>
        <v>#N/A</v>
      </c>
      <c r="Q301" s="244" t="e">
        <f ca="1">IF(AND(INDEX(FlowCalConstA,MATCH(N293,FlowCalNumber,0),1,1)*P301^INDEX(FlowCalConstB,MATCH(N293,FlowCalNumber,0),1,1)&gt;INDEX(FlowCalLowSetting,MATCH(N293,FlowCalNumber,0),1,1), (INDEX(FlowCalConstA,MATCH(N293,FlowCalNumber,0),1,1)*P301^INDEX(FlowCalConstB,MATCH(N293,FlowCalNumber,0),1,1)&lt;INDEX(FlowCalHighSetting,MATCH(N293,FlowCalNumber,0),1,1))),INDEX(FlowCalConstA,MATCH(N293,FlowCalNumber,0),1,1)*P301^INDEX(FlowCalConstB,MATCH(N293,FlowCalNumber,0),1,1)," ")</f>
        <v>#N/A</v>
      </c>
      <c r="R301" s="377"/>
      <c r="S301" s="242">
        <f t="shared" si="149"/>
        <v>0.5</v>
      </c>
      <c r="T301" s="241" t="e">
        <f t="shared" ca="1" si="150"/>
        <v>#N/A</v>
      </c>
      <c r="U301" s="243" t="e">
        <f ca="1">IF(AND(INDEX(FlowCalConstA,MATCH(R293,FlowCalNumber,0),1,1)*T301^INDEX(FlowCalConstB,MATCH(R293,FlowCalNumber,0),1,1)&gt;INDEX(FlowCalLowSetting,MATCH(R293,FlowCalNumber,0),1,1), (INDEX(FlowCalConstA,MATCH(R293,FlowCalNumber,0),1,1)*T301^INDEX(FlowCalConstB,MATCH(R293,FlowCalNumber,0),1,1)&lt;INDEX(FlowCalHighSetting,MATCH(R293,FlowCalNumber,0),1,1))),INDEX(FlowCalConstA,MATCH(R293,FlowCalNumber,0),1,1)*T301^INDEX(FlowCalConstB,MATCH(R293,FlowCalNumber,0),1,1)," ")</f>
        <v>#N/A</v>
      </c>
      <c r="V301" s="377"/>
      <c r="W301" s="242">
        <f t="shared" si="151"/>
        <v>0.5</v>
      </c>
      <c r="X301" s="241" t="e">
        <f t="shared" ca="1" si="152"/>
        <v>#N/A</v>
      </c>
      <c r="Y301" s="244" t="e">
        <f ca="1">IF(AND(INDEX(FlowCalConstA,MATCH(V293,FlowCalNumber,0),1,1)*X301^INDEX(FlowCalConstB,MATCH(V293,FlowCalNumber,0),1,1)&gt;INDEX(FlowCalLowSetting,MATCH(V293,FlowCalNumber,0),1,1), (INDEX(FlowCalConstA,MATCH(V293,FlowCalNumber,0),1,1)*X301^INDEX(FlowCalConstB,MATCH(V293,FlowCalNumber,0),1,1)&lt;INDEX(FlowCalHighSetting,MATCH(V293,FlowCalNumber,0),1,1))),INDEX(FlowCalConstA,MATCH(V293,FlowCalNumber,0),1,1)*X301^INDEX(FlowCalConstB,MATCH(V293,FlowCalNumber,0),1,1)," ")</f>
        <v>#N/A</v>
      </c>
    </row>
    <row r="302" spans="1:25" s="1215" customFormat="1">
      <c r="A302" s="1208"/>
      <c r="B302" s="1209"/>
      <c r="C302" s="1210"/>
      <c r="D302" s="1211">
        <f>'1% Wind'!$M$90</f>
        <v>5.7</v>
      </c>
      <c r="E302" s="1212"/>
      <c r="F302" s="1212"/>
      <c r="G302" s="1213" t="e">
        <f ca="1">IF(I293=1,$G301,MAX(G301/D301*D302,2))</f>
        <v>#N/A</v>
      </c>
      <c r="H302" s="1214" t="e">
        <f t="shared" ca="1" si="144"/>
        <v>#N/A</v>
      </c>
      <c r="J302" s="1216"/>
      <c r="K302" s="1217">
        <f t="shared" si="145"/>
        <v>1</v>
      </c>
      <c r="L302" s="1218" t="e">
        <f t="shared" ca="1" si="146"/>
        <v>#N/A</v>
      </c>
      <c r="M302" s="1219" t="e">
        <f ca="1">IF(AND(INDEX(FlowCalConstA,MATCH(J293,FlowCalNumber,0),1,1)*L302^INDEX(FlowCalConstB,MATCH(J293,FlowCalNumber,0),1,1)&gt;INDEX(FlowCalLowSetting,MATCH(J293,FlowCalNumber,0),1,1), (INDEX(FlowCalConstA,MATCH(J293,FlowCalNumber,0),1,1)*L302^INDEX(FlowCalConstB,MATCH(J293,FlowCalNumber,0),1,1)&lt;INDEX(FlowCalHighSetting,MATCH(J293,FlowCalNumber,0),1,1))),INDEX(FlowCalConstA,MATCH(J293,FlowCalNumber,0),1,1)*L302^INDEX(FlowCalConstB,MATCH(J293,FlowCalNumber,0),1,1)," ")</f>
        <v>#N/A</v>
      </c>
      <c r="N302" s="1216"/>
      <c r="O302" s="1217">
        <f t="shared" si="147"/>
        <v>1</v>
      </c>
      <c r="P302" s="1218" t="e">
        <f t="shared" ca="1" si="148"/>
        <v>#N/A</v>
      </c>
      <c r="Q302" s="1220" t="e">
        <f ca="1">IF(AND(INDEX(FlowCalConstA,MATCH(N293,FlowCalNumber,0),1,1)*P302^INDEX(FlowCalConstB,MATCH(N293,FlowCalNumber,0),1,1)&gt;INDEX(FlowCalLowSetting,MATCH(N293,FlowCalNumber,0),1,1), (INDEX(FlowCalConstA,MATCH(N293,FlowCalNumber,0),1,1)*P302^INDEX(FlowCalConstB,MATCH(N293,FlowCalNumber,0),1,1)&lt;INDEX(FlowCalHighSetting,MATCH(N293,FlowCalNumber,0),1,1))),INDEX(FlowCalConstA,MATCH(N293,FlowCalNumber,0),1,1)*P302^INDEX(FlowCalConstB,MATCH(N293,FlowCalNumber,0),1,1)," ")</f>
        <v>#N/A</v>
      </c>
      <c r="R302" s="1216"/>
      <c r="S302" s="1217">
        <f t="shared" si="149"/>
        <v>0.5</v>
      </c>
      <c r="T302" s="1218" t="e">
        <f t="shared" ca="1" si="150"/>
        <v>#N/A</v>
      </c>
      <c r="U302" s="1219" t="e">
        <f ca="1">IF(AND(INDEX(FlowCalConstA,MATCH(R293,FlowCalNumber,0),1,1)*T302^INDEX(FlowCalConstB,MATCH(R293,FlowCalNumber,0),1,1)&gt;INDEX(FlowCalLowSetting,MATCH(R293,FlowCalNumber,0),1,1), (INDEX(FlowCalConstA,MATCH(R293,FlowCalNumber,0),1,1)*T302^INDEX(FlowCalConstB,MATCH(R293,FlowCalNumber,0),1,1)&lt;INDEX(FlowCalHighSetting,MATCH(R293,FlowCalNumber,0),1,1))),INDEX(FlowCalConstA,MATCH(R293,FlowCalNumber,0),1,1)*T302^INDEX(FlowCalConstB,MATCH(R293,FlowCalNumber,0),1,1)," ")</f>
        <v>#N/A</v>
      </c>
      <c r="V302" s="1216"/>
      <c r="W302" s="1217">
        <f t="shared" si="151"/>
        <v>0.5</v>
      </c>
      <c r="X302" s="1218" t="e">
        <f t="shared" ca="1" si="152"/>
        <v>#N/A</v>
      </c>
      <c r="Y302" s="1220" t="e">
        <f ca="1">IF(AND(INDEX(FlowCalConstA,MATCH(V293,FlowCalNumber,0),1,1)*X302^INDEX(FlowCalConstB,MATCH(V293,FlowCalNumber,0),1,1)&gt;INDEX(FlowCalLowSetting,MATCH(V293,FlowCalNumber,0),1,1), (INDEX(FlowCalConstA,MATCH(V293,FlowCalNumber,0),1,1)*X302^INDEX(FlowCalConstB,MATCH(V293,FlowCalNumber,0),1,1)&lt;INDEX(FlowCalHighSetting,MATCH(V293,FlowCalNumber,0),1,1))),INDEX(FlowCalConstA,MATCH(V293,FlowCalNumber,0),1,1)*X302^INDEX(FlowCalConstB,MATCH(V293,FlowCalNumber,0),1,1)," ")</f>
        <v>#N/A</v>
      </c>
    </row>
    <row r="303" spans="1:25">
      <c r="A303" s="412"/>
      <c r="B303" s="2"/>
      <c r="C303" s="235"/>
      <c r="D303" s="24">
        <f>'1% Wind'!$M$91</f>
        <v>4.2</v>
      </c>
      <c r="E303" s="90"/>
      <c r="F303" s="90"/>
      <c r="G303" s="79" t="e">
        <f ca="1">IF(I293=1,$G302,MAX(G302/D302*D303,2))</f>
        <v>#N/A</v>
      </c>
      <c r="H303" s="121" t="e">
        <f t="shared" ca="1" si="144"/>
        <v>#N/A</v>
      </c>
      <c r="J303" s="377"/>
      <c r="K303" s="242">
        <f t="shared" si="145"/>
        <v>1</v>
      </c>
      <c r="L303" s="241" t="e">
        <f t="shared" ca="1" si="146"/>
        <v>#N/A</v>
      </c>
      <c r="M303" s="243" t="e">
        <f ca="1">IF(AND(INDEX(FlowCalConstA,MATCH(J293,FlowCalNumber,0),1,1)*L303^INDEX(FlowCalConstB,MATCH(J293,FlowCalNumber,0),1,1)&gt;INDEX(FlowCalLowSetting,MATCH(J293,FlowCalNumber,0),1,1), (INDEX(FlowCalConstA,MATCH(J293,FlowCalNumber,0),1,1)*L303^INDEX(FlowCalConstB,MATCH(J293,FlowCalNumber,0),1,1)&lt;INDEX(FlowCalHighSetting,MATCH(J293,FlowCalNumber,0),1,1))),INDEX(FlowCalConstA,MATCH(J293,FlowCalNumber,0),1,1)*L303^INDEX(FlowCalConstB,MATCH(J293,FlowCalNumber,0),1,1)," ")</f>
        <v>#N/A</v>
      </c>
      <c r="N303" s="377"/>
      <c r="O303" s="242">
        <f t="shared" si="147"/>
        <v>1</v>
      </c>
      <c r="P303" s="241" t="e">
        <f t="shared" ca="1" si="148"/>
        <v>#N/A</v>
      </c>
      <c r="Q303" s="244" t="e">
        <f ca="1">IF(AND(INDEX(FlowCalConstA,MATCH(N293,FlowCalNumber,0),1,1)*P303^INDEX(FlowCalConstB,MATCH(N293,FlowCalNumber,0),1,1)&gt;INDEX(FlowCalLowSetting,MATCH(N293,FlowCalNumber,0),1,1), (INDEX(FlowCalConstA,MATCH(N293,FlowCalNumber,0),1,1)*P303^INDEX(FlowCalConstB,MATCH(N293,FlowCalNumber,0),1,1)&lt;INDEX(FlowCalHighSetting,MATCH(N293,FlowCalNumber,0),1,1))),INDEX(FlowCalConstA,MATCH(N293,FlowCalNumber,0),1,1)*P303^INDEX(FlowCalConstB,MATCH(N293,FlowCalNumber,0),1,1)," ")</f>
        <v>#N/A</v>
      </c>
      <c r="R303" s="377"/>
      <c r="S303" s="242">
        <f t="shared" si="149"/>
        <v>0.5</v>
      </c>
      <c r="T303" s="241" t="e">
        <f t="shared" ca="1" si="150"/>
        <v>#N/A</v>
      </c>
      <c r="U303" s="243" t="e">
        <f ca="1">IF(AND(INDEX(FlowCalConstA,MATCH(R293,FlowCalNumber,0),1,1)*T303^INDEX(FlowCalConstB,MATCH(R293,FlowCalNumber,0),1,1)&gt;INDEX(FlowCalLowSetting,MATCH(R293,FlowCalNumber,0),1,1), (INDEX(FlowCalConstA,MATCH(R293,FlowCalNumber,0),1,1)*T303^INDEX(FlowCalConstB,MATCH(R293,FlowCalNumber,0),1,1)&lt;INDEX(FlowCalHighSetting,MATCH(R293,FlowCalNumber,0),1,1))),INDEX(FlowCalConstA,MATCH(R293,FlowCalNumber,0),1,1)*T303^INDEX(FlowCalConstB,MATCH(R293,FlowCalNumber,0),1,1)," ")</f>
        <v>#N/A</v>
      </c>
      <c r="V303" s="377"/>
      <c r="W303" s="242">
        <f t="shared" si="151"/>
        <v>0.5</v>
      </c>
      <c r="X303" s="241" t="e">
        <f t="shared" ca="1" si="152"/>
        <v>#N/A</v>
      </c>
      <c r="Y303" s="244" t="e">
        <f ca="1">IF(AND(INDEX(FlowCalConstA,MATCH(V293,FlowCalNumber,0),1,1)*X303^INDEX(FlowCalConstB,MATCH(V293,FlowCalNumber,0),1,1)&gt;INDEX(FlowCalLowSetting,MATCH(V293,FlowCalNumber,0),1,1), (INDEX(FlowCalConstA,MATCH(V293,FlowCalNumber,0),1,1)*X303^INDEX(FlowCalConstB,MATCH(V293,FlowCalNumber,0),1,1)&lt;INDEX(FlowCalHighSetting,MATCH(V293,FlowCalNumber,0),1,1))),INDEX(FlowCalConstA,MATCH(V293,FlowCalNumber,0),1,1)*X303^INDEX(FlowCalConstB,MATCH(V293,FlowCalNumber,0),1,1)," ")</f>
        <v>#N/A</v>
      </c>
    </row>
    <row r="304" spans="1:25" s="1215" customFormat="1">
      <c r="A304" s="1208"/>
      <c r="B304" s="1209"/>
      <c r="C304" s="1210"/>
      <c r="D304" s="1211">
        <f>'1% Wind'!$M$92</f>
        <v>3.2</v>
      </c>
      <c r="E304" s="1212"/>
      <c r="F304" s="1212"/>
      <c r="G304" s="1213" t="e">
        <f ca="1">IF(I293=1,$G303,MAX(G303/D303*D304,2))</f>
        <v>#N/A</v>
      </c>
      <c r="H304" s="1214" t="e">
        <f t="shared" ca="1" si="144"/>
        <v>#N/A</v>
      </c>
      <c r="J304" s="1216"/>
      <c r="K304" s="1217">
        <f t="shared" si="145"/>
        <v>1</v>
      </c>
      <c r="L304" s="1218" t="e">
        <f t="shared" ca="1" si="146"/>
        <v>#N/A</v>
      </c>
      <c r="M304" s="1219" t="e">
        <f ca="1">IF(AND(INDEX(FlowCalConstA,MATCH(J293,FlowCalNumber,0),1,1)*L304^INDEX(FlowCalConstB,MATCH(J293,FlowCalNumber,0),1,1)&gt;INDEX(FlowCalLowSetting,MATCH(J293,FlowCalNumber,0),1,1), (INDEX(FlowCalConstA,MATCH(J293,FlowCalNumber,0),1,1)*L304^INDEX(FlowCalConstB,MATCH(J293,FlowCalNumber,0),1,1)&lt;INDEX(FlowCalHighSetting,MATCH(J293,FlowCalNumber,0),1,1))),INDEX(FlowCalConstA,MATCH(J293,FlowCalNumber,0),1,1)*L304^INDEX(FlowCalConstB,MATCH(J293,FlowCalNumber,0),1,1)," ")</f>
        <v>#N/A</v>
      </c>
      <c r="N304" s="1216"/>
      <c r="O304" s="1217">
        <f t="shared" si="147"/>
        <v>1</v>
      </c>
      <c r="P304" s="1218" t="e">
        <f t="shared" ca="1" si="148"/>
        <v>#N/A</v>
      </c>
      <c r="Q304" s="1220" t="e">
        <f ca="1">IF(AND(INDEX(FlowCalConstA,MATCH(N293,FlowCalNumber,0),1,1)*P304^INDEX(FlowCalConstB,MATCH(N293,FlowCalNumber,0),1,1)&gt;INDEX(FlowCalLowSetting,MATCH(N293,FlowCalNumber,0),1,1), (INDEX(FlowCalConstA,MATCH(N293,FlowCalNumber,0),1,1)*P304^INDEX(FlowCalConstB,MATCH(N293,FlowCalNumber,0),1,1)&lt;INDEX(FlowCalHighSetting,MATCH(N293,FlowCalNumber,0),1,1))),INDEX(FlowCalConstA,MATCH(N293,FlowCalNumber,0),1,1)*P304^INDEX(FlowCalConstB,MATCH(N293,FlowCalNumber,0),1,1)," ")</f>
        <v>#N/A</v>
      </c>
      <c r="R304" s="1216"/>
      <c r="S304" s="1217">
        <f t="shared" si="149"/>
        <v>0.5</v>
      </c>
      <c r="T304" s="1218" t="e">
        <f t="shared" ca="1" si="150"/>
        <v>#N/A</v>
      </c>
      <c r="U304" s="1219" t="e">
        <f ca="1">IF(AND(INDEX(FlowCalConstA,MATCH(R293,FlowCalNumber,0),1,1)*T304^INDEX(FlowCalConstB,MATCH(R293,FlowCalNumber,0),1,1)&gt;INDEX(FlowCalLowSetting,MATCH(R293,FlowCalNumber,0),1,1), (INDEX(FlowCalConstA,MATCH(R293,FlowCalNumber,0),1,1)*T304^INDEX(FlowCalConstB,MATCH(R293,FlowCalNumber,0),1,1)&lt;INDEX(FlowCalHighSetting,MATCH(R293,FlowCalNumber,0),1,1))),INDEX(FlowCalConstA,MATCH(R293,FlowCalNumber,0),1,1)*T304^INDEX(FlowCalConstB,MATCH(R293,FlowCalNumber,0),1,1)," ")</f>
        <v>#N/A</v>
      </c>
      <c r="V304" s="1216"/>
      <c r="W304" s="1217">
        <f t="shared" si="151"/>
        <v>0.5</v>
      </c>
      <c r="X304" s="1218" t="e">
        <f t="shared" ca="1" si="152"/>
        <v>#N/A</v>
      </c>
      <c r="Y304" s="1220" t="e">
        <f ca="1">IF(AND(INDEX(FlowCalConstA,MATCH(V293,FlowCalNumber,0),1,1)*X304^INDEX(FlowCalConstB,MATCH(V293,FlowCalNumber,0),1,1)&gt;INDEX(FlowCalLowSetting,MATCH(V293,FlowCalNumber,0),1,1), (INDEX(FlowCalConstA,MATCH(V293,FlowCalNumber,0),1,1)*X304^INDEX(FlowCalConstB,MATCH(V293,FlowCalNumber,0),1,1)&lt;INDEX(FlowCalHighSetting,MATCH(V293,FlowCalNumber,0),1,1))),INDEX(FlowCalConstA,MATCH(V293,FlowCalNumber,0),1,1)*X304^INDEX(FlowCalConstB,MATCH(V293,FlowCalNumber,0),1,1)," ")</f>
        <v>#N/A</v>
      </c>
    </row>
    <row r="305" spans="1:25">
      <c r="A305" s="412"/>
      <c r="B305" s="2"/>
      <c r="C305" s="235"/>
      <c r="D305" s="24">
        <f>'1% Wind'!$M$93</f>
        <v>2.4</v>
      </c>
      <c r="E305" s="90"/>
      <c r="F305" s="90"/>
      <c r="G305" s="79" t="e">
        <f ca="1">IF(I293=1,$G304,MAX(G304/D304*D305,2))</f>
        <v>#N/A</v>
      </c>
      <c r="H305" s="121" t="e">
        <f t="shared" ca="1" si="144"/>
        <v>#N/A</v>
      </c>
      <c r="J305" s="377"/>
      <c r="K305" s="242">
        <f t="shared" si="145"/>
        <v>1</v>
      </c>
      <c r="L305" s="241" t="e">
        <f t="shared" ca="1" si="146"/>
        <v>#N/A</v>
      </c>
      <c r="M305" s="243" t="e">
        <f ca="1">IF(AND(INDEX(FlowCalConstA,MATCH(J293,FlowCalNumber,0),1,1)*L305^INDEX(FlowCalConstB,MATCH(J293,FlowCalNumber,0),1,1)&gt;INDEX(FlowCalLowSetting,MATCH(J293,FlowCalNumber,0),1,1), (INDEX(FlowCalConstA,MATCH(J293,FlowCalNumber,0),1,1)*L305^INDEX(FlowCalConstB,MATCH(J293,FlowCalNumber,0),1,1)&lt;INDEX(FlowCalHighSetting,MATCH(J293,FlowCalNumber,0),1,1))),INDEX(FlowCalConstA,MATCH(J293,FlowCalNumber,0),1,1)*L305^INDEX(FlowCalConstB,MATCH(J293,FlowCalNumber,0),1,1)," ")</f>
        <v>#N/A</v>
      </c>
      <c r="N305" s="377"/>
      <c r="O305" s="242">
        <f t="shared" si="147"/>
        <v>1</v>
      </c>
      <c r="P305" s="241" t="e">
        <f t="shared" ca="1" si="148"/>
        <v>#N/A</v>
      </c>
      <c r="Q305" s="244" t="e">
        <f ca="1">IF(AND(INDEX(FlowCalConstA,MATCH(N293,FlowCalNumber,0),1,1)*P305^INDEX(FlowCalConstB,MATCH(N293,FlowCalNumber,0),1,1)&gt;INDEX(FlowCalLowSetting,MATCH(N293,FlowCalNumber,0),1,1), (INDEX(FlowCalConstA,MATCH(N293,FlowCalNumber,0),1,1)*P305^INDEX(FlowCalConstB,MATCH(N293,FlowCalNumber,0),1,1)&lt;INDEX(FlowCalHighSetting,MATCH(N293,FlowCalNumber,0),1,1))),INDEX(FlowCalConstA,MATCH(N293,FlowCalNumber,0),1,1)*P305^INDEX(FlowCalConstB,MATCH(N293,FlowCalNumber,0),1,1)," ")</f>
        <v>#N/A</v>
      </c>
      <c r="R305" s="377"/>
      <c r="S305" s="242">
        <f t="shared" si="149"/>
        <v>0.5</v>
      </c>
      <c r="T305" s="241" t="e">
        <f t="shared" ca="1" si="150"/>
        <v>#N/A</v>
      </c>
      <c r="U305" s="243" t="e">
        <f ca="1">IF(AND(INDEX(FlowCalConstA,MATCH(R293,FlowCalNumber,0),1,1)*T305^INDEX(FlowCalConstB,MATCH(R293,FlowCalNumber,0),1,1)&gt;INDEX(FlowCalLowSetting,MATCH(R293,FlowCalNumber,0),1,1), (INDEX(FlowCalConstA,MATCH(R293,FlowCalNumber,0),1,1)*T305^INDEX(FlowCalConstB,MATCH(R293,FlowCalNumber,0),1,1)&lt;INDEX(FlowCalHighSetting,MATCH(R293,FlowCalNumber,0),1,1))),INDEX(FlowCalConstA,MATCH(R293,FlowCalNumber,0),1,1)*T305^INDEX(FlowCalConstB,MATCH(R293,FlowCalNumber,0),1,1)," ")</f>
        <v>#N/A</v>
      </c>
      <c r="V305" s="377"/>
      <c r="W305" s="242">
        <f t="shared" si="151"/>
        <v>0.5</v>
      </c>
      <c r="X305" s="241" t="e">
        <f t="shared" ca="1" si="152"/>
        <v>#N/A</v>
      </c>
      <c r="Y305" s="244" t="e">
        <f ca="1">IF(AND(INDEX(FlowCalConstA,MATCH(V293,FlowCalNumber,0),1,1)*X305^INDEX(FlowCalConstB,MATCH(V293,FlowCalNumber,0),1,1)&gt;INDEX(FlowCalLowSetting,MATCH(V293,FlowCalNumber,0),1,1), (INDEX(FlowCalConstA,MATCH(V293,FlowCalNumber,0),1,1)*X305^INDEX(FlowCalConstB,MATCH(V293,FlowCalNumber,0),1,1)&lt;INDEX(FlowCalHighSetting,MATCH(V293,FlowCalNumber,0),1,1))),INDEX(FlowCalConstA,MATCH(V293,FlowCalNumber,0),1,1)*X305^INDEX(FlowCalConstB,MATCH(V293,FlowCalNumber,0),1,1)," ")</f>
        <v>#N/A</v>
      </c>
    </row>
    <row r="306" spans="1:25" s="1215" customFormat="1">
      <c r="A306" s="1208"/>
      <c r="B306" s="1209"/>
      <c r="C306" s="1210"/>
      <c r="D306" s="1211">
        <f>'1% Wind'!$M$94</f>
        <v>1.8</v>
      </c>
      <c r="E306" s="1212"/>
      <c r="F306" s="1212"/>
      <c r="G306" s="1213" t="e">
        <f ca="1">IF(I293=1,$G305,MAX(G305/D305*D306,2))</f>
        <v>#N/A</v>
      </c>
      <c r="H306" s="1214" t="e">
        <f t="shared" ca="1" si="144"/>
        <v>#N/A</v>
      </c>
      <c r="J306" s="1216"/>
      <c r="K306" s="1217">
        <f t="shared" si="145"/>
        <v>1</v>
      </c>
      <c r="L306" s="1218" t="e">
        <f t="shared" ca="1" si="146"/>
        <v>#N/A</v>
      </c>
      <c r="M306" s="1219" t="e">
        <f ca="1">IF(AND(INDEX(FlowCalConstA,MATCH(J293,FlowCalNumber,0),1,1)*L306^INDEX(FlowCalConstB,MATCH(J293,FlowCalNumber,0),1,1)&gt;INDEX(FlowCalLowSetting,MATCH(J293,FlowCalNumber,0),1,1), (INDEX(FlowCalConstA,MATCH(J293,FlowCalNumber,0),1,1)*L306^INDEX(FlowCalConstB,MATCH(J293,FlowCalNumber,0),1,1)&lt;INDEX(FlowCalHighSetting,MATCH(J293,FlowCalNumber,0),1,1))),INDEX(FlowCalConstA,MATCH(J293,FlowCalNumber,0),1,1)*L306^INDEX(FlowCalConstB,MATCH(J293,FlowCalNumber,0),1,1)," ")</f>
        <v>#N/A</v>
      </c>
      <c r="N306" s="1216"/>
      <c r="O306" s="1217">
        <f t="shared" si="147"/>
        <v>1</v>
      </c>
      <c r="P306" s="1218" t="e">
        <f t="shared" ca="1" si="148"/>
        <v>#N/A</v>
      </c>
      <c r="Q306" s="1220" t="e">
        <f ca="1">IF(AND(INDEX(FlowCalConstA,MATCH(N293,FlowCalNumber,0),1,1)*P306^INDEX(FlowCalConstB,MATCH(N293,FlowCalNumber,0),1,1)&gt;INDEX(FlowCalLowSetting,MATCH(N293,FlowCalNumber,0),1,1), (INDEX(FlowCalConstA,MATCH(N293,FlowCalNumber,0),1,1)*P306^INDEX(FlowCalConstB,MATCH(N293,FlowCalNumber,0),1,1)&lt;INDEX(FlowCalHighSetting,MATCH(N293,FlowCalNumber,0),1,1))),INDEX(FlowCalConstA,MATCH(N293,FlowCalNumber,0),1,1)*P306^INDEX(FlowCalConstB,MATCH(N293,FlowCalNumber,0),1,1)," ")</f>
        <v>#N/A</v>
      </c>
      <c r="R306" s="1216"/>
      <c r="S306" s="1217">
        <f t="shared" si="149"/>
        <v>0.5</v>
      </c>
      <c r="T306" s="1218" t="e">
        <f t="shared" ca="1" si="150"/>
        <v>#N/A</v>
      </c>
      <c r="U306" s="1219" t="e">
        <f ca="1">IF(AND(INDEX(FlowCalConstA,MATCH(R293,FlowCalNumber,0),1,1)*T306^INDEX(FlowCalConstB,MATCH(R293,FlowCalNumber,0),1,1)&gt;INDEX(FlowCalLowSetting,MATCH(R293,FlowCalNumber,0),1,1), (INDEX(FlowCalConstA,MATCH(R293,FlowCalNumber,0),1,1)*T306^INDEX(FlowCalConstB,MATCH(R293,FlowCalNumber,0),1,1)&lt;INDEX(FlowCalHighSetting,MATCH(R293,FlowCalNumber,0),1,1))),INDEX(FlowCalConstA,MATCH(R293,FlowCalNumber,0),1,1)*T306^INDEX(FlowCalConstB,MATCH(R293,FlowCalNumber,0),1,1)," ")</f>
        <v>#N/A</v>
      </c>
      <c r="V306" s="1216"/>
      <c r="W306" s="1217">
        <f t="shared" si="151"/>
        <v>0.5</v>
      </c>
      <c r="X306" s="1218" t="e">
        <f t="shared" ca="1" si="152"/>
        <v>#N/A</v>
      </c>
      <c r="Y306" s="1220" t="e">
        <f ca="1">IF(AND(INDEX(FlowCalConstA,MATCH(V293,FlowCalNumber,0),1,1)*X306^INDEX(FlowCalConstB,MATCH(V293,FlowCalNumber,0),1,1)&gt;INDEX(FlowCalLowSetting,MATCH(V293,FlowCalNumber,0),1,1), (INDEX(FlowCalConstA,MATCH(V293,FlowCalNumber,0),1,1)*X306^INDEX(FlowCalConstB,MATCH(V293,FlowCalNumber,0),1,1)&lt;INDEX(FlowCalHighSetting,MATCH(V293,FlowCalNumber,0),1,1))),INDEX(FlowCalConstA,MATCH(V293,FlowCalNumber,0),1,1)*X306^INDEX(FlowCalConstB,MATCH(V293,FlowCalNumber,0),1,1)," ")</f>
        <v>#N/A</v>
      </c>
    </row>
    <row r="307" spans="1:25">
      <c r="A307" s="412"/>
      <c r="B307" s="2"/>
      <c r="C307" s="235"/>
      <c r="D307" s="24">
        <f>'1% Wind'!$M$95</f>
        <v>1.3</v>
      </c>
      <c r="E307" s="90"/>
      <c r="F307" s="90"/>
      <c r="G307" s="79" t="e">
        <f ca="1">IF(I293=1,$G306,MAX(G306/D306*D307,2))</f>
        <v>#N/A</v>
      </c>
      <c r="H307" s="121" t="e">
        <f t="shared" ca="1" si="144"/>
        <v>#N/A</v>
      </c>
      <c r="J307" s="377"/>
      <c r="K307" s="242">
        <f t="shared" si="145"/>
        <v>1</v>
      </c>
      <c r="L307" s="241" t="e">
        <f t="shared" ca="1" si="146"/>
        <v>#N/A</v>
      </c>
      <c r="M307" s="243" t="e">
        <f ca="1">IF(AND(INDEX(FlowCalConstA,MATCH(J293,FlowCalNumber,0),1,1)*L307^INDEX(FlowCalConstB,MATCH(J293,FlowCalNumber,0),1,1)&gt;INDEX(FlowCalLowSetting,MATCH(J293,FlowCalNumber,0),1,1), (INDEX(FlowCalConstA,MATCH(J293,FlowCalNumber,0),1,1)*L307^INDEX(FlowCalConstB,MATCH(J293,FlowCalNumber,0),1,1)&lt;INDEX(FlowCalHighSetting,MATCH(J293,FlowCalNumber,0),1,1))),INDEX(FlowCalConstA,MATCH(J293,FlowCalNumber,0),1,1)*L307^INDEX(FlowCalConstB,MATCH(J293,FlowCalNumber,0),1,1)," ")</f>
        <v>#N/A</v>
      </c>
      <c r="N307" s="377"/>
      <c r="O307" s="242">
        <f t="shared" si="147"/>
        <v>1</v>
      </c>
      <c r="P307" s="241" t="e">
        <f t="shared" ca="1" si="148"/>
        <v>#N/A</v>
      </c>
      <c r="Q307" s="244" t="e">
        <f ca="1">IF(AND(INDEX(FlowCalConstA,MATCH(N293,FlowCalNumber,0),1,1)*P307^INDEX(FlowCalConstB,MATCH(N293,FlowCalNumber,0),1,1)&gt;INDEX(FlowCalLowSetting,MATCH(N293,FlowCalNumber,0),1,1), (INDEX(FlowCalConstA,MATCH(N293,FlowCalNumber,0),1,1)*P307^INDEX(FlowCalConstB,MATCH(N293,FlowCalNumber,0),1,1)&lt;INDEX(FlowCalHighSetting,MATCH(N293,FlowCalNumber,0),1,1))),INDEX(FlowCalConstA,MATCH(N293,FlowCalNumber,0),1,1)*P307^INDEX(FlowCalConstB,MATCH(N293,FlowCalNumber,0),1,1)," ")</f>
        <v>#N/A</v>
      </c>
      <c r="R307" s="377"/>
      <c r="S307" s="242">
        <f t="shared" si="149"/>
        <v>0.5</v>
      </c>
      <c r="T307" s="241" t="e">
        <f t="shared" ca="1" si="150"/>
        <v>#N/A</v>
      </c>
      <c r="U307" s="243" t="e">
        <f ca="1">IF(AND(INDEX(FlowCalConstA,MATCH(R293,FlowCalNumber,0),1,1)*T307^INDEX(FlowCalConstB,MATCH(R293,FlowCalNumber,0),1,1)&gt;INDEX(FlowCalLowSetting,MATCH(R293,FlowCalNumber,0),1,1), (INDEX(FlowCalConstA,MATCH(R293,FlowCalNumber,0),1,1)*T307^INDEX(FlowCalConstB,MATCH(R293,FlowCalNumber,0),1,1)&lt;INDEX(FlowCalHighSetting,MATCH(R293,FlowCalNumber,0),1,1))),INDEX(FlowCalConstA,MATCH(R293,FlowCalNumber,0),1,1)*T307^INDEX(FlowCalConstB,MATCH(R293,FlowCalNumber,0),1,1)," ")</f>
        <v>#N/A</v>
      </c>
      <c r="V307" s="377"/>
      <c r="W307" s="242">
        <f t="shared" si="151"/>
        <v>0.5</v>
      </c>
      <c r="X307" s="241" t="e">
        <f t="shared" ca="1" si="152"/>
        <v>#N/A</v>
      </c>
      <c r="Y307" s="244" t="e">
        <f ca="1">IF(AND(INDEX(FlowCalConstA,MATCH(V293,FlowCalNumber,0),1,1)*X307^INDEX(FlowCalConstB,MATCH(V293,FlowCalNumber,0),1,1)&gt;INDEX(FlowCalLowSetting,MATCH(V293,FlowCalNumber,0),1,1), (INDEX(FlowCalConstA,MATCH(V293,FlowCalNumber,0),1,1)*X307^INDEX(FlowCalConstB,MATCH(V293,FlowCalNumber,0),1,1)&lt;INDEX(FlowCalHighSetting,MATCH(V293,FlowCalNumber,0),1,1))),INDEX(FlowCalConstA,MATCH(V293,FlowCalNumber,0),1,1)*X307^INDEX(FlowCalConstB,MATCH(V293,FlowCalNumber,0),1,1)," ")</f>
        <v>#N/A</v>
      </c>
    </row>
    <row r="308" spans="1:25" s="1215" customFormat="1">
      <c r="A308" s="1208"/>
      <c r="B308" s="1209"/>
      <c r="C308" s="1210"/>
      <c r="D308" s="1211">
        <f>'1% Wind'!$M$96</f>
        <v>1</v>
      </c>
      <c r="E308" s="1212"/>
      <c r="F308" s="1212"/>
      <c r="G308" s="1213" t="e">
        <f ca="1">IF(I293=1,$G307,MAX(G307/D307*D308,2))</f>
        <v>#N/A</v>
      </c>
      <c r="H308" s="1214" t="e">
        <f t="shared" ca="1" si="144"/>
        <v>#N/A</v>
      </c>
      <c r="J308" s="1216"/>
      <c r="K308" s="1217">
        <f t="shared" si="145"/>
        <v>1</v>
      </c>
      <c r="L308" s="1218" t="e">
        <f t="shared" ca="1" si="146"/>
        <v>#N/A</v>
      </c>
      <c r="M308" s="1219" t="e">
        <f ca="1">IF(AND(INDEX(FlowCalConstA,MATCH(J293,FlowCalNumber,0),1,1)*L308^INDEX(FlowCalConstB,MATCH(J293,FlowCalNumber,0),1,1)&gt;INDEX(FlowCalLowSetting,MATCH(J293,FlowCalNumber,0),1,1), (INDEX(FlowCalConstA,MATCH(J293,FlowCalNumber,0),1,1)*L308^INDEX(FlowCalConstB,MATCH(J293,FlowCalNumber,0),1,1)&lt;INDEX(FlowCalHighSetting,MATCH(J293,FlowCalNumber,0),1,1))),INDEX(FlowCalConstA,MATCH(J293,FlowCalNumber,0),1,1)*L308^INDEX(FlowCalConstB,MATCH(J293,FlowCalNumber,0),1,1)," ")</f>
        <v>#N/A</v>
      </c>
      <c r="N308" s="1216"/>
      <c r="O308" s="1217">
        <f t="shared" si="147"/>
        <v>1</v>
      </c>
      <c r="P308" s="1218" t="e">
        <f t="shared" ca="1" si="148"/>
        <v>#N/A</v>
      </c>
      <c r="Q308" s="1220" t="e">
        <f ca="1">IF(AND(INDEX(FlowCalConstA,MATCH(N293,FlowCalNumber,0),1,1)*P308^INDEX(FlowCalConstB,MATCH(N293,FlowCalNumber,0),1,1)&gt;INDEX(FlowCalLowSetting,MATCH(N293,FlowCalNumber,0),1,1), (INDEX(FlowCalConstA,MATCH(N293,FlowCalNumber,0),1,1)*P308^INDEX(FlowCalConstB,MATCH(N293,FlowCalNumber,0),1,1)&lt;INDEX(FlowCalHighSetting,MATCH(N293,FlowCalNumber,0),1,1))),INDEX(FlowCalConstA,MATCH(N293,FlowCalNumber,0),1,1)*P308^INDEX(FlowCalConstB,MATCH(N293,FlowCalNumber,0),1,1)," ")</f>
        <v>#N/A</v>
      </c>
      <c r="R308" s="1216"/>
      <c r="S308" s="1217">
        <f t="shared" si="149"/>
        <v>0.5</v>
      </c>
      <c r="T308" s="1218" t="e">
        <f t="shared" ca="1" si="150"/>
        <v>#N/A</v>
      </c>
      <c r="U308" s="1219" t="e">
        <f ca="1">IF(AND(INDEX(FlowCalConstA,MATCH(R293,FlowCalNumber,0),1,1)*T308^INDEX(FlowCalConstB,MATCH(R293,FlowCalNumber,0),1,1)&gt;INDEX(FlowCalLowSetting,MATCH(R293,FlowCalNumber,0),1,1), (INDEX(FlowCalConstA,MATCH(R293,FlowCalNumber,0),1,1)*T308^INDEX(FlowCalConstB,MATCH(R293,FlowCalNumber,0),1,1)&lt;INDEX(FlowCalHighSetting,MATCH(R293,FlowCalNumber,0),1,1))),INDEX(FlowCalConstA,MATCH(R293,FlowCalNumber,0),1,1)*T308^INDEX(FlowCalConstB,MATCH(R293,FlowCalNumber,0),1,1)," ")</f>
        <v>#N/A</v>
      </c>
      <c r="V308" s="1216"/>
      <c r="W308" s="1217">
        <f t="shared" si="151"/>
        <v>0.5</v>
      </c>
      <c r="X308" s="1218" t="e">
        <f t="shared" ca="1" si="152"/>
        <v>#N/A</v>
      </c>
      <c r="Y308" s="1220" t="e">
        <f ca="1">IF(AND(INDEX(FlowCalConstA,MATCH(V293,FlowCalNumber,0),1,1)*X308^INDEX(FlowCalConstB,MATCH(V293,FlowCalNumber,0),1,1)&gt;INDEX(FlowCalLowSetting,MATCH(V293,FlowCalNumber,0),1,1), (INDEX(FlowCalConstA,MATCH(V293,FlowCalNumber,0),1,1)*X308^INDEX(FlowCalConstB,MATCH(V293,FlowCalNumber,0),1,1)&lt;INDEX(FlowCalHighSetting,MATCH(V293,FlowCalNumber,0),1,1))),INDEX(FlowCalConstA,MATCH(V293,FlowCalNumber,0),1,1)*X308^INDEX(FlowCalConstB,MATCH(V293,FlowCalNumber,0),1,1)," ")</f>
        <v>#N/A</v>
      </c>
    </row>
    <row r="309" spans="1:25">
      <c r="A309" s="90"/>
      <c r="C309" s="235"/>
      <c r="E309" s="90"/>
      <c r="F309" s="90"/>
      <c r="G309" s="33"/>
      <c r="J309" s="377"/>
      <c r="M309" s="243"/>
      <c r="N309" s="377"/>
      <c r="Q309" s="244"/>
      <c r="R309" s="377"/>
      <c r="U309" s="243"/>
      <c r="V309" s="377"/>
      <c r="Y309" s="244"/>
    </row>
    <row r="310" spans="1:25">
      <c r="A310" s="639">
        <f>A293+1</f>
        <v>8</v>
      </c>
      <c r="B310" s="42" t="e">
        <f>INDEX(SourceID,MATCH($A310,SourceNumber,0),1,1)</f>
        <v>#N/A</v>
      </c>
      <c r="C310" s="354" t="e">
        <f>INDEX(SourceExitDiameter,MATCH($A310,SourceNumber,0),1,1)*3.28*12</f>
        <v>#N/A</v>
      </c>
      <c r="D310" s="24" t="str">
        <f>UAnem1percent</f>
        <v>1% Wind</v>
      </c>
      <c r="E310" s="85" t="e">
        <f ca="1">INDIRECT(ADDRESS(53,6,1,,$A310))</f>
        <v>#N/A</v>
      </c>
      <c r="F310" s="626" t="e">
        <f ca="1">(ROUND((INDIRECT(ADDRESS(15,7,1,,$A310))*3.28*12*32),0)&amp;"/32")</f>
        <v>#N/A</v>
      </c>
      <c r="G310" s="125" t="e">
        <f ca="1">INDIRECT(ADDRESS(29,7,1,,$A310))</f>
        <v>#N/A</v>
      </c>
      <c r="H310" s="24" t="e">
        <f ca="1">INDIRECT(ADDRESS(19,7,1,,$A310))*100^3</f>
        <v>#N/A</v>
      </c>
      <c r="I310" s="24" t="e">
        <f ca="1">INDIRECT(ADDRESS(53,7,1,,$A310))</f>
        <v>#N/A</v>
      </c>
      <c r="J310" s="20" t="str">
        <f>K$15&amp;$H$6&amp;J$6</f>
        <v>100AirPick a Tunnel</v>
      </c>
      <c r="K310" t="e">
        <f>INDEX(FlowCalGasMixture,MATCH(J310,FlowCalNumber,0),1,1)</f>
        <v>#N/A</v>
      </c>
      <c r="M310" s="355" t="e">
        <f>INDEX(FlowCalDevice,MATCH(J310,FlowCalNumber,0),1,1)</f>
        <v>#N/A</v>
      </c>
      <c r="N310" s="20" t="str">
        <f>O$15&amp;$H$6&amp;N$6</f>
        <v>100AirPick a Tunnel</v>
      </c>
      <c r="O310" t="e">
        <f>INDEX(FlowCalGasMixture,MATCH(N310,FlowCalNumber,0),1,1)</f>
        <v>#N/A</v>
      </c>
      <c r="Q310" s="355" t="e">
        <f>INDEX(FlowCalDevice,MATCH(N310,FlowCalNumber,0),1,1)</f>
        <v>#N/A</v>
      </c>
      <c r="R310" s="20" t="str">
        <f>S$15&amp;$H$6&amp;R$6</f>
        <v>100AirPick a Tunnel</v>
      </c>
      <c r="S310" t="e">
        <f>INDEX(FlowCalGasMixture,MATCH(R310,FlowCalNumber,0),1,1)</f>
        <v>#N/A</v>
      </c>
      <c r="U310" s="944" t="e">
        <f>INDEX(FlowCalDevice,MATCH(R310,FlowCalNumber,0),1,1)</f>
        <v>#N/A</v>
      </c>
      <c r="V310" s="946" t="str">
        <f>W$15&amp;$H$6&amp;V$6</f>
        <v>100AirPick a Tunnel</v>
      </c>
      <c r="W310" t="e">
        <f>INDEX(FlowCalGasMixture,MATCH(V310,FlowCalNumber,0),1,1)</f>
        <v>#N/A</v>
      </c>
      <c r="Y310" s="982" t="e">
        <f>INDEX(FlowCalDevice,MATCH(V310,FlowCalNumber,0),1,1)</f>
        <v>#N/A</v>
      </c>
    </row>
    <row r="311" spans="1:25" s="1215" customFormat="1">
      <c r="A311" s="1208"/>
      <c r="B311" s="1209"/>
      <c r="C311" s="1210"/>
      <c r="D311" s="1211">
        <f>'1% Wind'!$M$82</f>
        <v>27</v>
      </c>
      <c r="E311" s="1212"/>
      <c r="F311" s="1212"/>
      <c r="G311" s="1213">
        <v>2</v>
      </c>
      <c r="H311" s="1214" t="e">
        <f t="shared" ref="H311:H325" ca="1" si="153">H310*(D310/D311)*(G311/G310)</f>
        <v>#N/A</v>
      </c>
      <c r="J311" s="1216"/>
      <c r="K311" s="1221">
        <f>K$16/100</f>
        <v>1</v>
      </c>
      <c r="L311" s="1218" t="e">
        <f ca="1">K311*$H311</f>
        <v>#N/A</v>
      </c>
      <c r="M311" s="1219" t="e">
        <f ca="1">IF(AND(INDEX(FlowCalConstA,MATCH(J310,FlowCalNumber,0),1,1)*L311^INDEX(FlowCalConstB,MATCH(J310,FlowCalNumber,0),1,1)&gt;INDEX(FlowCalLowSetting,MATCH(J310,FlowCalNumber,0),1,1), (INDEX(FlowCalConstA,MATCH(J310,FlowCalNumber,0),1,1)*L311^INDEX(FlowCalConstB,MATCH(J310,FlowCalNumber,0),1,1)&lt;INDEX(FlowCalHighSetting,MATCH(J310,FlowCalNumber,0),1,1))),INDEX(FlowCalConstA,MATCH(J310,FlowCalNumber,0),1,1)*L311^INDEX(FlowCalConstB,MATCH(J310,FlowCalNumber,0),1,1)," ")</f>
        <v>#N/A</v>
      </c>
      <c r="N311" s="1216"/>
      <c r="O311" s="1221">
        <f>O$16/100</f>
        <v>1</v>
      </c>
      <c r="P311" s="1218" t="e">
        <f ca="1">O311*$H311</f>
        <v>#N/A</v>
      </c>
      <c r="Q311" s="1220" t="e">
        <f ca="1">IF(AND(INDEX(FlowCalConstA,MATCH(N310,FlowCalNumber,0),1,1)*P311^INDEX(FlowCalConstB,MATCH(N310,FlowCalNumber,0),1,1)&gt;INDEX(FlowCalLowSetting,MATCH(N310,FlowCalNumber,0),1,1), (INDEX(FlowCalConstA,MATCH(N310,FlowCalNumber,0),1,1)*P311^INDEX(FlowCalConstB,MATCH(N310,FlowCalNumber,0),1,1)&lt;INDEX(FlowCalHighSetting,MATCH(N310,FlowCalNumber,0),1,1))),INDEX(FlowCalConstA,MATCH(N310,FlowCalNumber,0),1,1)*P311^INDEX(FlowCalConstB,MATCH(N310,FlowCalNumber,0),1,1)," ")</f>
        <v>#N/A</v>
      </c>
      <c r="R311" s="1216"/>
      <c r="S311" s="1221">
        <f>S$16/100</f>
        <v>0.5</v>
      </c>
      <c r="T311" s="1218" t="e">
        <f ca="1">S311*$H311</f>
        <v>#N/A</v>
      </c>
      <c r="U311" s="1219" t="e">
        <f ca="1">IF(AND(INDEX(FlowCalConstA,MATCH(R310,FlowCalNumber,0),1,1)*T311^INDEX(FlowCalConstB,MATCH(R310,FlowCalNumber,0),1,1)&gt;INDEX(FlowCalLowSetting,MATCH(R310,FlowCalNumber,0),1,1), (INDEX(FlowCalConstA,MATCH(R310,FlowCalNumber,0),1,1)*T311^INDEX(FlowCalConstB,MATCH(R310,FlowCalNumber,0),1,1)&lt;INDEX(FlowCalHighSetting,MATCH(R310,FlowCalNumber,0),1,1))),INDEX(FlowCalConstA,MATCH(R310,FlowCalNumber,0),1,1)*T311^INDEX(FlowCalConstB,MATCH(R310,FlowCalNumber,0),1,1)," ")</f>
        <v>#N/A</v>
      </c>
      <c r="V311" s="1216"/>
      <c r="W311" s="1221">
        <f>W$16/100</f>
        <v>0.5</v>
      </c>
      <c r="X311" s="1218" t="e">
        <f ca="1">W311*$H311</f>
        <v>#N/A</v>
      </c>
      <c r="Y311" s="1220" t="e">
        <f ca="1">IF(AND(INDEX(FlowCalConstA,MATCH(V310,FlowCalNumber,0),1,1)*X311^INDEX(FlowCalConstB,MATCH(V310,FlowCalNumber,0),1,1)&gt;INDEX(FlowCalLowSetting,MATCH(V310,FlowCalNumber,0),1,1), (INDEX(FlowCalConstA,MATCH(V310,FlowCalNumber,0),1,1)*X311^INDEX(FlowCalConstB,MATCH(V310,FlowCalNumber,0),1,1)&lt;INDEX(FlowCalHighSetting,MATCH(V310,FlowCalNumber,0),1,1))),INDEX(FlowCalConstA,MATCH(V310,FlowCalNumber,0),1,1)*X311^INDEX(FlowCalConstB,MATCH(V310,FlowCalNumber,0),1,1)," ")</f>
        <v>#N/A</v>
      </c>
    </row>
    <row r="312" spans="1:25">
      <c r="A312" s="412"/>
      <c r="B312" s="2"/>
      <c r="C312" s="235"/>
      <c r="D312" s="24">
        <f>'1% Wind'!$M$83</f>
        <v>23.5</v>
      </c>
      <c r="E312" s="90"/>
      <c r="F312" s="90"/>
      <c r="G312" s="79" t="e">
        <f ca="1">IF(I310=1,$G311,MAX(G311/D311*D312,2))</f>
        <v>#N/A</v>
      </c>
      <c r="H312" s="121" t="e">
        <f t="shared" ca="1" si="153"/>
        <v>#N/A</v>
      </c>
      <c r="J312" s="377"/>
      <c r="K312" s="242">
        <f t="shared" ref="K312:K325" si="154">K311</f>
        <v>1</v>
      </c>
      <c r="L312" s="241" t="e">
        <f t="shared" ref="L312:L325" ca="1" si="155">K312*$H312</f>
        <v>#N/A</v>
      </c>
      <c r="M312" s="243" t="e">
        <f ca="1">IF(AND(INDEX(FlowCalConstA,MATCH(J310,FlowCalNumber,0),1,1)*L312^INDEX(FlowCalConstB,MATCH(J310,FlowCalNumber,0),1,1)&gt;INDEX(FlowCalLowSetting,MATCH(J310,FlowCalNumber,0),1,1), (INDEX(FlowCalConstA,MATCH(J310,FlowCalNumber,0),1,1)*L312^INDEX(FlowCalConstB,MATCH(J310,FlowCalNumber,0),1,1)&lt;INDEX(FlowCalHighSetting,MATCH(J310,FlowCalNumber,0),1,1))),INDEX(FlowCalConstA,MATCH(J310,FlowCalNumber,0),1,1)*L312^INDEX(FlowCalConstB,MATCH(J310,FlowCalNumber,0),1,1)," ")</f>
        <v>#N/A</v>
      </c>
      <c r="N312" s="377"/>
      <c r="O312" s="242">
        <f t="shared" ref="O312:O325" si="156">O311</f>
        <v>1</v>
      </c>
      <c r="P312" s="241" t="e">
        <f t="shared" ref="P312:P325" ca="1" si="157">O312*$H312</f>
        <v>#N/A</v>
      </c>
      <c r="Q312" s="244" t="e">
        <f ca="1">IF(AND(INDEX(FlowCalConstA,MATCH(N310,FlowCalNumber,0),1,1)*P312^INDEX(FlowCalConstB,MATCH(N310,FlowCalNumber,0),1,1)&gt;INDEX(FlowCalLowSetting,MATCH(N310,FlowCalNumber,0),1,1), (INDEX(FlowCalConstA,MATCH(N310,FlowCalNumber,0),1,1)*P312^INDEX(FlowCalConstB,MATCH(N310,FlowCalNumber,0),1,1)&lt;INDEX(FlowCalHighSetting,MATCH(N310,FlowCalNumber,0),1,1))),INDEX(FlowCalConstA,MATCH(N310,FlowCalNumber,0),1,1)*P312^INDEX(FlowCalConstB,MATCH(N310,FlowCalNumber,0),1,1)," ")</f>
        <v>#N/A</v>
      </c>
      <c r="R312" s="377"/>
      <c r="S312" s="242">
        <f t="shared" ref="S312:S325" si="158">S311</f>
        <v>0.5</v>
      </c>
      <c r="T312" s="241" t="e">
        <f t="shared" ref="T312:T325" ca="1" si="159">S312*$H312</f>
        <v>#N/A</v>
      </c>
      <c r="U312" s="243" t="e">
        <f ca="1">IF(AND(INDEX(FlowCalConstA,MATCH(R310,FlowCalNumber,0),1,1)*T312^INDEX(FlowCalConstB,MATCH(R310,FlowCalNumber,0),1,1)&gt;INDEX(FlowCalLowSetting,MATCH(R310,FlowCalNumber,0),1,1), (INDEX(FlowCalConstA,MATCH(R310,FlowCalNumber,0),1,1)*T312^INDEX(FlowCalConstB,MATCH(R310,FlowCalNumber,0),1,1)&lt;INDEX(FlowCalHighSetting,MATCH(R310,FlowCalNumber,0),1,1))),INDEX(FlowCalConstA,MATCH(R310,FlowCalNumber,0),1,1)*T312^INDEX(FlowCalConstB,MATCH(R310,FlowCalNumber,0),1,1)," ")</f>
        <v>#N/A</v>
      </c>
      <c r="V312" s="377"/>
      <c r="W312" s="242">
        <f t="shared" ref="W312:W325" si="160">W311</f>
        <v>0.5</v>
      </c>
      <c r="X312" s="241" t="e">
        <f t="shared" ref="X312:X325" ca="1" si="161">W312*$H312</f>
        <v>#N/A</v>
      </c>
      <c r="Y312" s="244" t="e">
        <f ca="1">IF(AND(INDEX(FlowCalConstA,MATCH(V310,FlowCalNumber,0),1,1)*X312^INDEX(FlowCalConstB,MATCH(V310,FlowCalNumber,0),1,1)&gt;INDEX(FlowCalLowSetting,MATCH(V310,FlowCalNumber,0),1,1), (INDEX(FlowCalConstA,MATCH(V310,FlowCalNumber,0),1,1)*X312^INDEX(FlowCalConstB,MATCH(V310,FlowCalNumber,0),1,1)&lt;INDEX(FlowCalHighSetting,MATCH(V310,FlowCalNumber,0),1,1))),INDEX(FlowCalConstA,MATCH(V310,FlowCalNumber,0),1,1)*X312^INDEX(FlowCalConstB,MATCH(V310,FlowCalNumber,0),1,1)," ")</f>
        <v>#N/A</v>
      </c>
    </row>
    <row r="313" spans="1:25" s="1215" customFormat="1">
      <c r="A313" s="1208"/>
      <c r="B313" s="1209"/>
      <c r="C313" s="1210"/>
      <c r="D313" s="1211">
        <f>'1% Wind'!$M$84</f>
        <v>20.5</v>
      </c>
      <c r="E313" s="1212"/>
      <c r="F313" s="1212"/>
      <c r="G313" s="1213" t="e">
        <f ca="1">IF(I310=1,$G312,MAX(G312/D312*D313,2))</f>
        <v>#N/A</v>
      </c>
      <c r="H313" s="1214" t="e">
        <f t="shared" ca="1" si="153"/>
        <v>#N/A</v>
      </c>
      <c r="J313" s="1216"/>
      <c r="K313" s="1217">
        <f t="shared" si="154"/>
        <v>1</v>
      </c>
      <c r="L313" s="1218" t="e">
        <f t="shared" ca="1" si="155"/>
        <v>#N/A</v>
      </c>
      <c r="M313" s="1219" t="e">
        <f ca="1">IF(AND(INDEX(FlowCalConstA,MATCH(J310,FlowCalNumber,0),1,1)*L313^INDEX(FlowCalConstB,MATCH(J310,FlowCalNumber,0),1,1)&gt;INDEX(FlowCalLowSetting,MATCH(J310,FlowCalNumber,0),1,1), (INDEX(FlowCalConstA,MATCH(J310,FlowCalNumber,0),1,1)*L313^INDEX(FlowCalConstB,MATCH(J310,FlowCalNumber,0),1,1)&lt;INDEX(FlowCalHighSetting,MATCH(J310,FlowCalNumber,0),1,1))),INDEX(FlowCalConstA,MATCH(J310,FlowCalNumber,0),1,1)*L313^INDEX(FlowCalConstB,MATCH(J310,FlowCalNumber,0),1,1)," ")</f>
        <v>#N/A</v>
      </c>
      <c r="N313" s="1216"/>
      <c r="O313" s="1217">
        <f t="shared" si="156"/>
        <v>1</v>
      </c>
      <c r="P313" s="1218" t="e">
        <f t="shared" ca="1" si="157"/>
        <v>#N/A</v>
      </c>
      <c r="Q313" s="1220" t="e">
        <f ca="1">IF(AND(INDEX(FlowCalConstA,MATCH(N310,FlowCalNumber,0),1,1)*P313^INDEX(FlowCalConstB,MATCH(N310,FlowCalNumber,0),1,1)&gt;INDEX(FlowCalLowSetting,MATCH(N310,FlowCalNumber,0),1,1), (INDEX(FlowCalConstA,MATCH(N310,FlowCalNumber,0),1,1)*P313^INDEX(FlowCalConstB,MATCH(N310,FlowCalNumber,0),1,1)&lt;INDEX(FlowCalHighSetting,MATCH(N310,FlowCalNumber,0),1,1))),INDEX(FlowCalConstA,MATCH(N310,FlowCalNumber,0),1,1)*P313^INDEX(FlowCalConstB,MATCH(N310,FlowCalNumber,0),1,1)," ")</f>
        <v>#N/A</v>
      </c>
      <c r="R313" s="1216"/>
      <c r="S313" s="1217">
        <f t="shared" si="158"/>
        <v>0.5</v>
      </c>
      <c r="T313" s="1218" t="e">
        <f t="shared" ca="1" si="159"/>
        <v>#N/A</v>
      </c>
      <c r="U313" s="1219" t="e">
        <f ca="1">IF(AND(INDEX(FlowCalConstA,MATCH(R310,FlowCalNumber,0),1,1)*T313^INDEX(FlowCalConstB,MATCH(R310,FlowCalNumber,0),1,1)&gt;INDEX(FlowCalLowSetting,MATCH(R310,FlowCalNumber,0),1,1), (INDEX(FlowCalConstA,MATCH(R310,FlowCalNumber,0),1,1)*T313^INDEX(FlowCalConstB,MATCH(R310,FlowCalNumber,0),1,1)&lt;INDEX(FlowCalHighSetting,MATCH(R310,FlowCalNumber,0),1,1))),INDEX(FlowCalConstA,MATCH(R310,FlowCalNumber,0),1,1)*T313^INDEX(FlowCalConstB,MATCH(R310,FlowCalNumber,0),1,1)," ")</f>
        <v>#N/A</v>
      </c>
      <c r="V313" s="1216"/>
      <c r="W313" s="1217">
        <f t="shared" si="160"/>
        <v>0.5</v>
      </c>
      <c r="X313" s="1218" t="e">
        <f t="shared" ca="1" si="161"/>
        <v>#N/A</v>
      </c>
      <c r="Y313" s="1220" t="e">
        <f ca="1">IF(AND(INDEX(FlowCalConstA,MATCH(V310,FlowCalNumber,0),1,1)*X313^INDEX(FlowCalConstB,MATCH(V310,FlowCalNumber,0),1,1)&gt;INDEX(FlowCalLowSetting,MATCH(V310,FlowCalNumber,0),1,1), (INDEX(FlowCalConstA,MATCH(V310,FlowCalNumber,0),1,1)*X313^INDEX(FlowCalConstB,MATCH(V310,FlowCalNumber,0),1,1)&lt;INDEX(FlowCalHighSetting,MATCH(V310,FlowCalNumber,0),1,1))),INDEX(FlowCalConstA,MATCH(V310,FlowCalNumber,0),1,1)*X313^INDEX(FlowCalConstB,MATCH(V310,FlowCalNumber,0),1,1)," ")</f>
        <v>#N/A</v>
      </c>
    </row>
    <row r="314" spans="1:25">
      <c r="A314" s="412"/>
      <c r="B314" s="2"/>
      <c r="C314" s="235"/>
      <c r="D314" s="24">
        <f>'1% Wind'!$M$85</f>
        <v>17.8</v>
      </c>
      <c r="E314" s="90"/>
      <c r="F314" s="90"/>
      <c r="G314" s="79" t="e">
        <f ca="1">IF(I310=1,$G313,MAX(G313/D313*D314,2))</f>
        <v>#N/A</v>
      </c>
      <c r="H314" s="121" t="e">
        <f t="shared" ca="1" si="153"/>
        <v>#N/A</v>
      </c>
      <c r="J314" s="377"/>
      <c r="K314" s="242">
        <f t="shared" si="154"/>
        <v>1</v>
      </c>
      <c r="L314" s="241" t="e">
        <f t="shared" ca="1" si="155"/>
        <v>#N/A</v>
      </c>
      <c r="M314" s="243" t="e">
        <f ca="1">IF(AND(INDEX(FlowCalConstA,MATCH(J310,FlowCalNumber,0),1,1)*L314^INDEX(FlowCalConstB,MATCH(J310,FlowCalNumber,0),1,1)&gt;INDEX(FlowCalLowSetting,MATCH(J310,FlowCalNumber,0),1,1), (INDEX(FlowCalConstA,MATCH(J310,FlowCalNumber,0),1,1)*L314^INDEX(FlowCalConstB,MATCH(J310,FlowCalNumber,0),1,1)&lt;INDEX(FlowCalHighSetting,MATCH(J310,FlowCalNumber,0),1,1))),INDEX(FlowCalConstA,MATCH(J310,FlowCalNumber,0),1,1)*L314^INDEX(FlowCalConstB,MATCH(J310,FlowCalNumber,0),1,1)," ")</f>
        <v>#N/A</v>
      </c>
      <c r="N314" s="377"/>
      <c r="O314" s="242">
        <f t="shared" si="156"/>
        <v>1</v>
      </c>
      <c r="P314" s="241" t="e">
        <f t="shared" ca="1" si="157"/>
        <v>#N/A</v>
      </c>
      <c r="Q314" s="244" t="e">
        <f ca="1">IF(AND(INDEX(FlowCalConstA,MATCH(N310,FlowCalNumber,0),1,1)*P314^INDEX(FlowCalConstB,MATCH(N310,FlowCalNumber,0),1,1)&gt;INDEX(FlowCalLowSetting,MATCH(N310,FlowCalNumber,0),1,1), (INDEX(FlowCalConstA,MATCH(N310,FlowCalNumber,0),1,1)*P314^INDEX(FlowCalConstB,MATCH(N310,FlowCalNumber,0),1,1)&lt;INDEX(FlowCalHighSetting,MATCH(N310,FlowCalNumber,0),1,1))),INDEX(FlowCalConstA,MATCH(N310,FlowCalNumber,0),1,1)*P314^INDEX(FlowCalConstB,MATCH(N310,FlowCalNumber,0),1,1)," ")</f>
        <v>#N/A</v>
      </c>
      <c r="R314" s="377"/>
      <c r="S314" s="242">
        <f t="shared" si="158"/>
        <v>0.5</v>
      </c>
      <c r="T314" s="241" t="e">
        <f t="shared" ca="1" si="159"/>
        <v>#N/A</v>
      </c>
      <c r="U314" s="243" t="e">
        <f ca="1">IF(AND(INDEX(FlowCalConstA,MATCH(R310,FlowCalNumber,0),1,1)*T314^INDEX(FlowCalConstB,MATCH(R310,FlowCalNumber,0),1,1)&gt;INDEX(FlowCalLowSetting,MATCH(R310,FlowCalNumber,0),1,1), (INDEX(FlowCalConstA,MATCH(R310,FlowCalNumber,0),1,1)*T314^INDEX(FlowCalConstB,MATCH(R310,FlowCalNumber,0),1,1)&lt;INDEX(FlowCalHighSetting,MATCH(R310,FlowCalNumber,0),1,1))),INDEX(FlowCalConstA,MATCH(R310,FlowCalNumber,0),1,1)*T314^INDEX(FlowCalConstB,MATCH(R310,FlowCalNumber,0),1,1)," ")</f>
        <v>#N/A</v>
      </c>
      <c r="V314" s="377"/>
      <c r="W314" s="242">
        <f t="shared" si="160"/>
        <v>0.5</v>
      </c>
      <c r="X314" s="241" t="e">
        <f t="shared" ca="1" si="161"/>
        <v>#N/A</v>
      </c>
      <c r="Y314" s="244" t="e">
        <f ca="1">IF(AND(INDEX(FlowCalConstA,MATCH(V310,FlowCalNumber,0),1,1)*X314^INDEX(FlowCalConstB,MATCH(V310,FlowCalNumber,0),1,1)&gt;INDEX(FlowCalLowSetting,MATCH(V310,FlowCalNumber,0),1,1), (INDEX(FlowCalConstA,MATCH(V310,FlowCalNumber,0),1,1)*X314^INDEX(FlowCalConstB,MATCH(V310,FlowCalNumber,0),1,1)&lt;INDEX(FlowCalHighSetting,MATCH(V310,FlowCalNumber,0),1,1))),INDEX(FlowCalConstA,MATCH(V310,FlowCalNumber,0),1,1)*X314^INDEX(FlowCalConstB,MATCH(V310,FlowCalNumber,0),1,1)," ")</f>
        <v>#N/A</v>
      </c>
    </row>
    <row r="315" spans="1:25" s="1215" customFormat="1">
      <c r="A315" s="1208"/>
      <c r="B315" s="1209"/>
      <c r="C315" s="1210"/>
      <c r="D315" s="1211">
        <f>'1% Wind'!$M$86</f>
        <v>15.5</v>
      </c>
      <c r="E315" s="1212"/>
      <c r="F315" s="1212"/>
      <c r="G315" s="1213" t="e">
        <f ca="1">IF(I310=1,$G314,MAX(G314/D314*D315,2))</f>
        <v>#N/A</v>
      </c>
      <c r="H315" s="1214" t="e">
        <f t="shared" ca="1" si="153"/>
        <v>#N/A</v>
      </c>
      <c r="J315" s="1216"/>
      <c r="K315" s="1217">
        <f t="shared" si="154"/>
        <v>1</v>
      </c>
      <c r="L315" s="1218" t="e">
        <f t="shared" ca="1" si="155"/>
        <v>#N/A</v>
      </c>
      <c r="M315" s="1219" t="e">
        <f ca="1">IF(AND(INDEX(FlowCalConstA,MATCH(J310,FlowCalNumber,0),1,1)*L315^INDEX(FlowCalConstB,MATCH(J310,FlowCalNumber,0),1,1)&gt;INDEX(FlowCalLowSetting,MATCH(J310,FlowCalNumber,0),1,1), (INDEX(FlowCalConstA,MATCH(J310,FlowCalNumber,0),1,1)*L315^INDEX(FlowCalConstB,MATCH(J310,FlowCalNumber,0),1,1)&lt;INDEX(FlowCalHighSetting,MATCH(J310,FlowCalNumber,0),1,1))),INDEX(FlowCalConstA,MATCH(J310,FlowCalNumber,0),1,1)*L315^INDEX(FlowCalConstB,MATCH(J310,FlowCalNumber,0),1,1)," ")</f>
        <v>#N/A</v>
      </c>
      <c r="N315" s="1216"/>
      <c r="O315" s="1217">
        <f t="shared" si="156"/>
        <v>1</v>
      </c>
      <c r="P315" s="1218" t="e">
        <f t="shared" ca="1" si="157"/>
        <v>#N/A</v>
      </c>
      <c r="Q315" s="1220" t="e">
        <f ca="1">IF(AND(INDEX(FlowCalConstA,MATCH(N310,FlowCalNumber,0),1,1)*P315^INDEX(FlowCalConstB,MATCH(N310,FlowCalNumber,0),1,1)&gt;INDEX(FlowCalLowSetting,MATCH(N310,FlowCalNumber,0),1,1), (INDEX(FlowCalConstA,MATCH(N310,FlowCalNumber,0),1,1)*P315^INDEX(FlowCalConstB,MATCH(N310,FlowCalNumber,0),1,1)&lt;INDEX(FlowCalHighSetting,MATCH(N310,FlowCalNumber,0),1,1))),INDEX(FlowCalConstA,MATCH(N310,FlowCalNumber,0),1,1)*P315^INDEX(FlowCalConstB,MATCH(N310,FlowCalNumber,0),1,1)," ")</f>
        <v>#N/A</v>
      </c>
      <c r="R315" s="1216"/>
      <c r="S315" s="1217">
        <f t="shared" si="158"/>
        <v>0.5</v>
      </c>
      <c r="T315" s="1218" t="e">
        <f t="shared" ca="1" si="159"/>
        <v>#N/A</v>
      </c>
      <c r="U315" s="1219" t="e">
        <f ca="1">IF(AND(INDEX(FlowCalConstA,MATCH(R310,FlowCalNumber,0),1,1)*T315^INDEX(FlowCalConstB,MATCH(R310,FlowCalNumber,0),1,1)&gt;INDEX(FlowCalLowSetting,MATCH(R310,FlowCalNumber,0),1,1), (INDEX(FlowCalConstA,MATCH(R310,FlowCalNumber,0),1,1)*T315^INDEX(FlowCalConstB,MATCH(R310,FlowCalNumber,0),1,1)&lt;INDEX(FlowCalHighSetting,MATCH(R310,FlowCalNumber,0),1,1))),INDEX(FlowCalConstA,MATCH(R310,FlowCalNumber,0),1,1)*T315^INDEX(FlowCalConstB,MATCH(R310,FlowCalNumber,0),1,1)," ")</f>
        <v>#N/A</v>
      </c>
      <c r="V315" s="1216"/>
      <c r="W315" s="1217">
        <f t="shared" si="160"/>
        <v>0.5</v>
      </c>
      <c r="X315" s="1218" t="e">
        <f t="shared" ca="1" si="161"/>
        <v>#N/A</v>
      </c>
      <c r="Y315" s="1220" t="e">
        <f ca="1">IF(AND(INDEX(FlowCalConstA,MATCH(V310,FlowCalNumber,0),1,1)*X315^INDEX(FlowCalConstB,MATCH(V310,FlowCalNumber,0),1,1)&gt;INDEX(FlowCalLowSetting,MATCH(V310,FlowCalNumber,0),1,1), (INDEX(FlowCalConstA,MATCH(V310,FlowCalNumber,0),1,1)*X315^INDEX(FlowCalConstB,MATCH(V310,FlowCalNumber,0),1,1)&lt;INDEX(FlowCalHighSetting,MATCH(V310,FlowCalNumber,0),1,1))),INDEX(FlowCalConstA,MATCH(V310,FlowCalNumber,0),1,1)*X315^INDEX(FlowCalConstB,MATCH(V310,FlowCalNumber,0),1,1)," ")</f>
        <v>#N/A</v>
      </c>
    </row>
    <row r="316" spans="1:25">
      <c r="A316" s="412"/>
      <c r="B316" s="2"/>
      <c r="C316" s="235"/>
      <c r="D316" s="24">
        <f>'1% Wind'!$M$87</f>
        <v>13.5</v>
      </c>
      <c r="E316" s="90"/>
      <c r="F316" s="90"/>
      <c r="G316" s="79" t="e">
        <f ca="1">IF(I310=1,$G315,MAX(G315/D315*D316,2))</f>
        <v>#N/A</v>
      </c>
      <c r="H316" s="121" t="e">
        <f t="shared" ca="1" si="153"/>
        <v>#N/A</v>
      </c>
      <c r="J316" s="377"/>
      <c r="K316" s="242">
        <f t="shared" si="154"/>
        <v>1</v>
      </c>
      <c r="L316" s="241" t="e">
        <f t="shared" ca="1" si="155"/>
        <v>#N/A</v>
      </c>
      <c r="M316" s="243" t="e">
        <f ca="1">IF(AND(INDEX(FlowCalConstA,MATCH(J310,FlowCalNumber,0),1,1)*L316^INDEX(FlowCalConstB,MATCH(J310,FlowCalNumber,0),1,1)&gt;INDEX(FlowCalLowSetting,MATCH(J310,FlowCalNumber,0),1,1), (INDEX(FlowCalConstA,MATCH(J310,FlowCalNumber,0),1,1)*L316^INDEX(FlowCalConstB,MATCH(J310,FlowCalNumber,0),1,1)&lt;INDEX(FlowCalHighSetting,MATCH(J310,FlowCalNumber,0),1,1))),INDEX(FlowCalConstA,MATCH(J310,FlowCalNumber,0),1,1)*L316^INDEX(FlowCalConstB,MATCH(J310,FlowCalNumber,0),1,1)," ")</f>
        <v>#N/A</v>
      </c>
      <c r="N316" s="377"/>
      <c r="O316" s="242">
        <f t="shared" si="156"/>
        <v>1</v>
      </c>
      <c r="P316" s="241" t="e">
        <f t="shared" ca="1" si="157"/>
        <v>#N/A</v>
      </c>
      <c r="Q316" s="244" t="e">
        <f ca="1">IF(AND(INDEX(FlowCalConstA,MATCH(N310,FlowCalNumber,0),1,1)*P316^INDEX(FlowCalConstB,MATCH(N310,FlowCalNumber,0),1,1)&gt;INDEX(FlowCalLowSetting,MATCH(N310,FlowCalNumber,0),1,1), (INDEX(FlowCalConstA,MATCH(N310,FlowCalNumber,0),1,1)*P316^INDEX(FlowCalConstB,MATCH(N310,FlowCalNumber,0),1,1)&lt;INDEX(FlowCalHighSetting,MATCH(N310,FlowCalNumber,0),1,1))),INDEX(FlowCalConstA,MATCH(N310,FlowCalNumber,0),1,1)*P316^INDEX(FlowCalConstB,MATCH(N310,FlowCalNumber,0),1,1)," ")</f>
        <v>#N/A</v>
      </c>
      <c r="R316" s="377"/>
      <c r="S316" s="242">
        <f t="shared" si="158"/>
        <v>0.5</v>
      </c>
      <c r="T316" s="241" t="e">
        <f t="shared" ca="1" si="159"/>
        <v>#N/A</v>
      </c>
      <c r="U316" s="243" t="e">
        <f ca="1">IF(AND(INDEX(FlowCalConstA,MATCH(R310,FlowCalNumber,0),1,1)*T316^INDEX(FlowCalConstB,MATCH(R310,FlowCalNumber,0),1,1)&gt;INDEX(FlowCalLowSetting,MATCH(R310,FlowCalNumber,0),1,1), (INDEX(FlowCalConstA,MATCH(R310,FlowCalNumber,0),1,1)*T316^INDEX(FlowCalConstB,MATCH(R310,FlowCalNumber,0),1,1)&lt;INDEX(FlowCalHighSetting,MATCH(R310,FlowCalNumber,0),1,1))),INDEX(FlowCalConstA,MATCH(R310,FlowCalNumber,0),1,1)*T316^INDEX(FlowCalConstB,MATCH(R310,FlowCalNumber,0),1,1)," ")</f>
        <v>#N/A</v>
      </c>
      <c r="V316" s="377"/>
      <c r="W316" s="242">
        <f t="shared" si="160"/>
        <v>0.5</v>
      </c>
      <c r="X316" s="241" t="e">
        <f t="shared" ca="1" si="161"/>
        <v>#N/A</v>
      </c>
      <c r="Y316" s="244" t="e">
        <f ca="1">IF(AND(INDEX(FlowCalConstA,MATCH(V310,FlowCalNumber,0),1,1)*X316^INDEX(FlowCalConstB,MATCH(V310,FlowCalNumber,0),1,1)&gt;INDEX(FlowCalLowSetting,MATCH(V310,FlowCalNumber,0),1,1), (INDEX(FlowCalConstA,MATCH(V310,FlowCalNumber,0),1,1)*X316^INDEX(FlowCalConstB,MATCH(V310,FlowCalNumber,0),1,1)&lt;INDEX(FlowCalHighSetting,MATCH(V310,FlowCalNumber,0),1,1))),INDEX(FlowCalConstA,MATCH(V310,FlowCalNumber,0),1,1)*X316^INDEX(FlowCalConstB,MATCH(V310,FlowCalNumber,0),1,1)," ")</f>
        <v>#N/A</v>
      </c>
    </row>
    <row r="317" spans="1:25" s="1215" customFormat="1">
      <c r="A317" s="1208"/>
      <c r="B317" s="1209"/>
      <c r="C317" s="1210"/>
      <c r="D317" s="1211">
        <f>'1% Wind'!$M$88</f>
        <v>10.1</v>
      </c>
      <c r="E317" s="1212"/>
      <c r="F317" s="1212"/>
      <c r="G317" s="1213" t="e">
        <f ca="1">IF(I310=1,$G316,MAX(G316/D316*D317,2))</f>
        <v>#N/A</v>
      </c>
      <c r="H317" s="1214" t="e">
        <f t="shared" ca="1" si="153"/>
        <v>#N/A</v>
      </c>
      <c r="J317" s="1216"/>
      <c r="K317" s="1217">
        <f t="shared" si="154"/>
        <v>1</v>
      </c>
      <c r="L317" s="1218" t="e">
        <f t="shared" ca="1" si="155"/>
        <v>#N/A</v>
      </c>
      <c r="M317" s="1219" t="e">
        <f ca="1">IF(AND(INDEX(FlowCalConstA,MATCH(J310,FlowCalNumber,0),1,1)*L317^INDEX(FlowCalConstB,MATCH(J310,FlowCalNumber,0),1,1)&gt;INDEX(FlowCalLowSetting,MATCH(J310,FlowCalNumber,0),1,1), (INDEX(FlowCalConstA,MATCH(J310,FlowCalNumber,0),1,1)*L317^INDEX(FlowCalConstB,MATCH(J310,FlowCalNumber,0),1,1)&lt;INDEX(FlowCalHighSetting,MATCH(J310,FlowCalNumber,0),1,1))),INDEX(FlowCalConstA,MATCH(J310,FlowCalNumber,0),1,1)*L317^INDEX(FlowCalConstB,MATCH(J310,FlowCalNumber,0),1,1)," ")</f>
        <v>#N/A</v>
      </c>
      <c r="N317" s="1216"/>
      <c r="O317" s="1217">
        <f t="shared" si="156"/>
        <v>1</v>
      </c>
      <c r="P317" s="1218" t="e">
        <f t="shared" ca="1" si="157"/>
        <v>#N/A</v>
      </c>
      <c r="Q317" s="1220" t="e">
        <f ca="1">IF(AND(INDEX(FlowCalConstA,MATCH(N310,FlowCalNumber,0),1,1)*P317^INDEX(FlowCalConstB,MATCH(N310,FlowCalNumber,0),1,1)&gt;INDEX(FlowCalLowSetting,MATCH(N310,FlowCalNumber,0),1,1), (INDEX(FlowCalConstA,MATCH(N310,FlowCalNumber,0),1,1)*P317^INDEX(FlowCalConstB,MATCH(N310,FlowCalNumber,0),1,1)&lt;INDEX(FlowCalHighSetting,MATCH(N310,FlowCalNumber,0),1,1))),INDEX(FlowCalConstA,MATCH(N310,FlowCalNumber,0),1,1)*P317^INDEX(FlowCalConstB,MATCH(N310,FlowCalNumber,0),1,1)," ")</f>
        <v>#N/A</v>
      </c>
      <c r="R317" s="1216"/>
      <c r="S317" s="1217">
        <f t="shared" si="158"/>
        <v>0.5</v>
      </c>
      <c r="T317" s="1218" t="e">
        <f t="shared" ca="1" si="159"/>
        <v>#N/A</v>
      </c>
      <c r="U317" s="1219" t="e">
        <f ca="1">IF(AND(INDEX(FlowCalConstA,MATCH(R310,FlowCalNumber,0),1,1)*T317^INDEX(FlowCalConstB,MATCH(R310,FlowCalNumber,0),1,1)&gt;INDEX(FlowCalLowSetting,MATCH(R310,FlowCalNumber,0),1,1), (INDEX(FlowCalConstA,MATCH(R310,FlowCalNumber,0),1,1)*T317^INDEX(FlowCalConstB,MATCH(R310,FlowCalNumber,0),1,1)&lt;INDEX(FlowCalHighSetting,MATCH(R310,FlowCalNumber,0),1,1))),INDEX(FlowCalConstA,MATCH(R310,FlowCalNumber,0),1,1)*T317^INDEX(FlowCalConstB,MATCH(R310,FlowCalNumber,0),1,1)," ")</f>
        <v>#N/A</v>
      </c>
      <c r="V317" s="1216"/>
      <c r="W317" s="1217">
        <f t="shared" si="160"/>
        <v>0.5</v>
      </c>
      <c r="X317" s="1218" t="e">
        <f t="shared" ca="1" si="161"/>
        <v>#N/A</v>
      </c>
      <c r="Y317" s="1220" t="e">
        <f ca="1">IF(AND(INDEX(FlowCalConstA,MATCH(V310,FlowCalNumber,0),1,1)*X317^INDEX(FlowCalConstB,MATCH(V310,FlowCalNumber,0),1,1)&gt;INDEX(FlowCalLowSetting,MATCH(V310,FlowCalNumber,0),1,1), (INDEX(FlowCalConstA,MATCH(V310,FlowCalNumber,0),1,1)*X317^INDEX(FlowCalConstB,MATCH(V310,FlowCalNumber,0),1,1)&lt;INDEX(FlowCalHighSetting,MATCH(V310,FlowCalNumber,0),1,1))),INDEX(FlowCalConstA,MATCH(V310,FlowCalNumber,0),1,1)*X317^INDEX(FlowCalConstB,MATCH(V310,FlowCalNumber,0),1,1)," ")</f>
        <v>#N/A</v>
      </c>
    </row>
    <row r="318" spans="1:25">
      <c r="A318" s="412"/>
      <c r="B318" s="2"/>
      <c r="C318" s="235"/>
      <c r="D318" s="24">
        <f>'1% Wind'!$M$89</f>
        <v>7.6</v>
      </c>
      <c r="E318" s="90"/>
      <c r="F318" s="90"/>
      <c r="G318" s="79" t="e">
        <f ca="1">IF(I310=1,$G317,MAX(G317/D317*D318,2))</f>
        <v>#N/A</v>
      </c>
      <c r="H318" s="121" t="e">
        <f t="shared" ca="1" si="153"/>
        <v>#N/A</v>
      </c>
      <c r="J318" s="377"/>
      <c r="K318" s="242">
        <f t="shared" si="154"/>
        <v>1</v>
      </c>
      <c r="L318" s="241" t="e">
        <f t="shared" ca="1" si="155"/>
        <v>#N/A</v>
      </c>
      <c r="M318" s="243" t="e">
        <f ca="1">IF(AND(INDEX(FlowCalConstA,MATCH(J310,FlowCalNumber,0),1,1)*L318^INDEX(FlowCalConstB,MATCH(J310,FlowCalNumber,0),1,1)&gt;INDEX(FlowCalLowSetting,MATCH(J310,FlowCalNumber,0),1,1), (INDEX(FlowCalConstA,MATCH(J310,FlowCalNumber,0),1,1)*L318^INDEX(FlowCalConstB,MATCH(J310,FlowCalNumber,0),1,1)&lt;INDEX(FlowCalHighSetting,MATCH(J310,FlowCalNumber,0),1,1))),INDEX(FlowCalConstA,MATCH(J310,FlowCalNumber,0),1,1)*L318^INDEX(FlowCalConstB,MATCH(J310,FlowCalNumber,0),1,1)," ")</f>
        <v>#N/A</v>
      </c>
      <c r="N318" s="377"/>
      <c r="O318" s="242">
        <f t="shared" si="156"/>
        <v>1</v>
      </c>
      <c r="P318" s="241" t="e">
        <f t="shared" ca="1" si="157"/>
        <v>#N/A</v>
      </c>
      <c r="Q318" s="244" t="e">
        <f ca="1">IF(AND(INDEX(FlowCalConstA,MATCH(N310,FlowCalNumber,0),1,1)*P318^INDEX(FlowCalConstB,MATCH(N310,FlowCalNumber,0),1,1)&gt;INDEX(FlowCalLowSetting,MATCH(N310,FlowCalNumber,0),1,1), (INDEX(FlowCalConstA,MATCH(N310,FlowCalNumber,0),1,1)*P318^INDEX(FlowCalConstB,MATCH(N310,FlowCalNumber,0),1,1)&lt;INDEX(FlowCalHighSetting,MATCH(N310,FlowCalNumber,0),1,1))),INDEX(FlowCalConstA,MATCH(N310,FlowCalNumber,0),1,1)*P318^INDEX(FlowCalConstB,MATCH(N310,FlowCalNumber,0),1,1)," ")</f>
        <v>#N/A</v>
      </c>
      <c r="R318" s="377"/>
      <c r="S318" s="242">
        <f t="shared" si="158"/>
        <v>0.5</v>
      </c>
      <c r="T318" s="241" t="e">
        <f t="shared" ca="1" si="159"/>
        <v>#N/A</v>
      </c>
      <c r="U318" s="243" t="e">
        <f ca="1">IF(AND(INDEX(FlowCalConstA,MATCH(R310,FlowCalNumber,0),1,1)*T318^INDEX(FlowCalConstB,MATCH(R310,FlowCalNumber,0),1,1)&gt;INDEX(FlowCalLowSetting,MATCH(R310,FlowCalNumber,0),1,1), (INDEX(FlowCalConstA,MATCH(R310,FlowCalNumber,0),1,1)*T318^INDEX(FlowCalConstB,MATCH(R310,FlowCalNumber,0),1,1)&lt;INDEX(FlowCalHighSetting,MATCH(R310,FlowCalNumber,0),1,1))),INDEX(FlowCalConstA,MATCH(R310,FlowCalNumber,0),1,1)*T318^INDEX(FlowCalConstB,MATCH(R310,FlowCalNumber,0),1,1)," ")</f>
        <v>#N/A</v>
      </c>
      <c r="V318" s="377"/>
      <c r="W318" s="242">
        <f t="shared" si="160"/>
        <v>0.5</v>
      </c>
      <c r="X318" s="241" t="e">
        <f t="shared" ca="1" si="161"/>
        <v>#N/A</v>
      </c>
      <c r="Y318" s="244" t="e">
        <f ca="1">IF(AND(INDEX(FlowCalConstA,MATCH(V310,FlowCalNumber,0),1,1)*X318^INDEX(FlowCalConstB,MATCH(V310,FlowCalNumber,0),1,1)&gt;INDEX(FlowCalLowSetting,MATCH(V310,FlowCalNumber,0),1,1), (INDEX(FlowCalConstA,MATCH(V310,FlowCalNumber,0),1,1)*X318^INDEX(FlowCalConstB,MATCH(V310,FlowCalNumber,0),1,1)&lt;INDEX(FlowCalHighSetting,MATCH(V310,FlowCalNumber,0),1,1))),INDEX(FlowCalConstA,MATCH(V310,FlowCalNumber,0),1,1)*X318^INDEX(FlowCalConstB,MATCH(V310,FlowCalNumber,0),1,1)," ")</f>
        <v>#N/A</v>
      </c>
    </row>
    <row r="319" spans="1:25" s="1215" customFormat="1">
      <c r="A319" s="1208"/>
      <c r="B319" s="1209"/>
      <c r="C319" s="1210"/>
      <c r="D319" s="1211">
        <f>'1% Wind'!$M$90</f>
        <v>5.7</v>
      </c>
      <c r="E319" s="1212"/>
      <c r="F319" s="1212"/>
      <c r="G319" s="1213" t="e">
        <f ca="1">IF(I310=1,$G318,MAX(G318/D318*D319,2))</f>
        <v>#N/A</v>
      </c>
      <c r="H319" s="1214" t="e">
        <f t="shared" ca="1" si="153"/>
        <v>#N/A</v>
      </c>
      <c r="J319" s="1216"/>
      <c r="K319" s="1217">
        <f t="shared" si="154"/>
        <v>1</v>
      </c>
      <c r="L319" s="1218" t="e">
        <f t="shared" ca="1" si="155"/>
        <v>#N/A</v>
      </c>
      <c r="M319" s="1219" t="e">
        <f ca="1">IF(AND(INDEX(FlowCalConstA,MATCH(J310,FlowCalNumber,0),1,1)*L319^INDEX(FlowCalConstB,MATCH(J310,FlowCalNumber,0),1,1)&gt;INDEX(FlowCalLowSetting,MATCH(J310,FlowCalNumber,0),1,1), (INDEX(FlowCalConstA,MATCH(J310,FlowCalNumber,0),1,1)*L319^INDEX(FlowCalConstB,MATCH(J310,FlowCalNumber,0),1,1)&lt;INDEX(FlowCalHighSetting,MATCH(J310,FlowCalNumber,0),1,1))),INDEX(FlowCalConstA,MATCH(J310,FlowCalNumber,0),1,1)*L319^INDEX(FlowCalConstB,MATCH(J310,FlowCalNumber,0),1,1)," ")</f>
        <v>#N/A</v>
      </c>
      <c r="N319" s="1216"/>
      <c r="O319" s="1217">
        <f t="shared" si="156"/>
        <v>1</v>
      </c>
      <c r="P319" s="1218" t="e">
        <f t="shared" ca="1" si="157"/>
        <v>#N/A</v>
      </c>
      <c r="Q319" s="1220" t="e">
        <f ca="1">IF(AND(INDEX(FlowCalConstA,MATCH(N310,FlowCalNumber,0),1,1)*P319^INDEX(FlowCalConstB,MATCH(N310,FlowCalNumber,0),1,1)&gt;INDEX(FlowCalLowSetting,MATCH(N310,FlowCalNumber,0),1,1), (INDEX(FlowCalConstA,MATCH(N310,FlowCalNumber,0),1,1)*P319^INDEX(FlowCalConstB,MATCH(N310,FlowCalNumber,0),1,1)&lt;INDEX(FlowCalHighSetting,MATCH(N310,FlowCalNumber,0),1,1))),INDEX(FlowCalConstA,MATCH(N310,FlowCalNumber,0),1,1)*P319^INDEX(FlowCalConstB,MATCH(N310,FlowCalNumber,0),1,1)," ")</f>
        <v>#N/A</v>
      </c>
      <c r="R319" s="1216"/>
      <c r="S319" s="1217">
        <f t="shared" si="158"/>
        <v>0.5</v>
      </c>
      <c r="T319" s="1218" t="e">
        <f t="shared" ca="1" si="159"/>
        <v>#N/A</v>
      </c>
      <c r="U319" s="1219" t="e">
        <f ca="1">IF(AND(INDEX(FlowCalConstA,MATCH(R310,FlowCalNumber,0),1,1)*T319^INDEX(FlowCalConstB,MATCH(R310,FlowCalNumber,0),1,1)&gt;INDEX(FlowCalLowSetting,MATCH(R310,FlowCalNumber,0),1,1), (INDEX(FlowCalConstA,MATCH(R310,FlowCalNumber,0),1,1)*T319^INDEX(FlowCalConstB,MATCH(R310,FlowCalNumber,0),1,1)&lt;INDEX(FlowCalHighSetting,MATCH(R310,FlowCalNumber,0),1,1))),INDEX(FlowCalConstA,MATCH(R310,FlowCalNumber,0),1,1)*T319^INDEX(FlowCalConstB,MATCH(R310,FlowCalNumber,0),1,1)," ")</f>
        <v>#N/A</v>
      </c>
      <c r="V319" s="1216"/>
      <c r="W319" s="1217">
        <f t="shared" si="160"/>
        <v>0.5</v>
      </c>
      <c r="X319" s="1218" t="e">
        <f t="shared" ca="1" si="161"/>
        <v>#N/A</v>
      </c>
      <c r="Y319" s="1220" t="e">
        <f ca="1">IF(AND(INDEX(FlowCalConstA,MATCH(V310,FlowCalNumber,0),1,1)*X319^INDEX(FlowCalConstB,MATCH(V310,FlowCalNumber,0),1,1)&gt;INDEX(FlowCalLowSetting,MATCH(V310,FlowCalNumber,0),1,1), (INDEX(FlowCalConstA,MATCH(V310,FlowCalNumber,0),1,1)*X319^INDEX(FlowCalConstB,MATCH(V310,FlowCalNumber,0),1,1)&lt;INDEX(FlowCalHighSetting,MATCH(V310,FlowCalNumber,0),1,1))),INDEX(FlowCalConstA,MATCH(V310,FlowCalNumber,0),1,1)*X319^INDEX(FlowCalConstB,MATCH(V310,FlowCalNumber,0),1,1)," ")</f>
        <v>#N/A</v>
      </c>
    </row>
    <row r="320" spans="1:25">
      <c r="A320" s="412"/>
      <c r="B320" s="2"/>
      <c r="C320" s="235"/>
      <c r="D320" s="24">
        <f>'1% Wind'!$M$91</f>
        <v>4.2</v>
      </c>
      <c r="E320" s="90"/>
      <c r="F320" s="90"/>
      <c r="G320" s="79" t="e">
        <f ca="1">IF(I310=1,$G319,MAX(G319/D319*D320,2))</f>
        <v>#N/A</v>
      </c>
      <c r="H320" s="121" t="e">
        <f t="shared" ca="1" si="153"/>
        <v>#N/A</v>
      </c>
      <c r="J320" s="377"/>
      <c r="K320" s="242">
        <f t="shared" si="154"/>
        <v>1</v>
      </c>
      <c r="L320" s="241" t="e">
        <f t="shared" ca="1" si="155"/>
        <v>#N/A</v>
      </c>
      <c r="M320" s="243" t="e">
        <f ca="1">IF(AND(INDEX(FlowCalConstA,MATCH(J310,FlowCalNumber,0),1,1)*L320^INDEX(FlowCalConstB,MATCH(J310,FlowCalNumber,0),1,1)&gt;INDEX(FlowCalLowSetting,MATCH(J310,FlowCalNumber,0),1,1), (INDEX(FlowCalConstA,MATCH(J310,FlowCalNumber,0),1,1)*L320^INDEX(FlowCalConstB,MATCH(J310,FlowCalNumber,0),1,1)&lt;INDEX(FlowCalHighSetting,MATCH(J310,FlowCalNumber,0),1,1))),INDEX(FlowCalConstA,MATCH(J310,FlowCalNumber,0),1,1)*L320^INDEX(FlowCalConstB,MATCH(J310,FlowCalNumber,0),1,1)," ")</f>
        <v>#N/A</v>
      </c>
      <c r="N320" s="377"/>
      <c r="O320" s="242">
        <f t="shared" si="156"/>
        <v>1</v>
      </c>
      <c r="P320" s="241" t="e">
        <f t="shared" ca="1" si="157"/>
        <v>#N/A</v>
      </c>
      <c r="Q320" s="244" t="e">
        <f ca="1">IF(AND(INDEX(FlowCalConstA,MATCH(N310,FlowCalNumber,0),1,1)*P320^INDEX(FlowCalConstB,MATCH(N310,FlowCalNumber,0),1,1)&gt;INDEX(FlowCalLowSetting,MATCH(N310,FlowCalNumber,0),1,1), (INDEX(FlowCalConstA,MATCH(N310,FlowCalNumber,0),1,1)*P320^INDEX(FlowCalConstB,MATCH(N310,FlowCalNumber,0),1,1)&lt;INDEX(FlowCalHighSetting,MATCH(N310,FlowCalNumber,0),1,1))),INDEX(FlowCalConstA,MATCH(N310,FlowCalNumber,0),1,1)*P320^INDEX(FlowCalConstB,MATCH(N310,FlowCalNumber,0),1,1)," ")</f>
        <v>#N/A</v>
      </c>
      <c r="R320" s="377"/>
      <c r="S320" s="242">
        <f t="shared" si="158"/>
        <v>0.5</v>
      </c>
      <c r="T320" s="241" t="e">
        <f t="shared" ca="1" si="159"/>
        <v>#N/A</v>
      </c>
      <c r="U320" s="243" t="e">
        <f ca="1">IF(AND(INDEX(FlowCalConstA,MATCH(R310,FlowCalNumber,0),1,1)*T320^INDEX(FlowCalConstB,MATCH(R310,FlowCalNumber,0),1,1)&gt;INDEX(FlowCalLowSetting,MATCH(R310,FlowCalNumber,0),1,1), (INDEX(FlowCalConstA,MATCH(R310,FlowCalNumber,0),1,1)*T320^INDEX(FlowCalConstB,MATCH(R310,FlowCalNumber,0),1,1)&lt;INDEX(FlowCalHighSetting,MATCH(R310,FlowCalNumber,0),1,1))),INDEX(FlowCalConstA,MATCH(R310,FlowCalNumber,0),1,1)*T320^INDEX(FlowCalConstB,MATCH(R310,FlowCalNumber,0),1,1)," ")</f>
        <v>#N/A</v>
      </c>
      <c r="V320" s="377"/>
      <c r="W320" s="242">
        <f t="shared" si="160"/>
        <v>0.5</v>
      </c>
      <c r="X320" s="241" t="e">
        <f t="shared" ca="1" si="161"/>
        <v>#N/A</v>
      </c>
      <c r="Y320" s="244" t="e">
        <f ca="1">IF(AND(INDEX(FlowCalConstA,MATCH(V310,FlowCalNumber,0),1,1)*X320^INDEX(FlowCalConstB,MATCH(V310,FlowCalNumber,0),1,1)&gt;INDEX(FlowCalLowSetting,MATCH(V310,FlowCalNumber,0),1,1), (INDEX(FlowCalConstA,MATCH(V310,FlowCalNumber,0),1,1)*X320^INDEX(FlowCalConstB,MATCH(V310,FlowCalNumber,0),1,1)&lt;INDEX(FlowCalHighSetting,MATCH(V310,FlowCalNumber,0),1,1))),INDEX(FlowCalConstA,MATCH(V310,FlowCalNumber,0),1,1)*X320^INDEX(FlowCalConstB,MATCH(V310,FlowCalNumber,0),1,1)," ")</f>
        <v>#N/A</v>
      </c>
    </row>
    <row r="321" spans="1:25" s="1215" customFormat="1">
      <c r="A321" s="1208"/>
      <c r="B321" s="1209"/>
      <c r="C321" s="1210"/>
      <c r="D321" s="1211">
        <f>'1% Wind'!$M$92</f>
        <v>3.2</v>
      </c>
      <c r="E321" s="1212"/>
      <c r="F321" s="1212"/>
      <c r="G321" s="1213" t="e">
        <f ca="1">IF(I310=1,$G320,MAX(G320/D320*D321,2))</f>
        <v>#N/A</v>
      </c>
      <c r="H321" s="1214" t="e">
        <f t="shared" ca="1" si="153"/>
        <v>#N/A</v>
      </c>
      <c r="J321" s="1216"/>
      <c r="K321" s="1217">
        <f t="shared" si="154"/>
        <v>1</v>
      </c>
      <c r="L321" s="1218" t="e">
        <f t="shared" ca="1" si="155"/>
        <v>#N/A</v>
      </c>
      <c r="M321" s="1219" t="e">
        <f ca="1">IF(AND(INDEX(FlowCalConstA,MATCH(J310,FlowCalNumber,0),1,1)*L321^INDEX(FlowCalConstB,MATCH(J310,FlowCalNumber,0),1,1)&gt;INDEX(FlowCalLowSetting,MATCH(J310,FlowCalNumber,0),1,1), (INDEX(FlowCalConstA,MATCH(J310,FlowCalNumber,0),1,1)*L321^INDEX(FlowCalConstB,MATCH(J310,FlowCalNumber,0),1,1)&lt;INDEX(FlowCalHighSetting,MATCH(J310,FlowCalNumber,0),1,1))),INDEX(FlowCalConstA,MATCH(J310,FlowCalNumber,0),1,1)*L321^INDEX(FlowCalConstB,MATCH(J310,FlowCalNumber,0),1,1)," ")</f>
        <v>#N/A</v>
      </c>
      <c r="N321" s="1216"/>
      <c r="O321" s="1217">
        <f t="shared" si="156"/>
        <v>1</v>
      </c>
      <c r="P321" s="1218" t="e">
        <f t="shared" ca="1" si="157"/>
        <v>#N/A</v>
      </c>
      <c r="Q321" s="1220" t="e">
        <f ca="1">IF(AND(INDEX(FlowCalConstA,MATCH(N310,FlowCalNumber,0),1,1)*P321^INDEX(FlowCalConstB,MATCH(N310,FlowCalNumber,0),1,1)&gt;INDEX(FlowCalLowSetting,MATCH(N310,FlowCalNumber,0),1,1), (INDEX(FlowCalConstA,MATCH(N310,FlowCalNumber,0),1,1)*P321^INDEX(FlowCalConstB,MATCH(N310,FlowCalNumber,0),1,1)&lt;INDEX(FlowCalHighSetting,MATCH(N310,FlowCalNumber,0),1,1))),INDEX(FlowCalConstA,MATCH(N310,FlowCalNumber,0),1,1)*P321^INDEX(FlowCalConstB,MATCH(N310,FlowCalNumber,0),1,1)," ")</f>
        <v>#N/A</v>
      </c>
      <c r="R321" s="1216"/>
      <c r="S321" s="1217">
        <f t="shared" si="158"/>
        <v>0.5</v>
      </c>
      <c r="T321" s="1218" t="e">
        <f t="shared" ca="1" si="159"/>
        <v>#N/A</v>
      </c>
      <c r="U321" s="1219" t="e">
        <f ca="1">IF(AND(INDEX(FlowCalConstA,MATCH(R310,FlowCalNumber,0),1,1)*T321^INDEX(FlowCalConstB,MATCH(R310,FlowCalNumber,0),1,1)&gt;INDEX(FlowCalLowSetting,MATCH(R310,FlowCalNumber,0),1,1), (INDEX(FlowCalConstA,MATCH(R310,FlowCalNumber,0),1,1)*T321^INDEX(FlowCalConstB,MATCH(R310,FlowCalNumber,0),1,1)&lt;INDEX(FlowCalHighSetting,MATCH(R310,FlowCalNumber,0),1,1))),INDEX(FlowCalConstA,MATCH(R310,FlowCalNumber,0),1,1)*T321^INDEX(FlowCalConstB,MATCH(R310,FlowCalNumber,0),1,1)," ")</f>
        <v>#N/A</v>
      </c>
      <c r="V321" s="1216"/>
      <c r="W321" s="1217">
        <f t="shared" si="160"/>
        <v>0.5</v>
      </c>
      <c r="X321" s="1218" t="e">
        <f t="shared" ca="1" si="161"/>
        <v>#N/A</v>
      </c>
      <c r="Y321" s="1220" t="e">
        <f ca="1">IF(AND(INDEX(FlowCalConstA,MATCH(V310,FlowCalNumber,0),1,1)*X321^INDEX(FlowCalConstB,MATCH(V310,FlowCalNumber,0),1,1)&gt;INDEX(FlowCalLowSetting,MATCH(V310,FlowCalNumber,0),1,1), (INDEX(FlowCalConstA,MATCH(V310,FlowCalNumber,0),1,1)*X321^INDEX(FlowCalConstB,MATCH(V310,FlowCalNumber,0),1,1)&lt;INDEX(FlowCalHighSetting,MATCH(V310,FlowCalNumber,0),1,1))),INDEX(FlowCalConstA,MATCH(V310,FlowCalNumber,0),1,1)*X321^INDEX(FlowCalConstB,MATCH(V310,FlowCalNumber,0),1,1)," ")</f>
        <v>#N/A</v>
      </c>
    </row>
    <row r="322" spans="1:25">
      <c r="A322" s="412"/>
      <c r="B322" s="2"/>
      <c r="C322" s="235"/>
      <c r="D322" s="24">
        <f>'1% Wind'!$M$93</f>
        <v>2.4</v>
      </c>
      <c r="E322" s="90"/>
      <c r="F322" s="90"/>
      <c r="G322" s="79" t="e">
        <f ca="1">IF(I310=1,$G321,MAX(G321/D321*D322,2))</f>
        <v>#N/A</v>
      </c>
      <c r="H322" s="121" t="e">
        <f t="shared" ca="1" si="153"/>
        <v>#N/A</v>
      </c>
      <c r="J322" s="377"/>
      <c r="K322" s="242">
        <f t="shared" si="154"/>
        <v>1</v>
      </c>
      <c r="L322" s="241" t="e">
        <f t="shared" ca="1" si="155"/>
        <v>#N/A</v>
      </c>
      <c r="M322" s="243" t="e">
        <f ca="1">IF(AND(INDEX(FlowCalConstA,MATCH(J310,FlowCalNumber,0),1,1)*L322^INDEX(FlowCalConstB,MATCH(J310,FlowCalNumber,0),1,1)&gt;INDEX(FlowCalLowSetting,MATCH(J310,FlowCalNumber,0),1,1), (INDEX(FlowCalConstA,MATCH(J310,FlowCalNumber,0),1,1)*L322^INDEX(FlowCalConstB,MATCH(J310,FlowCalNumber,0),1,1)&lt;INDEX(FlowCalHighSetting,MATCH(J310,FlowCalNumber,0),1,1))),INDEX(FlowCalConstA,MATCH(J310,FlowCalNumber,0),1,1)*L322^INDEX(FlowCalConstB,MATCH(J310,FlowCalNumber,0),1,1)," ")</f>
        <v>#N/A</v>
      </c>
      <c r="N322" s="377"/>
      <c r="O322" s="242">
        <f t="shared" si="156"/>
        <v>1</v>
      </c>
      <c r="P322" s="241" t="e">
        <f t="shared" ca="1" si="157"/>
        <v>#N/A</v>
      </c>
      <c r="Q322" s="244" t="e">
        <f ca="1">IF(AND(INDEX(FlowCalConstA,MATCH(N310,FlowCalNumber,0),1,1)*P322^INDEX(FlowCalConstB,MATCH(N310,FlowCalNumber,0),1,1)&gt;INDEX(FlowCalLowSetting,MATCH(N310,FlowCalNumber,0),1,1), (INDEX(FlowCalConstA,MATCH(N310,FlowCalNumber,0),1,1)*P322^INDEX(FlowCalConstB,MATCH(N310,FlowCalNumber,0),1,1)&lt;INDEX(FlowCalHighSetting,MATCH(N310,FlowCalNumber,0),1,1))),INDEX(FlowCalConstA,MATCH(N310,FlowCalNumber,0),1,1)*P322^INDEX(FlowCalConstB,MATCH(N310,FlowCalNumber,0),1,1)," ")</f>
        <v>#N/A</v>
      </c>
      <c r="R322" s="377"/>
      <c r="S322" s="242">
        <f t="shared" si="158"/>
        <v>0.5</v>
      </c>
      <c r="T322" s="241" t="e">
        <f t="shared" ca="1" si="159"/>
        <v>#N/A</v>
      </c>
      <c r="U322" s="243" t="e">
        <f ca="1">IF(AND(INDEX(FlowCalConstA,MATCH(R310,FlowCalNumber,0),1,1)*T322^INDEX(FlowCalConstB,MATCH(R310,FlowCalNumber,0),1,1)&gt;INDEX(FlowCalLowSetting,MATCH(R310,FlowCalNumber,0),1,1), (INDEX(FlowCalConstA,MATCH(R310,FlowCalNumber,0),1,1)*T322^INDEX(FlowCalConstB,MATCH(R310,FlowCalNumber,0),1,1)&lt;INDEX(FlowCalHighSetting,MATCH(R310,FlowCalNumber,0),1,1))),INDEX(FlowCalConstA,MATCH(R310,FlowCalNumber,0),1,1)*T322^INDEX(FlowCalConstB,MATCH(R310,FlowCalNumber,0),1,1)," ")</f>
        <v>#N/A</v>
      </c>
      <c r="V322" s="377"/>
      <c r="W322" s="242">
        <f t="shared" si="160"/>
        <v>0.5</v>
      </c>
      <c r="X322" s="241" t="e">
        <f t="shared" ca="1" si="161"/>
        <v>#N/A</v>
      </c>
      <c r="Y322" s="244" t="e">
        <f ca="1">IF(AND(INDEX(FlowCalConstA,MATCH(V310,FlowCalNumber,0),1,1)*X322^INDEX(FlowCalConstB,MATCH(V310,FlowCalNumber,0),1,1)&gt;INDEX(FlowCalLowSetting,MATCH(V310,FlowCalNumber,0),1,1), (INDEX(FlowCalConstA,MATCH(V310,FlowCalNumber,0),1,1)*X322^INDEX(FlowCalConstB,MATCH(V310,FlowCalNumber,0),1,1)&lt;INDEX(FlowCalHighSetting,MATCH(V310,FlowCalNumber,0),1,1))),INDEX(FlowCalConstA,MATCH(V310,FlowCalNumber,0),1,1)*X322^INDEX(FlowCalConstB,MATCH(V310,FlowCalNumber,0),1,1)," ")</f>
        <v>#N/A</v>
      </c>
    </row>
    <row r="323" spans="1:25" s="1215" customFormat="1">
      <c r="A323" s="1208"/>
      <c r="B323" s="1209"/>
      <c r="C323" s="1210"/>
      <c r="D323" s="1211">
        <f>'1% Wind'!$M$94</f>
        <v>1.8</v>
      </c>
      <c r="E323" s="1212"/>
      <c r="F323" s="1212"/>
      <c r="G323" s="1213" t="e">
        <f ca="1">IF(I310=1,$G322,MAX(G322/D322*D323,2))</f>
        <v>#N/A</v>
      </c>
      <c r="H323" s="1214" t="e">
        <f t="shared" ca="1" si="153"/>
        <v>#N/A</v>
      </c>
      <c r="J323" s="1216"/>
      <c r="K323" s="1217">
        <f t="shared" si="154"/>
        <v>1</v>
      </c>
      <c r="L323" s="1218" t="e">
        <f t="shared" ca="1" si="155"/>
        <v>#N/A</v>
      </c>
      <c r="M323" s="1219" t="e">
        <f ca="1">IF(AND(INDEX(FlowCalConstA,MATCH(J310,FlowCalNumber,0),1,1)*L323^INDEX(FlowCalConstB,MATCH(J310,FlowCalNumber,0),1,1)&gt;INDEX(FlowCalLowSetting,MATCH(J310,FlowCalNumber,0),1,1), (INDEX(FlowCalConstA,MATCH(J310,FlowCalNumber,0),1,1)*L323^INDEX(FlowCalConstB,MATCH(J310,FlowCalNumber,0),1,1)&lt;INDEX(FlowCalHighSetting,MATCH(J310,FlowCalNumber,0),1,1))),INDEX(FlowCalConstA,MATCH(J310,FlowCalNumber,0),1,1)*L323^INDEX(FlowCalConstB,MATCH(J310,FlowCalNumber,0),1,1)," ")</f>
        <v>#N/A</v>
      </c>
      <c r="N323" s="1216"/>
      <c r="O323" s="1217">
        <f t="shared" si="156"/>
        <v>1</v>
      </c>
      <c r="P323" s="1218" t="e">
        <f t="shared" ca="1" si="157"/>
        <v>#N/A</v>
      </c>
      <c r="Q323" s="1220" t="e">
        <f ca="1">IF(AND(INDEX(FlowCalConstA,MATCH(N310,FlowCalNumber,0),1,1)*P323^INDEX(FlowCalConstB,MATCH(N310,FlowCalNumber,0),1,1)&gt;INDEX(FlowCalLowSetting,MATCH(N310,FlowCalNumber,0),1,1), (INDEX(FlowCalConstA,MATCH(N310,FlowCalNumber,0),1,1)*P323^INDEX(FlowCalConstB,MATCH(N310,FlowCalNumber,0),1,1)&lt;INDEX(FlowCalHighSetting,MATCH(N310,FlowCalNumber,0),1,1))),INDEX(FlowCalConstA,MATCH(N310,FlowCalNumber,0),1,1)*P323^INDEX(FlowCalConstB,MATCH(N310,FlowCalNumber,0),1,1)," ")</f>
        <v>#N/A</v>
      </c>
      <c r="R323" s="1216"/>
      <c r="S323" s="1217">
        <f t="shared" si="158"/>
        <v>0.5</v>
      </c>
      <c r="T323" s="1218" t="e">
        <f t="shared" ca="1" si="159"/>
        <v>#N/A</v>
      </c>
      <c r="U323" s="1219" t="e">
        <f ca="1">IF(AND(INDEX(FlowCalConstA,MATCH(R310,FlowCalNumber,0),1,1)*T323^INDEX(FlowCalConstB,MATCH(R310,FlowCalNumber,0),1,1)&gt;INDEX(FlowCalLowSetting,MATCH(R310,FlowCalNumber,0),1,1), (INDEX(FlowCalConstA,MATCH(R310,FlowCalNumber,0),1,1)*T323^INDEX(FlowCalConstB,MATCH(R310,FlowCalNumber,0),1,1)&lt;INDEX(FlowCalHighSetting,MATCH(R310,FlowCalNumber,0),1,1))),INDEX(FlowCalConstA,MATCH(R310,FlowCalNumber,0),1,1)*T323^INDEX(FlowCalConstB,MATCH(R310,FlowCalNumber,0),1,1)," ")</f>
        <v>#N/A</v>
      </c>
      <c r="V323" s="1216"/>
      <c r="W323" s="1217">
        <f t="shared" si="160"/>
        <v>0.5</v>
      </c>
      <c r="X323" s="1218" t="e">
        <f t="shared" ca="1" si="161"/>
        <v>#N/A</v>
      </c>
      <c r="Y323" s="1220" t="e">
        <f ca="1">IF(AND(INDEX(FlowCalConstA,MATCH(V310,FlowCalNumber,0),1,1)*X323^INDEX(FlowCalConstB,MATCH(V310,FlowCalNumber,0),1,1)&gt;INDEX(FlowCalLowSetting,MATCH(V310,FlowCalNumber,0),1,1), (INDEX(FlowCalConstA,MATCH(V310,FlowCalNumber,0),1,1)*X323^INDEX(FlowCalConstB,MATCH(V310,FlowCalNumber,0),1,1)&lt;INDEX(FlowCalHighSetting,MATCH(V310,FlowCalNumber,0),1,1))),INDEX(FlowCalConstA,MATCH(V310,FlowCalNumber,0),1,1)*X323^INDEX(FlowCalConstB,MATCH(V310,FlowCalNumber,0),1,1)," ")</f>
        <v>#N/A</v>
      </c>
    </row>
    <row r="324" spans="1:25">
      <c r="A324" s="412"/>
      <c r="B324" s="2"/>
      <c r="C324" s="235"/>
      <c r="D324" s="24">
        <f>'1% Wind'!$M$95</f>
        <v>1.3</v>
      </c>
      <c r="E324" s="90"/>
      <c r="F324" s="90"/>
      <c r="G324" s="79" t="e">
        <f ca="1">IF(I310=1,$G323,MAX(G323/D323*D324,2))</f>
        <v>#N/A</v>
      </c>
      <c r="H324" s="121" t="e">
        <f t="shared" ca="1" si="153"/>
        <v>#N/A</v>
      </c>
      <c r="J324" s="377"/>
      <c r="K324" s="242">
        <f t="shared" si="154"/>
        <v>1</v>
      </c>
      <c r="L324" s="241" t="e">
        <f t="shared" ca="1" si="155"/>
        <v>#N/A</v>
      </c>
      <c r="M324" s="243" t="e">
        <f ca="1">IF(AND(INDEX(FlowCalConstA,MATCH(J310,FlowCalNumber,0),1,1)*L324^INDEX(FlowCalConstB,MATCH(J310,FlowCalNumber,0),1,1)&gt;INDEX(FlowCalLowSetting,MATCH(J310,FlowCalNumber,0),1,1), (INDEX(FlowCalConstA,MATCH(J310,FlowCalNumber,0),1,1)*L324^INDEX(FlowCalConstB,MATCH(J310,FlowCalNumber,0),1,1)&lt;INDEX(FlowCalHighSetting,MATCH(J310,FlowCalNumber,0),1,1))),INDEX(FlowCalConstA,MATCH(J310,FlowCalNumber,0),1,1)*L324^INDEX(FlowCalConstB,MATCH(J310,FlowCalNumber,0),1,1)," ")</f>
        <v>#N/A</v>
      </c>
      <c r="N324" s="377"/>
      <c r="O324" s="242">
        <f t="shared" si="156"/>
        <v>1</v>
      </c>
      <c r="P324" s="241" t="e">
        <f t="shared" ca="1" si="157"/>
        <v>#N/A</v>
      </c>
      <c r="Q324" s="244" t="e">
        <f ca="1">IF(AND(INDEX(FlowCalConstA,MATCH(N310,FlowCalNumber,0),1,1)*P324^INDEX(FlowCalConstB,MATCH(N310,FlowCalNumber,0),1,1)&gt;INDEX(FlowCalLowSetting,MATCH(N310,FlowCalNumber,0),1,1), (INDEX(FlowCalConstA,MATCH(N310,FlowCalNumber,0),1,1)*P324^INDEX(FlowCalConstB,MATCH(N310,FlowCalNumber,0),1,1)&lt;INDEX(FlowCalHighSetting,MATCH(N310,FlowCalNumber,0),1,1))),INDEX(FlowCalConstA,MATCH(N310,FlowCalNumber,0),1,1)*P324^INDEX(FlowCalConstB,MATCH(N310,FlowCalNumber,0),1,1)," ")</f>
        <v>#N/A</v>
      </c>
      <c r="R324" s="377"/>
      <c r="S324" s="242">
        <f t="shared" si="158"/>
        <v>0.5</v>
      </c>
      <c r="T324" s="241" t="e">
        <f t="shared" ca="1" si="159"/>
        <v>#N/A</v>
      </c>
      <c r="U324" s="243" t="e">
        <f ca="1">IF(AND(INDEX(FlowCalConstA,MATCH(R310,FlowCalNumber,0),1,1)*T324^INDEX(FlowCalConstB,MATCH(R310,FlowCalNumber,0),1,1)&gt;INDEX(FlowCalLowSetting,MATCH(R310,FlowCalNumber,0),1,1), (INDEX(FlowCalConstA,MATCH(R310,FlowCalNumber,0),1,1)*T324^INDEX(FlowCalConstB,MATCH(R310,FlowCalNumber,0),1,1)&lt;INDEX(FlowCalHighSetting,MATCH(R310,FlowCalNumber,0),1,1))),INDEX(FlowCalConstA,MATCH(R310,FlowCalNumber,0),1,1)*T324^INDEX(FlowCalConstB,MATCH(R310,FlowCalNumber,0),1,1)," ")</f>
        <v>#N/A</v>
      </c>
      <c r="V324" s="377"/>
      <c r="W324" s="242">
        <f t="shared" si="160"/>
        <v>0.5</v>
      </c>
      <c r="X324" s="241" t="e">
        <f t="shared" ca="1" si="161"/>
        <v>#N/A</v>
      </c>
      <c r="Y324" s="244" t="e">
        <f ca="1">IF(AND(INDEX(FlowCalConstA,MATCH(V310,FlowCalNumber,0),1,1)*X324^INDEX(FlowCalConstB,MATCH(V310,FlowCalNumber,0),1,1)&gt;INDEX(FlowCalLowSetting,MATCH(V310,FlowCalNumber,0),1,1), (INDEX(FlowCalConstA,MATCH(V310,FlowCalNumber,0),1,1)*X324^INDEX(FlowCalConstB,MATCH(V310,FlowCalNumber,0),1,1)&lt;INDEX(FlowCalHighSetting,MATCH(V310,FlowCalNumber,0),1,1))),INDEX(FlowCalConstA,MATCH(V310,FlowCalNumber,0),1,1)*X324^INDEX(FlowCalConstB,MATCH(V310,FlowCalNumber,0),1,1)," ")</f>
        <v>#N/A</v>
      </c>
    </row>
    <row r="325" spans="1:25" s="1215" customFormat="1">
      <c r="A325" s="1208"/>
      <c r="B325" s="1209"/>
      <c r="C325" s="1210"/>
      <c r="D325" s="1211">
        <f>'1% Wind'!$M$96</f>
        <v>1</v>
      </c>
      <c r="E325" s="1212"/>
      <c r="F325" s="1212"/>
      <c r="G325" s="1213" t="e">
        <f ca="1">IF(I310=1,$G324,MAX(G324/D324*D325,2))</f>
        <v>#N/A</v>
      </c>
      <c r="H325" s="1214" t="e">
        <f t="shared" ca="1" si="153"/>
        <v>#N/A</v>
      </c>
      <c r="J325" s="1216"/>
      <c r="K325" s="1217">
        <f t="shared" si="154"/>
        <v>1</v>
      </c>
      <c r="L325" s="1218" t="e">
        <f t="shared" ca="1" si="155"/>
        <v>#N/A</v>
      </c>
      <c r="M325" s="1219" t="e">
        <f ca="1">IF(AND(INDEX(FlowCalConstA,MATCH(J310,FlowCalNumber,0),1,1)*L325^INDEX(FlowCalConstB,MATCH(J310,FlowCalNumber,0),1,1)&gt;INDEX(FlowCalLowSetting,MATCH(J310,FlowCalNumber,0),1,1), (INDEX(FlowCalConstA,MATCH(J310,FlowCalNumber,0),1,1)*L325^INDEX(FlowCalConstB,MATCH(J310,FlowCalNumber,0),1,1)&lt;INDEX(FlowCalHighSetting,MATCH(J310,FlowCalNumber,0),1,1))),INDEX(FlowCalConstA,MATCH(J310,FlowCalNumber,0),1,1)*L325^INDEX(FlowCalConstB,MATCH(J310,FlowCalNumber,0),1,1)," ")</f>
        <v>#N/A</v>
      </c>
      <c r="N325" s="1216"/>
      <c r="O325" s="1217">
        <f t="shared" si="156"/>
        <v>1</v>
      </c>
      <c r="P325" s="1218" t="e">
        <f t="shared" ca="1" si="157"/>
        <v>#N/A</v>
      </c>
      <c r="Q325" s="1220" t="e">
        <f ca="1">IF(AND(INDEX(FlowCalConstA,MATCH(N310,FlowCalNumber,0),1,1)*P325^INDEX(FlowCalConstB,MATCH(N310,FlowCalNumber,0),1,1)&gt;INDEX(FlowCalLowSetting,MATCH(N310,FlowCalNumber,0),1,1), (INDEX(FlowCalConstA,MATCH(N310,FlowCalNumber,0),1,1)*P325^INDEX(FlowCalConstB,MATCH(N310,FlowCalNumber,0),1,1)&lt;INDEX(FlowCalHighSetting,MATCH(N310,FlowCalNumber,0),1,1))),INDEX(FlowCalConstA,MATCH(N310,FlowCalNumber,0),1,1)*P325^INDEX(FlowCalConstB,MATCH(N310,FlowCalNumber,0),1,1)," ")</f>
        <v>#N/A</v>
      </c>
      <c r="R325" s="1216"/>
      <c r="S325" s="1217">
        <f t="shared" si="158"/>
        <v>0.5</v>
      </c>
      <c r="T325" s="1218" t="e">
        <f t="shared" ca="1" si="159"/>
        <v>#N/A</v>
      </c>
      <c r="U325" s="1219" t="e">
        <f ca="1">IF(AND(INDEX(FlowCalConstA,MATCH(R310,FlowCalNumber,0),1,1)*T325^INDEX(FlowCalConstB,MATCH(R310,FlowCalNumber,0),1,1)&gt;INDEX(FlowCalLowSetting,MATCH(R310,FlowCalNumber,0),1,1), (INDEX(FlowCalConstA,MATCH(R310,FlowCalNumber,0),1,1)*T325^INDEX(FlowCalConstB,MATCH(R310,FlowCalNumber,0),1,1)&lt;INDEX(FlowCalHighSetting,MATCH(R310,FlowCalNumber,0),1,1))),INDEX(FlowCalConstA,MATCH(R310,FlowCalNumber,0),1,1)*T325^INDEX(FlowCalConstB,MATCH(R310,FlowCalNumber,0),1,1)," ")</f>
        <v>#N/A</v>
      </c>
      <c r="V325" s="1216"/>
      <c r="W325" s="1217">
        <f t="shared" si="160"/>
        <v>0.5</v>
      </c>
      <c r="X325" s="1218" t="e">
        <f t="shared" ca="1" si="161"/>
        <v>#N/A</v>
      </c>
      <c r="Y325" s="1220" t="e">
        <f ca="1">IF(AND(INDEX(FlowCalConstA,MATCH(V310,FlowCalNumber,0),1,1)*X325^INDEX(FlowCalConstB,MATCH(V310,FlowCalNumber,0),1,1)&gt;INDEX(FlowCalLowSetting,MATCH(V310,FlowCalNumber,0),1,1), (INDEX(FlowCalConstA,MATCH(V310,FlowCalNumber,0),1,1)*X325^INDEX(FlowCalConstB,MATCH(V310,FlowCalNumber,0),1,1)&lt;INDEX(FlowCalHighSetting,MATCH(V310,FlowCalNumber,0),1,1))),INDEX(FlowCalConstA,MATCH(V310,FlowCalNumber,0),1,1)*X325^INDEX(FlowCalConstB,MATCH(V310,FlowCalNumber,0),1,1)," ")</f>
        <v>#N/A</v>
      </c>
    </row>
    <row r="326" spans="1:25">
      <c r="A326" s="90"/>
      <c r="C326" s="235"/>
      <c r="E326" s="90"/>
      <c r="F326" s="90"/>
      <c r="G326" s="33"/>
      <c r="J326" s="377"/>
      <c r="M326" s="243"/>
      <c r="N326" s="377"/>
      <c r="Q326" s="244"/>
      <c r="R326" s="377"/>
      <c r="U326" s="243"/>
      <c r="V326" s="377"/>
      <c r="Y326" s="244"/>
    </row>
    <row r="327" spans="1:25">
      <c r="A327" s="639">
        <f>A310+1</f>
        <v>9</v>
      </c>
      <c r="B327" s="42" t="e">
        <f>INDEX(SourceID,MATCH($A327,SourceNumber,0),1,1)</f>
        <v>#N/A</v>
      </c>
      <c r="C327" s="354" t="e">
        <f>INDEX(SourceExitDiameter,MATCH($A327,SourceNumber,0),1,1)*3.28*12</f>
        <v>#N/A</v>
      </c>
      <c r="D327" s="24" t="str">
        <f>UAnem1percent</f>
        <v>1% Wind</v>
      </c>
      <c r="E327" s="85" t="e">
        <f ca="1">INDIRECT(ADDRESS(53,6,1,,$A327))</f>
        <v>#N/A</v>
      </c>
      <c r="F327" s="626" t="e">
        <f ca="1">(ROUND((INDIRECT(ADDRESS(15,7,1,,$A327))*3.28*12*32),0)&amp;"/32")</f>
        <v>#N/A</v>
      </c>
      <c r="G327" s="125" t="e">
        <f ca="1">INDIRECT(ADDRESS(29,7,1,,$A327))</f>
        <v>#N/A</v>
      </c>
      <c r="H327" s="24" t="e">
        <f ca="1">INDIRECT(ADDRESS(19,7,1,,$A327))*100^3</f>
        <v>#N/A</v>
      </c>
      <c r="I327" s="24" t="e">
        <f ca="1">INDIRECT(ADDRESS(53,7,1,,$A327))</f>
        <v>#N/A</v>
      </c>
      <c r="J327" s="20" t="str">
        <f>K$15&amp;$H$6&amp;J$6</f>
        <v>100AirPick a Tunnel</v>
      </c>
      <c r="K327" t="e">
        <f>INDEX(FlowCalGasMixture,MATCH(J327,FlowCalNumber,0),1,1)</f>
        <v>#N/A</v>
      </c>
      <c r="M327" s="355" t="e">
        <f>INDEX(FlowCalDevice,MATCH(J327,FlowCalNumber,0),1,1)</f>
        <v>#N/A</v>
      </c>
      <c r="N327" s="20" t="str">
        <f>O$15&amp;$H$6&amp;N$6</f>
        <v>100AirPick a Tunnel</v>
      </c>
      <c r="O327" t="e">
        <f>INDEX(FlowCalGasMixture,MATCH(N327,FlowCalNumber,0),1,1)</f>
        <v>#N/A</v>
      </c>
      <c r="Q327" s="355" t="e">
        <f>INDEX(FlowCalDevice,MATCH(N327,FlowCalNumber,0),1,1)</f>
        <v>#N/A</v>
      </c>
      <c r="R327" s="20" t="str">
        <f>S$15&amp;$H$6&amp;R$6</f>
        <v>100AirPick a Tunnel</v>
      </c>
      <c r="S327" t="e">
        <f>INDEX(FlowCalGasMixture,MATCH(R327,FlowCalNumber,0),1,1)</f>
        <v>#N/A</v>
      </c>
      <c r="U327" s="944" t="e">
        <f>INDEX(FlowCalDevice,MATCH(R327,FlowCalNumber,0),1,1)</f>
        <v>#N/A</v>
      </c>
      <c r="V327" s="946" t="str">
        <f>W$15&amp;$H$6&amp;V$6</f>
        <v>100AirPick a Tunnel</v>
      </c>
      <c r="W327" t="e">
        <f>INDEX(FlowCalGasMixture,MATCH(V327,FlowCalNumber,0),1,1)</f>
        <v>#N/A</v>
      </c>
      <c r="Y327" s="982" t="e">
        <f>INDEX(FlowCalDevice,MATCH(V327,FlowCalNumber,0),1,1)</f>
        <v>#N/A</v>
      </c>
    </row>
    <row r="328" spans="1:25" s="1215" customFormat="1">
      <c r="A328" s="1208"/>
      <c r="B328" s="1209"/>
      <c r="C328" s="1210"/>
      <c r="D328" s="1211">
        <f>'1% Wind'!$M$82</f>
        <v>27</v>
      </c>
      <c r="E328" s="1212"/>
      <c r="F328" s="1212"/>
      <c r="G328" s="1213">
        <v>2</v>
      </c>
      <c r="H328" s="1214" t="e">
        <f t="shared" ref="H328:H342" ca="1" si="162">H327*(D327/D328)*(G328/G327)</f>
        <v>#N/A</v>
      </c>
      <c r="J328" s="1216"/>
      <c r="K328" s="1221">
        <f>K$16/100</f>
        <v>1</v>
      </c>
      <c r="L328" s="1218" t="e">
        <f ca="1">K328*$H328</f>
        <v>#N/A</v>
      </c>
      <c r="M328" s="1219" t="e">
        <f ca="1">IF(AND(INDEX(FlowCalConstA,MATCH(J327,FlowCalNumber,0),1,1)*L328^INDEX(FlowCalConstB,MATCH(J327,FlowCalNumber,0),1,1)&gt;INDEX(FlowCalLowSetting,MATCH(J327,FlowCalNumber,0),1,1), (INDEX(FlowCalConstA,MATCH(J327,FlowCalNumber,0),1,1)*L328^INDEX(FlowCalConstB,MATCH(J327,FlowCalNumber,0),1,1)&lt;INDEX(FlowCalHighSetting,MATCH(J327,FlowCalNumber,0),1,1))),INDEX(FlowCalConstA,MATCH(J327,FlowCalNumber,0),1,1)*L328^INDEX(FlowCalConstB,MATCH(J327,FlowCalNumber,0),1,1)," ")</f>
        <v>#N/A</v>
      </c>
      <c r="N328" s="1216"/>
      <c r="O328" s="1221">
        <f>O$16/100</f>
        <v>1</v>
      </c>
      <c r="P328" s="1218" t="e">
        <f ca="1">O328*$H328</f>
        <v>#N/A</v>
      </c>
      <c r="Q328" s="1220" t="e">
        <f ca="1">IF(AND(INDEX(FlowCalConstA,MATCH(N327,FlowCalNumber,0),1,1)*P328^INDEX(FlowCalConstB,MATCH(N327,FlowCalNumber,0),1,1)&gt;INDEX(FlowCalLowSetting,MATCH(N327,FlowCalNumber,0),1,1), (INDEX(FlowCalConstA,MATCH(N327,FlowCalNumber,0),1,1)*P328^INDEX(FlowCalConstB,MATCH(N327,FlowCalNumber,0),1,1)&lt;INDEX(FlowCalHighSetting,MATCH(N327,FlowCalNumber,0),1,1))),INDEX(FlowCalConstA,MATCH(N327,FlowCalNumber,0),1,1)*P328^INDEX(FlowCalConstB,MATCH(N327,FlowCalNumber,0),1,1)," ")</f>
        <v>#N/A</v>
      </c>
      <c r="R328" s="1216"/>
      <c r="S328" s="1221">
        <f>S$16/100</f>
        <v>0.5</v>
      </c>
      <c r="T328" s="1218" t="e">
        <f ca="1">S328*$H328</f>
        <v>#N/A</v>
      </c>
      <c r="U328" s="1219" t="e">
        <f ca="1">IF(AND(INDEX(FlowCalConstA,MATCH(R327,FlowCalNumber,0),1,1)*T328^INDEX(FlowCalConstB,MATCH(R327,FlowCalNumber,0),1,1)&gt;INDEX(FlowCalLowSetting,MATCH(R327,FlowCalNumber,0),1,1), (INDEX(FlowCalConstA,MATCH(R327,FlowCalNumber,0),1,1)*T328^INDEX(FlowCalConstB,MATCH(R327,FlowCalNumber,0),1,1)&lt;INDEX(FlowCalHighSetting,MATCH(R327,FlowCalNumber,0),1,1))),INDEX(FlowCalConstA,MATCH(R327,FlowCalNumber,0),1,1)*T328^INDEX(FlowCalConstB,MATCH(R327,FlowCalNumber,0),1,1)," ")</f>
        <v>#N/A</v>
      </c>
      <c r="V328" s="1216"/>
      <c r="W328" s="1221">
        <f>W$16/100</f>
        <v>0.5</v>
      </c>
      <c r="X328" s="1218" t="e">
        <f ca="1">W328*$H328</f>
        <v>#N/A</v>
      </c>
      <c r="Y328" s="1220" t="e">
        <f ca="1">IF(AND(INDEX(FlowCalConstA,MATCH(V327,FlowCalNumber,0),1,1)*X328^INDEX(FlowCalConstB,MATCH(V327,FlowCalNumber,0),1,1)&gt;INDEX(FlowCalLowSetting,MATCH(V327,FlowCalNumber,0),1,1), (INDEX(FlowCalConstA,MATCH(V327,FlowCalNumber,0),1,1)*X328^INDEX(FlowCalConstB,MATCH(V327,FlowCalNumber,0),1,1)&lt;INDEX(FlowCalHighSetting,MATCH(V327,FlowCalNumber,0),1,1))),INDEX(FlowCalConstA,MATCH(V327,FlowCalNumber,0),1,1)*X328^INDEX(FlowCalConstB,MATCH(V327,FlowCalNumber,0),1,1)," ")</f>
        <v>#N/A</v>
      </c>
    </row>
    <row r="329" spans="1:25">
      <c r="A329" s="412"/>
      <c r="B329" s="2"/>
      <c r="C329" s="235"/>
      <c r="D329" s="24">
        <f>'1% Wind'!$M$83</f>
        <v>23.5</v>
      </c>
      <c r="E329" s="90"/>
      <c r="F329" s="90"/>
      <c r="G329" s="79" t="e">
        <f ca="1">IF(I327=1,$G328,MAX(G328/D328*D329,2))</f>
        <v>#N/A</v>
      </c>
      <c r="H329" s="121" t="e">
        <f t="shared" ca="1" si="162"/>
        <v>#N/A</v>
      </c>
      <c r="J329" s="377"/>
      <c r="K329" s="242">
        <f t="shared" ref="K329:K342" si="163">K328</f>
        <v>1</v>
      </c>
      <c r="L329" s="241" t="e">
        <f t="shared" ref="L329:L342" ca="1" si="164">K329*$H329</f>
        <v>#N/A</v>
      </c>
      <c r="M329" s="243" t="e">
        <f ca="1">IF(AND(INDEX(FlowCalConstA,MATCH(J327,FlowCalNumber,0),1,1)*L329^INDEX(FlowCalConstB,MATCH(J327,FlowCalNumber,0),1,1)&gt;INDEX(FlowCalLowSetting,MATCH(J327,FlowCalNumber,0),1,1), (INDEX(FlowCalConstA,MATCH(J327,FlowCalNumber,0),1,1)*L329^INDEX(FlowCalConstB,MATCH(J327,FlowCalNumber,0),1,1)&lt;INDEX(FlowCalHighSetting,MATCH(J327,FlowCalNumber,0),1,1))),INDEX(FlowCalConstA,MATCH(J327,FlowCalNumber,0),1,1)*L329^INDEX(FlowCalConstB,MATCH(J327,FlowCalNumber,0),1,1)," ")</f>
        <v>#N/A</v>
      </c>
      <c r="N329" s="377"/>
      <c r="O329" s="242">
        <f t="shared" ref="O329:O342" si="165">O328</f>
        <v>1</v>
      </c>
      <c r="P329" s="241" t="e">
        <f t="shared" ref="P329:P342" ca="1" si="166">O329*$H329</f>
        <v>#N/A</v>
      </c>
      <c r="Q329" s="244" t="e">
        <f ca="1">IF(AND(INDEX(FlowCalConstA,MATCH(N327,FlowCalNumber,0),1,1)*P329^INDEX(FlowCalConstB,MATCH(N327,FlowCalNumber,0),1,1)&gt;INDEX(FlowCalLowSetting,MATCH(N327,FlowCalNumber,0),1,1), (INDEX(FlowCalConstA,MATCH(N327,FlowCalNumber,0),1,1)*P329^INDEX(FlowCalConstB,MATCH(N327,FlowCalNumber,0),1,1)&lt;INDEX(FlowCalHighSetting,MATCH(N327,FlowCalNumber,0),1,1))),INDEX(FlowCalConstA,MATCH(N327,FlowCalNumber,0),1,1)*P329^INDEX(FlowCalConstB,MATCH(N327,FlowCalNumber,0),1,1)," ")</f>
        <v>#N/A</v>
      </c>
      <c r="R329" s="377"/>
      <c r="S329" s="242">
        <f t="shared" ref="S329:S342" si="167">S328</f>
        <v>0.5</v>
      </c>
      <c r="T329" s="241" t="e">
        <f t="shared" ref="T329:T342" ca="1" si="168">S329*$H329</f>
        <v>#N/A</v>
      </c>
      <c r="U329" s="243" t="e">
        <f ca="1">IF(AND(INDEX(FlowCalConstA,MATCH(R327,FlowCalNumber,0),1,1)*T329^INDEX(FlowCalConstB,MATCH(R327,FlowCalNumber,0),1,1)&gt;INDEX(FlowCalLowSetting,MATCH(R327,FlowCalNumber,0),1,1), (INDEX(FlowCalConstA,MATCH(R327,FlowCalNumber,0),1,1)*T329^INDEX(FlowCalConstB,MATCH(R327,FlowCalNumber,0),1,1)&lt;INDEX(FlowCalHighSetting,MATCH(R327,FlowCalNumber,0),1,1))),INDEX(FlowCalConstA,MATCH(R327,FlowCalNumber,0),1,1)*T329^INDEX(FlowCalConstB,MATCH(R327,FlowCalNumber,0),1,1)," ")</f>
        <v>#N/A</v>
      </c>
      <c r="V329" s="377"/>
      <c r="W329" s="242">
        <f t="shared" ref="W329:W342" si="169">W328</f>
        <v>0.5</v>
      </c>
      <c r="X329" s="241" t="e">
        <f t="shared" ref="X329:X342" ca="1" si="170">W329*$H329</f>
        <v>#N/A</v>
      </c>
      <c r="Y329" s="244" t="e">
        <f ca="1">IF(AND(INDEX(FlowCalConstA,MATCH(V327,FlowCalNumber,0),1,1)*X329^INDEX(FlowCalConstB,MATCH(V327,FlowCalNumber,0),1,1)&gt;INDEX(FlowCalLowSetting,MATCH(V327,FlowCalNumber,0),1,1), (INDEX(FlowCalConstA,MATCH(V327,FlowCalNumber,0),1,1)*X329^INDEX(FlowCalConstB,MATCH(V327,FlowCalNumber,0),1,1)&lt;INDEX(FlowCalHighSetting,MATCH(V327,FlowCalNumber,0),1,1))),INDEX(FlowCalConstA,MATCH(V327,FlowCalNumber,0),1,1)*X329^INDEX(FlowCalConstB,MATCH(V327,FlowCalNumber,0),1,1)," ")</f>
        <v>#N/A</v>
      </c>
    </row>
    <row r="330" spans="1:25" s="1215" customFormat="1">
      <c r="A330" s="1208"/>
      <c r="B330" s="1209"/>
      <c r="C330" s="1210"/>
      <c r="D330" s="1211">
        <f>'1% Wind'!$M$84</f>
        <v>20.5</v>
      </c>
      <c r="E330" s="1212"/>
      <c r="F330" s="1212"/>
      <c r="G330" s="1213" t="e">
        <f ca="1">IF(I327=1,$G329,MAX(G329/D329*D330,2))</f>
        <v>#N/A</v>
      </c>
      <c r="H330" s="1214" t="e">
        <f t="shared" ca="1" si="162"/>
        <v>#N/A</v>
      </c>
      <c r="J330" s="1216"/>
      <c r="K330" s="1217">
        <f t="shared" si="163"/>
        <v>1</v>
      </c>
      <c r="L330" s="1218" t="e">
        <f t="shared" ca="1" si="164"/>
        <v>#N/A</v>
      </c>
      <c r="M330" s="1219" t="e">
        <f ca="1">IF(AND(INDEX(FlowCalConstA,MATCH(J327,FlowCalNumber,0),1,1)*L330^INDEX(FlowCalConstB,MATCH(J327,FlowCalNumber,0),1,1)&gt;INDEX(FlowCalLowSetting,MATCH(J327,FlowCalNumber,0),1,1), (INDEX(FlowCalConstA,MATCH(J327,FlowCalNumber,0),1,1)*L330^INDEX(FlowCalConstB,MATCH(J327,FlowCalNumber,0),1,1)&lt;INDEX(FlowCalHighSetting,MATCH(J327,FlowCalNumber,0),1,1))),INDEX(FlowCalConstA,MATCH(J327,FlowCalNumber,0),1,1)*L330^INDEX(FlowCalConstB,MATCH(J327,FlowCalNumber,0),1,1)," ")</f>
        <v>#N/A</v>
      </c>
      <c r="N330" s="1216"/>
      <c r="O330" s="1217">
        <f t="shared" si="165"/>
        <v>1</v>
      </c>
      <c r="P330" s="1218" t="e">
        <f t="shared" ca="1" si="166"/>
        <v>#N/A</v>
      </c>
      <c r="Q330" s="1220" t="e">
        <f ca="1">IF(AND(INDEX(FlowCalConstA,MATCH(N327,FlowCalNumber,0),1,1)*P330^INDEX(FlowCalConstB,MATCH(N327,FlowCalNumber,0),1,1)&gt;INDEX(FlowCalLowSetting,MATCH(N327,FlowCalNumber,0),1,1), (INDEX(FlowCalConstA,MATCH(N327,FlowCalNumber,0),1,1)*P330^INDEX(FlowCalConstB,MATCH(N327,FlowCalNumber,0),1,1)&lt;INDEX(FlowCalHighSetting,MATCH(N327,FlowCalNumber,0),1,1))),INDEX(FlowCalConstA,MATCH(N327,FlowCalNumber,0),1,1)*P330^INDEX(FlowCalConstB,MATCH(N327,FlowCalNumber,0),1,1)," ")</f>
        <v>#N/A</v>
      </c>
      <c r="R330" s="1216"/>
      <c r="S330" s="1217">
        <f t="shared" si="167"/>
        <v>0.5</v>
      </c>
      <c r="T330" s="1218" t="e">
        <f t="shared" ca="1" si="168"/>
        <v>#N/A</v>
      </c>
      <c r="U330" s="1219" t="e">
        <f ca="1">IF(AND(INDEX(FlowCalConstA,MATCH(R327,FlowCalNumber,0),1,1)*T330^INDEX(FlowCalConstB,MATCH(R327,FlowCalNumber,0),1,1)&gt;INDEX(FlowCalLowSetting,MATCH(R327,FlowCalNumber,0),1,1), (INDEX(FlowCalConstA,MATCH(R327,FlowCalNumber,0),1,1)*T330^INDEX(FlowCalConstB,MATCH(R327,FlowCalNumber,0),1,1)&lt;INDEX(FlowCalHighSetting,MATCH(R327,FlowCalNumber,0),1,1))),INDEX(FlowCalConstA,MATCH(R327,FlowCalNumber,0),1,1)*T330^INDEX(FlowCalConstB,MATCH(R327,FlowCalNumber,0),1,1)," ")</f>
        <v>#N/A</v>
      </c>
      <c r="V330" s="1216"/>
      <c r="W330" s="1217">
        <f t="shared" si="169"/>
        <v>0.5</v>
      </c>
      <c r="X330" s="1218" t="e">
        <f t="shared" ca="1" si="170"/>
        <v>#N/A</v>
      </c>
      <c r="Y330" s="1220" t="e">
        <f ca="1">IF(AND(INDEX(FlowCalConstA,MATCH(V327,FlowCalNumber,0),1,1)*X330^INDEX(FlowCalConstB,MATCH(V327,FlowCalNumber,0),1,1)&gt;INDEX(FlowCalLowSetting,MATCH(V327,FlowCalNumber,0),1,1), (INDEX(FlowCalConstA,MATCH(V327,FlowCalNumber,0),1,1)*X330^INDEX(FlowCalConstB,MATCH(V327,FlowCalNumber,0),1,1)&lt;INDEX(FlowCalHighSetting,MATCH(V327,FlowCalNumber,0),1,1))),INDEX(FlowCalConstA,MATCH(V327,FlowCalNumber,0),1,1)*X330^INDEX(FlowCalConstB,MATCH(V327,FlowCalNumber,0),1,1)," ")</f>
        <v>#N/A</v>
      </c>
    </row>
    <row r="331" spans="1:25">
      <c r="A331" s="412"/>
      <c r="B331" s="2"/>
      <c r="C331" s="235"/>
      <c r="D331" s="24">
        <f>'1% Wind'!$M$85</f>
        <v>17.8</v>
      </c>
      <c r="E331" s="90"/>
      <c r="F331" s="90"/>
      <c r="G331" s="79" t="e">
        <f ca="1">IF(I327=1,$G330,MAX(G330/D330*D331,2))</f>
        <v>#N/A</v>
      </c>
      <c r="H331" s="121" t="e">
        <f t="shared" ca="1" si="162"/>
        <v>#N/A</v>
      </c>
      <c r="J331" s="377"/>
      <c r="K331" s="242">
        <f t="shared" si="163"/>
        <v>1</v>
      </c>
      <c r="L331" s="241" t="e">
        <f t="shared" ca="1" si="164"/>
        <v>#N/A</v>
      </c>
      <c r="M331" s="243" t="e">
        <f ca="1">IF(AND(INDEX(FlowCalConstA,MATCH(J327,FlowCalNumber,0),1,1)*L331^INDEX(FlowCalConstB,MATCH(J327,FlowCalNumber,0),1,1)&gt;INDEX(FlowCalLowSetting,MATCH(J327,FlowCalNumber,0),1,1), (INDEX(FlowCalConstA,MATCH(J327,FlowCalNumber,0),1,1)*L331^INDEX(FlowCalConstB,MATCH(J327,FlowCalNumber,0),1,1)&lt;INDEX(FlowCalHighSetting,MATCH(J327,FlowCalNumber,0),1,1))),INDEX(FlowCalConstA,MATCH(J327,FlowCalNumber,0),1,1)*L331^INDEX(FlowCalConstB,MATCH(J327,FlowCalNumber,0),1,1)," ")</f>
        <v>#N/A</v>
      </c>
      <c r="N331" s="377"/>
      <c r="O331" s="242">
        <f t="shared" si="165"/>
        <v>1</v>
      </c>
      <c r="P331" s="241" t="e">
        <f t="shared" ca="1" si="166"/>
        <v>#N/A</v>
      </c>
      <c r="Q331" s="244" t="e">
        <f ca="1">IF(AND(INDEX(FlowCalConstA,MATCH(N327,FlowCalNumber,0),1,1)*P331^INDEX(FlowCalConstB,MATCH(N327,FlowCalNumber,0),1,1)&gt;INDEX(FlowCalLowSetting,MATCH(N327,FlowCalNumber,0),1,1), (INDEX(FlowCalConstA,MATCH(N327,FlowCalNumber,0),1,1)*P331^INDEX(FlowCalConstB,MATCH(N327,FlowCalNumber,0),1,1)&lt;INDEX(FlowCalHighSetting,MATCH(N327,FlowCalNumber,0),1,1))),INDEX(FlowCalConstA,MATCH(N327,FlowCalNumber,0),1,1)*P331^INDEX(FlowCalConstB,MATCH(N327,FlowCalNumber,0),1,1)," ")</f>
        <v>#N/A</v>
      </c>
      <c r="R331" s="377"/>
      <c r="S331" s="242">
        <f t="shared" si="167"/>
        <v>0.5</v>
      </c>
      <c r="T331" s="241" t="e">
        <f t="shared" ca="1" si="168"/>
        <v>#N/A</v>
      </c>
      <c r="U331" s="243" t="e">
        <f ca="1">IF(AND(INDEX(FlowCalConstA,MATCH(R327,FlowCalNumber,0),1,1)*T331^INDEX(FlowCalConstB,MATCH(R327,FlowCalNumber,0),1,1)&gt;INDEX(FlowCalLowSetting,MATCH(R327,FlowCalNumber,0),1,1), (INDEX(FlowCalConstA,MATCH(R327,FlowCalNumber,0),1,1)*T331^INDEX(FlowCalConstB,MATCH(R327,FlowCalNumber,0),1,1)&lt;INDEX(FlowCalHighSetting,MATCH(R327,FlowCalNumber,0),1,1))),INDEX(FlowCalConstA,MATCH(R327,FlowCalNumber,0),1,1)*T331^INDEX(FlowCalConstB,MATCH(R327,FlowCalNumber,0),1,1)," ")</f>
        <v>#N/A</v>
      </c>
      <c r="V331" s="377"/>
      <c r="W331" s="242">
        <f t="shared" si="169"/>
        <v>0.5</v>
      </c>
      <c r="X331" s="241" t="e">
        <f t="shared" ca="1" si="170"/>
        <v>#N/A</v>
      </c>
      <c r="Y331" s="244" t="e">
        <f ca="1">IF(AND(INDEX(FlowCalConstA,MATCH(V327,FlowCalNumber,0),1,1)*X331^INDEX(FlowCalConstB,MATCH(V327,FlowCalNumber,0),1,1)&gt;INDEX(FlowCalLowSetting,MATCH(V327,FlowCalNumber,0),1,1), (INDEX(FlowCalConstA,MATCH(V327,FlowCalNumber,0),1,1)*X331^INDEX(FlowCalConstB,MATCH(V327,FlowCalNumber,0),1,1)&lt;INDEX(FlowCalHighSetting,MATCH(V327,FlowCalNumber,0),1,1))),INDEX(FlowCalConstA,MATCH(V327,FlowCalNumber,0),1,1)*X331^INDEX(FlowCalConstB,MATCH(V327,FlowCalNumber,0),1,1)," ")</f>
        <v>#N/A</v>
      </c>
    </row>
    <row r="332" spans="1:25" s="1215" customFormat="1">
      <c r="A332" s="1208"/>
      <c r="B332" s="1209"/>
      <c r="C332" s="1210"/>
      <c r="D332" s="1211">
        <f>'1% Wind'!$M$86</f>
        <v>15.5</v>
      </c>
      <c r="E332" s="1212"/>
      <c r="F332" s="1212"/>
      <c r="G332" s="1213" t="e">
        <f ca="1">IF(I327=1,$G331,MAX(G331/D331*D332,2))</f>
        <v>#N/A</v>
      </c>
      <c r="H332" s="1214" t="e">
        <f t="shared" ca="1" si="162"/>
        <v>#N/A</v>
      </c>
      <c r="J332" s="1216"/>
      <c r="K332" s="1217">
        <f t="shared" si="163"/>
        <v>1</v>
      </c>
      <c r="L332" s="1218" t="e">
        <f t="shared" ca="1" si="164"/>
        <v>#N/A</v>
      </c>
      <c r="M332" s="1219" t="e">
        <f ca="1">IF(AND(INDEX(FlowCalConstA,MATCH(J327,FlowCalNumber,0),1,1)*L332^INDEX(FlowCalConstB,MATCH(J327,FlowCalNumber,0),1,1)&gt;INDEX(FlowCalLowSetting,MATCH(J327,FlowCalNumber,0),1,1), (INDEX(FlowCalConstA,MATCH(J327,FlowCalNumber,0),1,1)*L332^INDEX(FlowCalConstB,MATCH(J327,FlowCalNumber,0),1,1)&lt;INDEX(FlowCalHighSetting,MATCH(J327,FlowCalNumber,0),1,1))),INDEX(FlowCalConstA,MATCH(J327,FlowCalNumber,0),1,1)*L332^INDEX(FlowCalConstB,MATCH(J327,FlowCalNumber,0),1,1)," ")</f>
        <v>#N/A</v>
      </c>
      <c r="N332" s="1216"/>
      <c r="O332" s="1217">
        <f t="shared" si="165"/>
        <v>1</v>
      </c>
      <c r="P332" s="1218" t="e">
        <f t="shared" ca="1" si="166"/>
        <v>#N/A</v>
      </c>
      <c r="Q332" s="1220" t="e">
        <f ca="1">IF(AND(INDEX(FlowCalConstA,MATCH(N327,FlowCalNumber,0),1,1)*P332^INDEX(FlowCalConstB,MATCH(N327,FlowCalNumber,0),1,1)&gt;INDEX(FlowCalLowSetting,MATCH(N327,FlowCalNumber,0),1,1), (INDEX(FlowCalConstA,MATCH(N327,FlowCalNumber,0),1,1)*P332^INDEX(FlowCalConstB,MATCH(N327,FlowCalNumber,0),1,1)&lt;INDEX(FlowCalHighSetting,MATCH(N327,FlowCalNumber,0),1,1))),INDEX(FlowCalConstA,MATCH(N327,FlowCalNumber,0),1,1)*P332^INDEX(FlowCalConstB,MATCH(N327,FlowCalNumber,0),1,1)," ")</f>
        <v>#N/A</v>
      </c>
      <c r="R332" s="1216"/>
      <c r="S332" s="1217">
        <f t="shared" si="167"/>
        <v>0.5</v>
      </c>
      <c r="T332" s="1218" t="e">
        <f t="shared" ca="1" si="168"/>
        <v>#N/A</v>
      </c>
      <c r="U332" s="1219" t="e">
        <f ca="1">IF(AND(INDEX(FlowCalConstA,MATCH(R327,FlowCalNumber,0),1,1)*T332^INDEX(FlowCalConstB,MATCH(R327,FlowCalNumber,0),1,1)&gt;INDEX(FlowCalLowSetting,MATCH(R327,FlowCalNumber,0),1,1), (INDEX(FlowCalConstA,MATCH(R327,FlowCalNumber,0),1,1)*T332^INDEX(FlowCalConstB,MATCH(R327,FlowCalNumber,0),1,1)&lt;INDEX(FlowCalHighSetting,MATCH(R327,FlowCalNumber,0),1,1))),INDEX(FlowCalConstA,MATCH(R327,FlowCalNumber,0),1,1)*T332^INDEX(FlowCalConstB,MATCH(R327,FlowCalNumber,0),1,1)," ")</f>
        <v>#N/A</v>
      </c>
      <c r="V332" s="1216"/>
      <c r="W332" s="1217">
        <f t="shared" si="169"/>
        <v>0.5</v>
      </c>
      <c r="X332" s="1218" t="e">
        <f t="shared" ca="1" si="170"/>
        <v>#N/A</v>
      </c>
      <c r="Y332" s="1220" t="e">
        <f ca="1">IF(AND(INDEX(FlowCalConstA,MATCH(V327,FlowCalNumber,0),1,1)*X332^INDEX(FlowCalConstB,MATCH(V327,FlowCalNumber,0),1,1)&gt;INDEX(FlowCalLowSetting,MATCH(V327,FlowCalNumber,0),1,1), (INDEX(FlowCalConstA,MATCH(V327,FlowCalNumber,0),1,1)*X332^INDEX(FlowCalConstB,MATCH(V327,FlowCalNumber,0),1,1)&lt;INDEX(FlowCalHighSetting,MATCH(V327,FlowCalNumber,0),1,1))),INDEX(FlowCalConstA,MATCH(V327,FlowCalNumber,0),1,1)*X332^INDEX(FlowCalConstB,MATCH(V327,FlowCalNumber,0),1,1)," ")</f>
        <v>#N/A</v>
      </c>
    </row>
    <row r="333" spans="1:25">
      <c r="A333" s="412"/>
      <c r="B333" s="2"/>
      <c r="C333" s="235"/>
      <c r="D333" s="24">
        <f>'1% Wind'!$M$87</f>
        <v>13.5</v>
      </c>
      <c r="E333" s="90"/>
      <c r="F333" s="90"/>
      <c r="G333" s="79" t="e">
        <f ca="1">IF(I327=1,$G332,MAX(G332/D332*D333,2))</f>
        <v>#N/A</v>
      </c>
      <c r="H333" s="121" t="e">
        <f t="shared" ca="1" si="162"/>
        <v>#N/A</v>
      </c>
      <c r="J333" s="377"/>
      <c r="K333" s="242">
        <f t="shared" si="163"/>
        <v>1</v>
      </c>
      <c r="L333" s="241" t="e">
        <f t="shared" ca="1" si="164"/>
        <v>#N/A</v>
      </c>
      <c r="M333" s="243" t="e">
        <f ca="1">IF(AND(INDEX(FlowCalConstA,MATCH(J327,FlowCalNumber,0),1,1)*L333^INDEX(FlowCalConstB,MATCH(J327,FlowCalNumber,0),1,1)&gt;INDEX(FlowCalLowSetting,MATCH(J327,FlowCalNumber,0),1,1), (INDEX(FlowCalConstA,MATCH(J327,FlowCalNumber,0),1,1)*L333^INDEX(FlowCalConstB,MATCH(J327,FlowCalNumber,0),1,1)&lt;INDEX(FlowCalHighSetting,MATCH(J327,FlowCalNumber,0),1,1))),INDEX(FlowCalConstA,MATCH(J327,FlowCalNumber,0),1,1)*L333^INDEX(FlowCalConstB,MATCH(J327,FlowCalNumber,0),1,1)," ")</f>
        <v>#N/A</v>
      </c>
      <c r="N333" s="377"/>
      <c r="O333" s="242">
        <f t="shared" si="165"/>
        <v>1</v>
      </c>
      <c r="P333" s="241" t="e">
        <f t="shared" ca="1" si="166"/>
        <v>#N/A</v>
      </c>
      <c r="Q333" s="244" t="e">
        <f ca="1">IF(AND(INDEX(FlowCalConstA,MATCH(N327,FlowCalNumber,0),1,1)*P333^INDEX(FlowCalConstB,MATCH(N327,FlowCalNumber,0),1,1)&gt;INDEX(FlowCalLowSetting,MATCH(N327,FlowCalNumber,0),1,1), (INDEX(FlowCalConstA,MATCH(N327,FlowCalNumber,0),1,1)*P333^INDEX(FlowCalConstB,MATCH(N327,FlowCalNumber,0),1,1)&lt;INDEX(FlowCalHighSetting,MATCH(N327,FlowCalNumber,0),1,1))),INDEX(FlowCalConstA,MATCH(N327,FlowCalNumber,0),1,1)*P333^INDEX(FlowCalConstB,MATCH(N327,FlowCalNumber,0),1,1)," ")</f>
        <v>#N/A</v>
      </c>
      <c r="R333" s="377"/>
      <c r="S333" s="242">
        <f t="shared" si="167"/>
        <v>0.5</v>
      </c>
      <c r="T333" s="241" t="e">
        <f t="shared" ca="1" si="168"/>
        <v>#N/A</v>
      </c>
      <c r="U333" s="243" t="e">
        <f ca="1">IF(AND(INDEX(FlowCalConstA,MATCH(R327,FlowCalNumber,0),1,1)*T333^INDEX(FlowCalConstB,MATCH(R327,FlowCalNumber,0),1,1)&gt;INDEX(FlowCalLowSetting,MATCH(R327,FlowCalNumber,0),1,1), (INDEX(FlowCalConstA,MATCH(R327,FlowCalNumber,0),1,1)*T333^INDEX(FlowCalConstB,MATCH(R327,FlowCalNumber,0),1,1)&lt;INDEX(FlowCalHighSetting,MATCH(R327,FlowCalNumber,0),1,1))),INDEX(FlowCalConstA,MATCH(R327,FlowCalNumber,0),1,1)*T333^INDEX(FlowCalConstB,MATCH(R327,FlowCalNumber,0),1,1)," ")</f>
        <v>#N/A</v>
      </c>
      <c r="V333" s="377"/>
      <c r="W333" s="242">
        <f t="shared" si="169"/>
        <v>0.5</v>
      </c>
      <c r="X333" s="241" t="e">
        <f t="shared" ca="1" si="170"/>
        <v>#N/A</v>
      </c>
      <c r="Y333" s="244" t="e">
        <f ca="1">IF(AND(INDEX(FlowCalConstA,MATCH(V327,FlowCalNumber,0),1,1)*X333^INDEX(FlowCalConstB,MATCH(V327,FlowCalNumber,0),1,1)&gt;INDEX(FlowCalLowSetting,MATCH(V327,FlowCalNumber,0),1,1), (INDEX(FlowCalConstA,MATCH(V327,FlowCalNumber,0),1,1)*X333^INDEX(FlowCalConstB,MATCH(V327,FlowCalNumber,0),1,1)&lt;INDEX(FlowCalHighSetting,MATCH(V327,FlowCalNumber,0),1,1))),INDEX(FlowCalConstA,MATCH(V327,FlowCalNumber,0),1,1)*X333^INDEX(FlowCalConstB,MATCH(V327,FlowCalNumber,0),1,1)," ")</f>
        <v>#N/A</v>
      </c>
    </row>
    <row r="334" spans="1:25" s="1215" customFormat="1">
      <c r="A334" s="1208"/>
      <c r="B334" s="1209"/>
      <c r="C334" s="1210"/>
      <c r="D334" s="1211">
        <f>'1% Wind'!$M$88</f>
        <v>10.1</v>
      </c>
      <c r="E334" s="1212"/>
      <c r="F334" s="1212"/>
      <c r="G334" s="1213" t="e">
        <f ca="1">IF(I327=1,$G333,MAX(G333/D333*D334,2))</f>
        <v>#N/A</v>
      </c>
      <c r="H334" s="1214" t="e">
        <f t="shared" ca="1" si="162"/>
        <v>#N/A</v>
      </c>
      <c r="J334" s="1216"/>
      <c r="K334" s="1217">
        <f t="shared" si="163"/>
        <v>1</v>
      </c>
      <c r="L334" s="1218" t="e">
        <f t="shared" ca="1" si="164"/>
        <v>#N/A</v>
      </c>
      <c r="M334" s="1219" t="e">
        <f ca="1">IF(AND(INDEX(FlowCalConstA,MATCH(J327,FlowCalNumber,0),1,1)*L334^INDEX(FlowCalConstB,MATCH(J327,FlowCalNumber,0),1,1)&gt;INDEX(FlowCalLowSetting,MATCH(J327,FlowCalNumber,0),1,1), (INDEX(FlowCalConstA,MATCH(J327,FlowCalNumber,0),1,1)*L334^INDEX(FlowCalConstB,MATCH(J327,FlowCalNumber,0),1,1)&lt;INDEX(FlowCalHighSetting,MATCH(J327,FlowCalNumber,0),1,1))),INDEX(FlowCalConstA,MATCH(J327,FlowCalNumber,0),1,1)*L334^INDEX(FlowCalConstB,MATCH(J327,FlowCalNumber,0),1,1)," ")</f>
        <v>#N/A</v>
      </c>
      <c r="N334" s="1216"/>
      <c r="O334" s="1217">
        <f t="shared" si="165"/>
        <v>1</v>
      </c>
      <c r="P334" s="1218" t="e">
        <f t="shared" ca="1" si="166"/>
        <v>#N/A</v>
      </c>
      <c r="Q334" s="1220" t="e">
        <f ca="1">IF(AND(INDEX(FlowCalConstA,MATCH(N327,FlowCalNumber,0),1,1)*P334^INDEX(FlowCalConstB,MATCH(N327,FlowCalNumber,0),1,1)&gt;INDEX(FlowCalLowSetting,MATCH(N327,FlowCalNumber,0),1,1), (INDEX(FlowCalConstA,MATCH(N327,FlowCalNumber,0),1,1)*P334^INDEX(FlowCalConstB,MATCH(N327,FlowCalNumber,0),1,1)&lt;INDEX(FlowCalHighSetting,MATCH(N327,FlowCalNumber,0),1,1))),INDEX(FlowCalConstA,MATCH(N327,FlowCalNumber,0),1,1)*P334^INDEX(FlowCalConstB,MATCH(N327,FlowCalNumber,0),1,1)," ")</f>
        <v>#N/A</v>
      </c>
      <c r="R334" s="1216"/>
      <c r="S334" s="1217">
        <f t="shared" si="167"/>
        <v>0.5</v>
      </c>
      <c r="T334" s="1218" t="e">
        <f t="shared" ca="1" si="168"/>
        <v>#N/A</v>
      </c>
      <c r="U334" s="1219" t="e">
        <f ca="1">IF(AND(INDEX(FlowCalConstA,MATCH(R327,FlowCalNumber,0),1,1)*T334^INDEX(FlowCalConstB,MATCH(R327,FlowCalNumber,0),1,1)&gt;INDEX(FlowCalLowSetting,MATCH(R327,FlowCalNumber,0),1,1), (INDEX(FlowCalConstA,MATCH(R327,FlowCalNumber,0),1,1)*T334^INDEX(FlowCalConstB,MATCH(R327,FlowCalNumber,0),1,1)&lt;INDEX(FlowCalHighSetting,MATCH(R327,FlowCalNumber,0),1,1))),INDEX(FlowCalConstA,MATCH(R327,FlowCalNumber,0),1,1)*T334^INDEX(FlowCalConstB,MATCH(R327,FlowCalNumber,0),1,1)," ")</f>
        <v>#N/A</v>
      </c>
      <c r="V334" s="1216"/>
      <c r="W334" s="1217">
        <f t="shared" si="169"/>
        <v>0.5</v>
      </c>
      <c r="X334" s="1218" t="e">
        <f t="shared" ca="1" si="170"/>
        <v>#N/A</v>
      </c>
      <c r="Y334" s="1220" t="e">
        <f ca="1">IF(AND(INDEX(FlowCalConstA,MATCH(V327,FlowCalNumber,0),1,1)*X334^INDEX(FlowCalConstB,MATCH(V327,FlowCalNumber,0),1,1)&gt;INDEX(FlowCalLowSetting,MATCH(V327,FlowCalNumber,0),1,1), (INDEX(FlowCalConstA,MATCH(V327,FlowCalNumber,0),1,1)*X334^INDEX(FlowCalConstB,MATCH(V327,FlowCalNumber,0),1,1)&lt;INDEX(FlowCalHighSetting,MATCH(V327,FlowCalNumber,0),1,1))),INDEX(FlowCalConstA,MATCH(V327,FlowCalNumber,0),1,1)*X334^INDEX(FlowCalConstB,MATCH(V327,FlowCalNumber,0),1,1)," ")</f>
        <v>#N/A</v>
      </c>
    </row>
    <row r="335" spans="1:25">
      <c r="A335" s="412"/>
      <c r="B335" s="2"/>
      <c r="C335" s="235"/>
      <c r="D335" s="24">
        <f>'1% Wind'!$M$89</f>
        <v>7.6</v>
      </c>
      <c r="E335" s="90"/>
      <c r="F335" s="90"/>
      <c r="G335" s="79" t="e">
        <f ca="1">IF(I327=1,$G334,MAX(G334/D334*D335,2))</f>
        <v>#N/A</v>
      </c>
      <c r="H335" s="121" t="e">
        <f t="shared" ca="1" si="162"/>
        <v>#N/A</v>
      </c>
      <c r="J335" s="377"/>
      <c r="K335" s="242">
        <f t="shared" si="163"/>
        <v>1</v>
      </c>
      <c r="L335" s="241" t="e">
        <f t="shared" ca="1" si="164"/>
        <v>#N/A</v>
      </c>
      <c r="M335" s="243" t="e">
        <f ca="1">IF(AND(INDEX(FlowCalConstA,MATCH(J327,FlowCalNumber,0),1,1)*L335^INDEX(FlowCalConstB,MATCH(J327,FlowCalNumber,0),1,1)&gt;INDEX(FlowCalLowSetting,MATCH(J327,FlowCalNumber,0),1,1), (INDEX(FlowCalConstA,MATCH(J327,FlowCalNumber,0),1,1)*L335^INDEX(FlowCalConstB,MATCH(J327,FlowCalNumber,0),1,1)&lt;INDEX(FlowCalHighSetting,MATCH(J327,FlowCalNumber,0),1,1))),INDEX(FlowCalConstA,MATCH(J327,FlowCalNumber,0),1,1)*L335^INDEX(FlowCalConstB,MATCH(J327,FlowCalNumber,0),1,1)," ")</f>
        <v>#N/A</v>
      </c>
      <c r="N335" s="377"/>
      <c r="O335" s="242">
        <f t="shared" si="165"/>
        <v>1</v>
      </c>
      <c r="P335" s="241" t="e">
        <f t="shared" ca="1" si="166"/>
        <v>#N/A</v>
      </c>
      <c r="Q335" s="244" t="e">
        <f ca="1">IF(AND(INDEX(FlowCalConstA,MATCH(N327,FlowCalNumber,0),1,1)*P335^INDEX(FlowCalConstB,MATCH(N327,FlowCalNumber,0),1,1)&gt;INDEX(FlowCalLowSetting,MATCH(N327,FlowCalNumber,0),1,1), (INDEX(FlowCalConstA,MATCH(N327,FlowCalNumber,0),1,1)*P335^INDEX(FlowCalConstB,MATCH(N327,FlowCalNumber,0),1,1)&lt;INDEX(FlowCalHighSetting,MATCH(N327,FlowCalNumber,0),1,1))),INDEX(FlowCalConstA,MATCH(N327,FlowCalNumber,0),1,1)*P335^INDEX(FlowCalConstB,MATCH(N327,FlowCalNumber,0),1,1)," ")</f>
        <v>#N/A</v>
      </c>
      <c r="R335" s="377"/>
      <c r="S335" s="242">
        <f t="shared" si="167"/>
        <v>0.5</v>
      </c>
      <c r="T335" s="241" t="e">
        <f t="shared" ca="1" si="168"/>
        <v>#N/A</v>
      </c>
      <c r="U335" s="243" t="e">
        <f ca="1">IF(AND(INDEX(FlowCalConstA,MATCH(R327,FlowCalNumber,0),1,1)*T335^INDEX(FlowCalConstB,MATCH(R327,FlowCalNumber,0),1,1)&gt;INDEX(FlowCalLowSetting,MATCH(R327,FlowCalNumber,0),1,1), (INDEX(FlowCalConstA,MATCH(R327,FlowCalNumber,0),1,1)*T335^INDEX(FlowCalConstB,MATCH(R327,FlowCalNumber,0),1,1)&lt;INDEX(FlowCalHighSetting,MATCH(R327,FlowCalNumber,0),1,1))),INDEX(FlowCalConstA,MATCH(R327,FlowCalNumber,0),1,1)*T335^INDEX(FlowCalConstB,MATCH(R327,FlowCalNumber,0),1,1)," ")</f>
        <v>#N/A</v>
      </c>
      <c r="V335" s="377"/>
      <c r="W335" s="242">
        <f t="shared" si="169"/>
        <v>0.5</v>
      </c>
      <c r="X335" s="241" t="e">
        <f t="shared" ca="1" si="170"/>
        <v>#N/A</v>
      </c>
      <c r="Y335" s="244" t="e">
        <f ca="1">IF(AND(INDEX(FlowCalConstA,MATCH(V327,FlowCalNumber,0),1,1)*X335^INDEX(FlowCalConstB,MATCH(V327,FlowCalNumber,0),1,1)&gt;INDEX(FlowCalLowSetting,MATCH(V327,FlowCalNumber,0),1,1), (INDEX(FlowCalConstA,MATCH(V327,FlowCalNumber,0),1,1)*X335^INDEX(FlowCalConstB,MATCH(V327,FlowCalNumber,0),1,1)&lt;INDEX(FlowCalHighSetting,MATCH(V327,FlowCalNumber,0),1,1))),INDEX(FlowCalConstA,MATCH(V327,FlowCalNumber,0),1,1)*X335^INDEX(FlowCalConstB,MATCH(V327,FlowCalNumber,0),1,1)," ")</f>
        <v>#N/A</v>
      </c>
    </row>
    <row r="336" spans="1:25" s="1215" customFormat="1">
      <c r="A336" s="1208"/>
      <c r="B336" s="1209"/>
      <c r="C336" s="1210"/>
      <c r="D336" s="1211">
        <f>'1% Wind'!$M$90</f>
        <v>5.7</v>
      </c>
      <c r="E336" s="1212"/>
      <c r="F336" s="1212"/>
      <c r="G336" s="1213" t="e">
        <f ca="1">IF(I327=1,$G335,MAX(G335/D335*D336,2))</f>
        <v>#N/A</v>
      </c>
      <c r="H336" s="1214" t="e">
        <f t="shared" ca="1" si="162"/>
        <v>#N/A</v>
      </c>
      <c r="J336" s="1216"/>
      <c r="K336" s="1217">
        <f t="shared" si="163"/>
        <v>1</v>
      </c>
      <c r="L336" s="1218" t="e">
        <f t="shared" ca="1" si="164"/>
        <v>#N/A</v>
      </c>
      <c r="M336" s="1219" t="e">
        <f ca="1">IF(AND(INDEX(FlowCalConstA,MATCH(J327,FlowCalNumber,0),1,1)*L336^INDEX(FlowCalConstB,MATCH(J327,FlowCalNumber,0),1,1)&gt;INDEX(FlowCalLowSetting,MATCH(J327,FlowCalNumber,0),1,1), (INDEX(FlowCalConstA,MATCH(J327,FlowCalNumber,0),1,1)*L336^INDEX(FlowCalConstB,MATCH(J327,FlowCalNumber,0),1,1)&lt;INDEX(FlowCalHighSetting,MATCH(J327,FlowCalNumber,0),1,1))),INDEX(FlowCalConstA,MATCH(J327,FlowCalNumber,0),1,1)*L336^INDEX(FlowCalConstB,MATCH(J327,FlowCalNumber,0),1,1)," ")</f>
        <v>#N/A</v>
      </c>
      <c r="N336" s="1216"/>
      <c r="O336" s="1217">
        <f t="shared" si="165"/>
        <v>1</v>
      </c>
      <c r="P336" s="1218" t="e">
        <f t="shared" ca="1" si="166"/>
        <v>#N/A</v>
      </c>
      <c r="Q336" s="1220" t="e">
        <f ca="1">IF(AND(INDEX(FlowCalConstA,MATCH(N327,FlowCalNumber,0),1,1)*P336^INDEX(FlowCalConstB,MATCH(N327,FlowCalNumber,0),1,1)&gt;INDEX(FlowCalLowSetting,MATCH(N327,FlowCalNumber,0),1,1), (INDEX(FlowCalConstA,MATCH(N327,FlowCalNumber,0),1,1)*P336^INDEX(FlowCalConstB,MATCH(N327,FlowCalNumber,0),1,1)&lt;INDEX(FlowCalHighSetting,MATCH(N327,FlowCalNumber,0),1,1))),INDEX(FlowCalConstA,MATCH(N327,FlowCalNumber,0),1,1)*P336^INDEX(FlowCalConstB,MATCH(N327,FlowCalNumber,0),1,1)," ")</f>
        <v>#N/A</v>
      </c>
      <c r="R336" s="1216"/>
      <c r="S336" s="1217">
        <f t="shared" si="167"/>
        <v>0.5</v>
      </c>
      <c r="T336" s="1218" t="e">
        <f t="shared" ca="1" si="168"/>
        <v>#N/A</v>
      </c>
      <c r="U336" s="1219" t="e">
        <f ca="1">IF(AND(INDEX(FlowCalConstA,MATCH(R327,FlowCalNumber,0),1,1)*T336^INDEX(FlowCalConstB,MATCH(R327,FlowCalNumber,0),1,1)&gt;INDEX(FlowCalLowSetting,MATCH(R327,FlowCalNumber,0),1,1), (INDEX(FlowCalConstA,MATCH(R327,FlowCalNumber,0),1,1)*T336^INDEX(FlowCalConstB,MATCH(R327,FlowCalNumber,0),1,1)&lt;INDEX(FlowCalHighSetting,MATCH(R327,FlowCalNumber,0),1,1))),INDEX(FlowCalConstA,MATCH(R327,FlowCalNumber,0),1,1)*T336^INDEX(FlowCalConstB,MATCH(R327,FlowCalNumber,0),1,1)," ")</f>
        <v>#N/A</v>
      </c>
      <c r="V336" s="1216"/>
      <c r="W336" s="1217">
        <f t="shared" si="169"/>
        <v>0.5</v>
      </c>
      <c r="X336" s="1218" t="e">
        <f t="shared" ca="1" si="170"/>
        <v>#N/A</v>
      </c>
      <c r="Y336" s="1220" t="e">
        <f ca="1">IF(AND(INDEX(FlowCalConstA,MATCH(V327,FlowCalNumber,0),1,1)*X336^INDEX(FlowCalConstB,MATCH(V327,FlowCalNumber,0),1,1)&gt;INDEX(FlowCalLowSetting,MATCH(V327,FlowCalNumber,0),1,1), (INDEX(FlowCalConstA,MATCH(V327,FlowCalNumber,0),1,1)*X336^INDEX(FlowCalConstB,MATCH(V327,FlowCalNumber,0),1,1)&lt;INDEX(FlowCalHighSetting,MATCH(V327,FlowCalNumber,0),1,1))),INDEX(FlowCalConstA,MATCH(V327,FlowCalNumber,0),1,1)*X336^INDEX(FlowCalConstB,MATCH(V327,FlowCalNumber,0),1,1)," ")</f>
        <v>#N/A</v>
      </c>
    </row>
    <row r="337" spans="1:25">
      <c r="A337" s="412"/>
      <c r="B337" s="2"/>
      <c r="C337" s="235"/>
      <c r="D337" s="24">
        <f>'1% Wind'!$M$91</f>
        <v>4.2</v>
      </c>
      <c r="E337" s="90"/>
      <c r="F337" s="90"/>
      <c r="G337" s="79" t="e">
        <f ca="1">IF(I327=1,$G336,MAX(G336/D336*D337,2))</f>
        <v>#N/A</v>
      </c>
      <c r="H337" s="121" t="e">
        <f t="shared" ca="1" si="162"/>
        <v>#N/A</v>
      </c>
      <c r="J337" s="377"/>
      <c r="K337" s="242">
        <f t="shared" si="163"/>
        <v>1</v>
      </c>
      <c r="L337" s="241" t="e">
        <f t="shared" ca="1" si="164"/>
        <v>#N/A</v>
      </c>
      <c r="M337" s="243" t="e">
        <f ca="1">IF(AND(INDEX(FlowCalConstA,MATCH(J327,FlowCalNumber,0),1,1)*L337^INDEX(FlowCalConstB,MATCH(J327,FlowCalNumber,0),1,1)&gt;INDEX(FlowCalLowSetting,MATCH(J327,FlowCalNumber,0),1,1), (INDEX(FlowCalConstA,MATCH(J327,FlowCalNumber,0),1,1)*L337^INDEX(FlowCalConstB,MATCH(J327,FlowCalNumber,0),1,1)&lt;INDEX(FlowCalHighSetting,MATCH(J327,FlowCalNumber,0),1,1))),INDEX(FlowCalConstA,MATCH(J327,FlowCalNumber,0),1,1)*L337^INDEX(FlowCalConstB,MATCH(J327,FlowCalNumber,0),1,1)," ")</f>
        <v>#N/A</v>
      </c>
      <c r="N337" s="377"/>
      <c r="O337" s="242">
        <f t="shared" si="165"/>
        <v>1</v>
      </c>
      <c r="P337" s="241" t="e">
        <f t="shared" ca="1" si="166"/>
        <v>#N/A</v>
      </c>
      <c r="Q337" s="244" t="e">
        <f ca="1">IF(AND(INDEX(FlowCalConstA,MATCH(N327,FlowCalNumber,0),1,1)*P337^INDEX(FlowCalConstB,MATCH(N327,FlowCalNumber,0),1,1)&gt;INDEX(FlowCalLowSetting,MATCH(N327,FlowCalNumber,0),1,1), (INDEX(FlowCalConstA,MATCH(N327,FlowCalNumber,0),1,1)*P337^INDEX(FlowCalConstB,MATCH(N327,FlowCalNumber,0),1,1)&lt;INDEX(FlowCalHighSetting,MATCH(N327,FlowCalNumber,0),1,1))),INDEX(FlowCalConstA,MATCH(N327,FlowCalNumber,0),1,1)*P337^INDEX(FlowCalConstB,MATCH(N327,FlowCalNumber,0),1,1)," ")</f>
        <v>#N/A</v>
      </c>
      <c r="R337" s="377"/>
      <c r="S337" s="242">
        <f t="shared" si="167"/>
        <v>0.5</v>
      </c>
      <c r="T337" s="241" t="e">
        <f t="shared" ca="1" si="168"/>
        <v>#N/A</v>
      </c>
      <c r="U337" s="243" t="e">
        <f ca="1">IF(AND(INDEX(FlowCalConstA,MATCH(R327,FlowCalNumber,0),1,1)*T337^INDEX(FlowCalConstB,MATCH(R327,FlowCalNumber,0),1,1)&gt;INDEX(FlowCalLowSetting,MATCH(R327,FlowCalNumber,0),1,1), (INDEX(FlowCalConstA,MATCH(R327,FlowCalNumber,0),1,1)*T337^INDEX(FlowCalConstB,MATCH(R327,FlowCalNumber,0),1,1)&lt;INDEX(FlowCalHighSetting,MATCH(R327,FlowCalNumber,0),1,1))),INDEX(FlowCalConstA,MATCH(R327,FlowCalNumber,0),1,1)*T337^INDEX(FlowCalConstB,MATCH(R327,FlowCalNumber,0),1,1)," ")</f>
        <v>#N/A</v>
      </c>
      <c r="V337" s="377"/>
      <c r="W337" s="242">
        <f t="shared" si="169"/>
        <v>0.5</v>
      </c>
      <c r="X337" s="241" t="e">
        <f t="shared" ca="1" si="170"/>
        <v>#N/A</v>
      </c>
      <c r="Y337" s="244" t="e">
        <f ca="1">IF(AND(INDEX(FlowCalConstA,MATCH(V327,FlowCalNumber,0),1,1)*X337^INDEX(FlowCalConstB,MATCH(V327,FlowCalNumber,0),1,1)&gt;INDEX(FlowCalLowSetting,MATCH(V327,FlowCalNumber,0),1,1), (INDEX(FlowCalConstA,MATCH(V327,FlowCalNumber,0),1,1)*X337^INDEX(FlowCalConstB,MATCH(V327,FlowCalNumber,0),1,1)&lt;INDEX(FlowCalHighSetting,MATCH(V327,FlowCalNumber,0),1,1))),INDEX(FlowCalConstA,MATCH(V327,FlowCalNumber,0),1,1)*X337^INDEX(FlowCalConstB,MATCH(V327,FlowCalNumber,0),1,1)," ")</f>
        <v>#N/A</v>
      </c>
    </row>
    <row r="338" spans="1:25" s="1215" customFormat="1">
      <c r="A338" s="1208"/>
      <c r="B338" s="1209"/>
      <c r="C338" s="1210"/>
      <c r="D338" s="1211">
        <f>'1% Wind'!$M$92</f>
        <v>3.2</v>
      </c>
      <c r="E338" s="1212"/>
      <c r="F338" s="1212"/>
      <c r="G338" s="1213" t="e">
        <f ca="1">IF(I327=1,$G337,MAX(G337/D337*D338,2))</f>
        <v>#N/A</v>
      </c>
      <c r="H338" s="1214" t="e">
        <f t="shared" ca="1" si="162"/>
        <v>#N/A</v>
      </c>
      <c r="J338" s="1216"/>
      <c r="K338" s="1217">
        <f t="shared" si="163"/>
        <v>1</v>
      </c>
      <c r="L338" s="1218" t="e">
        <f t="shared" ca="1" si="164"/>
        <v>#N/A</v>
      </c>
      <c r="M338" s="1219" t="e">
        <f ca="1">IF(AND(INDEX(FlowCalConstA,MATCH(J327,FlowCalNumber,0),1,1)*L338^INDEX(FlowCalConstB,MATCH(J327,FlowCalNumber,0),1,1)&gt;INDEX(FlowCalLowSetting,MATCH(J327,FlowCalNumber,0),1,1), (INDEX(FlowCalConstA,MATCH(J327,FlowCalNumber,0),1,1)*L338^INDEX(FlowCalConstB,MATCH(J327,FlowCalNumber,0),1,1)&lt;INDEX(FlowCalHighSetting,MATCH(J327,FlowCalNumber,0),1,1))),INDEX(FlowCalConstA,MATCH(J327,FlowCalNumber,0),1,1)*L338^INDEX(FlowCalConstB,MATCH(J327,FlowCalNumber,0),1,1)," ")</f>
        <v>#N/A</v>
      </c>
      <c r="N338" s="1216"/>
      <c r="O338" s="1217">
        <f t="shared" si="165"/>
        <v>1</v>
      </c>
      <c r="P338" s="1218" t="e">
        <f t="shared" ca="1" si="166"/>
        <v>#N/A</v>
      </c>
      <c r="Q338" s="1220" t="e">
        <f ca="1">IF(AND(INDEX(FlowCalConstA,MATCH(N327,FlowCalNumber,0),1,1)*P338^INDEX(FlowCalConstB,MATCH(N327,FlowCalNumber,0),1,1)&gt;INDEX(FlowCalLowSetting,MATCH(N327,FlowCalNumber,0),1,1), (INDEX(FlowCalConstA,MATCH(N327,FlowCalNumber,0),1,1)*P338^INDEX(FlowCalConstB,MATCH(N327,FlowCalNumber,0),1,1)&lt;INDEX(FlowCalHighSetting,MATCH(N327,FlowCalNumber,0),1,1))),INDEX(FlowCalConstA,MATCH(N327,FlowCalNumber,0),1,1)*P338^INDEX(FlowCalConstB,MATCH(N327,FlowCalNumber,0),1,1)," ")</f>
        <v>#N/A</v>
      </c>
      <c r="R338" s="1216"/>
      <c r="S338" s="1217">
        <f t="shared" si="167"/>
        <v>0.5</v>
      </c>
      <c r="T338" s="1218" t="e">
        <f t="shared" ca="1" si="168"/>
        <v>#N/A</v>
      </c>
      <c r="U338" s="1219" t="e">
        <f ca="1">IF(AND(INDEX(FlowCalConstA,MATCH(R327,FlowCalNumber,0),1,1)*T338^INDEX(FlowCalConstB,MATCH(R327,FlowCalNumber,0),1,1)&gt;INDEX(FlowCalLowSetting,MATCH(R327,FlowCalNumber,0),1,1), (INDEX(FlowCalConstA,MATCH(R327,FlowCalNumber,0),1,1)*T338^INDEX(FlowCalConstB,MATCH(R327,FlowCalNumber,0),1,1)&lt;INDEX(FlowCalHighSetting,MATCH(R327,FlowCalNumber,0),1,1))),INDEX(FlowCalConstA,MATCH(R327,FlowCalNumber,0),1,1)*T338^INDEX(FlowCalConstB,MATCH(R327,FlowCalNumber,0),1,1)," ")</f>
        <v>#N/A</v>
      </c>
      <c r="V338" s="1216"/>
      <c r="W338" s="1217">
        <f t="shared" si="169"/>
        <v>0.5</v>
      </c>
      <c r="X338" s="1218" t="e">
        <f t="shared" ca="1" si="170"/>
        <v>#N/A</v>
      </c>
      <c r="Y338" s="1220" t="e">
        <f ca="1">IF(AND(INDEX(FlowCalConstA,MATCH(V327,FlowCalNumber,0),1,1)*X338^INDEX(FlowCalConstB,MATCH(V327,FlowCalNumber,0),1,1)&gt;INDEX(FlowCalLowSetting,MATCH(V327,FlowCalNumber,0),1,1), (INDEX(FlowCalConstA,MATCH(V327,FlowCalNumber,0),1,1)*X338^INDEX(FlowCalConstB,MATCH(V327,FlowCalNumber,0),1,1)&lt;INDEX(FlowCalHighSetting,MATCH(V327,FlowCalNumber,0),1,1))),INDEX(FlowCalConstA,MATCH(V327,FlowCalNumber,0),1,1)*X338^INDEX(FlowCalConstB,MATCH(V327,FlowCalNumber,0),1,1)," ")</f>
        <v>#N/A</v>
      </c>
    </row>
    <row r="339" spans="1:25">
      <c r="A339" s="412"/>
      <c r="B339" s="2"/>
      <c r="C339" s="235"/>
      <c r="D339" s="24">
        <f>'1% Wind'!$M$93</f>
        <v>2.4</v>
      </c>
      <c r="E339" s="90"/>
      <c r="F339" s="90"/>
      <c r="G339" s="79" t="e">
        <f ca="1">IF(I327=1,$G338,MAX(G338/D338*D339,2))</f>
        <v>#N/A</v>
      </c>
      <c r="H339" s="121" t="e">
        <f t="shared" ca="1" si="162"/>
        <v>#N/A</v>
      </c>
      <c r="J339" s="377"/>
      <c r="K339" s="242">
        <f t="shared" si="163"/>
        <v>1</v>
      </c>
      <c r="L339" s="241" t="e">
        <f t="shared" ca="1" si="164"/>
        <v>#N/A</v>
      </c>
      <c r="M339" s="243" t="e">
        <f ca="1">IF(AND(INDEX(FlowCalConstA,MATCH(J327,FlowCalNumber,0),1,1)*L339^INDEX(FlowCalConstB,MATCH(J327,FlowCalNumber,0),1,1)&gt;INDEX(FlowCalLowSetting,MATCH(J327,FlowCalNumber,0),1,1), (INDEX(FlowCalConstA,MATCH(J327,FlowCalNumber,0),1,1)*L339^INDEX(FlowCalConstB,MATCH(J327,FlowCalNumber,0),1,1)&lt;INDEX(FlowCalHighSetting,MATCH(J327,FlowCalNumber,0),1,1))),INDEX(FlowCalConstA,MATCH(J327,FlowCalNumber,0),1,1)*L339^INDEX(FlowCalConstB,MATCH(J327,FlowCalNumber,0),1,1)," ")</f>
        <v>#N/A</v>
      </c>
      <c r="N339" s="377"/>
      <c r="O339" s="242">
        <f t="shared" si="165"/>
        <v>1</v>
      </c>
      <c r="P339" s="241" t="e">
        <f t="shared" ca="1" si="166"/>
        <v>#N/A</v>
      </c>
      <c r="Q339" s="244" t="e">
        <f ca="1">IF(AND(INDEX(FlowCalConstA,MATCH(N327,FlowCalNumber,0),1,1)*P339^INDEX(FlowCalConstB,MATCH(N327,FlowCalNumber,0),1,1)&gt;INDEX(FlowCalLowSetting,MATCH(N327,FlowCalNumber,0),1,1), (INDEX(FlowCalConstA,MATCH(N327,FlowCalNumber,0),1,1)*P339^INDEX(FlowCalConstB,MATCH(N327,FlowCalNumber,0),1,1)&lt;INDEX(FlowCalHighSetting,MATCH(N327,FlowCalNumber,0),1,1))),INDEX(FlowCalConstA,MATCH(N327,FlowCalNumber,0),1,1)*P339^INDEX(FlowCalConstB,MATCH(N327,FlowCalNumber,0),1,1)," ")</f>
        <v>#N/A</v>
      </c>
      <c r="R339" s="377"/>
      <c r="S339" s="242">
        <f t="shared" si="167"/>
        <v>0.5</v>
      </c>
      <c r="T339" s="241" t="e">
        <f t="shared" ca="1" si="168"/>
        <v>#N/A</v>
      </c>
      <c r="U339" s="243" t="e">
        <f ca="1">IF(AND(INDEX(FlowCalConstA,MATCH(R327,FlowCalNumber,0),1,1)*T339^INDEX(FlowCalConstB,MATCH(R327,FlowCalNumber,0),1,1)&gt;INDEX(FlowCalLowSetting,MATCH(R327,FlowCalNumber,0),1,1), (INDEX(FlowCalConstA,MATCH(R327,FlowCalNumber,0),1,1)*T339^INDEX(FlowCalConstB,MATCH(R327,FlowCalNumber,0),1,1)&lt;INDEX(FlowCalHighSetting,MATCH(R327,FlowCalNumber,0),1,1))),INDEX(FlowCalConstA,MATCH(R327,FlowCalNumber,0),1,1)*T339^INDEX(FlowCalConstB,MATCH(R327,FlowCalNumber,0),1,1)," ")</f>
        <v>#N/A</v>
      </c>
      <c r="V339" s="377"/>
      <c r="W339" s="242">
        <f t="shared" si="169"/>
        <v>0.5</v>
      </c>
      <c r="X339" s="241" t="e">
        <f t="shared" ca="1" si="170"/>
        <v>#N/A</v>
      </c>
      <c r="Y339" s="244" t="e">
        <f ca="1">IF(AND(INDEX(FlowCalConstA,MATCH(V327,FlowCalNumber,0),1,1)*X339^INDEX(FlowCalConstB,MATCH(V327,FlowCalNumber,0),1,1)&gt;INDEX(FlowCalLowSetting,MATCH(V327,FlowCalNumber,0),1,1), (INDEX(FlowCalConstA,MATCH(V327,FlowCalNumber,0),1,1)*X339^INDEX(FlowCalConstB,MATCH(V327,FlowCalNumber,0),1,1)&lt;INDEX(FlowCalHighSetting,MATCH(V327,FlowCalNumber,0),1,1))),INDEX(FlowCalConstA,MATCH(V327,FlowCalNumber,0),1,1)*X339^INDEX(FlowCalConstB,MATCH(V327,FlowCalNumber,0),1,1)," ")</f>
        <v>#N/A</v>
      </c>
    </row>
    <row r="340" spans="1:25" s="1215" customFormat="1">
      <c r="A340" s="1208"/>
      <c r="B340" s="1209"/>
      <c r="C340" s="1210"/>
      <c r="D340" s="1211">
        <f>'1% Wind'!$M$94</f>
        <v>1.8</v>
      </c>
      <c r="E340" s="1212"/>
      <c r="F340" s="1212"/>
      <c r="G340" s="1213" t="e">
        <f ca="1">IF(I327=1,$G339,MAX(G339/D339*D340,2))</f>
        <v>#N/A</v>
      </c>
      <c r="H340" s="1214" t="e">
        <f t="shared" ca="1" si="162"/>
        <v>#N/A</v>
      </c>
      <c r="J340" s="1216"/>
      <c r="K340" s="1217">
        <f t="shared" si="163"/>
        <v>1</v>
      </c>
      <c r="L340" s="1218" t="e">
        <f t="shared" ca="1" si="164"/>
        <v>#N/A</v>
      </c>
      <c r="M340" s="1219" t="e">
        <f ca="1">IF(AND(INDEX(FlowCalConstA,MATCH(J327,FlowCalNumber,0),1,1)*L340^INDEX(FlowCalConstB,MATCH(J327,FlowCalNumber,0),1,1)&gt;INDEX(FlowCalLowSetting,MATCH(J327,FlowCalNumber,0),1,1), (INDEX(FlowCalConstA,MATCH(J327,FlowCalNumber,0),1,1)*L340^INDEX(FlowCalConstB,MATCH(J327,FlowCalNumber,0),1,1)&lt;INDEX(FlowCalHighSetting,MATCH(J327,FlowCalNumber,0),1,1))),INDEX(FlowCalConstA,MATCH(J327,FlowCalNumber,0),1,1)*L340^INDEX(FlowCalConstB,MATCH(J327,FlowCalNumber,0),1,1)," ")</f>
        <v>#N/A</v>
      </c>
      <c r="N340" s="1216"/>
      <c r="O340" s="1217">
        <f t="shared" si="165"/>
        <v>1</v>
      </c>
      <c r="P340" s="1218" t="e">
        <f t="shared" ca="1" si="166"/>
        <v>#N/A</v>
      </c>
      <c r="Q340" s="1220" t="e">
        <f ca="1">IF(AND(INDEX(FlowCalConstA,MATCH(N327,FlowCalNumber,0),1,1)*P340^INDEX(FlowCalConstB,MATCH(N327,FlowCalNumber,0),1,1)&gt;INDEX(FlowCalLowSetting,MATCH(N327,FlowCalNumber,0),1,1), (INDEX(FlowCalConstA,MATCH(N327,FlowCalNumber,0),1,1)*P340^INDEX(FlowCalConstB,MATCH(N327,FlowCalNumber,0),1,1)&lt;INDEX(FlowCalHighSetting,MATCH(N327,FlowCalNumber,0),1,1))),INDEX(FlowCalConstA,MATCH(N327,FlowCalNumber,0),1,1)*P340^INDEX(FlowCalConstB,MATCH(N327,FlowCalNumber,0),1,1)," ")</f>
        <v>#N/A</v>
      </c>
      <c r="R340" s="1216"/>
      <c r="S340" s="1217">
        <f t="shared" si="167"/>
        <v>0.5</v>
      </c>
      <c r="T340" s="1218" t="e">
        <f t="shared" ca="1" si="168"/>
        <v>#N/A</v>
      </c>
      <c r="U340" s="1219" t="e">
        <f ca="1">IF(AND(INDEX(FlowCalConstA,MATCH(R327,FlowCalNumber,0),1,1)*T340^INDEX(FlowCalConstB,MATCH(R327,FlowCalNumber,0),1,1)&gt;INDEX(FlowCalLowSetting,MATCH(R327,FlowCalNumber,0),1,1), (INDEX(FlowCalConstA,MATCH(R327,FlowCalNumber,0),1,1)*T340^INDEX(FlowCalConstB,MATCH(R327,FlowCalNumber,0),1,1)&lt;INDEX(FlowCalHighSetting,MATCH(R327,FlowCalNumber,0),1,1))),INDEX(FlowCalConstA,MATCH(R327,FlowCalNumber,0),1,1)*T340^INDEX(FlowCalConstB,MATCH(R327,FlowCalNumber,0),1,1)," ")</f>
        <v>#N/A</v>
      </c>
      <c r="V340" s="1216"/>
      <c r="W340" s="1217">
        <f t="shared" si="169"/>
        <v>0.5</v>
      </c>
      <c r="X340" s="1218" t="e">
        <f t="shared" ca="1" si="170"/>
        <v>#N/A</v>
      </c>
      <c r="Y340" s="1220" t="e">
        <f ca="1">IF(AND(INDEX(FlowCalConstA,MATCH(V327,FlowCalNumber,0),1,1)*X340^INDEX(FlowCalConstB,MATCH(V327,FlowCalNumber,0),1,1)&gt;INDEX(FlowCalLowSetting,MATCH(V327,FlowCalNumber,0),1,1), (INDEX(FlowCalConstA,MATCH(V327,FlowCalNumber,0),1,1)*X340^INDEX(FlowCalConstB,MATCH(V327,FlowCalNumber,0),1,1)&lt;INDEX(FlowCalHighSetting,MATCH(V327,FlowCalNumber,0),1,1))),INDEX(FlowCalConstA,MATCH(V327,FlowCalNumber,0),1,1)*X340^INDEX(FlowCalConstB,MATCH(V327,FlowCalNumber,0),1,1)," ")</f>
        <v>#N/A</v>
      </c>
    </row>
    <row r="341" spans="1:25">
      <c r="A341" s="412"/>
      <c r="B341" s="2"/>
      <c r="C341" s="235"/>
      <c r="D341" s="24">
        <f>'1% Wind'!$M$95</f>
        <v>1.3</v>
      </c>
      <c r="E341" s="90"/>
      <c r="F341" s="90"/>
      <c r="G341" s="79" t="e">
        <f ca="1">IF(I327=1,$G340,MAX(G340/D340*D341,2))</f>
        <v>#N/A</v>
      </c>
      <c r="H341" s="121" t="e">
        <f t="shared" ca="1" si="162"/>
        <v>#N/A</v>
      </c>
      <c r="J341" s="377"/>
      <c r="K341" s="242">
        <f t="shared" si="163"/>
        <v>1</v>
      </c>
      <c r="L341" s="241" t="e">
        <f t="shared" ca="1" si="164"/>
        <v>#N/A</v>
      </c>
      <c r="M341" s="243" t="e">
        <f ca="1">IF(AND(INDEX(FlowCalConstA,MATCH(J327,FlowCalNumber,0),1,1)*L341^INDEX(FlowCalConstB,MATCH(J327,FlowCalNumber,0),1,1)&gt;INDEX(FlowCalLowSetting,MATCH(J327,FlowCalNumber,0),1,1), (INDEX(FlowCalConstA,MATCH(J327,FlowCalNumber,0),1,1)*L341^INDEX(FlowCalConstB,MATCH(J327,FlowCalNumber,0),1,1)&lt;INDEX(FlowCalHighSetting,MATCH(J327,FlowCalNumber,0),1,1))),INDEX(FlowCalConstA,MATCH(J327,FlowCalNumber,0),1,1)*L341^INDEX(FlowCalConstB,MATCH(J327,FlowCalNumber,0),1,1)," ")</f>
        <v>#N/A</v>
      </c>
      <c r="N341" s="377"/>
      <c r="O341" s="242">
        <f t="shared" si="165"/>
        <v>1</v>
      </c>
      <c r="P341" s="241" t="e">
        <f t="shared" ca="1" si="166"/>
        <v>#N/A</v>
      </c>
      <c r="Q341" s="244" t="e">
        <f ca="1">IF(AND(INDEX(FlowCalConstA,MATCH(N327,FlowCalNumber,0),1,1)*P341^INDEX(FlowCalConstB,MATCH(N327,FlowCalNumber,0),1,1)&gt;INDEX(FlowCalLowSetting,MATCH(N327,FlowCalNumber,0),1,1), (INDEX(FlowCalConstA,MATCH(N327,FlowCalNumber,0),1,1)*P341^INDEX(FlowCalConstB,MATCH(N327,FlowCalNumber,0),1,1)&lt;INDEX(FlowCalHighSetting,MATCH(N327,FlowCalNumber,0),1,1))),INDEX(FlowCalConstA,MATCH(N327,FlowCalNumber,0),1,1)*P341^INDEX(FlowCalConstB,MATCH(N327,FlowCalNumber,0),1,1)," ")</f>
        <v>#N/A</v>
      </c>
      <c r="R341" s="377"/>
      <c r="S341" s="242">
        <f t="shared" si="167"/>
        <v>0.5</v>
      </c>
      <c r="T341" s="241" t="e">
        <f t="shared" ca="1" si="168"/>
        <v>#N/A</v>
      </c>
      <c r="U341" s="243" t="e">
        <f ca="1">IF(AND(INDEX(FlowCalConstA,MATCH(R327,FlowCalNumber,0),1,1)*T341^INDEX(FlowCalConstB,MATCH(R327,FlowCalNumber,0),1,1)&gt;INDEX(FlowCalLowSetting,MATCH(R327,FlowCalNumber,0),1,1), (INDEX(FlowCalConstA,MATCH(R327,FlowCalNumber,0),1,1)*T341^INDEX(FlowCalConstB,MATCH(R327,FlowCalNumber,0),1,1)&lt;INDEX(FlowCalHighSetting,MATCH(R327,FlowCalNumber,0),1,1))),INDEX(FlowCalConstA,MATCH(R327,FlowCalNumber,0),1,1)*T341^INDEX(FlowCalConstB,MATCH(R327,FlowCalNumber,0),1,1)," ")</f>
        <v>#N/A</v>
      </c>
      <c r="V341" s="377"/>
      <c r="W341" s="242">
        <f t="shared" si="169"/>
        <v>0.5</v>
      </c>
      <c r="X341" s="241" t="e">
        <f t="shared" ca="1" si="170"/>
        <v>#N/A</v>
      </c>
      <c r="Y341" s="244" t="e">
        <f ca="1">IF(AND(INDEX(FlowCalConstA,MATCH(V327,FlowCalNumber,0),1,1)*X341^INDEX(FlowCalConstB,MATCH(V327,FlowCalNumber,0),1,1)&gt;INDEX(FlowCalLowSetting,MATCH(V327,FlowCalNumber,0),1,1), (INDEX(FlowCalConstA,MATCH(V327,FlowCalNumber,0),1,1)*X341^INDEX(FlowCalConstB,MATCH(V327,FlowCalNumber,0),1,1)&lt;INDEX(FlowCalHighSetting,MATCH(V327,FlowCalNumber,0),1,1))),INDEX(FlowCalConstA,MATCH(V327,FlowCalNumber,0),1,1)*X341^INDEX(FlowCalConstB,MATCH(V327,FlowCalNumber,0),1,1)," ")</f>
        <v>#N/A</v>
      </c>
    </row>
    <row r="342" spans="1:25" s="1215" customFormat="1">
      <c r="A342" s="1208"/>
      <c r="B342" s="1209"/>
      <c r="C342" s="1210"/>
      <c r="D342" s="1211">
        <f>'1% Wind'!$M$96</f>
        <v>1</v>
      </c>
      <c r="E342" s="1212"/>
      <c r="F342" s="1212"/>
      <c r="G342" s="1213" t="e">
        <f ca="1">IF(I327=1,$G341,MAX(G341/D341*D342,2))</f>
        <v>#N/A</v>
      </c>
      <c r="H342" s="1214" t="e">
        <f t="shared" ca="1" si="162"/>
        <v>#N/A</v>
      </c>
      <c r="J342" s="1216"/>
      <c r="K342" s="1217">
        <f t="shared" si="163"/>
        <v>1</v>
      </c>
      <c r="L342" s="1218" t="e">
        <f t="shared" ca="1" si="164"/>
        <v>#N/A</v>
      </c>
      <c r="M342" s="1219" t="e">
        <f ca="1">IF(AND(INDEX(FlowCalConstA,MATCH(J327,FlowCalNumber,0),1,1)*L342^INDEX(FlowCalConstB,MATCH(J327,FlowCalNumber,0),1,1)&gt;INDEX(FlowCalLowSetting,MATCH(J327,FlowCalNumber,0),1,1), (INDEX(FlowCalConstA,MATCH(J327,FlowCalNumber,0),1,1)*L342^INDEX(FlowCalConstB,MATCH(J327,FlowCalNumber,0),1,1)&lt;INDEX(FlowCalHighSetting,MATCH(J327,FlowCalNumber,0),1,1))),INDEX(FlowCalConstA,MATCH(J327,FlowCalNumber,0),1,1)*L342^INDEX(FlowCalConstB,MATCH(J327,FlowCalNumber,0),1,1)," ")</f>
        <v>#N/A</v>
      </c>
      <c r="N342" s="1216"/>
      <c r="O342" s="1217">
        <f t="shared" si="165"/>
        <v>1</v>
      </c>
      <c r="P342" s="1218" t="e">
        <f t="shared" ca="1" si="166"/>
        <v>#N/A</v>
      </c>
      <c r="Q342" s="1220" t="e">
        <f ca="1">IF(AND(INDEX(FlowCalConstA,MATCH(N327,FlowCalNumber,0),1,1)*P342^INDEX(FlowCalConstB,MATCH(N327,FlowCalNumber,0),1,1)&gt;INDEX(FlowCalLowSetting,MATCH(N327,FlowCalNumber,0),1,1), (INDEX(FlowCalConstA,MATCH(N327,FlowCalNumber,0),1,1)*P342^INDEX(FlowCalConstB,MATCH(N327,FlowCalNumber,0),1,1)&lt;INDEX(FlowCalHighSetting,MATCH(N327,FlowCalNumber,0),1,1))),INDEX(FlowCalConstA,MATCH(N327,FlowCalNumber,0),1,1)*P342^INDEX(FlowCalConstB,MATCH(N327,FlowCalNumber,0),1,1)," ")</f>
        <v>#N/A</v>
      </c>
      <c r="R342" s="1216"/>
      <c r="S342" s="1217">
        <f t="shared" si="167"/>
        <v>0.5</v>
      </c>
      <c r="T342" s="1218" t="e">
        <f t="shared" ca="1" si="168"/>
        <v>#N/A</v>
      </c>
      <c r="U342" s="1219" t="e">
        <f ca="1">IF(AND(INDEX(FlowCalConstA,MATCH(R327,FlowCalNumber,0),1,1)*T342^INDEX(FlowCalConstB,MATCH(R327,FlowCalNumber,0),1,1)&gt;INDEX(FlowCalLowSetting,MATCH(R327,FlowCalNumber,0),1,1), (INDEX(FlowCalConstA,MATCH(R327,FlowCalNumber,0),1,1)*T342^INDEX(FlowCalConstB,MATCH(R327,FlowCalNumber,0),1,1)&lt;INDEX(FlowCalHighSetting,MATCH(R327,FlowCalNumber,0),1,1))),INDEX(FlowCalConstA,MATCH(R327,FlowCalNumber,0),1,1)*T342^INDEX(FlowCalConstB,MATCH(R327,FlowCalNumber,0),1,1)," ")</f>
        <v>#N/A</v>
      </c>
      <c r="V342" s="1216"/>
      <c r="W342" s="1217">
        <f t="shared" si="169"/>
        <v>0.5</v>
      </c>
      <c r="X342" s="1218" t="e">
        <f t="shared" ca="1" si="170"/>
        <v>#N/A</v>
      </c>
      <c r="Y342" s="1220" t="e">
        <f ca="1">IF(AND(INDEX(FlowCalConstA,MATCH(V327,FlowCalNumber,0),1,1)*X342^INDEX(FlowCalConstB,MATCH(V327,FlowCalNumber,0),1,1)&gt;INDEX(FlowCalLowSetting,MATCH(V327,FlowCalNumber,0),1,1), (INDEX(FlowCalConstA,MATCH(V327,FlowCalNumber,0),1,1)*X342^INDEX(FlowCalConstB,MATCH(V327,FlowCalNumber,0),1,1)&lt;INDEX(FlowCalHighSetting,MATCH(V327,FlowCalNumber,0),1,1))),INDEX(FlowCalConstA,MATCH(V327,FlowCalNumber,0),1,1)*X342^INDEX(FlowCalConstB,MATCH(V327,FlowCalNumber,0),1,1)," ")</f>
        <v>#N/A</v>
      </c>
    </row>
    <row r="343" spans="1:25">
      <c r="A343" s="90"/>
      <c r="C343" s="235"/>
      <c r="E343" s="90"/>
      <c r="F343" s="90"/>
      <c r="G343" s="33"/>
      <c r="J343" s="377"/>
      <c r="M343" s="243"/>
      <c r="N343" s="377"/>
      <c r="Q343" s="244"/>
      <c r="R343" s="377"/>
      <c r="U343" s="243"/>
      <c r="V343" s="377"/>
      <c r="Y343" s="244"/>
    </row>
    <row r="344" spans="1:25">
      <c r="A344" s="639">
        <f>A327+1</f>
        <v>10</v>
      </c>
      <c r="B344" s="42" t="e">
        <f>INDEX(SourceID,MATCH($A344,SourceNumber,0),1,1)</f>
        <v>#N/A</v>
      </c>
      <c r="C344" s="354" t="e">
        <f>INDEX(SourceExitDiameter,MATCH($A344,SourceNumber,0),1,1)*3.28*12</f>
        <v>#N/A</v>
      </c>
      <c r="D344" s="24" t="str">
        <f>UAnem1percent</f>
        <v>1% Wind</v>
      </c>
      <c r="E344" s="85" t="e">
        <f ca="1">INDIRECT(ADDRESS(53,6,1,,$A344))</f>
        <v>#N/A</v>
      </c>
      <c r="F344" s="626" t="e">
        <f ca="1">(ROUND((INDIRECT(ADDRESS(15,7,1,,$A344))*3.28*12*32),0)&amp;"/32")</f>
        <v>#N/A</v>
      </c>
      <c r="G344" s="125" t="e">
        <f ca="1">INDIRECT(ADDRESS(29,7,1,,$A344))</f>
        <v>#N/A</v>
      </c>
      <c r="H344" s="24" t="e">
        <f ca="1">INDIRECT(ADDRESS(19,7,1,,$A344))*100^3</f>
        <v>#N/A</v>
      </c>
      <c r="I344" s="24" t="e">
        <f ca="1">INDIRECT(ADDRESS(53,7,1,,$A344))</f>
        <v>#N/A</v>
      </c>
      <c r="J344" s="20" t="str">
        <f>K$15&amp;$H$6&amp;J$6</f>
        <v>100AirPick a Tunnel</v>
      </c>
      <c r="K344" t="e">
        <f>INDEX(FlowCalGasMixture,MATCH(J344,FlowCalNumber,0),1,1)</f>
        <v>#N/A</v>
      </c>
      <c r="M344" s="355" t="e">
        <f>INDEX(FlowCalDevice,MATCH(J344,FlowCalNumber,0),1,1)</f>
        <v>#N/A</v>
      </c>
      <c r="N344" s="20" t="str">
        <f>O$15&amp;$H$6&amp;N$6</f>
        <v>100AirPick a Tunnel</v>
      </c>
      <c r="O344" t="e">
        <f>INDEX(FlowCalGasMixture,MATCH(N344,FlowCalNumber,0),1,1)</f>
        <v>#N/A</v>
      </c>
      <c r="Q344" s="355" t="e">
        <f>INDEX(FlowCalDevice,MATCH(N344,FlowCalNumber,0),1,1)</f>
        <v>#N/A</v>
      </c>
      <c r="R344" s="20" t="str">
        <f>S$15&amp;$H$6&amp;R$6</f>
        <v>100AirPick a Tunnel</v>
      </c>
      <c r="S344" t="e">
        <f>INDEX(FlowCalGasMixture,MATCH(R344,FlowCalNumber,0),1,1)</f>
        <v>#N/A</v>
      </c>
      <c r="U344" s="944" t="e">
        <f>INDEX(FlowCalDevice,MATCH(R344,FlowCalNumber,0),1,1)</f>
        <v>#N/A</v>
      </c>
      <c r="V344" s="946" t="str">
        <f>W$15&amp;$H$6&amp;V$6</f>
        <v>100AirPick a Tunnel</v>
      </c>
      <c r="W344" t="e">
        <f>INDEX(FlowCalGasMixture,MATCH(V344,FlowCalNumber,0),1,1)</f>
        <v>#N/A</v>
      </c>
      <c r="Y344" s="982" t="e">
        <f>INDEX(FlowCalDevice,MATCH(V344,FlowCalNumber,0),1,1)</f>
        <v>#N/A</v>
      </c>
    </row>
    <row r="345" spans="1:25" s="1215" customFormat="1">
      <c r="A345" s="1208"/>
      <c r="B345" s="1209"/>
      <c r="C345" s="1210"/>
      <c r="D345" s="1211">
        <f>'1% Wind'!$M$82</f>
        <v>27</v>
      </c>
      <c r="E345" s="1212"/>
      <c r="F345" s="1212"/>
      <c r="G345" s="1213">
        <v>2</v>
      </c>
      <c r="H345" s="1214" t="e">
        <f t="shared" ref="H345:H359" ca="1" si="171">H344*(D344/D345)*(G345/G344)</f>
        <v>#N/A</v>
      </c>
      <c r="J345" s="1216"/>
      <c r="K345" s="1221">
        <f>K$16/100</f>
        <v>1</v>
      </c>
      <c r="L345" s="1218" t="e">
        <f ca="1">K345*$H345</f>
        <v>#N/A</v>
      </c>
      <c r="M345" s="1219" t="e">
        <f ca="1">IF(AND(INDEX(FlowCalConstA,MATCH(J344,FlowCalNumber,0),1,1)*L345^INDEX(FlowCalConstB,MATCH(J344,FlowCalNumber,0),1,1)&gt;INDEX(FlowCalLowSetting,MATCH(J344,FlowCalNumber,0),1,1), (INDEX(FlowCalConstA,MATCH(J344,FlowCalNumber,0),1,1)*L345^INDEX(FlowCalConstB,MATCH(J344,FlowCalNumber,0),1,1)&lt;INDEX(FlowCalHighSetting,MATCH(J344,FlowCalNumber,0),1,1))),INDEX(FlowCalConstA,MATCH(J344,FlowCalNumber,0),1,1)*L345^INDEX(FlowCalConstB,MATCH(J344,FlowCalNumber,0),1,1)," ")</f>
        <v>#N/A</v>
      </c>
      <c r="N345" s="1216"/>
      <c r="O345" s="1221">
        <f>O$16/100</f>
        <v>1</v>
      </c>
      <c r="P345" s="1218" t="e">
        <f ca="1">O345*$H345</f>
        <v>#N/A</v>
      </c>
      <c r="Q345" s="1220" t="e">
        <f ca="1">IF(AND(INDEX(FlowCalConstA,MATCH(N344,FlowCalNumber,0),1,1)*P345^INDEX(FlowCalConstB,MATCH(N344,FlowCalNumber,0),1,1)&gt;INDEX(FlowCalLowSetting,MATCH(N344,FlowCalNumber,0),1,1), (INDEX(FlowCalConstA,MATCH(N344,FlowCalNumber,0),1,1)*P345^INDEX(FlowCalConstB,MATCH(N344,FlowCalNumber,0),1,1)&lt;INDEX(FlowCalHighSetting,MATCH(N344,FlowCalNumber,0),1,1))),INDEX(FlowCalConstA,MATCH(N344,FlowCalNumber,0),1,1)*P345^INDEX(FlowCalConstB,MATCH(N344,FlowCalNumber,0),1,1)," ")</f>
        <v>#N/A</v>
      </c>
      <c r="R345" s="1216"/>
      <c r="S345" s="1221">
        <f>S$16/100</f>
        <v>0.5</v>
      </c>
      <c r="T345" s="1218" t="e">
        <f ca="1">S345*$H345</f>
        <v>#N/A</v>
      </c>
      <c r="U345" s="1219" t="e">
        <f ca="1">IF(AND(INDEX(FlowCalConstA,MATCH(R344,FlowCalNumber,0),1,1)*T345^INDEX(FlowCalConstB,MATCH(R344,FlowCalNumber,0),1,1)&gt;INDEX(FlowCalLowSetting,MATCH(R344,FlowCalNumber,0),1,1), (INDEX(FlowCalConstA,MATCH(R344,FlowCalNumber,0),1,1)*T345^INDEX(FlowCalConstB,MATCH(R344,FlowCalNumber,0),1,1)&lt;INDEX(FlowCalHighSetting,MATCH(R344,FlowCalNumber,0),1,1))),INDEX(FlowCalConstA,MATCH(R344,FlowCalNumber,0),1,1)*T345^INDEX(FlowCalConstB,MATCH(R344,FlowCalNumber,0),1,1)," ")</f>
        <v>#N/A</v>
      </c>
      <c r="V345" s="1216"/>
      <c r="W345" s="1221">
        <f>W$16/100</f>
        <v>0.5</v>
      </c>
      <c r="X345" s="1218" t="e">
        <f ca="1">W345*$H345</f>
        <v>#N/A</v>
      </c>
      <c r="Y345" s="1220" t="e">
        <f ca="1">IF(AND(INDEX(FlowCalConstA,MATCH(V344,FlowCalNumber,0),1,1)*X345^INDEX(FlowCalConstB,MATCH(V344,FlowCalNumber,0),1,1)&gt;INDEX(FlowCalLowSetting,MATCH(V344,FlowCalNumber,0),1,1), (INDEX(FlowCalConstA,MATCH(V344,FlowCalNumber,0),1,1)*X345^INDEX(FlowCalConstB,MATCH(V344,FlowCalNumber,0),1,1)&lt;INDEX(FlowCalHighSetting,MATCH(V344,FlowCalNumber,0),1,1))),INDEX(FlowCalConstA,MATCH(V344,FlowCalNumber,0),1,1)*X345^INDEX(FlowCalConstB,MATCH(V344,FlowCalNumber,0),1,1)," ")</f>
        <v>#N/A</v>
      </c>
    </row>
    <row r="346" spans="1:25">
      <c r="A346" s="412"/>
      <c r="B346" s="2"/>
      <c r="C346" s="235"/>
      <c r="D346" s="24">
        <f>'1% Wind'!$M$83</f>
        <v>23.5</v>
      </c>
      <c r="E346" s="90"/>
      <c r="F346" s="90"/>
      <c r="G346" s="79" t="e">
        <f ca="1">IF(I344=1,$G345,MAX(G345/D345*D346,2))</f>
        <v>#N/A</v>
      </c>
      <c r="H346" s="121" t="e">
        <f t="shared" ca="1" si="171"/>
        <v>#N/A</v>
      </c>
      <c r="J346" s="377"/>
      <c r="K346" s="242">
        <f t="shared" ref="K346:K359" si="172">K345</f>
        <v>1</v>
      </c>
      <c r="L346" s="241" t="e">
        <f t="shared" ref="L346:L359" ca="1" si="173">K346*$H346</f>
        <v>#N/A</v>
      </c>
      <c r="M346" s="243" t="e">
        <f ca="1">IF(AND(INDEX(FlowCalConstA,MATCH(J344,FlowCalNumber,0),1,1)*L346^INDEX(FlowCalConstB,MATCH(J344,FlowCalNumber,0),1,1)&gt;INDEX(FlowCalLowSetting,MATCH(J344,FlowCalNumber,0),1,1), (INDEX(FlowCalConstA,MATCH(J344,FlowCalNumber,0),1,1)*L346^INDEX(FlowCalConstB,MATCH(J344,FlowCalNumber,0),1,1)&lt;INDEX(FlowCalHighSetting,MATCH(J344,FlowCalNumber,0),1,1))),INDEX(FlowCalConstA,MATCH(J344,FlowCalNumber,0),1,1)*L346^INDEX(FlowCalConstB,MATCH(J344,FlowCalNumber,0),1,1)," ")</f>
        <v>#N/A</v>
      </c>
      <c r="N346" s="377"/>
      <c r="O346" s="242">
        <f t="shared" ref="O346:O359" si="174">O345</f>
        <v>1</v>
      </c>
      <c r="P346" s="241" t="e">
        <f t="shared" ref="P346:P359" ca="1" si="175">O346*$H346</f>
        <v>#N/A</v>
      </c>
      <c r="Q346" s="244" t="e">
        <f ca="1">IF(AND(INDEX(FlowCalConstA,MATCH(N344,FlowCalNumber,0),1,1)*P346^INDEX(FlowCalConstB,MATCH(N344,FlowCalNumber,0),1,1)&gt;INDEX(FlowCalLowSetting,MATCH(N344,FlowCalNumber,0),1,1), (INDEX(FlowCalConstA,MATCH(N344,FlowCalNumber,0),1,1)*P346^INDEX(FlowCalConstB,MATCH(N344,FlowCalNumber,0),1,1)&lt;INDEX(FlowCalHighSetting,MATCH(N344,FlowCalNumber,0),1,1))),INDEX(FlowCalConstA,MATCH(N344,FlowCalNumber,0),1,1)*P346^INDEX(FlowCalConstB,MATCH(N344,FlowCalNumber,0),1,1)," ")</f>
        <v>#N/A</v>
      </c>
      <c r="R346" s="377"/>
      <c r="S346" s="242">
        <f t="shared" ref="S346:S359" si="176">S345</f>
        <v>0.5</v>
      </c>
      <c r="T346" s="241" t="e">
        <f t="shared" ref="T346:T359" ca="1" si="177">S346*$H346</f>
        <v>#N/A</v>
      </c>
      <c r="U346" s="243" t="e">
        <f ca="1">IF(AND(INDEX(FlowCalConstA,MATCH(R344,FlowCalNumber,0),1,1)*T346^INDEX(FlowCalConstB,MATCH(R344,FlowCalNumber,0),1,1)&gt;INDEX(FlowCalLowSetting,MATCH(R344,FlowCalNumber,0),1,1), (INDEX(FlowCalConstA,MATCH(R344,FlowCalNumber,0),1,1)*T346^INDEX(FlowCalConstB,MATCH(R344,FlowCalNumber,0),1,1)&lt;INDEX(FlowCalHighSetting,MATCH(R344,FlowCalNumber,0),1,1))),INDEX(FlowCalConstA,MATCH(R344,FlowCalNumber,0),1,1)*T346^INDEX(FlowCalConstB,MATCH(R344,FlowCalNumber,0),1,1)," ")</f>
        <v>#N/A</v>
      </c>
      <c r="V346" s="377"/>
      <c r="W346" s="242">
        <f t="shared" ref="W346:W359" si="178">W345</f>
        <v>0.5</v>
      </c>
      <c r="X346" s="241" t="e">
        <f t="shared" ref="X346:X359" ca="1" si="179">W346*$H346</f>
        <v>#N/A</v>
      </c>
      <c r="Y346" s="244" t="e">
        <f ca="1">IF(AND(INDEX(FlowCalConstA,MATCH(V344,FlowCalNumber,0),1,1)*X346^INDEX(FlowCalConstB,MATCH(V344,FlowCalNumber,0),1,1)&gt;INDEX(FlowCalLowSetting,MATCH(V344,FlowCalNumber,0),1,1), (INDEX(FlowCalConstA,MATCH(V344,FlowCalNumber,0),1,1)*X346^INDEX(FlowCalConstB,MATCH(V344,FlowCalNumber,0),1,1)&lt;INDEX(FlowCalHighSetting,MATCH(V344,FlowCalNumber,0),1,1))),INDEX(FlowCalConstA,MATCH(V344,FlowCalNumber,0),1,1)*X346^INDEX(FlowCalConstB,MATCH(V344,FlowCalNumber,0),1,1)," ")</f>
        <v>#N/A</v>
      </c>
    </row>
    <row r="347" spans="1:25" s="1215" customFormat="1">
      <c r="A347" s="1208"/>
      <c r="B347" s="1209"/>
      <c r="C347" s="1210"/>
      <c r="D347" s="1211">
        <f>'1% Wind'!$M$84</f>
        <v>20.5</v>
      </c>
      <c r="E347" s="1212"/>
      <c r="F347" s="1212"/>
      <c r="G347" s="1213" t="e">
        <f ca="1">IF(I344=1,$G346,MAX(G346/D346*D347,2))</f>
        <v>#N/A</v>
      </c>
      <c r="H347" s="1214" t="e">
        <f t="shared" ca="1" si="171"/>
        <v>#N/A</v>
      </c>
      <c r="J347" s="1216"/>
      <c r="K347" s="1217">
        <f t="shared" si="172"/>
        <v>1</v>
      </c>
      <c r="L347" s="1218" t="e">
        <f t="shared" ca="1" si="173"/>
        <v>#N/A</v>
      </c>
      <c r="M347" s="1219" t="e">
        <f ca="1">IF(AND(INDEX(FlowCalConstA,MATCH(J344,FlowCalNumber,0),1,1)*L347^INDEX(FlowCalConstB,MATCH(J344,FlowCalNumber,0),1,1)&gt;INDEX(FlowCalLowSetting,MATCH(J344,FlowCalNumber,0),1,1), (INDEX(FlowCalConstA,MATCH(J344,FlowCalNumber,0),1,1)*L347^INDEX(FlowCalConstB,MATCH(J344,FlowCalNumber,0),1,1)&lt;INDEX(FlowCalHighSetting,MATCH(J344,FlowCalNumber,0),1,1))),INDEX(FlowCalConstA,MATCH(J344,FlowCalNumber,0),1,1)*L347^INDEX(FlowCalConstB,MATCH(J344,FlowCalNumber,0),1,1)," ")</f>
        <v>#N/A</v>
      </c>
      <c r="N347" s="1216"/>
      <c r="O347" s="1217">
        <f t="shared" si="174"/>
        <v>1</v>
      </c>
      <c r="P347" s="1218" t="e">
        <f t="shared" ca="1" si="175"/>
        <v>#N/A</v>
      </c>
      <c r="Q347" s="1220" t="e">
        <f ca="1">IF(AND(INDEX(FlowCalConstA,MATCH(N344,FlowCalNumber,0),1,1)*P347^INDEX(FlowCalConstB,MATCH(N344,FlowCalNumber,0),1,1)&gt;INDEX(FlowCalLowSetting,MATCH(N344,FlowCalNumber,0),1,1), (INDEX(FlowCalConstA,MATCH(N344,FlowCalNumber,0),1,1)*P347^INDEX(FlowCalConstB,MATCH(N344,FlowCalNumber,0),1,1)&lt;INDEX(FlowCalHighSetting,MATCH(N344,FlowCalNumber,0),1,1))),INDEX(FlowCalConstA,MATCH(N344,FlowCalNumber,0),1,1)*P347^INDEX(FlowCalConstB,MATCH(N344,FlowCalNumber,0),1,1)," ")</f>
        <v>#N/A</v>
      </c>
      <c r="R347" s="1216"/>
      <c r="S347" s="1217">
        <f t="shared" si="176"/>
        <v>0.5</v>
      </c>
      <c r="T347" s="1218" t="e">
        <f t="shared" ca="1" si="177"/>
        <v>#N/A</v>
      </c>
      <c r="U347" s="1219" t="e">
        <f ca="1">IF(AND(INDEX(FlowCalConstA,MATCH(R344,FlowCalNumber,0),1,1)*T347^INDEX(FlowCalConstB,MATCH(R344,FlowCalNumber,0),1,1)&gt;INDEX(FlowCalLowSetting,MATCH(R344,FlowCalNumber,0),1,1), (INDEX(FlowCalConstA,MATCH(R344,FlowCalNumber,0),1,1)*T347^INDEX(FlowCalConstB,MATCH(R344,FlowCalNumber,0),1,1)&lt;INDEX(FlowCalHighSetting,MATCH(R344,FlowCalNumber,0),1,1))),INDEX(FlowCalConstA,MATCH(R344,FlowCalNumber,0),1,1)*T347^INDEX(FlowCalConstB,MATCH(R344,FlowCalNumber,0),1,1)," ")</f>
        <v>#N/A</v>
      </c>
      <c r="V347" s="1216"/>
      <c r="W347" s="1217">
        <f t="shared" si="178"/>
        <v>0.5</v>
      </c>
      <c r="X347" s="1218" t="e">
        <f t="shared" ca="1" si="179"/>
        <v>#N/A</v>
      </c>
      <c r="Y347" s="1220" t="e">
        <f ca="1">IF(AND(INDEX(FlowCalConstA,MATCH(V344,FlowCalNumber,0),1,1)*X347^INDEX(FlowCalConstB,MATCH(V344,FlowCalNumber,0),1,1)&gt;INDEX(FlowCalLowSetting,MATCH(V344,FlowCalNumber,0),1,1), (INDEX(FlowCalConstA,MATCH(V344,FlowCalNumber,0),1,1)*X347^INDEX(FlowCalConstB,MATCH(V344,FlowCalNumber,0),1,1)&lt;INDEX(FlowCalHighSetting,MATCH(V344,FlowCalNumber,0),1,1))),INDEX(FlowCalConstA,MATCH(V344,FlowCalNumber,0),1,1)*X347^INDEX(FlowCalConstB,MATCH(V344,FlowCalNumber,0),1,1)," ")</f>
        <v>#N/A</v>
      </c>
    </row>
    <row r="348" spans="1:25">
      <c r="A348" s="412"/>
      <c r="B348" s="2"/>
      <c r="C348" s="235"/>
      <c r="D348" s="24">
        <f>'1% Wind'!$M$85</f>
        <v>17.8</v>
      </c>
      <c r="E348" s="90"/>
      <c r="F348" s="90"/>
      <c r="G348" s="79" t="e">
        <f ca="1">IF(I344=1,$G347,MAX(G347/D347*D348,2))</f>
        <v>#N/A</v>
      </c>
      <c r="H348" s="121" t="e">
        <f t="shared" ca="1" si="171"/>
        <v>#N/A</v>
      </c>
      <c r="J348" s="377"/>
      <c r="K348" s="242">
        <f t="shared" si="172"/>
        <v>1</v>
      </c>
      <c r="L348" s="241" t="e">
        <f t="shared" ca="1" si="173"/>
        <v>#N/A</v>
      </c>
      <c r="M348" s="243" t="e">
        <f ca="1">IF(AND(INDEX(FlowCalConstA,MATCH(J344,FlowCalNumber,0),1,1)*L348^INDEX(FlowCalConstB,MATCH(J344,FlowCalNumber,0),1,1)&gt;INDEX(FlowCalLowSetting,MATCH(J344,FlowCalNumber,0),1,1), (INDEX(FlowCalConstA,MATCH(J344,FlowCalNumber,0),1,1)*L348^INDEX(FlowCalConstB,MATCH(J344,FlowCalNumber,0),1,1)&lt;INDEX(FlowCalHighSetting,MATCH(J344,FlowCalNumber,0),1,1))),INDEX(FlowCalConstA,MATCH(J344,FlowCalNumber,0),1,1)*L348^INDEX(FlowCalConstB,MATCH(J344,FlowCalNumber,0),1,1)," ")</f>
        <v>#N/A</v>
      </c>
      <c r="N348" s="377"/>
      <c r="O348" s="242">
        <f t="shared" si="174"/>
        <v>1</v>
      </c>
      <c r="P348" s="241" t="e">
        <f t="shared" ca="1" si="175"/>
        <v>#N/A</v>
      </c>
      <c r="Q348" s="244" t="e">
        <f ca="1">IF(AND(INDEX(FlowCalConstA,MATCH(N344,FlowCalNumber,0),1,1)*P348^INDEX(FlowCalConstB,MATCH(N344,FlowCalNumber,0),1,1)&gt;INDEX(FlowCalLowSetting,MATCH(N344,FlowCalNumber,0),1,1), (INDEX(FlowCalConstA,MATCH(N344,FlowCalNumber,0),1,1)*P348^INDEX(FlowCalConstB,MATCH(N344,FlowCalNumber,0),1,1)&lt;INDEX(FlowCalHighSetting,MATCH(N344,FlowCalNumber,0),1,1))),INDEX(FlowCalConstA,MATCH(N344,FlowCalNumber,0),1,1)*P348^INDEX(FlowCalConstB,MATCH(N344,FlowCalNumber,0),1,1)," ")</f>
        <v>#N/A</v>
      </c>
      <c r="R348" s="377"/>
      <c r="S348" s="242">
        <f t="shared" si="176"/>
        <v>0.5</v>
      </c>
      <c r="T348" s="241" t="e">
        <f t="shared" ca="1" si="177"/>
        <v>#N/A</v>
      </c>
      <c r="U348" s="243" t="e">
        <f ca="1">IF(AND(INDEX(FlowCalConstA,MATCH(R344,FlowCalNumber,0),1,1)*T348^INDEX(FlowCalConstB,MATCH(R344,FlowCalNumber,0),1,1)&gt;INDEX(FlowCalLowSetting,MATCH(R344,FlowCalNumber,0),1,1), (INDEX(FlowCalConstA,MATCH(R344,FlowCalNumber,0),1,1)*T348^INDEX(FlowCalConstB,MATCH(R344,FlowCalNumber,0),1,1)&lt;INDEX(FlowCalHighSetting,MATCH(R344,FlowCalNumber,0),1,1))),INDEX(FlowCalConstA,MATCH(R344,FlowCalNumber,0),1,1)*T348^INDEX(FlowCalConstB,MATCH(R344,FlowCalNumber,0),1,1)," ")</f>
        <v>#N/A</v>
      </c>
      <c r="V348" s="377"/>
      <c r="W348" s="242">
        <f t="shared" si="178"/>
        <v>0.5</v>
      </c>
      <c r="X348" s="241" t="e">
        <f t="shared" ca="1" si="179"/>
        <v>#N/A</v>
      </c>
      <c r="Y348" s="244" t="e">
        <f ca="1">IF(AND(INDEX(FlowCalConstA,MATCH(V344,FlowCalNumber,0),1,1)*X348^INDEX(FlowCalConstB,MATCH(V344,FlowCalNumber,0),1,1)&gt;INDEX(FlowCalLowSetting,MATCH(V344,FlowCalNumber,0),1,1), (INDEX(FlowCalConstA,MATCH(V344,FlowCalNumber,0),1,1)*X348^INDEX(FlowCalConstB,MATCH(V344,FlowCalNumber,0),1,1)&lt;INDEX(FlowCalHighSetting,MATCH(V344,FlowCalNumber,0),1,1))),INDEX(FlowCalConstA,MATCH(V344,FlowCalNumber,0),1,1)*X348^INDEX(FlowCalConstB,MATCH(V344,FlowCalNumber,0),1,1)," ")</f>
        <v>#N/A</v>
      </c>
    </row>
    <row r="349" spans="1:25" s="1215" customFormat="1">
      <c r="A349" s="1208"/>
      <c r="B349" s="1209"/>
      <c r="C349" s="1210"/>
      <c r="D349" s="1211">
        <f>'1% Wind'!$M$86</f>
        <v>15.5</v>
      </c>
      <c r="E349" s="1212"/>
      <c r="F349" s="1212"/>
      <c r="G349" s="1213" t="e">
        <f ca="1">IF(I344=1,$G348,MAX(G348/D348*D349,2))</f>
        <v>#N/A</v>
      </c>
      <c r="H349" s="1214" t="e">
        <f t="shared" ca="1" si="171"/>
        <v>#N/A</v>
      </c>
      <c r="J349" s="1216"/>
      <c r="K349" s="1217">
        <f t="shared" si="172"/>
        <v>1</v>
      </c>
      <c r="L349" s="1218" t="e">
        <f t="shared" ca="1" si="173"/>
        <v>#N/A</v>
      </c>
      <c r="M349" s="1219" t="e">
        <f ca="1">IF(AND(INDEX(FlowCalConstA,MATCH(J344,FlowCalNumber,0),1,1)*L349^INDEX(FlowCalConstB,MATCH(J344,FlowCalNumber,0),1,1)&gt;INDEX(FlowCalLowSetting,MATCH(J344,FlowCalNumber,0),1,1), (INDEX(FlowCalConstA,MATCH(J344,FlowCalNumber,0),1,1)*L349^INDEX(FlowCalConstB,MATCH(J344,FlowCalNumber,0),1,1)&lt;INDEX(FlowCalHighSetting,MATCH(J344,FlowCalNumber,0),1,1))),INDEX(FlowCalConstA,MATCH(J344,FlowCalNumber,0),1,1)*L349^INDEX(FlowCalConstB,MATCH(J344,FlowCalNumber,0),1,1)," ")</f>
        <v>#N/A</v>
      </c>
      <c r="N349" s="1216"/>
      <c r="O349" s="1217">
        <f t="shared" si="174"/>
        <v>1</v>
      </c>
      <c r="P349" s="1218" t="e">
        <f t="shared" ca="1" si="175"/>
        <v>#N/A</v>
      </c>
      <c r="Q349" s="1220" t="e">
        <f ca="1">IF(AND(INDEX(FlowCalConstA,MATCH(N344,FlowCalNumber,0),1,1)*P349^INDEX(FlowCalConstB,MATCH(N344,FlowCalNumber,0),1,1)&gt;INDEX(FlowCalLowSetting,MATCH(N344,FlowCalNumber,0),1,1), (INDEX(FlowCalConstA,MATCH(N344,FlowCalNumber,0),1,1)*P349^INDEX(FlowCalConstB,MATCH(N344,FlowCalNumber,0),1,1)&lt;INDEX(FlowCalHighSetting,MATCH(N344,FlowCalNumber,0),1,1))),INDEX(FlowCalConstA,MATCH(N344,FlowCalNumber,0),1,1)*P349^INDEX(FlowCalConstB,MATCH(N344,FlowCalNumber,0),1,1)," ")</f>
        <v>#N/A</v>
      </c>
      <c r="R349" s="1216"/>
      <c r="S349" s="1217">
        <f t="shared" si="176"/>
        <v>0.5</v>
      </c>
      <c r="T349" s="1218" t="e">
        <f t="shared" ca="1" si="177"/>
        <v>#N/A</v>
      </c>
      <c r="U349" s="1219" t="e">
        <f ca="1">IF(AND(INDEX(FlowCalConstA,MATCH(R344,FlowCalNumber,0),1,1)*T349^INDEX(FlowCalConstB,MATCH(R344,FlowCalNumber,0),1,1)&gt;INDEX(FlowCalLowSetting,MATCH(R344,FlowCalNumber,0),1,1), (INDEX(FlowCalConstA,MATCH(R344,FlowCalNumber,0),1,1)*T349^INDEX(FlowCalConstB,MATCH(R344,FlowCalNumber,0),1,1)&lt;INDEX(FlowCalHighSetting,MATCH(R344,FlowCalNumber,0),1,1))),INDEX(FlowCalConstA,MATCH(R344,FlowCalNumber,0),1,1)*T349^INDEX(FlowCalConstB,MATCH(R344,FlowCalNumber,0),1,1)," ")</f>
        <v>#N/A</v>
      </c>
      <c r="V349" s="1216"/>
      <c r="W349" s="1217">
        <f t="shared" si="178"/>
        <v>0.5</v>
      </c>
      <c r="X349" s="1218" t="e">
        <f t="shared" ca="1" si="179"/>
        <v>#N/A</v>
      </c>
      <c r="Y349" s="1220" t="e">
        <f ca="1">IF(AND(INDEX(FlowCalConstA,MATCH(V344,FlowCalNumber,0),1,1)*X349^INDEX(FlowCalConstB,MATCH(V344,FlowCalNumber,0),1,1)&gt;INDEX(FlowCalLowSetting,MATCH(V344,FlowCalNumber,0),1,1), (INDEX(FlowCalConstA,MATCH(V344,FlowCalNumber,0),1,1)*X349^INDEX(FlowCalConstB,MATCH(V344,FlowCalNumber,0),1,1)&lt;INDEX(FlowCalHighSetting,MATCH(V344,FlowCalNumber,0),1,1))),INDEX(FlowCalConstA,MATCH(V344,FlowCalNumber,0),1,1)*X349^INDEX(FlowCalConstB,MATCH(V344,FlowCalNumber,0),1,1)," ")</f>
        <v>#N/A</v>
      </c>
    </row>
    <row r="350" spans="1:25">
      <c r="A350" s="412"/>
      <c r="B350" s="2"/>
      <c r="C350" s="235"/>
      <c r="D350" s="24">
        <f>'1% Wind'!$M$87</f>
        <v>13.5</v>
      </c>
      <c r="E350" s="90"/>
      <c r="F350" s="90"/>
      <c r="G350" s="79" t="e">
        <f ca="1">IF(I344=1,$G349,MAX(G349/D349*D350,2))</f>
        <v>#N/A</v>
      </c>
      <c r="H350" s="121" t="e">
        <f t="shared" ca="1" si="171"/>
        <v>#N/A</v>
      </c>
      <c r="J350" s="377"/>
      <c r="K350" s="242">
        <f t="shared" si="172"/>
        <v>1</v>
      </c>
      <c r="L350" s="241" t="e">
        <f t="shared" ca="1" si="173"/>
        <v>#N/A</v>
      </c>
      <c r="M350" s="243" t="e">
        <f ca="1">IF(AND(INDEX(FlowCalConstA,MATCH(J344,FlowCalNumber,0),1,1)*L350^INDEX(FlowCalConstB,MATCH(J344,FlowCalNumber,0),1,1)&gt;INDEX(FlowCalLowSetting,MATCH(J344,FlowCalNumber,0),1,1), (INDEX(FlowCalConstA,MATCH(J344,FlowCalNumber,0),1,1)*L350^INDEX(FlowCalConstB,MATCH(J344,FlowCalNumber,0),1,1)&lt;INDEX(FlowCalHighSetting,MATCH(J344,FlowCalNumber,0),1,1))),INDEX(FlowCalConstA,MATCH(J344,FlowCalNumber,0),1,1)*L350^INDEX(FlowCalConstB,MATCH(J344,FlowCalNumber,0),1,1)," ")</f>
        <v>#N/A</v>
      </c>
      <c r="N350" s="377"/>
      <c r="O350" s="242">
        <f t="shared" si="174"/>
        <v>1</v>
      </c>
      <c r="P350" s="241" t="e">
        <f t="shared" ca="1" si="175"/>
        <v>#N/A</v>
      </c>
      <c r="Q350" s="244" t="e">
        <f ca="1">IF(AND(INDEX(FlowCalConstA,MATCH(N344,FlowCalNumber,0),1,1)*P350^INDEX(FlowCalConstB,MATCH(N344,FlowCalNumber,0),1,1)&gt;INDEX(FlowCalLowSetting,MATCH(N344,FlowCalNumber,0),1,1), (INDEX(FlowCalConstA,MATCH(N344,FlowCalNumber,0),1,1)*P350^INDEX(FlowCalConstB,MATCH(N344,FlowCalNumber,0),1,1)&lt;INDEX(FlowCalHighSetting,MATCH(N344,FlowCalNumber,0),1,1))),INDEX(FlowCalConstA,MATCH(N344,FlowCalNumber,0),1,1)*P350^INDEX(FlowCalConstB,MATCH(N344,FlowCalNumber,0),1,1)," ")</f>
        <v>#N/A</v>
      </c>
      <c r="R350" s="377"/>
      <c r="S350" s="242">
        <f t="shared" si="176"/>
        <v>0.5</v>
      </c>
      <c r="T350" s="241" t="e">
        <f t="shared" ca="1" si="177"/>
        <v>#N/A</v>
      </c>
      <c r="U350" s="243" t="e">
        <f ca="1">IF(AND(INDEX(FlowCalConstA,MATCH(R344,FlowCalNumber,0),1,1)*T350^INDEX(FlowCalConstB,MATCH(R344,FlowCalNumber,0),1,1)&gt;INDEX(FlowCalLowSetting,MATCH(R344,FlowCalNumber,0),1,1), (INDEX(FlowCalConstA,MATCH(R344,FlowCalNumber,0),1,1)*T350^INDEX(FlowCalConstB,MATCH(R344,FlowCalNumber,0),1,1)&lt;INDEX(FlowCalHighSetting,MATCH(R344,FlowCalNumber,0),1,1))),INDEX(FlowCalConstA,MATCH(R344,FlowCalNumber,0),1,1)*T350^INDEX(FlowCalConstB,MATCH(R344,FlowCalNumber,0),1,1)," ")</f>
        <v>#N/A</v>
      </c>
      <c r="V350" s="377"/>
      <c r="W350" s="242">
        <f t="shared" si="178"/>
        <v>0.5</v>
      </c>
      <c r="X350" s="241" t="e">
        <f t="shared" ca="1" si="179"/>
        <v>#N/A</v>
      </c>
      <c r="Y350" s="244" t="e">
        <f ca="1">IF(AND(INDEX(FlowCalConstA,MATCH(V344,FlowCalNumber,0),1,1)*X350^INDEX(FlowCalConstB,MATCH(V344,FlowCalNumber,0),1,1)&gt;INDEX(FlowCalLowSetting,MATCH(V344,FlowCalNumber,0),1,1), (INDEX(FlowCalConstA,MATCH(V344,FlowCalNumber,0),1,1)*X350^INDEX(FlowCalConstB,MATCH(V344,FlowCalNumber,0),1,1)&lt;INDEX(FlowCalHighSetting,MATCH(V344,FlowCalNumber,0),1,1))),INDEX(FlowCalConstA,MATCH(V344,FlowCalNumber,0),1,1)*X350^INDEX(FlowCalConstB,MATCH(V344,FlowCalNumber,0),1,1)," ")</f>
        <v>#N/A</v>
      </c>
    </row>
    <row r="351" spans="1:25" s="1215" customFormat="1">
      <c r="A351" s="1208"/>
      <c r="B351" s="1209"/>
      <c r="C351" s="1210"/>
      <c r="D351" s="1211">
        <f>'1% Wind'!$M$88</f>
        <v>10.1</v>
      </c>
      <c r="E351" s="1212"/>
      <c r="F351" s="1212"/>
      <c r="G351" s="1213" t="e">
        <f ca="1">IF(I344=1,$G350,MAX(G350/D350*D351,2))</f>
        <v>#N/A</v>
      </c>
      <c r="H351" s="1214" t="e">
        <f t="shared" ca="1" si="171"/>
        <v>#N/A</v>
      </c>
      <c r="J351" s="1216"/>
      <c r="K351" s="1217">
        <f t="shared" si="172"/>
        <v>1</v>
      </c>
      <c r="L351" s="1218" t="e">
        <f t="shared" ca="1" si="173"/>
        <v>#N/A</v>
      </c>
      <c r="M351" s="1219" t="e">
        <f ca="1">IF(AND(INDEX(FlowCalConstA,MATCH(J344,FlowCalNumber,0),1,1)*L351^INDEX(FlowCalConstB,MATCH(J344,FlowCalNumber,0),1,1)&gt;INDEX(FlowCalLowSetting,MATCH(J344,FlowCalNumber,0),1,1), (INDEX(FlowCalConstA,MATCH(J344,FlowCalNumber,0),1,1)*L351^INDEX(FlowCalConstB,MATCH(J344,FlowCalNumber,0),1,1)&lt;INDEX(FlowCalHighSetting,MATCH(J344,FlowCalNumber,0),1,1))),INDEX(FlowCalConstA,MATCH(J344,FlowCalNumber,0),1,1)*L351^INDEX(FlowCalConstB,MATCH(J344,FlowCalNumber,0),1,1)," ")</f>
        <v>#N/A</v>
      </c>
      <c r="N351" s="1216"/>
      <c r="O351" s="1217">
        <f t="shared" si="174"/>
        <v>1</v>
      </c>
      <c r="P351" s="1218" t="e">
        <f t="shared" ca="1" si="175"/>
        <v>#N/A</v>
      </c>
      <c r="Q351" s="1220" t="e">
        <f ca="1">IF(AND(INDEX(FlowCalConstA,MATCH(N344,FlowCalNumber,0),1,1)*P351^INDEX(FlowCalConstB,MATCH(N344,FlowCalNumber,0),1,1)&gt;INDEX(FlowCalLowSetting,MATCH(N344,FlowCalNumber,0),1,1), (INDEX(FlowCalConstA,MATCH(N344,FlowCalNumber,0),1,1)*P351^INDEX(FlowCalConstB,MATCH(N344,FlowCalNumber,0),1,1)&lt;INDEX(FlowCalHighSetting,MATCH(N344,FlowCalNumber,0),1,1))),INDEX(FlowCalConstA,MATCH(N344,FlowCalNumber,0),1,1)*P351^INDEX(FlowCalConstB,MATCH(N344,FlowCalNumber,0),1,1)," ")</f>
        <v>#N/A</v>
      </c>
      <c r="R351" s="1216"/>
      <c r="S351" s="1217">
        <f t="shared" si="176"/>
        <v>0.5</v>
      </c>
      <c r="T351" s="1218" t="e">
        <f t="shared" ca="1" si="177"/>
        <v>#N/A</v>
      </c>
      <c r="U351" s="1219" t="e">
        <f ca="1">IF(AND(INDEX(FlowCalConstA,MATCH(R344,FlowCalNumber,0),1,1)*T351^INDEX(FlowCalConstB,MATCH(R344,FlowCalNumber,0),1,1)&gt;INDEX(FlowCalLowSetting,MATCH(R344,FlowCalNumber,0),1,1), (INDEX(FlowCalConstA,MATCH(R344,FlowCalNumber,0),1,1)*T351^INDEX(FlowCalConstB,MATCH(R344,FlowCalNumber,0),1,1)&lt;INDEX(FlowCalHighSetting,MATCH(R344,FlowCalNumber,0),1,1))),INDEX(FlowCalConstA,MATCH(R344,FlowCalNumber,0),1,1)*T351^INDEX(FlowCalConstB,MATCH(R344,FlowCalNumber,0),1,1)," ")</f>
        <v>#N/A</v>
      </c>
      <c r="V351" s="1216"/>
      <c r="W351" s="1217">
        <f t="shared" si="178"/>
        <v>0.5</v>
      </c>
      <c r="X351" s="1218" t="e">
        <f t="shared" ca="1" si="179"/>
        <v>#N/A</v>
      </c>
      <c r="Y351" s="1220" t="e">
        <f ca="1">IF(AND(INDEX(FlowCalConstA,MATCH(V344,FlowCalNumber,0),1,1)*X351^INDEX(FlowCalConstB,MATCH(V344,FlowCalNumber,0),1,1)&gt;INDEX(FlowCalLowSetting,MATCH(V344,FlowCalNumber,0),1,1), (INDEX(FlowCalConstA,MATCH(V344,FlowCalNumber,0),1,1)*X351^INDEX(FlowCalConstB,MATCH(V344,FlowCalNumber,0),1,1)&lt;INDEX(FlowCalHighSetting,MATCH(V344,FlowCalNumber,0),1,1))),INDEX(FlowCalConstA,MATCH(V344,FlowCalNumber,0),1,1)*X351^INDEX(FlowCalConstB,MATCH(V344,FlowCalNumber,0),1,1)," ")</f>
        <v>#N/A</v>
      </c>
    </row>
    <row r="352" spans="1:25">
      <c r="A352" s="412"/>
      <c r="B352" s="2"/>
      <c r="C352" s="235"/>
      <c r="D352" s="24">
        <f>'1% Wind'!$M$89</f>
        <v>7.6</v>
      </c>
      <c r="E352" s="90"/>
      <c r="F352" s="90"/>
      <c r="G352" s="79" t="e">
        <f ca="1">IF(I344=1,$G351,MAX(G351/D351*D352,2))</f>
        <v>#N/A</v>
      </c>
      <c r="H352" s="121" t="e">
        <f t="shared" ca="1" si="171"/>
        <v>#N/A</v>
      </c>
      <c r="J352" s="377"/>
      <c r="K352" s="242">
        <f t="shared" si="172"/>
        <v>1</v>
      </c>
      <c r="L352" s="241" t="e">
        <f t="shared" ca="1" si="173"/>
        <v>#N/A</v>
      </c>
      <c r="M352" s="243" t="e">
        <f ca="1">IF(AND(INDEX(FlowCalConstA,MATCH(J344,FlowCalNumber,0),1,1)*L352^INDEX(FlowCalConstB,MATCH(J344,FlowCalNumber,0),1,1)&gt;INDEX(FlowCalLowSetting,MATCH(J344,FlowCalNumber,0),1,1), (INDEX(FlowCalConstA,MATCH(J344,FlowCalNumber,0),1,1)*L352^INDEX(FlowCalConstB,MATCH(J344,FlowCalNumber,0),1,1)&lt;INDEX(FlowCalHighSetting,MATCH(J344,FlowCalNumber,0),1,1))),INDEX(FlowCalConstA,MATCH(J344,FlowCalNumber,0),1,1)*L352^INDEX(FlowCalConstB,MATCH(J344,FlowCalNumber,0),1,1)," ")</f>
        <v>#N/A</v>
      </c>
      <c r="N352" s="377"/>
      <c r="O352" s="242">
        <f t="shared" si="174"/>
        <v>1</v>
      </c>
      <c r="P352" s="241" t="e">
        <f t="shared" ca="1" si="175"/>
        <v>#N/A</v>
      </c>
      <c r="Q352" s="244" t="e">
        <f ca="1">IF(AND(INDEX(FlowCalConstA,MATCH(N344,FlowCalNumber,0),1,1)*P352^INDEX(FlowCalConstB,MATCH(N344,FlowCalNumber,0),1,1)&gt;INDEX(FlowCalLowSetting,MATCH(N344,FlowCalNumber,0),1,1), (INDEX(FlowCalConstA,MATCH(N344,FlowCalNumber,0),1,1)*P352^INDEX(FlowCalConstB,MATCH(N344,FlowCalNumber,0),1,1)&lt;INDEX(FlowCalHighSetting,MATCH(N344,FlowCalNumber,0),1,1))),INDEX(FlowCalConstA,MATCH(N344,FlowCalNumber,0),1,1)*P352^INDEX(FlowCalConstB,MATCH(N344,FlowCalNumber,0),1,1)," ")</f>
        <v>#N/A</v>
      </c>
      <c r="R352" s="377"/>
      <c r="S352" s="242">
        <f t="shared" si="176"/>
        <v>0.5</v>
      </c>
      <c r="T352" s="241" t="e">
        <f t="shared" ca="1" si="177"/>
        <v>#N/A</v>
      </c>
      <c r="U352" s="243" t="e">
        <f ca="1">IF(AND(INDEX(FlowCalConstA,MATCH(R344,FlowCalNumber,0),1,1)*T352^INDEX(FlowCalConstB,MATCH(R344,FlowCalNumber,0),1,1)&gt;INDEX(FlowCalLowSetting,MATCH(R344,FlowCalNumber,0),1,1), (INDEX(FlowCalConstA,MATCH(R344,FlowCalNumber,0),1,1)*T352^INDEX(FlowCalConstB,MATCH(R344,FlowCalNumber,0),1,1)&lt;INDEX(FlowCalHighSetting,MATCH(R344,FlowCalNumber,0),1,1))),INDEX(FlowCalConstA,MATCH(R344,FlowCalNumber,0),1,1)*T352^INDEX(FlowCalConstB,MATCH(R344,FlowCalNumber,0),1,1)," ")</f>
        <v>#N/A</v>
      </c>
      <c r="V352" s="377"/>
      <c r="W352" s="242">
        <f t="shared" si="178"/>
        <v>0.5</v>
      </c>
      <c r="X352" s="241" t="e">
        <f t="shared" ca="1" si="179"/>
        <v>#N/A</v>
      </c>
      <c r="Y352" s="244" t="e">
        <f ca="1">IF(AND(INDEX(FlowCalConstA,MATCH(V344,FlowCalNumber,0),1,1)*X352^INDEX(FlowCalConstB,MATCH(V344,FlowCalNumber,0),1,1)&gt;INDEX(FlowCalLowSetting,MATCH(V344,FlowCalNumber,0),1,1), (INDEX(FlowCalConstA,MATCH(V344,FlowCalNumber,0),1,1)*X352^INDEX(FlowCalConstB,MATCH(V344,FlowCalNumber,0),1,1)&lt;INDEX(FlowCalHighSetting,MATCH(V344,FlowCalNumber,0),1,1))),INDEX(FlowCalConstA,MATCH(V344,FlowCalNumber,0),1,1)*X352^INDEX(FlowCalConstB,MATCH(V344,FlowCalNumber,0),1,1)," ")</f>
        <v>#N/A</v>
      </c>
    </row>
    <row r="353" spans="1:25" s="1215" customFormat="1">
      <c r="A353" s="1208"/>
      <c r="B353" s="1209"/>
      <c r="C353" s="1210"/>
      <c r="D353" s="1211">
        <f>'1% Wind'!$M$90</f>
        <v>5.7</v>
      </c>
      <c r="E353" s="1212"/>
      <c r="F353" s="1212"/>
      <c r="G353" s="1213" t="e">
        <f ca="1">IF(I344=1,$G352,MAX(G352/D352*D353,2))</f>
        <v>#N/A</v>
      </c>
      <c r="H353" s="1214" t="e">
        <f t="shared" ca="1" si="171"/>
        <v>#N/A</v>
      </c>
      <c r="J353" s="1216"/>
      <c r="K353" s="1217">
        <f t="shared" si="172"/>
        <v>1</v>
      </c>
      <c r="L353" s="1218" t="e">
        <f t="shared" ca="1" si="173"/>
        <v>#N/A</v>
      </c>
      <c r="M353" s="1219" t="e">
        <f ca="1">IF(AND(INDEX(FlowCalConstA,MATCH(J344,FlowCalNumber,0),1,1)*L353^INDEX(FlowCalConstB,MATCH(J344,FlowCalNumber,0),1,1)&gt;INDEX(FlowCalLowSetting,MATCH(J344,FlowCalNumber,0),1,1), (INDEX(FlowCalConstA,MATCH(J344,FlowCalNumber,0),1,1)*L353^INDEX(FlowCalConstB,MATCH(J344,FlowCalNumber,0),1,1)&lt;INDEX(FlowCalHighSetting,MATCH(J344,FlowCalNumber,0),1,1))),INDEX(FlowCalConstA,MATCH(J344,FlowCalNumber,0),1,1)*L353^INDEX(FlowCalConstB,MATCH(J344,FlowCalNumber,0),1,1)," ")</f>
        <v>#N/A</v>
      </c>
      <c r="N353" s="1216"/>
      <c r="O353" s="1217">
        <f t="shared" si="174"/>
        <v>1</v>
      </c>
      <c r="P353" s="1218" t="e">
        <f t="shared" ca="1" si="175"/>
        <v>#N/A</v>
      </c>
      <c r="Q353" s="1220" t="e">
        <f ca="1">IF(AND(INDEX(FlowCalConstA,MATCH(N344,FlowCalNumber,0),1,1)*P353^INDEX(FlowCalConstB,MATCH(N344,FlowCalNumber,0),1,1)&gt;INDEX(FlowCalLowSetting,MATCH(N344,FlowCalNumber,0),1,1), (INDEX(FlowCalConstA,MATCH(N344,FlowCalNumber,0),1,1)*P353^INDEX(FlowCalConstB,MATCH(N344,FlowCalNumber,0),1,1)&lt;INDEX(FlowCalHighSetting,MATCH(N344,FlowCalNumber,0),1,1))),INDEX(FlowCalConstA,MATCH(N344,FlowCalNumber,0),1,1)*P353^INDEX(FlowCalConstB,MATCH(N344,FlowCalNumber,0),1,1)," ")</f>
        <v>#N/A</v>
      </c>
      <c r="R353" s="1216"/>
      <c r="S353" s="1217">
        <f t="shared" si="176"/>
        <v>0.5</v>
      </c>
      <c r="T353" s="1218" t="e">
        <f t="shared" ca="1" si="177"/>
        <v>#N/A</v>
      </c>
      <c r="U353" s="1219" t="e">
        <f ca="1">IF(AND(INDEX(FlowCalConstA,MATCH(R344,FlowCalNumber,0),1,1)*T353^INDEX(FlowCalConstB,MATCH(R344,FlowCalNumber,0),1,1)&gt;INDEX(FlowCalLowSetting,MATCH(R344,FlowCalNumber,0),1,1), (INDEX(FlowCalConstA,MATCH(R344,FlowCalNumber,0),1,1)*T353^INDEX(FlowCalConstB,MATCH(R344,FlowCalNumber,0),1,1)&lt;INDEX(FlowCalHighSetting,MATCH(R344,FlowCalNumber,0),1,1))),INDEX(FlowCalConstA,MATCH(R344,FlowCalNumber,0),1,1)*T353^INDEX(FlowCalConstB,MATCH(R344,FlowCalNumber,0),1,1)," ")</f>
        <v>#N/A</v>
      </c>
      <c r="V353" s="1216"/>
      <c r="W353" s="1217">
        <f t="shared" si="178"/>
        <v>0.5</v>
      </c>
      <c r="X353" s="1218" t="e">
        <f t="shared" ca="1" si="179"/>
        <v>#N/A</v>
      </c>
      <c r="Y353" s="1220" t="e">
        <f ca="1">IF(AND(INDEX(FlowCalConstA,MATCH(V344,FlowCalNumber,0),1,1)*X353^INDEX(FlowCalConstB,MATCH(V344,FlowCalNumber,0),1,1)&gt;INDEX(FlowCalLowSetting,MATCH(V344,FlowCalNumber,0),1,1), (INDEX(FlowCalConstA,MATCH(V344,FlowCalNumber,0),1,1)*X353^INDEX(FlowCalConstB,MATCH(V344,FlowCalNumber,0),1,1)&lt;INDEX(FlowCalHighSetting,MATCH(V344,FlowCalNumber,0),1,1))),INDEX(FlowCalConstA,MATCH(V344,FlowCalNumber,0),1,1)*X353^INDEX(FlowCalConstB,MATCH(V344,FlowCalNumber,0),1,1)," ")</f>
        <v>#N/A</v>
      </c>
    </row>
    <row r="354" spans="1:25">
      <c r="A354" s="412"/>
      <c r="B354" s="2"/>
      <c r="C354" s="235"/>
      <c r="D354" s="24">
        <f>'1% Wind'!$M$91</f>
        <v>4.2</v>
      </c>
      <c r="E354" s="90"/>
      <c r="F354" s="90"/>
      <c r="G354" s="79" t="e">
        <f ca="1">IF(I344=1,$G353,MAX(G353/D353*D354,2))</f>
        <v>#N/A</v>
      </c>
      <c r="H354" s="121" t="e">
        <f t="shared" ca="1" si="171"/>
        <v>#N/A</v>
      </c>
      <c r="J354" s="377"/>
      <c r="K354" s="242">
        <f t="shared" si="172"/>
        <v>1</v>
      </c>
      <c r="L354" s="241" t="e">
        <f t="shared" ca="1" si="173"/>
        <v>#N/A</v>
      </c>
      <c r="M354" s="243" t="e">
        <f ca="1">IF(AND(INDEX(FlowCalConstA,MATCH(J344,FlowCalNumber,0),1,1)*L354^INDEX(FlowCalConstB,MATCH(J344,FlowCalNumber,0),1,1)&gt;INDEX(FlowCalLowSetting,MATCH(J344,FlowCalNumber,0),1,1), (INDEX(FlowCalConstA,MATCH(J344,FlowCalNumber,0),1,1)*L354^INDEX(FlowCalConstB,MATCH(J344,FlowCalNumber,0),1,1)&lt;INDEX(FlowCalHighSetting,MATCH(J344,FlowCalNumber,0),1,1))),INDEX(FlowCalConstA,MATCH(J344,FlowCalNumber,0),1,1)*L354^INDEX(FlowCalConstB,MATCH(J344,FlowCalNumber,0),1,1)," ")</f>
        <v>#N/A</v>
      </c>
      <c r="N354" s="377"/>
      <c r="O354" s="242">
        <f t="shared" si="174"/>
        <v>1</v>
      </c>
      <c r="P354" s="241" t="e">
        <f t="shared" ca="1" si="175"/>
        <v>#N/A</v>
      </c>
      <c r="Q354" s="244" t="e">
        <f ca="1">IF(AND(INDEX(FlowCalConstA,MATCH(N344,FlowCalNumber,0),1,1)*P354^INDEX(FlowCalConstB,MATCH(N344,FlowCalNumber,0),1,1)&gt;INDEX(FlowCalLowSetting,MATCH(N344,FlowCalNumber,0),1,1), (INDEX(FlowCalConstA,MATCH(N344,FlowCalNumber,0),1,1)*P354^INDEX(FlowCalConstB,MATCH(N344,FlowCalNumber,0),1,1)&lt;INDEX(FlowCalHighSetting,MATCH(N344,FlowCalNumber,0),1,1))),INDEX(FlowCalConstA,MATCH(N344,FlowCalNumber,0),1,1)*P354^INDEX(FlowCalConstB,MATCH(N344,FlowCalNumber,0),1,1)," ")</f>
        <v>#N/A</v>
      </c>
      <c r="R354" s="377"/>
      <c r="S354" s="242">
        <f t="shared" si="176"/>
        <v>0.5</v>
      </c>
      <c r="T354" s="241" t="e">
        <f t="shared" ca="1" si="177"/>
        <v>#N/A</v>
      </c>
      <c r="U354" s="243" t="e">
        <f ca="1">IF(AND(INDEX(FlowCalConstA,MATCH(R344,FlowCalNumber,0),1,1)*T354^INDEX(FlowCalConstB,MATCH(R344,FlowCalNumber,0),1,1)&gt;INDEX(FlowCalLowSetting,MATCH(R344,FlowCalNumber,0),1,1), (INDEX(FlowCalConstA,MATCH(R344,FlowCalNumber,0),1,1)*T354^INDEX(FlowCalConstB,MATCH(R344,FlowCalNumber,0),1,1)&lt;INDEX(FlowCalHighSetting,MATCH(R344,FlowCalNumber,0),1,1))),INDEX(FlowCalConstA,MATCH(R344,FlowCalNumber,0),1,1)*T354^INDEX(FlowCalConstB,MATCH(R344,FlowCalNumber,0),1,1)," ")</f>
        <v>#N/A</v>
      </c>
      <c r="V354" s="377"/>
      <c r="W354" s="242">
        <f t="shared" si="178"/>
        <v>0.5</v>
      </c>
      <c r="X354" s="241" t="e">
        <f t="shared" ca="1" si="179"/>
        <v>#N/A</v>
      </c>
      <c r="Y354" s="244" t="e">
        <f ca="1">IF(AND(INDEX(FlowCalConstA,MATCH(V344,FlowCalNumber,0),1,1)*X354^INDEX(FlowCalConstB,MATCH(V344,FlowCalNumber,0),1,1)&gt;INDEX(FlowCalLowSetting,MATCH(V344,FlowCalNumber,0),1,1), (INDEX(FlowCalConstA,MATCH(V344,FlowCalNumber,0),1,1)*X354^INDEX(FlowCalConstB,MATCH(V344,FlowCalNumber,0),1,1)&lt;INDEX(FlowCalHighSetting,MATCH(V344,FlowCalNumber,0),1,1))),INDEX(FlowCalConstA,MATCH(V344,FlowCalNumber,0),1,1)*X354^INDEX(FlowCalConstB,MATCH(V344,FlowCalNumber,0),1,1)," ")</f>
        <v>#N/A</v>
      </c>
    </row>
    <row r="355" spans="1:25" s="1215" customFormat="1">
      <c r="A355" s="1208"/>
      <c r="B355" s="1209"/>
      <c r="C355" s="1210"/>
      <c r="D355" s="1211">
        <f>'1% Wind'!$M$92</f>
        <v>3.2</v>
      </c>
      <c r="E355" s="1212"/>
      <c r="F355" s="1212"/>
      <c r="G355" s="1213" t="e">
        <f ca="1">IF(I344=1,$G354,MAX(G354/D354*D355,2))</f>
        <v>#N/A</v>
      </c>
      <c r="H355" s="1214" t="e">
        <f t="shared" ca="1" si="171"/>
        <v>#N/A</v>
      </c>
      <c r="J355" s="1216"/>
      <c r="K355" s="1217">
        <f t="shared" si="172"/>
        <v>1</v>
      </c>
      <c r="L355" s="1218" t="e">
        <f t="shared" ca="1" si="173"/>
        <v>#N/A</v>
      </c>
      <c r="M355" s="1219" t="e">
        <f ca="1">IF(AND(INDEX(FlowCalConstA,MATCH(J344,FlowCalNumber,0),1,1)*L355^INDEX(FlowCalConstB,MATCH(J344,FlowCalNumber,0),1,1)&gt;INDEX(FlowCalLowSetting,MATCH(J344,FlowCalNumber,0),1,1), (INDEX(FlowCalConstA,MATCH(J344,FlowCalNumber,0),1,1)*L355^INDEX(FlowCalConstB,MATCH(J344,FlowCalNumber,0),1,1)&lt;INDEX(FlowCalHighSetting,MATCH(J344,FlowCalNumber,0),1,1))),INDEX(FlowCalConstA,MATCH(J344,FlowCalNumber,0),1,1)*L355^INDEX(FlowCalConstB,MATCH(J344,FlowCalNumber,0),1,1)," ")</f>
        <v>#N/A</v>
      </c>
      <c r="N355" s="1216"/>
      <c r="O355" s="1217">
        <f t="shared" si="174"/>
        <v>1</v>
      </c>
      <c r="P355" s="1218" t="e">
        <f t="shared" ca="1" si="175"/>
        <v>#N/A</v>
      </c>
      <c r="Q355" s="1220" t="e">
        <f ca="1">IF(AND(INDEX(FlowCalConstA,MATCH(N344,FlowCalNumber,0),1,1)*P355^INDEX(FlowCalConstB,MATCH(N344,FlowCalNumber,0),1,1)&gt;INDEX(FlowCalLowSetting,MATCH(N344,FlowCalNumber,0),1,1), (INDEX(FlowCalConstA,MATCH(N344,FlowCalNumber,0),1,1)*P355^INDEX(FlowCalConstB,MATCH(N344,FlowCalNumber,0),1,1)&lt;INDEX(FlowCalHighSetting,MATCH(N344,FlowCalNumber,0),1,1))),INDEX(FlowCalConstA,MATCH(N344,FlowCalNumber,0),1,1)*P355^INDEX(FlowCalConstB,MATCH(N344,FlowCalNumber,0),1,1)," ")</f>
        <v>#N/A</v>
      </c>
      <c r="R355" s="1216"/>
      <c r="S355" s="1217">
        <f t="shared" si="176"/>
        <v>0.5</v>
      </c>
      <c r="T355" s="1218" t="e">
        <f t="shared" ca="1" si="177"/>
        <v>#N/A</v>
      </c>
      <c r="U355" s="1219" t="e">
        <f ca="1">IF(AND(INDEX(FlowCalConstA,MATCH(R344,FlowCalNumber,0),1,1)*T355^INDEX(FlowCalConstB,MATCH(R344,FlowCalNumber,0),1,1)&gt;INDEX(FlowCalLowSetting,MATCH(R344,FlowCalNumber,0),1,1), (INDEX(FlowCalConstA,MATCH(R344,FlowCalNumber,0),1,1)*T355^INDEX(FlowCalConstB,MATCH(R344,FlowCalNumber,0),1,1)&lt;INDEX(FlowCalHighSetting,MATCH(R344,FlowCalNumber,0),1,1))),INDEX(FlowCalConstA,MATCH(R344,FlowCalNumber,0),1,1)*T355^INDEX(FlowCalConstB,MATCH(R344,FlowCalNumber,0),1,1)," ")</f>
        <v>#N/A</v>
      </c>
      <c r="V355" s="1216"/>
      <c r="W355" s="1217">
        <f t="shared" si="178"/>
        <v>0.5</v>
      </c>
      <c r="X355" s="1218" t="e">
        <f t="shared" ca="1" si="179"/>
        <v>#N/A</v>
      </c>
      <c r="Y355" s="1220" t="e">
        <f ca="1">IF(AND(INDEX(FlowCalConstA,MATCH(V344,FlowCalNumber,0),1,1)*X355^INDEX(FlowCalConstB,MATCH(V344,FlowCalNumber,0),1,1)&gt;INDEX(FlowCalLowSetting,MATCH(V344,FlowCalNumber,0),1,1), (INDEX(FlowCalConstA,MATCH(V344,FlowCalNumber,0),1,1)*X355^INDEX(FlowCalConstB,MATCH(V344,FlowCalNumber,0),1,1)&lt;INDEX(FlowCalHighSetting,MATCH(V344,FlowCalNumber,0),1,1))),INDEX(FlowCalConstA,MATCH(V344,FlowCalNumber,0),1,1)*X355^INDEX(FlowCalConstB,MATCH(V344,FlowCalNumber,0),1,1)," ")</f>
        <v>#N/A</v>
      </c>
    </row>
    <row r="356" spans="1:25">
      <c r="A356" s="412"/>
      <c r="B356" s="2"/>
      <c r="C356" s="235"/>
      <c r="D356" s="24">
        <f>'1% Wind'!$M$93</f>
        <v>2.4</v>
      </c>
      <c r="E356" s="90"/>
      <c r="F356" s="90"/>
      <c r="G356" s="79" t="e">
        <f ca="1">IF(I344=1,$G355,MAX(G355/D355*D356,2))</f>
        <v>#N/A</v>
      </c>
      <c r="H356" s="121" t="e">
        <f t="shared" ca="1" si="171"/>
        <v>#N/A</v>
      </c>
      <c r="J356" s="377"/>
      <c r="K356" s="242">
        <f t="shared" si="172"/>
        <v>1</v>
      </c>
      <c r="L356" s="241" t="e">
        <f t="shared" ca="1" si="173"/>
        <v>#N/A</v>
      </c>
      <c r="M356" s="243" t="e">
        <f ca="1">IF(AND(INDEX(FlowCalConstA,MATCH(J344,FlowCalNumber,0),1,1)*L356^INDEX(FlowCalConstB,MATCH(J344,FlowCalNumber,0),1,1)&gt;INDEX(FlowCalLowSetting,MATCH(J344,FlowCalNumber,0),1,1), (INDEX(FlowCalConstA,MATCH(J344,FlowCalNumber,0),1,1)*L356^INDEX(FlowCalConstB,MATCH(J344,FlowCalNumber,0),1,1)&lt;INDEX(FlowCalHighSetting,MATCH(J344,FlowCalNumber,0),1,1))),INDEX(FlowCalConstA,MATCH(J344,FlowCalNumber,0),1,1)*L356^INDEX(FlowCalConstB,MATCH(J344,FlowCalNumber,0),1,1)," ")</f>
        <v>#N/A</v>
      </c>
      <c r="N356" s="377"/>
      <c r="O356" s="242">
        <f t="shared" si="174"/>
        <v>1</v>
      </c>
      <c r="P356" s="241" t="e">
        <f t="shared" ca="1" si="175"/>
        <v>#N/A</v>
      </c>
      <c r="Q356" s="244" t="e">
        <f ca="1">IF(AND(INDEX(FlowCalConstA,MATCH(N344,FlowCalNumber,0),1,1)*P356^INDEX(FlowCalConstB,MATCH(N344,FlowCalNumber,0),1,1)&gt;INDEX(FlowCalLowSetting,MATCH(N344,FlowCalNumber,0),1,1), (INDEX(FlowCalConstA,MATCH(N344,FlowCalNumber,0),1,1)*P356^INDEX(FlowCalConstB,MATCH(N344,FlowCalNumber,0),1,1)&lt;INDEX(FlowCalHighSetting,MATCH(N344,FlowCalNumber,0),1,1))),INDEX(FlowCalConstA,MATCH(N344,FlowCalNumber,0),1,1)*P356^INDEX(FlowCalConstB,MATCH(N344,FlowCalNumber,0),1,1)," ")</f>
        <v>#N/A</v>
      </c>
      <c r="R356" s="377"/>
      <c r="S356" s="242">
        <f t="shared" si="176"/>
        <v>0.5</v>
      </c>
      <c r="T356" s="241" t="e">
        <f t="shared" ca="1" si="177"/>
        <v>#N/A</v>
      </c>
      <c r="U356" s="243" t="e">
        <f ca="1">IF(AND(INDEX(FlowCalConstA,MATCH(R344,FlowCalNumber,0),1,1)*T356^INDEX(FlowCalConstB,MATCH(R344,FlowCalNumber,0),1,1)&gt;INDEX(FlowCalLowSetting,MATCH(R344,FlowCalNumber,0),1,1), (INDEX(FlowCalConstA,MATCH(R344,FlowCalNumber,0),1,1)*T356^INDEX(FlowCalConstB,MATCH(R344,FlowCalNumber,0),1,1)&lt;INDEX(FlowCalHighSetting,MATCH(R344,FlowCalNumber,0),1,1))),INDEX(FlowCalConstA,MATCH(R344,FlowCalNumber,0),1,1)*T356^INDEX(FlowCalConstB,MATCH(R344,FlowCalNumber,0),1,1)," ")</f>
        <v>#N/A</v>
      </c>
      <c r="V356" s="377"/>
      <c r="W356" s="242">
        <f t="shared" si="178"/>
        <v>0.5</v>
      </c>
      <c r="X356" s="241" t="e">
        <f t="shared" ca="1" si="179"/>
        <v>#N/A</v>
      </c>
      <c r="Y356" s="244" t="e">
        <f ca="1">IF(AND(INDEX(FlowCalConstA,MATCH(V344,FlowCalNumber,0),1,1)*X356^INDEX(FlowCalConstB,MATCH(V344,FlowCalNumber,0),1,1)&gt;INDEX(FlowCalLowSetting,MATCH(V344,FlowCalNumber,0),1,1), (INDEX(FlowCalConstA,MATCH(V344,FlowCalNumber,0),1,1)*X356^INDEX(FlowCalConstB,MATCH(V344,FlowCalNumber,0),1,1)&lt;INDEX(FlowCalHighSetting,MATCH(V344,FlowCalNumber,0),1,1))),INDEX(FlowCalConstA,MATCH(V344,FlowCalNumber,0),1,1)*X356^INDEX(FlowCalConstB,MATCH(V344,FlowCalNumber,0),1,1)," ")</f>
        <v>#N/A</v>
      </c>
    </row>
    <row r="357" spans="1:25" s="1215" customFormat="1">
      <c r="A357" s="1208"/>
      <c r="B357" s="1209"/>
      <c r="C357" s="1210"/>
      <c r="D357" s="1211">
        <f>'1% Wind'!$M$94</f>
        <v>1.8</v>
      </c>
      <c r="E357" s="1212"/>
      <c r="F357" s="1212"/>
      <c r="G357" s="1213" t="e">
        <f ca="1">IF(I344=1,$G356,MAX(G356/D356*D357,2))</f>
        <v>#N/A</v>
      </c>
      <c r="H357" s="1214" t="e">
        <f t="shared" ca="1" si="171"/>
        <v>#N/A</v>
      </c>
      <c r="J357" s="1216"/>
      <c r="K357" s="1217">
        <f t="shared" si="172"/>
        <v>1</v>
      </c>
      <c r="L357" s="1218" t="e">
        <f t="shared" ca="1" si="173"/>
        <v>#N/A</v>
      </c>
      <c r="M357" s="1219" t="e">
        <f ca="1">IF(AND(INDEX(FlowCalConstA,MATCH(J344,FlowCalNumber,0),1,1)*L357^INDEX(FlowCalConstB,MATCH(J344,FlowCalNumber,0),1,1)&gt;INDEX(FlowCalLowSetting,MATCH(J344,FlowCalNumber,0),1,1), (INDEX(FlowCalConstA,MATCH(J344,FlowCalNumber,0),1,1)*L357^INDEX(FlowCalConstB,MATCH(J344,FlowCalNumber,0),1,1)&lt;INDEX(FlowCalHighSetting,MATCH(J344,FlowCalNumber,0),1,1))),INDEX(FlowCalConstA,MATCH(J344,FlowCalNumber,0),1,1)*L357^INDEX(FlowCalConstB,MATCH(J344,FlowCalNumber,0),1,1)," ")</f>
        <v>#N/A</v>
      </c>
      <c r="N357" s="1216"/>
      <c r="O357" s="1217">
        <f t="shared" si="174"/>
        <v>1</v>
      </c>
      <c r="P357" s="1218" t="e">
        <f t="shared" ca="1" si="175"/>
        <v>#N/A</v>
      </c>
      <c r="Q357" s="1220" t="e">
        <f ca="1">IF(AND(INDEX(FlowCalConstA,MATCH(N344,FlowCalNumber,0),1,1)*P357^INDEX(FlowCalConstB,MATCH(N344,FlowCalNumber,0),1,1)&gt;INDEX(FlowCalLowSetting,MATCH(N344,FlowCalNumber,0),1,1), (INDEX(FlowCalConstA,MATCH(N344,FlowCalNumber,0),1,1)*P357^INDEX(FlowCalConstB,MATCH(N344,FlowCalNumber,0),1,1)&lt;INDEX(FlowCalHighSetting,MATCH(N344,FlowCalNumber,0),1,1))),INDEX(FlowCalConstA,MATCH(N344,FlowCalNumber,0),1,1)*P357^INDEX(FlowCalConstB,MATCH(N344,FlowCalNumber,0),1,1)," ")</f>
        <v>#N/A</v>
      </c>
      <c r="R357" s="1216"/>
      <c r="S357" s="1217">
        <f t="shared" si="176"/>
        <v>0.5</v>
      </c>
      <c r="T357" s="1218" t="e">
        <f t="shared" ca="1" si="177"/>
        <v>#N/A</v>
      </c>
      <c r="U357" s="1219" t="e">
        <f ca="1">IF(AND(INDEX(FlowCalConstA,MATCH(R344,FlowCalNumber,0),1,1)*T357^INDEX(FlowCalConstB,MATCH(R344,FlowCalNumber,0),1,1)&gt;INDEX(FlowCalLowSetting,MATCH(R344,FlowCalNumber,0),1,1), (INDEX(FlowCalConstA,MATCH(R344,FlowCalNumber,0),1,1)*T357^INDEX(FlowCalConstB,MATCH(R344,FlowCalNumber,0),1,1)&lt;INDEX(FlowCalHighSetting,MATCH(R344,FlowCalNumber,0),1,1))),INDEX(FlowCalConstA,MATCH(R344,FlowCalNumber,0),1,1)*T357^INDEX(FlowCalConstB,MATCH(R344,FlowCalNumber,0),1,1)," ")</f>
        <v>#N/A</v>
      </c>
      <c r="V357" s="1216"/>
      <c r="W357" s="1217">
        <f t="shared" si="178"/>
        <v>0.5</v>
      </c>
      <c r="X357" s="1218" t="e">
        <f t="shared" ca="1" si="179"/>
        <v>#N/A</v>
      </c>
      <c r="Y357" s="1220" t="e">
        <f ca="1">IF(AND(INDEX(FlowCalConstA,MATCH(V344,FlowCalNumber,0),1,1)*X357^INDEX(FlowCalConstB,MATCH(V344,FlowCalNumber,0),1,1)&gt;INDEX(FlowCalLowSetting,MATCH(V344,FlowCalNumber,0),1,1), (INDEX(FlowCalConstA,MATCH(V344,FlowCalNumber,0),1,1)*X357^INDEX(FlowCalConstB,MATCH(V344,FlowCalNumber,0),1,1)&lt;INDEX(FlowCalHighSetting,MATCH(V344,FlowCalNumber,0),1,1))),INDEX(FlowCalConstA,MATCH(V344,FlowCalNumber,0),1,1)*X357^INDEX(FlowCalConstB,MATCH(V344,FlowCalNumber,0),1,1)," ")</f>
        <v>#N/A</v>
      </c>
    </row>
    <row r="358" spans="1:25">
      <c r="A358" s="412"/>
      <c r="B358" s="2"/>
      <c r="C358" s="235"/>
      <c r="D358" s="24">
        <f>'1% Wind'!$M$95</f>
        <v>1.3</v>
      </c>
      <c r="E358" s="90"/>
      <c r="F358" s="90"/>
      <c r="G358" s="79" t="e">
        <f ca="1">IF(I344=1,$G357,MAX(G357/D357*D358,2))</f>
        <v>#N/A</v>
      </c>
      <c r="H358" s="121" t="e">
        <f t="shared" ca="1" si="171"/>
        <v>#N/A</v>
      </c>
      <c r="J358" s="377"/>
      <c r="K358" s="242">
        <f t="shared" si="172"/>
        <v>1</v>
      </c>
      <c r="L358" s="241" t="e">
        <f t="shared" ca="1" si="173"/>
        <v>#N/A</v>
      </c>
      <c r="M358" s="243" t="e">
        <f ca="1">IF(AND(INDEX(FlowCalConstA,MATCH(J344,FlowCalNumber,0),1,1)*L358^INDEX(FlowCalConstB,MATCH(J344,FlowCalNumber,0),1,1)&gt;INDEX(FlowCalLowSetting,MATCH(J344,FlowCalNumber,0),1,1), (INDEX(FlowCalConstA,MATCH(J344,FlowCalNumber,0),1,1)*L358^INDEX(FlowCalConstB,MATCH(J344,FlowCalNumber,0),1,1)&lt;INDEX(FlowCalHighSetting,MATCH(J344,FlowCalNumber,0),1,1))),INDEX(FlowCalConstA,MATCH(J344,FlowCalNumber,0),1,1)*L358^INDEX(FlowCalConstB,MATCH(J344,FlowCalNumber,0),1,1)," ")</f>
        <v>#N/A</v>
      </c>
      <c r="N358" s="377"/>
      <c r="O358" s="242">
        <f t="shared" si="174"/>
        <v>1</v>
      </c>
      <c r="P358" s="241" t="e">
        <f t="shared" ca="1" si="175"/>
        <v>#N/A</v>
      </c>
      <c r="Q358" s="244" t="e">
        <f ca="1">IF(AND(INDEX(FlowCalConstA,MATCH(N344,FlowCalNumber,0),1,1)*P358^INDEX(FlowCalConstB,MATCH(N344,FlowCalNumber,0),1,1)&gt;INDEX(FlowCalLowSetting,MATCH(N344,FlowCalNumber,0),1,1), (INDEX(FlowCalConstA,MATCH(N344,FlowCalNumber,0),1,1)*P358^INDEX(FlowCalConstB,MATCH(N344,FlowCalNumber,0),1,1)&lt;INDEX(FlowCalHighSetting,MATCH(N344,FlowCalNumber,0),1,1))),INDEX(FlowCalConstA,MATCH(N344,FlowCalNumber,0),1,1)*P358^INDEX(FlowCalConstB,MATCH(N344,FlowCalNumber,0),1,1)," ")</f>
        <v>#N/A</v>
      </c>
      <c r="R358" s="377"/>
      <c r="S358" s="242">
        <f t="shared" si="176"/>
        <v>0.5</v>
      </c>
      <c r="T358" s="241" t="e">
        <f t="shared" ca="1" si="177"/>
        <v>#N/A</v>
      </c>
      <c r="U358" s="243" t="e">
        <f ca="1">IF(AND(INDEX(FlowCalConstA,MATCH(R344,FlowCalNumber,0),1,1)*T358^INDEX(FlowCalConstB,MATCH(R344,FlowCalNumber,0),1,1)&gt;INDEX(FlowCalLowSetting,MATCH(R344,FlowCalNumber,0),1,1), (INDEX(FlowCalConstA,MATCH(R344,FlowCalNumber,0),1,1)*T358^INDEX(FlowCalConstB,MATCH(R344,FlowCalNumber,0),1,1)&lt;INDEX(FlowCalHighSetting,MATCH(R344,FlowCalNumber,0),1,1))),INDEX(FlowCalConstA,MATCH(R344,FlowCalNumber,0),1,1)*T358^INDEX(FlowCalConstB,MATCH(R344,FlowCalNumber,0),1,1)," ")</f>
        <v>#N/A</v>
      </c>
      <c r="V358" s="377"/>
      <c r="W358" s="242">
        <f t="shared" si="178"/>
        <v>0.5</v>
      </c>
      <c r="X358" s="241" t="e">
        <f t="shared" ca="1" si="179"/>
        <v>#N/A</v>
      </c>
      <c r="Y358" s="244" t="e">
        <f ca="1">IF(AND(INDEX(FlowCalConstA,MATCH(V344,FlowCalNumber,0),1,1)*X358^INDEX(FlowCalConstB,MATCH(V344,FlowCalNumber,0),1,1)&gt;INDEX(FlowCalLowSetting,MATCH(V344,FlowCalNumber,0),1,1), (INDEX(FlowCalConstA,MATCH(V344,FlowCalNumber,0),1,1)*X358^INDEX(FlowCalConstB,MATCH(V344,FlowCalNumber,0),1,1)&lt;INDEX(FlowCalHighSetting,MATCH(V344,FlowCalNumber,0),1,1))),INDEX(FlowCalConstA,MATCH(V344,FlowCalNumber,0),1,1)*X358^INDEX(FlowCalConstB,MATCH(V344,FlowCalNumber,0),1,1)," ")</f>
        <v>#N/A</v>
      </c>
    </row>
    <row r="359" spans="1:25" s="1215" customFormat="1">
      <c r="A359" s="1208"/>
      <c r="B359" s="1209"/>
      <c r="C359" s="1210"/>
      <c r="D359" s="1211">
        <f>'1% Wind'!$M$96</f>
        <v>1</v>
      </c>
      <c r="E359" s="1212"/>
      <c r="F359" s="1212"/>
      <c r="G359" s="1213" t="e">
        <f ca="1">IF(I344=1,$G358,MAX(G358/D358*D359,2))</f>
        <v>#N/A</v>
      </c>
      <c r="H359" s="1214" t="e">
        <f t="shared" ca="1" si="171"/>
        <v>#N/A</v>
      </c>
      <c r="J359" s="1216"/>
      <c r="K359" s="1217">
        <f t="shared" si="172"/>
        <v>1</v>
      </c>
      <c r="L359" s="1218" t="e">
        <f t="shared" ca="1" si="173"/>
        <v>#N/A</v>
      </c>
      <c r="M359" s="1219" t="e">
        <f ca="1">IF(AND(INDEX(FlowCalConstA,MATCH(J344,FlowCalNumber,0),1,1)*L359^INDEX(FlowCalConstB,MATCH(J344,FlowCalNumber,0),1,1)&gt;INDEX(FlowCalLowSetting,MATCH(J344,FlowCalNumber,0),1,1), (INDEX(FlowCalConstA,MATCH(J344,FlowCalNumber,0),1,1)*L359^INDEX(FlowCalConstB,MATCH(J344,FlowCalNumber,0),1,1)&lt;INDEX(FlowCalHighSetting,MATCH(J344,FlowCalNumber,0),1,1))),INDEX(FlowCalConstA,MATCH(J344,FlowCalNumber,0),1,1)*L359^INDEX(FlowCalConstB,MATCH(J344,FlowCalNumber,0),1,1)," ")</f>
        <v>#N/A</v>
      </c>
      <c r="N359" s="1216"/>
      <c r="O359" s="1217">
        <f t="shared" si="174"/>
        <v>1</v>
      </c>
      <c r="P359" s="1218" t="e">
        <f t="shared" ca="1" si="175"/>
        <v>#N/A</v>
      </c>
      <c r="Q359" s="1220" t="e">
        <f ca="1">IF(AND(INDEX(FlowCalConstA,MATCH(N344,FlowCalNumber,0),1,1)*P359^INDEX(FlowCalConstB,MATCH(N344,FlowCalNumber,0),1,1)&gt;INDEX(FlowCalLowSetting,MATCH(N344,FlowCalNumber,0),1,1), (INDEX(FlowCalConstA,MATCH(N344,FlowCalNumber,0),1,1)*P359^INDEX(FlowCalConstB,MATCH(N344,FlowCalNumber,0),1,1)&lt;INDEX(FlowCalHighSetting,MATCH(N344,FlowCalNumber,0),1,1))),INDEX(FlowCalConstA,MATCH(N344,FlowCalNumber,0),1,1)*P359^INDEX(FlowCalConstB,MATCH(N344,FlowCalNumber,0),1,1)," ")</f>
        <v>#N/A</v>
      </c>
      <c r="R359" s="1216"/>
      <c r="S359" s="1217">
        <f t="shared" si="176"/>
        <v>0.5</v>
      </c>
      <c r="T359" s="1218" t="e">
        <f t="shared" ca="1" si="177"/>
        <v>#N/A</v>
      </c>
      <c r="U359" s="1219" t="e">
        <f ca="1">IF(AND(INDEX(FlowCalConstA,MATCH(R344,FlowCalNumber,0),1,1)*T359^INDEX(FlowCalConstB,MATCH(R344,FlowCalNumber,0),1,1)&gt;INDEX(FlowCalLowSetting,MATCH(R344,FlowCalNumber,0),1,1), (INDEX(FlowCalConstA,MATCH(R344,FlowCalNumber,0),1,1)*T359^INDEX(FlowCalConstB,MATCH(R344,FlowCalNumber,0),1,1)&lt;INDEX(FlowCalHighSetting,MATCH(R344,FlowCalNumber,0),1,1))),INDEX(FlowCalConstA,MATCH(R344,FlowCalNumber,0),1,1)*T359^INDEX(FlowCalConstB,MATCH(R344,FlowCalNumber,0),1,1)," ")</f>
        <v>#N/A</v>
      </c>
      <c r="V359" s="1216"/>
      <c r="W359" s="1217">
        <f t="shared" si="178"/>
        <v>0.5</v>
      </c>
      <c r="X359" s="1218" t="e">
        <f t="shared" ca="1" si="179"/>
        <v>#N/A</v>
      </c>
      <c r="Y359" s="1220" t="e">
        <f ca="1">IF(AND(INDEX(FlowCalConstA,MATCH(V344,FlowCalNumber,0),1,1)*X359^INDEX(FlowCalConstB,MATCH(V344,FlowCalNumber,0),1,1)&gt;INDEX(FlowCalLowSetting,MATCH(V344,FlowCalNumber,0),1,1), (INDEX(FlowCalConstA,MATCH(V344,FlowCalNumber,0),1,1)*X359^INDEX(FlowCalConstB,MATCH(V344,FlowCalNumber,0),1,1)&lt;INDEX(FlowCalHighSetting,MATCH(V344,FlowCalNumber,0),1,1))),INDEX(FlowCalConstA,MATCH(V344,FlowCalNumber,0),1,1)*X359^INDEX(FlowCalConstB,MATCH(V344,FlowCalNumber,0),1,1)," ")</f>
        <v>#N/A</v>
      </c>
    </row>
    <row r="360" spans="1:25">
      <c r="A360" s="90"/>
      <c r="C360" s="235"/>
      <c r="E360" s="90"/>
      <c r="F360" s="90"/>
      <c r="G360" s="33"/>
      <c r="J360" s="377"/>
      <c r="M360" s="243"/>
      <c r="N360" s="377"/>
      <c r="Q360" s="244"/>
      <c r="R360" s="377"/>
      <c r="U360" s="243"/>
      <c r="V360" s="377"/>
      <c r="Y360" s="244"/>
    </row>
    <row r="361" spans="1:25">
      <c r="J361" s="1"/>
      <c r="N361" s="1"/>
      <c r="R361" s="1"/>
      <c r="V361" s="1"/>
    </row>
    <row r="362" spans="1:25">
      <c r="J362" s="1"/>
      <c r="N362" s="1"/>
      <c r="R362" s="1"/>
      <c r="V362" s="1"/>
    </row>
    <row r="363" spans="1:25">
      <c r="J363" s="1"/>
      <c r="N363" s="1"/>
      <c r="R363" s="1"/>
      <c r="V363" s="1"/>
    </row>
    <row r="364" spans="1:25">
      <c r="J364" s="1"/>
      <c r="N364" s="1"/>
      <c r="R364" s="1"/>
      <c r="V364" s="1"/>
    </row>
    <row r="365" spans="1:25">
      <c r="J365" s="1"/>
      <c r="N365" s="1"/>
      <c r="R365" s="1"/>
      <c r="V365" s="1"/>
    </row>
    <row r="366" spans="1:25">
      <c r="J366" s="1"/>
      <c r="N366" s="1"/>
      <c r="R366" s="1"/>
      <c r="V366" s="1"/>
    </row>
    <row r="367" spans="1:25">
      <c r="J367" s="1"/>
      <c r="N367" s="1"/>
      <c r="R367" s="1"/>
      <c r="V367" s="1"/>
    </row>
    <row r="368" spans="1:25">
      <c r="J368" s="1"/>
      <c r="N368" s="1"/>
      <c r="R368" s="1"/>
      <c r="V368" s="1"/>
    </row>
    <row r="369" spans="10:22">
      <c r="J369" s="1"/>
      <c r="N369" s="1"/>
      <c r="R369" s="1"/>
      <c r="V369" s="1"/>
    </row>
    <row r="370" spans="10:22">
      <c r="J370" s="1"/>
      <c r="N370" s="1"/>
      <c r="R370" s="1"/>
      <c r="V370" s="1"/>
    </row>
    <row r="371" spans="10:22">
      <c r="J371" s="1"/>
      <c r="N371" s="1"/>
      <c r="R371" s="1"/>
      <c r="V371" s="1"/>
    </row>
    <row r="372" spans="10:22">
      <c r="J372" s="1"/>
      <c r="N372" s="1"/>
      <c r="R372" s="1"/>
      <c r="V372" s="1"/>
    </row>
    <row r="373" spans="10:22">
      <c r="J373" s="1"/>
      <c r="N373" s="1"/>
      <c r="R373" s="1"/>
      <c r="V373" s="1"/>
    </row>
    <row r="374" spans="10:22">
      <c r="J374" s="1"/>
      <c r="N374" s="1"/>
      <c r="R374" s="1"/>
      <c r="V374" s="1"/>
    </row>
    <row r="375" spans="10:22">
      <c r="J375" s="1"/>
      <c r="N375" s="1"/>
      <c r="R375" s="1"/>
      <c r="V375" s="1"/>
    </row>
    <row r="376" spans="10:22">
      <c r="J376" s="1"/>
      <c r="N376" s="1"/>
      <c r="R376" s="1"/>
      <c r="V376" s="1"/>
    </row>
    <row r="377" spans="10:22">
      <c r="J377" s="1"/>
      <c r="N377" s="1"/>
      <c r="R377" s="1"/>
      <c r="V377" s="1"/>
    </row>
    <row r="378" spans="10:22">
      <c r="J378" s="1"/>
      <c r="N378" s="1"/>
      <c r="R378" s="1"/>
      <c r="V378" s="1"/>
    </row>
    <row r="379" spans="10:22">
      <c r="J379" s="1"/>
      <c r="N379" s="1"/>
      <c r="R379" s="1"/>
      <c r="V379" s="1"/>
    </row>
    <row r="380" spans="10:22">
      <c r="J380" s="1"/>
      <c r="N380" s="1"/>
      <c r="R380" s="1"/>
      <c r="V380" s="1"/>
    </row>
    <row r="381" spans="10:22">
      <c r="J381" s="1"/>
      <c r="N381" s="1"/>
      <c r="R381" s="1"/>
      <c r="V381" s="1"/>
    </row>
    <row r="382" spans="10:22">
      <c r="J382" s="1"/>
      <c r="N382" s="1"/>
      <c r="R382" s="1"/>
      <c r="V382" s="1"/>
    </row>
    <row r="383" spans="10:22">
      <c r="J383" s="1"/>
      <c r="N383" s="1"/>
      <c r="R383" s="1"/>
      <c r="V383" s="1"/>
    </row>
    <row r="384" spans="10:22">
      <c r="J384" s="1"/>
      <c r="N384" s="1"/>
      <c r="R384" s="1"/>
      <c r="V384" s="1"/>
    </row>
    <row r="385" spans="10:22">
      <c r="J385" s="1"/>
      <c r="N385" s="1"/>
      <c r="R385" s="1"/>
      <c r="V385" s="1"/>
    </row>
    <row r="386" spans="10:22">
      <c r="J386" s="1"/>
      <c r="N386" s="1"/>
      <c r="R386" s="1"/>
      <c r="V386" s="1"/>
    </row>
    <row r="387" spans="10:22">
      <c r="J387" s="1"/>
      <c r="N387" s="1"/>
      <c r="R387" s="1"/>
      <c r="V387" s="1"/>
    </row>
    <row r="388" spans="10:22">
      <c r="J388" s="1"/>
      <c r="N388" s="1"/>
      <c r="R388" s="1"/>
      <c r="V388" s="1"/>
    </row>
    <row r="389" spans="10:22">
      <c r="J389" s="1"/>
      <c r="N389" s="1"/>
      <c r="R389" s="1"/>
      <c r="V389" s="1"/>
    </row>
    <row r="390" spans="10:22">
      <c r="J390" s="1"/>
      <c r="N390" s="1"/>
      <c r="R390" s="1"/>
      <c r="V390" s="1"/>
    </row>
    <row r="391" spans="10:22">
      <c r="J391" s="1"/>
      <c r="N391" s="1"/>
      <c r="R391" s="1"/>
      <c r="V391" s="1"/>
    </row>
    <row r="392" spans="10:22">
      <c r="J392" s="1"/>
      <c r="N392" s="1"/>
      <c r="R392" s="1"/>
      <c r="V392" s="1"/>
    </row>
    <row r="393" spans="10:22">
      <c r="J393" s="1"/>
      <c r="N393" s="1"/>
      <c r="R393" s="1"/>
      <c r="V393" s="1"/>
    </row>
    <row r="394" spans="10:22">
      <c r="J394" s="1"/>
      <c r="N394" s="1"/>
      <c r="R394" s="1"/>
      <c r="V394" s="1"/>
    </row>
    <row r="395" spans="10:22">
      <c r="J395" s="1"/>
      <c r="N395" s="1"/>
      <c r="R395" s="1"/>
      <c r="V395" s="1"/>
    </row>
    <row r="396" spans="10:22">
      <c r="J396" s="1"/>
      <c r="N396" s="1"/>
      <c r="R396" s="1"/>
      <c r="V396" s="1"/>
    </row>
    <row r="397" spans="10:22">
      <c r="J397" s="1"/>
      <c r="N397" s="1"/>
      <c r="R397" s="1"/>
      <c r="V397" s="1"/>
    </row>
    <row r="398" spans="10:22">
      <c r="J398" s="1"/>
      <c r="N398" s="1"/>
      <c r="R398" s="1"/>
      <c r="V398" s="1"/>
    </row>
    <row r="399" spans="10:22">
      <c r="J399" s="1"/>
      <c r="N399" s="1"/>
      <c r="R399" s="1"/>
      <c r="V399" s="1"/>
    </row>
    <row r="400" spans="10:22">
      <c r="J400" s="1"/>
      <c r="N400" s="1"/>
      <c r="R400" s="1"/>
      <c r="V400" s="1"/>
    </row>
    <row r="401" spans="10:22">
      <c r="J401" s="1"/>
      <c r="N401" s="1"/>
      <c r="R401" s="1"/>
      <c r="V401" s="1"/>
    </row>
    <row r="402" spans="10:22">
      <c r="J402" s="1"/>
      <c r="N402" s="1"/>
      <c r="R402" s="1"/>
      <c r="V402" s="1"/>
    </row>
    <row r="403" spans="10:22">
      <c r="J403" s="1"/>
      <c r="N403" s="1"/>
      <c r="R403" s="1"/>
      <c r="V403" s="1"/>
    </row>
    <row r="404" spans="10:22">
      <c r="J404" s="1"/>
      <c r="N404" s="1"/>
      <c r="R404" s="1"/>
      <c r="V404" s="1"/>
    </row>
    <row r="405" spans="10:22">
      <c r="J405" s="1"/>
      <c r="N405" s="1"/>
      <c r="R405" s="1"/>
      <c r="V405" s="1"/>
    </row>
    <row r="406" spans="10:22">
      <c r="J406" s="1"/>
      <c r="R406" s="1"/>
    </row>
    <row r="407" spans="10:22">
      <c r="J407" s="1"/>
      <c r="R407" s="1"/>
    </row>
    <row r="408" spans="10:22">
      <c r="J408" s="1"/>
      <c r="R408" s="1"/>
    </row>
    <row r="409" spans="10:22">
      <c r="J409" s="1"/>
      <c r="R409" s="1"/>
    </row>
    <row r="410" spans="10:22">
      <c r="J410" s="1"/>
      <c r="R410" s="1"/>
    </row>
    <row r="411" spans="10:22">
      <c r="J411" s="1"/>
      <c r="R411" s="1"/>
    </row>
    <row r="412" spans="10:22">
      <c r="J412" s="1"/>
      <c r="R412" s="1"/>
    </row>
    <row r="413" spans="10:22">
      <c r="J413" s="1"/>
      <c r="R413" s="1"/>
    </row>
    <row r="414" spans="10:22">
      <c r="J414" s="1"/>
      <c r="R414" s="1"/>
    </row>
    <row r="415" spans="10:22">
      <c r="J415" s="1"/>
      <c r="R415" s="1"/>
    </row>
    <row r="416" spans="10:22">
      <c r="J416" s="1"/>
      <c r="R416" s="1"/>
    </row>
    <row r="417" spans="10:18">
      <c r="J417" s="1"/>
      <c r="R417" s="1"/>
    </row>
    <row r="418" spans="10:18">
      <c r="J418" s="1"/>
      <c r="R418" s="1"/>
    </row>
    <row r="419" spans="10:18">
      <c r="J419" s="1"/>
      <c r="R419" s="1"/>
    </row>
    <row r="420" spans="10:18">
      <c r="J420" s="1"/>
      <c r="R420" s="1"/>
    </row>
    <row r="421" spans="10:18">
      <c r="J421" s="1"/>
      <c r="R421" s="1"/>
    </row>
    <row r="422" spans="10:18">
      <c r="J422" s="1"/>
      <c r="R422" s="1"/>
    </row>
    <row r="423" spans="10:18">
      <c r="J423" s="1"/>
      <c r="R423" s="1"/>
    </row>
    <row r="424" spans="10:18">
      <c r="J424" s="1"/>
      <c r="R424" s="1"/>
    </row>
    <row r="425" spans="10:18">
      <c r="J425" s="1"/>
      <c r="R425" s="1"/>
    </row>
    <row r="426" spans="10:18">
      <c r="J426" s="1"/>
      <c r="R426" s="1"/>
    </row>
    <row r="427" spans="10:18">
      <c r="J427" s="1"/>
      <c r="R427" s="1"/>
    </row>
    <row r="428" spans="10:18">
      <c r="J428" s="1"/>
      <c r="R428" s="1"/>
    </row>
    <row r="429" spans="10:18">
      <c r="J429" s="1"/>
      <c r="R429" s="1"/>
    </row>
    <row r="430" spans="10:18">
      <c r="J430" s="1"/>
      <c r="R430" s="1"/>
    </row>
    <row r="431" spans="10:18">
      <c r="J431" s="1"/>
      <c r="R431" s="1"/>
    </row>
    <row r="432" spans="10:18">
      <c r="J432" s="1"/>
      <c r="R432" s="1"/>
    </row>
    <row r="433" spans="10:18">
      <c r="J433" s="1"/>
      <c r="R433" s="1"/>
    </row>
    <row r="434" spans="10:18">
      <c r="J434" s="1"/>
      <c r="R434" s="1"/>
    </row>
    <row r="435" spans="10:18">
      <c r="J435" s="1"/>
      <c r="R435" s="1"/>
    </row>
    <row r="436" spans="10:18">
      <c r="J436" s="1"/>
      <c r="R436" s="1"/>
    </row>
    <row r="437" spans="10:18">
      <c r="J437" s="1"/>
      <c r="R437" s="1"/>
    </row>
    <row r="438" spans="10:18">
      <c r="J438" s="1"/>
      <c r="R438" s="1"/>
    </row>
    <row r="439" spans="10:18">
      <c r="J439" s="1"/>
      <c r="R439" s="1"/>
    </row>
    <row r="440" spans="10:18">
      <c r="J440" s="1"/>
      <c r="R440" s="1"/>
    </row>
    <row r="441" spans="10:18">
      <c r="J441" s="1"/>
      <c r="R441" s="1"/>
    </row>
    <row r="442" spans="10:18">
      <c r="J442" s="1"/>
      <c r="R442" s="1"/>
    </row>
    <row r="443" spans="10:18">
      <c r="J443" s="1"/>
      <c r="R443" s="1"/>
    </row>
    <row r="444" spans="10:18">
      <c r="J444" s="1"/>
      <c r="R444" s="1"/>
    </row>
    <row r="445" spans="10:18">
      <c r="J445" s="1"/>
      <c r="R445" s="1"/>
    </row>
    <row r="446" spans="10:18">
      <c r="J446" s="1"/>
      <c r="R446" s="1"/>
    </row>
    <row r="447" spans="10:18">
      <c r="J447" s="1"/>
      <c r="R447" s="1"/>
    </row>
    <row r="448" spans="10:18">
      <c r="J448" s="1"/>
      <c r="R448" s="1"/>
    </row>
    <row r="449" spans="10:18">
      <c r="J449" s="1"/>
      <c r="R449" s="1"/>
    </row>
    <row r="450" spans="10:18">
      <c r="J450" s="1"/>
      <c r="R450" s="1"/>
    </row>
    <row r="451" spans="10:18">
      <c r="J451" s="1"/>
      <c r="R451" s="1"/>
    </row>
    <row r="452" spans="10:18">
      <c r="J452" s="1"/>
      <c r="R452" s="1"/>
    </row>
    <row r="453" spans="10:18">
      <c r="J453" s="1"/>
      <c r="R453" s="1"/>
    </row>
    <row r="454" spans="10:18">
      <c r="J454" s="1"/>
      <c r="R454" s="1"/>
    </row>
    <row r="455" spans="10:18">
      <c r="J455" s="1"/>
      <c r="R455" s="1"/>
    </row>
    <row r="456" spans="10:18">
      <c r="J456" s="1"/>
      <c r="R456" s="1"/>
    </row>
    <row r="457" spans="10:18">
      <c r="J457" s="1"/>
      <c r="R457" s="1"/>
    </row>
    <row r="458" spans="10:18">
      <c r="J458" s="1"/>
      <c r="R458" s="1"/>
    </row>
    <row r="459" spans="10:18">
      <c r="J459" s="1"/>
      <c r="R459" s="1"/>
    </row>
    <row r="460" spans="10:18">
      <c r="J460" s="1"/>
      <c r="R460" s="1"/>
    </row>
    <row r="461" spans="10:18">
      <c r="J461" s="1"/>
      <c r="R461" s="1"/>
    </row>
    <row r="462" spans="10:18">
      <c r="J462" s="1"/>
      <c r="R462" s="1"/>
    </row>
    <row r="463" spans="10:18">
      <c r="J463" s="1"/>
      <c r="R463" s="1"/>
    </row>
    <row r="464" spans="10:18">
      <c r="J464" s="1"/>
      <c r="R464" s="1"/>
    </row>
    <row r="465" spans="10:18">
      <c r="J465" s="1"/>
      <c r="R465" s="1"/>
    </row>
    <row r="466" spans="10:18">
      <c r="J466" s="1"/>
      <c r="R466" s="1"/>
    </row>
    <row r="467" spans="10:18">
      <c r="J467" s="1"/>
      <c r="R467" s="1"/>
    </row>
    <row r="468" spans="10:18">
      <c r="J468" s="1"/>
      <c r="R468" s="1"/>
    </row>
    <row r="469" spans="10:18">
      <c r="J469" s="1"/>
      <c r="R469" s="1"/>
    </row>
    <row r="470" spans="10:18">
      <c r="J470" s="1"/>
      <c r="R470" s="1"/>
    </row>
    <row r="471" spans="10:18">
      <c r="J471" s="1"/>
      <c r="R471" s="1"/>
    </row>
    <row r="472" spans="10:18">
      <c r="J472" s="1"/>
      <c r="R472" s="1"/>
    </row>
    <row r="473" spans="10:18">
      <c r="J473" s="1"/>
      <c r="R473" s="1"/>
    </row>
    <row r="474" spans="10:18">
      <c r="J474" s="1"/>
      <c r="R474" s="1"/>
    </row>
    <row r="475" spans="10:18">
      <c r="J475" s="1"/>
      <c r="R475" s="1"/>
    </row>
    <row r="476" spans="10:18">
      <c r="J476" s="1"/>
      <c r="R476" s="1"/>
    </row>
    <row r="477" spans="10:18">
      <c r="J477" s="1"/>
      <c r="R477" s="1"/>
    </row>
    <row r="478" spans="10:18">
      <c r="J478" s="1"/>
      <c r="R478" s="1"/>
    </row>
    <row r="479" spans="10:18">
      <c r="J479" s="1"/>
      <c r="R479" s="1"/>
    </row>
    <row r="480" spans="10:18">
      <c r="J480" s="1"/>
      <c r="R480" s="1"/>
    </row>
    <row r="481" spans="10:18">
      <c r="J481" s="1"/>
      <c r="R481" s="1"/>
    </row>
    <row r="482" spans="10:18">
      <c r="J482" s="1"/>
      <c r="R482" s="1"/>
    </row>
    <row r="483" spans="10:18">
      <c r="J483" s="1"/>
      <c r="R483" s="1"/>
    </row>
    <row r="484" spans="10:18">
      <c r="J484" s="1"/>
      <c r="R484" s="1"/>
    </row>
    <row r="485" spans="10:18">
      <c r="J485" s="1"/>
      <c r="R485" s="1"/>
    </row>
    <row r="486" spans="10:18">
      <c r="J486" s="1"/>
      <c r="R486" s="1"/>
    </row>
    <row r="487" spans="10:18">
      <c r="J487" s="1"/>
      <c r="R487" s="1"/>
    </row>
    <row r="488" spans="10:18">
      <c r="J488" s="1"/>
      <c r="R488" s="1"/>
    </row>
    <row r="489" spans="10:18">
      <c r="J489" s="1"/>
      <c r="R489" s="1"/>
    </row>
    <row r="490" spans="10:18">
      <c r="J490" s="1"/>
      <c r="R490" s="1"/>
    </row>
    <row r="491" spans="10:18">
      <c r="J491" s="1"/>
      <c r="R491" s="1"/>
    </row>
    <row r="492" spans="10:18">
      <c r="J492" s="1"/>
      <c r="R492" s="1"/>
    </row>
    <row r="493" spans="10:18">
      <c r="J493" s="1"/>
      <c r="R493" s="1"/>
    </row>
    <row r="494" spans="10:18">
      <c r="J494" s="1"/>
      <c r="R494" s="1"/>
    </row>
    <row r="495" spans="10:18">
      <c r="J495" s="1"/>
      <c r="R495" s="1"/>
    </row>
    <row r="496" spans="10:18">
      <c r="J496" s="1"/>
      <c r="R496" s="1"/>
    </row>
    <row r="497" spans="10:18">
      <c r="J497" s="1"/>
      <c r="R497" s="1"/>
    </row>
    <row r="498" spans="10:18">
      <c r="J498" s="1"/>
      <c r="R498" s="1"/>
    </row>
    <row r="499" spans="10:18">
      <c r="J499" s="1"/>
      <c r="R499" s="1"/>
    </row>
    <row r="500" spans="10:18">
      <c r="J500" s="1"/>
      <c r="R500" s="1"/>
    </row>
    <row r="501" spans="10:18">
      <c r="J501" s="1"/>
      <c r="R501" s="1"/>
    </row>
    <row r="502" spans="10:18">
      <c r="J502" s="1"/>
      <c r="R502" s="1"/>
    </row>
    <row r="503" spans="10:18">
      <c r="J503" s="1"/>
      <c r="R503" s="1"/>
    </row>
    <row r="504" spans="10:18">
      <c r="J504" s="1"/>
      <c r="R504" s="1"/>
    </row>
    <row r="505" spans="10:18">
      <c r="J505" s="1"/>
      <c r="R505" s="1"/>
    </row>
    <row r="506" spans="10:18">
      <c r="J506" s="1"/>
      <c r="R506" s="1"/>
    </row>
    <row r="507" spans="10:18">
      <c r="J507" s="1"/>
      <c r="R507" s="1"/>
    </row>
    <row r="508" spans="10:18">
      <c r="J508" s="1"/>
      <c r="R508" s="1"/>
    </row>
    <row r="509" spans="10:18">
      <c r="J509" s="1"/>
      <c r="R509" s="1"/>
    </row>
    <row r="510" spans="10:18">
      <c r="J510" s="1"/>
      <c r="R510" s="1"/>
    </row>
    <row r="511" spans="10:18">
      <c r="J511" s="1"/>
      <c r="R511" s="1"/>
    </row>
    <row r="512" spans="10:18">
      <c r="J512" s="1"/>
      <c r="R512" s="1"/>
    </row>
    <row r="513" spans="10:18">
      <c r="J513" s="1"/>
      <c r="R513" s="1"/>
    </row>
    <row r="514" spans="10:18">
      <c r="J514" s="1"/>
      <c r="R514" s="1"/>
    </row>
    <row r="515" spans="10:18">
      <c r="J515" s="1"/>
      <c r="R515" s="1"/>
    </row>
    <row r="516" spans="10:18">
      <c r="J516" s="1"/>
      <c r="R516" s="1"/>
    </row>
    <row r="517" spans="10:18">
      <c r="J517" s="1"/>
      <c r="R517" s="1"/>
    </row>
    <row r="518" spans="10:18">
      <c r="J518" s="1"/>
      <c r="R518" s="1"/>
    </row>
    <row r="519" spans="10:18">
      <c r="J519" s="1"/>
      <c r="R519" s="1"/>
    </row>
    <row r="520" spans="10:18">
      <c r="J520" s="1"/>
      <c r="R520" s="1"/>
    </row>
    <row r="521" spans="10:18">
      <c r="J521" s="1"/>
      <c r="R521" s="1"/>
    </row>
    <row r="522" spans="10:18">
      <c r="J522" s="1"/>
      <c r="R522" s="1"/>
    </row>
    <row r="523" spans="10:18">
      <c r="J523" s="1"/>
      <c r="R523" s="1"/>
    </row>
    <row r="524" spans="10:18">
      <c r="J524" s="1"/>
      <c r="R524" s="1"/>
    </row>
    <row r="525" spans="10:18">
      <c r="J525" s="1"/>
      <c r="R525" s="1"/>
    </row>
    <row r="526" spans="10:18">
      <c r="J526" s="1"/>
      <c r="R526" s="1"/>
    </row>
    <row r="527" spans="10:18">
      <c r="J527" s="1"/>
      <c r="R527" s="1"/>
    </row>
    <row r="528" spans="10:18">
      <c r="J528" s="1"/>
      <c r="R528" s="1"/>
    </row>
    <row r="529" spans="10:18">
      <c r="J529" s="1"/>
      <c r="R529" s="1"/>
    </row>
    <row r="530" spans="10:18">
      <c r="J530" s="1"/>
      <c r="R530" s="1"/>
    </row>
    <row r="531" spans="10:18">
      <c r="J531" s="1"/>
      <c r="R531" s="1"/>
    </row>
    <row r="532" spans="10:18">
      <c r="J532" s="1"/>
      <c r="R532" s="1"/>
    </row>
    <row r="533" spans="10:18">
      <c r="J533" s="1"/>
      <c r="R533" s="1"/>
    </row>
    <row r="534" spans="10:18">
      <c r="J534" s="1"/>
      <c r="R534" s="1"/>
    </row>
    <row r="535" spans="10:18">
      <c r="J535" s="1"/>
      <c r="R535" s="1"/>
    </row>
    <row r="536" spans="10:18">
      <c r="J536" s="1"/>
      <c r="R536" s="1"/>
    </row>
    <row r="537" spans="10:18">
      <c r="J537" s="1"/>
      <c r="R537" s="1"/>
    </row>
    <row r="538" spans="10:18">
      <c r="J538" s="1"/>
      <c r="R538" s="1"/>
    </row>
    <row r="539" spans="10:18">
      <c r="J539" s="1"/>
      <c r="R539" s="1"/>
    </row>
    <row r="540" spans="10:18">
      <c r="J540" s="1"/>
      <c r="R540" s="1"/>
    </row>
    <row r="541" spans="10:18">
      <c r="J541" s="1"/>
      <c r="R541" s="1"/>
    </row>
    <row r="542" spans="10:18">
      <c r="J542" s="1"/>
      <c r="R542" s="1"/>
    </row>
    <row r="543" spans="10:18">
      <c r="J543" s="1"/>
      <c r="R543" s="1"/>
    </row>
    <row r="544" spans="10:18">
      <c r="J544" s="1"/>
      <c r="R544" s="1"/>
    </row>
    <row r="545" spans="10:18">
      <c r="J545" s="1"/>
      <c r="R545" s="1"/>
    </row>
    <row r="546" spans="10:18">
      <c r="J546" s="1"/>
      <c r="R546" s="1"/>
    </row>
    <row r="547" spans="10:18">
      <c r="J547" s="1"/>
      <c r="R547" s="1"/>
    </row>
    <row r="548" spans="10:18">
      <c r="J548" s="1"/>
      <c r="R548" s="1"/>
    </row>
    <row r="549" spans="10:18">
      <c r="J549" s="1"/>
      <c r="R549" s="1"/>
    </row>
    <row r="550" spans="10:18">
      <c r="J550" s="1"/>
      <c r="R550" s="1"/>
    </row>
    <row r="551" spans="10:18">
      <c r="J551" s="1"/>
      <c r="R551" s="1"/>
    </row>
    <row r="552" spans="10:18">
      <c r="J552" s="1"/>
      <c r="R552" s="1"/>
    </row>
    <row r="553" spans="10:18">
      <c r="J553" s="1"/>
      <c r="R553" s="1"/>
    </row>
    <row r="554" spans="10:18">
      <c r="J554" s="1"/>
      <c r="R554" s="1"/>
    </row>
    <row r="555" spans="10:18">
      <c r="J555" s="1"/>
      <c r="R555" s="1"/>
    </row>
    <row r="556" spans="10:18">
      <c r="J556" s="1"/>
      <c r="R556" s="1"/>
    </row>
    <row r="557" spans="10:18">
      <c r="J557" s="1"/>
      <c r="R557" s="1"/>
    </row>
    <row r="558" spans="10:18">
      <c r="J558" s="1"/>
      <c r="R558" s="1"/>
    </row>
    <row r="559" spans="10:18">
      <c r="J559" s="1"/>
      <c r="R559" s="1"/>
    </row>
    <row r="560" spans="10:18">
      <c r="J560" s="1"/>
      <c r="R560" s="1"/>
    </row>
    <row r="561" spans="10:18">
      <c r="J561" s="1"/>
      <c r="R561" s="1"/>
    </row>
    <row r="562" spans="10:18">
      <c r="J562" s="1"/>
      <c r="R562" s="1"/>
    </row>
    <row r="563" spans="10:18">
      <c r="J563" s="1"/>
      <c r="R563" s="1"/>
    </row>
    <row r="564" spans="10:18">
      <c r="J564" s="1"/>
      <c r="R564" s="1"/>
    </row>
    <row r="565" spans="10:18">
      <c r="J565" s="1"/>
      <c r="R565" s="1"/>
    </row>
    <row r="566" spans="10:18">
      <c r="J566" s="1"/>
      <c r="R566" s="1"/>
    </row>
    <row r="567" spans="10:18">
      <c r="J567" s="1"/>
      <c r="R567" s="1"/>
    </row>
    <row r="568" spans="10:18">
      <c r="J568" s="1"/>
      <c r="R568" s="1"/>
    </row>
    <row r="569" spans="10:18">
      <c r="J569" s="1"/>
      <c r="R569" s="1"/>
    </row>
    <row r="570" spans="10:18">
      <c r="J570" s="1"/>
      <c r="R570" s="1"/>
    </row>
    <row r="571" spans="10:18">
      <c r="J571" s="1"/>
      <c r="R571" s="1"/>
    </row>
    <row r="572" spans="10:18">
      <c r="J572" s="1"/>
      <c r="R572" s="1"/>
    </row>
    <row r="573" spans="10:18">
      <c r="J573" s="1"/>
      <c r="R573" s="1"/>
    </row>
    <row r="574" spans="10:18">
      <c r="J574" s="1"/>
      <c r="R574" s="1"/>
    </row>
    <row r="575" spans="10:18">
      <c r="J575" s="1"/>
      <c r="R575" s="1"/>
    </row>
    <row r="576" spans="10:18">
      <c r="J576" s="1"/>
      <c r="R576" s="1"/>
    </row>
    <row r="577" spans="10:18">
      <c r="J577" s="1"/>
      <c r="R577" s="1"/>
    </row>
    <row r="578" spans="10:18">
      <c r="J578" s="1"/>
      <c r="R578" s="1"/>
    </row>
    <row r="579" spans="10:18">
      <c r="J579" s="1"/>
      <c r="R579" s="1"/>
    </row>
    <row r="580" spans="10:18">
      <c r="J580" s="1"/>
      <c r="R580" s="1"/>
    </row>
    <row r="581" spans="10:18">
      <c r="J581" s="1"/>
      <c r="R581" s="1"/>
    </row>
    <row r="582" spans="10:18">
      <c r="J582" s="1"/>
      <c r="R582" s="1"/>
    </row>
    <row r="583" spans="10:18">
      <c r="J583" s="1"/>
      <c r="R583" s="1"/>
    </row>
    <row r="584" spans="10:18">
      <c r="J584" s="1"/>
      <c r="R584" s="1"/>
    </row>
    <row r="585" spans="10:18">
      <c r="J585" s="1"/>
      <c r="R585" s="1"/>
    </row>
    <row r="586" spans="10:18">
      <c r="J586" s="1"/>
      <c r="R586" s="1"/>
    </row>
    <row r="587" spans="10:18">
      <c r="J587" s="1"/>
      <c r="R587" s="1"/>
    </row>
    <row r="588" spans="10:18">
      <c r="J588" s="1"/>
      <c r="R588" s="1"/>
    </row>
    <row r="589" spans="10:18">
      <c r="J589" s="1"/>
      <c r="R589" s="1"/>
    </row>
    <row r="590" spans="10:18">
      <c r="J590" s="1"/>
      <c r="R590" s="1"/>
    </row>
    <row r="591" spans="10:18">
      <c r="J591" s="1"/>
      <c r="R591" s="1"/>
    </row>
    <row r="592" spans="10:18">
      <c r="J592" s="1"/>
      <c r="R592" s="1"/>
    </row>
    <row r="593" spans="10:18">
      <c r="J593" s="1"/>
      <c r="R593" s="1"/>
    </row>
    <row r="594" spans="10:18">
      <c r="J594" s="1"/>
      <c r="R594" s="1"/>
    </row>
    <row r="595" spans="10:18">
      <c r="J595" s="1"/>
      <c r="R595" s="1"/>
    </row>
    <row r="596" spans="10:18">
      <c r="J596" s="1"/>
      <c r="R596" s="1"/>
    </row>
    <row r="597" spans="10:18">
      <c r="J597" s="1"/>
      <c r="R597" s="1"/>
    </row>
    <row r="598" spans="10:18">
      <c r="J598" s="1"/>
      <c r="R598" s="1"/>
    </row>
    <row r="599" spans="10:18">
      <c r="J599" s="1"/>
      <c r="R599" s="1"/>
    </row>
    <row r="600" spans="10:18">
      <c r="J600" s="1"/>
      <c r="R600" s="1"/>
    </row>
    <row r="601" spans="10:18">
      <c r="J601" s="1"/>
      <c r="R601" s="1"/>
    </row>
    <row r="602" spans="10:18">
      <c r="J602" s="1"/>
      <c r="R602" s="1"/>
    </row>
    <row r="603" spans="10:18">
      <c r="J603" s="1"/>
      <c r="R603" s="1"/>
    </row>
    <row r="604" spans="10:18">
      <c r="J604" s="1"/>
      <c r="R604" s="1"/>
    </row>
    <row r="605" spans="10:18">
      <c r="J605" s="1"/>
      <c r="R605" s="1"/>
    </row>
    <row r="606" spans="10:18">
      <c r="J606" s="1"/>
      <c r="R606" s="1"/>
    </row>
    <row r="607" spans="10:18">
      <c r="J607" s="1"/>
      <c r="R607" s="1"/>
    </row>
    <row r="608" spans="10:18">
      <c r="J608" s="1"/>
      <c r="R608" s="1"/>
    </row>
    <row r="609" spans="10:18">
      <c r="J609" s="1"/>
      <c r="R609" s="1"/>
    </row>
    <row r="610" spans="10:18">
      <c r="J610" s="1"/>
      <c r="R610" s="1"/>
    </row>
    <row r="611" spans="10:18">
      <c r="J611" s="1"/>
      <c r="R611" s="1"/>
    </row>
    <row r="612" spans="10:18">
      <c r="J612" s="1"/>
      <c r="R612" s="1"/>
    </row>
    <row r="613" spans="10:18">
      <c r="J613" s="1"/>
      <c r="R613" s="1"/>
    </row>
    <row r="614" spans="10:18">
      <c r="J614" s="1"/>
      <c r="R614" s="1"/>
    </row>
    <row r="615" spans="10:18">
      <c r="J615" s="1"/>
      <c r="R615" s="1"/>
    </row>
    <row r="616" spans="10:18">
      <c r="J616" s="1"/>
      <c r="R616" s="1"/>
    </row>
    <row r="617" spans="10:18">
      <c r="J617" s="1"/>
      <c r="R617" s="1"/>
    </row>
    <row r="618" spans="10:18">
      <c r="J618" s="1"/>
      <c r="R618" s="1"/>
    </row>
    <row r="619" spans="10:18">
      <c r="J619" s="1"/>
      <c r="R619" s="1"/>
    </row>
    <row r="620" spans="10:18">
      <c r="J620" s="1"/>
      <c r="R620" s="1"/>
    </row>
    <row r="621" spans="10:18">
      <c r="J621" s="1"/>
      <c r="R621" s="1"/>
    </row>
    <row r="622" spans="10:18">
      <c r="J622" s="1"/>
      <c r="R622" s="1"/>
    </row>
    <row r="623" spans="10:18">
      <c r="J623" s="1"/>
      <c r="R623" s="1"/>
    </row>
    <row r="624" spans="10:18">
      <c r="J624" s="1"/>
      <c r="R624" s="1"/>
    </row>
    <row r="625" spans="10:18">
      <c r="J625" s="1"/>
      <c r="R625" s="1"/>
    </row>
    <row r="626" spans="10:18">
      <c r="J626" s="1"/>
      <c r="R626" s="1"/>
    </row>
    <row r="627" spans="10:18">
      <c r="J627" s="1"/>
      <c r="R627" s="1"/>
    </row>
    <row r="628" spans="10:18">
      <c r="J628" s="1"/>
      <c r="R628" s="1"/>
    </row>
    <row r="629" spans="10:18">
      <c r="J629" s="1"/>
      <c r="R629" s="1"/>
    </row>
    <row r="630" spans="10:18">
      <c r="J630" s="1"/>
      <c r="R630" s="1"/>
    </row>
    <row r="631" spans="10:18">
      <c r="J631" s="1"/>
      <c r="R631" s="1"/>
    </row>
    <row r="632" spans="10:18">
      <c r="J632" s="1"/>
      <c r="R632" s="1"/>
    </row>
    <row r="633" spans="10:18">
      <c r="J633" s="1"/>
      <c r="R633" s="1"/>
    </row>
    <row r="634" spans="10:18">
      <c r="J634" s="1"/>
      <c r="R634" s="1"/>
    </row>
    <row r="635" spans="10:18">
      <c r="J635" s="1"/>
      <c r="R635" s="1"/>
    </row>
    <row r="636" spans="10:18">
      <c r="J636" s="1"/>
      <c r="R636" s="1"/>
    </row>
    <row r="637" spans="10:18">
      <c r="J637" s="1"/>
      <c r="R637" s="1"/>
    </row>
    <row r="638" spans="10:18">
      <c r="J638" s="1"/>
      <c r="R638" s="1"/>
    </row>
    <row r="639" spans="10:18">
      <c r="J639" s="1"/>
      <c r="R639" s="1"/>
    </row>
    <row r="640" spans="10:18">
      <c r="J640" s="1"/>
      <c r="R640" s="1"/>
    </row>
    <row r="641" spans="10:18">
      <c r="J641" s="1"/>
      <c r="R641" s="1"/>
    </row>
    <row r="642" spans="10:18">
      <c r="J642" s="1"/>
      <c r="R642" s="1"/>
    </row>
    <row r="643" spans="10:18">
      <c r="J643" s="1"/>
      <c r="R643" s="1"/>
    </row>
    <row r="644" spans="10:18">
      <c r="J644" s="1"/>
      <c r="R644" s="1"/>
    </row>
    <row r="645" spans="10:18">
      <c r="J645" s="1"/>
      <c r="R645" s="1"/>
    </row>
    <row r="646" spans="10:18">
      <c r="J646" s="1"/>
      <c r="R646" s="1"/>
    </row>
    <row r="647" spans="10:18">
      <c r="J647" s="1"/>
      <c r="R647" s="1"/>
    </row>
    <row r="648" spans="10:18">
      <c r="J648" s="1"/>
      <c r="R648" s="1"/>
    </row>
    <row r="649" spans="10:18">
      <c r="J649" s="1"/>
      <c r="R649" s="1"/>
    </row>
    <row r="650" spans="10:18">
      <c r="J650" s="1"/>
      <c r="R650" s="1"/>
    </row>
    <row r="651" spans="10:18">
      <c r="J651" s="1"/>
      <c r="R651" s="1"/>
    </row>
    <row r="652" spans="10:18">
      <c r="J652" s="1"/>
      <c r="R652" s="1"/>
    </row>
    <row r="653" spans="10:18">
      <c r="J653" s="1"/>
      <c r="R653" s="1"/>
    </row>
    <row r="654" spans="10:18">
      <c r="J654" s="1"/>
      <c r="R654" s="1"/>
    </row>
    <row r="655" spans="10:18">
      <c r="J655" s="1"/>
      <c r="R655" s="1"/>
    </row>
    <row r="656" spans="10:18">
      <c r="J656" s="1"/>
      <c r="R656" s="1"/>
    </row>
    <row r="657" spans="10:18">
      <c r="J657" s="1"/>
      <c r="R657" s="1"/>
    </row>
    <row r="658" spans="10:18">
      <c r="J658" s="1"/>
      <c r="R658" s="1"/>
    </row>
    <row r="659" spans="10:18">
      <c r="J659" s="1"/>
      <c r="R659" s="1"/>
    </row>
    <row r="660" spans="10:18">
      <c r="J660" s="1"/>
      <c r="R660" s="1"/>
    </row>
    <row r="661" spans="10:18">
      <c r="J661" s="1"/>
      <c r="R661" s="1"/>
    </row>
    <row r="662" spans="10:18">
      <c r="J662" s="1"/>
      <c r="R662" s="1"/>
    </row>
    <row r="663" spans="10:18">
      <c r="J663" s="1"/>
      <c r="R663" s="1"/>
    </row>
    <row r="664" spans="10:18">
      <c r="J664" s="1"/>
      <c r="R664" s="1"/>
    </row>
    <row r="665" spans="10:18">
      <c r="J665" s="1"/>
      <c r="R665" s="1"/>
    </row>
    <row r="666" spans="10:18">
      <c r="J666" s="1"/>
      <c r="R666" s="1"/>
    </row>
    <row r="667" spans="10:18">
      <c r="J667" s="1"/>
      <c r="R667" s="1"/>
    </row>
    <row r="668" spans="10:18">
      <c r="J668" s="1"/>
      <c r="R668" s="1"/>
    </row>
    <row r="669" spans="10:18">
      <c r="J669" s="1"/>
      <c r="R669" s="1"/>
    </row>
    <row r="670" spans="10:18">
      <c r="J670" s="1"/>
      <c r="R670" s="1"/>
    </row>
    <row r="671" spans="10:18">
      <c r="J671" s="1"/>
      <c r="R671" s="1"/>
    </row>
    <row r="672" spans="10:18">
      <c r="J672" s="1"/>
      <c r="R672" s="1"/>
    </row>
    <row r="673" spans="10:18">
      <c r="J673" s="1"/>
      <c r="R673" s="1"/>
    </row>
    <row r="674" spans="10:18">
      <c r="J674" s="1"/>
      <c r="R674" s="1"/>
    </row>
    <row r="675" spans="10:18">
      <c r="J675" s="1"/>
      <c r="R675" s="1"/>
    </row>
    <row r="676" spans="10:18">
      <c r="J676" s="1"/>
      <c r="R676" s="1"/>
    </row>
    <row r="677" spans="10:18">
      <c r="J677" s="1"/>
      <c r="R677" s="1"/>
    </row>
    <row r="678" spans="10:18">
      <c r="J678" s="1"/>
      <c r="R678" s="1"/>
    </row>
    <row r="679" spans="10:18">
      <c r="J679" s="1"/>
      <c r="R679" s="1"/>
    </row>
    <row r="680" spans="10:18">
      <c r="J680" s="1"/>
      <c r="R680" s="1"/>
    </row>
    <row r="681" spans="10:18">
      <c r="J681" s="1"/>
      <c r="R681" s="1"/>
    </row>
    <row r="682" spans="10:18">
      <c r="J682" s="1"/>
      <c r="R682" s="1"/>
    </row>
    <row r="683" spans="10:18">
      <c r="J683" s="1"/>
      <c r="R683" s="1"/>
    </row>
    <row r="684" spans="10:18">
      <c r="J684" s="1"/>
      <c r="R684" s="1"/>
    </row>
    <row r="685" spans="10:18">
      <c r="J685" s="1"/>
      <c r="R685" s="1"/>
    </row>
  </sheetData>
  <mergeCells count="9">
    <mergeCell ref="R13:Y13"/>
    <mergeCell ref="R14:U14"/>
    <mergeCell ref="V14:Y14"/>
    <mergeCell ref="H1:H3"/>
    <mergeCell ref="B14:E14"/>
    <mergeCell ref="F14:I14"/>
    <mergeCell ref="B13:I13"/>
    <mergeCell ref="J13:M13"/>
    <mergeCell ref="N13:Q13"/>
  </mergeCells>
  <phoneticPr fontId="0" type="noConversion"/>
  <printOptions horizontalCentered="1"/>
  <pageMargins left="0.25" right="0.25" top="0.35" bottom="0.35" header="0" footer="0"/>
  <pageSetup scale="64" fitToHeight="0" orientation="portrait" r:id="rId1"/>
  <headerFooter scaleWithDoc="0" alignWithMargins="0">
    <oddHeader>&amp;L&amp;9&amp;D; &amp;T</oddHeader>
    <oddFooter>&amp;C&amp;9Page &amp;P of &amp;N</odd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
    <pageSetUpPr fitToPage="1"/>
  </sheetPr>
  <dimension ref="A1:CI1048422"/>
  <sheetViews>
    <sheetView view="pageBreakPreview" zoomScale="75" zoomScaleNormal="75" zoomScaleSheetLayoutView="75" workbookViewId="0">
      <pane xSplit="9" ySplit="21" topLeftCell="J22" activePane="bottomRight" state="frozen"/>
      <selection pane="topRight"/>
      <selection pane="bottomLeft"/>
      <selection pane="bottomRight" activeCell="B20" sqref="B20"/>
    </sheetView>
  </sheetViews>
  <sheetFormatPr defaultRowHeight="15.75"/>
  <cols>
    <col min="1" max="1" width="4.75" customWidth="1"/>
    <col min="2" max="2" width="9.125" customWidth="1"/>
    <col min="3" max="3" width="11.25" hidden="1" customWidth="1"/>
    <col min="4" max="4" width="7.25" customWidth="1"/>
    <col min="5" max="5" width="11" hidden="1" customWidth="1"/>
    <col min="6" max="6" width="9.25" hidden="1" customWidth="1"/>
    <col min="7" max="7" width="6" customWidth="1"/>
    <col min="8" max="8" width="9.5" customWidth="1"/>
    <col min="9" max="9" width="8" customWidth="1"/>
    <col min="10" max="10" width="8.625" customWidth="1"/>
    <col min="11" max="11" width="6.625" customWidth="1"/>
    <col min="12" max="12" width="9.5" hidden="1" customWidth="1"/>
    <col min="13" max="13" width="9.625" customWidth="1"/>
    <col min="14" max="14" width="8.625" customWidth="1"/>
    <col min="15" max="15" width="6.625" customWidth="1"/>
    <col min="16" max="16" width="9.5" hidden="1" customWidth="1"/>
    <col min="17" max="17" width="9.625" customWidth="1"/>
    <col min="18" max="18" width="8.625" customWidth="1"/>
    <col min="19" max="19" width="6.625" customWidth="1"/>
    <col min="20" max="20" width="9.5" hidden="1" customWidth="1"/>
    <col min="21" max="21" width="9.625" customWidth="1"/>
    <col min="22" max="22" width="8.625" customWidth="1"/>
    <col min="23" max="23" width="6.625" customWidth="1"/>
    <col min="24" max="24" width="6" hidden="1" customWidth="1"/>
    <col min="25" max="25" width="9.625" customWidth="1"/>
    <col min="26" max="26" width="8.625" customWidth="1"/>
    <col min="27" max="27" width="6.625" customWidth="1"/>
    <col min="28" max="28" width="7" hidden="1" customWidth="1"/>
    <col min="29" max="29" width="9.625" customWidth="1"/>
    <col min="30" max="30" width="8.625" customWidth="1"/>
    <col min="31" max="31" width="6.625" customWidth="1"/>
    <col min="32" max="32" width="6" hidden="1" customWidth="1"/>
    <col min="33" max="33" width="9.625" customWidth="1"/>
    <col min="34" max="34" width="8.625" customWidth="1"/>
    <col min="35" max="35" width="6.625" customWidth="1"/>
    <col min="36" max="36" width="7" hidden="1" customWidth="1"/>
    <col min="37" max="37" width="9.625" customWidth="1"/>
    <col min="38" max="71" width="13.375" customWidth="1"/>
    <col min="72" max="72" width="10.25" customWidth="1"/>
    <col min="73" max="73" width="13.5" customWidth="1"/>
    <col min="74" max="74" width="14.375" hidden="1" customWidth="1"/>
    <col min="75" max="75" width="13.375" bestFit="1" customWidth="1"/>
    <col min="76" max="76" width="9.375" customWidth="1"/>
    <col min="77" max="77" width="13.5" customWidth="1"/>
    <col min="78" max="78" width="14.375" hidden="1" customWidth="1"/>
    <col min="79" max="79" width="13.375" bestFit="1" customWidth="1"/>
    <col min="80" max="80" width="10.375" bestFit="1" customWidth="1"/>
    <col min="81" max="81" width="13.5" customWidth="1"/>
    <col min="82" max="82" width="14.375" hidden="1" customWidth="1"/>
    <col min="83" max="83" width="13.375" bestFit="1" customWidth="1"/>
    <col min="84" max="84" width="9.375" customWidth="1"/>
    <col min="85" max="85" width="13.5" customWidth="1"/>
    <col min="86" max="86" width="14.375" hidden="1" customWidth="1"/>
    <col min="87" max="87" width="13.375" bestFit="1" customWidth="1"/>
  </cols>
  <sheetData>
    <row r="1" spans="1:87" s="967" customFormat="1" ht="20.100000000000001" customHeight="1">
      <c r="H1" s="1789" t="s">
        <v>1097</v>
      </c>
      <c r="I1" s="968" t="s">
        <v>966</v>
      </c>
      <c r="J1" s="968" t="s">
        <v>1553</v>
      </c>
      <c r="K1" s="968"/>
      <c r="L1" s="968"/>
      <c r="M1" s="968"/>
      <c r="N1" s="968" t="s">
        <v>1552</v>
      </c>
      <c r="O1" s="968"/>
      <c r="P1" s="968"/>
      <c r="Q1" s="968"/>
      <c r="R1" s="968" t="s">
        <v>1109</v>
      </c>
      <c r="S1" s="968"/>
      <c r="T1" s="968"/>
      <c r="U1" s="968"/>
      <c r="V1" s="968" t="s">
        <v>1553</v>
      </c>
      <c r="W1" s="968"/>
      <c r="X1" s="968"/>
      <c r="Y1" s="968"/>
      <c r="Z1" s="968" t="s">
        <v>1552</v>
      </c>
      <c r="AA1" s="968"/>
      <c r="AB1" s="968"/>
      <c r="AC1" s="968"/>
      <c r="AD1" s="968" t="s">
        <v>1552</v>
      </c>
      <c r="AE1" s="968"/>
      <c r="AF1" s="968"/>
      <c r="AG1" s="968"/>
      <c r="AH1" s="968" t="s">
        <v>1109</v>
      </c>
      <c r="AI1" s="968"/>
      <c r="AJ1" s="968"/>
      <c r="AK1" s="968"/>
    </row>
    <row r="2" spans="1:87" s="967" customFormat="1" ht="20.100000000000001" customHeight="1">
      <c r="H2" s="1790"/>
      <c r="I2" s="967" t="s">
        <v>951</v>
      </c>
      <c r="J2" s="967" t="s">
        <v>1107</v>
      </c>
      <c r="N2" s="1181" t="s">
        <v>1108</v>
      </c>
      <c r="R2" s="967" t="s">
        <v>1109</v>
      </c>
      <c r="V2" s="967" t="s">
        <v>1107</v>
      </c>
      <c r="Z2" s="1181" t="s">
        <v>1108</v>
      </c>
      <c r="AD2" s="1181" t="s">
        <v>1108</v>
      </c>
      <c r="AH2" s="967">
        <v>12</v>
      </c>
    </row>
    <row r="3" spans="1:87" s="967" customFormat="1" ht="20.100000000000001" customHeight="1">
      <c r="H3" s="1791"/>
      <c r="I3" s="971" t="s">
        <v>967</v>
      </c>
      <c r="J3" s="971">
        <v>34</v>
      </c>
      <c r="K3" s="971"/>
      <c r="L3" s="971"/>
      <c r="M3" s="971"/>
      <c r="N3" s="1180" t="s">
        <v>1551</v>
      </c>
      <c r="O3" s="971"/>
      <c r="P3" s="971"/>
      <c r="Q3" s="971"/>
      <c r="R3" s="971" t="s">
        <v>1110</v>
      </c>
      <c r="S3" s="971"/>
      <c r="T3" s="971"/>
      <c r="U3" s="971"/>
      <c r="V3" s="971">
        <v>34</v>
      </c>
      <c r="W3" s="971"/>
      <c r="X3" s="971"/>
      <c r="Y3" s="971"/>
      <c r="Z3" s="1180" t="s">
        <v>1551</v>
      </c>
      <c r="AA3" s="971"/>
      <c r="AB3" s="971"/>
      <c r="AC3" s="971"/>
      <c r="AD3" s="1180" t="s">
        <v>1551</v>
      </c>
      <c r="AE3" s="971"/>
      <c r="AF3" s="971"/>
      <c r="AG3" s="971"/>
      <c r="AH3" s="971" t="s">
        <v>1110</v>
      </c>
      <c r="AI3" s="971"/>
      <c r="AJ3" s="971"/>
      <c r="AK3" s="971"/>
    </row>
    <row r="4" spans="1:87" s="940" customFormat="1" ht="16.5" thickBot="1"/>
    <row r="5" spans="1:87">
      <c r="B5" s="398" t="s">
        <v>969</v>
      </c>
      <c r="C5" s="399"/>
      <c r="D5" s="399"/>
      <c r="E5" s="399"/>
      <c r="F5" s="399"/>
      <c r="G5" s="962" t="s">
        <v>660</v>
      </c>
      <c r="H5" s="962" t="s">
        <v>1093</v>
      </c>
      <c r="I5" s="962" t="s">
        <v>707</v>
      </c>
      <c r="J5" s="399"/>
      <c r="K5" s="399"/>
      <c r="L5" s="399"/>
      <c r="M5" s="399"/>
      <c r="N5" s="399"/>
      <c r="O5" s="399"/>
      <c r="P5" s="399"/>
      <c r="Q5" s="399"/>
      <c r="R5" s="399"/>
      <c r="S5" s="399"/>
      <c r="T5" s="399"/>
      <c r="U5" s="399"/>
      <c r="V5" s="399"/>
      <c r="W5" s="399"/>
      <c r="X5" s="399"/>
      <c r="Y5" s="399"/>
      <c r="Z5" s="399"/>
      <c r="AA5" s="399"/>
      <c r="AB5" s="399"/>
      <c r="AC5" s="399"/>
      <c r="AD5" s="399"/>
      <c r="AE5" s="399"/>
      <c r="AF5" s="399"/>
      <c r="AG5" s="399"/>
      <c r="AH5" s="399"/>
      <c r="AI5" s="399"/>
      <c r="AJ5" s="399"/>
      <c r="AK5" s="399"/>
    </row>
    <row r="6" spans="1:87" s="973" customFormat="1" ht="20.25">
      <c r="A6"/>
      <c r="B6" s="984" t="str">
        <f>FlowSetAQWindTunnel</f>
        <v>WT?</v>
      </c>
      <c r="C6"/>
      <c r="D6"/>
      <c r="E6"/>
      <c r="F6"/>
      <c r="G6" s="942" t="s">
        <v>1091</v>
      </c>
      <c r="H6" s="942" t="s">
        <v>1091</v>
      </c>
      <c r="I6" s="940">
        <v>0.97430000000000005</v>
      </c>
      <c r="J6" s="973" t="str">
        <f>IF($B$6="WT1",J$1,IF($B$6="WT2",J$2,IF($B$6="WT3",J$3,"Pick a Tunnel")))</f>
        <v>Pick a Tunnel</v>
      </c>
      <c r="N6" s="973" t="str">
        <f>IF($B$6="WT1",N$1,IF($B$6="WT2",N$2,IF($B$6="WT3",N$3,"Pick a Tunnel")))</f>
        <v>Pick a Tunnel</v>
      </c>
      <c r="R6" s="973" t="str">
        <f>IF($B$6="WT1",R$1,IF($B$6="WT2",R$2,IF($B$6="WT3",R$3,"Pick a Tunnel")))</f>
        <v>Pick a Tunnel</v>
      </c>
      <c r="V6" s="973" t="str">
        <f>IF($B$6="WT1",V$1,IF($B$6="WT2",V$2,IF($B$6="WT3",V$3,"Pick a Tunnel")))</f>
        <v>Pick a Tunnel</v>
      </c>
      <c r="Z6" s="973" t="str">
        <f>IF($B$6="WT1",Z$1,IF($B$6="WT2",Z$2,IF($B$6="WT3",Z$3,"Pick a Tunnel")))</f>
        <v>Pick a Tunnel</v>
      </c>
      <c r="AD6" s="973" t="str">
        <f>IF($B$6="WT1",AD$1,IF($B$6="WT2",AD$2,IF($B$6="WT3",AD$3,"Pick a Tunnel")))</f>
        <v>Pick a Tunnel</v>
      </c>
      <c r="AH6" s="973" t="str">
        <f>IF($B$6="WT1",AH$1,IF($B$6="WT2",AH$2,IF($B$6="WT3",AH$3,"Pick a Tunnel")))</f>
        <v>Pick a Tunnel</v>
      </c>
    </row>
    <row r="7" spans="1:87" s="973" customFormat="1" ht="16.5" thickBot="1">
      <c r="A7"/>
      <c r="B7" s="963"/>
      <c r="C7" s="964"/>
      <c r="D7" s="964"/>
      <c r="E7" s="964"/>
      <c r="F7" s="964"/>
      <c r="G7" s="965" t="s">
        <v>1091</v>
      </c>
      <c r="H7" s="965" t="s">
        <v>1091</v>
      </c>
      <c r="I7" s="966">
        <v>0.22819999999999999</v>
      </c>
      <c r="J7" s="975" t="str">
        <f>IF($B$6="WT1",J$1,IF($B$6="WT2",J$2,IF($B$6="WT3",J$3,"Pick a Tunnel")))</f>
        <v>Pick a Tunnel</v>
      </c>
      <c r="K7" s="975"/>
      <c r="L7" s="975"/>
      <c r="M7" s="975"/>
      <c r="N7" s="975" t="str">
        <f>IF($B$6="WT1",N$1,IF($B$6="WT2",N$2,IF($B$6="WT3",N$3,"Pick a Tunnel")))</f>
        <v>Pick a Tunnel</v>
      </c>
      <c r="O7" s="975"/>
      <c r="P7" s="975"/>
      <c r="Q7" s="975"/>
      <c r="R7" s="975" t="str">
        <f>IF($B$6="WT1",R$1,IF($B$6="WT2",R$2,IF($B$6="WT3",R$3,"Pick a Tunnel")))</f>
        <v>Pick a Tunnel</v>
      </c>
      <c r="S7" s="975"/>
      <c r="T7" s="975"/>
      <c r="U7" s="975"/>
      <c r="V7" s="975" t="str">
        <f>IF($B$6="WT1",V$1,IF($B$6="WT2",V$2,IF($B$6="WT3",V$3,"Pick a Tunnel")))</f>
        <v>Pick a Tunnel</v>
      </c>
      <c r="W7" s="975"/>
      <c r="X7" s="975"/>
      <c r="Y7" s="975"/>
      <c r="Z7" s="975" t="str">
        <f>IF($B$6="WT1",Z$1,IF($B$6="WT2",Z$2,IF($B$6="WT3",Z$3,"Pick a Tunnel")))</f>
        <v>Pick a Tunnel</v>
      </c>
      <c r="AA7" s="975"/>
      <c r="AB7" s="975"/>
      <c r="AC7" s="975"/>
      <c r="AD7" s="975" t="str">
        <f>IF($B$6="WT1",AD$1,IF($B$6="WT2",AD$2,IF($B$6="WT3",AD$3,"Pick a Tunnel")))</f>
        <v>Pick a Tunnel</v>
      </c>
      <c r="AE7" s="975"/>
      <c r="AF7" s="975"/>
      <c r="AG7" s="975"/>
      <c r="AH7" s="975" t="str">
        <f>IF($B$6="WT1",AH$1,IF($B$6="WT2",AH$2,IF($B$6="WT3",AH$3,"Pick a Tunnel")))</f>
        <v>Pick a Tunnel</v>
      </c>
      <c r="AI7" s="975"/>
      <c r="AJ7" s="975"/>
      <c r="AK7" s="975"/>
    </row>
    <row r="8" spans="1:87" ht="20.25">
      <c r="B8" s="120" t="str">
        <f>SourceProjectName1</f>
        <v>Project Name 1</v>
      </c>
      <c r="G8" s="942"/>
      <c r="H8" s="942"/>
      <c r="I8" s="940"/>
    </row>
    <row r="9" spans="1:87" ht="20.25">
      <c r="B9" s="120" t="str">
        <f>SourceProjectName2</f>
        <v>Project Name 2</v>
      </c>
      <c r="G9" s="942"/>
      <c r="H9" s="942"/>
      <c r="I9" s="940"/>
    </row>
    <row r="10" spans="1:87" ht="20.25">
      <c r="B10" s="120" t="str">
        <f>SourceProjectNumber</f>
        <v>Project Number</v>
      </c>
      <c r="G10" s="942"/>
      <c r="H10" s="942"/>
      <c r="I10" s="940"/>
    </row>
    <row r="11" spans="1:87">
      <c r="B11" s="115" t="s">
        <v>1099</v>
      </c>
      <c r="D11" s="977">
        <v>0</v>
      </c>
      <c r="G11" s="942"/>
      <c r="H11" s="942"/>
      <c r="I11" s="940"/>
    </row>
    <row r="12" spans="1:87" ht="20.25">
      <c r="B12" s="793" t="s">
        <v>1111</v>
      </c>
      <c r="J12" s="115"/>
      <c r="K12" s="115"/>
      <c r="L12" s="115"/>
      <c r="M12" s="115"/>
      <c r="N12" s="115"/>
      <c r="O12" s="115"/>
      <c r="P12" s="115"/>
      <c r="Q12" s="115"/>
      <c r="R12" s="115"/>
      <c r="S12" s="115"/>
      <c r="T12" s="115"/>
      <c r="U12" s="115"/>
      <c r="V12" s="356"/>
      <c r="Y12" s="743"/>
      <c r="Z12" s="743"/>
      <c r="AA12" s="743"/>
      <c r="AD12" s="356"/>
      <c r="AG12" s="743"/>
      <c r="AH12" s="743"/>
      <c r="AI12" s="743"/>
      <c r="BT12" s="356"/>
      <c r="BW12" s="743"/>
      <c r="BX12" s="743"/>
      <c r="BY12" s="743"/>
      <c r="BZ12" s="743"/>
      <c r="CA12" s="743"/>
      <c r="CB12" s="743"/>
      <c r="CC12" s="743"/>
      <c r="CD12" s="743"/>
      <c r="CE12" s="743"/>
      <c r="CF12" s="743"/>
      <c r="CG12" s="743"/>
    </row>
    <row r="13" spans="1:87" ht="18.75">
      <c r="A13" s="41"/>
      <c r="B13" s="795"/>
      <c r="C13" s="41"/>
      <c r="D13" s="41"/>
      <c r="E13" s="41"/>
      <c r="F13" s="423"/>
      <c r="G13" s="796"/>
      <c r="H13" s="41"/>
      <c r="I13" s="41"/>
      <c r="J13" s="1792" t="s">
        <v>1105</v>
      </c>
      <c r="K13" s="1793"/>
      <c r="L13" s="1793"/>
      <c r="M13" s="1793"/>
      <c r="N13" s="1792" t="s">
        <v>1105</v>
      </c>
      <c r="O13" s="1793"/>
      <c r="P13" s="1793"/>
      <c r="Q13" s="1793"/>
      <c r="R13" s="1792" t="s">
        <v>1105</v>
      </c>
      <c r="S13" s="1793"/>
      <c r="T13" s="1793"/>
      <c r="U13" s="1793"/>
      <c r="V13" s="1796" t="s">
        <v>962</v>
      </c>
      <c r="W13" s="1797"/>
      <c r="X13" s="1797"/>
      <c r="Y13" s="1797"/>
      <c r="Z13" s="1797"/>
      <c r="AA13" s="1797"/>
      <c r="AB13" s="1797"/>
      <c r="AC13" s="1797"/>
      <c r="AD13" s="1797"/>
      <c r="AE13" s="1797"/>
      <c r="AF13" s="1797"/>
      <c r="AG13" s="1797"/>
      <c r="AH13" s="1797"/>
      <c r="AI13" s="1797"/>
      <c r="AJ13" s="1797"/>
      <c r="AK13" s="1798"/>
    </row>
    <row r="14" spans="1:87">
      <c r="A14" s="73"/>
      <c r="B14" s="1779" t="s">
        <v>121</v>
      </c>
      <c r="C14" s="1780"/>
      <c r="D14" s="1780"/>
      <c r="E14" s="1780"/>
      <c r="F14" s="1780"/>
      <c r="G14" s="1780"/>
      <c r="H14" s="1780"/>
      <c r="I14" s="1780"/>
      <c r="J14" s="1783" t="s">
        <v>952</v>
      </c>
      <c r="K14" s="1784"/>
      <c r="L14" s="1784"/>
      <c r="M14" s="1784"/>
      <c r="N14" s="1783" t="s">
        <v>953</v>
      </c>
      <c r="O14" s="1784"/>
      <c r="P14" s="1784"/>
      <c r="Q14" s="1784"/>
      <c r="R14" s="1783" t="s">
        <v>1106</v>
      </c>
      <c r="S14" s="1784"/>
      <c r="T14" s="1784"/>
      <c r="U14" s="1784"/>
      <c r="V14" s="1796" t="s">
        <v>956</v>
      </c>
      <c r="W14" s="1797"/>
      <c r="X14" s="1797"/>
      <c r="Y14" s="1797"/>
      <c r="Z14" s="1797"/>
      <c r="AA14" s="1797"/>
      <c r="AB14" s="1797"/>
      <c r="AC14" s="1798"/>
      <c r="AD14" s="1796" t="s">
        <v>959</v>
      </c>
      <c r="AE14" s="1797"/>
      <c r="AF14" s="1797"/>
      <c r="AG14" s="1797"/>
      <c r="AH14" s="1797"/>
      <c r="AI14" s="1797"/>
      <c r="AJ14" s="1797"/>
      <c r="AK14" s="1798"/>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739"/>
      <c r="BU14" s="1739"/>
      <c r="BV14" s="1739"/>
      <c r="BW14" s="1739"/>
      <c r="BX14" s="1739"/>
      <c r="BY14" s="1739"/>
      <c r="BZ14" s="1739"/>
      <c r="CA14" s="1739"/>
      <c r="CB14" s="1739"/>
      <c r="CC14" s="1739"/>
      <c r="CD14" s="1739"/>
      <c r="CE14" s="1739"/>
      <c r="CF14" s="1739"/>
      <c r="CG14" s="1739"/>
      <c r="CH14" s="1739"/>
      <c r="CI14" s="1739"/>
    </row>
    <row r="15" spans="1:87">
      <c r="A15" s="90"/>
      <c r="B15" s="1726" t="s">
        <v>806</v>
      </c>
      <c r="C15" s="1785"/>
      <c r="D15" s="1785"/>
      <c r="E15" s="1785"/>
      <c r="F15" s="1726" t="s">
        <v>124</v>
      </c>
      <c r="G15" s="1785"/>
      <c r="H15" s="1785"/>
      <c r="I15" s="1727"/>
      <c r="J15" s="787"/>
      <c r="K15" s="785"/>
      <c r="L15" s="786"/>
      <c r="M15" s="786"/>
      <c r="N15" s="787"/>
      <c r="O15" s="785"/>
      <c r="P15" s="786"/>
      <c r="Q15" s="786"/>
      <c r="R15" s="787"/>
      <c r="S15" s="785"/>
      <c r="T15" s="786"/>
      <c r="U15" s="786"/>
      <c r="V15" s="1776" t="s">
        <v>122</v>
      </c>
      <c r="W15" s="1777"/>
      <c r="X15" s="1777"/>
      <c r="Y15" s="1777"/>
      <c r="Z15" s="1776" t="s">
        <v>123</v>
      </c>
      <c r="AA15" s="1777"/>
      <c r="AB15" s="1777"/>
      <c r="AC15" s="1778"/>
      <c r="AD15" s="1776" t="s">
        <v>122</v>
      </c>
      <c r="AE15" s="1777"/>
      <c r="AF15" s="1777"/>
      <c r="AG15" s="1777"/>
      <c r="AH15" s="1776" t="s">
        <v>123</v>
      </c>
      <c r="AI15" s="1777"/>
      <c r="AJ15" s="1777"/>
      <c r="AK15" s="1778"/>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2"/>
      <c r="BK15" s="122"/>
      <c r="BL15" s="122"/>
      <c r="BM15" s="122"/>
      <c r="BN15" s="122"/>
      <c r="BO15" s="122"/>
      <c r="BP15" s="122"/>
      <c r="BQ15" s="122"/>
      <c r="BR15" s="122"/>
      <c r="BS15" s="122"/>
      <c r="BT15" s="1769"/>
      <c r="BU15" s="1769"/>
      <c r="BV15" s="1769"/>
      <c r="BW15" s="1769"/>
      <c r="BX15" s="1769"/>
      <c r="BY15" s="1769"/>
      <c r="BZ15" s="1769"/>
      <c r="CA15" s="1769"/>
      <c r="CB15" s="1769"/>
      <c r="CC15" s="1769"/>
      <c r="CD15" s="1769"/>
      <c r="CE15" s="1769"/>
      <c r="CF15" s="1769"/>
      <c r="CG15" s="1769"/>
      <c r="CH15" s="1769"/>
      <c r="CI15" s="1769"/>
    </row>
    <row r="16" spans="1:87" s="245" customFormat="1">
      <c r="A16" s="978"/>
      <c r="B16" s="810"/>
      <c r="C16" s="811"/>
      <c r="D16" s="811"/>
      <c r="E16" s="811"/>
      <c r="F16" s="810"/>
      <c r="G16" s="811"/>
      <c r="H16" s="811"/>
      <c r="I16" s="812"/>
      <c r="J16" s="813" t="s">
        <v>660</v>
      </c>
      <c r="K16" s="814">
        <v>100</v>
      </c>
      <c r="L16" s="815"/>
      <c r="M16" s="815"/>
      <c r="N16" s="813" t="s">
        <v>660</v>
      </c>
      <c r="O16" s="814">
        <v>100</v>
      </c>
      <c r="P16" s="815"/>
      <c r="Q16" s="815"/>
      <c r="R16" s="813" t="s">
        <v>660</v>
      </c>
      <c r="S16" s="814">
        <v>100</v>
      </c>
      <c r="T16" s="815"/>
      <c r="U16" s="815"/>
      <c r="V16" s="819" t="s">
        <v>660</v>
      </c>
      <c r="W16" s="820">
        <v>100</v>
      </c>
      <c r="X16" s="821"/>
      <c r="Y16" s="821"/>
      <c r="Z16" s="819" t="s">
        <v>660</v>
      </c>
      <c r="AA16" s="822">
        <f>100-W16</f>
        <v>0</v>
      </c>
      <c r="AB16" s="821"/>
      <c r="AC16" s="823"/>
      <c r="AD16" s="819" t="s">
        <v>660</v>
      </c>
      <c r="AE16" s="820">
        <v>100</v>
      </c>
      <c r="AF16" s="821"/>
      <c r="AG16" s="821"/>
      <c r="AH16" s="819" t="s">
        <v>660</v>
      </c>
      <c r="AI16" s="822">
        <f>100-AE16</f>
        <v>0</v>
      </c>
      <c r="AJ16" s="821"/>
      <c r="AK16" s="823"/>
      <c r="AL16" s="834"/>
      <c r="AM16" s="834"/>
      <c r="AN16" s="834"/>
      <c r="AO16" s="834"/>
      <c r="AP16" s="834"/>
      <c r="AQ16" s="834"/>
      <c r="AR16" s="834"/>
      <c r="AS16" s="834"/>
      <c r="AT16" s="834"/>
      <c r="AU16" s="834"/>
      <c r="AV16" s="834"/>
      <c r="AW16" s="834"/>
      <c r="AX16" s="834"/>
      <c r="AY16" s="834"/>
      <c r="AZ16" s="834"/>
      <c r="BA16" s="834"/>
      <c r="BB16" s="834"/>
      <c r="BC16" s="834"/>
      <c r="BD16" s="834"/>
      <c r="BE16" s="834"/>
      <c r="BF16" s="834"/>
      <c r="BG16" s="834"/>
      <c r="BH16" s="834"/>
      <c r="BI16" s="834"/>
      <c r="BJ16" s="834"/>
      <c r="BK16" s="834"/>
      <c r="BL16" s="834"/>
      <c r="BM16" s="834"/>
      <c r="BN16" s="834"/>
      <c r="BO16" s="834"/>
      <c r="BP16" s="834"/>
      <c r="BQ16" s="834"/>
      <c r="BR16" s="834"/>
      <c r="BS16" s="834"/>
      <c r="BT16" s="834"/>
      <c r="BU16" s="834"/>
      <c r="BV16" s="834"/>
      <c r="BW16" s="834"/>
      <c r="BX16" s="834"/>
      <c r="BY16" s="834"/>
      <c r="BZ16" s="834"/>
      <c r="CA16" s="834"/>
      <c r="CB16" s="834"/>
      <c r="CC16" s="834"/>
      <c r="CD16" s="834"/>
      <c r="CE16" s="834"/>
      <c r="CF16" s="834"/>
      <c r="CG16" s="834"/>
      <c r="CH16" s="834"/>
      <c r="CI16" s="834"/>
    </row>
    <row r="17" spans="1:87" s="245" customFormat="1">
      <c r="A17" s="979"/>
      <c r="B17" s="810"/>
      <c r="C17" s="811" t="s">
        <v>118</v>
      </c>
      <c r="E17" s="811" t="s">
        <v>707</v>
      </c>
      <c r="F17" s="810" t="s">
        <v>118</v>
      </c>
      <c r="G17" s="811"/>
      <c r="H17" s="811"/>
      <c r="I17" s="812"/>
      <c r="J17" s="813" t="s">
        <v>674</v>
      </c>
      <c r="K17" s="835">
        <f>K16</f>
        <v>100</v>
      </c>
      <c r="L17" s="815"/>
      <c r="M17" s="815"/>
      <c r="N17" s="813" t="s">
        <v>674</v>
      </c>
      <c r="O17" s="835">
        <f>O16</f>
        <v>100</v>
      </c>
      <c r="P17" s="815"/>
      <c r="Q17" s="815"/>
      <c r="R17" s="813" t="s">
        <v>674</v>
      </c>
      <c r="S17" s="835">
        <f>S16</f>
        <v>100</v>
      </c>
      <c r="T17" s="815"/>
      <c r="U17" s="815"/>
      <c r="V17" s="819" t="s">
        <v>674</v>
      </c>
      <c r="W17" s="820">
        <v>10</v>
      </c>
      <c r="X17" s="821"/>
      <c r="Y17" s="821"/>
      <c r="Z17" s="819" t="s">
        <v>674</v>
      </c>
      <c r="AA17" s="822">
        <f>100-W17</f>
        <v>90</v>
      </c>
      <c r="AB17" s="821"/>
      <c r="AC17" s="821"/>
      <c r="AD17" s="819" t="s">
        <v>674</v>
      </c>
      <c r="AE17" s="820">
        <v>10</v>
      </c>
      <c r="AF17" s="821"/>
      <c r="AG17" s="821"/>
      <c r="AH17" s="819" t="s">
        <v>674</v>
      </c>
      <c r="AI17" s="822">
        <f>100-AE17</f>
        <v>90</v>
      </c>
      <c r="AJ17" s="821"/>
      <c r="AK17" s="823"/>
      <c r="AL17" s="834"/>
      <c r="AM17" s="834"/>
      <c r="AN17" s="834"/>
      <c r="AO17" s="834"/>
      <c r="AP17" s="834"/>
      <c r="AQ17" s="834"/>
      <c r="AR17" s="834"/>
      <c r="AS17" s="834"/>
      <c r="AT17" s="834"/>
      <c r="AU17" s="834"/>
      <c r="AV17" s="834"/>
      <c r="AW17" s="834"/>
      <c r="AX17" s="834"/>
      <c r="AY17" s="834"/>
      <c r="AZ17" s="834"/>
      <c r="BA17" s="834"/>
      <c r="BB17" s="834"/>
      <c r="BC17" s="834"/>
      <c r="BD17" s="834"/>
      <c r="BE17" s="834"/>
      <c r="BF17" s="834"/>
      <c r="BG17" s="834"/>
      <c r="BH17" s="834"/>
      <c r="BI17" s="834"/>
      <c r="BJ17" s="834"/>
      <c r="BK17" s="834"/>
      <c r="BL17" s="834"/>
      <c r="BM17" s="834"/>
      <c r="BN17" s="834"/>
      <c r="BO17" s="834"/>
      <c r="BP17" s="834"/>
      <c r="BQ17" s="834"/>
      <c r="BR17" s="834"/>
      <c r="BS17" s="834"/>
      <c r="BT17" s="834"/>
      <c r="BU17" s="834"/>
      <c r="BV17" s="834"/>
      <c r="BW17" s="834"/>
      <c r="BX17" s="834"/>
      <c r="BY17" s="834"/>
      <c r="BZ17" s="834"/>
      <c r="CA17" s="834"/>
      <c r="CB17" s="834"/>
      <c r="CC17" s="834"/>
      <c r="CD17" s="834"/>
      <c r="CE17" s="834"/>
      <c r="CF17" s="834"/>
      <c r="CG17" s="834"/>
      <c r="CH17" s="834"/>
      <c r="CI17" s="834"/>
    </row>
    <row r="18" spans="1:87" s="245" customFormat="1">
      <c r="A18" s="979" t="s">
        <v>954</v>
      </c>
      <c r="B18" s="810"/>
      <c r="C18" s="811"/>
      <c r="E18" s="811"/>
      <c r="F18" s="810"/>
      <c r="G18" s="811"/>
      <c r="H18" s="811"/>
      <c r="I18" s="812" t="s">
        <v>707</v>
      </c>
      <c r="J18" s="813" t="s">
        <v>1094</v>
      </c>
      <c r="K18" s="945">
        <f>IF(K16&lt;&gt;0,0,100)</f>
        <v>0</v>
      </c>
      <c r="L18" s="815"/>
      <c r="M18" s="815"/>
      <c r="N18" s="813" t="s">
        <v>1094</v>
      </c>
      <c r="O18" s="945">
        <f>IF(O16&lt;&gt;0,0,100)</f>
        <v>0</v>
      </c>
      <c r="P18" s="815"/>
      <c r="Q18" s="815"/>
      <c r="R18" s="813" t="s">
        <v>1094</v>
      </c>
      <c r="S18" s="945">
        <f>IF(S16&lt;&gt;0,0,100)</f>
        <v>0</v>
      </c>
      <c r="T18" s="815"/>
      <c r="U18" s="815"/>
      <c r="V18" s="819" t="s">
        <v>1094</v>
      </c>
      <c r="W18" s="822">
        <f>IF(W16&lt;&gt;0,0,100)</f>
        <v>0</v>
      </c>
      <c r="X18" s="821"/>
      <c r="Y18" s="821"/>
      <c r="Z18" s="819" t="s">
        <v>1094</v>
      </c>
      <c r="AA18" s="822">
        <f>IF(AA16&lt;&gt;0,0,100)</f>
        <v>100</v>
      </c>
      <c r="AB18" s="821"/>
      <c r="AC18" s="821"/>
      <c r="AD18" s="819" t="s">
        <v>1094</v>
      </c>
      <c r="AE18" s="822">
        <f>IF(AE16&lt;&gt;0,0,100)</f>
        <v>0</v>
      </c>
      <c r="AF18" s="821"/>
      <c r="AG18" s="821"/>
      <c r="AH18" s="819" t="s">
        <v>1094</v>
      </c>
      <c r="AI18" s="822">
        <f>IF(AI16&lt;&gt;0,0,100)</f>
        <v>100</v>
      </c>
      <c r="AJ18" s="821"/>
      <c r="AK18" s="823"/>
      <c r="AL18" s="834"/>
      <c r="AM18" s="834"/>
      <c r="AN18" s="834"/>
      <c r="AO18" s="834"/>
      <c r="AP18" s="834"/>
      <c r="AQ18" s="834"/>
      <c r="AR18" s="834"/>
      <c r="AS18" s="834"/>
      <c r="AT18" s="834"/>
      <c r="AU18" s="834"/>
      <c r="AV18" s="834"/>
      <c r="AW18" s="834"/>
      <c r="AX18" s="834"/>
      <c r="AY18" s="834"/>
      <c r="AZ18" s="834"/>
      <c r="BA18" s="834"/>
      <c r="BB18" s="834"/>
      <c r="BC18" s="834"/>
      <c r="BD18" s="834"/>
      <c r="BE18" s="834"/>
      <c r="BF18" s="834"/>
      <c r="BG18" s="834"/>
      <c r="BH18" s="834"/>
      <c r="BI18" s="834"/>
      <c r="BJ18" s="834"/>
      <c r="BK18" s="834"/>
      <c r="BL18" s="834"/>
      <c r="BM18" s="834"/>
      <c r="BN18" s="834"/>
      <c r="BO18" s="834"/>
      <c r="BP18" s="834"/>
      <c r="BQ18" s="834"/>
      <c r="BR18" s="834"/>
      <c r="BS18" s="834"/>
      <c r="BT18" s="834"/>
      <c r="BU18" s="834"/>
      <c r="BV18" s="834"/>
      <c r="BW18" s="834"/>
      <c r="BX18" s="834"/>
      <c r="BY18" s="834"/>
      <c r="BZ18" s="834"/>
      <c r="CA18" s="834"/>
      <c r="CB18" s="834"/>
      <c r="CC18" s="834"/>
      <c r="CD18" s="834"/>
      <c r="CE18" s="834"/>
      <c r="CF18" s="834"/>
      <c r="CG18" s="834"/>
      <c r="CH18" s="834"/>
      <c r="CI18" s="834"/>
    </row>
    <row r="19" spans="1:87">
      <c r="A19" s="160" t="s">
        <v>955</v>
      </c>
      <c r="B19" s="74" t="s">
        <v>663</v>
      </c>
      <c r="C19" s="13" t="s">
        <v>335</v>
      </c>
      <c r="D19" s="13" t="s">
        <v>125</v>
      </c>
      <c r="E19" s="13" t="s">
        <v>708</v>
      </c>
      <c r="F19" s="74" t="s">
        <v>335</v>
      </c>
      <c r="G19" s="13" t="s">
        <v>126</v>
      </c>
      <c r="H19" s="13" t="s">
        <v>127</v>
      </c>
      <c r="I19" s="13" t="s">
        <v>708</v>
      </c>
      <c r="J19" s="788"/>
      <c r="K19" s="786" t="s">
        <v>133</v>
      </c>
      <c r="L19" s="786" t="s">
        <v>674</v>
      </c>
      <c r="M19" s="786" t="s">
        <v>134</v>
      </c>
      <c r="N19" s="788"/>
      <c r="O19" s="786" t="s">
        <v>133</v>
      </c>
      <c r="P19" s="786" t="s">
        <v>674</v>
      </c>
      <c r="Q19" s="786" t="s">
        <v>134</v>
      </c>
      <c r="R19" s="788"/>
      <c r="S19" s="786" t="s">
        <v>133</v>
      </c>
      <c r="T19" s="786" t="s">
        <v>674</v>
      </c>
      <c r="U19" s="786" t="s">
        <v>134</v>
      </c>
      <c r="V19" s="771"/>
      <c r="W19" s="769" t="s">
        <v>133</v>
      </c>
      <c r="X19" s="769" t="s">
        <v>674</v>
      </c>
      <c r="Y19" s="769" t="s">
        <v>134</v>
      </c>
      <c r="Z19" s="771"/>
      <c r="AA19" s="769" t="s">
        <v>133</v>
      </c>
      <c r="AB19" s="769" t="s">
        <v>674</v>
      </c>
      <c r="AC19" s="770" t="s">
        <v>134</v>
      </c>
      <c r="AD19" s="771"/>
      <c r="AE19" s="769" t="s">
        <v>133</v>
      </c>
      <c r="AF19" s="769" t="s">
        <v>674</v>
      </c>
      <c r="AG19" s="769" t="s">
        <v>134</v>
      </c>
      <c r="AH19" s="771"/>
      <c r="AI19" s="769" t="s">
        <v>133</v>
      </c>
      <c r="AJ19" s="769" t="s">
        <v>674</v>
      </c>
      <c r="AK19" s="770" t="s">
        <v>134</v>
      </c>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5"/>
      <c r="BU19" s="13"/>
      <c r="BV19" s="13"/>
      <c r="BW19" s="13"/>
      <c r="BX19" s="5"/>
      <c r="BY19" s="13"/>
      <c r="BZ19" s="13"/>
      <c r="CA19" s="13"/>
      <c r="CB19" s="5"/>
      <c r="CC19" s="13"/>
      <c r="CD19" s="13"/>
      <c r="CE19" s="13"/>
      <c r="CF19" s="5"/>
      <c r="CG19" s="13"/>
      <c r="CH19" s="13"/>
      <c r="CI19" s="13"/>
    </row>
    <row r="20" spans="1:87">
      <c r="A20" s="411"/>
      <c r="B20" s="77" t="s">
        <v>506</v>
      </c>
      <c r="C20" s="14" t="s">
        <v>672</v>
      </c>
      <c r="D20" s="14" t="s">
        <v>703</v>
      </c>
      <c r="E20" s="14" t="s">
        <v>128</v>
      </c>
      <c r="F20" s="77" t="s">
        <v>672</v>
      </c>
      <c r="G20" s="14" t="s">
        <v>703</v>
      </c>
      <c r="H20" s="14" t="s">
        <v>129</v>
      </c>
      <c r="I20" s="14" t="s">
        <v>128</v>
      </c>
      <c r="J20" s="789"/>
      <c r="K20" s="790" t="s">
        <v>132</v>
      </c>
      <c r="L20" s="790" t="s">
        <v>129</v>
      </c>
      <c r="M20" s="791"/>
      <c r="N20" s="789"/>
      <c r="O20" s="790" t="s">
        <v>132</v>
      </c>
      <c r="P20" s="790" t="s">
        <v>129</v>
      </c>
      <c r="Q20" s="791"/>
      <c r="R20" s="789"/>
      <c r="S20" s="790" t="s">
        <v>132</v>
      </c>
      <c r="T20" s="790" t="s">
        <v>129</v>
      </c>
      <c r="U20" s="791"/>
      <c r="V20" s="772"/>
      <c r="W20" s="773" t="s">
        <v>132</v>
      </c>
      <c r="X20" s="773" t="s">
        <v>129</v>
      </c>
      <c r="Y20" s="774"/>
      <c r="Z20" s="772"/>
      <c r="AA20" s="773" t="s">
        <v>132</v>
      </c>
      <c r="AB20" s="773" t="s">
        <v>129</v>
      </c>
      <c r="AC20" s="775"/>
      <c r="AD20" s="772"/>
      <c r="AE20" s="773" t="s">
        <v>132</v>
      </c>
      <c r="AF20" s="773" t="s">
        <v>129</v>
      </c>
      <c r="AG20" s="774"/>
      <c r="AH20" s="772"/>
      <c r="AI20" s="773" t="s">
        <v>132</v>
      </c>
      <c r="AJ20" s="773" t="s">
        <v>129</v>
      </c>
      <c r="AK20" s="775"/>
      <c r="BT20" s="5"/>
      <c r="BU20" s="13"/>
      <c r="BV20" s="13"/>
      <c r="BX20" s="5"/>
      <c r="BY20" s="13"/>
      <c r="BZ20" s="13"/>
      <c r="CB20" s="5"/>
      <c r="CC20" s="13"/>
      <c r="CD20" s="13"/>
      <c r="CF20" s="5"/>
      <c r="CG20" s="13"/>
      <c r="CH20" s="13"/>
    </row>
    <row r="21" spans="1:87">
      <c r="A21" s="20"/>
      <c r="B21" s="123"/>
      <c r="F21" s="33"/>
      <c r="G21" s="100"/>
      <c r="J21" s="33"/>
      <c r="N21" s="33"/>
      <c r="R21" s="33"/>
      <c r="V21" s="33"/>
      <c r="Z21" s="33"/>
      <c r="AC21" s="37"/>
      <c r="AD21" s="33"/>
      <c r="AH21" s="33"/>
      <c r="AK21" s="37"/>
    </row>
    <row r="22" spans="1:87">
      <c r="A22" s="126" t="s">
        <v>885</v>
      </c>
      <c r="B22" s="270" t="str">
        <f>INDEX(SourceID,MATCH($A22,SourceNumber,0),1,1)</f>
        <v>EF-1</v>
      </c>
      <c r="C22" s="354">
        <f>INDEX(SourceExitDiameter,MATCH($A22,SourceNumber,0),1,1)*3.28*12</f>
        <v>8</v>
      </c>
      <c r="D22" s="24" t="str">
        <f>UAnem1percent</f>
        <v>1% Wind</v>
      </c>
      <c r="E22" s="350" t="e">
        <f ca="1">INDIRECT(ADDRESS(53,6,1,,CONCATENATE("TA",$A22)))</f>
        <v>#REF!</v>
      </c>
      <c r="F22" s="625" t="e">
        <f ca="1">(ROUND((INDIRECT(ADDRESS(15,7,1,,CONCATENATE("TA",$A22)))*3.28*12*32),0)&amp;"/32")</f>
        <v>#REF!</v>
      </c>
      <c r="G22" s="125">
        <f ca="1">INDIRECT(ADDRESS(29,7,1,,$A22))</f>
        <v>6.001707317073171</v>
      </c>
      <c r="H22" s="24" t="e">
        <f ca="1">INDIRECT(ADDRESS(19,7,1,,$A22))*100^3</f>
        <v>#VALUE!</v>
      </c>
      <c r="I22" s="941">
        <f ca="1">INDIRECT(ADDRESS(53,7,1,,$A22))</f>
        <v>0.97430000000000005</v>
      </c>
      <c r="J22" s="20" t="str">
        <f ca="1">IF($I22=$I$6,K$16&amp;$G$6&amp;J$6,IF($I22=$I$7,K$16&amp;$G$7&amp;J$7,"Bad"))</f>
        <v>100N2Pick a Tunnel</v>
      </c>
      <c r="K22" t="e">
        <f ca="1">INDEX(FlowCalGasMixture,MATCH(J22,FlowCalNumber,0),1,1)</f>
        <v>#N/A</v>
      </c>
      <c r="M22" s="944" t="e">
        <f ca="1">INDEX(FlowCalDevice,MATCH(J22,FlowCalNumber,0),1,1)</f>
        <v>#N/A</v>
      </c>
      <c r="N22" s="20" t="str">
        <f ca="1">IF($I22=$I$6,O$16&amp;$G$6&amp;N$6,IF($I22=$I$7,O$16&amp;$G$7&amp;N$7,"Bad"))</f>
        <v>100N2Pick a Tunnel</v>
      </c>
      <c r="O22" t="e">
        <f ca="1">INDEX(FlowCalGasMixture,MATCH(N22,FlowCalNumber,0),1,1)</f>
        <v>#N/A</v>
      </c>
      <c r="Q22" s="944" t="e">
        <f ca="1">INDEX(FlowCalDevice,MATCH(N22,FlowCalNumber,0),1,1)</f>
        <v>#N/A</v>
      </c>
      <c r="R22" s="20" t="str">
        <f ca="1">IF($I22=$I$6,S$16&amp;$G$6&amp;R$6,IF($I22=$I$7,S$16&amp;$G$7&amp;R$7,"Bad"))</f>
        <v>100N2Pick a Tunnel</v>
      </c>
      <c r="S22" t="e">
        <f ca="1">INDEX(FlowCalGasMixture,MATCH(R22,FlowCalNumber,0),1,1)</f>
        <v>#N/A</v>
      </c>
      <c r="U22" s="944" t="e">
        <f ca="1">INDEX(FlowCalDevice,MATCH(R22,FlowCalNumber,0),1,1)</f>
        <v>#N/A</v>
      </c>
      <c r="V22" s="20" t="str">
        <f ca="1">IF($I22=$I$6,W$16&amp;$G$6&amp;V$6,IF($I22=$I$7,W$16&amp;$G$7&amp;V$7,"Bad"))</f>
        <v>100N2Pick a Tunnel</v>
      </c>
      <c r="W22" t="e">
        <f ca="1">INDEX(FlowCalGasMixture,MATCH(V22,FlowCalNumber,0),1,1)</f>
        <v>#N/A</v>
      </c>
      <c r="Y22" s="944" t="e">
        <f ca="1">INDEX(FlowCalDevice,MATCH(V22,FlowCalNumber,0),1,1)</f>
        <v>#N/A</v>
      </c>
      <c r="Z22" s="946" t="str">
        <f ca="1">IF($I22=$I$6,AA$18&amp;$H$6&amp;Z$6,IF($I22=$I$7,AA$18&amp;$H$7&amp;Z$7,"Bad"))</f>
        <v>100N2Pick a Tunnel</v>
      </c>
      <c r="AA22" t="e">
        <f ca="1">INDEX(FlowCalGasMixture,MATCH(Z22,FlowCalNumber,0),1,1)</f>
        <v>#N/A</v>
      </c>
      <c r="AC22" s="944" t="e">
        <f ca="1">INDEX(FlowCalDevice,MATCH(Z22,FlowCalNumber,0),1,1)</f>
        <v>#N/A</v>
      </c>
      <c r="AD22" s="20" t="str">
        <f ca="1">IF($I22=$I$6,AE$16&amp;$G$6&amp;AD$6,IF($I22=$I$7,AE$16&amp;$G$7&amp;AD$7,"Bad"))</f>
        <v>100N2Pick a Tunnel</v>
      </c>
      <c r="AE22" t="e">
        <f ca="1">INDEX(FlowCalGasMixture,MATCH(AD22,FlowCalNumber,0),1,1)</f>
        <v>#N/A</v>
      </c>
      <c r="AG22" s="944" t="e">
        <f ca="1">INDEX(FlowCalDevice,MATCH(AD22,FlowCalNumber,0),1,1)</f>
        <v>#N/A</v>
      </c>
      <c r="AH22" s="946" t="str">
        <f ca="1">IF($I22=$I$6,AI$18&amp;$H$6&amp;AH$6,IF($I22=$I$7,AI$18&amp;$H$7&amp;AH$7,"Bad"))</f>
        <v>100N2Pick a Tunnel</v>
      </c>
      <c r="AI22" t="e">
        <f ca="1">INDEX(FlowCalGasMixture,MATCH(AH22,FlowCalNumber,0),1,1)</f>
        <v>#N/A</v>
      </c>
      <c r="AK22" s="982" t="e">
        <f ca="1">INDEX(FlowCalDevice,MATCH(AH22,FlowCalNumber,0),1,1)</f>
        <v>#N/A</v>
      </c>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5"/>
      <c r="BH22" s="355"/>
      <c r="BI22" s="355"/>
      <c r="BJ22" s="355"/>
      <c r="BK22" s="355"/>
      <c r="BL22" s="355"/>
      <c r="BM22" s="355"/>
      <c r="BN22" s="355"/>
      <c r="BO22" s="355"/>
      <c r="BP22" s="355"/>
      <c r="BQ22" s="355"/>
      <c r="BR22" s="355"/>
      <c r="BS22" s="355"/>
      <c r="BT22" s="46"/>
      <c r="BU22" s="16"/>
      <c r="BW22" s="355"/>
      <c r="BX22" s="42"/>
      <c r="BY22" s="16"/>
      <c r="CA22" s="355"/>
      <c r="CB22" s="42"/>
      <c r="CC22" s="16"/>
      <c r="CE22" s="355"/>
      <c r="CF22" s="42"/>
      <c r="CG22" s="16"/>
      <c r="CI22" s="355"/>
    </row>
    <row r="23" spans="1:87" s="1215" customFormat="1">
      <c r="A23" s="1222"/>
      <c r="B23" s="1223" t="str">
        <f t="shared" ref="B23:B37" si="0">IF(D23=UAnem1percent,"1% Wind","")</f>
        <v/>
      </c>
      <c r="C23" s="1210"/>
      <c r="D23" s="1211">
        <f>'1% Wind'!$M$82</f>
        <v>27</v>
      </c>
      <c r="E23" s="1212"/>
      <c r="F23" s="1212"/>
      <c r="G23" s="1364">
        <v>2</v>
      </c>
      <c r="H23" s="1214" t="e">
        <f t="shared" ref="H23:H37" ca="1" si="1">H22*(D22/D23)*(G23/G22)</f>
        <v>#VALUE!</v>
      </c>
      <c r="J23" s="1224"/>
      <c r="K23" s="1221">
        <f>K$17/100</f>
        <v>1</v>
      </c>
      <c r="L23" s="1218" t="e">
        <f ca="1">K23*$H23</f>
        <v>#VALUE!</v>
      </c>
      <c r="M23" s="1219" t="e">
        <f ca="1">IF(AND(INDEX(FlowCalConstA,MATCH(J22,FlowCalNumber,0),1,1)*L23^INDEX(FlowCalConstB,MATCH(J22,FlowCalNumber,0),1,1)&gt;INDEX(FlowCalLowSetting,MATCH(J22,FlowCalNumber,0),1,1), (INDEX(FlowCalConstA,MATCH(J22,FlowCalNumber,0),1,1)*L23^INDEX(FlowCalConstB,MATCH(J22,FlowCalNumber,0),1,1)&lt;INDEX(FlowCalHighSetting,MATCH(J22,FlowCalNumber,0),1,1))),INDEX(FlowCalConstA,MATCH(J22,FlowCalNumber,0),1,1)*L23^INDEX(FlowCalConstB,MATCH(J22,FlowCalNumber,0),1,1)," ")</f>
        <v>#N/A</v>
      </c>
      <c r="N23" s="1224"/>
      <c r="O23" s="1221">
        <f>O$17/100</f>
        <v>1</v>
      </c>
      <c r="P23" s="1218" t="e">
        <f ca="1">O23*$H23</f>
        <v>#VALUE!</v>
      </c>
      <c r="Q23" s="1219" t="e">
        <f ca="1">IF(AND(INDEX(FlowCalConstA,MATCH(N22,FlowCalNumber,0),1,1)*P23^INDEX(FlowCalConstB,MATCH(N22,FlowCalNumber,0),1,1)&gt;INDEX(FlowCalLowSetting,MATCH(N22,FlowCalNumber,0),1,1), (INDEX(FlowCalConstA,MATCH(N22,FlowCalNumber,0),1,1)*P23^INDEX(FlowCalConstB,MATCH(N22,FlowCalNumber,0),1,1)&lt;INDEX(FlowCalHighSetting,MATCH(N22,FlowCalNumber,0),1,1))),INDEX(FlowCalConstA,MATCH(N22,FlowCalNumber,0),1,1)*P23^INDEX(FlowCalConstB,MATCH(N22,FlowCalNumber,0),1,1)," ")</f>
        <v>#N/A</v>
      </c>
      <c r="R23" s="1224"/>
      <c r="S23" s="1221">
        <f>S$17/100</f>
        <v>1</v>
      </c>
      <c r="T23" s="1218" t="e">
        <f ca="1">S23*$H23</f>
        <v>#VALUE!</v>
      </c>
      <c r="U23" s="1219" t="e">
        <f ca="1">IF(AND(INDEX(FlowCalConstA,MATCH(R22,FlowCalNumber,0),1,1)*T23^INDEX(FlowCalConstB,MATCH(R22,FlowCalNumber,0),1,1)&gt;INDEX(FlowCalLowSetting,MATCH(R22,FlowCalNumber,0),1,1), (INDEX(FlowCalConstA,MATCH(R22,FlowCalNumber,0),1,1)*T23^INDEX(FlowCalConstB,MATCH(R22,FlowCalNumber,0),1,1)&lt;INDEX(FlowCalHighSetting,MATCH(R22,FlowCalNumber,0),1,1))),INDEX(FlowCalConstA,MATCH(R22,FlowCalNumber,0),1,1)*T23^INDEX(FlowCalConstB,MATCH(R22,FlowCalNumber,0),1,1)," ")</f>
        <v>#N/A</v>
      </c>
      <c r="V23" s="1224"/>
      <c r="W23" s="1221">
        <f>W$17/100</f>
        <v>0.1</v>
      </c>
      <c r="X23" s="1218" t="e">
        <f ca="1">W23*$H23</f>
        <v>#VALUE!</v>
      </c>
      <c r="Y23" s="1219" t="e">
        <f ca="1">IF(AND(INDEX(FlowCalConstA,MATCH(V22,FlowCalNumber,0),1,1)*X23^INDEX(FlowCalConstB,MATCH(V22,FlowCalNumber,0),1,1)&gt;INDEX(FlowCalLowSetting,MATCH(V22,FlowCalNumber,0),1,1), (INDEX(FlowCalConstA,MATCH(V22,FlowCalNumber,0),1,1)*X23^INDEX(FlowCalConstB,MATCH(V22,FlowCalNumber,0),1,1)&lt;INDEX(FlowCalHighSetting,MATCH(V22,FlowCalNumber,0),1,1))),INDEX(FlowCalConstA,MATCH(V22,FlowCalNumber,0),1,1)*X23^INDEX(FlowCalConstB,MATCH(V22,FlowCalNumber,0),1,1)," ")</f>
        <v>#N/A</v>
      </c>
      <c r="Z23" s="1224"/>
      <c r="AA23" s="1221">
        <f>AA$17/100</f>
        <v>0.9</v>
      </c>
      <c r="AB23" s="1218" t="e">
        <f ca="1">AA23*$H23</f>
        <v>#VALUE!</v>
      </c>
      <c r="AC23" s="1219" t="e">
        <f ca="1">IF(AND(INDEX(FlowCalConstA,MATCH(Z22,FlowCalNumber,0),1,1)*AB23^INDEX(FlowCalConstB,MATCH(Z22,FlowCalNumber,0),1,1)&gt;INDEX(FlowCalLowSetting,MATCH(Z22,FlowCalNumber,0),1,1), (INDEX(FlowCalConstA,MATCH(Z22,FlowCalNumber,0),1,1)*AB23^INDEX(FlowCalConstB,MATCH(Z22,FlowCalNumber,0),1,1)&lt;INDEX(FlowCalHighSetting,MATCH(Z22,FlowCalNumber,0),1,1))),INDEX(FlowCalConstA,MATCH(Z22,FlowCalNumber,0),1,1)*AB23^INDEX(FlowCalConstB,MATCH(Z22,FlowCalNumber,0),1,1)," ")</f>
        <v>#N/A</v>
      </c>
      <c r="AD23" s="1224"/>
      <c r="AE23" s="1221">
        <f>AE$17/100</f>
        <v>0.1</v>
      </c>
      <c r="AF23" s="1218" t="e">
        <f ca="1">AE23*$H23</f>
        <v>#VALUE!</v>
      </c>
      <c r="AG23" s="1219" t="e">
        <f ca="1">IF(AND(INDEX(FlowCalConstA,MATCH(AD22,FlowCalNumber,0),1,1)*AF23^INDEX(FlowCalConstB,MATCH(AD22,FlowCalNumber,0),1,1)&gt;INDEX(FlowCalLowSetting,MATCH(AD22,FlowCalNumber,0),1,1), (INDEX(FlowCalConstA,MATCH(AD22,FlowCalNumber,0),1,1)*AF23^INDEX(FlowCalConstB,MATCH(AD22,FlowCalNumber,0),1,1)&lt;INDEX(FlowCalHighSetting,MATCH(AD22,FlowCalNumber,0),1,1))),INDEX(FlowCalConstA,MATCH(AD22,FlowCalNumber,0),1,1)*AF23^INDEX(FlowCalConstB,MATCH(AD22,FlowCalNumber,0),1,1)," ")</f>
        <v>#N/A</v>
      </c>
      <c r="AH23" s="1224"/>
      <c r="AI23" s="1221">
        <f>AI$17/100</f>
        <v>0.9</v>
      </c>
      <c r="AJ23" s="1218" t="e">
        <f ca="1">AI23*$H23</f>
        <v>#VALUE!</v>
      </c>
      <c r="AK23" s="1220" t="e">
        <f ca="1">IF(AND(INDEX(FlowCalConstA,MATCH(AH22,FlowCalNumber,0),1,1)*AJ23^INDEX(FlowCalConstB,MATCH(AH22,FlowCalNumber,0),1,1)&gt;INDEX(FlowCalLowSetting,MATCH(AH22,FlowCalNumber,0),1,1), (INDEX(FlowCalConstA,MATCH(AH22,FlowCalNumber,0),1,1)*AJ23^INDEX(FlowCalConstB,MATCH(AH22,FlowCalNumber,0),1,1)&lt;INDEX(FlowCalHighSetting,MATCH(AH22,FlowCalNumber,0),1,1))),INDEX(FlowCalConstA,MATCH(AH22,FlowCalNumber,0),1,1)*AJ23^INDEX(FlowCalConstB,MATCH(AH22,FlowCalNumber,0),1,1)," ")</f>
        <v>#N/A</v>
      </c>
      <c r="AL23" s="1219"/>
      <c r="AM23" s="1219"/>
      <c r="AN23" s="1219"/>
      <c r="AO23" s="1219"/>
      <c r="AP23" s="1219"/>
      <c r="AQ23" s="1219"/>
      <c r="AR23" s="1219"/>
      <c r="AS23" s="1219"/>
      <c r="AT23" s="1219"/>
      <c r="AU23" s="1219"/>
      <c r="AV23" s="1219"/>
      <c r="AW23" s="1219"/>
      <c r="AX23" s="1219"/>
      <c r="AY23" s="1219"/>
      <c r="AZ23" s="1219"/>
      <c r="BA23" s="1219"/>
      <c r="BB23" s="1219"/>
      <c r="BC23" s="1219"/>
      <c r="BD23" s="1219"/>
      <c r="BE23" s="1219"/>
      <c r="BF23" s="1219"/>
      <c r="BG23" s="1219"/>
      <c r="BH23" s="1219"/>
      <c r="BI23" s="1219"/>
      <c r="BJ23" s="1219"/>
      <c r="BK23" s="1219"/>
      <c r="BL23" s="1219"/>
      <c r="BM23" s="1219"/>
      <c r="BN23" s="1219"/>
      <c r="BO23" s="1219"/>
      <c r="BP23" s="1219"/>
      <c r="BQ23" s="1219"/>
      <c r="BR23" s="1219"/>
      <c r="BS23" s="1219"/>
      <c r="BU23" s="1225"/>
      <c r="BW23" s="1219"/>
      <c r="BY23" s="1225"/>
      <c r="CA23" s="1219"/>
      <c r="CC23" s="1225"/>
      <c r="CE23" s="1219"/>
      <c r="CG23" s="1221"/>
      <c r="CI23" s="1219"/>
    </row>
    <row r="24" spans="1:87">
      <c r="A24" s="20"/>
      <c r="B24" s="124" t="str">
        <f t="shared" si="0"/>
        <v/>
      </c>
      <c r="C24" s="235"/>
      <c r="D24" s="24">
        <f>'1% Wind'!$M$83</f>
        <v>23.5</v>
      </c>
      <c r="E24" s="90"/>
      <c r="F24" s="90"/>
      <c r="G24" s="79">
        <f ca="1">IF(I22=0.9743,$G23,MAX(G23/D23*D24,2))</f>
        <v>2</v>
      </c>
      <c r="H24" s="121" t="e">
        <f t="shared" ca="1" si="1"/>
        <v>#VALUE!</v>
      </c>
      <c r="J24" s="33"/>
      <c r="K24" s="242">
        <f t="shared" ref="K24:K37" si="2">K23</f>
        <v>1</v>
      </c>
      <c r="L24" s="241" t="e">
        <f t="shared" ref="L24:L37" ca="1" si="3">K24*$H24</f>
        <v>#VALUE!</v>
      </c>
      <c r="M24" s="243" t="e">
        <f ca="1">IF(AND(INDEX(FlowCalConstA,MATCH(J22,FlowCalNumber,0),1,1)*L24^INDEX(FlowCalConstB,MATCH(J22,FlowCalNumber,0),1,1)&gt;INDEX(FlowCalLowSetting,MATCH(J22,FlowCalNumber,0),1,1), (INDEX(FlowCalConstA,MATCH(J22,FlowCalNumber,0),1,1)*L24^INDEX(FlowCalConstB,MATCH(J22,FlowCalNumber,0),1,1)&lt;INDEX(FlowCalHighSetting,MATCH(J22,FlowCalNumber,0),1,1))),INDEX(FlowCalConstA,MATCH(J22,FlowCalNumber,0),1,1)*L24^INDEX(FlowCalConstB,MATCH(J22,FlowCalNumber,0),1,1)," ")</f>
        <v>#N/A</v>
      </c>
      <c r="N24" s="33"/>
      <c r="O24" s="242">
        <f t="shared" ref="O24:O37" si="4">O23</f>
        <v>1</v>
      </c>
      <c r="P24" s="241" t="e">
        <f t="shared" ref="P24:P37" ca="1" si="5">O24*$H24</f>
        <v>#VALUE!</v>
      </c>
      <c r="Q24" s="243" t="e">
        <f ca="1">IF(AND(INDEX(FlowCalConstA,MATCH(N22,FlowCalNumber,0),1,1)*P24^INDEX(FlowCalConstB,MATCH(N22,FlowCalNumber,0),1,1)&gt;INDEX(FlowCalLowSetting,MATCH(N22,FlowCalNumber,0),1,1), (INDEX(FlowCalConstA,MATCH(N22,FlowCalNumber,0),1,1)*P24^INDEX(FlowCalConstB,MATCH(N22,FlowCalNumber,0),1,1)&lt;INDEX(FlowCalHighSetting,MATCH(N22,FlowCalNumber,0),1,1))),INDEX(FlowCalConstA,MATCH(N22,FlowCalNumber,0),1,1)*P24^INDEX(FlowCalConstB,MATCH(N22,FlowCalNumber,0),1,1)," ")</f>
        <v>#N/A</v>
      </c>
      <c r="R24" s="33"/>
      <c r="S24" s="242">
        <f t="shared" ref="S24:S37" si="6">S23</f>
        <v>1</v>
      </c>
      <c r="T24" s="241" t="e">
        <f t="shared" ref="T24:T37" ca="1" si="7">S24*$H24</f>
        <v>#VALUE!</v>
      </c>
      <c r="U24" s="243" t="e">
        <f ca="1">IF(AND(INDEX(FlowCalConstA,MATCH(R22,FlowCalNumber,0),1,1)*T24^INDEX(FlowCalConstB,MATCH(R22,FlowCalNumber,0),1,1)&gt;INDEX(FlowCalLowSetting,MATCH(R22,FlowCalNumber,0),1,1), (INDEX(FlowCalConstA,MATCH(R22,FlowCalNumber,0),1,1)*T24^INDEX(FlowCalConstB,MATCH(R22,FlowCalNumber,0),1,1)&lt;INDEX(FlowCalHighSetting,MATCH(R22,FlowCalNumber,0),1,1))),INDEX(FlowCalConstA,MATCH(R22,FlowCalNumber,0),1,1)*T24^INDEX(FlowCalConstB,MATCH(R22,FlowCalNumber,0),1,1)," ")</f>
        <v>#N/A</v>
      </c>
      <c r="V24" s="33"/>
      <c r="W24" s="242">
        <f t="shared" ref="W24:W37" si="8">W23</f>
        <v>0.1</v>
      </c>
      <c r="X24" s="241" t="e">
        <f t="shared" ref="X24:X37" ca="1" si="9">W24*$H24</f>
        <v>#VALUE!</v>
      </c>
      <c r="Y24" s="243" t="e">
        <f ca="1">IF(AND(INDEX(FlowCalConstA,MATCH(V22,FlowCalNumber,0),1,1)*X24^INDEX(FlowCalConstB,MATCH(V22,FlowCalNumber,0),1,1)&gt;INDEX(FlowCalLowSetting,MATCH(V22,FlowCalNumber,0),1,1), (INDEX(FlowCalConstA,MATCH(V22,FlowCalNumber,0),1,1)*X24^INDEX(FlowCalConstB,MATCH(V22,FlowCalNumber,0),1,1)&lt;INDEX(FlowCalHighSetting,MATCH(V22,FlowCalNumber,0),1,1))),INDEX(FlowCalConstA,MATCH(V22,FlowCalNumber,0),1,1)*X24^INDEX(FlowCalConstB,MATCH(V22,FlowCalNumber,0),1,1)," ")</f>
        <v>#N/A</v>
      </c>
      <c r="Z24" s="33"/>
      <c r="AA24" s="242">
        <f t="shared" ref="AA24:AA37" si="10">AA23</f>
        <v>0.9</v>
      </c>
      <c r="AB24" s="241" t="e">
        <f t="shared" ref="AB24:AB37" ca="1" si="11">AA24*$H24</f>
        <v>#VALUE!</v>
      </c>
      <c r="AC24" s="243" t="e">
        <f ca="1">IF(AND(INDEX(FlowCalConstA,MATCH(Z22,FlowCalNumber,0),1,1)*AB24^INDEX(FlowCalConstB,MATCH(Z22,FlowCalNumber,0),1,1)&gt;INDEX(FlowCalLowSetting,MATCH(Z22,FlowCalNumber,0),1,1), (INDEX(FlowCalConstA,MATCH(Z22,FlowCalNumber,0),1,1)*AB24^INDEX(FlowCalConstB,MATCH(Z22,FlowCalNumber,0),1,1)&lt;INDEX(FlowCalHighSetting,MATCH(Z22,FlowCalNumber,0),1,1))),INDEX(FlowCalConstA,MATCH(Z22,FlowCalNumber,0),1,1)*AB24^INDEX(FlowCalConstB,MATCH(Z22,FlowCalNumber,0),1,1)," ")</f>
        <v>#N/A</v>
      </c>
      <c r="AD24" s="33"/>
      <c r="AE24" s="242">
        <f t="shared" ref="AE24:AE37" si="12">AE23</f>
        <v>0.1</v>
      </c>
      <c r="AF24" s="241" t="e">
        <f t="shared" ref="AF24:AF37" ca="1" si="13">AE24*$H24</f>
        <v>#VALUE!</v>
      </c>
      <c r="AG24" s="243" t="e">
        <f ca="1">IF(AND(INDEX(FlowCalConstA,MATCH(AD22,FlowCalNumber,0),1,1)*AF24^INDEX(FlowCalConstB,MATCH(AD22,FlowCalNumber,0),1,1)&gt;INDEX(FlowCalLowSetting,MATCH(AD22,FlowCalNumber,0),1,1), (INDEX(FlowCalConstA,MATCH(AD22,FlowCalNumber,0),1,1)*AF24^INDEX(FlowCalConstB,MATCH(AD22,FlowCalNumber,0),1,1)&lt;INDEX(FlowCalHighSetting,MATCH(AD22,FlowCalNumber,0),1,1))),INDEX(FlowCalConstA,MATCH(AD22,FlowCalNumber,0),1,1)*AF24^INDEX(FlowCalConstB,MATCH(AD22,FlowCalNumber,0),1,1)," ")</f>
        <v>#N/A</v>
      </c>
      <c r="AH24" s="33"/>
      <c r="AI24" s="242">
        <f t="shared" ref="AI24:AI37" si="14">AI23</f>
        <v>0.9</v>
      </c>
      <c r="AJ24" s="241" t="e">
        <f t="shared" ref="AJ24:AJ37" ca="1" si="15">AI24*$H24</f>
        <v>#VALUE!</v>
      </c>
      <c r="AK24" s="244" t="e">
        <f ca="1">IF(AND(INDEX(FlowCalConstA,MATCH(AH22,FlowCalNumber,0),1,1)*AJ24^INDEX(FlowCalConstB,MATCH(AH22,FlowCalNumber,0),1,1)&gt;INDEX(FlowCalLowSetting,MATCH(AH22,FlowCalNumber,0),1,1), (INDEX(FlowCalConstA,MATCH(AH22,FlowCalNumber,0),1,1)*AJ24^INDEX(FlowCalConstB,MATCH(AH22,FlowCalNumber,0),1,1)&lt;INDEX(FlowCalHighSetting,MATCH(AH22,FlowCalNumber,0),1,1))),INDEX(FlowCalConstA,MATCH(AH22,FlowCalNumber,0),1,1)*AJ24^INDEX(FlowCalConstB,MATCH(AH22,FlowCalNumber,0),1,1)," ")</f>
        <v>#N/A</v>
      </c>
      <c r="AL24" s="243"/>
      <c r="AM24" s="243"/>
      <c r="AN24" s="243"/>
      <c r="AO24" s="243"/>
      <c r="AP24" s="243"/>
      <c r="AQ24" s="243"/>
      <c r="AR24" s="243"/>
      <c r="AS24" s="243"/>
      <c r="AT24" s="243"/>
      <c r="AU24" s="243"/>
      <c r="AV24" s="243"/>
      <c r="AW24" s="243"/>
      <c r="AX24" s="243"/>
      <c r="AY24" s="243"/>
      <c r="AZ24" s="243"/>
      <c r="BA24" s="243"/>
      <c r="BB24" s="243"/>
      <c r="BC24" s="243"/>
      <c r="BD24" s="243"/>
      <c r="BE24" s="243"/>
      <c r="BF24" s="243"/>
      <c r="BG24" s="243"/>
      <c r="BH24" s="243"/>
      <c r="BI24" s="243"/>
      <c r="BJ24" s="243"/>
      <c r="BK24" s="243"/>
      <c r="BL24" s="243"/>
      <c r="BM24" s="243"/>
      <c r="BN24" s="243"/>
      <c r="BO24" s="243"/>
      <c r="BP24" s="243"/>
      <c r="BQ24" s="243"/>
      <c r="BR24" s="243"/>
      <c r="BS24" s="243"/>
      <c r="BU24" s="242"/>
      <c r="BW24" s="243"/>
      <c r="BY24" s="242"/>
      <c r="CA24" s="243"/>
      <c r="CC24" s="242"/>
      <c r="CE24" s="243"/>
      <c r="CG24" s="242"/>
      <c r="CI24" s="243"/>
    </row>
    <row r="25" spans="1:87" s="1215" customFormat="1">
      <c r="A25" s="1222"/>
      <c r="B25" s="1223" t="str">
        <f t="shared" si="0"/>
        <v/>
      </c>
      <c r="C25" s="1210"/>
      <c r="D25" s="1211">
        <f>'1% Wind'!$M$84</f>
        <v>20.5</v>
      </c>
      <c r="E25" s="1212"/>
      <c r="F25" s="1212"/>
      <c r="G25" s="1213">
        <f ca="1">IF(I22=0.9743,$G24,MAX(G24/D24*D25,2))</f>
        <v>2</v>
      </c>
      <c r="H25" s="1214" t="e">
        <f t="shared" ca="1" si="1"/>
        <v>#VALUE!</v>
      </c>
      <c r="J25" s="1224"/>
      <c r="K25" s="1217">
        <f t="shared" si="2"/>
        <v>1</v>
      </c>
      <c r="L25" s="1218" t="e">
        <f t="shared" ca="1" si="3"/>
        <v>#VALUE!</v>
      </c>
      <c r="M25" s="1219" t="e">
        <f ca="1">IF(AND(INDEX(FlowCalConstA,MATCH(J22,FlowCalNumber,0),1,1)*L25^INDEX(FlowCalConstB,MATCH(J22,FlowCalNumber,0),1,1)&gt;INDEX(FlowCalLowSetting,MATCH(J22,FlowCalNumber,0),1,1), (INDEX(FlowCalConstA,MATCH(J22,FlowCalNumber,0),1,1)*L25^INDEX(FlowCalConstB,MATCH(J22,FlowCalNumber,0),1,1)&lt;INDEX(FlowCalHighSetting,MATCH(J22,FlowCalNumber,0),1,1))),INDEX(FlowCalConstA,MATCH(J22,FlowCalNumber,0),1,1)*L25^INDEX(FlowCalConstB,MATCH(J22,FlowCalNumber,0),1,1)," ")</f>
        <v>#N/A</v>
      </c>
      <c r="N25" s="1224"/>
      <c r="O25" s="1217">
        <f t="shared" si="4"/>
        <v>1</v>
      </c>
      <c r="P25" s="1218" t="e">
        <f t="shared" ca="1" si="5"/>
        <v>#VALUE!</v>
      </c>
      <c r="Q25" s="1219" t="e">
        <f ca="1">IF(AND(INDEX(FlowCalConstA,MATCH(N22,FlowCalNumber,0),1,1)*P25^INDEX(FlowCalConstB,MATCH(N22,FlowCalNumber,0),1,1)&gt;INDEX(FlowCalLowSetting,MATCH(N22,FlowCalNumber,0),1,1), (INDEX(FlowCalConstA,MATCH(N22,FlowCalNumber,0),1,1)*P25^INDEX(FlowCalConstB,MATCH(N22,FlowCalNumber,0),1,1)&lt;INDEX(FlowCalHighSetting,MATCH(N22,FlowCalNumber,0),1,1))),INDEX(FlowCalConstA,MATCH(N22,FlowCalNumber,0),1,1)*P25^INDEX(FlowCalConstB,MATCH(N22,FlowCalNumber,0),1,1)," ")</f>
        <v>#N/A</v>
      </c>
      <c r="R25" s="1224"/>
      <c r="S25" s="1217">
        <f t="shared" si="6"/>
        <v>1</v>
      </c>
      <c r="T25" s="1218" t="e">
        <f t="shared" ca="1" si="7"/>
        <v>#VALUE!</v>
      </c>
      <c r="U25" s="1219" t="e">
        <f ca="1">IF(AND(INDEX(FlowCalConstA,MATCH(R22,FlowCalNumber,0),1,1)*T25^INDEX(FlowCalConstB,MATCH(R22,FlowCalNumber,0),1,1)&gt;INDEX(FlowCalLowSetting,MATCH(R22,FlowCalNumber,0),1,1), (INDEX(FlowCalConstA,MATCH(R22,FlowCalNumber,0),1,1)*T25^INDEX(FlowCalConstB,MATCH(R22,FlowCalNumber,0),1,1)&lt;INDEX(FlowCalHighSetting,MATCH(R22,FlowCalNumber,0),1,1))),INDEX(FlowCalConstA,MATCH(R22,FlowCalNumber,0),1,1)*T25^INDEX(FlowCalConstB,MATCH(R22,FlowCalNumber,0),1,1)," ")</f>
        <v>#N/A</v>
      </c>
      <c r="V25" s="1224"/>
      <c r="W25" s="1217">
        <f t="shared" si="8"/>
        <v>0.1</v>
      </c>
      <c r="X25" s="1218" t="e">
        <f t="shared" ca="1" si="9"/>
        <v>#VALUE!</v>
      </c>
      <c r="Y25" s="1219" t="e">
        <f ca="1">IF(AND(INDEX(FlowCalConstA,MATCH(V22,FlowCalNumber,0),1,1)*X25^INDEX(FlowCalConstB,MATCH(V22,FlowCalNumber,0),1,1)&gt;INDEX(FlowCalLowSetting,MATCH(V22,FlowCalNumber,0),1,1), (INDEX(FlowCalConstA,MATCH(V22,FlowCalNumber,0),1,1)*X25^INDEX(FlowCalConstB,MATCH(V22,FlowCalNumber,0),1,1)&lt;INDEX(FlowCalHighSetting,MATCH(V22,FlowCalNumber,0),1,1))),INDEX(FlowCalConstA,MATCH(V22,FlowCalNumber,0),1,1)*X25^INDEX(FlowCalConstB,MATCH(V22,FlowCalNumber,0),1,1)," ")</f>
        <v>#N/A</v>
      </c>
      <c r="Z25" s="1224"/>
      <c r="AA25" s="1217">
        <f t="shared" si="10"/>
        <v>0.9</v>
      </c>
      <c r="AB25" s="1218" t="e">
        <f t="shared" ca="1" si="11"/>
        <v>#VALUE!</v>
      </c>
      <c r="AC25" s="1219" t="e">
        <f ca="1">IF(AND(INDEX(FlowCalConstA,MATCH(Z22,FlowCalNumber,0),1,1)*AB25^INDEX(FlowCalConstB,MATCH(Z22,FlowCalNumber,0),1,1)&gt;INDEX(FlowCalLowSetting,MATCH(Z22,FlowCalNumber,0),1,1), (INDEX(FlowCalConstA,MATCH(Z22,FlowCalNumber,0),1,1)*AB25^INDEX(FlowCalConstB,MATCH(Z22,FlowCalNumber,0),1,1)&lt;INDEX(FlowCalHighSetting,MATCH(Z22,FlowCalNumber,0),1,1))),INDEX(FlowCalConstA,MATCH(Z22,FlowCalNumber,0),1,1)*AB25^INDEX(FlowCalConstB,MATCH(Z22,FlowCalNumber,0),1,1)," ")</f>
        <v>#N/A</v>
      </c>
      <c r="AD25" s="1224"/>
      <c r="AE25" s="1217">
        <f t="shared" si="12"/>
        <v>0.1</v>
      </c>
      <c r="AF25" s="1218" t="e">
        <f t="shared" ca="1" si="13"/>
        <v>#VALUE!</v>
      </c>
      <c r="AG25" s="1219" t="e">
        <f ca="1">IF(AND(INDEX(FlowCalConstA,MATCH(AD22,FlowCalNumber,0),1,1)*AF25^INDEX(FlowCalConstB,MATCH(AD22,FlowCalNumber,0),1,1)&gt;INDEX(FlowCalLowSetting,MATCH(AD22,FlowCalNumber,0),1,1), (INDEX(FlowCalConstA,MATCH(AD22,FlowCalNumber,0),1,1)*AF25^INDEX(FlowCalConstB,MATCH(AD22,FlowCalNumber,0),1,1)&lt;INDEX(FlowCalHighSetting,MATCH(AD22,FlowCalNumber,0),1,1))),INDEX(FlowCalConstA,MATCH(AD22,FlowCalNumber,0),1,1)*AF25^INDEX(FlowCalConstB,MATCH(AD22,FlowCalNumber,0),1,1)," ")</f>
        <v>#N/A</v>
      </c>
      <c r="AH25" s="1224"/>
      <c r="AI25" s="1217">
        <f t="shared" si="14"/>
        <v>0.9</v>
      </c>
      <c r="AJ25" s="1218" t="e">
        <f t="shared" ca="1" si="15"/>
        <v>#VALUE!</v>
      </c>
      <c r="AK25" s="1220" t="e">
        <f ca="1">IF(AND(INDEX(FlowCalConstA,MATCH(AH22,FlowCalNumber,0),1,1)*AJ25^INDEX(FlowCalConstB,MATCH(AH22,FlowCalNumber,0),1,1)&gt;INDEX(FlowCalLowSetting,MATCH(AH22,FlowCalNumber,0),1,1), (INDEX(FlowCalConstA,MATCH(AH22,FlowCalNumber,0),1,1)*AJ25^INDEX(FlowCalConstB,MATCH(AH22,FlowCalNumber,0),1,1)&lt;INDEX(FlowCalHighSetting,MATCH(AH22,FlowCalNumber,0),1,1))),INDEX(FlowCalConstA,MATCH(AH22,FlowCalNumber,0),1,1)*AJ25^INDEX(FlowCalConstB,MATCH(AH22,FlowCalNumber,0),1,1)," ")</f>
        <v>#N/A</v>
      </c>
      <c r="AL25" s="1219"/>
      <c r="AM25" s="1219"/>
      <c r="AN25" s="1219"/>
      <c r="AO25" s="1219"/>
      <c r="AP25" s="1219"/>
      <c r="AQ25" s="1219"/>
      <c r="AR25" s="1219"/>
      <c r="AS25" s="1219"/>
      <c r="AT25" s="1219"/>
      <c r="AU25" s="1219"/>
      <c r="AV25" s="1219"/>
      <c r="AW25" s="1219"/>
      <c r="AX25" s="1219"/>
      <c r="AY25" s="1219"/>
      <c r="AZ25" s="1219"/>
      <c r="BA25" s="1219"/>
      <c r="BB25" s="1219"/>
      <c r="BC25" s="1219"/>
      <c r="BD25" s="1219"/>
      <c r="BE25" s="1219"/>
      <c r="BF25" s="1219"/>
      <c r="BG25" s="1219"/>
      <c r="BH25" s="1219"/>
      <c r="BI25" s="1219"/>
      <c r="BJ25" s="1219"/>
      <c r="BK25" s="1219"/>
      <c r="BL25" s="1219"/>
      <c r="BM25" s="1219"/>
      <c r="BN25" s="1219"/>
      <c r="BO25" s="1219"/>
      <c r="BP25" s="1219"/>
      <c r="BQ25" s="1219"/>
      <c r="BR25" s="1219"/>
      <c r="BS25" s="1219"/>
      <c r="BU25" s="1217"/>
      <c r="BW25" s="1219"/>
      <c r="BY25" s="1217"/>
      <c r="CA25" s="1219"/>
      <c r="CC25" s="1217"/>
      <c r="CE25" s="1219"/>
      <c r="CG25" s="1217"/>
      <c r="CI25" s="1219"/>
    </row>
    <row r="26" spans="1:87">
      <c r="A26" s="20"/>
      <c r="B26" s="124" t="str">
        <f t="shared" si="0"/>
        <v/>
      </c>
      <c r="C26" s="235"/>
      <c r="D26" s="24">
        <f>'1% Wind'!$M$85</f>
        <v>17.8</v>
      </c>
      <c r="E26" s="90"/>
      <c r="F26" s="90"/>
      <c r="G26" s="79">
        <f ca="1">IF(I22=0.9743,$G25,MAX(G25/D25*D26,2))</f>
        <v>2</v>
      </c>
      <c r="H26" s="121" t="e">
        <f t="shared" ca="1" si="1"/>
        <v>#VALUE!</v>
      </c>
      <c r="J26" s="33"/>
      <c r="K26" s="242">
        <f t="shared" si="2"/>
        <v>1</v>
      </c>
      <c r="L26" s="241" t="e">
        <f t="shared" ca="1" si="3"/>
        <v>#VALUE!</v>
      </c>
      <c r="M26" s="243" t="e">
        <f ca="1">IF(AND(INDEX(FlowCalConstA,MATCH(J22,FlowCalNumber,0),1,1)*L26^INDEX(FlowCalConstB,MATCH(J22,FlowCalNumber,0),1,1)&gt;INDEX(FlowCalLowSetting,MATCH(J22,FlowCalNumber,0),1,1), (INDEX(FlowCalConstA,MATCH(J22,FlowCalNumber,0),1,1)*L26^INDEX(FlowCalConstB,MATCH(J22,FlowCalNumber,0),1,1)&lt;INDEX(FlowCalHighSetting,MATCH(J22,FlowCalNumber,0),1,1))),INDEX(FlowCalConstA,MATCH(J22,FlowCalNumber,0),1,1)*L26^INDEX(FlowCalConstB,MATCH(J22,FlowCalNumber,0),1,1)," ")</f>
        <v>#N/A</v>
      </c>
      <c r="N26" s="33"/>
      <c r="O26" s="242">
        <f t="shared" si="4"/>
        <v>1</v>
      </c>
      <c r="P26" s="241" t="e">
        <f t="shared" ca="1" si="5"/>
        <v>#VALUE!</v>
      </c>
      <c r="Q26" s="243" t="e">
        <f ca="1">IF(AND(INDEX(FlowCalConstA,MATCH(N22,FlowCalNumber,0),1,1)*P26^INDEX(FlowCalConstB,MATCH(N22,FlowCalNumber,0),1,1)&gt;INDEX(FlowCalLowSetting,MATCH(N22,FlowCalNumber,0),1,1), (INDEX(FlowCalConstA,MATCH(N22,FlowCalNumber,0),1,1)*P26^INDEX(FlowCalConstB,MATCH(N22,FlowCalNumber,0),1,1)&lt;INDEX(FlowCalHighSetting,MATCH(N22,FlowCalNumber,0),1,1))),INDEX(FlowCalConstA,MATCH(N22,FlowCalNumber,0),1,1)*P26^INDEX(FlowCalConstB,MATCH(N22,FlowCalNumber,0),1,1)," ")</f>
        <v>#N/A</v>
      </c>
      <c r="R26" s="33"/>
      <c r="S26" s="242">
        <f t="shared" si="6"/>
        <v>1</v>
      </c>
      <c r="T26" s="241" t="e">
        <f t="shared" ca="1" si="7"/>
        <v>#VALUE!</v>
      </c>
      <c r="U26" s="243" t="e">
        <f ca="1">IF(AND(INDEX(FlowCalConstA,MATCH(R22,FlowCalNumber,0),1,1)*T26^INDEX(FlowCalConstB,MATCH(R22,FlowCalNumber,0),1,1)&gt;INDEX(FlowCalLowSetting,MATCH(R22,FlowCalNumber,0),1,1), (INDEX(FlowCalConstA,MATCH(R22,FlowCalNumber,0),1,1)*T26^INDEX(FlowCalConstB,MATCH(R22,FlowCalNumber,0),1,1)&lt;INDEX(FlowCalHighSetting,MATCH(R22,FlowCalNumber,0),1,1))),INDEX(FlowCalConstA,MATCH(R22,FlowCalNumber,0),1,1)*T26^INDEX(FlowCalConstB,MATCH(R22,FlowCalNumber,0),1,1)," ")</f>
        <v>#N/A</v>
      </c>
      <c r="V26" s="33"/>
      <c r="W26" s="242">
        <f t="shared" si="8"/>
        <v>0.1</v>
      </c>
      <c r="X26" s="241" t="e">
        <f t="shared" ca="1" si="9"/>
        <v>#VALUE!</v>
      </c>
      <c r="Y26" s="243" t="e">
        <f ca="1">IF(AND(INDEX(FlowCalConstA,MATCH(V22,FlowCalNumber,0),1,1)*X26^INDEX(FlowCalConstB,MATCH(V22,FlowCalNumber,0),1,1)&gt;INDEX(FlowCalLowSetting,MATCH(V22,FlowCalNumber,0),1,1), (INDEX(FlowCalConstA,MATCH(V22,FlowCalNumber,0),1,1)*X26^INDEX(FlowCalConstB,MATCH(V22,FlowCalNumber,0),1,1)&lt;INDEX(FlowCalHighSetting,MATCH(V22,FlowCalNumber,0),1,1))),INDEX(FlowCalConstA,MATCH(V22,FlowCalNumber,0),1,1)*X26^INDEX(FlowCalConstB,MATCH(V22,FlowCalNumber,0),1,1)," ")</f>
        <v>#N/A</v>
      </c>
      <c r="Z26" s="33"/>
      <c r="AA26" s="242">
        <f t="shared" si="10"/>
        <v>0.9</v>
      </c>
      <c r="AB26" s="241" t="e">
        <f t="shared" ca="1" si="11"/>
        <v>#VALUE!</v>
      </c>
      <c r="AC26" s="243" t="e">
        <f ca="1">IF(AND(INDEX(FlowCalConstA,MATCH(Z22,FlowCalNumber,0),1,1)*AB26^INDEX(FlowCalConstB,MATCH(Z22,FlowCalNumber,0),1,1)&gt;INDEX(FlowCalLowSetting,MATCH(Z22,FlowCalNumber,0),1,1), (INDEX(FlowCalConstA,MATCH(Z22,FlowCalNumber,0),1,1)*AB26^INDEX(FlowCalConstB,MATCH(Z22,FlowCalNumber,0),1,1)&lt;INDEX(FlowCalHighSetting,MATCH(Z22,FlowCalNumber,0),1,1))),INDEX(FlowCalConstA,MATCH(Z22,FlowCalNumber,0),1,1)*AB26^INDEX(FlowCalConstB,MATCH(Z22,FlowCalNumber,0),1,1)," ")</f>
        <v>#N/A</v>
      </c>
      <c r="AD26" s="33"/>
      <c r="AE26" s="242">
        <f t="shared" si="12"/>
        <v>0.1</v>
      </c>
      <c r="AF26" s="241" t="e">
        <f t="shared" ca="1" si="13"/>
        <v>#VALUE!</v>
      </c>
      <c r="AG26" s="243" t="e">
        <f ca="1">IF(AND(INDEX(FlowCalConstA,MATCH(AD22,FlowCalNumber,0),1,1)*AF26^INDEX(FlowCalConstB,MATCH(AD22,FlowCalNumber,0),1,1)&gt;INDEX(FlowCalLowSetting,MATCH(AD22,FlowCalNumber,0),1,1), (INDEX(FlowCalConstA,MATCH(AD22,FlowCalNumber,0),1,1)*AF26^INDEX(FlowCalConstB,MATCH(AD22,FlowCalNumber,0),1,1)&lt;INDEX(FlowCalHighSetting,MATCH(AD22,FlowCalNumber,0),1,1))),INDEX(FlowCalConstA,MATCH(AD22,FlowCalNumber,0),1,1)*AF26^INDEX(FlowCalConstB,MATCH(AD22,FlowCalNumber,0),1,1)," ")</f>
        <v>#N/A</v>
      </c>
      <c r="AH26" s="33"/>
      <c r="AI26" s="242">
        <f t="shared" si="14"/>
        <v>0.9</v>
      </c>
      <c r="AJ26" s="241" t="e">
        <f t="shared" ca="1" si="15"/>
        <v>#VALUE!</v>
      </c>
      <c r="AK26" s="244" t="e">
        <f ca="1">IF(AND(INDEX(FlowCalConstA,MATCH(AH22,FlowCalNumber,0),1,1)*AJ26^INDEX(FlowCalConstB,MATCH(AH22,FlowCalNumber,0),1,1)&gt;INDEX(FlowCalLowSetting,MATCH(AH22,FlowCalNumber,0),1,1), (INDEX(FlowCalConstA,MATCH(AH22,FlowCalNumber,0),1,1)*AJ26^INDEX(FlowCalConstB,MATCH(AH22,FlowCalNumber,0),1,1)&lt;INDEX(FlowCalHighSetting,MATCH(AH22,FlowCalNumber,0),1,1))),INDEX(FlowCalConstA,MATCH(AH22,FlowCalNumber,0),1,1)*AJ26^INDEX(FlowCalConstB,MATCH(AH22,FlowCalNumber,0),1,1)," ")</f>
        <v>#N/A</v>
      </c>
      <c r="AL26" s="243"/>
      <c r="AM26" s="243"/>
      <c r="AN26" s="243"/>
      <c r="AO26" s="243"/>
      <c r="AP26" s="243"/>
      <c r="AQ26" s="243"/>
      <c r="AR26" s="243"/>
      <c r="AS26" s="243"/>
      <c r="AT26" s="243"/>
      <c r="AU26" s="243"/>
      <c r="AV26" s="243"/>
      <c r="AW26" s="243"/>
      <c r="AX26" s="243"/>
      <c r="AY26" s="243"/>
      <c r="AZ26" s="243"/>
      <c r="BA26" s="243"/>
      <c r="BB26" s="243"/>
      <c r="BC26" s="243"/>
      <c r="BD26" s="243"/>
      <c r="BE26" s="243"/>
      <c r="BF26" s="243"/>
      <c r="BG26" s="243"/>
      <c r="BH26" s="243"/>
      <c r="BI26" s="243"/>
      <c r="BJ26" s="243"/>
      <c r="BK26" s="243"/>
      <c r="BL26" s="243"/>
      <c r="BM26" s="243"/>
      <c r="BN26" s="243"/>
      <c r="BO26" s="243"/>
      <c r="BP26" s="243"/>
      <c r="BQ26" s="243"/>
      <c r="BR26" s="243"/>
      <c r="BS26" s="243"/>
      <c r="BU26" s="242"/>
      <c r="BW26" s="243"/>
      <c r="BY26" s="242"/>
      <c r="CA26" s="243"/>
      <c r="CC26" s="242"/>
      <c r="CE26" s="243"/>
      <c r="CG26" s="242"/>
      <c r="CI26" s="243"/>
    </row>
    <row r="27" spans="1:87" s="1215" customFormat="1">
      <c r="A27" s="1222"/>
      <c r="B27" s="1223" t="str">
        <f t="shared" si="0"/>
        <v/>
      </c>
      <c r="C27" s="1210"/>
      <c r="D27" s="1211">
        <f>'1% Wind'!$M$86</f>
        <v>15.5</v>
      </c>
      <c r="E27" s="1212"/>
      <c r="F27" s="1212"/>
      <c r="G27" s="1213">
        <f ca="1">IF(I22=0.9743,$G26,MAX(G26/D26*D27,2))</f>
        <v>2</v>
      </c>
      <c r="H27" s="1214" t="e">
        <f t="shared" ca="1" si="1"/>
        <v>#VALUE!</v>
      </c>
      <c r="J27" s="1224"/>
      <c r="K27" s="1217">
        <f t="shared" si="2"/>
        <v>1</v>
      </c>
      <c r="L27" s="1218" t="e">
        <f t="shared" ca="1" si="3"/>
        <v>#VALUE!</v>
      </c>
      <c r="M27" s="1219" t="e">
        <f ca="1">IF(AND(INDEX(FlowCalConstA,MATCH(J22,FlowCalNumber,0),1,1)*L27^INDEX(FlowCalConstB,MATCH(J22,FlowCalNumber,0),1,1)&gt;INDEX(FlowCalLowSetting,MATCH(J22,FlowCalNumber,0),1,1), (INDEX(FlowCalConstA,MATCH(J22,FlowCalNumber,0),1,1)*L27^INDEX(FlowCalConstB,MATCH(J22,FlowCalNumber,0),1,1)&lt;INDEX(FlowCalHighSetting,MATCH(J22,FlowCalNumber,0),1,1))),INDEX(FlowCalConstA,MATCH(J22,FlowCalNumber,0),1,1)*L27^INDEX(FlowCalConstB,MATCH(J22,FlowCalNumber,0),1,1)," ")</f>
        <v>#N/A</v>
      </c>
      <c r="N27" s="1224"/>
      <c r="O27" s="1217">
        <f t="shared" si="4"/>
        <v>1</v>
      </c>
      <c r="P27" s="1218" t="e">
        <f t="shared" ca="1" si="5"/>
        <v>#VALUE!</v>
      </c>
      <c r="Q27" s="1219" t="e">
        <f ca="1">IF(AND(INDEX(FlowCalConstA,MATCH(N22,FlowCalNumber,0),1,1)*P27^INDEX(FlowCalConstB,MATCH(N22,FlowCalNumber,0),1,1)&gt;INDEX(FlowCalLowSetting,MATCH(N22,FlowCalNumber,0),1,1), (INDEX(FlowCalConstA,MATCH(N22,FlowCalNumber,0),1,1)*P27^INDEX(FlowCalConstB,MATCH(N22,FlowCalNumber,0),1,1)&lt;INDEX(FlowCalHighSetting,MATCH(N22,FlowCalNumber,0),1,1))),INDEX(FlowCalConstA,MATCH(N22,FlowCalNumber,0),1,1)*P27^INDEX(FlowCalConstB,MATCH(N22,FlowCalNumber,0),1,1)," ")</f>
        <v>#N/A</v>
      </c>
      <c r="R27" s="1224"/>
      <c r="S27" s="1217">
        <f t="shared" si="6"/>
        <v>1</v>
      </c>
      <c r="T27" s="1218" t="e">
        <f t="shared" ca="1" si="7"/>
        <v>#VALUE!</v>
      </c>
      <c r="U27" s="1219" t="e">
        <f ca="1">IF(AND(INDEX(FlowCalConstA,MATCH(R22,FlowCalNumber,0),1,1)*T27^INDEX(FlowCalConstB,MATCH(R22,FlowCalNumber,0),1,1)&gt;INDEX(FlowCalLowSetting,MATCH(R22,FlowCalNumber,0),1,1), (INDEX(FlowCalConstA,MATCH(R22,FlowCalNumber,0),1,1)*T27^INDEX(FlowCalConstB,MATCH(R22,FlowCalNumber,0),1,1)&lt;INDEX(FlowCalHighSetting,MATCH(R22,FlowCalNumber,0),1,1))),INDEX(FlowCalConstA,MATCH(R22,FlowCalNumber,0),1,1)*T27^INDEX(FlowCalConstB,MATCH(R22,FlowCalNumber,0),1,1)," ")</f>
        <v>#N/A</v>
      </c>
      <c r="V27" s="1224"/>
      <c r="W27" s="1217">
        <f t="shared" si="8"/>
        <v>0.1</v>
      </c>
      <c r="X27" s="1218" t="e">
        <f t="shared" ca="1" si="9"/>
        <v>#VALUE!</v>
      </c>
      <c r="Y27" s="1219" t="e">
        <f ca="1">IF(AND(INDEX(FlowCalConstA,MATCH(V22,FlowCalNumber,0),1,1)*X27^INDEX(FlowCalConstB,MATCH(V22,FlowCalNumber,0),1,1)&gt;INDEX(FlowCalLowSetting,MATCH(V22,FlowCalNumber,0),1,1), (INDEX(FlowCalConstA,MATCH(V22,FlowCalNumber,0),1,1)*X27^INDEX(FlowCalConstB,MATCH(V22,FlowCalNumber,0),1,1)&lt;INDEX(FlowCalHighSetting,MATCH(V22,FlowCalNumber,0),1,1))),INDEX(FlowCalConstA,MATCH(V22,FlowCalNumber,0),1,1)*X27^INDEX(FlowCalConstB,MATCH(V22,FlowCalNumber,0),1,1)," ")</f>
        <v>#N/A</v>
      </c>
      <c r="Z27" s="1224"/>
      <c r="AA27" s="1217">
        <f t="shared" si="10"/>
        <v>0.9</v>
      </c>
      <c r="AB27" s="1218" t="e">
        <f t="shared" ca="1" si="11"/>
        <v>#VALUE!</v>
      </c>
      <c r="AC27" s="1219" t="e">
        <f ca="1">IF(AND(INDEX(FlowCalConstA,MATCH(Z22,FlowCalNumber,0),1,1)*AB27^INDEX(FlowCalConstB,MATCH(Z22,FlowCalNumber,0),1,1)&gt;INDEX(FlowCalLowSetting,MATCH(Z22,FlowCalNumber,0),1,1), (INDEX(FlowCalConstA,MATCH(Z22,FlowCalNumber,0),1,1)*AB27^INDEX(FlowCalConstB,MATCH(Z22,FlowCalNumber,0),1,1)&lt;INDEX(FlowCalHighSetting,MATCH(Z22,FlowCalNumber,0),1,1))),INDEX(FlowCalConstA,MATCH(Z22,FlowCalNumber,0),1,1)*AB27^INDEX(FlowCalConstB,MATCH(Z22,FlowCalNumber,0),1,1)," ")</f>
        <v>#N/A</v>
      </c>
      <c r="AD27" s="1224"/>
      <c r="AE27" s="1217">
        <f t="shared" si="12"/>
        <v>0.1</v>
      </c>
      <c r="AF27" s="1218" t="e">
        <f t="shared" ca="1" si="13"/>
        <v>#VALUE!</v>
      </c>
      <c r="AG27" s="1219" t="e">
        <f ca="1">IF(AND(INDEX(FlowCalConstA,MATCH(AD22,FlowCalNumber,0),1,1)*AF27^INDEX(FlowCalConstB,MATCH(AD22,FlowCalNumber,0),1,1)&gt;INDEX(FlowCalLowSetting,MATCH(AD22,FlowCalNumber,0),1,1), (INDEX(FlowCalConstA,MATCH(AD22,FlowCalNumber,0),1,1)*AF27^INDEX(FlowCalConstB,MATCH(AD22,FlowCalNumber,0),1,1)&lt;INDEX(FlowCalHighSetting,MATCH(AD22,FlowCalNumber,0),1,1))),INDEX(FlowCalConstA,MATCH(AD22,FlowCalNumber,0),1,1)*AF27^INDEX(FlowCalConstB,MATCH(AD22,FlowCalNumber,0),1,1)," ")</f>
        <v>#N/A</v>
      </c>
      <c r="AH27" s="1224"/>
      <c r="AI27" s="1217">
        <f t="shared" si="14"/>
        <v>0.9</v>
      </c>
      <c r="AJ27" s="1218" t="e">
        <f t="shared" ca="1" si="15"/>
        <v>#VALUE!</v>
      </c>
      <c r="AK27" s="1220" t="e">
        <f ca="1">IF(AND(INDEX(FlowCalConstA,MATCH(AH22,FlowCalNumber,0),1,1)*AJ27^INDEX(FlowCalConstB,MATCH(AH22,FlowCalNumber,0),1,1)&gt;INDEX(FlowCalLowSetting,MATCH(AH22,FlowCalNumber,0),1,1), (INDEX(FlowCalConstA,MATCH(AH22,FlowCalNumber,0),1,1)*AJ27^INDEX(FlowCalConstB,MATCH(AH22,FlowCalNumber,0),1,1)&lt;INDEX(FlowCalHighSetting,MATCH(AH22,FlowCalNumber,0),1,1))),INDEX(FlowCalConstA,MATCH(AH22,FlowCalNumber,0),1,1)*AJ27^INDEX(FlowCalConstB,MATCH(AH22,FlowCalNumber,0),1,1)," ")</f>
        <v>#N/A</v>
      </c>
      <c r="AL27" s="1219"/>
      <c r="AM27" s="1219"/>
      <c r="AN27" s="1219"/>
      <c r="AO27" s="1219"/>
      <c r="AP27" s="1219"/>
      <c r="AQ27" s="1219"/>
      <c r="AR27" s="1219"/>
      <c r="AS27" s="1219"/>
      <c r="AT27" s="1219"/>
      <c r="AU27" s="1219"/>
      <c r="AV27" s="1219"/>
      <c r="AW27" s="1219"/>
      <c r="AX27" s="1219"/>
      <c r="AY27" s="1219"/>
      <c r="AZ27" s="1219"/>
      <c r="BA27" s="1219"/>
      <c r="BB27" s="1219"/>
      <c r="BC27" s="1219"/>
      <c r="BD27" s="1219"/>
      <c r="BE27" s="1219"/>
      <c r="BF27" s="1219"/>
      <c r="BG27" s="1219"/>
      <c r="BH27" s="1219"/>
      <c r="BI27" s="1219"/>
      <c r="BJ27" s="1219"/>
      <c r="BK27" s="1219"/>
      <c r="BL27" s="1219"/>
      <c r="BM27" s="1219"/>
      <c r="BN27" s="1219"/>
      <c r="BO27" s="1219"/>
      <c r="BP27" s="1219"/>
      <c r="BQ27" s="1219"/>
      <c r="BR27" s="1219"/>
      <c r="BS27" s="1219"/>
      <c r="BU27" s="1217"/>
      <c r="BW27" s="1219"/>
      <c r="BY27" s="1217"/>
      <c r="CA27" s="1219"/>
      <c r="CC27" s="1217"/>
      <c r="CE27" s="1219"/>
      <c r="CG27" s="1217"/>
      <c r="CI27" s="1219"/>
    </row>
    <row r="28" spans="1:87">
      <c r="A28" s="20"/>
      <c r="B28" s="124" t="str">
        <f t="shared" si="0"/>
        <v/>
      </c>
      <c r="C28" s="235"/>
      <c r="D28" s="24">
        <f>'1% Wind'!$M$87</f>
        <v>13.5</v>
      </c>
      <c r="E28" s="90"/>
      <c r="F28" s="90"/>
      <c r="G28" s="79">
        <f ca="1">IF(I22=0.9743,G27,MAX(G27/D27*D28,2))</f>
        <v>2</v>
      </c>
      <c r="H28" s="121" t="e">
        <f t="shared" ca="1" si="1"/>
        <v>#VALUE!</v>
      </c>
      <c r="J28" s="33"/>
      <c r="K28" s="242">
        <f t="shared" si="2"/>
        <v>1</v>
      </c>
      <c r="L28" s="241" t="e">
        <f t="shared" ca="1" si="3"/>
        <v>#VALUE!</v>
      </c>
      <c r="M28" s="243" t="e">
        <f ca="1">IF(AND(INDEX(FlowCalConstA,MATCH(J22,FlowCalNumber,0),1,1)*L28^INDEX(FlowCalConstB,MATCH(J22,FlowCalNumber,0),1,1)&gt;INDEX(FlowCalLowSetting,MATCH(J22,FlowCalNumber,0),1,1), (INDEX(FlowCalConstA,MATCH(J22,FlowCalNumber,0),1,1)*L28^INDEX(FlowCalConstB,MATCH(J22,FlowCalNumber,0),1,1)&lt;INDEX(FlowCalHighSetting,MATCH(J22,FlowCalNumber,0),1,1))),INDEX(FlowCalConstA,MATCH(J22,FlowCalNumber,0),1,1)*L28^INDEX(FlowCalConstB,MATCH(J22,FlowCalNumber,0),1,1)," ")</f>
        <v>#N/A</v>
      </c>
      <c r="N28" s="33"/>
      <c r="O28" s="242">
        <f t="shared" si="4"/>
        <v>1</v>
      </c>
      <c r="P28" s="241" t="e">
        <f t="shared" ca="1" si="5"/>
        <v>#VALUE!</v>
      </c>
      <c r="Q28" s="243" t="e">
        <f ca="1">IF(AND(INDEX(FlowCalConstA,MATCH(N22,FlowCalNumber,0),1,1)*P28^INDEX(FlowCalConstB,MATCH(N22,FlowCalNumber,0),1,1)&gt;INDEX(FlowCalLowSetting,MATCH(N22,FlowCalNumber,0),1,1), (INDEX(FlowCalConstA,MATCH(N22,FlowCalNumber,0),1,1)*P28^INDEX(FlowCalConstB,MATCH(N22,FlowCalNumber,0),1,1)&lt;INDEX(FlowCalHighSetting,MATCH(N22,FlowCalNumber,0),1,1))),INDEX(FlowCalConstA,MATCH(N22,FlowCalNumber,0),1,1)*P28^INDEX(FlowCalConstB,MATCH(N22,FlowCalNumber,0),1,1)," ")</f>
        <v>#N/A</v>
      </c>
      <c r="R28" s="33"/>
      <c r="S28" s="242">
        <f t="shared" si="6"/>
        <v>1</v>
      </c>
      <c r="T28" s="241" t="e">
        <f t="shared" ca="1" si="7"/>
        <v>#VALUE!</v>
      </c>
      <c r="U28" s="243" t="e">
        <f ca="1">IF(AND(INDEX(FlowCalConstA,MATCH(R22,FlowCalNumber,0),1,1)*T28^INDEX(FlowCalConstB,MATCH(R22,FlowCalNumber,0),1,1)&gt;INDEX(FlowCalLowSetting,MATCH(R22,FlowCalNumber,0),1,1), (INDEX(FlowCalConstA,MATCH(R22,FlowCalNumber,0),1,1)*T28^INDEX(FlowCalConstB,MATCH(R22,FlowCalNumber,0),1,1)&lt;INDEX(FlowCalHighSetting,MATCH(R22,FlowCalNumber,0),1,1))),INDEX(FlowCalConstA,MATCH(R22,FlowCalNumber,0),1,1)*T28^INDEX(FlowCalConstB,MATCH(R22,FlowCalNumber,0),1,1)," ")</f>
        <v>#N/A</v>
      </c>
      <c r="V28" s="33"/>
      <c r="W28" s="242">
        <f t="shared" si="8"/>
        <v>0.1</v>
      </c>
      <c r="X28" s="241" t="e">
        <f t="shared" ca="1" si="9"/>
        <v>#VALUE!</v>
      </c>
      <c r="Y28" s="243" t="e">
        <f ca="1">IF(AND(INDEX(FlowCalConstA,MATCH(V22,FlowCalNumber,0),1,1)*X28^INDEX(FlowCalConstB,MATCH(V22,FlowCalNumber,0),1,1)&gt;INDEX(FlowCalLowSetting,MATCH(V22,FlowCalNumber,0),1,1), (INDEX(FlowCalConstA,MATCH(V22,FlowCalNumber,0),1,1)*X28^INDEX(FlowCalConstB,MATCH(V22,FlowCalNumber,0),1,1)&lt;INDEX(FlowCalHighSetting,MATCH(V22,FlowCalNumber,0),1,1))),INDEX(FlowCalConstA,MATCH(V22,FlowCalNumber,0),1,1)*X28^INDEX(FlowCalConstB,MATCH(V22,FlowCalNumber,0),1,1)," ")</f>
        <v>#N/A</v>
      </c>
      <c r="Z28" s="33"/>
      <c r="AA28" s="242">
        <f t="shared" si="10"/>
        <v>0.9</v>
      </c>
      <c r="AB28" s="241" t="e">
        <f t="shared" ca="1" si="11"/>
        <v>#VALUE!</v>
      </c>
      <c r="AC28" s="243" t="e">
        <f ca="1">IF(AND(INDEX(FlowCalConstA,MATCH(Z22,FlowCalNumber,0),1,1)*AB28^INDEX(FlowCalConstB,MATCH(Z22,FlowCalNumber,0),1,1)&gt;INDEX(FlowCalLowSetting,MATCH(Z22,FlowCalNumber,0),1,1), (INDEX(FlowCalConstA,MATCH(Z22,FlowCalNumber,0),1,1)*AB28^INDEX(FlowCalConstB,MATCH(Z22,FlowCalNumber,0),1,1)&lt;INDEX(FlowCalHighSetting,MATCH(Z22,FlowCalNumber,0),1,1))),INDEX(FlowCalConstA,MATCH(Z22,FlowCalNumber,0),1,1)*AB28^INDEX(FlowCalConstB,MATCH(Z22,FlowCalNumber,0),1,1)," ")</f>
        <v>#N/A</v>
      </c>
      <c r="AD28" s="33"/>
      <c r="AE28" s="242">
        <f t="shared" si="12"/>
        <v>0.1</v>
      </c>
      <c r="AF28" s="241" t="e">
        <f t="shared" ca="1" si="13"/>
        <v>#VALUE!</v>
      </c>
      <c r="AG28" s="243" t="e">
        <f ca="1">IF(AND(INDEX(FlowCalConstA,MATCH(AD22,FlowCalNumber,0),1,1)*AF28^INDEX(FlowCalConstB,MATCH(AD22,FlowCalNumber,0),1,1)&gt;INDEX(FlowCalLowSetting,MATCH(AD22,FlowCalNumber,0),1,1), (INDEX(FlowCalConstA,MATCH(AD22,FlowCalNumber,0),1,1)*AF28^INDEX(FlowCalConstB,MATCH(AD22,FlowCalNumber,0),1,1)&lt;INDEX(FlowCalHighSetting,MATCH(AD22,FlowCalNumber,0),1,1))),INDEX(FlowCalConstA,MATCH(AD22,FlowCalNumber,0),1,1)*AF28^INDEX(FlowCalConstB,MATCH(AD22,FlowCalNumber,0),1,1)," ")</f>
        <v>#N/A</v>
      </c>
      <c r="AH28" s="33"/>
      <c r="AI28" s="242">
        <f t="shared" si="14"/>
        <v>0.9</v>
      </c>
      <c r="AJ28" s="241" t="e">
        <f t="shared" ca="1" si="15"/>
        <v>#VALUE!</v>
      </c>
      <c r="AK28" s="244" t="e">
        <f ca="1">IF(AND(INDEX(FlowCalConstA,MATCH(AH22,FlowCalNumber,0),1,1)*AJ28^INDEX(FlowCalConstB,MATCH(AH22,FlowCalNumber,0),1,1)&gt;INDEX(FlowCalLowSetting,MATCH(AH22,FlowCalNumber,0),1,1), (INDEX(FlowCalConstA,MATCH(AH22,FlowCalNumber,0),1,1)*AJ28^INDEX(FlowCalConstB,MATCH(AH22,FlowCalNumber,0),1,1)&lt;INDEX(FlowCalHighSetting,MATCH(AH22,FlowCalNumber,0),1,1))),INDEX(FlowCalConstA,MATCH(AH22,FlowCalNumber,0),1,1)*AJ28^INDEX(FlowCalConstB,MATCH(AH22,FlowCalNumber,0),1,1)," ")</f>
        <v>#N/A</v>
      </c>
      <c r="AL28" s="243"/>
      <c r="AM28" s="243"/>
      <c r="AN28" s="243"/>
      <c r="AO28" s="243"/>
      <c r="AP28" s="243"/>
      <c r="AQ28" s="243"/>
      <c r="AR28" s="243"/>
      <c r="AS28" s="243"/>
      <c r="AT28" s="243"/>
      <c r="AU28" s="243"/>
      <c r="AV28" s="243"/>
      <c r="AW28" s="243"/>
      <c r="AX28" s="243"/>
      <c r="AY28" s="243"/>
      <c r="AZ28" s="243"/>
      <c r="BA28" s="243"/>
      <c r="BB28" s="243"/>
      <c r="BC28" s="243"/>
      <c r="BD28" s="243"/>
      <c r="BE28" s="243"/>
      <c r="BF28" s="243"/>
      <c r="BG28" s="243"/>
      <c r="BH28" s="243"/>
      <c r="BI28" s="243"/>
      <c r="BJ28" s="243"/>
      <c r="BK28" s="243"/>
      <c r="BL28" s="243"/>
      <c r="BM28" s="243"/>
      <c r="BN28" s="243"/>
      <c r="BO28" s="243"/>
      <c r="BP28" s="243"/>
      <c r="BQ28" s="243"/>
      <c r="BR28" s="243"/>
      <c r="BS28" s="243"/>
      <c r="BU28" s="242"/>
      <c r="BW28" s="243"/>
      <c r="BY28" s="242"/>
      <c r="CA28" s="243"/>
      <c r="CC28" s="242"/>
      <c r="CE28" s="243"/>
      <c r="CG28" s="242"/>
      <c r="CI28" s="243"/>
    </row>
    <row r="29" spans="1:87" s="1215" customFormat="1">
      <c r="A29" s="1222"/>
      <c r="B29" s="1223" t="str">
        <f t="shared" si="0"/>
        <v/>
      </c>
      <c r="C29" s="1210"/>
      <c r="D29" s="1211">
        <f>'1% Wind'!$M$88</f>
        <v>10.1</v>
      </c>
      <c r="E29" s="1212"/>
      <c r="F29" s="1212"/>
      <c r="G29" s="1213">
        <f ca="1">IF(I22=0.9743,G28,MAX(G28/D28*D29,2))</f>
        <v>2</v>
      </c>
      <c r="H29" s="1214" t="e">
        <f t="shared" ca="1" si="1"/>
        <v>#VALUE!</v>
      </c>
      <c r="J29" s="1224"/>
      <c r="K29" s="1217">
        <f t="shared" si="2"/>
        <v>1</v>
      </c>
      <c r="L29" s="1218" t="e">
        <f t="shared" ca="1" si="3"/>
        <v>#VALUE!</v>
      </c>
      <c r="M29" s="1219" t="e">
        <f ca="1">IF(AND(INDEX(FlowCalConstA,MATCH(J22,FlowCalNumber,0),1,1)*L29^INDEX(FlowCalConstB,MATCH(J22,FlowCalNumber,0),1,1)&gt;INDEX(FlowCalLowSetting,MATCH(J22,FlowCalNumber,0),1,1), (INDEX(FlowCalConstA,MATCH(J22,FlowCalNumber,0),1,1)*L29^INDEX(FlowCalConstB,MATCH(J22,FlowCalNumber,0),1,1)&lt;INDEX(FlowCalHighSetting,MATCH(J22,FlowCalNumber,0),1,1))),INDEX(FlowCalConstA,MATCH(J22,FlowCalNumber,0),1,1)*L29^INDEX(FlowCalConstB,MATCH(J22,FlowCalNumber,0),1,1)," ")</f>
        <v>#N/A</v>
      </c>
      <c r="N29" s="1224"/>
      <c r="O29" s="1217">
        <f t="shared" si="4"/>
        <v>1</v>
      </c>
      <c r="P29" s="1218" t="e">
        <f t="shared" ca="1" si="5"/>
        <v>#VALUE!</v>
      </c>
      <c r="Q29" s="1219" t="e">
        <f ca="1">IF(AND(INDEX(FlowCalConstA,MATCH(N22,FlowCalNumber,0),1,1)*P29^INDEX(FlowCalConstB,MATCH(N22,FlowCalNumber,0),1,1)&gt;INDEX(FlowCalLowSetting,MATCH(N22,FlowCalNumber,0),1,1), (INDEX(FlowCalConstA,MATCH(N22,FlowCalNumber,0),1,1)*P29^INDEX(FlowCalConstB,MATCH(N22,FlowCalNumber,0),1,1)&lt;INDEX(FlowCalHighSetting,MATCH(N22,FlowCalNumber,0),1,1))),INDEX(FlowCalConstA,MATCH(N22,FlowCalNumber,0),1,1)*P29^INDEX(FlowCalConstB,MATCH(N22,FlowCalNumber,0),1,1)," ")</f>
        <v>#N/A</v>
      </c>
      <c r="R29" s="1224"/>
      <c r="S29" s="1217">
        <f t="shared" si="6"/>
        <v>1</v>
      </c>
      <c r="T29" s="1218" t="e">
        <f t="shared" ca="1" si="7"/>
        <v>#VALUE!</v>
      </c>
      <c r="U29" s="1219" t="e">
        <f ca="1">IF(AND(INDEX(FlowCalConstA,MATCH(R22,FlowCalNumber,0),1,1)*T29^INDEX(FlowCalConstB,MATCH(R22,FlowCalNumber,0),1,1)&gt;INDEX(FlowCalLowSetting,MATCH(R22,FlowCalNumber,0),1,1), (INDEX(FlowCalConstA,MATCH(R22,FlowCalNumber,0),1,1)*T29^INDEX(FlowCalConstB,MATCH(R22,FlowCalNumber,0),1,1)&lt;INDEX(FlowCalHighSetting,MATCH(R22,FlowCalNumber,0),1,1))),INDEX(FlowCalConstA,MATCH(R22,FlowCalNumber,0),1,1)*T29^INDEX(FlowCalConstB,MATCH(R22,FlowCalNumber,0),1,1)," ")</f>
        <v>#N/A</v>
      </c>
      <c r="V29" s="1224"/>
      <c r="W29" s="1217">
        <f t="shared" si="8"/>
        <v>0.1</v>
      </c>
      <c r="X29" s="1218" t="e">
        <f t="shared" ca="1" si="9"/>
        <v>#VALUE!</v>
      </c>
      <c r="Y29" s="1219" t="e">
        <f ca="1">IF(AND(INDEX(FlowCalConstA,MATCH(V22,FlowCalNumber,0),1,1)*X29^INDEX(FlowCalConstB,MATCH(V22,FlowCalNumber,0),1,1)&gt;INDEX(FlowCalLowSetting,MATCH(V22,FlowCalNumber,0),1,1), (INDEX(FlowCalConstA,MATCH(V22,FlowCalNumber,0),1,1)*X29^INDEX(FlowCalConstB,MATCH(V22,FlowCalNumber,0),1,1)&lt;INDEX(FlowCalHighSetting,MATCH(V22,FlowCalNumber,0),1,1))),INDEX(FlowCalConstA,MATCH(V22,FlowCalNumber,0),1,1)*X29^INDEX(FlowCalConstB,MATCH(V22,FlowCalNumber,0),1,1)," ")</f>
        <v>#N/A</v>
      </c>
      <c r="Z29" s="1224"/>
      <c r="AA29" s="1217">
        <f t="shared" si="10"/>
        <v>0.9</v>
      </c>
      <c r="AB29" s="1218" t="e">
        <f t="shared" ca="1" si="11"/>
        <v>#VALUE!</v>
      </c>
      <c r="AC29" s="1219" t="e">
        <f ca="1">IF(AND(INDEX(FlowCalConstA,MATCH(Z22,FlowCalNumber,0),1,1)*AB29^INDEX(FlowCalConstB,MATCH(Z22,FlowCalNumber,0),1,1)&gt;INDEX(FlowCalLowSetting,MATCH(Z22,FlowCalNumber,0),1,1), (INDEX(FlowCalConstA,MATCH(Z22,FlowCalNumber,0),1,1)*AB29^INDEX(FlowCalConstB,MATCH(Z22,FlowCalNumber,0),1,1)&lt;INDEX(FlowCalHighSetting,MATCH(Z22,FlowCalNumber,0),1,1))),INDEX(FlowCalConstA,MATCH(Z22,FlowCalNumber,0),1,1)*AB29^INDEX(FlowCalConstB,MATCH(Z22,FlowCalNumber,0),1,1)," ")</f>
        <v>#N/A</v>
      </c>
      <c r="AD29" s="1224"/>
      <c r="AE29" s="1217">
        <f t="shared" si="12"/>
        <v>0.1</v>
      </c>
      <c r="AF29" s="1218" t="e">
        <f t="shared" ca="1" si="13"/>
        <v>#VALUE!</v>
      </c>
      <c r="AG29" s="1219" t="e">
        <f ca="1">IF(AND(INDEX(FlowCalConstA,MATCH(AD22,FlowCalNumber,0),1,1)*AF29^INDEX(FlowCalConstB,MATCH(AD22,FlowCalNumber,0),1,1)&gt;INDEX(FlowCalLowSetting,MATCH(AD22,FlowCalNumber,0),1,1), (INDEX(FlowCalConstA,MATCH(AD22,FlowCalNumber,0),1,1)*AF29^INDEX(FlowCalConstB,MATCH(AD22,FlowCalNumber,0),1,1)&lt;INDEX(FlowCalHighSetting,MATCH(AD22,FlowCalNumber,0),1,1))),INDEX(FlowCalConstA,MATCH(AD22,FlowCalNumber,0),1,1)*AF29^INDEX(FlowCalConstB,MATCH(AD22,FlowCalNumber,0),1,1)," ")</f>
        <v>#N/A</v>
      </c>
      <c r="AH29" s="1224"/>
      <c r="AI29" s="1217">
        <f t="shared" si="14"/>
        <v>0.9</v>
      </c>
      <c r="AJ29" s="1218" t="e">
        <f t="shared" ca="1" si="15"/>
        <v>#VALUE!</v>
      </c>
      <c r="AK29" s="1220" t="e">
        <f ca="1">IF(AND(INDEX(FlowCalConstA,MATCH(AH22,FlowCalNumber,0),1,1)*AJ29^INDEX(FlowCalConstB,MATCH(AH22,FlowCalNumber,0),1,1)&gt;INDEX(FlowCalLowSetting,MATCH(AH22,FlowCalNumber,0),1,1), (INDEX(FlowCalConstA,MATCH(AH22,FlowCalNumber,0),1,1)*AJ29^INDEX(FlowCalConstB,MATCH(AH22,FlowCalNumber,0),1,1)&lt;INDEX(FlowCalHighSetting,MATCH(AH22,FlowCalNumber,0),1,1))),INDEX(FlowCalConstA,MATCH(AH22,FlowCalNumber,0),1,1)*AJ29^INDEX(FlowCalConstB,MATCH(AH22,FlowCalNumber,0),1,1)," ")</f>
        <v>#N/A</v>
      </c>
      <c r="AL29" s="1219"/>
      <c r="AM29" s="1219"/>
      <c r="AN29" s="1219"/>
      <c r="AO29" s="1219"/>
      <c r="AP29" s="1219"/>
      <c r="AQ29" s="1219"/>
      <c r="AR29" s="1219"/>
      <c r="AS29" s="1219"/>
      <c r="AT29" s="1219"/>
      <c r="AU29" s="1219"/>
      <c r="AV29" s="1219"/>
      <c r="AW29" s="1219"/>
      <c r="AX29" s="1219"/>
      <c r="AY29" s="1219"/>
      <c r="AZ29" s="1219"/>
      <c r="BA29" s="1219"/>
      <c r="BB29" s="1219"/>
      <c r="BC29" s="1219"/>
      <c r="BD29" s="1219"/>
      <c r="BE29" s="1219"/>
      <c r="BF29" s="1219"/>
      <c r="BG29" s="1219"/>
      <c r="BH29" s="1219"/>
      <c r="BI29" s="1219"/>
      <c r="BJ29" s="1219"/>
      <c r="BK29" s="1219"/>
      <c r="BL29" s="1219"/>
      <c r="BM29" s="1219"/>
      <c r="BN29" s="1219"/>
      <c r="BO29" s="1219"/>
      <c r="BP29" s="1219"/>
      <c r="BQ29" s="1219"/>
      <c r="BR29" s="1219"/>
      <c r="BS29" s="1219"/>
      <c r="BU29" s="1217"/>
      <c r="BW29" s="1219"/>
      <c r="BY29" s="1217"/>
      <c r="CA29" s="1219"/>
      <c r="CC29" s="1217"/>
      <c r="CE29" s="1219"/>
      <c r="CG29" s="1217"/>
      <c r="CI29" s="1219"/>
    </row>
    <row r="30" spans="1:87">
      <c r="A30" s="20"/>
      <c r="B30" s="124" t="str">
        <f t="shared" si="0"/>
        <v/>
      </c>
      <c r="C30" s="235"/>
      <c r="D30" s="24">
        <f>'1% Wind'!$M$89</f>
        <v>7.6</v>
      </c>
      <c r="E30" s="90"/>
      <c r="F30" s="90"/>
      <c r="G30" s="79">
        <f ca="1">IF(I22=0.9743,G29,MAX(G29/D29*D30,2))</f>
        <v>2</v>
      </c>
      <c r="H30" s="121" t="e">
        <f t="shared" ca="1" si="1"/>
        <v>#VALUE!</v>
      </c>
      <c r="J30" s="33"/>
      <c r="K30" s="242">
        <f t="shared" si="2"/>
        <v>1</v>
      </c>
      <c r="L30" s="241" t="e">
        <f t="shared" ca="1" si="3"/>
        <v>#VALUE!</v>
      </c>
      <c r="M30" s="243" t="e">
        <f ca="1">IF(AND(INDEX(FlowCalConstA,MATCH(J22,FlowCalNumber,0),1,1)*L30^INDEX(FlowCalConstB,MATCH(J22,FlowCalNumber,0),1,1)&gt;INDEX(FlowCalLowSetting,MATCH(J22,FlowCalNumber,0),1,1), (INDEX(FlowCalConstA,MATCH(J22,FlowCalNumber,0),1,1)*L30^INDEX(FlowCalConstB,MATCH(J22,FlowCalNumber,0),1,1)&lt;INDEX(FlowCalHighSetting,MATCH(J22,FlowCalNumber,0),1,1))),INDEX(FlowCalConstA,MATCH(J22,FlowCalNumber,0),1,1)*L30^INDEX(FlowCalConstB,MATCH(J22,FlowCalNumber,0),1,1)," ")</f>
        <v>#N/A</v>
      </c>
      <c r="N30" s="33"/>
      <c r="O30" s="242">
        <f t="shared" si="4"/>
        <v>1</v>
      </c>
      <c r="P30" s="241" t="e">
        <f t="shared" ca="1" si="5"/>
        <v>#VALUE!</v>
      </c>
      <c r="Q30" s="243" t="e">
        <f ca="1">IF(AND(INDEX(FlowCalConstA,MATCH(N22,FlowCalNumber,0),1,1)*P30^INDEX(FlowCalConstB,MATCH(N22,FlowCalNumber,0),1,1)&gt;INDEX(FlowCalLowSetting,MATCH(N22,FlowCalNumber,0),1,1), (INDEX(FlowCalConstA,MATCH(N22,FlowCalNumber,0),1,1)*P30^INDEX(FlowCalConstB,MATCH(N22,FlowCalNumber,0),1,1)&lt;INDEX(FlowCalHighSetting,MATCH(N22,FlowCalNumber,0),1,1))),INDEX(FlowCalConstA,MATCH(N22,FlowCalNumber,0),1,1)*P30^INDEX(FlowCalConstB,MATCH(N22,FlowCalNumber,0),1,1)," ")</f>
        <v>#N/A</v>
      </c>
      <c r="R30" s="33"/>
      <c r="S30" s="242">
        <f t="shared" si="6"/>
        <v>1</v>
      </c>
      <c r="T30" s="241" t="e">
        <f t="shared" ca="1" si="7"/>
        <v>#VALUE!</v>
      </c>
      <c r="U30" s="243" t="e">
        <f ca="1">IF(AND(INDEX(FlowCalConstA,MATCH(R22,FlowCalNumber,0),1,1)*T30^INDEX(FlowCalConstB,MATCH(R22,FlowCalNumber,0),1,1)&gt;INDEX(FlowCalLowSetting,MATCH(R22,FlowCalNumber,0),1,1), (INDEX(FlowCalConstA,MATCH(R22,FlowCalNumber,0),1,1)*T30^INDEX(FlowCalConstB,MATCH(R22,FlowCalNumber,0),1,1)&lt;INDEX(FlowCalHighSetting,MATCH(R22,FlowCalNumber,0),1,1))),INDEX(FlowCalConstA,MATCH(R22,FlowCalNumber,0),1,1)*T30^INDEX(FlowCalConstB,MATCH(R22,FlowCalNumber,0),1,1)," ")</f>
        <v>#N/A</v>
      </c>
      <c r="V30" s="33"/>
      <c r="W30" s="242">
        <f t="shared" si="8"/>
        <v>0.1</v>
      </c>
      <c r="X30" s="241" t="e">
        <f t="shared" ca="1" si="9"/>
        <v>#VALUE!</v>
      </c>
      <c r="Y30" s="243" t="e">
        <f ca="1">IF(AND(INDEX(FlowCalConstA,MATCH(V22,FlowCalNumber,0),1,1)*X30^INDEX(FlowCalConstB,MATCH(V22,FlowCalNumber,0),1,1)&gt;INDEX(FlowCalLowSetting,MATCH(V22,FlowCalNumber,0),1,1), (INDEX(FlowCalConstA,MATCH(V22,FlowCalNumber,0),1,1)*X30^INDEX(FlowCalConstB,MATCH(V22,FlowCalNumber,0),1,1)&lt;INDEX(FlowCalHighSetting,MATCH(V22,FlowCalNumber,0),1,1))),INDEX(FlowCalConstA,MATCH(V22,FlowCalNumber,0),1,1)*X30^INDEX(FlowCalConstB,MATCH(V22,FlowCalNumber,0),1,1)," ")</f>
        <v>#N/A</v>
      </c>
      <c r="Z30" s="33"/>
      <c r="AA30" s="242">
        <f t="shared" si="10"/>
        <v>0.9</v>
      </c>
      <c r="AB30" s="241" t="e">
        <f t="shared" ca="1" si="11"/>
        <v>#VALUE!</v>
      </c>
      <c r="AC30" s="243" t="e">
        <f ca="1">IF(AND(INDEX(FlowCalConstA,MATCH(Z22,FlowCalNumber,0),1,1)*AB30^INDEX(FlowCalConstB,MATCH(Z22,FlowCalNumber,0),1,1)&gt;INDEX(FlowCalLowSetting,MATCH(Z22,FlowCalNumber,0),1,1), (INDEX(FlowCalConstA,MATCH(Z22,FlowCalNumber,0),1,1)*AB30^INDEX(FlowCalConstB,MATCH(Z22,FlowCalNumber,0),1,1)&lt;INDEX(FlowCalHighSetting,MATCH(Z22,FlowCalNumber,0),1,1))),INDEX(FlowCalConstA,MATCH(Z22,FlowCalNumber,0),1,1)*AB30^INDEX(FlowCalConstB,MATCH(Z22,FlowCalNumber,0),1,1)," ")</f>
        <v>#N/A</v>
      </c>
      <c r="AD30" s="33"/>
      <c r="AE30" s="242">
        <f t="shared" si="12"/>
        <v>0.1</v>
      </c>
      <c r="AF30" s="241" t="e">
        <f t="shared" ca="1" si="13"/>
        <v>#VALUE!</v>
      </c>
      <c r="AG30" s="243" t="e">
        <f ca="1">IF(AND(INDEX(FlowCalConstA,MATCH(AD22,FlowCalNumber,0),1,1)*AF30^INDEX(FlowCalConstB,MATCH(AD22,FlowCalNumber,0),1,1)&gt;INDEX(FlowCalLowSetting,MATCH(AD22,FlowCalNumber,0),1,1), (INDEX(FlowCalConstA,MATCH(AD22,FlowCalNumber,0),1,1)*AF30^INDEX(FlowCalConstB,MATCH(AD22,FlowCalNumber,0),1,1)&lt;INDEX(FlowCalHighSetting,MATCH(AD22,FlowCalNumber,0),1,1))),INDEX(FlowCalConstA,MATCH(AD22,FlowCalNumber,0),1,1)*AF30^INDEX(FlowCalConstB,MATCH(AD22,FlowCalNumber,0),1,1)," ")</f>
        <v>#N/A</v>
      </c>
      <c r="AH30" s="33"/>
      <c r="AI30" s="242">
        <f t="shared" si="14"/>
        <v>0.9</v>
      </c>
      <c r="AJ30" s="241" t="e">
        <f t="shared" ca="1" si="15"/>
        <v>#VALUE!</v>
      </c>
      <c r="AK30" s="244" t="e">
        <f ca="1">IF(AND(INDEX(FlowCalConstA,MATCH(AH22,FlowCalNumber,0),1,1)*AJ30^INDEX(FlowCalConstB,MATCH(AH22,FlowCalNumber,0),1,1)&gt;INDEX(FlowCalLowSetting,MATCH(AH22,FlowCalNumber,0),1,1), (INDEX(FlowCalConstA,MATCH(AH22,FlowCalNumber,0),1,1)*AJ30^INDEX(FlowCalConstB,MATCH(AH22,FlowCalNumber,0),1,1)&lt;INDEX(FlowCalHighSetting,MATCH(AH22,FlowCalNumber,0),1,1))),INDEX(FlowCalConstA,MATCH(AH22,FlowCalNumber,0),1,1)*AJ30^INDEX(FlowCalConstB,MATCH(AH22,FlowCalNumber,0),1,1)," ")</f>
        <v>#N/A</v>
      </c>
      <c r="AL30" s="243"/>
      <c r="AM30" s="243"/>
      <c r="AN30" s="243"/>
      <c r="AO30" s="243"/>
      <c r="AP30" s="243"/>
      <c r="AQ30" s="243"/>
      <c r="AR30" s="243"/>
      <c r="AS30" s="243"/>
      <c r="AT30" s="243"/>
      <c r="AU30" s="243"/>
      <c r="AV30" s="243"/>
      <c r="AW30" s="243"/>
      <c r="AX30" s="243"/>
      <c r="AY30" s="243"/>
      <c r="AZ30" s="243"/>
      <c r="BA30" s="243"/>
      <c r="BB30" s="243"/>
      <c r="BC30" s="243"/>
      <c r="BD30" s="243"/>
      <c r="BE30" s="243"/>
      <c r="BF30" s="243"/>
      <c r="BG30" s="243"/>
      <c r="BH30" s="243"/>
      <c r="BI30" s="243"/>
      <c r="BJ30" s="243"/>
      <c r="BK30" s="243"/>
      <c r="BL30" s="243"/>
      <c r="BM30" s="243"/>
      <c r="BN30" s="243"/>
      <c r="BO30" s="243"/>
      <c r="BP30" s="243"/>
      <c r="BQ30" s="243"/>
      <c r="BR30" s="243"/>
      <c r="BS30" s="243"/>
      <c r="BU30" s="242"/>
      <c r="BW30" s="243"/>
      <c r="BY30" s="242"/>
      <c r="CA30" s="243"/>
      <c r="CC30" s="242"/>
      <c r="CE30" s="243"/>
      <c r="CG30" s="242"/>
      <c r="CI30" s="243"/>
    </row>
    <row r="31" spans="1:87" s="1215" customFormat="1">
      <c r="A31" s="1222"/>
      <c r="B31" s="1223" t="str">
        <f t="shared" si="0"/>
        <v/>
      </c>
      <c r="C31" s="1210"/>
      <c r="D31" s="1211">
        <f>'1% Wind'!$M$90</f>
        <v>5.7</v>
      </c>
      <c r="E31" s="1212"/>
      <c r="F31" s="1212"/>
      <c r="G31" s="1213">
        <f ca="1">IF(I22=0.9743,G30,MAX(G30/D30*D31,2))</f>
        <v>2</v>
      </c>
      <c r="H31" s="1214" t="e">
        <f t="shared" ca="1" si="1"/>
        <v>#VALUE!</v>
      </c>
      <c r="J31" s="1224"/>
      <c r="K31" s="1217">
        <f t="shared" si="2"/>
        <v>1</v>
      </c>
      <c r="L31" s="1218" t="e">
        <f t="shared" ca="1" si="3"/>
        <v>#VALUE!</v>
      </c>
      <c r="M31" s="1219" t="e">
        <f ca="1">IF(AND(INDEX(FlowCalConstA,MATCH(J22,FlowCalNumber,0),1,1)*L31^INDEX(FlowCalConstB,MATCH(J22,FlowCalNumber,0),1,1)&gt;INDEX(FlowCalLowSetting,MATCH(J22,FlowCalNumber,0),1,1), (INDEX(FlowCalConstA,MATCH(J22,FlowCalNumber,0),1,1)*L31^INDEX(FlowCalConstB,MATCH(J22,FlowCalNumber,0),1,1)&lt;INDEX(FlowCalHighSetting,MATCH(J22,FlowCalNumber,0),1,1))),INDEX(FlowCalConstA,MATCH(J22,FlowCalNumber,0),1,1)*L31^INDEX(FlowCalConstB,MATCH(J22,FlowCalNumber,0),1,1)," ")</f>
        <v>#N/A</v>
      </c>
      <c r="N31" s="1224"/>
      <c r="O31" s="1217">
        <f t="shared" si="4"/>
        <v>1</v>
      </c>
      <c r="P31" s="1218" t="e">
        <f t="shared" ca="1" si="5"/>
        <v>#VALUE!</v>
      </c>
      <c r="Q31" s="1219" t="e">
        <f ca="1">IF(AND(INDEX(FlowCalConstA,MATCH(N22,FlowCalNumber,0),1,1)*P31^INDEX(FlowCalConstB,MATCH(N22,FlowCalNumber,0),1,1)&gt;INDEX(FlowCalLowSetting,MATCH(N22,FlowCalNumber,0),1,1), (INDEX(FlowCalConstA,MATCH(N22,FlowCalNumber,0),1,1)*P31^INDEX(FlowCalConstB,MATCH(N22,FlowCalNumber,0),1,1)&lt;INDEX(FlowCalHighSetting,MATCH(N22,FlowCalNumber,0),1,1))),INDEX(FlowCalConstA,MATCH(N22,FlowCalNumber,0),1,1)*P31^INDEX(FlowCalConstB,MATCH(N22,FlowCalNumber,0),1,1)," ")</f>
        <v>#N/A</v>
      </c>
      <c r="R31" s="1224"/>
      <c r="S31" s="1217">
        <f t="shared" si="6"/>
        <v>1</v>
      </c>
      <c r="T31" s="1218" t="e">
        <f t="shared" ca="1" si="7"/>
        <v>#VALUE!</v>
      </c>
      <c r="U31" s="1219" t="e">
        <f ca="1">IF(AND(INDEX(FlowCalConstA,MATCH(R22,FlowCalNumber,0),1,1)*T31^INDEX(FlowCalConstB,MATCH(R22,FlowCalNumber,0),1,1)&gt;INDEX(FlowCalLowSetting,MATCH(R22,FlowCalNumber,0),1,1), (INDEX(FlowCalConstA,MATCH(R22,FlowCalNumber,0),1,1)*T31^INDEX(FlowCalConstB,MATCH(R22,FlowCalNumber,0),1,1)&lt;INDEX(FlowCalHighSetting,MATCH(R22,FlowCalNumber,0),1,1))),INDEX(FlowCalConstA,MATCH(R22,FlowCalNumber,0),1,1)*T31^INDEX(FlowCalConstB,MATCH(R22,FlowCalNumber,0),1,1)," ")</f>
        <v>#N/A</v>
      </c>
      <c r="V31" s="1224"/>
      <c r="W31" s="1217">
        <f t="shared" si="8"/>
        <v>0.1</v>
      </c>
      <c r="X31" s="1218" t="e">
        <f t="shared" ca="1" si="9"/>
        <v>#VALUE!</v>
      </c>
      <c r="Y31" s="1219" t="e">
        <f ca="1">IF(AND(INDEX(FlowCalConstA,MATCH(V22,FlowCalNumber,0),1,1)*X31^INDEX(FlowCalConstB,MATCH(V22,FlowCalNumber,0),1,1)&gt;INDEX(FlowCalLowSetting,MATCH(V22,FlowCalNumber,0),1,1), (INDEX(FlowCalConstA,MATCH(V22,FlowCalNumber,0),1,1)*X31^INDEX(FlowCalConstB,MATCH(V22,FlowCalNumber,0),1,1)&lt;INDEX(FlowCalHighSetting,MATCH(V22,FlowCalNumber,0),1,1))),INDEX(FlowCalConstA,MATCH(V22,FlowCalNumber,0),1,1)*X31^INDEX(FlowCalConstB,MATCH(V22,FlowCalNumber,0),1,1)," ")</f>
        <v>#N/A</v>
      </c>
      <c r="Z31" s="1224"/>
      <c r="AA31" s="1217">
        <f t="shared" si="10"/>
        <v>0.9</v>
      </c>
      <c r="AB31" s="1218" t="e">
        <f t="shared" ca="1" si="11"/>
        <v>#VALUE!</v>
      </c>
      <c r="AC31" s="1219" t="e">
        <f ca="1">IF(AND(INDEX(FlowCalConstA,MATCH(Z22,FlowCalNumber,0),1,1)*AB31^INDEX(FlowCalConstB,MATCH(Z22,FlowCalNumber,0),1,1)&gt;INDEX(FlowCalLowSetting,MATCH(Z22,FlowCalNumber,0),1,1), (INDEX(FlowCalConstA,MATCH(Z22,FlowCalNumber,0),1,1)*AB31^INDEX(FlowCalConstB,MATCH(Z22,FlowCalNumber,0),1,1)&lt;INDEX(FlowCalHighSetting,MATCH(Z22,FlowCalNumber,0),1,1))),INDEX(FlowCalConstA,MATCH(Z22,FlowCalNumber,0),1,1)*AB31^INDEX(FlowCalConstB,MATCH(Z22,FlowCalNumber,0),1,1)," ")</f>
        <v>#N/A</v>
      </c>
      <c r="AD31" s="1224"/>
      <c r="AE31" s="1217">
        <f t="shared" si="12"/>
        <v>0.1</v>
      </c>
      <c r="AF31" s="1218" t="e">
        <f t="shared" ca="1" si="13"/>
        <v>#VALUE!</v>
      </c>
      <c r="AG31" s="1219" t="e">
        <f ca="1">IF(AND(INDEX(FlowCalConstA,MATCH(AD22,FlowCalNumber,0),1,1)*AF31^INDEX(FlowCalConstB,MATCH(AD22,FlowCalNumber,0),1,1)&gt;INDEX(FlowCalLowSetting,MATCH(AD22,FlowCalNumber,0),1,1), (INDEX(FlowCalConstA,MATCH(AD22,FlowCalNumber,0),1,1)*AF31^INDEX(FlowCalConstB,MATCH(AD22,FlowCalNumber,0),1,1)&lt;INDEX(FlowCalHighSetting,MATCH(AD22,FlowCalNumber,0),1,1))),INDEX(FlowCalConstA,MATCH(AD22,FlowCalNumber,0),1,1)*AF31^INDEX(FlowCalConstB,MATCH(AD22,FlowCalNumber,0),1,1)," ")</f>
        <v>#N/A</v>
      </c>
      <c r="AH31" s="1224"/>
      <c r="AI31" s="1217">
        <f t="shared" si="14"/>
        <v>0.9</v>
      </c>
      <c r="AJ31" s="1218" t="e">
        <f t="shared" ca="1" si="15"/>
        <v>#VALUE!</v>
      </c>
      <c r="AK31" s="1220" t="e">
        <f ca="1">IF(AND(INDEX(FlowCalConstA,MATCH(AH22,FlowCalNumber,0),1,1)*AJ31^INDEX(FlowCalConstB,MATCH(AH22,FlowCalNumber,0),1,1)&gt;INDEX(FlowCalLowSetting,MATCH(AH22,FlowCalNumber,0),1,1), (INDEX(FlowCalConstA,MATCH(AH22,FlowCalNumber,0),1,1)*AJ31^INDEX(FlowCalConstB,MATCH(AH22,FlowCalNumber,0),1,1)&lt;INDEX(FlowCalHighSetting,MATCH(AH22,FlowCalNumber,0),1,1))),INDEX(FlowCalConstA,MATCH(AH22,FlowCalNumber,0),1,1)*AJ31^INDEX(FlowCalConstB,MATCH(AH22,FlowCalNumber,0),1,1)," ")</f>
        <v>#N/A</v>
      </c>
      <c r="AL31" s="1219"/>
      <c r="AM31" s="1219"/>
      <c r="AN31" s="1219"/>
      <c r="AO31" s="1219"/>
      <c r="AP31" s="1219"/>
      <c r="AQ31" s="1219"/>
      <c r="AR31" s="1219"/>
      <c r="AS31" s="1219"/>
      <c r="AT31" s="1219"/>
      <c r="AU31" s="1219"/>
      <c r="AV31" s="1219"/>
      <c r="AW31" s="1219"/>
      <c r="AX31" s="1219"/>
      <c r="AY31" s="1219"/>
      <c r="AZ31" s="1219"/>
      <c r="BA31" s="1219"/>
      <c r="BB31" s="1219"/>
      <c r="BC31" s="1219"/>
      <c r="BD31" s="1219"/>
      <c r="BE31" s="1219"/>
      <c r="BF31" s="1219"/>
      <c r="BG31" s="1219"/>
      <c r="BH31" s="1219"/>
      <c r="BI31" s="1219"/>
      <c r="BJ31" s="1219"/>
      <c r="BK31" s="1219"/>
      <c r="BL31" s="1219"/>
      <c r="BM31" s="1219"/>
      <c r="BN31" s="1219"/>
      <c r="BO31" s="1219"/>
      <c r="BP31" s="1219"/>
      <c r="BQ31" s="1219"/>
      <c r="BR31" s="1219"/>
      <c r="BS31" s="1219"/>
      <c r="BU31" s="1217"/>
      <c r="BW31" s="1219"/>
      <c r="BY31" s="1217"/>
      <c r="CA31" s="1219"/>
      <c r="CC31" s="1217"/>
      <c r="CE31" s="1219"/>
      <c r="CG31" s="1217"/>
      <c r="CI31" s="1219"/>
    </row>
    <row r="32" spans="1:87">
      <c r="A32" s="20"/>
      <c r="B32" s="124" t="str">
        <f t="shared" si="0"/>
        <v/>
      </c>
      <c r="C32" s="235"/>
      <c r="D32" s="24">
        <f>'1% Wind'!$M$91</f>
        <v>4.2</v>
      </c>
      <c r="E32" s="90"/>
      <c r="F32" s="90"/>
      <c r="G32" s="79">
        <f ca="1">IF(I22=0.9743,G31,MAX(G31/D31*D32,2))</f>
        <v>2</v>
      </c>
      <c r="H32" s="121" t="e">
        <f t="shared" ca="1" si="1"/>
        <v>#VALUE!</v>
      </c>
      <c r="J32" s="33"/>
      <c r="K32" s="242">
        <f t="shared" si="2"/>
        <v>1</v>
      </c>
      <c r="L32" s="241" t="e">
        <f t="shared" ca="1" si="3"/>
        <v>#VALUE!</v>
      </c>
      <c r="M32" s="243" t="e">
        <f ca="1">IF(AND(INDEX(FlowCalConstA,MATCH(J22,FlowCalNumber,0),1,1)*L32^INDEX(FlowCalConstB,MATCH(J22,FlowCalNumber,0),1,1)&gt;INDEX(FlowCalLowSetting,MATCH(J22,FlowCalNumber,0),1,1), (INDEX(FlowCalConstA,MATCH(J22,FlowCalNumber,0),1,1)*L32^INDEX(FlowCalConstB,MATCH(J22,FlowCalNumber,0),1,1)&lt;INDEX(FlowCalHighSetting,MATCH(J22,FlowCalNumber,0),1,1))),INDEX(FlowCalConstA,MATCH(J22,FlowCalNumber,0),1,1)*L32^INDEX(FlowCalConstB,MATCH(J22,FlowCalNumber,0),1,1)," ")</f>
        <v>#N/A</v>
      </c>
      <c r="N32" s="33"/>
      <c r="O32" s="242">
        <f t="shared" si="4"/>
        <v>1</v>
      </c>
      <c r="P32" s="241" t="e">
        <f t="shared" ca="1" si="5"/>
        <v>#VALUE!</v>
      </c>
      <c r="Q32" s="243" t="e">
        <f ca="1">IF(AND(INDEX(FlowCalConstA,MATCH(N22,FlowCalNumber,0),1,1)*P32^INDEX(FlowCalConstB,MATCH(N22,FlowCalNumber,0),1,1)&gt;INDEX(FlowCalLowSetting,MATCH(N22,FlowCalNumber,0),1,1), (INDEX(FlowCalConstA,MATCH(N22,FlowCalNumber,0),1,1)*P32^INDEX(FlowCalConstB,MATCH(N22,FlowCalNumber,0),1,1)&lt;INDEX(FlowCalHighSetting,MATCH(N22,FlowCalNumber,0),1,1))),INDEX(FlowCalConstA,MATCH(N22,FlowCalNumber,0),1,1)*P32^INDEX(FlowCalConstB,MATCH(N22,FlowCalNumber,0),1,1)," ")</f>
        <v>#N/A</v>
      </c>
      <c r="R32" s="33"/>
      <c r="S32" s="242">
        <f t="shared" si="6"/>
        <v>1</v>
      </c>
      <c r="T32" s="241" t="e">
        <f t="shared" ca="1" si="7"/>
        <v>#VALUE!</v>
      </c>
      <c r="U32" s="243" t="e">
        <f ca="1">IF(AND(INDEX(FlowCalConstA,MATCH(R22,FlowCalNumber,0),1,1)*T32^INDEX(FlowCalConstB,MATCH(R22,FlowCalNumber,0),1,1)&gt;INDEX(FlowCalLowSetting,MATCH(R22,FlowCalNumber,0),1,1), (INDEX(FlowCalConstA,MATCH(R22,FlowCalNumber,0),1,1)*T32^INDEX(FlowCalConstB,MATCH(R22,FlowCalNumber,0),1,1)&lt;INDEX(FlowCalHighSetting,MATCH(R22,FlowCalNumber,0),1,1))),INDEX(FlowCalConstA,MATCH(R22,FlowCalNumber,0),1,1)*T32^INDEX(FlowCalConstB,MATCH(R22,FlowCalNumber,0),1,1)," ")</f>
        <v>#N/A</v>
      </c>
      <c r="V32" s="33"/>
      <c r="W32" s="242">
        <f t="shared" si="8"/>
        <v>0.1</v>
      </c>
      <c r="X32" s="241" t="e">
        <f t="shared" ca="1" si="9"/>
        <v>#VALUE!</v>
      </c>
      <c r="Y32" s="243" t="e">
        <f ca="1">IF(AND(INDEX(FlowCalConstA,MATCH(V22,FlowCalNumber,0),1,1)*X32^INDEX(FlowCalConstB,MATCH(V22,FlowCalNumber,0),1,1)&gt;INDEX(FlowCalLowSetting,MATCH(V22,FlowCalNumber,0),1,1), (INDEX(FlowCalConstA,MATCH(V22,FlowCalNumber,0),1,1)*X32^INDEX(FlowCalConstB,MATCH(V22,FlowCalNumber,0),1,1)&lt;INDEX(FlowCalHighSetting,MATCH(V22,FlowCalNumber,0),1,1))),INDEX(FlowCalConstA,MATCH(V22,FlowCalNumber,0),1,1)*X32^INDEX(FlowCalConstB,MATCH(V22,FlowCalNumber,0),1,1)," ")</f>
        <v>#N/A</v>
      </c>
      <c r="Z32" s="33"/>
      <c r="AA32" s="242">
        <f t="shared" si="10"/>
        <v>0.9</v>
      </c>
      <c r="AB32" s="241" t="e">
        <f t="shared" ca="1" si="11"/>
        <v>#VALUE!</v>
      </c>
      <c r="AC32" s="243" t="e">
        <f ca="1">IF(AND(INDEX(FlowCalConstA,MATCH(Z22,FlowCalNumber,0),1,1)*AB32^INDEX(FlowCalConstB,MATCH(Z22,FlowCalNumber,0),1,1)&gt;INDEX(FlowCalLowSetting,MATCH(Z22,FlowCalNumber,0),1,1), (INDEX(FlowCalConstA,MATCH(Z22,FlowCalNumber,0),1,1)*AB32^INDEX(FlowCalConstB,MATCH(Z22,FlowCalNumber,0),1,1)&lt;INDEX(FlowCalHighSetting,MATCH(Z22,FlowCalNumber,0),1,1))),INDEX(FlowCalConstA,MATCH(Z22,FlowCalNumber,0),1,1)*AB32^INDEX(FlowCalConstB,MATCH(Z22,FlowCalNumber,0),1,1)," ")</f>
        <v>#N/A</v>
      </c>
      <c r="AD32" s="33"/>
      <c r="AE32" s="242">
        <f t="shared" si="12"/>
        <v>0.1</v>
      </c>
      <c r="AF32" s="241" t="e">
        <f t="shared" ca="1" si="13"/>
        <v>#VALUE!</v>
      </c>
      <c r="AG32" s="243" t="e">
        <f ca="1">IF(AND(INDEX(FlowCalConstA,MATCH(AD22,FlowCalNumber,0),1,1)*AF32^INDEX(FlowCalConstB,MATCH(AD22,FlowCalNumber,0),1,1)&gt;INDEX(FlowCalLowSetting,MATCH(AD22,FlowCalNumber,0),1,1), (INDEX(FlowCalConstA,MATCH(AD22,FlowCalNumber,0),1,1)*AF32^INDEX(FlowCalConstB,MATCH(AD22,FlowCalNumber,0),1,1)&lt;INDEX(FlowCalHighSetting,MATCH(AD22,FlowCalNumber,0),1,1))),INDEX(FlowCalConstA,MATCH(AD22,FlowCalNumber,0),1,1)*AF32^INDEX(FlowCalConstB,MATCH(AD22,FlowCalNumber,0),1,1)," ")</f>
        <v>#N/A</v>
      </c>
      <c r="AH32" s="33"/>
      <c r="AI32" s="242">
        <f t="shared" si="14"/>
        <v>0.9</v>
      </c>
      <c r="AJ32" s="241" t="e">
        <f t="shared" ca="1" si="15"/>
        <v>#VALUE!</v>
      </c>
      <c r="AK32" s="244" t="e">
        <f ca="1">IF(AND(INDEX(FlowCalConstA,MATCH(AH22,FlowCalNumber,0),1,1)*AJ32^INDEX(FlowCalConstB,MATCH(AH22,FlowCalNumber,0),1,1)&gt;INDEX(FlowCalLowSetting,MATCH(AH22,FlowCalNumber,0),1,1), (INDEX(FlowCalConstA,MATCH(AH22,FlowCalNumber,0),1,1)*AJ32^INDEX(FlowCalConstB,MATCH(AH22,FlowCalNumber,0),1,1)&lt;INDEX(FlowCalHighSetting,MATCH(AH22,FlowCalNumber,0),1,1))),INDEX(FlowCalConstA,MATCH(AH22,FlowCalNumber,0),1,1)*AJ32^INDEX(FlowCalConstB,MATCH(AH22,FlowCalNumber,0),1,1)," ")</f>
        <v>#N/A</v>
      </c>
      <c r="AL32" s="243"/>
      <c r="AM32" s="243"/>
      <c r="AN32" s="243"/>
      <c r="AO32" s="243"/>
      <c r="AP32" s="243"/>
      <c r="AQ32" s="243"/>
      <c r="AR32" s="243"/>
      <c r="AS32" s="243"/>
      <c r="AT32" s="243"/>
      <c r="AU32" s="243"/>
      <c r="AV32" s="243"/>
      <c r="AW32" s="243"/>
      <c r="AX32" s="243"/>
      <c r="AY32" s="243"/>
      <c r="AZ32" s="243"/>
      <c r="BA32" s="243"/>
      <c r="BB32" s="243"/>
      <c r="BC32" s="243"/>
      <c r="BD32" s="243"/>
      <c r="BE32" s="243"/>
      <c r="BF32" s="243"/>
      <c r="BG32" s="243"/>
      <c r="BH32" s="243"/>
      <c r="BI32" s="243"/>
      <c r="BJ32" s="243"/>
      <c r="BK32" s="243"/>
      <c r="BL32" s="243"/>
      <c r="BM32" s="243"/>
      <c r="BN32" s="243"/>
      <c r="BO32" s="243"/>
      <c r="BP32" s="243"/>
      <c r="BQ32" s="243"/>
      <c r="BR32" s="243"/>
      <c r="BS32" s="243"/>
      <c r="BU32" s="242"/>
      <c r="BW32" s="243"/>
      <c r="BY32" s="242"/>
      <c r="CA32" s="243"/>
      <c r="CC32" s="242"/>
      <c r="CE32" s="243"/>
      <c r="CG32" s="242"/>
      <c r="CI32" s="243"/>
    </row>
    <row r="33" spans="1:87" s="1215" customFormat="1">
      <c r="A33" s="1222"/>
      <c r="B33" s="1223" t="str">
        <f t="shared" si="0"/>
        <v/>
      </c>
      <c r="C33" s="1210"/>
      <c r="D33" s="1211">
        <f>'1% Wind'!$M$92</f>
        <v>3.2</v>
      </c>
      <c r="E33" s="1212"/>
      <c r="F33" s="1212"/>
      <c r="G33" s="1213">
        <f ca="1">IF(I22=0.9743,G32,MAX(G32/D32*D33,2))</f>
        <v>2</v>
      </c>
      <c r="H33" s="1214" t="e">
        <f t="shared" ca="1" si="1"/>
        <v>#VALUE!</v>
      </c>
      <c r="J33" s="1224"/>
      <c r="K33" s="1217">
        <f t="shared" si="2"/>
        <v>1</v>
      </c>
      <c r="L33" s="1218" t="e">
        <f t="shared" ca="1" si="3"/>
        <v>#VALUE!</v>
      </c>
      <c r="M33" s="1219" t="e">
        <f ca="1">IF(AND(INDEX(FlowCalConstA,MATCH(J22,FlowCalNumber,0),1,1)*L33^INDEX(FlowCalConstB,MATCH(J22,FlowCalNumber,0),1,1)&gt;INDEX(FlowCalLowSetting,MATCH(J22,FlowCalNumber,0),1,1), (INDEX(FlowCalConstA,MATCH(J22,FlowCalNumber,0),1,1)*L33^INDEX(FlowCalConstB,MATCH(J22,FlowCalNumber,0),1,1)&lt;INDEX(FlowCalHighSetting,MATCH(J22,FlowCalNumber,0),1,1))),INDEX(FlowCalConstA,MATCH(J22,FlowCalNumber,0),1,1)*L33^INDEX(FlowCalConstB,MATCH(J22,FlowCalNumber,0),1,1)," ")</f>
        <v>#N/A</v>
      </c>
      <c r="N33" s="1224"/>
      <c r="O33" s="1217">
        <f t="shared" si="4"/>
        <v>1</v>
      </c>
      <c r="P33" s="1218" t="e">
        <f t="shared" ca="1" si="5"/>
        <v>#VALUE!</v>
      </c>
      <c r="Q33" s="1219" t="e">
        <f ca="1">IF(AND(INDEX(FlowCalConstA,MATCH(N22,FlowCalNumber,0),1,1)*P33^INDEX(FlowCalConstB,MATCH(N22,FlowCalNumber,0),1,1)&gt;INDEX(FlowCalLowSetting,MATCH(N22,FlowCalNumber,0),1,1), (INDEX(FlowCalConstA,MATCH(N22,FlowCalNumber,0),1,1)*P33^INDEX(FlowCalConstB,MATCH(N22,FlowCalNumber,0),1,1)&lt;INDEX(FlowCalHighSetting,MATCH(N22,FlowCalNumber,0),1,1))),INDEX(FlowCalConstA,MATCH(N22,FlowCalNumber,0),1,1)*P33^INDEX(FlowCalConstB,MATCH(N22,FlowCalNumber,0),1,1)," ")</f>
        <v>#N/A</v>
      </c>
      <c r="R33" s="1224"/>
      <c r="S33" s="1217">
        <f t="shared" si="6"/>
        <v>1</v>
      </c>
      <c r="T33" s="1218" t="e">
        <f t="shared" ca="1" si="7"/>
        <v>#VALUE!</v>
      </c>
      <c r="U33" s="1219" t="e">
        <f ca="1">IF(AND(INDEX(FlowCalConstA,MATCH(R22,FlowCalNumber,0),1,1)*T33^INDEX(FlowCalConstB,MATCH(R22,FlowCalNumber,0),1,1)&gt;INDEX(FlowCalLowSetting,MATCH(R22,FlowCalNumber,0),1,1), (INDEX(FlowCalConstA,MATCH(R22,FlowCalNumber,0),1,1)*T33^INDEX(FlowCalConstB,MATCH(R22,FlowCalNumber,0),1,1)&lt;INDEX(FlowCalHighSetting,MATCH(R22,FlowCalNumber,0),1,1))),INDEX(FlowCalConstA,MATCH(R22,FlowCalNumber,0),1,1)*T33^INDEX(FlowCalConstB,MATCH(R22,FlowCalNumber,0),1,1)," ")</f>
        <v>#N/A</v>
      </c>
      <c r="V33" s="1224"/>
      <c r="W33" s="1217">
        <f t="shared" si="8"/>
        <v>0.1</v>
      </c>
      <c r="X33" s="1218" t="e">
        <f t="shared" ca="1" si="9"/>
        <v>#VALUE!</v>
      </c>
      <c r="Y33" s="1219" t="e">
        <f ca="1">IF(AND(INDEX(FlowCalConstA,MATCH(V22,FlowCalNumber,0),1,1)*X33^INDEX(FlowCalConstB,MATCH(V22,FlowCalNumber,0),1,1)&gt;INDEX(FlowCalLowSetting,MATCH(V22,FlowCalNumber,0),1,1), (INDEX(FlowCalConstA,MATCH(V22,FlowCalNumber,0),1,1)*X33^INDEX(FlowCalConstB,MATCH(V22,FlowCalNumber,0),1,1)&lt;INDEX(FlowCalHighSetting,MATCH(V22,FlowCalNumber,0),1,1))),INDEX(FlowCalConstA,MATCH(V22,FlowCalNumber,0),1,1)*X33^INDEX(FlowCalConstB,MATCH(V22,FlowCalNumber,0),1,1)," ")</f>
        <v>#N/A</v>
      </c>
      <c r="Z33" s="1224"/>
      <c r="AA33" s="1217">
        <f t="shared" si="10"/>
        <v>0.9</v>
      </c>
      <c r="AB33" s="1218" t="e">
        <f t="shared" ca="1" si="11"/>
        <v>#VALUE!</v>
      </c>
      <c r="AC33" s="1219" t="e">
        <f ca="1">IF(AND(INDEX(FlowCalConstA,MATCH(Z22,FlowCalNumber,0),1,1)*AB33^INDEX(FlowCalConstB,MATCH(Z22,FlowCalNumber,0),1,1)&gt;INDEX(FlowCalLowSetting,MATCH(Z22,FlowCalNumber,0),1,1), (INDEX(FlowCalConstA,MATCH(Z22,FlowCalNumber,0),1,1)*AB33^INDEX(FlowCalConstB,MATCH(Z22,FlowCalNumber,0),1,1)&lt;INDEX(FlowCalHighSetting,MATCH(Z22,FlowCalNumber,0),1,1))),INDEX(FlowCalConstA,MATCH(Z22,FlowCalNumber,0),1,1)*AB33^INDEX(FlowCalConstB,MATCH(Z22,FlowCalNumber,0),1,1)," ")</f>
        <v>#N/A</v>
      </c>
      <c r="AD33" s="1224"/>
      <c r="AE33" s="1217">
        <f t="shared" si="12"/>
        <v>0.1</v>
      </c>
      <c r="AF33" s="1218" t="e">
        <f t="shared" ca="1" si="13"/>
        <v>#VALUE!</v>
      </c>
      <c r="AG33" s="1219" t="e">
        <f ca="1">IF(AND(INDEX(FlowCalConstA,MATCH(AD22,FlowCalNumber,0),1,1)*AF33^INDEX(FlowCalConstB,MATCH(AD22,FlowCalNumber,0),1,1)&gt;INDEX(FlowCalLowSetting,MATCH(AD22,FlowCalNumber,0),1,1), (INDEX(FlowCalConstA,MATCH(AD22,FlowCalNumber,0),1,1)*AF33^INDEX(FlowCalConstB,MATCH(AD22,FlowCalNumber,0),1,1)&lt;INDEX(FlowCalHighSetting,MATCH(AD22,FlowCalNumber,0),1,1))),INDEX(FlowCalConstA,MATCH(AD22,FlowCalNumber,0),1,1)*AF33^INDEX(FlowCalConstB,MATCH(AD22,FlowCalNumber,0),1,1)," ")</f>
        <v>#N/A</v>
      </c>
      <c r="AH33" s="1224"/>
      <c r="AI33" s="1217">
        <f t="shared" si="14"/>
        <v>0.9</v>
      </c>
      <c r="AJ33" s="1218" t="e">
        <f t="shared" ca="1" si="15"/>
        <v>#VALUE!</v>
      </c>
      <c r="AK33" s="1220" t="e">
        <f ca="1">IF(AND(INDEX(FlowCalConstA,MATCH(AH22,FlowCalNumber,0),1,1)*AJ33^INDEX(FlowCalConstB,MATCH(AH22,FlowCalNumber,0),1,1)&gt;INDEX(FlowCalLowSetting,MATCH(AH22,FlowCalNumber,0),1,1), (INDEX(FlowCalConstA,MATCH(AH22,FlowCalNumber,0),1,1)*AJ33^INDEX(FlowCalConstB,MATCH(AH22,FlowCalNumber,0),1,1)&lt;INDEX(FlowCalHighSetting,MATCH(AH22,FlowCalNumber,0),1,1))),INDEX(FlowCalConstA,MATCH(AH22,FlowCalNumber,0),1,1)*AJ33^INDEX(FlowCalConstB,MATCH(AH22,FlowCalNumber,0),1,1)," ")</f>
        <v>#N/A</v>
      </c>
      <c r="AL33" s="1219"/>
      <c r="AM33" s="1219"/>
      <c r="AN33" s="1219"/>
      <c r="AO33" s="1219"/>
      <c r="AP33" s="1219"/>
      <c r="AQ33" s="1219"/>
      <c r="AR33" s="1219"/>
      <c r="AS33" s="1219"/>
      <c r="AT33" s="1219"/>
      <c r="AU33" s="1219"/>
      <c r="AV33" s="1219"/>
      <c r="AW33" s="1219"/>
      <c r="AX33" s="1219"/>
      <c r="AY33" s="1219"/>
      <c r="AZ33" s="1219"/>
      <c r="BA33" s="1219"/>
      <c r="BB33" s="1219"/>
      <c r="BC33" s="1219"/>
      <c r="BD33" s="1219"/>
      <c r="BE33" s="1219"/>
      <c r="BF33" s="1219"/>
      <c r="BG33" s="1219"/>
      <c r="BH33" s="1219"/>
      <c r="BI33" s="1219"/>
      <c r="BJ33" s="1219"/>
      <c r="BK33" s="1219"/>
      <c r="BL33" s="1219"/>
      <c r="BM33" s="1219"/>
      <c r="BN33" s="1219"/>
      <c r="BO33" s="1219"/>
      <c r="BP33" s="1219"/>
      <c r="BQ33" s="1219"/>
      <c r="BR33" s="1219"/>
      <c r="BS33" s="1219"/>
      <c r="BU33" s="1217"/>
      <c r="BW33" s="1219"/>
      <c r="BY33" s="1217"/>
      <c r="CA33" s="1219"/>
      <c r="CC33" s="1217"/>
      <c r="CE33" s="1219"/>
      <c r="CG33" s="1217"/>
      <c r="CI33" s="1219"/>
    </row>
    <row r="34" spans="1:87">
      <c r="A34" s="20"/>
      <c r="B34" s="124" t="str">
        <f t="shared" si="0"/>
        <v/>
      </c>
      <c r="C34" s="235"/>
      <c r="D34" s="24">
        <f>'1% Wind'!$M$93</f>
        <v>2.4</v>
      </c>
      <c r="E34" s="90"/>
      <c r="F34" s="90"/>
      <c r="G34" s="79">
        <f ca="1">IF(I22=0.9743,G33,MAX(G33/D33*D34,2))</f>
        <v>2</v>
      </c>
      <c r="H34" s="121" t="e">
        <f t="shared" ca="1" si="1"/>
        <v>#VALUE!</v>
      </c>
      <c r="J34" s="33"/>
      <c r="K34" s="242">
        <f t="shared" si="2"/>
        <v>1</v>
      </c>
      <c r="L34" s="241" t="e">
        <f t="shared" ca="1" si="3"/>
        <v>#VALUE!</v>
      </c>
      <c r="M34" s="243" t="e">
        <f ca="1">IF(AND(INDEX(FlowCalConstA,MATCH(J22,FlowCalNumber,0),1,1)*L34^INDEX(FlowCalConstB,MATCH(J22,FlowCalNumber,0),1,1)&gt;INDEX(FlowCalLowSetting,MATCH(J22,FlowCalNumber,0),1,1), (INDEX(FlowCalConstA,MATCH(J22,FlowCalNumber,0),1,1)*L34^INDEX(FlowCalConstB,MATCH(J22,FlowCalNumber,0),1,1)&lt;INDEX(FlowCalHighSetting,MATCH(J22,FlowCalNumber,0),1,1))),INDEX(FlowCalConstA,MATCH(J22,FlowCalNumber,0),1,1)*L34^INDEX(FlowCalConstB,MATCH(J22,FlowCalNumber,0),1,1)," ")</f>
        <v>#N/A</v>
      </c>
      <c r="N34" s="33"/>
      <c r="O34" s="242">
        <f t="shared" si="4"/>
        <v>1</v>
      </c>
      <c r="P34" s="241" t="e">
        <f t="shared" ca="1" si="5"/>
        <v>#VALUE!</v>
      </c>
      <c r="Q34" s="243" t="e">
        <f ca="1">IF(AND(INDEX(FlowCalConstA,MATCH(N22,FlowCalNumber,0),1,1)*P34^INDEX(FlowCalConstB,MATCH(N22,FlowCalNumber,0),1,1)&gt;INDEX(FlowCalLowSetting,MATCH(N22,FlowCalNumber,0),1,1), (INDEX(FlowCalConstA,MATCH(N22,FlowCalNumber,0),1,1)*P34^INDEX(FlowCalConstB,MATCH(N22,FlowCalNumber,0),1,1)&lt;INDEX(FlowCalHighSetting,MATCH(N22,FlowCalNumber,0),1,1))),INDEX(FlowCalConstA,MATCH(N22,FlowCalNumber,0),1,1)*P34^INDEX(FlowCalConstB,MATCH(N22,FlowCalNumber,0),1,1)," ")</f>
        <v>#N/A</v>
      </c>
      <c r="R34" s="33"/>
      <c r="S34" s="242">
        <f t="shared" si="6"/>
        <v>1</v>
      </c>
      <c r="T34" s="241" t="e">
        <f t="shared" ca="1" si="7"/>
        <v>#VALUE!</v>
      </c>
      <c r="U34" s="243" t="e">
        <f ca="1">IF(AND(INDEX(FlowCalConstA,MATCH(R22,FlowCalNumber,0),1,1)*T34^INDEX(FlowCalConstB,MATCH(R22,FlowCalNumber,0),1,1)&gt;INDEX(FlowCalLowSetting,MATCH(R22,FlowCalNumber,0),1,1), (INDEX(FlowCalConstA,MATCH(R22,FlowCalNumber,0),1,1)*T34^INDEX(FlowCalConstB,MATCH(R22,FlowCalNumber,0),1,1)&lt;INDEX(FlowCalHighSetting,MATCH(R22,FlowCalNumber,0),1,1))),INDEX(FlowCalConstA,MATCH(R22,FlowCalNumber,0),1,1)*T34^INDEX(FlowCalConstB,MATCH(R22,FlowCalNumber,0),1,1)," ")</f>
        <v>#N/A</v>
      </c>
      <c r="V34" s="33"/>
      <c r="W34" s="242">
        <f t="shared" si="8"/>
        <v>0.1</v>
      </c>
      <c r="X34" s="241" t="e">
        <f t="shared" ca="1" si="9"/>
        <v>#VALUE!</v>
      </c>
      <c r="Y34" s="243" t="e">
        <f ca="1">IF(AND(INDEX(FlowCalConstA,MATCH(V22,FlowCalNumber,0),1,1)*X34^INDEX(FlowCalConstB,MATCH(V22,FlowCalNumber,0),1,1)&gt;INDEX(FlowCalLowSetting,MATCH(V22,FlowCalNumber,0),1,1), (INDEX(FlowCalConstA,MATCH(V22,FlowCalNumber,0),1,1)*X34^INDEX(FlowCalConstB,MATCH(V22,FlowCalNumber,0),1,1)&lt;INDEX(FlowCalHighSetting,MATCH(V22,FlowCalNumber,0),1,1))),INDEX(FlowCalConstA,MATCH(V22,FlowCalNumber,0),1,1)*X34^INDEX(FlowCalConstB,MATCH(V22,FlowCalNumber,0),1,1)," ")</f>
        <v>#N/A</v>
      </c>
      <c r="Z34" s="33"/>
      <c r="AA34" s="242">
        <f t="shared" si="10"/>
        <v>0.9</v>
      </c>
      <c r="AB34" s="241" t="e">
        <f t="shared" ca="1" si="11"/>
        <v>#VALUE!</v>
      </c>
      <c r="AC34" s="243" t="e">
        <f ca="1">IF(AND(INDEX(FlowCalConstA,MATCH(Z22,FlowCalNumber,0),1,1)*AB34^INDEX(FlowCalConstB,MATCH(Z22,FlowCalNumber,0),1,1)&gt;INDEX(FlowCalLowSetting,MATCH(Z22,FlowCalNumber,0),1,1), (INDEX(FlowCalConstA,MATCH(Z22,FlowCalNumber,0),1,1)*AB34^INDEX(FlowCalConstB,MATCH(Z22,FlowCalNumber,0),1,1)&lt;INDEX(FlowCalHighSetting,MATCH(Z22,FlowCalNumber,0),1,1))),INDEX(FlowCalConstA,MATCH(Z22,FlowCalNumber,0),1,1)*AB34^INDEX(FlowCalConstB,MATCH(Z22,FlowCalNumber,0),1,1)," ")</f>
        <v>#N/A</v>
      </c>
      <c r="AD34" s="33"/>
      <c r="AE34" s="242">
        <f t="shared" si="12"/>
        <v>0.1</v>
      </c>
      <c r="AF34" s="241" t="e">
        <f t="shared" ca="1" si="13"/>
        <v>#VALUE!</v>
      </c>
      <c r="AG34" s="243" t="e">
        <f ca="1">IF(AND(INDEX(FlowCalConstA,MATCH(AD22,FlowCalNumber,0),1,1)*AF34^INDEX(FlowCalConstB,MATCH(AD22,FlowCalNumber,0),1,1)&gt;INDEX(FlowCalLowSetting,MATCH(AD22,FlowCalNumber,0),1,1), (INDEX(FlowCalConstA,MATCH(AD22,FlowCalNumber,0),1,1)*AF34^INDEX(FlowCalConstB,MATCH(AD22,FlowCalNumber,0),1,1)&lt;INDEX(FlowCalHighSetting,MATCH(AD22,FlowCalNumber,0),1,1))),INDEX(FlowCalConstA,MATCH(AD22,FlowCalNumber,0),1,1)*AF34^INDEX(FlowCalConstB,MATCH(AD22,FlowCalNumber,0),1,1)," ")</f>
        <v>#N/A</v>
      </c>
      <c r="AH34" s="33"/>
      <c r="AI34" s="242">
        <f t="shared" si="14"/>
        <v>0.9</v>
      </c>
      <c r="AJ34" s="241" t="e">
        <f t="shared" ca="1" si="15"/>
        <v>#VALUE!</v>
      </c>
      <c r="AK34" s="244" t="e">
        <f ca="1">IF(AND(INDEX(FlowCalConstA,MATCH(AH22,FlowCalNumber,0),1,1)*AJ34^INDEX(FlowCalConstB,MATCH(AH22,FlowCalNumber,0),1,1)&gt;INDEX(FlowCalLowSetting,MATCH(AH22,FlowCalNumber,0),1,1), (INDEX(FlowCalConstA,MATCH(AH22,FlowCalNumber,0),1,1)*AJ34^INDEX(FlowCalConstB,MATCH(AH22,FlowCalNumber,0),1,1)&lt;INDEX(FlowCalHighSetting,MATCH(AH22,FlowCalNumber,0),1,1))),INDEX(FlowCalConstA,MATCH(AH22,FlowCalNumber,0),1,1)*AJ34^INDEX(FlowCalConstB,MATCH(AH22,FlowCalNumber,0),1,1)," ")</f>
        <v>#N/A</v>
      </c>
      <c r="AL34" s="243"/>
      <c r="AM34" s="243"/>
      <c r="AN34" s="243"/>
      <c r="AO34" s="243"/>
      <c r="AP34" s="243"/>
      <c r="AQ34" s="243"/>
      <c r="AR34" s="243"/>
      <c r="AS34" s="243"/>
      <c r="AT34" s="243"/>
      <c r="AU34" s="243"/>
      <c r="AV34" s="243"/>
      <c r="AW34" s="243"/>
      <c r="AX34" s="243"/>
      <c r="AY34" s="243"/>
      <c r="AZ34" s="243"/>
      <c r="BA34" s="243"/>
      <c r="BB34" s="243"/>
      <c r="BC34" s="243"/>
      <c r="BD34" s="243"/>
      <c r="BE34" s="243"/>
      <c r="BF34" s="243"/>
      <c r="BG34" s="243"/>
      <c r="BH34" s="243"/>
      <c r="BI34" s="243"/>
      <c r="BJ34" s="243"/>
      <c r="BK34" s="243"/>
      <c r="BL34" s="243"/>
      <c r="BM34" s="243"/>
      <c r="BN34" s="243"/>
      <c r="BO34" s="243"/>
      <c r="BP34" s="243"/>
      <c r="BQ34" s="243"/>
      <c r="BR34" s="243"/>
      <c r="BS34" s="243"/>
      <c r="BU34" s="242"/>
      <c r="BW34" s="243"/>
      <c r="BY34" s="242"/>
      <c r="CA34" s="243"/>
      <c r="CC34" s="242"/>
      <c r="CE34" s="243"/>
      <c r="CG34" s="242"/>
      <c r="CI34" s="243"/>
    </row>
    <row r="35" spans="1:87" s="1215" customFormat="1">
      <c r="A35" s="1222"/>
      <c r="B35" s="1223" t="str">
        <f t="shared" si="0"/>
        <v/>
      </c>
      <c r="C35" s="1210"/>
      <c r="D35" s="1211">
        <f>'1% Wind'!$M$94</f>
        <v>1.8</v>
      </c>
      <c r="E35" s="1212"/>
      <c r="F35" s="1212"/>
      <c r="G35" s="1213">
        <f ca="1">IF(I22=0.9743,G34,MAX(G34/D34*D35,2))</f>
        <v>2</v>
      </c>
      <c r="H35" s="1214" t="e">
        <f t="shared" ca="1" si="1"/>
        <v>#VALUE!</v>
      </c>
      <c r="J35" s="1224"/>
      <c r="K35" s="1217">
        <f t="shared" si="2"/>
        <v>1</v>
      </c>
      <c r="L35" s="1218" t="e">
        <f t="shared" ca="1" si="3"/>
        <v>#VALUE!</v>
      </c>
      <c r="M35" s="1219" t="e">
        <f ca="1">IF(AND(INDEX(FlowCalConstA,MATCH(J22,FlowCalNumber,0),1,1)*L35^INDEX(FlowCalConstB,MATCH(J22,FlowCalNumber,0),1,1)&gt;INDEX(FlowCalLowSetting,MATCH(J22,FlowCalNumber,0),1,1), (INDEX(FlowCalConstA,MATCH(J22,FlowCalNumber,0),1,1)*L35^INDEX(FlowCalConstB,MATCH(J22,FlowCalNumber,0),1,1)&lt;INDEX(FlowCalHighSetting,MATCH(J22,FlowCalNumber,0),1,1))),INDEX(FlowCalConstA,MATCH(J22,FlowCalNumber,0),1,1)*L35^INDEX(FlowCalConstB,MATCH(J22,FlowCalNumber,0),1,1)," ")</f>
        <v>#N/A</v>
      </c>
      <c r="N35" s="1224"/>
      <c r="O35" s="1217">
        <f t="shared" si="4"/>
        <v>1</v>
      </c>
      <c r="P35" s="1218" t="e">
        <f t="shared" ca="1" si="5"/>
        <v>#VALUE!</v>
      </c>
      <c r="Q35" s="1219" t="e">
        <f ca="1">IF(AND(INDEX(FlowCalConstA,MATCH(N22,FlowCalNumber,0),1,1)*P35^INDEX(FlowCalConstB,MATCH(N22,FlowCalNumber,0),1,1)&gt;INDEX(FlowCalLowSetting,MATCH(N22,FlowCalNumber,0),1,1), (INDEX(FlowCalConstA,MATCH(N22,FlowCalNumber,0),1,1)*P35^INDEX(FlowCalConstB,MATCH(N22,FlowCalNumber,0),1,1)&lt;INDEX(FlowCalHighSetting,MATCH(N22,FlowCalNumber,0),1,1))),INDEX(FlowCalConstA,MATCH(N22,FlowCalNumber,0),1,1)*P35^INDEX(FlowCalConstB,MATCH(N22,FlowCalNumber,0),1,1)," ")</f>
        <v>#N/A</v>
      </c>
      <c r="R35" s="1224"/>
      <c r="S35" s="1217">
        <f t="shared" si="6"/>
        <v>1</v>
      </c>
      <c r="T35" s="1218" t="e">
        <f t="shared" ca="1" si="7"/>
        <v>#VALUE!</v>
      </c>
      <c r="U35" s="1219" t="e">
        <f ca="1">IF(AND(INDEX(FlowCalConstA,MATCH(R22,FlowCalNumber,0),1,1)*T35^INDEX(FlowCalConstB,MATCH(R22,FlowCalNumber,0),1,1)&gt;INDEX(FlowCalLowSetting,MATCH(R22,FlowCalNumber,0),1,1), (INDEX(FlowCalConstA,MATCH(R22,FlowCalNumber,0),1,1)*T35^INDEX(FlowCalConstB,MATCH(R22,FlowCalNumber,0),1,1)&lt;INDEX(FlowCalHighSetting,MATCH(R22,FlowCalNumber,0),1,1))),INDEX(FlowCalConstA,MATCH(R22,FlowCalNumber,0),1,1)*T35^INDEX(FlowCalConstB,MATCH(R22,FlowCalNumber,0),1,1)," ")</f>
        <v>#N/A</v>
      </c>
      <c r="V35" s="1224"/>
      <c r="W35" s="1217">
        <f t="shared" si="8"/>
        <v>0.1</v>
      </c>
      <c r="X35" s="1218" t="e">
        <f t="shared" ca="1" si="9"/>
        <v>#VALUE!</v>
      </c>
      <c r="Y35" s="1219" t="e">
        <f ca="1">IF(AND(INDEX(FlowCalConstA,MATCH(V22,FlowCalNumber,0),1,1)*X35^INDEX(FlowCalConstB,MATCH(V22,FlowCalNumber,0),1,1)&gt;INDEX(FlowCalLowSetting,MATCH(V22,FlowCalNumber,0),1,1), (INDEX(FlowCalConstA,MATCH(V22,FlowCalNumber,0),1,1)*X35^INDEX(FlowCalConstB,MATCH(V22,FlowCalNumber,0),1,1)&lt;INDEX(FlowCalHighSetting,MATCH(V22,FlowCalNumber,0),1,1))),INDEX(FlowCalConstA,MATCH(V22,FlowCalNumber,0),1,1)*X35^INDEX(FlowCalConstB,MATCH(V22,FlowCalNumber,0),1,1)," ")</f>
        <v>#N/A</v>
      </c>
      <c r="Z35" s="1224"/>
      <c r="AA35" s="1217">
        <f t="shared" si="10"/>
        <v>0.9</v>
      </c>
      <c r="AB35" s="1218" t="e">
        <f t="shared" ca="1" si="11"/>
        <v>#VALUE!</v>
      </c>
      <c r="AC35" s="1219" t="e">
        <f ca="1">IF(AND(INDEX(FlowCalConstA,MATCH(Z22,FlowCalNumber,0),1,1)*AB35^INDEX(FlowCalConstB,MATCH(Z22,FlowCalNumber,0),1,1)&gt;INDEX(FlowCalLowSetting,MATCH(Z22,FlowCalNumber,0),1,1), (INDEX(FlowCalConstA,MATCH(Z22,FlowCalNumber,0),1,1)*AB35^INDEX(FlowCalConstB,MATCH(Z22,FlowCalNumber,0),1,1)&lt;INDEX(FlowCalHighSetting,MATCH(Z22,FlowCalNumber,0),1,1))),INDEX(FlowCalConstA,MATCH(Z22,FlowCalNumber,0),1,1)*AB35^INDEX(FlowCalConstB,MATCH(Z22,FlowCalNumber,0),1,1)," ")</f>
        <v>#N/A</v>
      </c>
      <c r="AD35" s="1224"/>
      <c r="AE35" s="1217">
        <f t="shared" si="12"/>
        <v>0.1</v>
      </c>
      <c r="AF35" s="1218" t="e">
        <f t="shared" ca="1" si="13"/>
        <v>#VALUE!</v>
      </c>
      <c r="AG35" s="1219" t="e">
        <f ca="1">IF(AND(INDEX(FlowCalConstA,MATCH(AD22,FlowCalNumber,0),1,1)*AF35^INDEX(FlowCalConstB,MATCH(AD22,FlowCalNumber,0),1,1)&gt;INDEX(FlowCalLowSetting,MATCH(AD22,FlowCalNumber,0),1,1), (INDEX(FlowCalConstA,MATCH(AD22,FlowCalNumber,0),1,1)*AF35^INDEX(FlowCalConstB,MATCH(AD22,FlowCalNumber,0),1,1)&lt;INDEX(FlowCalHighSetting,MATCH(AD22,FlowCalNumber,0),1,1))),INDEX(FlowCalConstA,MATCH(AD22,FlowCalNumber,0),1,1)*AF35^INDEX(FlowCalConstB,MATCH(AD22,FlowCalNumber,0),1,1)," ")</f>
        <v>#N/A</v>
      </c>
      <c r="AH35" s="1224"/>
      <c r="AI35" s="1217">
        <f t="shared" si="14"/>
        <v>0.9</v>
      </c>
      <c r="AJ35" s="1218" t="e">
        <f t="shared" ca="1" si="15"/>
        <v>#VALUE!</v>
      </c>
      <c r="AK35" s="1220" t="e">
        <f ca="1">IF(AND(INDEX(FlowCalConstA,MATCH(AH22,FlowCalNumber,0),1,1)*AJ35^INDEX(FlowCalConstB,MATCH(AH22,FlowCalNumber,0),1,1)&gt;INDEX(FlowCalLowSetting,MATCH(AH22,FlowCalNumber,0),1,1), (INDEX(FlowCalConstA,MATCH(AH22,FlowCalNumber,0),1,1)*AJ35^INDEX(FlowCalConstB,MATCH(AH22,FlowCalNumber,0),1,1)&lt;INDEX(FlowCalHighSetting,MATCH(AH22,FlowCalNumber,0),1,1))),INDEX(FlowCalConstA,MATCH(AH22,FlowCalNumber,0),1,1)*AJ35^INDEX(FlowCalConstB,MATCH(AH22,FlowCalNumber,0),1,1)," ")</f>
        <v>#N/A</v>
      </c>
      <c r="AL35" s="1219"/>
      <c r="AM35" s="1219"/>
      <c r="AN35" s="1219"/>
      <c r="AO35" s="1219"/>
      <c r="AP35" s="1219"/>
      <c r="AQ35" s="1219"/>
      <c r="AR35" s="1219"/>
      <c r="AS35" s="1219"/>
      <c r="AT35" s="1219"/>
      <c r="AU35" s="1219"/>
      <c r="AV35" s="1219"/>
      <c r="AW35" s="1219"/>
      <c r="AX35" s="1219"/>
      <c r="AY35" s="1219"/>
      <c r="AZ35" s="1219"/>
      <c r="BA35" s="1219"/>
      <c r="BB35" s="1219"/>
      <c r="BC35" s="1219"/>
      <c r="BD35" s="1219"/>
      <c r="BE35" s="1219"/>
      <c r="BF35" s="1219"/>
      <c r="BG35" s="1219"/>
      <c r="BH35" s="1219"/>
      <c r="BI35" s="1219"/>
      <c r="BJ35" s="1219"/>
      <c r="BK35" s="1219"/>
      <c r="BL35" s="1219"/>
      <c r="BM35" s="1219"/>
      <c r="BN35" s="1219"/>
      <c r="BO35" s="1219"/>
      <c r="BP35" s="1219"/>
      <c r="BQ35" s="1219"/>
      <c r="BR35" s="1219"/>
      <c r="BS35" s="1219"/>
      <c r="BU35" s="1217"/>
      <c r="BW35" s="1219"/>
      <c r="BY35" s="1217"/>
      <c r="CA35" s="1219"/>
      <c r="CC35" s="1217"/>
      <c r="CE35" s="1219"/>
      <c r="CG35" s="1217"/>
      <c r="CI35" s="1219"/>
    </row>
    <row r="36" spans="1:87">
      <c r="A36" s="20"/>
      <c r="B36" s="124" t="str">
        <f t="shared" si="0"/>
        <v/>
      </c>
      <c r="C36" s="235"/>
      <c r="D36" s="24">
        <f>'1% Wind'!$M$95</f>
        <v>1.3</v>
      </c>
      <c r="E36" s="90"/>
      <c r="F36" s="90"/>
      <c r="G36" s="79">
        <f ca="1">IF(I22=0.9743,G35,MAX(G35/D35*D36,2))</f>
        <v>2</v>
      </c>
      <c r="H36" s="121" t="e">
        <f t="shared" ca="1" si="1"/>
        <v>#VALUE!</v>
      </c>
      <c r="J36" s="33"/>
      <c r="K36" s="242">
        <f t="shared" si="2"/>
        <v>1</v>
      </c>
      <c r="L36" s="241" t="e">
        <f t="shared" ca="1" si="3"/>
        <v>#VALUE!</v>
      </c>
      <c r="M36" s="243" t="e">
        <f ca="1">IF(AND(INDEX(FlowCalConstA,MATCH(J22,FlowCalNumber,0),1,1)*L36^INDEX(FlowCalConstB,MATCH(J22,FlowCalNumber,0),1,1)&gt;INDEX(FlowCalLowSetting,MATCH(J22,FlowCalNumber,0),1,1), (INDEX(FlowCalConstA,MATCH(J22,FlowCalNumber,0),1,1)*L36^INDEX(FlowCalConstB,MATCH(J22,FlowCalNumber,0),1,1)&lt;INDEX(FlowCalHighSetting,MATCH(J22,FlowCalNumber,0),1,1))),INDEX(FlowCalConstA,MATCH(J22,FlowCalNumber,0),1,1)*L36^INDEX(FlowCalConstB,MATCH(J22,FlowCalNumber,0),1,1)," ")</f>
        <v>#N/A</v>
      </c>
      <c r="N36" s="33"/>
      <c r="O36" s="242">
        <f t="shared" si="4"/>
        <v>1</v>
      </c>
      <c r="P36" s="241" t="e">
        <f t="shared" ca="1" si="5"/>
        <v>#VALUE!</v>
      </c>
      <c r="Q36" s="243" t="e">
        <f ca="1">IF(AND(INDEX(FlowCalConstA,MATCH(N22,FlowCalNumber,0),1,1)*P36^INDEX(FlowCalConstB,MATCH(N22,FlowCalNumber,0),1,1)&gt;INDEX(FlowCalLowSetting,MATCH(N22,FlowCalNumber,0),1,1), (INDEX(FlowCalConstA,MATCH(N22,FlowCalNumber,0),1,1)*P36^INDEX(FlowCalConstB,MATCH(N22,FlowCalNumber,0),1,1)&lt;INDEX(FlowCalHighSetting,MATCH(N22,FlowCalNumber,0),1,1))),INDEX(FlowCalConstA,MATCH(N22,FlowCalNumber,0),1,1)*P36^INDEX(FlowCalConstB,MATCH(N22,FlowCalNumber,0),1,1)," ")</f>
        <v>#N/A</v>
      </c>
      <c r="R36" s="33"/>
      <c r="S36" s="242">
        <f t="shared" si="6"/>
        <v>1</v>
      </c>
      <c r="T36" s="241" t="e">
        <f t="shared" ca="1" si="7"/>
        <v>#VALUE!</v>
      </c>
      <c r="U36" s="243" t="e">
        <f ca="1">IF(AND(INDEX(FlowCalConstA,MATCH(R22,FlowCalNumber,0),1,1)*T36^INDEX(FlowCalConstB,MATCH(R22,FlowCalNumber,0),1,1)&gt;INDEX(FlowCalLowSetting,MATCH(R22,FlowCalNumber,0),1,1), (INDEX(FlowCalConstA,MATCH(R22,FlowCalNumber,0),1,1)*T36^INDEX(FlowCalConstB,MATCH(R22,FlowCalNumber,0),1,1)&lt;INDEX(FlowCalHighSetting,MATCH(R22,FlowCalNumber,0),1,1))),INDEX(FlowCalConstA,MATCH(R22,FlowCalNumber,0),1,1)*T36^INDEX(FlowCalConstB,MATCH(R22,FlowCalNumber,0),1,1)," ")</f>
        <v>#N/A</v>
      </c>
      <c r="V36" s="33"/>
      <c r="W36" s="242">
        <f t="shared" si="8"/>
        <v>0.1</v>
      </c>
      <c r="X36" s="241" t="e">
        <f t="shared" ca="1" si="9"/>
        <v>#VALUE!</v>
      </c>
      <c r="Y36" s="243" t="e">
        <f ca="1">IF(AND(INDEX(FlowCalConstA,MATCH(V22,FlowCalNumber,0),1,1)*X36^INDEX(FlowCalConstB,MATCH(V22,FlowCalNumber,0),1,1)&gt;INDEX(FlowCalLowSetting,MATCH(V22,FlowCalNumber,0),1,1), (INDEX(FlowCalConstA,MATCH(V22,FlowCalNumber,0),1,1)*X36^INDEX(FlowCalConstB,MATCH(V22,FlowCalNumber,0),1,1)&lt;INDEX(FlowCalHighSetting,MATCH(V22,FlowCalNumber,0),1,1))),INDEX(FlowCalConstA,MATCH(V22,FlowCalNumber,0),1,1)*X36^INDEX(FlowCalConstB,MATCH(V22,FlowCalNumber,0),1,1)," ")</f>
        <v>#N/A</v>
      </c>
      <c r="Z36" s="33"/>
      <c r="AA36" s="242">
        <f t="shared" si="10"/>
        <v>0.9</v>
      </c>
      <c r="AB36" s="241" t="e">
        <f t="shared" ca="1" si="11"/>
        <v>#VALUE!</v>
      </c>
      <c r="AC36" s="243" t="e">
        <f ca="1">IF(AND(INDEX(FlowCalConstA,MATCH(Z22,FlowCalNumber,0),1,1)*AB36^INDEX(FlowCalConstB,MATCH(Z22,FlowCalNumber,0),1,1)&gt;INDEX(FlowCalLowSetting,MATCH(Z22,FlowCalNumber,0),1,1), (INDEX(FlowCalConstA,MATCH(Z22,FlowCalNumber,0),1,1)*AB36^INDEX(FlowCalConstB,MATCH(Z22,FlowCalNumber,0),1,1)&lt;INDEX(FlowCalHighSetting,MATCH(Z22,FlowCalNumber,0),1,1))),INDEX(FlowCalConstA,MATCH(Z22,FlowCalNumber,0),1,1)*AB36^INDEX(FlowCalConstB,MATCH(Z22,FlowCalNumber,0),1,1)," ")</f>
        <v>#N/A</v>
      </c>
      <c r="AD36" s="33"/>
      <c r="AE36" s="242">
        <f t="shared" si="12"/>
        <v>0.1</v>
      </c>
      <c r="AF36" s="241" t="e">
        <f t="shared" ca="1" si="13"/>
        <v>#VALUE!</v>
      </c>
      <c r="AG36" s="243" t="e">
        <f ca="1">IF(AND(INDEX(FlowCalConstA,MATCH(AD22,FlowCalNumber,0),1,1)*AF36^INDEX(FlowCalConstB,MATCH(AD22,FlowCalNumber,0),1,1)&gt;INDEX(FlowCalLowSetting,MATCH(AD22,FlowCalNumber,0),1,1), (INDEX(FlowCalConstA,MATCH(AD22,FlowCalNumber,0),1,1)*AF36^INDEX(FlowCalConstB,MATCH(AD22,FlowCalNumber,0),1,1)&lt;INDEX(FlowCalHighSetting,MATCH(AD22,FlowCalNumber,0),1,1))),INDEX(FlowCalConstA,MATCH(AD22,FlowCalNumber,0),1,1)*AF36^INDEX(FlowCalConstB,MATCH(AD22,FlowCalNumber,0),1,1)," ")</f>
        <v>#N/A</v>
      </c>
      <c r="AH36" s="33"/>
      <c r="AI36" s="242">
        <f t="shared" si="14"/>
        <v>0.9</v>
      </c>
      <c r="AJ36" s="241" t="e">
        <f t="shared" ca="1" si="15"/>
        <v>#VALUE!</v>
      </c>
      <c r="AK36" s="244" t="e">
        <f ca="1">IF(AND(INDEX(FlowCalConstA,MATCH(AH22,FlowCalNumber,0),1,1)*AJ36^INDEX(FlowCalConstB,MATCH(AH22,FlowCalNumber,0),1,1)&gt;INDEX(FlowCalLowSetting,MATCH(AH22,FlowCalNumber,0),1,1), (INDEX(FlowCalConstA,MATCH(AH22,FlowCalNumber,0),1,1)*AJ36^INDEX(FlowCalConstB,MATCH(AH22,FlowCalNumber,0),1,1)&lt;INDEX(FlowCalHighSetting,MATCH(AH22,FlowCalNumber,0),1,1))),INDEX(FlowCalConstA,MATCH(AH22,FlowCalNumber,0),1,1)*AJ36^INDEX(FlowCalConstB,MATCH(AH22,FlowCalNumber,0),1,1)," ")</f>
        <v>#N/A</v>
      </c>
      <c r="AL36" s="243"/>
      <c r="AM36" s="243"/>
      <c r="AN36" s="243"/>
      <c r="AO36" s="243"/>
      <c r="AP36" s="243"/>
      <c r="AQ36" s="243"/>
      <c r="AR36" s="243"/>
      <c r="AS36" s="243"/>
      <c r="AT36" s="243"/>
      <c r="AU36" s="243"/>
      <c r="AV36" s="243"/>
      <c r="AW36" s="243"/>
      <c r="AX36" s="243"/>
      <c r="AY36" s="243"/>
      <c r="AZ36" s="243"/>
      <c r="BA36" s="243"/>
      <c r="BB36" s="243"/>
      <c r="BC36" s="243"/>
      <c r="BD36" s="243"/>
      <c r="BE36" s="243"/>
      <c r="BF36" s="243"/>
      <c r="BG36" s="243"/>
      <c r="BH36" s="243"/>
      <c r="BI36" s="243"/>
      <c r="BJ36" s="243"/>
      <c r="BK36" s="243"/>
      <c r="BL36" s="243"/>
      <c r="BM36" s="243"/>
      <c r="BN36" s="243"/>
      <c r="BO36" s="243"/>
      <c r="BP36" s="243"/>
      <c r="BQ36" s="243"/>
      <c r="BR36" s="243"/>
      <c r="BS36" s="243"/>
      <c r="BU36" s="242"/>
      <c r="BW36" s="243"/>
      <c r="BY36" s="242"/>
      <c r="CA36" s="243"/>
      <c r="CC36" s="242"/>
      <c r="CE36" s="243"/>
      <c r="CG36" s="242"/>
      <c r="CI36" s="243"/>
    </row>
    <row r="37" spans="1:87" s="1215" customFormat="1">
      <c r="A37" s="1222"/>
      <c r="B37" s="1223" t="str">
        <f t="shared" si="0"/>
        <v/>
      </c>
      <c r="C37" s="1210"/>
      <c r="D37" s="1211">
        <f>'1% Wind'!$M$96</f>
        <v>1</v>
      </c>
      <c r="E37" s="1212"/>
      <c r="F37" s="1212"/>
      <c r="G37" s="1213">
        <f ca="1">IF(I22=0.9743,G36,MAX(G36/D36*D37,2))</f>
        <v>2</v>
      </c>
      <c r="H37" s="1214" t="e">
        <f t="shared" ca="1" si="1"/>
        <v>#VALUE!</v>
      </c>
      <c r="J37" s="1224"/>
      <c r="K37" s="1217">
        <f t="shared" si="2"/>
        <v>1</v>
      </c>
      <c r="L37" s="1218" t="e">
        <f t="shared" ca="1" si="3"/>
        <v>#VALUE!</v>
      </c>
      <c r="M37" s="1219" t="e">
        <f ca="1">IF(AND(INDEX(FlowCalConstA,MATCH(J22,FlowCalNumber,0),1,1)*L37^INDEX(FlowCalConstB,MATCH(J22,FlowCalNumber,0),1,1)&gt;INDEX(FlowCalLowSetting,MATCH(J22,FlowCalNumber,0),1,1), (INDEX(FlowCalConstA,MATCH(J22,FlowCalNumber,0),1,1)*L37^INDEX(FlowCalConstB,MATCH(J22,FlowCalNumber,0),1,1)&lt;INDEX(FlowCalHighSetting,MATCH(J22,FlowCalNumber,0),1,1))),INDEX(FlowCalConstA,MATCH(J22,FlowCalNumber,0),1,1)*L37^INDEX(FlowCalConstB,MATCH(J22,FlowCalNumber,0),1,1)," ")</f>
        <v>#N/A</v>
      </c>
      <c r="N37" s="1224"/>
      <c r="O37" s="1217">
        <f t="shared" si="4"/>
        <v>1</v>
      </c>
      <c r="P37" s="1218" t="e">
        <f t="shared" ca="1" si="5"/>
        <v>#VALUE!</v>
      </c>
      <c r="Q37" s="1219" t="e">
        <f ca="1">IF(AND(INDEX(FlowCalConstA,MATCH(N22,FlowCalNumber,0),1,1)*P37^INDEX(FlowCalConstB,MATCH(N22,FlowCalNumber,0),1,1)&gt;INDEX(FlowCalLowSetting,MATCH(N22,FlowCalNumber,0),1,1), (INDEX(FlowCalConstA,MATCH(N22,FlowCalNumber,0),1,1)*P37^INDEX(FlowCalConstB,MATCH(N22,FlowCalNumber,0),1,1)&lt;INDEX(FlowCalHighSetting,MATCH(N22,FlowCalNumber,0),1,1))),INDEX(FlowCalConstA,MATCH(N22,FlowCalNumber,0),1,1)*P37^INDEX(FlowCalConstB,MATCH(N22,FlowCalNumber,0),1,1)," ")</f>
        <v>#N/A</v>
      </c>
      <c r="R37" s="1224"/>
      <c r="S37" s="1217">
        <f t="shared" si="6"/>
        <v>1</v>
      </c>
      <c r="T37" s="1218" t="e">
        <f t="shared" ca="1" si="7"/>
        <v>#VALUE!</v>
      </c>
      <c r="U37" s="1219" t="e">
        <f ca="1">IF(AND(INDEX(FlowCalConstA,MATCH(R22,FlowCalNumber,0),1,1)*T37^INDEX(FlowCalConstB,MATCH(R22,FlowCalNumber,0),1,1)&gt;INDEX(FlowCalLowSetting,MATCH(R22,FlowCalNumber,0),1,1), (INDEX(FlowCalConstA,MATCH(R22,FlowCalNumber,0),1,1)*T37^INDEX(FlowCalConstB,MATCH(R22,FlowCalNumber,0),1,1)&lt;INDEX(FlowCalHighSetting,MATCH(R22,FlowCalNumber,0),1,1))),INDEX(FlowCalConstA,MATCH(R22,FlowCalNumber,0),1,1)*T37^INDEX(FlowCalConstB,MATCH(R22,FlowCalNumber,0),1,1)," ")</f>
        <v>#N/A</v>
      </c>
      <c r="V37" s="1224"/>
      <c r="W37" s="1217">
        <f t="shared" si="8"/>
        <v>0.1</v>
      </c>
      <c r="X37" s="1218" t="e">
        <f t="shared" ca="1" si="9"/>
        <v>#VALUE!</v>
      </c>
      <c r="Y37" s="1219" t="e">
        <f ca="1">IF(AND(INDEX(FlowCalConstA,MATCH(V22,FlowCalNumber,0),1,1)*X37^INDEX(FlowCalConstB,MATCH(V22,FlowCalNumber,0),1,1)&gt;INDEX(FlowCalLowSetting,MATCH(V22,FlowCalNumber,0),1,1), (INDEX(FlowCalConstA,MATCH(V22,FlowCalNumber,0),1,1)*X37^INDEX(FlowCalConstB,MATCH(V22,FlowCalNumber,0),1,1)&lt;INDEX(FlowCalHighSetting,MATCH(V22,FlowCalNumber,0),1,1))),INDEX(FlowCalConstA,MATCH(V22,FlowCalNumber,0),1,1)*X37^INDEX(FlowCalConstB,MATCH(V22,FlowCalNumber,0),1,1)," ")</f>
        <v>#N/A</v>
      </c>
      <c r="Z37" s="1224"/>
      <c r="AA37" s="1217">
        <f t="shared" si="10"/>
        <v>0.9</v>
      </c>
      <c r="AB37" s="1218" t="e">
        <f t="shared" ca="1" si="11"/>
        <v>#VALUE!</v>
      </c>
      <c r="AC37" s="1219" t="e">
        <f ca="1">IF(AND(INDEX(FlowCalConstA,MATCH(Z22,FlowCalNumber,0),1,1)*AB37^INDEX(FlowCalConstB,MATCH(Z22,FlowCalNumber,0),1,1)&gt;INDEX(FlowCalLowSetting,MATCH(Z22,FlowCalNumber,0),1,1), (INDEX(FlowCalConstA,MATCH(Z22,FlowCalNumber,0),1,1)*AB37^INDEX(FlowCalConstB,MATCH(Z22,FlowCalNumber,0),1,1)&lt;INDEX(FlowCalHighSetting,MATCH(Z22,FlowCalNumber,0),1,1))),INDEX(FlowCalConstA,MATCH(Z22,FlowCalNumber,0),1,1)*AB37^INDEX(FlowCalConstB,MATCH(Z22,FlowCalNumber,0),1,1)," ")</f>
        <v>#N/A</v>
      </c>
      <c r="AD37" s="1224"/>
      <c r="AE37" s="1217">
        <f t="shared" si="12"/>
        <v>0.1</v>
      </c>
      <c r="AF37" s="1218" t="e">
        <f t="shared" ca="1" si="13"/>
        <v>#VALUE!</v>
      </c>
      <c r="AG37" s="1219" t="e">
        <f ca="1">IF(AND(INDEX(FlowCalConstA,MATCH(AD22,FlowCalNumber,0),1,1)*AF37^INDEX(FlowCalConstB,MATCH(AD22,FlowCalNumber,0),1,1)&gt;INDEX(FlowCalLowSetting,MATCH(AD22,FlowCalNumber,0),1,1), (INDEX(FlowCalConstA,MATCH(AD22,FlowCalNumber,0),1,1)*AF37^INDEX(FlowCalConstB,MATCH(AD22,FlowCalNumber,0),1,1)&lt;INDEX(FlowCalHighSetting,MATCH(AD22,FlowCalNumber,0),1,1))),INDEX(FlowCalConstA,MATCH(AD22,FlowCalNumber,0),1,1)*AF37^INDEX(FlowCalConstB,MATCH(AD22,FlowCalNumber,0),1,1)," ")</f>
        <v>#N/A</v>
      </c>
      <c r="AH37" s="1224"/>
      <c r="AI37" s="1217">
        <f t="shared" si="14"/>
        <v>0.9</v>
      </c>
      <c r="AJ37" s="1218" t="e">
        <f t="shared" ca="1" si="15"/>
        <v>#VALUE!</v>
      </c>
      <c r="AK37" s="1220" t="e">
        <f ca="1">IF(AND(INDEX(FlowCalConstA,MATCH(AH22,FlowCalNumber,0),1,1)*AJ37^INDEX(FlowCalConstB,MATCH(AH22,FlowCalNumber,0),1,1)&gt;INDEX(FlowCalLowSetting,MATCH(AH22,FlowCalNumber,0),1,1), (INDEX(FlowCalConstA,MATCH(AH22,FlowCalNumber,0),1,1)*AJ37^INDEX(FlowCalConstB,MATCH(AH22,FlowCalNumber,0),1,1)&lt;INDEX(FlowCalHighSetting,MATCH(AH22,FlowCalNumber,0),1,1))),INDEX(FlowCalConstA,MATCH(AH22,FlowCalNumber,0),1,1)*AJ37^INDEX(FlowCalConstB,MATCH(AH22,FlowCalNumber,0),1,1)," ")</f>
        <v>#N/A</v>
      </c>
      <c r="AL37" s="1219"/>
      <c r="AM37" s="1219"/>
      <c r="AN37" s="1219"/>
      <c r="AO37" s="1219"/>
      <c r="AP37" s="1219"/>
      <c r="AQ37" s="1219"/>
      <c r="AR37" s="1219"/>
      <c r="AS37" s="1219"/>
      <c r="AT37" s="1219"/>
      <c r="AU37" s="1219"/>
      <c r="AV37" s="1219"/>
      <c r="AW37" s="1219"/>
      <c r="AX37" s="1219"/>
      <c r="AY37" s="1219"/>
      <c r="AZ37" s="1219"/>
      <c r="BA37" s="1219"/>
      <c r="BB37" s="1219"/>
      <c r="BC37" s="1219"/>
      <c r="BD37" s="1219"/>
      <c r="BE37" s="1219"/>
      <c r="BF37" s="1219"/>
      <c r="BG37" s="1219"/>
      <c r="BH37" s="1219"/>
      <c r="BI37" s="1219"/>
      <c r="BJ37" s="1219"/>
      <c r="BK37" s="1219"/>
      <c r="BL37" s="1219"/>
      <c r="BM37" s="1219"/>
      <c r="BN37" s="1219"/>
      <c r="BO37" s="1219"/>
      <c r="BP37" s="1219"/>
      <c r="BQ37" s="1219"/>
      <c r="BR37" s="1219"/>
      <c r="BS37" s="1219"/>
      <c r="BU37" s="1217"/>
      <c r="BW37" s="1219"/>
      <c r="BY37" s="1217"/>
      <c r="CA37" s="1219"/>
      <c r="CC37" s="1217"/>
      <c r="CE37" s="1219"/>
      <c r="CG37" s="1217"/>
      <c r="CI37" s="1219"/>
    </row>
    <row r="38" spans="1:87">
      <c r="A38" s="33"/>
      <c r="B38" s="33"/>
      <c r="C38" s="235"/>
      <c r="E38" s="90"/>
      <c r="F38" s="90"/>
      <c r="G38" s="33"/>
      <c r="J38" s="33"/>
      <c r="M38" s="243"/>
      <c r="N38" s="33"/>
      <c r="Q38" s="243"/>
      <c r="R38" s="33"/>
      <c r="U38" s="243"/>
      <c r="V38" s="33"/>
      <c r="Y38" s="243"/>
      <c r="Z38" s="33"/>
      <c r="AC38" s="243"/>
      <c r="AD38" s="33"/>
      <c r="AG38" s="243"/>
      <c r="AH38" s="33"/>
      <c r="AK38" s="244"/>
      <c r="AL38" s="243"/>
      <c r="AM38" s="243"/>
      <c r="AN38" s="243"/>
      <c r="AO38" s="243"/>
      <c r="AP38" s="243"/>
      <c r="AQ38" s="243"/>
      <c r="AR38" s="243"/>
      <c r="AS38" s="243"/>
      <c r="AT38" s="243"/>
      <c r="AU38" s="243"/>
      <c r="AV38" s="243"/>
      <c r="AW38" s="243"/>
      <c r="AX38" s="243"/>
      <c r="AY38" s="243"/>
      <c r="AZ38" s="243"/>
      <c r="BA38" s="243"/>
      <c r="BB38" s="243"/>
      <c r="BC38" s="243"/>
      <c r="BD38" s="243"/>
      <c r="BE38" s="243"/>
      <c r="BF38" s="243"/>
      <c r="BG38" s="243"/>
      <c r="BH38" s="243"/>
      <c r="BI38" s="243"/>
      <c r="BJ38" s="243"/>
      <c r="BK38" s="243"/>
      <c r="BL38" s="243"/>
      <c r="BM38" s="243"/>
      <c r="BN38" s="243"/>
      <c r="BO38" s="243"/>
      <c r="BP38" s="243"/>
      <c r="BQ38" s="243"/>
      <c r="BR38" s="243"/>
      <c r="BS38" s="243"/>
      <c r="BW38" s="243"/>
      <c r="CA38" s="243"/>
      <c r="CE38" s="243"/>
      <c r="CI38" s="243"/>
    </row>
    <row r="39" spans="1:87">
      <c r="A39" s="256" t="str">
        <f>IF((RIGHT(A22,1))&lt;&gt;"Z",CHAR(CODE(A22))&amp;CHAR(CODE(RIGHT(A22,1))+1),CHAR(CODE(A22)+1)&amp;"A")</f>
        <v>AB</v>
      </c>
      <c r="B39" s="270" t="str">
        <f>INDEX(SourceID,MATCH($A39,SourceNumber,0),1,1)</f>
        <v>EF-2</v>
      </c>
      <c r="C39" s="354">
        <f>INDEX(SourceExitDiameter,MATCH($A39,SourceNumber,0),1,1)*3.28*12</f>
        <v>17</v>
      </c>
      <c r="D39" s="24" t="str">
        <f>UAnem1percent</f>
        <v>1% Wind</v>
      </c>
      <c r="E39" s="350" t="e">
        <f ca="1">INDIRECT(ADDRESS(53,6,1,,CONCATENATE("TA",$A39)))</f>
        <v>#REF!</v>
      </c>
      <c r="F39" s="625" t="e">
        <f ca="1">(ROUND((INDIRECT(ADDRESS(15,7,1,,CONCATENATE("TA",$A39)))*3.28*12*32),0)&amp;"/32")</f>
        <v>#REF!</v>
      </c>
      <c r="G39" s="125">
        <f ca="1">INDIRECT(ADDRESS(29,7,1,,$A39))</f>
        <v>6.001707317073171</v>
      </c>
      <c r="H39" s="24" t="e">
        <f ca="1">INDIRECT(ADDRESS(19,7,1,,$A39))*100^3</f>
        <v>#VALUE!</v>
      </c>
      <c r="I39" s="941">
        <f ca="1">INDIRECT(ADDRESS(53,7,1,,$A39))</f>
        <v>0.97430000000000005</v>
      </c>
      <c r="J39" s="20" t="str">
        <f ca="1">IF($I39=$I$6,K$16&amp;$G$6&amp;J$6,IF($I39=$I$7,K$16&amp;$G$7&amp;J$7,"Bad"))</f>
        <v>100N2Pick a Tunnel</v>
      </c>
      <c r="K39" t="e">
        <f ca="1">INDEX(FlowCalGasMixture,MATCH(J39,FlowCalNumber,0),1,1)</f>
        <v>#N/A</v>
      </c>
      <c r="M39" s="944" t="e">
        <f ca="1">INDEX(FlowCalDevice,MATCH(J39,FlowCalNumber,0),1,1)</f>
        <v>#N/A</v>
      </c>
      <c r="N39" s="20" t="str">
        <f ca="1">IF($I39=$I$6,O$16&amp;$G$6&amp;N$6,IF($I39=$I$7,O$16&amp;$G$7&amp;N$7,"Bad"))</f>
        <v>100N2Pick a Tunnel</v>
      </c>
      <c r="O39" t="e">
        <f ca="1">INDEX(FlowCalGasMixture,MATCH(N39,FlowCalNumber,0),1,1)</f>
        <v>#N/A</v>
      </c>
      <c r="Q39" s="944" t="e">
        <f ca="1">INDEX(FlowCalDevice,MATCH(N39,FlowCalNumber,0),1,1)</f>
        <v>#N/A</v>
      </c>
      <c r="R39" s="20" t="str">
        <f ca="1">IF($I39=$I$6,S$16&amp;$G$6&amp;R$6,IF($I39=$I$7,S$16&amp;$G$7&amp;R$7,"Bad"))</f>
        <v>100N2Pick a Tunnel</v>
      </c>
      <c r="S39" t="e">
        <f ca="1">INDEX(FlowCalGasMixture,MATCH(R39,FlowCalNumber,0),1,1)</f>
        <v>#N/A</v>
      </c>
      <c r="U39" s="944" t="e">
        <f ca="1">INDEX(FlowCalDevice,MATCH(R39,FlowCalNumber,0),1,1)</f>
        <v>#N/A</v>
      </c>
      <c r="V39" s="20"/>
      <c r="Y39" s="944"/>
      <c r="Z39" s="946"/>
      <c r="AC39" s="944"/>
      <c r="AD39" s="20"/>
      <c r="AG39" s="944"/>
      <c r="AH39" s="946"/>
      <c r="AK39" s="982"/>
      <c r="AL39" s="355"/>
      <c r="AM39" s="355"/>
      <c r="AN39" s="355"/>
      <c r="AO39" s="355"/>
      <c r="AP39" s="355"/>
      <c r="AQ39" s="355"/>
      <c r="AR39" s="355"/>
      <c r="AS39" s="355"/>
      <c r="AT39" s="355"/>
      <c r="AU39" s="355"/>
      <c r="AV39" s="355"/>
      <c r="AW39" s="355"/>
      <c r="AX39" s="355"/>
      <c r="AY39" s="355"/>
      <c r="AZ39" s="355"/>
      <c r="BA39" s="355"/>
      <c r="BB39" s="355"/>
      <c r="BC39" s="355"/>
      <c r="BD39" s="355"/>
      <c r="BE39" s="355"/>
      <c r="BF39" s="355"/>
      <c r="BG39" s="355"/>
      <c r="BH39" s="355"/>
      <c r="BI39" s="355"/>
      <c r="BJ39" s="355"/>
      <c r="BK39" s="355"/>
      <c r="BL39" s="355"/>
      <c r="BM39" s="355"/>
      <c r="BN39" s="355"/>
      <c r="BO39" s="355"/>
      <c r="BP39" s="355"/>
      <c r="BQ39" s="355"/>
      <c r="BR39" s="355"/>
      <c r="BS39" s="355"/>
      <c r="BT39" s="46"/>
      <c r="BU39" s="16"/>
      <c r="BW39" s="355"/>
      <c r="BX39" s="42"/>
      <c r="BY39" s="16"/>
      <c r="CA39" s="355"/>
      <c r="CB39" s="42"/>
      <c r="CC39" s="16"/>
      <c r="CE39" s="355"/>
      <c r="CF39" s="42"/>
      <c r="CG39" s="16"/>
      <c r="CI39" s="355"/>
    </row>
    <row r="40" spans="1:87" s="1215" customFormat="1">
      <c r="A40" s="1222"/>
      <c r="B40" s="1223" t="str">
        <f t="shared" ref="B40:B54" si="16">IF(D40=UAnem1percent,"1% Wind","")</f>
        <v/>
      </c>
      <c r="C40" s="1210"/>
      <c r="D40" s="1211">
        <f>'1% Wind'!$M$82</f>
        <v>27</v>
      </c>
      <c r="E40" s="1212"/>
      <c r="F40" s="1212"/>
      <c r="G40" s="1364">
        <v>2</v>
      </c>
      <c r="H40" s="1214" t="e">
        <f t="shared" ref="H40:H54" ca="1" si="17">H39*(D39/D40)*(G40/G39)</f>
        <v>#VALUE!</v>
      </c>
      <c r="J40" s="1224"/>
      <c r="K40" s="1221">
        <f>K$17/100</f>
        <v>1</v>
      </c>
      <c r="L40" s="1218" t="e">
        <f ca="1">K40*$H40</f>
        <v>#VALUE!</v>
      </c>
      <c r="M40" s="1219" t="e">
        <f ca="1">IF(AND(INDEX(FlowCalConstA,MATCH(J39,FlowCalNumber,0),1,1)*L40^INDEX(FlowCalConstB,MATCH(J39,FlowCalNumber,0),1,1)&gt;INDEX(FlowCalLowSetting,MATCH(J39,FlowCalNumber,0),1,1), (INDEX(FlowCalConstA,MATCH(J39,FlowCalNumber,0),1,1)*L40^INDEX(FlowCalConstB,MATCH(J39,FlowCalNumber,0),1,1)&lt;INDEX(FlowCalHighSetting,MATCH(J39,FlowCalNumber,0),1,1))),INDEX(FlowCalConstA,MATCH(J39,FlowCalNumber,0),1,1)*L40^INDEX(FlowCalConstB,MATCH(J39,FlowCalNumber,0),1,1)," ")</f>
        <v>#N/A</v>
      </c>
      <c r="N40" s="1224"/>
      <c r="O40" s="1221">
        <f>O$17/100</f>
        <v>1</v>
      </c>
      <c r="P40" s="1218" t="e">
        <f ca="1">O40*$H40</f>
        <v>#VALUE!</v>
      </c>
      <c r="Q40" s="1219" t="e">
        <f ca="1">IF(AND(INDEX(FlowCalConstA,MATCH(N39,FlowCalNumber,0),1,1)*P40^INDEX(FlowCalConstB,MATCH(N39,FlowCalNumber,0),1,1)&gt;INDEX(FlowCalLowSetting,MATCH(N39,FlowCalNumber,0),1,1), (INDEX(FlowCalConstA,MATCH(N39,FlowCalNumber,0),1,1)*P40^INDEX(FlowCalConstB,MATCH(N39,FlowCalNumber,0),1,1)&lt;INDEX(FlowCalHighSetting,MATCH(N39,FlowCalNumber,0),1,1))),INDEX(FlowCalConstA,MATCH(N39,FlowCalNumber,0),1,1)*P40^INDEX(FlowCalConstB,MATCH(N39,FlowCalNumber,0),1,1)," ")</f>
        <v>#N/A</v>
      </c>
      <c r="R40" s="1224"/>
      <c r="S40" s="1221">
        <f>S$17/100</f>
        <v>1</v>
      </c>
      <c r="T40" s="1218" t="e">
        <f ca="1">S40*$H40</f>
        <v>#VALUE!</v>
      </c>
      <c r="U40" s="1219" t="e">
        <f ca="1">IF(AND(INDEX(FlowCalConstA,MATCH(R39,FlowCalNumber,0),1,1)*T40^INDEX(FlowCalConstB,MATCH(R39,FlowCalNumber,0),1,1)&gt;INDEX(FlowCalLowSetting,MATCH(R39,FlowCalNumber,0),1,1), (INDEX(FlowCalConstA,MATCH(R39,FlowCalNumber,0),1,1)*T40^INDEX(FlowCalConstB,MATCH(R39,FlowCalNumber,0),1,1)&lt;INDEX(FlowCalHighSetting,MATCH(R39,FlowCalNumber,0),1,1))),INDEX(FlowCalConstA,MATCH(R39,FlowCalNumber,0),1,1)*T40^INDEX(FlowCalConstB,MATCH(R39,FlowCalNumber,0),1,1)," ")</f>
        <v>#N/A</v>
      </c>
      <c r="V40" s="1224"/>
      <c r="W40" s="1221"/>
      <c r="X40" s="1218"/>
      <c r="Y40" s="1219"/>
      <c r="Z40" s="1224"/>
      <c r="AA40" s="1221"/>
      <c r="AB40" s="1218"/>
      <c r="AC40" s="1219"/>
      <c r="AD40" s="1224"/>
      <c r="AE40" s="1221"/>
      <c r="AF40" s="1218"/>
      <c r="AG40" s="1219"/>
      <c r="AH40" s="1224"/>
      <c r="AI40" s="1221"/>
      <c r="AJ40" s="1218"/>
      <c r="AK40" s="1220"/>
      <c r="AL40" s="1219"/>
      <c r="AM40" s="1219"/>
      <c r="AN40" s="1219"/>
      <c r="AO40" s="1219"/>
      <c r="AP40" s="1219"/>
      <c r="AQ40" s="1219"/>
      <c r="AR40" s="1219"/>
      <c r="AS40" s="1219"/>
      <c r="AT40" s="1219"/>
      <c r="AU40" s="1219"/>
      <c r="AV40" s="1219"/>
      <c r="AW40" s="1219"/>
      <c r="AX40" s="1219"/>
      <c r="AY40" s="1219"/>
      <c r="AZ40" s="1219"/>
      <c r="BA40" s="1219"/>
      <c r="BB40" s="1219"/>
      <c r="BC40" s="1219"/>
      <c r="BD40" s="1219"/>
      <c r="BE40" s="1219"/>
      <c r="BF40" s="1219"/>
      <c r="BG40" s="1219"/>
      <c r="BH40" s="1219"/>
      <c r="BI40" s="1219"/>
      <c r="BJ40" s="1219"/>
      <c r="BK40" s="1219"/>
      <c r="BL40" s="1219"/>
      <c r="BM40" s="1219"/>
      <c r="BN40" s="1219"/>
      <c r="BO40" s="1219"/>
      <c r="BP40" s="1219"/>
      <c r="BQ40" s="1219"/>
      <c r="BR40" s="1219"/>
      <c r="BS40" s="1219"/>
      <c r="BU40" s="1225"/>
      <c r="BW40" s="1219"/>
      <c r="BY40" s="1225"/>
      <c r="CA40" s="1219"/>
      <c r="CC40" s="1225"/>
      <c r="CE40" s="1219"/>
      <c r="CG40" s="1221"/>
      <c r="CI40" s="1219"/>
    </row>
    <row r="41" spans="1:87">
      <c r="A41" s="20"/>
      <c r="B41" s="124" t="str">
        <f t="shared" si="16"/>
        <v/>
      </c>
      <c r="C41" s="235"/>
      <c r="D41" s="24">
        <f>'1% Wind'!$M$83</f>
        <v>23.5</v>
      </c>
      <c r="E41" s="90"/>
      <c r="F41" s="90"/>
      <c r="G41" s="79">
        <f ca="1">IF(I39=0.9743,$G40,MAX(G40/D40*D41,2))</f>
        <v>2</v>
      </c>
      <c r="H41" s="121" t="e">
        <f t="shared" ca="1" si="17"/>
        <v>#VALUE!</v>
      </c>
      <c r="J41" s="33"/>
      <c r="K41" s="242">
        <f t="shared" ref="K41:K54" si="18">K40</f>
        <v>1</v>
      </c>
      <c r="L41" s="241" t="e">
        <f t="shared" ref="L41:L54" ca="1" si="19">K41*$H41</f>
        <v>#VALUE!</v>
      </c>
      <c r="M41" s="243" t="e">
        <f ca="1">IF(AND(INDEX(FlowCalConstA,MATCH(J39,FlowCalNumber,0),1,1)*L41^INDEX(FlowCalConstB,MATCH(J39,FlowCalNumber,0),1,1)&gt;INDEX(FlowCalLowSetting,MATCH(J39,FlowCalNumber,0),1,1), (INDEX(FlowCalConstA,MATCH(J39,FlowCalNumber,0),1,1)*L41^INDEX(FlowCalConstB,MATCH(J39,FlowCalNumber,0),1,1)&lt;INDEX(FlowCalHighSetting,MATCH(J39,FlowCalNumber,0),1,1))),INDEX(FlowCalConstA,MATCH(J39,FlowCalNumber,0),1,1)*L41^INDEX(FlowCalConstB,MATCH(J39,FlowCalNumber,0),1,1)," ")</f>
        <v>#N/A</v>
      </c>
      <c r="N41" s="33"/>
      <c r="O41" s="242">
        <f t="shared" ref="O41:O54" si="20">O40</f>
        <v>1</v>
      </c>
      <c r="P41" s="241" t="e">
        <f t="shared" ref="P41:P54" ca="1" si="21">O41*$H41</f>
        <v>#VALUE!</v>
      </c>
      <c r="Q41" s="243" t="e">
        <f ca="1">IF(AND(INDEX(FlowCalConstA,MATCH(N39,FlowCalNumber,0),1,1)*P41^INDEX(FlowCalConstB,MATCH(N39,FlowCalNumber,0),1,1)&gt;INDEX(FlowCalLowSetting,MATCH(N39,FlowCalNumber,0),1,1), (INDEX(FlowCalConstA,MATCH(N39,FlowCalNumber,0),1,1)*P41^INDEX(FlowCalConstB,MATCH(N39,FlowCalNumber,0),1,1)&lt;INDEX(FlowCalHighSetting,MATCH(N39,FlowCalNumber,0),1,1))),INDEX(FlowCalConstA,MATCH(N39,FlowCalNumber,0),1,1)*P41^INDEX(FlowCalConstB,MATCH(N39,FlowCalNumber,0),1,1)," ")</f>
        <v>#N/A</v>
      </c>
      <c r="R41" s="33"/>
      <c r="S41" s="242">
        <f t="shared" ref="S41:S54" si="22">S40</f>
        <v>1</v>
      </c>
      <c r="T41" s="241" t="e">
        <f t="shared" ref="T41:T54" ca="1" si="23">S41*$H41</f>
        <v>#VALUE!</v>
      </c>
      <c r="U41" s="243" t="e">
        <f ca="1">IF(AND(INDEX(FlowCalConstA,MATCH(R39,FlowCalNumber,0),1,1)*T41^INDEX(FlowCalConstB,MATCH(R39,FlowCalNumber,0),1,1)&gt;INDEX(FlowCalLowSetting,MATCH(R39,FlowCalNumber,0),1,1), (INDEX(FlowCalConstA,MATCH(R39,FlowCalNumber,0),1,1)*T41^INDEX(FlowCalConstB,MATCH(R39,FlowCalNumber,0),1,1)&lt;INDEX(FlowCalHighSetting,MATCH(R39,FlowCalNumber,0),1,1))),INDEX(FlowCalConstA,MATCH(R39,FlowCalNumber,0),1,1)*T41^INDEX(FlowCalConstB,MATCH(R39,FlowCalNumber,0),1,1)," ")</f>
        <v>#N/A</v>
      </c>
      <c r="V41" s="33"/>
      <c r="W41" s="242"/>
      <c r="X41" s="241"/>
      <c r="Y41" s="243"/>
      <c r="Z41" s="33"/>
      <c r="AA41" s="242"/>
      <c r="AB41" s="241"/>
      <c r="AC41" s="243"/>
      <c r="AD41" s="33"/>
      <c r="AE41" s="242"/>
      <c r="AF41" s="241"/>
      <c r="AG41" s="243"/>
      <c r="AH41" s="33"/>
      <c r="AI41" s="242"/>
      <c r="AJ41" s="241"/>
      <c r="AK41" s="244"/>
      <c r="AL41" s="243"/>
      <c r="AM41" s="243"/>
      <c r="AN41" s="243"/>
      <c r="AO41" s="243"/>
      <c r="AP41" s="243"/>
      <c r="AQ41" s="243"/>
      <c r="AR41" s="243"/>
      <c r="AS41" s="243"/>
      <c r="AT41" s="243"/>
      <c r="AU41" s="243"/>
      <c r="AV41" s="243"/>
      <c r="AW41" s="243"/>
      <c r="AX41" s="243"/>
      <c r="AY41" s="243"/>
      <c r="AZ41" s="243"/>
      <c r="BA41" s="243"/>
      <c r="BB41" s="243"/>
      <c r="BC41" s="243"/>
      <c r="BD41" s="243"/>
      <c r="BE41" s="243"/>
      <c r="BF41" s="243"/>
      <c r="BG41" s="243"/>
      <c r="BH41" s="243"/>
      <c r="BI41" s="243"/>
      <c r="BJ41" s="243"/>
      <c r="BK41" s="243"/>
      <c r="BL41" s="243"/>
      <c r="BM41" s="243"/>
      <c r="BN41" s="243"/>
      <c r="BO41" s="243"/>
      <c r="BP41" s="243"/>
      <c r="BQ41" s="243"/>
      <c r="BR41" s="243"/>
      <c r="BS41" s="243"/>
      <c r="BU41" s="242"/>
      <c r="BW41" s="243"/>
      <c r="BY41" s="242"/>
      <c r="CA41" s="243"/>
      <c r="CC41" s="242"/>
      <c r="CE41" s="243"/>
      <c r="CG41" s="242"/>
      <c r="CI41" s="243"/>
    </row>
    <row r="42" spans="1:87" s="1215" customFormat="1">
      <c r="A42" s="1222"/>
      <c r="B42" s="1223" t="str">
        <f t="shared" si="16"/>
        <v/>
      </c>
      <c r="C42" s="1210"/>
      <c r="D42" s="1211">
        <f>'1% Wind'!$M$84</f>
        <v>20.5</v>
      </c>
      <c r="E42" s="1212"/>
      <c r="F42" s="1212"/>
      <c r="G42" s="1213">
        <f ca="1">IF(I39=0.9743,$G41,MAX(G41/D41*D42,2))</f>
        <v>2</v>
      </c>
      <c r="H42" s="1214" t="e">
        <f t="shared" ca="1" si="17"/>
        <v>#VALUE!</v>
      </c>
      <c r="J42" s="1224"/>
      <c r="K42" s="1217">
        <f t="shared" si="18"/>
        <v>1</v>
      </c>
      <c r="L42" s="1218" t="e">
        <f t="shared" ca="1" si="19"/>
        <v>#VALUE!</v>
      </c>
      <c r="M42" s="1219" t="e">
        <f ca="1">IF(AND(INDEX(FlowCalConstA,MATCH(J39,FlowCalNumber,0),1,1)*L42^INDEX(FlowCalConstB,MATCH(J39,FlowCalNumber,0),1,1)&gt;INDEX(FlowCalLowSetting,MATCH(J39,FlowCalNumber,0),1,1), (INDEX(FlowCalConstA,MATCH(J39,FlowCalNumber,0),1,1)*L42^INDEX(FlowCalConstB,MATCH(J39,FlowCalNumber,0),1,1)&lt;INDEX(FlowCalHighSetting,MATCH(J39,FlowCalNumber,0),1,1))),INDEX(FlowCalConstA,MATCH(J39,FlowCalNumber,0),1,1)*L42^INDEX(FlowCalConstB,MATCH(J39,FlowCalNumber,0),1,1)," ")</f>
        <v>#N/A</v>
      </c>
      <c r="N42" s="1224"/>
      <c r="O42" s="1217">
        <f t="shared" si="20"/>
        <v>1</v>
      </c>
      <c r="P42" s="1218" t="e">
        <f t="shared" ca="1" si="21"/>
        <v>#VALUE!</v>
      </c>
      <c r="Q42" s="1219" t="e">
        <f ca="1">IF(AND(INDEX(FlowCalConstA,MATCH(N39,FlowCalNumber,0),1,1)*P42^INDEX(FlowCalConstB,MATCH(N39,FlowCalNumber,0),1,1)&gt;INDEX(FlowCalLowSetting,MATCH(N39,FlowCalNumber,0),1,1), (INDEX(FlowCalConstA,MATCH(N39,FlowCalNumber,0),1,1)*P42^INDEX(FlowCalConstB,MATCH(N39,FlowCalNumber,0),1,1)&lt;INDEX(FlowCalHighSetting,MATCH(N39,FlowCalNumber,0),1,1))),INDEX(FlowCalConstA,MATCH(N39,FlowCalNumber,0),1,1)*P42^INDEX(FlowCalConstB,MATCH(N39,FlowCalNumber,0),1,1)," ")</f>
        <v>#N/A</v>
      </c>
      <c r="R42" s="1224"/>
      <c r="S42" s="1217">
        <f t="shared" si="22"/>
        <v>1</v>
      </c>
      <c r="T42" s="1218" t="e">
        <f t="shared" ca="1" si="23"/>
        <v>#VALUE!</v>
      </c>
      <c r="U42" s="1219" t="e">
        <f ca="1">IF(AND(INDEX(FlowCalConstA,MATCH(R39,FlowCalNumber,0),1,1)*T42^INDEX(FlowCalConstB,MATCH(R39,FlowCalNumber,0),1,1)&gt;INDEX(FlowCalLowSetting,MATCH(R39,FlowCalNumber,0),1,1), (INDEX(FlowCalConstA,MATCH(R39,FlowCalNumber,0),1,1)*T42^INDEX(FlowCalConstB,MATCH(R39,FlowCalNumber,0),1,1)&lt;INDEX(FlowCalHighSetting,MATCH(R39,FlowCalNumber,0),1,1))),INDEX(FlowCalConstA,MATCH(R39,FlowCalNumber,0),1,1)*T42^INDEX(FlowCalConstB,MATCH(R39,FlowCalNumber,0),1,1)," ")</f>
        <v>#N/A</v>
      </c>
      <c r="V42" s="1224"/>
      <c r="W42" s="1217"/>
      <c r="X42" s="1218"/>
      <c r="Y42" s="1219"/>
      <c r="Z42" s="1224"/>
      <c r="AA42" s="1217"/>
      <c r="AB42" s="1218"/>
      <c r="AC42" s="1219"/>
      <c r="AD42" s="1224"/>
      <c r="AE42" s="1217"/>
      <c r="AF42" s="1218"/>
      <c r="AG42" s="1219"/>
      <c r="AH42" s="1224"/>
      <c r="AI42" s="1217"/>
      <c r="AJ42" s="1218"/>
      <c r="AK42" s="1220"/>
      <c r="AL42" s="1219"/>
      <c r="AM42" s="1219"/>
      <c r="AN42" s="1219"/>
      <c r="AO42" s="1219"/>
      <c r="AP42" s="1219"/>
      <c r="AQ42" s="1219"/>
      <c r="AR42" s="1219"/>
      <c r="AS42" s="1219"/>
      <c r="AT42" s="1219"/>
      <c r="AU42" s="1219"/>
      <c r="AV42" s="1219"/>
      <c r="AW42" s="1219"/>
      <c r="AX42" s="1219"/>
      <c r="AY42" s="1219"/>
      <c r="AZ42" s="1219"/>
      <c r="BA42" s="1219"/>
      <c r="BB42" s="1219"/>
      <c r="BC42" s="1219"/>
      <c r="BD42" s="1219"/>
      <c r="BE42" s="1219"/>
      <c r="BF42" s="1219"/>
      <c r="BG42" s="1219"/>
      <c r="BH42" s="1219"/>
      <c r="BI42" s="1219"/>
      <c r="BJ42" s="1219"/>
      <c r="BK42" s="1219"/>
      <c r="BL42" s="1219"/>
      <c r="BM42" s="1219"/>
      <c r="BN42" s="1219"/>
      <c r="BO42" s="1219"/>
      <c r="BP42" s="1219"/>
      <c r="BQ42" s="1219"/>
      <c r="BR42" s="1219"/>
      <c r="BS42" s="1219"/>
      <c r="BU42" s="1217"/>
      <c r="BW42" s="1219"/>
      <c r="BY42" s="1217"/>
      <c r="CA42" s="1219"/>
      <c r="CC42" s="1217"/>
      <c r="CE42" s="1219"/>
      <c r="CG42" s="1217"/>
      <c r="CI42" s="1219"/>
    </row>
    <row r="43" spans="1:87">
      <c r="A43" s="20"/>
      <c r="B43" s="124" t="str">
        <f t="shared" si="16"/>
        <v/>
      </c>
      <c r="C43" s="235"/>
      <c r="D43" s="24">
        <f>'1% Wind'!$M$85</f>
        <v>17.8</v>
      </c>
      <c r="E43" s="90"/>
      <c r="F43" s="90"/>
      <c r="G43" s="79">
        <f ca="1">IF(I39=0.9743,$G42,MAX(G42/D42*D43,2))</f>
        <v>2</v>
      </c>
      <c r="H43" s="121" t="e">
        <f t="shared" ca="1" si="17"/>
        <v>#VALUE!</v>
      </c>
      <c r="J43" s="33"/>
      <c r="K43" s="242">
        <f t="shared" si="18"/>
        <v>1</v>
      </c>
      <c r="L43" s="241" t="e">
        <f t="shared" ca="1" si="19"/>
        <v>#VALUE!</v>
      </c>
      <c r="M43" s="243" t="e">
        <f ca="1">IF(AND(INDEX(FlowCalConstA,MATCH(J39,FlowCalNumber,0),1,1)*L43^INDEX(FlowCalConstB,MATCH(J39,FlowCalNumber,0),1,1)&gt;INDEX(FlowCalLowSetting,MATCH(J39,FlowCalNumber,0),1,1), (INDEX(FlowCalConstA,MATCH(J39,FlowCalNumber,0),1,1)*L43^INDEX(FlowCalConstB,MATCH(J39,FlowCalNumber,0),1,1)&lt;INDEX(FlowCalHighSetting,MATCH(J39,FlowCalNumber,0),1,1))),INDEX(FlowCalConstA,MATCH(J39,FlowCalNumber,0),1,1)*L43^INDEX(FlowCalConstB,MATCH(J39,FlowCalNumber,0),1,1)," ")</f>
        <v>#N/A</v>
      </c>
      <c r="N43" s="33"/>
      <c r="O43" s="242">
        <f t="shared" si="20"/>
        <v>1</v>
      </c>
      <c r="P43" s="241" t="e">
        <f t="shared" ca="1" si="21"/>
        <v>#VALUE!</v>
      </c>
      <c r="Q43" s="243" t="e">
        <f ca="1">IF(AND(INDEX(FlowCalConstA,MATCH(N39,FlowCalNumber,0),1,1)*P43^INDEX(FlowCalConstB,MATCH(N39,FlowCalNumber,0),1,1)&gt;INDEX(FlowCalLowSetting,MATCH(N39,FlowCalNumber,0),1,1), (INDEX(FlowCalConstA,MATCH(N39,FlowCalNumber,0),1,1)*P43^INDEX(FlowCalConstB,MATCH(N39,FlowCalNumber,0),1,1)&lt;INDEX(FlowCalHighSetting,MATCH(N39,FlowCalNumber,0),1,1))),INDEX(FlowCalConstA,MATCH(N39,FlowCalNumber,0),1,1)*P43^INDEX(FlowCalConstB,MATCH(N39,FlowCalNumber,0),1,1)," ")</f>
        <v>#N/A</v>
      </c>
      <c r="R43" s="33"/>
      <c r="S43" s="242">
        <f t="shared" si="22"/>
        <v>1</v>
      </c>
      <c r="T43" s="241" t="e">
        <f t="shared" ca="1" si="23"/>
        <v>#VALUE!</v>
      </c>
      <c r="U43" s="243" t="e">
        <f ca="1">IF(AND(INDEX(FlowCalConstA,MATCH(R39,FlowCalNumber,0),1,1)*T43^INDEX(FlowCalConstB,MATCH(R39,FlowCalNumber,0),1,1)&gt;INDEX(FlowCalLowSetting,MATCH(R39,FlowCalNumber,0),1,1), (INDEX(FlowCalConstA,MATCH(R39,FlowCalNumber,0),1,1)*T43^INDEX(FlowCalConstB,MATCH(R39,FlowCalNumber,0),1,1)&lt;INDEX(FlowCalHighSetting,MATCH(R39,FlowCalNumber,0),1,1))),INDEX(FlowCalConstA,MATCH(R39,FlowCalNumber,0),1,1)*T43^INDEX(FlowCalConstB,MATCH(R39,FlowCalNumber,0),1,1)," ")</f>
        <v>#N/A</v>
      </c>
      <c r="V43" s="33"/>
      <c r="W43" s="242"/>
      <c r="X43" s="241"/>
      <c r="Y43" s="243"/>
      <c r="Z43" s="33"/>
      <c r="AA43" s="242"/>
      <c r="AB43" s="241"/>
      <c r="AC43" s="243"/>
      <c r="AD43" s="33"/>
      <c r="AE43" s="242"/>
      <c r="AF43" s="241"/>
      <c r="AG43" s="243"/>
      <c r="AH43" s="33"/>
      <c r="AI43" s="242"/>
      <c r="AJ43" s="241"/>
      <c r="AK43" s="244"/>
      <c r="AL43" s="243"/>
      <c r="AM43" s="243"/>
      <c r="AN43" s="243"/>
      <c r="AO43" s="243"/>
      <c r="AP43" s="243"/>
      <c r="AQ43" s="243"/>
      <c r="AR43" s="243"/>
      <c r="AS43" s="243"/>
      <c r="AT43" s="243"/>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U43" s="242"/>
      <c r="BW43" s="243"/>
      <c r="BY43" s="242"/>
      <c r="CA43" s="243"/>
      <c r="CC43" s="242"/>
      <c r="CE43" s="243"/>
      <c r="CG43" s="242"/>
      <c r="CI43" s="243"/>
    </row>
    <row r="44" spans="1:87" s="1215" customFormat="1">
      <c r="A44" s="1222"/>
      <c r="B44" s="1223" t="str">
        <f t="shared" si="16"/>
        <v/>
      </c>
      <c r="C44" s="1210"/>
      <c r="D44" s="1211">
        <f>'1% Wind'!$M$86</f>
        <v>15.5</v>
      </c>
      <c r="E44" s="1212"/>
      <c r="F44" s="1212"/>
      <c r="G44" s="1213">
        <f ca="1">IF(I39=0.9743,$G43,MAX(G43/D43*D44,2))</f>
        <v>2</v>
      </c>
      <c r="H44" s="1214" t="e">
        <f t="shared" ca="1" si="17"/>
        <v>#VALUE!</v>
      </c>
      <c r="J44" s="1224"/>
      <c r="K44" s="1217">
        <f t="shared" si="18"/>
        <v>1</v>
      </c>
      <c r="L44" s="1218" t="e">
        <f t="shared" ca="1" si="19"/>
        <v>#VALUE!</v>
      </c>
      <c r="M44" s="1219" t="e">
        <f ca="1">IF(AND(INDEX(FlowCalConstA,MATCH(J39,FlowCalNumber,0),1,1)*L44^INDEX(FlowCalConstB,MATCH(J39,FlowCalNumber,0),1,1)&gt;INDEX(FlowCalLowSetting,MATCH(J39,FlowCalNumber,0),1,1), (INDEX(FlowCalConstA,MATCH(J39,FlowCalNumber,0),1,1)*L44^INDEX(FlowCalConstB,MATCH(J39,FlowCalNumber,0),1,1)&lt;INDEX(FlowCalHighSetting,MATCH(J39,FlowCalNumber,0),1,1))),INDEX(FlowCalConstA,MATCH(J39,FlowCalNumber,0),1,1)*L44^INDEX(FlowCalConstB,MATCH(J39,FlowCalNumber,0),1,1)," ")</f>
        <v>#N/A</v>
      </c>
      <c r="N44" s="1224"/>
      <c r="O44" s="1217">
        <f t="shared" si="20"/>
        <v>1</v>
      </c>
      <c r="P44" s="1218" t="e">
        <f t="shared" ca="1" si="21"/>
        <v>#VALUE!</v>
      </c>
      <c r="Q44" s="1219" t="e">
        <f ca="1">IF(AND(INDEX(FlowCalConstA,MATCH(N39,FlowCalNumber,0),1,1)*P44^INDEX(FlowCalConstB,MATCH(N39,FlowCalNumber,0),1,1)&gt;INDEX(FlowCalLowSetting,MATCH(N39,FlowCalNumber,0),1,1), (INDEX(FlowCalConstA,MATCH(N39,FlowCalNumber,0),1,1)*P44^INDEX(FlowCalConstB,MATCH(N39,FlowCalNumber,0),1,1)&lt;INDEX(FlowCalHighSetting,MATCH(N39,FlowCalNumber,0),1,1))),INDEX(FlowCalConstA,MATCH(N39,FlowCalNumber,0),1,1)*P44^INDEX(FlowCalConstB,MATCH(N39,FlowCalNumber,0),1,1)," ")</f>
        <v>#N/A</v>
      </c>
      <c r="R44" s="1224"/>
      <c r="S44" s="1217">
        <f t="shared" si="22"/>
        <v>1</v>
      </c>
      <c r="T44" s="1218" t="e">
        <f t="shared" ca="1" si="23"/>
        <v>#VALUE!</v>
      </c>
      <c r="U44" s="1219" t="e">
        <f ca="1">IF(AND(INDEX(FlowCalConstA,MATCH(R39,FlowCalNumber,0),1,1)*T44^INDEX(FlowCalConstB,MATCH(R39,FlowCalNumber,0),1,1)&gt;INDEX(FlowCalLowSetting,MATCH(R39,FlowCalNumber,0),1,1), (INDEX(FlowCalConstA,MATCH(R39,FlowCalNumber,0),1,1)*T44^INDEX(FlowCalConstB,MATCH(R39,FlowCalNumber,0),1,1)&lt;INDEX(FlowCalHighSetting,MATCH(R39,FlowCalNumber,0),1,1))),INDEX(FlowCalConstA,MATCH(R39,FlowCalNumber,0),1,1)*T44^INDEX(FlowCalConstB,MATCH(R39,FlowCalNumber,0),1,1)," ")</f>
        <v>#N/A</v>
      </c>
      <c r="V44" s="1224"/>
      <c r="W44" s="1217"/>
      <c r="X44" s="1218"/>
      <c r="Y44" s="1219"/>
      <c r="Z44" s="1224"/>
      <c r="AA44" s="1217"/>
      <c r="AB44" s="1218"/>
      <c r="AC44" s="1219"/>
      <c r="AD44" s="1224"/>
      <c r="AE44" s="1217"/>
      <c r="AF44" s="1218"/>
      <c r="AG44" s="1219"/>
      <c r="AH44" s="1224"/>
      <c r="AI44" s="1217"/>
      <c r="AJ44" s="1218"/>
      <c r="AK44" s="1220"/>
      <c r="AL44" s="1219"/>
      <c r="AM44" s="1219"/>
      <c r="AN44" s="1219"/>
      <c r="AO44" s="1219"/>
      <c r="AP44" s="1219"/>
      <c r="AQ44" s="1219"/>
      <c r="AR44" s="1219"/>
      <c r="AS44" s="1219"/>
      <c r="AT44" s="1219"/>
      <c r="AU44" s="1219"/>
      <c r="AV44" s="1219"/>
      <c r="AW44" s="1219"/>
      <c r="AX44" s="1219"/>
      <c r="AY44" s="1219"/>
      <c r="AZ44" s="1219"/>
      <c r="BA44" s="1219"/>
      <c r="BB44" s="1219"/>
      <c r="BC44" s="1219"/>
      <c r="BD44" s="1219"/>
      <c r="BE44" s="1219"/>
      <c r="BF44" s="1219"/>
      <c r="BG44" s="1219"/>
      <c r="BH44" s="1219"/>
      <c r="BI44" s="1219"/>
      <c r="BJ44" s="1219"/>
      <c r="BK44" s="1219"/>
      <c r="BL44" s="1219"/>
      <c r="BM44" s="1219"/>
      <c r="BN44" s="1219"/>
      <c r="BO44" s="1219"/>
      <c r="BP44" s="1219"/>
      <c r="BQ44" s="1219"/>
      <c r="BR44" s="1219"/>
      <c r="BS44" s="1219"/>
      <c r="BU44" s="1217"/>
      <c r="BW44" s="1219"/>
      <c r="BY44" s="1217"/>
      <c r="CA44" s="1219"/>
      <c r="CC44" s="1217"/>
      <c r="CE44" s="1219"/>
      <c r="CG44" s="1217"/>
      <c r="CI44" s="1219"/>
    </row>
    <row r="45" spans="1:87">
      <c r="A45" s="20"/>
      <c r="B45" s="124" t="str">
        <f t="shared" si="16"/>
        <v/>
      </c>
      <c r="C45" s="235"/>
      <c r="D45" s="24">
        <f>'1% Wind'!$M$87</f>
        <v>13.5</v>
      </c>
      <c r="E45" s="90"/>
      <c r="F45" s="90"/>
      <c r="G45" s="79">
        <f ca="1">IF(I39=0.9743,$G44,MAX(G44/D44*D45,2))</f>
        <v>2</v>
      </c>
      <c r="H45" s="121" t="e">
        <f t="shared" ca="1" si="17"/>
        <v>#VALUE!</v>
      </c>
      <c r="J45" s="33"/>
      <c r="K45" s="242">
        <f t="shared" si="18"/>
        <v>1</v>
      </c>
      <c r="L45" s="241" t="e">
        <f t="shared" ca="1" si="19"/>
        <v>#VALUE!</v>
      </c>
      <c r="M45" s="243" t="e">
        <f ca="1">IF(AND(INDEX(FlowCalConstA,MATCH(J39,FlowCalNumber,0),1,1)*L45^INDEX(FlowCalConstB,MATCH(J39,FlowCalNumber,0),1,1)&gt;INDEX(FlowCalLowSetting,MATCH(J39,FlowCalNumber,0),1,1), (INDEX(FlowCalConstA,MATCH(J39,FlowCalNumber,0),1,1)*L45^INDEX(FlowCalConstB,MATCH(J39,FlowCalNumber,0),1,1)&lt;INDEX(FlowCalHighSetting,MATCH(J39,FlowCalNumber,0),1,1))),INDEX(FlowCalConstA,MATCH(J39,FlowCalNumber,0),1,1)*L45^INDEX(FlowCalConstB,MATCH(J39,FlowCalNumber,0),1,1)," ")</f>
        <v>#N/A</v>
      </c>
      <c r="N45" s="33"/>
      <c r="O45" s="242">
        <f t="shared" si="20"/>
        <v>1</v>
      </c>
      <c r="P45" s="241" t="e">
        <f t="shared" ca="1" si="21"/>
        <v>#VALUE!</v>
      </c>
      <c r="Q45" s="243" t="e">
        <f ca="1">IF(AND(INDEX(FlowCalConstA,MATCH(N39,FlowCalNumber,0),1,1)*P45^INDEX(FlowCalConstB,MATCH(N39,FlowCalNumber,0),1,1)&gt;INDEX(FlowCalLowSetting,MATCH(N39,FlowCalNumber,0),1,1), (INDEX(FlowCalConstA,MATCH(N39,FlowCalNumber,0),1,1)*P45^INDEX(FlowCalConstB,MATCH(N39,FlowCalNumber,0),1,1)&lt;INDEX(FlowCalHighSetting,MATCH(N39,FlowCalNumber,0),1,1))),INDEX(FlowCalConstA,MATCH(N39,FlowCalNumber,0),1,1)*P45^INDEX(FlowCalConstB,MATCH(N39,FlowCalNumber,0),1,1)," ")</f>
        <v>#N/A</v>
      </c>
      <c r="R45" s="33"/>
      <c r="S45" s="242">
        <f t="shared" si="22"/>
        <v>1</v>
      </c>
      <c r="T45" s="241" t="e">
        <f t="shared" ca="1" si="23"/>
        <v>#VALUE!</v>
      </c>
      <c r="U45" s="243" t="e">
        <f ca="1">IF(AND(INDEX(FlowCalConstA,MATCH(R39,FlowCalNumber,0),1,1)*T45^INDEX(FlowCalConstB,MATCH(R39,FlowCalNumber,0),1,1)&gt;INDEX(FlowCalLowSetting,MATCH(R39,FlowCalNumber,0),1,1), (INDEX(FlowCalConstA,MATCH(R39,FlowCalNumber,0),1,1)*T45^INDEX(FlowCalConstB,MATCH(R39,FlowCalNumber,0),1,1)&lt;INDEX(FlowCalHighSetting,MATCH(R39,FlowCalNumber,0),1,1))),INDEX(FlowCalConstA,MATCH(R39,FlowCalNumber,0),1,1)*T45^INDEX(FlowCalConstB,MATCH(R39,FlowCalNumber,0),1,1)," ")</f>
        <v>#N/A</v>
      </c>
      <c r="V45" s="33"/>
      <c r="W45" s="242"/>
      <c r="X45" s="241"/>
      <c r="Y45" s="243"/>
      <c r="Z45" s="33"/>
      <c r="AA45" s="242"/>
      <c r="AB45" s="241"/>
      <c r="AC45" s="243"/>
      <c r="AD45" s="33"/>
      <c r="AE45" s="242"/>
      <c r="AF45" s="241"/>
      <c r="AG45" s="243"/>
      <c r="AH45" s="33"/>
      <c r="AI45" s="242"/>
      <c r="AJ45" s="241"/>
      <c r="AK45" s="244"/>
      <c r="AL45" s="243"/>
      <c r="AM45" s="243"/>
      <c r="AN45" s="243"/>
      <c r="AO45" s="243"/>
      <c r="AP45" s="243"/>
      <c r="AQ45" s="243"/>
      <c r="AR45" s="243"/>
      <c r="AS45" s="243"/>
      <c r="AT45" s="243"/>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U45" s="242"/>
      <c r="BW45" s="243"/>
      <c r="BY45" s="242"/>
      <c r="CA45" s="243"/>
      <c r="CC45" s="242"/>
      <c r="CE45" s="243"/>
      <c r="CG45" s="242"/>
      <c r="CI45" s="243"/>
    </row>
    <row r="46" spans="1:87" s="1215" customFormat="1">
      <c r="A46" s="1222"/>
      <c r="B46" s="1223" t="str">
        <f t="shared" si="16"/>
        <v/>
      </c>
      <c r="C46" s="1210"/>
      <c r="D46" s="1211">
        <f>'1% Wind'!$M$88</f>
        <v>10.1</v>
      </c>
      <c r="E46" s="1212"/>
      <c r="F46" s="1212"/>
      <c r="G46" s="1213">
        <f ca="1">IF(I39=0.9743,$G45,MAX(G45/D45*D46,2))</f>
        <v>2</v>
      </c>
      <c r="H46" s="1214" t="e">
        <f t="shared" ca="1" si="17"/>
        <v>#VALUE!</v>
      </c>
      <c r="J46" s="1224"/>
      <c r="K46" s="1217">
        <f t="shared" si="18"/>
        <v>1</v>
      </c>
      <c r="L46" s="1218" t="e">
        <f t="shared" ca="1" si="19"/>
        <v>#VALUE!</v>
      </c>
      <c r="M46" s="1219" t="e">
        <f ca="1">IF(AND(INDEX(FlowCalConstA,MATCH(J39,FlowCalNumber,0),1,1)*L46^INDEX(FlowCalConstB,MATCH(J39,FlowCalNumber,0),1,1)&gt;INDEX(FlowCalLowSetting,MATCH(J39,FlowCalNumber,0),1,1), (INDEX(FlowCalConstA,MATCH(J39,FlowCalNumber,0),1,1)*L46^INDEX(FlowCalConstB,MATCH(J39,FlowCalNumber,0),1,1)&lt;INDEX(FlowCalHighSetting,MATCH(J39,FlowCalNumber,0),1,1))),INDEX(FlowCalConstA,MATCH(J39,FlowCalNumber,0),1,1)*L46^INDEX(FlowCalConstB,MATCH(J39,FlowCalNumber,0),1,1)," ")</f>
        <v>#N/A</v>
      </c>
      <c r="N46" s="1224"/>
      <c r="O46" s="1217">
        <f t="shared" si="20"/>
        <v>1</v>
      </c>
      <c r="P46" s="1218" t="e">
        <f t="shared" ca="1" si="21"/>
        <v>#VALUE!</v>
      </c>
      <c r="Q46" s="1219" t="e">
        <f ca="1">IF(AND(INDEX(FlowCalConstA,MATCH(N39,FlowCalNumber,0),1,1)*P46^INDEX(FlowCalConstB,MATCH(N39,FlowCalNumber,0),1,1)&gt;INDEX(FlowCalLowSetting,MATCH(N39,FlowCalNumber,0),1,1), (INDEX(FlowCalConstA,MATCH(N39,FlowCalNumber,0),1,1)*P46^INDEX(FlowCalConstB,MATCH(N39,FlowCalNumber,0),1,1)&lt;INDEX(FlowCalHighSetting,MATCH(N39,FlowCalNumber,0),1,1))),INDEX(FlowCalConstA,MATCH(N39,FlowCalNumber,0),1,1)*P46^INDEX(FlowCalConstB,MATCH(N39,FlowCalNumber,0),1,1)," ")</f>
        <v>#N/A</v>
      </c>
      <c r="R46" s="1224"/>
      <c r="S46" s="1217">
        <f t="shared" si="22"/>
        <v>1</v>
      </c>
      <c r="T46" s="1218" t="e">
        <f t="shared" ca="1" si="23"/>
        <v>#VALUE!</v>
      </c>
      <c r="U46" s="1219" t="e">
        <f ca="1">IF(AND(INDEX(FlowCalConstA,MATCH(R39,FlowCalNumber,0),1,1)*T46^INDEX(FlowCalConstB,MATCH(R39,FlowCalNumber,0),1,1)&gt;INDEX(FlowCalLowSetting,MATCH(R39,FlowCalNumber,0),1,1), (INDEX(FlowCalConstA,MATCH(R39,FlowCalNumber,0),1,1)*T46^INDEX(FlowCalConstB,MATCH(R39,FlowCalNumber,0),1,1)&lt;INDEX(FlowCalHighSetting,MATCH(R39,FlowCalNumber,0),1,1))),INDEX(FlowCalConstA,MATCH(R39,FlowCalNumber,0),1,1)*T46^INDEX(FlowCalConstB,MATCH(R39,FlowCalNumber,0),1,1)," ")</f>
        <v>#N/A</v>
      </c>
      <c r="V46" s="1224"/>
      <c r="W46" s="1217"/>
      <c r="X46" s="1218"/>
      <c r="Y46" s="1219"/>
      <c r="Z46" s="1224"/>
      <c r="AA46" s="1217"/>
      <c r="AB46" s="1218"/>
      <c r="AC46" s="1219"/>
      <c r="AD46" s="1224"/>
      <c r="AE46" s="1217"/>
      <c r="AF46" s="1218"/>
      <c r="AG46" s="1219"/>
      <c r="AH46" s="1224"/>
      <c r="AI46" s="1217"/>
      <c r="AJ46" s="1218"/>
      <c r="AK46" s="1220"/>
      <c r="AL46" s="1219"/>
      <c r="AM46" s="1219"/>
      <c r="AN46" s="1219"/>
      <c r="AO46" s="1219"/>
      <c r="AP46" s="1219"/>
      <c r="AQ46" s="1219"/>
      <c r="AR46" s="1219"/>
      <c r="AS46" s="1219"/>
      <c r="AT46" s="1219"/>
      <c r="AU46" s="1219"/>
      <c r="AV46" s="1219"/>
      <c r="AW46" s="1219"/>
      <c r="AX46" s="1219"/>
      <c r="AY46" s="1219"/>
      <c r="AZ46" s="1219"/>
      <c r="BA46" s="1219"/>
      <c r="BB46" s="1219"/>
      <c r="BC46" s="1219"/>
      <c r="BD46" s="1219"/>
      <c r="BE46" s="1219"/>
      <c r="BF46" s="1219"/>
      <c r="BG46" s="1219"/>
      <c r="BH46" s="1219"/>
      <c r="BI46" s="1219"/>
      <c r="BJ46" s="1219"/>
      <c r="BK46" s="1219"/>
      <c r="BL46" s="1219"/>
      <c r="BM46" s="1219"/>
      <c r="BN46" s="1219"/>
      <c r="BO46" s="1219"/>
      <c r="BP46" s="1219"/>
      <c r="BQ46" s="1219"/>
      <c r="BR46" s="1219"/>
      <c r="BS46" s="1219"/>
      <c r="BU46" s="1217"/>
      <c r="BW46" s="1219"/>
      <c r="BY46" s="1217"/>
      <c r="CA46" s="1219"/>
      <c r="CC46" s="1217"/>
      <c r="CE46" s="1219"/>
      <c r="CG46" s="1217"/>
      <c r="CI46" s="1219"/>
    </row>
    <row r="47" spans="1:87">
      <c r="A47" s="20"/>
      <c r="B47" s="124" t="str">
        <f t="shared" si="16"/>
        <v/>
      </c>
      <c r="C47" s="235"/>
      <c r="D47" s="24">
        <f>'1% Wind'!$M$89</f>
        <v>7.6</v>
      </c>
      <c r="E47" s="90"/>
      <c r="F47" s="90"/>
      <c r="G47" s="79">
        <f ca="1">IF(I39=0.9743,$G46,MAX(G46/D46*D47,2))</f>
        <v>2</v>
      </c>
      <c r="H47" s="121" t="e">
        <f t="shared" ca="1" si="17"/>
        <v>#VALUE!</v>
      </c>
      <c r="J47" s="33"/>
      <c r="K47" s="242">
        <f t="shared" si="18"/>
        <v>1</v>
      </c>
      <c r="L47" s="241" t="e">
        <f t="shared" ca="1" si="19"/>
        <v>#VALUE!</v>
      </c>
      <c r="M47" s="243" t="e">
        <f ca="1">IF(AND(INDEX(FlowCalConstA,MATCH(J39,FlowCalNumber,0),1,1)*L47^INDEX(FlowCalConstB,MATCH(J39,FlowCalNumber,0),1,1)&gt;INDEX(FlowCalLowSetting,MATCH(J39,FlowCalNumber,0),1,1), (INDEX(FlowCalConstA,MATCH(J39,FlowCalNumber,0),1,1)*L47^INDEX(FlowCalConstB,MATCH(J39,FlowCalNumber,0),1,1)&lt;INDEX(FlowCalHighSetting,MATCH(J39,FlowCalNumber,0),1,1))),INDEX(FlowCalConstA,MATCH(J39,FlowCalNumber,0),1,1)*L47^INDEX(FlowCalConstB,MATCH(J39,FlowCalNumber,0),1,1)," ")</f>
        <v>#N/A</v>
      </c>
      <c r="N47" s="33"/>
      <c r="O47" s="242">
        <f t="shared" si="20"/>
        <v>1</v>
      </c>
      <c r="P47" s="241" t="e">
        <f t="shared" ca="1" si="21"/>
        <v>#VALUE!</v>
      </c>
      <c r="Q47" s="243" t="e">
        <f ca="1">IF(AND(INDEX(FlowCalConstA,MATCH(N39,FlowCalNumber,0),1,1)*P47^INDEX(FlowCalConstB,MATCH(N39,FlowCalNumber,0),1,1)&gt;INDEX(FlowCalLowSetting,MATCH(N39,FlowCalNumber,0),1,1), (INDEX(FlowCalConstA,MATCH(N39,FlowCalNumber,0),1,1)*P47^INDEX(FlowCalConstB,MATCH(N39,FlowCalNumber,0),1,1)&lt;INDEX(FlowCalHighSetting,MATCH(N39,FlowCalNumber,0),1,1))),INDEX(FlowCalConstA,MATCH(N39,FlowCalNumber,0),1,1)*P47^INDEX(FlowCalConstB,MATCH(N39,FlowCalNumber,0),1,1)," ")</f>
        <v>#N/A</v>
      </c>
      <c r="R47" s="33"/>
      <c r="S47" s="242">
        <f t="shared" si="22"/>
        <v>1</v>
      </c>
      <c r="T47" s="241" t="e">
        <f t="shared" ca="1" si="23"/>
        <v>#VALUE!</v>
      </c>
      <c r="U47" s="243" t="e">
        <f ca="1">IF(AND(INDEX(FlowCalConstA,MATCH(R39,FlowCalNumber,0),1,1)*T47^INDEX(FlowCalConstB,MATCH(R39,FlowCalNumber,0),1,1)&gt;INDEX(FlowCalLowSetting,MATCH(R39,FlowCalNumber,0),1,1), (INDEX(FlowCalConstA,MATCH(R39,FlowCalNumber,0),1,1)*T47^INDEX(FlowCalConstB,MATCH(R39,FlowCalNumber,0),1,1)&lt;INDEX(FlowCalHighSetting,MATCH(R39,FlowCalNumber,0),1,1))),INDEX(FlowCalConstA,MATCH(R39,FlowCalNumber,0),1,1)*T47^INDEX(FlowCalConstB,MATCH(R39,FlowCalNumber,0),1,1)," ")</f>
        <v>#N/A</v>
      </c>
      <c r="V47" s="33"/>
      <c r="W47" s="242"/>
      <c r="X47" s="241"/>
      <c r="Y47" s="243"/>
      <c r="Z47" s="33"/>
      <c r="AA47" s="242"/>
      <c r="AB47" s="241"/>
      <c r="AC47" s="243"/>
      <c r="AD47" s="33"/>
      <c r="AE47" s="242"/>
      <c r="AF47" s="241"/>
      <c r="AG47" s="243"/>
      <c r="AH47" s="33"/>
      <c r="AI47" s="242"/>
      <c r="AJ47" s="241"/>
      <c r="AK47" s="244"/>
      <c r="AL47" s="243"/>
      <c r="AM47" s="243"/>
      <c r="AN47" s="243"/>
      <c r="AO47" s="243"/>
      <c r="AP47" s="243"/>
      <c r="AQ47" s="243"/>
      <c r="AR47" s="243"/>
      <c r="AS47" s="243"/>
      <c r="AT47" s="243"/>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U47" s="242"/>
      <c r="BW47" s="243"/>
      <c r="BY47" s="242"/>
      <c r="CA47" s="243"/>
      <c r="CC47" s="242"/>
      <c r="CE47" s="243"/>
      <c r="CG47" s="242"/>
      <c r="CI47" s="243"/>
    </row>
    <row r="48" spans="1:87" s="1215" customFormat="1">
      <c r="A48" s="1222"/>
      <c r="B48" s="1223" t="str">
        <f t="shared" si="16"/>
        <v/>
      </c>
      <c r="C48" s="1210"/>
      <c r="D48" s="1211">
        <f>'1% Wind'!$M$90</f>
        <v>5.7</v>
      </c>
      <c r="E48" s="1212"/>
      <c r="F48" s="1212"/>
      <c r="G48" s="1213">
        <f ca="1">IF(I39=0.9743,$G47,MAX(G47/D47*D48,2))</f>
        <v>2</v>
      </c>
      <c r="H48" s="1214" t="e">
        <f t="shared" ca="1" si="17"/>
        <v>#VALUE!</v>
      </c>
      <c r="J48" s="1224"/>
      <c r="K48" s="1217">
        <f t="shared" si="18"/>
        <v>1</v>
      </c>
      <c r="L48" s="1218" t="e">
        <f t="shared" ca="1" si="19"/>
        <v>#VALUE!</v>
      </c>
      <c r="M48" s="1219" t="e">
        <f ca="1">IF(AND(INDEX(FlowCalConstA,MATCH(J39,FlowCalNumber,0),1,1)*L48^INDEX(FlowCalConstB,MATCH(J39,FlowCalNumber,0),1,1)&gt;INDEX(FlowCalLowSetting,MATCH(J39,FlowCalNumber,0),1,1), (INDEX(FlowCalConstA,MATCH(J39,FlowCalNumber,0),1,1)*L48^INDEX(FlowCalConstB,MATCH(J39,FlowCalNumber,0),1,1)&lt;INDEX(FlowCalHighSetting,MATCH(J39,FlowCalNumber,0),1,1))),INDEX(FlowCalConstA,MATCH(J39,FlowCalNumber,0),1,1)*L48^INDEX(FlowCalConstB,MATCH(J39,FlowCalNumber,0),1,1)," ")</f>
        <v>#N/A</v>
      </c>
      <c r="N48" s="1224"/>
      <c r="O48" s="1217">
        <f t="shared" si="20"/>
        <v>1</v>
      </c>
      <c r="P48" s="1218" t="e">
        <f t="shared" ca="1" si="21"/>
        <v>#VALUE!</v>
      </c>
      <c r="Q48" s="1219" t="e">
        <f ca="1">IF(AND(INDEX(FlowCalConstA,MATCH(N39,FlowCalNumber,0),1,1)*P48^INDEX(FlowCalConstB,MATCH(N39,FlowCalNumber,0),1,1)&gt;INDEX(FlowCalLowSetting,MATCH(N39,FlowCalNumber,0),1,1), (INDEX(FlowCalConstA,MATCH(N39,FlowCalNumber,0),1,1)*P48^INDEX(FlowCalConstB,MATCH(N39,FlowCalNumber,0),1,1)&lt;INDEX(FlowCalHighSetting,MATCH(N39,FlowCalNumber,0),1,1))),INDEX(FlowCalConstA,MATCH(N39,FlowCalNumber,0),1,1)*P48^INDEX(FlowCalConstB,MATCH(N39,FlowCalNumber,0),1,1)," ")</f>
        <v>#N/A</v>
      </c>
      <c r="R48" s="1224"/>
      <c r="S48" s="1217">
        <f t="shared" si="22"/>
        <v>1</v>
      </c>
      <c r="T48" s="1218" t="e">
        <f t="shared" ca="1" si="23"/>
        <v>#VALUE!</v>
      </c>
      <c r="U48" s="1219" t="e">
        <f ca="1">IF(AND(INDEX(FlowCalConstA,MATCH(R39,FlowCalNumber,0),1,1)*T48^INDEX(FlowCalConstB,MATCH(R39,FlowCalNumber,0),1,1)&gt;INDEX(FlowCalLowSetting,MATCH(R39,FlowCalNumber,0),1,1), (INDEX(FlowCalConstA,MATCH(R39,FlowCalNumber,0),1,1)*T48^INDEX(FlowCalConstB,MATCH(R39,FlowCalNumber,0),1,1)&lt;INDEX(FlowCalHighSetting,MATCH(R39,FlowCalNumber,0),1,1))),INDEX(FlowCalConstA,MATCH(R39,FlowCalNumber,0),1,1)*T48^INDEX(FlowCalConstB,MATCH(R39,FlowCalNumber,0),1,1)," ")</f>
        <v>#N/A</v>
      </c>
      <c r="V48" s="1224"/>
      <c r="W48" s="1217"/>
      <c r="X48" s="1218"/>
      <c r="Y48" s="1219"/>
      <c r="Z48" s="1224"/>
      <c r="AA48" s="1217"/>
      <c r="AB48" s="1218"/>
      <c r="AC48" s="1219"/>
      <c r="AD48" s="1224"/>
      <c r="AE48" s="1217"/>
      <c r="AF48" s="1218"/>
      <c r="AG48" s="1219"/>
      <c r="AH48" s="1224"/>
      <c r="AI48" s="1217"/>
      <c r="AJ48" s="1218"/>
      <c r="AK48" s="1220"/>
      <c r="AL48" s="1219"/>
      <c r="AM48" s="1219"/>
      <c r="AN48" s="1219"/>
      <c r="AO48" s="1219"/>
      <c r="AP48" s="1219"/>
      <c r="AQ48" s="1219"/>
      <c r="AR48" s="1219"/>
      <c r="AS48" s="1219"/>
      <c r="AT48" s="1219"/>
      <c r="AU48" s="1219"/>
      <c r="AV48" s="1219"/>
      <c r="AW48" s="1219"/>
      <c r="AX48" s="1219"/>
      <c r="AY48" s="1219"/>
      <c r="AZ48" s="1219"/>
      <c r="BA48" s="1219"/>
      <c r="BB48" s="1219"/>
      <c r="BC48" s="1219"/>
      <c r="BD48" s="1219"/>
      <c r="BE48" s="1219"/>
      <c r="BF48" s="1219"/>
      <c r="BG48" s="1219"/>
      <c r="BH48" s="1219"/>
      <c r="BI48" s="1219"/>
      <c r="BJ48" s="1219"/>
      <c r="BK48" s="1219"/>
      <c r="BL48" s="1219"/>
      <c r="BM48" s="1219"/>
      <c r="BN48" s="1219"/>
      <c r="BO48" s="1219"/>
      <c r="BP48" s="1219"/>
      <c r="BQ48" s="1219"/>
      <c r="BR48" s="1219"/>
      <c r="BS48" s="1219"/>
      <c r="BU48" s="1217"/>
      <c r="BW48" s="1219"/>
      <c r="BY48" s="1217"/>
      <c r="CA48" s="1219"/>
      <c r="CC48" s="1217"/>
      <c r="CE48" s="1219"/>
      <c r="CG48" s="1217"/>
      <c r="CI48" s="1219"/>
    </row>
    <row r="49" spans="1:87">
      <c r="A49" s="20"/>
      <c r="B49" s="124" t="str">
        <f t="shared" si="16"/>
        <v/>
      </c>
      <c r="C49" s="235"/>
      <c r="D49" s="24">
        <f>'1% Wind'!$M$91</f>
        <v>4.2</v>
      </c>
      <c r="E49" s="90"/>
      <c r="F49" s="90"/>
      <c r="G49" s="79">
        <f ca="1">IF(I39=0.9743,$G48,MAX(G48/D48*D49,2))</f>
        <v>2</v>
      </c>
      <c r="H49" s="121" t="e">
        <f t="shared" ca="1" si="17"/>
        <v>#VALUE!</v>
      </c>
      <c r="J49" s="33"/>
      <c r="K49" s="242">
        <f t="shared" si="18"/>
        <v>1</v>
      </c>
      <c r="L49" s="241" t="e">
        <f t="shared" ca="1" si="19"/>
        <v>#VALUE!</v>
      </c>
      <c r="M49" s="243" t="e">
        <f ca="1">IF(AND(INDEX(FlowCalConstA,MATCH(J39,FlowCalNumber,0),1,1)*L49^INDEX(FlowCalConstB,MATCH(J39,FlowCalNumber,0),1,1)&gt;INDEX(FlowCalLowSetting,MATCH(J39,FlowCalNumber,0),1,1), (INDEX(FlowCalConstA,MATCH(J39,FlowCalNumber,0),1,1)*L49^INDEX(FlowCalConstB,MATCH(J39,FlowCalNumber,0),1,1)&lt;INDEX(FlowCalHighSetting,MATCH(J39,FlowCalNumber,0),1,1))),INDEX(FlowCalConstA,MATCH(J39,FlowCalNumber,0),1,1)*L49^INDEX(FlowCalConstB,MATCH(J39,FlowCalNumber,0),1,1)," ")</f>
        <v>#N/A</v>
      </c>
      <c r="N49" s="33"/>
      <c r="O49" s="242">
        <f t="shared" si="20"/>
        <v>1</v>
      </c>
      <c r="P49" s="241" t="e">
        <f t="shared" ca="1" si="21"/>
        <v>#VALUE!</v>
      </c>
      <c r="Q49" s="243" t="e">
        <f ca="1">IF(AND(INDEX(FlowCalConstA,MATCH(N39,FlowCalNumber,0),1,1)*P49^INDEX(FlowCalConstB,MATCH(N39,FlowCalNumber,0),1,1)&gt;INDEX(FlowCalLowSetting,MATCH(N39,FlowCalNumber,0),1,1), (INDEX(FlowCalConstA,MATCH(N39,FlowCalNumber,0),1,1)*P49^INDEX(FlowCalConstB,MATCH(N39,FlowCalNumber,0),1,1)&lt;INDEX(FlowCalHighSetting,MATCH(N39,FlowCalNumber,0),1,1))),INDEX(FlowCalConstA,MATCH(N39,FlowCalNumber,0),1,1)*P49^INDEX(FlowCalConstB,MATCH(N39,FlowCalNumber,0),1,1)," ")</f>
        <v>#N/A</v>
      </c>
      <c r="R49" s="33"/>
      <c r="S49" s="242">
        <f t="shared" si="22"/>
        <v>1</v>
      </c>
      <c r="T49" s="241" t="e">
        <f t="shared" ca="1" si="23"/>
        <v>#VALUE!</v>
      </c>
      <c r="U49" s="243" t="e">
        <f ca="1">IF(AND(INDEX(FlowCalConstA,MATCH(R39,FlowCalNumber,0),1,1)*T49^INDEX(FlowCalConstB,MATCH(R39,FlowCalNumber,0),1,1)&gt;INDEX(FlowCalLowSetting,MATCH(R39,FlowCalNumber,0),1,1), (INDEX(FlowCalConstA,MATCH(R39,FlowCalNumber,0),1,1)*T49^INDEX(FlowCalConstB,MATCH(R39,FlowCalNumber,0),1,1)&lt;INDEX(FlowCalHighSetting,MATCH(R39,FlowCalNumber,0),1,1))),INDEX(FlowCalConstA,MATCH(R39,FlowCalNumber,0),1,1)*T49^INDEX(FlowCalConstB,MATCH(R39,FlowCalNumber,0),1,1)," ")</f>
        <v>#N/A</v>
      </c>
      <c r="V49" s="33"/>
      <c r="W49" s="242"/>
      <c r="X49" s="241"/>
      <c r="Y49" s="243"/>
      <c r="Z49" s="33"/>
      <c r="AA49" s="242"/>
      <c r="AB49" s="241"/>
      <c r="AC49" s="243"/>
      <c r="AD49" s="33"/>
      <c r="AE49" s="242"/>
      <c r="AF49" s="241"/>
      <c r="AG49" s="243"/>
      <c r="AH49" s="33"/>
      <c r="AI49" s="242"/>
      <c r="AJ49" s="241"/>
      <c r="AK49" s="244"/>
      <c r="AL49" s="243"/>
      <c r="AM49" s="243"/>
      <c r="AN49" s="243"/>
      <c r="AO49" s="243"/>
      <c r="AP49" s="243"/>
      <c r="AQ49" s="243"/>
      <c r="AR49" s="243"/>
      <c r="AS49" s="243"/>
      <c r="AT49" s="243"/>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U49" s="242"/>
      <c r="BW49" s="243"/>
      <c r="BY49" s="242"/>
      <c r="CA49" s="243"/>
      <c r="CC49" s="242"/>
      <c r="CE49" s="243"/>
      <c r="CG49" s="242"/>
      <c r="CI49" s="243"/>
    </row>
    <row r="50" spans="1:87" s="1215" customFormat="1">
      <c r="A50" s="1222"/>
      <c r="B50" s="1223" t="str">
        <f t="shared" si="16"/>
        <v/>
      </c>
      <c r="C50" s="1210"/>
      <c r="D50" s="1211">
        <f>'1% Wind'!$M$92</f>
        <v>3.2</v>
      </c>
      <c r="E50" s="1212"/>
      <c r="F50" s="1212"/>
      <c r="G50" s="1213">
        <f ca="1">IF(I39=0.9743,$G49,MAX(G49/D49*D50,2))</f>
        <v>2</v>
      </c>
      <c r="H50" s="1214" t="e">
        <f t="shared" ca="1" si="17"/>
        <v>#VALUE!</v>
      </c>
      <c r="J50" s="1224"/>
      <c r="K50" s="1217">
        <f t="shared" si="18"/>
        <v>1</v>
      </c>
      <c r="L50" s="1218" t="e">
        <f t="shared" ca="1" si="19"/>
        <v>#VALUE!</v>
      </c>
      <c r="M50" s="1219" t="e">
        <f ca="1">IF(AND(INDEX(FlowCalConstA,MATCH(J39,FlowCalNumber,0),1,1)*L50^INDEX(FlowCalConstB,MATCH(J39,FlowCalNumber,0),1,1)&gt;INDEX(FlowCalLowSetting,MATCH(J39,FlowCalNumber,0),1,1), (INDEX(FlowCalConstA,MATCH(J39,FlowCalNumber,0),1,1)*L50^INDEX(FlowCalConstB,MATCH(J39,FlowCalNumber,0),1,1)&lt;INDEX(FlowCalHighSetting,MATCH(J39,FlowCalNumber,0),1,1))),INDEX(FlowCalConstA,MATCH(J39,FlowCalNumber,0),1,1)*L50^INDEX(FlowCalConstB,MATCH(J39,FlowCalNumber,0),1,1)," ")</f>
        <v>#N/A</v>
      </c>
      <c r="N50" s="1224"/>
      <c r="O50" s="1217">
        <f t="shared" si="20"/>
        <v>1</v>
      </c>
      <c r="P50" s="1218" t="e">
        <f t="shared" ca="1" si="21"/>
        <v>#VALUE!</v>
      </c>
      <c r="Q50" s="1219" t="e">
        <f ca="1">IF(AND(INDEX(FlowCalConstA,MATCH(N39,FlowCalNumber,0),1,1)*P50^INDEX(FlowCalConstB,MATCH(N39,FlowCalNumber,0),1,1)&gt;INDEX(FlowCalLowSetting,MATCH(N39,FlowCalNumber,0),1,1), (INDEX(FlowCalConstA,MATCH(N39,FlowCalNumber,0),1,1)*P50^INDEX(FlowCalConstB,MATCH(N39,FlowCalNumber,0),1,1)&lt;INDEX(FlowCalHighSetting,MATCH(N39,FlowCalNumber,0),1,1))),INDEX(FlowCalConstA,MATCH(N39,FlowCalNumber,0),1,1)*P50^INDEX(FlowCalConstB,MATCH(N39,FlowCalNumber,0),1,1)," ")</f>
        <v>#N/A</v>
      </c>
      <c r="R50" s="1224"/>
      <c r="S50" s="1217">
        <f t="shared" si="22"/>
        <v>1</v>
      </c>
      <c r="T50" s="1218" t="e">
        <f t="shared" ca="1" si="23"/>
        <v>#VALUE!</v>
      </c>
      <c r="U50" s="1219" t="e">
        <f ca="1">IF(AND(INDEX(FlowCalConstA,MATCH(R39,FlowCalNumber,0),1,1)*T50^INDEX(FlowCalConstB,MATCH(R39,FlowCalNumber,0),1,1)&gt;INDEX(FlowCalLowSetting,MATCH(R39,FlowCalNumber,0),1,1), (INDEX(FlowCalConstA,MATCH(R39,FlowCalNumber,0),1,1)*T50^INDEX(FlowCalConstB,MATCH(R39,FlowCalNumber,0),1,1)&lt;INDEX(FlowCalHighSetting,MATCH(R39,FlowCalNumber,0),1,1))),INDEX(FlowCalConstA,MATCH(R39,FlowCalNumber,0),1,1)*T50^INDEX(FlowCalConstB,MATCH(R39,FlowCalNumber,0),1,1)," ")</f>
        <v>#N/A</v>
      </c>
      <c r="V50" s="1224"/>
      <c r="W50" s="1217"/>
      <c r="X50" s="1218"/>
      <c r="Y50" s="1219"/>
      <c r="Z50" s="1224"/>
      <c r="AA50" s="1217"/>
      <c r="AB50" s="1218"/>
      <c r="AC50" s="1219"/>
      <c r="AD50" s="1224"/>
      <c r="AE50" s="1217"/>
      <c r="AF50" s="1218"/>
      <c r="AG50" s="1219"/>
      <c r="AH50" s="1224"/>
      <c r="AI50" s="1217"/>
      <c r="AJ50" s="1218"/>
      <c r="AK50" s="1220"/>
      <c r="AL50" s="1219"/>
      <c r="AM50" s="1219"/>
      <c r="AN50" s="1219"/>
      <c r="AO50" s="1219"/>
      <c r="AP50" s="1219"/>
      <c r="AQ50" s="1219"/>
      <c r="AR50" s="1219"/>
      <c r="AS50" s="1219"/>
      <c r="AT50" s="1219"/>
      <c r="AU50" s="1219"/>
      <c r="AV50" s="1219"/>
      <c r="AW50" s="1219"/>
      <c r="AX50" s="1219"/>
      <c r="AY50" s="1219"/>
      <c r="AZ50" s="1219"/>
      <c r="BA50" s="1219"/>
      <c r="BB50" s="1219"/>
      <c r="BC50" s="1219"/>
      <c r="BD50" s="1219"/>
      <c r="BE50" s="1219"/>
      <c r="BF50" s="1219"/>
      <c r="BG50" s="1219"/>
      <c r="BH50" s="1219"/>
      <c r="BI50" s="1219"/>
      <c r="BJ50" s="1219"/>
      <c r="BK50" s="1219"/>
      <c r="BL50" s="1219"/>
      <c r="BM50" s="1219"/>
      <c r="BN50" s="1219"/>
      <c r="BO50" s="1219"/>
      <c r="BP50" s="1219"/>
      <c r="BQ50" s="1219"/>
      <c r="BR50" s="1219"/>
      <c r="BS50" s="1219"/>
      <c r="BU50" s="1217"/>
      <c r="BW50" s="1219"/>
      <c r="BY50" s="1217"/>
      <c r="CA50" s="1219"/>
      <c r="CC50" s="1217"/>
      <c r="CE50" s="1219"/>
      <c r="CG50" s="1217"/>
      <c r="CI50" s="1219"/>
    </row>
    <row r="51" spans="1:87">
      <c r="A51" s="20"/>
      <c r="B51" s="124" t="str">
        <f t="shared" si="16"/>
        <v/>
      </c>
      <c r="C51" s="235"/>
      <c r="D51" s="24">
        <f>'1% Wind'!$M$93</f>
        <v>2.4</v>
      </c>
      <c r="E51" s="90"/>
      <c r="F51" s="90"/>
      <c r="G51" s="79">
        <f ca="1">IF(I39=0.9743,$G50,MAX(G50/D50*D51,2))</f>
        <v>2</v>
      </c>
      <c r="H51" s="121" t="e">
        <f t="shared" ca="1" si="17"/>
        <v>#VALUE!</v>
      </c>
      <c r="J51" s="33"/>
      <c r="K51" s="242">
        <f t="shared" si="18"/>
        <v>1</v>
      </c>
      <c r="L51" s="241" t="e">
        <f t="shared" ca="1" si="19"/>
        <v>#VALUE!</v>
      </c>
      <c r="M51" s="243" t="e">
        <f ca="1">IF(AND(INDEX(FlowCalConstA,MATCH(J39,FlowCalNumber,0),1,1)*L51^INDEX(FlowCalConstB,MATCH(J39,FlowCalNumber,0),1,1)&gt;INDEX(FlowCalLowSetting,MATCH(J39,FlowCalNumber,0),1,1), (INDEX(FlowCalConstA,MATCH(J39,FlowCalNumber,0),1,1)*L51^INDEX(FlowCalConstB,MATCH(J39,FlowCalNumber,0),1,1)&lt;INDEX(FlowCalHighSetting,MATCH(J39,FlowCalNumber,0),1,1))),INDEX(FlowCalConstA,MATCH(J39,FlowCalNumber,0),1,1)*L51^INDEX(FlowCalConstB,MATCH(J39,FlowCalNumber,0),1,1)," ")</f>
        <v>#N/A</v>
      </c>
      <c r="N51" s="33"/>
      <c r="O51" s="242">
        <f t="shared" si="20"/>
        <v>1</v>
      </c>
      <c r="P51" s="241" t="e">
        <f t="shared" ca="1" si="21"/>
        <v>#VALUE!</v>
      </c>
      <c r="Q51" s="243" t="e">
        <f ca="1">IF(AND(INDEX(FlowCalConstA,MATCH(N39,FlowCalNumber,0),1,1)*P51^INDEX(FlowCalConstB,MATCH(N39,FlowCalNumber,0),1,1)&gt;INDEX(FlowCalLowSetting,MATCH(N39,FlowCalNumber,0),1,1), (INDEX(FlowCalConstA,MATCH(N39,FlowCalNumber,0),1,1)*P51^INDEX(FlowCalConstB,MATCH(N39,FlowCalNumber,0),1,1)&lt;INDEX(FlowCalHighSetting,MATCH(N39,FlowCalNumber,0),1,1))),INDEX(FlowCalConstA,MATCH(N39,FlowCalNumber,0),1,1)*P51^INDEX(FlowCalConstB,MATCH(N39,FlowCalNumber,0),1,1)," ")</f>
        <v>#N/A</v>
      </c>
      <c r="R51" s="33"/>
      <c r="S51" s="242">
        <f t="shared" si="22"/>
        <v>1</v>
      </c>
      <c r="T51" s="241" t="e">
        <f t="shared" ca="1" si="23"/>
        <v>#VALUE!</v>
      </c>
      <c r="U51" s="243" t="e">
        <f ca="1">IF(AND(INDEX(FlowCalConstA,MATCH(R39,FlowCalNumber,0),1,1)*T51^INDEX(FlowCalConstB,MATCH(R39,FlowCalNumber,0),1,1)&gt;INDEX(FlowCalLowSetting,MATCH(R39,FlowCalNumber,0),1,1), (INDEX(FlowCalConstA,MATCH(R39,FlowCalNumber,0),1,1)*T51^INDEX(FlowCalConstB,MATCH(R39,FlowCalNumber,0),1,1)&lt;INDEX(FlowCalHighSetting,MATCH(R39,FlowCalNumber,0),1,1))),INDEX(FlowCalConstA,MATCH(R39,FlowCalNumber,0),1,1)*T51^INDEX(FlowCalConstB,MATCH(R39,FlowCalNumber,0),1,1)," ")</f>
        <v>#N/A</v>
      </c>
      <c r="V51" s="33"/>
      <c r="W51" s="242"/>
      <c r="X51" s="241"/>
      <c r="Y51" s="243"/>
      <c r="Z51" s="33"/>
      <c r="AA51" s="242"/>
      <c r="AB51" s="241"/>
      <c r="AC51" s="243"/>
      <c r="AD51" s="33"/>
      <c r="AE51" s="242"/>
      <c r="AF51" s="241"/>
      <c r="AG51" s="243"/>
      <c r="AH51" s="33"/>
      <c r="AI51" s="242"/>
      <c r="AJ51" s="241"/>
      <c r="AK51" s="244"/>
      <c r="AL51" s="243"/>
      <c r="AM51" s="243"/>
      <c r="AN51" s="243"/>
      <c r="AO51" s="243"/>
      <c r="AP51" s="243"/>
      <c r="AQ51" s="243"/>
      <c r="AR51" s="243"/>
      <c r="AS51" s="243"/>
      <c r="AT51" s="243"/>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U51" s="242"/>
      <c r="BW51" s="243"/>
      <c r="BY51" s="242"/>
      <c r="CA51" s="243"/>
      <c r="CC51" s="242"/>
      <c r="CE51" s="243"/>
      <c r="CG51" s="242"/>
      <c r="CI51" s="243"/>
    </row>
    <row r="52" spans="1:87" s="1215" customFormat="1">
      <c r="A52" s="1222"/>
      <c r="B52" s="1223" t="str">
        <f t="shared" si="16"/>
        <v/>
      </c>
      <c r="C52" s="1210"/>
      <c r="D52" s="1211">
        <f>'1% Wind'!$M$94</f>
        <v>1.8</v>
      </c>
      <c r="E52" s="1212"/>
      <c r="F52" s="1212"/>
      <c r="G52" s="1213">
        <f ca="1">IF(I39=0.9743,$G51,MAX(G51/D51*D52,2))</f>
        <v>2</v>
      </c>
      <c r="H52" s="1214" t="e">
        <f t="shared" ca="1" si="17"/>
        <v>#VALUE!</v>
      </c>
      <c r="J52" s="1224"/>
      <c r="K52" s="1217">
        <f t="shared" si="18"/>
        <v>1</v>
      </c>
      <c r="L52" s="1218" t="e">
        <f t="shared" ca="1" si="19"/>
        <v>#VALUE!</v>
      </c>
      <c r="M52" s="1219" t="e">
        <f ca="1">IF(AND(INDEX(FlowCalConstA,MATCH(J39,FlowCalNumber,0),1,1)*L52^INDEX(FlowCalConstB,MATCH(J39,FlowCalNumber,0),1,1)&gt;INDEX(FlowCalLowSetting,MATCH(J39,FlowCalNumber,0),1,1), (INDEX(FlowCalConstA,MATCH(J39,FlowCalNumber,0),1,1)*L52^INDEX(FlowCalConstB,MATCH(J39,FlowCalNumber,0),1,1)&lt;INDEX(FlowCalHighSetting,MATCH(J39,FlowCalNumber,0),1,1))),INDEX(FlowCalConstA,MATCH(J39,FlowCalNumber,0),1,1)*L52^INDEX(FlowCalConstB,MATCH(J39,FlowCalNumber,0),1,1)," ")</f>
        <v>#N/A</v>
      </c>
      <c r="N52" s="1224"/>
      <c r="O52" s="1217">
        <f t="shared" si="20"/>
        <v>1</v>
      </c>
      <c r="P52" s="1218" t="e">
        <f t="shared" ca="1" si="21"/>
        <v>#VALUE!</v>
      </c>
      <c r="Q52" s="1219" t="e">
        <f ca="1">IF(AND(INDEX(FlowCalConstA,MATCH(N39,FlowCalNumber,0),1,1)*P52^INDEX(FlowCalConstB,MATCH(N39,FlowCalNumber,0),1,1)&gt;INDEX(FlowCalLowSetting,MATCH(N39,FlowCalNumber,0),1,1), (INDEX(FlowCalConstA,MATCH(N39,FlowCalNumber,0),1,1)*P52^INDEX(FlowCalConstB,MATCH(N39,FlowCalNumber,0),1,1)&lt;INDEX(FlowCalHighSetting,MATCH(N39,FlowCalNumber,0),1,1))),INDEX(FlowCalConstA,MATCH(N39,FlowCalNumber,0),1,1)*P52^INDEX(FlowCalConstB,MATCH(N39,FlowCalNumber,0),1,1)," ")</f>
        <v>#N/A</v>
      </c>
      <c r="R52" s="1224"/>
      <c r="S52" s="1217">
        <f t="shared" si="22"/>
        <v>1</v>
      </c>
      <c r="T52" s="1218" t="e">
        <f t="shared" ca="1" si="23"/>
        <v>#VALUE!</v>
      </c>
      <c r="U52" s="1219" t="e">
        <f ca="1">IF(AND(INDEX(FlowCalConstA,MATCH(R39,FlowCalNumber,0),1,1)*T52^INDEX(FlowCalConstB,MATCH(R39,FlowCalNumber,0),1,1)&gt;INDEX(FlowCalLowSetting,MATCH(R39,FlowCalNumber,0),1,1), (INDEX(FlowCalConstA,MATCH(R39,FlowCalNumber,0),1,1)*T52^INDEX(FlowCalConstB,MATCH(R39,FlowCalNumber,0),1,1)&lt;INDEX(FlowCalHighSetting,MATCH(R39,FlowCalNumber,0),1,1))),INDEX(FlowCalConstA,MATCH(R39,FlowCalNumber,0),1,1)*T52^INDEX(FlowCalConstB,MATCH(R39,FlowCalNumber,0),1,1)," ")</f>
        <v>#N/A</v>
      </c>
      <c r="V52" s="1224"/>
      <c r="W52" s="1217"/>
      <c r="X52" s="1218"/>
      <c r="Y52" s="1219"/>
      <c r="Z52" s="1224"/>
      <c r="AA52" s="1217"/>
      <c r="AB52" s="1218"/>
      <c r="AC52" s="1219"/>
      <c r="AD52" s="1224"/>
      <c r="AE52" s="1217"/>
      <c r="AF52" s="1218"/>
      <c r="AG52" s="1219"/>
      <c r="AH52" s="1224"/>
      <c r="AI52" s="1217"/>
      <c r="AJ52" s="1218"/>
      <c r="AK52" s="1220"/>
      <c r="AL52" s="1219"/>
      <c r="AM52" s="1219"/>
      <c r="AN52" s="1219"/>
      <c r="AO52" s="1219"/>
      <c r="AP52" s="1219"/>
      <c r="AQ52" s="1219"/>
      <c r="AR52" s="1219"/>
      <c r="AS52" s="1219"/>
      <c r="AT52" s="1219"/>
      <c r="AU52" s="1219"/>
      <c r="AV52" s="1219"/>
      <c r="AW52" s="1219"/>
      <c r="AX52" s="1219"/>
      <c r="AY52" s="1219"/>
      <c r="AZ52" s="1219"/>
      <c r="BA52" s="1219"/>
      <c r="BB52" s="1219"/>
      <c r="BC52" s="1219"/>
      <c r="BD52" s="1219"/>
      <c r="BE52" s="1219"/>
      <c r="BF52" s="1219"/>
      <c r="BG52" s="1219"/>
      <c r="BH52" s="1219"/>
      <c r="BI52" s="1219"/>
      <c r="BJ52" s="1219"/>
      <c r="BK52" s="1219"/>
      <c r="BL52" s="1219"/>
      <c r="BM52" s="1219"/>
      <c r="BN52" s="1219"/>
      <c r="BO52" s="1219"/>
      <c r="BP52" s="1219"/>
      <c r="BQ52" s="1219"/>
      <c r="BR52" s="1219"/>
      <c r="BS52" s="1219"/>
      <c r="BU52" s="1217"/>
      <c r="BW52" s="1219"/>
      <c r="BY52" s="1217"/>
      <c r="CA52" s="1219"/>
      <c r="CC52" s="1217"/>
      <c r="CE52" s="1219"/>
      <c r="CG52" s="1217"/>
      <c r="CI52" s="1219"/>
    </row>
    <row r="53" spans="1:87">
      <c r="A53" s="20"/>
      <c r="B53" s="124" t="str">
        <f t="shared" si="16"/>
        <v/>
      </c>
      <c r="C53" s="235"/>
      <c r="D53" s="24">
        <f>'1% Wind'!$M$95</f>
        <v>1.3</v>
      </c>
      <c r="E53" s="90"/>
      <c r="F53" s="90"/>
      <c r="G53" s="79">
        <f ca="1">IF(I39=0.9743,$G52,MAX(G52/D52*D53,2))</f>
        <v>2</v>
      </c>
      <c r="H53" s="121" t="e">
        <f t="shared" ca="1" si="17"/>
        <v>#VALUE!</v>
      </c>
      <c r="J53" s="33"/>
      <c r="K53" s="242">
        <f t="shared" si="18"/>
        <v>1</v>
      </c>
      <c r="L53" s="241" t="e">
        <f t="shared" ca="1" si="19"/>
        <v>#VALUE!</v>
      </c>
      <c r="M53" s="243" t="e">
        <f ca="1">IF(AND(INDEX(FlowCalConstA,MATCH(J39,FlowCalNumber,0),1,1)*L53^INDEX(FlowCalConstB,MATCH(J39,FlowCalNumber,0),1,1)&gt;INDEX(FlowCalLowSetting,MATCH(J39,FlowCalNumber,0),1,1), (INDEX(FlowCalConstA,MATCH(J39,FlowCalNumber,0),1,1)*L53^INDEX(FlowCalConstB,MATCH(J39,FlowCalNumber,0),1,1)&lt;INDEX(FlowCalHighSetting,MATCH(J39,FlowCalNumber,0),1,1))),INDEX(FlowCalConstA,MATCH(J39,FlowCalNumber,0),1,1)*L53^INDEX(FlowCalConstB,MATCH(J39,FlowCalNumber,0),1,1)," ")</f>
        <v>#N/A</v>
      </c>
      <c r="N53" s="33"/>
      <c r="O53" s="242">
        <f t="shared" si="20"/>
        <v>1</v>
      </c>
      <c r="P53" s="241" t="e">
        <f t="shared" ca="1" si="21"/>
        <v>#VALUE!</v>
      </c>
      <c r="Q53" s="243" t="e">
        <f ca="1">IF(AND(INDEX(FlowCalConstA,MATCH(N39,FlowCalNumber,0),1,1)*P53^INDEX(FlowCalConstB,MATCH(N39,FlowCalNumber,0),1,1)&gt;INDEX(FlowCalLowSetting,MATCH(N39,FlowCalNumber,0),1,1), (INDEX(FlowCalConstA,MATCH(N39,FlowCalNumber,0),1,1)*P53^INDEX(FlowCalConstB,MATCH(N39,FlowCalNumber,0),1,1)&lt;INDEX(FlowCalHighSetting,MATCH(N39,FlowCalNumber,0),1,1))),INDEX(FlowCalConstA,MATCH(N39,FlowCalNumber,0),1,1)*P53^INDEX(FlowCalConstB,MATCH(N39,FlowCalNumber,0),1,1)," ")</f>
        <v>#N/A</v>
      </c>
      <c r="R53" s="33"/>
      <c r="S53" s="242">
        <f t="shared" si="22"/>
        <v>1</v>
      </c>
      <c r="T53" s="241" t="e">
        <f t="shared" ca="1" si="23"/>
        <v>#VALUE!</v>
      </c>
      <c r="U53" s="243" t="e">
        <f ca="1">IF(AND(INDEX(FlowCalConstA,MATCH(R39,FlowCalNumber,0),1,1)*T53^INDEX(FlowCalConstB,MATCH(R39,FlowCalNumber,0),1,1)&gt;INDEX(FlowCalLowSetting,MATCH(R39,FlowCalNumber,0),1,1), (INDEX(FlowCalConstA,MATCH(R39,FlowCalNumber,0),1,1)*T53^INDEX(FlowCalConstB,MATCH(R39,FlowCalNumber,0),1,1)&lt;INDEX(FlowCalHighSetting,MATCH(R39,FlowCalNumber,0),1,1))),INDEX(FlowCalConstA,MATCH(R39,FlowCalNumber,0),1,1)*T53^INDEX(FlowCalConstB,MATCH(R39,FlowCalNumber,0),1,1)," ")</f>
        <v>#N/A</v>
      </c>
      <c r="V53" s="33"/>
      <c r="W53" s="242"/>
      <c r="X53" s="241"/>
      <c r="Y53" s="243"/>
      <c r="Z53" s="33"/>
      <c r="AA53" s="242"/>
      <c r="AB53" s="241"/>
      <c r="AC53" s="243"/>
      <c r="AD53" s="33"/>
      <c r="AE53" s="242"/>
      <c r="AF53" s="241"/>
      <c r="AG53" s="243"/>
      <c r="AH53" s="33"/>
      <c r="AI53" s="242"/>
      <c r="AJ53" s="241"/>
      <c r="AK53" s="244"/>
      <c r="AL53" s="243"/>
      <c r="AM53" s="243"/>
      <c r="AN53" s="243"/>
      <c r="AO53" s="243"/>
      <c r="AP53" s="243"/>
      <c r="AQ53" s="243"/>
      <c r="AR53" s="243"/>
      <c r="AS53" s="243"/>
      <c r="AT53" s="243"/>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U53" s="242"/>
      <c r="BW53" s="243"/>
      <c r="BY53" s="242"/>
      <c r="CA53" s="243"/>
      <c r="CC53" s="242"/>
      <c r="CE53" s="243"/>
      <c r="CG53" s="242"/>
      <c r="CI53" s="243"/>
    </row>
    <row r="54" spans="1:87" s="1215" customFormat="1">
      <c r="A54" s="1222"/>
      <c r="B54" s="1223" t="str">
        <f t="shared" si="16"/>
        <v/>
      </c>
      <c r="C54" s="1210"/>
      <c r="D54" s="1211">
        <f>'1% Wind'!$M$96</f>
        <v>1</v>
      </c>
      <c r="E54" s="1212"/>
      <c r="F54" s="1212"/>
      <c r="G54" s="1213">
        <f ca="1">IF(I39=0.9743,$G53,MAX(G53/D53*D54,2))</f>
        <v>2</v>
      </c>
      <c r="H54" s="1214" t="e">
        <f t="shared" ca="1" si="17"/>
        <v>#VALUE!</v>
      </c>
      <c r="J54" s="1224"/>
      <c r="K54" s="1217">
        <f t="shared" si="18"/>
        <v>1</v>
      </c>
      <c r="L54" s="1218" t="e">
        <f t="shared" ca="1" si="19"/>
        <v>#VALUE!</v>
      </c>
      <c r="M54" s="1219" t="e">
        <f ca="1">IF(AND(INDEX(FlowCalConstA,MATCH(J39,FlowCalNumber,0),1,1)*L54^INDEX(FlowCalConstB,MATCH(J39,FlowCalNumber,0),1,1)&gt;INDEX(FlowCalLowSetting,MATCH(J39,FlowCalNumber,0),1,1), (INDEX(FlowCalConstA,MATCH(J39,FlowCalNumber,0),1,1)*L54^INDEX(FlowCalConstB,MATCH(J39,FlowCalNumber,0),1,1)&lt;INDEX(FlowCalHighSetting,MATCH(J39,FlowCalNumber,0),1,1))),INDEX(FlowCalConstA,MATCH(J39,FlowCalNumber,0),1,1)*L54^INDEX(FlowCalConstB,MATCH(J39,FlowCalNumber,0),1,1)," ")</f>
        <v>#N/A</v>
      </c>
      <c r="N54" s="1224"/>
      <c r="O54" s="1217">
        <f t="shared" si="20"/>
        <v>1</v>
      </c>
      <c r="P54" s="1218" t="e">
        <f t="shared" ca="1" si="21"/>
        <v>#VALUE!</v>
      </c>
      <c r="Q54" s="1219" t="e">
        <f ca="1">IF(AND(INDEX(FlowCalConstA,MATCH(N39,FlowCalNumber,0),1,1)*P54^INDEX(FlowCalConstB,MATCH(N39,FlowCalNumber,0),1,1)&gt;INDEX(FlowCalLowSetting,MATCH(N39,FlowCalNumber,0),1,1), (INDEX(FlowCalConstA,MATCH(N39,FlowCalNumber,0),1,1)*P54^INDEX(FlowCalConstB,MATCH(N39,FlowCalNumber,0),1,1)&lt;INDEX(FlowCalHighSetting,MATCH(N39,FlowCalNumber,0),1,1))),INDEX(FlowCalConstA,MATCH(N39,FlowCalNumber,0),1,1)*P54^INDEX(FlowCalConstB,MATCH(N39,FlowCalNumber,0),1,1)," ")</f>
        <v>#N/A</v>
      </c>
      <c r="R54" s="1224"/>
      <c r="S54" s="1217">
        <f t="shared" si="22"/>
        <v>1</v>
      </c>
      <c r="T54" s="1218" t="e">
        <f t="shared" ca="1" si="23"/>
        <v>#VALUE!</v>
      </c>
      <c r="U54" s="1219" t="e">
        <f ca="1">IF(AND(INDEX(FlowCalConstA,MATCH(R39,FlowCalNumber,0),1,1)*T54^INDEX(FlowCalConstB,MATCH(R39,FlowCalNumber,0),1,1)&gt;INDEX(FlowCalLowSetting,MATCH(R39,FlowCalNumber,0),1,1), (INDEX(FlowCalConstA,MATCH(R39,FlowCalNumber,0),1,1)*T54^INDEX(FlowCalConstB,MATCH(R39,FlowCalNumber,0),1,1)&lt;INDEX(FlowCalHighSetting,MATCH(R39,FlowCalNumber,0),1,1))),INDEX(FlowCalConstA,MATCH(R39,FlowCalNumber,0),1,1)*T54^INDEX(FlowCalConstB,MATCH(R39,FlowCalNumber,0),1,1)," ")</f>
        <v>#N/A</v>
      </c>
      <c r="V54" s="1224"/>
      <c r="W54" s="1217"/>
      <c r="X54" s="1218"/>
      <c r="Y54" s="1219"/>
      <c r="Z54" s="1224"/>
      <c r="AA54" s="1217"/>
      <c r="AB54" s="1218"/>
      <c r="AC54" s="1219"/>
      <c r="AD54" s="1224"/>
      <c r="AE54" s="1217"/>
      <c r="AF54" s="1218"/>
      <c r="AG54" s="1219"/>
      <c r="AH54" s="1224"/>
      <c r="AI54" s="1217"/>
      <c r="AJ54" s="1218"/>
      <c r="AK54" s="1220"/>
      <c r="AL54" s="1219"/>
      <c r="AM54" s="1219"/>
      <c r="AN54" s="1219"/>
      <c r="AO54" s="1219"/>
      <c r="AP54" s="1219"/>
      <c r="AQ54" s="1219"/>
      <c r="AR54" s="1219"/>
      <c r="AS54" s="1219"/>
      <c r="AT54" s="1219"/>
      <c r="AU54" s="1219"/>
      <c r="AV54" s="1219"/>
      <c r="AW54" s="1219"/>
      <c r="AX54" s="1219"/>
      <c r="AY54" s="1219"/>
      <c r="AZ54" s="1219"/>
      <c r="BA54" s="1219"/>
      <c r="BB54" s="1219"/>
      <c r="BC54" s="1219"/>
      <c r="BD54" s="1219"/>
      <c r="BE54" s="1219"/>
      <c r="BF54" s="1219"/>
      <c r="BG54" s="1219"/>
      <c r="BH54" s="1219"/>
      <c r="BI54" s="1219"/>
      <c r="BJ54" s="1219"/>
      <c r="BK54" s="1219"/>
      <c r="BL54" s="1219"/>
      <c r="BM54" s="1219"/>
      <c r="BN54" s="1219"/>
      <c r="BO54" s="1219"/>
      <c r="BP54" s="1219"/>
      <c r="BQ54" s="1219"/>
      <c r="BR54" s="1219"/>
      <c r="BS54" s="1219"/>
      <c r="BU54" s="1217"/>
      <c r="BW54" s="1219"/>
      <c r="BY54" s="1217"/>
      <c r="CA54" s="1219"/>
      <c r="CC54" s="1217"/>
      <c r="CE54" s="1219"/>
      <c r="CG54" s="1217"/>
      <c r="CI54" s="1219"/>
    </row>
    <row r="55" spans="1:87">
      <c r="A55" s="33"/>
      <c r="B55" s="33"/>
      <c r="C55" s="235"/>
      <c r="E55" s="90"/>
      <c r="F55" s="90"/>
      <c r="G55" s="33"/>
      <c r="J55" s="33"/>
      <c r="M55" s="243"/>
      <c r="N55" s="33"/>
      <c r="Q55" s="243"/>
      <c r="R55" s="33"/>
      <c r="U55" s="243"/>
      <c r="V55" s="33"/>
      <c r="Y55" s="243"/>
      <c r="Z55" s="33"/>
      <c r="AC55" s="243"/>
      <c r="AD55" s="33"/>
      <c r="AG55" s="243"/>
      <c r="AH55" s="33"/>
      <c r="AK55" s="244"/>
      <c r="AL55" s="243"/>
      <c r="AM55" s="243"/>
      <c r="AN55" s="243"/>
      <c r="AO55" s="243"/>
      <c r="AP55" s="243"/>
      <c r="AQ55" s="243"/>
      <c r="AR55" s="243"/>
      <c r="AS55" s="243"/>
      <c r="AT55" s="243"/>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W55" s="243"/>
      <c r="CA55" s="243"/>
      <c r="CE55" s="243"/>
      <c r="CI55" s="243"/>
    </row>
    <row r="56" spans="1:87">
      <c r="A56" s="256" t="str">
        <f>IF((RIGHT(A39,1))&lt;&gt;"Z",CHAR(CODE(A39))&amp;CHAR(CODE(RIGHT(A39,1))+1),CHAR(CODE(A39)+1)&amp;"A")</f>
        <v>AC</v>
      </c>
      <c r="B56" s="270" t="str">
        <f>INDEX(SourceID,MATCH($A56,SourceNumber,0),1,1)</f>
        <v>EF-3</v>
      </c>
      <c r="C56" s="354">
        <f>INDEX(SourceExitDiameter,MATCH($A56,SourceNumber,0),1,1)*3.28*12</f>
        <v>23.999999999999996</v>
      </c>
      <c r="D56" s="24" t="str">
        <f>UAnem1percent</f>
        <v>1% Wind</v>
      </c>
      <c r="E56" s="350" t="e">
        <f ca="1">INDIRECT(ADDRESS(53,6,1,,CONCATENATE("TA",$A56)))</f>
        <v>#REF!</v>
      </c>
      <c r="F56" s="625" t="e">
        <f ca="1">(ROUND((INDIRECT(ADDRESS(15,7,1,,CONCATENATE("TA",$A56)))*3.28*12*32),0)&amp;"/32")</f>
        <v>#REF!</v>
      </c>
      <c r="G56" s="125">
        <f ca="1">INDIRECT(ADDRESS(29,7,1,,$A56))</f>
        <v>6.001707317073171</v>
      </c>
      <c r="H56" s="24" t="e">
        <f ca="1">INDIRECT(ADDRESS(19,7,1,,$A56))*100^3</f>
        <v>#VALUE!</v>
      </c>
      <c r="I56" s="941">
        <f ca="1">INDIRECT(ADDRESS(53,7,1,,$A56))</f>
        <v>0.97430000000000005</v>
      </c>
      <c r="J56" s="20" t="str">
        <f ca="1">IF($I56=$I$6,K$16&amp;$G$6&amp;J$6,IF($I56=$I$7,K$16&amp;$G$7&amp;J$7,"Bad"))</f>
        <v>100N2Pick a Tunnel</v>
      </c>
      <c r="K56" t="e">
        <f ca="1">INDEX(FlowCalGasMixture,MATCH(J56,FlowCalNumber,0),1,1)</f>
        <v>#N/A</v>
      </c>
      <c r="M56" s="944" t="e">
        <f ca="1">INDEX(FlowCalDevice,MATCH(J56,FlowCalNumber,0),1,1)</f>
        <v>#N/A</v>
      </c>
      <c r="N56" s="20" t="str">
        <f ca="1">IF($I56=$I$6,O$16&amp;$G$6&amp;N$6,IF($I56=$I$7,O$16&amp;$G$7&amp;N$7,"Bad"))</f>
        <v>100N2Pick a Tunnel</v>
      </c>
      <c r="O56" t="e">
        <f ca="1">INDEX(FlowCalGasMixture,MATCH(N56,FlowCalNumber,0),1,1)</f>
        <v>#N/A</v>
      </c>
      <c r="Q56" s="944" t="e">
        <f ca="1">INDEX(FlowCalDevice,MATCH(N56,FlowCalNumber,0),1,1)</f>
        <v>#N/A</v>
      </c>
      <c r="R56" s="20" t="str">
        <f ca="1">IF($I56=$I$6,S$16&amp;$G$6&amp;R$6,IF($I56=$I$7,S$16&amp;$G$7&amp;R$7,"Bad"))</f>
        <v>100N2Pick a Tunnel</v>
      </c>
      <c r="S56" t="e">
        <f ca="1">INDEX(FlowCalGasMixture,MATCH(R56,FlowCalNumber,0),1,1)</f>
        <v>#N/A</v>
      </c>
      <c r="U56" s="944" t="e">
        <f ca="1">INDEX(FlowCalDevice,MATCH(R56,FlowCalNumber,0),1,1)</f>
        <v>#N/A</v>
      </c>
      <c r="V56" s="20"/>
      <c r="Y56" s="944"/>
      <c r="Z56" s="946"/>
      <c r="AC56" s="944"/>
      <c r="AD56" s="20"/>
      <c r="AG56" s="944"/>
      <c r="AH56" s="946"/>
      <c r="AK56" s="982"/>
      <c r="AL56" s="355"/>
      <c r="AM56" s="355"/>
      <c r="AN56" s="355"/>
      <c r="AO56" s="355"/>
      <c r="AP56" s="355"/>
      <c r="AQ56" s="355"/>
      <c r="AR56" s="355"/>
      <c r="AS56" s="355"/>
      <c r="AT56" s="355"/>
      <c r="AU56" s="355"/>
      <c r="AV56" s="355"/>
      <c r="AW56" s="355"/>
      <c r="AX56" s="355"/>
      <c r="AY56" s="355"/>
      <c r="AZ56" s="355"/>
      <c r="BA56" s="355"/>
      <c r="BB56" s="355"/>
      <c r="BC56" s="355"/>
      <c r="BD56" s="355"/>
      <c r="BE56" s="355"/>
      <c r="BF56" s="355"/>
      <c r="BG56" s="355"/>
      <c r="BH56" s="355"/>
      <c r="BI56" s="355"/>
      <c r="BJ56" s="355"/>
      <c r="BK56" s="355"/>
      <c r="BL56" s="355"/>
      <c r="BM56" s="355"/>
      <c r="BN56" s="355"/>
      <c r="BO56" s="355"/>
      <c r="BP56" s="355"/>
      <c r="BQ56" s="355"/>
      <c r="BR56" s="355"/>
      <c r="BS56" s="355"/>
      <c r="BT56" s="46"/>
      <c r="BU56" s="16"/>
      <c r="BW56" s="355"/>
      <c r="BX56" s="42"/>
      <c r="BY56" s="16"/>
      <c r="CA56" s="355"/>
      <c r="CB56" s="42"/>
      <c r="CC56" s="16"/>
      <c r="CE56" s="355"/>
      <c r="CF56" s="42"/>
      <c r="CG56" s="16"/>
      <c r="CI56" s="355"/>
    </row>
    <row r="57" spans="1:87" s="1215" customFormat="1">
      <c r="A57" s="1222"/>
      <c r="B57" s="1223" t="str">
        <f t="shared" ref="B57:B71" si="24">IF(D57=UAnem1percent,"1% Wind","")</f>
        <v/>
      </c>
      <c r="C57" s="1210"/>
      <c r="D57" s="1211">
        <f>'1% Wind'!$M$82</f>
        <v>27</v>
      </c>
      <c r="E57" s="1212"/>
      <c r="F57" s="1212"/>
      <c r="G57" s="1364">
        <v>2</v>
      </c>
      <c r="H57" s="1214" t="e">
        <f t="shared" ref="H57:H71" ca="1" si="25">H56*(D56/D57)*(G57/G56)</f>
        <v>#VALUE!</v>
      </c>
      <c r="J57" s="1224"/>
      <c r="K57" s="1221">
        <f>K$17/100</f>
        <v>1</v>
      </c>
      <c r="L57" s="1218" t="e">
        <f ca="1">K57*$H57</f>
        <v>#VALUE!</v>
      </c>
      <c r="M57" s="1219" t="e">
        <f ca="1">IF(AND(INDEX(FlowCalConstA,MATCH(J56,FlowCalNumber,0),1,1)*L57^INDEX(FlowCalConstB,MATCH(J56,FlowCalNumber,0),1,1)&gt;INDEX(FlowCalLowSetting,MATCH(J56,FlowCalNumber,0),1,1), (INDEX(FlowCalConstA,MATCH(J56,FlowCalNumber,0),1,1)*L57^INDEX(FlowCalConstB,MATCH(J56,FlowCalNumber,0),1,1)&lt;INDEX(FlowCalHighSetting,MATCH(J56,FlowCalNumber,0),1,1))),INDEX(FlowCalConstA,MATCH(J56,FlowCalNumber,0),1,1)*L57^INDEX(FlowCalConstB,MATCH(J56,FlowCalNumber,0),1,1)," ")</f>
        <v>#N/A</v>
      </c>
      <c r="N57" s="1224"/>
      <c r="O57" s="1221">
        <f>O$17/100</f>
        <v>1</v>
      </c>
      <c r="P57" s="1218" t="e">
        <f ca="1">O57*$H57</f>
        <v>#VALUE!</v>
      </c>
      <c r="Q57" s="1219" t="e">
        <f ca="1">IF(AND(INDEX(FlowCalConstA,MATCH(N56,FlowCalNumber,0),1,1)*P57^INDEX(FlowCalConstB,MATCH(N56,FlowCalNumber,0),1,1)&gt;INDEX(FlowCalLowSetting,MATCH(N56,FlowCalNumber,0),1,1), (INDEX(FlowCalConstA,MATCH(N56,FlowCalNumber,0),1,1)*P57^INDEX(FlowCalConstB,MATCH(N56,FlowCalNumber,0),1,1)&lt;INDEX(FlowCalHighSetting,MATCH(N56,FlowCalNumber,0),1,1))),INDEX(FlowCalConstA,MATCH(N56,FlowCalNumber,0),1,1)*P57^INDEX(FlowCalConstB,MATCH(N56,FlowCalNumber,0),1,1)," ")</f>
        <v>#N/A</v>
      </c>
      <c r="R57" s="1224"/>
      <c r="S57" s="1221">
        <f>S$17/100</f>
        <v>1</v>
      </c>
      <c r="T57" s="1218" t="e">
        <f ca="1">S57*$H57</f>
        <v>#VALUE!</v>
      </c>
      <c r="U57" s="1219" t="e">
        <f ca="1">IF(AND(INDEX(FlowCalConstA,MATCH(R56,FlowCalNumber,0),1,1)*T57^INDEX(FlowCalConstB,MATCH(R56,FlowCalNumber,0),1,1)&gt;INDEX(FlowCalLowSetting,MATCH(R56,FlowCalNumber,0),1,1), (INDEX(FlowCalConstA,MATCH(R56,FlowCalNumber,0),1,1)*T57^INDEX(FlowCalConstB,MATCH(R56,FlowCalNumber,0),1,1)&lt;INDEX(FlowCalHighSetting,MATCH(R56,FlowCalNumber,0),1,1))),INDEX(FlowCalConstA,MATCH(R56,FlowCalNumber,0),1,1)*T57^INDEX(FlowCalConstB,MATCH(R56,FlowCalNumber,0),1,1)," ")</f>
        <v>#N/A</v>
      </c>
      <c r="V57" s="1224"/>
      <c r="W57" s="1221"/>
      <c r="X57" s="1218"/>
      <c r="Y57" s="1219"/>
      <c r="Z57" s="1224"/>
      <c r="AA57" s="1221"/>
      <c r="AB57" s="1218"/>
      <c r="AC57" s="1219"/>
      <c r="AD57" s="1224"/>
      <c r="AE57" s="1221"/>
      <c r="AF57" s="1218"/>
      <c r="AG57" s="1219"/>
      <c r="AH57" s="1224"/>
      <c r="AI57" s="1221"/>
      <c r="AJ57" s="1218"/>
      <c r="AK57" s="1220"/>
      <c r="AL57" s="1219"/>
      <c r="AM57" s="1219"/>
      <c r="AN57" s="1219"/>
      <c r="AO57" s="1219"/>
      <c r="AP57" s="1219"/>
      <c r="AQ57" s="1219"/>
      <c r="AR57" s="1219"/>
      <c r="AS57" s="1219"/>
      <c r="AT57" s="1219"/>
      <c r="AU57" s="1219"/>
      <c r="AV57" s="1219"/>
      <c r="AW57" s="1219"/>
      <c r="AX57" s="1219"/>
      <c r="AY57" s="1219"/>
      <c r="AZ57" s="1219"/>
      <c r="BA57" s="1219"/>
      <c r="BB57" s="1219"/>
      <c r="BC57" s="1219"/>
      <c r="BD57" s="1219"/>
      <c r="BE57" s="1219"/>
      <c r="BF57" s="1219"/>
      <c r="BG57" s="1219"/>
      <c r="BH57" s="1219"/>
      <c r="BI57" s="1219"/>
      <c r="BJ57" s="1219"/>
      <c r="BK57" s="1219"/>
      <c r="BL57" s="1219"/>
      <c r="BM57" s="1219"/>
      <c r="BN57" s="1219"/>
      <c r="BO57" s="1219"/>
      <c r="BP57" s="1219"/>
      <c r="BQ57" s="1219"/>
      <c r="BR57" s="1219"/>
      <c r="BS57" s="1219"/>
      <c r="BU57" s="1225"/>
      <c r="BW57" s="1219"/>
      <c r="BY57" s="1225"/>
      <c r="CA57" s="1219"/>
      <c r="CC57" s="1225"/>
      <c r="CE57" s="1219"/>
      <c r="CG57" s="1221"/>
      <c r="CI57" s="1219"/>
    </row>
    <row r="58" spans="1:87">
      <c r="A58" s="20"/>
      <c r="B58" s="124" t="str">
        <f t="shared" si="24"/>
        <v/>
      </c>
      <c r="C58" s="235"/>
      <c r="D58" s="24">
        <f>'1% Wind'!$M$83</f>
        <v>23.5</v>
      </c>
      <c r="E58" s="90"/>
      <c r="F58" s="90"/>
      <c r="G58" s="79">
        <f ca="1">IF(I56=0.9743,$G57,MAX(G57/D57*D58,2))</f>
        <v>2</v>
      </c>
      <c r="H58" s="121" t="e">
        <f t="shared" ca="1" si="25"/>
        <v>#VALUE!</v>
      </c>
      <c r="J58" s="33"/>
      <c r="K58" s="242">
        <f t="shared" ref="K58:K71" si="26">K57</f>
        <v>1</v>
      </c>
      <c r="L58" s="241" t="e">
        <f t="shared" ref="L58:L71" ca="1" si="27">K58*$H58</f>
        <v>#VALUE!</v>
      </c>
      <c r="M58" s="243" t="e">
        <f ca="1">IF(AND(INDEX(FlowCalConstA,MATCH(J56,FlowCalNumber,0),1,1)*L58^INDEX(FlowCalConstB,MATCH(J56,FlowCalNumber,0),1,1)&gt;INDEX(FlowCalLowSetting,MATCH(J56,FlowCalNumber,0),1,1), (INDEX(FlowCalConstA,MATCH(J56,FlowCalNumber,0),1,1)*L58^INDEX(FlowCalConstB,MATCH(J56,FlowCalNumber,0),1,1)&lt;INDEX(FlowCalHighSetting,MATCH(J56,FlowCalNumber,0),1,1))),INDEX(FlowCalConstA,MATCH(J56,FlowCalNumber,0),1,1)*L58^INDEX(FlowCalConstB,MATCH(J56,FlowCalNumber,0),1,1)," ")</f>
        <v>#N/A</v>
      </c>
      <c r="N58" s="33"/>
      <c r="O58" s="242">
        <f t="shared" ref="O58:O71" si="28">O57</f>
        <v>1</v>
      </c>
      <c r="P58" s="241" t="e">
        <f t="shared" ref="P58:P71" ca="1" si="29">O58*$H58</f>
        <v>#VALUE!</v>
      </c>
      <c r="Q58" s="243" t="e">
        <f ca="1">IF(AND(INDEX(FlowCalConstA,MATCH(N56,FlowCalNumber,0),1,1)*P58^INDEX(FlowCalConstB,MATCH(N56,FlowCalNumber,0),1,1)&gt;INDEX(FlowCalLowSetting,MATCH(N56,FlowCalNumber,0),1,1), (INDEX(FlowCalConstA,MATCH(N56,FlowCalNumber,0),1,1)*P58^INDEX(FlowCalConstB,MATCH(N56,FlowCalNumber,0),1,1)&lt;INDEX(FlowCalHighSetting,MATCH(N56,FlowCalNumber,0),1,1))),INDEX(FlowCalConstA,MATCH(N56,FlowCalNumber,0),1,1)*P58^INDEX(FlowCalConstB,MATCH(N56,FlowCalNumber,0),1,1)," ")</f>
        <v>#N/A</v>
      </c>
      <c r="R58" s="33"/>
      <c r="S58" s="242">
        <f t="shared" ref="S58:S71" si="30">S57</f>
        <v>1</v>
      </c>
      <c r="T58" s="241" t="e">
        <f t="shared" ref="T58:T71" ca="1" si="31">S58*$H58</f>
        <v>#VALUE!</v>
      </c>
      <c r="U58" s="243" t="e">
        <f ca="1">IF(AND(INDEX(FlowCalConstA,MATCH(R56,FlowCalNumber,0),1,1)*T58^INDEX(FlowCalConstB,MATCH(R56,FlowCalNumber,0),1,1)&gt;INDEX(FlowCalLowSetting,MATCH(R56,FlowCalNumber,0),1,1), (INDEX(FlowCalConstA,MATCH(R56,FlowCalNumber,0),1,1)*T58^INDEX(FlowCalConstB,MATCH(R56,FlowCalNumber,0),1,1)&lt;INDEX(FlowCalHighSetting,MATCH(R56,FlowCalNumber,0),1,1))),INDEX(FlowCalConstA,MATCH(R56,FlowCalNumber,0),1,1)*T58^INDEX(FlowCalConstB,MATCH(R56,FlowCalNumber,0),1,1)," ")</f>
        <v>#N/A</v>
      </c>
      <c r="V58" s="33"/>
      <c r="W58" s="242"/>
      <c r="X58" s="241"/>
      <c r="Y58" s="243"/>
      <c r="Z58" s="33"/>
      <c r="AA58" s="242"/>
      <c r="AB58" s="241"/>
      <c r="AC58" s="243"/>
      <c r="AD58" s="33"/>
      <c r="AE58" s="242"/>
      <c r="AF58" s="241"/>
      <c r="AG58" s="243"/>
      <c r="AH58" s="33"/>
      <c r="AI58" s="242"/>
      <c r="AJ58" s="241"/>
      <c r="AK58" s="244"/>
      <c r="AL58" s="243"/>
      <c r="AM58" s="243"/>
      <c r="AN58" s="243"/>
      <c r="AO58" s="243"/>
      <c r="AP58" s="243"/>
      <c r="AQ58" s="243"/>
      <c r="AR58" s="243"/>
      <c r="AS58" s="243"/>
      <c r="AT58" s="243"/>
      <c r="AU58" s="243"/>
      <c r="AV58" s="243"/>
      <c r="AW58" s="243"/>
      <c r="AX58" s="243"/>
      <c r="AY58" s="243"/>
      <c r="AZ58" s="243"/>
      <c r="BA58" s="243"/>
      <c r="BB58" s="243"/>
      <c r="BC58" s="243"/>
      <c r="BD58" s="243"/>
      <c r="BE58" s="243"/>
      <c r="BF58" s="243"/>
      <c r="BG58" s="243"/>
      <c r="BH58" s="243"/>
      <c r="BI58" s="243"/>
      <c r="BJ58" s="243"/>
      <c r="BK58" s="243"/>
      <c r="BL58" s="243"/>
      <c r="BM58" s="243"/>
      <c r="BN58" s="243"/>
      <c r="BO58" s="243"/>
      <c r="BP58" s="243"/>
      <c r="BQ58" s="243"/>
      <c r="BR58" s="243"/>
      <c r="BS58" s="243"/>
      <c r="BU58" s="242"/>
      <c r="BW58" s="243"/>
      <c r="BY58" s="242"/>
      <c r="CA58" s="243"/>
      <c r="CC58" s="242"/>
      <c r="CE58" s="243"/>
      <c r="CG58" s="242"/>
      <c r="CI58" s="243"/>
    </row>
    <row r="59" spans="1:87" s="1215" customFormat="1">
      <c r="A59" s="1222"/>
      <c r="B59" s="1223" t="str">
        <f t="shared" si="24"/>
        <v/>
      </c>
      <c r="C59" s="1210"/>
      <c r="D59" s="1211">
        <f>'1% Wind'!$M$84</f>
        <v>20.5</v>
      </c>
      <c r="E59" s="1212"/>
      <c r="F59" s="1212"/>
      <c r="G59" s="1213">
        <f ca="1">IF(I56=0.9743,$G58,MAX(G58/D58*D59,2))</f>
        <v>2</v>
      </c>
      <c r="H59" s="1214" t="e">
        <f t="shared" ca="1" si="25"/>
        <v>#VALUE!</v>
      </c>
      <c r="J59" s="1224"/>
      <c r="K59" s="1217">
        <f t="shared" si="26"/>
        <v>1</v>
      </c>
      <c r="L59" s="1218" t="e">
        <f t="shared" ca="1" si="27"/>
        <v>#VALUE!</v>
      </c>
      <c r="M59" s="1219" t="e">
        <f ca="1">IF(AND(INDEX(FlowCalConstA,MATCH(J56,FlowCalNumber,0),1,1)*L59^INDEX(FlowCalConstB,MATCH(J56,FlowCalNumber,0),1,1)&gt;INDEX(FlowCalLowSetting,MATCH(J56,FlowCalNumber,0),1,1), (INDEX(FlowCalConstA,MATCH(J56,FlowCalNumber,0),1,1)*L59^INDEX(FlowCalConstB,MATCH(J56,FlowCalNumber,0),1,1)&lt;INDEX(FlowCalHighSetting,MATCH(J56,FlowCalNumber,0),1,1))),INDEX(FlowCalConstA,MATCH(J56,FlowCalNumber,0),1,1)*L59^INDEX(FlowCalConstB,MATCH(J56,FlowCalNumber,0),1,1)," ")</f>
        <v>#N/A</v>
      </c>
      <c r="N59" s="1224"/>
      <c r="O59" s="1217">
        <f t="shared" si="28"/>
        <v>1</v>
      </c>
      <c r="P59" s="1218" t="e">
        <f t="shared" ca="1" si="29"/>
        <v>#VALUE!</v>
      </c>
      <c r="Q59" s="1219" t="e">
        <f ca="1">IF(AND(INDEX(FlowCalConstA,MATCH(N56,FlowCalNumber,0),1,1)*P59^INDEX(FlowCalConstB,MATCH(N56,FlowCalNumber,0),1,1)&gt;INDEX(FlowCalLowSetting,MATCH(N56,FlowCalNumber,0),1,1), (INDEX(FlowCalConstA,MATCH(N56,FlowCalNumber,0),1,1)*P59^INDEX(FlowCalConstB,MATCH(N56,FlowCalNumber,0),1,1)&lt;INDEX(FlowCalHighSetting,MATCH(N56,FlowCalNumber,0),1,1))),INDEX(FlowCalConstA,MATCH(N56,FlowCalNumber,0),1,1)*P59^INDEX(FlowCalConstB,MATCH(N56,FlowCalNumber,0),1,1)," ")</f>
        <v>#N/A</v>
      </c>
      <c r="R59" s="1224"/>
      <c r="S59" s="1217">
        <f t="shared" si="30"/>
        <v>1</v>
      </c>
      <c r="T59" s="1218" t="e">
        <f t="shared" ca="1" si="31"/>
        <v>#VALUE!</v>
      </c>
      <c r="U59" s="1219" t="e">
        <f ca="1">IF(AND(INDEX(FlowCalConstA,MATCH(R56,FlowCalNumber,0),1,1)*T59^INDEX(FlowCalConstB,MATCH(R56,FlowCalNumber,0),1,1)&gt;INDEX(FlowCalLowSetting,MATCH(R56,FlowCalNumber,0),1,1), (INDEX(FlowCalConstA,MATCH(R56,FlowCalNumber,0),1,1)*T59^INDEX(FlowCalConstB,MATCH(R56,FlowCalNumber,0),1,1)&lt;INDEX(FlowCalHighSetting,MATCH(R56,FlowCalNumber,0),1,1))),INDEX(FlowCalConstA,MATCH(R56,FlowCalNumber,0),1,1)*T59^INDEX(FlowCalConstB,MATCH(R56,FlowCalNumber,0),1,1)," ")</f>
        <v>#N/A</v>
      </c>
      <c r="V59" s="1224"/>
      <c r="W59" s="1217"/>
      <c r="X59" s="1218"/>
      <c r="Y59" s="1219"/>
      <c r="Z59" s="1224"/>
      <c r="AA59" s="1217"/>
      <c r="AB59" s="1218"/>
      <c r="AC59" s="1219"/>
      <c r="AD59" s="1224"/>
      <c r="AE59" s="1217"/>
      <c r="AF59" s="1218"/>
      <c r="AG59" s="1219"/>
      <c r="AH59" s="1224"/>
      <c r="AI59" s="1217"/>
      <c r="AJ59" s="1218"/>
      <c r="AK59" s="1220"/>
      <c r="AL59" s="1219"/>
      <c r="AM59" s="1219"/>
      <c r="AN59" s="1219"/>
      <c r="AO59" s="1219"/>
      <c r="AP59" s="1219"/>
      <c r="AQ59" s="1219"/>
      <c r="AR59" s="1219"/>
      <c r="AS59" s="1219"/>
      <c r="AT59" s="1219"/>
      <c r="AU59" s="1219"/>
      <c r="AV59" s="1219"/>
      <c r="AW59" s="1219"/>
      <c r="AX59" s="1219"/>
      <c r="AY59" s="1219"/>
      <c r="AZ59" s="1219"/>
      <c r="BA59" s="1219"/>
      <c r="BB59" s="1219"/>
      <c r="BC59" s="1219"/>
      <c r="BD59" s="1219"/>
      <c r="BE59" s="1219"/>
      <c r="BF59" s="1219"/>
      <c r="BG59" s="1219"/>
      <c r="BH59" s="1219"/>
      <c r="BI59" s="1219"/>
      <c r="BJ59" s="1219"/>
      <c r="BK59" s="1219"/>
      <c r="BL59" s="1219"/>
      <c r="BM59" s="1219"/>
      <c r="BN59" s="1219"/>
      <c r="BO59" s="1219"/>
      <c r="BP59" s="1219"/>
      <c r="BQ59" s="1219"/>
      <c r="BR59" s="1219"/>
      <c r="BS59" s="1219"/>
      <c r="BU59" s="1217"/>
      <c r="BW59" s="1219"/>
      <c r="BY59" s="1217"/>
      <c r="CA59" s="1219"/>
      <c r="CC59" s="1217"/>
      <c r="CE59" s="1219"/>
      <c r="CG59" s="1217"/>
      <c r="CI59" s="1219"/>
    </row>
    <row r="60" spans="1:87">
      <c r="A60" s="20"/>
      <c r="B60" s="124" t="str">
        <f t="shared" si="24"/>
        <v/>
      </c>
      <c r="C60" s="235"/>
      <c r="D60" s="24">
        <f>'1% Wind'!$M$85</f>
        <v>17.8</v>
      </c>
      <c r="E60" s="90"/>
      <c r="F60" s="90"/>
      <c r="G60" s="79">
        <f ca="1">IF(I56=0.9743,$G59,MAX(G59/D59*D60,2))</f>
        <v>2</v>
      </c>
      <c r="H60" s="121" t="e">
        <f t="shared" ca="1" si="25"/>
        <v>#VALUE!</v>
      </c>
      <c r="J60" s="33"/>
      <c r="K60" s="242">
        <f t="shared" si="26"/>
        <v>1</v>
      </c>
      <c r="L60" s="241" t="e">
        <f t="shared" ca="1" si="27"/>
        <v>#VALUE!</v>
      </c>
      <c r="M60" s="243" t="e">
        <f ca="1">IF(AND(INDEX(FlowCalConstA,MATCH(J56,FlowCalNumber,0),1,1)*L60^INDEX(FlowCalConstB,MATCH(J56,FlowCalNumber,0),1,1)&gt;INDEX(FlowCalLowSetting,MATCH(J56,FlowCalNumber,0),1,1), (INDEX(FlowCalConstA,MATCH(J56,FlowCalNumber,0),1,1)*L60^INDEX(FlowCalConstB,MATCH(J56,FlowCalNumber,0),1,1)&lt;INDEX(FlowCalHighSetting,MATCH(J56,FlowCalNumber,0),1,1))),INDEX(FlowCalConstA,MATCH(J56,FlowCalNumber,0),1,1)*L60^INDEX(FlowCalConstB,MATCH(J56,FlowCalNumber,0),1,1)," ")</f>
        <v>#N/A</v>
      </c>
      <c r="N60" s="33"/>
      <c r="O60" s="242">
        <f t="shared" si="28"/>
        <v>1</v>
      </c>
      <c r="P60" s="241" t="e">
        <f t="shared" ca="1" si="29"/>
        <v>#VALUE!</v>
      </c>
      <c r="Q60" s="243" t="e">
        <f ca="1">IF(AND(INDEX(FlowCalConstA,MATCH(N56,FlowCalNumber,0),1,1)*P60^INDEX(FlowCalConstB,MATCH(N56,FlowCalNumber,0),1,1)&gt;INDEX(FlowCalLowSetting,MATCH(N56,FlowCalNumber,0),1,1), (INDEX(FlowCalConstA,MATCH(N56,FlowCalNumber,0),1,1)*P60^INDEX(FlowCalConstB,MATCH(N56,FlowCalNumber,0),1,1)&lt;INDEX(FlowCalHighSetting,MATCH(N56,FlowCalNumber,0),1,1))),INDEX(FlowCalConstA,MATCH(N56,FlowCalNumber,0),1,1)*P60^INDEX(FlowCalConstB,MATCH(N56,FlowCalNumber,0),1,1)," ")</f>
        <v>#N/A</v>
      </c>
      <c r="R60" s="33"/>
      <c r="S60" s="242">
        <f t="shared" si="30"/>
        <v>1</v>
      </c>
      <c r="T60" s="241" t="e">
        <f t="shared" ca="1" si="31"/>
        <v>#VALUE!</v>
      </c>
      <c r="U60" s="243" t="e">
        <f ca="1">IF(AND(INDEX(FlowCalConstA,MATCH(R56,FlowCalNumber,0),1,1)*T60^INDEX(FlowCalConstB,MATCH(R56,FlowCalNumber,0),1,1)&gt;INDEX(FlowCalLowSetting,MATCH(R56,FlowCalNumber,0),1,1), (INDEX(FlowCalConstA,MATCH(R56,FlowCalNumber,0),1,1)*T60^INDEX(FlowCalConstB,MATCH(R56,FlowCalNumber,0),1,1)&lt;INDEX(FlowCalHighSetting,MATCH(R56,FlowCalNumber,0),1,1))),INDEX(FlowCalConstA,MATCH(R56,FlowCalNumber,0),1,1)*T60^INDEX(FlowCalConstB,MATCH(R56,FlowCalNumber,0),1,1)," ")</f>
        <v>#N/A</v>
      </c>
      <c r="V60" s="33"/>
      <c r="W60" s="242"/>
      <c r="X60" s="241"/>
      <c r="Y60" s="243"/>
      <c r="Z60" s="33"/>
      <c r="AA60" s="242"/>
      <c r="AB60" s="241"/>
      <c r="AC60" s="243"/>
      <c r="AD60" s="33"/>
      <c r="AE60" s="242"/>
      <c r="AF60" s="241"/>
      <c r="AG60" s="243"/>
      <c r="AH60" s="33"/>
      <c r="AI60" s="242"/>
      <c r="AJ60" s="241"/>
      <c r="AK60" s="244"/>
      <c r="AL60" s="243"/>
      <c r="AM60" s="243"/>
      <c r="AN60" s="243"/>
      <c r="AO60" s="243"/>
      <c r="AP60" s="243"/>
      <c r="AQ60" s="243"/>
      <c r="AR60" s="243"/>
      <c r="AS60" s="243"/>
      <c r="AT60" s="243"/>
      <c r="AU60" s="243"/>
      <c r="AV60" s="243"/>
      <c r="AW60" s="243"/>
      <c r="AX60" s="243"/>
      <c r="AY60" s="243"/>
      <c r="AZ60" s="243"/>
      <c r="BA60" s="243"/>
      <c r="BB60" s="243"/>
      <c r="BC60" s="243"/>
      <c r="BD60" s="243"/>
      <c r="BE60" s="243"/>
      <c r="BF60" s="243"/>
      <c r="BG60" s="243"/>
      <c r="BH60" s="243"/>
      <c r="BI60" s="243"/>
      <c r="BJ60" s="243"/>
      <c r="BK60" s="243"/>
      <c r="BL60" s="243"/>
      <c r="BM60" s="243"/>
      <c r="BN60" s="243"/>
      <c r="BO60" s="243"/>
      <c r="BP60" s="243"/>
      <c r="BQ60" s="243"/>
      <c r="BR60" s="243"/>
      <c r="BS60" s="243"/>
      <c r="BU60" s="242"/>
      <c r="BW60" s="243"/>
      <c r="BY60" s="242"/>
      <c r="CA60" s="243"/>
      <c r="CC60" s="242"/>
      <c r="CE60" s="243"/>
      <c r="CG60" s="242"/>
      <c r="CI60" s="243"/>
    </row>
    <row r="61" spans="1:87" s="1215" customFormat="1">
      <c r="A61" s="1222"/>
      <c r="B61" s="1223" t="str">
        <f t="shared" si="24"/>
        <v/>
      </c>
      <c r="C61" s="1210"/>
      <c r="D61" s="1211">
        <f>'1% Wind'!$M$86</f>
        <v>15.5</v>
      </c>
      <c r="E61" s="1212"/>
      <c r="F61" s="1212"/>
      <c r="G61" s="1213">
        <f ca="1">IF(I56=0.9743,$G60,MAX(G60/D60*D61,2))</f>
        <v>2</v>
      </c>
      <c r="H61" s="1214" t="e">
        <f t="shared" ca="1" si="25"/>
        <v>#VALUE!</v>
      </c>
      <c r="J61" s="1224"/>
      <c r="K61" s="1217">
        <f t="shared" si="26"/>
        <v>1</v>
      </c>
      <c r="L61" s="1218" t="e">
        <f t="shared" ca="1" si="27"/>
        <v>#VALUE!</v>
      </c>
      <c r="M61" s="1219" t="e">
        <f ca="1">IF(AND(INDEX(FlowCalConstA,MATCH(J56,FlowCalNumber,0),1,1)*L61^INDEX(FlowCalConstB,MATCH(J56,FlowCalNumber,0),1,1)&gt;INDEX(FlowCalLowSetting,MATCH(J56,FlowCalNumber,0),1,1), (INDEX(FlowCalConstA,MATCH(J56,FlowCalNumber,0),1,1)*L61^INDEX(FlowCalConstB,MATCH(J56,FlowCalNumber,0),1,1)&lt;INDEX(FlowCalHighSetting,MATCH(J56,FlowCalNumber,0),1,1))),INDEX(FlowCalConstA,MATCH(J56,FlowCalNumber,0),1,1)*L61^INDEX(FlowCalConstB,MATCH(J56,FlowCalNumber,0),1,1)," ")</f>
        <v>#N/A</v>
      </c>
      <c r="N61" s="1224"/>
      <c r="O61" s="1217">
        <f t="shared" si="28"/>
        <v>1</v>
      </c>
      <c r="P61" s="1218" t="e">
        <f t="shared" ca="1" si="29"/>
        <v>#VALUE!</v>
      </c>
      <c r="Q61" s="1219" t="e">
        <f ca="1">IF(AND(INDEX(FlowCalConstA,MATCH(N56,FlowCalNumber,0),1,1)*P61^INDEX(FlowCalConstB,MATCH(N56,FlowCalNumber,0),1,1)&gt;INDEX(FlowCalLowSetting,MATCH(N56,FlowCalNumber,0),1,1), (INDEX(FlowCalConstA,MATCH(N56,FlowCalNumber,0),1,1)*P61^INDEX(FlowCalConstB,MATCH(N56,FlowCalNumber,0),1,1)&lt;INDEX(FlowCalHighSetting,MATCH(N56,FlowCalNumber,0),1,1))),INDEX(FlowCalConstA,MATCH(N56,FlowCalNumber,0),1,1)*P61^INDEX(FlowCalConstB,MATCH(N56,FlowCalNumber,0),1,1)," ")</f>
        <v>#N/A</v>
      </c>
      <c r="R61" s="1224"/>
      <c r="S61" s="1217">
        <f t="shared" si="30"/>
        <v>1</v>
      </c>
      <c r="T61" s="1218" t="e">
        <f t="shared" ca="1" si="31"/>
        <v>#VALUE!</v>
      </c>
      <c r="U61" s="1219" t="e">
        <f ca="1">IF(AND(INDEX(FlowCalConstA,MATCH(R56,FlowCalNumber,0),1,1)*T61^INDEX(FlowCalConstB,MATCH(R56,FlowCalNumber,0),1,1)&gt;INDEX(FlowCalLowSetting,MATCH(R56,FlowCalNumber,0),1,1), (INDEX(FlowCalConstA,MATCH(R56,FlowCalNumber,0),1,1)*T61^INDEX(FlowCalConstB,MATCH(R56,FlowCalNumber,0),1,1)&lt;INDEX(FlowCalHighSetting,MATCH(R56,FlowCalNumber,0),1,1))),INDEX(FlowCalConstA,MATCH(R56,FlowCalNumber,0),1,1)*T61^INDEX(FlowCalConstB,MATCH(R56,FlowCalNumber,0),1,1)," ")</f>
        <v>#N/A</v>
      </c>
      <c r="V61" s="1224"/>
      <c r="W61" s="1217"/>
      <c r="X61" s="1218"/>
      <c r="Y61" s="1219"/>
      <c r="Z61" s="1224"/>
      <c r="AA61" s="1217"/>
      <c r="AB61" s="1218"/>
      <c r="AC61" s="1219"/>
      <c r="AD61" s="1224"/>
      <c r="AE61" s="1217"/>
      <c r="AF61" s="1218"/>
      <c r="AG61" s="1219"/>
      <c r="AH61" s="1224"/>
      <c r="AI61" s="1217"/>
      <c r="AJ61" s="1218"/>
      <c r="AK61" s="1220"/>
      <c r="AL61" s="1219"/>
      <c r="AM61" s="1219"/>
      <c r="AN61" s="1219"/>
      <c r="AO61" s="1219"/>
      <c r="AP61" s="1219"/>
      <c r="AQ61" s="1219"/>
      <c r="AR61" s="1219"/>
      <c r="AS61" s="1219"/>
      <c r="AT61" s="1219"/>
      <c r="AU61" s="1219"/>
      <c r="AV61" s="1219"/>
      <c r="AW61" s="1219"/>
      <c r="AX61" s="1219"/>
      <c r="AY61" s="1219"/>
      <c r="AZ61" s="1219"/>
      <c r="BA61" s="1219"/>
      <c r="BB61" s="1219"/>
      <c r="BC61" s="1219"/>
      <c r="BD61" s="1219"/>
      <c r="BE61" s="1219"/>
      <c r="BF61" s="1219"/>
      <c r="BG61" s="1219"/>
      <c r="BH61" s="1219"/>
      <c r="BI61" s="1219"/>
      <c r="BJ61" s="1219"/>
      <c r="BK61" s="1219"/>
      <c r="BL61" s="1219"/>
      <c r="BM61" s="1219"/>
      <c r="BN61" s="1219"/>
      <c r="BO61" s="1219"/>
      <c r="BP61" s="1219"/>
      <c r="BQ61" s="1219"/>
      <c r="BR61" s="1219"/>
      <c r="BS61" s="1219"/>
      <c r="BU61" s="1217"/>
      <c r="BW61" s="1219"/>
      <c r="BY61" s="1217"/>
      <c r="CA61" s="1219"/>
      <c r="CC61" s="1217"/>
      <c r="CE61" s="1219"/>
      <c r="CG61" s="1217"/>
      <c r="CI61" s="1219"/>
    </row>
    <row r="62" spans="1:87">
      <c r="A62" s="20"/>
      <c r="B62" s="124" t="str">
        <f t="shared" si="24"/>
        <v/>
      </c>
      <c r="C62" s="235"/>
      <c r="D62" s="24">
        <f>'1% Wind'!$M$87</f>
        <v>13.5</v>
      </c>
      <c r="E62" s="90"/>
      <c r="F62" s="90"/>
      <c r="G62" s="79">
        <f ca="1">IF(I56=0.9743,$G61,MAX(G61/D61*D62,2))</f>
        <v>2</v>
      </c>
      <c r="H62" s="121" t="e">
        <f t="shared" ca="1" si="25"/>
        <v>#VALUE!</v>
      </c>
      <c r="J62" s="33"/>
      <c r="K62" s="242">
        <f t="shared" si="26"/>
        <v>1</v>
      </c>
      <c r="L62" s="241" t="e">
        <f t="shared" ca="1" si="27"/>
        <v>#VALUE!</v>
      </c>
      <c r="M62" s="243" t="e">
        <f ca="1">IF(AND(INDEX(FlowCalConstA,MATCH(J56,FlowCalNumber,0),1,1)*L62^INDEX(FlowCalConstB,MATCH(J56,FlowCalNumber,0),1,1)&gt;INDEX(FlowCalLowSetting,MATCH(J56,FlowCalNumber,0),1,1), (INDEX(FlowCalConstA,MATCH(J56,FlowCalNumber,0),1,1)*L62^INDEX(FlowCalConstB,MATCH(J56,FlowCalNumber,0),1,1)&lt;INDEX(FlowCalHighSetting,MATCH(J56,FlowCalNumber,0),1,1))),INDEX(FlowCalConstA,MATCH(J56,FlowCalNumber,0),1,1)*L62^INDEX(FlowCalConstB,MATCH(J56,FlowCalNumber,0),1,1)," ")</f>
        <v>#N/A</v>
      </c>
      <c r="N62" s="33"/>
      <c r="O62" s="242">
        <f t="shared" si="28"/>
        <v>1</v>
      </c>
      <c r="P62" s="241" t="e">
        <f t="shared" ca="1" si="29"/>
        <v>#VALUE!</v>
      </c>
      <c r="Q62" s="243" t="e">
        <f ca="1">IF(AND(INDEX(FlowCalConstA,MATCH(N56,FlowCalNumber,0),1,1)*P62^INDEX(FlowCalConstB,MATCH(N56,FlowCalNumber,0),1,1)&gt;INDEX(FlowCalLowSetting,MATCH(N56,FlowCalNumber,0),1,1), (INDEX(FlowCalConstA,MATCH(N56,FlowCalNumber,0),1,1)*P62^INDEX(FlowCalConstB,MATCH(N56,FlowCalNumber,0),1,1)&lt;INDEX(FlowCalHighSetting,MATCH(N56,FlowCalNumber,0),1,1))),INDEX(FlowCalConstA,MATCH(N56,FlowCalNumber,0),1,1)*P62^INDEX(FlowCalConstB,MATCH(N56,FlowCalNumber,0),1,1)," ")</f>
        <v>#N/A</v>
      </c>
      <c r="R62" s="33"/>
      <c r="S62" s="242">
        <f t="shared" si="30"/>
        <v>1</v>
      </c>
      <c r="T62" s="241" t="e">
        <f t="shared" ca="1" si="31"/>
        <v>#VALUE!</v>
      </c>
      <c r="U62" s="243" t="e">
        <f ca="1">IF(AND(INDEX(FlowCalConstA,MATCH(R56,FlowCalNumber,0),1,1)*T62^INDEX(FlowCalConstB,MATCH(R56,FlowCalNumber,0),1,1)&gt;INDEX(FlowCalLowSetting,MATCH(R56,FlowCalNumber,0),1,1), (INDEX(FlowCalConstA,MATCH(R56,FlowCalNumber,0),1,1)*T62^INDEX(FlowCalConstB,MATCH(R56,FlowCalNumber,0),1,1)&lt;INDEX(FlowCalHighSetting,MATCH(R56,FlowCalNumber,0),1,1))),INDEX(FlowCalConstA,MATCH(R56,FlowCalNumber,0),1,1)*T62^INDEX(FlowCalConstB,MATCH(R56,FlowCalNumber,0),1,1)," ")</f>
        <v>#N/A</v>
      </c>
      <c r="V62" s="33"/>
      <c r="W62" s="242"/>
      <c r="X62" s="241"/>
      <c r="Y62" s="243"/>
      <c r="Z62" s="33"/>
      <c r="AA62" s="242"/>
      <c r="AB62" s="241"/>
      <c r="AC62" s="243"/>
      <c r="AD62" s="33"/>
      <c r="AE62" s="242"/>
      <c r="AF62" s="241"/>
      <c r="AG62" s="243"/>
      <c r="AH62" s="33"/>
      <c r="AI62" s="242"/>
      <c r="AJ62" s="241"/>
      <c r="AK62" s="244"/>
      <c r="AL62" s="243"/>
      <c r="AM62" s="243"/>
      <c r="AN62" s="243"/>
      <c r="AO62" s="243"/>
      <c r="AP62" s="243"/>
      <c r="AQ62" s="243"/>
      <c r="AR62" s="243"/>
      <c r="AS62" s="243"/>
      <c r="AT62" s="243"/>
      <c r="AU62" s="243"/>
      <c r="AV62" s="243"/>
      <c r="AW62" s="243"/>
      <c r="AX62" s="243"/>
      <c r="AY62" s="243"/>
      <c r="AZ62" s="243"/>
      <c r="BA62" s="243"/>
      <c r="BB62" s="243"/>
      <c r="BC62" s="243"/>
      <c r="BD62" s="243"/>
      <c r="BE62" s="243"/>
      <c r="BF62" s="243"/>
      <c r="BG62" s="243"/>
      <c r="BH62" s="243"/>
      <c r="BI62" s="243"/>
      <c r="BJ62" s="243"/>
      <c r="BK62" s="243"/>
      <c r="BL62" s="243"/>
      <c r="BM62" s="243"/>
      <c r="BN62" s="243"/>
      <c r="BO62" s="243"/>
      <c r="BP62" s="243"/>
      <c r="BQ62" s="243"/>
      <c r="BR62" s="243"/>
      <c r="BS62" s="243"/>
      <c r="BU62" s="242"/>
      <c r="BW62" s="243"/>
      <c r="BY62" s="242"/>
      <c r="CA62" s="243"/>
      <c r="CC62" s="242"/>
      <c r="CE62" s="243"/>
      <c r="CG62" s="242"/>
      <c r="CI62" s="243"/>
    </row>
    <row r="63" spans="1:87" s="1215" customFormat="1">
      <c r="A63" s="1222"/>
      <c r="B63" s="1223" t="str">
        <f t="shared" si="24"/>
        <v/>
      </c>
      <c r="C63" s="1210"/>
      <c r="D63" s="1211">
        <f>'1% Wind'!$M$88</f>
        <v>10.1</v>
      </c>
      <c r="E63" s="1212"/>
      <c r="F63" s="1212"/>
      <c r="G63" s="1213">
        <f ca="1">IF(I56=0.9743,$G62,MAX(G62/D62*D63,2))</f>
        <v>2</v>
      </c>
      <c r="H63" s="1214" t="e">
        <f t="shared" ca="1" si="25"/>
        <v>#VALUE!</v>
      </c>
      <c r="J63" s="1224"/>
      <c r="K63" s="1217">
        <f t="shared" si="26"/>
        <v>1</v>
      </c>
      <c r="L63" s="1218" t="e">
        <f t="shared" ca="1" si="27"/>
        <v>#VALUE!</v>
      </c>
      <c r="M63" s="1219" t="e">
        <f ca="1">IF(AND(INDEX(FlowCalConstA,MATCH(J56,FlowCalNumber,0),1,1)*L63^INDEX(FlowCalConstB,MATCH(J56,FlowCalNumber,0),1,1)&gt;INDEX(FlowCalLowSetting,MATCH(J56,FlowCalNumber,0),1,1), (INDEX(FlowCalConstA,MATCH(J56,FlowCalNumber,0),1,1)*L63^INDEX(FlowCalConstB,MATCH(J56,FlowCalNumber,0),1,1)&lt;INDEX(FlowCalHighSetting,MATCH(J56,FlowCalNumber,0),1,1))),INDEX(FlowCalConstA,MATCH(J56,FlowCalNumber,0),1,1)*L63^INDEX(FlowCalConstB,MATCH(J56,FlowCalNumber,0),1,1)," ")</f>
        <v>#N/A</v>
      </c>
      <c r="N63" s="1224"/>
      <c r="O63" s="1217">
        <f t="shared" si="28"/>
        <v>1</v>
      </c>
      <c r="P63" s="1218" t="e">
        <f t="shared" ca="1" si="29"/>
        <v>#VALUE!</v>
      </c>
      <c r="Q63" s="1219" t="e">
        <f ca="1">IF(AND(INDEX(FlowCalConstA,MATCH(N56,FlowCalNumber,0),1,1)*P63^INDEX(FlowCalConstB,MATCH(N56,FlowCalNumber,0),1,1)&gt;INDEX(FlowCalLowSetting,MATCH(N56,FlowCalNumber,0),1,1), (INDEX(FlowCalConstA,MATCH(N56,FlowCalNumber,0),1,1)*P63^INDEX(FlowCalConstB,MATCH(N56,FlowCalNumber,0),1,1)&lt;INDEX(FlowCalHighSetting,MATCH(N56,FlowCalNumber,0),1,1))),INDEX(FlowCalConstA,MATCH(N56,FlowCalNumber,0),1,1)*P63^INDEX(FlowCalConstB,MATCH(N56,FlowCalNumber,0),1,1)," ")</f>
        <v>#N/A</v>
      </c>
      <c r="R63" s="1224"/>
      <c r="S63" s="1217">
        <f t="shared" si="30"/>
        <v>1</v>
      </c>
      <c r="T63" s="1218" t="e">
        <f t="shared" ca="1" si="31"/>
        <v>#VALUE!</v>
      </c>
      <c r="U63" s="1219" t="e">
        <f ca="1">IF(AND(INDEX(FlowCalConstA,MATCH(R56,FlowCalNumber,0),1,1)*T63^INDEX(FlowCalConstB,MATCH(R56,FlowCalNumber,0),1,1)&gt;INDEX(FlowCalLowSetting,MATCH(R56,FlowCalNumber,0),1,1), (INDEX(FlowCalConstA,MATCH(R56,FlowCalNumber,0),1,1)*T63^INDEX(FlowCalConstB,MATCH(R56,FlowCalNumber,0),1,1)&lt;INDEX(FlowCalHighSetting,MATCH(R56,FlowCalNumber,0),1,1))),INDEX(FlowCalConstA,MATCH(R56,FlowCalNumber,0),1,1)*T63^INDEX(FlowCalConstB,MATCH(R56,FlowCalNumber,0),1,1)," ")</f>
        <v>#N/A</v>
      </c>
      <c r="V63" s="1224"/>
      <c r="W63" s="1217"/>
      <c r="X63" s="1218"/>
      <c r="Y63" s="1219"/>
      <c r="Z63" s="1224"/>
      <c r="AA63" s="1217"/>
      <c r="AB63" s="1218"/>
      <c r="AC63" s="1219"/>
      <c r="AD63" s="1224"/>
      <c r="AE63" s="1217"/>
      <c r="AF63" s="1218"/>
      <c r="AG63" s="1219"/>
      <c r="AH63" s="1224"/>
      <c r="AI63" s="1217"/>
      <c r="AJ63" s="1218"/>
      <c r="AK63" s="1220"/>
      <c r="AL63" s="1219"/>
      <c r="AM63" s="1219"/>
      <c r="AN63" s="1219"/>
      <c r="AO63" s="1219"/>
      <c r="AP63" s="1219"/>
      <c r="AQ63" s="1219"/>
      <c r="AR63" s="1219"/>
      <c r="AS63" s="1219"/>
      <c r="AT63" s="1219"/>
      <c r="AU63" s="1219"/>
      <c r="AV63" s="1219"/>
      <c r="AW63" s="1219"/>
      <c r="AX63" s="1219"/>
      <c r="AY63" s="1219"/>
      <c r="AZ63" s="1219"/>
      <c r="BA63" s="1219"/>
      <c r="BB63" s="1219"/>
      <c r="BC63" s="1219"/>
      <c r="BD63" s="1219"/>
      <c r="BE63" s="1219"/>
      <c r="BF63" s="1219"/>
      <c r="BG63" s="1219"/>
      <c r="BH63" s="1219"/>
      <c r="BI63" s="1219"/>
      <c r="BJ63" s="1219"/>
      <c r="BK63" s="1219"/>
      <c r="BL63" s="1219"/>
      <c r="BM63" s="1219"/>
      <c r="BN63" s="1219"/>
      <c r="BO63" s="1219"/>
      <c r="BP63" s="1219"/>
      <c r="BQ63" s="1219"/>
      <c r="BR63" s="1219"/>
      <c r="BS63" s="1219"/>
      <c r="BU63" s="1217"/>
      <c r="BW63" s="1219"/>
      <c r="BY63" s="1217"/>
      <c r="CA63" s="1219"/>
      <c r="CC63" s="1217"/>
      <c r="CE63" s="1219"/>
      <c r="CG63" s="1217"/>
      <c r="CI63" s="1219"/>
    </row>
    <row r="64" spans="1:87">
      <c r="A64" s="20"/>
      <c r="B64" s="124" t="str">
        <f t="shared" si="24"/>
        <v/>
      </c>
      <c r="C64" s="235"/>
      <c r="D64" s="24">
        <f>'1% Wind'!$M$89</f>
        <v>7.6</v>
      </c>
      <c r="E64" s="90"/>
      <c r="F64" s="90"/>
      <c r="G64" s="79">
        <f ca="1">IF(I56=0.9743,$G63,MAX(G63/D63*D64,2))</f>
        <v>2</v>
      </c>
      <c r="H64" s="121" t="e">
        <f t="shared" ca="1" si="25"/>
        <v>#VALUE!</v>
      </c>
      <c r="J64" s="33"/>
      <c r="K64" s="242">
        <f t="shared" si="26"/>
        <v>1</v>
      </c>
      <c r="L64" s="241" t="e">
        <f t="shared" ca="1" si="27"/>
        <v>#VALUE!</v>
      </c>
      <c r="M64" s="243" t="e">
        <f ca="1">IF(AND(INDEX(FlowCalConstA,MATCH(J56,FlowCalNumber,0),1,1)*L64^INDEX(FlowCalConstB,MATCH(J56,FlowCalNumber,0),1,1)&gt;INDEX(FlowCalLowSetting,MATCH(J56,FlowCalNumber,0),1,1), (INDEX(FlowCalConstA,MATCH(J56,FlowCalNumber,0),1,1)*L64^INDEX(FlowCalConstB,MATCH(J56,FlowCalNumber,0),1,1)&lt;INDEX(FlowCalHighSetting,MATCH(J56,FlowCalNumber,0),1,1))),INDEX(FlowCalConstA,MATCH(J56,FlowCalNumber,0),1,1)*L64^INDEX(FlowCalConstB,MATCH(J56,FlowCalNumber,0),1,1)," ")</f>
        <v>#N/A</v>
      </c>
      <c r="N64" s="33"/>
      <c r="O64" s="242">
        <f t="shared" si="28"/>
        <v>1</v>
      </c>
      <c r="P64" s="241" t="e">
        <f t="shared" ca="1" si="29"/>
        <v>#VALUE!</v>
      </c>
      <c r="Q64" s="243" t="e">
        <f ca="1">IF(AND(INDEX(FlowCalConstA,MATCH(N56,FlowCalNumber,0),1,1)*P64^INDEX(FlowCalConstB,MATCH(N56,FlowCalNumber,0),1,1)&gt;INDEX(FlowCalLowSetting,MATCH(N56,FlowCalNumber,0),1,1), (INDEX(FlowCalConstA,MATCH(N56,FlowCalNumber,0),1,1)*P64^INDEX(FlowCalConstB,MATCH(N56,FlowCalNumber,0),1,1)&lt;INDEX(FlowCalHighSetting,MATCH(N56,FlowCalNumber,0),1,1))),INDEX(FlowCalConstA,MATCH(N56,FlowCalNumber,0),1,1)*P64^INDEX(FlowCalConstB,MATCH(N56,FlowCalNumber,0),1,1)," ")</f>
        <v>#N/A</v>
      </c>
      <c r="R64" s="33"/>
      <c r="S64" s="242">
        <f t="shared" si="30"/>
        <v>1</v>
      </c>
      <c r="T64" s="241" t="e">
        <f t="shared" ca="1" si="31"/>
        <v>#VALUE!</v>
      </c>
      <c r="U64" s="243" t="e">
        <f ca="1">IF(AND(INDEX(FlowCalConstA,MATCH(R56,FlowCalNumber,0),1,1)*T64^INDEX(FlowCalConstB,MATCH(R56,FlowCalNumber,0),1,1)&gt;INDEX(FlowCalLowSetting,MATCH(R56,FlowCalNumber,0),1,1), (INDEX(FlowCalConstA,MATCH(R56,FlowCalNumber,0),1,1)*T64^INDEX(FlowCalConstB,MATCH(R56,FlowCalNumber,0),1,1)&lt;INDEX(FlowCalHighSetting,MATCH(R56,FlowCalNumber,0),1,1))),INDEX(FlowCalConstA,MATCH(R56,FlowCalNumber,0),1,1)*T64^INDEX(FlowCalConstB,MATCH(R56,FlowCalNumber,0),1,1)," ")</f>
        <v>#N/A</v>
      </c>
      <c r="V64" s="33"/>
      <c r="W64" s="242"/>
      <c r="X64" s="241"/>
      <c r="Y64" s="243"/>
      <c r="Z64" s="33"/>
      <c r="AA64" s="242"/>
      <c r="AB64" s="241"/>
      <c r="AC64" s="243"/>
      <c r="AD64" s="33"/>
      <c r="AE64" s="242"/>
      <c r="AF64" s="241"/>
      <c r="AG64" s="243"/>
      <c r="AH64" s="33"/>
      <c r="AI64" s="242"/>
      <c r="AJ64" s="241"/>
      <c r="AK64" s="244"/>
      <c r="AL64" s="243"/>
      <c r="AM64" s="243"/>
      <c r="AN64" s="243"/>
      <c r="AO64" s="243"/>
      <c r="AP64" s="243"/>
      <c r="AQ64" s="243"/>
      <c r="AR64" s="243"/>
      <c r="AS64" s="243"/>
      <c r="AT64" s="243"/>
      <c r="AU64" s="243"/>
      <c r="AV64" s="243"/>
      <c r="AW64" s="243"/>
      <c r="AX64" s="243"/>
      <c r="AY64" s="243"/>
      <c r="AZ64" s="243"/>
      <c r="BA64" s="243"/>
      <c r="BB64" s="243"/>
      <c r="BC64" s="243"/>
      <c r="BD64" s="243"/>
      <c r="BE64" s="243"/>
      <c r="BF64" s="243"/>
      <c r="BG64" s="243"/>
      <c r="BH64" s="243"/>
      <c r="BI64" s="243"/>
      <c r="BJ64" s="243"/>
      <c r="BK64" s="243"/>
      <c r="BL64" s="243"/>
      <c r="BM64" s="243"/>
      <c r="BN64" s="243"/>
      <c r="BO64" s="243"/>
      <c r="BP64" s="243"/>
      <c r="BQ64" s="243"/>
      <c r="BR64" s="243"/>
      <c r="BS64" s="243"/>
      <c r="BU64" s="242"/>
      <c r="BW64" s="243"/>
      <c r="BY64" s="242"/>
      <c r="CA64" s="243"/>
      <c r="CC64" s="242"/>
      <c r="CE64" s="243"/>
      <c r="CG64" s="242"/>
      <c r="CI64" s="243"/>
    </row>
    <row r="65" spans="1:87" s="1215" customFormat="1">
      <c r="A65" s="1222"/>
      <c r="B65" s="1223" t="str">
        <f t="shared" si="24"/>
        <v/>
      </c>
      <c r="C65" s="1210"/>
      <c r="D65" s="1211">
        <f>'1% Wind'!$M$90</f>
        <v>5.7</v>
      </c>
      <c r="E65" s="1212"/>
      <c r="F65" s="1212"/>
      <c r="G65" s="1213">
        <f ca="1">IF(I56=0.9743,$G64,MAX(G64/D64*D65,2))</f>
        <v>2</v>
      </c>
      <c r="H65" s="1214" t="e">
        <f t="shared" ca="1" si="25"/>
        <v>#VALUE!</v>
      </c>
      <c r="J65" s="1224"/>
      <c r="K65" s="1217">
        <f t="shared" si="26"/>
        <v>1</v>
      </c>
      <c r="L65" s="1218" t="e">
        <f t="shared" ca="1" si="27"/>
        <v>#VALUE!</v>
      </c>
      <c r="M65" s="1219" t="e">
        <f ca="1">IF(AND(INDEX(FlowCalConstA,MATCH(J56,FlowCalNumber,0),1,1)*L65^INDEX(FlowCalConstB,MATCH(J56,FlowCalNumber,0),1,1)&gt;INDEX(FlowCalLowSetting,MATCH(J56,FlowCalNumber,0),1,1), (INDEX(FlowCalConstA,MATCH(J56,FlowCalNumber,0),1,1)*L65^INDEX(FlowCalConstB,MATCH(J56,FlowCalNumber,0),1,1)&lt;INDEX(FlowCalHighSetting,MATCH(J56,FlowCalNumber,0),1,1))),INDEX(FlowCalConstA,MATCH(J56,FlowCalNumber,0),1,1)*L65^INDEX(FlowCalConstB,MATCH(J56,FlowCalNumber,0),1,1)," ")</f>
        <v>#N/A</v>
      </c>
      <c r="N65" s="1224"/>
      <c r="O65" s="1217">
        <f t="shared" si="28"/>
        <v>1</v>
      </c>
      <c r="P65" s="1218" t="e">
        <f t="shared" ca="1" si="29"/>
        <v>#VALUE!</v>
      </c>
      <c r="Q65" s="1219" t="e">
        <f ca="1">IF(AND(INDEX(FlowCalConstA,MATCH(N56,FlowCalNumber,0),1,1)*P65^INDEX(FlowCalConstB,MATCH(N56,FlowCalNumber,0),1,1)&gt;INDEX(FlowCalLowSetting,MATCH(N56,FlowCalNumber,0),1,1), (INDEX(FlowCalConstA,MATCH(N56,FlowCalNumber,0),1,1)*P65^INDEX(FlowCalConstB,MATCH(N56,FlowCalNumber,0),1,1)&lt;INDEX(FlowCalHighSetting,MATCH(N56,FlowCalNumber,0),1,1))),INDEX(FlowCalConstA,MATCH(N56,FlowCalNumber,0),1,1)*P65^INDEX(FlowCalConstB,MATCH(N56,FlowCalNumber,0),1,1)," ")</f>
        <v>#N/A</v>
      </c>
      <c r="R65" s="1224"/>
      <c r="S65" s="1217">
        <f t="shared" si="30"/>
        <v>1</v>
      </c>
      <c r="T65" s="1218" t="e">
        <f t="shared" ca="1" si="31"/>
        <v>#VALUE!</v>
      </c>
      <c r="U65" s="1219" t="e">
        <f ca="1">IF(AND(INDEX(FlowCalConstA,MATCH(R56,FlowCalNumber,0),1,1)*T65^INDEX(FlowCalConstB,MATCH(R56,FlowCalNumber,0),1,1)&gt;INDEX(FlowCalLowSetting,MATCH(R56,FlowCalNumber,0),1,1), (INDEX(FlowCalConstA,MATCH(R56,FlowCalNumber,0),1,1)*T65^INDEX(FlowCalConstB,MATCH(R56,FlowCalNumber,0),1,1)&lt;INDEX(FlowCalHighSetting,MATCH(R56,FlowCalNumber,0),1,1))),INDEX(FlowCalConstA,MATCH(R56,FlowCalNumber,0),1,1)*T65^INDEX(FlowCalConstB,MATCH(R56,FlowCalNumber,0),1,1)," ")</f>
        <v>#N/A</v>
      </c>
      <c r="V65" s="1224"/>
      <c r="W65" s="1217"/>
      <c r="X65" s="1218"/>
      <c r="Y65" s="1219"/>
      <c r="Z65" s="1224"/>
      <c r="AA65" s="1217"/>
      <c r="AB65" s="1218"/>
      <c r="AC65" s="1219"/>
      <c r="AD65" s="1224"/>
      <c r="AE65" s="1217"/>
      <c r="AF65" s="1218"/>
      <c r="AG65" s="1219"/>
      <c r="AH65" s="1224"/>
      <c r="AI65" s="1217"/>
      <c r="AJ65" s="1218"/>
      <c r="AK65" s="1220"/>
      <c r="AL65" s="1219"/>
      <c r="AM65" s="1219"/>
      <c r="AN65" s="1219"/>
      <c r="AO65" s="1219"/>
      <c r="AP65" s="1219"/>
      <c r="AQ65" s="1219"/>
      <c r="AR65" s="1219"/>
      <c r="AS65" s="1219"/>
      <c r="AT65" s="1219"/>
      <c r="AU65" s="1219"/>
      <c r="AV65" s="1219"/>
      <c r="AW65" s="1219"/>
      <c r="AX65" s="1219"/>
      <c r="AY65" s="1219"/>
      <c r="AZ65" s="1219"/>
      <c r="BA65" s="1219"/>
      <c r="BB65" s="1219"/>
      <c r="BC65" s="1219"/>
      <c r="BD65" s="1219"/>
      <c r="BE65" s="1219"/>
      <c r="BF65" s="1219"/>
      <c r="BG65" s="1219"/>
      <c r="BH65" s="1219"/>
      <c r="BI65" s="1219"/>
      <c r="BJ65" s="1219"/>
      <c r="BK65" s="1219"/>
      <c r="BL65" s="1219"/>
      <c r="BM65" s="1219"/>
      <c r="BN65" s="1219"/>
      <c r="BO65" s="1219"/>
      <c r="BP65" s="1219"/>
      <c r="BQ65" s="1219"/>
      <c r="BR65" s="1219"/>
      <c r="BS65" s="1219"/>
      <c r="BU65" s="1217"/>
      <c r="BW65" s="1219"/>
      <c r="BY65" s="1217"/>
      <c r="CA65" s="1219"/>
      <c r="CC65" s="1217"/>
      <c r="CE65" s="1219"/>
      <c r="CG65" s="1217"/>
      <c r="CI65" s="1219"/>
    </row>
    <row r="66" spans="1:87">
      <c r="A66" s="20"/>
      <c r="B66" s="124" t="str">
        <f t="shared" si="24"/>
        <v/>
      </c>
      <c r="C66" s="235"/>
      <c r="D66" s="24">
        <f>'1% Wind'!$M$91</f>
        <v>4.2</v>
      </c>
      <c r="E66" s="90"/>
      <c r="F66" s="90"/>
      <c r="G66" s="79">
        <f ca="1">IF(I56=0.9743,$G65,MAX(G65/D65*D66,2))</f>
        <v>2</v>
      </c>
      <c r="H66" s="121" t="e">
        <f t="shared" ca="1" si="25"/>
        <v>#VALUE!</v>
      </c>
      <c r="J66" s="33"/>
      <c r="K66" s="242">
        <f t="shared" si="26"/>
        <v>1</v>
      </c>
      <c r="L66" s="241" t="e">
        <f t="shared" ca="1" si="27"/>
        <v>#VALUE!</v>
      </c>
      <c r="M66" s="243" t="e">
        <f ca="1">IF(AND(INDEX(FlowCalConstA,MATCH(J56,FlowCalNumber,0),1,1)*L66^INDEX(FlowCalConstB,MATCH(J56,FlowCalNumber,0),1,1)&gt;INDEX(FlowCalLowSetting,MATCH(J56,FlowCalNumber,0),1,1), (INDEX(FlowCalConstA,MATCH(J56,FlowCalNumber,0),1,1)*L66^INDEX(FlowCalConstB,MATCH(J56,FlowCalNumber,0),1,1)&lt;INDEX(FlowCalHighSetting,MATCH(J56,FlowCalNumber,0),1,1))),INDEX(FlowCalConstA,MATCH(J56,FlowCalNumber,0),1,1)*L66^INDEX(FlowCalConstB,MATCH(J56,FlowCalNumber,0),1,1)," ")</f>
        <v>#N/A</v>
      </c>
      <c r="N66" s="33"/>
      <c r="O66" s="242">
        <f t="shared" si="28"/>
        <v>1</v>
      </c>
      <c r="P66" s="241" t="e">
        <f t="shared" ca="1" si="29"/>
        <v>#VALUE!</v>
      </c>
      <c r="Q66" s="243" t="e">
        <f ca="1">IF(AND(INDEX(FlowCalConstA,MATCH(N56,FlowCalNumber,0),1,1)*P66^INDEX(FlowCalConstB,MATCH(N56,FlowCalNumber,0),1,1)&gt;INDEX(FlowCalLowSetting,MATCH(N56,FlowCalNumber,0),1,1), (INDEX(FlowCalConstA,MATCH(N56,FlowCalNumber,0),1,1)*P66^INDEX(FlowCalConstB,MATCH(N56,FlowCalNumber,0),1,1)&lt;INDEX(FlowCalHighSetting,MATCH(N56,FlowCalNumber,0),1,1))),INDEX(FlowCalConstA,MATCH(N56,FlowCalNumber,0),1,1)*P66^INDEX(FlowCalConstB,MATCH(N56,FlowCalNumber,0),1,1)," ")</f>
        <v>#N/A</v>
      </c>
      <c r="R66" s="33"/>
      <c r="S66" s="242">
        <f t="shared" si="30"/>
        <v>1</v>
      </c>
      <c r="T66" s="241" t="e">
        <f t="shared" ca="1" si="31"/>
        <v>#VALUE!</v>
      </c>
      <c r="U66" s="243" t="e">
        <f ca="1">IF(AND(INDEX(FlowCalConstA,MATCH(R56,FlowCalNumber,0),1,1)*T66^INDEX(FlowCalConstB,MATCH(R56,FlowCalNumber,0),1,1)&gt;INDEX(FlowCalLowSetting,MATCH(R56,FlowCalNumber,0),1,1), (INDEX(FlowCalConstA,MATCH(R56,FlowCalNumber,0),1,1)*T66^INDEX(FlowCalConstB,MATCH(R56,FlowCalNumber,0),1,1)&lt;INDEX(FlowCalHighSetting,MATCH(R56,FlowCalNumber,0),1,1))),INDEX(FlowCalConstA,MATCH(R56,FlowCalNumber,0),1,1)*T66^INDEX(FlowCalConstB,MATCH(R56,FlowCalNumber,0),1,1)," ")</f>
        <v>#N/A</v>
      </c>
      <c r="V66" s="33"/>
      <c r="W66" s="242"/>
      <c r="X66" s="241"/>
      <c r="Y66" s="243"/>
      <c r="Z66" s="33"/>
      <c r="AA66" s="242"/>
      <c r="AB66" s="241"/>
      <c r="AC66" s="243"/>
      <c r="AD66" s="33"/>
      <c r="AE66" s="242"/>
      <c r="AF66" s="241"/>
      <c r="AG66" s="243"/>
      <c r="AH66" s="33"/>
      <c r="AI66" s="242"/>
      <c r="AJ66" s="241"/>
      <c r="AK66" s="244"/>
      <c r="AL66" s="243"/>
      <c r="AM66" s="243"/>
      <c r="AN66" s="243"/>
      <c r="AO66" s="243"/>
      <c r="AP66" s="243"/>
      <c r="AQ66" s="243"/>
      <c r="AR66" s="243"/>
      <c r="AS66" s="243"/>
      <c r="AT66" s="243"/>
      <c r="AU66" s="243"/>
      <c r="AV66" s="243"/>
      <c r="AW66" s="243"/>
      <c r="AX66" s="243"/>
      <c r="AY66" s="243"/>
      <c r="AZ66" s="243"/>
      <c r="BA66" s="243"/>
      <c r="BB66" s="243"/>
      <c r="BC66" s="243"/>
      <c r="BD66" s="243"/>
      <c r="BE66" s="243"/>
      <c r="BF66" s="243"/>
      <c r="BG66" s="243"/>
      <c r="BH66" s="243"/>
      <c r="BI66" s="243"/>
      <c r="BJ66" s="243"/>
      <c r="BK66" s="243"/>
      <c r="BL66" s="243"/>
      <c r="BM66" s="243"/>
      <c r="BN66" s="243"/>
      <c r="BO66" s="243"/>
      <c r="BP66" s="243"/>
      <c r="BQ66" s="243"/>
      <c r="BR66" s="243"/>
      <c r="BS66" s="243"/>
      <c r="BU66" s="242"/>
      <c r="BW66" s="243"/>
      <c r="BY66" s="242"/>
      <c r="CA66" s="243"/>
      <c r="CC66" s="242"/>
      <c r="CE66" s="243"/>
      <c r="CG66" s="242"/>
      <c r="CI66" s="243"/>
    </row>
    <row r="67" spans="1:87" s="1215" customFormat="1">
      <c r="A67" s="1222"/>
      <c r="B67" s="1223" t="str">
        <f t="shared" si="24"/>
        <v/>
      </c>
      <c r="C67" s="1210"/>
      <c r="D67" s="1211">
        <f>'1% Wind'!$M$92</f>
        <v>3.2</v>
      </c>
      <c r="E67" s="1212"/>
      <c r="F67" s="1212"/>
      <c r="G67" s="1213">
        <f ca="1">IF(I56=0.9743,$G66,MAX(G66/D66*D67,2))</f>
        <v>2</v>
      </c>
      <c r="H67" s="1214" t="e">
        <f t="shared" ca="1" si="25"/>
        <v>#VALUE!</v>
      </c>
      <c r="J67" s="1224"/>
      <c r="K67" s="1217">
        <f t="shared" si="26"/>
        <v>1</v>
      </c>
      <c r="L67" s="1218" t="e">
        <f t="shared" ca="1" si="27"/>
        <v>#VALUE!</v>
      </c>
      <c r="M67" s="1219" t="e">
        <f ca="1">IF(AND(INDEX(FlowCalConstA,MATCH(J56,FlowCalNumber,0),1,1)*L67^INDEX(FlowCalConstB,MATCH(J56,FlowCalNumber,0),1,1)&gt;INDEX(FlowCalLowSetting,MATCH(J56,FlowCalNumber,0),1,1), (INDEX(FlowCalConstA,MATCH(J56,FlowCalNumber,0),1,1)*L67^INDEX(FlowCalConstB,MATCH(J56,FlowCalNumber,0),1,1)&lt;INDEX(FlowCalHighSetting,MATCH(J56,FlowCalNumber,0),1,1))),INDEX(FlowCalConstA,MATCH(J56,FlowCalNumber,0),1,1)*L67^INDEX(FlowCalConstB,MATCH(J56,FlowCalNumber,0),1,1)," ")</f>
        <v>#N/A</v>
      </c>
      <c r="N67" s="1224"/>
      <c r="O67" s="1217">
        <f t="shared" si="28"/>
        <v>1</v>
      </c>
      <c r="P67" s="1218" t="e">
        <f t="shared" ca="1" si="29"/>
        <v>#VALUE!</v>
      </c>
      <c r="Q67" s="1219" t="e">
        <f ca="1">IF(AND(INDEX(FlowCalConstA,MATCH(N56,FlowCalNumber,0),1,1)*P67^INDEX(FlowCalConstB,MATCH(N56,FlowCalNumber,0),1,1)&gt;INDEX(FlowCalLowSetting,MATCH(N56,FlowCalNumber,0),1,1), (INDEX(FlowCalConstA,MATCH(N56,FlowCalNumber,0),1,1)*P67^INDEX(FlowCalConstB,MATCH(N56,FlowCalNumber,0),1,1)&lt;INDEX(FlowCalHighSetting,MATCH(N56,FlowCalNumber,0),1,1))),INDEX(FlowCalConstA,MATCH(N56,FlowCalNumber,0),1,1)*P67^INDEX(FlowCalConstB,MATCH(N56,FlowCalNumber,0),1,1)," ")</f>
        <v>#N/A</v>
      </c>
      <c r="R67" s="1224"/>
      <c r="S67" s="1217">
        <f t="shared" si="30"/>
        <v>1</v>
      </c>
      <c r="T67" s="1218" t="e">
        <f t="shared" ca="1" si="31"/>
        <v>#VALUE!</v>
      </c>
      <c r="U67" s="1219" t="e">
        <f ca="1">IF(AND(INDEX(FlowCalConstA,MATCH(R56,FlowCalNumber,0),1,1)*T67^INDEX(FlowCalConstB,MATCH(R56,FlowCalNumber,0),1,1)&gt;INDEX(FlowCalLowSetting,MATCH(R56,FlowCalNumber,0),1,1), (INDEX(FlowCalConstA,MATCH(R56,FlowCalNumber,0),1,1)*T67^INDEX(FlowCalConstB,MATCH(R56,FlowCalNumber,0),1,1)&lt;INDEX(FlowCalHighSetting,MATCH(R56,FlowCalNumber,0),1,1))),INDEX(FlowCalConstA,MATCH(R56,FlowCalNumber,0),1,1)*T67^INDEX(FlowCalConstB,MATCH(R56,FlowCalNumber,0),1,1)," ")</f>
        <v>#N/A</v>
      </c>
      <c r="V67" s="1224"/>
      <c r="W67" s="1217"/>
      <c r="X67" s="1218"/>
      <c r="Y67" s="1219"/>
      <c r="Z67" s="1224"/>
      <c r="AA67" s="1217"/>
      <c r="AB67" s="1218"/>
      <c r="AC67" s="1219"/>
      <c r="AD67" s="1224"/>
      <c r="AE67" s="1217"/>
      <c r="AF67" s="1218"/>
      <c r="AG67" s="1219"/>
      <c r="AH67" s="1224"/>
      <c r="AI67" s="1217"/>
      <c r="AJ67" s="1218"/>
      <c r="AK67" s="1220"/>
      <c r="AL67" s="1219"/>
      <c r="AM67" s="1219"/>
      <c r="AN67" s="1219"/>
      <c r="AO67" s="1219"/>
      <c r="AP67" s="1219"/>
      <c r="AQ67" s="1219"/>
      <c r="AR67" s="1219"/>
      <c r="AS67" s="1219"/>
      <c r="AT67" s="1219"/>
      <c r="AU67" s="1219"/>
      <c r="AV67" s="1219"/>
      <c r="AW67" s="1219"/>
      <c r="AX67" s="1219"/>
      <c r="AY67" s="1219"/>
      <c r="AZ67" s="1219"/>
      <c r="BA67" s="1219"/>
      <c r="BB67" s="1219"/>
      <c r="BC67" s="1219"/>
      <c r="BD67" s="1219"/>
      <c r="BE67" s="1219"/>
      <c r="BF67" s="1219"/>
      <c r="BG67" s="1219"/>
      <c r="BH67" s="1219"/>
      <c r="BI67" s="1219"/>
      <c r="BJ67" s="1219"/>
      <c r="BK67" s="1219"/>
      <c r="BL67" s="1219"/>
      <c r="BM67" s="1219"/>
      <c r="BN67" s="1219"/>
      <c r="BO67" s="1219"/>
      <c r="BP67" s="1219"/>
      <c r="BQ67" s="1219"/>
      <c r="BR67" s="1219"/>
      <c r="BS67" s="1219"/>
      <c r="BU67" s="1217"/>
      <c r="BW67" s="1219"/>
      <c r="BY67" s="1217"/>
      <c r="CA67" s="1219"/>
      <c r="CC67" s="1217"/>
      <c r="CE67" s="1219"/>
      <c r="CG67" s="1217"/>
      <c r="CI67" s="1219"/>
    </row>
    <row r="68" spans="1:87">
      <c r="A68" s="20"/>
      <c r="B68" s="124" t="str">
        <f t="shared" si="24"/>
        <v/>
      </c>
      <c r="C68" s="235"/>
      <c r="D68" s="24">
        <f>'1% Wind'!$M$93</f>
        <v>2.4</v>
      </c>
      <c r="E68" s="90"/>
      <c r="F68" s="90"/>
      <c r="G68" s="79">
        <f ca="1">IF(I56=0.9743,$G67,MAX(G67/D67*D68,2))</f>
        <v>2</v>
      </c>
      <c r="H68" s="121" t="e">
        <f t="shared" ca="1" si="25"/>
        <v>#VALUE!</v>
      </c>
      <c r="J68" s="33"/>
      <c r="K68" s="242">
        <f t="shared" si="26"/>
        <v>1</v>
      </c>
      <c r="L68" s="241" t="e">
        <f t="shared" ca="1" si="27"/>
        <v>#VALUE!</v>
      </c>
      <c r="M68" s="243" t="e">
        <f ca="1">IF(AND(INDEX(FlowCalConstA,MATCH(J56,FlowCalNumber,0),1,1)*L68^INDEX(FlowCalConstB,MATCH(J56,FlowCalNumber,0),1,1)&gt;INDEX(FlowCalLowSetting,MATCH(J56,FlowCalNumber,0),1,1), (INDEX(FlowCalConstA,MATCH(J56,FlowCalNumber,0),1,1)*L68^INDEX(FlowCalConstB,MATCH(J56,FlowCalNumber,0),1,1)&lt;INDEX(FlowCalHighSetting,MATCH(J56,FlowCalNumber,0),1,1))),INDEX(FlowCalConstA,MATCH(J56,FlowCalNumber,0),1,1)*L68^INDEX(FlowCalConstB,MATCH(J56,FlowCalNumber,0),1,1)," ")</f>
        <v>#N/A</v>
      </c>
      <c r="N68" s="33"/>
      <c r="O68" s="242">
        <f t="shared" si="28"/>
        <v>1</v>
      </c>
      <c r="P68" s="241" t="e">
        <f t="shared" ca="1" si="29"/>
        <v>#VALUE!</v>
      </c>
      <c r="Q68" s="243" t="e">
        <f ca="1">IF(AND(INDEX(FlowCalConstA,MATCH(N56,FlowCalNumber,0),1,1)*P68^INDEX(FlowCalConstB,MATCH(N56,FlowCalNumber,0),1,1)&gt;INDEX(FlowCalLowSetting,MATCH(N56,FlowCalNumber,0),1,1), (INDEX(FlowCalConstA,MATCH(N56,FlowCalNumber,0),1,1)*P68^INDEX(FlowCalConstB,MATCH(N56,FlowCalNumber,0),1,1)&lt;INDEX(FlowCalHighSetting,MATCH(N56,FlowCalNumber,0),1,1))),INDEX(FlowCalConstA,MATCH(N56,FlowCalNumber,0),1,1)*P68^INDEX(FlowCalConstB,MATCH(N56,FlowCalNumber,0),1,1)," ")</f>
        <v>#N/A</v>
      </c>
      <c r="R68" s="33"/>
      <c r="S68" s="242">
        <f t="shared" si="30"/>
        <v>1</v>
      </c>
      <c r="T68" s="241" t="e">
        <f t="shared" ca="1" si="31"/>
        <v>#VALUE!</v>
      </c>
      <c r="U68" s="243" t="e">
        <f ca="1">IF(AND(INDEX(FlowCalConstA,MATCH(R56,FlowCalNumber,0),1,1)*T68^INDEX(FlowCalConstB,MATCH(R56,FlowCalNumber,0),1,1)&gt;INDEX(FlowCalLowSetting,MATCH(R56,FlowCalNumber,0),1,1), (INDEX(FlowCalConstA,MATCH(R56,FlowCalNumber,0),1,1)*T68^INDEX(FlowCalConstB,MATCH(R56,FlowCalNumber,0),1,1)&lt;INDEX(FlowCalHighSetting,MATCH(R56,FlowCalNumber,0),1,1))),INDEX(FlowCalConstA,MATCH(R56,FlowCalNumber,0),1,1)*T68^INDEX(FlowCalConstB,MATCH(R56,FlowCalNumber,0),1,1)," ")</f>
        <v>#N/A</v>
      </c>
      <c r="V68" s="33"/>
      <c r="W68" s="242"/>
      <c r="X68" s="241"/>
      <c r="Y68" s="243"/>
      <c r="Z68" s="33"/>
      <c r="AA68" s="242"/>
      <c r="AB68" s="241"/>
      <c r="AC68" s="243"/>
      <c r="AD68" s="33"/>
      <c r="AE68" s="242"/>
      <c r="AF68" s="241"/>
      <c r="AG68" s="243"/>
      <c r="AH68" s="33"/>
      <c r="AI68" s="242"/>
      <c r="AJ68" s="241"/>
      <c r="AK68" s="244"/>
      <c r="AL68" s="243"/>
      <c r="AM68" s="243"/>
      <c r="AN68" s="243"/>
      <c r="AO68" s="243"/>
      <c r="AP68" s="243"/>
      <c r="AQ68" s="243"/>
      <c r="AR68" s="243"/>
      <c r="AS68" s="243"/>
      <c r="AT68" s="243"/>
      <c r="AU68" s="243"/>
      <c r="AV68" s="243"/>
      <c r="AW68" s="243"/>
      <c r="AX68" s="243"/>
      <c r="AY68" s="243"/>
      <c r="AZ68" s="243"/>
      <c r="BA68" s="243"/>
      <c r="BB68" s="243"/>
      <c r="BC68" s="243"/>
      <c r="BD68" s="243"/>
      <c r="BE68" s="243"/>
      <c r="BF68" s="243"/>
      <c r="BG68" s="243"/>
      <c r="BH68" s="243"/>
      <c r="BI68" s="243"/>
      <c r="BJ68" s="243"/>
      <c r="BK68" s="243"/>
      <c r="BL68" s="243"/>
      <c r="BM68" s="243"/>
      <c r="BN68" s="243"/>
      <c r="BO68" s="243"/>
      <c r="BP68" s="243"/>
      <c r="BQ68" s="243"/>
      <c r="BR68" s="243"/>
      <c r="BS68" s="243"/>
      <c r="BU68" s="242"/>
      <c r="BW68" s="243"/>
      <c r="BY68" s="242"/>
      <c r="CA68" s="243"/>
      <c r="CC68" s="242"/>
      <c r="CE68" s="243"/>
      <c r="CG68" s="242"/>
      <c r="CI68" s="243"/>
    </row>
    <row r="69" spans="1:87" s="1215" customFormat="1">
      <c r="A69" s="1222"/>
      <c r="B69" s="1223" t="str">
        <f t="shared" si="24"/>
        <v/>
      </c>
      <c r="C69" s="1210"/>
      <c r="D69" s="1211">
        <f>'1% Wind'!$M$94</f>
        <v>1.8</v>
      </c>
      <c r="E69" s="1212"/>
      <c r="F69" s="1212"/>
      <c r="G69" s="1213">
        <f ca="1">IF(I56=0.9743,$G68,MAX(G68/D68*D69,2))</f>
        <v>2</v>
      </c>
      <c r="H69" s="1214" t="e">
        <f t="shared" ca="1" si="25"/>
        <v>#VALUE!</v>
      </c>
      <c r="J69" s="1224"/>
      <c r="K69" s="1217">
        <f t="shared" si="26"/>
        <v>1</v>
      </c>
      <c r="L69" s="1218" t="e">
        <f t="shared" ca="1" si="27"/>
        <v>#VALUE!</v>
      </c>
      <c r="M69" s="1219" t="e">
        <f ca="1">IF(AND(INDEX(FlowCalConstA,MATCH(J56,FlowCalNumber,0),1,1)*L69^INDEX(FlowCalConstB,MATCH(J56,FlowCalNumber,0),1,1)&gt;INDEX(FlowCalLowSetting,MATCH(J56,FlowCalNumber,0),1,1), (INDEX(FlowCalConstA,MATCH(J56,FlowCalNumber,0),1,1)*L69^INDEX(FlowCalConstB,MATCH(J56,FlowCalNumber,0),1,1)&lt;INDEX(FlowCalHighSetting,MATCH(J56,FlowCalNumber,0),1,1))),INDEX(FlowCalConstA,MATCH(J56,FlowCalNumber,0),1,1)*L69^INDEX(FlowCalConstB,MATCH(J56,FlowCalNumber,0),1,1)," ")</f>
        <v>#N/A</v>
      </c>
      <c r="N69" s="1224"/>
      <c r="O69" s="1217">
        <f t="shared" si="28"/>
        <v>1</v>
      </c>
      <c r="P69" s="1218" t="e">
        <f t="shared" ca="1" si="29"/>
        <v>#VALUE!</v>
      </c>
      <c r="Q69" s="1219" t="e">
        <f ca="1">IF(AND(INDEX(FlowCalConstA,MATCH(N56,FlowCalNumber,0),1,1)*P69^INDEX(FlowCalConstB,MATCH(N56,FlowCalNumber,0),1,1)&gt;INDEX(FlowCalLowSetting,MATCH(N56,FlowCalNumber,0),1,1), (INDEX(FlowCalConstA,MATCH(N56,FlowCalNumber,0),1,1)*P69^INDEX(FlowCalConstB,MATCH(N56,FlowCalNumber,0),1,1)&lt;INDEX(FlowCalHighSetting,MATCH(N56,FlowCalNumber,0),1,1))),INDEX(FlowCalConstA,MATCH(N56,FlowCalNumber,0),1,1)*P69^INDEX(FlowCalConstB,MATCH(N56,FlowCalNumber,0),1,1)," ")</f>
        <v>#N/A</v>
      </c>
      <c r="R69" s="1224"/>
      <c r="S69" s="1217">
        <f t="shared" si="30"/>
        <v>1</v>
      </c>
      <c r="T69" s="1218" t="e">
        <f t="shared" ca="1" si="31"/>
        <v>#VALUE!</v>
      </c>
      <c r="U69" s="1219" t="e">
        <f ca="1">IF(AND(INDEX(FlowCalConstA,MATCH(R56,FlowCalNumber,0),1,1)*T69^INDEX(FlowCalConstB,MATCH(R56,FlowCalNumber,0),1,1)&gt;INDEX(FlowCalLowSetting,MATCH(R56,FlowCalNumber,0),1,1), (INDEX(FlowCalConstA,MATCH(R56,FlowCalNumber,0),1,1)*T69^INDEX(FlowCalConstB,MATCH(R56,FlowCalNumber,0),1,1)&lt;INDEX(FlowCalHighSetting,MATCH(R56,FlowCalNumber,0),1,1))),INDEX(FlowCalConstA,MATCH(R56,FlowCalNumber,0),1,1)*T69^INDEX(FlowCalConstB,MATCH(R56,FlowCalNumber,0),1,1)," ")</f>
        <v>#N/A</v>
      </c>
      <c r="V69" s="1224"/>
      <c r="W69" s="1217"/>
      <c r="X69" s="1218"/>
      <c r="Y69" s="1219"/>
      <c r="Z69" s="1224"/>
      <c r="AA69" s="1217"/>
      <c r="AB69" s="1218"/>
      <c r="AC69" s="1219"/>
      <c r="AD69" s="1224"/>
      <c r="AE69" s="1217"/>
      <c r="AF69" s="1218"/>
      <c r="AG69" s="1219"/>
      <c r="AH69" s="1224"/>
      <c r="AI69" s="1217"/>
      <c r="AJ69" s="1218"/>
      <c r="AK69" s="1220"/>
      <c r="AL69" s="1219"/>
      <c r="AM69" s="1219"/>
      <c r="AN69" s="1219"/>
      <c r="AO69" s="1219"/>
      <c r="AP69" s="1219"/>
      <c r="AQ69" s="1219"/>
      <c r="AR69" s="1219"/>
      <c r="AS69" s="1219"/>
      <c r="AT69" s="1219"/>
      <c r="AU69" s="1219"/>
      <c r="AV69" s="1219"/>
      <c r="AW69" s="1219"/>
      <c r="AX69" s="1219"/>
      <c r="AY69" s="1219"/>
      <c r="AZ69" s="1219"/>
      <c r="BA69" s="1219"/>
      <c r="BB69" s="1219"/>
      <c r="BC69" s="1219"/>
      <c r="BD69" s="1219"/>
      <c r="BE69" s="1219"/>
      <c r="BF69" s="1219"/>
      <c r="BG69" s="1219"/>
      <c r="BH69" s="1219"/>
      <c r="BI69" s="1219"/>
      <c r="BJ69" s="1219"/>
      <c r="BK69" s="1219"/>
      <c r="BL69" s="1219"/>
      <c r="BM69" s="1219"/>
      <c r="BN69" s="1219"/>
      <c r="BO69" s="1219"/>
      <c r="BP69" s="1219"/>
      <c r="BQ69" s="1219"/>
      <c r="BR69" s="1219"/>
      <c r="BS69" s="1219"/>
      <c r="BU69" s="1217"/>
      <c r="BW69" s="1219"/>
      <c r="BY69" s="1217"/>
      <c r="CA69" s="1219"/>
      <c r="CC69" s="1217"/>
      <c r="CE69" s="1219"/>
      <c r="CG69" s="1217"/>
      <c r="CI69" s="1219"/>
    </row>
    <row r="70" spans="1:87">
      <c r="A70" s="20"/>
      <c r="B70" s="124" t="str">
        <f t="shared" si="24"/>
        <v/>
      </c>
      <c r="C70" s="235"/>
      <c r="D70" s="24">
        <f>'1% Wind'!$M$95</f>
        <v>1.3</v>
      </c>
      <c r="E70" s="90"/>
      <c r="F70" s="90"/>
      <c r="G70" s="79">
        <f ca="1">IF(I56=0.9743,$G69,MAX(G69/D69*D70,2))</f>
        <v>2</v>
      </c>
      <c r="H70" s="121" t="e">
        <f t="shared" ca="1" si="25"/>
        <v>#VALUE!</v>
      </c>
      <c r="J70" s="33"/>
      <c r="K70" s="242">
        <f t="shared" si="26"/>
        <v>1</v>
      </c>
      <c r="L70" s="241" t="e">
        <f t="shared" ca="1" si="27"/>
        <v>#VALUE!</v>
      </c>
      <c r="M70" s="243" t="e">
        <f ca="1">IF(AND(INDEX(FlowCalConstA,MATCH(J56,FlowCalNumber,0),1,1)*L70^INDEX(FlowCalConstB,MATCH(J56,FlowCalNumber,0),1,1)&gt;INDEX(FlowCalLowSetting,MATCH(J56,FlowCalNumber,0),1,1), (INDEX(FlowCalConstA,MATCH(J56,FlowCalNumber,0),1,1)*L70^INDEX(FlowCalConstB,MATCH(J56,FlowCalNumber,0),1,1)&lt;INDEX(FlowCalHighSetting,MATCH(J56,FlowCalNumber,0),1,1))),INDEX(FlowCalConstA,MATCH(J56,FlowCalNumber,0),1,1)*L70^INDEX(FlowCalConstB,MATCH(J56,FlowCalNumber,0),1,1)," ")</f>
        <v>#N/A</v>
      </c>
      <c r="N70" s="33"/>
      <c r="O70" s="242">
        <f t="shared" si="28"/>
        <v>1</v>
      </c>
      <c r="P70" s="241" t="e">
        <f t="shared" ca="1" si="29"/>
        <v>#VALUE!</v>
      </c>
      <c r="Q70" s="243" t="e">
        <f ca="1">IF(AND(INDEX(FlowCalConstA,MATCH(N56,FlowCalNumber,0),1,1)*P70^INDEX(FlowCalConstB,MATCH(N56,FlowCalNumber,0),1,1)&gt;INDEX(FlowCalLowSetting,MATCH(N56,FlowCalNumber,0),1,1), (INDEX(FlowCalConstA,MATCH(N56,FlowCalNumber,0),1,1)*P70^INDEX(FlowCalConstB,MATCH(N56,FlowCalNumber,0),1,1)&lt;INDEX(FlowCalHighSetting,MATCH(N56,FlowCalNumber,0),1,1))),INDEX(FlowCalConstA,MATCH(N56,FlowCalNumber,0),1,1)*P70^INDEX(FlowCalConstB,MATCH(N56,FlowCalNumber,0),1,1)," ")</f>
        <v>#N/A</v>
      </c>
      <c r="R70" s="33"/>
      <c r="S70" s="242">
        <f t="shared" si="30"/>
        <v>1</v>
      </c>
      <c r="T70" s="241" t="e">
        <f t="shared" ca="1" si="31"/>
        <v>#VALUE!</v>
      </c>
      <c r="U70" s="243" t="e">
        <f ca="1">IF(AND(INDEX(FlowCalConstA,MATCH(R56,FlowCalNumber,0),1,1)*T70^INDEX(FlowCalConstB,MATCH(R56,FlowCalNumber,0),1,1)&gt;INDEX(FlowCalLowSetting,MATCH(R56,FlowCalNumber,0),1,1), (INDEX(FlowCalConstA,MATCH(R56,FlowCalNumber,0),1,1)*T70^INDEX(FlowCalConstB,MATCH(R56,FlowCalNumber,0),1,1)&lt;INDEX(FlowCalHighSetting,MATCH(R56,FlowCalNumber,0),1,1))),INDEX(FlowCalConstA,MATCH(R56,FlowCalNumber,0),1,1)*T70^INDEX(FlowCalConstB,MATCH(R56,FlowCalNumber,0),1,1)," ")</f>
        <v>#N/A</v>
      </c>
      <c r="V70" s="33"/>
      <c r="W70" s="242"/>
      <c r="X70" s="241"/>
      <c r="Y70" s="243"/>
      <c r="Z70" s="33"/>
      <c r="AA70" s="242"/>
      <c r="AB70" s="241"/>
      <c r="AC70" s="243"/>
      <c r="AD70" s="33"/>
      <c r="AE70" s="242"/>
      <c r="AF70" s="241"/>
      <c r="AG70" s="243"/>
      <c r="AH70" s="33"/>
      <c r="AI70" s="242"/>
      <c r="AJ70" s="241"/>
      <c r="AK70" s="244"/>
      <c r="AL70" s="243"/>
      <c r="AM70" s="243"/>
      <c r="AN70" s="243"/>
      <c r="AO70" s="243"/>
      <c r="AP70" s="243"/>
      <c r="AQ70" s="243"/>
      <c r="AR70" s="243"/>
      <c r="AS70" s="243"/>
      <c r="AT70" s="243"/>
      <c r="AU70" s="243"/>
      <c r="AV70" s="243"/>
      <c r="AW70" s="243"/>
      <c r="AX70" s="243"/>
      <c r="AY70" s="243"/>
      <c r="AZ70" s="243"/>
      <c r="BA70" s="243"/>
      <c r="BB70" s="243"/>
      <c r="BC70" s="243"/>
      <c r="BD70" s="243"/>
      <c r="BE70" s="243"/>
      <c r="BF70" s="243"/>
      <c r="BG70" s="243"/>
      <c r="BH70" s="243"/>
      <c r="BI70" s="243"/>
      <c r="BJ70" s="243"/>
      <c r="BK70" s="243"/>
      <c r="BL70" s="243"/>
      <c r="BM70" s="243"/>
      <c r="BN70" s="243"/>
      <c r="BO70" s="243"/>
      <c r="BP70" s="243"/>
      <c r="BQ70" s="243"/>
      <c r="BR70" s="243"/>
      <c r="BS70" s="243"/>
      <c r="BU70" s="242"/>
      <c r="BW70" s="243"/>
      <c r="BY70" s="242"/>
      <c r="CA70" s="243"/>
      <c r="CC70" s="242"/>
      <c r="CE70" s="243"/>
      <c r="CG70" s="242"/>
      <c r="CI70" s="243"/>
    </row>
    <row r="71" spans="1:87" s="1215" customFormat="1">
      <c r="A71" s="1222"/>
      <c r="B71" s="1223" t="str">
        <f t="shared" si="24"/>
        <v/>
      </c>
      <c r="C71" s="1210"/>
      <c r="D71" s="1211">
        <f>'1% Wind'!$M$96</f>
        <v>1</v>
      </c>
      <c r="E71" s="1212"/>
      <c r="F71" s="1212"/>
      <c r="G71" s="1213">
        <f ca="1">IF(I56=0.9743,$G70,MAX(G70/D70*D71,2))</f>
        <v>2</v>
      </c>
      <c r="H71" s="1214" t="e">
        <f t="shared" ca="1" si="25"/>
        <v>#VALUE!</v>
      </c>
      <c r="J71" s="1224"/>
      <c r="K71" s="1217">
        <f t="shared" si="26"/>
        <v>1</v>
      </c>
      <c r="L71" s="1218" t="e">
        <f t="shared" ca="1" si="27"/>
        <v>#VALUE!</v>
      </c>
      <c r="M71" s="1219" t="e">
        <f ca="1">IF(AND(INDEX(FlowCalConstA,MATCH(J56,FlowCalNumber,0),1,1)*L71^INDEX(FlowCalConstB,MATCH(J56,FlowCalNumber,0),1,1)&gt;INDEX(FlowCalLowSetting,MATCH(J56,FlowCalNumber,0),1,1), (INDEX(FlowCalConstA,MATCH(J56,FlowCalNumber,0),1,1)*L71^INDEX(FlowCalConstB,MATCH(J56,FlowCalNumber,0),1,1)&lt;INDEX(FlowCalHighSetting,MATCH(J56,FlowCalNumber,0),1,1))),INDEX(FlowCalConstA,MATCH(J56,FlowCalNumber,0),1,1)*L71^INDEX(FlowCalConstB,MATCH(J56,FlowCalNumber,0),1,1)," ")</f>
        <v>#N/A</v>
      </c>
      <c r="N71" s="1224"/>
      <c r="O71" s="1217">
        <f t="shared" si="28"/>
        <v>1</v>
      </c>
      <c r="P71" s="1218" t="e">
        <f t="shared" ca="1" si="29"/>
        <v>#VALUE!</v>
      </c>
      <c r="Q71" s="1219" t="e">
        <f ca="1">IF(AND(INDEX(FlowCalConstA,MATCH(N56,FlowCalNumber,0),1,1)*P71^INDEX(FlowCalConstB,MATCH(N56,FlowCalNumber,0),1,1)&gt;INDEX(FlowCalLowSetting,MATCH(N56,FlowCalNumber,0),1,1), (INDEX(FlowCalConstA,MATCH(N56,FlowCalNumber,0),1,1)*P71^INDEX(FlowCalConstB,MATCH(N56,FlowCalNumber,0),1,1)&lt;INDEX(FlowCalHighSetting,MATCH(N56,FlowCalNumber,0),1,1))),INDEX(FlowCalConstA,MATCH(N56,FlowCalNumber,0),1,1)*P71^INDEX(FlowCalConstB,MATCH(N56,FlowCalNumber,0),1,1)," ")</f>
        <v>#N/A</v>
      </c>
      <c r="R71" s="1224"/>
      <c r="S71" s="1217">
        <f t="shared" si="30"/>
        <v>1</v>
      </c>
      <c r="T71" s="1218" t="e">
        <f t="shared" ca="1" si="31"/>
        <v>#VALUE!</v>
      </c>
      <c r="U71" s="1219" t="e">
        <f ca="1">IF(AND(INDEX(FlowCalConstA,MATCH(R56,FlowCalNumber,0),1,1)*T71^INDEX(FlowCalConstB,MATCH(R56,FlowCalNumber,0),1,1)&gt;INDEX(FlowCalLowSetting,MATCH(R56,FlowCalNumber,0),1,1), (INDEX(FlowCalConstA,MATCH(R56,FlowCalNumber,0),1,1)*T71^INDEX(FlowCalConstB,MATCH(R56,FlowCalNumber,0),1,1)&lt;INDEX(FlowCalHighSetting,MATCH(R56,FlowCalNumber,0),1,1))),INDEX(FlowCalConstA,MATCH(R56,FlowCalNumber,0),1,1)*T71^INDEX(FlowCalConstB,MATCH(R56,FlowCalNumber,0),1,1)," ")</f>
        <v>#N/A</v>
      </c>
      <c r="V71" s="1224"/>
      <c r="W71" s="1217"/>
      <c r="X71" s="1218"/>
      <c r="Y71" s="1219"/>
      <c r="Z71" s="1224"/>
      <c r="AA71" s="1217"/>
      <c r="AB71" s="1218"/>
      <c r="AC71" s="1219"/>
      <c r="AD71" s="1224"/>
      <c r="AE71" s="1217"/>
      <c r="AF71" s="1218"/>
      <c r="AG71" s="1219"/>
      <c r="AH71" s="1224"/>
      <c r="AI71" s="1217"/>
      <c r="AJ71" s="1218"/>
      <c r="AK71" s="1220"/>
      <c r="AL71" s="1219"/>
      <c r="AM71" s="1219"/>
      <c r="AN71" s="1219"/>
      <c r="AO71" s="1219"/>
      <c r="AP71" s="1219"/>
      <c r="AQ71" s="1219"/>
      <c r="AR71" s="1219"/>
      <c r="AS71" s="1219"/>
      <c r="AT71" s="1219"/>
      <c r="AU71" s="1219"/>
      <c r="AV71" s="1219"/>
      <c r="AW71" s="1219"/>
      <c r="AX71" s="1219"/>
      <c r="AY71" s="1219"/>
      <c r="AZ71" s="1219"/>
      <c r="BA71" s="1219"/>
      <c r="BB71" s="1219"/>
      <c r="BC71" s="1219"/>
      <c r="BD71" s="1219"/>
      <c r="BE71" s="1219"/>
      <c r="BF71" s="1219"/>
      <c r="BG71" s="1219"/>
      <c r="BH71" s="1219"/>
      <c r="BI71" s="1219"/>
      <c r="BJ71" s="1219"/>
      <c r="BK71" s="1219"/>
      <c r="BL71" s="1219"/>
      <c r="BM71" s="1219"/>
      <c r="BN71" s="1219"/>
      <c r="BO71" s="1219"/>
      <c r="BP71" s="1219"/>
      <c r="BQ71" s="1219"/>
      <c r="BR71" s="1219"/>
      <c r="BS71" s="1219"/>
      <c r="BU71" s="1217"/>
      <c r="BW71" s="1219"/>
      <c r="BY71" s="1217"/>
      <c r="CA71" s="1219"/>
      <c r="CC71" s="1217"/>
      <c r="CE71" s="1219"/>
      <c r="CG71" s="1217"/>
      <c r="CI71" s="1219"/>
    </row>
    <row r="72" spans="1:87">
      <c r="A72" s="33"/>
      <c r="B72" s="33"/>
      <c r="C72" s="235"/>
      <c r="E72" s="90"/>
      <c r="F72" s="90"/>
      <c r="G72" s="33"/>
      <c r="J72" s="33"/>
      <c r="M72" s="243"/>
      <c r="N72" s="33"/>
      <c r="Q72" s="243"/>
      <c r="R72" s="33"/>
      <c r="U72" s="243"/>
      <c r="V72" s="33"/>
      <c r="Y72" s="243"/>
      <c r="Z72" s="33"/>
      <c r="AC72" s="243"/>
      <c r="AD72" s="33"/>
      <c r="AG72" s="243"/>
      <c r="AH72" s="33"/>
      <c r="AK72" s="244"/>
      <c r="AL72" s="243"/>
      <c r="AM72" s="243"/>
      <c r="AN72" s="243"/>
      <c r="AO72" s="243"/>
      <c r="AP72" s="243"/>
      <c r="AQ72" s="243"/>
      <c r="AR72" s="243"/>
      <c r="AS72" s="243"/>
      <c r="AT72" s="243"/>
      <c r="AU72" s="243"/>
      <c r="AV72" s="243"/>
      <c r="AW72" s="243"/>
      <c r="AX72" s="243"/>
      <c r="AY72" s="243"/>
      <c r="AZ72" s="243"/>
      <c r="BA72" s="243"/>
      <c r="BB72" s="243"/>
      <c r="BC72" s="243"/>
      <c r="BD72" s="243"/>
      <c r="BE72" s="243"/>
      <c r="BF72" s="243"/>
      <c r="BG72" s="243"/>
      <c r="BH72" s="243"/>
      <c r="BI72" s="243"/>
      <c r="BJ72" s="243"/>
      <c r="BK72" s="243"/>
      <c r="BL72" s="243"/>
      <c r="BM72" s="243"/>
      <c r="BN72" s="243"/>
      <c r="BO72" s="243"/>
      <c r="BP72" s="243"/>
      <c r="BQ72" s="243"/>
      <c r="BR72" s="243"/>
      <c r="BS72" s="243"/>
      <c r="BW72" s="243"/>
      <c r="CA72" s="243"/>
      <c r="CE72" s="243"/>
      <c r="CI72" s="243"/>
    </row>
    <row r="73" spans="1:87">
      <c r="A73" s="256" t="str">
        <f>IF((RIGHT(A56,1))&lt;&gt;"Z",CHAR(CODE(A56))&amp;CHAR(CODE(RIGHT(A56,1))+1),CHAR(CODE(A56)+1)&amp;"A")</f>
        <v>AD</v>
      </c>
      <c r="B73" s="270" t="str">
        <f>INDEX(SourceID,MATCH($A73,SourceNumber,0),1,1)</f>
        <v>EF-4</v>
      </c>
      <c r="C73" s="354">
        <f>INDEX(SourceExitDiameter,MATCH($A73,SourceNumber,0),1,1)*3.28*12</f>
        <v>38</v>
      </c>
      <c r="D73" s="24" t="str">
        <f>UAnem1percent</f>
        <v>1% Wind</v>
      </c>
      <c r="E73" s="350" t="e">
        <f ca="1">INDIRECT(ADDRESS(53,6,1,,CONCATENATE("TA",$A73)))</f>
        <v>#REF!</v>
      </c>
      <c r="F73" s="625" t="e">
        <f ca="1">(ROUND((INDIRECT(ADDRESS(15,7,1,,CONCATENATE("TA",$A73)))*3.28*12*32),0)&amp;"/32")</f>
        <v>#REF!</v>
      </c>
      <c r="G73" s="125">
        <f ca="1">INDIRECT(ADDRESS(29,7,1,,$A73))</f>
        <v>6.001707317073171</v>
      </c>
      <c r="H73" s="24" t="e">
        <f ca="1">INDIRECT(ADDRESS(19,7,1,,$A73))*100^3</f>
        <v>#VALUE!</v>
      </c>
      <c r="I73" s="941">
        <f ca="1">INDIRECT(ADDRESS(53,7,1,,$A73))</f>
        <v>0.97430000000000005</v>
      </c>
      <c r="J73" s="20" t="str">
        <f ca="1">IF($I73=$I$6,K$16&amp;$G$6&amp;J$6,IF($I73=$I$7,K$16&amp;$G$7&amp;J$7,"Bad"))</f>
        <v>100N2Pick a Tunnel</v>
      </c>
      <c r="K73" t="e">
        <f ca="1">INDEX(FlowCalGasMixture,MATCH(J73,FlowCalNumber,0),1,1)</f>
        <v>#N/A</v>
      </c>
      <c r="M73" s="944" t="e">
        <f ca="1">INDEX(FlowCalDevice,MATCH(J73,FlowCalNumber,0),1,1)</f>
        <v>#N/A</v>
      </c>
      <c r="N73" s="20" t="str">
        <f ca="1">IF($I73=$I$6,O$16&amp;$G$6&amp;N$6,IF($I73=$I$7,O$16&amp;$G$7&amp;N$7,"Bad"))</f>
        <v>100N2Pick a Tunnel</v>
      </c>
      <c r="O73" t="e">
        <f ca="1">INDEX(FlowCalGasMixture,MATCH(N73,FlowCalNumber,0),1,1)</f>
        <v>#N/A</v>
      </c>
      <c r="Q73" s="944" t="e">
        <f ca="1">INDEX(FlowCalDevice,MATCH(N73,FlowCalNumber,0),1,1)</f>
        <v>#N/A</v>
      </c>
      <c r="R73" s="20" t="str">
        <f ca="1">IF($I73=$I$6,S$16&amp;$G$6&amp;R$6,IF($I73=$I$7,S$16&amp;$G$7&amp;R$7,"Bad"))</f>
        <v>100N2Pick a Tunnel</v>
      </c>
      <c r="S73" t="e">
        <f ca="1">INDEX(FlowCalGasMixture,MATCH(R73,FlowCalNumber,0),1,1)</f>
        <v>#N/A</v>
      </c>
      <c r="U73" s="944" t="e">
        <f ca="1">INDEX(FlowCalDevice,MATCH(R73,FlowCalNumber,0),1,1)</f>
        <v>#N/A</v>
      </c>
      <c r="V73" s="20"/>
      <c r="Y73" s="944"/>
      <c r="Z73" s="946"/>
      <c r="AC73" s="944"/>
      <c r="AD73" s="20"/>
      <c r="AG73" s="944"/>
      <c r="AH73" s="946"/>
      <c r="AK73" s="982"/>
      <c r="AL73" s="355"/>
      <c r="AM73" s="355"/>
      <c r="AN73" s="355"/>
      <c r="AO73" s="355"/>
      <c r="AP73" s="355"/>
      <c r="AQ73" s="355"/>
      <c r="AR73" s="355"/>
      <c r="AS73" s="355"/>
      <c r="AT73" s="355"/>
      <c r="AU73" s="355"/>
      <c r="AV73" s="355"/>
      <c r="AW73" s="355"/>
      <c r="AX73" s="355"/>
      <c r="AY73" s="355"/>
      <c r="AZ73" s="355"/>
      <c r="BA73" s="355"/>
      <c r="BB73" s="355"/>
      <c r="BC73" s="355"/>
      <c r="BD73" s="355"/>
      <c r="BE73" s="355"/>
      <c r="BF73" s="355"/>
      <c r="BG73" s="355"/>
      <c r="BH73" s="355"/>
      <c r="BI73" s="355"/>
      <c r="BJ73" s="355"/>
      <c r="BK73" s="355"/>
      <c r="BL73" s="355"/>
      <c r="BM73" s="355"/>
      <c r="BN73" s="355"/>
      <c r="BO73" s="355"/>
      <c r="BP73" s="355"/>
      <c r="BQ73" s="355"/>
      <c r="BR73" s="355"/>
      <c r="BS73" s="355"/>
      <c r="BT73" s="46"/>
      <c r="BU73" s="16"/>
      <c r="BW73" s="355"/>
      <c r="BX73" s="42"/>
      <c r="BY73" s="16"/>
      <c r="CA73" s="355"/>
      <c r="CB73" s="42"/>
      <c r="CC73" s="16"/>
      <c r="CE73" s="355"/>
      <c r="CF73" s="42"/>
      <c r="CG73" s="16"/>
      <c r="CI73" s="355"/>
    </row>
    <row r="74" spans="1:87" s="1215" customFormat="1">
      <c r="A74" s="1222"/>
      <c r="B74" s="1223" t="str">
        <f t="shared" ref="B74:B88" si="32">IF(D74=UAnem1percent,"1% Wind","")</f>
        <v/>
      </c>
      <c r="C74" s="1210"/>
      <c r="D74" s="1211">
        <f>'1% Wind'!$M$82</f>
        <v>27</v>
      </c>
      <c r="E74" s="1212"/>
      <c r="F74" s="1212"/>
      <c r="G74" s="1364">
        <v>2</v>
      </c>
      <c r="H74" s="1214" t="e">
        <f t="shared" ref="H74:H88" ca="1" si="33">H73*(D73/D74)*(G74/G73)</f>
        <v>#VALUE!</v>
      </c>
      <c r="J74" s="1224"/>
      <c r="K74" s="1221">
        <f>K$17/100</f>
        <v>1</v>
      </c>
      <c r="L74" s="1218" t="e">
        <f ca="1">K74*$H74</f>
        <v>#VALUE!</v>
      </c>
      <c r="M74" s="1219" t="e">
        <f ca="1">IF(AND(INDEX(FlowCalConstA,MATCH(J73,FlowCalNumber,0),1,1)*L74^INDEX(FlowCalConstB,MATCH(J73,FlowCalNumber,0),1,1)&gt;INDEX(FlowCalLowSetting,MATCH(J73,FlowCalNumber,0),1,1), (INDEX(FlowCalConstA,MATCH(J73,FlowCalNumber,0),1,1)*L74^INDEX(FlowCalConstB,MATCH(J73,FlowCalNumber,0),1,1)&lt;INDEX(FlowCalHighSetting,MATCH(J73,FlowCalNumber,0),1,1))),INDEX(FlowCalConstA,MATCH(J73,FlowCalNumber,0),1,1)*L74^INDEX(FlowCalConstB,MATCH(J73,FlowCalNumber,0),1,1)," ")</f>
        <v>#N/A</v>
      </c>
      <c r="N74" s="1224"/>
      <c r="O74" s="1221">
        <f>O$17/100</f>
        <v>1</v>
      </c>
      <c r="P74" s="1218" t="e">
        <f ca="1">O74*$H74</f>
        <v>#VALUE!</v>
      </c>
      <c r="Q74" s="1219" t="e">
        <f ca="1">IF(AND(INDEX(FlowCalConstA,MATCH(N73,FlowCalNumber,0),1,1)*P74^INDEX(FlowCalConstB,MATCH(N73,FlowCalNumber,0),1,1)&gt;INDEX(FlowCalLowSetting,MATCH(N73,FlowCalNumber,0),1,1), (INDEX(FlowCalConstA,MATCH(N73,FlowCalNumber,0),1,1)*P74^INDEX(FlowCalConstB,MATCH(N73,FlowCalNumber,0),1,1)&lt;INDEX(FlowCalHighSetting,MATCH(N73,FlowCalNumber,0),1,1))),INDEX(FlowCalConstA,MATCH(N73,FlowCalNumber,0),1,1)*P74^INDEX(FlowCalConstB,MATCH(N73,FlowCalNumber,0),1,1)," ")</f>
        <v>#N/A</v>
      </c>
      <c r="R74" s="1224"/>
      <c r="S74" s="1221">
        <f>S$17/100</f>
        <v>1</v>
      </c>
      <c r="T74" s="1218" t="e">
        <f ca="1">S74*$H74</f>
        <v>#VALUE!</v>
      </c>
      <c r="U74" s="1219" t="e">
        <f ca="1">IF(AND(INDEX(FlowCalConstA,MATCH(R73,FlowCalNumber,0),1,1)*T74^INDEX(FlowCalConstB,MATCH(R73,FlowCalNumber,0),1,1)&gt;INDEX(FlowCalLowSetting,MATCH(R73,FlowCalNumber,0),1,1), (INDEX(FlowCalConstA,MATCH(R73,FlowCalNumber,0),1,1)*T74^INDEX(FlowCalConstB,MATCH(R73,FlowCalNumber,0),1,1)&lt;INDEX(FlowCalHighSetting,MATCH(R73,FlowCalNumber,0),1,1))),INDEX(FlowCalConstA,MATCH(R73,FlowCalNumber,0),1,1)*T74^INDEX(FlowCalConstB,MATCH(R73,FlowCalNumber,0),1,1)," ")</f>
        <v>#N/A</v>
      </c>
      <c r="V74" s="1224"/>
      <c r="W74" s="1221"/>
      <c r="X74" s="1218"/>
      <c r="Y74" s="1219"/>
      <c r="Z74" s="1224"/>
      <c r="AA74" s="1221"/>
      <c r="AB74" s="1218"/>
      <c r="AC74" s="1219"/>
      <c r="AD74" s="1224"/>
      <c r="AE74" s="1221"/>
      <c r="AF74" s="1218"/>
      <c r="AG74" s="1219"/>
      <c r="AH74" s="1224"/>
      <c r="AI74" s="1221"/>
      <c r="AJ74" s="1218"/>
      <c r="AK74" s="1220"/>
      <c r="AL74" s="1219"/>
      <c r="AM74" s="1219"/>
      <c r="AN74" s="1219"/>
      <c r="AO74" s="1219"/>
      <c r="AP74" s="1219"/>
      <c r="AQ74" s="1219"/>
      <c r="AR74" s="1219"/>
      <c r="AS74" s="1219"/>
      <c r="AT74" s="1219"/>
      <c r="AU74" s="1219"/>
      <c r="AV74" s="1219"/>
      <c r="AW74" s="1219"/>
      <c r="AX74" s="1219"/>
      <c r="AY74" s="1219"/>
      <c r="AZ74" s="1219"/>
      <c r="BA74" s="1219"/>
      <c r="BB74" s="1219"/>
      <c r="BC74" s="1219"/>
      <c r="BD74" s="1219"/>
      <c r="BE74" s="1219"/>
      <c r="BF74" s="1219"/>
      <c r="BG74" s="1219"/>
      <c r="BH74" s="1219"/>
      <c r="BI74" s="1219"/>
      <c r="BJ74" s="1219"/>
      <c r="BK74" s="1219"/>
      <c r="BL74" s="1219"/>
      <c r="BM74" s="1219"/>
      <c r="BN74" s="1219"/>
      <c r="BO74" s="1219"/>
      <c r="BP74" s="1219"/>
      <c r="BQ74" s="1219"/>
      <c r="BR74" s="1219"/>
      <c r="BS74" s="1219"/>
      <c r="BU74" s="1225"/>
      <c r="BW74" s="1219"/>
      <c r="BY74" s="1225"/>
      <c r="CA74" s="1219"/>
      <c r="CC74" s="1225"/>
      <c r="CE74" s="1219"/>
      <c r="CG74" s="1221"/>
      <c r="CI74" s="1219"/>
    </row>
    <row r="75" spans="1:87">
      <c r="A75" s="20"/>
      <c r="B75" s="124" t="str">
        <f t="shared" si="32"/>
        <v/>
      </c>
      <c r="C75" s="235"/>
      <c r="D75" s="24">
        <f>'1% Wind'!$M$83</f>
        <v>23.5</v>
      </c>
      <c r="E75" s="90"/>
      <c r="F75" s="90"/>
      <c r="G75" s="79">
        <f ca="1">IF(I73=0.9743,$G74,MAX(G74/D74*D75,2))</f>
        <v>2</v>
      </c>
      <c r="H75" s="121" t="e">
        <f t="shared" ca="1" si="33"/>
        <v>#VALUE!</v>
      </c>
      <c r="J75" s="33"/>
      <c r="K75" s="242">
        <f t="shared" ref="K75:K88" si="34">K74</f>
        <v>1</v>
      </c>
      <c r="L75" s="241" t="e">
        <f t="shared" ref="L75:L88" ca="1" si="35">K75*$H75</f>
        <v>#VALUE!</v>
      </c>
      <c r="M75" s="243" t="e">
        <f ca="1">IF(AND(INDEX(FlowCalConstA,MATCH(J73,FlowCalNumber,0),1,1)*L75^INDEX(FlowCalConstB,MATCH(J73,FlowCalNumber,0),1,1)&gt;INDEX(FlowCalLowSetting,MATCH(J73,FlowCalNumber,0),1,1), (INDEX(FlowCalConstA,MATCH(J73,FlowCalNumber,0),1,1)*L75^INDEX(FlowCalConstB,MATCH(J73,FlowCalNumber,0),1,1)&lt;INDEX(FlowCalHighSetting,MATCH(J73,FlowCalNumber,0),1,1))),INDEX(FlowCalConstA,MATCH(J73,FlowCalNumber,0),1,1)*L75^INDEX(FlowCalConstB,MATCH(J73,FlowCalNumber,0),1,1)," ")</f>
        <v>#N/A</v>
      </c>
      <c r="N75" s="33"/>
      <c r="O75" s="242">
        <f t="shared" ref="O75:O88" si="36">O74</f>
        <v>1</v>
      </c>
      <c r="P75" s="241" t="e">
        <f t="shared" ref="P75:P88" ca="1" si="37">O75*$H75</f>
        <v>#VALUE!</v>
      </c>
      <c r="Q75" s="243" t="e">
        <f ca="1">IF(AND(INDEX(FlowCalConstA,MATCH(N73,FlowCalNumber,0),1,1)*P75^INDEX(FlowCalConstB,MATCH(N73,FlowCalNumber,0),1,1)&gt;INDEX(FlowCalLowSetting,MATCH(N73,FlowCalNumber,0),1,1), (INDEX(FlowCalConstA,MATCH(N73,FlowCalNumber,0),1,1)*P75^INDEX(FlowCalConstB,MATCH(N73,FlowCalNumber,0),1,1)&lt;INDEX(FlowCalHighSetting,MATCH(N73,FlowCalNumber,0),1,1))),INDEX(FlowCalConstA,MATCH(N73,FlowCalNumber,0),1,1)*P75^INDEX(FlowCalConstB,MATCH(N73,FlowCalNumber,0),1,1)," ")</f>
        <v>#N/A</v>
      </c>
      <c r="R75" s="33"/>
      <c r="S75" s="242">
        <f t="shared" ref="S75:S88" si="38">S74</f>
        <v>1</v>
      </c>
      <c r="T75" s="241" t="e">
        <f t="shared" ref="T75:T88" ca="1" si="39">S75*$H75</f>
        <v>#VALUE!</v>
      </c>
      <c r="U75" s="243" t="e">
        <f ca="1">IF(AND(INDEX(FlowCalConstA,MATCH(R73,FlowCalNumber,0),1,1)*T75^INDEX(FlowCalConstB,MATCH(R73,FlowCalNumber,0),1,1)&gt;INDEX(FlowCalLowSetting,MATCH(R73,FlowCalNumber,0),1,1), (INDEX(FlowCalConstA,MATCH(R73,FlowCalNumber,0),1,1)*T75^INDEX(FlowCalConstB,MATCH(R73,FlowCalNumber,0),1,1)&lt;INDEX(FlowCalHighSetting,MATCH(R73,FlowCalNumber,0),1,1))),INDEX(FlowCalConstA,MATCH(R73,FlowCalNumber,0),1,1)*T75^INDEX(FlowCalConstB,MATCH(R73,FlowCalNumber,0),1,1)," ")</f>
        <v>#N/A</v>
      </c>
      <c r="V75" s="33"/>
      <c r="W75" s="242"/>
      <c r="X75" s="241"/>
      <c r="Y75" s="243"/>
      <c r="Z75" s="33"/>
      <c r="AA75" s="242"/>
      <c r="AB75" s="241"/>
      <c r="AC75" s="243"/>
      <c r="AD75" s="33"/>
      <c r="AE75" s="242"/>
      <c r="AF75" s="241"/>
      <c r="AG75" s="243"/>
      <c r="AH75" s="33"/>
      <c r="AI75" s="242"/>
      <c r="AJ75" s="241"/>
      <c r="AK75" s="244"/>
      <c r="AL75" s="243"/>
      <c r="AM75" s="243"/>
      <c r="AN75" s="243"/>
      <c r="AO75" s="243"/>
      <c r="AP75" s="243"/>
      <c r="AQ75" s="243"/>
      <c r="AR75" s="243"/>
      <c r="AS75" s="243"/>
      <c r="AT75" s="243"/>
      <c r="AU75" s="243"/>
      <c r="AV75" s="243"/>
      <c r="AW75" s="243"/>
      <c r="AX75" s="243"/>
      <c r="AY75" s="243"/>
      <c r="AZ75" s="243"/>
      <c r="BA75" s="243"/>
      <c r="BB75" s="243"/>
      <c r="BC75" s="243"/>
      <c r="BD75" s="243"/>
      <c r="BE75" s="243"/>
      <c r="BF75" s="243"/>
      <c r="BG75" s="243"/>
      <c r="BH75" s="243"/>
      <c r="BI75" s="243"/>
      <c r="BJ75" s="243"/>
      <c r="BK75" s="243"/>
      <c r="BL75" s="243"/>
      <c r="BM75" s="243"/>
      <c r="BN75" s="243"/>
      <c r="BO75" s="243"/>
      <c r="BP75" s="243"/>
      <c r="BQ75" s="243"/>
      <c r="BR75" s="243"/>
      <c r="BS75" s="243"/>
      <c r="BU75" s="242"/>
      <c r="BW75" s="243"/>
      <c r="BY75" s="242"/>
      <c r="CA75" s="243"/>
      <c r="CC75" s="242"/>
      <c r="CE75" s="243"/>
      <c r="CG75" s="242"/>
      <c r="CI75" s="243"/>
    </row>
    <row r="76" spans="1:87" s="1215" customFormat="1">
      <c r="A76" s="1222"/>
      <c r="B76" s="1223" t="str">
        <f t="shared" si="32"/>
        <v/>
      </c>
      <c r="C76" s="1210"/>
      <c r="D76" s="1211">
        <f>'1% Wind'!$M$84</f>
        <v>20.5</v>
      </c>
      <c r="E76" s="1212"/>
      <c r="F76" s="1212"/>
      <c r="G76" s="1213">
        <f ca="1">IF(I73=0.9743,$G75,MAX(G75/D75*D76,2))</f>
        <v>2</v>
      </c>
      <c r="H76" s="1214" t="e">
        <f t="shared" ca="1" si="33"/>
        <v>#VALUE!</v>
      </c>
      <c r="J76" s="1224"/>
      <c r="K76" s="1217">
        <f t="shared" si="34"/>
        <v>1</v>
      </c>
      <c r="L76" s="1218" t="e">
        <f t="shared" ca="1" si="35"/>
        <v>#VALUE!</v>
      </c>
      <c r="M76" s="1219" t="e">
        <f ca="1">IF(AND(INDEX(FlowCalConstA,MATCH(J73,FlowCalNumber,0),1,1)*L76^INDEX(FlowCalConstB,MATCH(J73,FlowCalNumber,0),1,1)&gt;INDEX(FlowCalLowSetting,MATCH(J73,FlowCalNumber,0),1,1), (INDEX(FlowCalConstA,MATCH(J73,FlowCalNumber,0),1,1)*L76^INDEX(FlowCalConstB,MATCH(J73,FlowCalNumber,0),1,1)&lt;INDEX(FlowCalHighSetting,MATCH(J73,FlowCalNumber,0),1,1))),INDEX(FlowCalConstA,MATCH(J73,FlowCalNumber,0),1,1)*L76^INDEX(FlowCalConstB,MATCH(J73,FlowCalNumber,0),1,1)," ")</f>
        <v>#N/A</v>
      </c>
      <c r="N76" s="1224"/>
      <c r="O76" s="1217">
        <f t="shared" si="36"/>
        <v>1</v>
      </c>
      <c r="P76" s="1218" t="e">
        <f t="shared" ca="1" si="37"/>
        <v>#VALUE!</v>
      </c>
      <c r="Q76" s="1219" t="e">
        <f ca="1">IF(AND(INDEX(FlowCalConstA,MATCH(N73,FlowCalNumber,0),1,1)*P76^INDEX(FlowCalConstB,MATCH(N73,FlowCalNumber,0),1,1)&gt;INDEX(FlowCalLowSetting,MATCH(N73,FlowCalNumber,0),1,1), (INDEX(FlowCalConstA,MATCH(N73,FlowCalNumber,0),1,1)*P76^INDEX(FlowCalConstB,MATCH(N73,FlowCalNumber,0),1,1)&lt;INDEX(FlowCalHighSetting,MATCH(N73,FlowCalNumber,0),1,1))),INDEX(FlowCalConstA,MATCH(N73,FlowCalNumber,0),1,1)*P76^INDEX(FlowCalConstB,MATCH(N73,FlowCalNumber,0),1,1)," ")</f>
        <v>#N/A</v>
      </c>
      <c r="R76" s="1224"/>
      <c r="S76" s="1217">
        <f t="shared" si="38"/>
        <v>1</v>
      </c>
      <c r="T76" s="1218" t="e">
        <f t="shared" ca="1" si="39"/>
        <v>#VALUE!</v>
      </c>
      <c r="U76" s="1219" t="e">
        <f ca="1">IF(AND(INDEX(FlowCalConstA,MATCH(R73,FlowCalNumber,0),1,1)*T76^INDEX(FlowCalConstB,MATCH(R73,FlowCalNumber,0),1,1)&gt;INDEX(FlowCalLowSetting,MATCH(R73,FlowCalNumber,0),1,1), (INDEX(FlowCalConstA,MATCH(R73,FlowCalNumber,0),1,1)*T76^INDEX(FlowCalConstB,MATCH(R73,FlowCalNumber,0),1,1)&lt;INDEX(FlowCalHighSetting,MATCH(R73,FlowCalNumber,0),1,1))),INDEX(FlowCalConstA,MATCH(R73,FlowCalNumber,0),1,1)*T76^INDEX(FlowCalConstB,MATCH(R73,FlowCalNumber,0),1,1)," ")</f>
        <v>#N/A</v>
      </c>
      <c r="V76" s="1224"/>
      <c r="W76" s="1217"/>
      <c r="X76" s="1218"/>
      <c r="Y76" s="1219"/>
      <c r="Z76" s="1224"/>
      <c r="AA76" s="1217"/>
      <c r="AB76" s="1218"/>
      <c r="AC76" s="1219"/>
      <c r="AD76" s="1224"/>
      <c r="AE76" s="1217"/>
      <c r="AF76" s="1218"/>
      <c r="AG76" s="1219"/>
      <c r="AH76" s="1224"/>
      <c r="AI76" s="1217"/>
      <c r="AJ76" s="1218"/>
      <c r="AK76" s="1220"/>
      <c r="AL76" s="1219"/>
      <c r="AM76" s="1219"/>
      <c r="AN76" s="1219"/>
      <c r="AO76" s="1219"/>
      <c r="AP76" s="1219"/>
      <c r="AQ76" s="1219"/>
      <c r="AR76" s="1219"/>
      <c r="AS76" s="1219"/>
      <c r="AT76" s="1219"/>
      <c r="AU76" s="1219"/>
      <c r="AV76" s="1219"/>
      <c r="AW76" s="1219"/>
      <c r="AX76" s="1219"/>
      <c r="AY76" s="1219"/>
      <c r="AZ76" s="1219"/>
      <c r="BA76" s="1219"/>
      <c r="BB76" s="1219"/>
      <c r="BC76" s="1219"/>
      <c r="BD76" s="1219"/>
      <c r="BE76" s="1219"/>
      <c r="BF76" s="1219"/>
      <c r="BG76" s="1219"/>
      <c r="BH76" s="1219"/>
      <c r="BI76" s="1219"/>
      <c r="BJ76" s="1219"/>
      <c r="BK76" s="1219"/>
      <c r="BL76" s="1219"/>
      <c r="BM76" s="1219"/>
      <c r="BN76" s="1219"/>
      <c r="BO76" s="1219"/>
      <c r="BP76" s="1219"/>
      <c r="BQ76" s="1219"/>
      <c r="BR76" s="1219"/>
      <c r="BS76" s="1219"/>
      <c r="BU76" s="1217"/>
      <c r="BW76" s="1219"/>
      <c r="BY76" s="1217"/>
      <c r="CA76" s="1219"/>
      <c r="CC76" s="1217"/>
      <c r="CE76" s="1219"/>
      <c r="CG76" s="1217"/>
      <c r="CI76" s="1219"/>
    </row>
    <row r="77" spans="1:87">
      <c r="A77" s="20"/>
      <c r="B77" s="124" t="str">
        <f t="shared" si="32"/>
        <v/>
      </c>
      <c r="C77" s="235"/>
      <c r="D77" s="24">
        <f>'1% Wind'!$M$85</f>
        <v>17.8</v>
      </c>
      <c r="E77" s="90"/>
      <c r="F77" s="90"/>
      <c r="G77" s="79">
        <f ca="1">IF(I73=0.9743,$G76,MAX(G76/D76*D77,2))</f>
        <v>2</v>
      </c>
      <c r="H77" s="121" t="e">
        <f t="shared" ca="1" si="33"/>
        <v>#VALUE!</v>
      </c>
      <c r="J77" s="33"/>
      <c r="K77" s="242">
        <f t="shared" si="34"/>
        <v>1</v>
      </c>
      <c r="L77" s="241" t="e">
        <f t="shared" ca="1" si="35"/>
        <v>#VALUE!</v>
      </c>
      <c r="M77" s="243" t="e">
        <f ca="1">IF(AND(INDEX(FlowCalConstA,MATCH(J73,FlowCalNumber,0),1,1)*L77^INDEX(FlowCalConstB,MATCH(J73,FlowCalNumber,0),1,1)&gt;INDEX(FlowCalLowSetting,MATCH(J73,FlowCalNumber,0),1,1), (INDEX(FlowCalConstA,MATCH(J73,FlowCalNumber,0),1,1)*L77^INDEX(FlowCalConstB,MATCH(J73,FlowCalNumber,0),1,1)&lt;INDEX(FlowCalHighSetting,MATCH(J73,FlowCalNumber,0),1,1))),INDEX(FlowCalConstA,MATCH(J73,FlowCalNumber,0),1,1)*L77^INDEX(FlowCalConstB,MATCH(J73,FlowCalNumber,0),1,1)," ")</f>
        <v>#N/A</v>
      </c>
      <c r="N77" s="33"/>
      <c r="O77" s="242">
        <f t="shared" si="36"/>
        <v>1</v>
      </c>
      <c r="P77" s="241" t="e">
        <f t="shared" ca="1" si="37"/>
        <v>#VALUE!</v>
      </c>
      <c r="Q77" s="243" t="e">
        <f ca="1">IF(AND(INDEX(FlowCalConstA,MATCH(N73,FlowCalNumber,0),1,1)*P77^INDEX(FlowCalConstB,MATCH(N73,FlowCalNumber,0),1,1)&gt;INDEX(FlowCalLowSetting,MATCH(N73,FlowCalNumber,0),1,1), (INDEX(FlowCalConstA,MATCH(N73,FlowCalNumber,0),1,1)*P77^INDEX(FlowCalConstB,MATCH(N73,FlowCalNumber,0),1,1)&lt;INDEX(FlowCalHighSetting,MATCH(N73,FlowCalNumber,0),1,1))),INDEX(FlowCalConstA,MATCH(N73,FlowCalNumber,0),1,1)*P77^INDEX(FlowCalConstB,MATCH(N73,FlowCalNumber,0),1,1)," ")</f>
        <v>#N/A</v>
      </c>
      <c r="R77" s="33"/>
      <c r="S77" s="242">
        <f t="shared" si="38"/>
        <v>1</v>
      </c>
      <c r="T77" s="241" t="e">
        <f t="shared" ca="1" si="39"/>
        <v>#VALUE!</v>
      </c>
      <c r="U77" s="243" t="e">
        <f ca="1">IF(AND(INDEX(FlowCalConstA,MATCH(R73,FlowCalNumber,0),1,1)*T77^INDEX(FlowCalConstB,MATCH(R73,FlowCalNumber,0),1,1)&gt;INDEX(FlowCalLowSetting,MATCH(R73,FlowCalNumber,0),1,1), (INDEX(FlowCalConstA,MATCH(R73,FlowCalNumber,0),1,1)*T77^INDEX(FlowCalConstB,MATCH(R73,FlowCalNumber,0),1,1)&lt;INDEX(FlowCalHighSetting,MATCH(R73,FlowCalNumber,0),1,1))),INDEX(FlowCalConstA,MATCH(R73,FlowCalNumber,0),1,1)*T77^INDEX(FlowCalConstB,MATCH(R73,FlowCalNumber,0),1,1)," ")</f>
        <v>#N/A</v>
      </c>
      <c r="V77" s="33"/>
      <c r="W77" s="242"/>
      <c r="X77" s="241"/>
      <c r="Y77" s="243"/>
      <c r="Z77" s="33"/>
      <c r="AA77" s="242"/>
      <c r="AB77" s="241"/>
      <c r="AC77" s="243"/>
      <c r="AD77" s="33"/>
      <c r="AE77" s="242"/>
      <c r="AF77" s="241"/>
      <c r="AG77" s="243"/>
      <c r="AH77" s="33"/>
      <c r="AI77" s="242"/>
      <c r="AJ77" s="241"/>
      <c r="AK77" s="244"/>
      <c r="AL77" s="243"/>
      <c r="AM77" s="243"/>
      <c r="AN77" s="243"/>
      <c r="AO77" s="243"/>
      <c r="AP77" s="243"/>
      <c r="AQ77" s="243"/>
      <c r="AR77" s="243"/>
      <c r="AS77" s="243"/>
      <c r="AT77" s="243"/>
      <c r="AU77" s="243"/>
      <c r="AV77" s="243"/>
      <c r="AW77" s="243"/>
      <c r="AX77" s="243"/>
      <c r="AY77" s="243"/>
      <c r="AZ77" s="243"/>
      <c r="BA77" s="243"/>
      <c r="BB77" s="243"/>
      <c r="BC77" s="243"/>
      <c r="BD77" s="243"/>
      <c r="BE77" s="243"/>
      <c r="BF77" s="243"/>
      <c r="BG77" s="243"/>
      <c r="BH77" s="243"/>
      <c r="BI77" s="243"/>
      <c r="BJ77" s="243"/>
      <c r="BK77" s="243"/>
      <c r="BL77" s="243"/>
      <c r="BM77" s="243"/>
      <c r="BN77" s="243"/>
      <c r="BO77" s="243"/>
      <c r="BP77" s="243"/>
      <c r="BQ77" s="243"/>
      <c r="BR77" s="243"/>
      <c r="BS77" s="243"/>
      <c r="BU77" s="242"/>
      <c r="BW77" s="243"/>
      <c r="BY77" s="242"/>
      <c r="CA77" s="243"/>
      <c r="CC77" s="242"/>
      <c r="CE77" s="243"/>
      <c r="CG77" s="242"/>
      <c r="CI77" s="243"/>
    </row>
    <row r="78" spans="1:87" s="1215" customFormat="1">
      <c r="A78" s="1222"/>
      <c r="B78" s="1223" t="str">
        <f t="shared" si="32"/>
        <v/>
      </c>
      <c r="C78" s="1210"/>
      <c r="D78" s="1211">
        <f>'1% Wind'!$M$86</f>
        <v>15.5</v>
      </c>
      <c r="E78" s="1212"/>
      <c r="F78" s="1212"/>
      <c r="G78" s="1213">
        <f ca="1">IF(I73=0.9743,$G77,MAX(G77/D77*D78,2))</f>
        <v>2</v>
      </c>
      <c r="H78" s="1214" t="e">
        <f t="shared" ca="1" si="33"/>
        <v>#VALUE!</v>
      </c>
      <c r="J78" s="1224"/>
      <c r="K78" s="1217">
        <f t="shared" si="34"/>
        <v>1</v>
      </c>
      <c r="L78" s="1218" t="e">
        <f t="shared" ca="1" si="35"/>
        <v>#VALUE!</v>
      </c>
      <c r="M78" s="1219" t="e">
        <f ca="1">IF(AND(INDEX(FlowCalConstA,MATCH(J73,FlowCalNumber,0),1,1)*L78^INDEX(FlowCalConstB,MATCH(J73,FlowCalNumber,0),1,1)&gt;INDEX(FlowCalLowSetting,MATCH(J73,FlowCalNumber,0),1,1), (INDEX(FlowCalConstA,MATCH(J73,FlowCalNumber,0),1,1)*L78^INDEX(FlowCalConstB,MATCH(J73,FlowCalNumber,0),1,1)&lt;INDEX(FlowCalHighSetting,MATCH(J73,FlowCalNumber,0),1,1))),INDEX(FlowCalConstA,MATCH(J73,FlowCalNumber,0),1,1)*L78^INDEX(FlowCalConstB,MATCH(J73,FlowCalNumber,0),1,1)," ")</f>
        <v>#N/A</v>
      </c>
      <c r="N78" s="1224"/>
      <c r="O78" s="1217">
        <f t="shared" si="36"/>
        <v>1</v>
      </c>
      <c r="P78" s="1218" t="e">
        <f t="shared" ca="1" si="37"/>
        <v>#VALUE!</v>
      </c>
      <c r="Q78" s="1219" t="e">
        <f ca="1">IF(AND(INDEX(FlowCalConstA,MATCH(N73,FlowCalNumber,0),1,1)*P78^INDEX(FlowCalConstB,MATCH(N73,FlowCalNumber,0),1,1)&gt;INDEX(FlowCalLowSetting,MATCH(N73,FlowCalNumber,0),1,1), (INDEX(FlowCalConstA,MATCH(N73,FlowCalNumber,0),1,1)*P78^INDEX(FlowCalConstB,MATCH(N73,FlowCalNumber,0),1,1)&lt;INDEX(FlowCalHighSetting,MATCH(N73,FlowCalNumber,0),1,1))),INDEX(FlowCalConstA,MATCH(N73,FlowCalNumber,0),1,1)*P78^INDEX(FlowCalConstB,MATCH(N73,FlowCalNumber,0),1,1)," ")</f>
        <v>#N/A</v>
      </c>
      <c r="R78" s="1224"/>
      <c r="S78" s="1217">
        <f t="shared" si="38"/>
        <v>1</v>
      </c>
      <c r="T78" s="1218" t="e">
        <f t="shared" ca="1" si="39"/>
        <v>#VALUE!</v>
      </c>
      <c r="U78" s="1219" t="e">
        <f ca="1">IF(AND(INDEX(FlowCalConstA,MATCH(R73,FlowCalNumber,0),1,1)*T78^INDEX(FlowCalConstB,MATCH(R73,FlowCalNumber,0),1,1)&gt;INDEX(FlowCalLowSetting,MATCH(R73,FlowCalNumber,0),1,1), (INDEX(FlowCalConstA,MATCH(R73,FlowCalNumber,0),1,1)*T78^INDEX(FlowCalConstB,MATCH(R73,FlowCalNumber,0),1,1)&lt;INDEX(FlowCalHighSetting,MATCH(R73,FlowCalNumber,0),1,1))),INDEX(FlowCalConstA,MATCH(R73,FlowCalNumber,0),1,1)*T78^INDEX(FlowCalConstB,MATCH(R73,FlowCalNumber,0),1,1)," ")</f>
        <v>#N/A</v>
      </c>
      <c r="V78" s="1224"/>
      <c r="W78" s="1217"/>
      <c r="X78" s="1218"/>
      <c r="Y78" s="1219"/>
      <c r="Z78" s="1224"/>
      <c r="AA78" s="1217"/>
      <c r="AB78" s="1218"/>
      <c r="AC78" s="1219"/>
      <c r="AD78" s="1224"/>
      <c r="AE78" s="1217"/>
      <c r="AF78" s="1218"/>
      <c r="AG78" s="1219"/>
      <c r="AH78" s="1224"/>
      <c r="AI78" s="1217"/>
      <c r="AJ78" s="1218"/>
      <c r="AK78" s="1220"/>
      <c r="AL78" s="1219"/>
      <c r="AM78" s="1219"/>
      <c r="AN78" s="1219"/>
      <c r="AO78" s="1219"/>
      <c r="AP78" s="1219"/>
      <c r="AQ78" s="1219"/>
      <c r="AR78" s="1219"/>
      <c r="AS78" s="1219"/>
      <c r="AT78" s="1219"/>
      <c r="AU78" s="1219"/>
      <c r="AV78" s="1219"/>
      <c r="AW78" s="1219"/>
      <c r="AX78" s="1219"/>
      <c r="AY78" s="1219"/>
      <c r="AZ78" s="1219"/>
      <c r="BA78" s="1219"/>
      <c r="BB78" s="1219"/>
      <c r="BC78" s="1219"/>
      <c r="BD78" s="1219"/>
      <c r="BE78" s="1219"/>
      <c r="BF78" s="1219"/>
      <c r="BG78" s="1219"/>
      <c r="BH78" s="1219"/>
      <c r="BI78" s="1219"/>
      <c r="BJ78" s="1219"/>
      <c r="BK78" s="1219"/>
      <c r="BL78" s="1219"/>
      <c r="BM78" s="1219"/>
      <c r="BN78" s="1219"/>
      <c r="BO78" s="1219"/>
      <c r="BP78" s="1219"/>
      <c r="BQ78" s="1219"/>
      <c r="BR78" s="1219"/>
      <c r="BS78" s="1219"/>
      <c r="BU78" s="1217"/>
      <c r="BW78" s="1219"/>
      <c r="BY78" s="1217"/>
      <c r="CA78" s="1219"/>
      <c r="CC78" s="1217"/>
      <c r="CE78" s="1219"/>
      <c r="CG78" s="1217"/>
      <c r="CI78" s="1219"/>
    </row>
    <row r="79" spans="1:87">
      <c r="A79" s="20"/>
      <c r="B79" s="124" t="str">
        <f t="shared" si="32"/>
        <v/>
      </c>
      <c r="C79" s="235"/>
      <c r="D79" s="24">
        <f>'1% Wind'!$M$87</f>
        <v>13.5</v>
      </c>
      <c r="E79" s="90"/>
      <c r="F79" s="90"/>
      <c r="G79" s="79">
        <f ca="1">IF(I73=0.9743,$G78,MAX(G78/D78*D79,2))</f>
        <v>2</v>
      </c>
      <c r="H79" s="121" t="e">
        <f t="shared" ca="1" si="33"/>
        <v>#VALUE!</v>
      </c>
      <c r="J79" s="33"/>
      <c r="K79" s="242">
        <f t="shared" si="34"/>
        <v>1</v>
      </c>
      <c r="L79" s="241" t="e">
        <f t="shared" ca="1" si="35"/>
        <v>#VALUE!</v>
      </c>
      <c r="M79" s="243" t="e">
        <f ca="1">IF(AND(INDEX(FlowCalConstA,MATCH(J73,FlowCalNumber,0),1,1)*L79^INDEX(FlowCalConstB,MATCH(J73,FlowCalNumber,0),1,1)&gt;INDEX(FlowCalLowSetting,MATCH(J73,FlowCalNumber,0),1,1), (INDEX(FlowCalConstA,MATCH(J73,FlowCalNumber,0),1,1)*L79^INDEX(FlowCalConstB,MATCH(J73,FlowCalNumber,0),1,1)&lt;INDEX(FlowCalHighSetting,MATCH(J73,FlowCalNumber,0),1,1))),INDEX(FlowCalConstA,MATCH(J73,FlowCalNumber,0),1,1)*L79^INDEX(FlowCalConstB,MATCH(J73,FlowCalNumber,0),1,1)," ")</f>
        <v>#N/A</v>
      </c>
      <c r="N79" s="33"/>
      <c r="O79" s="242">
        <f t="shared" si="36"/>
        <v>1</v>
      </c>
      <c r="P79" s="241" t="e">
        <f t="shared" ca="1" si="37"/>
        <v>#VALUE!</v>
      </c>
      <c r="Q79" s="243" t="e">
        <f ca="1">IF(AND(INDEX(FlowCalConstA,MATCH(N73,FlowCalNumber,0),1,1)*P79^INDEX(FlowCalConstB,MATCH(N73,FlowCalNumber,0),1,1)&gt;INDEX(FlowCalLowSetting,MATCH(N73,FlowCalNumber,0),1,1), (INDEX(FlowCalConstA,MATCH(N73,FlowCalNumber,0),1,1)*P79^INDEX(FlowCalConstB,MATCH(N73,FlowCalNumber,0),1,1)&lt;INDEX(FlowCalHighSetting,MATCH(N73,FlowCalNumber,0),1,1))),INDEX(FlowCalConstA,MATCH(N73,FlowCalNumber,0),1,1)*P79^INDEX(FlowCalConstB,MATCH(N73,FlowCalNumber,0),1,1)," ")</f>
        <v>#N/A</v>
      </c>
      <c r="R79" s="33"/>
      <c r="S79" s="242">
        <f t="shared" si="38"/>
        <v>1</v>
      </c>
      <c r="T79" s="241" t="e">
        <f t="shared" ca="1" si="39"/>
        <v>#VALUE!</v>
      </c>
      <c r="U79" s="243" t="e">
        <f ca="1">IF(AND(INDEX(FlowCalConstA,MATCH(R73,FlowCalNumber,0),1,1)*T79^INDEX(FlowCalConstB,MATCH(R73,FlowCalNumber,0),1,1)&gt;INDEX(FlowCalLowSetting,MATCH(R73,FlowCalNumber,0),1,1), (INDEX(FlowCalConstA,MATCH(R73,FlowCalNumber,0),1,1)*T79^INDEX(FlowCalConstB,MATCH(R73,FlowCalNumber,0),1,1)&lt;INDEX(FlowCalHighSetting,MATCH(R73,FlowCalNumber,0),1,1))),INDEX(FlowCalConstA,MATCH(R73,FlowCalNumber,0),1,1)*T79^INDEX(FlowCalConstB,MATCH(R73,FlowCalNumber,0),1,1)," ")</f>
        <v>#N/A</v>
      </c>
      <c r="V79" s="33"/>
      <c r="W79" s="242"/>
      <c r="X79" s="241"/>
      <c r="Y79" s="243"/>
      <c r="Z79" s="33"/>
      <c r="AA79" s="242"/>
      <c r="AB79" s="241"/>
      <c r="AC79" s="243"/>
      <c r="AD79" s="33"/>
      <c r="AE79" s="242"/>
      <c r="AF79" s="241"/>
      <c r="AG79" s="243"/>
      <c r="AH79" s="33"/>
      <c r="AI79" s="242"/>
      <c r="AJ79" s="241"/>
      <c r="AK79" s="244"/>
      <c r="AL79" s="243"/>
      <c r="AM79" s="243"/>
      <c r="AN79" s="243"/>
      <c r="AO79" s="243"/>
      <c r="AP79" s="243"/>
      <c r="AQ79" s="243"/>
      <c r="AR79" s="243"/>
      <c r="AS79" s="243"/>
      <c r="AT79" s="243"/>
      <c r="AU79" s="243"/>
      <c r="AV79" s="243"/>
      <c r="AW79" s="243"/>
      <c r="AX79" s="243"/>
      <c r="AY79" s="243"/>
      <c r="AZ79" s="243"/>
      <c r="BA79" s="243"/>
      <c r="BB79" s="243"/>
      <c r="BC79" s="243"/>
      <c r="BD79" s="243"/>
      <c r="BE79" s="243"/>
      <c r="BF79" s="243"/>
      <c r="BG79" s="243"/>
      <c r="BH79" s="243"/>
      <c r="BI79" s="243"/>
      <c r="BJ79" s="243"/>
      <c r="BK79" s="243"/>
      <c r="BL79" s="243"/>
      <c r="BM79" s="243"/>
      <c r="BN79" s="243"/>
      <c r="BO79" s="243"/>
      <c r="BP79" s="243"/>
      <c r="BQ79" s="243"/>
      <c r="BR79" s="243"/>
      <c r="BS79" s="243"/>
      <c r="BU79" s="242"/>
      <c r="BW79" s="243"/>
      <c r="BY79" s="242"/>
      <c r="CA79" s="243"/>
      <c r="CC79" s="242"/>
      <c r="CE79" s="243"/>
      <c r="CG79" s="242"/>
      <c r="CI79" s="243"/>
    </row>
    <row r="80" spans="1:87" s="1215" customFormat="1">
      <c r="A80" s="1222"/>
      <c r="B80" s="1223" t="str">
        <f t="shared" si="32"/>
        <v/>
      </c>
      <c r="C80" s="1210"/>
      <c r="D80" s="1211">
        <f>'1% Wind'!$M$88</f>
        <v>10.1</v>
      </c>
      <c r="E80" s="1212"/>
      <c r="F80" s="1212"/>
      <c r="G80" s="1213">
        <f ca="1">IF(I73=0.9743,$G79,MAX(G79/D79*D80,2))</f>
        <v>2</v>
      </c>
      <c r="H80" s="1214" t="e">
        <f t="shared" ca="1" si="33"/>
        <v>#VALUE!</v>
      </c>
      <c r="J80" s="1224"/>
      <c r="K80" s="1217">
        <f t="shared" si="34"/>
        <v>1</v>
      </c>
      <c r="L80" s="1218" t="e">
        <f t="shared" ca="1" si="35"/>
        <v>#VALUE!</v>
      </c>
      <c r="M80" s="1219" t="e">
        <f ca="1">IF(AND(INDEX(FlowCalConstA,MATCH(J73,FlowCalNumber,0),1,1)*L80^INDEX(FlowCalConstB,MATCH(J73,FlowCalNumber,0),1,1)&gt;INDEX(FlowCalLowSetting,MATCH(J73,FlowCalNumber,0),1,1), (INDEX(FlowCalConstA,MATCH(J73,FlowCalNumber,0),1,1)*L80^INDEX(FlowCalConstB,MATCH(J73,FlowCalNumber,0),1,1)&lt;INDEX(FlowCalHighSetting,MATCH(J73,FlowCalNumber,0),1,1))),INDEX(FlowCalConstA,MATCH(J73,FlowCalNumber,0),1,1)*L80^INDEX(FlowCalConstB,MATCH(J73,FlowCalNumber,0),1,1)," ")</f>
        <v>#N/A</v>
      </c>
      <c r="N80" s="1224"/>
      <c r="O80" s="1217">
        <f t="shared" si="36"/>
        <v>1</v>
      </c>
      <c r="P80" s="1218" t="e">
        <f t="shared" ca="1" si="37"/>
        <v>#VALUE!</v>
      </c>
      <c r="Q80" s="1219" t="e">
        <f ca="1">IF(AND(INDEX(FlowCalConstA,MATCH(N73,FlowCalNumber,0),1,1)*P80^INDEX(FlowCalConstB,MATCH(N73,FlowCalNumber,0),1,1)&gt;INDEX(FlowCalLowSetting,MATCH(N73,FlowCalNumber,0),1,1), (INDEX(FlowCalConstA,MATCH(N73,FlowCalNumber,0),1,1)*P80^INDEX(FlowCalConstB,MATCH(N73,FlowCalNumber,0),1,1)&lt;INDEX(FlowCalHighSetting,MATCH(N73,FlowCalNumber,0),1,1))),INDEX(FlowCalConstA,MATCH(N73,FlowCalNumber,0),1,1)*P80^INDEX(FlowCalConstB,MATCH(N73,FlowCalNumber,0),1,1)," ")</f>
        <v>#N/A</v>
      </c>
      <c r="R80" s="1224"/>
      <c r="S80" s="1217">
        <f t="shared" si="38"/>
        <v>1</v>
      </c>
      <c r="T80" s="1218" t="e">
        <f t="shared" ca="1" si="39"/>
        <v>#VALUE!</v>
      </c>
      <c r="U80" s="1219" t="e">
        <f ca="1">IF(AND(INDEX(FlowCalConstA,MATCH(R73,FlowCalNumber,0),1,1)*T80^INDEX(FlowCalConstB,MATCH(R73,FlowCalNumber,0),1,1)&gt;INDEX(FlowCalLowSetting,MATCH(R73,FlowCalNumber,0),1,1), (INDEX(FlowCalConstA,MATCH(R73,FlowCalNumber,0),1,1)*T80^INDEX(FlowCalConstB,MATCH(R73,FlowCalNumber,0),1,1)&lt;INDEX(FlowCalHighSetting,MATCH(R73,FlowCalNumber,0),1,1))),INDEX(FlowCalConstA,MATCH(R73,FlowCalNumber,0),1,1)*T80^INDEX(FlowCalConstB,MATCH(R73,FlowCalNumber,0),1,1)," ")</f>
        <v>#N/A</v>
      </c>
      <c r="V80" s="1224"/>
      <c r="W80" s="1217"/>
      <c r="X80" s="1218"/>
      <c r="Y80" s="1219"/>
      <c r="Z80" s="1224"/>
      <c r="AA80" s="1217"/>
      <c r="AB80" s="1218"/>
      <c r="AC80" s="1219"/>
      <c r="AD80" s="1224"/>
      <c r="AE80" s="1217"/>
      <c r="AF80" s="1218"/>
      <c r="AG80" s="1219"/>
      <c r="AH80" s="1224"/>
      <c r="AI80" s="1217"/>
      <c r="AJ80" s="1218"/>
      <c r="AK80" s="1220"/>
      <c r="AL80" s="1219"/>
      <c r="AM80" s="1219"/>
      <c r="AN80" s="1219"/>
      <c r="AO80" s="1219"/>
      <c r="AP80" s="1219"/>
      <c r="AQ80" s="1219"/>
      <c r="AR80" s="1219"/>
      <c r="AS80" s="1219"/>
      <c r="AT80" s="1219"/>
      <c r="AU80" s="1219"/>
      <c r="AV80" s="1219"/>
      <c r="AW80" s="1219"/>
      <c r="AX80" s="1219"/>
      <c r="AY80" s="1219"/>
      <c r="AZ80" s="1219"/>
      <c r="BA80" s="1219"/>
      <c r="BB80" s="1219"/>
      <c r="BC80" s="1219"/>
      <c r="BD80" s="1219"/>
      <c r="BE80" s="1219"/>
      <c r="BF80" s="1219"/>
      <c r="BG80" s="1219"/>
      <c r="BH80" s="1219"/>
      <c r="BI80" s="1219"/>
      <c r="BJ80" s="1219"/>
      <c r="BK80" s="1219"/>
      <c r="BL80" s="1219"/>
      <c r="BM80" s="1219"/>
      <c r="BN80" s="1219"/>
      <c r="BO80" s="1219"/>
      <c r="BP80" s="1219"/>
      <c r="BQ80" s="1219"/>
      <c r="BR80" s="1219"/>
      <c r="BS80" s="1219"/>
      <c r="BU80" s="1217"/>
      <c r="BW80" s="1219"/>
      <c r="BY80" s="1217"/>
      <c r="CA80" s="1219"/>
      <c r="CC80" s="1217"/>
      <c r="CE80" s="1219"/>
      <c r="CG80" s="1217"/>
      <c r="CI80" s="1219"/>
    </row>
    <row r="81" spans="1:87">
      <c r="A81" s="20"/>
      <c r="B81" s="124" t="str">
        <f t="shared" si="32"/>
        <v/>
      </c>
      <c r="C81" s="235"/>
      <c r="D81" s="24">
        <f>'1% Wind'!$M$89</f>
        <v>7.6</v>
      </c>
      <c r="E81" s="90"/>
      <c r="F81" s="90"/>
      <c r="G81" s="79">
        <f ca="1">IF(I73=0.9743,$G80,MAX(G80/D80*D81,2))</f>
        <v>2</v>
      </c>
      <c r="H81" s="121" t="e">
        <f t="shared" ca="1" si="33"/>
        <v>#VALUE!</v>
      </c>
      <c r="J81" s="33"/>
      <c r="K81" s="242">
        <f t="shared" si="34"/>
        <v>1</v>
      </c>
      <c r="L81" s="241" t="e">
        <f t="shared" ca="1" si="35"/>
        <v>#VALUE!</v>
      </c>
      <c r="M81" s="243" t="e">
        <f ca="1">IF(AND(INDEX(FlowCalConstA,MATCH(J73,FlowCalNumber,0),1,1)*L81^INDEX(FlowCalConstB,MATCH(J73,FlowCalNumber,0),1,1)&gt;INDEX(FlowCalLowSetting,MATCH(J73,FlowCalNumber,0),1,1), (INDEX(FlowCalConstA,MATCH(J73,FlowCalNumber,0),1,1)*L81^INDEX(FlowCalConstB,MATCH(J73,FlowCalNumber,0),1,1)&lt;INDEX(FlowCalHighSetting,MATCH(J73,FlowCalNumber,0),1,1))),INDEX(FlowCalConstA,MATCH(J73,FlowCalNumber,0),1,1)*L81^INDEX(FlowCalConstB,MATCH(J73,FlowCalNumber,0),1,1)," ")</f>
        <v>#N/A</v>
      </c>
      <c r="N81" s="33"/>
      <c r="O81" s="242">
        <f t="shared" si="36"/>
        <v>1</v>
      </c>
      <c r="P81" s="241" t="e">
        <f t="shared" ca="1" si="37"/>
        <v>#VALUE!</v>
      </c>
      <c r="Q81" s="243" t="e">
        <f ca="1">IF(AND(INDEX(FlowCalConstA,MATCH(N73,FlowCalNumber,0),1,1)*P81^INDEX(FlowCalConstB,MATCH(N73,FlowCalNumber,0),1,1)&gt;INDEX(FlowCalLowSetting,MATCH(N73,FlowCalNumber,0),1,1), (INDEX(FlowCalConstA,MATCH(N73,FlowCalNumber,0),1,1)*P81^INDEX(FlowCalConstB,MATCH(N73,FlowCalNumber,0),1,1)&lt;INDEX(FlowCalHighSetting,MATCH(N73,FlowCalNumber,0),1,1))),INDEX(FlowCalConstA,MATCH(N73,FlowCalNumber,0),1,1)*P81^INDEX(FlowCalConstB,MATCH(N73,FlowCalNumber,0),1,1)," ")</f>
        <v>#N/A</v>
      </c>
      <c r="R81" s="33"/>
      <c r="S81" s="242">
        <f t="shared" si="38"/>
        <v>1</v>
      </c>
      <c r="T81" s="241" t="e">
        <f t="shared" ca="1" si="39"/>
        <v>#VALUE!</v>
      </c>
      <c r="U81" s="243" t="e">
        <f ca="1">IF(AND(INDEX(FlowCalConstA,MATCH(R73,FlowCalNumber,0),1,1)*T81^INDEX(FlowCalConstB,MATCH(R73,FlowCalNumber,0),1,1)&gt;INDEX(FlowCalLowSetting,MATCH(R73,FlowCalNumber,0),1,1), (INDEX(FlowCalConstA,MATCH(R73,FlowCalNumber,0),1,1)*T81^INDEX(FlowCalConstB,MATCH(R73,FlowCalNumber,0),1,1)&lt;INDEX(FlowCalHighSetting,MATCH(R73,FlowCalNumber,0),1,1))),INDEX(FlowCalConstA,MATCH(R73,FlowCalNumber,0),1,1)*T81^INDEX(FlowCalConstB,MATCH(R73,FlowCalNumber,0),1,1)," ")</f>
        <v>#N/A</v>
      </c>
      <c r="V81" s="33"/>
      <c r="W81" s="242"/>
      <c r="X81" s="241"/>
      <c r="Y81" s="243"/>
      <c r="Z81" s="33"/>
      <c r="AA81" s="242"/>
      <c r="AB81" s="241"/>
      <c r="AC81" s="243"/>
      <c r="AD81" s="33"/>
      <c r="AE81" s="242"/>
      <c r="AF81" s="241"/>
      <c r="AG81" s="243"/>
      <c r="AH81" s="33"/>
      <c r="AI81" s="242"/>
      <c r="AJ81" s="241"/>
      <c r="AK81" s="244"/>
      <c r="AL81" s="243"/>
      <c r="AM81" s="243"/>
      <c r="AN81" s="243"/>
      <c r="AO81" s="243"/>
      <c r="AP81" s="243"/>
      <c r="AQ81" s="243"/>
      <c r="AR81" s="243"/>
      <c r="AS81" s="243"/>
      <c r="AT81" s="243"/>
      <c r="AU81" s="243"/>
      <c r="AV81" s="243"/>
      <c r="AW81" s="243"/>
      <c r="AX81" s="243"/>
      <c r="AY81" s="243"/>
      <c r="AZ81" s="243"/>
      <c r="BA81" s="243"/>
      <c r="BB81" s="243"/>
      <c r="BC81" s="243"/>
      <c r="BD81" s="243"/>
      <c r="BE81" s="243"/>
      <c r="BF81" s="243"/>
      <c r="BG81" s="243"/>
      <c r="BH81" s="243"/>
      <c r="BI81" s="243"/>
      <c r="BJ81" s="243"/>
      <c r="BK81" s="243"/>
      <c r="BL81" s="243"/>
      <c r="BM81" s="243"/>
      <c r="BN81" s="243"/>
      <c r="BO81" s="243"/>
      <c r="BP81" s="243"/>
      <c r="BQ81" s="243"/>
      <c r="BR81" s="243"/>
      <c r="BS81" s="243"/>
      <c r="BU81" s="242"/>
      <c r="BW81" s="243"/>
      <c r="BY81" s="242"/>
      <c r="CA81" s="243"/>
      <c r="CC81" s="242"/>
      <c r="CE81" s="243"/>
      <c r="CG81" s="242"/>
      <c r="CI81" s="243"/>
    </row>
    <row r="82" spans="1:87" s="1215" customFormat="1">
      <c r="A82" s="1222"/>
      <c r="B82" s="1223" t="str">
        <f t="shared" si="32"/>
        <v/>
      </c>
      <c r="C82" s="1210"/>
      <c r="D82" s="1211">
        <f>'1% Wind'!$M$90</f>
        <v>5.7</v>
      </c>
      <c r="E82" s="1212"/>
      <c r="F82" s="1212"/>
      <c r="G82" s="1213">
        <f ca="1">IF(I73=0.9743,$G81,MAX(G81/D81*D82,2))</f>
        <v>2</v>
      </c>
      <c r="H82" s="1214" t="e">
        <f t="shared" ca="1" si="33"/>
        <v>#VALUE!</v>
      </c>
      <c r="J82" s="1224"/>
      <c r="K82" s="1217">
        <f t="shared" si="34"/>
        <v>1</v>
      </c>
      <c r="L82" s="1218" t="e">
        <f t="shared" ca="1" si="35"/>
        <v>#VALUE!</v>
      </c>
      <c r="M82" s="1219" t="e">
        <f ca="1">IF(AND(INDEX(FlowCalConstA,MATCH(J73,FlowCalNumber,0),1,1)*L82^INDEX(FlowCalConstB,MATCH(J73,FlowCalNumber,0),1,1)&gt;INDEX(FlowCalLowSetting,MATCH(J73,FlowCalNumber,0),1,1), (INDEX(FlowCalConstA,MATCH(J73,FlowCalNumber,0),1,1)*L82^INDEX(FlowCalConstB,MATCH(J73,FlowCalNumber,0),1,1)&lt;INDEX(FlowCalHighSetting,MATCH(J73,FlowCalNumber,0),1,1))),INDEX(FlowCalConstA,MATCH(J73,FlowCalNumber,0),1,1)*L82^INDEX(FlowCalConstB,MATCH(J73,FlowCalNumber,0),1,1)," ")</f>
        <v>#N/A</v>
      </c>
      <c r="N82" s="1224"/>
      <c r="O82" s="1217">
        <f t="shared" si="36"/>
        <v>1</v>
      </c>
      <c r="P82" s="1218" t="e">
        <f t="shared" ca="1" si="37"/>
        <v>#VALUE!</v>
      </c>
      <c r="Q82" s="1219" t="e">
        <f ca="1">IF(AND(INDEX(FlowCalConstA,MATCH(N73,FlowCalNumber,0),1,1)*P82^INDEX(FlowCalConstB,MATCH(N73,FlowCalNumber,0),1,1)&gt;INDEX(FlowCalLowSetting,MATCH(N73,FlowCalNumber,0),1,1), (INDEX(FlowCalConstA,MATCH(N73,FlowCalNumber,0),1,1)*P82^INDEX(FlowCalConstB,MATCH(N73,FlowCalNumber,0),1,1)&lt;INDEX(FlowCalHighSetting,MATCH(N73,FlowCalNumber,0),1,1))),INDEX(FlowCalConstA,MATCH(N73,FlowCalNumber,0),1,1)*P82^INDEX(FlowCalConstB,MATCH(N73,FlowCalNumber,0),1,1)," ")</f>
        <v>#N/A</v>
      </c>
      <c r="R82" s="1224"/>
      <c r="S82" s="1217">
        <f t="shared" si="38"/>
        <v>1</v>
      </c>
      <c r="T82" s="1218" t="e">
        <f t="shared" ca="1" si="39"/>
        <v>#VALUE!</v>
      </c>
      <c r="U82" s="1219" t="e">
        <f ca="1">IF(AND(INDEX(FlowCalConstA,MATCH(R73,FlowCalNumber,0),1,1)*T82^INDEX(FlowCalConstB,MATCH(R73,FlowCalNumber,0),1,1)&gt;INDEX(FlowCalLowSetting,MATCH(R73,FlowCalNumber,0),1,1), (INDEX(FlowCalConstA,MATCH(R73,FlowCalNumber,0),1,1)*T82^INDEX(FlowCalConstB,MATCH(R73,FlowCalNumber,0),1,1)&lt;INDEX(FlowCalHighSetting,MATCH(R73,FlowCalNumber,0),1,1))),INDEX(FlowCalConstA,MATCH(R73,FlowCalNumber,0),1,1)*T82^INDEX(FlowCalConstB,MATCH(R73,FlowCalNumber,0),1,1)," ")</f>
        <v>#N/A</v>
      </c>
      <c r="V82" s="1224"/>
      <c r="W82" s="1217"/>
      <c r="X82" s="1218"/>
      <c r="Y82" s="1219"/>
      <c r="Z82" s="1224"/>
      <c r="AA82" s="1217"/>
      <c r="AB82" s="1218"/>
      <c r="AC82" s="1219"/>
      <c r="AD82" s="1224"/>
      <c r="AE82" s="1217"/>
      <c r="AF82" s="1218"/>
      <c r="AG82" s="1219"/>
      <c r="AH82" s="1224"/>
      <c r="AI82" s="1217"/>
      <c r="AJ82" s="1218"/>
      <c r="AK82" s="1220"/>
      <c r="AL82" s="1219"/>
      <c r="AM82" s="1219"/>
      <c r="AN82" s="1219"/>
      <c r="AO82" s="1219"/>
      <c r="AP82" s="1219"/>
      <c r="AQ82" s="1219"/>
      <c r="AR82" s="1219"/>
      <c r="AS82" s="1219"/>
      <c r="AT82" s="1219"/>
      <c r="AU82" s="1219"/>
      <c r="AV82" s="1219"/>
      <c r="AW82" s="1219"/>
      <c r="AX82" s="1219"/>
      <c r="AY82" s="1219"/>
      <c r="AZ82" s="1219"/>
      <c r="BA82" s="1219"/>
      <c r="BB82" s="1219"/>
      <c r="BC82" s="1219"/>
      <c r="BD82" s="1219"/>
      <c r="BE82" s="1219"/>
      <c r="BF82" s="1219"/>
      <c r="BG82" s="1219"/>
      <c r="BH82" s="1219"/>
      <c r="BI82" s="1219"/>
      <c r="BJ82" s="1219"/>
      <c r="BK82" s="1219"/>
      <c r="BL82" s="1219"/>
      <c r="BM82" s="1219"/>
      <c r="BN82" s="1219"/>
      <c r="BO82" s="1219"/>
      <c r="BP82" s="1219"/>
      <c r="BQ82" s="1219"/>
      <c r="BR82" s="1219"/>
      <c r="BS82" s="1219"/>
      <c r="BU82" s="1217"/>
      <c r="BW82" s="1219"/>
      <c r="BY82" s="1217"/>
      <c r="CA82" s="1219"/>
      <c r="CC82" s="1217"/>
      <c r="CE82" s="1219"/>
      <c r="CG82" s="1217"/>
      <c r="CI82" s="1219"/>
    </row>
    <row r="83" spans="1:87">
      <c r="A83" s="20"/>
      <c r="B83" s="124" t="str">
        <f t="shared" si="32"/>
        <v/>
      </c>
      <c r="C83" s="235"/>
      <c r="D83" s="24">
        <f>'1% Wind'!$M$91</f>
        <v>4.2</v>
      </c>
      <c r="E83" s="90"/>
      <c r="F83" s="90"/>
      <c r="G83" s="79">
        <f ca="1">IF(I73=0.9743,$G82,MAX(G82/D82*D83,2))</f>
        <v>2</v>
      </c>
      <c r="H83" s="121" t="e">
        <f t="shared" ca="1" si="33"/>
        <v>#VALUE!</v>
      </c>
      <c r="J83" s="33"/>
      <c r="K83" s="242">
        <f t="shared" si="34"/>
        <v>1</v>
      </c>
      <c r="L83" s="241" t="e">
        <f t="shared" ca="1" si="35"/>
        <v>#VALUE!</v>
      </c>
      <c r="M83" s="243" t="e">
        <f ca="1">IF(AND(INDEX(FlowCalConstA,MATCH(J73,FlowCalNumber,0),1,1)*L83^INDEX(FlowCalConstB,MATCH(J73,FlowCalNumber,0),1,1)&gt;INDEX(FlowCalLowSetting,MATCH(J73,FlowCalNumber,0),1,1), (INDEX(FlowCalConstA,MATCH(J73,FlowCalNumber,0),1,1)*L83^INDEX(FlowCalConstB,MATCH(J73,FlowCalNumber,0),1,1)&lt;INDEX(FlowCalHighSetting,MATCH(J73,FlowCalNumber,0),1,1))),INDEX(FlowCalConstA,MATCH(J73,FlowCalNumber,0),1,1)*L83^INDEX(FlowCalConstB,MATCH(J73,FlowCalNumber,0),1,1)," ")</f>
        <v>#N/A</v>
      </c>
      <c r="N83" s="33"/>
      <c r="O83" s="242">
        <f t="shared" si="36"/>
        <v>1</v>
      </c>
      <c r="P83" s="241" t="e">
        <f t="shared" ca="1" si="37"/>
        <v>#VALUE!</v>
      </c>
      <c r="Q83" s="243" t="e">
        <f ca="1">IF(AND(INDEX(FlowCalConstA,MATCH(N73,FlowCalNumber,0),1,1)*P83^INDEX(FlowCalConstB,MATCH(N73,FlowCalNumber,0),1,1)&gt;INDEX(FlowCalLowSetting,MATCH(N73,FlowCalNumber,0),1,1), (INDEX(FlowCalConstA,MATCH(N73,FlowCalNumber,0),1,1)*P83^INDEX(FlowCalConstB,MATCH(N73,FlowCalNumber,0),1,1)&lt;INDEX(FlowCalHighSetting,MATCH(N73,FlowCalNumber,0),1,1))),INDEX(FlowCalConstA,MATCH(N73,FlowCalNumber,0),1,1)*P83^INDEX(FlowCalConstB,MATCH(N73,FlowCalNumber,0),1,1)," ")</f>
        <v>#N/A</v>
      </c>
      <c r="R83" s="33"/>
      <c r="S83" s="242">
        <f t="shared" si="38"/>
        <v>1</v>
      </c>
      <c r="T83" s="241" t="e">
        <f t="shared" ca="1" si="39"/>
        <v>#VALUE!</v>
      </c>
      <c r="U83" s="243" t="e">
        <f ca="1">IF(AND(INDEX(FlowCalConstA,MATCH(R73,FlowCalNumber,0),1,1)*T83^INDEX(FlowCalConstB,MATCH(R73,FlowCalNumber,0),1,1)&gt;INDEX(FlowCalLowSetting,MATCH(R73,FlowCalNumber,0),1,1), (INDEX(FlowCalConstA,MATCH(R73,FlowCalNumber,0),1,1)*T83^INDEX(FlowCalConstB,MATCH(R73,FlowCalNumber,0),1,1)&lt;INDEX(FlowCalHighSetting,MATCH(R73,FlowCalNumber,0),1,1))),INDEX(FlowCalConstA,MATCH(R73,FlowCalNumber,0),1,1)*T83^INDEX(FlowCalConstB,MATCH(R73,FlowCalNumber,0),1,1)," ")</f>
        <v>#N/A</v>
      </c>
      <c r="V83" s="33"/>
      <c r="W83" s="242"/>
      <c r="X83" s="241"/>
      <c r="Y83" s="243"/>
      <c r="Z83" s="33"/>
      <c r="AA83" s="242"/>
      <c r="AB83" s="241"/>
      <c r="AC83" s="243"/>
      <c r="AD83" s="33"/>
      <c r="AE83" s="242"/>
      <c r="AF83" s="241"/>
      <c r="AG83" s="243"/>
      <c r="AH83" s="33"/>
      <c r="AI83" s="242"/>
      <c r="AJ83" s="241"/>
      <c r="AK83" s="244"/>
      <c r="AL83" s="243"/>
      <c r="AM83" s="243"/>
      <c r="AN83" s="243"/>
      <c r="AO83" s="243"/>
      <c r="AP83" s="243"/>
      <c r="AQ83" s="243"/>
      <c r="AR83" s="243"/>
      <c r="AS83" s="243"/>
      <c r="AT83" s="243"/>
      <c r="AU83" s="243"/>
      <c r="AV83" s="243"/>
      <c r="AW83" s="243"/>
      <c r="AX83" s="243"/>
      <c r="AY83" s="243"/>
      <c r="AZ83" s="243"/>
      <c r="BA83" s="243"/>
      <c r="BB83" s="243"/>
      <c r="BC83" s="243"/>
      <c r="BD83" s="243"/>
      <c r="BE83" s="243"/>
      <c r="BF83" s="243"/>
      <c r="BG83" s="243"/>
      <c r="BH83" s="243"/>
      <c r="BI83" s="243"/>
      <c r="BJ83" s="243"/>
      <c r="BK83" s="243"/>
      <c r="BL83" s="243"/>
      <c r="BM83" s="243"/>
      <c r="BN83" s="243"/>
      <c r="BO83" s="243"/>
      <c r="BP83" s="243"/>
      <c r="BQ83" s="243"/>
      <c r="BR83" s="243"/>
      <c r="BS83" s="243"/>
      <c r="BU83" s="242"/>
      <c r="BW83" s="243"/>
      <c r="BY83" s="242"/>
      <c r="CA83" s="243"/>
      <c r="CC83" s="242"/>
      <c r="CE83" s="243"/>
      <c r="CG83" s="242"/>
      <c r="CI83" s="243"/>
    </row>
    <row r="84" spans="1:87" s="1215" customFormat="1">
      <c r="A84" s="1222"/>
      <c r="B84" s="1223" t="str">
        <f t="shared" si="32"/>
        <v/>
      </c>
      <c r="C84" s="1210"/>
      <c r="D84" s="1211">
        <f>'1% Wind'!$M$92</f>
        <v>3.2</v>
      </c>
      <c r="E84" s="1212"/>
      <c r="F84" s="1212"/>
      <c r="G84" s="1213">
        <f ca="1">IF(I73=0.9743,$G83,MAX(G83/D83*D84,2))</f>
        <v>2</v>
      </c>
      <c r="H84" s="1214" t="e">
        <f t="shared" ca="1" si="33"/>
        <v>#VALUE!</v>
      </c>
      <c r="J84" s="1224"/>
      <c r="K84" s="1217">
        <f t="shared" si="34"/>
        <v>1</v>
      </c>
      <c r="L84" s="1218" t="e">
        <f t="shared" ca="1" si="35"/>
        <v>#VALUE!</v>
      </c>
      <c r="M84" s="1219" t="e">
        <f ca="1">IF(AND(INDEX(FlowCalConstA,MATCH(J73,FlowCalNumber,0),1,1)*L84^INDEX(FlowCalConstB,MATCH(J73,FlowCalNumber,0),1,1)&gt;INDEX(FlowCalLowSetting,MATCH(J73,FlowCalNumber,0),1,1), (INDEX(FlowCalConstA,MATCH(J73,FlowCalNumber,0),1,1)*L84^INDEX(FlowCalConstB,MATCH(J73,FlowCalNumber,0),1,1)&lt;INDEX(FlowCalHighSetting,MATCH(J73,FlowCalNumber,0),1,1))),INDEX(FlowCalConstA,MATCH(J73,FlowCalNumber,0),1,1)*L84^INDEX(FlowCalConstB,MATCH(J73,FlowCalNumber,0),1,1)," ")</f>
        <v>#N/A</v>
      </c>
      <c r="N84" s="1224"/>
      <c r="O84" s="1217">
        <f t="shared" si="36"/>
        <v>1</v>
      </c>
      <c r="P84" s="1218" t="e">
        <f t="shared" ca="1" si="37"/>
        <v>#VALUE!</v>
      </c>
      <c r="Q84" s="1219" t="e">
        <f ca="1">IF(AND(INDEX(FlowCalConstA,MATCH(N73,FlowCalNumber,0),1,1)*P84^INDEX(FlowCalConstB,MATCH(N73,FlowCalNumber,0),1,1)&gt;INDEX(FlowCalLowSetting,MATCH(N73,FlowCalNumber,0),1,1), (INDEX(FlowCalConstA,MATCH(N73,FlowCalNumber,0),1,1)*P84^INDEX(FlowCalConstB,MATCH(N73,FlowCalNumber,0),1,1)&lt;INDEX(FlowCalHighSetting,MATCH(N73,FlowCalNumber,0),1,1))),INDEX(FlowCalConstA,MATCH(N73,FlowCalNumber,0),1,1)*P84^INDEX(FlowCalConstB,MATCH(N73,FlowCalNumber,0),1,1)," ")</f>
        <v>#N/A</v>
      </c>
      <c r="R84" s="1224"/>
      <c r="S84" s="1217">
        <f t="shared" si="38"/>
        <v>1</v>
      </c>
      <c r="T84" s="1218" t="e">
        <f t="shared" ca="1" si="39"/>
        <v>#VALUE!</v>
      </c>
      <c r="U84" s="1219" t="e">
        <f ca="1">IF(AND(INDEX(FlowCalConstA,MATCH(R73,FlowCalNumber,0),1,1)*T84^INDEX(FlowCalConstB,MATCH(R73,FlowCalNumber,0),1,1)&gt;INDEX(FlowCalLowSetting,MATCH(R73,FlowCalNumber,0),1,1), (INDEX(FlowCalConstA,MATCH(R73,FlowCalNumber,0),1,1)*T84^INDEX(FlowCalConstB,MATCH(R73,FlowCalNumber,0),1,1)&lt;INDEX(FlowCalHighSetting,MATCH(R73,FlowCalNumber,0),1,1))),INDEX(FlowCalConstA,MATCH(R73,FlowCalNumber,0),1,1)*T84^INDEX(FlowCalConstB,MATCH(R73,FlowCalNumber,0),1,1)," ")</f>
        <v>#N/A</v>
      </c>
      <c r="V84" s="1224"/>
      <c r="W84" s="1217"/>
      <c r="X84" s="1218"/>
      <c r="Y84" s="1219"/>
      <c r="Z84" s="1224"/>
      <c r="AA84" s="1217"/>
      <c r="AB84" s="1218"/>
      <c r="AC84" s="1219"/>
      <c r="AD84" s="1224"/>
      <c r="AE84" s="1217"/>
      <c r="AF84" s="1218"/>
      <c r="AG84" s="1219"/>
      <c r="AH84" s="1224"/>
      <c r="AI84" s="1217"/>
      <c r="AJ84" s="1218"/>
      <c r="AK84" s="1220"/>
      <c r="AL84" s="1219"/>
      <c r="AM84" s="1219"/>
      <c r="AN84" s="1219"/>
      <c r="AO84" s="1219"/>
      <c r="AP84" s="1219"/>
      <c r="AQ84" s="1219"/>
      <c r="AR84" s="1219"/>
      <c r="AS84" s="1219"/>
      <c r="AT84" s="1219"/>
      <c r="AU84" s="1219"/>
      <c r="AV84" s="1219"/>
      <c r="AW84" s="1219"/>
      <c r="AX84" s="1219"/>
      <c r="AY84" s="1219"/>
      <c r="AZ84" s="1219"/>
      <c r="BA84" s="1219"/>
      <c r="BB84" s="1219"/>
      <c r="BC84" s="1219"/>
      <c r="BD84" s="1219"/>
      <c r="BE84" s="1219"/>
      <c r="BF84" s="1219"/>
      <c r="BG84" s="1219"/>
      <c r="BH84" s="1219"/>
      <c r="BI84" s="1219"/>
      <c r="BJ84" s="1219"/>
      <c r="BK84" s="1219"/>
      <c r="BL84" s="1219"/>
      <c r="BM84" s="1219"/>
      <c r="BN84" s="1219"/>
      <c r="BO84" s="1219"/>
      <c r="BP84" s="1219"/>
      <c r="BQ84" s="1219"/>
      <c r="BR84" s="1219"/>
      <c r="BS84" s="1219"/>
      <c r="BU84" s="1217"/>
      <c r="BW84" s="1219"/>
      <c r="BY84" s="1217"/>
      <c r="CA84" s="1219"/>
      <c r="CC84" s="1217"/>
      <c r="CE84" s="1219"/>
      <c r="CG84" s="1217"/>
      <c r="CI84" s="1219"/>
    </row>
    <row r="85" spans="1:87">
      <c r="A85" s="20"/>
      <c r="B85" s="124" t="str">
        <f t="shared" si="32"/>
        <v/>
      </c>
      <c r="C85" s="235"/>
      <c r="D85" s="24">
        <f>'1% Wind'!$M$93</f>
        <v>2.4</v>
      </c>
      <c r="E85" s="90"/>
      <c r="F85" s="90"/>
      <c r="G85" s="79">
        <f ca="1">IF(I73=0.9743,$G84,MAX(G84/D84*D85,2))</f>
        <v>2</v>
      </c>
      <c r="H85" s="121" t="e">
        <f t="shared" ca="1" si="33"/>
        <v>#VALUE!</v>
      </c>
      <c r="J85" s="33"/>
      <c r="K85" s="242">
        <f t="shared" si="34"/>
        <v>1</v>
      </c>
      <c r="L85" s="241" t="e">
        <f t="shared" ca="1" si="35"/>
        <v>#VALUE!</v>
      </c>
      <c r="M85" s="243" t="e">
        <f ca="1">IF(AND(INDEX(FlowCalConstA,MATCH(J73,FlowCalNumber,0),1,1)*L85^INDEX(FlowCalConstB,MATCH(J73,FlowCalNumber,0),1,1)&gt;INDEX(FlowCalLowSetting,MATCH(J73,FlowCalNumber,0),1,1), (INDEX(FlowCalConstA,MATCH(J73,FlowCalNumber,0),1,1)*L85^INDEX(FlowCalConstB,MATCH(J73,FlowCalNumber,0),1,1)&lt;INDEX(FlowCalHighSetting,MATCH(J73,FlowCalNumber,0),1,1))),INDEX(FlowCalConstA,MATCH(J73,FlowCalNumber,0),1,1)*L85^INDEX(FlowCalConstB,MATCH(J73,FlowCalNumber,0),1,1)," ")</f>
        <v>#N/A</v>
      </c>
      <c r="N85" s="33"/>
      <c r="O85" s="242">
        <f t="shared" si="36"/>
        <v>1</v>
      </c>
      <c r="P85" s="241" t="e">
        <f t="shared" ca="1" si="37"/>
        <v>#VALUE!</v>
      </c>
      <c r="Q85" s="243" t="e">
        <f ca="1">IF(AND(INDEX(FlowCalConstA,MATCH(N73,FlowCalNumber,0),1,1)*P85^INDEX(FlowCalConstB,MATCH(N73,FlowCalNumber,0),1,1)&gt;INDEX(FlowCalLowSetting,MATCH(N73,FlowCalNumber,0),1,1), (INDEX(FlowCalConstA,MATCH(N73,FlowCalNumber,0),1,1)*P85^INDEX(FlowCalConstB,MATCH(N73,FlowCalNumber,0),1,1)&lt;INDEX(FlowCalHighSetting,MATCH(N73,FlowCalNumber,0),1,1))),INDEX(FlowCalConstA,MATCH(N73,FlowCalNumber,0),1,1)*P85^INDEX(FlowCalConstB,MATCH(N73,FlowCalNumber,0),1,1)," ")</f>
        <v>#N/A</v>
      </c>
      <c r="R85" s="33"/>
      <c r="S85" s="242">
        <f t="shared" si="38"/>
        <v>1</v>
      </c>
      <c r="T85" s="241" t="e">
        <f t="shared" ca="1" si="39"/>
        <v>#VALUE!</v>
      </c>
      <c r="U85" s="243" t="e">
        <f ca="1">IF(AND(INDEX(FlowCalConstA,MATCH(R73,FlowCalNumber,0),1,1)*T85^INDEX(FlowCalConstB,MATCH(R73,FlowCalNumber,0),1,1)&gt;INDEX(FlowCalLowSetting,MATCH(R73,FlowCalNumber,0),1,1), (INDEX(FlowCalConstA,MATCH(R73,FlowCalNumber,0),1,1)*T85^INDEX(FlowCalConstB,MATCH(R73,FlowCalNumber,0),1,1)&lt;INDEX(FlowCalHighSetting,MATCH(R73,FlowCalNumber,0),1,1))),INDEX(FlowCalConstA,MATCH(R73,FlowCalNumber,0),1,1)*T85^INDEX(FlowCalConstB,MATCH(R73,FlowCalNumber,0),1,1)," ")</f>
        <v>#N/A</v>
      </c>
      <c r="V85" s="33"/>
      <c r="W85" s="242"/>
      <c r="X85" s="241"/>
      <c r="Y85" s="243"/>
      <c r="Z85" s="33"/>
      <c r="AA85" s="242"/>
      <c r="AB85" s="241"/>
      <c r="AC85" s="243"/>
      <c r="AD85" s="33"/>
      <c r="AE85" s="242"/>
      <c r="AF85" s="241"/>
      <c r="AG85" s="243"/>
      <c r="AH85" s="33"/>
      <c r="AI85" s="242"/>
      <c r="AJ85" s="241"/>
      <c r="AK85" s="244"/>
      <c r="AL85" s="243"/>
      <c r="AM85" s="243"/>
      <c r="AN85" s="243"/>
      <c r="AO85" s="243"/>
      <c r="AP85" s="243"/>
      <c r="AQ85" s="243"/>
      <c r="AR85" s="243"/>
      <c r="AS85" s="243"/>
      <c r="AT85" s="243"/>
      <c r="AU85" s="243"/>
      <c r="AV85" s="243"/>
      <c r="AW85" s="243"/>
      <c r="AX85" s="243"/>
      <c r="AY85" s="243"/>
      <c r="AZ85" s="243"/>
      <c r="BA85" s="243"/>
      <c r="BB85" s="243"/>
      <c r="BC85" s="243"/>
      <c r="BD85" s="243"/>
      <c r="BE85" s="243"/>
      <c r="BF85" s="243"/>
      <c r="BG85" s="243"/>
      <c r="BH85" s="243"/>
      <c r="BI85" s="243"/>
      <c r="BJ85" s="243"/>
      <c r="BK85" s="243"/>
      <c r="BL85" s="243"/>
      <c r="BM85" s="243"/>
      <c r="BN85" s="243"/>
      <c r="BO85" s="243"/>
      <c r="BP85" s="243"/>
      <c r="BQ85" s="243"/>
      <c r="BR85" s="243"/>
      <c r="BS85" s="243"/>
      <c r="BU85" s="242"/>
      <c r="BW85" s="243"/>
      <c r="BY85" s="242"/>
      <c r="CA85" s="243"/>
      <c r="CC85" s="242"/>
      <c r="CE85" s="243"/>
      <c r="CG85" s="242"/>
      <c r="CI85" s="243"/>
    </row>
    <row r="86" spans="1:87" s="1215" customFormat="1">
      <c r="A86" s="1222"/>
      <c r="B86" s="1223" t="str">
        <f t="shared" si="32"/>
        <v/>
      </c>
      <c r="C86" s="1210"/>
      <c r="D86" s="1211">
        <f>'1% Wind'!$M$94</f>
        <v>1.8</v>
      </c>
      <c r="E86" s="1212"/>
      <c r="F86" s="1212"/>
      <c r="G86" s="1213">
        <f ca="1">IF(I73=0.9743,$G85,MAX(G85/D85*D86,2))</f>
        <v>2</v>
      </c>
      <c r="H86" s="1214" t="e">
        <f t="shared" ca="1" si="33"/>
        <v>#VALUE!</v>
      </c>
      <c r="J86" s="1224"/>
      <c r="K86" s="1217">
        <f t="shared" si="34"/>
        <v>1</v>
      </c>
      <c r="L86" s="1218" t="e">
        <f t="shared" ca="1" si="35"/>
        <v>#VALUE!</v>
      </c>
      <c r="M86" s="1219" t="e">
        <f ca="1">IF(AND(INDEX(FlowCalConstA,MATCH(J73,FlowCalNumber,0),1,1)*L86^INDEX(FlowCalConstB,MATCH(J73,FlowCalNumber,0),1,1)&gt;INDEX(FlowCalLowSetting,MATCH(J73,FlowCalNumber,0),1,1), (INDEX(FlowCalConstA,MATCH(J73,FlowCalNumber,0),1,1)*L86^INDEX(FlowCalConstB,MATCH(J73,FlowCalNumber,0),1,1)&lt;INDEX(FlowCalHighSetting,MATCH(J73,FlowCalNumber,0),1,1))),INDEX(FlowCalConstA,MATCH(J73,FlowCalNumber,0),1,1)*L86^INDEX(FlowCalConstB,MATCH(J73,FlowCalNumber,0),1,1)," ")</f>
        <v>#N/A</v>
      </c>
      <c r="N86" s="1224"/>
      <c r="O86" s="1217">
        <f t="shared" si="36"/>
        <v>1</v>
      </c>
      <c r="P86" s="1218" t="e">
        <f t="shared" ca="1" si="37"/>
        <v>#VALUE!</v>
      </c>
      <c r="Q86" s="1219" t="e">
        <f ca="1">IF(AND(INDEX(FlowCalConstA,MATCH(N73,FlowCalNumber,0),1,1)*P86^INDEX(FlowCalConstB,MATCH(N73,FlowCalNumber,0),1,1)&gt;INDEX(FlowCalLowSetting,MATCH(N73,FlowCalNumber,0),1,1), (INDEX(FlowCalConstA,MATCH(N73,FlowCalNumber,0),1,1)*P86^INDEX(FlowCalConstB,MATCH(N73,FlowCalNumber,0),1,1)&lt;INDEX(FlowCalHighSetting,MATCH(N73,FlowCalNumber,0),1,1))),INDEX(FlowCalConstA,MATCH(N73,FlowCalNumber,0),1,1)*P86^INDEX(FlowCalConstB,MATCH(N73,FlowCalNumber,0),1,1)," ")</f>
        <v>#N/A</v>
      </c>
      <c r="R86" s="1224"/>
      <c r="S86" s="1217">
        <f t="shared" si="38"/>
        <v>1</v>
      </c>
      <c r="T86" s="1218" t="e">
        <f t="shared" ca="1" si="39"/>
        <v>#VALUE!</v>
      </c>
      <c r="U86" s="1219" t="e">
        <f ca="1">IF(AND(INDEX(FlowCalConstA,MATCH(R73,FlowCalNumber,0),1,1)*T86^INDEX(FlowCalConstB,MATCH(R73,FlowCalNumber,0),1,1)&gt;INDEX(FlowCalLowSetting,MATCH(R73,FlowCalNumber,0),1,1), (INDEX(FlowCalConstA,MATCH(R73,FlowCalNumber,0),1,1)*T86^INDEX(FlowCalConstB,MATCH(R73,FlowCalNumber,0),1,1)&lt;INDEX(FlowCalHighSetting,MATCH(R73,FlowCalNumber,0),1,1))),INDEX(FlowCalConstA,MATCH(R73,FlowCalNumber,0),1,1)*T86^INDEX(FlowCalConstB,MATCH(R73,FlowCalNumber,0),1,1)," ")</f>
        <v>#N/A</v>
      </c>
      <c r="V86" s="1224"/>
      <c r="W86" s="1217"/>
      <c r="X86" s="1218"/>
      <c r="Y86" s="1219"/>
      <c r="Z86" s="1224"/>
      <c r="AA86" s="1217"/>
      <c r="AB86" s="1218"/>
      <c r="AC86" s="1219"/>
      <c r="AD86" s="1224"/>
      <c r="AE86" s="1217"/>
      <c r="AF86" s="1218"/>
      <c r="AG86" s="1219"/>
      <c r="AH86" s="1224"/>
      <c r="AI86" s="1217"/>
      <c r="AJ86" s="1218"/>
      <c r="AK86" s="1220"/>
      <c r="AL86" s="1219"/>
      <c r="AM86" s="1219"/>
      <c r="AN86" s="1219"/>
      <c r="AO86" s="1219"/>
      <c r="AP86" s="1219"/>
      <c r="AQ86" s="1219"/>
      <c r="AR86" s="1219"/>
      <c r="AS86" s="1219"/>
      <c r="AT86" s="1219"/>
      <c r="AU86" s="1219"/>
      <c r="AV86" s="1219"/>
      <c r="AW86" s="1219"/>
      <c r="AX86" s="1219"/>
      <c r="AY86" s="1219"/>
      <c r="AZ86" s="1219"/>
      <c r="BA86" s="1219"/>
      <c r="BB86" s="1219"/>
      <c r="BC86" s="1219"/>
      <c r="BD86" s="1219"/>
      <c r="BE86" s="1219"/>
      <c r="BF86" s="1219"/>
      <c r="BG86" s="1219"/>
      <c r="BH86" s="1219"/>
      <c r="BI86" s="1219"/>
      <c r="BJ86" s="1219"/>
      <c r="BK86" s="1219"/>
      <c r="BL86" s="1219"/>
      <c r="BM86" s="1219"/>
      <c r="BN86" s="1219"/>
      <c r="BO86" s="1219"/>
      <c r="BP86" s="1219"/>
      <c r="BQ86" s="1219"/>
      <c r="BR86" s="1219"/>
      <c r="BS86" s="1219"/>
      <c r="BU86" s="1217"/>
      <c r="BW86" s="1219"/>
      <c r="BY86" s="1217"/>
      <c r="CA86" s="1219"/>
      <c r="CC86" s="1217"/>
      <c r="CE86" s="1219"/>
      <c r="CG86" s="1217"/>
      <c r="CI86" s="1219"/>
    </row>
    <row r="87" spans="1:87">
      <c r="A87" s="20"/>
      <c r="B87" s="124" t="str">
        <f t="shared" si="32"/>
        <v/>
      </c>
      <c r="C87" s="235"/>
      <c r="D87" s="24">
        <f>'1% Wind'!$M$95</f>
        <v>1.3</v>
      </c>
      <c r="E87" s="90"/>
      <c r="F87" s="90"/>
      <c r="G87" s="79">
        <f ca="1">IF(I73=0.9743,$G86,MAX(G86/D86*D87,2))</f>
        <v>2</v>
      </c>
      <c r="H87" s="121" t="e">
        <f t="shared" ca="1" si="33"/>
        <v>#VALUE!</v>
      </c>
      <c r="J87" s="33"/>
      <c r="K87" s="242">
        <f t="shared" si="34"/>
        <v>1</v>
      </c>
      <c r="L87" s="241" t="e">
        <f t="shared" ca="1" si="35"/>
        <v>#VALUE!</v>
      </c>
      <c r="M87" s="243" t="e">
        <f ca="1">IF(AND(INDEX(FlowCalConstA,MATCH(J73,FlowCalNumber,0),1,1)*L87^INDEX(FlowCalConstB,MATCH(J73,FlowCalNumber,0),1,1)&gt;INDEX(FlowCalLowSetting,MATCH(J73,FlowCalNumber,0),1,1), (INDEX(FlowCalConstA,MATCH(J73,FlowCalNumber,0),1,1)*L87^INDEX(FlowCalConstB,MATCH(J73,FlowCalNumber,0),1,1)&lt;INDEX(FlowCalHighSetting,MATCH(J73,FlowCalNumber,0),1,1))),INDEX(FlowCalConstA,MATCH(J73,FlowCalNumber,0),1,1)*L87^INDEX(FlowCalConstB,MATCH(J73,FlowCalNumber,0),1,1)," ")</f>
        <v>#N/A</v>
      </c>
      <c r="N87" s="33"/>
      <c r="O87" s="242">
        <f t="shared" si="36"/>
        <v>1</v>
      </c>
      <c r="P87" s="241" t="e">
        <f t="shared" ca="1" si="37"/>
        <v>#VALUE!</v>
      </c>
      <c r="Q87" s="243" t="e">
        <f ca="1">IF(AND(INDEX(FlowCalConstA,MATCH(N73,FlowCalNumber,0),1,1)*P87^INDEX(FlowCalConstB,MATCH(N73,FlowCalNumber,0),1,1)&gt;INDEX(FlowCalLowSetting,MATCH(N73,FlowCalNumber,0),1,1), (INDEX(FlowCalConstA,MATCH(N73,FlowCalNumber,0),1,1)*P87^INDEX(FlowCalConstB,MATCH(N73,FlowCalNumber,0),1,1)&lt;INDEX(FlowCalHighSetting,MATCH(N73,FlowCalNumber,0),1,1))),INDEX(FlowCalConstA,MATCH(N73,FlowCalNumber,0),1,1)*P87^INDEX(FlowCalConstB,MATCH(N73,FlowCalNumber,0),1,1)," ")</f>
        <v>#N/A</v>
      </c>
      <c r="R87" s="33"/>
      <c r="S87" s="242">
        <f t="shared" si="38"/>
        <v>1</v>
      </c>
      <c r="T87" s="241" t="e">
        <f t="shared" ca="1" si="39"/>
        <v>#VALUE!</v>
      </c>
      <c r="U87" s="243" t="e">
        <f ca="1">IF(AND(INDEX(FlowCalConstA,MATCH(R73,FlowCalNumber,0),1,1)*T87^INDEX(FlowCalConstB,MATCH(R73,FlowCalNumber,0),1,1)&gt;INDEX(FlowCalLowSetting,MATCH(R73,FlowCalNumber,0),1,1), (INDEX(FlowCalConstA,MATCH(R73,FlowCalNumber,0),1,1)*T87^INDEX(FlowCalConstB,MATCH(R73,FlowCalNumber,0),1,1)&lt;INDEX(FlowCalHighSetting,MATCH(R73,FlowCalNumber,0),1,1))),INDEX(FlowCalConstA,MATCH(R73,FlowCalNumber,0),1,1)*T87^INDEX(FlowCalConstB,MATCH(R73,FlowCalNumber,0),1,1)," ")</f>
        <v>#N/A</v>
      </c>
      <c r="V87" s="33"/>
      <c r="W87" s="242"/>
      <c r="X87" s="241"/>
      <c r="Y87" s="243"/>
      <c r="Z87" s="33"/>
      <c r="AA87" s="242"/>
      <c r="AB87" s="241"/>
      <c r="AC87" s="243"/>
      <c r="AD87" s="33"/>
      <c r="AE87" s="242"/>
      <c r="AF87" s="241"/>
      <c r="AG87" s="243"/>
      <c r="AH87" s="33"/>
      <c r="AI87" s="242"/>
      <c r="AJ87" s="241"/>
      <c r="AK87" s="244"/>
      <c r="AL87" s="243"/>
      <c r="AM87" s="243"/>
      <c r="AN87" s="243"/>
      <c r="AO87" s="243"/>
      <c r="AP87" s="243"/>
      <c r="AQ87" s="243"/>
      <c r="AR87" s="243"/>
      <c r="AS87" s="243"/>
      <c r="AT87" s="243"/>
      <c r="AU87" s="243"/>
      <c r="AV87" s="243"/>
      <c r="AW87" s="243"/>
      <c r="AX87" s="243"/>
      <c r="AY87" s="243"/>
      <c r="AZ87" s="243"/>
      <c r="BA87" s="243"/>
      <c r="BB87" s="243"/>
      <c r="BC87" s="243"/>
      <c r="BD87" s="243"/>
      <c r="BE87" s="243"/>
      <c r="BF87" s="243"/>
      <c r="BG87" s="243"/>
      <c r="BH87" s="243"/>
      <c r="BI87" s="243"/>
      <c r="BJ87" s="243"/>
      <c r="BK87" s="243"/>
      <c r="BL87" s="243"/>
      <c r="BM87" s="243"/>
      <c r="BN87" s="243"/>
      <c r="BO87" s="243"/>
      <c r="BP87" s="243"/>
      <c r="BQ87" s="243"/>
      <c r="BR87" s="243"/>
      <c r="BS87" s="243"/>
      <c r="BU87" s="242"/>
      <c r="BW87" s="243"/>
      <c r="BY87" s="242"/>
      <c r="CA87" s="243"/>
      <c r="CC87" s="242"/>
      <c r="CE87" s="243"/>
      <c r="CG87" s="242"/>
      <c r="CI87" s="243"/>
    </row>
    <row r="88" spans="1:87" s="1215" customFormat="1">
      <c r="A88" s="1222"/>
      <c r="B88" s="1223" t="str">
        <f t="shared" si="32"/>
        <v/>
      </c>
      <c r="C88" s="1210"/>
      <c r="D88" s="1211">
        <f>'1% Wind'!$M$96</f>
        <v>1</v>
      </c>
      <c r="E88" s="1212"/>
      <c r="F88" s="1212"/>
      <c r="G88" s="1213">
        <f ca="1">IF(I73=0.9743,$G87,MAX(G87/D87*D88,2))</f>
        <v>2</v>
      </c>
      <c r="H88" s="1214" t="e">
        <f t="shared" ca="1" si="33"/>
        <v>#VALUE!</v>
      </c>
      <c r="J88" s="1224"/>
      <c r="K88" s="1217">
        <f t="shared" si="34"/>
        <v>1</v>
      </c>
      <c r="L88" s="1218" t="e">
        <f t="shared" ca="1" si="35"/>
        <v>#VALUE!</v>
      </c>
      <c r="M88" s="1219" t="e">
        <f ca="1">IF(AND(INDEX(FlowCalConstA,MATCH(J73,FlowCalNumber,0),1,1)*L88^INDEX(FlowCalConstB,MATCH(J73,FlowCalNumber,0),1,1)&gt;INDEX(FlowCalLowSetting,MATCH(J73,FlowCalNumber,0),1,1), (INDEX(FlowCalConstA,MATCH(J73,FlowCalNumber,0),1,1)*L88^INDEX(FlowCalConstB,MATCH(J73,FlowCalNumber,0),1,1)&lt;INDEX(FlowCalHighSetting,MATCH(J73,FlowCalNumber,0),1,1))),INDEX(FlowCalConstA,MATCH(J73,FlowCalNumber,0),1,1)*L88^INDEX(FlowCalConstB,MATCH(J73,FlowCalNumber,0),1,1)," ")</f>
        <v>#N/A</v>
      </c>
      <c r="N88" s="1224"/>
      <c r="O88" s="1217">
        <f t="shared" si="36"/>
        <v>1</v>
      </c>
      <c r="P88" s="1218" t="e">
        <f t="shared" ca="1" si="37"/>
        <v>#VALUE!</v>
      </c>
      <c r="Q88" s="1219" t="e">
        <f ca="1">IF(AND(INDEX(FlowCalConstA,MATCH(N73,FlowCalNumber,0),1,1)*P88^INDEX(FlowCalConstB,MATCH(N73,FlowCalNumber,0),1,1)&gt;INDEX(FlowCalLowSetting,MATCH(N73,FlowCalNumber,0),1,1), (INDEX(FlowCalConstA,MATCH(N73,FlowCalNumber,0),1,1)*P88^INDEX(FlowCalConstB,MATCH(N73,FlowCalNumber,0),1,1)&lt;INDEX(FlowCalHighSetting,MATCH(N73,FlowCalNumber,0),1,1))),INDEX(FlowCalConstA,MATCH(N73,FlowCalNumber,0),1,1)*P88^INDEX(FlowCalConstB,MATCH(N73,FlowCalNumber,0),1,1)," ")</f>
        <v>#N/A</v>
      </c>
      <c r="R88" s="1224"/>
      <c r="S88" s="1217">
        <f t="shared" si="38"/>
        <v>1</v>
      </c>
      <c r="T88" s="1218" t="e">
        <f t="shared" ca="1" si="39"/>
        <v>#VALUE!</v>
      </c>
      <c r="U88" s="1219" t="e">
        <f ca="1">IF(AND(INDEX(FlowCalConstA,MATCH(R73,FlowCalNumber,0),1,1)*T88^INDEX(FlowCalConstB,MATCH(R73,FlowCalNumber,0),1,1)&gt;INDEX(FlowCalLowSetting,MATCH(R73,FlowCalNumber,0),1,1), (INDEX(FlowCalConstA,MATCH(R73,FlowCalNumber,0),1,1)*T88^INDEX(FlowCalConstB,MATCH(R73,FlowCalNumber,0),1,1)&lt;INDEX(FlowCalHighSetting,MATCH(R73,FlowCalNumber,0),1,1))),INDEX(FlowCalConstA,MATCH(R73,FlowCalNumber,0),1,1)*T88^INDEX(FlowCalConstB,MATCH(R73,FlowCalNumber,0),1,1)," ")</f>
        <v>#N/A</v>
      </c>
      <c r="V88" s="1224"/>
      <c r="W88" s="1217"/>
      <c r="X88" s="1218"/>
      <c r="Y88" s="1219"/>
      <c r="Z88" s="1224"/>
      <c r="AA88" s="1217"/>
      <c r="AB88" s="1218"/>
      <c r="AC88" s="1219"/>
      <c r="AD88" s="1224"/>
      <c r="AE88" s="1217"/>
      <c r="AF88" s="1218"/>
      <c r="AG88" s="1219"/>
      <c r="AH88" s="1224"/>
      <c r="AI88" s="1217"/>
      <c r="AJ88" s="1218"/>
      <c r="AK88" s="1220"/>
      <c r="AL88" s="1219"/>
      <c r="AM88" s="1219"/>
      <c r="AN88" s="1219"/>
      <c r="AO88" s="1219"/>
      <c r="AP88" s="1219"/>
      <c r="AQ88" s="1219"/>
      <c r="AR88" s="1219"/>
      <c r="AS88" s="1219"/>
      <c r="AT88" s="1219"/>
      <c r="AU88" s="1219"/>
      <c r="AV88" s="1219"/>
      <c r="AW88" s="1219"/>
      <c r="AX88" s="1219"/>
      <c r="AY88" s="1219"/>
      <c r="AZ88" s="1219"/>
      <c r="BA88" s="1219"/>
      <c r="BB88" s="1219"/>
      <c r="BC88" s="1219"/>
      <c r="BD88" s="1219"/>
      <c r="BE88" s="1219"/>
      <c r="BF88" s="1219"/>
      <c r="BG88" s="1219"/>
      <c r="BH88" s="1219"/>
      <c r="BI88" s="1219"/>
      <c r="BJ88" s="1219"/>
      <c r="BK88" s="1219"/>
      <c r="BL88" s="1219"/>
      <c r="BM88" s="1219"/>
      <c r="BN88" s="1219"/>
      <c r="BO88" s="1219"/>
      <c r="BP88" s="1219"/>
      <c r="BQ88" s="1219"/>
      <c r="BR88" s="1219"/>
      <c r="BS88" s="1219"/>
      <c r="BU88" s="1217"/>
      <c r="BW88" s="1219"/>
      <c r="BY88" s="1217"/>
      <c r="CA88" s="1219"/>
      <c r="CC88" s="1217"/>
      <c r="CE88" s="1219"/>
      <c r="CG88" s="1217"/>
      <c r="CI88" s="1219"/>
    </row>
    <row r="89" spans="1:87">
      <c r="A89" s="33"/>
      <c r="B89" s="33"/>
      <c r="C89" s="235"/>
      <c r="E89" s="90"/>
      <c r="F89" s="90"/>
      <c r="G89" s="33"/>
      <c r="J89" s="33"/>
      <c r="M89" s="243"/>
      <c r="N89" s="33"/>
      <c r="Q89" s="243"/>
      <c r="R89" s="33"/>
      <c r="U89" s="243"/>
      <c r="V89" s="33"/>
      <c r="Y89" s="243"/>
      <c r="Z89" s="33"/>
      <c r="AC89" s="243"/>
      <c r="AD89" s="33"/>
      <c r="AG89" s="243"/>
      <c r="AH89" s="33"/>
      <c r="AK89" s="244"/>
      <c r="AL89" s="243"/>
      <c r="AM89" s="243"/>
      <c r="AN89" s="243"/>
      <c r="AO89" s="243"/>
      <c r="AP89" s="243"/>
      <c r="AQ89" s="243"/>
      <c r="AR89" s="243"/>
      <c r="AS89" s="243"/>
      <c r="AT89" s="243"/>
      <c r="AU89" s="243"/>
      <c r="AV89" s="243"/>
      <c r="AW89" s="243"/>
      <c r="AX89" s="243"/>
      <c r="AY89" s="243"/>
      <c r="AZ89" s="243"/>
      <c r="BA89" s="243"/>
      <c r="BB89" s="243"/>
      <c r="BC89" s="243"/>
      <c r="BD89" s="243"/>
      <c r="BE89" s="243"/>
      <c r="BF89" s="243"/>
      <c r="BG89" s="243"/>
      <c r="BH89" s="243"/>
      <c r="BI89" s="243"/>
      <c r="BJ89" s="243"/>
      <c r="BK89" s="243"/>
      <c r="BL89" s="243"/>
      <c r="BM89" s="243"/>
      <c r="BN89" s="243"/>
      <c r="BO89" s="243"/>
      <c r="BP89" s="243"/>
      <c r="BQ89" s="243"/>
      <c r="BR89" s="243"/>
      <c r="BS89" s="243"/>
      <c r="BW89" s="243"/>
      <c r="CA89" s="243"/>
      <c r="CE89" s="243"/>
      <c r="CI89" s="243"/>
    </row>
    <row r="90" spans="1:87">
      <c r="A90" s="256" t="str">
        <f>IF((RIGHT(A73,1))&lt;&gt;"Z",CHAR(CODE(A73))&amp;CHAR(CODE(RIGHT(A73,1))+1),CHAR(CODE(A73)+1)&amp;"A")</f>
        <v>AE</v>
      </c>
      <c r="B90" s="270" t="str">
        <f>INDEX(SourceID,MATCH($A90,SourceNumber,0),1,1)</f>
        <v>EF-5</v>
      </c>
      <c r="C90" s="354">
        <f>INDEX(SourceExitDiameter,MATCH($A90,SourceNumber,0),1,1)*3.28*12</f>
        <v>56</v>
      </c>
      <c r="D90" s="24" t="str">
        <f>UAnem1percent</f>
        <v>1% Wind</v>
      </c>
      <c r="E90" s="350" t="e">
        <f ca="1">INDIRECT(ADDRESS(53,6,1,,CONCATENATE("TA",$A90)))</f>
        <v>#REF!</v>
      </c>
      <c r="F90" s="625" t="e">
        <f ca="1">(ROUND((INDIRECT(ADDRESS(15,7,1,,CONCATENATE("TA",$A90)))*3.28*12*32),0)&amp;"/32")</f>
        <v>#REF!</v>
      </c>
      <c r="G90" s="125">
        <f ca="1">INDIRECT(ADDRESS(29,7,1,,$A90))</f>
        <v>6.001707317073171</v>
      </c>
      <c r="H90" s="24" t="e">
        <f ca="1">INDIRECT(ADDRESS(19,7,1,,$A90))*100^3</f>
        <v>#VALUE!</v>
      </c>
      <c r="I90" s="941">
        <f ca="1">INDIRECT(ADDRESS(53,7,1,,$A90))</f>
        <v>0.97430000000000005</v>
      </c>
      <c r="J90" s="20" t="str">
        <f ca="1">IF($I90=$I$6,K$16&amp;$G$6&amp;J$6,IF($I90=$I$7,K$16&amp;$G$7&amp;J$7,"Bad"))</f>
        <v>100N2Pick a Tunnel</v>
      </c>
      <c r="K90" t="e">
        <f ca="1">INDEX(FlowCalGasMixture,MATCH(J90,FlowCalNumber,0),1,1)</f>
        <v>#N/A</v>
      </c>
      <c r="M90" s="944" t="e">
        <f ca="1">INDEX(FlowCalDevice,MATCH(J90,FlowCalNumber,0),1,1)</f>
        <v>#N/A</v>
      </c>
      <c r="N90" s="20" t="str">
        <f ca="1">IF($I90=$I$6,O$16&amp;$G$6&amp;N$6,IF($I90=$I$7,O$16&amp;$G$7&amp;N$7,"Bad"))</f>
        <v>100N2Pick a Tunnel</v>
      </c>
      <c r="O90" t="e">
        <f ca="1">INDEX(FlowCalGasMixture,MATCH(N90,FlowCalNumber,0),1,1)</f>
        <v>#N/A</v>
      </c>
      <c r="Q90" s="944" t="e">
        <f ca="1">INDEX(FlowCalDevice,MATCH(N90,FlowCalNumber,0),1,1)</f>
        <v>#N/A</v>
      </c>
      <c r="R90" s="20" t="str">
        <f ca="1">IF($I90=$I$6,S$16&amp;$G$6&amp;R$6,IF($I90=$I$7,S$16&amp;$G$7&amp;R$7,"Bad"))</f>
        <v>100N2Pick a Tunnel</v>
      </c>
      <c r="S90" t="e">
        <f ca="1">INDEX(FlowCalGasMixture,MATCH(R90,FlowCalNumber,0),1,1)</f>
        <v>#N/A</v>
      </c>
      <c r="U90" s="944" t="e">
        <f ca="1">INDEX(FlowCalDevice,MATCH(R90,FlowCalNumber,0),1,1)</f>
        <v>#N/A</v>
      </c>
      <c r="V90" s="20"/>
      <c r="Y90" s="944"/>
      <c r="Z90" s="946"/>
      <c r="AC90" s="944"/>
      <c r="AD90" s="20"/>
      <c r="AG90" s="944"/>
      <c r="AH90" s="946"/>
      <c r="AK90" s="982"/>
      <c r="AL90" s="355"/>
      <c r="AM90" s="355"/>
      <c r="AN90" s="355"/>
      <c r="AO90" s="355"/>
      <c r="AP90" s="355"/>
      <c r="AQ90" s="355"/>
      <c r="AR90" s="355"/>
      <c r="AS90" s="355"/>
      <c r="AT90" s="355"/>
      <c r="AU90" s="355"/>
      <c r="AV90" s="355"/>
      <c r="AW90" s="355"/>
      <c r="AX90" s="355"/>
      <c r="AY90" s="355"/>
      <c r="AZ90" s="355"/>
      <c r="BA90" s="355"/>
      <c r="BB90" s="355"/>
      <c r="BC90" s="355"/>
      <c r="BD90" s="355"/>
      <c r="BE90" s="355"/>
      <c r="BF90" s="355"/>
      <c r="BG90" s="355"/>
      <c r="BH90" s="355"/>
      <c r="BI90" s="355"/>
      <c r="BJ90" s="355"/>
      <c r="BK90" s="355"/>
      <c r="BL90" s="355"/>
      <c r="BM90" s="355"/>
      <c r="BN90" s="355"/>
      <c r="BO90" s="355"/>
      <c r="BP90" s="355"/>
      <c r="BQ90" s="355"/>
      <c r="BR90" s="355"/>
      <c r="BS90" s="355"/>
      <c r="BT90" s="46"/>
      <c r="BU90" s="16"/>
      <c r="BW90" s="355"/>
      <c r="BX90" s="42"/>
      <c r="BY90" s="16"/>
      <c r="CA90" s="355"/>
      <c r="CB90" s="42"/>
      <c r="CC90" s="16"/>
      <c r="CE90" s="355"/>
      <c r="CF90" s="42"/>
      <c r="CG90" s="16"/>
      <c r="CI90" s="355"/>
    </row>
    <row r="91" spans="1:87" s="1215" customFormat="1">
      <c r="A91" s="1222"/>
      <c r="B91" s="1223" t="str">
        <f t="shared" ref="B91:B105" si="40">IF(D91=UAnem1percent,"1% Wind","")</f>
        <v/>
      </c>
      <c r="C91" s="1210"/>
      <c r="D91" s="1211">
        <f>'1% Wind'!$M$82</f>
        <v>27</v>
      </c>
      <c r="E91" s="1212"/>
      <c r="F91" s="1212"/>
      <c r="G91" s="1364">
        <v>2</v>
      </c>
      <c r="H91" s="1214" t="e">
        <f t="shared" ref="H91:H105" ca="1" si="41">H90*(D90/D91)*(G91/G90)</f>
        <v>#VALUE!</v>
      </c>
      <c r="J91" s="1224"/>
      <c r="K91" s="1221">
        <f>K$17/100</f>
        <v>1</v>
      </c>
      <c r="L91" s="1218" t="e">
        <f ca="1">K91*$H91</f>
        <v>#VALUE!</v>
      </c>
      <c r="M91" s="1219" t="e">
        <f ca="1">IF(AND(INDEX(FlowCalConstA,MATCH(J90,FlowCalNumber,0),1,1)*L91^INDEX(FlowCalConstB,MATCH(J90,FlowCalNumber,0),1,1)&gt;INDEX(FlowCalLowSetting,MATCH(J90,FlowCalNumber,0),1,1), (INDEX(FlowCalConstA,MATCH(J90,FlowCalNumber,0),1,1)*L91^INDEX(FlowCalConstB,MATCH(J90,FlowCalNumber,0),1,1)&lt;INDEX(FlowCalHighSetting,MATCH(J90,FlowCalNumber,0),1,1))),INDEX(FlowCalConstA,MATCH(J90,FlowCalNumber,0),1,1)*L91^INDEX(FlowCalConstB,MATCH(J90,FlowCalNumber,0),1,1)," ")</f>
        <v>#N/A</v>
      </c>
      <c r="N91" s="1224"/>
      <c r="O91" s="1221">
        <f>O$17/100</f>
        <v>1</v>
      </c>
      <c r="P91" s="1218" t="e">
        <f ca="1">O91*$H91</f>
        <v>#VALUE!</v>
      </c>
      <c r="Q91" s="1219" t="e">
        <f ca="1">IF(AND(INDEX(FlowCalConstA,MATCH(N90,FlowCalNumber,0),1,1)*P91^INDEX(FlowCalConstB,MATCH(N90,FlowCalNumber,0),1,1)&gt;INDEX(FlowCalLowSetting,MATCH(N90,FlowCalNumber,0),1,1), (INDEX(FlowCalConstA,MATCH(N90,FlowCalNumber,0),1,1)*P91^INDEX(FlowCalConstB,MATCH(N90,FlowCalNumber,0),1,1)&lt;INDEX(FlowCalHighSetting,MATCH(N90,FlowCalNumber,0),1,1))),INDEX(FlowCalConstA,MATCH(N90,FlowCalNumber,0),1,1)*P91^INDEX(FlowCalConstB,MATCH(N90,FlowCalNumber,0),1,1)," ")</f>
        <v>#N/A</v>
      </c>
      <c r="R91" s="1224"/>
      <c r="S91" s="1221">
        <f>S$17/100</f>
        <v>1</v>
      </c>
      <c r="T91" s="1218" t="e">
        <f ca="1">S91*$H91</f>
        <v>#VALUE!</v>
      </c>
      <c r="U91" s="1219" t="e">
        <f ca="1">IF(AND(INDEX(FlowCalConstA,MATCH(R90,FlowCalNumber,0),1,1)*T91^INDEX(FlowCalConstB,MATCH(R90,FlowCalNumber,0),1,1)&gt;INDEX(FlowCalLowSetting,MATCH(R90,FlowCalNumber,0),1,1), (INDEX(FlowCalConstA,MATCH(R90,FlowCalNumber,0),1,1)*T91^INDEX(FlowCalConstB,MATCH(R90,FlowCalNumber,0),1,1)&lt;INDEX(FlowCalHighSetting,MATCH(R90,FlowCalNumber,0),1,1))),INDEX(FlowCalConstA,MATCH(R90,FlowCalNumber,0),1,1)*T91^INDEX(FlowCalConstB,MATCH(R90,FlowCalNumber,0),1,1)," ")</f>
        <v>#N/A</v>
      </c>
      <c r="V91" s="1224"/>
      <c r="W91" s="1221"/>
      <c r="X91" s="1218"/>
      <c r="Y91" s="1219"/>
      <c r="Z91" s="1224"/>
      <c r="AA91" s="1221"/>
      <c r="AB91" s="1218"/>
      <c r="AC91" s="1219"/>
      <c r="AD91" s="1224"/>
      <c r="AE91" s="1221"/>
      <c r="AF91" s="1218"/>
      <c r="AG91" s="1219"/>
      <c r="AH91" s="1224"/>
      <c r="AI91" s="1221"/>
      <c r="AJ91" s="1218"/>
      <c r="AK91" s="1220"/>
      <c r="AL91" s="1219"/>
      <c r="AM91" s="1219"/>
      <c r="AN91" s="1219"/>
      <c r="AO91" s="1219"/>
      <c r="AP91" s="1219"/>
      <c r="AQ91" s="1219"/>
      <c r="AR91" s="1219"/>
      <c r="AS91" s="1219"/>
      <c r="AT91" s="1219"/>
      <c r="AU91" s="1219"/>
      <c r="AV91" s="1219"/>
      <c r="AW91" s="1219"/>
      <c r="AX91" s="1219"/>
      <c r="AY91" s="1219"/>
      <c r="AZ91" s="1219"/>
      <c r="BA91" s="1219"/>
      <c r="BB91" s="1219"/>
      <c r="BC91" s="1219"/>
      <c r="BD91" s="1219"/>
      <c r="BE91" s="1219"/>
      <c r="BF91" s="1219"/>
      <c r="BG91" s="1219"/>
      <c r="BH91" s="1219"/>
      <c r="BI91" s="1219"/>
      <c r="BJ91" s="1219"/>
      <c r="BK91" s="1219"/>
      <c r="BL91" s="1219"/>
      <c r="BM91" s="1219"/>
      <c r="BN91" s="1219"/>
      <c r="BO91" s="1219"/>
      <c r="BP91" s="1219"/>
      <c r="BQ91" s="1219"/>
      <c r="BR91" s="1219"/>
      <c r="BS91" s="1219"/>
      <c r="BU91" s="1225"/>
      <c r="BW91" s="1219"/>
      <c r="BY91" s="1225"/>
      <c r="CA91" s="1219"/>
      <c r="CC91" s="1225"/>
      <c r="CE91" s="1219"/>
      <c r="CG91" s="1221"/>
      <c r="CI91" s="1219"/>
    </row>
    <row r="92" spans="1:87">
      <c r="A92" s="20"/>
      <c r="B92" s="124" t="str">
        <f t="shared" si="40"/>
        <v/>
      </c>
      <c r="C92" s="235"/>
      <c r="D92" s="24">
        <f>'1% Wind'!$M$83</f>
        <v>23.5</v>
      </c>
      <c r="E92" s="90"/>
      <c r="F92" s="90"/>
      <c r="G92" s="79">
        <f ca="1">IF(I90=0.9743,$G91,MAX(G91/D91*D92,2))</f>
        <v>2</v>
      </c>
      <c r="H92" s="121" t="e">
        <f t="shared" ca="1" si="41"/>
        <v>#VALUE!</v>
      </c>
      <c r="J92" s="33"/>
      <c r="K92" s="242">
        <f t="shared" ref="K92:K105" si="42">K91</f>
        <v>1</v>
      </c>
      <c r="L92" s="241" t="e">
        <f t="shared" ref="L92:L105" ca="1" si="43">K92*$H92</f>
        <v>#VALUE!</v>
      </c>
      <c r="M92" s="243" t="e">
        <f ca="1">IF(AND(INDEX(FlowCalConstA,MATCH(J90,FlowCalNumber,0),1,1)*L92^INDEX(FlowCalConstB,MATCH(J90,FlowCalNumber,0),1,1)&gt;INDEX(FlowCalLowSetting,MATCH(J90,FlowCalNumber,0),1,1), (INDEX(FlowCalConstA,MATCH(J90,FlowCalNumber,0),1,1)*L92^INDEX(FlowCalConstB,MATCH(J90,FlowCalNumber,0),1,1)&lt;INDEX(FlowCalHighSetting,MATCH(J90,FlowCalNumber,0),1,1))),INDEX(FlowCalConstA,MATCH(J90,FlowCalNumber,0),1,1)*L92^INDEX(FlowCalConstB,MATCH(J90,FlowCalNumber,0),1,1)," ")</f>
        <v>#N/A</v>
      </c>
      <c r="N92" s="33"/>
      <c r="O92" s="242">
        <f t="shared" ref="O92:O105" si="44">O91</f>
        <v>1</v>
      </c>
      <c r="P92" s="241" t="e">
        <f t="shared" ref="P92:P105" ca="1" si="45">O92*$H92</f>
        <v>#VALUE!</v>
      </c>
      <c r="Q92" s="243" t="e">
        <f ca="1">IF(AND(INDEX(FlowCalConstA,MATCH(N90,FlowCalNumber,0),1,1)*P92^INDEX(FlowCalConstB,MATCH(N90,FlowCalNumber,0),1,1)&gt;INDEX(FlowCalLowSetting,MATCH(N90,FlowCalNumber,0),1,1), (INDEX(FlowCalConstA,MATCH(N90,FlowCalNumber,0),1,1)*P92^INDEX(FlowCalConstB,MATCH(N90,FlowCalNumber,0),1,1)&lt;INDEX(FlowCalHighSetting,MATCH(N90,FlowCalNumber,0),1,1))),INDEX(FlowCalConstA,MATCH(N90,FlowCalNumber,0),1,1)*P92^INDEX(FlowCalConstB,MATCH(N90,FlowCalNumber,0),1,1)," ")</f>
        <v>#N/A</v>
      </c>
      <c r="R92" s="33"/>
      <c r="S92" s="242">
        <f t="shared" ref="S92:S105" si="46">S91</f>
        <v>1</v>
      </c>
      <c r="T92" s="241" t="e">
        <f t="shared" ref="T92:T105" ca="1" si="47">S92*$H92</f>
        <v>#VALUE!</v>
      </c>
      <c r="U92" s="243" t="e">
        <f ca="1">IF(AND(INDEX(FlowCalConstA,MATCH(R90,FlowCalNumber,0),1,1)*T92^INDEX(FlowCalConstB,MATCH(R90,FlowCalNumber,0),1,1)&gt;INDEX(FlowCalLowSetting,MATCH(R90,FlowCalNumber,0),1,1), (INDEX(FlowCalConstA,MATCH(R90,FlowCalNumber,0),1,1)*T92^INDEX(FlowCalConstB,MATCH(R90,FlowCalNumber,0),1,1)&lt;INDEX(FlowCalHighSetting,MATCH(R90,FlowCalNumber,0),1,1))),INDEX(FlowCalConstA,MATCH(R90,FlowCalNumber,0),1,1)*T92^INDEX(FlowCalConstB,MATCH(R90,FlowCalNumber,0),1,1)," ")</f>
        <v>#N/A</v>
      </c>
      <c r="V92" s="33"/>
      <c r="W92" s="242"/>
      <c r="X92" s="241"/>
      <c r="Y92" s="243"/>
      <c r="Z92" s="33"/>
      <c r="AA92" s="242"/>
      <c r="AB92" s="241"/>
      <c r="AC92" s="243"/>
      <c r="AD92" s="33"/>
      <c r="AE92" s="242"/>
      <c r="AF92" s="241"/>
      <c r="AG92" s="243"/>
      <c r="AH92" s="33"/>
      <c r="AI92" s="242"/>
      <c r="AJ92" s="241"/>
      <c r="AK92" s="244"/>
      <c r="AL92" s="243"/>
      <c r="AM92" s="243"/>
      <c r="AN92" s="243"/>
      <c r="AO92" s="243"/>
      <c r="AP92" s="243"/>
      <c r="AQ92" s="243"/>
      <c r="AR92" s="243"/>
      <c r="AS92" s="243"/>
      <c r="AT92" s="243"/>
      <c r="AU92" s="243"/>
      <c r="AV92" s="243"/>
      <c r="AW92" s="243"/>
      <c r="AX92" s="243"/>
      <c r="AY92" s="243"/>
      <c r="AZ92" s="243"/>
      <c r="BA92" s="243"/>
      <c r="BB92" s="243"/>
      <c r="BC92" s="243"/>
      <c r="BD92" s="243"/>
      <c r="BE92" s="243"/>
      <c r="BF92" s="243"/>
      <c r="BG92" s="243"/>
      <c r="BH92" s="243"/>
      <c r="BI92" s="243"/>
      <c r="BJ92" s="243"/>
      <c r="BK92" s="243"/>
      <c r="BL92" s="243"/>
      <c r="BM92" s="243"/>
      <c r="BN92" s="243"/>
      <c r="BO92" s="243"/>
      <c r="BP92" s="243"/>
      <c r="BQ92" s="243"/>
      <c r="BR92" s="243"/>
      <c r="BS92" s="243"/>
      <c r="BU92" s="242"/>
      <c r="BW92" s="243"/>
      <c r="BY92" s="242"/>
      <c r="CA92" s="243"/>
      <c r="CC92" s="242"/>
      <c r="CE92" s="243"/>
      <c r="CG92" s="242"/>
      <c r="CI92" s="243"/>
    </row>
    <row r="93" spans="1:87" s="1215" customFormat="1">
      <c r="A93" s="1222"/>
      <c r="B93" s="1223" t="str">
        <f t="shared" si="40"/>
        <v/>
      </c>
      <c r="C93" s="1210"/>
      <c r="D93" s="1211">
        <f>'1% Wind'!$M$84</f>
        <v>20.5</v>
      </c>
      <c r="E93" s="1212"/>
      <c r="F93" s="1212"/>
      <c r="G93" s="1213">
        <f ca="1">IF(I90=0.9743,$G92,MAX(G92/D92*D93,2))</f>
        <v>2</v>
      </c>
      <c r="H93" s="1214" t="e">
        <f t="shared" ca="1" si="41"/>
        <v>#VALUE!</v>
      </c>
      <c r="J93" s="1224"/>
      <c r="K93" s="1217">
        <f t="shared" si="42"/>
        <v>1</v>
      </c>
      <c r="L93" s="1218" t="e">
        <f t="shared" ca="1" si="43"/>
        <v>#VALUE!</v>
      </c>
      <c r="M93" s="1219" t="e">
        <f ca="1">IF(AND(INDEX(FlowCalConstA,MATCH(J90,FlowCalNumber,0),1,1)*L93^INDEX(FlowCalConstB,MATCH(J90,FlowCalNumber,0),1,1)&gt;INDEX(FlowCalLowSetting,MATCH(J90,FlowCalNumber,0),1,1), (INDEX(FlowCalConstA,MATCH(J90,FlowCalNumber,0),1,1)*L93^INDEX(FlowCalConstB,MATCH(J90,FlowCalNumber,0),1,1)&lt;INDEX(FlowCalHighSetting,MATCH(J90,FlowCalNumber,0),1,1))),INDEX(FlowCalConstA,MATCH(J90,FlowCalNumber,0),1,1)*L93^INDEX(FlowCalConstB,MATCH(J90,FlowCalNumber,0),1,1)," ")</f>
        <v>#N/A</v>
      </c>
      <c r="N93" s="1224"/>
      <c r="O93" s="1217">
        <f t="shared" si="44"/>
        <v>1</v>
      </c>
      <c r="P93" s="1218" t="e">
        <f t="shared" ca="1" si="45"/>
        <v>#VALUE!</v>
      </c>
      <c r="Q93" s="1219" t="e">
        <f ca="1">IF(AND(INDEX(FlowCalConstA,MATCH(N90,FlowCalNumber,0),1,1)*P93^INDEX(FlowCalConstB,MATCH(N90,FlowCalNumber,0),1,1)&gt;INDEX(FlowCalLowSetting,MATCH(N90,FlowCalNumber,0),1,1), (INDEX(FlowCalConstA,MATCH(N90,FlowCalNumber,0),1,1)*P93^INDEX(FlowCalConstB,MATCH(N90,FlowCalNumber,0),1,1)&lt;INDEX(FlowCalHighSetting,MATCH(N90,FlowCalNumber,0),1,1))),INDEX(FlowCalConstA,MATCH(N90,FlowCalNumber,0),1,1)*P93^INDEX(FlowCalConstB,MATCH(N90,FlowCalNumber,0),1,1)," ")</f>
        <v>#N/A</v>
      </c>
      <c r="R93" s="1224"/>
      <c r="S93" s="1217">
        <f t="shared" si="46"/>
        <v>1</v>
      </c>
      <c r="T93" s="1218" t="e">
        <f t="shared" ca="1" si="47"/>
        <v>#VALUE!</v>
      </c>
      <c r="U93" s="1219" t="e">
        <f ca="1">IF(AND(INDEX(FlowCalConstA,MATCH(R90,FlowCalNumber,0),1,1)*T93^INDEX(FlowCalConstB,MATCH(R90,FlowCalNumber,0),1,1)&gt;INDEX(FlowCalLowSetting,MATCH(R90,FlowCalNumber,0),1,1), (INDEX(FlowCalConstA,MATCH(R90,FlowCalNumber,0),1,1)*T93^INDEX(FlowCalConstB,MATCH(R90,FlowCalNumber,0),1,1)&lt;INDEX(FlowCalHighSetting,MATCH(R90,FlowCalNumber,0),1,1))),INDEX(FlowCalConstA,MATCH(R90,FlowCalNumber,0),1,1)*T93^INDEX(FlowCalConstB,MATCH(R90,FlowCalNumber,0),1,1)," ")</f>
        <v>#N/A</v>
      </c>
      <c r="V93" s="1224"/>
      <c r="W93" s="1217"/>
      <c r="X93" s="1218"/>
      <c r="Y93" s="1219"/>
      <c r="Z93" s="1224"/>
      <c r="AA93" s="1217"/>
      <c r="AB93" s="1218"/>
      <c r="AC93" s="1219"/>
      <c r="AD93" s="1224"/>
      <c r="AE93" s="1217"/>
      <c r="AF93" s="1218"/>
      <c r="AG93" s="1219"/>
      <c r="AH93" s="1224"/>
      <c r="AI93" s="1217"/>
      <c r="AJ93" s="1218"/>
      <c r="AK93" s="1220"/>
      <c r="AL93" s="1219"/>
      <c r="AM93" s="1219"/>
      <c r="AN93" s="1219"/>
      <c r="AO93" s="1219"/>
      <c r="AP93" s="1219"/>
      <c r="AQ93" s="1219"/>
      <c r="AR93" s="1219"/>
      <c r="AS93" s="1219"/>
      <c r="AT93" s="1219"/>
      <c r="AU93" s="1219"/>
      <c r="AV93" s="1219"/>
      <c r="AW93" s="1219"/>
      <c r="AX93" s="1219"/>
      <c r="AY93" s="1219"/>
      <c r="AZ93" s="1219"/>
      <c r="BA93" s="1219"/>
      <c r="BB93" s="1219"/>
      <c r="BC93" s="1219"/>
      <c r="BD93" s="1219"/>
      <c r="BE93" s="1219"/>
      <c r="BF93" s="1219"/>
      <c r="BG93" s="1219"/>
      <c r="BH93" s="1219"/>
      <c r="BI93" s="1219"/>
      <c r="BJ93" s="1219"/>
      <c r="BK93" s="1219"/>
      <c r="BL93" s="1219"/>
      <c r="BM93" s="1219"/>
      <c r="BN93" s="1219"/>
      <c r="BO93" s="1219"/>
      <c r="BP93" s="1219"/>
      <c r="BQ93" s="1219"/>
      <c r="BR93" s="1219"/>
      <c r="BS93" s="1219"/>
      <c r="BU93" s="1217"/>
      <c r="BW93" s="1219"/>
      <c r="BY93" s="1217"/>
      <c r="CA93" s="1219"/>
      <c r="CC93" s="1217"/>
      <c r="CE93" s="1219"/>
      <c r="CG93" s="1217"/>
      <c r="CI93" s="1219"/>
    </row>
    <row r="94" spans="1:87">
      <c r="A94" s="20"/>
      <c r="B94" s="124" t="str">
        <f t="shared" si="40"/>
        <v/>
      </c>
      <c r="C94" s="235"/>
      <c r="D94" s="24">
        <f>'1% Wind'!$M$85</f>
        <v>17.8</v>
      </c>
      <c r="E94" s="90"/>
      <c r="F94" s="90"/>
      <c r="G94" s="79">
        <f ca="1">IF(I90=0.9743,$G93,MAX(G93/D93*D94,2))</f>
        <v>2</v>
      </c>
      <c r="H94" s="121" t="e">
        <f t="shared" ca="1" si="41"/>
        <v>#VALUE!</v>
      </c>
      <c r="J94" s="33"/>
      <c r="K94" s="242">
        <f t="shared" si="42"/>
        <v>1</v>
      </c>
      <c r="L94" s="241" t="e">
        <f t="shared" ca="1" si="43"/>
        <v>#VALUE!</v>
      </c>
      <c r="M94" s="243" t="e">
        <f ca="1">IF(AND(INDEX(FlowCalConstA,MATCH(J90,FlowCalNumber,0),1,1)*L94^INDEX(FlowCalConstB,MATCH(J90,FlowCalNumber,0),1,1)&gt;INDEX(FlowCalLowSetting,MATCH(J90,FlowCalNumber,0),1,1), (INDEX(FlowCalConstA,MATCH(J90,FlowCalNumber,0),1,1)*L94^INDEX(FlowCalConstB,MATCH(J90,FlowCalNumber,0),1,1)&lt;INDEX(FlowCalHighSetting,MATCH(J90,FlowCalNumber,0),1,1))),INDEX(FlowCalConstA,MATCH(J90,FlowCalNumber,0),1,1)*L94^INDEX(FlowCalConstB,MATCH(J90,FlowCalNumber,0),1,1)," ")</f>
        <v>#N/A</v>
      </c>
      <c r="N94" s="33"/>
      <c r="O94" s="242">
        <f t="shared" si="44"/>
        <v>1</v>
      </c>
      <c r="P94" s="241" t="e">
        <f t="shared" ca="1" si="45"/>
        <v>#VALUE!</v>
      </c>
      <c r="Q94" s="243" t="e">
        <f ca="1">IF(AND(INDEX(FlowCalConstA,MATCH(N90,FlowCalNumber,0),1,1)*P94^INDEX(FlowCalConstB,MATCH(N90,FlowCalNumber,0),1,1)&gt;INDEX(FlowCalLowSetting,MATCH(N90,FlowCalNumber,0),1,1), (INDEX(FlowCalConstA,MATCH(N90,FlowCalNumber,0),1,1)*P94^INDEX(FlowCalConstB,MATCH(N90,FlowCalNumber,0),1,1)&lt;INDEX(FlowCalHighSetting,MATCH(N90,FlowCalNumber,0),1,1))),INDEX(FlowCalConstA,MATCH(N90,FlowCalNumber,0),1,1)*P94^INDEX(FlowCalConstB,MATCH(N90,FlowCalNumber,0),1,1)," ")</f>
        <v>#N/A</v>
      </c>
      <c r="R94" s="33"/>
      <c r="S94" s="242">
        <f t="shared" si="46"/>
        <v>1</v>
      </c>
      <c r="T94" s="241" t="e">
        <f t="shared" ca="1" si="47"/>
        <v>#VALUE!</v>
      </c>
      <c r="U94" s="243" t="e">
        <f ca="1">IF(AND(INDEX(FlowCalConstA,MATCH(R90,FlowCalNumber,0),1,1)*T94^INDEX(FlowCalConstB,MATCH(R90,FlowCalNumber,0),1,1)&gt;INDEX(FlowCalLowSetting,MATCH(R90,FlowCalNumber,0),1,1), (INDEX(FlowCalConstA,MATCH(R90,FlowCalNumber,0),1,1)*T94^INDEX(FlowCalConstB,MATCH(R90,FlowCalNumber,0),1,1)&lt;INDEX(FlowCalHighSetting,MATCH(R90,FlowCalNumber,0),1,1))),INDEX(FlowCalConstA,MATCH(R90,FlowCalNumber,0),1,1)*T94^INDEX(FlowCalConstB,MATCH(R90,FlowCalNumber,0),1,1)," ")</f>
        <v>#N/A</v>
      </c>
      <c r="V94" s="33"/>
      <c r="W94" s="242"/>
      <c r="X94" s="241"/>
      <c r="Y94" s="243"/>
      <c r="Z94" s="33"/>
      <c r="AA94" s="242"/>
      <c r="AB94" s="241"/>
      <c r="AC94" s="243"/>
      <c r="AD94" s="33"/>
      <c r="AE94" s="242"/>
      <c r="AF94" s="241"/>
      <c r="AG94" s="243"/>
      <c r="AH94" s="33"/>
      <c r="AI94" s="242"/>
      <c r="AJ94" s="241"/>
      <c r="AK94" s="244"/>
      <c r="AL94" s="243"/>
      <c r="AM94" s="243"/>
      <c r="AN94" s="243"/>
      <c r="AO94" s="243"/>
      <c r="AP94" s="243"/>
      <c r="AQ94" s="243"/>
      <c r="AR94" s="243"/>
      <c r="AS94" s="243"/>
      <c r="AT94" s="243"/>
      <c r="AU94" s="243"/>
      <c r="AV94" s="243"/>
      <c r="AW94" s="243"/>
      <c r="AX94" s="243"/>
      <c r="AY94" s="243"/>
      <c r="AZ94" s="243"/>
      <c r="BA94" s="243"/>
      <c r="BB94" s="243"/>
      <c r="BC94" s="243"/>
      <c r="BD94" s="243"/>
      <c r="BE94" s="243"/>
      <c r="BF94" s="243"/>
      <c r="BG94" s="243"/>
      <c r="BH94" s="243"/>
      <c r="BI94" s="243"/>
      <c r="BJ94" s="243"/>
      <c r="BK94" s="243"/>
      <c r="BL94" s="243"/>
      <c r="BM94" s="243"/>
      <c r="BN94" s="243"/>
      <c r="BO94" s="243"/>
      <c r="BP94" s="243"/>
      <c r="BQ94" s="243"/>
      <c r="BR94" s="243"/>
      <c r="BS94" s="243"/>
      <c r="BU94" s="242"/>
      <c r="BW94" s="243"/>
      <c r="BY94" s="242"/>
      <c r="CA94" s="243"/>
      <c r="CC94" s="242"/>
      <c r="CE94" s="243"/>
      <c r="CG94" s="242"/>
      <c r="CI94" s="243"/>
    </row>
    <row r="95" spans="1:87" s="1215" customFormat="1">
      <c r="A95" s="1222"/>
      <c r="B95" s="1223" t="str">
        <f t="shared" si="40"/>
        <v/>
      </c>
      <c r="C95" s="1210"/>
      <c r="D95" s="1211">
        <f>'1% Wind'!$M$86</f>
        <v>15.5</v>
      </c>
      <c r="E95" s="1212"/>
      <c r="F95" s="1212"/>
      <c r="G95" s="1213">
        <f ca="1">IF(I90=0.9743,$G94,MAX(G94/D94*D95,2))</f>
        <v>2</v>
      </c>
      <c r="H95" s="1214" t="e">
        <f t="shared" ca="1" si="41"/>
        <v>#VALUE!</v>
      </c>
      <c r="J95" s="1224"/>
      <c r="K95" s="1217">
        <f t="shared" si="42"/>
        <v>1</v>
      </c>
      <c r="L95" s="1218" t="e">
        <f t="shared" ca="1" si="43"/>
        <v>#VALUE!</v>
      </c>
      <c r="M95" s="1219" t="e">
        <f ca="1">IF(AND(INDEX(FlowCalConstA,MATCH(J90,FlowCalNumber,0),1,1)*L95^INDEX(FlowCalConstB,MATCH(J90,FlowCalNumber,0),1,1)&gt;INDEX(FlowCalLowSetting,MATCH(J90,FlowCalNumber,0),1,1), (INDEX(FlowCalConstA,MATCH(J90,FlowCalNumber,0),1,1)*L95^INDEX(FlowCalConstB,MATCH(J90,FlowCalNumber,0),1,1)&lt;INDEX(FlowCalHighSetting,MATCH(J90,FlowCalNumber,0),1,1))),INDEX(FlowCalConstA,MATCH(J90,FlowCalNumber,0),1,1)*L95^INDEX(FlowCalConstB,MATCH(J90,FlowCalNumber,0),1,1)," ")</f>
        <v>#N/A</v>
      </c>
      <c r="N95" s="1224"/>
      <c r="O95" s="1217">
        <f t="shared" si="44"/>
        <v>1</v>
      </c>
      <c r="P95" s="1218" t="e">
        <f t="shared" ca="1" si="45"/>
        <v>#VALUE!</v>
      </c>
      <c r="Q95" s="1219" t="e">
        <f ca="1">IF(AND(INDEX(FlowCalConstA,MATCH(N90,FlowCalNumber,0),1,1)*P95^INDEX(FlowCalConstB,MATCH(N90,FlowCalNumber,0),1,1)&gt;INDEX(FlowCalLowSetting,MATCH(N90,FlowCalNumber,0),1,1), (INDEX(FlowCalConstA,MATCH(N90,FlowCalNumber,0),1,1)*P95^INDEX(FlowCalConstB,MATCH(N90,FlowCalNumber,0),1,1)&lt;INDEX(FlowCalHighSetting,MATCH(N90,FlowCalNumber,0),1,1))),INDEX(FlowCalConstA,MATCH(N90,FlowCalNumber,0),1,1)*P95^INDEX(FlowCalConstB,MATCH(N90,FlowCalNumber,0),1,1)," ")</f>
        <v>#N/A</v>
      </c>
      <c r="R95" s="1224"/>
      <c r="S95" s="1217">
        <f t="shared" si="46"/>
        <v>1</v>
      </c>
      <c r="T95" s="1218" t="e">
        <f t="shared" ca="1" si="47"/>
        <v>#VALUE!</v>
      </c>
      <c r="U95" s="1219" t="e">
        <f ca="1">IF(AND(INDEX(FlowCalConstA,MATCH(R90,FlowCalNumber,0),1,1)*T95^INDEX(FlowCalConstB,MATCH(R90,FlowCalNumber,0),1,1)&gt;INDEX(FlowCalLowSetting,MATCH(R90,FlowCalNumber,0),1,1), (INDEX(FlowCalConstA,MATCH(R90,FlowCalNumber,0),1,1)*T95^INDEX(FlowCalConstB,MATCH(R90,FlowCalNumber,0),1,1)&lt;INDEX(FlowCalHighSetting,MATCH(R90,FlowCalNumber,0),1,1))),INDEX(FlowCalConstA,MATCH(R90,FlowCalNumber,0),1,1)*T95^INDEX(FlowCalConstB,MATCH(R90,FlowCalNumber,0),1,1)," ")</f>
        <v>#N/A</v>
      </c>
      <c r="V95" s="1224"/>
      <c r="W95" s="1217"/>
      <c r="X95" s="1218"/>
      <c r="Y95" s="1219"/>
      <c r="Z95" s="1224"/>
      <c r="AA95" s="1217"/>
      <c r="AB95" s="1218"/>
      <c r="AC95" s="1219"/>
      <c r="AD95" s="1224"/>
      <c r="AE95" s="1217"/>
      <c r="AF95" s="1218"/>
      <c r="AG95" s="1219"/>
      <c r="AH95" s="1224"/>
      <c r="AI95" s="1217"/>
      <c r="AJ95" s="1218"/>
      <c r="AK95" s="1220"/>
      <c r="AL95" s="1219"/>
      <c r="AM95" s="1219"/>
      <c r="AN95" s="1219"/>
      <c r="AO95" s="1219"/>
      <c r="AP95" s="1219"/>
      <c r="AQ95" s="1219"/>
      <c r="AR95" s="1219"/>
      <c r="AS95" s="1219"/>
      <c r="AT95" s="1219"/>
      <c r="AU95" s="1219"/>
      <c r="AV95" s="1219"/>
      <c r="AW95" s="1219"/>
      <c r="AX95" s="1219"/>
      <c r="AY95" s="1219"/>
      <c r="AZ95" s="1219"/>
      <c r="BA95" s="1219"/>
      <c r="BB95" s="1219"/>
      <c r="BC95" s="1219"/>
      <c r="BD95" s="1219"/>
      <c r="BE95" s="1219"/>
      <c r="BF95" s="1219"/>
      <c r="BG95" s="1219"/>
      <c r="BH95" s="1219"/>
      <c r="BI95" s="1219"/>
      <c r="BJ95" s="1219"/>
      <c r="BK95" s="1219"/>
      <c r="BL95" s="1219"/>
      <c r="BM95" s="1219"/>
      <c r="BN95" s="1219"/>
      <c r="BO95" s="1219"/>
      <c r="BP95" s="1219"/>
      <c r="BQ95" s="1219"/>
      <c r="BR95" s="1219"/>
      <c r="BS95" s="1219"/>
      <c r="BU95" s="1217"/>
      <c r="BW95" s="1219"/>
      <c r="BY95" s="1217"/>
      <c r="CA95" s="1219"/>
      <c r="CC95" s="1217"/>
      <c r="CE95" s="1219"/>
      <c r="CG95" s="1217"/>
      <c r="CI95" s="1219"/>
    </row>
    <row r="96" spans="1:87">
      <c r="A96" s="20"/>
      <c r="B96" s="124" t="str">
        <f t="shared" si="40"/>
        <v/>
      </c>
      <c r="C96" s="235"/>
      <c r="D96" s="24">
        <f>'1% Wind'!$M$87</f>
        <v>13.5</v>
      </c>
      <c r="E96" s="90"/>
      <c r="F96" s="90"/>
      <c r="G96" s="79">
        <f ca="1">IF(I90=0.9743,$G95,MAX(G95/D95*D96,2))</f>
        <v>2</v>
      </c>
      <c r="H96" s="121" t="e">
        <f t="shared" ca="1" si="41"/>
        <v>#VALUE!</v>
      </c>
      <c r="J96" s="33"/>
      <c r="K96" s="242">
        <f t="shared" si="42"/>
        <v>1</v>
      </c>
      <c r="L96" s="241" t="e">
        <f t="shared" ca="1" si="43"/>
        <v>#VALUE!</v>
      </c>
      <c r="M96" s="243" t="e">
        <f ca="1">IF(AND(INDEX(FlowCalConstA,MATCH(J90,FlowCalNumber,0),1,1)*L96^INDEX(FlowCalConstB,MATCH(J90,FlowCalNumber,0),1,1)&gt;INDEX(FlowCalLowSetting,MATCH(J90,FlowCalNumber,0),1,1), (INDEX(FlowCalConstA,MATCH(J90,FlowCalNumber,0),1,1)*L96^INDEX(FlowCalConstB,MATCH(J90,FlowCalNumber,0),1,1)&lt;INDEX(FlowCalHighSetting,MATCH(J90,FlowCalNumber,0),1,1))),INDEX(FlowCalConstA,MATCH(J90,FlowCalNumber,0),1,1)*L96^INDEX(FlowCalConstB,MATCH(J90,FlowCalNumber,0),1,1)," ")</f>
        <v>#N/A</v>
      </c>
      <c r="N96" s="33"/>
      <c r="O96" s="242">
        <f t="shared" si="44"/>
        <v>1</v>
      </c>
      <c r="P96" s="241" t="e">
        <f t="shared" ca="1" si="45"/>
        <v>#VALUE!</v>
      </c>
      <c r="Q96" s="243" t="e">
        <f ca="1">IF(AND(INDEX(FlowCalConstA,MATCH(N90,FlowCalNumber,0),1,1)*P96^INDEX(FlowCalConstB,MATCH(N90,FlowCalNumber,0),1,1)&gt;INDEX(FlowCalLowSetting,MATCH(N90,FlowCalNumber,0),1,1), (INDEX(FlowCalConstA,MATCH(N90,FlowCalNumber,0),1,1)*P96^INDEX(FlowCalConstB,MATCH(N90,FlowCalNumber,0),1,1)&lt;INDEX(FlowCalHighSetting,MATCH(N90,FlowCalNumber,0),1,1))),INDEX(FlowCalConstA,MATCH(N90,FlowCalNumber,0),1,1)*P96^INDEX(FlowCalConstB,MATCH(N90,FlowCalNumber,0),1,1)," ")</f>
        <v>#N/A</v>
      </c>
      <c r="R96" s="33"/>
      <c r="S96" s="242">
        <f t="shared" si="46"/>
        <v>1</v>
      </c>
      <c r="T96" s="241" t="e">
        <f t="shared" ca="1" si="47"/>
        <v>#VALUE!</v>
      </c>
      <c r="U96" s="243" t="e">
        <f ca="1">IF(AND(INDEX(FlowCalConstA,MATCH(R90,FlowCalNumber,0),1,1)*T96^INDEX(FlowCalConstB,MATCH(R90,FlowCalNumber,0),1,1)&gt;INDEX(FlowCalLowSetting,MATCH(R90,FlowCalNumber,0),1,1), (INDEX(FlowCalConstA,MATCH(R90,FlowCalNumber,0),1,1)*T96^INDEX(FlowCalConstB,MATCH(R90,FlowCalNumber,0),1,1)&lt;INDEX(FlowCalHighSetting,MATCH(R90,FlowCalNumber,0),1,1))),INDEX(FlowCalConstA,MATCH(R90,FlowCalNumber,0),1,1)*T96^INDEX(FlowCalConstB,MATCH(R90,FlowCalNumber,0),1,1)," ")</f>
        <v>#N/A</v>
      </c>
      <c r="V96" s="33"/>
      <c r="W96" s="242"/>
      <c r="X96" s="241"/>
      <c r="Y96" s="243"/>
      <c r="Z96" s="33"/>
      <c r="AA96" s="242"/>
      <c r="AB96" s="241"/>
      <c r="AC96" s="243"/>
      <c r="AD96" s="33"/>
      <c r="AE96" s="242"/>
      <c r="AF96" s="241"/>
      <c r="AG96" s="243"/>
      <c r="AH96" s="33"/>
      <c r="AI96" s="242"/>
      <c r="AJ96" s="241"/>
      <c r="AK96" s="244"/>
      <c r="AL96" s="243"/>
      <c r="AM96" s="243"/>
      <c r="AN96" s="243"/>
      <c r="AO96" s="243"/>
      <c r="AP96" s="243"/>
      <c r="AQ96" s="243"/>
      <c r="AR96" s="243"/>
      <c r="AS96" s="243"/>
      <c r="AT96" s="243"/>
      <c r="AU96" s="243"/>
      <c r="AV96" s="243"/>
      <c r="AW96" s="243"/>
      <c r="AX96" s="243"/>
      <c r="AY96" s="243"/>
      <c r="AZ96" s="243"/>
      <c r="BA96" s="243"/>
      <c r="BB96" s="243"/>
      <c r="BC96" s="243"/>
      <c r="BD96" s="243"/>
      <c r="BE96" s="243"/>
      <c r="BF96" s="243"/>
      <c r="BG96" s="243"/>
      <c r="BH96" s="243"/>
      <c r="BI96" s="243"/>
      <c r="BJ96" s="243"/>
      <c r="BK96" s="243"/>
      <c r="BL96" s="243"/>
      <c r="BM96" s="243"/>
      <c r="BN96" s="243"/>
      <c r="BO96" s="243"/>
      <c r="BP96" s="243"/>
      <c r="BQ96" s="243"/>
      <c r="BR96" s="243"/>
      <c r="BS96" s="243"/>
      <c r="BU96" s="242"/>
      <c r="BW96" s="243"/>
      <c r="BY96" s="242"/>
      <c r="CA96" s="243"/>
      <c r="CC96" s="242"/>
      <c r="CE96" s="243"/>
      <c r="CG96" s="242"/>
      <c r="CI96" s="243"/>
    </row>
    <row r="97" spans="1:87" s="1215" customFormat="1">
      <c r="A97" s="1222"/>
      <c r="B97" s="1223" t="str">
        <f t="shared" si="40"/>
        <v/>
      </c>
      <c r="C97" s="1210"/>
      <c r="D97" s="1211">
        <f>'1% Wind'!$M$88</f>
        <v>10.1</v>
      </c>
      <c r="E97" s="1212"/>
      <c r="F97" s="1212"/>
      <c r="G97" s="1213">
        <f ca="1">IF(I90=0.9743,$G96,MAX(G96/D96*D97,2))</f>
        <v>2</v>
      </c>
      <c r="H97" s="1214" t="e">
        <f t="shared" ca="1" si="41"/>
        <v>#VALUE!</v>
      </c>
      <c r="J97" s="1224"/>
      <c r="K97" s="1217">
        <f t="shared" si="42"/>
        <v>1</v>
      </c>
      <c r="L97" s="1218" t="e">
        <f t="shared" ca="1" si="43"/>
        <v>#VALUE!</v>
      </c>
      <c r="M97" s="1219" t="e">
        <f ca="1">IF(AND(INDEX(FlowCalConstA,MATCH(J90,FlowCalNumber,0),1,1)*L97^INDEX(FlowCalConstB,MATCH(J90,FlowCalNumber,0),1,1)&gt;INDEX(FlowCalLowSetting,MATCH(J90,FlowCalNumber,0),1,1), (INDEX(FlowCalConstA,MATCH(J90,FlowCalNumber,0),1,1)*L97^INDEX(FlowCalConstB,MATCH(J90,FlowCalNumber,0),1,1)&lt;INDEX(FlowCalHighSetting,MATCH(J90,FlowCalNumber,0),1,1))),INDEX(FlowCalConstA,MATCH(J90,FlowCalNumber,0),1,1)*L97^INDEX(FlowCalConstB,MATCH(J90,FlowCalNumber,0),1,1)," ")</f>
        <v>#N/A</v>
      </c>
      <c r="N97" s="1224"/>
      <c r="O97" s="1217">
        <f t="shared" si="44"/>
        <v>1</v>
      </c>
      <c r="P97" s="1218" t="e">
        <f t="shared" ca="1" si="45"/>
        <v>#VALUE!</v>
      </c>
      <c r="Q97" s="1219" t="e">
        <f ca="1">IF(AND(INDEX(FlowCalConstA,MATCH(N90,FlowCalNumber,0),1,1)*P97^INDEX(FlowCalConstB,MATCH(N90,FlowCalNumber,0),1,1)&gt;INDEX(FlowCalLowSetting,MATCH(N90,FlowCalNumber,0),1,1), (INDEX(FlowCalConstA,MATCH(N90,FlowCalNumber,0),1,1)*P97^INDEX(FlowCalConstB,MATCH(N90,FlowCalNumber,0),1,1)&lt;INDEX(FlowCalHighSetting,MATCH(N90,FlowCalNumber,0),1,1))),INDEX(FlowCalConstA,MATCH(N90,FlowCalNumber,0),1,1)*P97^INDEX(FlowCalConstB,MATCH(N90,FlowCalNumber,0),1,1)," ")</f>
        <v>#N/A</v>
      </c>
      <c r="R97" s="1224"/>
      <c r="S97" s="1217">
        <f t="shared" si="46"/>
        <v>1</v>
      </c>
      <c r="T97" s="1218" t="e">
        <f t="shared" ca="1" si="47"/>
        <v>#VALUE!</v>
      </c>
      <c r="U97" s="1219" t="e">
        <f ca="1">IF(AND(INDEX(FlowCalConstA,MATCH(R90,FlowCalNumber,0),1,1)*T97^INDEX(FlowCalConstB,MATCH(R90,FlowCalNumber,0),1,1)&gt;INDEX(FlowCalLowSetting,MATCH(R90,FlowCalNumber,0),1,1), (INDEX(FlowCalConstA,MATCH(R90,FlowCalNumber,0),1,1)*T97^INDEX(FlowCalConstB,MATCH(R90,FlowCalNumber,0),1,1)&lt;INDEX(FlowCalHighSetting,MATCH(R90,FlowCalNumber,0),1,1))),INDEX(FlowCalConstA,MATCH(R90,FlowCalNumber,0),1,1)*T97^INDEX(FlowCalConstB,MATCH(R90,FlowCalNumber,0),1,1)," ")</f>
        <v>#N/A</v>
      </c>
      <c r="V97" s="1224"/>
      <c r="W97" s="1217"/>
      <c r="X97" s="1218"/>
      <c r="Y97" s="1219"/>
      <c r="Z97" s="1224"/>
      <c r="AA97" s="1217"/>
      <c r="AB97" s="1218"/>
      <c r="AC97" s="1219"/>
      <c r="AD97" s="1224"/>
      <c r="AE97" s="1217"/>
      <c r="AF97" s="1218"/>
      <c r="AG97" s="1219"/>
      <c r="AH97" s="1224"/>
      <c r="AI97" s="1217"/>
      <c r="AJ97" s="1218"/>
      <c r="AK97" s="1220"/>
      <c r="AL97" s="1219"/>
      <c r="AM97" s="1219"/>
      <c r="AN97" s="1219"/>
      <c r="AO97" s="1219"/>
      <c r="AP97" s="1219"/>
      <c r="AQ97" s="1219"/>
      <c r="AR97" s="1219"/>
      <c r="AS97" s="1219"/>
      <c r="AT97" s="1219"/>
      <c r="AU97" s="1219"/>
      <c r="AV97" s="1219"/>
      <c r="AW97" s="1219"/>
      <c r="AX97" s="1219"/>
      <c r="AY97" s="1219"/>
      <c r="AZ97" s="1219"/>
      <c r="BA97" s="1219"/>
      <c r="BB97" s="1219"/>
      <c r="BC97" s="1219"/>
      <c r="BD97" s="1219"/>
      <c r="BE97" s="1219"/>
      <c r="BF97" s="1219"/>
      <c r="BG97" s="1219"/>
      <c r="BH97" s="1219"/>
      <c r="BI97" s="1219"/>
      <c r="BJ97" s="1219"/>
      <c r="BK97" s="1219"/>
      <c r="BL97" s="1219"/>
      <c r="BM97" s="1219"/>
      <c r="BN97" s="1219"/>
      <c r="BO97" s="1219"/>
      <c r="BP97" s="1219"/>
      <c r="BQ97" s="1219"/>
      <c r="BR97" s="1219"/>
      <c r="BS97" s="1219"/>
      <c r="BU97" s="1217"/>
      <c r="BW97" s="1219"/>
      <c r="BY97" s="1217"/>
      <c r="CA97" s="1219"/>
      <c r="CC97" s="1217"/>
      <c r="CE97" s="1219"/>
      <c r="CG97" s="1217"/>
      <c r="CI97" s="1219"/>
    </row>
    <row r="98" spans="1:87">
      <c r="A98" s="20"/>
      <c r="B98" s="124" t="str">
        <f t="shared" si="40"/>
        <v/>
      </c>
      <c r="C98" s="235"/>
      <c r="D98" s="24">
        <f>'1% Wind'!$M$89</f>
        <v>7.6</v>
      </c>
      <c r="E98" s="90"/>
      <c r="F98" s="90"/>
      <c r="G98" s="79">
        <f ca="1">IF(I90=0.9743,$G97,MAX(G97/D97*D98,2))</f>
        <v>2</v>
      </c>
      <c r="H98" s="121" t="e">
        <f t="shared" ca="1" si="41"/>
        <v>#VALUE!</v>
      </c>
      <c r="J98" s="33"/>
      <c r="K98" s="242">
        <f t="shared" si="42"/>
        <v>1</v>
      </c>
      <c r="L98" s="241" t="e">
        <f t="shared" ca="1" si="43"/>
        <v>#VALUE!</v>
      </c>
      <c r="M98" s="243" t="e">
        <f ca="1">IF(AND(INDEX(FlowCalConstA,MATCH(J90,FlowCalNumber,0),1,1)*L98^INDEX(FlowCalConstB,MATCH(J90,FlowCalNumber,0),1,1)&gt;INDEX(FlowCalLowSetting,MATCH(J90,FlowCalNumber,0),1,1), (INDEX(FlowCalConstA,MATCH(J90,FlowCalNumber,0),1,1)*L98^INDEX(FlowCalConstB,MATCH(J90,FlowCalNumber,0),1,1)&lt;INDEX(FlowCalHighSetting,MATCH(J90,FlowCalNumber,0),1,1))),INDEX(FlowCalConstA,MATCH(J90,FlowCalNumber,0),1,1)*L98^INDEX(FlowCalConstB,MATCH(J90,FlowCalNumber,0),1,1)," ")</f>
        <v>#N/A</v>
      </c>
      <c r="N98" s="33"/>
      <c r="O98" s="242">
        <f t="shared" si="44"/>
        <v>1</v>
      </c>
      <c r="P98" s="241" t="e">
        <f t="shared" ca="1" si="45"/>
        <v>#VALUE!</v>
      </c>
      <c r="Q98" s="243" t="e">
        <f ca="1">IF(AND(INDEX(FlowCalConstA,MATCH(N90,FlowCalNumber,0),1,1)*P98^INDEX(FlowCalConstB,MATCH(N90,FlowCalNumber,0),1,1)&gt;INDEX(FlowCalLowSetting,MATCH(N90,FlowCalNumber,0),1,1), (INDEX(FlowCalConstA,MATCH(N90,FlowCalNumber,0),1,1)*P98^INDEX(FlowCalConstB,MATCH(N90,FlowCalNumber,0),1,1)&lt;INDEX(FlowCalHighSetting,MATCH(N90,FlowCalNumber,0),1,1))),INDEX(FlowCalConstA,MATCH(N90,FlowCalNumber,0),1,1)*P98^INDEX(FlowCalConstB,MATCH(N90,FlowCalNumber,0),1,1)," ")</f>
        <v>#N/A</v>
      </c>
      <c r="R98" s="33"/>
      <c r="S98" s="242">
        <f t="shared" si="46"/>
        <v>1</v>
      </c>
      <c r="T98" s="241" t="e">
        <f t="shared" ca="1" si="47"/>
        <v>#VALUE!</v>
      </c>
      <c r="U98" s="243" t="e">
        <f ca="1">IF(AND(INDEX(FlowCalConstA,MATCH(R90,FlowCalNumber,0),1,1)*T98^INDEX(FlowCalConstB,MATCH(R90,FlowCalNumber,0),1,1)&gt;INDEX(FlowCalLowSetting,MATCH(R90,FlowCalNumber,0),1,1), (INDEX(FlowCalConstA,MATCH(R90,FlowCalNumber,0),1,1)*T98^INDEX(FlowCalConstB,MATCH(R90,FlowCalNumber,0),1,1)&lt;INDEX(FlowCalHighSetting,MATCH(R90,FlowCalNumber,0),1,1))),INDEX(FlowCalConstA,MATCH(R90,FlowCalNumber,0),1,1)*T98^INDEX(FlowCalConstB,MATCH(R90,FlowCalNumber,0),1,1)," ")</f>
        <v>#N/A</v>
      </c>
      <c r="V98" s="33"/>
      <c r="W98" s="242"/>
      <c r="X98" s="241"/>
      <c r="Y98" s="243"/>
      <c r="Z98" s="33"/>
      <c r="AA98" s="242"/>
      <c r="AB98" s="241"/>
      <c r="AC98" s="243"/>
      <c r="AD98" s="33"/>
      <c r="AE98" s="242"/>
      <c r="AF98" s="241"/>
      <c r="AG98" s="243"/>
      <c r="AH98" s="33"/>
      <c r="AI98" s="242"/>
      <c r="AJ98" s="241"/>
      <c r="AK98" s="244"/>
      <c r="AL98" s="243"/>
      <c r="AM98" s="243"/>
      <c r="AN98" s="243"/>
      <c r="AO98" s="243"/>
      <c r="AP98" s="243"/>
      <c r="AQ98" s="243"/>
      <c r="AR98" s="243"/>
      <c r="AS98" s="243"/>
      <c r="AT98" s="243"/>
      <c r="AU98" s="243"/>
      <c r="AV98" s="243"/>
      <c r="AW98" s="243"/>
      <c r="AX98" s="243"/>
      <c r="AY98" s="243"/>
      <c r="AZ98" s="243"/>
      <c r="BA98" s="243"/>
      <c r="BB98" s="243"/>
      <c r="BC98" s="243"/>
      <c r="BD98" s="243"/>
      <c r="BE98" s="243"/>
      <c r="BF98" s="243"/>
      <c r="BG98" s="243"/>
      <c r="BH98" s="243"/>
      <c r="BI98" s="243"/>
      <c r="BJ98" s="243"/>
      <c r="BK98" s="243"/>
      <c r="BL98" s="243"/>
      <c r="BM98" s="243"/>
      <c r="BN98" s="243"/>
      <c r="BO98" s="243"/>
      <c r="BP98" s="243"/>
      <c r="BQ98" s="243"/>
      <c r="BR98" s="243"/>
      <c r="BS98" s="243"/>
      <c r="BU98" s="242"/>
      <c r="BW98" s="243"/>
      <c r="BY98" s="242"/>
      <c r="CA98" s="243"/>
      <c r="CC98" s="242"/>
      <c r="CE98" s="243"/>
      <c r="CG98" s="242"/>
      <c r="CI98" s="243"/>
    </row>
    <row r="99" spans="1:87" s="1215" customFormat="1">
      <c r="A99" s="1222"/>
      <c r="B99" s="1223" t="str">
        <f t="shared" si="40"/>
        <v/>
      </c>
      <c r="C99" s="1210"/>
      <c r="D99" s="1211">
        <f>'1% Wind'!$M$90</f>
        <v>5.7</v>
      </c>
      <c r="E99" s="1212"/>
      <c r="F99" s="1212"/>
      <c r="G99" s="1213">
        <f ca="1">IF(I90=0.9743,$G98,MAX(G98/D98*D99,2))</f>
        <v>2</v>
      </c>
      <c r="H99" s="1214" t="e">
        <f t="shared" ca="1" si="41"/>
        <v>#VALUE!</v>
      </c>
      <c r="J99" s="1224"/>
      <c r="K99" s="1217">
        <f t="shared" si="42"/>
        <v>1</v>
      </c>
      <c r="L99" s="1218" t="e">
        <f t="shared" ca="1" si="43"/>
        <v>#VALUE!</v>
      </c>
      <c r="M99" s="1219" t="e">
        <f ca="1">IF(AND(INDEX(FlowCalConstA,MATCH(J90,FlowCalNumber,0),1,1)*L99^INDEX(FlowCalConstB,MATCH(J90,FlowCalNumber,0),1,1)&gt;INDEX(FlowCalLowSetting,MATCH(J90,FlowCalNumber,0),1,1), (INDEX(FlowCalConstA,MATCH(J90,FlowCalNumber,0),1,1)*L99^INDEX(FlowCalConstB,MATCH(J90,FlowCalNumber,0),1,1)&lt;INDEX(FlowCalHighSetting,MATCH(J90,FlowCalNumber,0),1,1))),INDEX(FlowCalConstA,MATCH(J90,FlowCalNumber,0),1,1)*L99^INDEX(FlowCalConstB,MATCH(J90,FlowCalNumber,0),1,1)," ")</f>
        <v>#N/A</v>
      </c>
      <c r="N99" s="1224"/>
      <c r="O99" s="1217">
        <f t="shared" si="44"/>
        <v>1</v>
      </c>
      <c r="P99" s="1218" t="e">
        <f t="shared" ca="1" si="45"/>
        <v>#VALUE!</v>
      </c>
      <c r="Q99" s="1219" t="e">
        <f ca="1">IF(AND(INDEX(FlowCalConstA,MATCH(N90,FlowCalNumber,0),1,1)*P99^INDEX(FlowCalConstB,MATCH(N90,FlowCalNumber,0),1,1)&gt;INDEX(FlowCalLowSetting,MATCH(N90,FlowCalNumber,0),1,1), (INDEX(FlowCalConstA,MATCH(N90,FlowCalNumber,0),1,1)*P99^INDEX(FlowCalConstB,MATCH(N90,FlowCalNumber,0),1,1)&lt;INDEX(FlowCalHighSetting,MATCH(N90,FlowCalNumber,0),1,1))),INDEX(FlowCalConstA,MATCH(N90,FlowCalNumber,0),1,1)*P99^INDEX(FlowCalConstB,MATCH(N90,FlowCalNumber,0),1,1)," ")</f>
        <v>#N/A</v>
      </c>
      <c r="R99" s="1224"/>
      <c r="S99" s="1217">
        <f t="shared" si="46"/>
        <v>1</v>
      </c>
      <c r="T99" s="1218" t="e">
        <f t="shared" ca="1" si="47"/>
        <v>#VALUE!</v>
      </c>
      <c r="U99" s="1219" t="e">
        <f ca="1">IF(AND(INDEX(FlowCalConstA,MATCH(R90,FlowCalNumber,0),1,1)*T99^INDEX(FlowCalConstB,MATCH(R90,FlowCalNumber,0),1,1)&gt;INDEX(FlowCalLowSetting,MATCH(R90,FlowCalNumber,0),1,1), (INDEX(FlowCalConstA,MATCH(R90,FlowCalNumber,0),1,1)*T99^INDEX(FlowCalConstB,MATCH(R90,FlowCalNumber,0),1,1)&lt;INDEX(FlowCalHighSetting,MATCH(R90,FlowCalNumber,0),1,1))),INDEX(FlowCalConstA,MATCH(R90,FlowCalNumber,0),1,1)*T99^INDEX(FlowCalConstB,MATCH(R90,FlowCalNumber,0),1,1)," ")</f>
        <v>#N/A</v>
      </c>
      <c r="V99" s="1224"/>
      <c r="W99" s="1217"/>
      <c r="X99" s="1218"/>
      <c r="Y99" s="1219"/>
      <c r="Z99" s="1224"/>
      <c r="AA99" s="1217"/>
      <c r="AB99" s="1218"/>
      <c r="AC99" s="1219"/>
      <c r="AD99" s="1224"/>
      <c r="AE99" s="1217"/>
      <c r="AF99" s="1218"/>
      <c r="AG99" s="1219"/>
      <c r="AH99" s="1224"/>
      <c r="AI99" s="1217"/>
      <c r="AJ99" s="1218"/>
      <c r="AK99" s="1220"/>
      <c r="AL99" s="1219"/>
      <c r="AM99" s="1219"/>
      <c r="AN99" s="1219"/>
      <c r="AO99" s="1219"/>
      <c r="AP99" s="1219"/>
      <c r="AQ99" s="1219"/>
      <c r="AR99" s="1219"/>
      <c r="AS99" s="1219"/>
      <c r="AT99" s="1219"/>
      <c r="AU99" s="1219"/>
      <c r="AV99" s="1219"/>
      <c r="AW99" s="1219"/>
      <c r="AX99" s="1219"/>
      <c r="AY99" s="1219"/>
      <c r="AZ99" s="1219"/>
      <c r="BA99" s="1219"/>
      <c r="BB99" s="1219"/>
      <c r="BC99" s="1219"/>
      <c r="BD99" s="1219"/>
      <c r="BE99" s="1219"/>
      <c r="BF99" s="1219"/>
      <c r="BG99" s="1219"/>
      <c r="BH99" s="1219"/>
      <c r="BI99" s="1219"/>
      <c r="BJ99" s="1219"/>
      <c r="BK99" s="1219"/>
      <c r="BL99" s="1219"/>
      <c r="BM99" s="1219"/>
      <c r="BN99" s="1219"/>
      <c r="BO99" s="1219"/>
      <c r="BP99" s="1219"/>
      <c r="BQ99" s="1219"/>
      <c r="BR99" s="1219"/>
      <c r="BS99" s="1219"/>
      <c r="BU99" s="1217"/>
      <c r="BW99" s="1219"/>
      <c r="BY99" s="1217"/>
      <c r="CA99" s="1219"/>
      <c r="CC99" s="1217"/>
      <c r="CE99" s="1219"/>
      <c r="CG99" s="1217"/>
      <c r="CI99" s="1219"/>
    </row>
    <row r="100" spans="1:87">
      <c r="A100" s="20"/>
      <c r="B100" s="124" t="str">
        <f t="shared" si="40"/>
        <v/>
      </c>
      <c r="C100" s="235"/>
      <c r="D100" s="24">
        <f>'1% Wind'!$M$91</f>
        <v>4.2</v>
      </c>
      <c r="E100" s="90"/>
      <c r="F100" s="90"/>
      <c r="G100" s="79">
        <f ca="1">IF(I90=0.9743,$G99,MAX(G99/D99*D100,2))</f>
        <v>2</v>
      </c>
      <c r="H100" s="121" t="e">
        <f t="shared" ca="1" si="41"/>
        <v>#VALUE!</v>
      </c>
      <c r="J100" s="33"/>
      <c r="K100" s="242">
        <f t="shared" si="42"/>
        <v>1</v>
      </c>
      <c r="L100" s="241" t="e">
        <f t="shared" ca="1" si="43"/>
        <v>#VALUE!</v>
      </c>
      <c r="M100" s="243" t="e">
        <f ca="1">IF(AND(INDEX(FlowCalConstA,MATCH(J90,FlowCalNumber,0),1,1)*L100^INDEX(FlowCalConstB,MATCH(J90,FlowCalNumber,0),1,1)&gt;INDEX(FlowCalLowSetting,MATCH(J90,FlowCalNumber,0),1,1), (INDEX(FlowCalConstA,MATCH(J90,FlowCalNumber,0),1,1)*L100^INDEX(FlowCalConstB,MATCH(J90,FlowCalNumber,0),1,1)&lt;INDEX(FlowCalHighSetting,MATCH(J90,FlowCalNumber,0),1,1))),INDEX(FlowCalConstA,MATCH(J90,FlowCalNumber,0),1,1)*L100^INDEX(FlowCalConstB,MATCH(J90,FlowCalNumber,0),1,1)," ")</f>
        <v>#N/A</v>
      </c>
      <c r="N100" s="33"/>
      <c r="O100" s="242">
        <f t="shared" si="44"/>
        <v>1</v>
      </c>
      <c r="P100" s="241" t="e">
        <f t="shared" ca="1" si="45"/>
        <v>#VALUE!</v>
      </c>
      <c r="Q100" s="243" t="e">
        <f ca="1">IF(AND(INDEX(FlowCalConstA,MATCH(N90,FlowCalNumber,0),1,1)*P100^INDEX(FlowCalConstB,MATCH(N90,FlowCalNumber,0),1,1)&gt;INDEX(FlowCalLowSetting,MATCH(N90,FlowCalNumber,0),1,1), (INDEX(FlowCalConstA,MATCH(N90,FlowCalNumber,0),1,1)*P100^INDEX(FlowCalConstB,MATCH(N90,FlowCalNumber,0),1,1)&lt;INDEX(FlowCalHighSetting,MATCH(N90,FlowCalNumber,0),1,1))),INDEX(FlowCalConstA,MATCH(N90,FlowCalNumber,0),1,1)*P100^INDEX(FlowCalConstB,MATCH(N90,FlowCalNumber,0),1,1)," ")</f>
        <v>#N/A</v>
      </c>
      <c r="R100" s="33"/>
      <c r="S100" s="242">
        <f t="shared" si="46"/>
        <v>1</v>
      </c>
      <c r="T100" s="241" t="e">
        <f t="shared" ca="1" si="47"/>
        <v>#VALUE!</v>
      </c>
      <c r="U100" s="243" t="e">
        <f ca="1">IF(AND(INDEX(FlowCalConstA,MATCH(R90,FlowCalNumber,0),1,1)*T100^INDEX(FlowCalConstB,MATCH(R90,FlowCalNumber,0),1,1)&gt;INDEX(FlowCalLowSetting,MATCH(R90,FlowCalNumber,0),1,1), (INDEX(FlowCalConstA,MATCH(R90,FlowCalNumber,0),1,1)*T100^INDEX(FlowCalConstB,MATCH(R90,FlowCalNumber,0),1,1)&lt;INDEX(FlowCalHighSetting,MATCH(R90,FlowCalNumber,0),1,1))),INDEX(FlowCalConstA,MATCH(R90,FlowCalNumber,0),1,1)*T100^INDEX(FlowCalConstB,MATCH(R90,FlowCalNumber,0),1,1)," ")</f>
        <v>#N/A</v>
      </c>
      <c r="V100" s="33"/>
      <c r="W100" s="242"/>
      <c r="X100" s="241"/>
      <c r="Y100" s="243"/>
      <c r="Z100" s="33"/>
      <c r="AA100" s="242"/>
      <c r="AB100" s="241"/>
      <c r="AC100" s="243"/>
      <c r="AD100" s="33"/>
      <c r="AE100" s="242"/>
      <c r="AF100" s="241"/>
      <c r="AG100" s="243"/>
      <c r="AH100" s="33"/>
      <c r="AI100" s="242"/>
      <c r="AJ100" s="241"/>
      <c r="AK100" s="244"/>
      <c r="AL100" s="243"/>
      <c r="AM100" s="243"/>
      <c r="AN100" s="243"/>
      <c r="AO100" s="243"/>
      <c r="AP100" s="243"/>
      <c r="AQ100" s="243"/>
      <c r="AR100" s="243"/>
      <c r="AS100" s="243"/>
      <c r="AT100" s="243"/>
      <c r="AU100" s="243"/>
      <c r="AV100" s="243"/>
      <c r="AW100" s="243"/>
      <c r="AX100" s="243"/>
      <c r="AY100" s="243"/>
      <c r="AZ100" s="243"/>
      <c r="BA100" s="243"/>
      <c r="BB100" s="243"/>
      <c r="BC100" s="243"/>
      <c r="BD100" s="243"/>
      <c r="BE100" s="243"/>
      <c r="BF100" s="243"/>
      <c r="BG100" s="243"/>
      <c r="BH100" s="243"/>
      <c r="BI100" s="243"/>
      <c r="BJ100" s="243"/>
      <c r="BK100" s="243"/>
      <c r="BL100" s="243"/>
      <c r="BM100" s="243"/>
      <c r="BN100" s="243"/>
      <c r="BO100" s="243"/>
      <c r="BP100" s="243"/>
      <c r="BQ100" s="243"/>
      <c r="BR100" s="243"/>
      <c r="BS100" s="243"/>
      <c r="BU100" s="242"/>
      <c r="BW100" s="243"/>
      <c r="BY100" s="242"/>
      <c r="CA100" s="243"/>
      <c r="CC100" s="242"/>
      <c r="CE100" s="243"/>
      <c r="CG100" s="242"/>
      <c r="CI100" s="243"/>
    </row>
    <row r="101" spans="1:87" s="1215" customFormat="1">
      <c r="A101" s="1222"/>
      <c r="B101" s="1223" t="str">
        <f t="shared" si="40"/>
        <v/>
      </c>
      <c r="C101" s="1210"/>
      <c r="D101" s="1211">
        <f>'1% Wind'!$M$92</f>
        <v>3.2</v>
      </c>
      <c r="E101" s="1212"/>
      <c r="F101" s="1212"/>
      <c r="G101" s="1213">
        <f ca="1">IF(I90=0.9743,$G100,MAX(G100/D100*D101,2))</f>
        <v>2</v>
      </c>
      <c r="H101" s="1214" t="e">
        <f t="shared" ca="1" si="41"/>
        <v>#VALUE!</v>
      </c>
      <c r="J101" s="1224"/>
      <c r="K101" s="1217">
        <f t="shared" si="42"/>
        <v>1</v>
      </c>
      <c r="L101" s="1218" t="e">
        <f t="shared" ca="1" si="43"/>
        <v>#VALUE!</v>
      </c>
      <c r="M101" s="1219" t="e">
        <f ca="1">IF(AND(INDEX(FlowCalConstA,MATCH(J90,FlowCalNumber,0),1,1)*L101^INDEX(FlowCalConstB,MATCH(J90,FlowCalNumber,0),1,1)&gt;INDEX(FlowCalLowSetting,MATCH(J90,FlowCalNumber,0),1,1), (INDEX(FlowCalConstA,MATCH(J90,FlowCalNumber,0),1,1)*L101^INDEX(FlowCalConstB,MATCH(J90,FlowCalNumber,0),1,1)&lt;INDEX(FlowCalHighSetting,MATCH(J90,FlowCalNumber,0),1,1))),INDEX(FlowCalConstA,MATCH(J90,FlowCalNumber,0),1,1)*L101^INDEX(FlowCalConstB,MATCH(J90,FlowCalNumber,0),1,1)," ")</f>
        <v>#N/A</v>
      </c>
      <c r="N101" s="1224"/>
      <c r="O101" s="1217">
        <f t="shared" si="44"/>
        <v>1</v>
      </c>
      <c r="P101" s="1218" t="e">
        <f t="shared" ca="1" si="45"/>
        <v>#VALUE!</v>
      </c>
      <c r="Q101" s="1219" t="e">
        <f ca="1">IF(AND(INDEX(FlowCalConstA,MATCH(N90,FlowCalNumber,0),1,1)*P101^INDEX(FlowCalConstB,MATCH(N90,FlowCalNumber,0),1,1)&gt;INDEX(FlowCalLowSetting,MATCH(N90,FlowCalNumber,0),1,1), (INDEX(FlowCalConstA,MATCH(N90,FlowCalNumber,0),1,1)*P101^INDEX(FlowCalConstB,MATCH(N90,FlowCalNumber,0),1,1)&lt;INDEX(FlowCalHighSetting,MATCH(N90,FlowCalNumber,0),1,1))),INDEX(FlowCalConstA,MATCH(N90,FlowCalNumber,0),1,1)*P101^INDEX(FlowCalConstB,MATCH(N90,FlowCalNumber,0),1,1)," ")</f>
        <v>#N/A</v>
      </c>
      <c r="R101" s="1224"/>
      <c r="S101" s="1217">
        <f t="shared" si="46"/>
        <v>1</v>
      </c>
      <c r="T101" s="1218" t="e">
        <f t="shared" ca="1" si="47"/>
        <v>#VALUE!</v>
      </c>
      <c r="U101" s="1219" t="e">
        <f ca="1">IF(AND(INDEX(FlowCalConstA,MATCH(R90,FlowCalNumber,0),1,1)*T101^INDEX(FlowCalConstB,MATCH(R90,FlowCalNumber,0),1,1)&gt;INDEX(FlowCalLowSetting,MATCH(R90,FlowCalNumber,0),1,1), (INDEX(FlowCalConstA,MATCH(R90,FlowCalNumber,0),1,1)*T101^INDEX(FlowCalConstB,MATCH(R90,FlowCalNumber,0),1,1)&lt;INDEX(FlowCalHighSetting,MATCH(R90,FlowCalNumber,0),1,1))),INDEX(FlowCalConstA,MATCH(R90,FlowCalNumber,0),1,1)*T101^INDEX(FlowCalConstB,MATCH(R90,FlowCalNumber,0),1,1)," ")</f>
        <v>#N/A</v>
      </c>
      <c r="V101" s="1224"/>
      <c r="W101" s="1217"/>
      <c r="X101" s="1218"/>
      <c r="Y101" s="1219"/>
      <c r="Z101" s="1224"/>
      <c r="AA101" s="1217"/>
      <c r="AB101" s="1218"/>
      <c r="AC101" s="1219"/>
      <c r="AD101" s="1224"/>
      <c r="AE101" s="1217"/>
      <c r="AF101" s="1218"/>
      <c r="AG101" s="1219"/>
      <c r="AH101" s="1224"/>
      <c r="AI101" s="1217"/>
      <c r="AJ101" s="1218"/>
      <c r="AK101" s="1220"/>
      <c r="AL101" s="1219"/>
      <c r="AM101" s="1219"/>
      <c r="AN101" s="1219"/>
      <c r="AO101" s="1219"/>
      <c r="AP101" s="1219"/>
      <c r="AQ101" s="1219"/>
      <c r="AR101" s="1219"/>
      <c r="AS101" s="1219"/>
      <c r="AT101" s="1219"/>
      <c r="AU101" s="1219"/>
      <c r="AV101" s="1219"/>
      <c r="AW101" s="1219"/>
      <c r="AX101" s="1219"/>
      <c r="AY101" s="1219"/>
      <c r="AZ101" s="1219"/>
      <c r="BA101" s="1219"/>
      <c r="BB101" s="1219"/>
      <c r="BC101" s="1219"/>
      <c r="BD101" s="1219"/>
      <c r="BE101" s="1219"/>
      <c r="BF101" s="1219"/>
      <c r="BG101" s="1219"/>
      <c r="BH101" s="1219"/>
      <c r="BI101" s="1219"/>
      <c r="BJ101" s="1219"/>
      <c r="BK101" s="1219"/>
      <c r="BL101" s="1219"/>
      <c r="BM101" s="1219"/>
      <c r="BN101" s="1219"/>
      <c r="BO101" s="1219"/>
      <c r="BP101" s="1219"/>
      <c r="BQ101" s="1219"/>
      <c r="BR101" s="1219"/>
      <c r="BS101" s="1219"/>
      <c r="BU101" s="1217"/>
      <c r="BW101" s="1219"/>
      <c r="BY101" s="1217"/>
      <c r="CA101" s="1219"/>
      <c r="CC101" s="1217"/>
      <c r="CE101" s="1219"/>
      <c r="CG101" s="1217"/>
      <c r="CI101" s="1219"/>
    </row>
    <row r="102" spans="1:87">
      <c r="A102" s="20"/>
      <c r="B102" s="124" t="str">
        <f t="shared" si="40"/>
        <v/>
      </c>
      <c r="C102" s="235"/>
      <c r="D102" s="24">
        <f>'1% Wind'!$M$93</f>
        <v>2.4</v>
      </c>
      <c r="E102" s="90"/>
      <c r="F102" s="90"/>
      <c r="G102" s="79">
        <f ca="1">IF(I90=0.9743,$G101,MAX(G101/D101*D102,2))</f>
        <v>2</v>
      </c>
      <c r="H102" s="121" t="e">
        <f t="shared" ca="1" si="41"/>
        <v>#VALUE!</v>
      </c>
      <c r="J102" s="33"/>
      <c r="K102" s="242">
        <f t="shared" si="42"/>
        <v>1</v>
      </c>
      <c r="L102" s="241" t="e">
        <f t="shared" ca="1" si="43"/>
        <v>#VALUE!</v>
      </c>
      <c r="M102" s="243" t="e">
        <f ca="1">IF(AND(INDEX(FlowCalConstA,MATCH(J90,FlowCalNumber,0),1,1)*L102^INDEX(FlowCalConstB,MATCH(J90,FlowCalNumber,0),1,1)&gt;INDEX(FlowCalLowSetting,MATCH(J90,FlowCalNumber,0),1,1), (INDEX(FlowCalConstA,MATCH(J90,FlowCalNumber,0),1,1)*L102^INDEX(FlowCalConstB,MATCH(J90,FlowCalNumber,0),1,1)&lt;INDEX(FlowCalHighSetting,MATCH(J90,FlowCalNumber,0),1,1))),INDEX(FlowCalConstA,MATCH(J90,FlowCalNumber,0),1,1)*L102^INDEX(FlowCalConstB,MATCH(J90,FlowCalNumber,0),1,1)," ")</f>
        <v>#N/A</v>
      </c>
      <c r="N102" s="33"/>
      <c r="O102" s="242">
        <f t="shared" si="44"/>
        <v>1</v>
      </c>
      <c r="P102" s="241" t="e">
        <f t="shared" ca="1" si="45"/>
        <v>#VALUE!</v>
      </c>
      <c r="Q102" s="243" t="e">
        <f ca="1">IF(AND(INDEX(FlowCalConstA,MATCH(N90,FlowCalNumber,0),1,1)*P102^INDEX(FlowCalConstB,MATCH(N90,FlowCalNumber,0),1,1)&gt;INDEX(FlowCalLowSetting,MATCH(N90,FlowCalNumber,0),1,1), (INDEX(FlowCalConstA,MATCH(N90,FlowCalNumber,0),1,1)*P102^INDEX(FlowCalConstB,MATCH(N90,FlowCalNumber,0),1,1)&lt;INDEX(FlowCalHighSetting,MATCH(N90,FlowCalNumber,0),1,1))),INDEX(FlowCalConstA,MATCH(N90,FlowCalNumber,0),1,1)*P102^INDEX(FlowCalConstB,MATCH(N90,FlowCalNumber,0),1,1)," ")</f>
        <v>#N/A</v>
      </c>
      <c r="R102" s="33"/>
      <c r="S102" s="242">
        <f t="shared" si="46"/>
        <v>1</v>
      </c>
      <c r="T102" s="241" t="e">
        <f t="shared" ca="1" si="47"/>
        <v>#VALUE!</v>
      </c>
      <c r="U102" s="243" t="e">
        <f ca="1">IF(AND(INDEX(FlowCalConstA,MATCH(R90,FlowCalNumber,0),1,1)*T102^INDEX(FlowCalConstB,MATCH(R90,FlowCalNumber,0),1,1)&gt;INDEX(FlowCalLowSetting,MATCH(R90,FlowCalNumber,0),1,1), (INDEX(FlowCalConstA,MATCH(R90,FlowCalNumber,0),1,1)*T102^INDEX(FlowCalConstB,MATCH(R90,FlowCalNumber,0),1,1)&lt;INDEX(FlowCalHighSetting,MATCH(R90,FlowCalNumber,0),1,1))),INDEX(FlowCalConstA,MATCH(R90,FlowCalNumber,0),1,1)*T102^INDEX(FlowCalConstB,MATCH(R90,FlowCalNumber,0),1,1)," ")</f>
        <v>#N/A</v>
      </c>
      <c r="V102" s="33"/>
      <c r="W102" s="242"/>
      <c r="X102" s="241"/>
      <c r="Y102" s="243"/>
      <c r="Z102" s="33"/>
      <c r="AA102" s="242"/>
      <c r="AB102" s="241"/>
      <c r="AC102" s="243"/>
      <c r="AD102" s="33"/>
      <c r="AE102" s="242"/>
      <c r="AF102" s="241"/>
      <c r="AG102" s="243"/>
      <c r="AH102" s="33"/>
      <c r="AI102" s="242"/>
      <c r="AJ102" s="241"/>
      <c r="AK102" s="244"/>
      <c r="AL102" s="243"/>
      <c r="AM102" s="243"/>
      <c r="AN102" s="243"/>
      <c r="AO102" s="243"/>
      <c r="AP102" s="243"/>
      <c r="AQ102" s="243"/>
      <c r="AR102" s="243"/>
      <c r="AS102" s="243"/>
      <c r="AT102" s="243"/>
      <c r="AU102" s="243"/>
      <c r="AV102" s="243"/>
      <c r="AW102" s="243"/>
      <c r="AX102" s="243"/>
      <c r="AY102" s="243"/>
      <c r="AZ102" s="243"/>
      <c r="BA102" s="243"/>
      <c r="BB102" s="243"/>
      <c r="BC102" s="243"/>
      <c r="BD102" s="243"/>
      <c r="BE102" s="243"/>
      <c r="BF102" s="243"/>
      <c r="BG102" s="243"/>
      <c r="BH102" s="243"/>
      <c r="BI102" s="243"/>
      <c r="BJ102" s="243"/>
      <c r="BK102" s="243"/>
      <c r="BL102" s="243"/>
      <c r="BM102" s="243"/>
      <c r="BN102" s="243"/>
      <c r="BO102" s="243"/>
      <c r="BP102" s="243"/>
      <c r="BQ102" s="243"/>
      <c r="BR102" s="243"/>
      <c r="BS102" s="243"/>
      <c r="BU102" s="242"/>
      <c r="BW102" s="243"/>
      <c r="BY102" s="242"/>
      <c r="CA102" s="243"/>
      <c r="CC102" s="242"/>
      <c r="CE102" s="243"/>
      <c r="CG102" s="242"/>
      <c r="CI102" s="243"/>
    </row>
    <row r="103" spans="1:87" s="1215" customFormat="1">
      <c r="A103" s="1222"/>
      <c r="B103" s="1223" t="str">
        <f t="shared" si="40"/>
        <v/>
      </c>
      <c r="C103" s="1210"/>
      <c r="D103" s="1211">
        <f>'1% Wind'!$M$94</f>
        <v>1.8</v>
      </c>
      <c r="E103" s="1212"/>
      <c r="F103" s="1212"/>
      <c r="G103" s="1213">
        <f ca="1">IF(I90=0.9743,$G102,MAX(G102/D102*D103,2))</f>
        <v>2</v>
      </c>
      <c r="H103" s="1214" t="e">
        <f t="shared" ca="1" si="41"/>
        <v>#VALUE!</v>
      </c>
      <c r="J103" s="1224"/>
      <c r="K103" s="1217">
        <f t="shared" si="42"/>
        <v>1</v>
      </c>
      <c r="L103" s="1218" t="e">
        <f t="shared" ca="1" si="43"/>
        <v>#VALUE!</v>
      </c>
      <c r="M103" s="1219" t="e">
        <f ca="1">IF(AND(INDEX(FlowCalConstA,MATCH(J90,FlowCalNumber,0),1,1)*L103^INDEX(FlowCalConstB,MATCH(J90,FlowCalNumber,0),1,1)&gt;INDEX(FlowCalLowSetting,MATCH(J90,FlowCalNumber,0),1,1), (INDEX(FlowCalConstA,MATCH(J90,FlowCalNumber,0),1,1)*L103^INDEX(FlowCalConstB,MATCH(J90,FlowCalNumber,0),1,1)&lt;INDEX(FlowCalHighSetting,MATCH(J90,FlowCalNumber,0),1,1))),INDEX(FlowCalConstA,MATCH(J90,FlowCalNumber,0),1,1)*L103^INDEX(FlowCalConstB,MATCH(J90,FlowCalNumber,0),1,1)," ")</f>
        <v>#N/A</v>
      </c>
      <c r="N103" s="1224"/>
      <c r="O103" s="1217">
        <f t="shared" si="44"/>
        <v>1</v>
      </c>
      <c r="P103" s="1218" t="e">
        <f t="shared" ca="1" si="45"/>
        <v>#VALUE!</v>
      </c>
      <c r="Q103" s="1219" t="e">
        <f ca="1">IF(AND(INDEX(FlowCalConstA,MATCH(N90,FlowCalNumber,0),1,1)*P103^INDEX(FlowCalConstB,MATCH(N90,FlowCalNumber,0),1,1)&gt;INDEX(FlowCalLowSetting,MATCH(N90,FlowCalNumber,0),1,1), (INDEX(FlowCalConstA,MATCH(N90,FlowCalNumber,0),1,1)*P103^INDEX(FlowCalConstB,MATCH(N90,FlowCalNumber,0),1,1)&lt;INDEX(FlowCalHighSetting,MATCH(N90,FlowCalNumber,0),1,1))),INDEX(FlowCalConstA,MATCH(N90,FlowCalNumber,0),1,1)*P103^INDEX(FlowCalConstB,MATCH(N90,FlowCalNumber,0),1,1)," ")</f>
        <v>#N/A</v>
      </c>
      <c r="R103" s="1224"/>
      <c r="S103" s="1217">
        <f t="shared" si="46"/>
        <v>1</v>
      </c>
      <c r="T103" s="1218" t="e">
        <f t="shared" ca="1" si="47"/>
        <v>#VALUE!</v>
      </c>
      <c r="U103" s="1219" t="e">
        <f ca="1">IF(AND(INDEX(FlowCalConstA,MATCH(R90,FlowCalNumber,0),1,1)*T103^INDEX(FlowCalConstB,MATCH(R90,FlowCalNumber,0),1,1)&gt;INDEX(FlowCalLowSetting,MATCH(R90,FlowCalNumber,0),1,1), (INDEX(FlowCalConstA,MATCH(R90,FlowCalNumber,0),1,1)*T103^INDEX(FlowCalConstB,MATCH(R90,FlowCalNumber,0),1,1)&lt;INDEX(FlowCalHighSetting,MATCH(R90,FlowCalNumber,0),1,1))),INDEX(FlowCalConstA,MATCH(R90,FlowCalNumber,0),1,1)*T103^INDEX(FlowCalConstB,MATCH(R90,FlowCalNumber,0),1,1)," ")</f>
        <v>#N/A</v>
      </c>
      <c r="V103" s="1224"/>
      <c r="W103" s="1217"/>
      <c r="X103" s="1218"/>
      <c r="Y103" s="1219"/>
      <c r="Z103" s="1224"/>
      <c r="AA103" s="1217"/>
      <c r="AB103" s="1218"/>
      <c r="AC103" s="1219"/>
      <c r="AD103" s="1224"/>
      <c r="AE103" s="1217"/>
      <c r="AF103" s="1218"/>
      <c r="AG103" s="1219"/>
      <c r="AH103" s="1224"/>
      <c r="AI103" s="1217"/>
      <c r="AJ103" s="1218"/>
      <c r="AK103" s="1220"/>
      <c r="AL103" s="1219"/>
      <c r="AM103" s="1219"/>
      <c r="AN103" s="1219"/>
      <c r="AO103" s="1219"/>
      <c r="AP103" s="1219"/>
      <c r="AQ103" s="1219"/>
      <c r="AR103" s="1219"/>
      <c r="AS103" s="1219"/>
      <c r="AT103" s="1219"/>
      <c r="AU103" s="1219"/>
      <c r="AV103" s="1219"/>
      <c r="AW103" s="1219"/>
      <c r="AX103" s="1219"/>
      <c r="AY103" s="1219"/>
      <c r="AZ103" s="1219"/>
      <c r="BA103" s="1219"/>
      <c r="BB103" s="1219"/>
      <c r="BC103" s="1219"/>
      <c r="BD103" s="1219"/>
      <c r="BE103" s="1219"/>
      <c r="BF103" s="1219"/>
      <c r="BG103" s="1219"/>
      <c r="BH103" s="1219"/>
      <c r="BI103" s="1219"/>
      <c r="BJ103" s="1219"/>
      <c r="BK103" s="1219"/>
      <c r="BL103" s="1219"/>
      <c r="BM103" s="1219"/>
      <c r="BN103" s="1219"/>
      <c r="BO103" s="1219"/>
      <c r="BP103" s="1219"/>
      <c r="BQ103" s="1219"/>
      <c r="BR103" s="1219"/>
      <c r="BS103" s="1219"/>
      <c r="BU103" s="1217"/>
      <c r="BW103" s="1219"/>
      <c r="BY103" s="1217"/>
      <c r="CA103" s="1219"/>
      <c r="CC103" s="1217"/>
      <c r="CE103" s="1219"/>
      <c r="CG103" s="1217"/>
      <c r="CI103" s="1219"/>
    </row>
    <row r="104" spans="1:87">
      <c r="A104" s="20"/>
      <c r="B104" s="124" t="str">
        <f t="shared" si="40"/>
        <v/>
      </c>
      <c r="C104" s="235"/>
      <c r="D104" s="24">
        <f>'1% Wind'!$M$95</f>
        <v>1.3</v>
      </c>
      <c r="E104" s="90"/>
      <c r="F104" s="90"/>
      <c r="G104" s="79">
        <f ca="1">IF(I90=0.9743,$G103,MAX(G103/D103*D104,2))</f>
        <v>2</v>
      </c>
      <c r="H104" s="121" t="e">
        <f t="shared" ca="1" si="41"/>
        <v>#VALUE!</v>
      </c>
      <c r="J104" s="33"/>
      <c r="K104" s="242">
        <f t="shared" si="42"/>
        <v>1</v>
      </c>
      <c r="L104" s="241" t="e">
        <f t="shared" ca="1" si="43"/>
        <v>#VALUE!</v>
      </c>
      <c r="M104" s="243" t="e">
        <f ca="1">IF(AND(INDEX(FlowCalConstA,MATCH(J90,FlowCalNumber,0),1,1)*L104^INDEX(FlowCalConstB,MATCH(J90,FlowCalNumber,0),1,1)&gt;INDEX(FlowCalLowSetting,MATCH(J90,FlowCalNumber,0),1,1), (INDEX(FlowCalConstA,MATCH(J90,FlowCalNumber,0),1,1)*L104^INDEX(FlowCalConstB,MATCH(J90,FlowCalNumber,0),1,1)&lt;INDEX(FlowCalHighSetting,MATCH(J90,FlowCalNumber,0),1,1))),INDEX(FlowCalConstA,MATCH(J90,FlowCalNumber,0),1,1)*L104^INDEX(FlowCalConstB,MATCH(J90,FlowCalNumber,0),1,1)," ")</f>
        <v>#N/A</v>
      </c>
      <c r="N104" s="33"/>
      <c r="O104" s="242">
        <f t="shared" si="44"/>
        <v>1</v>
      </c>
      <c r="P104" s="241" t="e">
        <f t="shared" ca="1" si="45"/>
        <v>#VALUE!</v>
      </c>
      <c r="Q104" s="243" t="e">
        <f ca="1">IF(AND(INDEX(FlowCalConstA,MATCH(N90,FlowCalNumber,0),1,1)*P104^INDEX(FlowCalConstB,MATCH(N90,FlowCalNumber,0),1,1)&gt;INDEX(FlowCalLowSetting,MATCH(N90,FlowCalNumber,0),1,1), (INDEX(FlowCalConstA,MATCH(N90,FlowCalNumber,0),1,1)*P104^INDEX(FlowCalConstB,MATCH(N90,FlowCalNumber,0),1,1)&lt;INDEX(FlowCalHighSetting,MATCH(N90,FlowCalNumber,0),1,1))),INDEX(FlowCalConstA,MATCH(N90,FlowCalNumber,0),1,1)*P104^INDEX(FlowCalConstB,MATCH(N90,FlowCalNumber,0),1,1)," ")</f>
        <v>#N/A</v>
      </c>
      <c r="R104" s="33"/>
      <c r="S104" s="242">
        <f t="shared" si="46"/>
        <v>1</v>
      </c>
      <c r="T104" s="241" t="e">
        <f t="shared" ca="1" si="47"/>
        <v>#VALUE!</v>
      </c>
      <c r="U104" s="243" t="e">
        <f ca="1">IF(AND(INDEX(FlowCalConstA,MATCH(R90,FlowCalNumber,0),1,1)*T104^INDEX(FlowCalConstB,MATCH(R90,FlowCalNumber,0),1,1)&gt;INDEX(FlowCalLowSetting,MATCH(R90,FlowCalNumber,0),1,1), (INDEX(FlowCalConstA,MATCH(R90,FlowCalNumber,0),1,1)*T104^INDEX(FlowCalConstB,MATCH(R90,FlowCalNumber,0),1,1)&lt;INDEX(FlowCalHighSetting,MATCH(R90,FlowCalNumber,0),1,1))),INDEX(FlowCalConstA,MATCH(R90,FlowCalNumber,0),1,1)*T104^INDEX(FlowCalConstB,MATCH(R90,FlowCalNumber,0),1,1)," ")</f>
        <v>#N/A</v>
      </c>
      <c r="V104" s="33"/>
      <c r="W104" s="242"/>
      <c r="X104" s="241"/>
      <c r="Y104" s="243"/>
      <c r="Z104" s="33"/>
      <c r="AA104" s="242"/>
      <c r="AB104" s="241"/>
      <c r="AC104" s="243"/>
      <c r="AD104" s="33"/>
      <c r="AE104" s="242"/>
      <c r="AF104" s="241"/>
      <c r="AG104" s="243"/>
      <c r="AH104" s="33"/>
      <c r="AI104" s="242"/>
      <c r="AJ104" s="241"/>
      <c r="AK104" s="244"/>
      <c r="AL104" s="243"/>
      <c r="AM104" s="243"/>
      <c r="AN104" s="243"/>
      <c r="AO104" s="243"/>
      <c r="AP104" s="243"/>
      <c r="AQ104" s="243"/>
      <c r="AR104" s="243"/>
      <c r="AS104" s="243"/>
      <c r="AT104" s="243"/>
      <c r="AU104" s="243"/>
      <c r="AV104" s="243"/>
      <c r="AW104" s="243"/>
      <c r="AX104" s="243"/>
      <c r="AY104" s="243"/>
      <c r="AZ104" s="243"/>
      <c r="BA104" s="243"/>
      <c r="BB104" s="243"/>
      <c r="BC104" s="243"/>
      <c r="BD104" s="243"/>
      <c r="BE104" s="243"/>
      <c r="BF104" s="243"/>
      <c r="BG104" s="243"/>
      <c r="BH104" s="243"/>
      <c r="BI104" s="243"/>
      <c r="BJ104" s="243"/>
      <c r="BK104" s="243"/>
      <c r="BL104" s="243"/>
      <c r="BM104" s="243"/>
      <c r="BN104" s="243"/>
      <c r="BO104" s="243"/>
      <c r="BP104" s="243"/>
      <c r="BQ104" s="243"/>
      <c r="BR104" s="243"/>
      <c r="BS104" s="243"/>
      <c r="BU104" s="242"/>
      <c r="BW104" s="243"/>
      <c r="BY104" s="242"/>
      <c r="CA104" s="243"/>
      <c r="CC104" s="242"/>
      <c r="CE104" s="243"/>
      <c r="CG104" s="242"/>
      <c r="CI104" s="243"/>
    </row>
    <row r="105" spans="1:87" s="1215" customFormat="1">
      <c r="A105" s="1222"/>
      <c r="B105" s="1223" t="str">
        <f t="shared" si="40"/>
        <v/>
      </c>
      <c r="C105" s="1210"/>
      <c r="D105" s="1211">
        <f>'1% Wind'!$M$96</f>
        <v>1</v>
      </c>
      <c r="E105" s="1212"/>
      <c r="F105" s="1212"/>
      <c r="G105" s="1213">
        <f ca="1">IF(I90=0.9743,$G104,MAX(G104/D104*D105,2))</f>
        <v>2</v>
      </c>
      <c r="H105" s="1214" t="e">
        <f t="shared" ca="1" si="41"/>
        <v>#VALUE!</v>
      </c>
      <c r="J105" s="1224"/>
      <c r="K105" s="1217">
        <f t="shared" si="42"/>
        <v>1</v>
      </c>
      <c r="L105" s="1218" t="e">
        <f t="shared" ca="1" si="43"/>
        <v>#VALUE!</v>
      </c>
      <c r="M105" s="1219" t="e">
        <f ca="1">IF(AND(INDEX(FlowCalConstA,MATCH(J90,FlowCalNumber,0),1,1)*L105^INDEX(FlowCalConstB,MATCH(J90,FlowCalNumber,0),1,1)&gt;INDEX(FlowCalLowSetting,MATCH(J90,FlowCalNumber,0),1,1), (INDEX(FlowCalConstA,MATCH(J90,FlowCalNumber,0),1,1)*L105^INDEX(FlowCalConstB,MATCH(J90,FlowCalNumber,0),1,1)&lt;INDEX(FlowCalHighSetting,MATCH(J90,FlowCalNumber,0),1,1))),INDEX(FlowCalConstA,MATCH(J90,FlowCalNumber,0),1,1)*L105^INDEX(FlowCalConstB,MATCH(J90,FlowCalNumber,0),1,1)," ")</f>
        <v>#N/A</v>
      </c>
      <c r="N105" s="1224"/>
      <c r="O105" s="1217">
        <f t="shared" si="44"/>
        <v>1</v>
      </c>
      <c r="P105" s="1218" t="e">
        <f t="shared" ca="1" si="45"/>
        <v>#VALUE!</v>
      </c>
      <c r="Q105" s="1219" t="e">
        <f ca="1">IF(AND(INDEX(FlowCalConstA,MATCH(N90,FlowCalNumber,0),1,1)*P105^INDEX(FlowCalConstB,MATCH(N90,FlowCalNumber,0),1,1)&gt;INDEX(FlowCalLowSetting,MATCH(N90,FlowCalNumber,0),1,1), (INDEX(FlowCalConstA,MATCH(N90,FlowCalNumber,0),1,1)*P105^INDEX(FlowCalConstB,MATCH(N90,FlowCalNumber,0),1,1)&lt;INDEX(FlowCalHighSetting,MATCH(N90,FlowCalNumber,0),1,1))),INDEX(FlowCalConstA,MATCH(N90,FlowCalNumber,0),1,1)*P105^INDEX(FlowCalConstB,MATCH(N90,FlowCalNumber,0),1,1)," ")</f>
        <v>#N/A</v>
      </c>
      <c r="R105" s="1224"/>
      <c r="S105" s="1217">
        <f t="shared" si="46"/>
        <v>1</v>
      </c>
      <c r="T105" s="1218" t="e">
        <f t="shared" ca="1" si="47"/>
        <v>#VALUE!</v>
      </c>
      <c r="U105" s="1219" t="e">
        <f ca="1">IF(AND(INDEX(FlowCalConstA,MATCH(R90,FlowCalNumber,0),1,1)*T105^INDEX(FlowCalConstB,MATCH(R90,FlowCalNumber,0),1,1)&gt;INDEX(FlowCalLowSetting,MATCH(R90,FlowCalNumber,0),1,1), (INDEX(FlowCalConstA,MATCH(R90,FlowCalNumber,0),1,1)*T105^INDEX(FlowCalConstB,MATCH(R90,FlowCalNumber,0),1,1)&lt;INDEX(FlowCalHighSetting,MATCH(R90,FlowCalNumber,0),1,1))),INDEX(FlowCalConstA,MATCH(R90,FlowCalNumber,0),1,1)*T105^INDEX(FlowCalConstB,MATCH(R90,FlowCalNumber,0),1,1)," ")</f>
        <v>#N/A</v>
      </c>
      <c r="V105" s="1224"/>
      <c r="W105" s="1217"/>
      <c r="X105" s="1218"/>
      <c r="Y105" s="1219"/>
      <c r="Z105" s="1224"/>
      <c r="AA105" s="1217"/>
      <c r="AB105" s="1218"/>
      <c r="AC105" s="1219"/>
      <c r="AD105" s="1224"/>
      <c r="AE105" s="1217"/>
      <c r="AF105" s="1218"/>
      <c r="AG105" s="1219"/>
      <c r="AH105" s="1224"/>
      <c r="AI105" s="1217"/>
      <c r="AJ105" s="1218"/>
      <c r="AK105" s="1220"/>
      <c r="AL105" s="1219"/>
      <c r="AM105" s="1219"/>
      <c r="AN105" s="1219"/>
      <c r="AO105" s="1219"/>
      <c r="AP105" s="1219"/>
      <c r="AQ105" s="1219"/>
      <c r="AR105" s="1219"/>
      <c r="AS105" s="1219"/>
      <c r="AT105" s="1219"/>
      <c r="AU105" s="1219"/>
      <c r="AV105" s="1219"/>
      <c r="AW105" s="1219"/>
      <c r="AX105" s="1219"/>
      <c r="AY105" s="1219"/>
      <c r="AZ105" s="1219"/>
      <c r="BA105" s="1219"/>
      <c r="BB105" s="1219"/>
      <c r="BC105" s="1219"/>
      <c r="BD105" s="1219"/>
      <c r="BE105" s="1219"/>
      <c r="BF105" s="1219"/>
      <c r="BG105" s="1219"/>
      <c r="BH105" s="1219"/>
      <c r="BI105" s="1219"/>
      <c r="BJ105" s="1219"/>
      <c r="BK105" s="1219"/>
      <c r="BL105" s="1219"/>
      <c r="BM105" s="1219"/>
      <c r="BN105" s="1219"/>
      <c r="BO105" s="1219"/>
      <c r="BP105" s="1219"/>
      <c r="BQ105" s="1219"/>
      <c r="BR105" s="1219"/>
      <c r="BS105" s="1219"/>
      <c r="BU105" s="1217"/>
      <c r="BW105" s="1219"/>
      <c r="BY105" s="1217"/>
      <c r="CA105" s="1219"/>
      <c r="CC105" s="1217"/>
      <c r="CE105" s="1219"/>
      <c r="CG105" s="1217"/>
      <c r="CI105" s="1219"/>
    </row>
    <row r="106" spans="1:87">
      <c r="A106" s="33"/>
      <c r="B106" s="33"/>
      <c r="C106" s="235"/>
      <c r="E106" s="90"/>
      <c r="F106" s="90"/>
      <c r="G106" s="33"/>
      <c r="J106" s="33"/>
      <c r="M106" s="243"/>
      <c r="N106" s="33"/>
      <c r="Q106" s="243"/>
      <c r="R106" s="33"/>
      <c r="U106" s="243"/>
      <c r="V106" s="33"/>
      <c r="Y106" s="243"/>
      <c r="Z106" s="33"/>
      <c r="AC106" s="243"/>
      <c r="AD106" s="33"/>
      <c r="AG106" s="243"/>
      <c r="AH106" s="33"/>
      <c r="AK106" s="244"/>
      <c r="AL106" s="243"/>
      <c r="AM106" s="243"/>
      <c r="AN106" s="243"/>
      <c r="AO106" s="243"/>
      <c r="AP106" s="243"/>
      <c r="AQ106" s="243"/>
      <c r="AR106" s="243"/>
      <c r="AS106" s="243"/>
      <c r="AT106" s="243"/>
      <c r="AU106" s="243"/>
      <c r="AV106" s="243"/>
      <c r="AW106" s="243"/>
      <c r="AX106" s="243"/>
      <c r="AY106" s="243"/>
      <c r="AZ106" s="243"/>
      <c r="BA106" s="243"/>
      <c r="BB106" s="243"/>
      <c r="BC106" s="243"/>
      <c r="BD106" s="243"/>
      <c r="BE106" s="243"/>
      <c r="BF106" s="243"/>
      <c r="BG106" s="243"/>
      <c r="BH106" s="243"/>
      <c r="BI106" s="243"/>
      <c r="BJ106" s="243"/>
      <c r="BK106" s="243"/>
      <c r="BL106" s="243"/>
      <c r="BM106" s="243"/>
      <c r="BN106" s="243"/>
      <c r="BO106" s="243"/>
      <c r="BP106" s="243"/>
      <c r="BQ106" s="243"/>
      <c r="BR106" s="243"/>
      <c r="BS106" s="243"/>
      <c r="BW106" s="243"/>
      <c r="CA106" s="243"/>
      <c r="CE106" s="243"/>
      <c r="CI106" s="243"/>
    </row>
    <row r="107" spans="1:87">
      <c r="A107" s="256" t="str">
        <f>IF((RIGHT(A90,1))&lt;&gt;"Z",CHAR(CODE(A90))&amp;CHAR(CODE(RIGHT(A90,1))+1),CHAR(CODE(A90)+1)&amp;"A")</f>
        <v>AF</v>
      </c>
      <c r="B107" s="270" t="str">
        <f>INDEX(SourceID,MATCH($A107,SourceNumber,0),1,1)</f>
        <v>EF-6</v>
      </c>
      <c r="C107" s="354">
        <f>INDEX(SourceExitDiameter,MATCH($A107,SourceNumber,0),1,1)*3.28*12</f>
        <v>65.999999999999986</v>
      </c>
      <c r="D107" s="24" t="str">
        <f>UAnem1percent</f>
        <v>1% Wind</v>
      </c>
      <c r="E107" s="350" t="e">
        <f ca="1">INDIRECT(ADDRESS(53,6,1,,CONCATENATE("TA",$A107)))</f>
        <v>#REF!</v>
      </c>
      <c r="F107" s="625" t="e">
        <f ca="1">(ROUND((INDIRECT(ADDRESS(15,7,1,,CONCATENATE("TA",$A107)))*3.28*12*32),0)&amp;"/32")</f>
        <v>#REF!</v>
      </c>
      <c r="G107" s="125">
        <f ca="1">INDIRECT(ADDRESS(29,7,1,,$A107))</f>
        <v>6.001707317073171</v>
      </c>
      <c r="H107" s="24" t="e">
        <f ca="1">INDIRECT(ADDRESS(19,7,1,,$A107))*100^3</f>
        <v>#VALUE!</v>
      </c>
      <c r="I107" s="941">
        <f ca="1">INDIRECT(ADDRESS(53,7,1,,$A107))</f>
        <v>0.97430000000000005</v>
      </c>
      <c r="J107" s="20" t="str">
        <f ca="1">IF($I107=$I$6,K$16&amp;$G$6&amp;J$6,IF($I107=$I$7,K$16&amp;$G$7&amp;J$7,"Bad"))</f>
        <v>100N2Pick a Tunnel</v>
      </c>
      <c r="K107" t="e">
        <f ca="1">INDEX(FlowCalGasMixture,MATCH(J107,FlowCalNumber,0),1,1)</f>
        <v>#N/A</v>
      </c>
      <c r="M107" s="944" t="e">
        <f ca="1">INDEX(FlowCalDevice,MATCH(J107,FlowCalNumber,0),1,1)</f>
        <v>#N/A</v>
      </c>
      <c r="N107" s="20" t="str">
        <f ca="1">IF($I107=$I$6,O$16&amp;$G$6&amp;N$6,IF($I107=$I$7,O$16&amp;$G$7&amp;N$7,"Bad"))</f>
        <v>100N2Pick a Tunnel</v>
      </c>
      <c r="O107" t="e">
        <f ca="1">INDEX(FlowCalGasMixture,MATCH(N107,FlowCalNumber,0),1,1)</f>
        <v>#N/A</v>
      </c>
      <c r="Q107" s="944" t="e">
        <f ca="1">INDEX(FlowCalDevice,MATCH(N107,FlowCalNumber,0),1,1)</f>
        <v>#N/A</v>
      </c>
      <c r="R107" s="20" t="str">
        <f ca="1">IF($I107=$I$6,S$16&amp;$G$6&amp;R$6,IF($I107=$I$7,S$16&amp;$G$7&amp;R$7,"Bad"))</f>
        <v>100N2Pick a Tunnel</v>
      </c>
      <c r="S107" t="e">
        <f ca="1">INDEX(FlowCalGasMixture,MATCH(R107,FlowCalNumber,0),1,1)</f>
        <v>#N/A</v>
      </c>
      <c r="U107" s="944" t="e">
        <f ca="1">INDEX(FlowCalDevice,MATCH(R107,FlowCalNumber,0),1,1)</f>
        <v>#N/A</v>
      </c>
      <c r="V107" s="20"/>
      <c r="Y107" s="944"/>
      <c r="Z107" s="946"/>
      <c r="AC107" s="944"/>
      <c r="AD107" s="20"/>
      <c r="AG107" s="944"/>
      <c r="AH107" s="946"/>
      <c r="AK107" s="982"/>
      <c r="AL107" s="355"/>
      <c r="AM107" s="355"/>
      <c r="AN107" s="355"/>
      <c r="AO107" s="355"/>
      <c r="AP107" s="355"/>
      <c r="AQ107" s="355"/>
      <c r="AR107" s="355"/>
      <c r="AS107" s="355"/>
      <c r="AT107" s="355"/>
      <c r="AU107" s="355"/>
      <c r="AV107" s="355"/>
      <c r="AW107" s="355"/>
      <c r="AX107" s="355"/>
      <c r="AY107" s="355"/>
      <c r="AZ107" s="355"/>
      <c r="BA107" s="355"/>
      <c r="BB107" s="355"/>
      <c r="BC107" s="355"/>
      <c r="BD107" s="355"/>
      <c r="BE107" s="355"/>
      <c r="BF107" s="355"/>
      <c r="BG107" s="355"/>
      <c r="BH107" s="355"/>
      <c r="BI107" s="355"/>
      <c r="BJ107" s="355"/>
      <c r="BK107" s="355"/>
      <c r="BL107" s="355"/>
      <c r="BM107" s="355"/>
      <c r="BN107" s="355"/>
      <c r="BO107" s="355"/>
      <c r="BP107" s="355"/>
      <c r="BQ107" s="355"/>
      <c r="BR107" s="355"/>
      <c r="BS107" s="355"/>
      <c r="BT107" s="46"/>
      <c r="BU107" s="16"/>
      <c r="BW107" s="355"/>
      <c r="BX107" s="42"/>
      <c r="BY107" s="16"/>
      <c r="CA107" s="355"/>
      <c r="CB107" s="42"/>
      <c r="CC107" s="16"/>
      <c r="CE107" s="355"/>
      <c r="CF107" s="42"/>
      <c r="CG107" s="16"/>
      <c r="CI107" s="355"/>
    </row>
    <row r="108" spans="1:87" s="1215" customFormat="1">
      <c r="A108" s="1222"/>
      <c r="B108" s="1223" t="str">
        <f t="shared" ref="B108:B122" si="48">IF(D108=UAnem1percent,"1% Wind","")</f>
        <v/>
      </c>
      <c r="C108" s="1210"/>
      <c r="D108" s="1211">
        <f>'1% Wind'!$M$82</f>
        <v>27</v>
      </c>
      <c r="E108" s="1212"/>
      <c r="F108" s="1212"/>
      <c r="G108" s="1364">
        <v>2</v>
      </c>
      <c r="H108" s="1214" t="e">
        <f t="shared" ref="H108:H122" ca="1" si="49">H107*(D107/D108)*(G108/G107)</f>
        <v>#VALUE!</v>
      </c>
      <c r="J108" s="1224"/>
      <c r="K108" s="1221">
        <f>K$17/100</f>
        <v>1</v>
      </c>
      <c r="L108" s="1218" t="e">
        <f ca="1">K108*$H108</f>
        <v>#VALUE!</v>
      </c>
      <c r="M108" s="1219" t="e">
        <f ca="1">IF(AND(INDEX(FlowCalConstA,MATCH(J107,FlowCalNumber,0),1,1)*L108^INDEX(FlowCalConstB,MATCH(J107,FlowCalNumber,0),1,1)&gt;INDEX(FlowCalLowSetting,MATCH(J107,FlowCalNumber,0),1,1), (INDEX(FlowCalConstA,MATCH(J107,FlowCalNumber,0),1,1)*L108^INDEX(FlowCalConstB,MATCH(J107,FlowCalNumber,0),1,1)&lt;INDEX(FlowCalHighSetting,MATCH(J107,FlowCalNumber,0),1,1))),INDEX(FlowCalConstA,MATCH(J107,FlowCalNumber,0),1,1)*L108^INDEX(FlowCalConstB,MATCH(J107,FlowCalNumber,0),1,1)," ")</f>
        <v>#N/A</v>
      </c>
      <c r="N108" s="1224"/>
      <c r="O108" s="1221">
        <f>O$17/100</f>
        <v>1</v>
      </c>
      <c r="P108" s="1218" t="e">
        <f ca="1">O108*$H108</f>
        <v>#VALUE!</v>
      </c>
      <c r="Q108" s="1219" t="e">
        <f ca="1">IF(AND(INDEX(FlowCalConstA,MATCH(N107,FlowCalNumber,0),1,1)*P108^INDEX(FlowCalConstB,MATCH(N107,FlowCalNumber,0),1,1)&gt;INDEX(FlowCalLowSetting,MATCH(N107,FlowCalNumber,0),1,1), (INDEX(FlowCalConstA,MATCH(N107,FlowCalNumber,0),1,1)*P108^INDEX(FlowCalConstB,MATCH(N107,FlowCalNumber,0),1,1)&lt;INDEX(FlowCalHighSetting,MATCH(N107,FlowCalNumber,0),1,1))),INDEX(FlowCalConstA,MATCH(N107,FlowCalNumber,0),1,1)*P108^INDEX(FlowCalConstB,MATCH(N107,FlowCalNumber,0),1,1)," ")</f>
        <v>#N/A</v>
      </c>
      <c r="R108" s="1224"/>
      <c r="S108" s="1221">
        <f>S$17/100</f>
        <v>1</v>
      </c>
      <c r="T108" s="1218" t="e">
        <f ca="1">S108*$H108</f>
        <v>#VALUE!</v>
      </c>
      <c r="U108" s="1219" t="e">
        <f ca="1">IF(AND(INDEX(FlowCalConstA,MATCH(R107,FlowCalNumber,0),1,1)*T108^INDEX(FlowCalConstB,MATCH(R107,FlowCalNumber,0),1,1)&gt;INDEX(FlowCalLowSetting,MATCH(R107,FlowCalNumber,0),1,1), (INDEX(FlowCalConstA,MATCH(R107,FlowCalNumber,0),1,1)*T108^INDEX(FlowCalConstB,MATCH(R107,FlowCalNumber,0),1,1)&lt;INDEX(FlowCalHighSetting,MATCH(R107,FlowCalNumber,0),1,1))),INDEX(FlowCalConstA,MATCH(R107,FlowCalNumber,0),1,1)*T108^INDEX(FlowCalConstB,MATCH(R107,FlowCalNumber,0),1,1)," ")</f>
        <v>#N/A</v>
      </c>
      <c r="V108" s="1224"/>
      <c r="W108" s="1221"/>
      <c r="X108" s="1218"/>
      <c r="Y108" s="1219"/>
      <c r="Z108" s="1224"/>
      <c r="AA108" s="1221"/>
      <c r="AB108" s="1218"/>
      <c r="AC108" s="1219"/>
      <c r="AD108" s="1224"/>
      <c r="AE108" s="1221"/>
      <c r="AF108" s="1218"/>
      <c r="AG108" s="1219"/>
      <c r="AH108" s="1224"/>
      <c r="AI108" s="1221"/>
      <c r="AJ108" s="1218"/>
      <c r="AK108" s="1220"/>
      <c r="AL108" s="1219"/>
      <c r="AM108" s="1219"/>
      <c r="AN108" s="1219"/>
      <c r="AO108" s="1219"/>
      <c r="AP108" s="1219"/>
      <c r="AQ108" s="1219"/>
      <c r="AR108" s="1219"/>
      <c r="AS108" s="1219"/>
      <c r="AT108" s="1219"/>
      <c r="AU108" s="1219"/>
      <c r="AV108" s="1219"/>
      <c r="AW108" s="1219"/>
      <c r="AX108" s="1219"/>
      <c r="AY108" s="1219"/>
      <c r="AZ108" s="1219"/>
      <c r="BA108" s="1219"/>
      <c r="BB108" s="1219"/>
      <c r="BC108" s="1219"/>
      <c r="BD108" s="1219"/>
      <c r="BE108" s="1219"/>
      <c r="BF108" s="1219"/>
      <c r="BG108" s="1219"/>
      <c r="BH108" s="1219"/>
      <c r="BI108" s="1219"/>
      <c r="BJ108" s="1219"/>
      <c r="BK108" s="1219"/>
      <c r="BL108" s="1219"/>
      <c r="BM108" s="1219"/>
      <c r="BN108" s="1219"/>
      <c r="BO108" s="1219"/>
      <c r="BP108" s="1219"/>
      <c r="BQ108" s="1219"/>
      <c r="BR108" s="1219"/>
      <c r="BS108" s="1219"/>
      <c r="BU108" s="1225"/>
      <c r="BW108" s="1219"/>
      <c r="BY108" s="1225"/>
      <c r="CA108" s="1219"/>
      <c r="CC108" s="1225"/>
      <c r="CE108" s="1219"/>
      <c r="CG108" s="1221"/>
      <c r="CI108" s="1219"/>
    </row>
    <row r="109" spans="1:87">
      <c r="A109" s="20"/>
      <c r="B109" s="124" t="str">
        <f t="shared" si="48"/>
        <v/>
      </c>
      <c r="C109" s="235"/>
      <c r="D109" s="24">
        <f>'1% Wind'!$M$83</f>
        <v>23.5</v>
      </c>
      <c r="E109" s="90"/>
      <c r="F109" s="90"/>
      <c r="G109" s="79">
        <f ca="1">IF(I107=0.9743,$G108,MAX(G108/D108*D109,2))</f>
        <v>2</v>
      </c>
      <c r="H109" s="121" t="e">
        <f t="shared" ca="1" si="49"/>
        <v>#VALUE!</v>
      </c>
      <c r="J109" s="33"/>
      <c r="K109" s="242">
        <f t="shared" ref="K109:K122" si="50">K108</f>
        <v>1</v>
      </c>
      <c r="L109" s="241" t="e">
        <f t="shared" ref="L109:L122" ca="1" si="51">K109*$H109</f>
        <v>#VALUE!</v>
      </c>
      <c r="M109" s="243" t="e">
        <f ca="1">IF(AND(INDEX(FlowCalConstA,MATCH(J107,FlowCalNumber,0),1,1)*L109^INDEX(FlowCalConstB,MATCH(J107,FlowCalNumber,0),1,1)&gt;INDEX(FlowCalLowSetting,MATCH(J107,FlowCalNumber,0),1,1), (INDEX(FlowCalConstA,MATCH(J107,FlowCalNumber,0),1,1)*L109^INDEX(FlowCalConstB,MATCH(J107,FlowCalNumber,0),1,1)&lt;INDEX(FlowCalHighSetting,MATCH(J107,FlowCalNumber,0),1,1))),INDEX(FlowCalConstA,MATCH(J107,FlowCalNumber,0),1,1)*L109^INDEX(FlowCalConstB,MATCH(J107,FlowCalNumber,0),1,1)," ")</f>
        <v>#N/A</v>
      </c>
      <c r="N109" s="33"/>
      <c r="O109" s="242">
        <f t="shared" ref="O109:O122" si="52">O108</f>
        <v>1</v>
      </c>
      <c r="P109" s="241" t="e">
        <f t="shared" ref="P109:P122" ca="1" si="53">O109*$H109</f>
        <v>#VALUE!</v>
      </c>
      <c r="Q109" s="243" t="e">
        <f ca="1">IF(AND(INDEX(FlowCalConstA,MATCH(N107,FlowCalNumber,0),1,1)*P109^INDEX(FlowCalConstB,MATCH(N107,FlowCalNumber,0),1,1)&gt;INDEX(FlowCalLowSetting,MATCH(N107,FlowCalNumber,0),1,1), (INDEX(FlowCalConstA,MATCH(N107,FlowCalNumber,0),1,1)*P109^INDEX(FlowCalConstB,MATCH(N107,FlowCalNumber,0),1,1)&lt;INDEX(FlowCalHighSetting,MATCH(N107,FlowCalNumber,0),1,1))),INDEX(FlowCalConstA,MATCH(N107,FlowCalNumber,0),1,1)*P109^INDEX(FlowCalConstB,MATCH(N107,FlowCalNumber,0),1,1)," ")</f>
        <v>#N/A</v>
      </c>
      <c r="R109" s="33"/>
      <c r="S109" s="242">
        <f t="shared" ref="S109:S122" si="54">S108</f>
        <v>1</v>
      </c>
      <c r="T109" s="241" t="e">
        <f t="shared" ref="T109:T122" ca="1" si="55">S109*$H109</f>
        <v>#VALUE!</v>
      </c>
      <c r="U109" s="243" t="e">
        <f ca="1">IF(AND(INDEX(FlowCalConstA,MATCH(R107,FlowCalNumber,0),1,1)*T109^INDEX(FlowCalConstB,MATCH(R107,FlowCalNumber,0),1,1)&gt;INDEX(FlowCalLowSetting,MATCH(R107,FlowCalNumber,0),1,1), (INDEX(FlowCalConstA,MATCH(R107,FlowCalNumber,0),1,1)*T109^INDEX(FlowCalConstB,MATCH(R107,FlowCalNumber,0),1,1)&lt;INDEX(FlowCalHighSetting,MATCH(R107,FlowCalNumber,0),1,1))),INDEX(FlowCalConstA,MATCH(R107,FlowCalNumber,0),1,1)*T109^INDEX(FlowCalConstB,MATCH(R107,FlowCalNumber,0),1,1)," ")</f>
        <v>#N/A</v>
      </c>
      <c r="V109" s="33"/>
      <c r="W109" s="242"/>
      <c r="X109" s="241"/>
      <c r="Y109" s="243"/>
      <c r="Z109" s="33"/>
      <c r="AA109" s="242"/>
      <c r="AB109" s="241"/>
      <c r="AC109" s="243"/>
      <c r="AD109" s="33"/>
      <c r="AE109" s="242"/>
      <c r="AF109" s="241"/>
      <c r="AG109" s="243"/>
      <c r="AH109" s="33"/>
      <c r="AI109" s="242"/>
      <c r="AJ109" s="241"/>
      <c r="AK109" s="244"/>
      <c r="AL109" s="243"/>
      <c r="AM109" s="243"/>
      <c r="AN109" s="243"/>
      <c r="AO109" s="243"/>
      <c r="AP109" s="243"/>
      <c r="AQ109" s="243"/>
      <c r="AR109" s="243"/>
      <c r="AS109" s="243"/>
      <c r="AT109" s="243"/>
      <c r="AU109" s="243"/>
      <c r="AV109" s="243"/>
      <c r="AW109" s="243"/>
      <c r="AX109" s="243"/>
      <c r="AY109" s="243"/>
      <c r="AZ109" s="243"/>
      <c r="BA109" s="243"/>
      <c r="BB109" s="243"/>
      <c r="BC109" s="243"/>
      <c r="BD109" s="243"/>
      <c r="BE109" s="243"/>
      <c r="BF109" s="243"/>
      <c r="BG109" s="243"/>
      <c r="BH109" s="243"/>
      <c r="BI109" s="243"/>
      <c r="BJ109" s="243"/>
      <c r="BK109" s="243"/>
      <c r="BL109" s="243"/>
      <c r="BM109" s="243"/>
      <c r="BN109" s="243"/>
      <c r="BO109" s="243"/>
      <c r="BP109" s="243"/>
      <c r="BQ109" s="243"/>
      <c r="BR109" s="243"/>
      <c r="BS109" s="243"/>
      <c r="BU109" s="242"/>
      <c r="BW109" s="243"/>
      <c r="BY109" s="242"/>
      <c r="CA109" s="243"/>
      <c r="CC109" s="242"/>
      <c r="CE109" s="243"/>
      <c r="CG109" s="242"/>
      <c r="CI109" s="243"/>
    </row>
    <row r="110" spans="1:87" s="1215" customFormat="1">
      <c r="A110" s="1222"/>
      <c r="B110" s="1223" t="str">
        <f t="shared" si="48"/>
        <v/>
      </c>
      <c r="C110" s="1210"/>
      <c r="D110" s="1211">
        <f>'1% Wind'!$M$84</f>
        <v>20.5</v>
      </c>
      <c r="E110" s="1212"/>
      <c r="F110" s="1212"/>
      <c r="G110" s="1213">
        <f ca="1">IF(I107=0.9743,$G109,MAX(G109/D109*D110,2))</f>
        <v>2</v>
      </c>
      <c r="H110" s="1214" t="e">
        <f t="shared" ca="1" si="49"/>
        <v>#VALUE!</v>
      </c>
      <c r="J110" s="1224"/>
      <c r="K110" s="1217">
        <f t="shared" si="50"/>
        <v>1</v>
      </c>
      <c r="L110" s="1218" t="e">
        <f t="shared" ca="1" si="51"/>
        <v>#VALUE!</v>
      </c>
      <c r="M110" s="1219" t="e">
        <f ca="1">IF(AND(INDEX(FlowCalConstA,MATCH(J107,FlowCalNumber,0),1,1)*L110^INDEX(FlowCalConstB,MATCH(J107,FlowCalNumber,0),1,1)&gt;INDEX(FlowCalLowSetting,MATCH(J107,FlowCalNumber,0),1,1), (INDEX(FlowCalConstA,MATCH(J107,FlowCalNumber,0),1,1)*L110^INDEX(FlowCalConstB,MATCH(J107,FlowCalNumber,0),1,1)&lt;INDEX(FlowCalHighSetting,MATCH(J107,FlowCalNumber,0),1,1))),INDEX(FlowCalConstA,MATCH(J107,FlowCalNumber,0),1,1)*L110^INDEX(FlowCalConstB,MATCH(J107,FlowCalNumber,0),1,1)," ")</f>
        <v>#N/A</v>
      </c>
      <c r="N110" s="1224"/>
      <c r="O110" s="1217">
        <f t="shared" si="52"/>
        <v>1</v>
      </c>
      <c r="P110" s="1218" t="e">
        <f t="shared" ca="1" si="53"/>
        <v>#VALUE!</v>
      </c>
      <c r="Q110" s="1219" t="e">
        <f ca="1">IF(AND(INDEX(FlowCalConstA,MATCH(N107,FlowCalNumber,0),1,1)*P110^INDEX(FlowCalConstB,MATCH(N107,FlowCalNumber,0),1,1)&gt;INDEX(FlowCalLowSetting,MATCH(N107,FlowCalNumber,0),1,1), (INDEX(FlowCalConstA,MATCH(N107,FlowCalNumber,0),1,1)*P110^INDEX(FlowCalConstB,MATCH(N107,FlowCalNumber,0),1,1)&lt;INDEX(FlowCalHighSetting,MATCH(N107,FlowCalNumber,0),1,1))),INDEX(FlowCalConstA,MATCH(N107,FlowCalNumber,0),1,1)*P110^INDEX(FlowCalConstB,MATCH(N107,FlowCalNumber,0),1,1)," ")</f>
        <v>#N/A</v>
      </c>
      <c r="R110" s="1224"/>
      <c r="S110" s="1217">
        <f t="shared" si="54"/>
        <v>1</v>
      </c>
      <c r="T110" s="1218" t="e">
        <f t="shared" ca="1" si="55"/>
        <v>#VALUE!</v>
      </c>
      <c r="U110" s="1219" t="e">
        <f ca="1">IF(AND(INDEX(FlowCalConstA,MATCH(R107,FlowCalNumber,0),1,1)*T110^INDEX(FlowCalConstB,MATCH(R107,FlowCalNumber,0),1,1)&gt;INDEX(FlowCalLowSetting,MATCH(R107,FlowCalNumber,0),1,1), (INDEX(FlowCalConstA,MATCH(R107,FlowCalNumber,0),1,1)*T110^INDEX(FlowCalConstB,MATCH(R107,FlowCalNumber,0),1,1)&lt;INDEX(FlowCalHighSetting,MATCH(R107,FlowCalNumber,0),1,1))),INDEX(FlowCalConstA,MATCH(R107,FlowCalNumber,0),1,1)*T110^INDEX(FlowCalConstB,MATCH(R107,FlowCalNumber,0),1,1)," ")</f>
        <v>#N/A</v>
      </c>
      <c r="V110" s="1224"/>
      <c r="W110" s="1217"/>
      <c r="X110" s="1218"/>
      <c r="Y110" s="1219"/>
      <c r="Z110" s="1224"/>
      <c r="AA110" s="1217"/>
      <c r="AB110" s="1218"/>
      <c r="AC110" s="1219"/>
      <c r="AD110" s="1224"/>
      <c r="AE110" s="1217"/>
      <c r="AF110" s="1218"/>
      <c r="AG110" s="1219"/>
      <c r="AH110" s="1224"/>
      <c r="AI110" s="1217"/>
      <c r="AJ110" s="1218"/>
      <c r="AK110" s="1220"/>
      <c r="AL110" s="1219"/>
      <c r="AM110" s="1219"/>
      <c r="AN110" s="1219"/>
      <c r="AO110" s="1219"/>
      <c r="AP110" s="1219"/>
      <c r="AQ110" s="1219"/>
      <c r="AR110" s="1219"/>
      <c r="AS110" s="1219"/>
      <c r="AT110" s="1219"/>
      <c r="AU110" s="1219"/>
      <c r="AV110" s="1219"/>
      <c r="AW110" s="1219"/>
      <c r="AX110" s="1219"/>
      <c r="AY110" s="1219"/>
      <c r="AZ110" s="1219"/>
      <c r="BA110" s="1219"/>
      <c r="BB110" s="1219"/>
      <c r="BC110" s="1219"/>
      <c r="BD110" s="1219"/>
      <c r="BE110" s="1219"/>
      <c r="BF110" s="1219"/>
      <c r="BG110" s="1219"/>
      <c r="BH110" s="1219"/>
      <c r="BI110" s="1219"/>
      <c r="BJ110" s="1219"/>
      <c r="BK110" s="1219"/>
      <c r="BL110" s="1219"/>
      <c r="BM110" s="1219"/>
      <c r="BN110" s="1219"/>
      <c r="BO110" s="1219"/>
      <c r="BP110" s="1219"/>
      <c r="BQ110" s="1219"/>
      <c r="BR110" s="1219"/>
      <c r="BS110" s="1219"/>
      <c r="BU110" s="1217"/>
      <c r="BW110" s="1219"/>
      <c r="BY110" s="1217"/>
      <c r="CA110" s="1219"/>
      <c r="CC110" s="1217"/>
      <c r="CE110" s="1219"/>
      <c r="CG110" s="1217"/>
      <c r="CI110" s="1219"/>
    </row>
    <row r="111" spans="1:87">
      <c r="A111" s="20"/>
      <c r="B111" s="124" t="str">
        <f t="shared" si="48"/>
        <v/>
      </c>
      <c r="C111" s="235"/>
      <c r="D111" s="24">
        <f>'1% Wind'!$M$85</f>
        <v>17.8</v>
      </c>
      <c r="E111" s="90"/>
      <c r="F111" s="90"/>
      <c r="G111" s="79">
        <f ca="1">IF(I107=0.9743,$G110,MAX(G110/D110*D111,2))</f>
        <v>2</v>
      </c>
      <c r="H111" s="121" t="e">
        <f t="shared" ca="1" si="49"/>
        <v>#VALUE!</v>
      </c>
      <c r="J111" s="33"/>
      <c r="K111" s="242">
        <f t="shared" si="50"/>
        <v>1</v>
      </c>
      <c r="L111" s="241" t="e">
        <f t="shared" ca="1" si="51"/>
        <v>#VALUE!</v>
      </c>
      <c r="M111" s="243" t="e">
        <f ca="1">IF(AND(INDEX(FlowCalConstA,MATCH(J107,FlowCalNumber,0),1,1)*L111^INDEX(FlowCalConstB,MATCH(J107,FlowCalNumber,0),1,1)&gt;INDEX(FlowCalLowSetting,MATCH(J107,FlowCalNumber,0),1,1), (INDEX(FlowCalConstA,MATCH(J107,FlowCalNumber,0),1,1)*L111^INDEX(FlowCalConstB,MATCH(J107,FlowCalNumber,0),1,1)&lt;INDEX(FlowCalHighSetting,MATCH(J107,FlowCalNumber,0),1,1))),INDEX(FlowCalConstA,MATCH(J107,FlowCalNumber,0),1,1)*L111^INDEX(FlowCalConstB,MATCH(J107,FlowCalNumber,0),1,1)," ")</f>
        <v>#N/A</v>
      </c>
      <c r="N111" s="33"/>
      <c r="O111" s="242">
        <f t="shared" si="52"/>
        <v>1</v>
      </c>
      <c r="P111" s="241" t="e">
        <f t="shared" ca="1" si="53"/>
        <v>#VALUE!</v>
      </c>
      <c r="Q111" s="243" t="e">
        <f ca="1">IF(AND(INDEX(FlowCalConstA,MATCH(N107,FlowCalNumber,0),1,1)*P111^INDEX(FlowCalConstB,MATCH(N107,FlowCalNumber,0),1,1)&gt;INDEX(FlowCalLowSetting,MATCH(N107,FlowCalNumber,0),1,1), (INDEX(FlowCalConstA,MATCH(N107,FlowCalNumber,0),1,1)*P111^INDEX(FlowCalConstB,MATCH(N107,FlowCalNumber,0),1,1)&lt;INDEX(FlowCalHighSetting,MATCH(N107,FlowCalNumber,0),1,1))),INDEX(FlowCalConstA,MATCH(N107,FlowCalNumber,0),1,1)*P111^INDEX(FlowCalConstB,MATCH(N107,FlowCalNumber,0),1,1)," ")</f>
        <v>#N/A</v>
      </c>
      <c r="R111" s="33"/>
      <c r="S111" s="242">
        <f t="shared" si="54"/>
        <v>1</v>
      </c>
      <c r="T111" s="241" t="e">
        <f t="shared" ca="1" si="55"/>
        <v>#VALUE!</v>
      </c>
      <c r="U111" s="243" t="e">
        <f ca="1">IF(AND(INDEX(FlowCalConstA,MATCH(R107,FlowCalNumber,0),1,1)*T111^INDEX(FlowCalConstB,MATCH(R107,FlowCalNumber,0),1,1)&gt;INDEX(FlowCalLowSetting,MATCH(R107,FlowCalNumber,0),1,1), (INDEX(FlowCalConstA,MATCH(R107,FlowCalNumber,0),1,1)*T111^INDEX(FlowCalConstB,MATCH(R107,FlowCalNumber,0),1,1)&lt;INDEX(FlowCalHighSetting,MATCH(R107,FlowCalNumber,0),1,1))),INDEX(FlowCalConstA,MATCH(R107,FlowCalNumber,0),1,1)*T111^INDEX(FlowCalConstB,MATCH(R107,FlowCalNumber,0),1,1)," ")</f>
        <v>#N/A</v>
      </c>
      <c r="V111" s="33"/>
      <c r="W111" s="242"/>
      <c r="X111" s="241"/>
      <c r="Y111" s="243"/>
      <c r="Z111" s="33"/>
      <c r="AA111" s="242"/>
      <c r="AB111" s="241"/>
      <c r="AC111" s="243"/>
      <c r="AD111" s="33"/>
      <c r="AE111" s="242"/>
      <c r="AF111" s="241"/>
      <c r="AG111" s="243"/>
      <c r="AH111" s="33"/>
      <c r="AI111" s="242"/>
      <c r="AJ111" s="241"/>
      <c r="AK111" s="244"/>
      <c r="AL111" s="243"/>
      <c r="AM111" s="243"/>
      <c r="AN111" s="243"/>
      <c r="AO111" s="243"/>
      <c r="AP111" s="243"/>
      <c r="AQ111" s="243"/>
      <c r="AR111" s="243"/>
      <c r="AS111" s="243"/>
      <c r="AT111" s="243"/>
      <c r="AU111" s="243"/>
      <c r="AV111" s="243"/>
      <c r="AW111" s="243"/>
      <c r="AX111" s="243"/>
      <c r="AY111" s="243"/>
      <c r="AZ111" s="243"/>
      <c r="BA111" s="243"/>
      <c r="BB111" s="243"/>
      <c r="BC111" s="243"/>
      <c r="BD111" s="243"/>
      <c r="BE111" s="243"/>
      <c r="BF111" s="243"/>
      <c r="BG111" s="243"/>
      <c r="BH111" s="243"/>
      <c r="BI111" s="243"/>
      <c r="BJ111" s="243"/>
      <c r="BK111" s="243"/>
      <c r="BL111" s="243"/>
      <c r="BM111" s="243"/>
      <c r="BN111" s="243"/>
      <c r="BO111" s="243"/>
      <c r="BP111" s="243"/>
      <c r="BQ111" s="243"/>
      <c r="BR111" s="243"/>
      <c r="BS111" s="243"/>
      <c r="BU111" s="242"/>
      <c r="BW111" s="243"/>
      <c r="BY111" s="242"/>
      <c r="CA111" s="243"/>
      <c r="CC111" s="242"/>
      <c r="CE111" s="243"/>
      <c r="CG111" s="242"/>
      <c r="CI111" s="243"/>
    </row>
    <row r="112" spans="1:87" s="1215" customFormat="1">
      <c r="A112" s="1222"/>
      <c r="B112" s="1223" t="str">
        <f t="shared" si="48"/>
        <v/>
      </c>
      <c r="C112" s="1210"/>
      <c r="D112" s="1211">
        <f>'1% Wind'!$M$86</f>
        <v>15.5</v>
      </c>
      <c r="E112" s="1212"/>
      <c r="F112" s="1212"/>
      <c r="G112" s="1213">
        <f ca="1">IF(I107=0.9743,$G111,MAX(G111/D111*D112,2))</f>
        <v>2</v>
      </c>
      <c r="H112" s="1214" t="e">
        <f t="shared" ca="1" si="49"/>
        <v>#VALUE!</v>
      </c>
      <c r="J112" s="1224"/>
      <c r="K112" s="1217">
        <f t="shared" si="50"/>
        <v>1</v>
      </c>
      <c r="L112" s="1218" t="e">
        <f t="shared" ca="1" si="51"/>
        <v>#VALUE!</v>
      </c>
      <c r="M112" s="1219" t="e">
        <f ca="1">IF(AND(INDEX(FlowCalConstA,MATCH(J107,FlowCalNumber,0),1,1)*L112^INDEX(FlowCalConstB,MATCH(J107,FlowCalNumber,0),1,1)&gt;INDEX(FlowCalLowSetting,MATCH(J107,FlowCalNumber,0),1,1), (INDEX(FlowCalConstA,MATCH(J107,FlowCalNumber,0),1,1)*L112^INDEX(FlowCalConstB,MATCH(J107,FlowCalNumber,0),1,1)&lt;INDEX(FlowCalHighSetting,MATCH(J107,FlowCalNumber,0),1,1))),INDEX(FlowCalConstA,MATCH(J107,FlowCalNumber,0),1,1)*L112^INDEX(FlowCalConstB,MATCH(J107,FlowCalNumber,0),1,1)," ")</f>
        <v>#N/A</v>
      </c>
      <c r="N112" s="1224"/>
      <c r="O112" s="1217">
        <f t="shared" si="52"/>
        <v>1</v>
      </c>
      <c r="P112" s="1218" t="e">
        <f t="shared" ca="1" si="53"/>
        <v>#VALUE!</v>
      </c>
      <c r="Q112" s="1219" t="e">
        <f ca="1">IF(AND(INDEX(FlowCalConstA,MATCH(N107,FlowCalNumber,0),1,1)*P112^INDEX(FlowCalConstB,MATCH(N107,FlowCalNumber,0),1,1)&gt;INDEX(FlowCalLowSetting,MATCH(N107,FlowCalNumber,0),1,1), (INDEX(FlowCalConstA,MATCH(N107,FlowCalNumber,0),1,1)*P112^INDEX(FlowCalConstB,MATCH(N107,FlowCalNumber,0),1,1)&lt;INDEX(FlowCalHighSetting,MATCH(N107,FlowCalNumber,0),1,1))),INDEX(FlowCalConstA,MATCH(N107,FlowCalNumber,0),1,1)*P112^INDEX(FlowCalConstB,MATCH(N107,FlowCalNumber,0),1,1)," ")</f>
        <v>#N/A</v>
      </c>
      <c r="R112" s="1224"/>
      <c r="S112" s="1217">
        <f t="shared" si="54"/>
        <v>1</v>
      </c>
      <c r="T112" s="1218" t="e">
        <f t="shared" ca="1" si="55"/>
        <v>#VALUE!</v>
      </c>
      <c r="U112" s="1219" t="e">
        <f ca="1">IF(AND(INDEX(FlowCalConstA,MATCH(R107,FlowCalNumber,0),1,1)*T112^INDEX(FlowCalConstB,MATCH(R107,FlowCalNumber,0),1,1)&gt;INDEX(FlowCalLowSetting,MATCH(R107,FlowCalNumber,0),1,1), (INDEX(FlowCalConstA,MATCH(R107,FlowCalNumber,0),1,1)*T112^INDEX(FlowCalConstB,MATCH(R107,FlowCalNumber,0),1,1)&lt;INDEX(FlowCalHighSetting,MATCH(R107,FlowCalNumber,0),1,1))),INDEX(FlowCalConstA,MATCH(R107,FlowCalNumber,0),1,1)*T112^INDEX(FlowCalConstB,MATCH(R107,FlowCalNumber,0),1,1)," ")</f>
        <v>#N/A</v>
      </c>
      <c r="V112" s="1224"/>
      <c r="W112" s="1217"/>
      <c r="X112" s="1218"/>
      <c r="Y112" s="1219"/>
      <c r="Z112" s="1224"/>
      <c r="AA112" s="1217"/>
      <c r="AB112" s="1218"/>
      <c r="AC112" s="1219"/>
      <c r="AD112" s="1224"/>
      <c r="AE112" s="1217"/>
      <c r="AF112" s="1218"/>
      <c r="AG112" s="1219"/>
      <c r="AH112" s="1224"/>
      <c r="AI112" s="1217"/>
      <c r="AJ112" s="1218"/>
      <c r="AK112" s="1220"/>
      <c r="AL112" s="1219"/>
      <c r="AM112" s="1219"/>
      <c r="AN112" s="1219"/>
      <c r="AO112" s="1219"/>
      <c r="AP112" s="1219"/>
      <c r="AQ112" s="1219"/>
      <c r="AR112" s="1219"/>
      <c r="AS112" s="1219"/>
      <c r="AT112" s="1219"/>
      <c r="AU112" s="1219"/>
      <c r="AV112" s="1219"/>
      <c r="AW112" s="1219"/>
      <c r="AX112" s="1219"/>
      <c r="AY112" s="1219"/>
      <c r="AZ112" s="1219"/>
      <c r="BA112" s="1219"/>
      <c r="BB112" s="1219"/>
      <c r="BC112" s="1219"/>
      <c r="BD112" s="1219"/>
      <c r="BE112" s="1219"/>
      <c r="BF112" s="1219"/>
      <c r="BG112" s="1219"/>
      <c r="BH112" s="1219"/>
      <c r="BI112" s="1219"/>
      <c r="BJ112" s="1219"/>
      <c r="BK112" s="1219"/>
      <c r="BL112" s="1219"/>
      <c r="BM112" s="1219"/>
      <c r="BN112" s="1219"/>
      <c r="BO112" s="1219"/>
      <c r="BP112" s="1219"/>
      <c r="BQ112" s="1219"/>
      <c r="BR112" s="1219"/>
      <c r="BS112" s="1219"/>
      <c r="BU112" s="1217"/>
      <c r="BW112" s="1219"/>
      <c r="BY112" s="1217"/>
      <c r="CA112" s="1219"/>
      <c r="CC112" s="1217"/>
      <c r="CE112" s="1219"/>
      <c r="CG112" s="1217"/>
      <c r="CI112" s="1219"/>
    </row>
    <row r="113" spans="1:87">
      <c r="A113" s="20"/>
      <c r="B113" s="124" t="str">
        <f t="shared" si="48"/>
        <v/>
      </c>
      <c r="C113" s="235"/>
      <c r="D113" s="24">
        <f>'1% Wind'!$M$87</f>
        <v>13.5</v>
      </c>
      <c r="E113" s="90"/>
      <c r="F113" s="90"/>
      <c r="G113" s="79">
        <f ca="1">IF(I107=0.9743,$G112,MAX(G112/D112*D113,2))</f>
        <v>2</v>
      </c>
      <c r="H113" s="121" t="e">
        <f t="shared" ca="1" si="49"/>
        <v>#VALUE!</v>
      </c>
      <c r="J113" s="33"/>
      <c r="K113" s="242">
        <f t="shared" si="50"/>
        <v>1</v>
      </c>
      <c r="L113" s="241" t="e">
        <f t="shared" ca="1" si="51"/>
        <v>#VALUE!</v>
      </c>
      <c r="M113" s="243" t="e">
        <f ca="1">IF(AND(INDEX(FlowCalConstA,MATCH(J107,FlowCalNumber,0),1,1)*L113^INDEX(FlowCalConstB,MATCH(J107,FlowCalNumber,0),1,1)&gt;INDEX(FlowCalLowSetting,MATCH(J107,FlowCalNumber,0),1,1), (INDEX(FlowCalConstA,MATCH(J107,FlowCalNumber,0),1,1)*L113^INDEX(FlowCalConstB,MATCH(J107,FlowCalNumber,0),1,1)&lt;INDEX(FlowCalHighSetting,MATCH(J107,FlowCalNumber,0),1,1))),INDEX(FlowCalConstA,MATCH(J107,FlowCalNumber,0),1,1)*L113^INDEX(FlowCalConstB,MATCH(J107,FlowCalNumber,0),1,1)," ")</f>
        <v>#N/A</v>
      </c>
      <c r="N113" s="33"/>
      <c r="O113" s="242">
        <f t="shared" si="52"/>
        <v>1</v>
      </c>
      <c r="P113" s="241" t="e">
        <f t="shared" ca="1" si="53"/>
        <v>#VALUE!</v>
      </c>
      <c r="Q113" s="243" t="e">
        <f ca="1">IF(AND(INDEX(FlowCalConstA,MATCH(N107,FlowCalNumber,0),1,1)*P113^INDEX(FlowCalConstB,MATCH(N107,FlowCalNumber,0),1,1)&gt;INDEX(FlowCalLowSetting,MATCH(N107,FlowCalNumber,0),1,1), (INDEX(FlowCalConstA,MATCH(N107,FlowCalNumber,0),1,1)*P113^INDEX(FlowCalConstB,MATCH(N107,FlowCalNumber,0),1,1)&lt;INDEX(FlowCalHighSetting,MATCH(N107,FlowCalNumber,0),1,1))),INDEX(FlowCalConstA,MATCH(N107,FlowCalNumber,0),1,1)*P113^INDEX(FlowCalConstB,MATCH(N107,FlowCalNumber,0),1,1)," ")</f>
        <v>#N/A</v>
      </c>
      <c r="R113" s="33"/>
      <c r="S113" s="242">
        <f t="shared" si="54"/>
        <v>1</v>
      </c>
      <c r="T113" s="241" t="e">
        <f t="shared" ca="1" si="55"/>
        <v>#VALUE!</v>
      </c>
      <c r="U113" s="243" t="e">
        <f ca="1">IF(AND(INDEX(FlowCalConstA,MATCH(R107,FlowCalNumber,0),1,1)*T113^INDEX(FlowCalConstB,MATCH(R107,FlowCalNumber,0),1,1)&gt;INDEX(FlowCalLowSetting,MATCH(R107,FlowCalNumber,0),1,1), (INDEX(FlowCalConstA,MATCH(R107,FlowCalNumber,0),1,1)*T113^INDEX(FlowCalConstB,MATCH(R107,FlowCalNumber,0),1,1)&lt;INDEX(FlowCalHighSetting,MATCH(R107,FlowCalNumber,0),1,1))),INDEX(FlowCalConstA,MATCH(R107,FlowCalNumber,0),1,1)*T113^INDEX(FlowCalConstB,MATCH(R107,FlowCalNumber,0),1,1)," ")</f>
        <v>#N/A</v>
      </c>
      <c r="V113" s="33"/>
      <c r="W113" s="242"/>
      <c r="X113" s="241"/>
      <c r="Y113" s="243"/>
      <c r="Z113" s="33"/>
      <c r="AA113" s="242"/>
      <c r="AB113" s="241"/>
      <c r="AC113" s="243"/>
      <c r="AD113" s="33"/>
      <c r="AE113" s="242"/>
      <c r="AF113" s="241"/>
      <c r="AG113" s="243"/>
      <c r="AH113" s="33"/>
      <c r="AI113" s="242"/>
      <c r="AJ113" s="241"/>
      <c r="AK113" s="244"/>
      <c r="AL113" s="243"/>
      <c r="AM113" s="243"/>
      <c r="AN113" s="243"/>
      <c r="AO113" s="243"/>
      <c r="AP113" s="243"/>
      <c r="AQ113" s="243"/>
      <c r="AR113" s="243"/>
      <c r="AS113" s="243"/>
      <c r="AT113" s="243"/>
      <c r="AU113" s="243"/>
      <c r="AV113" s="243"/>
      <c r="AW113" s="243"/>
      <c r="AX113" s="243"/>
      <c r="AY113" s="243"/>
      <c r="AZ113" s="243"/>
      <c r="BA113" s="243"/>
      <c r="BB113" s="243"/>
      <c r="BC113" s="243"/>
      <c r="BD113" s="243"/>
      <c r="BE113" s="243"/>
      <c r="BF113" s="243"/>
      <c r="BG113" s="243"/>
      <c r="BH113" s="243"/>
      <c r="BI113" s="243"/>
      <c r="BJ113" s="243"/>
      <c r="BK113" s="243"/>
      <c r="BL113" s="243"/>
      <c r="BM113" s="243"/>
      <c r="BN113" s="243"/>
      <c r="BO113" s="243"/>
      <c r="BP113" s="243"/>
      <c r="BQ113" s="243"/>
      <c r="BR113" s="243"/>
      <c r="BS113" s="243"/>
      <c r="BU113" s="242"/>
      <c r="BW113" s="243"/>
      <c r="BY113" s="242"/>
      <c r="CA113" s="243"/>
      <c r="CC113" s="242"/>
      <c r="CE113" s="243"/>
      <c r="CG113" s="242"/>
      <c r="CI113" s="243"/>
    </row>
    <row r="114" spans="1:87" s="1215" customFormat="1">
      <c r="A114" s="1222"/>
      <c r="B114" s="1223" t="str">
        <f t="shared" si="48"/>
        <v/>
      </c>
      <c r="C114" s="1210"/>
      <c r="D114" s="1211">
        <f>'1% Wind'!$M$88</f>
        <v>10.1</v>
      </c>
      <c r="E114" s="1212"/>
      <c r="F114" s="1212"/>
      <c r="G114" s="1213">
        <f ca="1">IF(I107=0.9743,$G113,MAX(G113/D113*D114,2))</f>
        <v>2</v>
      </c>
      <c r="H114" s="1214" t="e">
        <f t="shared" ca="1" si="49"/>
        <v>#VALUE!</v>
      </c>
      <c r="J114" s="1224"/>
      <c r="K114" s="1217">
        <f t="shared" si="50"/>
        <v>1</v>
      </c>
      <c r="L114" s="1218" t="e">
        <f t="shared" ca="1" si="51"/>
        <v>#VALUE!</v>
      </c>
      <c r="M114" s="1219" t="e">
        <f ca="1">IF(AND(INDEX(FlowCalConstA,MATCH(J107,FlowCalNumber,0),1,1)*L114^INDEX(FlowCalConstB,MATCH(J107,FlowCalNumber,0),1,1)&gt;INDEX(FlowCalLowSetting,MATCH(J107,FlowCalNumber,0),1,1), (INDEX(FlowCalConstA,MATCH(J107,FlowCalNumber,0),1,1)*L114^INDEX(FlowCalConstB,MATCH(J107,FlowCalNumber,0),1,1)&lt;INDEX(FlowCalHighSetting,MATCH(J107,FlowCalNumber,0),1,1))),INDEX(FlowCalConstA,MATCH(J107,FlowCalNumber,0),1,1)*L114^INDEX(FlowCalConstB,MATCH(J107,FlowCalNumber,0),1,1)," ")</f>
        <v>#N/A</v>
      </c>
      <c r="N114" s="1224"/>
      <c r="O114" s="1217">
        <f t="shared" si="52"/>
        <v>1</v>
      </c>
      <c r="P114" s="1218" t="e">
        <f t="shared" ca="1" si="53"/>
        <v>#VALUE!</v>
      </c>
      <c r="Q114" s="1219" t="e">
        <f ca="1">IF(AND(INDEX(FlowCalConstA,MATCH(N107,FlowCalNumber,0),1,1)*P114^INDEX(FlowCalConstB,MATCH(N107,FlowCalNumber,0),1,1)&gt;INDEX(FlowCalLowSetting,MATCH(N107,FlowCalNumber,0),1,1), (INDEX(FlowCalConstA,MATCH(N107,FlowCalNumber,0),1,1)*P114^INDEX(FlowCalConstB,MATCH(N107,FlowCalNumber,0),1,1)&lt;INDEX(FlowCalHighSetting,MATCH(N107,FlowCalNumber,0),1,1))),INDEX(FlowCalConstA,MATCH(N107,FlowCalNumber,0),1,1)*P114^INDEX(FlowCalConstB,MATCH(N107,FlowCalNumber,0),1,1)," ")</f>
        <v>#N/A</v>
      </c>
      <c r="R114" s="1224"/>
      <c r="S114" s="1217">
        <f t="shared" si="54"/>
        <v>1</v>
      </c>
      <c r="T114" s="1218" t="e">
        <f t="shared" ca="1" si="55"/>
        <v>#VALUE!</v>
      </c>
      <c r="U114" s="1219" t="e">
        <f ca="1">IF(AND(INDEX(FlowCalConstA,MATCH(R107,FlowCalNumber,0),1,1)*T114^INDEX(FlowCalConstB,MATCH(R107,FlowCalNumber,0),1,1)&gt;INDEX(FlowCalLowSetting,MATCH(R107,FlowCalNumber,0),1,1), (INDEX(FlowCalConstA,MATCH(R107,FlowCalNumber,0),1,1)*T114^INDEX(FlowCalConstB,MATCH(R107,FlowCalNumber,0),1,1)&lt;INDEX(FlowCalHighSetting,MATCH(R107,FlowCalNumber,0),1,1))),INDEX(FlowCalConstA,MATCH(R107,FlowCalNumber,0),1,1)*T114^INDEX(FlowCalConstB,MATCH(R107,FlowCalNumber,0),1,1)," ")</f>
        <v>#N/A</v>
      </c>
      <c r="V114" s="1224"/>
      <c r="W114" s="1217"/>
      <c r="X114" s="1218"/>
      <c r="Y114" s="1219"/>
      <c r="Z114" s="1224"/>
      <c r="AA114" s="1217"/>
      <c r="AB114" s="1218"/>
      <c r="AC114" s="1219"/>
      <c r="AD114" s="1224"/>
      <c r="AE114" s="1217"/>
      <c r="AF114" s="1218"/>
      <c r="AG114" s="1219"/>
      <c r="AH114" s="1224"/>
      <c r="AI114" s="1217"/>
      <c r="AJ114" s="1218"/>
      <c r="AK114" s="1220"/>
      <c r="AL114" s="1219"/>
      <c r="AM114" s="1219"/>
      <c r="AN114" s="1219"/>
      <c r="AO114" s="1219"/>
      <c r="AP114" s="1219"/>
      <c r="AQ114" s="1219"/>
      <c r="AR114" s="1219"/>
      <c r="AS114" s="1219"/>
      <c r="AT114" s="1219"/>
      <c r="AU114" s="1219"/>
      <c r="AV114" s="1219"/>
      <c r="AW114" s="1219"/>
      <c r="AX114" s="1219"/>
      <c r="AY114" s="1219"/>
      <c r="AZ114" s="1219"/>
      <c r="BA114" s="1219"/>
      <c r="BB114" s="1219"/>
      <c r="BC114" s="1219"/>
      <c r="BD114" s="1219"/>
      <c r="BE114" s="1219"/>
      <c r="BF114" s="1219"/>
      <c r="BG114" s="1219"/>
      <c r="BH114" s="1219"/>
      <c r="BI114" s="1219"/>
      <c r="BJ114" s="1219"/>
      <c r="BK114" s="1219"/>
      <c r="BL114" s="1219"/>
      <c r="BM114" s="1219"/>
      <c r="BN114" s="1219"/>
      <c r="BO114" s="1219"/>
      <c r="BP114" s="1219"/>
      <c r="BQ114" s="1219"/>
      <c r="BR114" s="1219"/>
      <c r="BS114" s="1219"/>
      <c r="BU114" s="1217"/>
      <c r="BW114" s="1219"/>
      <c r="BY114" s="1217"/>
      <c r="CA114" s="1219"/>
      <c r="CC114" s="1217"/>
      <c r="CE114" s="1219"/>
      <c r="CG114" s="1217"/>
      <c r="CI114" s="1219"/>
    </row>
    <row r="115" spans="1:87">
      <c r="A115" s="20"/>
      <c r="B115" s="124" t="str">
        <f t="shared" si="48"/>
        <v/>
      </c>
      <c r="C115" s="235"/>
      <c r="D115" s="24">
        <f>'1% Wind'!$M$89</f>
        <v>7.6</v>
      </c>
      <c r="E115" s="90"/>
      <c r="F115" s="90"/>
      <c r="G115" s="79">
        <f ca="1">IF(I107=0.9743,$G114,MAX(G114/D114*D115,2))</f>
        <v>2</v>
      </c>
      <c r="H115" s="121" t="e">
        <f t="shared" ca="1" si="49"/>
        <v>#VALUE!</v>
      </c>
      <c r="J115" s="33"/>
      <c r="K115" s="242">
        <f t="shared" si="50"/>
        <v>1</v>
      </c>
      <c r="L115" s="241" t="e">
        <f t="shared" ca="1" si="51"/>
        <v>#VALUE!</v>
      </c>
      <c r="M115" s="243" t="e">
        <f ca="1">IF(AND(INDEX(FlowCalConstA,MATCH(J107,FlowCalNumber,0),1,1)*L115^INDEX(FlowCalConstB,MATCH(J107,FlowCalNumber,0),1,1)&gt;INDEX(FlowCalLowSetting,MATCH(J107,FlowCalNumber,0),1,1), (INDEX(FlowCalConstA,MATCH(J107,FlowCalNumber,0),1,1)*L115^INDEX(FlowCalConstB,MATCH(J107,FlowCalNumber,0),1,1)&lt;INDEX(FlowCalHighSetting,MATCH(J107,FlowCalNumber,0),1,1))),INDEX(FlowCalConstA,MATCH(J107,FlowCalNumber,0),1,1)*L115^INDEX(FlowCalConstB,MATCH(J107,FlowCalNumber,0),1,1)," ")</f>
        <v>#N/A</v>
      </c>
      <c r="N115" s="33"/>
      <c r="O115" s="242">
        <f t="shared" si="52"/>
        <v>1</v>
      </c>
      <c r="P115" s="241" t="e">
        <f t="shared" ca="1" si="53"/>
        <v>#VALUE!</v>
      </c>
      <c r="Q115" s="243" t="e">
        <f ca="1">IF(AND(INDEX(FlowCalConstA,MATCH(N107,FlowCalNumber,0),1,1)*P115^INDEX(FlowCalConstB,MATCH(N107,FlowCalNumber,0),1,1)&gt;INDEX(FlowCalLowSetting,MATCH(N107,FlowCalNumber,0),1,1), (INDEX(FlowCalConstA,MATCH(N107,FlowCalNumber,0),1,1)*P115^INDEX(FlowCalConstB,MATCH(N107,FlowCalNumber,0),1,1)&lt;INDEX(FlowCalHighSetting,MATCH(N107,FlowCalNumber,0),1,1))),INDEX(FlowCalConstA,MATCH(N107,FlowCalNumber,0),1,1)*P115^INDEX(FlowCalConstB,MATCH(N107,FlowCalNumber,0),1,1)," ")</f>
        <v>#N/A</v>
      </c>
      <c r="R115" s="33"/>
      <c r="S115" s="242">
        <f t="shared" si="54"/>
        <v>1</v>
      </c>
      <c r="T115" s="241" t="e">
        <f t="shared" ca="1" si="55"/>
        <v>#VALUE!</v>
      </c>
      <c r="U115" s="243" t="e">
        <f ca="1">IF(AND(INDEX(FlowCalConstA,MATCH(R107,FlowCalNumber,0),1,1)*T115^INDEX(FlowCalConstB,MATCH(R107,FlowCalNumber,0),1,1)&gt;INDEX(FlowCalLowSetting,MATCH(R107,FlowCalNumber,0),1,1), (INDEX(FlowCalConstA,MATCH(R107,FlowCalNumber,0),1,1)*T115^INDEX(FlowCalConstB,MATCH(R107,FlowCalNumber,0),1,1)&lt;INDEX(FlowCalHighSetting,MATCH(R107,FlowCalNumber,0),1,1))),INDEX(FlowCalConstA,MATCH(R107,FlowCalNumber,0),1,1)*T115^INDEX(FlowCalConstB,MATCH(R107,FlowCalNumber,0),1,1)," ")</f>
        <v>#N/A</v>
      </c>
      <c r="V115" s="33"/>
      <c r="W115" s="242"/>
      <c r="X115" s="241"/>
      <c r="Y115" s="243"/>
      <c r="Z115" s="33"/>
      <c r="AA115" s="242"/>
      <c r="AB115" s="241"/>
      <c r="AC115" s="243"/>
      <c r="AD115" s="33"/>
      <c r="AE115" s="242"/>
      <c r="AF115" s="241"/>
      <c r="AG115" s="243"/>
      <c r="AH115" s="33"/>
      <c r="AI115" s="242"/>
      <c r="AJ115" s="241"/>
      <c r="AK115" s="244"/>
      <c r="AL115" s="243"/>
      <c r="AM115" s="243"/>
      <c r="AN115" s="243"/>
      <c r="AO115" s="243"/>
      <c r="AP115" s="243"/>
      <c r="AQ115" s="243"/>
      <c r="AR115" s="243"/>
      <c r="AS115" s="243"/>
      <c r="AT115" s="243"/>
      <c r="AU115" s="243"/>
      <c r="AV115" s="243"/>
      <c r="AW115" s="243"/>
      <c r="AX115" s="243"/>
      <c r="AY115" s="243"/>
      <c r="AZ115" s="243"/>
      <c r="BA115" s="243"/>
      <c r="BB115" s="243"/>
      <c r="BC115" s="243"/>
      <c r="BD115" s="243"/>
      <c r="BE115" s="243"/>
      <c r="BF115" s="243"/>
      <c r="BG115" s="243"/>
      <c r="BH115" s="243"/>
      <c r="BI115" s="243"/>
      <c r="BJ115" s="243"/>
      <c r="BK115" s="243"/>
      <c r="BL115" s="243"/>
      <c r="BM115" s="243"/>
      <c r="BN115" s="243"/>
      <c r="BO115" s="243"/>
      <c r="BP115" s="243"/>
      <c r="BQ115" s="243"/>
      <c r="BR115" s="243"/>
      <c r="BS115" s="243"/>
      <c r="BU115" s="242"/>
      <c r="BW115" s="243"/>
      <c r="BY115" s="242"/>
      <c r="CA115" s="243"/>
      <c r="CC115" s="242"/>
      <c r="CE115" s="243"/>
      <c r="CG115" s="242"/>
      <c r="CI115" s="243"/>
    </row>
    <row r="116" spans="1:87" s="1215" customFormat="1">
      <c r="A116" s="1222"/>
      <c r="B116" s="1223" t="str">
        <f t="shared" si="48"/>
        <v/>
      </c>
      <c r="C116" s="1210"/>
      <c r="D116" s="1211">
        <f>'1% Wind'!$M$90</f>
        <v>5.7</v>
      </c>
      <c r="E116" s="1212"/>
      <c r="F116" s="1212"/>
      <c r="G116" s="1213">
        <f ca="1">IF(I107=0.9743,$G115,MAX(G115/D115*D116,2))</f>
        <v>2</v>
      </c>
      <c r="H116" s="1214" t="e">
        <f t="shared" ca="1" si="49"/>
        <v>#VALUE!</v>
      </c>
      <c r="J116" s="1224"/>
      <c r="K116" s="1217">
        <f t="shared" si="50"/>
        <v>1</v>
      </c>
      <c r="L116" s="1218" t="e">
        <f t="shared" ca="1" si="51"/>
        <v>#VALUE!</v>
      </c>
      <c r="M116" s="1219" t="e">
        <f ca="1">IF(AND(INDEX(FlowCalConstA,MATCH(J107,FlowCalNumber,0),1,1)*L116^INDEX(FlowCalConstB,MATCH(J107,FlowCalNumber,0),1,1)&gt;INDEX(FlowCalLowSetting,MATCH(J107,FlowCalNumber,0),1,1), (INDEX(FlowCalConstA,MATCH(J107,FlowCalNumber,0),1,1)*L116^INDEX(FlowCalConstB,MATCH(J107,FlowCalNumber,0),1,1)&lt;INDEX(FlowCalHighSetting,MATCH(J107,FlowCalNumber,0),1,1))),INDEX(FlowCalConstA,MATCH(J107,FlowCalNumber,0),1,1)*L116^INDEX(FlowCalConstB,MATCH(J107,FlowCalNumber,0),1,1)," ")</f>
        <v>#N/A</v>
      </c>
      <c r="N116" s="1224"/>
      <c r="O116" s="1217">
        <f t="shared" si="52"/>
        <v>1</v>
      </c>
      <c r="P116" s="1218" t="e">
        <f t="shared" ca="1" si="53"/>
        <v>#VALUE!</v>
      </c>
      <c r="Q116" s="1219" t="e">
        <f ca="1">IF(AND(INDEX(FlowCalConstA,MATCH(N107,FlowCalNumber,0),1,1)*P116^INDEX(FlowCalConstB,MATCH(N107,FlowCalNumber,0),1,1)&gt;INDEX(FlowCalLowSetting,MATCH(N107,FlowCalNumber,0),1,1), (INDEX(FlowCalConstA,MATCH(N107,FlowCalNumber,0),1,1)*P116^INDEX(FlowCalConstB,MATCH(N107,FlowCalNumber,0),1,1)&lt;INDEX(FlowCalHighSetting,MATCH(N107,FlowCalNumber,0),1,1))),INDEX(FlowCalConstA,MATCH(N107,FlowCalNumber,0),1,1)*P116^INDEX(FlowCalConstB,MATCH(N107,FlowCalNumber,0),1,1)," ")</f>
        <v>#N/A</v>
      </c>
      <c r="R116" s="1224"/>
      <c r="S116" s="1217">
        <f t="shared" si="54"/>
        <v>1</v>
      </c>
      <c r="T116" s="1218" t="e">
        <f t="shared" ca="1" si="55"/>
        <v>#VALUE!</v>
      </c>
      <c r="U116" s="1219" t="e">
        <f ca="1">IF(AND(INDEX(FlowCalConstA,MATCH(R107,FlowCalNumber,0),1,1)*T116^INDEX(FlowCalConstB,MATCH(R107,FlowCalNumber,0),1,1)&gt;INDEX(FlowCalLowSetting,MATCH(R107,FlowCalNumber,0),1,1), (INDEX(FlowCalConstA,MATCH(R107,FlowCalNumber,0),1,1)*T116^INDEX(FlowCalConstB,MATCH(R107,FlowCalNumber,0),1,1)&lt;INDEX(FlowCalHighSetting,MATCH(R107,FlowCalNumber,0),1,1))),INDEX(FlowCalConstA,MATCH(R107,FlowCalNumber,0),1,1)*T116^INDEX(FlowCalConstB,MATCH(R107,FlowCalNumber,0),1,1)," ")</f>
        <v>#N/A</v>
      </c>
      <c r="V116" s="1224"/>
      <c r="W116" s="1217"/>
      <c r="X116" s="1218"/>
      <c r="Y116" s="1219"/>
      <c r="Z116" s="1224"/>
      <c r="AA116" s="1217"/>
      <c r="AB116" s="1218"/>
      <c r="AC116" s="1219"/>
      <c r="AD116" s="1224"/>
      <c r="AE116" s="1217"/>
      <c r="AF116" s="1218"/>
      <c r="AG116" s="1219"/>
      <c r="AH116" s="1224"/>
      <c r="AI116" s="1217"/>
      <c r="AJ116" s="1218"/>
      <c r="AK116" s="1220"/>
      <c r="AL116" s="1219"/>
      <c r="AM116" s="1219"/>
      <c r="AN116" s="1219"/>
      <c r="AO116" s="1219"/>
      <c r="AP116" s="1219"/>
      <c r="AQ116" s="1219"/>
      <c r="AR116" s="1219"/>
      <c r="AS116" s="1219"/>
      <c r="AT116" s="1219"/>
      <c r="AU116" s="1219"/>
      <c r="AV116" s="1219"/>
      <c r="AW116" s="1219"/>
      <c r="AX116" s="1219"/>
      <c r="AY116" s="1219"/>
      <c r="AZ116" s="1219"/>
      <c r="BA116" s="1219"/>
      <c r="BB116" s="1219"/>
      <c r="BC116" s="1219"/>
      <c r="BD116" s="1219"/>
      <c r="BE116" s="1219"/>
      <c r="BF116" s="1219"/>
      <c r="BG116" s="1219"/>
      <c r="BH116" s="1219"/>
      <c r="BI116" s="1219"/>
      <c r="BJ116" s="1219"/>
      <c r="BK116" s="1219"/>
      <c r="BL116" s="1219"/>
      <c r="BM116" s="1219"/>
      <c r="BN116" s="1219"/>
      <c r="BO116" s="1219"/>
      <c r="BP116" s="1219"/>
      <c r="BQ116" s="1219"/>
      <c r="BR116" s="1219"/>
      <c r="BS116" s="1219"/>
      <c r="BU116" s="1217"/>
      <c r="BW116" s="1219"/>
      <c r="BY116" s="1217"/>
      <c r="CA116" s="1219"/>
      <c r="CC116" s="1217"/>
      <c r="CE116" s="1219"/>
      <c r="CG116" s="1217"/>
      <c r="CI116" s="1219"/>
    </row>
    <row r="117" spans="1:87">
      <c r="A117" s="20"/>
      <c r="B117" s="124" t="str">
        <f t="shared" si="48"/>
        <v/>
      </c>
      <c r="C117" s="235"/>
      <c r="D117" s="24">
        <f>'1% Wind'!$M$91</f>
        <v>4.2</v>
      </c>
      <c r="E117" s="90"/>
      <c r="F117" s="90"/>
      <c r="G117" s="79">
        <f ca="1">IF(I107=0.9743,$G116,MAX(G116/D116*D117,2))</f>
        <v>2</v>
      </c>
      <c r="H117" s="121" t="e">
        <f t="shared" ca="1" si="49"/>
        <v>#VALUE!</v>
      </c>
      <c r="J117" s="33"/>
      <c r="K117" s="242">
        <f t="shared" si="50"/>
        <v>1</v>
      </c>
      <c r="L117" s="241" t="e">
        <f t="shared" ca="1" si="51"/>
        <v>#VALUE!</v>
      </c>
      <c r="M117" s="243" t="e">
        <f ca="1">IF(AND(INDEX(FlowCalConstA,MATCH(J107,FlowCalNumber,0),1,1)*L117^INDEX(FlowCalConstB,MATCH(J107,FlowCalNumber,0),1,1)&gt;INDEX(FlowCalLowSetting,MATCH(J107,FlowCalNumber,0),1,1), (INDEX(FlowCalConstA,MATCH(J107,FlowCalNumber,0),1,1)*L117^INDEX(FlowCalConstB,MATCH(J107,FlowCalNumber,0),1,1)&lt;INDEX(FlowCalHighSetting,MATCH(J107,FlowCalNumber,0),1,1))),INDEX(FlowCalConstA,MATCH(J107,FlowCalNumber,0),1,1)*L117^INDEX(FlowCalConstB,MATCH(J107,FlowCalNumber,0),1,1)," ")</f>
        <v>#N/A</v>
      </c>
      <c r="N117" s="33"/>
      <c r="O117" s="242">
        <f t="shared" si="52"/>
        <v>1</v>
      </c>
      <c r="P117" s="241" t="e">
        <f t="shared" ca="1" si="53"/>
        <v>#VALUE!</v>
      </c>
      <c r="Q117" s="243" t="e">
        <f ca="1">IF(AND(INDEX(FlowCalConstA,MATCH(N107,FlowCalNumber,0),1,1)*P117^INDEX(FlowCalConstB,MATCH(N107,FlowCalNumber,0),1,1)&gt;INDEX(FlowCalLowSetting,MATCH(N107,FlowCalNumber,0),1,1), (INDEX(FlowCalConstA,MATCH(N107,FlowCalNumber,0),1,1)*P117^INDEX(FlowCalConstB,MATCH(N107,FlowCalNumber,0),1,1)&lt;INDEX(FlowCalHighSetting,MATCH(N107,FlowCalNumber,0),1,1))),INDEX(FlowCalConstA,MATCH(N107,FlowCalNumber,0),1,1)*P117^INDEX(FlowCalConstB,MATCH(N107,FlowCalNumber,0),1,1)," ")</f>
        <v>#N/A</v>
      </c>
      <c r="R117" s="33"/>
      <c r="S117" s="242">
        <f t="shared" si="54"/>
        <v>1</v>
      </c>
      <c r="T117" s="241" t="e">
        <f t="shared" ca="1" si="55"/>
        <v>#VALUE!</v>
      </c>
      <c r="U117" s="243" t="e">
        <f ca="1">IF(AND(INDEX(FlowCalConstA,MATCH(R107,FlowCalNumber,0),1,1)*T117^INDEX(FlowCalConstB,MATCH(R107,FlowCalNumber,0),1,1)&gt;INDEX(FlowCalLowSetting,MATCH(R107,FlowCalNumber,0),1,1), (INDEX(FlowCalConstA,MATCH(R107,FlowCalNumber,0),1,1)*T117^INDEX(FlowCalConstB,MATCH(R107,FlowCalNumber,0),1,1)&lt;INDEX(FlowCalHighSetting,MATCH(R107,FlowCalNumber,0),1,1))),INDEX(FlowCalConstA,MATCH(R107,FlowCalNumber,0),1,1)*T117^INDEX(FlowCalConstB,MATCH(R107,FlowCalNumber,0),1,1)," ")</f>
        <v>#N/A</v>
      </c>
      <c r="V117" s="33"/>
      <c r="W117" s="242"/>
      <c r="X117" s="241"/>
      <c r="Y117" s="243"/>
      <c r="Z117" s="33"/>
      <c r="AA117" s="242"/>
      <c r="AB117" s="241"/>
      <c r="AC117" s="243"/>
      <c r="AD117" s="33"/>
      <c r="AE117" s="242"/>
      <c r="AF117" s="241"/>
      <c r="AG117" s="243"/>
      <c r="AH117" s="33"/>
      <c r="AI117" s="242"/>
      <c r="AJ117" s="241"/>
      <c r="AK117" s="244"/>
      <c r="AL117" s="243"/>
      <c r="AM117" s="243"/>
      <c r="AN117" s="243"/>
      <c r="AO117" s="243"/>
      <c r="AP117" s="243"/>
      <c r="AQ117" s="243"/>
      <c r="AR117" s="243"/>
      <c r="AS117" s="243"/>
      <c r="AT117" s="243"/>
      <c r="AU117" s="243"/>
      <c r="AV117" s="243"/>
      <c r="AW117" s="243"/>
      <c r="AX117" s="243"/>
      <c r="AY117" s="243"/>
      <c r="AZ117" s="243"/>
      <c r="BA117" s="243"/>
      <c r="BB117" s="243"/>
      <c r="BC117" s="243"/>
      <c r="BD117" s="243"/>
      <c r="BE117" s="243"/>
      <c r="BF117" s="243"/>
      <c r="BG117" s="243"/>
      <c r="BH117" s="243"/>
      <c r="BI117" s="243"/>
      <c r="BJ117" s="243"/>
      <c r="BK117" s="243"/>
      <c r="BL117" s="243"/>
      <c r="BM117" s="243"/>
      <c r="BN117" s="243"/>
      <c r="BO117" s="243"/>
      <c r="BP117" s="243"/>
      <c r="BQ117" s="243"/>
      <c r="BR117" s="243"/>
      <c r="BS117" s="243"/>
      <c r="BU117" s="242"/>
      <c r="BW117" s="243"/>
      <c r="BY117" s="242"/>
      <c r="CA117" s="243"/>
      <c r="CC117" s="242"/>
      <c r="CE117" s="243"/>
      <c r="CG117" s="242"/>
      <c r="CI117" s="243"/>
    </row>
    <row r="118" spans="1:87" s="1215" customFormat="1">
      <c r="A118" s="1222"/>
      <c r="B118" s="1223" t="str">
        <f t="shared" si="48"/>
        <v/>
      </c>
      <c r="C118" s="1210"/>
      <c r="D118" s="1211">
        <f>'1% Wind'!$M$92</f>
        <v>3.2</v>
      </c>
      <c r="E118" s="1212"/>
      <c r="F118" s="1212"/>
      <c r="G118" s="1213">
        <f ca="1">IF(I107=0.9743,$G117,MAX(G117/D117*D118,2))</f>
        <v>2</v>
      </c>
      <c r="H118" s="1214" t="e">
        <f t="shared" ca="1" si="49"/>
        <v>#VALUE!</v>
      </c>
      <c r="J118" s="1224"/>
      <c r="K118" s="1217">
        <f t="shared" si="50"/>
        <v>1</v>
      </c>
      <c r="L118" s="1218" t="e">
        <f t="shared" ca="1" si="51"/>
        <v>#VALUE!</v>
      </c>
      <c r="M118" s="1219" t="e">
        <f ca="1">IF(AND(INDEX(FlowCalConstA,MATCH(J107,FlowCalNumber,0),1,1)*L118^INDEX(FlowCalConstB,MATCH(J107,FlowCalNumber,0),1,1)&gt;INDEX(FlowCalLowSetting,MATCH(J107,FlowCalNumber,0),1,1), (INDEX(FlowCalConstA,MATCH(J107,FlowCalNumber,0),1,1)*L118^INDEX(FlowCalConstB,MATCH(J107,FlowCalNumber,0),1,1)&lt;INDEX(FlowCalHighSetting,MATCH(J107,FlowCalNumber,0),1,1))),INDEX(FlowCalConstA,MATCH(J107,FlowCalNumber,0),1,1)*L118^INDEX(FlowCalConstB,MATCH(J107,FlowCalNumber,0),1,1)," ")</f>
        <v>#N/A</v>
      </c>
      <c r="N118" s="1224"/>
      <c r="O118" s="1217">
        <f t="shared" si="52"/>
        <v>1</v>
      </c>
      <c r="P118" s="1218" t="e">
        <f t="shared" ca="1" si="53"/>
        <v>#VALUE!</v>
      </c>
      <c r="Q118" s="1219" t="e">
        <f ca="1">IF(AND(INDEX(FlowCalConstA,MATCH(N107,FlowCalNumber,0),1,1)*P118^INDEX(FlowCalConstB,MATCH(N107,FlowCalNumber,0),1,1)&gt;INDEX(FlowCalLowSetting,MATCH(N107,FlowCalNumber,0),1,1), (INDEX(FlowCalConstA,MATCH(N107,FlowCalNumber,0),1,1)*P118^INDEX(FlowCalConstB,MATCH(N107,FlowCalNumber,0),1,1)&lt;INDEX(FlowCalHighSetting,MATCH(N107,FlowCalNumber,0),1,1))),INDEX(FlowCalConstA,MATCH(N107,FlowCalNumber,0),1,1)*P118^INDEX(FlowCalConstB,MATCH(N107,FlowCalNumber,0),1,1)," ")</f>
        <v>#N/A</v>
      </c>
      <c r="R118" s="1224"/>
      <c r="S118" s="1217">
        <f t="shared" si="54"/>
        <v>1</v>
      </c>
      <c r="T118" s="1218" t="e">
        <f t="shared" ca="1" si="55"/>
        <v>#VALUE!</v>
      </c>
      <c r="U118" s="1219" t="e">
        <f ca="1">IF(AND(INDEX(FlowCalConstA,MATCH(R107,FlowCalNumber,0),1,1)*T118^INDEX(FlowCalConstB,MATCH(R107,FlowCalNumber,0),1,1)&gt;INDEX(FlowCalLowSetting,MATCH(R107,FlowCalNumber,0),1,1), (INDEX(FlowCalConstA,MATCH(R107,FlowCalNumber,0),1,1)*T118^INDEX(FlowCalConstB,MATCH(R107,FlowCalNumber,0),1,1)&lt;INDEX(FlowCalHighSetting,MATCH(R107,FlowCalNumber,0),1,1))),INDEX(FlowCalConstA,MATCH(R107,FlowCalNumber,0),1,1)*T118^INDEX(FlowCalConstB,MATCH(R107,FlowCalNumber,0),1,1)," ")</f>
        <v>#N/A</v>
      </c>
      <c r="V118" s="1224"/>
      <c r="W118" s="1217"/>
      <c r="X118" s="1218"/>
      <c r="Y118" s="1219"/>
      <c r="Z118" s="1224"/>
      <c r="AA118" s="1217"/>
      <c r="AB118" s="1218"/>
      <c r="AC118" s="1219"/>
      <c r="AD118" s="1224"/>
      <c r="AE118" s="1217"/>
      <c r="AF118" s="1218"/>
      <c r="AG118" s="1219"/>
      <c r="AH118" s="1224"/>
      <c r="AI118" s="1217"/>
      <c r="AJ118" s="1218"/>
      <c r="AK118" s="1220"/>
      <c r="AL118" s="1219"/>
      <c r="AM118" s="1219"/>
      <c r="AN118" s="1219"/>
      <c r="AO118" s="1219"/>
      <c r="AP118" s="1219"/>
      <c r="AQ118" s="1219"/>
      <c r="AR118" s="1219"/>
      <c r="AS118" s="1219"/>
      <c r="AT118" s="1219"/>
      <c r="AU118" s="1219"/>
      <c r="AV118" s="1219"/>
      <c r="AW118" s="1219"/>
      <c r="AX118" s="1219"/>
      <c r="AY118" s="1219"/>
      <c r="AZ118" s="1219"/>
      <c r="BA118" s="1219"/>
      <c r="BB118" s="1219"/>
      <c r="BC118" s="1219"/>
      <c r="BD118" s="1219"/>
      <c r="BE118" s="1219"/>
      <c r="BF118" s="1219"/>
      <c r="BG118" s="1219"/>
      <c r="BH118" s="1219"/>
      <c r="BI118" s="1219"/>
      <c r="BJ118" s="1219"/>
      <c r="BK118" s="1219"/>
      <c r="BL118" s="1219"/>
      <c r="BM118" s="1219"/>
      <c r="BN118" s="1219"/>
      <c r="BO118" s="1219"/>
      <c r="BP118" s="1219"/>
      <c r="BQ118" s="1219"/>
      <c r="BR118" s="1219"/>
      <c r="BS118" s="1219"/>
      <c r="BU118" s="1217"/>
      <c r="BW118" s="1219"/>
      <c r="BY118" s="1217"/>
      <c r="CA118" s="1219"/>
      <c r="CC118" s="1217"/>
      <c r="CE118" s="1219"/>
      <c r="CG118" s="1217"/>
      <c r="CI118" s="1219"/>
    </row>
    <row r="119" spans="1:87">
      <c r="A119" s="20"/>
      <c r="B119" s="124" t="str">
        <f t="shared" si="48"/>
        <v/>
      </c>
      <c r="C119" s="235"/>
      <c r="D119" s="24">
        <f>'1% Wind'!$M$93</f>
        <v>2.4</v>
      </c>
      <c r="E119" s="90"/>
      <c r="F119" s="90"/>
      <c r="G119" s="79">
        <f ca="1">IF(I107=0.9743,$G118,MAX(G118/D118*D119,2))</f>
        <v>2</v>
      </c>
      <c r="H119" s="121" t="e">
        <f t="shared" ca="1" si="49"/>
        <v>#VALUE!</v>
      </c>
      <c r="J119" s="33"/>
      <c r="K119" s="242">
        <f t="shared" si="50"/>
        <v>1</v>
      </c>
      <c r="L119" s="241" t="e">
        <f t="shared" ca="1" si="51"/>
        <v>#VALUE!</v>
      </c>
      <c r="M119" s="243" t="e">
        <f ca="1">IF(AND(INDEX(FlowCalConstA,MATCH(J107,FlowCalNumber,0),1,1)*L119^INDEX(FlowCalConstB,MATCH(J107,FlowCalNumber,0),1,1)&gt;INDEX(FlowCalLowSetting,MATCH(J107,FlowCalNumber,0),1,1), (INDEX(FlowCalConstA,MATCH(J107,FlowCalNumber,0),1,1)*L119^INDEX(FlowCalConstB,MATCH(J107,FlowCalNumber,0),1,1)&lt;INDEX(FlowCalHighSetting,MATCH(J107,FlowCalNumber,0),1,1))),INDEX(FlowCalConstA,MATCH(J107,FlowCalNumber,0),1,1)*L119^INDEX(FlowCalConstB,MATCH(J107,FlowCalNumber,0),1,1)," ")</f>
        <v>#N/A</v>
      </c>
      <c r="N119" s="33"/>
      <c r="O119" s="242">
        <f t="shared" si="52"/>
        <v>1</v>
      </c>
      <c r="P119" s="241" t="e">
        <f t="shared" ca="1" si="53"/>
        <v>#VALUE!</v>
      </c>
      <c r="Q119" s="243" t="e">
        <f ca="1">IF(AND(INDEX(FlowCalConstA,MATCH(N107,FlowCalNumber,0),1,1)*P119^INDEX(FlowCalConstB,MATCH(N107,FlowCalNumber,0),1,1)&gt;INDEX(FlowCalLowSetting,MATCH(N107,FlowCalNumber,0),1,1), (INDEX(FlowCalConstA,MATCH(N107,FlowCalNumber,0),1,1)*P119^INDEX(FlowCalConstB,MATCH(N107,FlowCalNumber,0),1,1)&lt;INDEX(FlowCalHighSetting,MATCH(N107,FlowCalNumber,0),1,1))),INDEX(FlowCalConstA,MATCH(N107,FlowCalNumber,0),1,1)*P119^INDEX(FlowCalConstB,MATCH(N107,FlowCalNumber,0),1,1)," ")</f>
        <v>#N/A</v>
      </c>
      <c r="R119" s="33"/>
      <c r="S119" s="242">
        <f t="shared" si="54"/>
        <v>1</v>
      </c>
      <c r="T119" s="241" t="e">
        <f t="shared" ca="1" si="55"/>
        <v>#VALUE!</v>
      </c>
      <c r="U119" s="243" t="e">
        <f ca="1">IF(AND(INDEX(FlowCalConstA,MATCH(R107,FlowCalNumber,0),1,1)*T119^INDEX(FlowCalConstB,MATCH(R107,FlowCalNumber,0),1,1)&gt;INDEX(FlowCalLowSetting,MATCH(R107,FlowCalNumber,0),1,1), (INDEX(FlowCalConstA,MATCH(R107,FlowCalNumber,0),1,1)*T119^INDEX(FlowCalConstB,MATCH(R107,FlowCalNumber,0),1,1)&lt;INDEX(FlowCalHighSetting,MATCH(R107,FlowCalNumber,0),1,1))),INDEX(FlowCalConstA,MATCH(R107,FlowCalNumber,0),1,1)*T119^INDEX(FlowCalConstB,MATCH(R107,FlowCalNumber,0),1,1)," ")</f>
        <v>#N/A</v>
      </c>
      <c r="V119" s="33"/>
      <c r="W119" s="242"/>
      <c r="X119" s="241"/>
      <c r="Y119" s="243"/>
      <c r="Z119" s="33"/>
      <c r="AA119" s="242"/>
      <c r="AB119" s="241"/>
      <c r="AC119" s="243"/>
      <c r="AD119" s="33"/>
      <c r="AE119" s="242"/>
      <c r="AF119" s="241"/>
      <c r="AG119" s="243"/>
      <c r="AH119" s="33"/>
      <c r="AI119" s="242"/>
      <c r="AJ119" s="241"/>
      <c r="AK119" s="244"/>
      <c r="AL119" s="243"/>
      <c r="AM119" s="243"/>
      <c r="AN119" s="243"/>
      <c r="AO119" s="243"/>
      <c r="AP119" s="243"/>
      <c r="AQ119" s="243"/>
      <c r="AR119" s="243"/>
      <c r="AS119" s="243"/>
      <c r="AT119" s="243"/>
      <c r="AU119" s="243"/>
      <c r="AV119" s="243"/>
      <c r="AW119" s="243"/>
      <c r="AX119" s="243"/>
      <c r="AY119" s="243"/>
      <c r="AZ119" s="243"/>
      <c r="BA119" s="243"/>
      <c r="BB119" s="243"/>
      <c r="BC119" s="243"/>
      <c r="BD119" s="243"/>
      <c r="BE119" s="243"/>
      <c r="BF119" s="243"/>
      <c r="BG119" s="243"/>
      <c r="BH119" s="243"/>
      <c r="BI119" s="243"/>
      <c r="BJ119" s="243"/>
      <c r="BK119" s="243"/>
      <c r="BL119" s="243"/>
      <c r="BM119" s="243"/>
      <c r="BN119" s="243"/>
      <c r="BO119" s="243"/>
      <c r="BP119" s="243"/>
      <c r="BQ119" s="243"/>
      <c r="BR119" s="243"/>
      <c r="BS119" s="243"/>
      <c r="BU119" s="242"/>
      <c r="BW119" s="243"/>
      <c r="BY119" s="242"/>
      <c r="CA119" s="243"/>
      <c r="CC119" s="242"/>
      <c r="CE119" s="243"/>
      <c r="CG119" s="242"/>
      <c r="CI119" s="243"/>
    </row>
    <row r="120" spans="1:87" s="1215" customFormat="1">
      <c r="A120" s="1222"/>
      <c r="B120" s="1223" t="str">
        <f t="shared" si="48"/>
        <v/>
      </c>
      <c r="C120" s="1210"/>
      <c r="D120" s="1211">
        <f>'1% Wind'!$M$94</f>
        <v>1.8</v>
      </c>
      <c r="E120" s="1212"/>
      <c r="F120" s="1212"/>
      <c r="G120" s="1213">
        <f ca="1">IF(I107=0.9743,$G119,MAX(G119/D119*D120,2))</f>
        <v>2</v>
      </c>
      <c r="H120" s="1214" t="e">
        <f t="shared" ca="1" si="49"/>
        <v>#VALUE!</v>
      </c>
      <c r="J120" s="1224"/>
      <c r="K120" s="1217">
        <f t="shared" si="50"/>
        <v>1</v>
      </c>
      <c r="L120" s="1218" t="e">
        <f t="shared" ca="1" si="51"/>
        <v>#VALUE!</v>
      </c>
      <c r="M120" s="1219" t="e">
        <f ca="1">IF(AND(INDEX(FlowCalConstA,MATCH(J107,FlowCalNumber,0),1,1)*L120^INDEX(FlowCalConstB,MATCH(J107,FlowCalNumber,0),1,1)&gt;INDEX(FlowCalLowSetting,MATCH(J107,FlowCalNumber,0),1,1), (INDEX(FlowCalConstA,MATCH(J107,FlowCalNumber,0),1,1)*L120^INDEX(FlowCalConstB,MATCH(J107,FlowCalNumber,0),1,1)&lt;INDEX(FlowCalHighSetting,MATCH(J107,FlowCalNumber,0),1,1))),INDEX(FlowCalConstA,MATCH(J107,FlowCalNumber,0),1,1)*L120^INDEX(FlowCalConstB,MATCH(J107,FlowCalNumber,0),1,1)," ")</f>
        <v>#N/A</v>
      </c>
      <c r="N120" s="1224"/>
      <c r="O120" s="1217">
        <f t="shared" si="52"/>
        <v>1</v>
      </c>
      <c r="P120" s="1218" t="e">
        <f t="shared" ca="1" si="53"/>
        <v>#VALUE!</v>
      </c>
      <c r="Q120" s="1219" t="e">
        <f ca="1">IF(AND(INDEX(FlowCalConstA,MATCH(N107,FlowCalNumber,0),1,1)*P120^INDEX(FlowCalConstB,MATCH(N107,FlowCalNumber,0),1,1)&gt;INDEX(FlowCalLowSetting,MATCH(N107,FlowCalNumber,0),1,1), (INDEX(FlowCalConstA,MATCH(N107,FlowCalNumber,0),1,1)*P120^INDEX(FlowCalConstB,MATCH(N107,FlowCalNumber,0),1,1)&lt;INDEX(FlowCalHighSetting,MATCH(N107,FlowCalNumber,0),1,1))),INDEX(FlowCalConstA,MATCH(N107,FlowCalNumber,0),1,1)*P120^INDEX(FlowCalConstB,MATCH(N107,FlowCalNumber,0),1,1)," ")</f>
        <v>#N/A</v>
      </c>
      <c r="R120" s="1224"/>
      <c r="S120" s="1217">
        <f t="shared" si="54"/>
        <v>1</v>
      </c>
      <c r="T120" s="1218" t="e">
        <f t="shared" ca="1" si="55"/>
        <v>#VALUE!</v>
      </c>
      <c r="U120" s="1219" t="e">
        <f ca="1">IF(AND(INDEX(FlowCalConstA,MATCH(R107,FlowCalNumber,0),1,1)*T120^INDEX(FlowCalConstB,MATCH(R107,FlowCalNumber,0),1,1)&gt;INDEX(FlowCalLowSetting,MATCH(R107,FlowCalNumber,0),1,1), (INDEX(FlowCalConstA,MATCH(R107,FlowCalNumber,0),1,1)*T120^INDEX(FlowCalConstB,MATCH(R107,FlowCalNumber,0),1,1)&lt;INDEX(FlowCalHighSetting,MATCH(R107,FlowCalNumber,0),1,1))),INDEX(FlowCalConstA,MATCH(R107,FlowCalNumber,0),1,1)*T120^INDEX(FlowCalConstB,MATCH(R107,FlowCalNumber,0),1,1)," ")</f>
        <v>#N/A</v>
      </c>
      <c r="V120" s="1224"/>
      <c r="W120" s="1217"/>
      <c r="X120" s="1218"/>
      <c r="Y120" s="1219"/>
      <c r="Z120" s="1224"/>
      <c r="AA120" s="1217"/>
      <c r="AB120" s="1218"/>
      <c r="AC120" s="1219"/>
      <c r="AD120" s="1224"/>
      <c r="AE120" s="1217"/>
      <c r="AF120" s="1218"/>
      <c r="AG120" s="1219"/>
      <c r="AH120" s="1224"/>
      <c r="AI120" s="1217"/>
      <c r="AJ120" s="1218"/>
      <c r="AK120" s="1220"/>
      <c r="AL120" s="1219"/>
      <c r="AM120" s="1219"/>
      <c r="AN120" s="1219"/>
      <c r="AO120" s="1219"/>
      <c r="AP120" s="1219"/>
      <c r="AQ120" s="1219"/>
      <c r="AR120" s="1219"/>
      <c r="AS120" s="1219"/>
      <c r="AT120" s="1219"/>
      <c r="AU120" s="1219"/>
      <c r="AV120" s="1219"/>
      <c r="AW120" s="1219"/>
      <c r="AX120" s="1219"/>
      <c r="AY120" s="1219"/>
      <c r="AZ120" s="1219"/>
      <c r="BA120" s="1219"/>
      <c r="BB120" s="1219"/>
      <c r="BC120" s="1219"/>
      <c r="BD120" s="1219"/>
      <c r="BE120" s="1219"/>
      <c r="BF120" s="1219"/>
      <c r="BG120" s="1219"/>
      <c r="BH120" s="1219"/>
      <c r="BI120" s="1219"/>
      <c r="BJ120" s="1219"/>
      <c r="BK120" s="1219"/>
      <c r="BL120" s="1219"/>
      <c r="BM120" s="1219"/>
      <c r="BN120" s="1219"/>
      <c r="BO120" s="1219"/>
      <c r="BP120" s="1219"/>
      <c r="BQ120" s="1219"/>
      <c r="BR120" s="1219"/>
      <c r="BS120" s="1219"/>
      <c r="BU120" s="1217"/>
      <c r="BW120" s="1219"/>
      <c r="BY120" s="1217"/>
      <c r="CA120" s="1219"/>
      <c r="CC120" s="1217"/>
      <c r="CE120" s="1219"/>
      <c r="CG120" s="1217"/>
      <c r="CI120" s="1219"/>
    </row>
    <row r="121" spans="1:87">
      <c r="A121" s="20"/>
      <c r="B121" s="124" t="str">
        <f t="shared" si="48"/>
        <v/>
      </c>
      <c r="C121" s="235"/>
      <c r="D121" s="24">
        <f>'1% Wind'!$M$95</f>
        <v>1.3</v>
      </c>
      <c r="E121" s="90"/>
      <c r="F121" s="90"/>
      <c r="G121" s="79">
        <f ca="1">IF(I107=0.9743,$G120,MAX(G120/D120*D121,2))</f>
        <v>2</v>
      </c>
      <c r="H121" s="121" t="e">
        <f t="shared" ca="1" si="49"/>
        <v>#VALUE!</v>
      </c>
      <c r="J121" s="33"/>
      <c r="K121" s="242">
        <f t="shared" si="50"/>
        <v>1</v>
      </c>
      <c r="L121" s="241" t="e">
        <f t="shared" ca="1" si="51"/>
        <v>#VALUE!</v>
      </c>
      <c r="M121" s="243" t="e">
        <f ca="1">IF(AND(INDEX(FlowCalConstA,MATCH(J107,FlowCalNumber,0),1,1)*L121^INDEX(FlowCalConstB,MATCH(J107,FlowCalNumber,0),1,1)&gt;INDEX(FlowCalLowSetting,MATCH(J107,FlowCalNumber,0),1,1), (INDEX(FlowCalConstA,MATCH(J107,FlowCalNumber,0),1,1)*L121^INDEX(FlowCalConstB,MATCH(J107,FlowCalNumber,0),1,1)&lt;INDEX(FlowCalHighSetting,MATCH(J107,FlowCalNumber,0),1,1))),INDEX(FlowCalConstA,MATCH(J107,FlowCalNumber,0),1,1)*L121^INDEX(FlowCalConstB,MATCH(J107,FlowCalNumber,0),1,1)," ")</f>
        <v>#N/A</v>
      </c>
      <c r="N121" s="33"/>
      <c r="O121" s="242">
        <f t="shared" si="52"/>
        <v>1</v>
      </c>
      <c r="P121" s="241" t="e">
        <f t="shared" ca="1" si="53"/>
        <v>#VALUE!</v>
      </c>
      <c r="Q121" s="243" t="e">
        <f ca="1">IF(AND(INDEX(FlowCalConstA,MATCH(N107,FlowCalNumber,0),1,1)*P121^INDEX(FlowCalConstB,MATCH(N107,FlowCalNumber,0),1,1)&gt;INDEX(FlowCalLowSetting,MATCH(N107,FlowCalNumber,0),1,1), (INDEX(FlowCalConstA,MATCH(N107,FlowCalNumber,0),1,1)*P121^INDEX(FlowCalConstB,MATCH(N107,FlowCalNumber,0),1,1)&lt;INDEX(FlowCalHighSetting,MATCH(N107,FlowCalNumber,0),1,1))),INDEX(FlowCalConstA,MATCH(N107,FlowCalNumber,0),1,1)*P121^INDEX(FlowCalConstB,MATCH(N107,FlowCalNumber,0),1,1)," ")</f>
        <v>#N/A</v>
      </c>
      <c r="R121" s="33"/>
      <c r="S121" s="242">
        <f t="shared" si="54"/>
        <v>1</v>
      </c>
      <c r="T121" s="241" t="e">
        <f t="shared" ca="1" si="55"/>
        <v>#VALUE!</v>
      </c>
      <c r="U121" s="243" t="e">
        <f ca="1">IF(AND(INDEX(FlowCalConstA,MATCH(R107,FlowCalNumber,0),1,1)*T121^INDEX(FlowCalConstB,MATCH(R107,FlowCalNumber,0),1,1)&gt;INDEX(FlowCalLowSetting,MATCH(R107,FlowCalNumber,0),1,1), (INDEX(FlowCalConstA,MATCH(R107,FlowCalNumber,0),1,1)*T121^INDEX(FlowCalConstB,MATCH(R107,FlowCalNumber,0),1,1)&lt;INDEX(FlowCalHighSetting,MATCH(R107,FlowCalNumber,0),1,1))),INDEX(FlowCalConstA,MATCH(R107,FlowCalNumber,0),1,1)*T121^INDEX(FlowCalConstB,MATCH(R107,FlowCalNumber,0),1,1)," ")</f>
        <v>#N/A</v>
      </c>
      <c r="V121" s="33"/>
      <c r="W121" s="242"/>
      <c r="X121" s="241"/>
      <c r="Y121" s="243"/>
      <c r="Z121" s="33"/>
      <c r="AA121" s="242"/>
      <c r="AB121" s="241"/>
      <c r="AC121" s="243"/>
      <c r="AD121" s="33"/>
      <c r="AE121" s="242"/>
      <c r="AF121" s="241"/>
      <c r="AG121" s="243"/>
      <c r="AH121" s="33"/>
      <c r="AI121" s="242"/>
      <c r="AJ121" s="241"/>
      <c r="AK121" s="244"/>
      <c r="AL121" s="243"/>
      <c r="AM121" s="243"/>
      <c r="AN121" s="243"/>
      <c r="AO121" s="243"/>
      <c r="AP121" s="243"/>
      <c r="AQ121" s="243"/>
      <c r="AR121" s="243"/>
      <c r="AS121" s="243"/>
      <c r="AT121" s="243"/>
      <c r="AU121" s="243"/>
      <c r="AV121" s="243"/>
      <c r="AW121" s="243"/>
      <c r="AX121" s="243"/>
      <c r="AY121" s="243"/>
      <c r="AZ121" s="243"/>
      <c r="BA121" s="243"/>
      <c r="BB121" s="243"/>
      <c r="BC121" s="243"/>
      <c r="BD121" s="243"/>
      <c r="BE121" s="243"/>
      <c r="BF121" s="243"/>
      <c r="BG121" s="243"/>
      <c r="BH121" s="243"/>
      <c r="BI121" s="243"/>
      <c r="BJ121" s="243"/>
      <c r="BK121" s="243"/>
      <c r="BL121" s="243"/>
      <c r="BM121" s="243"/>
      <c r="BN121" s="243"/>
      <c r="BO121" s="243"/>
      <c r="BP121" s="243"/>
      <c r="BQ121" s="243"/>
      <c r="BR121" s="243"/>
      <c r="BS121" s="243"/>
      <c r="BU121" s="242"/>
      <c r="BW121" s="243"/>
      <c r="BY121" s="242"/>
      <c r="CA121" s="243"/>
      <c r="CC121" s="242"/>
      <c r="CE121" s="243"/>
      <c r="CG121" s="242"/>
      <c r="CI121" s="243"/>
    </row>
    <row r="122" spans="1:87" s="1215" customFormat="1">
      <c r="A122" s="1222"/>
      <c r="B122" s="1223" t="str">
        <f t="shared" si="48"/>
        <v/>
      </c>
      <c r="C122" s="1210"/>
      <c r="D122" s="1211">
        <f>'1% Wind'!$M$96</f>
        <v>1</v>
      </c>
      <c r="E122" s="1212"/>
      <c r="F122" s="1212"/>
      <c r="G122" s="1213">
        <f ca="1">IF(I107=0.9743,$G121,MAX(G121/D121*D122,2))</f>
        <v>2</v>
      </c>
      <c r="H122" s="1214" t="e">
        <f t="shared" ca="1" si="49"/>
        <v>#VALUE!</v>
      </c>
      <c r="J122" s="1224"/>
      <c r="K122" s="1217">
        <f t="shared" si="50"/>
        <v>1</v>
      </c>
      <c r="L122" s="1218" t="e">
        <f t="shared" ca="1" si="51"/>
        <v>#VALUE!</v>
      </c>
      <c r="M122" s="1219" t="e">
        <f ca="1">IF(AND(INDEX(FlowCalConstA,MATCH(J107,FlowCalNumber,0),1,1)*L122^INDEX(FlowCalConstB,MATCH(J107,FlowCalNumber,0),1,1)&gt;INDEX(FlowCalLowSetting,MATCH(J107,FlowCalNumber,0),1,1), (INDEX(FlowCalConstA,MATCH(J107,FlowCalNumber,0),1,1)*L122^INDEX(FlowCalConstB,MATCH(J107,FlowCalNumber,0),1,1)&lt;INDEX(FlowCalHighSetting,MATCH(J107,FlowCalNumber,0),1,1))),INDEX(FlowCalConstA,MATCH(J107,FlowCalNumber,0),1,1)*L122^INDEX(FlowCalConstB,MATCH(J107,FlowCalNumber,0),1,1)," ")</f>
        <v>#N/A</v>
      </c>
      <c r="N122" s="1224"/>
      <c r="O122" s="1217">
        <f t="shared" si="52"/>
        <v>1</v>
      </c>
      <c r="P122" s="1218" t="e">
        <f t="shared" ca="1" si="53"/>
        <v>#VALUE!</v>
      </c>
      <c r="Q122" s="1219" t="e">
        <f ca="1">IF(AND(INDEX(FlowCalConstA,MATCH(N107,FlowCalNumber,0),1,1)*P122^INDEX(FlowCalConstB,MATCH(N107,FlowCalNumber,0),1,1)&gt;INDEX(FlowCalLowSetting,MATCH(N107,FlowCalNumber,0),1,1), (INDEX(FlowCalConstA,MATCH(N107,FlowCalNumber,0),1,1)*P122^INDEX(FlowCalConstB,MATCH(N107,FlowCalNumber,0),1,1)&lt;INDEX(FlowCalHighSetting,MATCH(N107,FlowCalNumber,0),1,1))),INDEX(FlowCalConstA,MATCH(N107,FlowCalNumber,0),1,1)*P122^INDEX(FlowCalConstB,MATCH(N107,FlowCalNumber,0),1,1)," ")</f>
        <v>#N/A</v>
      </c>
      <c r="R122" s="1224"/>
      <c r="S122" s="1217">
        <f t="shared" si="54"/>
        <v>1</v>
      </c>
      <c r="T122" s="1218" t="e">
        <f t="shared" ca="1" si="55"/>
        <v>#VALUE!</v>
      </c>
      <c r="U122" s="1219" t="e">
        <f ca="1">IF(AND(INDEX(FlowCalConstA,MATCH(R107,FlowCalNumber,0),1,1)*T122^INDEX(FlowCalConstB,MATCH(R107,FlowCalNumber,0),1,1)&gt;INDEX(FlowCalLowSetting,MATCH(R107,FlowCalNumber,0),1,1), (INDEX(FlowCalConstA,MATCH(R107,FlowCalNumber,0),1,1)*T122^INDEX(FlowCalConstB,MATCH(R107,FlowCalNumber,0),1,1)&lt;INDEX(FlowCalHighSetting,MATCH(R107,FlowCalNumber,0),1,1))),INDEX(FlowCalConstA,MATCH(R107,FlowCalNumber,0),1,1)*T122^INDEX(FlowCalConstB,MATCH(R107,FlowCalNumber,0),1,1)," ")</f>
        <v>#N/A</v>
      </c>
      <c r="V122" s="1224"/>
      <c r="W122" s="1217"/>
      <c r="X122" s="1218"/>
      <c r="Y122" s="1219"/>
      <c r="Z122" s="1224"/>
      <c r="AA122" s="1217"/>
      <c r="AB122" s="1218"/>
      <c r="AC122" s="1219"/>
      <c r="AD122" s="1224"/>
      <c r="AE122" s="1217"/>
      <c r="AF122" s="1218"/>
      <c r="AG122" s="1219"/>
      <c r="AH122" s="1224"/>
      <c r="AI122" s="1217"/>
      <c r="AJ122" s="1218"/>
      <c r="AK122" s="1220"/>
      <c r="AL122" s="1219"/>
      <c r="AM122" s="1219"/>
      <c r="AN122" s="1219"/>
      <c r="AO122" s="1219"/>
      <c r="AP122" s="1219"/>
      <c r="AQ122" s="1219"/>
      <c r="AR122" s="1219"/>
      <c r="AS122" s="1219"/>
      <c r="AT122" s="1219"/>
      <c r="AU122" s="1219"/>
      <c r="AV122" s="1219"/>
      <c r="AW122" s="1219"/>
      <c r="AX122" s="1219"/>
      <c r="AY122" s="1219"/>
      <c r="AZ122" s="1219"/>
      <c r="BA122" s="1219"/>
      <c r="BB122" s="1219"/>
      <c r="BC122" s="1219"/>
      <c r="BD122" s="1219"/>
      <c r="BE122" s="1219"/>
      <c r="BF122" s="1219"/>
      <c r="BG122" s="1219"/>
      <c r="BH122" s="1219"/>
      <c r="BI122" s="1219"/>
      <c r="BJ122" s="1219"/>
      <c r="BK122" s="1219"/>
      <c r="BL122" s="1219"/>
      <c r="BM122" s="1219"/>
      <c r="BN122" s="1219"/>
      <c r="BO122" s="1219"/>
      <c r="BP122" s="1219"/>
      <c r="BQ122" s="1219"/>
      <c r="BR122" s="1219"/>
      <c r="BS122" s="1219"/>
      <c r="BU122" s="1217"/>
      <c r="BW122" s="1219"/>
      <c r="BY122" s="1217"/>
      <c r="CA122" s="1219"/>
      <c r="CC122" s="1217"/>
      <c r="CE122" s="1219"/>
      <c r="CG122" s="1217"/>
      <c r="CI122" s="1219"/>
    </row>
    <row r="123" spans="1:87">
      <c r="A123" s="33"/>
      <c r="B123" s="33"/>
      <c r="C123" s="235"/>
      <c r="E123" s="90"/>
      <c r="F123" s="90"/>
      <c r="G123" s="33"/>
      <c r="J123" s="33"/>
      <c r="M123" s="243"/>
      <c r="N123" s="33"/>
      <c r="Q123" s="243"/>
      <c r="R123" s="33"/>
      <c r="U123" s="243"/>
      <c r="V123" s="33"/>
      <c r="Y123" s="243"/>
      <c r="Z123" s="33"/>
      <c r="AC123" s="243"/>
      <c r="AD123" s="33"/>
      <c r="AG123" s="243"/>
      <c r="AH123" s="33"/>
      <c r="AK123" s="244"/>
      <c r="AL123" s="243"/>
      <c r="AM123" s="243"/>
      <c r="AN123" s="243"/>
      <c r="AO123" s="243"/>
      <c r="AP123" s="243"/>
      <c r="AQ123" s="243"/>
      <c r="AR123" s="243"/>
      <c r="AS123" s="243"/>
      <c r="AT123" s="243"/>
      <c r="AU123" s="243"/>
      <c r="AV123" s="243"/>
      <c r="AW123" s="243"/>
      <c r="AX123" s="243"/>
      <c r="AY123" s="243"/>
      <c r="AZ123" s="243"/>
      <c r="BA123" s="243"/>
      <c r="BB123" s="243"/>
      <c r="BC123" s="243"/>
      <c r="BD123" s="243"/>
      <c r="BE123" s="243"/>
      <c r="BF123" s="243"/>
      <c r="BG123" s="243"/>
      <c r="BH123" s="243"/>
      <c r="BI123" s="243"/>
      <c r="BJ123" s="243"/>
      <c r="BK123" s="243"/>
      <c r="BL123" s="243"/>
      <c r="BM123" s="243"/>
      <c r="BN123" s="243"/>
      <c r="BO123" s="243"/>
      <c r="BP123" s="243"/>
      <c r="BQ123" s="243"/>
      <c r="BR123" s="243"/>
      <c r="BS123" s="243"/>
      <c r="BW123" s="243"/>
      <c r="CA123" s="243"/>
      <c r="CE123" s="243"/>
      <c r="CI123" s="243"/>
    </row>
    <row r="124" spans="1:87">
      <c r="A124" s="256" t="str">
        <f>IF((RIGHT(A107,1))&lt;&gt;"Z",CHAR(CODE(A107))&amp;CHAR(CODE(RIGHT(A107,1))+1),CHAR(CODE(A107)+1)&amp;"A")</f>
        <v>AG</v>
      </c>
      <c r="B124" s="270" t="str">
        <f>INDEX(SourceID,MATCH($A124,SourceNumber,0),1,1)</f>
        <v>EF-7</v>
      </c>
      <c r="C124" s="354">
        <f>INDEX(SourceExitDiameter,MATCH($A124,SourceNumber,0),1,1)*3.28*12</f>
        <v>76</v>
      </c>
      <c r="D124" s="24" t="str">
        <f>UAnem1percent</f>
        <v>1% Wind</v>
      </c>
      <c r="E124" s="350" t="e">
        <f ca="1">INDIRECT(ADDRESS(53,6,1,,CONCATENATE("TA",$A124)))</f>
        <v>#REF!</v>
      </c>
      <c r="F124" s="625" t="e">
        <f ca="1">(ROUND((INDIRECT(ADDRESS(15,7,1,,CONCATENATE("TA",$A124)))*3.28*12*32),0)&amp;"/32")</f>
        <v>#REF!</v>
      </c>
      <c r="G124" s="125">
        <f ca="1">INDIRECT(ADDRESS(29,7,1,,$A124))</f>
        <v>6.001707317073171</v>
      </c>
      <c r="H124" s="24" t="e">
        <f ca="1">INDIRECT(ADDRESS(19,7,1,,$A124))*100^3</f>
        <v>#VALUE!</v>
      </c>
      <c r="I124" s="941">
        <f ca="1">INDIRECT(ADDRESS(53,7,1,,$A124))</f>
        <v>0.97430000000000005</v>
      </c>
      <c r="J124" s="20" t="str">
        <f ca="1">IF($I124=$I$6,K$16&amp;$G$6&amp;J$6,IF($I124=$I$7,K$16&amp;$G$7&amp;J$7,"Bad"))</f>
        <v>100N2Pick a Tunnel</v>
      </c>
      <c r="K124" t="e">
        <f ca="1">INDEX(FlowCalGasMixture,MATCH(J124,FlowCalNumber,0),1,1)</f>
        <v>#N/A</v>
      </c>
      <c r="M124" s="944" t="e">
        <f ca="1">INDEX(FlowCalDevice,MATCH(J124,FlowCalNumber,0),1,1)</f>
        <v>#N/A</v>
      </c>
      <c r="N124" s="20" t="str">
        <f ca="1">IF($I124=$I$6,O$16&amp;$G$6&amp;N$6,IF($I124=$I$7,O$16&amp;$G$7&amp;N$7,"Bad"))</f>
        <v>100N2Pick a Tunnel</v>
      </c>
      <c r="O124" t="e">
        <f ca="1">INDEX(FlowCalGasMixture,MATCH(N124,FlowCalNumber,0),1,1)</f>
        <v>#N/A</v>
      </c>
      <c r="Q124" s="944" t="e">
        <f ca="1">INDEX(FlowCalDevice,MATCH(N124,FlowCalNumber,0),1,1)</f>
        <v>#N/A</v>
      </c>
      <c r="R124" s="20" t="str">
        <f ca="1">IF($I124=$I$6,S$16&amp;$G$6&amp;R$6,IF($I124=$I$7,S$16&amp;$G$7&amp;R$7,"Bad"))</f>
        <v>100N2Pick a Tunnel</v>
      </c>
      <c r="S124" t="e">
        <f ca="1">INDEX(FlowCalGasMixture,MATCH(R124,FlowCalNumber,0),1,1)</f>
        <v>#N/A</v>
      </c>
      <c r="U124" s="944" t="e">
        <f ca="1">INDEX(FlowCalDevice,MATCH(R124,FlowCalNumber,0),1,1)</f>
        <v>#N/A</v>
      </c>
      <c r="V124" s="20"/>
      <c r="Y124" s="944"/>
      <c r="Z124" s="946"/>
      <c r="AC124" s="944"/>
      <c r="AD124" s="20"/>
      <c r="AG124" s="944"/>
      <c r="AH124" s="946"/>
      <c r="AK124" s="982"/>
      <c r="AL124" s="355"/>
      <c r="AM124" s="355"/>
      <c r="AN124" s="355"/>
      <c r="AO124" s="355"/>
      <c r="AP124" s="355"/>
      <c r="AQ124" s="355"/>
      <c r="AR124" s="355"/>
      <c r="AS124" s="355"/>
      <c r="AT124" s="355"/>
      <c r="AU124" s="355"/>
      <c r="AV124" s="355"/>
      <c r="AW124" s="355"/>
      <c r="AX124" s="355"/>
      <c r="AY124" s="355"/>
      <c r="AZ124" s="355"/>
      <c r="BA124" s="355"/>
      <c r="BB124" s="355"/>
      <c r="BC124" s="355"/>
      <c r="BD124" s="355"/>
      <c r="BE124" s="355"/>
      <c r="BF124" s="355"/>
      <c r="BG124" s="355"/>
      <c r="BH124" s="355"/>
      <c r="BI124" s="355"/>
      <c r="BJ124" s="355"/>
      <c r="BK124" s="355"/>
      <c r="BL124" s="355"/>
      <c r="BM124" s="355"/>
      <c r="BN124" s="355"/>
      <c r="BO124" s="355"/>
      <c r="BP124" s="355"/>
      <c r="BQ124" s="355"/>
      <c r="BR124" s="355"/>
      <c r="BS124" s="355"/>
      <c r="BT124" s="46"/>
      <c r="BU124" s="16"/>
      <c r="BW124" s="355"/>
      <c r="BX124" s="42"/>
      <c r="BY124" s="16"/>
      <c r="CA124" s="355"/>
      <c r="CB124" s="42"/>
      <c r="CC124" s="16"/>
      <c r="CE124" s="355"/>
      <c r="CF124" s="42"/>
      <c r="CG124" s="16"/>
      <c r="CI124" s="355"/>
    </row>
    <row r="125" spans="1:87" s="1215" customFormat="1">
      <c r="A125" s="1222"/>
      <c r="B125" s="1223" t="str">
        <f t="shared" ref="B125:B139" si="56">IF(D125=UAnem1percent,"1% Wind","")</f>
        <v/>
      </c>
      <c r="C125" s="1210"/>
      <c r="D125" s="1211">
        <f>'1% Wind'!$M$82</f>
        <v>27</v>
      </c>
      <c r="E125" s="1212"/>
      <c r="F125" s="1212"/>
      <c r="G125" s="1364">
        <v>2</v>
      </c>
      <c r="H125" s="1214" t="e">
        <f t="shared" ref="H125:H139" ca="1" si="57">H124*(D124/D125)*(G125/G124)</f>
        <v>#VALUE!</v>
      </c>
      <c r="J125" s="1224"/>
      <c r="K125" s="1221">
        <f>K$17/100</f>
        <v>1</v>
      </c>
      <c r="L125" s="1218" t="e">
        <f ca="1">K125*$H125</f>
        <v>#VALUE!</v>
      </c>
      <c r="M125" s="1219" t="e">
        <f ca="1">IF(AND(INDEX(FlowCalConstA,MATCH(J124,FlowCalNumber,0),1,1)*L125^INDEX(FlowCalConstB,MATCH(J124,FlowCalNumber,0),1,1)&gt;INDEX(FlowCalLowSetting,MATCH(J124,FlowCalNumber,0),1,1), (INDEX(FlowCalConstA,MATCH(J124,FlowCalNumber,0),1,1)*L125^INDEX(FlowCalConstB,MATCH(J124,FlowCalNumber,0),1,1)&lt;INDEX(FlowCalHighSetting,MATCH(J124,FlowCalNumber,0),1,1))),INDEX(FlowCalConstA,MATCH(J124,FlowCalNumber,0),1,1)*L125^INDEX(FlowCalConstB,MATCH(J124,FlowCalNumber,0),1,1)," ")</f>
        <v>#N/A</v>
      </c>
      <c r="N125" s="1224"/>
      <c r="O125" s="1221">
        <f>O$17/100</f>
        <v>1</v>
      </c>
      <c r="P125" s="1218" t="e">
        <f ca="1">O125*$H125</f>
        <v>#VALUE!</v>
      </c>
      <c r="Q125" s="1219" t="e">
        <f ca="1">IF(AND(INDEX(FlowCalConstA,MATCH(N124,FlowCalNumber,0),1,1)*P125^INDEX(FlowCalConstB,MATCH(N124,FlowCalNumber,0),1,1)&gt;INDEX(FlowCalLowSetting,MATCH(N124,FlowCalNumber,0),1,1), (INDEX(FlowCalConstA,MATCH(N124,FlowCalNumber,0),1,1)*P125^INDEX(FlowCalConstB,MATCH(N124,FlowCalNumber,0),1,1)&lt;INDEX(FlowCalHighSetting,MATCH(N124,FlowCalNumber,0),1,1))),INDEX(FlowCalConstA,MATCH(N124,FlowCalNumber,0),1,1)*P125^INDEX(FlowCalConstB,MATCH(N124,FlowCalNumber,0),1,1)," ")</f>
        <v>#N/A</v>
      </c>
      <c r="R125" s="1224"/>
      <c r="S125" s="1221">
        <f>S$17/100</f>
        <v>1</v>
      </c>
      <c r="T125" s="1218" t="e">
        <f ca="1">S125*$H125</f>
        <v>#VALUE!</v>
      </c>
      <c r="U125" s="1219" t="e">
        <f ca="1">IF(AND(INDEX(FlowCalConstA,MATCH(R124,FlowCalNumber,0),1,1)*T125^INDEX(FlowCalConstB,MATCH(R124,FlowCalNumber,0),1,1)&gt;INDEX(FlowCalLowSetting,MATCH(R124,FlowCalNumber,0),1,1), (INDEX(FlowCalConstA,MATCH(R124,FlowCalNumber,0),1,1)*T125^INDEX(FlowCalConstB,MATCH(R124,FlowCalNumber,0),1,1)&lt;INDEX(FlowCalHighSetting,MATCH(R124,FlowCalNumber,0),1,1))),INDEX(FlowCalConstA,MATCH(R124,FlowCalNumber,0),1,1)*T125^INDEX(FlowCalConstB,MATCH(R124,FlowCalNumber,0),1,1)," ")</f>
        <v>#N/A</v>
      </c>
      <c r="V125" s="1224"/>
      <c r="W125" s="1221"/>
      <c r="X125" s="1218"/>
      <c r="Y125" s="1219"/>
      <c r="Z125" s="1224"/>
      <c r="AA125" s="1221"/>
      <c r="AB125" s="1218"/>
      <c r="AC125" s="1219"/>
      <c r="AD125" s="1224"/>
      <c r="AE125" s="1221"/>
      <c r="AF125" s="1218"/>
      <c r="AG125" s="1219"/>
      <c r="AH125" s="1224"/>
      <c r="AI125" s="1221"/>
      <c r="AJ125" s="1218"/>
      <c r="AK125" s="1220"/>
      <c r="AL125" s="1219"/>
      <c r="AM125" s="1219"/>
      <c r="AN125" s="1219"/>
      <c r="AO125" s="1219"/>
      <c r="AP125" s="1219"/>
      <c r="AQ125" s="1219"/>
      <c r="AR125" s="1219"/>
      <c r="AS125" s="1219"/>
      <c r="AT125" s="1219"/>
      <c r="AU125" s="1219"/>
      <c r="AV125" s="1219"/>
      <c r="AW125" s="1219"/>
      <c r="AX125" s="1219"/>
      <c r="AY125" s="1219"/>
      <c r="AZ125" s="1219"/>
      <c r="BA125" s="1219"/>
      <c r="BB125" s="1219"/>
      <c r="BC125" s="1219"/>
      <c r="BD125" s="1219"/>
      <c r="BE125" s="1219"/>
      <c r="BF125" s="1219"/>
      <c r="BG125" s="1219"/>
      <c r="BH125" s="1219"/>
      <c r="BI125" s="1219"/>
      <c r="BJ125" s="1219"/>
      <c r="BK125" s="1219"/>
      <c r="BL125" s="1219"/>
      <c r="BM125" s="1219"/>
      <c r="BN125" s="1219"/>
      <c r="BO125" s="1219"/>
      <c r="BP125" s="1219"/>
      <c r="BQ125" s="1219"/>
      <c r="BR125" s="1219"/>
      <c r="BS125" s="1219"/>
      <c r="BU125" s="1225"/>
      <c r="BW125" s="1219"/>
      <c r="BY125" s="1225"/>
      <c r="CA125" s="1219"/>
      <c r="CC125" s="1225"/>
      <c r="CE125" s="1219"/>
      <c r="CG125" s="1221"/>
      <c r="CI125" s="1219"/>
    </row>
    <row r="126" spans="1:87">
      <c r="A126" s="20"/>
      <c r="B126" s="124" t="str">
        <f t="shared" si="56"/>
        <v/>
      </c>
      <c r="C126" s="235"/>
      <c r="D126" s="24">
        <f>'1% Wind'!$M$83</f>
        <v>23.5</v>
      </c>
      <c r="E126" s="90"/>
      <c r="F126" s="90"/>
      <c r="G126" s="79">
        <f ca="1">IF(I124=0.9743,$G125,MAX(G125/D125*D126,2))</f>
        <v>2</v>
      </c>
      <c r="H126" s="121" t="e">
        <f t="shared" ca="1" si="57"/>
        <v>#VALUE!</v>
      </c>
      <c r="J126" s="33"/>
      <c r="K126" s="242">
        <f t="shared" ref="K126:K139" si="58">K125</f>
        <v>1</v>
      </c>
      <c r="L126" s="241" t="e">
        <f t="shared" ref="L126:L139" ca="1" si="59">K126*$H126</f>
        <v>#VALUE!</v>
      </c>
      <c r="M126" s="243" t="e">
        <f ca="1">IF(AND(INDEX(FlowCalConstA,MATCH(J124,FlowCalNumber,0),1,1)*L126^INDEX(FlowCalConstB,MATCH(J124,FlowCalNumber,0),1,1)&gt;INDEX(FlowCalLowSetting,MATCH(J124,FlowCalNumber,0),1,1), (INDEX(FlowCalConstA,MATCH(J124,FlowCalNumber,0),1,1)*L126^INDEX(FlowCalConstB,MATCH(J124,FlowCalNumber,0),1,1)&lt;INDEX(FlowCalHighSetting,MATCH(J124,FlowCalNumber,0),1,1))),INDEX(FlowCalConstA,MATCH(J124,FlowCalNumber,0),1,1)*L126^INDEX(FlowCalConstB,MATCH(J124,FlowCalNumber,0),1,1)," ")</f>
        <v>#N/A</v>
      </c>
      <c r="N126" s="33"/>
      <c r="O126" s="242">
        <f t="shared" ref="O126:O139" si="60">O125</f>
        <v>1</v>
      </c>
      <c r="P126" s="241" t="e">
        <f t="shared" ref="P126:P139" ca="1" si="61">O126*$H126</f>
        <v>#VALUE!</v>
      </c>
      <c r="Q126" s="243" t="e">
        <f ca="1">IF(AND(INDEX(FlowCalConstA,MATCH(N124,FlowCalNumber,0),1,1)*P126^INDEX(FlowCalConstB,MATCH(N124,FlowCalNumber,0),1,1)&gt;INDEX(FlowCalLowSetting,MATCH(N124,FlowCalNumber,0),1,1), (INDEX(FlowCalConstA,MATCH(N124,FlowCalNumber,0),1,1)*P126^INDEX(FlowCalConstB,MATCH(N124,FlowCalNumber,0),1,1)&lt;INDEX(FlowCalHighSetting,MATCH(N124,FlowCalNumber,0),1,1))),INDEX(FlowCalConstA,MATCH(N124,FlowCalNumber,0),1,1)*P126^INDEX(FlowCalConstB,MATCH(N124,FlowCalNumber,0),1,1)," ")</f>
        <v>#N/A</v>
      </c>
      <c r="R126" s="33"/>
      <c r="S126" s="242">
        <f t="shared" ref="S126:S139" si="62">S125</f>
        <v>1</v>
      </c>
      <c r="T126" s="241" t="e">
        <f t="shared" ref="T126:T139" ca="1" si="63">S126*$H126</f>
        <v>#VALUE!</v>
      </c>
      <c r="U126" s="243" t="e">
        <f ca="1">IF(AND(INDEX(FlowCalConstA,MATCH(R124,FlowCalNumber,0),1,1)*T126^INDEX(FlowCalConstB,MATCH(R124,FlowCalNumber,0),1,1)&gt;INDEX(FlowCalLowSetting,MATCH(R124,FlowCalNumber,0),1,1), (INDEX(FlowCalConstA,MATCH(R124,FlowCalNumber,0),1,1)*T126^INDEX(FlowCalConstB,MATCH(R124,FlowCalNumber,0),1,1)&lt;INDEX(FlowCalHighSetting,MATCH(R124,FlowCalNumber,0),1,1))),INDEX(FlowCalConstA,MATCH(R124,FlowCalNumber,0),1,1)*T126^INDEX(FlowCalConstB,MATCH(R124,FlowCalNumber,0),1,1)," ")</f>
        <v>#N/A</v>
      </c>
      <c r="V126" s="33"/>
      <c r="W126" s="242"/>
      <c r="X126" s="241"/>
      <c r="Y126" s="243"/>
      <c r="Z126" s="33"/>
      <c r="AA126" s="242"/>
      <c r="AB126" s="241"/>
      <c r="AC126" s="243"/>
      <c r="AD126" s="33"/>
      <c r="AE126" s="242"/>
      <c r="AF126" s="241"/>
      <c r="AG126" s="243"/>
      <c r="AH126" s="33"/>
      <c r="AI126" s="242"/>
      <c r="AJ126" s="241"/>
      <c r="AK126" s="244"/>
      <c r="AL126" s="243"/>
      <c r="AM126" s="243"/>
      <c r="AN126" s="243"/>
      <c r="AO126" s="243"/>
      <c r="AP126" s="243"/>
      <c r="AQ126" s="243"/>
      <c r="AR126" s="243"/>
      <c r="AS126" s="243"/>
      <c r="AT126" s="243"/>
      <c r="AU126" s="243"/>
      <c r="AV126" s="243"/>
      <c r="AW126" s="243"/>
      <c r="AX126" s="243"/>
      <c r="AY126" s="243"/>
      <c r="AZ126" s="243"/>
      <c r="BA126" s="243"/>
      <c r="BB126" s="243"/>
      <c r="BC126" s="243"/>
      <c r="BD126" s="243"/>
      <c r="BE126" s="243"/>
      <c r="BF126" s="243"/>
      <c r="BG126" s="243"/>
      <c r="BH126" s="243"/>
      <c r="BI126" s="243"/>
      <c r="BJ126" s="243"/>
      <c r="BK126" s="243"/>
      <c r="BL126" s="243"/>
      <c r="BM126" s="243"/>
      <c r="BN126" s="243"/>
      <c r="BO126" s="243"/>
      <c r="BP126" s="243"/>
      <c r="BQ126" s="243"/>
      <c r="BR126" s="243"/>
      <c r="BS126" s="243"/>
      <c r="BU126" s="242"/>
      <c r="BW126" s="243"/>
      <c r="BY126" s="242"/>
      <c r="CA126" s="243"/>
      <c r="CC126" s="242"/>
      <c r="CE126" s="243"/>
      <c r="CG126" s="242"/>
      <c r="CI126" s="243"/>
    </row>
    <row r="127" spans="1:87" s="1215" customFormat="1">
      <c r="A127" s="1222"/>
      <c r="B127" s="1223" t="str">
        <f t="shared" si="56"/>
        <v/>
      </c>
      <c r="C127" s="1210"/>
      <c r="D127" s="1211">
        <f>'1% Wind'!$M$84</f>
        <v>20.5</v>
      </c>
      <c r="E127" s="1212"/>
      <c r="F127" s="1212"/>
      <c r="G127" s="1213">
        <f ca="1">IF(I124=0.9743,$G126,MAX(G126/D126*D127,2))</f>
        <v>2</v>
      </c>
      <c r="H127" s="1214" t="e">
        <f t="shared" ca="1" si="57"/>
        <v>#VALUE!</v>
      </c>
      <c r="J127" s="1224"/>
      <c r="K127" s="1217">
        <f t="shared" si="58"/>
        <v>1</v>
      </c>
      <c r="L127" s="1218" t="e">
        <f t="shared" ca="1" si="59"/>
        <v>#VALUE!</v>
      </c>
      <c r="M127" s="1219" t="e">
        <f ca="1">IF(AND(INDEX(FlowCalConstA,MATCH(J124,FlowCalNumber,0),1,1)*L127^INDEX(FlowCalConstB,MATCH(J124,FlowCalNumber,0),1,1)&gt;INDEX(FlowCalLowSetting,MATCH(J124,FlowCalNumber,0),1,1), (INDEX(FlowCalConstA,MATCH(J124,FlowCalNumber,0),1,1)*L127^INDEX(FlowCalConstB,MATCH(J124,FlowCalNumber,0),1,1)&lt;INDEX(FlowCalHighSetting,MATCH(J124,FlowCalNumber,0),1,1))),INDEX(FlowCalConstA,MATCH(J124,FlowCalNumber,0),1,1)*L127^INDEX(FlowCalConstB,MATCH(J124,FlowCalNumber,0),1,1)," ")</f>
        <v>#N/A</v>
      </c>
      <c r="N127" s="1224"/>
      <c r="O127" s="1217">
        <f t="shared" si="60"/>
        <v>1</v>
      </c>
      <c r="P127" s="1218" t="e">
        <f t="shared" ca="1" si="61"/>
        <v>#VALUE!</v>
      </c>
      <c r="Q127" s="1219" t="e">
        <f ca="1">IF(AND(INDEX(FlowCalConstA,MATCH(N124,FlowCalNumber,0),1,1)*P127^INDEX(FlowCalConstB,MATCH(N124,FlowCalNumber,0),1,1)&gt;INDEX(FlowCalLowSetting,MATCH(N124,FlowCalNumber,0),1,1), (INDEX(FlowCalConstA,MATCH(N124,FlowCalNumber,0),1,1)*P127^INDEX(FlowCalConstB,MATCH(N124,FlowCalNumber,0),1,1)&lt;INDEX(FlowCalHighSetting,MATCH(N124,FlowCalNumber,0),1,1))),INDEX(FlowCalConstA,MATCH(N124,FlowCalNumber,0),1,1)*P127^INDEX(FlowCalConstB,MATCH(N124,FlowCalNumber,0),1,1)," ")</f>
        <v>#N/A</v>
      </c>
      <c r="R127" s="1224"/>
      <c r="S127" s="1217">
        <f t="shared" si="62"/>
        <v>1</v>
      </c>
      <c r="T127" s="1218" t="e">
        <f t="shared" ca="1" si="63"/>
        <v>#VALUE!</v>
      </c>
      <c r="U127" s="1219" t="e">
        <f ca="1">IF(AND(INDEX(FlowCalConstA,MATCH(R124,FlowCalNumber,0),1,1)*T127^INDEX(FlowCalConstB,MATCH(R124,FlowCalNumber,0),1,1)&gt;INDEX(FlowCalLowSetting,MATCH(R124,FlowCalNumber,0),1,1), (INDEX(FlowCalConstA,MATCH(R124,FlowCalNumber,0),1,1)*T127^INDEX(FlowCalConstB,MATCH(R124,FlowCalNumber,0),1,1)&lt;INDEX(FlowCalHighSetting,MATCH(R124,FlowCalNumber,0),1,1))),INDEX(FlowCalConstA,MATCH(R124,FlowCalNumber,0),1,1)*T127^INDEX(FlowCalConstB,MATCH(R124,FlowCalNumber,0),1,1)," ")</f>
        <v>#N/A</v>
      </c>
      <c r="V127" s="1224"/>
      <c r="W127" s="1217"/>
      <c r="X127" s="1218"/>
      <c r="Y127" s="1219"/>
      <c r="Z127" s="1224"/>
      <c r="AA127" s="1217"/>
      <c r="AB127" s="1218"/>
      <c r="AC127" s="1219"/>
      <c r="AD127" s="1224"/>
      <c r="AE127" s="1217"/>
      <c r="AF127" s="1218"/>
      <c r="AG127" s="1219"/>
      <c r="AH127" s="1224"/>
      <c r="AI127" s="1217"/>
      <c r="AJ127" s="1218"/>
      <c r="AK127" s="1220"/>
      <c r="AL127" s="1219"/>
      <c r="AM127" s="1219"/>
      <c r="AN127" s="1219"/>
      <c r="AO127" s="1219"/>
      <c r="AP127" s="1219"/>
      <c r="AQ127" s="1219"/>
      <c r="AR127" s="1219"/>
      <c r="AS127" s="1219"/>
      <c r="AT127" s="1219"/>
      <c r="AU127" s="1219"/>
      <c r="AV127" s="1219"/>
      <c r="AW127" s="1219"/>
      <c r="AX127" s="1219"/>
      <c r="AY127" s="1219"/>
      <c r="AZ127" s="1219"/>
      <c r="BA127" s="1219"/>
      <c r="BB127" s="1219"/>
      <c r="BC127" s="1219"/>
      <c r="BD127" s="1219"/>
      <c r="BE127" s="1219"/>
      <c r="BF127" s="1219"/>
      <c r="BG127" s="1219"/>
      <c r="BH127" s="1219"/>
      <c r="BI127" s="1219"/>
      <c r="BJ127" s="1219"/>
      <c r="BK127" s="1219"/>
      <c r="BL127" s="1219"/>
      <c r="BM127" s="1219"/>
      <c r="BN127" s="1219"/>
      <c r="BO127" s="1219"/>
      <c r="BP127" s="1219"/>
      <c r="BQ127" s="1219"/>
      <c r="BR127" s="1219"/>
      <c r="BS127" s="1219"/>
      <c r="BU127" s="1217"/>
      <c r="BW127" s="1219"/>
      <c r="BY127" s="1217"/>
      <c r="CA127" s="1219"/>
      <c r="CC127" s="1217"/>
      <c r="CE127" s="1219"/>
      <c r="CG127" s="1217"/>
      <c r="CI127" s="1219"/>
    </row>
    <row r="128" spans="1:87">
      <c r="A128" s="20"/>
      <c r="B128" s="124" t="str">
        <f t="shared" si="56"/>
        <v/>
      </c>
      <c r="C128" s="235"/>
      <c r="D128" s="24">
        <f>'1% Wind'!$M$85</f>
        <v>17.8</v>
      </c>
      <c r="E128" s="90"/>
      <c r="F128" s="90"/>
      <c r="G128" s="79">
        <f ca="1">IF(I124=0.9743,$G127,MAX(G127/D127*D128,2))</f>
        <v>2</v>
      </c>
      <c r="H128" s="121" t="e">
        <f t="shared" ca="1" si="57"/>
        <v>#VALUE!</v>
      </c>
      <c r="J128" s="33"/>
      <c r="K128" s="242">
        <f t="shared" si="58"/>
        <v>1</v>
      </c>
      <c r="L128" s="241" t="e">
        <f t="shared" ca="1" si="59"/>
        <v>#VALUE!</v>
      </c>
      <c r="M128" s="243" t="e">
        <f ca="1">IF(AND(INDEX(FlowCalConstA,MATCH(J124,FlowCalNumber,0),1,1)*L128^INDEX(FlowCalConstB,MATCH(J124,FlowCalNumber,0),1,1)&gt;INDEX(FlowCalLowSetting,MATCH(J124,FlowCalNumber,0),1,1), (INDEX(FlowCalConstA,MATCH(J124,FlowCalNumber,0),1,1)*L128^INDEX(FlowCalConstB,MATCH(J124,FlowCalNumber,0),1,1)&lt;INDEX(FlowCalHighSetting,MATCH(J124,FlowCalNumber,0),1,1))),INDEX(FlowCalConstA,MATCH(J124,FlowCalNumber,0),1,1)*L128^INDEX(FlowCalConstB,MATCH(J124,FlowCalNumber,0),1,1)," ")</f>
        <v>#N/A</v>
      </c>
      <c r="N128" s="33"/>
      <c r="O128" s="242">
        <f t="shared" si="60"/>
        <v>1</v>
      </c>
      <c r="P128" s="241" t="e">
        <f t="shared" ca="1" si="61"/>
        <v>#VALUE!</v>
      </c>
      <c r="Q128" s="243" t="e">
        <f ca="1">IF(AND(INDEX(FlowCalConstA,MATCH(N124,FlowCalNumber,0),1,1)*P128^INDEX(FlowCalConstB,MATCH(N124,FlowCalNumber,0),1,1)&gt;INDEX(FlowCalLowSetting,MATCH(N124,FlowCalNumber,0),1,1), (INDEX(FlowCalConstA,MATCH(N124,FlowCalNumber,0),1,1)*P128^INDEX(FlowCalConstB,MATCH(N124,FlowCalNumber,0),1,1)&lt;INDEX(FlowCalHighSetting,MATCH(N124,FlowCalNumber,0),1,1))),INDEX(FlowCalConstA,MATCH(N124,FlowCalNumber,0),1,1)*P128^INDEX(FlowCalConstB,MATCH(N124,FlowCalNumber,0),1,1)," ")</f>
        <v>#N/A</v>
      </c>
      <c r="R128" s="33"/>
      <c r="S128" s="242">
        <f t="shared" si="62"/>
        <v>1</v>
      </c>
      <c r="T128" s="241" t="e">
        <f t="shared" ca="1" si="63"/>
        <v>#VALUE!</v>
      </c>
      <c r="U128" s="243" t="e">
        <f ca="1">IF(AND(INDEX(FlowCalConstA,MATCH(R124,FlowCalNumber,0),1,1)*T128^INDEX(FlowCalConstB,MATCH(R124,FlowCalNumber,0),1,1)&gt;INDEX(FlowCalLowSetting,MATCH(R124,FlowCalNumber,0),1,1), (INDEX(FlowCalConstA,MATCH(R124,FlowCalNumber,0),1,1)*T128^INDEX(FlowCalConstB,MATCH(R124,FlowCalNumber,0),1,1)&lt;INDEX(FlowCalHighSetting,MATCH(R124,FlowCalNumber,0),1,1))),INDEX(FlowCalConstA,MATCH(R124,FlowCalNumber,0),1,1)*T128^INDEX(FlowCalConstB,MATCH(R124,FlowCalNumber,0),1,1)," ")</f>
        <v>#N/A</v>
      </c>
      <c r="V128" s="33"/>
      <c r="W128" s="242"/>
      <c r="X128" s="241"/>
      <c r="Y128" s="243"/>
      <c r="Z128" s="33"/>
      <c r="AA128" s="242"/>
      <c r="AB128" s="241"/>
      <c r="AC128" s="243"/>
      <c r="AD128" s="33"/>
      <c r="AE128" s="242"/>
      <c r="AF128" s="241"/>
      <c r="AG128" s="243"/>
      <c r="AH128" s="33"/>
      <c r="AI128" s="242"/>
      <c r="AJ128" s="241"/>
      <c r="AK128" s="244"/>
      <c r="AL128" s="243"/>
      <c r="AM128" s="243"/>
      <c r="AN128" s="243"/>
      <c r="AO128" s="243"/>
      <c r="AP128" s="243"/>
      <c r="AQ128" s="243"/>
      <c r="AR128" s="243"/>
      <c r="AS128" s="243"/>
      <c r="AT128" s="243"/>
      <c r="AU128" s="243"/>
      <c r="AV128" s="243"/>
      <c r="AW128" s="243"/>
      <c r="AX128" s="243"/>
      <c r="AY128" s="243"/>
      <c r="AZ128" s="243"/>
      <c r="BA128" s="243"/>
      <c r="BB128" s="243"/>
      <c r="BC128" s="243"/>
      <c r="BD128" s="243"/>
      <c r="BE128" s="243"/>
      <c r="BF128" s="243"/>
      <c r="BG128" s="243"/>
      <c r="BH128" s="243"/>
      <c r="BI128" s="243"/>
      <c r="BJ128" s="243"/>
      <c r="BK128" s="243"/>
      <c r="BL128" s="243"/>
      <c r="BM128" s="243"/>
      <c r="BN128" s="243"/>
      <c r="BO128" s="243"/>
      <c r="BP128" s="243"/>
      <c r="BQ128" s="243"/>
      <c r="BR128" s="243"/>
      <c r="BS128" s="243"/>
      <c r="BU128" s="242"/>
      <c r="BW128" s="243"/>
      <c r="BY128" s="242"/>
      <c r="CA128" s="243"/>
      <c r="CC128" s="242"/>
      <c r="CE128" s="243"/>
      <c r="CG128" s="242"/>
      <c r="CI128" s="243"/>
    </row>
    <row r="129" spans="1:87" s="1215" customFormat="1">
      <c r="A129" s="1222"/>
      <c r="B129" s="1223" t="str">
        <f t="shared" si="56"/>
        <v/>
      </c>
      <c r="C129" s="1210"/>
      <c r="D129" s="1211">
        <f>'1% Wind'!$M$86</f>
        <v>15.5</v>
      </c>
      <c r="E129" s="1212"/>
      <c r="F129" s="1212"/>
      <c r="G129" s="1213">
        <f ca="1">IF(I124=0.9743,$G128,MAX(G128/D128*D129,2))</f>
        <v>2</v>
      </c>
      <c r="H129" s="1214" t="e">
        <f t="shared" ca="1" si="57"/>
        <v>#VALUE!</v>
      </c>
      <c r="J129" s="1224"/>
      <c r="K129" s="1217">
        <f t="shared" si="58"/>
        <v>1</v>
      </c>
      <c r="L129" s="1218" t="e">
        <f t="shared" ca="1" si="59"/>
        <v>#VALUE!</v>
      </c>
      <c r="M129" s="1219" t="e">
        <f ca="1">IF(AND(INDEX(FlowCalConstA,MATCH(J124,FlowCalNumber,0),1,1)*L129^INDEX(FlowCalConstB,MATCH(J124,FlowCalNumber,0),1,1)&gt;INDEX(FlowCalLowSetting,MATCH(J124,FlowCalNumber,0),1,1), (INDEX(FlowCalConstA,MATCH(J124,FlowCalNumber,0),1,1)*L129^INDEX(FlowCalConstB,MATCH(J124,FlowCalNumber,0),1,1)&lt;INDEX(FlowCalHighSetting,MATCH(J124,FlowCalNumber,0),1,1))),INDEX(FlowCalConstA,MATCH(J124,FlowCalNumber,0),1,1)*L129^INDEX(FlowCalConstB,MATCH(J124,FlowCalNumber,0),1,1)," ")</f>
        <v>#N/A</v>
      </c>
      <c r="N129" s="1224"/>
      <c r="O129" s="1217">
        <f t="shared" si="60"/>
        <v>1</v>
      </c>
      <c r="P129" s="1218" t="e">
        <f t="shared" ca="1" si="61"/>
        <v>#VALUE!</v>
      </c>
      <c r="Q129" s="1219" t="e">
        <f ca="1">IF(AND(INDEX(FlowCalConstA,MATCH(N124,FlowCalNumber,0),1,1)*P129^INDEX(FlowCalConstB,MATCH(N124,FlowCalNumber,0),1,1)&gt;INDEX(FlowCalLowSetting,MATCH(N124,FlowCalNumber,0),1,1), (INDEX(FlowCalConstA,MATCH(N124,FlowCalNumber,0),1,1)*P129^INDEX(FlowCalConstB,MATCH(N124,FlowCalNumber,0),1,1)&lt;INDEX(FlowCalHighSetting,MATCH(N124,FlowCalNumber,0),1,1))),INDEX(FlowCalConstA,MATCH(N124,FlowCalNumber,0),1,1)*P129^INDEX(FlowCalConstB,MATCH(N124,FlowCalNumber,0),1,1)," ")</f>
        <v>#N/A</v>
      </c>
      <c r="R129" s="1224"/>
      <c r="S129" s="1217">
        <f t="shared" si="62"/>
        <v>1</v>
      </c>
      <c r="T129" s="1218" t="e">
        <f t="shared" ca="1" si="63"/>
        <v>#VALUE!</v>
      </c>
      <c r="U129" s="1219" t="e">
        <f ca="1">IF(AND(INDEX(FlowCalConstA,MATCH(R124,FlowCalNumber,0),1,1)*T129^INDEX(FlowCalConstB,MATCH(R124,FlowCalNumber,0),1,1)&gt;INDEX(FlowCalLowSetting,MATCH(R124,FlowCalNumber,0),1,1), (INDEX(FlowCalConstA,MATCH(R124,FlowCalNumber,0),1,1)*T129^INDEX(FlowCalConstB,MATCH(R124,FlowCalNumber,0),1,1)&lt;INDEX(FlowCalHighSetting,MATCH(R124,FlowCalNumber,0),1,1))),INDEX(FlowCalConstA,MATCH(R124,FlowCalNumber,0),1,1)*T129^INDEX(FlowCalConstB,MATCH(R124,FlowCalNumber,0),1,1)," ")</f>
        <v>#N/A</v>
      </c>
      <c r="V129" s="1224"/>
      <c r="W129" s="1217"/>
      <c r="X129" s="1218"/>
      <c r="Y129" s="1219"/>
      <c r="Z129" s="1224"/>
      <c r="AA129" s="1217"/>
      <c r="AB129" s="1218"/>
      <c r="AC129" s="1219"/>
      <c r="AD129" s="1224"/>
      <c r="AE129" s="1217"/>
      <c r="AF129" s="1218"/>
      <c r="AG129" s="1219"/>
      <c r="AH129" s="1224"/>
      <c r="AI129" s="1217"/>
      <c r="AJ129" s="1218"/>
      <c r="AK129" s="1220"/>
      <c r="AL129" s="1219"/>
      <c r="AM129" s="1219"/>
      <c r="AN129" s="1219"/>
      <c r="AO129" s="1219"/>
      <c r="AP129" s="1219"/>
      <c r="AQ129" s="1219"/>
      <c r="AR129" s="1219"/>
      <c r="AS129" s="1219"/>
      <c r="AT129" s="1219"/>
      <c r="AU129" s="1219"/>
      <c r="AV129" s="1219"/>
      <c r="AW129" s="1219"/>
      <c r="AX129" s="1219"/>
      <c r="AY129" s="1219"/>
      <c r="AZ129" s="1219"/>
      <c r="BA129" s="1219"/>
      <c r="BB129" s="1219"/>
      <c r="BC129" s="1219"/>
      <c r="BD129" s="1219"/>
      <c r="BE129" s="1219"/>
      <c r="BF129" s="1219"/>
      <c r="BG129" s="1219"/>
      <c r="BH129" s="1219"/>
      <c r="BI129" s="1219"/>
      <c r="BJ129" s="1219"/>
      <c r="BK129" s="1219"/>
      <c r="BL129" s="1219"/>
      <c r="BM129" s="1219"/>
      <c r="BN129" s="1219"/>
      <c r="BO129" s="1219"/>
      <c r="BP129" s="1219"/>
      <c r="BQ129" s="1219"/>
      <c r="BR129" s="1219"/>
      <c r="BS129" s="1219"/>
      <c r="BU129" s="1217"/>
      <c r="BW129" s="1219"/>
      <c r="BY129" s="1217"/>
      <c r="CA129" s="1219"/>
      <c r="CC129" s="1217"/>
      <c r="CE129" s="1219"/>
      <c r="CG129" s="1217"/>
      <c r="CI129" s="1219"/>
    </row>
    <row r="130" spans="1:87">
      <c r="A130" s="20"/>
      <c r="B130" s="124" t="str">
        <f t="shared" si="56"/>
        <v/>
      </c>
      <c r="C130" s="235"/>
      <c r="D130" s="24">
        <f>'1% Wind'!$M$87</f>
        <v>13.5</v>
      </c>
      <c r="E130" s="90"/>
      <c r="F130" s="90"/>
      <c r="G130" s="79">
        <f ca="1">IF(I124=0.9743,$G129,MAX(G129/D129*D130,2))</f>
        <v>2</v>
      </c>
      <c r="H130" s="121" t="e">
        <f t="shared" ca="1" si="57"/>
        <v>#VALUE!</v>
      </c>
      <c r="J130" s="33"/>
      <c r="K130" s="242">
        <f t="shared" si="58"/>
        <v>1</v>
      </c>
      <c r="L130" s="241" t="e">
        <f t="shared" ca="1" si="59"/>
        <v>#VALUE!</v>
      </c>
      <c r="M130" s="243" t="e">
        <f ca="1">IF(AND(INDEX(FlowCalConstA,MATCH(J124,FlowCalNumber,0),1,1)*L130^INDEX(FlowCalConstB,MATCH(J124,FlowCalNumber,0),1,1)&gt;INDEX(FlowCalLowSetting,MATCH(J124,FlowCalNumber,0),1,1), (INDEX(FlowCalConstA,MATCH(J124,FlowCalNumber,0),1,1)*L130^INDEX(FlowCalConstB,MATCH(J124,FlowCalNumber,0),1,1)&lt;INDEX(FlowCalHighSetting,MATCH(J124,FlowCalNumber,0),1,1))),INDEX(FlowCalConstA,MATCH(J124,FlowCalNumber,0),1,1)*L130^INDEX(FlowCalConstB,MATCH(J124,FlowCalNumber,0),1,1)," ")</f>
        <v>#N/A</v>
      </c>
      <c r="N130" s="33"/>
      <c r="O130" s="242">
        <f t="shared" si="60"/>
        <v>1</v>
      </c>
      <c r="P130" s="241" t="e">
        <f t="shared" ca="1" si="61"/>
        <v>#VALUE!</v>
      </c>
      <c r="Q130" s="243" t="e">
        <f ca="1">IF(AND(INDEX(FlowCalConstA,MATCH(N124,FlowCalNumber,0),1,1)*P130^INDEX(FlowCalConstB,MATCH(N124,FlowCalNumber,0),1,1)&gt;INDEX(FlowCalLowSetting,MATCH(N124,FlowCalNumber,0),1,1), (INDEX(FlowCalConstA,MATCH(N124,FlowCalNumber,0),1,1)*P130^INDEX(FlowCalConstB,MATCH(N124,FlowCalNumber,0),1,1)&lt;INDEX(FlowCalHighSetting,MATCH(N124,FlowCalNumber,0),1,1))),INDEX(FlowCalConstA,MATCH(N124,FlowCalNumber,0),1,1)*P130^INDEX(FlowCalConstB,MATCH(N124,FlowCalNumber,0),1,1)," ")</f>
        <v>#N/A</v>
      </c>
      <c r="R130" s="33"/>
      <c r="S130" s="242">
        <f t="shared" si="62"/>
        <v>1</v>
      </c>
      <c r="T130" s="241" t="e">
        <f t="shared" ca="1" si="63"/>
        <v>#VALUE!</v>
      </c>
      <c r="U130" s="243" t="e">
        <f ca="1">IF(AND(INDEX(FlowCalConstA,MATCH(R124,FlowCalNumber,0),1,1)*T130^INDEX(FlowCalConstB,MATCH(R124,FlowCalNumber,0),1,1)&gt;INDEX(FlowCalLowSetting,MATCH(R124,FlowCalNumber,0),1,1), (INDEX(FlowCalConstA,MATCH(R124,FlowCalNumber,0),1,1)*T130^INDEX(FlowCalConstB,MATCH(R124,FlowCalNumber,0),1,1)&lt;INDEX(FlowCalHighSetting,MATCH(R124,FlowCalNumber,0),1,1))),INDEX(FlowCalConstA,MATCH(R124,FlowCalNumber,0),1,1)*T130^INDEX(FlowCalConstB,MATCH(R124,FlowCalNumber,0),1,1)," ")</f>
        <v>#N/A</v>
      </c>
      <c r="V130" s="33"/>
      <c r="W130" s="242"/>
      <c r="X130" s="241"/>
      <c r="Y130" s="243"/>
      <c r="Z130" s="33"/>
      <c r="AA130" s="242"/>
      <c r="AB130" s="241"/>
      <c r="AC130" s="243"/>
      <c r="AD130" s="33"/>
      <c r="AE130" s="242"/>
      <c r="AF130" s="241"/>
      <c r="AG130" s="243"/>
      <c r="AH130" s="33"/>
      <c r="AI130" s="242"/>
      <c r="AJ130" s="241"/>
      <c r="AK130" s="244"/>
      <c r="AL130" s="243"/>
      <c r="AM130" s="243"/>
      <c r="AN130" s="243"/>
      <c r="AO130" s="243"/>
      <c r="AP130" s="243"/>
      <c r="AQ130" s="243"/>
      <c r="AR130" s="243"/>
      <c r="AS130" s="243"/>
      <c r="AT130" s="243"/>
      <c r="AU130" s="243"/>
      <c r="AV130" s="243"/>
      <c r="AW130" s="243"/>
      <c r="AX130" s="243"/>
      <c r="AY130" s="243"/>
      <c r="AZ130" s="243"/>
      <c r="BA130" s="243"/>
      <c r="BB130" s="243"/>
      <c r="BC130" s="243"/>
      <c r="BD130" s="243"/>
      <c r="BE130" s="243"/>
      <c r="BF130" s="243"/>
      <c r="BG130" s="243"/>
      <c r="BH130" s="243"/>
      <c r="BI130" s="243"/>
      <c r="BJ130" s="243"/>
      <c r="BK130" s="243"/>
      <c r="BL130" s="243"/>
      <c r="BM130" s="243"/>
      <c r="BN130" s="243"/>
      <c r="BO130" s="243"/>
      <c r="BP130" s="243"/>
      <c r="BQ130" s="243"/>
      <c r="BR130" s="243"/>
      <c r="BS130" s="243"/>
      <c r="BU130" s="242"/>
      <c r="BW130" s="243"/>
      <c r="BY130" s="242"/>
      <c r="CA130" s="243"/>
      <c r="CC130" s="242"/>
      <c r="CE130" s="243"/>
      <c r="CG130" s="242"/>
      <c r="CI130" s="243"/>
    </row>
    <row r="131" spans="1:87" s="1215" customFormat="1">
      <c r="A131" s="1222"/>
      <c r="B131" s="1223" t="str">
        <f t="shared" si="56"/>
        <v/>
      </c>
      <c r="C131" s="1210"/>
      <c r="D131" s="1211">
        <f>'1% Wind'!$M$88</f>
        <v>10.1</v>
      </c>
      <c r="E131" s="1212"/>
      <c r="F131" s="1212"/>
      <c r="G131" s="1213">
        <f ca="1">IF(I124=0.9743,$G130,MAX(G130/D130*D131,2))</f>
        <v>2</v>
      </c>
      <c r="H131" s="1214" t="e">
        <f t="shared" ca="1" si="57"/>
        <v>#VALUE!</v>
      </c>
      <c r="J131" s="1224"/>
      <c r="K131" s="1217">
        <f t="shared" si="58"/>
        <v>1</v>
      </c>
      <c r="L131" s="1218" t="e">
        <f t="shared" ca="1" si="59"/>
        <v>#VALUE!</v>
      </c>
      <c r="M131" s="1219" t="e">
        <f ca="1">IF(AND(INDEX(FlowCalConstA,MATCH(J124,FlowCalNumber,0),1,1)*L131^INDEX(FlowCalConstB,MATCH(J124,FlowCalNumber,0),1,1)&gt;INDEX(FlowCalLowSetting,MATCH(J124,FlowCalNumber,0),1,1), (INDEX(FlowCalConstA,MATCH(J124,FlowCalNumber,0),1,1)*L131^INDEX(FlowCalConstB,MATCH(J124,FlowCalNumber,0),1,1)&lt;INDEX(FlowCalHighSetting,MATCH(J124,FlowCalNumber,0),1,1))),INDEX(FlowCalConstA,MATCH(J124,FlowCalNumber,0),1,1)*L131^INDEX(FlowCalConstB,MATCH(J124,FlowCalNumber,0),1,1)," ")</f>
        <v>#N/A</v>
      </c>
      <c r="N131" s="1224"/>
      <c r="O131" s="1217">
        <f t="shared" si="60"/>
        <v>1</v>
      </c>
      <c r="P131" s="1218" t="e">
        <f t="shared" ca="1" si="61"/>
        <v>#VALUE!</v>
      </c>
      <c r="Q131" s="1219" t="e">
        <f ca="1">IF(AND(INDEX(FlowCalConstA,MATCH(N124,FlowCalNumber,0),1,1)*P131^INDEX(FlowCalConstB,MATCH(N124,FlowCalNumber,0),1,1)&gt;INDEX(FlowCalLowSetting,MATCH(N124,FlowCalNumber,0),1,1), (INDEX(FlowCalConstA,MATCH(N124,FlowCalNumber,0),1,1)*P131^INDEX(FlowCalConstB,MATCH(N124,FlowCalNumber,0),1,1)&lt;INDEX(FlowCalHighSetting,MATCH(N124,FlowCalNumber,0),1,1))),INDEX(FlowCalConstA,MATCH(N124,FlowCalNumber,0),1,1)*P131^INDEX(FlowCalConstB,MATCH(N124,FlowCalNumber,0),1,1)," ")</f>
        <v>#N/A</v>
      </c>
      <c r="R131" s="1224"/>
      <c r="S131" s="1217">
        <f t="shared" si="62"/>
        <v>1</v>
      </c>
      <c r="T131" s="1218" t="e">
        <f t="shared" ca="1" si="63"/>
        <v>#VALUE!</v>
      </c>
      <c r="U131" s="1219" t="e">
        <f ca="1">IF(AND(INDEX(FlowCalConstA,MATCH(R124,FlowCalNumber,0),1,1)*T131^INDEX(FlowCalConstB,MATCH(R124,FlowCalNumber,0),1,1)&gt;INDEX(FlowCalLowSetting,MATCH(R124,FlowCalNumber,0),1,1), (INDEX(FlowCalConstA,MATCH(R124,FlowCalNumber,0),1,1)*T131^INDEX(FlowCalConstB,MATCH(R124,FlowCalNumber,0),1,1)&lt;INDEX(FlowCalHighSetting,MATCH(R124,FlowCalNumber,0),1,1))),INDEX(FlowCalConstA,MATCH(R124,FlowCalNumber,0),1,1)*T131^INDEX(FlowCalConstB,MATCH(R124,FlowCalNumber,0),1,1)," ")</f>
        <v>#N/A</v>
      </c>
      <c r="V131" s="1224"/>
      <c r="W131" s="1217"/>
      <c r="X131" s="1218"/>
      <c r="Y131" s="1219"/>
      <c r="Z131" s="1224"/>
      <c r="AA131" s="1217"/>
      <c r="AB131" s="1218"/>
      <c r="AC131" s="1219"/>
      <c r="AD131" s="1224"/>
      <c r="AE131" s="1217"/>
      <c r="AF131" s="1218"/>
      <c r="AG131" s="1219"/>
      <c r="AH131" s="1224"/>
      <c r="AI131" s="1217"/>
      <c r="AJ131" s="1218"/>
      <c r="AK131" s="1220"/>
      <c r="AL131" s="1219"/>
      <c r="AM131" s="1219"/>
      <c r="AN131" s="1219"/>
      <c r="AO131" s="1219"/>
      <c r="AP131" s="1219"/>
      <c r="AQ131" s="1219"/>
      <c r="AR131" s="1219"/>
      <c r="AS131" s="1219"/>
      <c r="AT131" s="1219"/>
      <c r="AU131" s="1219"/>
      <c r="AV131" s="1219"/>
      <c r="AW131" s="1219"/>
      <c r="AX131" s="1219"/>
      <c r="AY131" s="1219"/>
      <c r="AZ131" s="1219"/>
      <c r="BA131" s="1219"/>
      <c r="BB131" s="1219"/>
      <c r="BC131" s="1219"/>
      <c r="BD131" s="1219"/>
      <c r="BE131" s="1219"/>
      <c r="BF131" s="1219"/>
      <c r="BG131" s="1219"/>
      <c r="BH131" s="1219"/>
      <c r="BI131" s="1219"/>
      <c r="BJ131" s="1219"/>
      <c r="BK131" s="1219"/>
      <c r="BL131" s="1219"/>
      <c r="BM131" s="1219"/>
      <c r="BN131" s="1219"/>
      <c r="BO131" s="1219"/>
      <c r="BP131" s="1219"/>
      <c r="BQ131" s="1219"/>
      <c r="BR131" s="1219"/>
      <c r="BS131" s="1219"/>
      <c r="BU131" s="1217"/>
      <c r="BW131" s="1219"/>
      <c r="BY131" s="1217"/>
      <c r="CA131" s="1219"/>
      <c r="CC131" s="1217"/>
      <c r="CE131" s="1219"/>
      <c r="CG131" s="1217"/>
      <c r="CI131" s="1219"/>
    </row>
    <row r="132" spans="1:87">
      <c r="A132" s="20"/>
      <c r="B132" s="124" t="str">
        <f t="shared" si="56"/>
        <v/>
      </c>
      <c r="C132" s="235"/>
      <c r="D132" s="24">
        <f>'1% Wind'!$M$89</f>
        <v>7.6</v>
      </c>
      <c r="E132" s="90"/>
      <c r="F132" s="90"/>
      <c r="G132" s="79">
        <f ca="1">IF(I124=0.9743,$G131,MAX(G131/D131*D132,2))</f>
        <v>2</v>
      </c>
      <c r="H132" s="121" t="e">
        <f t="shared" ca="1" si="57"/>
        <v>#VALUE!</v>
      </c>
      <c r="J132" s="33"/>
      <c r="K132" s="242">
        <f t="shared" si="58"/>
        <v>1</v>
      </c>
      <c r="L132" s="241" t="e">
        <f t="shared" ca="1" si="59"/>
        <v>#VALUE!</v>
      </c>
      <c r="M132" s="243" t="e">
        <f ca="1">IF(AND(INDEX(FlowCalConstA,MATCH(J124,FlowCalNumber,0),1,1)*L132^INDEX(FlowCalConstB,MATCH(J124,FlowCalNumber,0),1,1)&gt;INDEX(FlowCalLowSetting,MATCH(J124,FlowCalNumber,0),1,1), (INDEX(FlowCalConstA,MATCH(J124,FlowCalNumber,0),1,1)*L132^INDEX(FlowCalConstB,MATCH(J124,FlowCalNumber,0),1,1)&lt;INDEX(FlowCalHighSetting,MATCH(J124,FlowCalNumber,0),1,1))),INDEX(FlowCalConstA,MATCH(J124,FlowCalNumber,0),1,1)*L132^INDEX(FlowCalConstB,MATCH(J124,FlowCalNumber,0),1,1)," ")</f>
        <v>#N/A</v>
      </c>
      <c r="N132" s="33"/>
      <c r="O132" s="242">
        <f t="shared" si="60"/>
        <v>1</v>
      </c>
      <c r="P132" s="241" t="e">
        <f t="shared" ca="1" si="61"/>
        <v>#VALUE!</v>
      </c>
      <c r="Q132" s="243" t="e">
        <f ca="1">IF(AND(INDEX(FlowCalConstA,MATCH(N124,FlowCalNumber,0),1,1)*P132^INDEX(FlowCalConstB,MATCH(N124,FlowCalNumber,0),1,1)&gt;INDEX(FlowCalLowSetting,MATCH(N124,FlowCalNumber,0),1,1), (INDEX(FlowCalConstA,MATCH(N124,FlowCalNumber,0),1,1)*P132^INDEX(FlowCalConstB,MATCH(N124,FlowCalNumber,0),1,1)&lt;INDEX(FlowCalHighSetting,MATCH(N124,FlowCalNumber,0),1,1))),INDEX(FlowCalConstA,MATCH(N124,FlowCalNumber,0),1,1)*P132^INDEX(FlowCalConstB,MATCH(N124,FlowCalNumber,0),1,1)," ")</f>
        <v>#N/A</v>
      </c>
      <c r="R132" s="33"/>
      <c r="S132" s="242">
        <f t="shared" si="62"/>
        <v>1</v>
      </c>
      <c r="T132" s="241" t="e">
        <f t="shared" ca="1" si="63"/>
        <v>#VALUE!</v>
      </c>
      <c r="U132" s="243" t="e">
        <f ca="1">IF(AND(INDEX(FlowCalConstA,MATCH(R124,FlowCalNumber,0),1,1)*T132^INDEX(FlowCalConstB,MATCH(R124,FlowCalNumber,0),1,1)&gt;INDEX(FlowCalLowSetting,MATCH(R124,FlowCalNumber,0),1,1), (INDEX(FlowCalConstA,MATCH(R124,FlowCalNumber,0),1,1)*T132^INDEX(FlowCalConstB,MATCH(R124,FlowCalNumber,0),1,1)&lt;INDEX(FlowCalHighSetting,MATCH(R124,FlowCalNumber,0),1,1))),INDEX(FlowCalConstA,MATCH(R124,FlowCalNumber,0),1,1)*T132^INDEX(FlowCalConstB,MATCH(R124,FlowCalNumber,0),1,1)," ")</f>
        <v>#N/A</v>
      </c>
      <c r="V132" s="33"/>
      <c r="W132" s="242"/>
      <c r="X132" s="241"/>
      <c r="Y132" s="243"/>
      <c r="Z132" s="33"/>
      <c r="AA132" s="242"/>
      <c r="AB132" s="241"/>
      <c r="AC132" s="243"/>
      <c r="AD132" s="33"/>
      <c r="AE132" s="242"/>
      <c r="AF132" s="241"/>
      <c r="AG132" s="243"/>
      <c r="AH132" s="33"/>
      <c r="AI132" s="242"/>
      <c r="AJ132" s="241"/>
      <c r="AK132" s="244"/>
      <c r="AL132" s="243"/>
      <c r="AM132" s="243"/>
      <c r="AN132" s="243"/>
      <c r="AO132" s="243"/>
      <c r="AP132" s="243"/>
      <c r="AQ132" s="243"/>
      <c r="AR132" s="243"/>
      <c r="AS132" s="243"/>
      <c r="AT132" s="243"/>
      <c r="AU132" s="243"/>
      <c r="AV132" s="243"/>
      <c r="AW132" s="243"/>
      <c r="AX132" s="243"/>
      <c r="AY132" s="243"/>
      <c r="AZ132" s="243"/>
      <c r="BA132" s="243"/>
      <c r="BB132" s="243"/>
      <c r="BC132" s="243"/>
      <c r="BD132" s="243"/>
      <c r="BE132" s="243"/>
      <c r="BF132" s="243"/>
      <c r="BG132" s="243"/>
      <c r="BH132" s="243"/>
      <c r="BI132" s="243"/>
      <c r="BJ132" s="243"/>
      <c r="BK132" s="243"/>
      <c r="BL132" s="243"/>
      <c r="BM132" s="243"/>
      <c r="BN132" s="243"/>
      <c r="BO132" s="243"/>
      <c r="BP132" s="243"/>
      <c r="BQ132" s="243"/>
      <c r="BR132" s="243"/>
      <c r="BS132" s="243"/>
      <c r="BU132" s="242"/>
      <c r="BW132" s="243"/>
      <c r="BY132" s="242"/>
      <c r="CA132" s="243"/>
      <c r="CC132" s="242"/>
      <c r="CE132" s="243"/>
      <c r="CG132" s="242"/>
      <c r="CI132" s="243"/>
    </row>
    <row r="133" spans="1:87" s="1215" customFormat="1">
      <c r="A133" s="1222"/>
      <c r="B133" s="1223" t="str">
        <f t="shared" si="56"/>
        <v/>
      </c>
      <c r="C133" s="1210"/>
      <c r="D133" s="1211">
        <f>'1% Wind'!$M$90</f>
        <v>5.7</v>
      </c>
      <c r="E133" s="1212"/>
      <c r="F133" s="1212"/>
      <c r="G133" s="1213">
        <f ca="1">IF(I124=0.9743,$G132,MAX(G132/D132*D133,2))</f>
        <v>2</v>
      </c>
      <c r="H133" s="1214" t="e">
        <f t="shared" ca="1" si="57"/>
        <v>#VALUE!</v>
      </c>
      <c r="J133" s="1224"/>
      <c r="K133" s="1217">
        <f t="shared" si="58"/>
        <v>1</v>
      </c>
      <c r="L133" s="1218" t="e">
        <f t="shared" ca="1" si="59"/>
        <v>#VALUE!</v>
      </c>
      <c r="M133" s="1219" t="e">
        <f ca="1">IF(AND(INDEX(FlowCalConstA,MATCH(J124,FlowCalNumber,0),1,1)*L133^INDEX(FlowCalConstB,MATCH(J124,FlowCalNumber,0),1,1)&gt;INDEX(FlowCalLowSetting,MATCH(J124,FlowCalNumber,0),1,1), (INDEX(FlowCalConstA,MATCH(J124,FlowCalNumber,0),1,1)*L133^INDEX(FlowCalConstB,MATCH(J124,FlowCalNumber,0),1,1)&lt;INDEX(FlowCalHighSetting,MATCH(J124,FlowCalNumber,0),1,1))),INDEX(FlowCalConstA,MATCH(J124,FlowCalNumber,0),1,1)*L133^INDEX(FlowCalConstB,MATCH(J124,FlowCalNumber,0),1,1)," ")</f>
        <v>#N/A</v>
      </c>
      <c r="N133" s="1224"/>
      <c r="O133" s="1217">
        <f t="shared" si="60"/>
        <v>1</v>
      </c>
      <c r="P133" s="1218" t="e">
        <f t="shared" ca="1" si="61"/>
        <v>#VALUE!</v>
      </c>
      <c r="Q133" s="1219" t="e">
        <f ca="1">IF(AND(INDEX(FlowCalConstA,MATCH(N124,FlowCalNumber,0),1,1)*P133^INDEX(FlowCalConstB,MATCH(N124,FlowCalNumber,0),1,1)&gt;INDEX(FlowCalLowSetting,MATCH(N124,FlowCalNumber,0),1,1), (INDEX(FlowCalConstA,MATCH(N124,FlowCalNumber,0),1,1)*P133^INDEX(FlowCalConstB,MATCH(N124,FlowCalNumber,0),1,1)&lt;INDEX(FlowCalHighSetting,MATCH(N124,FlowCalNumber,0),1,1))),INDEX(FlowCalConstA,MATCH(N124,FlowCalNumber,0),1,1)*P133^INDEX(FlowCalConstB,MATCH(N124,FlowCalNumber,0),1,1)," ")</f>
        <v>#N/A</v>
      </c>
      <c r="R133" s="1224"/>
      <c r="S133" s="1217">
        <f t="shared" si="62"/>
        <v>1</v>
      </c>
      <c r="T133" s="1218" t="e">
        <f t="shared" ca="1" si="63"/>
        <v>#VALUE!</v>
      </c>
      <c r="U133" s="1219" t="e">
        <f ca="1">IF(AND(INDEX(FlowCalConstA,MATCH(R124,FlowCalNumber,0),1,1)*T133^INDEX(FlowCalConstB,MATCH(R124,FlowCalNumber,0),1,1)&gt;INDEX(FlowCalLowSetting,MATCH(R124,FlowCalNumber,0),1,1), (INDEX(FlowCalConstA,MATCH(R124,FlowCalNumber,0),1,1)*T133^INDEX(FlowCalConstB,MATCH(R124,FlowCalNumber,0),1,1)&lt;INDEX(FlowCalHighSetting,MATCH(R124,FlowCalNumber,0),1,1))),INDEX(FlowCalConstA,MATCH(R124,FlowCalNumber,0),1,1)*T133^INDEX(FlowCalConstB,MATCH(R124,FlowCalNumber,0),1,1)," ")</f>
        <v>#N/A</v>
      </c>
      <c r="V133" s="1224"/>
      <c r="W133" s="1217"/>
      <c r="X133" s="1218"/>
      <c r="Y133" s="1219"/>
      <c r="Z133" s="1224"/>
      <c r="AA133" s="1217"/>
      <c r="AB133" s="1218"/>
      <c r="AC133" s="1219"/>
      <c r="AD133" s="1224"/>
      <c r="AE133" s="1217"/>
      <c r="AF133" s="1218"/>
      <c r="AG133" s="1219"/>
      <c r="AH133" s="1224"/>
      <c r="AI133" s="1217"/>
      <c r="AJ133" s="1218"/>
      <c r="AK133" s="1220"/>
      <c r="AL133" s="1219"/>
      <c r="AM133" s="1219"/>
      <c r="AN133" s="1219"/>
      <c r="AO133" s="1219"/>
      <c r="AP133" s="1219"/>
      <c r="AQ133" s="1219"/>
      <c r="AR133" s="1219"/>
      <c r="AS133" s="1219"/>
      <c r="AT133" s="1219"/>
      <c r="AU133" s="1219"/>
      <c r="AV133" s="1219"/>
      <c r="AW133" s="1219"/>
      <c r="AX133" s="1219"/>
      <c r="AY133" s="1219"/>
      <c r="AZ133" s="1219"/>
      <c r="BA133" s="1219"/>
      <c r="BB133" s="1219"/>
      <c r="BC133" s="1219"/>
      <c r="BD133" s="1219"/>
      <c r="BE133" s="1219"/>
      <c r="BF133" s="1219"/>
      <c r="BG133" s="1219"/>
      <c r="BH133" s="1219"/>
      <c r="BI133" s="1219"/>
      <c r="BJ133" s="1219"/>
      <c r="BK133" s="1219"/>
      <c r="BL133" s="1219"/>
      <c r="BM133" s="1219"/>
      <c r="BN133" s="1219"/>
      <c r="BO133" s="1219"/>
      <c r="BP133" s="1219"/>
      <c r="BQ133" s="1219"/>
      <c r="BR133" s="1219"/>
      <c r="BS133" s="1219"/>
      <c r="BU133" s="1217"/>
      <c r="BW133" s="1219"/>
      <c r="BY133" s="1217"/>
      <c r="CA133" s="1219"/>
      <c r="CC133" s="1217"/>
      <c r="CE133" s="1219"/>
      <c r="CG133" s="1217"/>
      <c r="CI133" s="1219"/>
    </row>
    <row r="134" spans="1:87">
      <c r="A134" s="20"/>
      <c r="B134" s="124" t="str">
        <f t="shared" si="56"/>
        <v/>
      </c>
      <c r="C134" s="235"/>
      <c r="D134" s="24">
        <f>'1% Wind'!$M$91</f>
        <v>4.2</v>
      </c>
      <c r="E134" s="90"/>
      <c r="F134" s="90"/>
      <c r="G134" s="79">
        <f ca="1">IF(I124=0.9743,$G133,MAX(G133/D133*D134,2))</f>
        <v>2</v>
      </c>
      <c r="H134" s="121" t="e">
        <f t="shared" ca="1" si="57"/>
        <v>#VALUE!</v>
      </c>
      <c r="J134" s="33"/>
      <c r="K134" s="242">
        <f t="shared" si="58"/>
        <v>1</v>
      </c>
      <c r="L134" s="241" t="e">
        <f t="shared" ca="1" si="59"/>
        <v>#VALUE!</v>
      </c>
      <c r="M134" s="243" t="e">
        <f ca="1">IF(AND(INDEX(FlowCalConstA,MATCH(J124,FlowCalNumber,0),1,1)*L134^INDEX(FlowCalConstB,MATCH(J124,FlowCalNumber,0),1,1)&gt;INDEX(FlowCalLowSetting,MATCH(J124,FlowCalNumber,0),1,1), (INDEX(FlowCalConstA,MATCH(J124,FlowCalNumber,0),1,1)*L134^INDEX(FlowCalConstB,MATCH(J124,FlowCalNumber,0),1,1)&lt;INDEX(FlowCalHighSetting,MATCH(J124,FlowCalNumber,0),1,1))),INDEX(FlowCalConstA,MATCH(J124,FlowCalNumber,0),1,1)*L134^INDEX(FlowCalConstB,MATCH(J124,FlowCalNumber,0),1,1)," ")</f>
        <v>#N/A</v>
      </c>
      <c r="N134" s="33"/>
      <c r="O134" s="242">
        <f t="shared" si="60"/>
        <v>1</v>
      </c>
      <c r="P134" s="241" t="e">
        <f t="shared" ca="1" si="61"/>
        <v>#VALUE!</v>
      </c>
      <c r="Q134" s="243" t="e">
        <f ca="1">IF(AND(INDEX(FlowCalConstA,MATCH(N124,FlowCalNumber,0),1,1)*P134^INDEX(FlowCalConstB,MATCH(N124,FlowCalNumber,0),1,1)&gt;INDEX(FlowCalLowSetting,MATCH(N124,FlowCalNumber,0),1,1), (INDEX(FlowCalConstA,MATCH(N124,FlowCalNumber,0),1,1)*P134^INDEX(FlowCalConstB,MATCH(N124,FlowCalNumber,0),1,1)&lt;INDEX(FlowCalHighSetting,MATCH(N124,FlowCalNumber,0),1,1))),INDEX(FlowCalConstA,MATCH(N124,FlowCalNumber,0),1,1)*P134^INDEX(FlowCalConstB,MATCH(N124,FlowCalNumber,0),1,1)," ")</f>
        <v>#N/A</v>
      </c>
      <c r="R134" s="33"/>
      <c r="S134" s="242">
        <f t="shared" si="62"/>
        <v>1</v>
      </c>
      <c r="T134" s="241" t="e">
        <f t="shared" ca="1" si="63"/>
        <v>#VALUE!</v>
      </c>
      <c r="U134" s="243" t="e">
        <f ca="1">IF(AND(INDEX(FlowCalConstA,MATCH(R124,FlowCalNumber,0),1,1)*T134^INDEX(FlowCalConstB,MATCH(R124,FlowCalNumber,0),1,1)&gt;INDEX(FlowCalLowSetting,MATCH(R124,FlowCalNumber,0),1,1), (INDEX(FlowCalConstA,MATCH(R124,FlowCalNumber,0),1,1)*T134^INDEX(FlowCalConstB,MATCH(R124,FlowCalNumber,0),1,1)&lt;INDEX(FlowCalHighSetting,MATCH(R124,FlowCalNumber,0),1,1))),INDEX(FlowCalConstA,MATCH(R124,FlowCalNumber,0),1,1)*T134^INDEX(FlowCalConstB,MATCH(R124,FlowCalNumber,0),1,1)," ")</f>
        <v>#N/A</v>
      </c>
      <c r="V134" s="33"/>
      <c r="W134" s="242"/>
      <c r="X134" s="241"/>
      <c r="Y134" s="243"/>
      <c r="Z134" s="33"/>
      <c r="AA134" s="242"/>
      <c r="AB134" s="241"/>
      <c r="AC134" s="243"/>
      <c r="AD134" s="33"/>
      <c r="AE134" s="242"/>
      <c r="AF134" s="241"/>
      <c r="AG134" s="243"/>
      <c r="AH134" s="33"/>
      <c r="AI134" s="242"/>
      <c r="AJ134" s="241"/>
      <c r="AK134" s="244"/>
      <c r="AL134" s="243"/>
      <c r="AM134" s="243"/>
      <c r="AN134" s="243"/>
      <c r="AO134" s="243"/>
      <c r="AP134" s="243"/>
      <c r="AQ134" s="243"/>
      <c r="AR134" s="243"/>
      <c r="AS134" s="243"/>
      <c r="AT134" s="243"/>
      <c r="AU134" s="243"/>
      <c r="AV134" s="243"/>
      <c r="AW134" s="243"/>
      <c r="AX134" s="243"/>
      <c r="AY134" s="243"/>
      <c r="AZ134" s="243"/>
      <c r="BA134" s="243"/>
      <c r="BB134" s="243"/>
      <c r="BC134" s="243"/>
      <c r="BD134" s="243"/>
      <c r="BE134" s="243"/>
      <c r="BF134" s="243"/>
      <c r="BG134" s="243"/>
      <c r="BH134" s="243"/>
      <c r="BI134" s="243"/>
      <c r="BJ134" s="243"/>
      <c r="BK134" s="243"/>
      <c r="BL134" s="243"/>
      <c r="BM134" s="243"/>
      <c r="BN134" s="243"/>
      <c r="BO134" s="243"/>
      <c r="BP134" s="243"/>
      <c r="BQ134" s="243"/>
      <c r="BR134" s="243"/>
      <c r="BS134" s="243"/>
      <c r="BU134" s="242"/>
      <c r="BW134" s="243"/>
      <c r="BY134" s="242"/>
      <c r="CA134" s="243"/>
      <c r="CC134" s="242"/>
      <c r="CE134" s="243"/>
      <c r="CG134" s="242"/>
      <c r="CI134" s="243"/>
    </row>
    <row r="135" spans="1:87" s="1215" customFormat="1">
      <c r="A135" s="1222"/>
      <c r="B135" s="1223" t="str">
        <f t="shared" si="56"/>
        <v/>
      </c>
      <c r="C135" s="1210"/>
      <c r="D135" s="1211">
        <f>'1% Wind'!$M$92</f>
        <v>3.2</v>
      </c>
      <c r="E135" s="1212"/>
      <c r="F135" s="1212"/>
      <c r="G135" s="1213">
        <f ca="1">IF(I124=0.9743,$G134,MAX(G134/D134*D135,2))</f>
        <v>2</v>
      </c>
      <c r="H135" s="1214" t="e">
        <f t="shared" ca="1" si="57"/>
        <v>#VALUE!</v>
      </c>
      <c r="J135" s="1224"/>
      <c r="K135" s="1217">
        <f t="shared" si="58"/>
        <v>1</v>
      </c>
      <c r="L135" s="1218" t="e">
        <f t="shared" ca="1" si="59"/>
        <v>#VALUE!</v>
      </c>
      <c r="M135" s="1219" t="e">
        <f ca="1">IF(AND(INDEX(FlowCalConstA,MATCH(J124,FlowCalNumber,0),1,1)*L135^INDEX(FlowCalConstB,MATCH(J124,FlowCalNumber,0),1,1)&gt;INDEX(FlowCalLowSetting,MATCH(J124,FlowCalNumber,0),1,1), (INDEX(FlowCalConstA,MATCH(J124,FlowCalNumber,0),1,1)*L135^INDEX(FlowCalConstB,MATCH(J124,FlowCalNumber,0),1,1)&lt;INDEX(FlowCalHighSetting,MATCH(J124,FlowCalNumber,0),1,1))),INDEX(FlowCalConstA,MATCH(J124,FlowCalNumber,0),1,1)*L135^INDEX(FlowCalConstB,MATCH(J124,FlowCalNumber,0),1,1)," ")</f>
        <v>#N/A</v>
      </c>
      <c r="N135" s="1224"/>
      <c r="O135" s="1217">
        <f t="shared" si="60"/>
        <v>1</v>
      </c>
      <c r="P135" s="1218" t="e">
        <f t="shared" ca="1" si="61"/>
        <v>#VALUE!</v>
      </c>
      <c r="Q135" s="1219" t="e">
        <f ca="1">IF(AND(INDEX(FlowCalConstA,MATCH(N124,FlowCalNumber,0),1,1)*P135^INDEX(FlowCalConstB,MATCH(N124,FlowCalNumber,0),1,1)&gt;INDEX(FlowCalLowSetting,MATCH(N124,FlowCalNumber,0),1,1), (INDEX(FlowCalConstA,MATCH(N124,FlowCalNumber,0),1,1)*P135^INDEX(FlowCalConstB,MATCH(N124,FlowCalNumber,0),1,1)&lt;INDEX(FlowCalHighSetting,MATCH(N124,FlowCalNumber,0),1,1))),INDEX(FlowCalConstA,MATCH(N124,FlowCalNumber,0),1,1)*P135^INDEX(FlowCalConstB,MATCH(N124,FlowCalNumber,0),1,1)," ")</f>
        <v>#N/A</v>
      </c>
      <c r="R135" s="1224"/>
      <c r="S135" s="1217">
        <f t="shared" si="62"/>
        <v>1</v>
      </c>
      <c r="T135" s="1218" t="e">
        <f t="shared" ca="1" si="63"/>
        <v>#VALUE!</v>
      </c>
      <c r="U135" s="1219" t="e">
        <f ca="1">IF(AND(INDEX(FlowCalConstA,MATCH(R124,FlowCalNumber,0),1,1)*T135^INDEX(FlowCalConstB,MATCH(R124,FlowCalNumber,0),1,1)&gt;INDEX(FlowCalLowSetting,MATCH(R124,FlowCalNumber,0),1,1), (INDEX(FlowCalConstA,MATCH(R124,FlowCalNumber,0),1,1)*T135^INDEX(FlowCalConstB,MATCH(R124,FlowCalNumber,0),1,1)&lt;INDEX(FlowCalHighSetting,MATCH(R124,FlowCalNumber,0),1,1))),INDEX(FlowCalConstA,MATCH(R124,FlowCalNumber,0),1,1)*T135^INDEX(FlowCalConstB,MATCH(R124,FlowCalNumber,0),1,1)," ")</f>
        <v>#N/A</v>
      </c>
      <c r="V135" s="1224"/>
      <c r="W135" s="1217"/>
      <c r="X135" s="1218"/>
      <c r="Y135" s="1219"/>
      <c r="Z135" s="1224"/>
      <c r="AA135" s="1217"/>
      <c r="AB135" s="1218"/>
      <c r="AC135" s="1219"/>
      <c r="AD135" s="1224"/>
      <c r="AE135" s="1217"/>
      <c r="AF135" s="1218"/>
      <c r="AG135" s="1219"/>
      <c r="AH135" s="1224"/>
      <c r="AI135" s="1217"/>
      <c r="AJ135" s="1218"/>
      <c r="AK135" s="1220"/>
      <c r="AL135" s="1219"/>
      <c r="AM135" s="1219"/>
      <c r="AN135" s="1219"/>
      <c r="AO135" s="1219"/>
      <c r="AP135" s="1219"/>
      <c r="AQ135" s="1219"/>
      <c r="AR135" s="1219"/>
      <c r="AS135" s="1219"/>
      <c r="AT135" s="1219"/>
      <c r="AU135" s="1219"/>
      <c r="AV135" s="1219"/>
      <c r="AW135" s="1219"/>
      <c r="AX135" s="1219"/>
      <c r="AY135" s="1219"/>
      <c r="AZ135" s="1219"/>
      <c r="BA135" s="1219"/>
      <c r="BB135" s="1219"/>
      <c r="BC135" s="1219"/>
      <c r="BD135" s="1219"/>
      <c r="BE135" s="1219"/>
      <c r="BF135" s="1219"/>
      <c r="BG135" s="1219"/>
      <c r="BH135" s="1219"/>
      <c r="BI135" s="1219"/>
      <c r="BJ135" s="1219"/>
      <c r="BK135" s="1219"/>
      <c r="BL135" s="1219"/>
      <c r="BM135" s="1219"/>
      <c r="BN135" s="1219"/>
      <c r="BO135" s="1219"/>
      <c r="BP135" s="1219"/>
      <c r="BQ135" s="1219"/>
      <c r="BR135" s="1219"/>
      <c r="BS135" s="1219"/>
      <c r="BU135" s="1217"/>
      <c r="BW135" s="1219"/>
      <c r="BY135" s="1217"/>
      <c r="CA135" s="1219"/>
      <c r="CC135" s="1217"/>
      <c r="CE135" s="1219"/>
      <c r="CG135" s="1217"/>
      <c r="CI135" s="1219"/>
    </row>
    <row r="136" spans="1:87">
      <c r="A136" s="20"/>
      <c r="B136" s="124" t="str">
        <f t="shared" si="56"/>
        <v/>
      </c>
      <c r="C136" s="235"/>
      <c r="D136" s="24">
        <f>'1% Wind'!$M$93</f>
        <v>2.4</v>
      </c>
      <c r="E136" s="90"/>
      <c r="F136" s="90"/>
      <c r="G136" s="79">
        <f ca="1">IF(I124=0.9743,$G135,MAX(G135/D135*D136,2))</f>
        <v>2</v>
      </c>
      <c r="H136" s="121" t="e">
        <f t="shared" ca="1" si="57"/>
        <v>#VALUE!</v>
      </c>
      <c r="J136" s="33"/>
      <c r="K136" s="242">
        <f t="shared" si="58"/>
        <v>1</v>
      </c>
      <c r="L136" s="241" t="e">
        <f t="shared" ca="1" si="59"/>
        <v>#VALUE!</v>
      </c>
      <c r="M136" s="243" t="e">
        <f ca="1">IF(AND(INDEX(FlowCalConstA,MATCH(J124,FlowCalNumber,0),1,1)*L136^INDEX(FlowCalConstB,MATCH(J124,FlowCalNumber,0),1,1)&gt;INDEX(FlowCalLowSetting,MATCH(J124,FlowCalNumber,0),1,1), (INDEX(FlowCalConstA,MATCH(J124,FlowCalNumber,0),1,1)*L136^INDEX(FlowCalConstB,MATCH(J124,FlowCalNumber,0),1,1)&lt;INDEX(FlowCalHighSetting,MATCH(J124,FlowCalNumber,0),1,1))),INDEX(FlowCalConstA,MATCH(J124,FlowCalNumber,0),1,1)*L136^INDEX(FlowCalConstB,MATCH(J124,FlowCalNumber,0),1,1)," ")</f>
        <v>#N/A</v>
      </c>
      <c r="N136" s="33"/>
      <c r="O136" s="242">
        <f t="shared" si="60"/>
        <v>1</v>
      </c>
      <c r="P136" s="241" t="e">
        <f t="shared" ca="1" si="61"/>
        <v>#VALUE!</v>
      </c>
      <c r="Q136" s="243" t="e">
        <f ca="1">IF(AND(INDEX(FlowCalConstA,MATCH(N124,FlowCalNumber,0),1,1)*P136^INDEX(FlowCalConstB,MATCH(N124,FlowCalNumber,0),1,1)&gt;INDEX(FlowCalLowSetting,MATCH(N124,FlowCalNumber,0),1,1), (INDEX(FlowCalConstA,MATCH(N124,FlowCalNumber,0),1,1)*P136^INDEX(FlowCalConstB,MATCH(N124,FlowCalNumber,0),1,1)&lt;INDEX(FlowCalHighSetting,MATCH(N124,FlowCalNumber,0),1,1))),INDEX(FlowCalConstA,MATCH(N124,FlowCalNumber,0),1,1)*P136^INDEX(FlowCalConstB,MATCH(N124,FlowCalNumber,0),1,1)," ")</f>
        <v>#N/A</v>
      </c>
      <c r="R136" s="33"/>
      <c r="S136" s="242">
        <f t="shared" si="62"/>
        <v>1</v>
      </c>
      <c r="T136" s="241" t="e">
        <f t="shared" ca="1" si="63"/>
        <v>#VALUE!</v>
      </c>
      <c r="U136" s="243" t="e">
        <f ca="1">IF(AND(INDEX(FlowCalConstA,MATCH(R124,FlowCalNumber,0),1,1)*T136^INDEX(FlowCalConstB,MATCH(R124,FlowCalNumber,0),1,1)&gt;INDEX(FlowCalLowSetting,MATCH(R124,FlowCalNumber,0),1,1), (INDEX(FlowCalConstA,MATCH(R124,FlowCalNumber,0),1,1)*T136^INDEX(FlowCalConstB,MATCH(R124,FlowCalNumber,0),1,1)&lt;INDEX(FlowCalHighSetting,MATCH(R124,FlowCalNumber,0),1,1))),INDEX(FlowCalConstA,MATCH(R124,FlowCalNumber,0),1,1)*T136^INDEX(FlowCalConstB,MATCH(R124,FlowCalNumber,0),1,1)," ")</f>
        <v>#N/A</v>
      </c>
      <c r="V136" s="33"/>
      <c r="W136" s="242"/>
      <c r="X136" s="241"/>
      <c r="Y136" s="243"/>
      <c r="Z136" s="33"/>
      <c r="AA136" s="242"/>
      <c r="AB136" s="241"/>
      <c r="AC136" s="243"/>
      <c r="AD136" s="33"/>
      <c r="AE136" s="242"/>
      <c r="AF136" s="241"/>
      <c r="AG136" s="243"/>
      <c r="AH136" s="33"/>
      <c r="AI136" s="242"/>
      <c r="AJ136" s="241"/>
      <c r="AK136" s="244"/>
      <c r="AL136" s="243"/>
      <c r="AM136" s="243"/>
      <c r="AN136" s="243"/>
      <c r="AO136" s="243"/>
      <c r="AP136" s="243"/>
      <c r="AQ136" s="243"/>
      <c r="AR136" s="243"/>
      <c r="AS136" s="243"/>
      <c r="AT136" s="243"/>
      <c r="AU136" s="243"/>
      <c r="AV136" s="243"/>
      <c r="AW136" s="243"/>
      <c r="AX136" s="243"/>
      <c r="AY136" s="243"/>
      <c r="AZ136" s="243"/>
      <c r="BA136" s="243"/>
      <c r="BB136" s="243"/>
      <c r="BC136" s="243"/>
      <c r="BD136" s="243"/>
      <c r="BE136" s="243"/>
      <c r="BF136" s="243"/>
      <c r="BG136" s="243"/>
      <c r="BH136" s="243"/>
      <c r="BI136" s="243"/>
      <c r="BJ136" s="243"/>
      <c r="BK136" s="243"/>
      <c r="BL136" s="243"/>
      <c r="BM136" s="243"/>
      <c r="BN136" s="243"/>
      <c r="BO136" s="243"/>
      <c r="BP136" s="243"/>
      <c r="BQ136" s="243"/>
      <c r="BR136" s="243"/>
      <c r="BS136" s="243"/>
      <c r="BU136" s="242"/>
      <c r="BW136" s="243"/>
      <c r="BY136" s="242"/>
      <c r="CA136" s="243"/>
      <c r="CC136" s="242"/>
      <c r="CE136" s="243"/>
      <c r="CG136" s="242"/>
      <c r="CI136" s="243"/>
    </row>
    <row r="137" spans="1:87" s="1215" customFormat="1">
      <c r="A137" s="1222"/>
      <c r="B137" s="1223" t="str">
        <f t="shared" si="56"/>
        <v/>
      </c>
      <c r="C137" s="1210"/>
      <c r="D137" s="1211">
        <f>'1% Wind'!$M$94</f>
        <v>1.8</v>
      </c>
      <c r="E137" s="1212"/>
      <c r="F137" s="1212"/>
      <c r="G137" s="1213">
        <f ca="1">IF(I124=0.9743,$G136,MAX(G136/D136*D137,2))</f>
        <v>2</v>
      </c>
      <c r="H137" s="1214" t="e">
        <f t="shared" ca="1" si="57"/>
        <v>#VALUE!</v>
      </c>
      <c r="J137" s="1224"/>
      <c r="K137" s="1217">
        <f t="shared" si="58"/>
        <v>1</v>
      </c>
      <c r="L137" s="1218" t="e">
        <f t="shared" ca="1" si="59"/>
        <v>#VALUE!</v>
      </c>
      <c r="M137" s="1219" t="e">
        <f ca="1">IF(AND(INDEX(FlowCalConstA,MATCH(J124,FlowCalNumber,0),1,1)*L137^INDEX(FlowCalConstB,MATCH(J124,FlowCalNumber,0),1,1)&gt;INDEX(FlowCalLowSetting,MATCH(J124,FlowCalNumber,0),1,1), (INDEX(FlowCalConstA,MATCH(J124,FlowCalNumber,0),1,1)*L137^INDEX(FlowCalConstB,MATCH(J124,FlowCalNumber,0),1,1)&lt;INDEX(FlowCalHighSetting,MATCH(J124,FlowCalNumber,0),1,1))),INDEX(FlowCalConstA,MATCH(J124,FlowCalNumber,0),1,1)*L137^INDEX(FlowCalConstB,MATCH(J124,FlowCalNumber,0),1,1)," ")</f>
        <v>#N/A</v>
      </c>
      <c r="N137" s="1224"/>
      <c r="O137" s="1217">
        <f t="shared" si="60"/>
        <v>1</v>
      </c>
      <c r="P137" s="1218" t="e">
        <f t="shared" ca="1" si="61"/>
        <v>#VALUE!</v>
      </c>
      <c r="Q137" s="1219" t="e">
        <f ca="1">IF(AND(INDEX(FlowCalConstA,MATCH(N124,FlowCalNumber,0),1,1)*P137^INDEX(FlowCalConstB,MATCH(N124,FlowCalNumber,0),1,1)&gt;INDEX(FlowCalLowSetting,MATCH(N124,FlowCalNumber,0),1,1), (INDEX(FlowCalConstA,MATCH(N124,FlowCalNumber,0),1,1)*P137^INDEX(FlowCalConstB,MATCH(N124,FlowCalNumber,0),1,1)&lt;INDEX(FlowCalHighSetting,MATCH(N124,FlowCalNumber,0),1,1))),INDEX(FlowCalConstA,MATCH(N124,FlowCalNumber,0),1,1)*P137^INDEX(FlowCalConstB,MATCH(N124,FlowCalNumber,0),1,1)," ")</f>
        <v>#N/A</v>
      </c>
      <c r="R137" s="1224"/>
      <c r="S137" s="1217">
        <f t="shared" si="62"/>
        <v>1</v>
      </c>
      <c r="T137" s="1218" t="e">
        <f t="shared" ca="1" si="63"/>
        <v>#VALUE!</v>
      </c>
      <c r="U137" s="1219" t="e">
        <f ca="1">IF(AND(INDEX(FlowCalConstA,MATCH(R124,FlowCalNumber,0),1,1)*T137^INDEX(FlowCalConstB,MATCH(R124,FlowCalNumber,0),1,1)&gt;INDEX(FlowCalLowSetting,MATCH(R124,FlowCalNumber,0),1,1), (INDEX(FlowCalConstA,MATCH(R124,FlowCalNumber,0),1,1)*T137^INDEX(FlowCalConstB,MATCH(R124,FlowCalNumber,0),1,1)&lt;INDEX(FlowCalHighSetting,MATCH(R124,FlowCalNumber,0),1,1))),INDEX(FlowCalConstA,MATCH(R124,FlowCalNumber,0),1,1)*T137^INDEX(FlowCalConstB,MATCH(R124,FlowCalNumber,0),1,1)," ")</f>
        <v>#N/A</v>
      </c>
      <c r="V137" s="1224"/>
      <c r="W137" s="1217"/>
      <c r="X137" s="1218"/>
      <c r="Y137" s="1219"/>
      <c r="Z137" s="1224"/>
      <c r="AA137" s="1217"/>
      <c r="AB137" s="1218"/>
      <c r="AC137" s="1219"/>
      <c r="AD137" s="1224"/>
      <c r="AE137" s="1217"/>
      <c r="AF137" s="1218"/>
      <c r="AG137" s="1219"/>
      <c r="AH137" s="1224"/>
      <c r="AI137" s="1217"/>
      <c r="AJ137" s="1218"/>
      <c r="AK137" s="1220"/>
      <c r="AL137" s="1219"/>
      <c r="AM137" s="1219"/>
      <c r="AN137" s="1219"/>
      <c r="AO137" s="1219"/>
      <c r="AP137" s="1219"/>
      <c r="AQ137" s="1219"/>
      <c r="AR137" s="1219"/>
      <c r="AS137" s="1219"/>
      <c r="AT137" s="1219"/>
      <c r="AU137" s="1219"/>
      <c r="AV137" s="1219"/>
      <c r="AW137" s="1219"/>
      <c r="AX137" s="1219"/>
      <c r="AY137" s="1219"/>
      <c r="AZ137" s="1219"/>
      <c r="BA137" s="1219"/>
      <c r="BB137" s="1219"/>
      <c r="BC137" s="1219"/>
      <c r="BD137" s="1219"/>
      <c r="BE137" s="1219"/>
      <c r="BF137" s="1219"/>
      <c r="BG137" s="1219"/>
      <c r="BH137" s="1219"/>
      <c r="BI137" s="1219"/>
      <c r="BJ137" s="1219"/>
      <c r="BK137" s="1219"/>
      <c r="BL137" s="1219"/>
      <c r="BM137" s="1219"/>
      <c r="BN137" s="1219"/>
      <c r="BO137" s="1219"/>
      <c r="BP137" s="1219"/>
      <c r="BQ137" s="1219"/>
      <c r="BR137" s="1219"/>
      <c r="BS137" s="1219"/>
      <c r="BU137" s="1217"/>
      <c r="BW137" s="1219"/>
      <c r="BY137" s="1217"/>
      <c r="CA137" s="1219"/>
      <c r="CC137" s="1217"/>
      <c r="CE137" s="1219"/>
      <c r="CG137" s="1217"/>
      <c r="CI137" s="1219"/>
    </row>
    <row r="138" spans="1:87">
      <c r="A138" s="20"/>
      <c r="B138" s="124" t="str">
        <f t="shared" si="56"/>
        <v/>
      </c>
      <c r="C138" s="235"/>
      <c r="D138" s="24">
        <f>'1% Wind'!$M$95</f>
        <v>1.3</v>
      </c>
      <c r="E138" s="90"/>
      <c r="F138" s="90"/>
      <c r="G138" s="79">
        <f ca="1">IF(I124=0.9743,$G137,MAX(G137/D137*D138,2))</f>
        <v>2</v>
      </c>
      <c r="H138" s="121" t="e">
        <f t="shared" ca="1" si="57"/>
        <v>#VALUE!</v>
      </c>
      <c r="J138" s="33"/>
      <c r="K138" s="242">
        <f t="shared" si="58"/>
        <v>1</v>
      </c>
      <c r="L138" s="241" t="e">
        <f t="shared" ca="1" si="59"/>
        <v>#VALUE!</v>
      </c>
      <c r="M138" s="243" t="e">
        <f ca="1">IF(AND(INDEX(FlowCalConstA,MATCH(J124,FlowCalNumber,0),1,1)*L138^INDEX(FlowCalConstB,MATCH(J124,FlowCalNumber,0),1,1)&gt;INDEX(FlowCalLowSetting,MATCH(J124,FlowCalNumber,0),1,1), (INDEX(FlowCalConstA,MATCH(J124,FlowCalNumber,0),1,1)*L138^INDEX(FlowCalConstB,MATCH(J124,FlowCalNumber,0),1,1)&lt;INDEX(FlowCalHighSetting,MATCH(J124,FlowCalNumber,0),1,1))),INDEX(FlowCalConstA,MATCH(J124,FlowCalNumber,0),1,1)*L138^INDEX(FlowCalConstB,MATCH(J124,FlowCalNumber,0),1,1)," ")</f>
        <v>#N/A</v>
      </c>
      <c r="N138" s="33"/>
      <c r="O138" s="242">
        <f t="shared" si="60"/>
        <v>1</v>
      </c>
      <c r="P138" s="241" t="e">
        <f t="shared" ca="1" si="61"/>
        <v>#VALUE!</v>
      </c>
      <c r="Q138" s="243" t="e">
        <f ca="1">IF(AND(INDEX(FlowCalConstA,MATCH(N124,FlowCalNumber,0),1,1)*P138^INDEX(FlowCalConstB,MATCH(N124,FlowCalNumber,0),1,1)&gt;INDEX(FlowCalLowSetting,MATCH(N124,FlowCalNumber,0),1,1), (INDEX(FlowCalConstA,MATCH(N124,FlowCalNumber,0),1,1)*P138^INDEX(FlowCalConstB,MATCH(N124,FlowCalNumber,0),1,1)&lt;INDEX(FlowCalHighSetting,MATCH(N124,FlowCalNumber,0),1,1))),INDEX(FlowCalConstA,MATCH(N124,FlowCalNumber,0),1,1)*P138^INDEX(FlowCalConstB,MATCH(N124,FlowCalNumber,0),1,1)," ")</f>
        <v>#N/A</v>
      </c>
      <c r="R138" s="33"/>
      <c r="S138" s="242">
        <f t="shared" si="62"/>
        <v>1</v>
      </c>
      <c r="T138" s="241" t="e">
        <f t="shared" ca="1" si="63"/>
        <v>#VALUE!</v>
      </c>
      <c r="U138" s="243" t="e">
        <f ca="1">IF(AND(INDEX(FlowCalConstA,MATCH(R124,FlowCalNumber,0),1,1)*T138^INDEX(FlowCalConstB,MATCH(R124,FlowCalNumber,0),1,1)&gt;INDEX(FlowCalLowSetting,MATCH(R124,FlowCalNumber,0),1,1), (INDEX(FlowCalConstA,MATCH(R124,FlowCalNumber,0),1,1)*T138^INDEX(FlowCalConstB,MATCH(R124,FlowCalNumber,0),1,1)&lt;INDEX(FlowCalHighSetting,MATCH(R124,FlowCalNumber,0),1,1))),INDEX(FlowCalConstA,MATCH(R124,FlowCalNumber,0),1,1)*T138^INDEX(FlowCalConstB,MATCH(R124,FlowCalNumber,0),1,1)," ")</f>
        <v>#N/A</v>
      </c>
      <c r="V138" s="33"/>
      <c r="W138" s="242"/>
      <c r="X138" s="241"/>
      <c r="Y138" s="243"/>
      <c r="Z138" s="33"/>
      <c r="AA138" s="242"/>
      <c r="AB138" s="241"/>
      <c r="AC138" s="243"/>
      <c r="AD138" s="33"/>
      <c r="AE138" s="242"/>
      <c r="AF138" s="241"/>
      <c r="AG138" s="243"/>
      <c r="AH138" s="33"/>
      <c r="AI138" s="242"/>
      <c r="AJ138" s="241"/>
      <c r="AK138" s="244"/>
      <c r="AL138" s="243"/>
      <c r="AM138" s="243"/>
      <c r="AN138" s="243"/>
      <c r="AO138" s="243"/>
      <c r="AP138" s="243"/>
      <c r="AQ138" s="243"/>
      <c r="AR138" s="243"/>
      <c r="AS138" s="243"/>
      <c r="AT138" s="243"/>
      <c r="AU138" s="243"/>
      <c r="AV138" s="243"/>
      <c r="AW138" s="243"/>
      <c r="AX138" s="243"/>
      <c r="AY138" s="243"/>
      <c r="AZ138" s="243"/>
      <c r="BA138" s="243"/>
      <c r="BB138" s="243"/>
      <c r="BC138" s="243"/>
      <c r="BD138" s="243"/>
      <c r="BE138" s="243"/>
      <c r="BF138" s="243"/>
      <c r="BG138" s="243"/>
      <c r="BH138" s="243"/>
      <c r="BI138" s="243"/>
      <c r="BJ138" s="243"/>
      <c r="BK138" s="243"/>
      <c r="BL138" s="243"/>
      <c r="BM138" s="243"/>
      <c r="BN138" s="243"/>
      <c r="BO138" s="243"/>
      <c r="BP138" s="243"/>
      <c r="BQ138" s="243"/>
      <c r="BR138" s="243"/>
      <c r="BS138" s="243"/>
      <c r="BU138" s="242"/>
      <c r="BW138" s="243"/>
      <c r="BY138" s="242"/>
      <c r="CA138" s="243"/>
      <c r="CC138" s="242"/>
      <c r="CE138" s="243"/>
      <c r="CG138" s="242"/>
      <c r="CI138" s="243"/>
    </row>
    <row r="139" spans="1:87" s="1215" customFormat="1">
      <c r="A139" s="1222"/>
      <c r="B139" s="1223" t="str">
        <f t="shared" si="56"/>
        <v/>
      </c>
      <c r="C139" s="1210"/>
      <c r="D139" s="1211">
        <f>'1% Wind'!$M$96</f>
        <v>1</v>
      </c>
      <c r="E139" s="1212"/>
      <c r="F139" s="1212"/>
      <c r="G139" s="1213">
        <f ca="1">IF(I124=0.9743,$G138,MAX(G138/D138*D139,2))</f>
        <v>2</v>
      </c>
      <c r="H139" s="1214" t="e">
        <f t="shared" ca="1" si="57"/>
        <v>#VALUE!</v>
      </c>
      <c r="J139" s="1224"/>
      <c r="K139" s="1217">
        <f t="shared" si="58"/>
        <v>1</v>
      </c>
      <c r="L139" s="1218" t="e">
        <f t="shared" ca="1" si="59"/>
        <v>#VALUE!</v>
      </c>
      <c r="M139" s="1219" t="e">
        <f ca="1">IF(AND(INDEX(FlowCalConstA,MATCH(J124,FlowCalNumber,0),1,1)*L139^INDEX(FlowCalConstB,MATCH(J124,FlowCalNumber,0),1,1)&gt;INDEX(FlowCalLowSetting,MATCH(J124,FlowCalNumber,0),1,1), (INDEX(FlowCalConstA,MATCH(J124,FlowCalNumber,0),1,1)*L139^INDEX(FlowCalConstB,MATCH(J124,FlowCalNumber,0),1,1)&lt;INDEX(FlowCalHighSetting,MATCH(J124,FlowCalNumber,0),1,1))),INDEX(FlowCalConstA,MATCH(J124,FlowCalNumber,0),1,1)*L139^INDEX(FlowCalConstB,MATCH(J124,FlowCalNumber,0),1,1)," ")</f>
        <v>#N/A</v>
      </c>
      <c r="N139" s="1224"/>
      <c r="O139" s="1217">
        <f t="shared" si="60"/>
        <v>1</v>
      </c>
      <c r="P139" s="1218" t="e">
        <f t="shared" ca="1" si="61"/>
        <v>#VALUE!</v>
      </c>
      <c r="Q139" s="1219" t="e">
        <f ca="1">IF(AND(INDEX(FlowCalConstA,MATCH(N124,FlowCalNumber,0),1,1)*P139^INDEX(FlowCalConstB,MATCH(N124,FlowCalNumber,0),1,1)&gt;INDEX(FlowCalLowSetting,MATCH(N124,FlowCalNumber,0),1,1), (INDEX(FlowCalConstA,MATCH(N124,FlowCalNumber,0),1,1)*P139^INDEX(FlowCalConstB,MATCH(N124,FlowCalNumber,0),1,1)&lt;INDEX(FlowCalHighSetting,MATCH(N124,FlowCalNumber,0),1,1))),INDEX(FlowCalConstA,MATCH(N124,FlowCalNumber,0),1,1)*P139^INDEX(FlowCalConstB,MATCH(N124,FlowCalNumber,0),1,1)," ")</f>
        <v>#N/A</v>
      </c>
      <c r="R139" s="1224"/>
      <c r="S139" s="1217">
        <f t="shared" si="62"/>
        <v>1</v>
      </c>
      <c r="T139" s="1218" t="e">
        <f t="shared" ca="1" si="63"/>
        <v>#VALUE!</v>
      </c>
      <c r="U139" s="1219" t="e">
        <f ca="1">IF(AND(INDEX(FlowCalConstA,MATCH(R124,FlowCalNumber,0),1,1)*T139^INDEX(FlowCalConstB,MATCH(R124,FlowCalNumber,0),1,1)&gt;INDEX(FlowCalLowSetting,MATCH(R124,FlowCalNumber,0),1,1), (INDEX(FlowCalConstA,MATCH(R124,FlowCalNumber,0),1,1)*T139^INDEX(FlowCalConstB,MATCH(R124,FlowCalNumber,0),1,1)&lt;INDEX(FlowCalHighSetting,MATCH(R124,FlowCalNumber,0),1,1))),INDEX(FlowCalConstA,MATCH(R124,FlowCalNumber,0),1,1)*T139^INDEX(FlowCalConstB,MATCH(R124,FlowCalNumber,0),1,1)," ")</f>
        <v>#N/A</v>
      </c>
      <c r="V139" s="1224"/>
      <c r="W139" s="1217"/>
      <c r="X139" s="1218"/>
      <c r="Y139" s="1219"/>
      <c r="Z139" s="1224"/>
      <c r="AA139" s="1217"/>
      <c r="AB139" s="1218"/>
      <c r="AC139" s="1219"/>
      <c r="AD139" s="1224"/>
      <c r="AE139" s="1217"/>
      <c r="AF139" s="1218"/>
      <c r="AG139" s="1219"/>
      <c r="AH139" s="1224"/>
      <c r="AI139" s="1217"/>
      <c r="AJ139" s="1218"/>
      <c r="AK139" s="1220"/>
      <c r="AL139" s="1219"/>
      <c r="AM139" s="1219"/>
      <c r="AN139" s="1219"/>
      <c r="AO139" s="1219"/>
      <c r="AP139" s="1219"/>
      <c r="AQ139" s="1219"/>
      <c r="AR139" s="1219"/>
      <c r="AS139" s="1219"/>
      <c r="AT139" s="1219"/>
      <c r="AU139" s="1219"/>
      <c r="AV139" s="1219"/>
      <c r="AW139" s="1219"/>
      <c r="AX139" s="1219"/>
      <c r="AY139" s="1219"/>
      <c r="AZ139" s="1219"/>
      <c r="BA139" s="1219"/>
      <c r="BB139" s="1219"/>
      <c r="BC139" s="1219"/>
      <c r="BD139" s="1219"/>
      <c r="BE139" s="1219"/>
      <c r="BF139" s="1219"/>
      <c r="BG139" s="1219"/>
      <c r="BH139" s="1219"/>
      <c r="BI139" s="1219"/>
      <c r="BJ139" s="1219"/>
      <c r="BK139" s="1219"/>
      <c r="BL139" s="1219"/>
      <c r="BM139" s="1219"/>
      <c r="BN139" s="1219"/>
      <c r="BO139" s="1219"/>
      <c r="BP139" s="1219"/>
      <c r="BQ139" s="1219"/>
      <c r="BR139" s="1219"/>
      <c r="BS139" s="1219"/>
      <c r="BU139" s="1217"/>
      <c r="BW139" s="1219"/>
      <c r="BY139" s="1217"/>
      <c r="CA139" s="1219"/>
      <c r="CC139" s="1217"/>
      <c r="CE139" s="1219"/>
      <c r="CG139" s="1217"/>
      <c r="CI139" s="1219"/>
    </row>
    <row r="140" spans="1:87">
      <c r="A140" s="33"/>
      <c r="B140" s="33"/>
      <c r="C140" s="235"/>
      <c r="E140" s="90"/>
      <c r="F140" s="90"/>
      <c r="G140" s="33"/>
      <c r="J140" s="33"/>
      <c r="M140" s="243"/>
      <c r="N140" s="33"/>
      <c r="Q140" s="243"/>
      <c r="R140" s="33"/>
      <c r="U140" s="243"/>
      <c r="V140" s="33"/>
      <c r="Y140" s="243"/>
      <c r="Z140" s="33"/>
      <c r="AC140" s="243"/>
      <c r="AD140" s="33"/>
      <c r="AG140" s="243"/>
      <c r="AH140" s="33"/>
      <c r="AK140" s="244"/>
      <c r="AL140" s="243"/>
      <c r="AM140" s="243"/>
      <c r="AN140" s="243"/>
      <c r="AO140" s="243"/>
      <c r="AP140" s="243"/>
      <c r="AQ140" s="243"/>
      <c r="AR140" s="243"/>
      <c r="AS140" s="243"/>
      <c r="AT140" s="243"/>
      <c r="AU140" s="243"/>
      <c r="AV140" s="243"/>
      <c r="AW140" s="243"/>
      <c r="AX140" s="243"/>
      <c r="AY140" s="243"/>
      <c r="AZ140" s="243"/>
      <c r="BA140" s="243"/>
      <c r="BB140" s="243"/>
      <c r="BC140" s="243"/>
      <c r="BD140" s="243"/>
      <c r="BE140" s="243"/>
      <c r="BF140" s="243"/>
      <c r="BG140" s="243"/>
      <c r="BH140" s="243"/>
      <c r="BI140" s="243"/>
      <c r="BJ140" s="243"/>
      <c r="BK140" s="243"/>
      <c r="BL140" s="243"/>
      <c r="BM140" s="243"/>
      <c r="BN140" s="243"/>
      <c r="BO140" s="243"/>
      <c r="BP140" s="243"/>
      <c r="BQ140" s="243"/>
      <c r="BR140" s="243"/>
      <c r="BS140" s="243"/>
      <c r="BW140" s="243"/>
      <c r="CA140" s="243"/>
      <c r="CE140" s="243"/>
      <c r="CI140" s="243"/>
    </row>
    <row r="141" spans="1:87">
      <c r="A141" s="256" t="str">
        <f>IF((RIGHT(A124,1))&lt;&gt;"Z",CHAR(CODE(A124))&amp;CHAR(CODE(RIGHT(A124,1))+1),CHAR(CODE(A124)+1)&amp;"A")</f>
        <v>AH</v>
      </c>
      <c r="B141" s="270" t="str">
        <f>INDEX(SourceID,MATCH($A141,SourceNumber,0),1,1)</f>
        <v>EF-8</v>
      </c>
      <c r="C141" s="354">
        <f>INDEX(SourceExitDiameter,MATCH($A141,SourceNumber,0),1,1)*3.28*12</f>
        <v>110</v>
      </c>
      <c r="D141" s="24" t="str">
        <f>UAnem1percent</f>
        <v>1% Wind</v>
      </c>
      <c r="E141" s="350" t="e">
        <f ca="1">INDIRECT(ADDRESS(53,6,1,,CONCATENATE("TA",$A141)))</f>
        <v>#REF!</v>
      </c>
      <c r="F141" s="625" t="e">
        <f ca="1">(ROUND((INDIRECT(ADDRESS(15,7,1,,CONCATENATE("TA",$A141)))*3.28*12*32),0)&amp;"/32")</f>
        <v>#REF!</v>
      </c>
      <c r="G141" s="125">
        <f ca="1">INDIRECT(ADDRESS(29,7,1,,$A141))</f>
        <v>6.001707317073171</v>
      </c>
      <c r="H141" s="24" t="e">
        <f ca="1">INDIRECT(ADDRESS(19,7,1,,$A141))*100^3</f>
        <v>#VALUE!</v>
      </c>
      <c r="I141" s="941">
        <f ca="1">INDIRECT(ADDRESS(53,7,1,,$A141))</f>
        <v>0.97430000000000005</v>
      </c>
      <c r="J141" s="20" t="str">
        <f ca="1">IF($I141=$I$6,K$16&amp;$G$6&amp;J$6,IF($I141=$I$7,K$16&amp;$G$7&amp;J$7,"Bad"))</f>
        <v>100N2Pick a Tunnel</v>
      </c>
      <c r="K141" t="e">
        <f ca="1">INDEX(FlowCalGasMixture,MATCH(J141,FlowCalNumber,0),1,1)</f>
        <v>#N/A</v>
      </c>
      <c r="M141" s="944" t="e">
        <f ca="1">INDEX(FlowCalDevice,MATCH(J141,FlowCalNumber,0),1,1)</f>
        <v>#N/A</v>
      </c>
      <c r="N141" s="20" t="str">
        <f ca="1">IF($I141=$I$6,O$16&amp;$G$6&amp;N$6,IF($I141=$I$7,O$16&amp;$G$7&amp;N$7,"Bad"))</f>
        <v>100N2Pick a Tunnel</v>
      </c>
      <c r="O141" t="e">
        <f ca="1">INDEX(FlowCalGasMixture,MATCH(N141,FlowCalNumber,0),1,1)</f>
        <v>#N/A</v>
      </c>
      <c r="Q141" s="944" t="e">
        <f ca="1">INDEX(FlowCalDevice,MATCH(N141,FlowCalNumber,0),1,1)</f>
        <v>#N/A</v>
      </c>
      <c r="R141" s="20" t="str">
        <f ca="1">IF($I141=$I$6,S$16&amp;$G$6&amp;R$6,IF($I141=$I$7,S$16&amp;$G$7&amp;R$7,"Bad"))</f>
        <v>100N2Pick a Tunnel</v>
      </c>
      <c r="S141" t="e">
        <f ca="1">INDEX(FlowCalGasMixture,MATCH(R141,FlowCalNumber,0),1,1)</f>
        <v>#N/A</v>
      </c>
      <c r="U141" s="944" t="e">
        <f ca="1">INDEX(FlowCalDevice,MATCH(R141,FlowCalNumber,0),1,1)</f>
        <v>#N/A</v>
      </c>
      <c r="V141" s="20"/>
      <c r="Y141" s="944"/>
      <c r="Z141" s="946"/>
      <c r="AC141" s="944"/>
      <c r="AD141" s="20"/>
      <c r="AG141" s="944"/>
      <c r="AH141" s="946"/>
      <c r="AK141" s="982"/>
      <c r="AL141" s="355"/>
      <c r="AM141" s="355"/>
      <c r="AN141" s="355"/>
      <c r="AO141" s="355"/>
      <c r="AP141" s="355"/>
      <c r="AQ141" s="355"/>
      <c r="AR141" s="355"/>
      <c r="AS141" s="355"/>
      <c r="AT141" s="355"/>
      <c r="AU141" s="355"/>
      <c r="AV141" s="355"/>
      <c r="AW141" s="355"/>
      <c r="AX141" s="355"/>
      <c r="AY141" s="355"/>
      <c r="AZ141" s="355"/>
      <c r="BA141" s="355"/>
      <c r="BB141" s="355"/>
      <c r="BC141" s="355"/>
      <c r="BD141" s="355"/>
      <c r="BE141" s="355"/>
      <c r="BF141" s="355"/>
      <c r="BG141" s="355"/>
      <c r="BH141" s="355"/>
      <c r="BI141" s="355"/>
      <c r="BJ141" s="355"/>
      <c r="BK141" s="355"/>
      <c r="BL141" s="355"/>
      <c r="BM141" s="355"/>
      <c r="BN141" s="355"/>
      <c r="BO141" s="355"/>
      <c r="BP141" s="355"/>
      <c r="BQ141" s="355"/>
      <c r="BR141" s="355"/>
      <c r="BS141" s="355"/>
      <c r="BT141" s="46"/>
      <c r="BU141" s="16"/>
      <c r="BW141" s="355"/>
      <c r="BX141" s="42"/>
      <c r="BY141" s="16"/>
      <c r="CA141" s="355"/>
      <c r="CB141" s="42"/>
      <c r="CC141" s="16"/>
      <c r="CE141" s="355"/>
      <c r="CF141" s="42"/>
      <c r="CG141" s="16"/>
      <c r="CI141" s="355"/>
    </row>
    <row r="142" spans="1:87" s="1215" customFormat="1">
      <c r="A142" s="1222"/>
      <c r="B142" s="1223" t="str">
        <f t="shared" ref="B142:B156" si="64">IF(D142=UAnem1percent,"1% Wind","")</f>
        <v/>
      </c>
      <c r="C142" s="1210"/>
      <c r="D142" s="1211">
        <f>'1% Wind'!$M$82</f>
        <v>27</v>
      </c>
      <c r="E142" s="1212"/>
      <c r="F142" s="1212"/>
      <c r="G142" s="1364">
        <v>2</v>
      </c>
      <c r="H142" s="1214" t="e">
        <f t="shared" ref="H142:H156" ca="1" si="65">H141*(D141/D142)*(G142/G141)</f>
        <v>#VALUE!</v>
      </c>
      <c r="J142" s="1224"/>
      <c r="K142" s="1221">
        <f>K$17/100</f>
        <v>1</v>
      </c>
      <c r="L142" s="1218" t="e">
        <f ca="1">K142*$H142</f>
        <v>#VALUE!</v>
      </c>
      <c r="M142" s="1219" t="e">
        <f ca="1">IF(AND(INDEX(FlowCalConstA,MATCH(J141,FlowCalNumber,0),1,1)*L142^INDEX(FlowCalConstB,MATCH(J141,FlowCalNumber,0),1,1)&gt;INDEX(FlowCalLowSetting,MATCH(J141,FlowCalNumber,0),1,1), (INDEX(FlowCalConstA,MATCH(J141,FlowCalNumber,0),1,1)*L142^INDEX(FlowCalConstB,MATCH(J141,FlowCalNumber,0),1,1)&lt;INDEX(FlowCalHighSetting,MATCH(J141,FlowCalNumber,0),1,1))),INDEX(FlowCalConstA,MATCH(J141,FlowCalNumber,0),1,1)*L142^INDEX(FlowCalConstB,MATCH(J141,FlowCalNumber,0),1,1)," ")</f>
        <v>#N/A</v>
      </c>
      <c r="N142" s="1224"/>
      <c r="O142" s="1221">
        <f>O$17/100</f>
        <v>1</v>
      </c>
      <c r="P142" s="1218" t="e">
        <f ca="1">O142*$H142</f>
        <v>#VALUE!</v>
      </c>
      <c r="Q142" s="1219" t="e">
        <f ca="1">IF(AND(INDEX(FlowCalConstA,MATCH(N141,FlowCalNumber,0),1,1)*P142^INDEX(FlowCalConstB,MATCH(N141,FlowCalNumber,0),1,1)&gt;INDEX(FlowCalLowSetting,MATCH(N141,FlowCalNumber,0),1,1), (INDEX(FlowCalConstA,MATCH(N141,FlowCalNumber,0),1,1)*P142^INDEX(FlowCalConstB,MATCH(N141,FlowCalNumber,0),1,1)&lt;INDEX(FlowCalHighSetting,MATCH(N141,FlowCalNumber,0),1,1))),INDEX(FlowCalConstA,MATCH(N141,FlowCalNumber,0),1,1)*P142^INDEX(FlowCalConstB,MATCH(N141,FlowCalNumber,0),1,1)," ")</f>
        <v>#N/A</v>
      </c>
      <c r="R142" s="1224"/>
      <c r="S142" s="1221">
        <f>S$17/100</f>
        <v>1</v>
      </c>
      <c r="T142" s="1218" t="e">
        <f ca="1">S142*$H142</f>
        <v>#VALUE!</v>
      </c>
      <c r="U142" s="1219" t="e">
        <f ca="1">IF(AND(INDEX(FlowCalConstA,MATCH(R141,FlowCalNumber,0),1,1)*T142^INDEX(FlowCalConstB,MATCH(R141,FlowCalNumber,0),1,1)&gt;INDEX(FlowCalLowSetting,MATCH(R141,FlowCalNumber,0),1,1), (INDEX(FlowCalConstA,MATCH(R141,FlowCalNumber,0),1,1)*T142^INDEX(FlowCalConstB,MATCH(R141,FlowCalNumber,0),1,1)&lt;INDEX(FlowCalHighSetting,MATCH(R141,FlowCalNumber,0),1,1))),INDEX(FlowCalConstA,MATCH(R141,FlowCalNumber,0),1,1)*T142^INDEX(FlowCalConstB,MATCH(R141,FlowCalNumber,0),1,1)," ")</f>
        <v>#N/A</v>
      </c>
      <c r="V142" s="1224"/>
      <c r="W142" s="1221"/>
      <c r="X142" s="1218"/>
      <c r="Y142" s="1219"/>
      <c r="Z142" s="1224"/>
      <c r="AA142" s="1221"/>
      <c r="AB142" s="1218"/>
      <c r="AC142" s="1219"/>
      <c r="AD142" s="1224"/>
      <c r="AE142" s="1221"/>
      <c r="AF142" s="1218"/>
      <c r="AG142" s="1219"/>
      <c r="AH142" s="1224"/>
      <c r="AI142" s="1221"/>
      <c r="AJ142" s="1218"/>
      <c r="AK142" s="1220"/>
      <c r="AL142" s="1219"/>
      <c r="AM142" s="1219"/>
      <c r="AN142" s="1219"/>
      <c r="AO142" s="1219"/>
      <c r="AP142" s="1219"/>
      <c r="AQ142" s="1219"/>
      <c r="AR142" s="1219"/>
      <c r="AS142" s="1219"/>
      <c r="AT142" s="1219"/>
      <c r="AU142" s="1219"/>
      <c r="AV142" s="1219"/>
      <c r="AW142" s="1219"/>
      <c r="AX142" s="1219"/>
      <c r="AY142" s="1219"/>
      <c r="AZ142" s="1219"/>
      <c r="BA142" s="1219"/>
      <c r="BB142" s="1219"/>
      <c r="BC142" s="1219"/>
      <c r="BD142" s="1219"/>
      <c r="BE142" s="1219"/>
      <c r="BF142" s="1219"/>
      <c r="BG142" s="1219"/>
      <c r="BH142" s="1219"/>
      <c r="BI142" s="1219"/>
      <c r="BJ142" s="1219"/>
      <c r="BK142" s="1219"/>
      <c r="BL142" s="1219"/>
      <c r="BM142" s="1219"/>
      <c r="BN142" s="1219"/>
      <c r="BO142" s="1219"/>
      <c r="BP142" s="1219"/>
      <c r="BQ142" s="1219"/>
      <c r="BR142" s="1219"/>
      <c r="BS142" s="1219"/>
      <c r="BU142" s="1225"/>
      <c r="BW142" s="1219"/>
      <c r="BY142" s="1225"/>
      <c r="CA142" s="1219"/>
      <c r="CC142" s="1225"/>
      <c r="CE142" s="1219"/>
      <c r="CG142" s="1221"/>
      <c r="CI142" s="1219"/>
    </row>
    <row r="143" spans="1:87">
      <c r="A143" s="20"/>
      <c r="B143" s="124" t="str">
        <f t="shared" si="64"/>
        <v/>
      </c>
      <c r="C143" s="235"/>
      <c r="D143" s="24">
        <f>'1% Wind'!$M$83</f>
        <v>23.5</v>
      </c>
      <c r="E143" s="90"/>
      <c r="F143" s="90"/>
      <c r="G143" s="79">
        <f ca="1">IF(I141=0.9743,$G142,MAX(G142/D142*D143,2))</f>
        <v>2</v>
      </c>
      <c r="H143" s="121" t="e">
        <f t="shared" ca="1" si="65"/>
        <v>#VALUE!</v>
      </c>
      <c r="J143" s="33"/>
      <c r="K143" s="242">
        <f t="shared" ref="K143:K156" si="66">K142</f>
        <v>1</v>
      </c>
      <c r="L143" s="241" t="e">
        <f t="shared" ref="L143:L156" ca="1" si="67">K143*$H143</f>
        <v>#VALUE!</v>
      </c>
      <c r="M143" s="243" t="e">
        <f ca="1">IF(AND(INDEX(FlowCalConstA,MATCH(J141,FlowCalNumber,0),1,1)*L143^INDEX(FlowCalConstB,MATCH(J141,FlowCalNumber,0),1,1)&gt;INDEX(FlowCalLowSetting,MATCH(J141,FlowCalNumber,0),1,1), (INDEX(FlowCalConstA,MATCH(J141,FlowCalNumber,0),1,1)*L143^INDEX(FlowCalConstB,MATCH(J141,FlowCalNumber,0),1,1)&lt;INDEX(FlowCalHighSetting,MATCH(J141,FlowCalNumber,0),1,1))),INDEX(FlowCalConstA,MATCH(J141,FlowCalNumber,0),1,1)*L143^INDEX(FlowCalConstB,MATCH(J141,FlowCalNumber,0),1,1)," ")</f>
        <v>#N/A</v>
      </c>
      <c r="N143" s="33"/>
      <c r="O143" s="242">
        <f t="shared" ref="O143:O156" si="68">O142</f>
        <v>1</v>
      </c>
      <c r="P143" s="241" t="e">
        <f t="shared" ref="P143:P156" ca="1" si="69">O143*$H143</f>
        <v>#VALUE!</v>
      </c>
      <c r="Q143" s="243" t="e">
        <f ca="1">IF(AND(INDEX(FlowCalConstA,MATCH(N141,FlowCalNumber,0),1,1)*P143^INDEX(FlowCalConstB,MATCH(N141,FlowCalNumber,0),1,1)&gt;INDEX(FlowCalLowSetting,MATCH(N141,FlowCalNumber,0),1,1), (INDEX(FlowCalConstA,MATCH(N141,FlowCalNumber,0),1,1)*P143^INDEX(FlowCalConstB,MATCH(N141,FlowCalNumber,0),1,1)&lt;INDEX(FlowCalHighSetting,MATCH(N141,FlowCalNumber,0),1,1))),INDEX(FlowCalConstA,MATCH(N141,FlowCalNumber,0),1,1)*P143^INDEX(FlowCalConstB,MATCH(N141,FlowCalNumber,0),1,1)," ")</f>
        <v>#N/A</v>
      </c>
      <c r="R143" s="33"/>
      <c r="S143" s="242">
        <f t="shared" ref="S143:S156" si="70">S142</f>
        <v>1</v>
      </c>
      <c r="T143" s="241" t="e">
        <f t="shared" ref="T143:T156" ca="1" si="71">S143*$H143</f>
        <v>#VALUE!</v>
      </c>
      <c r="U143" s="243" t="e">
        <f ca="1">IF(AND(INDEX(FlowCalConstA,MATCH(R141,FlowCalNumber,0),1,1)*T143^INDEX(FlowCalConstB,MATCH(R141,FlowCalNumber,0),1,1)&gt;INDEX(FlowCalLowSetting,MATCH(R141,FlowCalNumber,0),1,1), (INDEX(FlowCalConstA,MATCH(R141,FlowCalNumber,0),1,1)*T143^INDEX(FlowCalConstB,MATCH(R141,FlowCalNumber,0),1,1)&lt;INDEX(FlowCalHighSetting,MATCH(R141,FlowCalNumber,0),1,1))),INDEX(FlowCalConstA,MATCH(R141,FlowCalNumber,0),1,1)*T143^INDEX(FlowCalConstB,MATCH(R141,FlowCalNumber,0),1,1)," ")</f>
        <v>#N/A</v>
      </c>
      <c r="V143" s="33"/>
      <c r="W143" s="242"/>
      <c r="X143" s="241"/>
      <c r="Y143" s="243"/>
      <c r="Z143" s="33"/>
      <c r="AA143" s="242"/>
      <c r="AB143" s="241"/>
      <c r="AC143" s="243"/>
      <c r="AD143" s="33"/>
      <c r="AE143" s="242"/>
      <c r="AF143" s="241"/>
      <c r="AG143" s="243"/>
      <c r="AH143" s="33"/>
      <c r="AI143" s="242"/>
      <c r="AJ143" s="241"/>
      <c r="AK143" s="244"/>
      <c r="AL143" s="243"/>
      <c r="AM143" s="243"/>
      <c r="AN143" s="243"/>
      <c r="AO143" s="243"/>
      <c r="AP143" s="243"/>
      <c r="AQ143" s="243"/>
      <c r="AR143" s="243"/>
      <c r="AS143" s="243"/>
      <c r="AT143" s="243"/>
      <c r="AU143" s="243"/>
      <c r="AV143" s="243"/>
      <c r="AW143" s="243"/>
      <c r="AX143" s="243"/>
      <c r="AY143" s="243"/>
      <c r="AZ143" s="243"/>
      <c r="BA143" s="243"/>
      <c r="BB143" s="243"/>
      <c r="BC143" s="243"/>
      <c r="BD143" s="243"/>
      <c r="BE143" s="243"/>
      <c r="BF143" s="243"/>
      <c r="BG143" s="243"/>
      <c r="BH143" s="243"/>
      <c r="BI143" s="243"/>
      <c r="BJ143" s="243"/>
      <c r="BK143" s="243"/>
      <c r="BL143" s="243"/>
      <c r="BM143" s="243"/>
      <c r="BN143" s="243"/>
      <c r="BO143" s="243"/>
      <c r="BP143" s="243"/>
      <c r="BQ143" s="243"/>
      <c r="BR143" s="243"/>
      <c r="BS143" s="243"/>
      <c r="BU143" s="242"/>
      <c r="BW143" s="243"/>
      <c r="BY143" s="242"/>
      <c r="CA143" s="243"/>
      <c r="CC143" s="242"/>
      <c r="CE143" s="243"/>
      <c r="CG143" s="242"/>
      <c r="CI143" s="243"/>
    </row>
    <row r="144" spans="1:87" s="1215" customFormat="1">
      <c r="A144" s="1222"/>
      <c r="B144" s="1223" t="str">
        <f t="shared" si="64"/>
        <v/>
      </c>
      <c r="C144" s="1210"/>
      <c r="D144" s="1211">
        <f>'1% Wind'!$M$84</f>
        <v>20.5</v>
      </c>
      <c r="E144" s="1212"/>
      <c r="F144" s="1212"/>
      <c r="G144" s="1213">
        <f ca="1">IF(I141=0.9743,$G143,MAX(G143/D143*D144,2))</f>
        <v>2</v>
      </c>
      <c r="H144" s="1214" t="e">
        <f t="shared" ca="1" si="65"/>
        <v>#VALUE!</v>
      </c>
      <c r="J144" s="1224"/>
      <c r="K144" s="1217">
        <f t="shared" si="66"/>
        <v>1</v>
      </c>
      <c r="L144" s="1218" t="e">
        <f t="shared" ca="1" si="67"/>
        <v>#VALUE!</v>
      </c>
      <c r="M144" s="1219" t="e">
        <f ca="1">IF(AND(INDEX(FlowCalConstA,MATCH(J141,FlowCalNumber,0),1,1)*L144^INDEX(FlowCalConstB,MATCH(J141,FlowCalNumber,0),1,1)&gt;INDEX(FlowCalLowSetting,MATCH(J141,FlowCalNumber,0),1,1), (INDEX(FlowCalConstA,MATCH(J141,FlowCalNumber,0),1,1)*L144^INDEX(FlowCalConstB,MATCH(J141,FlowCalNumber,0),1,1)&lt;INDEX(FlowCalHighSetting,MATCH(J141,FlowCalNumber,0),1,1))),INDEX(FlowCalConstA,MATCH(J141,FlowCalNumber,0),1,1)*L144^INDEX(FlowCalConstB,MATCH(J141,FlowCalNumber,0),1,1)," ")</f>
        <v>#N/A</v>
      </c>
      <c r="N144" s="1224"/>
      <c r="O144" s="1217">
        <f t="shared" si="68"/>
        <v>1</v>
      </c>
      <c r="P144" s="1218" t="e">
        <f t="shared" ca="1" si="69"/>
        <v>#VALUE!</v>
      </c>
      <c r="Q144" s="1219" t="e">
        <f ca="1">IF(AND(INDEX(FlowCalConstA,MATCH(N141,FlowCalNumber,0),1,1)*P144^INDEX(FlowCalConstB,MATCH(N141,FlowCalNumber,0),1,1)&gt;INDEX(FlowCalLowSetting,MATCH(N141,FlowCalNumber,0),1,1), (INDEX(FlowCalConstA,MATCH(N141,FlowCalNumber,0),1,1)*P144^INDEX(FlowCalConstB,MATCH(N141,FlowCalNumber,0),1,1)&lt;INDEX(FlowCalHighSetting,MATCH(N141,FlowCalNumber,0),1,1))),INDEX(FlowCalConstA,MATCH(N141,FlowCalNumber,0),1,1)*P144^INDEX(FlowCalConstB,MATCH(N141,FlowCalNumber,0),1,1)," ")</f>
        <v>#N/A</v>
      </c>
      <c r="R144" s="1224"/>
      <c r="S144" s="1217">
        <f t="shared" si="70"/>
        <v>1</v>
      </c>
      <c r="T144" s="1218" t="e">
        <f t="shared" ca="1" si="71"/>
        <v>#VALUE!</v>
      </c>
      <c r="U144" s="1219" t="e">
        <f ca="1">IF(AND(INDEX(FlowCalConstA,MATCH(R141,FlowCalNumber,0),1,1)*T144^INDEX(FlowCalConstB,MATCH(R141,FlowCalNumber,0),1,1)&gt;INDEX(FlowCalLowSetting,MATCH(R141,FlowCalNumber,0),1,1), (INDEX(FlowCalConstA,MATCH(R141,FlowCalNumber,0),1,1)*T144^INDEX(FlowCalConstB,MATCH(R141,FlowCalNumber,0),1,1)&lt;INDEX(FlowCalHighSetting,MATCH(R141,FlowCalNumber,0),1,1))),INDEX(FlowCalConstA,MATCH(R141,FlowCalNumber,0),1,1)*T144^INDEX(FlowCalConstB,MATCH(R141,FlowCalNumber,0),1,1)," ")</f>
        <v>#N/A</v>
      </c>
      <c r="V144" s="1224"/>
      <c r="W144" s="1217"/>
      <c r="X144" s="1218"/>
      <c r="Y144" s="1219"/>
      <c r="Z144" s="1224"/>
      <c r="AA144" s="1217"/>
      <c r="AB144" s="1218"/>
      <c r="AC144" s="1219"/>
      <c r="AD144" s="1224"/>
      <c r="AE144" s="1217"/>
      <c r="AF144" s="1218"/>
      <c r="AG144" s="1219"/>
      <c r="AH144" s="1224"/>
      <c r="AI144" s="1217"/>
      <c r="AJ144" s="1218"/>
      <c r="AK144" s="1220"/>
      <c r="AL144" s="1219"/>
      <c r="AM144" s="1219"/>
      <c r="AN144" s="1219"/>
      <c r="AO144" s="1219"/>
      <c r="AP144" s="1219"/>
      <c r="AQ144" s="1219"/>
      <c r="AR144" s="1219"/>
      <c r="AS144" s="1219"/>
      <c r="AT144" s="1219"/>
      <c r="AU144" s="1219"/>
      <c r="AV144" s="1219"/>
      <c r="AW144" s="1219"/>
      <c r="AX144" s="1219"/>
      <c r="AY144" s="1219"/>
      <c r="AZ144" s="1219"/>
      <c r="BA144" s="1219"/>
      <c r="BB144" s="1219"/>
      <c r="BC144" s="1219"/>
      <c r="BD144" s="1219"/>
      <c r="BE144" s="1219"/>
      <c r="BF144" s="1219"/>
      <c r="BG144" s="1219"/>
      <c r="BH144" s="1219"/>
      <c r="BI144" s="1219"/>
      <c r="BJ144" s="1219"/>
      <c r="BK144" s="1219"/>
      <c r="BL144" s="1219"/>
      <c r="BM144" s="1219"/>
      <c r="BN144" s="1219"/>
      <c r="BO144" s="1219"/>
      <c r="BP144" s="1219"/>
      <c r="BQ144" s="1219"/>
      <c r="BR144" s="1219"/>
      <c r="BS144" s="1219"/>
      <c r="BU144" s="1217"/>
      <c r="BW144" s="1219"/>
      <c r="BY144" s="1217"/>
      <c r="CA144" s="1219"/>
      <c r="CC144" s="1217"/>
      <c r="CE144" s="1219"/>
      <c r="CG144" s="1217"/>
      <c r="CI144" s="1219"/>
    </row>
    <row r="145" spans="1:87">
      <c r="A145" s="20"/>
      <c r="B145" s="124" t="str">
        <f t="shared" si="64"/>
        <v/>
      </c>
      <c r="C145" s="235"/>
      <c r="D145" s="24">
        <f>'1% Wind'!$M$85</f>
        <v>17.8</v>
      </c>
      <c r="E145" s="90"/>
      <c r="F145" s="90"/>
      <c r="G145" s="79">
        <f ca="1">IF(I141=0.9743,$G144,MAX(G144/D144*D145,2))</f>
        <v>2</v>
      </c>
      <c r="H145" s="121" t="e">
        <f t="shared" ca="1" si="65"/>
        <v>#VALUE!</v>
      </c>
      <c r="J145" s="33"/>
      <c r="K145" s="242">
        <f t="shared" si="66"/>
        <v>1</v>
      </c>
      <c r="L145" s="241" t="e">
        <f t="shared" ca="1" si="67"/>
        <v>#VALUE!</v>
      </c>
      <c r="M145" s="243" t="e">
        <f ca="1">IF(AND(INDEX(FlowCalConstA,MATCH(J141,FlowCalNumber,0),1,1)*L145^INDEX(FlowCalConstB,MATCH(J141,FlowCalNumber,0),1,1)&gt;INDEX(FlowCalLowSetting,MATCH(J141,FlowCalNumber,0),1,1), (INDEX(FlowCalConstA,MATCH(J141,FlowCalNumber,0),1,1)*L145^INDEX(FlowCalConstB,MATCH(J141,FlowCalNumber,0),1,1)&lt;INDEX(FlowCalHighSetting,MATCH(J141,FlowCalNumber,0),1,1))),INDEX(FlowCalConstA,MATCH(J141,FlowCalNumber,0),1,1)*L145^INDEX(FlowCalConstB,MATCH(J141,FlowCalNumber,0),1,1)," ")</f>
        <v>#N/A</v>
      </c>
      <c r="N145" s="33"/>
      <c r="O145" s="242">
        <f t="shared" si="68"/>
        <v>1</v>
      </c>
      <c r="P145" s="241" t="e">
        <f t="shared" ca="1" si="69"/>
        <v>#VALUE!</v>
      </c>
      <c r="Q145" s="243" t="e">
        <f ca="1">IF(AND(INDEX(FlowCalConstA,MATCH(N141,FlowCalNumber,0),1,1)*P145^INDEX(FlowCalConstB,MATCH(N141,FlowCalNumber,0),1,1)&gt;INDEX(FlowCalLowSetting,MATCH(N141,FlowCalNumber,0),1,1), (INDEX(FlowCalConstA,MATCH(N141,FlowCalNumber,0),1,1)*P145^INDEX(FlowCalConstB,MATCH(N141,FlowCalNumber,0),1,1)&lt;INDEX(FlowCalHighSetting,MATCH(N141,FlowCalNumber,0),1,1))),INDEX(FlowCalConstA,MATCH(N141,FlowCalNumber,0),1,1)*P145^INDEX(FlowCalConstB,MATCH(N141,FlowCalNumber,0),1,1)," ")</f>
        <v>#N/A</v>
      </c>
      <c r="R145" s="33"/>
      <c r="S145" s="242">
        <f t="shared" si="70"/>
        <v>1</v>
      </c>
      <c r="T145" s="241" t="e">
        <f t="shared" ca="1" si="71"/>
        <v>#VALUE!</v>
      </c>
      <c r="U145" s="243" t="e">
        <f ca="1">IF(AND(INDEX(FlowCalConstA,MATCH(R141,FlowCalNumber,0),1,1)*T145^INDEX(FlowCalConstB,MATCH(R141,FlowCalNumber,0),1,1)&gt;INDEX(FlowCalLowSetting,MATCH(R141,FlowCalNumber,0),1,1), (INDEX(FlowCalConstA,MATCH(R141,FlowCalNumber,0),1,1)*T145^INDEX(FlowCalConstB,MATCH(R141,FlowCalNumber,0),1,1)&lt;INDEX(FlowCalHighSetting,MATCH(R141,FlowCalNumber,0),1,1))),INDEX(FlowCalConstA,MATCH(R141,FlowCalNumber,0),1,1)*T145^INDEX(FlowCalConstB,MATCH(R141,FlowCalNumber,0),1,1)," ")</f>
        <v>#N/A</v>
      </c>
      <c r="V145" s="33"/>
      <c r="W145" s="242"/>
      <c r="X145" s="241"/>
      <c r="Y145" s="243"/>
      <c r="Z145" s="33"/>
      <c r="AA145" s="242"/>
      <c r="AB145" s="241"/>
      <c r="AC145" s="243"/>
      <c r="AD145" s="33"/>
      <c r="AE145" s="242"/>
      <c r="AF145" s="241"/>
      <c r="AG145" s="243"/>
      <c r="AH145" s="33"/>
      <c r="AI145" s="242"/>
      <c r="AJ145" s="241"/>
      <c r="AK145" s="244"/>
      <c r="AL145" s="243"/>
      <c r="AM145" s="243"/>
      <c r="AN145" s="243"/>
      <c r="AO145" s="243"/>
      <c r="AP145" s="243"/>
      <c r="AQ145" s="243"/>
      <c r="AR145" s="243"/>
      <c r="AS145" s="243"/>
      <c r="AT145" s="243"/>
      <c r="AU145" s="243"/>
      <c r="AV145" s="243"/>
      <c r="AW145" s="243"/>
      <c r="AX145" s="243"/>
      <c r="AY145" s="243"/>
      <c r="AZ145" s="243"/>
      <c r="BA145" s="243"/>
      <c r="BB145" s="243"/>
      <c r="BC145" s="243"/>
      <c r="BD145" s="243"/>
      <c r="BE145" s="243"/>
      <c r="BF145" s="243"/>
      <c r="BG145" s="243"/>
      <c r="BH145" s="243"/>
      <c r="BI145" s="243"/>
      <c r="BJ145" s="243"/>
      <c r="BK145" s="243"/>
      <c r="BL145" s="243"/>
      <c r="BM145" s="243"/>
      <c r="BN145" s="243"/>
      <c r="BO145" s="243"/>
      <c r="BP145" s="243"/>
      <c r="BQ145" s="243"/>
      <c r="BR145" s="243"/>
      <c r="BS145" s="243"/>
      <c r="BU145" s="242"/>
      <c r="BW145" s="243"/>
      <c r="BY145" s="242"/>
      <c r="CA145" s="243"/>
      <c r="CC145" s="242"/>
      <c r="CE145" s="243"/>
      <c r="CG145" s="242"/>
      <c r="CI145" s="243"/>
    </row>
    <row r="146" spans="1:87" s="1215" customFormat="1">
      <c r="A146" s="1222"/>
      <c r="B146" s="1223" t="str">
        <f t="shared" si="64"/>
        <v/>
      </c>
      <c r="C146" s="1210"/>
      <c r="D146" s="1211">
        <f>'1% Wind'!$M$86</f>
        <v>15.5</v>
      </c>
      <c r="E146" s="1212"/>
      <c r="F146" s="1212"/>
      <c r="G146" s="1213">
        <f ca="1">IF(I141=0.9743,$G145,MAX(G145/D145*D146,2))</f>
        <v>2</v>
      </c>
      <c r="H146" s="1214" t="e">
        <f t="shared" ca="1" si="65"/>
        <v>#VALUE!</v>
      </c>
      <c r="J146" s="1224"/>
      <c r="K146" s="1217">
        <f t="shared" si="66"/>
        <v>1</v>
      </c>
      <c r="L146" s="1218" t="e">
        <f t="shared" ca="1" si="67"/>
        <v>#VALUE!</v>
      </c>
      <c r="M146" s="1219" t="e">
        <f ca="1">IF(AND(INDEX(FlowCalConstA,MATCH(J141,FlowCalNumber,0),1,1)*L146^INDEX(FlowCalConstB,MATCH(J141,FlowCalNumber,0),1,1)&gt;INDEX(FlowCalLowSetting,MATCH(J141,FlowCalNumber,0),1,1), (INDEX(FlowCalConstA,MATCH(J141,FlowCalNumber,0),1,1)*L146^INDEX(FlowCalConstB,MATCH(J141,FlowCalNumber,0),1,1)&lt;INDEX(FlowCalHighSetting,MATCH(J141,FlowCalNumber,0),1,1))),INDEX(FlowCalConstA,MATCH(J141,FlowCalNumber,0),1,1)*L146^INDEX(FlowCalConstB,MATCH(J141,FlowCalNumber,0),1,1)," ")</f>
        <v>#N/A</v>
      </c>
      <c r="N146" s="1224"/>
      <c r="O146" s="1217">
        <f t="shared" si="68"/>
        <v>1</v>
      </c>
      <c r="P146" s="1218" t="e">
        <f t="shared" ca="1" si="69"/>
        <v>#VALUE!</v>
      </c>
      <c r="Q146" s="1219" t="e">
        <f ca="1">IF(AND(INDEX(FlowCalConstA,MATCH(N141,FlowCalNumber,0),1,1)*P146^INDEX(FlowCalConstB,MATCH(N141,FlowCalNumber,0),1,1)&gt;INDEX(FlowCalLowSetting,MATCH(N141,FlowCalNumber,0),1,1), (INDEX(FlowCalConstA,MATCH(N141,FlowCalNumber,0),1,1)*P146^INDEX(FlowCalConstB,MATCH(N141,FlowCalNumber,0),1,1)&lt;INDEX(FlowCalHighSetting,MATCH(N141,FlowCalNumber,0),1,1))),INDEX(FlowCalConstA,MATCH(N141,FlowCalNumber,0),1,1)*P146^INDEX(FlowCalConstB,MATCH(N141,FlowCalNumber,0),1,1)," ")</f>
        <v>#N/A</v>
      </c>
      <c r="R146" s="1224"/>
      <c r="S146" s="1217">
        <f t="shared" si="70"/>
        <v>1</v>
      </c>
      <c r="T146" s="1218" t="e">
        <f t="shared" ca="1" si="71"/>
        <v>#VALUE!</v>
      </c>
      <c r="U146" s="1219" t="e">
        <f ca="1">IF(AND(INDEX(FlowCalConstA,MATCH(R141,FlowCalNumber,0),1,1)*T146^INDEX(FlowCalConstB,MATCH(R141,FlowCalNumber,0),1,1)&gt;INDEX(FlowCalLowSetting,MATCH(R141,FlowCalNumber,0),1,1), (INDEX(FlowCalConstA,MATCH(R141,FlowCalNumber,0),1,1)*T146^INDEX(FlowCalConstB,MATCH(R141,FlowCalNumber,0),1,1)&lt;INDEX(FlowCalHighSetting,MATCH(R141,FlowCalNumber,0),1,1))),INDEX(FlowCalConstA,MATCH(R141,FlowCalNumber,0),1,1)*T146^INDEX(FlowCalConstB,MATCH(R141,FlowCalNumber,0),1,1)," ")</f>
        <v>#N/A</v>
      </c>
      <c r="V146" s="1224"/>
      <c r="W146" s="1217"/>
      <c r="X146" s="1218"/>
      <c r="Y146" s="1219"/>
      <c r="Z146" s="1224"/>
      <c r="AA146" s="1217"/>
      <c r="AB146" s="1218"/>
      <c r="AC146" s="1219"/>
      <c r="AD146" s="1224"/>
      <c r="AE146" s="1217"/>
      <c r="AF146" s="1218"/>
      <c r="AG146" s="1219"/>
      <c r="AH146" s="1224"/>
      <c r="AI146" s="1217"/>
      <c r="AJ146" s="1218"/>
      <c r="AK146" s="1220"/>
      <c r="AL146" s="1219"/>
      <c r="AM146" s="1219"/>
      <c r="AN146" s="1219"/>
      <c r="AO146" s="1219"/>
      <c r="AP146" s="1219"/>
      <c r="AQ146" s="1219"/>
      <c r="AR146" s="1219"/>
      <c r="AS146" s="1219"/>
      <c r="AT146" s="1219"/>
      <c r="AU146" s="1219"/>
      <c r="AV146" s="1219"/>
      <c r="AW146" s="1219"/>
      <c r="AX146" s="1219"/>
      <c r="AY146" s="1219"/>
      <c r="AZ146" s="1219"/>
      <c r="BA146" s="1219"/>
      <c r="BB146" s="1219"/>
      <c r="BC146" s="1219"/>
      <c r="BD146" s="1219"/>
      <c r="BE146" s="1219"/>
      <c r="BF146" s="1219"/>
      <c r="BG146" s="1219"/>
      <c r="BH146" s="1219"/>
      <c r="BI146" s="1219"/>
      <c r="BJ146" s="1219"/>
      <c r="BK146" s="1219"/>
      <c r="BL146" s="1219"/>
      <c r="BM146" s="1219"/>
      <c r="BN146" s="1219"/>
      <c r="BO146" s="1219"/>
      <c r="BP146" s="1219"/>
      <c r="BQ146" s="1219"/>
      <c r="BR146" s="1219"/>
      <c r="BS146" s="1219"/>
      <c r="BU146" s="1217"/>
      <c r="BW146" s="1219"/>
      <c r="BY146" s="1217"/>
      <c r="CA146" s="1219"/>
      <c r="CC146" s="1217"/>
      <c r="CE146" s="1219"/>
      <c r="CG146" s="1217"/>
      <c r="CI146" s="1219"/>
    </row>
    <row r="147" spans="1:87">
      <c r="A147" s="20"/>
      <c r="B147" s="124" t="str">
        <f t="shared" si="64"/>
        <v/>
      </c>
      <c r="C147" s="235"/>
      <c r="D147" s="24">
        <f>'1% Wind'!$M$87</f>
        <v>13.5</v>
      </c>
      <c r="E147" s="90"/>
      <c r="F147" s="90"/>
      <c r="G147" s="79">
        <f ca="1">IF(I141=0.9743,$G146,MAX(G146/D146*D147,2))</f>
        <v>2</v>
      </c>
      <c r="H147" s="121" t="e">
        <f t="shared" ca="1" si="65"/>
        <v>#VALUE!</v>
      </c>
      <c r="J147" s="33"/>
      <c r="K147" s="242">
        <f t="shared" si="66"/>
        <v>1</v>
      </c>
      <c r="L147" s="241" t="e">
        <f t="shared" ca="1" si="67"/>
        <v>#VALUE!</v>
      </c>
      <c r="M147" s="243" t="e">
        <f ca="1">IF(AND(INDEX(FlowCalConstA,MATCH(J141,FlowCalNumber,0),1,1)*L147^INDEX(FlowCalConstB,MATCH(J141,FlowCalNumber,0),1,1)&gt;INDEX(FlowCalLowSetting,MATCH(J141,FlowCalNumber,0),1,1), (INDEX(FlowCalConstA,MATCH(J141,FlowCalNumber,0),1,1)*L147^INDEX(FlowCalConstB,MATCH(J141,FlowCalNumber,0),1,1)&lt;INDEX(FlowCalHighSetting,MATCH(J141,FlowCalNumber,0),1,1))),INDEX(FlowCalConstA,MATCH(J141,FlowCalNumber,0),1,1)*L147^INDEX(FlowCalConstB,MATCH(J141,FlowCalNumber,0),1,1)," ")</f>
        <v>#N/A</v>
      </c>
      <c r="N147" s="33"/>
      <c r="O147" s="242">
        <f t="shared" si="68"/>
        <v>1</v>
      </c>
      <c r="P147" s="241" t="e">
        <f t="shared" ca="1" si="69"/>
        <v>#VALUE!</v>
      </c>
      <c r="Q147" s="243" t="e">
        <f ca="1">IF(AND(INDEX(FlowCalConstA,MATCH(N141,FlowCalNumber,0),1,1)*P147^INDEX(FlowCalConstB,MATCH(N141,FlowCalNumber,0),1,1)&gt;INDEX(FlowCalLowSetting,MATCH(N141,FlowCalNumber,0),1,1), (INDEX(FlowCalConstA,MATCH(N141,FlowCalNumber,0),1,1)*P147^INDEX(FlowCalConstB,MATCH(N141,FlowCalNumber,0),1,1)&lt;INDEX(FlowCalHighSetting,MATCH(N141,FlowCalNumber,0),1,1))),INDEX(FlowCalConstA,MATCH(N141,FlowCalNumber,0),1,1)*P147^INDEX(FlowCalConstB,MATCH(N141,FlowCalNumber,0),1,1)," ")</f>
        <v>#N/A</v>
      </c>
      <c r="R147" s="33"/>
      <c r="S147" s="242">
        <f t="shared" si="70"/>
        <v>1</v>
      </c>
      <c r="T147" s="241" t="e">
        <f t="shared" ca="1" si="71"/>
        <v>#VALUE!</v>
      </c>
      <c r="U147" s="243" t="e">
        <f ca="1">IF(AND(INDEX(FlowCalConstA,MATCH(R141,FlowCalNumber,0),1,1)*T147^INDEX(FlowCalConstB,MATCH(R141,FlowCalNumber,0),1,1)&gt;INDEX(FlowCalLowSetting,MATCH(R141,FlowCalNumber,0),1,1), (INDEX(FlowCalConstA,MATCH(R141,FlowCalNumber,0),1,1)*T147^INDEX(FlowCalConstB,MATCH(R141,FlowCalNumber,0),1,1)&lt;INDEX(FlowCalHighSetting,MATCH(R141,FlowCalNumber,0),1,1))),INDEX(FlowCalConstA,MATCH(R141,FlowCalNumber,0),1,1)*T147^INDEX(FlowCalConstB,MATCH(R141,FlowCalNumber,0),1,1)," ")</f>
        <v>#N/A</v>
      </c>
      <c r="V147" s="33"/>
      <c r="W147" s="242"/>
      <c r="X147" s="241"/>
      <c r="Y147" s="243"/>
      <c r="Z147" s="33"/>
      <c r="AA147" s="242"/>
      <c r="AB147" s="241"/>
      <c r="AC147" s="243"/>
      <c r="AD147" s="33"/>
      <c r="AE147" s="242"/>
      <c r="AF147" s="241"/>
      <c r="AG147" s="243"/>
      <c r="AH147" s="33"/>
      <c r="AI147" s="242"/>
      <c r="AJ147" s="241"/>
      <c r="AK147" s="244"/>
      <c r="AL147" s="243"/>
      <c r="AM147" s="243"/>
      <c r="AN147" s="243"/>
      <c r="AO147" s="243"/>
      <c r="AP147" s="243"/>
      <c r="AQ147" s="243"/>
      <c r="AR147" s="243"/>
      <c r="AS147" s="243"/>
      <c r="AT147" s="243"/>
      <c r="AU147" s="243"/>
      <c r="AV147" s="243"/>
      <c r="AW147" s="243"/>
      <c r="AX147" s="243"/>
      <c r="AY147" s="243"/>
      <c r="AZ147" s="243"/>
      <c r="BA147" s="243"/>
      <c r="BB147" s="243"/>
      <c r="BC147" s="243"/>
      <c r="BD147" s="243"/>
      <c r="BE147" s="243"/>
      <c r="BF147" s="243"/>
      <c r="BG147" s="243"/>
      <c r="BH147" s="243"/>
      <c r="BI147" s="243"/>
      <c r="BJ147" s="243"/>
      <c r="BK147" s="243"/>
      <c r="BL147" s="243"/>
      <c r="BM147" s="243"/>
      <c r="BN147" s="243"/>
      <c r="BO147" s="243"/>
      <c r="BP147" s="243"/>
      <c r="BQ147" s="243"/>
      <c r="BR147" s="243"/>
      <c r="BS147" s="243"/>
      <c r="BU147" s="242"/>
      <c r="BW147" s="243"/>
      <c r="BY147" s="242"/>
      <c r="CA147" s="243"/>
      <c r="CC147" s="242"/>
      <c r="CE147" s="243"/>
      <c r="CG147" s="242"/>
      <c r="CI147" s="243"/>
    </row>
    <row r="148" spans="1:87" s="1215" customFormat="1">
      <c r="A148" s="1222"/>
      <c r="B148" s="1223" t="str">
        <f t="shared" si="64"/>
        <v/>
      </c>
      <c r="C148" s="1210"/>
      <c r="D148" s="1211">
        <f>'1% Wind'!$M$88</f>
        <v>10.1</v>
      </c>
      <c r="E148" s="1212"/>
      <c r="F148" s="1212"/>
      <c r="G148" s="1213">
        <f ca="1">IF(I141=0.9743,$G147,MAX(G147/D147*D148,2))</f>
        <v>2</v>
      </c>
      <c r="H148" s="1214" t="e">
        <f t="shared" ca="1" si="65"/>
        <v>#VALUE!</v>
      </c>
      <c r="J148" s="1224"/>
      <c r="K148" s="1217">
        <f t="shared" si="66"/>
        <v>1</v>
      </c>
      <c r="L148" s="1218" t="e">
        <f t="shared" ca="1" si="67"/>
        <v>#VALUE!</v>
      </c>
      <c r="M148" s="1219" t="e">
        <f ca="1">IF(AND(INDEX(FlowCalConstA,MATCH(J141,FlowCalNumber,0),1,1)*L148^INDEX(FlowCalConstB,MATCH(J141,FlowCalNumber,0),1,1)&gt;INDEX(FlowCalLowSetting,MATCH(J141,FlowCalNumber,0),1,1), (INDEX(FlowCalConstA,MATCH(J141,FlowCalNumber,0),1,1)*L148^INDEX(FlowCalConstB,MATCH(J141,FlowCalNumber,0),1,1)&lt;INDEX(FlowCalHighSetting,MATCH(J141,FlowCalNumber,0),1,1))),INDEX(FlowCalConstA,MATCH(J141,FlowCalNumber,0),1,1)*L148^INDEX(FlowCalConstB,MATCH(J141,FlowCalNumber,0),1,1)," ")</f>
        <v>#N/A</v>
      </c>
      <c r="N148" s="1224"/>
      <c r="O148" s="1217">
        <f t="shared" si="68"/>
        <v>1</v>
      </c>
      <c r="P148" s="1218" t="e">
        <f t="shared" ca="1" si="69"/>
        <v>#VALUE!</v>
      </c>
      <c r="Q148" s="1219" t="e">
        <f ca="1">IF(AND(INDEX(FlowCalConstA,MATCH(N141,FlowCalNumber,0),1,1)*P148^INDEX(FlowCalConstB,MATCH(N141,FlowCalNumber,0),1,1)&gt;INDEX(FlowCalLowSetting,MATCH(N141,FlowCalNumber,0),1,1), (INDEX(FlowCalConstA,MATCH(N141,FlowCalNumber,0),1,1)*P148^INDEX(FlowCalConstB,MATCH(N141,FlowCalNumber,0),1,1)&lt;INDEX(FlowCalHighSetting,MATCH(N141,FlowCalNumber,0),1,1))),INDEX(FlowCalConstA,MATCH(N141,FlowCalNumber,0),1,1)*P148^INDEX(FlowCalConstB,MATCH(N141,FlowCalNumber,0),1,1)," ")</f>
        <v>#N/A</v>
      </c>
      <c r="R148" s="1224"/>
      <c r="S148" s="1217">
        <f t="shared" si="70"/>
        <v>1</v>
      </c>
      <c r="T148" s="1218" t="e">
        <f t="shared" ca="1" si="71"/>
        <v>#VALUE!</v>
      </c>
      <c r="U148" s="1219" t="e">
        <f ca="1">IF(AND(INDEX(FlowCalConstA,MATCH(R141,FlowCalNumber,0),1,1)*T148^INDEX(FlowCalConstB,MATCH(R141,FlowCalNumber,0),1,1)&gt;INDEX(FlowCalLowSetting,MATCH(R141,FlowCalNumber,0),1,1), (INDEX(FlowCalConstA,MATCH(R141,FlowCalNumber,0),1,1)*T148^INDEX(FlowCalConstB,MATCH(R141,FlowCalNumber,0),1,1)&lt;INDEX(FlowCalHighSetting,MATCH(R141,FlowCalNumber,0),1,1))),INDEX(FlowCalConstA,MATCH(R141,FlowCalNumber,0),1,1)*T148^INDEX(FlowCalConstB,MATCH(R141,FlowCalNumber,0),1,1)," ")</f>
        <v>#N/A</v>
      </c>
      <c r="V148" s="1224"/>
      <c r="W148" s="1217"/>
      <c r="X148" s="1218"/>
      <c r="Y148" s="1219"/>
      <c r="Z148" s="1224"/>
      <c r="AA148" s="1217"/>
      <c r="AB148" s="1218"/>
      <c r="AC148" s="1219"/>
      <c r="AD148" s="1224"/>
      <c r="AE148" s="1217"/>
      <c r="AF148" s="1218"/>
      <c r="AG148" s="1219"/>
      <c r="AH148" s="1224"/>
      <c r="AI148" s="1217"/>
      <c r="AJ148" s="1218"/>
      <c r="AK148" s="1220"/>
      <c r="AL148" s="1219"/>
      <c r="AM148" s="1219"/>
      <c r="AN148" s="1219"/>
      <c r="AO148" s="1219"/>
      <c r="AP148" s="1219"/>
      <c r="AQ148" s="1219"/>
      <c r="AR148" s="1219"/>
      <c r="AS148" s="1219"/>
      <c r="AT148" s="1219"/>
      <c r="AU148" s="1219"/>
      <c r="AV148" s="1219"/>
      <c r="AW148" s="1219"/>
      <c r="AX148" s="1219"/>
      <c r="AY148" s="1219"/>
      <c r="AZ148" s="1219"/>
      <c r="BA148" s="1219"/>
      <c r="BB148" s="1219"/>
      <c r="BC148" s="1219"/>
      <c r="BD148" s="1219"/>
      <c r="BE148" s="1219"/>
      <c r="BF148" s="1219"/>
      <c r="BG148" s="1219"/>
      <c r="BH148" s="1219"/>
      <c r="BI148" s="1219"/>
      <c r="BJ148" s="1219"/>
      <c r="BK148" s="1219"/>
      <c r="BL148" s="1219"/>
      <c r="BM148" s="1219"/>
      <c r="BN148" s="1219"/>
      <c r="BO148" s="1219"/>
      <c r="BP148" s="1219"/>
      <c r="BQ148" s="1219"/>
      <c r="BR148" s="1219"/>
      <c r="BS148" s="1219"/>
      <c r="BU148" s="1217"/>
      <c r="BW148" s="1219"/>
      <c r="BY148" s="1217"/>
      <c r="CA148" s="1219"/>
      <c r="CC148" s="1217"/>
      <c r="CE148" s="1219"/>
      <c r="CG148" s="1217"/>
      <c r="CI148" s="1219"/>
    </row>
    <row r="149" spans="1:87">
      <c r="A149" s="20"/>
      <c r="B149" s="124" t="str">
        <f t="shared" si="64"/>
        <v/>
      </c>
      <c r="C149" s="235"/>
      <c r="D149" s="24">
        <f>'1% Wind'!$M$89</f>
        <v>7.6</v>
      </c>
      <c r="E149" s="90"/>
      <c r="F149" s="90"/>
      <c r="G149" s="79">
        <f ca="1">IF(I141=0.9743,$G148,MAX(G148/D148*D149,2))</f>
        <v>2</v>
      </c>
      <c r="H149" s="121" t="e">
        <f t="shared" ca="1" si="65"/>
        <v>#VALUE!</v>
      </c>
      <c r="J149" s="33"/>
      <c r="K149" s="242">
        <f t="shared" si="66"/>
        <v>1</v>
      </c>
      <c r="L149" s="241" t="e">
        <f t="shared" ca="1" si="67"/>
        <v>#VALUE!</v>
      </c>
      <c r="M149" s="243" t="e">
        <f ca="1">IF(AND(INDEX(FlowCalConstA,MATCH(J141,FlowCalNumber,0),1,1)*L149^INDEX(FlowCalConstB,MATCH(J141,FlowCalNumber,0),1,1)&gt;INDEX(FlowCalLowSetting,MATCH(J141,FlowCalNumber,0),1,1), (INDEX(FlowCalConstA,MATCH(J141,FlowCalNumber,0),1,1)*L149^INDEX(FlowCalConstB,MATCH(J141,FlowCalNumber,0),1,1)&lt;INDEX(FlowCalHighSetting,MATCH(J141,FlowCalNumber,0),1,1))),INDEX(FlowCalConstA,MATCH(J141,FlowCalNumber,0),1,1)*L149^INDEX(FlowCalConstB,MATCH(J141,FlowCalNumber,0),1,1)," ")</f>
        <v>#N/A</v>
      </c>
      <c r="N149" s="33"/>
      <c r="O149" s="242">
        <f t="shared" si="68"/>
        <v>1</v>
      </c>
      <c r="P149" s="241" t="e">
        <f t="shared" ca="1" si="69"/>
        <v>#VALUE!</v>
      </c>
      <c r="Q149" s="243" t="e">
        <f ca="1">IF(AND(INDEX(FlowCalConstA,MATCH(N141,FlowCalNumber,0),1,1)*P149^INDEX(FlowCalConstB,MATCH(N141,FlowCalNumber,0),1,1)&gt;INDEX(FlowCalLowSetting,MATCH(N141,FlowCalNumber,0),1,1), (INDEX(FlowCalConstA,MATCH(N141,FlowCalNumber,0),1,1)*P149^INDEX(FlowCalConstB,MATCH(N141,FlowCalNumber,0),1,1)&lt;INDEX(FlowCalHighSetting,MATCH(N141,FlowCalNumber,0),1,1))),INDEX(FlowCalConstA,MATCH(N141,FlowCalNumber,0),1,1)*P149^INDEX(FlowCalConstB,MATCH(N141,FlowCalNumber,0),1,1)," ")</f>
        <v>#N/A</v>
      </c>
      <c r="R149" s="33"/>
      <c r="S149" s="242">
        <f t="shared" si="70"/>
        <v>1</v>
      </c>
      <c r="T149" s="241" t="e">
        <f t="shared" ca="1" si="71"/>
        <v>#VALUE!</v>
      </c>
      <c r="U149" s="243" t="e">
        <f ca="1">IF(AND(INDEX(FlowCalConstA,MATCH(R141,FlowCalNumber,0),1,1)*T149^INDEX(FlowCalConstB,MATCH(R141,FlowCalNumber,0),1,1)&gt;INDEX(FlowCalLowSetting,MATCH(R141,FlowCalNumber,0),1,1), (INDEX(FlowCalConstA,MATCH(R141,FlowCalNumber,0),1,1)*T149^INDEX(FlowCalConstB,MATCH(R141,FlowCalNumber,0),1,1)&lt;INDEX(FlowCalHighSetting,MATCH(R141,FlowCalNumber,0),1,1))),INDEX(FlowCalConstA,MATCH(R141,FlowCalNumber,0),1,1)*T149^INDEX(FlowCalConstB,MATCH(R141,FlowCalNumber,0),1,1)," ")</f>
        <v>#N/A</v>
      </c>
      <c r="V149" s="33"/>
      <c r="W149" s="242"/>
      <c r="X149" s="241"/>
      <c r="Y149" s="243"/>
      <c r="Z149" s="33"/>
      <c r="AA149" s="242"/>
      <c r="AB149" s="241"/>
      <c r="AC149" s="243"/>
      <c r="AD149" s="33"/>
      <c r="AE149" s="242"/>
      <c r="AF149" s="241"/>
      <c r="AG149" s="243"/>
      <c r="AH149" s="33"/>
      <c r="AI149" s="242"/>
      <c r="AJ149" s="241"/>
      <c r="AK149" s="244"/>
      <c r="AL149" s="243"/>
      <c r="AM149" s="243"/>
      <c r="AN149" s="243"/>
      <c r="AO149" s="243"/>
      <c r="AP149" s="243"/>
      <c r="AQ149" s="243"/>
      <c r="AR149" s="243"/>
      <c r="AS149" s="243"/>
      <c r="AT149" s="243"/>
      <c r="AU149" s="243"/>
      <c r="AV149" s="243"/>
      <c r="AW149" s="243"/>
      <c r="AX149" s="243"/>
      <c r="AY149" s="243"/>
      <c r="AZ149" s="243"/>
      <c r="BA149" s="243"/>
      <c r="BB149" s="243"/>
      <c r="BC149" s="243"/>
      <c r="BD149" s="243"/>
      <c r="BE149" s="243"/>
      <c r="BF149" s="243"/>
      <c r="BG149" s="243"/>
      <c r="BH149" s="243"/>
      <c r="BI149" s="243"/>
      <c r="BJ149" s="243"/>
      <c r="BK149" s="243"/>
      <c r="BL149" s="243"/>
      <c r="BM149" s="243"/>
      <c r="BN149" s="243"/>
      <c r="BO149" s="243"/>
      <c r="BP149" s="243"/>
      <c r="BQ149" s="243"/>
      <c r="BR149" s="243"/>
      <c r="BS149" s="243"/>
      <c r="BU149" s="242"/>
      <c r="BW149" s="243"/>
      <c r="BY149" s="242"/>
      <c r="CA149" s="243"/>
      <c r="CC149" s="242"/>
      <c r="CE149" s="243"/>
      <c r="CG149" s="242"/>
      <c r="CI149" s="243"/>
    </row>
    <row r="150" spans="1:87" s="1215" customFormat="1">
      <c r="A150" s="1222"/>
      <c r="B150" s="1223" t="str">
        <f t="shared" si="64"/>
        <v/>
      </c>
      <c r="C150" s="1210"/>
      <c r="D150" s="1211">
        <f>'1% Wind'!$M$90</f>
        <v>5.7</v>
      </c>
      <c r="E150" s="1212"/>
      <c r="F150" s="1212"/>
      <c r="G150" s="1213">
        <f ca="1">IF(I141=0.9743,$G149,MAX(G149/D149*D150,2))</f>
        <v>2</v>
      </c>
      <c r="H150" s="1214" t="e">
        <f t="shared" ca="1" si="65"/>
        <v>#VALUE!</v>
      </c>
      <c r="J150" s="1224"/>
      <c r="K150" s="1217">
        <f t="shared" si="66"/>
        <v>1</v>
      </c>
      <c r="L150" s="1218" t="e">
        <f t="shared" ca="1" si="67"/>
        <v>#VALUE!</v>
      </c>
      <c r="M150" s="1219" t="e">
        <f ca="1">IF(AND(INDEX(FlowCalConstA,MATCH(J141,FlowCalNumber,0),1,1)*L150^INDEX(FlowCalConstB,MATCH(J141,FlowCalNumber,0),1,1)&gt;INDEX(FlowCalLowSetting,MATCH(J141,FlowCalNumber,0),1,1), (INDEX(FlowCalConstA,MATCH(J141,FlowCalNumber,0),1,1)*L150^INDEX(FlowCalConstB,MATCH(J141,FlowCalNumber,0),1,1)&lt;INDEX(FlowCalHighSetting,MATCH(J141,FlowCalNumber,0),1,1))),INDEX(FlowCalConstA,MATCH(J141,FlowCalNumber,0),1,1)*L150^INDEX(FlowCalConstB,MATCH(J141,FlowCalNumber,0),1,1)," ")</f>
        <v>#N/A</v>
      </c>
      <c r="N150" s="1224"/>
      <c r="O150" s="1217">
        <f t="shared" si="68"/>
        <v>1</v>
      </c>
      <c r="P150" s="1218" t="e">
        <f t="shared" ca="1" si="69"/>
        <v>#VALUE!</v>
      </c>
      <c r="Q150" s="1219" t="e">
        <f ca="1">IF(AND(INDEX(FlowCalConstA,MATCH(N141,FlowCalNumber,0),1,1)*P150^INDEX(FlowCalConstB,MATCH(N141,FlowCalNumber,0),1,1)&gt;INDEX(FlowCalLowSetting,MATCH(N141,FlowCalNumber,0),1,1), (INDEX(FlowCalConstA,MATCH(N141,FlowCalNumber,0),1,1)*P150^INDEX(FlowCalConstB,MATCH(N141,FlowCalNumber,0),1,1)&lt;INDEX(FlowCalHighSetting,MATCH(N141,FlowCalNumber,0),1,1))),INDEX(FlowCalConstA,MATCH(N141,FlowCalNumber,0),1,1)*P150^INDEX(FlowCalConstB,MATCH(N141,FlowCalNumber,0),1,1)," ")</f>
        <v>#N/A</v>
      </c>
      <c r="R150" s="1224"/>
      <c r="S150" s="1217">
        <f t="shared" si="70"/>
        <v>1</v>
      </c>
      <c r="T150" s="1218" t="e">
        <f t="shared" ca="1" si="71"/>
        <v>#VALUE!</v>
      </c>
      <c r="U150" s="1219" t="e">
        <f ca="1">IF(AND(INDEX(FlowCalConstA,MATCH(R141,FlowCalNumber,0),1,1)*T150^INDEX(FlowCalConstB,MATCH(R141,FlowCalNumber,0),1,1)&gt;INDEX(FlowCalLowSetting,MATCH(R141,FlowCalNumber,0),1,1), (INDEX(FlowCalConstA,MATCH(R141,FlowCalNumber,0),1,1)*T150^INDEX(FlowCalConstB,MATCH(R141,FlowCalNumber,0),1,1)&lt;INDEX(FlowCalHighSetting,MATCH(R141,FlowCalNumber,0),1,1))),INDEX(FlowCalConstA,MATCH(R141,FlowCalNumber,0),1,1)*T150^INDEX(FlowCalConstB,MATCH(R141,FlowCalNumber,0),1,1)," ")</f>
        <v>#N/A</v>
      </c>
      <c r="V150" s="1224"/>
      <c r="W150" s="1217"/>
      <c r="X150" s="1218"/>
      <c r="Y150" s="1219"/>
      <c r="Z150" s="1224"/>
      <c r="AA150" s="1217"/>
      <c r="AB150" s="1218"/>
      <c r="AC150" s="1219"/>
      <c r="AD150" s="1224"/>
      <c r="AE150" s="1217"/>
      <c r="AF150" s="1218"/>
      <c r="AG150" s="1219"/>
      <c r="AH150" s="1224"/>
      <c r="AI150" s="1217"/>
      <c r="AJ150" s="1218"/>
      <c r="AK150" s="1220"/>
      <c r="AL150" s="1219"/>
      <c r="AM150" s="1219"/>
      <c r="AN150" s="1219"/>
      <c r="AO150" s="1219"/>
      <c r="AP150" s="1219"/>
      <c r="AQ150" s="1219"/>
      <c r="AR150" s="1219"/>
      <c r="AS150" s="1219"/>
      <c r="AT150" s="1219"/>
      <c r="AU150" s="1219"/>
      <c r="AV150" s="1219"/>
      <c r="AW150" s="1219"/>
      <c r="AX150" s="1219"/>
      <c r="AY150" s="1219"/>
      <c r="AZ150" s="1219"/>
      <c r="BA150" s="1219"/>
      <c r="BB150" s="1219"/>
      <c r="BC150" s="1219"/>
      <c r="BD150" s="1219"/>
      <c r="BE150" s="1219"/>
      <c r="BF150" s="1219"/>
      <c r="BG150" s="1219"/>
      <c r="BH150" s="1219"/>
      <c r="BI150" s="1219"/>
      <c r="BJ150" s="1219"/>
      <c r="BK150" s="1219"/>
      <c r="BL150" s="1219"/>
      <c r="BM150" s="1219"/>
      <c r="BN150" s="1219"/>
      <c r="BO150" s="1219"/>
      <c r="BP150" s="1219"/>
      <c r="BQ150" s="1219"/>
      <c r="BR150" s="1219"/>
      <c r="BS150" s="1219"/>
      <c r="BU150" s="1217"/>
      <c r="BW150" s="1219"/>
      <c r="BY150" s="1217"/>
      <c r="CA150" s="1219"/>
      <c r="CC150" s="1217"/>
      <c r="CE150" s="1219"/>
      <c r="CG150" s="1217"/>
      <c r="CI150" s="1219"/>
    </row>
    <row r="151" spans="1:87">
      <c r="A151" s="20"/>
      <c r="B151" s="124" t="str">
        <f t="shared" si="64"/>
        <v/>
      </c>
      <c r="C151" s="235"/>
      <c r="D151" s="24">
        <f>'1% Wind'!$M$91</f>
        <v>4.2</v>
      </c>
      <c r="E151" s="90"/>
      <c r="F151" s="90"/>
      <c r="G151" s="79">
        <f ca="1">IF(I141=0.9743,$G150,MAX(G150/D150*D151,2))</f>
        <v>2</v>
      </c>
      <c r="H151" s="121" t="e">
        <f t="shared" ca="1" si="65"/>
        <v>#VALUE!</v>
      </c>
      <c r="J151" s="33"/>
      <c r="K151" s="242">
        <f t="shared" si="66"/>
        <v>1</v>
      </c>
      <c r="L151" s="241" t="e">
        <f t="shared" ca="1" si="67"/>
        <v>#VALUE!</v>
      </c>
      <c r="M151" s="243" t="e">
        <f ca="1">IF(AND(INDEX(FlowCalConstA,MATCH(J141,FlowCalNumber,0),1,1)*L151^INDEX(FlowCalConstB,MATCH(J141,FlowCalNumber,0),1,1)&gt;INDEX(FlowCalLowSetting,MATCH(J141,FlowCalNumber,0),1,1), (INDEX(FlowCalConstA,MATCH(J141,FlowCalNumber,0),1,1)*L151^INDEX(FlowCalConstB,MATCH(J141,FlowCalNumber,0),1,1)&lt;INDEX(FlowCalHighSetting,MATCH(J141,FlowCalNumber,0),1,1))),INDEX(FlowCalConstA,MATCH(J141,FlowCalNumber,0),1,1)*L151^INDEX(FlowCalConstB,MATCH(J141,FlowCalNumber,0),1,1)," ")</f>
        <v>#N/A</v>
      </c>
      <c r="N151" s="33"/>
      <c r="O151" s="242">
        <f t="shared" si="68"/>
        <v>1</v>
      </c>
      <c r="P151" s="241" t="e">
        <f t="shared" ca="1" si="69"/>
        <v>#VALUE!</v>
      </c>
      <c r="Q151" s="243" t="e">
        <f ca="1">IF(AND(INDEX(FlowCalConstA,MATCH(N141,FlowCalNumber,0),1,1)*P151^INDEX(FlowCalConstB,MATCH(N141,FlowCalNumber,0),1,1)&gt;INDEX(FlowCalLowSetting,MATCH(N141,FlowCalNumber,0),1,1), (INDEX(FlowCalConstA,MATCH(N141,FlowCalNumber,0),1,1)*P151^INDEX(FlowCalConstB,MATCH(N141,FlowCalNumber,0),1,1)&lt;INDEX(FlowCalHighSetting,MATCH(N141,FlowCalNumber,0),1,1))),INDEX(FlowCalConstA,MATCH(N141,FlowCalNumber,0),1,1)*P151^INDEX(FlowCalConstB,MATCH(N141,FlowCalNumber,0),1,1)," ")</f>
        <v>#N/A</v>
      </c>
      <c r="R151" s="33"/>
      <c r="S151" s="242">
        <f t="shared" si="70"/>
        <v>1</v>
      </c>
      <c r="T151" s="241" t="e">
        <f t="shared" ca="1" si="71"/>
        <v>#VALUE!</v>
      </c>
      <c r="U151" s="243" t="e">
        <f ca="1">IF(AND(INDEX(FlowCalConstA,MATCH(R141,FlowCalNumber,0),1,1)*T151^INDEX(FlowCalConstB,MATCH(R141,FlowCalNumber,0),1,1)&gt;INDEX(FlowCalLowSetting,MATCH(R141,FlowCalNumber,0),1,1), (INDEX(FlowCalConstA,MATCH(R141,FlowCalNumber,0),1,1)*T151^INDEX(FlowCalConstB,MATCH(R141,FlowCalNumber,0),1,1)&lt;INDEX(FlowCalHighSetting,MATCH(R141,FlowCalNumber,0),1,1))),INDEX(FlowCalConstA,MATCH(R141,FlowCalNumber,0),1,1)*T151^INDEX(FlowCalConstB,MATCH(R141,FlowCalNumber,0),1,1)," ")</f>
        <v>#N/A</v>
      </c>
      <c r="V151" s="33"/>
      <c r="W151" s="242"/>
      <c r="X151" s="241"/>
      <c r="Y151" s="243"/>
      <c r="Z151" s="33"/>
      <c r="AA151" s="242"/>
      <c r="AB151" s="241"/>
      <c r="AC151" s="243"/>
      <c r="AD151" s="33"/>
      <c r="AE151" s="242"/>
      <c r="AF151" s="241"/>
      <c r="AG151" s="243"/>
      <c r="AH151" s="33"/>
      <c r="AI151" s="242"/>
      <c r="AJ151" s="241"/>
      <c r="AK151" s="244"/>
      <c r="AL151" s="243"/>
      <c r="AM151" s="243"/>
      <c r="AN151" s="243"/>
      <c r="AO151" s="243"/>
      <c r="AP151" s="243"/>
      <c r="AQ151" s="243"/>
      <c r="AR151" s="243"/>
      <c r="AS151" s="243"/>
      <c r="AT151" s="243"/>
      <c r="AU151" s="243"/>
      <c r="AV151" s="243"/>
      <c r="AW151" s="243"/>
      <c r="AX151" s="243"/>
      <c r="AY151" s="243"/>
      <c r="AZ151" s="243"/>
      <c r="BA151" s="243"/>
      <c r="BB151" s="243"/>
      <c r="BC151" s="243"/>
      <c r="BD151" s="243"/>
      <c r="BE151" s="243"/>
      <c r="BF151" s="243"/>
      <c r="BG151" s="243"/>
      <c r="BH151" s="243"/>
      <c r="BI151" s="243"/>
      <c r="BJ151" s="243"/>
      <c r="BK151" s="243"/>
      <c r="BL151" s="243"/>
      <c r="BM151" s="243"/>
      <c r="BN151" s="243"/>
      <c r="BO151" s="243"/>
      <c r="BP151" s="243"/>
      <c r="BQ151" s="243"/>
      <c r="BR151" s="243"/>
      <c r="BS151" s="243"/>
      <c r="BU151" s="242"/>
      <c r="BW151" s="243"/>
      <c r="BY151" s="242"/>
      <c r="CA151" s="243"/>
      <c r="CC151" s="242"/>
      <c r="CE151" s="243"/>
      <c r="CG151" s="242"/>
      <c r="CI151" s="243"/>
    </row>
    <row r="152" spans="1:87" s="1215" customFormat="1">
      <c r="A152" s="1222"/>
      <c r="B152" s="1223" t="str">
        <f t="shared" si="64"/>
        <v/>
      </c>
      <c r="C152" s="1210"/>
      <c r="D152" s="1211">
        <f>'1% Wind'!$M$92</f>
        <v>3.2</v>
      </c>
      <c r="E152" s="1212"/>
      <c r="F152" s="1212"/>
      <c r="G152" s="1213">
        <f ca="1">IF(I141=0.9743,$G151,MAX(G151/D151*D152,2))</f>
        <v>2</v>
      </c>
      <c r="H152" s="1214" t="e">
        <f t="shared" ca="1" si="65"/>
        <v>#VALUE!</v>
      </c>
      <c r="J152" s="1224"/>
      <c r="K152" s="1217">
        <f t="shared" si="66"/>
        <v>1</v>
      </c>
      <c r="L152" s="1218" t="e">
        <f t="shared" ca="1" si="67"/>
        <v>#VALUE!</v>
      </c>
      <c r="M152" s="1219" t="e">
        <f ca="1">IF(AND(INDEX(FlowCalConstA,MATCH(J141,FlowCalNumber,0),1,1)*L152^INDEX(FlowCalConstB,MATCH(J141,FlowCalNumber,0),1,1)&gt;INDEX(FlowCalLowSetting,MATCH(J141,FlowCalNumber,0),1,1), (INDEX(FlowCalConstA,MATCH(J141,FlowCalNumber,0),1,1)*L152^INDEX(FlowCalConstB,MATCH(J141,FlowCalNumber,0),1,1)&lt;INDEX(FlowCalHighSetting,MATCH(J141,FlowCalNumber,0),1,1))),INDEX(FlowCalConstA,MATCH(J141,FlowCalNumber,0),1,1)*L152^INDEX(FlowCalConstB,MATCH(J141,FlowCalNumber,0),1,1)," ")</f>
        <v>#N/A</v>
      </c>
      <c r="N152" s="1224"/>
      <c r="O152" s="1217">
        <f t="shared" si="68"/>
        <v>1</v>
      </c>
      <c r="P152" s="1218" t="e">
        <f t="shared" ca="1" si="69"/>
        <v>#VALUE!</v>
      </c>
      <c r="Q152" s="1219" t="e">
        <f ca="1">IF(AND(INDEX(FlowCalConstA,MATCH(N141,FlowCalNumber,0),1,1)*P152^INDEX(FlowCalConstB,MATCH(N141,FlowCalNumber,0),1,1)&gt;INDEX(FlowCalLowSetting,MATCH(N141,FlowCalNumber,0),1,1), (INDEX(FlowCalConstA,MATCH(N141,FlowCalNumber,0),1,1)*P152^INDEX(FlowCalConstB,MATCH(N141,FlowCalNumber,0),1,1)&lt;INDEX(FlowCalHighSetting,MATCH(N141,FlowCalNumber,0),1,1))),INDEX(FlowCalConstA,MATCH(N141,FlowCalNumber,0),1,1)*P152^INDEX(FlowCalConstB,MATCH(N141,FlowCalNumber,0),1,1)," ")</f>
        <v>#N/A</v>
      </c>
      <c r="R152" s="1224"/>
      <c r="S152" s="1217">
        <f t="shared" si="70"/>
        <v>1</v>
      </c>
      <c r="T152" s="1218" t="e">
        <f t="shared" ca="1" si="71"/>
        <v>#VALUE!</v>
      </c>
      <c r="U152" s="1219" t="e">
        <f ca="1">IF(AND(INDEX(FlowCalConstA,MATCH(R141,FlowCalNumber,0),1,1)*T152^INDEX(FlowCalConstB,MATCH(R141,FlowCalNumber,0),1,1)&gt;INDEX(FlowCalLowSetting,MATCH(R141,FlowCalNumber,0),1,1), (INDEX(FlowCalConstA,MATCH(R141,FlowCalNumber,0),1,1)*T152^INDEX(FlowCalConstB,MATCH(R141,FlowCalNumber,0),1,1)&lt;INDEX(FlowCalHighSetting,MATCH(R141,FlowCalNumber,0),1,1))),INDEX(FlowCalConstA,MATCH(R141,FlowCalNumber,0),1,1)*T152^INDEX(FlowCalConstB,MATCH(R141,FlowCalNumber,0),1,1)," ")</f>
        <v>#N/A</v>
      </c>
      <c r="V152" s="1224"/>
      <c r="W152" s="1217"/>
      <c r="X152" s="1218"/>
      <c r="Y152" s="1219"/>
      <c r="Z152" s="1224"/>
      <c r="AA152" s="1217"/>
      <c r="AB152" s="1218"/>
      <c r="AC152" s="1219"/>
      <c r="AD152" s="1224"/>
      <c r="AE152" s="1217"/>
      <c r="AF152" s="1218"/>
      <c r="AG152" s="1219"/>
      <c r="AH152" s="1224"/>
      <c r="AI152" s="1217"/>
      <c r="AJ152" s="1218"/>
      <c r="AK152" s="1220"/>
      <c r="AL152" s="1219"/>
      <c r="AM152" s="1219"/>
      <c r="AN152" s="1219"/>
      <c r="AO152" s="1219"/>
      <c r="AP152" s="1219"/>
      <c r="AQ152" s="1219"/>
      <c r="AR152" s="1219"/>
      <c r="AS152" s="1219"/>
      <c r="AT152" s="1219"/>
      <c r="AU152" s="1219"/>
      <c r="AV152" s="1219"/>
      <c r="AW152" s="1219"/>
      <c r="AX152" s="1219"/>
      <c r="AY152" s="1219"/>
      <c r="AZ152" s="1219"/>
      <c r="BA152" s="1219"/>
      <c r="BB152" s="1219"/>
      <c r="BC152" s="1219"/>
      <c r="BD152" s="1219"/>
      <c r="BE152" s="1219"/>
      <c r="BF152" s="1219"/>
      <c r="BG152" s="1219"/>
      <c r="BH152" s="1219"/>
      <c r="BI152" s="1219"/>
      <c r="BJ152" s="1219"/>
      <c r="BK152" s="1219"/>
      <c r="BL152" s="1219"/>
      <c r="BM152" s="1219"/>
      <c r="BN152" s="1219"/>
      <c r="BO152" s="1219"/>
      <c r="BP152" s="1219"/>
      <c r="BQ152" s="1219"/>
      <c r="BR152" s="1219"/>
      <c r="BS152" s="1219"/>
      <c r="BU152" s="1217"/>
      <c r="BW152" s="1219"/>
      <c r="BY152" s="1217"/>
      <c r="CA152" s="1219"/>
      <c r="CC152" s="1217"/>
      <c r="CE152" s="1219"/>
      <c r="CG152" s="1217"/>
      <c r="CI152" s="1219"/>
    </row>
    <row r="153" spans="1:87">
      <c r="A153" s="20"/>
      <c r="B153" s="124" t="str">
        <f t="shared" si="64"/>
        <v/>
      </c>
      <c r="C153" s="235"/>
      <c r="D153" s="24">
        <f>'1% Wind'!$M$93</f>
        <v>2.4</v>
      </c>
      <c r="E153" s="90"/>
      <c r="F153" s="90"/>
      <c r="G153" s="79">
        <f ca="1">IF(I141=0.9743,$G152,MAX(G152/D152*D153,2))</f>
        <v>2</v>
      </c>
      <c r="H153" s="121" t="e">
        <f t="shared" ca="1" si="65"/>
        <v>#VALUE!</v>
      </c>
      <c r="J153" s="33"/>
      <c r="K153" s="242">
        <f t="shared" si="66"/>
        <v>1</v>
      </c>
      <c r="L153" s="241" t="e">
        <f t="shared" ca="1" si="67"/>
        <v>#VALUE!</v>
      </c>
      <c r="M153" s="243" t="e">
        <f ca="1">IF(AND(INDEX(FlowCalConstA,MATCH(J141,FlowCalNumber,0),1,1)*L153^INDEX(FlowCalConstB,MATCH(J141,FlowCalNumber,0),1,1)&gt;INDEX(FlowCalLowSetting,MATCH(J141,FlowCalNumber,0),1,1), (INDEX(FlowCalConstA,MATCH(J141,FlowCalNumber,0),1,1)*L153^INDEX(FlowCalConstB,MATCH(J141,FlowCalNumber,0),1,1)&lt;INDEX(FlowCalHighSetting,MATCH(J141,FlowCalNumber,0),1,1))),INDEX(FlowCalConstA,MATCH(J141,FlowCalNumber,0),1,1)*L153^INDEX(FlowCalConstB,MATCH(J141,FlowCalNumber,0),1,1)," ")</f>
        <v>#N/A</v>
      </c>
      <c r="N153" s="33"/>
      <c r="O153" s="242">
        <f t="shared" si="68"/>
        <v>1</v>
      </c>
      <c r="P153" s="241" t="e">
        <f t="shared" ca="1" si="69"/>
        <v>#VALUE!</v>
      </c>
      <c r="Q153" s="243" t="e">
        <f ca="1">IF(AND(INDEX(FlowCalConstA,MATCH(N141,FlowCalNumber,0),1,1)*P153^INDEX(FlowCalConstB,MATCH(N141,FlowCalNumber,0),1,1)&gt;INDEX(FlowCalLowSetting,MATCH(N141,FlowCalNumber,0),1,1), (INDEX(FlowCalConstA,MATCH(N141,FlowCalNumber,0),1,1)*P153^INDEX(FlowCalConstB,MATCH(N141,FlowCalNumber,0),1,1)&lt;INDEX(FlowCalHighSetting,MATCH(N141,FlowCalNumber,0),1,1))),INDEX(FlowCalConstA,MATCH(N141,FlowCalNumber,0),1,1)*P153^INDEX(FlowCalConstB,MATCH(N141,FlowCalNumber,0),1,1)," ")</f>
        <v>#N/A</v>
      </c>
      <c r="R153" s="33"/>
      <c r="S153" s="242">
        <f t="shared" si="70"/>
        <v>1</v>
      </c>
      <c r="T153" s="241" t="e">
        <f t="shared" ca="1" si="71"/>
        <v>#VALUE!</v>
      </c>
      <c r="U153" s="243" t="e">
        <f ca="1">IF(AND(INDEX(FlowCalConstA,MATCH(R141,FlowCalNumber,0),1,1)*T153^INDEX(FlowCalConstB,MATCH(R141,FlowCalNumber,0),1,1)&gt;INDEX(FlowCalLowSetting,MATCH(R141,FlowCalNumber,0),1,1), (INDEX(FlowCalConstA,MATCH(R141,FlowCalNumber,0),1,1)*T153^INDEX(FlowCalConstB,MATCH(R141,FlowCalNumber,0),1,1)&lt;INDEX(FlowCalHighSetting,MATCH(R141,FlowCalNumber,0),1,1))),INDEX(FlowCalConstA,MATCH(R141,FlowCalNumber,0),1,1)*T153^INDEX(FlowCalConstB,MATCH(R141,FlowCalNumber,0),1,1)," ")</f>
        <v>#N/A</v>
      </c>
      <c r="V153" s="33"/>
      <c r="W153" s="242"/>
      <c r="X153" s="241"/>
      <c r="Y153" s="243"/>
      <c r="Z153" s="33"/>
      <c r="AA153" s="242"/>
      <c r="AB153" s="241"/>
      <c r="AC153" s="243"/>
      <c r="AD153" s="33"/>
      <c r="AE153" s="242"/>
      <c r="AF153" s="241"/>
      <c r="AG153" s="243"/>
      <c r="AH153" s="33"/>
      <c r="AI153" s="242"/>
      <c r="AJ153" s="241"/>
      <c r="AK153" s="244"/>
      <c r="AL153" s="243"/>
      <c r="AM153" s="243"/>
      <c r="AN153" s="243"/>
      <c r="AO153" s="243"/>
      <c r="AP153" s="243"/>
      <c r="AQ153" s="243"/>
      <c r="AR153" s="243"/>
      <c r="AS153" s="243"/>
      <c r="AT153" s="243"/>
      <c r="AU153" s="243"/>
      <c r="AV153" s="243"/>
      <c r="AW153" s="243"/>
      <c r="AX153" s="243"/>
      <c r="AY153" s="243"/>
      <c r="AZ153" s="243"/>
      <c r="BA153" s="243"/>
      <c r="BB153" s="243"/>
      <c r="BC153" s="243"/>
      <c r="BD153" s="243"/>
      <c r="BE153" s="243"/>
      <c r="BF153" s="243"/>
      <c r="BG153" s="243"/>
      <c r="BH153" s="243"/>
      <c r="BI153" s="243"/>
      <c r="BJ153" s="243"/>
      <c r="BK153" s="243"/>
      <c r="BL153" s="243"/>
      <c r="BM153" s="243"/>
      <c r="BN153" s="243"/>
      <c r="BO153" s="243"/>
      <c r="BP153" s="243"/>
      <c r="BQ153" s="243"/>
      <c r="BR153" s="243"/>
      <c r="BS153" s="243"/>
      <c r="BU153" s="242"/>
      <c r="BW153" s="243"/>
      <c r="BY153" s="242"/>
      <c r="CA153" s="243"/>
      <c r="CC153" s="242"/>
      <c r="CE153" s="243"/>
      <c r="CG153" s="242"/>
      <c r="CI153" s="243"/>
    </row>
    <row r="154" spans="1:87" s="1215" customFormat="1">
      <c r="A154" s="1222"/>
      <c r="B154" s="1223" t="str">
        <f t="shared" si="64"/>
        <v/>
      </c>
      <c r="C154" s="1210"/>
      <c r="D154" s="1211">
        <f>'1% Wind'!$M$94</f>
        <v>1.8</v>
      </c>
      <c r="E154" s="1212"/>
      <c r="F154" s="1212"/>
      <c r="G154" s="1213">
        <f ca="1">IF(I141=0.9743,$G153,MAX(G153/D153*D154,2))</f>
        <v>2</v>
      </c>
      <c r="H154" s="1214" t="e">
        <f t="shared" ca="1" si="65"/>
        <v>#VALUE!</v>
      </c>
      <c r="J154" s="1224"/>
      <c r="K154" s="1217">
        <f t="shared" si="66"/>
        <v>1</v>
      </c>
      <c r="L154" s="1218" t="e">
        <f t="shared" ca="1" si="67"/>
        <v>#VALUE!</v>
      </c>
      <c r="M154" s="1219" t="e">
        <f ca="1">IF(AND(INDEX(FlowCalConstA,MATCH(J141,FlowCalNumber,0),1,1)*L154^INDEX(FlowCalConstB,MATCH(J141,FlowCalNumber,0),1,1)&gt;INDEX(FlowCalLowSetting,MATCH(J141,FlowCalNumber,0),1,1), (INDEX(FlowCalConstA,MATCH(J141,FlowCalNumber,0),1,1)*L154^INDEX(FlowCalConstB,MATCH(J141,FlowCalNumber,0),1,1)&lt;INDEX(FlowCalHighSetting,MATCH(J141,FlowCalNumber,0),1,1))),INDEX(FlowCalConstA,MATCH(J141,FlowCalNumber,0),1,1)*L154^INDEX(FlowCalConstB,MATCH(J141,FlowCalNumber,0),1,1)," ")</f>
        <v>#N/A</v>
      </c>
      <c r="N154" s="1224"/>
      <c r="O154" s="1217">
        <f t="shared" si="68"/>
        <v>1</v>
      </c>
      <c r="P154" s="1218" t="e">
        <f t="shared" ca="1" si="69"/>
        <v>#VALUE!</v>
      </c>
      <c r="Q154" s="1219" t="e">
        <f ca="1">IF(AND(INDEX(FlowCalConstA,MATCH(N141,FlowCalNumber,0),1,1)*P154^INDEX(FlowCalConstB,MATCH(N141,FlowCalNumber,0),1,1)&gt;INDEX(FlowCalLowSetting,MATCH(N141,FlowCalNumber,0),1,1), (INDEX(FlowCalConstA,MATCH(N141,FlowCalNumber,0),1,1)*P154^INDEX(FlowCalConstB,MATCH(N141,FlowCalNumber,0),1,1)&lt;INDEX(FlowCalHighSetting,MATCH(N141,FlowCalNumber,0),1,1))),INDEX(FlowCalConstA,MATCH(N141,FlowCalNumber,0),1,1)*P154^INDEX(FlowCalConstB,MATCH(N141,FlowCalNumber,0),1,1)," ")</f>
        <v>#N/A</v>
      </c>
      <c r="R154" s="1224"/>
      <c r="S154" s="1217">
        <f t="shared" si="70"/>
        <v>1</v>
      </c>
      <c r="T154" s="1218" t="e">
        <f t="shared" ca="1" si="71"/>
        <v>#VALUE!</v>
      </c>
      <c r="U154" s="1219" t="e">
        <f ca="1">IF(AND(INDEX(FlowCalConstA,MATCH(R141,FlowCalNumber,0),1,1)*T154^INDEX(FlowCalConstB,MATCH(R141,FlowCalNumber,0),1,1)&gt;INDEX(FlowCalLowSetting,MATCH(R141,FlowCalNumber,0),1,1), (INDEX(FlowCalConstA,MATCH(R141,FlowCalNumber,0),1,1)*T154^INDEX(FlowCalConstB,MATCH(R141,FlowCalNumber,0),1,1)&lt;INDEX(FlowCalHighSetting,MATCH(R141,FlowCalNumber,0),1,1))),INDEX(FlowCalConstA,MATCH(R141,FlowCalNumber,0),1,1)*T154^INDEX(FlowCalConstB,MATCH(R141,FlowCalNumber,0),1,1)," ")</f>
        <v>#N/A</v>
      </c>
      <c r="V154" s="1224"/>
      <c r="W154" s="1217"/>
      <c r="X154" s="1218"/>
      <c r="Y154" s="1219"/>
      <c r="Z154" s="1224"/>
      <c r="AA154" s="1217"/>
      <c r="AB154" s="1218"/>
      <c r="AC154" s="1219"/>
      <c r="AD154" s="1224"/>
      <c r="AE154" s="1217"/>
      <c r="AF154" s="1218"/>
      <c r="AG154" s="1219"/>
      <c r="AH154" s="1224"/>
      <c r="AI154" s="1217"/>
      <c r="AJ154" s="1218"/>
      <c r="AK154" s="1220"/>
      <c r="AL154" s="1219"/>
      <c r="AM154" s="1219"/>
      <c r="AN154" s="1219"/>
      <c r="AO154" s="1219"/>
      <c r="AP154" s="1219"/>
      <c r="AQ154" s="1219"/>
      <c r="AR154" s="1219"/>
      <c r="AS154" s="1219"/>
      <c r="AT154" s="1219"/>
      <c r="AU154" s="1219"/>
      <c r="AV154" s="1219"/>
      <c r="AW154" s="1219"/>
      <c r="AX154" s="1219"/>
      <c r="AY154" s="1219"/>
      <c r="AZ154" s="1219"/>
      <c r="BA154" s="1219"/>
      <c r="BB154" s="1219"/>
      <c r="BC154" s="1219"/>
      <c r="BD154" s="1219"/>
      <c r="BE154" s="1219"/>
      <c r="BF154" s="1219"/>
      <c r="BG154" s="1219"/>
      <c r="BH154" s="1219"/>
      <c r="BI154" s="1219"/>
      <c r="BJ154" s="1219"/>
      <c r="BK154" s="1219"/>
      <c r="BL154" s="1219"/>
      <c r="BM154" s="1219"/>
      <c r="BN154" s="1219"/>
      <c r="BO154" s="1219"/>
      <c r="BP154" s="1219"/>
      <c r="BQ154" s="1219"/>
      <c r="BR154" s="1219"/>
      <c r="BS154" s="1219"/>
      <c r="BU154" s="1217"/>
      <c r="BW154" s="1219"/>
      <c r="BY154" s="1217"/>
      <c r="CA154" s="1219"/>
      <c r="CC154" s="1217"/>
      <c r="CE154" s="1219"/>
      <c r="CG154" s="1217"/>
      <c r="CI154" s="1219"/>
    </row>
    <row r="155" spans="1:87">
      <c r="A155" s="20"/>
      <c r="B155" s="124" t="str">
        <f t="shared" si="64"/>
        <v/>
      </c>
      <c r="C155" s="235"/>
      <c r="D155" s="24">
        <f>'1% Wind'!$M$95</f>
        <v>1.3</v>
      </c>
      <c r="E155" s="90"/>
      <c r="F155" s="90"/>
      <c r="G155" s="79">
        <f ca="1">IF(I141=0.9743,$G154,MAX(G154/D154*D155,2))</f>
        <v>2</v>
      </c>
      <c r="H155" s="121" t="e">
        <f t="shared" ca="1" si="65"/>
        <v>#VALUE!</v>
      </c>
      <c r="J155" s="33"/>
      <c r="K155" s="242">
        <f t="shared" si="66"/>
        <v>1</v>
      </c>
      <c r="L155" s="241" t="e">
        <f t="shared" ca="1" si="67"/>
        <v>#VALUE!</v>
      </c>
      <c r="M155" s="243" t="e">
        <f ca="1">IF(AND(INDEX(FlowCalConstA,MATCH(J141,FlowCalNumber,0),1,1)*L155^INDEX(FlowCalConstB,MATCH(J141,FlowCalNumber,0),1,1)&gt;INDEX(FlowCalLowSetting,MATCH(J141,FlowCalNumber,0),1,1), (INDEX(FlowCalConstA,MATCH(J141,FlowCalNumber,0),1,1)*L155^INDEX(FlowCalConstB,MATCH(J141,FlowCalNumber,0),1,1)&lt;INDEX(FlowCalHighSetting,MATCH(J141,FlowCalNumber,0),1,1))),INDEX(FlowCalConstA,MATCH(J141,FlowCalNumber,0),1,1)*L155^INDEX(FlowCalConstB,MATCH(J141,FlowCalNumber,0),1,1)," ")</f>
        <v>#N/A</v>
      </c>
      <c r="N155" s="33"/>
      <c r="O155" s="242">
        <f t="shared" si="68"/>
        <v>1</v>
      </c>
      <c r="P155" s="241" t="e">
        <f t="shared" ca="1" si="69"/>
        <v>#VALUE!</v>
      </c>
      <c r="Q155" s="243" t="e">
        <f ca="1">IF(AND(INDEX(FlowCalConstA,MATCH(N141,FlowCalNumber,0),1,1)*P155^INDEX(FlowCalConstB,MATCH(N141,FlowCalNumber,0),1,1)&gt;INDEX(FlowCalLowSetting,MATCH(N141,FlowCalNumber,0),1,1), (INDEX(FlowCalConstA,MATCH(N141,FlowCalNumber,0),1,1)*P155^INDEX(FlowCalConstB,MATCH(N141,FlowCalNumber,0),1,1)&lt;INDEX(FlowCalHighSetting,MATCH(N141,FlowCalNumber,0),1,1))),INDEX(FlowCalConstA,MATCH(N141,FlowCalNumber,0),1,1)*P155^INDEX(FlowCalConstB,MATCH(N141,FlowCalNumber,0),1,1)," ")</f>
        <v>#N/A</v>
      </c>
      <c r="R155" s="33"/>
      <c r="S155" s="242">
        <f t="shared" si="70"/>
        <v>1</v>
      </c>
      <c r="T155" s="241" t="e">
        <f t="shared" ca="1" si="71"/>
        <v>#VALUE!</v>
      </c>
      <c r="U155" s="243" t="e">
        <f ca="1">IF(AND(INDEX(FlowCalConstA,MATCH(R141,FlowCalNumber,0),1,1)*T155^INDEX(FlowCalConstB,MATCH(R141,FlowCalNumber,0),1,1)&gt;INDEX(FlowCalLowSetting,MATCH(R141,FlowCalNumber,0),1,1), (INDEX(FlowCalConstA,MATCH(R141,FlowCalNumber,0),1,1)*T155^INDEX(FlowCalConstB,MATCH(R141,FlowCalNumber,0),1,1)&lt;INDEX(FlowCalHighSetting,MATCH(R141,FlowCalNumber,0),1,1))),INDEX(FlowCalConstA,MATCH(R141,FlowCalNumber,0),1,1)*T155^INDEX(FlowCalConstB,MATCH(R141,FlowCalNumber,0),1,1)," ")</f>
        <v>#N/A</v>
      </c>
      <c r="V155" s="33"/>
      <c r="W155" s="242"/>
      <c r="X155" s="241"/>
      <c r="Y155" s="243"/>
      <c r="Z155" s="33"/>
      <c r="AA155" s="242"/>
      <c r="AB155" s="241"/>
      <c r="AC155" s="243"/>
      <c r="AD155" s="33"/>
      <c r="AE155" s="242"/>
      <c r="AF155" s="241"/>
      <c r="AG155" s="243"/>
      <c r="AH155" s="33"/>
      <c r="AI155" s="242"/>
      <c r="AJ155" s="241"/>
      <c r="AK155" s="244"/>
      <c r="AL155" s="243"/>
      <c r="AM155" s="243"/>
      <c r="AN155" s="243"/>
      <c r="AO155" s="243"/>
      <c r="AP155" s="243"/>
      <c r="AQ155" s="243"/>
      <c r="AR155" s="243"/>
      <c r="AS155" s="243"/>
      <c r="AT155" s="243"/>
      <c r="AU155" s="243"/>
      <c r="AV155" s="243"/>
      <c r="AW155" s="243"/>
      <c r="AX155" s="243"/>
      <c r="AY155" s="243"/>
      <c r="AZ155" s="243"/>
      <c r="BA155" s="243"/>
      <c r="BB155" s="243"/>
      <c r="BC155" s="243"/>
      <c r="BD155" s="243"/>
      <c r="BE155" s="243"/>
      <c r="BF155" s="243"/>
      <c r="BG155" s="243"/>
      <c r="BH155" s="243"/>
      <c r="BI155" s="243"/>
      <c r="BJ155" s="243"/>
      <c r="BK155" s="243"/>
      <c r="BL155" s="243"/>
      <c r="BM155" s="243"/>
      <c r="BN155" s="243"/>
      <c r="BO155" s="243"/>
      <c r="BP155" s="243"/>
      <c r="BQ155" s="243"/>
      <c r="BR155" s="243"/>
      <c r="BS155" s="243"/>
      <c r="BU155" s="242"/>
      <c r="BW155" s="243"/>
      <c r="BY155" s="242"/>
      <c r="CA155" s="243"/>
      <c r="CC155" s="242"/>
      <c r="CE155" s="243"/>
      <c r="CG155" s="242"/>
      <c r="CI155" s="243"/>
    </row>
    <row r="156" spans="1:87" s="1215" customFormat="1">
      <c r="A156" s="1222"/>
      <c r="B156" s="1223" t="str">
        <f t="shared" si="64"/>
        <v/>
      </c>
      <c r="C156" s="1210"/>
      <c r="D156" s="1211">
        <f>'1% Wind'!$M$96</f>
        <v>1</v>
      </c>
      <c r="E156" s="1212"/>
      <c r="F156" s="1212"/>
      <c r="G156" s="1213">
        <f ca="1">IF(I141=0.9743,$G155,MAX(G155/D155*D156,2))</f>
        <v>2</v>
      </c>
      <c r="H156" s="1214" t="e">
        <f t="shared" ca="1" si="65"/>
        <v>#VALUE!</v>
      </c>
      <c r="J156" s="1224"/>
      <c r="K156" s="1217">
        <f t="shared" si="66"/>
        <v>1</v>
      </c>
      <c r="L156" s="1218" t="e">
        <f t="shared" ca="1" si="67"/>
        <v>#VALUE!</v>
      </c>
      <c r="M156" s="1219" t="e">
        <f ca="1">IF(AND(INDEX(FlowCalConstA,MATCH(J141,FlowCalNumber,0),1,1)*L156^INDEX(FlowCalConstB,MATCH(J141,FlowCalNumber,0),1,1)&gt;INDEX(FlowCalLowSetting,MATCH(J141,FlowCalNumber,0),1,1), (INDEX(FlowCalConstA,MATCH(J141,FlowCalNumber,0),1,1)*L156^INDEX(FlowCalConstB,MATCH(J141,FlowCalNumber,0),1,1)&lt;INDEX(FlowCalHighSetting,MATCH(J141,FlowCalNumber,0),1,1))),INDEX(FlowCalConstA,MATCH(J141,FlowCalNumber,0),1,1)*L156^INDEX(FlowCalConstB,MATCH(J141,FlowCalNumber,0),1,1)," ")</f>
        <v>#N/A</v>
      </c>
      <c r="N156" s="1224"/>
      <c r="O156" s="1217">
        <f t="shared" si="68"/>
        <v>1</v>
      </c>
      <c r="P156" s="1218" t="e">
        <f t="shared" ca="1" si="69"/>
        <v>#VALUE!</v>
      </c>
      <c r="Q156" s="1219" t="e">
        <f ca="1">IF(AND(INDEX(FlowCalConstA,MATCH(N141,FlowCalNumber,0),1,1)*P156^INDEX(FlowCalConstB,MATCH(N141,FlowCalNumber,0),1,1)&gt;INDEX(FlowCalLowSetting,MATCH(N141,FlowCalNumber,0),1,1), (INDEX(FlowCalConstA,MATCH(N141,FlowCalNumber,0),1,1)*P156^INDEX(FlowCalConstB,MATCH(N141,FlowCalNumber,0),1,1)&lt;INDEX(FlowCalHighSetting,MATCH(N141,FlowCalNumber,0),1,1))),INDEX(FlowCalConstA,MATCH(N141,FlowCalNumber,0),1,1)*P156^INDEX(FlowCalConstB,MATCH(N141,FlowCalNumber,0),1,1)," ")</f>
        <v>#N/A</v>
      </c>
      <c r="R156" s="1224"/>
      <c r="S156" s="1217">
        <f t="shared" si="70"/>
        <v>1</v>
      </c>
      <c r="T156" s="1218" t="e">
        <f t="shared" ca="1" si="71"/>
        <v>#VALUE!</v>
      </c>
      <c r="U156" s="1219" t="e">
        <f ca="1">IF(AND(INDEX(FlowCalConstA,MATCH(R141,FlowCalNumber,0),1,1)*T156^INDEX(FlowCalConstB,MATCH(R141,FlowCalNumber,0),1,1)&gt;INDEX(FlowCalLowSetting,MATCH(R141,FlowCalNumber,0),1,1), (INDEX(FlowCalConstA,MATCH(R141,FlowCalNumber,0),1,1)*T156^INDEX(FlowCalConstB,MATCH(R141,FlowCalNumber,0),1,1)&lt;INDEX(FlowCalHighSetting,MATCH(R141,FlowCalNumber,0),1,1))),INDEX(FlowCalConstA,MATCH(R141,FlowCalNumber,0),1,1)*T156^INDEX(FlowCalConstB,MATCH(R141,FlowCalNumber,0),1,1)," ")</f>
        <v>#N/A</v>
      </c>
      <c r="V156" s="1224"/>
      <c r="W156" s="1217"/>
      <c r="X156" s="1218"/>
      <c r="Y156" s="1219"/>
      <c r="Z156" s="1224"/>
      <c r="AA156" s="1217"/>
      <c r="AB156" s="1218"/>
      <c r="AC156" s="1219"/>
      <c r="AD156" s="1224"/>
      <c r="AE156" s="1217"/>
      <c r="AF156" s="1218"/>
      <c r="AG156" s="1219"/>
      <c r="AH156" s="1224"/>
      <c r="AI156" s="1217"/>
      <c r="AJ156" s="1218"/>
      <c r="AK156" s="1220"/>
      <c r="AL156" s="1219"/>
      <c r="AM156" s="1219"/>
      <c r="AN156" s="1219"/>
      <c r="AO156" s="1219"/>
      <c r="AP156" s="1219"/>
      <c r="AQ156" s="1219"/>
      <c r="AR156" s="1219"/>
      <c r="AS156" s="1219"/>
      <c r="AT156" s="1219"/>
      <c r="AU156" s="1219"/>
      <c r="AV156" s="1219"/>
      <c r="AW156" s="1219"/>
      <c r="AX156" s="1219"/>
      <c r="AY156" s="1219"/>
      <c r="AZ156" s="1219"/>
      <c r="BA156" s="1219"/>
      <c r="BB156" s="1219"/>
      <c r="BC156" s="1219"/>
      <c r="BD156" s="1219"/>
      <c r="BE156" s="1219"/>
      <c r="BF156" s="1219"/>
      <c r="BG156" s="1219"/>
      <c r="BH156" s="1219"/>
      <c r="BI156" s="1219"/>
      <c r="BJ156" s="1219"/>
      <c r="BK156" s="1219"/>
      <c r="BL156" s="1219"/>
      <c r="BM156" s="1219"/>
      <c r="BN156" s="1219"/>
      <c r="BO156" s="1219"/>
      <c r="BP156" s="1219"/>
      <c r="BQ156" s="1219"/>
      <c r="BR156" s="1219"/>
      <c r="BS156" s="1219"/>
      <c r="BU156" s="1217"/>
      <c r="BW156" s="1219"/>
      <c r="BY156" s="1217"/>
      <c r="CA156" s="1219"/>
      <c r="CC156" s="1217"/>
      <c r="CE156" s="1219"/>
      <c r="CG156" s="1217"/>
      <c r="CI156" s="1219"/>
    </row>
    <row r="157" spans="1:87">
      <c r="A157" s="33"/>
      <c r="B157" s="33"/>
      <c r="C157" s="235"/>
      <c r="E157" s="90"/>
      <c r="F157" s="90"/>
      <c r="G157" s="33"/>
      <c r="J157" s="33"/>
      <c r="M157" s="243"/>
      <c r="N157" s="33"/>
      <c r="Q157" s="243"/>
      <c r="R157" s="33"/>
      <c r="U157" s="243"/>
      <c r="V157" s="33"/>
      <c r="Y157" s="243"/>
      <c r="Z157" s="33"/>
      <c r="AC157" s="243"/>
      <c r="AD157" s="33"/>
      <c r="AG157" s="243"/>
      <c r="AH157" s="33"/>
      <c r="AK157" s="244"/>
      <c r="AL157" s="243"/>
      <c r="AM157" s="243"/>
      <c r="AN157" s="243"/>
      <c r="AO157" s="243"/>
      <c r="AP157" s="243"/>
      <c r="AQ157" s="243"/>
      <c r="AR157" s="243"/>
      <c r="AS157" s="243"/>
      <c r="AT157" s="243"/>
      <c r="AU157" s="243"/>
      <c r="AV157" s="243"/>
      <c r="AW157" s="243"/>
      <c r="AX157" s="243"/>
      <c r="AY157" s="243"/>
      <c r="AZ157" s="243"/>
      <c r="BA157" s="243"/>
      <c r="BB157" s="243"/>
      <c r="BC157" s="243"/>
      <c r="BD157" s="243"/>
      <c r="BE157" s="243"/>
      <c r="BF157" s="243"/>
      <c r="BG157" s="243"/>
      <c r="BH157" s="243"/>
      <c r="BI157" s="243"/>
      <c r="BJ157" s="243"/>
      <c r="BK157" s="243"/>
      <c r="BL157" s="243"/>
      <c r="BM157" s="243"/>
      <c r="BN157" s="243"/>
      <c r="BO157" s="243"/>
      <c r="BP157" s="243"/>
      <c r="BQ157" s="243"/>
      <c r="BR157" s="243"/>
      <c r="BS157" s="243"/>
      <c r="BW157" s="243"/>
      <c r="CA157" s="243"/>
      <c r="CE157" s="243"/>
      <c r="CI157" s="243"/>
    </row>
    <row r="158" spans="1:87">
      <c r="A158" s="256" t="str">
        <f>IF((RIGHT(A141,1))&lt;&gt;"Z",CHAR(CODE(A141))&amp;CHAR(CODE(RIGHT(A141,1))+1),CHAR(CODE(A141)+1)&amp;"A")</f>
        <v>AI</v>
      </c>
      <c r="B158" s="270" t="str">
        <f>INDEX(SourceID,MATCH($A158,SourceNumber,0),1,1)</f>
        <v>EF-9</v>
      </c>
      <c r="C158" s="354">
        <f>INDEX(SourceExitDiameter,MATCH($A158,SourceNumber,0),1,1)*3.28*12</f>
        <v>160</v>
      </c>
      <c r="D158" s="24" t="str">
        <f>UAnem1percent</f>
        <v>1% Wind</v>
      </c>
      <c r="E158" s="350" t="e">
        <f ca="1">INDIRECT(ADDRESS(53,6,1,,CONCATENATE("TA",$A158)))</f>
        <v>#REF!</v>
      </c>
      <c r="F158" s="625" t="e">
        <f ca="1">(ROUND((INDIRECT(ADDRESS(15,7,1,,CONCATENATE("TA",$A158)))*3.28*12*32),0)&amp;"/32")</f>
        <v>#REF!</v>
      </c>
      <c r="G158" s="125">
        <f ca="1">INDIRECT(ADDRESS(29,7,1,,$A158))</f>
        <v>6.001707317073171</v>
      </c>
      <c r="H158" s="24" t="e">
        <f ca="1">INDIRECT(ADDRESS(19,7,1,,$A158))*100^3</f>
        <v>#VALUE!</v>
      </c>
      <c r="I158" s="941">
        <f ca="1">INDIRECT(ADDRESS(53,7,1,,$A158))</f>
        <v>0.97430000000000005</v>
      </c>
      <c r="J158" s="20" t="str">
        <f ca="1">IF($I158=$I$6,K$16&amp;$G$6&amp;J$6,IF($I158=$I$7,K$16&amp;$G$7&amp;J$7,"Bad"))</f>
        <v>100N2Pick a Tunnel</v>
      </c>
      <c r="K158" t="e">
        <f ca="1">INDEX(FlowCalGasMixture,MATCH(J158,FlowCalNumber,0),1,1)</f>
        <v>#N/A</v>
      </c>
      <c r="M158" s="944" t="e">
        <f ca="1">INDEX(FlowCalDevice,MATCH(J158,FlowCalNumber,0),1,1)</f>
        <v>#N/A</v>
      </c>
      <c r="N158" s="20" t="str">
        <f ca="1">IF($I158=$I$6,O$16&amp;$G$6&amp;N$6,IF($I158=$I$7,O$16&amp;$G$7&amp;N$7,"Bad"))</f>
        <v>100N2Pick a Tunnel</v>
      </c>
      <c r="O158" t="e">
        <f ca="1">INDEX(FlowCalGasMixture,MATCH(N158,FlowCalNumber,0),1,1)</f>
        <v>#N/A</v>
      </c>
      <c r="Q158" s="944" t="e">
        <f ca="1">INDEX(FlowCalDevice,MATCH(N158,FlowCalNumber,0),1,1)</f>
        <v>#N/A</v>
      </c>
      <c r="R158" s="20" t="str">
        <f ca="1">IF($I158=$I$6,S$16&amp;$G$6&amp;R$6,IF($I158=$I$7,S$16&amp;$G$7&amp;R$7,"Bad"))</f>
        <v>100N2Pick a Tunnel</v>
      </c>
      <c r="S158" t="e">
        <f ca="1">INDEX(FlowCalGasMixture,MATCH(R158,FlowCalNumber,0),1,1)</f>
        <v>#N/A</v>
      </c>
      <c r="U158" s="944" t="e">
        <f ca="1">INDEX(FlowCalDevice,MATCH(R158,FlowCalNumber,0),1,1)</f>
        <v>#N/A</v>
      </c>
      <c r="V158" s="20"/>
      <c r="Y158" s="944"/>
      <c r="Z158" s="946"/>
      <c r="AC158" s="944"/>
      <c r="AD158" s="20"/>
      <c r="AG158" s="944"/>
      <c r="AH158" s="946"/>
      <c r="AK158" s="982"/>
      <c r="AL158" s="355"/>
      <c r="AM158" s="355"/>
      <c r="AN158" s="355"/>
      <c r="AO158" s="355"/>
      <c r="AP158" s="355"/>
      <c r="AQ158" s="355"/>
      <c r="AR158" s="355"/>
      <c r="AS158" s="355"/>
      <c r="AT158" s="355"/>
      <c r="AU158" s="355"/>
      <c r="AV158" s="355"/>
      <c r="AW158" s="355"/>
      <c r="AX158" s="355"/>
      <c r="AY158" s="355"/>
      <c r="AZ158" s="355"/>
      <c r="BA158" s="355"/>
      <c r="BB158" s="355"/>
      <c r="BC158" s="355"/>
      <c r="BD158" s="355"/>
      <c r="BE158" s="355"/>
      <c r="BF158" s="355"/>
      <c r="BG158" s="355"/>
      <c r="BH158" s="355"/>
      <c r="BI158" s="355"/>
      <c r="BJ158" s="355"/>
      <c r="BK158" s="355"/>
      <c r="BL158" s="355"/>
      <c r="BM158" s="355"/>
      <c r="BN158" s="355"/>
      <c r="BO158" s="355"/>
      <c r="BP158" s="355"/>
      <c r="BQ158" s="355"/>
      <c r="BR158" s="355"/>
      <c r="BS158" s="355"/>
      <c r="BT158" s="46"/>
      <c r="BU158" s="16"/>
      <c r="BW158" s="355"/>
      <c r="BX158" s="42"/>
      <c r="BY158" s="16"/>
      <c r="CA158" s="355"/>
      <c r="CB158" s="42"/>
      <c r="CC158" s="16"/>
      <c r="CE158" s="355"/>
      <c r="CF158" s="42"/>
      <c r="CG158" s="16"/>
      <c r="CI158" s="355"/>
    </row>
    <row r="159" spans="1:87" s="1215" customFormat="1">
      <c r="A159" s="1222"/>
      <c r="B159" s="1223" t="str">
        <f t="shared" ref="B159:B173" si="72">IF(D159=UAnem1percent,"1% Wind","")</f>
        <v/>
      </c>
      <c r="C159" s="1210"/>
      <c r="D159" s="1211">
        <f>'1% Wind'!$M$82</f>
        <v>27</v>
      </c>
      <c r="E159" s="1212"/>
      <c r="F159" s="1212"/>
      <c r="G159" s="1364">
        <v>2</v>
      </c>
      <c r="H159" s="1214" t="e">
        <f t="shared" ref="H159:H173" ca="1" si="73">H158*(D158/D159)*(G159/G158)</f>
        <v>#VALUE!</v>
      </c>
      <c r="J159" s="1224"/>
      <c r="K159" s="1221">
        <f>K$17/100</f>
        <v>1</v>
      </c>
      <c r="L159" s="1218" t="e">
        <f ca="1">K159*$H159</f>
        <v>#VALUE!</v>
      </c>
      <c r="M159" s="1219" t="e">
        <f ca="1">IF(AND(INDEX(FlowCalConstA,MATCH(J158,FlowCalNumber,0),1,1)*L159^INDEX(FlowCalConstB,MATCH(J158,FlowCalNumber,0),1,1)&gt;INDEX(FlowCalLowSetting,MATCH(J158,FlowCalNumber,0),1,1), (INDEX(FlowCalConstA,MATCH(J158,FlowCalNumber,0),1,1)*L159^INDEX(FlowCalConstB,MATCH(J158,FlowCalNumber,0),1,1)&lt;INDEX(FlowCalHighSetting,MATCH(J158,FlowCalNumber,0),1,1))),INDEX(FlowCalConstA,MATCH(J158,FlowCalNumber,0),1,1)*L159^INDEX(FlowCalConstB,MATCH(J158,FlowCalNumber,0),1,1)," ")</f>
        <v>#N/A</v>
      </c>
      <c r="N159" s="1224"/>
      <c r="O159" s="1221">
        <f>O$17/100</f>
        <v>1</v>
      </c>
      <c r="P159" s="1218" t="e">
        <f ca="1">O159*$H159</f>
        <v>#VALUE!</v>
      </c>
      <c r="Q159" s="1219" t="e">
        <f ca="1">IF(AND(INDEX(FlowCalConstA,MATCH(N158,FlowCalNumber,0),1,1)*P159^INDEX(FlowCalConstB,MATCH(N158,FlowCalNumber,0),1,1)&gt;INDEX(FlowCalLowSetting,MATCH(N158,FlowCalNumber,0),1,1), (INDEX(FlowCalConstA,MATCH(N158,FlowCalNumber,0),1,1)*P159^INDEX(FlowCalConstB,MATCH(N158,FlowCalNumber,0),1,1)&lt;INDEX(FlowCalHighSetting,MATCH(N158,FlowCalNumber,0),1,1))),INDEX(FlowCalConstA,MATCH(N158,FlowCalNumber,0),1,1)*P159^INDEX(FlowCalConstB,MATCH(N158,FlowCalNumber,0),1,1)," ")</f>
        <v>#N/A</v>
      </c>
      <c r="R159" s="1224"/>
      <c r="S159" s="1221">
        <f>S$17/100</f>
        <v>1</v>
      </c>
      <c r="T159" s="1218" t="e">
        <f ca="1">S159*$H159</f>
        <v>#VALUE!</v>
      </c>
      <c r="U159" s="1219" t="e">
        <f ca="1">IF(AND(INDEX(FlowCalConstA,MATCH(R158,FlowCalNumber,0),1,1)*T159^INDEX(FlowCalConstB,MATCH(R158,FlowCalNumber,0),1,1)&gt;INDEX(FlowCalLowSetting,MATCH(R158,FlowCalNumber,0),1,1), (INDEX(FlowCalConstA,MATCH(R158,FlowCalNumber,0),1,1)*T159^INDEX(FlowCalConstB,MATCH(R158,FlowCalNumber,0),1,1)&lt;INDEX(FlowCalHighSetting,MATCH(R158,FlowCalNumber,0),1,1))),INDEX(FlowCalConstA,MATCH(R158,FlowCalNumber,0),1,1)*T159^INDEX(FlowCalConstB,MATCH(R158,FlowCalNumber,0),1,1)," ")</f>
        <v>#N/A</v>
      </c>
      <c r="V159" s="1224"/>
      <c r="W159" s="1221"/>
      <c r="X159" s="1218"/>
      <c r="Y159" s="1219"/>
      <c r="Z159" s="1224"/>
      <c r="AA159" s="1221"/>
      <c r="AB159" s="1218"/>
      <c r="AC159" s="1219"/>
      <c r="AD159" s="1224"/>
      <c r="AE159" s="1221"/>
      <c r="AF159" s="1218"/>
      <c r="AG159" s="1219"/>
      <c r="AH159" s="1224"/>
      <c r="AI159" s="1221"/>
      <c r="AJ159" s="1218"/>
      <c r="AK159" s="1220"/>
      <c r="AL159" s="1219"/>
      <c r="AM159" s="1219"/>
      <c r="AN159" s="1219"/>
      <c r="AO159" s="1219"/>
      <c r="AP159" s="1219"/>
      <c r="AQ159" s="1219"/>
      <c r="AR159" s="1219"/>
      <c r="AS159" s="1219"/>
      <c r="AT159" s="1219"/>
      <c r="AU159" s="1219"/>
      <c r="AV159" s="1219"/>
      <c r="AW159" s="1219"/>
      <c r="AX159" s="1219"/>
      <c r="AY159" s="1219"/>
      <c r="AZ159" s="1219"/>
      <c r="BA159" s="1219"/>
      <c r="BB159" s="1219"/>
      <c r="BC159" s="1219"/>
      <c r="BD159" s="1219"/>
      <c r="BE159" s="1219"/>
      <c r="BF159" s="1219"/>
      <c r="BG159" s="1219"/>
      <c r="BH159" s="1219"/>
      <c r="BI159" s="1219"/>
      <c r="BJ159" s="1219"/>
      <c r="BK159" s="1219"/>
      <c r="BL159" s="1219"/>
      <c r="BM159" s="1219"/>
      <c r="BN159" s="1219"/>
      <c r="BO159" s="1219"/>
      <c r="BP159" s="1219"/>
      <c r="BQ159" s="1219"/>
      <c r="BR159" s="1219"/>
      <c r="BS159" s="1219"/>
      <c r="BU159" s="1225"/>
      <c r="BW159" s="1219"/>
      <c r="BY159" s="1225"/>
      <c r="CA159" s="1219"/>
      <c r="CC159" s="1225"/>
      <c r="CE159" s="1219"/>
      <c r="CG159" s="1221"/>
      <c r="CI159" s="1219"/>
    </row>
    <row r="160" spans="1:87">
      <c r="A160" s="20"/>
      <c r="B160" s="124" t="str">
        <f t="shared" si="72"/>
        <v/>
      </c>
      <c r="C160" s="235"/>
      <c r="D160" s="24">
        <f>'1% Wind'!$M$83</f>
        <v>23.5</v>
      </c>
      <c r="E160" s="90"/>
      <c r="F160" s="90"/>
      <c r="G160" s="79">
        <f ca="1">IF(I158=0.9743,$G159,MAX(G159/D159*D160,2))</f>
        <v>2</v>
      </c>
      <c r="H160" s="121" t="e">
        <f t="shared" ca="1" si="73"/>
        <v>#VALUE!</v>
      </c>
      <c r="J160" s="33"/>
      <c r="K160" s="242">
        <f t="shared" ref="K160:K173" si="74">K159</f>
        <v>1</v>
      </c>
      <c r="L160" s="241" t="e">
        <f t="shared" ref="L160:L173" ca="1" si="75">K160*$H160</f>
        <v>#VALUE!</v>
      </c>
      <c r="M160" s="243" t="e">
        <f ca="1">IF(AND(INDEX(FlowCalConstA,MATCH(J158,FlowCalNumber,0),1,1)*L160^INDEX(FlowCalConstB,MATCH(J158,FlowCalNumber,0),1,1)&gt;INDEX(FlowCalLowSetting,MATCH(J158,FlowCalNumber,0),1,1), (INDEX(FlowCalConstA,MATCH(J158,FlowCalNumber,0),1,1)*L160^INDEX(FlowCalConstB,MATCH(J158,FlowCalNumber,0),1,1)&lt;INDEX(FlowCalHighSetting,MATCH(J158,FlowCalNumber,0),1,1))),INDEX(FlowCalConstA,MATCH(J158,FlowCalNumber,0),1,1)*L160^INDEX(FlowCalConstB,MATCH(J158,FlowCalNumber,0),1,1)," ")</f>
        <v>#N/A</v>
      </c>
      <c r="N160" s="33"/>
      <c r="O160" s="242">
        <f t="shared" ref="O160:O173" si="76">O159</f>
        <v>1</v>
      </c>
      <c r="P160" s="241" t="e">
        <f t="shared" ref="P160:P173" ca="1" si="77">O160*$H160</f>
        <v>#VALUE!</v>
      </c>
      <c r="Q160" s="243" t="e">
        <f ca="1">IF(AND(INDEX(FlowCalConstA,MATCH(N158,FlowCalNumber,0),1,1)*P160^INDEX(FlowCalConstB,MATCH(N158,FlowCalNumber,0),1,1)&gt;INDEX(FlowCalLowSetting,MATCH(N158,FlowCalNumber,0),1,1), (INDEX(FlowCalConstA,MATCH(N158,FlowCalNumber,0),1,1)*P160^INDEX(FlowCalConstB,MATCH(N158,FlowCalNumber,0),1,1)&lt;INDEX(FlowCalHighSetting,MATCH(N158,FlowCalNumber,0),1,1))),INDEX(FlowCalConstA,MATCH(N158,FlowCalNumber,0),1,1)*P160^INDEX(FlowCalConstB,MATCH(N158,FlowCalNumber,0),1,1)," ")</f>
        <v>#N/A</v>
      </c>
      <c r="R160" s="33"/>
      <c r="S160" s="242">
        <f t="shared" ref="S160:S173" si="78">S159</f>
        <v>1</v>
      </c>
      <c r="T160" s="241" t="e">
        <f t="shared" ref="T160:T173" ca="1" si="79">S160*$H160</f>
        <v>#VALUE!</v>
      </c>
      <c r="U160" s="243" t="e">
        <f ca="1">IF(AND(INDEX(FlowCalConstA,MATCH(R158,FlowCalNumber,0),1,1)*T160^INDEX(FlowCalConstB,MATCH(R158,FlowCalNumber,0),1,1)&gt;INDEX(FlowCalLowSetting,MATCH(R158,FlowCalNumber,0),1,1), (INDEX(FlowCalConstA,MATCH(R158,FlowCalNumber,0),1,1)*T160^INDEX(FlowCalConstB,MATCH(R158,FlowCalNumber,0),1,1)&lt;INDEX(FlowCalHighSetting,MATCH(R158,FlowCalNumber,0),1,1))),INDEX(FlowCalConstA,MATCH(R158,FlowCalNumber,0),1,1)*T160^INDEX(FlowCalConstB,MATCH(R158,FlowCalNumber,0),1,1)," ")</f>
        <v>#N/A</v>
      </c>
      <c r="V160" s="33"/>
      <c r="W160" s="242"/>
      <c r="X160" s="241"/>
      <c r="Y160" s="243"/>
      <c r="Z160" s="33"/>
      <c r="AA160" s="242"/>
      <c r="AB160" s="241"/>
      <c r="AC160" s="243"/>
      <c r="AD160" s="33"/>
      <c r="AE160" s="242"/>
      <c r="AF160" s="241"/>
      <c r="AG160" s="243"/>
      <c r="AH160" s="33"/>
      <c r="AI160" s="242"/>
      <c r="AJ160" s="241"/>
      <c r="AK160" s="244"/>
      <c r="AL160" s="243"/>
      <c r="AM160" s="243"/>
      <c r="AN160" s="243"/>
      <c r="AO160" s="243"/>
      <c r="AP160" s="243"/>
      <c r="AQ160" s="243"/>
      <c r="AR160" s="243"/>
      <c r="AS160" s="243"/>
      <c r="AT160" s="243"/>
      <c r="AU160" s="243"/>
      <c r="AV160" s="243"/>
      <c r="AW160" s="243"/>
      <c r="AX160" s="243"/>
      <c r="AY160" s="243"/>
      <c r="AZ160" s="243"/>
      <c r="BA160" s="243"/>
      <c r="BB160" s="243"/>
      <c r="BC160" s="243"/>
      <c r="BD160" s="243"/>
      <c r="BE160" s="243"/>
      <c r="BF160" s="243"/>
      <c r="BG160" s="243"/>
      <c r="BH160" s="243"/>
      <c r="BI160" s="243"/>
      <c r="BJ160" s="243"/>
      <c r="BK160" s="243"/>
      <c r="BL160" s="243"/>
      <c r="BM160" s="243"/>
      <c r="BN160" s="243"/>
      <c r="BO160" s="243"/>
      <c r="BP160" s="243"/>
      <c r="BQ160" s="243"/>
      <c r="BR160" s="243"/>
      <c r="BS160" s="243"/>
      <c r="BU160" s="242"/>
      <c r="BW160" s="243"/>
      <c r="BY160" s="242"/>
      <c r="CA160" s="243"/>
      <c r="CC160" s="242"/>
      <c r="CE160" s="243"/>
      <c r="CG160" s="242"/>
      <c r="CI160" s="243"/>
    </row>
    <row r="161" spans="1:87" s="1215" customFormat="1">
      <c r="A161" s="1222"/>
      <c r="B161" s="1223" t="str">
        <f t="shared" si="72"/>
        <v/>
      </c>
      <c r="C161" s="1210"/>
      <c r="D161" s="1211">
        <f>'1% Wind'!$M$84</f>
        <v>20.5</v>
      </c>
      <c r="E161" s="1212"/>
      <c r="F161" s="1212"/>
      <c r="G161" s="1213">
        <f ca="1">IF(I158=0.9743,$G160,MAX(G160/D160*D161,2))</f>
        <v>2</v>
      </c>
      <c r="H161" s="1214" t="e">
        <f t="shared" ca="1" si="73"/>
        <v>#VALUE!</v>
      </c>
      <c r="J161" s="1224"/>
      <c r="K161" s="1217">
        <f t="shared" si="74"/>
        <v>1</v>
      </c>
      <c r="L161" s="1218" t="e">
        <f t="shared" ca="1" si="75"/>
        <v>#VALUE!</v>
      </c>
      <c r="M161" s="1219" t="e">
        <f ca="1">IF(AND(INDEX(FlowCalConstA,MATCH(J158,FlowCalNumber,0),1,1)*L161^INDEX(FlowCalConstB,MATCH(J158,FlowCalNumber,0),1,1)&gt;INDEX(FlowCalLowSetting,MATCH(J158,FlowCalNumber,0),1,1), (INDEX(FlowCalConstA,MATCH(J158,FlowCalNumber,0),1,1)*L161^INDEX(FlowCalConstB,MATCH(J158,FlowCalNumber,0),1,1)&lt;INDEX(FlowCalHighSetting,MATCH(J158,FlowCalNumber,0),1,1))),INDEX(FlowCalConstA,MATCH(J158,FlowCalNumber,0),1,1)*L161^INDEX(FlowCalConstB,MATCH(J158,FlowCalNumber,0),1,1)," ")</f>
        <v>#N/A</v>
      </c>
      <c r="N161" s="1224"/>
      <c r="O161" s="1217">
        <f t="shared" si="76"/>
        <v>1</v>
      </c>
      <c r="P161" s="1218" t="e">
        <f t="shared" ca="1" si="77"/>
        <v>#VALUE!</v>
      </c>
      <c r="Q161" s="1219" t="e">
        <f ca="1">IF(AND(INDEX(FlowCalConstA,MATCH(N158,FlowCalNumber,0),1,1)*P161^INDEX(FlowCalConstB,MATCH(N158,FlowCalNumber,0),1,1)&gt;INDEX(FlowCalLowSetting,MATCH(N158,FlowCalNumber,0),1,1), (INDEX(FlowCalConstA,MATCH(N158,FlowCalNumber,0),1,1)*P161^INDEX(FlowCalConstB,MATCH(N158,FlowCalNumber,0),1,1)&lt;INDEX(FlowCalHighSetting,MATCH(N158,FlowCalNumber,0),1,1))),INDEX(FlowCalConstA,MATCH(N158,FlowCalNumber,0),1,1)*P161^INDEX(FlowCalConstB,MATCH(N158,FlowCalNumber,0),1,1)," ")</f>
        <v>#N/A</v>
      </c>
      <c r="R161" s="1224"/>
      <c r="S161" s="1217">
        <f t="shared" si="78"/>
        <v>1</v>
      </c>
      <c r="T161" s="1218" t="e">
        <f t="shared" ca="1" si="79"/>
        <v>#VALUE!</v>
      </c>
      <c r="U161" s="1219" t="e">
        <f ca="1">IF(AND(INDEX(FlowCalConstA,MATCH(R158,FlowCalNumber,0),1,1)*T161^INDEX(FlowCalConstB,MATCH(R158,FlowCalNumber,0),1,1)&gt;INDEX(FlowCalLowSetting,MATCH(R158,FlowCalNumber,0),1,1), (INDEX(FlowCalConstA,MATCH(R158,FlowCalNumber,0),1,1)*T161^INDEX(FlowCalConstB,MATCH(R158,FlowCalNumber,0),1,1)&lt;INDEX(FlowCalHighSetting,MATCH(R158,FlowCalNumber,0),1,1))),INDEX(FlowCalConstA,MATCH(R158,FlowCalNumber,0),1,1)*T161^INDEX(FlowCalConstB,MATCH(R158,FlowCalNumber,0),1,1)," ")</f>
        <v>#N/A</v>
      </c>
      <c r="V161" s="1224"/>
      <c r="W161" s="1217"/>
      <c r="X161" s="1218"/>
      <c r="Y161" s="1219"/>
      <c r="Z161" s="1224"/>
      <c r="AA161" s="1217"/>
      <c r="AB161" s="1218"/>
      <c r="AC161" s="1219"/>
      <c r="AD161" s="1224"/>
      <c r="AE161" s="1217"/>
      <c r="AF161" s="1218"/>
      <c r="AG161" s="1219"/>
      <c r="AH161" s="1224"/>
      <c r="AI161" s="1217"/>
      <c r="AJ161" s="1218"/>
      <c r="AK161" s="1220"/>
      <c r="AL161" s="1219"/>
      <c r="AM161" s="1219"/>
      <c r="AN161" s="1219"/>
      <c r="AO161" s="1219"/>
      <c r="AP161" s="1219"/>
      <c r="AQ161" s="1219"/>
      <c r="AR161" s="1219"/>
      <c r="AS161" s="1219"/>
      <c r="AT161" s="1219"/>
      <c r="AU161" s="1219"/>
      <c r="AV161" s="1219"/>
      <c r="AW161" s="1219"/>
      <c r="AX161" s="1219"/>
      <c r="AY161" s="1219"/>
      <c r="AZ161" s="1219"/>
      <c r="BA161" s="1219"/>
      <c r="BB161" s="1219"/>
      <c r="BC161" s="1219"/>
      <c r="BD161" s="1219"/>
      <c r="BE161" s="1219"/>
      <c r="BF161" s="1219"/>
      <c r="BG161" s="1219"/>
      <c r="BH161" s="1219"/>
      <c r="BI161" s="1219"/>
      <c r="BJ161" s="1219"/>
      <c r="BK161" s="1219"/>
      <c r="BL161" s="1219"/>
      <c r="BM161" s="1219"/>
      <c r="BN161" s="1219"/>
      <c r="BO161" s="1219"/>
      <c r="BP161" s="1219"/>
      <c r="BQ161" s="1219"/>
      <c r="BR161" s="1219"/>
      <c r="BS161" s="1219"/>
      <c r="BU161" s="1217"/>
      <c r="BW161" s="1219"/>
      <c r="BY161" s="1217"/>
      <c r="CA161" s="1219"/>
      <c r="CC161" s="1217"/>
      <c r="CE161" s="1219"/>
      <c r="CG161" s="1217"/>
      <c r="CI161" s="1219"/>
    </row>
    <row r="162" spans="1:87">
      <c r="A162" s="20"/>
      <c r="B162" s="124" t="str">
        <f t="shared" si="72"/>
        <v/>
      </c>
      <c r="C162" s="235"/>
      <c r="D162" s="24">
        <f>'1% Wind'!$M$85</f>
        <v>17.8</v>
      </c>
      <c r="E162" s="90"/>
      <c r="F162" s="90"/>
      <c r="G162" s="79">
        <f ca="1">IF(I158=0.9743,$G161,MAX(G161/D161*D162,2))</f>
        <v>2</v>
      </c>
      <c r="H162" s="121" t="e">
        <f t="shared" ca="1" si="73"/>
        <v>#VALUE!</v>
      </c>
      <c r="J162" s="33"/>
      <c r="K162" s="242">
        <f t="shared" si="74"/>
        <v>1</v>
      </c>
      <c r="L162" s="241" t="e">
        <f t="shared" ca="1" si="75"/>
        <v>#VALUE!</v>
      </c>
      <c r="M162" s="243" t="e">
        <f ca="1">IF(AND(INDEX(FlowCalConstA,MATCH(J158,FlowCalNumber,0),1,1)*L162^INDEX(FlowCalConstB,MATCH(J158,FlowCalNumber,0),1,1)&gt;INDEX(FlowCalLowSetting,MATCH(J158,FlowCalNumber,0),1,1), (INDEX(FlowCalConstA,MATCH(J158,FlowCalNumber,0),1,1)*L162^INDEX(FlowCalConstB,MATCH(J158,FlowCalNumber,0),1,1)&lt;INDEX(FlowCalHighSetting,MATCH(J158,FlowCalNumber,0),1,1))),INDEX(FlowCalConstA,MATCH(J158,FlowCalNumber,0),1,1)*L162^INDEX(FlowCalConstB,MATCH(J158,FlowCalNumber,0),1,1)," ")</f>
        <v>#N/A</v>
      </c>
      <c r="N162" s="33"/>
      <c r="O162" s="242">
        <f t="shared" si="76"/>
        <v>1</v>
      </c>
      <c r="P162" s="241" t="e">
        <f t="shared" ca="1" si="77"/>
        <v>#VALUE!</v>
      </c>
      <c r="Q162" s="243" t="e">
        <f ca="1">IF(AND(INDEX(FlowCalConstA,MATCH(N158,FlowCalNumber,0),1,1)*P162^INDEX(FlowCalConstB,MATCH(N158,FlowCalNumber,0),1,1)&gt;INDEX(FlowCalLowSetting,MATCH(N158,FlowCalNumber,0),1,1), (INDEX(FlowCalConstA,MATCH(N158,FlowCalNumber,0),1,1)*P162^INDEX(FlowCalConstB,MATCH(N158,FlowCalNumber,0),1,1)&lt;INDEX(FlowCalHighSetting,MATCH(N158,FlowCalNumber,0),1,1))),INDEX(FlowCalConstA,MATCH(N158,FlowCalNumber,0),1,1)*P162^INDEX(FlowCalConstB,MATCH(N158,FlowCalNumber,0),1,1)," ")</f>
        <v>#N/A</v>
      </c>
      <c r="R162" s="33"/>
      <c r="S162" s="242">
        <f t="shared" si="78"/>
        <v>1</v>
      </c>
      <c r="T162" s="241" t="e">
        <f t="shared" ca="1" si="79"/>
        <v>#VALUE!</v>
      </c>
      <c r="U162" s="243" t="e">
        <f ca="1">IF(AND(INDEX(FlowCalConstA,MATCH(R158,FlowCalNumber,0),1,1)*T162^INDEX(FlowCalConstB,MATCH(R158,FlowCalNumber,0),1,1)&gt;INDEX(FlowCalLowSetting,MATCH(R158,FlowCalNumber,0),1,1), (INDEX(FlowCalConstA,MATCH(R158,FlowCalNumber,0),1,1)*T162^INDEX(FlowCalConstB,MATCH(R158,FlowCalNumber,0),1,1)&lt;INDEX(FlowCalHighSetting,MATCH(R158,FlowCalNumber,0),1,1))),INDEX(FlowCalConstA,MATCH(R158,FlowCalNumber,0),1,1)*T162^INDEX(FlowCalConstB,MATCH(R158,FlowCalNumber,0),1,1)," ")</f>
        <v>#N/A</v>
      </c>
      <c r="V162" s="33"/>
      <c r="W162" s="242"/>
      <c r="X162" s="241"/>
      <c r="Y162" s="243"/>
      <c r="Z162" s="33"/>
      <c r="AA162" s="242"/>
      <c r="AB162" s="241"/>
      <c r="AC162" s="243"/>
      <c r="AD162" s="33"/>
      <c r="AE162" s="242"/>
      <c r="AF162" s="241"/>
      <c r="AG162" s="243"/>
      <c r="AH162" s="33"/>
      <c r="AI162" s="242"/>
      <c r="AJ162" s="241"/>
      <c r="AK162" s="244"/>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243"/>
      <c r="BH162" s="243"/>
      <c r="BI162" s="243"/>
      <c r="BJ162" s="243"/>
      <c r="BK162" s="243"/>
      <c r="BL162" s="243"/>
      <c r="BM162" s="243"/>
      <c r="BN162" s="243"/>
      <c r="BO162" s="243"/>
      <c r="BP162" s="243"/>
      <c r="BQ162" s="243"/>
      <c r="BR162" s="243"/>
      <c r="BS162" s="243"/>
      <c r="BU162" s="242"/>
      <c r="BW162" s="243"/>
      <c r="BY162" s="242"/>
      <c r="CA162" s="243"/>
      <c r="CC162" s="242"/>
      <c r="CE162" s="243"/>
      <c r="CG162" s="242"/>
      <c r="CI162" s="243"/>
    </row>
    <row r="163" spans="1:87" s="1215" customFormat="1">
      <c r="A163" s="1222"/>
      <c r="B163" s="1223" t="str">
        <f t="shared" si="72"/>
        <v/>
      </c>
      <c r="C163" s="1210"/>
      <c r="D163" s="1211">
        <f>'1% Wind'!$M$86</f>
        <v>15.5</v>
      </c>
      <c r="E163" s="1212"/>
      <c r="F163" s="1212"/>
      <c r="G163" s="1213">
        <f ca="1">IF(I158=0.9743,$G162,MAX(G162/D162*D163,2))</f>
        <v>2</v>
      </c>
      <c r="H163" s="1214" t="e">
        <f t="shared" ca="1" si="73"/>
        <v>#VALUE!</v>
      </c>
      <c r="J163" s="1224"/>
      <c r="K163" s="1217">
        <f t="shared" si="74"/>
        <v>1</v>
      </c>
      <c r="L163" s="1218" t="e">
        <f t="shared" ca="1" si="75"/>
        <v>#VALUE!</v>
      </c>
      <c r="M163" s="1219" t="e">
        <f ca="1">IF(AND(INDEX(FlowCalConstA,MATCH(J158,FlowCalNumber,0),1,1)*L163^INDEX(FlowCalConstB,MATCH(J158,FlowCalNumber,0),1,1)&gt;INDEX(FlowCalLowSetting,MATCH(J158,FlowCalNumber,0),1,1), (INDEX(FlowCalConstA,MATCH(J158,FlowCalNumber,0),1,1)*L163^INDEX(FlowCalConstB,MATCH(J158,FlowCalNumber,0),1,1)&lt;INDEX(FlowCalHighSetting,MATCH(J158,FlowCalNumber,0),1,1))),INDEX(FlowCalConstA,MATCH(J158,FlowCalNumber,0),1,1)*L163^INDEX(FlowCalConstB,MATCH(J158,FlowCalNumber,0),1,1)," ")</f>
        <v>#N/A</v>
      </c>
      <c r="N163" s="1224"/>
      <c r="O163" s="1217">
        <f t="shared" si="76"/>
        <v>1</v>
      </c>
      <c r="P163" s="1218" t="e">
        <f t="shared" ca="1" si="77"/>
        <v>#VALUE!</v>
      </c>
      <c r="Q163" s="1219" t="e">
        <f ca="1">IF(AND(INDEX(FlowCalConstA,MATCH(N158,FlowCalNumber,0),1,1)*P163^INDEX(FlowCalConstB,MATCH(N158,FlowCalNumber,0),1,1)&gt;INDEX(FlowCalLowSetting,MATCH(N158,FlowCalNumber,0),1,1), (INDEX(FlowCalConstA,MATCH(N158,FlowCalNumber,0),1,1)*P163^INDEX(FlowCalConstB,MATCH(N158,FlowCalNumber,0),1,1)&lt;INDEX(FlowCalHighSetting,MATCH(N158,FlowCalNumber,0),1,1))),INDEX(FlowCalConstA,MATCH(N158,FlowCalNumber,0),1,1)*P163^INDEX(FlowCalConstB,MATCH(N158,FlowCalNumber,0),1,1)," ")</f>
        <v>#N/A</v>
      </c>
      <c r="R163" s="1224"/>
      <c r="S163" s="1217">
        <f t="shared" si="78"/>
        <v>1</v>
      </c>
      <c r="T163" s="1218" t="e">
        <f t="shared" ca="1" si="79"/>
        <v>#VALUE!</v>
      </c>
      <c r="U163" s="1219" t="e">
        <f ca="1">IF(AND(INDEX(FlowCalConstA,MATCH(R158,FlowCalNumber,0),1,1)*T163^INDEX(FlowCalConstB,MATCH(R158,FlowCalNumber,0),1,1)&gt;INDEX(FlowCalLowSetting,MATCH(R158,FlowCalNumber,0),1,1), (INDEX(FlowCalConstA,MATCH(R158,FlowCalNumber,0),1,1)*T163^INDEX(FlowCalConstB,MATCH(R158,FlowCalNumber,0),1,1)&lt;INDEX(FlowCalHighSetting,MATCH(R158,FlowCalNumber,0),1,1))),INDEX(FlowCalConstA,MATCH(R158,FlowCalNumber,0),1,1)*T163^INDEX(FlowCalConstB,MATCH(R158,FlowCalNumber,0),1,1)," ")</f>
        <v>#N/A</v>
      </c>
      <c r="V163" s="1224"/>
      <c r="W163" s="1217"/>
      <c r="X163" s="1218"/>
      <c r="Y163" s="1219"/>
      <c r="Z163" s="1224"/>
      <c r="AA163" s="1217"/>
      <c r="AB163" s="1218"/>
      <c r="AC163" s="1219"/>
      <c r="AD163" s="1224"/>
      <c r="AE163" s="1217"/>
      <c r="AF163" s="1218"/>
      <c r="AG163" s="1219"/>
      <c r="AH163" s="1224"/>
      <c r="AI163" s="1217"/>
      <c r="AJ163" s="1218"/>
      <c r="AK163" s="1220"/>
      <c r="AL163" s="1219"/>
      <c r="AM163" s="1219"/>
      <c r="AN163" s="1219"/>
      <c r="AO163" s="1219"/>
      <c r="AP163" s="1219"/>
      <c r="AQ163" s="1219"/>
      <c r="AR163" s="1219"/>
      <c r="AS163" s="1219"/>
      <c r="AT163" s="1219"/>
      <c r="AU163" s="1219"/>
      <c r="AV163" s="1219"/>
      <c r="AW163" s="1219"/>
      <c r="AX163" s="1219"/>
      <c r="AY163" s="1219"/>
      <c r="AZ163" s="1219"/>
      <c r="BA163" s="1219"/>
      <c r="BB163" s="1219"/>
      <c r="BC163" s="1219"/>
      <c r="BD163" s="1219"/>
      <c r="BE163" s="1219"/>
      <c r="BF163" s="1219"/>
      <c r="BG163" s="1219"/>
      <c r="BH163" s="1219"/>
      <c r="BI163" s="1219"/>
      <c r="BJ163" s="1219"/>
      <c r="BK163" s="1219"/>
      <c r="BL163" s="1219"/>
      <c r="BM163" s="1219"/>
      <c r="BN163" s="1219"/>
      <c r="BO163" s="1219"/>
      <c r="BP163" s="1219"/>
      <c r="BQ163" s="1219"/>
      <c r="BR163" s="1219"/>
      <c r="BS163" s="1219"/>
      <c r="BU163" s="1217"/>
      <c r="BW163" s="1219"/>
      <c r="BY163" s="1217"/>
      <c r="CA163" s="1219"/>
      <c r="CC163" s="1217"/>
      <c r="CE163" s="1219"/>
      <c r="CG163" s="1217"/>
      <c r="CI163" s="1219"/>
    </row>
    <row r="164" spans="1:87">
      <c r="A164" s="20"/>
      <c r="B164" s="124" t="str">
        <f t="shared" si="72"/>
        <v/>
      </c>
      <c r="C164" s="235"/>
      <c r="D164" s="24">
        <f>'1% Wind'!$M$87</f>
        <v>13.5</v>
      </c>
      <c r="E164" s="90"/>
      <c r="F164" s="90"/>
      <c r="G164" s="79">
        <f ca="1">IF(I158=0.9743,$G163,MAX(G163/D163*D164,2))</f>
        <v>2</v>
      </c>
      <c r="H164" s="121" t="e">
        <f t="shared" ca="1" si="73"/>
        <v>#VALUE!</v>
      </c>
      <c r="J164" s="33"/>
      <c r="K164" s="242">
        <f t="shared" si="74"/>
        <v>1</v>
      </c>
      <c r="L164" s="241" t="e">
        <f t="shared" ca="1" si="75"/>
        <v>#VALUE!</v>
      </c>
      <c r="M164" s="243" t="e">
        <f ca="1">IF(AND(INDEX(FlowCalConstA,MATCH(J158,FlowCalNumber,0),1,1)*L164^INDEX(FlowCalConstB,MATCH(J158,FlowCalNumber,0),1,1)&gt;INDEX(FlowCalLowSetting,MATCH(J158,FlowCalNumber,0),1,1), (INDEX(FlowCalConstA,MATCH(J158,FlowCalNumber,0),1,1)*L164^INDEX(FlowCalConstB,MATCH(J158,FlowCalNumber,0),1,1)&lt;INDEX(FlowCalHighSetting,MATCH(J158,FlowCalNumber,0),1,1))),INDEX(FlowCalConstA,MATCH(J158,FlowCalNumber,0),1,1)*L164^INDEX(FlowCalConstB,MATCH(J158,FlowCalNumber,0),1,1)," ")</f>
        <v>#N/A</v>
      </c>
      <c r="N164" s="33"/>
      <c r="O164" s="242">
        <f t="shared" si="76"/>
        <v>1</v>
      </c>
      <c r="P164" s="241" t="e">
        <f t="shared" ca="1" si="77"/>
        <v>#VALUE!</v>
      </c>
      <c r="Q164" s="243" t="e">
        <f ca="1">IF(AND(INDEX(FlowCalConstA,MATCH(N158,FlowCalNumber,0),1,1)*P164^INDEX(FlowCalConstB,MATCH(N158,FlowCalNumber,0),1,1)&gt;INDEX(FlowCalLowSetting,MATCH(N158,FlowCalNumber,0),1,1), (INDEX(FlowCalConstA,MATCH(N158,FlowCalNumber,0),1,1)*P164^INDEX(FlowCalConstB,MATCH(N158,FlowCalNumber,0),1,1)&lt;INDEX(FlowCalHighSetting,MATCH(N158,FlowCalNumber,0),1,1))),INDEX(FlowCalConstA,MATCH(N158,FlowCalNumber,0),1,1)*P164^INDEX(FlowCalConstB,MATCH(N158,FlowCalNumber,0),1,1)," ")</f>
        <v>#N/A</v>
      </c>
      <c r="R164" s="33"/>
      <c r="S164" s="242">
        <f t="shared" si="78"/>
        <v>1</v>
      </c>
      <c r="T164" s="241" t="e">
        <f t="shared" ca="1" si="79"/>
        <v>#VALUE!</v>
      </c>
      <c r="U164" s="243" t="e">
        <f ca="1">IF(AND(INDEX(FlowCalConstA,MATCH(R158,FlowCalNumber,0),1,1)*T164^INDEX(FlowCalConstB,MATCH(R158,FlowCalNumber,0),1,1)&gt;INDEX(FlowCalLowSetting,MATCH(R158,FlowCalNumber,0),1,1), (INDEX(FlowCalConstA,MATCH(R158,FlowCalNumber,0),1,1)*T164^INDEX(FlowCalConstB,MATCH(R158,FlowCalNumber,0),1,1)&lt;INDEX(FlowCalHighSetting,MATCH(R158,FlowCalNumber,0),1,1))),INDEX(FlowCalConstA,MATCH(R158,FlowCalNumber,0),1,1)*T164^INDEX(FlowCalConstB,MATCH(R158,FlowCalNumber,0),1,1)," ")</f>
        <v>#N/A</v>
      </c>
      <c r="V164" s="33"/>
      <c r="W164" s="242"/>
      <c r="X164" s="241"/>
      <c r="Y164" s="243"/>
      <c r="Z164" s="33"/>
      <c r="AA164" s="242"/>
      <c r="AB164" s="241"/>
      <c r="AC164" s="243"/>
      <c r="AD164" s="33"/>
      <c r="AE164" s="242"/>
      <c r="AF164" s="241"/>
      <c r="AG164" s="243"/>
      <c r="AH164" s="33"/>
      <c r="AI164" s="242"/>
      <c r="AJ164" s="241"/>
      <c r="AK164" s="244"/>
      <c r="AL164" s="243"/>
      <c r="AM164" s="243"/>
      <c r="AN164" s="243"/>
      <c r="AO164" s="243"/>
      <c r="AP164" s="243"/>
      <c r="AQ164" s="243"/>
      <c r="AR164" s="243"/>
      <c r="AS164" s="243"/>
      <c r="AT164" s="243"/>
      <c r="AU164" s="243"/>
      <c r="AV164" s="243"/>
      <c r="AW164" s="243"/>
      <c r="AX164" s="243"/>
      <c r="AY164" s="243"/>
      <c r="AZ164" s="243"/>
      <c r="BA164" s="243"/>
      <c r="BB164" s="243"/>
      <c r="BC164" s="243"/>
      <c r="BD164" s="243"/>
      <c r="BE164" s="243"/>
      <c r="BF164" s="243"/>
      <c r="BG164" s="243"/>
      <c r="BH164" s="243"/>
      <c r="BI164" s="243"/>
      <c r="BJ164" s="243"/>
      <c r="BK164" s="243"/>
      <c r="BL164" s="243"/>
      <c r="BM164" s="243"/>
      <c r="BN164" s="243"/>
      <c r="BO164" s="243"/>
      <c r="BP164" s="243"/>
      <c r="BQ164" s="243"/>
      <c r="BR164" s="243"/>
      <c r="BS164" s="243"/>
      <c r="BU164" s="242"/>
      <c r="BW164" s="243"/>
      <c r="BY164" s="242"/>
      <c r="CA164" s="243"/>
      <c r="CC164" s="242"/>
      <c r="CE164" s="243"/>
      <c r="CG164" s="242"/>
      <c r="CI164" s="243"/>
    </row>
    <row r="165" spans="1:87" s="1215" customFormat="1">
      <c r="A165" s="1222"/>
      <c r="B165" s="1223" t="str">
        <f t="shared" si="72"/>
        <v/>
      </c>
      <c r="C165" s="1210"/>
      <c r="D165" s="1211">
        <f>'1% Wind'!$M$88</f>
        <v>10.1</v>
      </c>
      <c r="E165" s="1212"/>
      <c r="F165" s="1212"/>
      <c r="G165" s="1213">
        <f ca="1">IF(I158=0.9743,$G164,MAX(G164/D164*D165,2))</f>
        <v>2</v>
      </c>
      <c r="H165" s="1214" t="e">
        <f t="shared" ca="1" si="73"/>
        <v>#VALUE!</v>
      </c>
      <c r="J165" s="1224"/>
      <c r="K165" s="1217">
        <f t="shared" si="74"/>
        <v>1</v>
      </c>
      <c r="L165" s="1218" t="e">
        <f t="shared" ca="1" si="75"/>
        <v>#VALUE!</v>
      </c>
      <c r="M165" s="1219" t="e">
        <f ca="1">IF(AND(INDEX(FlowCalConstA,MATCH(J158,FlowCalNumber,0),1,1)*L165^INDEX(FlowCalConstB,MATCH(J158,FlowCalNumber,0),1,1)&gt;INDEX(FlowCalLowSetting,MATCH(J158,FlowCalNumber,0),1,1), (INDEX(FlowCalConstA,MATCH(J158,FlowCalNumber,0),1,1)*L165^INDEX(FlowCalConstB,MATCH(J158,FlowCalNumber,0),1,1)&lt;INDEX(FlowCalHighSetting,MATCH(J158,FlowCalNumber,0),1,1))),INDEX(FlowCalConstA,MATCH(J158,FlowCalNumber,0),1,1)*L165^INDEX(FlowCalConstB,MATCH(J158,FlowCalNumber,0),1,1)," ")</f>
        <v>#N/A</v>
      </c>
      <c r="N165" s="1224"/>
      <c r="O165" s="1217">
        <f t="shared" si="76"/>
        <v>1</v>
      </c>
      <c r="P165" s="1218" t="e">
        <f t="shared" ca="1" si="77"/>
        <v>#VALUE!</v>
      </c>
      <c r="Q165" s="1219" t="e">
        <f ca="1">IF(AND(INDEX(FlowCalConstA,MATCH(N158,FlowCalNumber,0),1,1)*P165^INDEX(FlowCalConstB,MATCH(N158,FlowCalNumber,0),1,1)&gt;INDEX(FlowCalLowSetting,MATCH(N158,FlowCalNumber,0),1,1), (INDEX(FlowCalConstA,MATCH(N158,FlowCalNumber,0),1,1)*P165^INDEX(FlowCalConstB,MATCH(N158,FlowCalNumber,0),1,1)&lt;INDEX(FlowCalHighSetting,MATCH(N158,FlowCalNumber,0),1,1))),INDEX(FlowCalConstA,MATCH(N158,FlowCalNumber,0),1,1)*P165^INDEX(FlowCalConstB,MATCH(N158,FlowCalNumber,0),1,1)," ")</f>
        <v>#N/A</v>
      </c>
      <c r="R165" s="1224"/>
      <c r="S165" s="1217">
        <f t="shared" si="78"/>
        <v>1</v>
      </c>
      <c r="T165" s="1218" t="e">
        <f t="shared" ca="1" si="79"/>
        <v>#VALUE!</v>
      </c>
      <c r="U165" s="1219" t="e">
        <f ca="1">IF(AND(INDEX(FlowCalConstA,MATCH(R158,FlowCalNumber,0),1,1)*T165^INDEX(FlowCalConstB,MATCH(R158,FlowCalNumber,0),1,1)&gt;INDEX(FlowCalLowSetting,MATCH(R158,FlowCalNumber,0),1,1), (INDEX(FlowCalConstA,MATCH(R158,FlowCalNumber,0),1,1)*T165^INDEX(FlowCalConstB,MATCH(R158,FlowCalNumber,0),1,1)&lt;INDEX(FlowCalHighSetting,MATCH(R158,FlowCalNumber,0),1,1))),INDEX(FlowCalConstA,MATCH(R158,FlowCalNumber,0),1,1)*T165^INDEX(FlowCalConstB,MATCH(R158,FlowCalNumber,0),1,1)," ")</f>
        <v>#N/A</v>
      </c>
      <c r="V165" s="1224"/>
      <c r="W165" s="1217"/>
      <c r="X165" s="1218"/>
      <c r="Y165" s="1219"/>
      <c r="Z165" s="1224"/>
      <c r="AA165" s="1217"/>
      <c r="AB165" s="1218"/>
      <c r="AC165" s="1219"/>
      <c r="AD165" s="1224"/>
      <c r="AE165" s="1217"/>
      <c r="AF165" s="1218"/>
      <c r="AG165" s="1219"/>
      <c r="AH165" s="1224"/>
      <c r="AI165" s="1217"/>
      <c r="AJ165" s="1218"/>
      <c r="AK165" s="1220"/>
      <c r="AL165" s="1219"/>
      <c r="AM165" s="1219"/>
      <c r="AN165" s="1219"/>
      <c r="AO165" s="1219"/>
      <c r="AP165" s="1219"/>
      <c r="AQ165" s="1219"/>
      <c r="AR165" s="1219"/>
      <c r="AS165" s="1219"/>
      <c r="AT165" s="1219"/>
      <c r="AU165" s="1219"/>
      <c r="AV165" s="1219"/>
      <c r="AW165" s="1219"/>
      <c r="AX165" s="1219"/>
      <c r="AY165" s="1219"/>
      <c r="AZ165" s="1219"/>
      <c r="BA165" s="1219"/>
      <c r="BB165" s="1219"/>
      <c r="BC165" s="1219"/>
      <c r="BD165" s="1219"/>
      <c r="BE165" s="1219"/>
      <c r="BF165" s="1219"/>
      <c r="BG165" s="1219"/>
      <c r="BH165" s="1219"/>
      <c r="BI165" s="1219"/>
      <c r="BJ165" s="1219"/>
      <c r="BK165" s="1219"/>
      <c r="BL165" s="1219"/>
      <c r="BM165" s="1219"/>
      <c r="BN165" s="1219"/>
      <c r="BO165" s="1219"/>
      <c r="BP165" s="1219"/>
      <c r="BQ165" s="1219"/>
      <c r="BR165" s="1219"/>
      <c r="BS165" s="1219"/>
      <c r="BU165" s="1217"/>
      <c r="BW165" s="1219"/>
      <c r="BY165" s="1217"/>
      <c r="CA165" s="1219"/>
      <c r="CC165" s="1217"/>
      <c r="CE165" s="1219"/>
      <c r="CG165" s="1217"/>
      <c r="CI165" s="1219"/>
    </row>
    <row r="166" spans="1:87">
      <c r="A166" s="20"/>
      <c r="B166" s="124" t="str">
        <f t="shared" si="72"/>
        <v/>
      </c>
      <c r="C166" s="235"/>
      <c r="D166" s="24">
        <f>'1% Wind'!$M$89</f>
        <v>7.6</v>
      </c>
      <c r="E166" s="90"/>
      <c r="F166" s="90"/>
      <c r="G166" s="79">
        <f ca="1">IF(I158=0.9743,$G165,MAX(G165/D165*D166,2))</f>
        <v>2</v>
      </c>
      <c r="H166" s="121" t="e">
        <f t="shared" ca="1" si="73"/>
        <v>#VALUE!</v>
      </c>
      <c r="J166" s="33"/>
      <c r="K166" s="242">
        <f t="shared" si="74"/>
        <v>1</v>
      </c>
      <c r="L166" s="241" t="e">
        <f t="shared" ca="1" si="75"/>
        <v>#VALUE!</v>
      </c>
      <c r="M166" s="243" t="e">
        <f ca="1">IF(AND(INDEX(FlowCalConstA,MATCH(J158,FlowCalNumber,0),1,1)*L166^INDEX(FlowCalConstB,MATCH(J158,FlowCalNumber,0),1,1)&gt;INDEX(FlowCalLowSetting,MATCH(J158,FlowCalNumber,0),1,1), (INDEX(FlowCalConstA,MATCH(J158,FlowCalNumber,0),1,1)*L166^INDEX(FlowCalConstB,MATCH(J158,FlowCalNumber,0),1,1)&lt;INDEX(FlowCalHighSetting,MATCH(J158,FlowCalNumber,0),1,1))),INDEX(FlowCalConstA,MATCH(J158,FlowCalNumber,0),1,1)*L166^INDEX(FlowCalConstB,MATCH(J158,FlowCalNumber,0),1,1)," ")</f>
        <v>#N/A</v>
      </c>
      <c r="N166" s="33"/>
      <c r="O166" s="242">
        <f t="shared" si="76"/>
        <v>1</v>
      </c>
      <c r="P166" s="241" t="e">
        <f t="shared" ca="1" si="77"/>
        <v>#VALUE!</v>
      </c>
      <c r="Q166" s="243" t="e">
        <f ca="1">IF(AND(INDEX(FlowCalConstA,MATCH(N158,FlowCalNumber,0),1,1)*P166^INDEX(FlowCalConstB,MATCH(N158,FlowCalNumber,0),1,1)&gt;INDEX(FlowCalLowSetting,MATCH(N158,FlowCalNumber,0),1,1), (INDEX(FlowCalConstA,MATCH(N158,FlowCalNumber,0),1,1)*P166^INDEX(FlowCalConstB,MATCH(N158,FlowCalNumber,0),1,1)&lt;INDEX(FlowCalHighSetting,MATCH(N158,FlowCalNumber,0),1,1))),INDEX(FlowCalConstA,MATCH(N158,FlowCalNumber,0),1,1)*P166^INDEX(FlowCalConstB,MATCH(N158,FlowCalNumber,0),1,1)," ")</f>
        <v>#N/A</v>
      </c>
      <c r="R166" s="33"/>
      <c r="S166" s="242">
        <f t="shared" si="78"/>
        <v>1</v>
      </c>
      <c r="T166" s="241" t="e">
        <f t="shared" ca="1" si="79"/>
        <v>#VALUE!</v>
      </c>
      <c r="U166" s="243" t="e">
        <f ca="1">IF(AND(INDEX(FlowCalConstA,MATCH(R158,FlowCalNumber,0),1,1)*T166^INDEX(FlowCalConstB,MATCH(R158,FlowCalNumber,0),1,1)&gt;INDEX(FlowCalLowSetting,MATCH(R158,FlowCalNumber,0),1,1), (INDEX(FlowCalConstA,MATCH(R158,FlowCalNumber,0),1,1)*T166^INDEX(FlowCalConstB,MATCH(R158,FlowCalNumber,0),1,1)&lt;INDEX(FlowCalHighSetting,MATCH(R158,FlowCalNumber,0),1,1))),INDEX(FlowCalConstA,MATCH(R158,FlowCalNumber,0),1,1)*T166^INDEX(FlowCalConstB,MATCH(R158,FlowCalNumber,0),1,1)," ")</f>
        <v>#N/A</v>
      </c>
      <c r="V166" s="33"/>
      <c r="W166" s="242"/>
      <c r="X166" s="241"/>
      <c r="Y166" s="243"/>
      <c r="Z166" s="33"/>
      <c r="AA166" s="242"/>
      <c r="AB166" s="241"/>
      <c r="AC166" s="243"/>
      <c r="AD166" s="33"/>
      <c r="AE166" s="242"/>
      <c r="AF166" s="241"/>
      <c r="AG166" s="243"/>
      <c r="AH166" s="33"/>
      <c r="AI166" s="242"/>
      <c r="AJ166" s="241"/>
      <c r="AK166" s="244"/>
      <c r="AL166" s="243"/>
      <c r="AM166" s="243"/>
      <c r="AN166" s="243"/>
      <c r="AO166" s="243"/>
      <c r="AP166" s="243"/>
      <c r="AQ166" s="243"/>
      <c r="AR166" s="243"/>
      <c r="AS166" s="243"/>
      <c r="AT166" s="243"/>
      <c r="AU166" s="243"/>
      <c r="AV166" s="243"/>
      <c r="AW166" s="243"/>
      <c r="AX166" s="243"/>
      <c r="AY166" s="243"/>
      <c r="AZ166" s="243"/>
      <c r="BA166" s="243"/>
      <c r="BB166" s="243"/>
      <c r="BC166" s="243"/>
      <c r="BD166" s="243"/>
      <c r="BE166" s="243"/>
      <c r="BF166" s="243"/>
      <c r="BG166" s="243"/>
      <c r="BH166" s="243"/>
      <c r="BI166" s="243"/>
      <c r="BJ166" s="243"/>
      <c r="BK166" s="243"/>
      <c r="BL166" s="243"/>
      <c r="BM166" s="243"/>
      <c r="BN166" s="243"/>
      <c r="BO166" s="243"/>
      <c r="BP166" s="243"/>
      <c r="BQ166" s="243"/>
      <c r="BR166" s="243"/>
      <c r="BS166" s="243"/>
      <c r="BU166" s="242"/>
      <c r="BW166" s="243"/>
      <c r="BY166" s="242"/>
      <c r="CA166" s="243"/>
      <c r="CC166" s="242"/>
      <c r="CE166" s="243"/>
      <c r="CG166" s="242"/>
      <c r="CI166" s="243"/>
    </row>
    <row r="167" spans="1:87" s="1215" customFormat="1">
      <c r="A167" s="1222"/>
      <c r="B167" s="1223" t="str">
        <f t="shared" si="72"/>
        <v/>
      </c>
      <c r="C167" s="1210"/>
      <c r="D167" s="1211">
        <f>'1% Wind'!$M$90</f>
        <v>5.7</v>
      </c>
      <c r="E167" s="1212"/>
      <c r="F167" s="1212"/>
      <c r="G167" s="1213">
        <f ca="1">IF(I158=0.9743,$G166,MAX(G166/D166*D167,2))</f>
        <v>2</v>
      </c>
      <c r="H167" s="1214" t="e">
        <f t="shared" ca="1" si="73"/>
        <v>#VALUE!</v>
      </c>
      <c r="J167" s="1224"/>
      <c r="K167" s="1217">
        <f t="shared" si="74"/>
        <v>1</v>
      </c>
      <c r="L167" s="1218" t="e">
        <f t="shared" ca="1" si="75"/>
        <v>#VALUE!</v>
      </c>
      <c r="M167" s="1219" t="e">
        <f ca="1">IF(AND(INDEX(FlowCalConstA,MATCH(J158,FlowCalNumber,0),1,1)*L167^INDEX(FlowCalConstB,MATCH(J158,FlowCalNumber,0),1,1)&gt;INDEX(FlowCalLowSetting,MATCH(J158,FlowCalNumber,0),1,1), (INDEX(FlowCalConstA,MATCH(J158,FlowCalNumber,0),1,1)*L167^INDEX(FlowCalConstB,MATCH(J158,FlowCalNumber,0),1,1)&lt;INDEX(FlowCalHighSetting,MATCH(J158,FlowCalNumber,0),1,1))),INDEX(FlowCalConstA,MATCH(J158,FlowCalNumber,0),1,1)*L167^INDEX(FlowCalConstB,MATCH(J158,FlowCalNumber,0),1,1)," ")</f>
        <v>#N/A</v>
      </c>
      <c r="N167" s="1224"/>
      <c r="O167" s="1217">
        <f t="shared" si="76"/>
        <v>1</v>
      </c>
      <c r="P167" s="1218" t="e">
        <f t="shared" ca="1" si="77"/>
        <v>#VALUE!</v>
      </c>
      <c r="Q167" s="1219" t="e">
        <f ca="1">IF(AND(INDEX(FlowCalConstA,MATCH(N158,FlowCalNumber,0),1,1)*P167^INDEX(FlowCalConstB,MATCH(N158,FlowCalNumber,0),1,1)&gt;INDEX(FlowCalLowSetting,MATCH(N158,FlowCalNumber,0),1,1), (INDEX(FlowCalConstA,MATCH(N158,FlowCalNumber,0),1,1)*P167^INDEX(FlowCalConstB,MATCH(N158,FlowCalNumber,0),1,1)&lt;INDEX(FlowCalHighSetting,MATCH(N158,FlowCalNumber,0),1,1))),INDEX(FlowCalConstA,MATCH(N158,FlowCalNumber,0),1,1)*P167^INDEX(FlowCalConstB,MATCH(N158,FlowCalNumber,0),1,1)," ")</f>
        <v>#N/A</v>
      </c>
      <c r="R167" s="1224"/>
      <c r="S167" s="1217">
        <f t="shared" si="78"/>
        <v>1</v>
      </c>
      <c r="T167" s="1218" t="e">
        <f t="shared" ca="1" si="79"/>
        <v>#VALUE!</v>
      </c>
      <c r="U167" s="1219" t="e">
        <f ca="1">IF(AND(INDEX(FlowCalConstA,MATCH(R158,FlowCalNumber,0),1,1)*T167^INDEX(FlowCalConstB,MATCH(R158,FlowCalNumber,0),1,1)&gt;INDEX(FlowCalLowSetting,MATCH(R158,FlowCalNumber,0),1,1), (INDEX(FlowCalConstA,MATCH(R158,FlowCalNumber,0),1,1)*T167^INDEX(FlowCalConstB,MATCH(R158,FlowCalNumber,0),1,1)&lt;INDEX(FlowCalHighSetting,MATCH(R158,FlowCalNumber,0),1,1))),INDEX(FlowCalConstA,MATCH(R158,FlowCalNumber,0),1,1)*T167^INDEX(FlowCalConstB,MATCH(R158,FlowCalNumber,0),1,1)," ")</f>
        <v>#N/A</v>
      </c>
      <c r="V167" s="1224"/>
      <c r="W167" s="1217"/>
      <c r="X167" s="1218"/>
      <c r="Y167" s="1219"/>
      <c r="Z167" s="1224"/>
      <c r="AA167" s="1217"/>
      <c r="AB167" s="1218"/>
      <c r="AC167" s="1219"/>
      <c r="AD167" s="1224"/>
      <c r="AE167" s="1217"/>
      <c r="AF167" s="1218"/>
      <c r="AG167" s="1219"/>
      <c r="AH167" s="1224"/>
      <c r="AI167" s="1217"/>
      <c r="AJ167" s="1218"/>
      <c r="AK167" s="1220"/>
      <c r="AL167" s="1219"/>
      <c r="AM167" s="1219"/>
      <c r="AN167" s="1219"/>
      <c r="AO167" s="1219"/>
      <c r="AP167" s="1219"/>
      <c r="AQ167" s="1219"/>
      <c r="AR167" s="1219"/>
      <c r="AS167" s="1219"/>
      <c r="AT167" s="1219"/>
      <c r="AU167" s="1219"/>
      <c r="AV167" s="1219"/>
      <c r="AW167" s="1219"/>
      <c r="AX167" s="1219"/>
      <c r="AY167" s="1219"/>
      <c r="AZ167" s="1219"/>
      <c r="BA167" s="1219"/>
      <c r="BB167" s="1219"/>
      <c r="BC167" s="1219"/>
      <c r="BD167" s="1219"/>
      <c r="BE167" s="1219"/>
      <c r="BF167" s="1219"/>
      <c r="BG167" s="1219"/>
      <c r="BH167" s="1219"/>
      <c r="BI167" s="1219"/>
      <c r="BJ167" s="1219"/>
      <c r="BK167" s="1219"/>
      <c r="BL167" s="1219"/>
      <c r="BM167" s="1219"/>
      <c r="BN167" s="1219"/>
      <c r="BO167" s="1219"/>
      <c r="BP167" s="1219"/>
      <c r="BQ167" s="1219"/>
      <c r="BR167" s="1219"/>
      <c r="BS167" s="1219"/>
      <c r="BU167" s="1217"/>
      <c r="BW167" s="1219"/>
      <c r="BY167" s="1217"/>
      <c r="CA167" s="1219"/>
      <c r="CC167" s="1217"/>
      <c r="CE167" s="1219"/>
      <c r="CG167" s="1217"/>
      <c r="CI167" s="1219"/>
    </row>
    <row r="168" spans="1:87">
      <c r="A168" s="20"/>
      <c r="B168" s="124" t="str">
        <f t="shared" si="72"/>
        <v/>
      </c>
      <c r="C168" s="235"/>
      <c r="D168" s="24">
        <f>'1% Wind'!$M$91</f>
        <v>4.2</v>
      </c>
      <c r="E168" s="90"/>
      <c r="F168" s="90"/>
      <c r="G168" s="79">
        <f ca="1">IF(I158=0.9743,$G167,MAX(G167/D167*D168,2))</f>
        <v>2</v>
      </c>
      <c r="H168" s="121" t="e">
        <f t="shared" ca="1" si="73"/>
        <v>#VALUE!</v>
      </c>
      <c r="J168" s="33"/>
      <c r="K168" s="242">
        <f t="shared" si="74"/>
        <v>1</v>
      </c>
      <c r="L168" s="241" t="e">
        <f t="shared" ca="1" si="75"/>
        <v>#VALUE!</v>
      </c>
      <c r="M168" s="243" t="e">
        <f ca="1">IF(AND(INDEX(FlowCalConstA,MATCH(J158,FlowCalNumber,0),1,1)*L168^INDEX(FlowCalConstB,MATCH(J158,FlowCalNumber,0),1,1)&gt;INDEX(FlowCalLowSetting,MATCH(J158,FlowCalNumber,0),1,1), (INDEX(FlowCalConstA,MATCH(J158,FlowCalNumber,0),1,1)*L168^INDEX(FlowCalConstB,MATCH(J158,FlowCalNumber,0),1,1)&lt;INDEX(FlowCalHighSetting,MATCH(J158,FlowCalNumber,0),1,1))),INDEX(FlowCalConstA,MATCH(J158,FlowCalNumber,0),1,1)*L168^INDEX(FlowCalConstB,MATCH(J158,FlowCalNumber,0),1,1)," ")</f>
        <v>#N/A</v>
      </c>
      <c r="N168" s="33"/>
      <c r="O168" s="242">
        <f t="shared" si="76"/>
        <v>1</v>
      </c>
      <c r="P168" s="241" t="e">
        <f t="shared" ca="1" si="77"/>
        <v>#VALUE!</v>
      </c>
      <c r="Q168" s="243" t="e">
        <f ca="1">IF(AND(INDEX(FlowCalConstA,MATCH(N158,FlowCalNumber,0),1,1)*P168^INDEX(FlowCalConstB,MATCH(N158,FlowCalNumber,0),1,1)&gt;INDEX(FlowCalLowSetting,MATCH(N158,FlowCalNumber,0),1,1), (INDEX(FlowCalConstA,MATCH(N158,FlowCalNumber,0),1,1)*P168^INDEX(FlowCalConstB,MATCH(N158,FlowCalNumber,0),1,1)&lt;INDEX(FlowCalHighSetting,MATCH(N158,FlowCalNumber,0),1,1))),INDEX(FlowCalConstA,MATCH(N158,FlowCalNumber,0),1,1)*P168^INDEX(FlowCalConstB,MATCH(N158,FlowCalNumber,0),1,1)," ")</f>
        <v>#N/A</v>
      </c>
      <c r="R168" s="33"/>
      <c r="S168" s="242">
        <f t="shared" si="78"/>
        <v>1</v>
      </c>
      <c r="T168" s="241" t="e">
        <f t="shared" ca="1" si="79"/>
        <v>#VALUE!</v>
      </c>
      <c r="U168" s="243" t="e">
        <f ca="1">IF(AND(INDEX(FlowCalConstA,MATCH(R158,FlowCalNumber,0),1,1)*T168^INDEX(FlowCalConstB,MATCH(R158,FlowCalNumber,0),1,1)&gt;INDEX(FlowCalLowSetting,MATCH(R158,FlowCalNumber,0),1,1), (INDEX(FlowCalConstA,MATCH(R158,FlowCalNumber,0),1,1)*T168^INDEX(FlowCalConstB,MATCH(R158,FlowCalNumber,0),1,1)&lt;INDEX(FlowCalHighSetting,MATCH(R158,FlowCalNumber,0),1,1))),INDEX(FlowCalConstA,MATCH(R158,FlowCalNumber,0),1,1)*T168^INDEX(FlowCalConstB,MATCH(R158,FlowCalNumber,0),1,1)," ")</f>
        <v>#N/A</v>
      </c>
      <c r="V168" s="33"/>
      <c r="W168" s="242"/>
      <c r="X168" s="241"/>
      <c r="Y168" s="243"/>
      <c r="Z168" s="33"/>
      <c r="AA168" s="242"/>
      <c r="AB168" s="241"/>
      <c r="AC168" s="243"/>
      <c r="AD168" s="33"/>
      <c r="AE168" s="242"/>
      <c r="AF168" s="241"/>
      <c r="AG168" s="243"/>
      <c r="AH168" s="33"/>
      <c r="AI168" s="242"/>
      <c r="AJ168" s="241"/>
      <c r="AK168" s="244"/>
      <c r="AL168" s="243"/>
      <c r="AM168" s="243"/>
      <c r="AN168" s="243"/>
      <c r="AO168" s="243"/>
      <c r="AP168" s="243"/>
      <c r="AQ168" s="243"/>
      <c r="AR168" s="243"/>
      <c r="AS168" s="243"/>
      <c r="AT168" s="243"/>
      <c r="AU168" s="243"/>
      <c r="AV168" s="243"/>
      <c r="AW168" s="243"/>
      <c r="AX168" s="243"/>
      <c r="AY168" s="243"/>
      <c r="AZ168" s="243"/>
      <c r="BA168" s="243"/>
      <c r="BB168" s="243"/>
      <c r="BC168" s="243"/>
      <c r="BD168" s="243"/>
      <c r="BE168" s="243"/>
      <c r="BF168" s="243"/>
      <c r="BG168" s="243"/>
      <c r="BH168" s="243"/>
      <c r="BI168" s="243"/>
      <c r="BJ168" s="243"/>
      <c r="BK168" s="243"/>
      <c r="BL168" s="243"/>
      <c r="BM168" s="243"/>
      <c r="BN168" s="243"/>
      <c r="BO168" s="243"/>
      <c r="BP168" s="243"/>
      <c r="BQ168" s="243"/>
      <c r="BR168" s="243"/>
      <c r="BS168" s="243"/>
      <c r="BU168" s="242"/>
      <c r="BW168" s="243"/>
      <c r="BY168" s="242"/>
      <c r="CA168" s="243"/>
      <c r="CC168" s="242"/>
      <c r="CE168" s="243"/>
      <c r="CG168" s="242"/>
      <c r="CI168" s="243"/>
    </row>
    <row r="169" spans="1:87" s="1215" customFormat="1">
      <c r="A169" s="1222"/>
      <c r="B169" s="1223" t="str">
        <f t="shared" si="72"/>
        <v/>
      </c>
      <c r="C169" s="1210"/>
      <c r="D169" s="1211">
        <f>'1% Wind'!$M$92</f>
        <v>3.2</v>
      </c>
      <c r="E169" s="1212"/>
      <c r="F169" s="1212"/>
      <c r="G169" s="1213">
        <f ca="1">IF(I158=0.9743,$G168,MAX(G168/D168*D169,2))</f>
        <v>2</v>
      </c>
      <c r="H169" s="1214" t="e">
        <f t="shared" ca="1" si="73"/>
        <v>#VALUE!</v>
      </c>
      <c r="J169" s="1224"/>
      <c r="K169" s="1217">
        <f t="shared" si="74"/>
        <v>1</v>
      </c>
      <c r="L169" s="1218" t="e">
        <f t="shared" ca="1" si="75"/>
        <v>#VALUE!</v>
      </c>
      <c r="M169" s="1219" t="e">
        <f ca="1">IF(AND(INDEX(FlowCalConstA,MATCH(J158,FlowCalNumber,0),1,1)*L169^INDEX(FlowCalConstB,MATCH(J158,FlowCalNumber,0),1,1)&gt;INDEX(FlowCalLowSetting,MATCH(J158,FlowCalNumber,0),1,1), (INDEX(FlowCalConstA,MATCH(J158,FlowCalNumber,0),1,1)*L169^INDEX(FlowCalConstB,MATCH(J158,FlowCalNumber,0),1,1)&lt;INDEX(FlowCalHighSetting,MATCH(J158,FlowCalNumber,0),1,1))),INDEX(FlowCalConstA,MATCH(J158,FlowCalNumber,0),1,1)*L169^INDEX(FlowCalConstB,MATCH(J158,FlowCalNumber,0),1,1)," ")</f>
        <v>#N/A</v>
      </c>
      <c r="N169" s="1224"/>
      <c r="O169" s="1217">
        <f t="shared" si="76"/>
        <v>1</v>
      </c>
      <c r="P169" s="1218" t="e">
        <f t="shared" ca="1" si="77"/>
        <v>#VALUE!</v>
      </c>
      <c r="Q169" s="1219" t="e">
        <f ca="1">IF(AND(INDEX(FlowCalConstA,MATCH(N158,FlowCalNumber,0),1,1)*P169^INDEX(FlowCalConstB,MATCH(N158,FlowCalNumber,0),1,1)&gt;INDEX(FlowCalLowSetting,MATCH(N158,FlowCalNumber,0),1,1), (INDEX(FlowCalConstA,MATCH(N158,FlowCalNumber,0),1,1)*P169^INDEX(FlowCalConstB,MATCH(N158,FlowCalNumber,0),1,1)&lt;INDEX(FlowCalHighSetting,MATCH(N158,FlowCalNumber,0),1,1))),INDEX(FlowCalConstA,MATCH(N158,FlowCalNumber,0),1,1)*P169^INDEX(FlowCalConstB,MATCH(N158,FlowCalNumber,0),1,1)," ")</f>
        <v>#N/A</v>
      </c>
      <c r="R169" s="1224"/>
      <c r="S169" s="1217">
        <f t="shared" si="78"/>
        <v>1</v>
      </c>
      <c r="T169" s="1218" t="e">
        <f t="shared" ca="1" si="79"/>
        <v>#VALUE!</v>
      </c>
      <c r="U169" s="1219" t="e">
        <f ca="1">IF(AND(INDEX(FlowCalConstA,MATCH(R158,FlowCalNumber,0),1,1)*T169^INDEX(FlowCalConstB,MATCH(R158,FlowCalNumber,0),1,1)&gt;INDEX(FlowCalLowSetting,MATCH(R158,FlowCalNumber,0),1,1), (INDEX(FlowCalConstA,MATCH(R158,FlowCalNumber,0),1,1)*T169^INDEX(FlowCalConstB,MATCH(R158,FlowCalNumber,0),1,1)&lt;INDEX(FlowCalHighSetting,MATCH(R158,FlowCalNumber,0),1,1))),INDEX(FlowCalConstA,MATCH(R158,FlowCalNumber,0),1,1)*T169^INDEX(FlowCalConstB,MATCH(R158,FlowCalNumber,0),1,1)," ")</f>
        <v>#N/A</v>
      </c>
      <c r="V169" s="1224"/>
      <c r="W169" s="1217"/>
      <c r="X169" s="1218"/>
      <c r="Y169" s="1219"/>
      <c r="Z169" s="1224"/>
      <c r="AA169" s="1217"/>
      <c r="AB169" s="1218"/>
      <c r="AC169" s="1219"/>
      <c r="AD169" s="1224"/>
      <c r="AE169" s="1217"/>
      <c r="AF169" s="1218"/>
      <c r="AG169" s="1219"/>
      <c r="AH169" s="1224"/>
      <c r="AI169" s="1217"/>
      <c r="AJ169" s="1218"/>
      <c r="AK169" s="1220"/>
      <c r="AL169" s="1219"/>
      <c r="AM169" s="1219"/>
      <c r="AN169" s="1219"/>
      <c r="AO169" s="1219"/>
      <c r="AP169" s="1219"/>
      <c r="AQ169" s="1219"/>
      <c r="AR169" s="1219"/>
      <c r="AS169" s="1219"/>
      <c r="AT169" s="1219"/>
      <c r="AU169" s="1219"/>
      <c r="AV169" s="1219"/>
      <c r="AW169" s="1219"/>
      <c r="AX169" s="1219"/>
      <c r="AY169" s="1219"/>
      <c r="AZ169" s="1219"/>
      <c r="BA169" s="1219"/>
      <c r="BB169" s="1219"/>
      <c r="BC169" s="1219"/>
      <c r="BD169" s="1219"/>
      <c r="BE169" s="1219"/>
      <c r="BF169" s="1219"/>
      <c r="BG169" s="1219"/>
      <c r="BH169" s="1219"/>
      <c r="BI169" s="1219"/>
      <c r="BJ169" s="1219"/>
      <c r="BK169" s="1219"/>
      <c r="BL169" s="1219"/>
      <c r="BM169" s="1219"/>
      <c r="BN169" s="1219"/>
      <c r="BO169" s="1219"/>
      <c r="BP169" s="1219"/>
      <c r="BQ169" s="1219"/>
      <c r="BR169" s="1219"/>
      <c r="BS169" s="1219"/>
      <c r="BU169" s="1217"/>
      <c r="BW169" s="1219"/>
      <c r="BY169" s="1217"/>
      <c r="CA169" s="1219"/>
      <c r="CC169" s="1217"/>
      <c r="CE169" s="1219"/>
      <c r="CG169" s="1217"/>
      <c r="CI169" s="1219"/>
    </row>
    <row r="170" spans="1:87">
      <c r="A170" s="20"/>
      <c r="B170" s="124" t="str">
        <f t="shared" si="72"/>
        <v/>
      </c>
      <c r="C170" s="235"/>
      <c r="D170" s="24">
        <f>'1% Wind'!$M$93</f>
        <v>2.4</v>
      </c>
      <c r="E170" s="90"/>
      <c r="F170" s="90"/>
      <c r="G170" s="79">
        <f ca="1">IF(I158=0.9743,$G169,MAX(G169/D169*D170,2))</f>
        <v>2</v>
      </c>
      <c r="H170" s="121" t="e">
        <f t="shared" ca="1" si="73"/>
        <v>#VALUE!</v>
      </c>
      <c r="J170" s="33"/>
      <c r="K170" s="242">
        <f t="shared" si="74"/>
        <v>1</v>
      </c>
      <c r="L170" s="241" t="e">
        <f t="shared" ca="1" si="75"/>
        <v>#VALUE!</v>
      </c>
      <c r="M170" s="243" t="e">
        <f ca="1">IF(AND(INDEX(FlowCalConstA,MATCH(J158,FlowCalNumber,0),1,1)*L170^INDEX(FlowCalConstB,MATCH(J158,FlowCalNumber,0),1,1)&gt;INDEX(FlowCalLowSetting,MATCH(J158,FlowCalNumber,0),1,1), (INDEX(FlowCalConstA,MATCH(J158,FlowCalNumber,0),1,1)*L170^INDEX(FlowCalConstB,MATCH(J158,FlowCalNumber,0),1,1)&lt;INDEX(FlowCalHighSetting,MATCH(J158,FlowCalNumber,0),1,1))),INDEX(FlowCalConstA,MATCH(J158,FlowCalNumber,0),1,1)*L170^INDEX(FlowCalConstB,MATCH(J158,FlowCalNumber,0),1,1)," ")</f>
        <v>#N/A</v>
      </c>
      <c r="N170" s="33"/>
      <c r="O170" s="242">
        <f t="shared" si="76"/>
        <v>1</v>
      </c>
      <c r="P170" s="241" t="e">
        <f t="shared" ca="1" si="77"/>
        <v>#VALUE!</v>
      </c>
      <c r="Q170" s="243" t="e">
        <f ca="1">IF(AND(INDEX(FlowCalConstA,MATCH(N158,FlowCalNumber,0),1,1)*P170^INDEX(FlowCalConstB,MATCH(N158,FlowCalNumber,0),1,1)&gt;INDEX(FlowCalLowSetting,MATCH(N158,FlowCalNumber,0),1,1), (INDEX(FlowCalConstA,MATCH(N158,FlowCalNumber,0),1,1)*P170^INDEX(FlowCalConstB,MATCH(N158,FlowCalNumber,0),1,1)&lt;INDEX(FlowCalHighSetting,MATCH(N158,FlowCalNumber,0),1,1))),INDEX(FlowCalConstA,MATCH(N158,FlowCalNumber,0),1,1)*P170^INDEX(FlowCalConstB,MATCH(N158,FlowCalNumber,0),1,1)," ")</f>
        <v>#N/A</v>
      </c>
      <c r="R170" s="33"/>
      <c r="S170" s="242">
        <f t="shared" si="78"/>
        <v>1</v>
      </c>
      <c r="T170" s="241" t="e">
        <f t="shared" ca="1" si="79"/>
        <v>#VALUE!</v>
      </c>
      <c r="U170" s="243" t="e">
        <f ca="1">IF(AND(INDEX(FlowCalConstA,MATCH(R158,FlowCalNumber,0),1,1)*T170^INDEX(FlowCalConstB,MATCH(R158,FlowCalNumber,0),1,1)&gt;INDEX(FlowCalLowSetting,MATCH(R158,FlowCalNumber,0),1,1), (INDEX(FlowCalConstA,MATCH(R158,FlowCalNumber,0),1,1)*T170^INDEX(FlowCalConstB,MATCH(R158,FlowCalNumber,0),1,1)&lt;INDEX(FlowCalHighSetting,MATCH(R158,FlowCalNumber,0),1,1))),INDEX(FlowCalConstA,MATCH(R158,FlowCalNumber,0),1,1)*T170^INDEX(FlowCalConstB,MATCH(R158,FlowCalNumber,0),1,1)," ")</f>
        <v>#N/A</v>
      </c>
      <c r="V170" s="33"/>
      <c r="W170" s="242"/>
      <c r="X170" s="241"/>
      <c r="Y170" s="243"/>
      <c r="Z170" s="33"/>
      <c r="AA170" s="242"/>
      <c r="AB170" s="241"/>
      <c r="AC170" s="243"/>
      <c r="AD170" s="33"/>
      <c r="AE170" s="242"/>
      <c r="AF170" s="241"/>
      <c r="AG170" s="243"/>
      <c r="AH170" s="33"/>
      <c r="AI170" s="242"/>
      <c r="AJ170" s="241"/>
      <c r="AK170" s="244"/>
      <c r="AL170" s="243"/>
      <c r="AM170" s="243"/>
      <c r="AN170" s="243"/>
      <c r="AO170" s="243"/>
      <c r="AP170" s="243"/>
      <c r="AQ170" s="243"/>
      <c r="AR170" s="243"/>
      <c r="AS170" s="243"/>
      <c r="AT170" s="243"/>
      <c r="AU170" s="243"/>
      <c r="AV170" s="243"/>
      <c r="AW170" s="243"/>
      <c r="AX170" s="243"/>
      <c r="AY170" s="243"/>
      <c r="AZ170" s="243"/>
      <c r="BA170" s="243"/>
      <c r="BB170" s="243"/>
      <c r="BC170" s="243"/>
      <c r="BD170" s="243"/>
      <c r="BE170" s="243"/>
      <c r="BF170" s="243"/>
      <c r="BG170" s="243"/>
      <c r="BH170" s="243"/>
      <c r="BI170" s="243"/>
      <c r="BJ170" s="243"/>
      <c r="BK170" s="243"/>
      <c r="BL170" s="243"/>
      <c r="BM170" s="243"/>
      <c r="BN170" s="243"/>
      <c r="BO170" s="243"/>
      <c r="BP170" s="243"/>
      <c r="BQ170" s="243"/>
      <c r="BR170" s="243"/>
      <c r="BS170" s="243"/>
      <c r="BU170" s="242"/>
      <c r="BW170" s="243"/>
      <c r="BY170" s="242"/>
      <c r="CA170" s="243"/>
      <c r="CC170" s="242"/>
      <c r="CE170" s="243"/>
      <c r="CG170" s="242"/>
      <c r="CI170" s="243"/>
    </row>
    <row r="171" spans="1:87" s="1215" customFormat="1">
      <c r="A171" s="1222"/>
      <c r="B171" s="1223" t="str">
        <f t="shared" si="72"/>
        <v/>
      </c>
      <c r="C171" s="1210"/>
      <c r="D171" s="1211">
        <f>'1% Wind'!$M$94</f>
        <v>1.8</v>
      </c>
      <c r="E171" s="1212"/>
      <c r="F171" s="1212"/>
      <c r="G171" s="1213">
        <f ca="1">IF(I158=0.9743,$G170,MAX(G170/D170*D171,2))</f>
        <v>2</v>
      </c>
      <c r="H171" s="1214" t="e">
        <f t="shared" ca="1" si="73"/>
        <v>#VALUE!</v>
      </c>
      <c r="J171" s="1224"/>
      <c r="K171" s="1217">
        <f t="shared" si="74"/>
        <v>1</v>
      </c>
      <c r="L171" s="1218" t="e">
        <f t="shared" ca="1" si="75"/>
        <v>#VALUE!</v>
      </c>
      <c r="M171" s="1219" t="e">
        <f ca="1">IF(AND(INDEX(FlowCalConstA,MATCH(J158,FlowCalNumber,0),1,1)*L171^INDEX(FlowCalConstB,MATCH(J158,FlowCalNumber,0),1,1)&gt;INDEX(FlowCalLowSetting,MATCH(J158,FlowCalNumber,0),1,1), (INDEX(FlowCalConstA,MATCH(J158,FlowCalNumber,0),1,1)*L171^INDEX(FlowCalConstB,MATCH(J158,FlowCalNumber,0),1,1)&lt;INDEX(FlowCalHighSetting,MATCH(J158,FlowCalNumber,0),1,1))),INDEX(FlowCalConstA,MATCH(J158,FlowCalNumber,0),1,1)*L171^INDEX(FlowCalConstB,MATCH(J158,FlowCalNumber,0),1,1)," ")</f>
        <v>#N/A</v>
      </c>
      <c r="N171" s="1224"/>
      <c r="O171" s="1217">
        <f t="shared" si="76"/>
        <v>1</v>
      </c>
      <c r="P171" s="1218" t="e">
        <f t="shared" ca="1" si="77"/>
        <v>#VALUE!</v>
      </c>
      <c r="Q171" s="1219" t="e">
        <f ca="1">IF(AND(INDEX(FlowCalConstA,MATCH(N158,FlowCalNumber,0),1,1)*P171^INDEX(FlowCalConstB,MATCH(N158,FlowCalNumber,0),1,1)&gt;INDEX(FlowCalLowSetting,MATCH(N158,FlowCalNumber,0),1,1), (INDEX(FlowCalConstA,MATCH(N158,FlowCalNumber,0),1,1)*P171^INDEX(FlowCalConstB,MATCH(N158,FlowCalNumber,0),1,1)&lt;INDEX(FlowCalHighSetting,MATCH(N158,FlowCalNumber,0),1,1))),INDEX(FlowCalConstA,MATCH(N158,FlowCalNumber,0),1,1)*P171^INDEX(FlowCalConstB,MATCH(N158,FlowCalNumber,0),1,1)," ")</f>
        <v>#N/A</v>
      </c>
      <c r="R171" s="1224"/>
      <c r="S171" s="1217">
        <f t="shared" si="78"/>
        <v>1</v>
      </c>
      <c r="T171" s="1218" t="e">
        <f t="shared" ca="1" si="79"/>
        <v>#VALUE!</v>
      </c>
      <c r="U171" s="1219" t="e">
        <f ca="1">IF(AND(INDEX(FlowCalConstA,MATCH(R158,FlowCalNumber,0),1,1)*T171^INDEX(FlowCalConstB,MATCH(R158,FlowCalNumber,0),1,1)&gt;INDEX(FlowCalLowSetting,MATCH(R158,FlowCalNumber,0),1,1), (INDEX(FlowCalConstA,MATCH(R158,FlowCalNumber,0),1,1)*T171^INDEX(FlowCalConstB,MATCH(R158,FlowCalNumber,0),1,1)&lt;INDEX(FlowCalHighSetting,MATCH(R158,FlowCalNumber,0),1,1))),INDEX(FlowCalConstA,MATCH(R158,FlowCalNumber,0),1,1)*T171^INDEX(FlowCalConstB,MATCH(R158,FlowCalNumber,0),1,1)," ")</f>
        <v>#N/A</v>
      </c>
      <c r="V171" s="1224"/>
      <c r="W171" s="1217"/>
      <c r="X171" s="1218"/>
      <c r="Y171" s="1219"/>
      <c r="Z171" s="1224"/>
      <c r="AA171" s="1217"/>
      <c r="AB171" s="1218"/>
      <c r="AC171" s="1219"/>
      <c r="AD171" s="1224"/>
      <c r="AE171" s="1217"/>
      <c r="AF171" s="1218"/>
      <c r="AG171" s="1219"/>
      <c r="AH171" s="1224"/>
      <c r="AI171" s="1217"/>
      <c r="AJ171" s="1218"/>
      <c r="AK171" s="1220"/>
      <c r="AL171" s="1219"/>
      <c r="AM171" s="1219"/>
      <c r="AN171" s="1219"/>
      <c r="AO171" s="1219"/>
      <c r="AP171" s="1219"/>
      <c r="AQ171" s="1219"/>
      <c r="AR171" s="1219"/>
      <c r="AS171" s="1219"/>
      <c r="AT171" s="1219"/>
      <c r="AU171" s="1219"/>
      <c r="AV171" s="1219"/>
      <c r="AW171" s="1219"/>
      <c r="AX171" s="1219"/>
      <c r="AY171" s="1219"/>
      <c r="AZ171" s="1219"/>
      <c r="BA171" s="1219"/>
      <c r="BB171" s="1219"/>
      <c r="BC171" s="1219"/>
      <c r="BD171" s="1219"/>
      <c r="BE171" s="1219"/>
      <c r="BF171" s="1219"/>
      <c r="BG171" s="1219"/>
      <c r="BH171" s="1219"/>
      <c r="BI171" s="1219"/>
      <c r="BJ171" s="1219"/>
      <c r="BK171" s="1219"/>
      <c r="BL171" s="1219"/>
      <c r="BM171" s="1219"/>
      <c r="BN171" s="1219"/>
      <c r="BO171" s="1219"/>
      <c r="BP171" s="1219"/>
      <c r="BQ171" s="1219"/>
      <c r="BR171" s="1219"/>
      <c r="BS171" s="1219"/>
      <c r="BU171" s="1217"/>
      <c r="BW171" s="1219"/>
      <c r="BY171" s="1217"/>
      <c r="CA171" s="1219"/>
      <c r="CC171" s="1217"/>
      <c r="CE171" s="1219"/>
      <c r="CG171" s="1217"/>
      <c r="CI171" s="1219"/>
    </row>
    <row r="172" spans="1:87">
      <c r="A172" s="20"/>
      <c r="B172" s="124" t="str">
        <f t="shared" si="72"/>
        <v/>
      </c>
      <c r="C172" s="235"/>
      <c r="D172" s="24">
        <f>'1% Wind'!$M$95</f>
        <v>1.3</v>
      </c>
      <c r="E172" s="90"/>
      <c r="F172" s="90"/>
      <c r="G172" s="79">
        <f ca="1">IF(I158=0.9743,$G171,MAX(G171/D171*D172,2))</f>
        <v>2</v>
      </c>
      <c r="H172" s="121" t="e">
        <f t="shared" ca="1" si="73"/>
        <v>#VALUE!</v>
      </c>
      <c r="J172" s="33"/>
      <c r="K172" s="242">
        <f t="shared" si="74"/>
        <v>1</v>
      </c>
      <c r="L172" s="241" t="e">
        <f t="shared" ca="1" si="75"/>
        <v>#VALUE!</v>
      </c>
      <c r="M172" s="243" t="e">
        <f ca="1">IF(AND(INDEX(FlowCalConstA,MATCH(J158,FlowCalNumber,0),1,1)*L172^INDEX(FlowCalConstB,MATCH(J158,FlowCalNumber,0),1,1)&gt;INDEX(FlowCalLowSetting,MATCH(J158,FlowCalNumber,0),1,1), (INDEX(FlowCalConstA,MATCH(J158,FlowCalNumber,0),1,1)*L172^INDEX(FlowCalConstB,MATCH(J158,FlowCalNumber,0),1,1)&lt;INDEX(FlowCalHighSetting,MATCH(J158,FlowCalNumber,0),1,1))),INDEX(FlowCalConstA,MATCH(J158,FlowCalNumber,0),1,1)*L172^INDEX(FlowCalConstB,MATCH(J158,FlowCalNumber,0),1,1)," ")</f>
        <v>#N/A</v>
      </c>
      <c r="N172" s="33"/>
      <c r="O172" s="242">
        <f t="shared" si="76"/>
        <v>1</v>
      </c>
      <c r="P172" s="241" t="e">
        <f t="shared" ca="1" si="77"/>
        <v>#VALUE!</v>
      </c>
      <c r="Q172" s="243" t="e">
        <f ca="1">IF(AND(INDEX(FlowCalConstA,MATCH(N158,FlowCalNumber,0),1,1)*P172^INDEX(FlowCalConstB,MATCH(N158,FlowCalNumber,0),1,1)&gt;INDEX(FlowCalLowSetting,MATCH(N158,FlowCalNumber,0),1,1), (INDEX(FlowCalConstA,MATCH(N158,FlowCalNumber,0),1,1)*P172^INDEX(FlowCalConstB,MATCH(N158,FlowCalNumber,0),1,1)&lt;INDEX(FlowCalHighSetting,MATCH(N158,FlowCalNumber,0),1,1))),INDEX(FlowCalConstA,MATCH(N158,FlowCalNumber,0),1,1)*P172^INDEX(FlowCalConstB,MATCH(N158,FlowCalNumber,0),1,1)," ")</f>
        <v>#N/A</v>
      </c>
      <c r="R172" s="33"/>
      <c r="S172" s="242">
        <f t="shared" si="78"/>
        <v>1</v>
      </c>
      <c r="T172" s="241" t="e">
        <f t="shared" ca="1" si="79"/>
        <v>#VALUE!</v>
      </c>
      <c r="U172" s="243" t="e">
        <f ca="1">IF(AND(INDEX(FlowCalConstA,MATCH(R158,FlowCalNumber,0),1,1)*T172^INDEX(FlowCalConstB,MATCH(R158,FlowCalNumber,0),1,1)&gt;INDEX(FlowCalLowSetting,MATCH(R158,FlowCalNumber,0),1,1), (INDEX(FlowCalConstA,MATCH(R158,FlowCalNumber,0),1,1)*T172^INDEX(FlowCalConstB,MATCH(R158,FlowCalNumber,0),1,1)&lt;INDEX(FlowCalHighSetting,MATCH(R158,FlowCalNumber,0),1,1))),INDEX(FlowCalConstA,MATCH(R158,FlowCalNumber,0),1,1)*T172^INDEX(FlowCalConstB,MATCH(R158,FlowCalNumber,0),1,1)," ")</f>
        <v>#N/A</v>
      </c>
      <c r="V172" s="33"/>
      <c r="W172" s="242"/>
      <c r="X172" s="241"/>
      <c r="Y172" s="243"/>
      <c r="Z172" s="33"/>
      <c r="AA172" s="242"/>
      <c r="AB172" s="241"/>
      <c r="AC172" s="243"/>
      <c r="AD172" s="33"/>
      <c r="AE172" s="242"/>
      <c r="AF172" s="241"/>
      <c r="AG172" s="243"/>
      <c r="AH172" s="33"/>
      <c r="AI172" s="242"/>
      <c r="AJ172" s="241"/>
      <c r="AK172" s="244"/>
      <c r="AL172" s="243"/>
      <c r="AM172" s="243"/>
      <c r="AN172" s="243"/>
      <c r="AO172" s="243"/>
      <c r="AP172" s="243"/>
      <c r="AQ172" s="243"/>
      <c r="AR172" s="243"/>
      <c r="AS172" s="243"/>
      <c r="AT172" s="243"/>
      <c r="AU172" s="243"/>
      <c r="AV172" s="243"/>
      <c r="AW172" s="243"/>
      <c r="AX172" s="243"/>
      <c r="AY172" s="243"/>
      <c r="AZ172" s="243"/>
      <c r="BA172" s="243"/>
      <c r="BB172" s="243"/>
      <c r="BC172" s="243"/>
      <c r="BD172" s="243"/>
      <c r="BE172" s="243"/>
      <c r="BF172" s="243"/>
      <c r="BG172" s="243"/>
      <c r="BH172" s="243"/>
      <c r="BI172" s="243"/>
      <c r="BJ172" s="243"/>
      <c r="BK172" s="243"/>
      <c r="BL172" s="243"/>
      <c r="BM172" s="243"/>
      <c r="BN172" s="243"/>
      <c r="BO172" s="243"/>
      <c r="BP172" s="243"/>
      <c r="BQ172" s="243"/>
      <c r="BR172" s="243"/>
      <c r="BS172" s="243"/>
      <c r="BU172" s="242"/>
      <c r="BW172" s="243"/>
      <c r="BY172" s="242"/>
      <c r="CA172" s="243"/>
      <c r="CC172" s="242"/>
      <c r="CE172" s="243"/>
      <c r="CG172" s="242"/>
      <c r="CI172" s="243"/>
    </row>
    <row r="173" spans="1:87" s="1215" customFormat="1">
      <c r="A173" s="1222"/>
      <c r="B173" s="1223" t="str">
        <f t="shared" si="72"/>
        <v/>
      </c>
      <c r="C173" s="1210"/>
      <c r="D173" s="1211">
        <f>'1% Wind'!$M$96</f>
        <v>1</v>
      </c>
      <c r="E173" s="1212"/>
      <c r="F173" s="1212"/>
      <c r="G173" s="1213">
        <f ca="1">IF(I158=0.9743,$G172,MAX(G172/D172*D173,2))</f>
        <v>2</v>
      </c>
      <c r="H173" s="1214" t="e">
        <f t="shared" ca="1" si="73"/>
        <v>#VALUE!</v>
      </c>
      <c r="J173" s="1224"/>
      <c r="K173" s="1217">
        <f t="shared" si="74"/>
        <v>1</v>
      </c>
      <c r="L173" s="1218" t="e">
        <f t="shared" ca="1" si="75"/>
        <v>#VALUE!</v>
      </c>
      <c r="M173" s="1219" t="e">
        <f ca="1">IF(AND(INDEX(FlowCalConstA,MATCH(J158,FlowCalNumber,0),1,1)*L173^INDEX(FlowCalConstB,MATCH(J158,FlowCalNumber,0),1,1)&gt;INDEX(FlowCalLowSetting,MATCH(J158,FlowCalNumber,0),1,1), (INDEX(FlowCalConstA,MATCH(J158,FlowCalNumber,0),1,1)*L173^INDEX(FlowCalConstB,MATCH(J158,FlowCalNumber,0),1,1)&lt;INDEX(FlowCalHighSetting,MATCH(J158,FlowCalNumber,0),1,1))),INDEX(FlowCalConstA,MATCH(J158,FlowCalNumber,0),1,1)*L173^INDEX(FlowCalConstB,MATCH(J158,FlowCalNumber,0),1,1)," ")</f>
        <v>#N/A</v>
      </c>
      <c r="N173" s="1224"/>
      <c r="O173" s="1217">
        <f t="shared" si="76"/>
        <v>1</v>
      </c>
      <c r="P173" s="1218" t="e">
        <f t="shared" ca="1" si="77"/>
        <v>#VALUE!</v>
      </c>
      <c r="Q173" s="1219" t="e">
        <f ca="1">IF(AND(INDEX(FlowCalConstA,MATCH(N158,FlowCalNumber,0),1,1)*P173^INDEX(FlowCalConstB,MATCH(N158,FlowCalNumber,0),1,1)&gt;INDEX(FlowCalLowSetting,MATCH(N158,FlowCalNumber,0),1,1), (INDEX(FlowCalConstA,MATCH(N158,FlowCalNumber,0),1,1)*P173^INDEX(FlowCalConstB,MATCH(N158,FlowCalNumber,0),1,1)&lt;INDEX(FlowCalHighSetting,MATCH(N158,FlowCalNumber,0),1,1))),INDEX(FlowCalConstA,MATCH(N158,FlowCalNumber,0),1,1)*P173^INDEX(FlowCalConstB,MATCH(N158,FlowCalNumber,0),1,1)," ")</f>
        <v>#N/A</v>
      </c>
      <c r="R173" s="1224"/>
      <c r="S173" s="1217">
        <f t="shared" si="78"/>
        <v>1</v>
      </c>
      <c r="T173" s="1218" t="e">
        <f t="shared" ca="1" si="79"/>
        <v>#VALUE!</v>
      </c>
      <c r="U173" s="1219" t="e">
        <f ca="1">IF(AND(INDEX(FlowCalConstA,MATCH(R158,FlowCalNumber,0),1,1)*T173^INDEX(FlowCalConstB,MATCH(R158,FlowCalNumber,0),1,1)&gt;INDEX(FlowCalLowSetting,MATCH(R158,FlowCalNumber,0),1,1), (INDEX(FlowCalConstA,MATCH(R158,FlowCalNumber,0),1,1)*T173^INDEX(FlowCalConstB,MATCH(R158,FlowCalNumber,0),1,1)&lt;INDEX(FlowCalHighSetting,MATCH(R158,FlowCalNumber,0),1,1))),INDEX(FlowCalConstA,MATCH(R158,FlowCalNumber,0),1,1)*T173^INDEX(FlowCalConstB,MATCH(R158,FlowCalNumber,0),1,1)," ")</f>
        <v>#N/A</v>
      </c>
      <c r="V173" s="1224"/>
      <c r="W173" s="1217"/>
      <c r="X173" s="1218"/>
      <c r="Y173" s="1219"/>
      <c r="Z173" s="1224"/>
      <c r="AA173" s="1217"/>
      <c r="AB173" s="1218"/>
      <c r="AC173" s="1219"/>
      <c r="AD173" s="1224"/>
      <c r="AE173" s="1217"/>
      <c r="AF173" s="1218"/>
      <c r="AG173" s="1219"/>
      <c r="AH173" s="1224"/>
      <c r="AI173" s="1217"/>
      <c r="AJ173" s="1218"/>
      <c r="AK173" s="1220"/>
      <c r="AL173" s="1219"/>
      <c r="AM173" s="1219"/>
      <c r="AN173" s="1219"/>
      <c r="AO173" s="1219"/>
      <c r="AP173" s="1219"/>
      <c r="AQ173" s="1219"/>
      <c r="AR173" s="1219"/>
      <c r="AS173" s="1219"/>
      <c r="AT173" s="1219"/>
      <c r="AU173" s="1219"/>
      <c r="AV173" s="1219"/>
      <c r="AW173" s="1219"/>
      <c r="AX173" s="1219"/>
      <c r="AY173" s="1219"/>
      <c r="AZ173" s="1219"/>
      <c r="BA173" s="1219"/>
      <c r="BB173" s="1219"/>
      <c r="BC173" s="1219"/>
      <c r="BD173" s="1219"/>
      <c r="BE173" s="1219"/>
      <c r="BF173" s="1219"/>
      <c r="BG173" s="1219"/>
      <c r="BH173" s="1219"/>
      <c r="BI173" s="1219"/>
      <c r="BJ173" s="1219"/>
      <c r="BK173" s="1219"/>
      <c r="BL173" s="1219"/>
      <c r="BM173" s="1219"/>
      <c r="BN173" s="1219"/>
      <c r="BO173" s="1219"/>
      <c r="BP173" s="1219"/>
      <c r="BQ173" s="1219"/>
      <c r="BR173" s="1219"/>
      <c r="BS173" s="1219"/>
      <c r="BU173" s="1217"/>
      <c r="BW173" s="1219"/>
      <c r="BY173" s="1217"/>
      <c r="CA173" s="1219"/>
      <c r="CC173" s="1217"/>
      <c r="CE173" s="1219"/>
      <c r="CG173" s="1217"/>
      <c r="CI173" s="1219"/>
    </row>
    <row r="174" spans="1:87">
      <c r="A174" s="33"/>
      <c r="B174" s="33"/>
      <c r="C174" s="235"/>
      <c r="E174" s="90"/>
      <c r="F174" s="90"/>
      <c r="G174" s="33"/>
      <c r="J174" s="33"/>
      <c r="M174" s="243"/>
      <c r="N174" s="33"/>
      <c r="Q174" s="243"/>
      <c r="R174" s="33"/>
      <c r="U174" s="243"/>
      <c r="V174" s="33"/>
      <c r="Y174" s="243"/>
      <c r="Z174" s="33"/>
      <c r="AC174" s="243"/>
      <c r="AD174" s="33"/>
      <c r="AG174" s="243"/>
      <c r="AH174" s="33"/>
      <c r="AK174" s="244"/>
      <c r="AL174" s="243"/>
      <c r="AM174" s="243"/>
      <c r="AN174" s="243"/>
      <c r="AO174" s="243"/>
      <c r="AP174" s="243"/>
      <c r="AQ174" s="243"/>
      <c r="AR174" s="243"/>
      <c r="AS174" s="243"/>
      <c r="AT174" s="243"/>
      <c r="AU174" s="243"/>
      <c r="AV174" s="243"/>
      <c r="AW174" s="243"/>
      <c r="AX174" s="243"/>
      <c r="AY174" s="243"/>
      <c r="AZ174" s="243"/>
      <c r="BA174" s="243"/>
      <c r="BB174" s="243"/>
      <c r="BC174" s="243"/>
      <c r="BD174" s="243"/>
      <c r="BE174" s="243"/>
      <c r="BF174" s="243"/>
      <c r="BG174" s="243"/>
      <c r="BH174" s="243"/>
      <c r="BI174" s="243"/>
      <c r="BJ174" s="243"/>
      <c r="BK174" s="243"/>
      <c r="BL174" s="243"/>
      <c r="BM174" s="243"/>
      <c r="BN174" s="243"/>
      <c r="BO174" s="243"/>
      <c r="BP174" s="243"/>
      <c r="BQ174" s="243"/>
      <c r="BR174" s="243"/>
      <c r="BS174" s="243"/>
      <c r="BW174" s="243"/>
      <c r="CA174" s="243"/>
      <c r="CE174" s="243"/>
      <c r="CI174" s="243"/>
    </row>
    <row r="175" spans="1:87">
      <c r="A175" s="256" t="str">
        <f>IF((RIGHT(A158,1))&lt;&gt;"Z",CHAR(CODE(A158))&amp;CHAR(CODE(RIGHT(A158,1))+1),CHAR(CODE(A158)+1)&amp;"A")</f>
        <v>AJ</v>
      </c>
      <c r="B175" s="270" t="str">
        <f>INDEX(SourceID,MATCH($A175,SourceNumber,0),1,1)</f>
        <v>BSL3-2</v>
      </c>
      <c r="C175" s="354">
        <f>INDEX(SourceExitDiameter,MATCH($A175,SourceNumber,0),1,1)*3.28*12</f>
        <v>24.72</v>
      </c>
      <c r="D175" s="24" t="str">
        <f>UAnem1percent</f>
        <v>1% Wind</v>
      </c>
      <c r="E175" s="350" t="e">
        <f ca="1">INDIRECT(ADDRESS(53,6,1,,CONCATENATE("TA",$A175)))</f>
        <v>#REF!</v>
      </c>
      <c r="F175" s="625" t="e">
        <f ca="1">(ROUND((INDIRECT(ADDRESS(15,7,1,,CONCATENATE("TA",$A175)))*3.28*12*32),0)&amp;"/32")</f>
        <v>#REF!</v>
      </c>
      <c r="G175" s="125">
        <f ca="1">INDIRECT(ADDRESS(29,7,1,,$A175))</f>
        <v>6.001707317073171</v>
      </c>
      <c r="H175" s="24" t="e">
        <f ca="1">INDIRECT(ADDRESS(19,7,1,,$A175))*100^3</f>
        <v>#VALUE!</v>
      </c>
      <c r="I175" s="941">
        <f ca="1">INDIRECT(ADDRESS(53,7,1,,$A175))</f>
        <v>0.97430000000000005</v>
      </c>
      <c r="J175" s="20" t="str">
        <f ca="1">IF($I175=$I$6,K$16&amp;$G$6&amp;J$6,IF($I175=$I$7,K$16&amp;$G$7&amp;J$7,"Bad"))</f>
        <v>100N2Pick a Tunnel</v>
      </c>
      <c r="K175" t="e">
        <f ca="1">INDEX(FlowCalGasMixture,MATCH(J175,FlowCalNumber,0),1,1)</f>
        <v>#N/A</v>
      </c>
      <c r="M175" s="944" t="e">
        <f ca="1">INDEX(FlowCalDevice,MATCH(J175,FlowCalNumber,0),1,1)</f>
        <v>#N/A</v>
      </c>
      <c r="N175" s="20" t="str">
        <f ca="1">IF($I175=$I$6,O$16&amp;$G$6&amp;N$6,IF($I175=$I$7,O$16&amp;$G$7&amp;N$7,"Bad"))</f>
        <v>100N2Pick a Tunnel</v>
      </c>
      <c r="O175" t="e">
        <f ca="1">INDEX(FlowCalGasMixture,MATCH(N175,FlowCalNumber,0),1,1)</f>
        <v>#N/A</v>
      </c>
      <c r="Q175" s="944" t="e">
        <f ca="1">INDEX(FlowCalDevice,MATCH(N175,FlowCalNumber,0),1,1)</f>
        <v>#N/A</v>
      </c>
      <c r="R175" s="20" t="str">
        <f ca="1">IF($I175=$I$6,S$16&amp;$G$6&amp;R$6,IF($I175=$I$7,S$16&amp;$G$7&amp;R$7,"Bad"))</f>
        <v>100N2Pick a Tunnel</v>
      </c>
      <c r="S175" t="e">
        <f ca="1">INDEX(FlowCalGasMixture,MATCH(R175,FlowCalNumber,0),1,1)</f>
        <v>#N/A</v>
      </c>
      <c r="U175" s="944" t="e">
        <f ca="1">INDEX(FlowCalDevice,MATCH(R175,FlowCalNumber,0),1,1)</f>
        <v>#N/A</v>
      </c>
      <c r="V175" s="20"/>
      <c r="Y175" s="944"/>
      <c r="Z175" s="946"/>
      <c r="AC175" s="944"/>
      <c r="AD175" s="20"/>
      <c r="AG175" s="944"/>
      <c r="AH175" s="946"/>
      <c r="AK175" s="982"/>
      <c r="AL175" s="355"/>
      <c r="AM175" s="355"/>
      <c r="AN175" s="355"/>
      <c r="AO175" s="355"/>
      <c r="AP175" s="355"/>
      <c r="AQ175" s="355"/>
      <c r="AR175" s="355"/>
      <c r="AS175" s="355"/>
      <c r="AT175" s="355"/>
      <c r="AU175" s="355"/>
      <c r="AV175" s="355"/>
      <c r="AW175" s="355"/>
      <c r="AX175" s="355"/>
      <c r="AY175" s="355"/>
      <c r="AZ175" s="355"/>
      <c r="BA175" s="355"/>
      <c r="BB175" s="355"/>
      <c r="BC175" s="355"/>
      <c r="BD175" s="355"/>
      <c r="BE175" s="355"/>
      <c r="BF175" s="355"/>
      <c r="BG175" s="355"/>
      <c r="BH175" s="355"/>
      <c r="BI175" s="355"/>
      <c r="BJ175" s="355"/>
      <c r="BK175" s="355"/>
      <c r="BL175" s="355"/>
      <c r="BM175" s="355"/>
      <c r="BN175" s="355"/>
      <c r="BO175" s="355"/>
      <c r="BP175" s="355"/>
      <c r="BQ175" s="355"/>
      <c r="BR175" s="355"/>
      <c r="BS175" s="355"/>
      <c r="BT175" s="46"/>
      <c r="BU175" s="16"/>
      <c r="BW175" s="355"/>
      <c r="BX175" s="42"/>
      <c r="BY175" s="16"/>
      <c r="CA175" s="355"/>
      <c r="CB175" s="42"/>
      <c r="CC175" s="16"/>
      <c r="CE175" s="355"/>
      <c r="CF175" s="42"/>
      <c r="CG175" s="16"/>
      <c r="CI175" s="355"/>
    </row>
    <row r="176" spans="1:87" s="1215" customFormat="1">
      <c r="A176" s="1222"/>
      <c r="B176" s="1223" t="str">
        <f t="shared" ref="B176:B190" si="80">IF(D176=UAnem1percent,"1% Wind","")</f>
        <v/>
      </c>
      <c r="C176" s="1210"/>
      <c r="D176" s="1211">
        <f>'1% Wind'!$M$82</f>
        <v>27</v>
      </c>
      <c r="E176" s="1212"/>
      <c r="F176" s="1212"/>
      <c r="G176" s="1364">
        <v>2</v>
      </c>
      <c r="H176" s="1214" t="e">
        <f t="shared" ref="H176:H190" ca="1" si="81">H175*(D175/D176)*(G176/G175)</f>
        <v>#VALUE!</v>
      </c>
      <c r="J176" s="1224"/>
      <c r="K176" s="1221">
        <f>K$17/100</f>
        <v>1</v>
      </c>
      <c r="L176" s="1218" t="e">
        <f ca="1">K176*$H176</f>
        <v>#VALUE!</v>
      </c>
      <c r="M176" s="1219" t="e">
        <f ca="1">IF(AND(INDEX(FlowCalConstA,MATCH(J175,FlowCalNumber,0),1,1)*L176^INDEX(FlowCalConstB,MATCH(J175,FlowCalNumber,0),1,1)&gt;INDEX(FlowCalLowSetting,MATCH(J175,FlowCalNumber,0),1,1), (INDEX(FlowCalConstA,MATCH(J175,FlowCalNumber,0),1,1)*L176^INDEX(FlowCalConstB,MATCH(J175,FlowCalNumber,0),1,1)&lt;INDEX(FlowCalHighSetting,MATCH(J175,FlowCalNumber,0),1,1))),INDEX(FlowCalConstA,MATCH(J175,FlowCalNumber,0),1,1)*L176^INDEX(FlowCalConstB,MATCH(J175,FlowCalNumber,0),1,1)," ")</f>
        <v>#N/A</v>
      </c>
      <c r="N176" s="1224"/>
      <c r="O176" s="1221">
        <f>O$17/100</f>
        <v>1</v>
      </c>
      <c r="P176" s="1218" t="e">
        <f ca="1">O176*$H176</f>
        <v>#VALUE!</v>
      </c>
      <c r="Q176" s="1219" t="e">
        <f ca="1">IF(AND(INDEX(FlowCalConstA,MATCH(N175,FlowCalNumber,0),1,1)*P176^INDEX(FlowCalConstB,MATCH(N175,FlowCalNumber,0),1,1)&gt;INDEX(FlowCalLowSetting,MATCH(N175,FlowCalNumber,0),1,1), (INDEX(FlowCalConstA,MATCH(N175,FlowCalNumber,0),1,1)*P176^INDEX(FlowCalConstB,MATCH(N175,FlowCalNumber,0),1,1)&lt;INDEX(FlowCalHighSetting,MATCH(N175,FlowCalNumber,0),1,1))),INDEX(FlowCalConstA,MATCH(N175,FlowCalNumber,0),1,1)*P176^INDEX(FlowCalConstB,MATCH(N175,FlowCalNumber,0),1,1)," ")</f>
        <v>#N/A</v>
      </c>
      <c r="R176" s="1224"/>
      <c r="S176" s="1221">
        <f>S$17/100</f>
        <v>1</v>
      </c>
      <c r="T176" s="1218" t="e">
        <f ca="1">S176*$H176</f>
        <v>#VALUE!</v>
      </c>
      <c r="U176" s="1219" t="e">
        <f ca="1">IF(AND(INDEX(FlowCalConstA,MATCH(R175,FlowCalNumber,0),1,1)*T176^INDEX(FlowCalConstB,MATCH(R175,FlowCalNumber,0),1,1)&gt;INDEX(FlowCalLowSetting,MATCH(R175,FlowCalNumber,0),1,1), (INDEX(FlowCalConstA,MATCH(R175,FlowCalNumber,0),1,1)*T176^INDEX(FlowCalConstB,MATCH(R175,FlowCalNumber,0),1,1)&lt;INDEX(FlowCalHighSetting,MATCH(R175,FlowCalNumber,0),1,1))),INDEX(FlowCalConstA,MATCH(R175,FlowCalNumber,0),1,1)*T176^INDEX(FlowCalConstB,MATCH(R175,FlowCalNumber,0),1,1)," ")</f>
        <v>#N/A</v>
      </c>
      <c r="V176" s="1224"/>
      <c r="W176" s="1221"/>
      <c r="X176" s="1218"/>
      <c r="Y176" s="1219"/>
      <c r="Z176" s="1224"/>
      <c r="AA176" s="1221"/>
      <c r="AB176" s="1218"/>
      <c r="AC176" s="1219"/>
      <c r="AD176" s="1224"/>
      <c r="AE176" s="1221"/>
      <c r="AF176" s="1218"/>
      <c r="AG176" s="1219"/>
      <c r="AH176" s="1224"/>
      <c r="AI176" s="1221"/>
      <c r="AJ176" s="1218"/>
      <c r="AK176" s="1220"/>
      <c r="AL176" s="1219"/>
      <c r="AM176" s="1219"/>
      <c r="AN176" s="1219"/>
      <c r="AO176" s="1219"/>
      <c r="AP176" s="1219"/>
      <c r="AQ176" s="1219"/>
      <c r="AR176" s="1219"/>
      <c r="AS176" s="1219"/>
      <c r="AT176" s="1219"/>
      <c r="AU176" s="1219"/>
      <c r="AV176" s="1219"/>
      <c r="AW176" s="1219"/>
      <c r="AX176" s="1219"/>
      <c r="AY176" s="1219"/>
      <c r="AZ176" s="1219"/>
      <c r="BA176" s="1219"/>
      <c r="BB176" s="1219"/>
      <c r="BC176" s="1219"/>
      <c r="BD176" s="1219"/>
      <c r="BE176" s="1219"/>
      <c r="BF176" s="1219"/>
      <c r="BG176" s="1219"/>
      <c r="BH176" s="1219"/>
      <c r="BI176" s="1219"/>
      <c r="BJ176" s="1219"/>
      <c r="BK176" s="1219"/>
      <c r="BL176" s="1219"/>
      <c r="BM176" s="1219"/>
      <c r="BN176" s="1219"/>
      <c r="BO176" s="1219"/>
      <c r="BP176" s="1219"/>
      <c r="BQ176" s="1219"/>
      <c r="BR176" s="1219"/>
      <c r="BS176" s="1219"/>
      <c r="BU176" s="1225"/>
      <c r="BW176" s="1219"/>
      <c r="BY176" s="1225"/>
      <c r="CA176" s="1219"/>
      <c r="CC176" s="1225"/>
      <c r="CE176" s="1219"/>
      <c r="CG176" s="1221"/>
      <c r="CI176" s="1219"/>
    </row>
    <row r="177" spans="1:87">
      <c r="A177" s="20"/>
      <c r="B177" s="124" t="str">
        <f t="shared" si="80"/>
        <v/>
      </c>
      <c r="C177" s="235"/>
      <c r="D177" s="24">
        <f>'1% Wind'!$M$83</f>
        <v>23.5</v>
      </c>
      <c r="E177" s="90"/>
      <c r="F177" s="90"/>
      <c r="G177" s="79">
        <f ca="1">IF(I175=0.9743,$G176,MAX(G176/D176*D177,2))</f>
        <v>2</v>
      </c>
      <c r="H177" s="121" t="e">
        <f t="shared" ca="1" si="81"/>
        <v>#VALUE!</v>
      </c>
      <c r="J177" s="33"/>
      <c r="K177" s="242">
        <f t="shared" ref="K177:K190" si="82">K176</f>
        <v>1</v>
      </c>
      <c r="L177" s="241" t="e">
        <f t="shared" ref="L177:L190" ca="1" si="83">K177*$H177</f>
        <v>#VALUE!</v>
      </c>
      <c r="M177" s="243" t="e">
        <f ca="1">IF(AND(INDEX(FlowCalConstA,MATCH(J175,FlowCalNumber,0),1,1)*L177^INDEX(FlowCalConstB,MATCH(J175,FlowCalNumber,0),1,1)&gt;INDEX(FlowCalLowSetting,MATCH(J175,FlowCalNumber,0),1,1), (INDEX(FlowCalConstA,MATCH(J175,FlowCalNumber,0),1,1)*L177^INDEX(FlowCalConstB,MATCH(J175,FlowCalNumber,0),1,1)&lt;INDEX(FlowCalHighSetting,MATCH(J175,FlowCalNumber,0),1,1))),INDEX(FlowCalConstA,MATCH(J175,FlowCalNumber,0),1,1)*L177^INDEX(FlowCalConstB,MATCH(J175,FlowCalNumber,0),1,1)," ")</f>
        <v>#N/A</v>
      </c>
      <c r="N177" s="33"/>
      <c r="O177" s="242">
        <f t="shared" ref="O177:O190" si="84">O176</f>
        <v>1</v>
      </c>
      <c r="P177" s="241" t="e">
        <f t="shared" ref="P177:P190" ca="1" si="85">O177*$H177</f>
        <v>#VALUE!</v>
      </c>
      <c r="Q177" s="243" t="e">
        <f ca="1">IF(AND(INDEX(FlowCalConstA,MATCH(N175,FlowCalNumber,0),1,1)*P177^INDEX(FlowCalConstB,MATCH(N175,FlowCalNumber,0),1,1)&gt;INDEX(FlowCalLowSetting,MATCH(N175,FlowCalNumber,0),1,1), (INDEX(FlowCalConstA,MATCH(N175,FlowCalNumber,0),1,1)*P177^INDEX(FlowCalConstB,MATCH(N175,FlowCalNumber,0),1,1)&lt;INDEX(FlowCalHighSetting,MATCH(N175,FlowCalNumber,0),1,1))),INDEX(FlowCalConstA,MATCH(N175,FlowCalNumber,0),1,1)*P177^INDEX(FlowCalConstB,MATCH(N175,FlowCalNumber,0),1,1)," ")</f>
        <v>#N/A</v>
      </c>
      <c r="R177" s="33"/>
      <c r="S177" s="242">
        <f t="shared" ref="S177:S190" si="86">S176</f>
        <v>1</v>
      </c>
      <c r="T177" s="241" t="e">
        <f t="shared" ref="T177:T190" ca="1" si="87">S177*$H177</f>
        <v>#VALUE!</v>
      </c>
      <c r="U177" s="243" t="e">
        <f ca="1">IF(AND(INDEX(FlowCalConstA,MATCH(R175,FlowCalNumber,0),1,1)*T177^INDEX(FlowCalConstB,MATCH(R175,FlowCalNumber,0),1,1)&gt;INDEX(FlowCalLowSetting,MATCH(R175,FlowCalNumber,0),1,1), (INDEX(FlowCalConstA,MATCH(R175,FlowCalNumber,0),1,1)*T177^INDEX(FlowCalConstB,MATCH(R175,FlowCalNumber,0),1,1)&lt;INDEX(FlowCalHighSetting,MATCH(R175,FlowCalNumber,0),1,1))),INDEX(FlowCalConstA,MATCH(R175,FlowCalNumber,0),1,1)*T177^INDEX(FlowCalConstB,MATCH(R175,FlowCalNumber,0),1,1)," ")</f>
        <v>#N/A</v>
      </c>
      <c r="V177" s="33"/>
      <c r="W177" s="242"/>
      <c r="X177" s="241"/>
      <c r="Y177" s="243"/>
      <c r="Z177" s="33"/>
      <c r="AA177" s="242"/>
      <c r="AB177" s="241"/>
      <c r="AC177" s="243"/>
      <c r="AD177" s="33"/>
      <c r="AE177" s="242"/>
      <c r="AF177" s="241"/>
      <c r="AG177" s="243"/>
      <c r="AH177" s="33"/>
      <c r="AI177" s="242"/>
      <c r="AJ177" s="241"/>
      <c r="AK177" s="244"/>
      <c r="AL177" s="243"/>
      <c r="AM177" s="243"/>
      <c r="AN177" s="243"/>
      <c r="AO177" s="243"/>
      <c r="AP177" s="243"/>
      <c r="AQ177" s="243"/>
      <c r="AR177" s="243"/>
      <c r="AS177" s="243"/>
      <c r="AT177" s="243"/>
      <c r="AU177" s="243"/>
      <c r="AV177" s="243"/>
      <c r="AW177" s="243"/>
      <c r="AX177" s="243"/>
      <c r="AY177" s="243"/>
      <c r="AZ177" s="243"/>
      <c r="BA177" s="243"/>
      <c r="BB177" s="243"/>
      <c r="BC177" s="243"/>
      <c r="BD177" s="243"/>
      <c r="BE177" s="243"/>
      <c r="BF177" s="243"/>
      <c r="BG177" s="243"/>
      <c r="BH177" s="243"/>
      <c r="BI177" s="243"/>
      <c r="BJ177" s="243"/>
      <c r="BK177" s="243"/>
      <c r="BL177" s="243"/>
      <c r="BM177" s="243"/>
      <c r="BN177" s="243"/>
      <c r="BO177" s="243"/>
      <c r="BP177" s="243"/>
      <c r="BQ177" s="243"/>
      <c r="BR177" s="243"/>
      <c r="BS177" s="243"/>
      <c r="BU177" s="242"/>
      <c r="BW177" s="243"/>
      <c r="BY177" s="242"/>
      <c r="CA177" s="243"/>
      <c r="CC177" s="242"/>
      <c r="CE177" s="243"/>
      <c r="CG177" s="242"/>
      <c r="CI177" s="243"/>
    </row>
    <row r="178" spans="1:87" s="1215" customFormat="1">
      <c r="A178" s="1222"/>
      <c r="B178" s="1223" t="str">
        <f t="shared" si="80"/>
        <v/>
      </c>
      <c r="C178" s="1210"/>
      <c r="D178" s="1211">
        <f>'1% Wind'!$M$84</f>
        <v>20.5</v>
      </c>
      <c r="E178" s="1212"/>
      <c r="F178" s="1212"/>
      <c r="G178" s="1213">
        <f ca="1">IF(I175=0.9743,$G177,MAX(G177/D177*D178,2))</f>
        <v>2</v>
      </c>
      <c r="H178" s="1214" t="e">
        <f t="shared" ca="1" si="81"/>
        <v>#VALUE!</v>
      </c>
      <c r="J178" s="1224"/>
      <c r="K178" s="1217">
        <f t="shared" si="82"/>
        <v>1</v>
      </c>
      <c r="L178" s="1218" t="e">
        <f t="shared" ca="1" si="83"/>
        <v>#VALUE!</v>
      </c>
      <c r="M178" s="1219" t="e">
        <f ca="1">IF(AND(INDEX(FlowCalConstA,MATCH(J175,FlowCalNumber,0),1,1)*L178^INDEX(FlowCalConstB,MATCH(J175,FlowCalNumber,0),1,1)&gt;INDEX(FlowCalLowSetting,MATCH(J175,FlowCalNumber,0),1,1), (INDEX(FlowCalConstA,MATCH(J175,FlowCalNumber,0),1,1)*L178^INDEX(FlowCalConstB,MATCH(J175,FlowCalNumber,0),1,1)&lt;INDEX(FlowCalHighSetting,MATCH(J175,FlowCalNumber,0),1,1))),INDEX(FlowCalConstA,MATCH(J175,FlowCalNumber,0),1,1)*L178^INDEX(FlowCalConstB,MATCH(J175,FlowCalNumber,0),1,1)," ")</f>
        <v>#N/A</v>
      </c>
      <c r="N178" s="1224"/>
      <c r="O178" s="1217">
        <f t="shared" si="84"/>
        <v>1</v>
      </c>
      <c r="P178" s="1218" t="e">
        <f t="shared" ca="1" si="85"/>
        <v>#VALUE!</v>
      </c>
      <c r="Q178" s="1219" t="e">
        <f ca="1">IF(AND(INDEX(FlowCalConstA,MATCH(N175,FlowCalNumber,0),1,1)*P178^INDEX(FlowCalConstB,MATCH(N175,FlowCalNumber,0),1,1)&gt;INDEX(FlowCalLowSetting,MATCH(N175,FlowCalNumber,0),1,1), (INDEX(FlowCalConstA,MATCH(N175,FlowCalNumber,0),1,1)*P178^INDEX(FlowCalConstB,MATCH(N175,FlowCalNumber,0),1,1)&lt;INDEX(FlowCalHighSetting,MATCH(N175,FlowCalNumber,0),1,1))),INDEX(FlowCalConstA,MATCH(N175,FlowCalNumber,0),1,1)*P178^INDEX(FlowCalConstB,MATCH(N175,FlowCalNumber,0),1,1)," ")</f>
        <v>#N/A</v>
      </c>
      <c r="R178" s="1224"/>
      <c r="S178" s="1217">
        <f t="shared" si="86"/>
        <v>1</v>
      </c>
      <c r="T178" s="1218" t="e">
        <f t="shared" ca="1" si="87"/>
        <v>#VALUE!</v>
      </c>
      <c r="U178" s="1219" t="e">
        <f ca="1">IF(AND(INDEX(FlowCalConstA,MATCH(R175,FlowCalNumber,0),1,1)*T178^INDEX(FlowCalConstB,MATCH(R175,FlowCalNumber,0),1,1)&gt;INDEX(FlowCalLowSetting,MATCH(R175,FlowCalNumber,0),1,1), (INDEX(FlowCalConstA,MATCH(R175,FlowCalNumber,0),1,1)*T178^INDEX(FlowCalConstB,MATCH(R175,FlowCalNumber,0),1,1)&lt;INDEX(FlowCalHighSetting,MATCH(R175,FlowCalNumber,0),1,1))),INDEX(FlowCalConstA,MATCH(R175,FlowCalNumber,0),1,1)*T178^INDEX(FlowCalConstB,MATCH(R175,FlowCalNumber,0),1,1)," ")</f>
        <v>#N/A</v>
      </c>
      <c r="V178" s="1224"/>
      <c r="W178" s="1217"/>
      <c r="X178" s="1218"/>
      <c r="Y178" s="1219"/>
      <c r="Z178" s="1224"/>
      <c r="AA178" s="1217"/>
      <c r="AB178" s="1218"/>
      <c r="AC178" s="1219"/>
      <c r="AD178" s="1224"/>
      <c r="AE178" s="1217"/>
      <c r="AF178" s="1218"/>
      <c r="AG178" s="1219"/>
      <c r="AH178" s="1224"/>
      <c r="AI178" s="1217"/>
      <c r="AJ178" s="1218"/>
      <c r="AK178" s="1220"/>
      <c r="AL178" s="1219"/>
      <c r="AM178" s="1219"/>
      <c r="AN178" s="1219"/>
      <c r="AO178" s="1219"/>
      <c r="AP178" s="1219"/>
      <c r="AQ178" s="1219"/>
      <c r="AR178" s="1219"/>
      <c r="AS178" s="1219"/>
      <c r="AT178" s="1219"/>
      <c r="AU178" s="1219"/>
      <c r="AV178" s="1219"/>
      <c r="AW178" s="1219"/>
      <c r="AX178" s="1219"/>
      <c r="AY178" s="1219"/>
      <c r="AZ178" s="1219"/>
      <c r="BA178" s="1219"/>
      <c r="BB178" s="1219"/>
      <c r="BC178" s="1219"/>
      <c r="BD178" s="1219"/>
      <c r="BE178" s="1219"/>
      <c r="BF178" s="1219"/>
      <c r="BG178" s="1219"/>
      <c r="BH178" s="1219"/>
      <c r="BI178" s="1219"/>
      <c r="BJ178" s="1219"/>
      <c r="BK178" s="1219"/>
      <c r="BL178" s="1219"/>
      <c r="BM178" s="1219"/>
      <c r="BN178" s="1219"/>
      <c r="BO178" s="1219"/>
      <c r="BP178" s="1219"/>
      <c r="BQ178" s="1219"/>
      <c r="BR178" s="1219"/>
      <c r="BS178" s="1219"/>
      <c r="BU178" s="1217"/>
      <c r="BW178" s="1219"/>
      <c r="BY178" s="1217"/>
      <c r="CA178" s="1219"/>
      <c r="CC178" s="1217"/>
      <c r="CE178" s="1219"/>
      <c r="CG178" s="1217"/>
      <c r="CI178" s="1219"/>
    </row>
    <row r="179" spans="1:87">
      <c r="A179" s="20"/>
      <c r="B179" s="124" t="str">
        <f t="shared" si="80"/>
        <v/>
      </c>
      <c r="C179" s="235"/>
      <c r="D179" s="24">
        <f>'1% Wind'!$M$85</f>
        <v>17.8</v>
      </c>
      <c r="E179" s="90"/>
      <c r="F179" s="90"/>
      <c r="G179" s="79">
        <f ca="1">IF(I175=0.9743,$G178,MAX(G178/D178*D179,2))</f>
        <v>2</v>
      </c>
      <c r="H179" s="121" t="e">
        <f t="shared" ca="1" si="81"/>
        <v>#VALUE!</v>
      </c>
      <c r="J179" s="33"/>
      <c r="K179" s="242">
        <f t="shared" si="82"/>
        <v>1</v>
      </c>
      <c r="L179" s="241" t="e">
        <f t="shared" ca="1" si="83"/>
        <v>#VALUE!</v>
      </c>
      <c r="M179" s="243" t="e">
        <f ca="1">IF(AND(INDEX(FlowCalConstA,MATCH(J175,FlowCalNumber,0),1,1)*L179^INDEX(FlowCalConstB,MATCH(J175,FlowCalNumber,0),1,1)&gt;INDEX(FlowCalLowSetting,MATCH(J175,FlowCalNumber,0),1,1), (INDEX(FlowCalConstA,MATCH(J175,FlowCalNumber,0),1,1)*L179^INDEX(FlowCalConstB,MATCH(J175,FlowCalNumber,0),1,1)&lt;INDEX(FlowCalHighSetting,MATCH(J175,FlowCalNumber,0),1,1))),INDEX(FlowCalConstA,MATCH(J175,FlowCalNumber,0),1,1)*L179^INDEX(FlowCalConstB,MATCH(J175,FlowCalNumber,0),1,1)," ")</f>
        <v>#N/A</v>
      </c>
      <c r="N179" s="33"/>
      <c r="O179" s="242">
        <f t="shared" si="84"/>
        <v>1</v>
      </c>
      <c r="P179" s="241" t="e">
        <f t="shared" ca="1" si="85"/>
        <v>#VALUE!</v>
      </c>
      <c r="Q179" s="243" t="e">
        <f ca="1">IF(AND(INDEX(FlowCalConstA,MATCH(N175,FlowCalNumber,0),1,1)*P179^INDEX(FlowCalConstB,MATCH(N175,FlowCalNumber,0),1,1)&gt;INDEX(FlowCalLowSetting,MATCH(N175,FlowCalNumber,0),1,1), (INDEX(FlowCalConstA,MATCH(N175,FlowCalNumber,0),1,1)*P179^INDEX(FlowCalConstB,MATCH(N175,FlowCalNumber,0),1,1)&lt;INDEX(FlowCalHighSetting,MATCH(N175,FlowCalNumber,0),1,1))),INDEX(FlowCalConstA,MATCH(N175,FlowCalNumber,0),1,1)*P179^INDEX(FlowCalConstB,MATCH(N175,FlowCalNumber,0),1,1)," ")</f>
        <v>#N/A</v>
      </c>
      <c r="R179" s="33"/>
      <c r="S179" s="242">
        <f t="shared" si="86"/>
        <v>1</v>
      </c>
      <c r="T179" s="241" t="e">
        <f t="shared" ca="1" si="87"/>
        <v>#VALUE!</v>
      </c>
      <c r="U179" s="243" t="e">
        <f ca="1">IF(AND(INDEX(FlowCalConstA,MATCH(R175,FlowCalNumber,0),1,1)*T179^INDEX(FlowCalConstB,MATCH(R175,FlowCalNumber,0),1,1)&gt;INDEX(FlowCalLowSetting,MATCH(R175,FlowCalNumber,0),1,1), (INDEX(FlowCalConstA,MATCH(R175,FlowCalNumber,0),1,1)*T179^INDEX(FlowCalConstB,MATCH(R175,FlowCalNumber,0),1,1)&lt;INDEX(FlowCalHighSetting,MATCH(R175,FlowCalNumber,0),1,1))),INDEX(FlowCalConstA,MATCH(R175,FlowCalNumber,0),1,1)*T179^INDEX(FlowCalConstB,MATCH(R175,FlowCalNumber,0),1,1)," ")</f>
        <v>#N/A</v>
      </c>
      <c r="V179" s="33"/>
      <c r="W179" s="242"/>
      <c r="X179" s="241"/>
      <c r="Y179" s="243"/>
      <c r="Z179" s="33"/>
      <c r="AA179" s="242"/>
      <c r="AB179" s="241"/>
      <c r="AC179" s="243"/>
      <c r="AD179" s="33"/>
      <c r="AE179" s="242"/>
      <c r="AF179" s="241"/>
      <c r="AG179" s="243"/>
      <c r="AH179" s="33"/>
      <c r="AI179" s="242"/>
      <c r="AJ179" s="241"/>
      <c r="AK179" s="244"/>
      <c r="AL179" s="243"/>
      <c r="AM179" s="243"/>
      <c r="AN179" s="243"/>
      <c r="AO179" s="243"/>
      <c r="AP179" s="243"/>
      <c r="AQ179" s="243"/>
      <c r="AR179" s="243"/>
      <c r="AS179" s="243"/>
      <c r="AT179" s="243"/>
      <c r="AU179" s="243"/>
      <c r="AV179" s="243"/>
      <c r="AW179" s="243"/>
      <c r="AX179" s="243"/>
      <c r="AY179" s="243"/>
      <c r="AZ179" s="243"/>
      <c r="BA179" s="243"/>
      <c r="BB179" s="243"/>
      <c r="BC179" s="243"/>
      <c r="BD179" s="243"/>
      <c r="BE179" s="243"/>
      <c r="BF179" s="243"/>
      <c r="BG179" s="243"/>
      <c r="BH179" s="243"/>
      <c r="BI179" s="243"/>
      <c r="BJ179" s="243"/>
      <c r="BK179" s="243"/>
      <c r="BL179" s="243"/>
      <c r="BM179" s="243"/>
      <c r="BN179" s="243"/>
      <c r="BO179" s="243"/>
      <c r="BP179" s="243"/>
      <c r="BQ179" s="243"/>
      <c r="BR179" s="243"/>
      <c r="BS179" s="243"/>
      <c r="BU179" s="242"/>
      <c r="BW179" s="243"/>
      <c r="BY179" s="242"/>
      <c r="CA179" s="243"/>
      <c r="CC179" s="242"/>
      <c r="CE179" s="243"/>
      <c r="CG179" s="242"/>
      <c r="CI179" s="243"/>
    </row>
    <row r="180" spans="1:87" s="1215" customFormat="1">
      <c r="A180" s="1222"/>
      <c r="B180" s="1223" t="str">
        <f t="shared" si="80"/>
        <v/>
      </c>
      <c r="C180" s="1210"/>
      <c r="D180" s="1211">
        <f>'1% Wind'!$M$86</f>
        <v>15.5</v>
      </c>
      <c r="E180" s="1212"/>
      <c r="F180" s="1212"/>
      <c r="G180" s="1213">
        <f ca="1">IF(I175=0.9743,$G179,MAX(G179/D179*D180,2))</f>
        <v>2</v>
      </c>
      <c r="H180" s="1214" t="e">
        <f t="shared" ca="1" si="81"/>
        <v>#VALUE!</v>
      </c>
      <c r="J180" s="1224"/>
      <c r="K180" s="1217">
        <f t="shared" si="82"/>
        <v>1</v>
      </c>
      <c r="L180" s="1218" t="e">
        <f t="shared" ca="1" si="83"/>
        <v>#VALUE!</v>
      </c>
      <c r="M180" s="1219" t="e">
        <f ca="1">IF(AND(INDEX(FlowCalConstA,MATCH(J175,FlowCalNumber,0),1,1)*L180^INDEX(FlowCalConstB,MATCH(J175,FlowCalNumber,0),1,1)&gt;INDEX(FlowCalLowSetting,MATCH(J175,FlowCalNumber,0),1,1), (INDEX(FlowCalConstA,MATCH(J175,FlowCalNumber,0),1,1)*L180^INDEX(FlowCalConstB,MATCH(J175,FlowCalNumber,0),1,1)&lt;INDEX(FlowCalHighSetting,MATCH(J175,FlowCalNumber,0),1,1))),INDEX(FlowCalConstA,MATCH(J175,FlowCalNumber,0),1,1)*L180^INDEX(FlowCalConstB,MATCH(J175,FlowCalNumber,0),1,1)," ")</f>
        <v>#N/A</v>
      </c>
      <c r="N180" s="1224"/>
      <c r="O180" s="1217">
        <f t="shared" si="84"/>
        <v>1</v>
      </c>
      <c r="P180" s="1218" t="e">
        <f t="shared" ca="1" si="85"/>
        <v>#VALUE!</v>
      </c>
      <c r="Q180" s="1219" t="e">
        <f ca="1">IF(AND(INDEX(FlowCalConstA,MATCH(N175,FlowCalNumber,0),1,1)*P180^INDEX(FlowCalConstB,MATCH(N175,FlowCalNumber,0),1,1)&gt;INDEX(FlowCalLowSetting,MATCH(N175,FlowCalNumber,0),1,1), (INDEX(FlowCalConstA,MATCH(N175,FlowCalNumber,0),1,1)*P180^INDEX(FlowCalConstB,MATCH(N175,FlowCalNumber,0),1,1)&lt;INDEX(FlowCalHighSetting,MATCH(N175,FlowCalNumber,0),1,1))),INDEX(FlowCalConstA,MATCH(N175,FlowCalNumber,0),1,1)*P180^INDEX(FlowCalConstB,MATCH(N175,FlowCalNumber,0),1,1)," ")</f>
        <v>#N/A</v>
      </c>
      <c r="R180" s="1224"/>
      <c r="S180" s="1217">
        <f t="shared" si="86"/>
        <v>1</v>
      </c>
      <c r="T180" s="1218" t="e">
        <f t="shared" ca="1" si="87"/>
        <v>#VALUE!</v>
      </c>
      <c r="U180" s="1219" t="e">
        <f ca="1">IF(AND(INDEX(FlowCalConstA,MATCH(R175,FlowCalNumber,0),1,1)*T180^INDEX(FlowCalConstB,MATCH(R175,FlowCalNumber,0),1,1)&gt;INDEX(FlowCalLowSetting,MATCH(R175,FlowCalNumber,0),1,1), (INDEX(FlowCalConstA,MATCH(R175,FlowCalNumber,0),1,1)*T180^INDEX(FlowCalConstB,MATCH(R175,FlowCalNumber,0),1,1)&lt;INDEX(FlowCalHighSetting,MATCH(R175,FlowCalNumber,0),1,1))),INDEX(FlowCalConstA,MATCH(R175,FlowCalNumber,0),1,1)*T180^INDEX(FlowCalConstB,MATCH(R175,FlowCalNumber,0),1,1)," ")</f>
        <v>#N/A</v>
      </c>
      <c r="V180" s="1224"/>
      <c r="W180" s="1217"/>
      <c r="X180" s="1218"/>
      <c r="Y180" s="1219"/>
      <c r="Z180" s="1224"/>
      <c r="AA180" s="1217"/>
      <c r="AB180" s="1218"/>
      <c r="AC180" s="1219"/>
      <c r="AD180" s="1224"/>
      <c r="AE180" s="1217"/>
      <c r="AF180" s="1218"/>
      <c r="AG180" s="1219"/>
      <c r="AH180" s="1224"/>
      <c r="AI180" s="1217"/>
      <c r="AJ180" s="1218"/>
      <c r="AK180" s="1220"/>
      <c r="AL180" s="1219"/>
      <c r="AM180" s="1219"/>
      <c r="AN180" s="1219"/>
      <c r="AO180" s="1219"/>
      <c r="AP180" s="1219"/>
      <c r="AQ180" s="1219"/>
      <c r="AR180" s="1219"/>
      <c r="AS180" s="1219"/>
      <c r="AT180" s="1219"/>
      <c r="AU180" s="1219"/>
      <c r="AV180" s="1219"/>
      <c r="AW180" s="1219"/>
      <c r="AX180" s="1219"/>
      <c r="AY180" s="1219"/>
      <c r="AZ180" s="1219"/>
      <c r="BA180" s="1219"/>
      <c r="BB180" s="1219"/>
      <c r="BC180" s="1219"/>
      <c r="BD180" s="1219"/>
      <c r="BE180" s="1219"/>
      <c r="BF180" s="1219"/>
      <c r="BG180" s="1219"/>
      <c r="BH180" s="1219"/>
      <c r="BI180" s="1219"/>
      <c r="BJ180" s="1219"/>
      <c r="BK180" s="1219"/>
      <c r="BL180" s="1219"/>
      <c r="BM180" s="1219"/>
      <c r="BN180" s="1219"/>
      <c r="BO180" s="1219"/>
      <c r="BP180" s="1219"/>
      <c r="BQ180" s="1219"/>
      <c r="BR180" s="1219"/>
      <c r="BS180" s="1219"/>
      <c r="BU180" s="1217"/>
      <c r="BW180" s="1219"/>
      <c r="BY180" s="1217"/>
      <c r="CA180" s="1219"/>
      <c r="CC180" s="1217"/>
      <c r="CE180" s="1219"/>
      <c r="CG180" s="1217"/>
      <c r="CI180" s="1219"/>
    </row>
    <row r="181" spans="1:87">
      <c r="A181" s="20"/>
      <c r="B181" s="124" t="str">
        <f t="shared" si="80"/>
        <v/>
      </c>
      <c r="C181" s="235"/>
      <c r="D181" s="24">
        <f>'1% Wind'!$M$87</f>
        <v>13.5</v>
      </c>
      <c r="E181" s="90"/>
      <c r="F181" s="90"/>
      <c r="G181" s="79">
        <f ca="1">IF(I175=0.9743,$G180,MAX(G180/D180*D181,2))</f>
        <v>2</v>
      </c>
      <c r="H181" s="121" t="e">
        <f t="shared" ca="1" si="81"/>
        <v>#VALUE!</v>
      </c>
      <c r="J181" s="33"/>
      <c r="K181" s="242">
        <f t="shared" si="82"/>
        <v>1</v>
      </c>
      <c r="L181" s="241" t="e">
        <f t="shared" ca="1" si="83"/>
        <v>#VALUE!</v>
      </c>
      <c r="M181" s="243" t="e">
        <f ca="1">IF(AND(INDEX(FlowCalConstA,MATCH(J175,FlowCalNumber,0),1,1)*L181^INDEX(FlowCalConstB,MATCH(J175,FlowCalNumber,0),1,1)&gt;INDEX(FlowCalLowSetting,MATCH(J175,FlowCalNumber,0),1,1), (INDEX(FlowCalConstA,MATCH(J175,FlowCalNumber,0),1,1)*L181^INDEX(FlowCalConstB,MATCH(J175,FlowCalNumber,0),1,1)&lt;INDEX(FlowCalHighSetting,MATCH(J175,FlowCalNumber,0),1,1))),INDEX(FlowCalConstA,MATCH(J175,FlowCalNumber,0),1,1)*L181^INDEX(FlowCalConstB,MATCH(J175,FlowCalNumber,0),1,1)," ")</f>
        <v>#N/A</v>
      </c>
      <c r="N181" s="33"/>
      <c r="O181" s="242">
        <f t="shared" si="84"/>
        <v>1</v>
      </c>
      <c r="P181" s="241" t="e">
        <f t="shared" ca="1" si="85"/>
        <v>#VALUE!</v>
      </c>
      <c r="Q181" s="243" t="e">
        <f ca="1">IF(AND(INDEX(FlowCalConstA,MATCH(N175,FlowCalNumber,0),1,1)*P181^INDEX(FlowCalConstB,MATCH(N175,FlowCalNumber,0),1,1)&gt;INDEX(FlowCalLowSetting,MATCH(N175,FlowCalNumber,0),1,1), (INDEX(FlowCalConstA,MATCH(N175,FlowCalNumber,0),1,1)*P181^INDEX(FlowCalConstB,MATCH(N175,FlowCalNumber,0),1,1)&lt;INDEX(FlowCalHighSetting,MATCH(N175,FlowCalNumber,0),1,1))),INDEX(FlowCalConstA,MATCH(N175,FlowCalNumber,0),1,1)*P181^INDEX(FlowCalConstB,MATCH(N175,FlowCalNumber,0),1,1)," ")</f>
        <v>#N/A</v>
      </c>
      <c r="R181" s="33"/>
      <c r="S181" s="242">
        <f t="shared" si="86"/>
        <v>1</v>
      </c>
      <c r="T181" s="241" t="e">
        <f t="shared" ca="1" si="87"/>
        <v>#VALUE!</v>
      </c>
      <c r="U181" s="243" t="e">
        <f ca="1">IF(AND(INDEX(FlowCalConstA,MATCH(R175,FlowCalNumber,0),1,1)*T181^INDEX(FlowCalConstB,MATCH(R175,FlowCalNumber,0),1,1)&gt;INDEX(FlowCalLowSetting,MATCH(R175,FlowCalNumber,0),1,1), (INDEX(FlowCalConstA,MATCH(R175,FlowCalNumber,0),1,1)*T181^INDEX(FlowCalConstB,MATCH(R175,FlowCalNumber,0),1,1)&lt;INDEX(FlowCalHighSetting,MATCH(R175,FlowCalNumber,0),1,1))),INDEX(FlowCalConstA,MATCH(R175,FlowCalNumber,0),1,1)*T181^INDEX(FlowCalConstB,MATCH(R175,FlowCalNumber,0),1,1)," ")</f>
        <v>#N/A</v>
      </c>
      <c r="V181" s="33"/>
      <c r="W181" s="242"/>
      <c r="X181" s="241"/>
      <c r="Y181" s="243"/>
      <c r="Z181" s="33"/>
      <c r="AA181" s="242"/>
      <c r="AB181" s="241"/>
      <c r="AC181" s="243"/>
      <c r="AD181" s="33"/>
      <c r="AE181" s="242"/>
      <c r="AF181" s="241"/>
      <c r="AG181" s="243"/>
      <c r="AH181" s="33"/>
      <c r="AI181" s="242"/>
      <c r="AJ181" s="241"/>
      <c r="AK181" s="244"/>
      <c r="AL181" s="243"/>
      <c r="AM181" s="243"/>
      <c r="AN181" s="243"/>
      <c r="AO181" s="243"/>
      <c r="AP181" s="243"/>
      <c r="AQ181" s="243"/>
      <c r="AR181" s="243"/>
      <c r="AS181" s="243"/>
      <c r="AT181" s="243"/>
      <c r="AU181" s="243"/>
      <c r="AV181" s="243"/>
      <c r="AW181" s="243"/>
      <c r="AX181" s="243"/>
      <c r="AY181" s="243"/>
      <c r="AZ181" s="243"/>
      <c r="BA181" s="243"/>
      <c r="BB181" s="243"/>
      <c r="BC181" s="243"/>
      <c r="BD181" s="243"/>
      <c r="BE181" s="243"/>
      <c r="BF181" s="243"/>
      <c r="BG181" s="243"/>
      <c r="BH181" s="243"/>
      <c r="BI181" s="243"/>
      <c r="BJ181" s="243"/>
      <c r="BK181" s="243"/>
      <c r="BL181" s="243"/>
      <c r="BM181" s="243"/>
      <c r="BN181" s="243"/>
      <c r="BO181" s="243"/>
      <c r="BP181" s="243"/>
      <c r="BQ181" s="243"/>
      <c r="BR181" s="243"/>
      <c r="BS181" s="243"/>
      <c r="BU181" s="242"/>
      <c r="BW181" s="243"/>
      <c r="BY181" s="242"/>
      <c r="CA181" s="243"/>
      <c r="CC181" s="242"/>
      <c r="CE181" s="243"/>
      <c r="CG181" s="242"/>
      <c r="CI181" s="243"/>
    </row>
    <row r="182" spans="1:87" s="1215" customFormat="1">
      <c r="A182" s="1222"/>
      <c r="B182" s="1223" t="str">
        <f t="shared" si="80"/>
        <v/>
      </c>
      <c r="C182" s="1210"/>
      <c r="D182" s="1211">
        <f>'1% Wind'!$M$88</f>
        <v>10.1</v>
      </c>
      <c r="E182" s="1212"/>
      <c r="F182" s="1212"/>
      <c r="G182" s="1213">
        <f ca="1">IF(I175=0.9743,$G181,MAX(G181/D181*D182,2))</f>
        <v>2</v>
      </c>
      <c r="H182" s="1214" t="e">
        <f t="shared" ca="1" si="81"/>
        <v>#VALUE!</v>
      </c>
      <c r="J182" s="1224"/>
      <c r="K182" s="1217">
        <f t="shared" si="82"/>
        <v>1</v>
      </c>
      <c r="L182" s="1218" t="e">
        <f t="shared" ca="1" si="83"/>
        <v>#VALUE!</v>
      </c>
      <c r="M182" s="1219" t="e">
        <f ca="1">IF(AND(INDEX(FlowCalConstA,MATCH(J175,FlowCalNumber,0),1,1)*L182^INDEX(FlowCalConstB,MATCH(J175,FlowCalNumber,0),1,1)&gt;INDEX(FlowCalLowSetting,MATCH(J175,FlowCalNumber,0),1,1), (INDEX(FlowCalConstA,MATCH(J175,FlowCalNumber,0),1,1)*L182^INDEX(FlowCalConstB,MATCH(J175,FlowCalNumber,0),1,1)&lt;INDEX(FlowCalHighSetting,MATCH(J175,FlowCalNumber,0),1,1))),INDEX(FlowCalConstA,MATCH(J175,FlowCalNumber,0),1,1)*L182^INDEX(FlowCalConstB,MATCH(J175,FlowCalNumber,0),1,1)," ")</f>
        <v>#N/A</v>
      </c>
      <c r="N182" s="1224"/>
      <c r="O182" s="1217">
        <f t="shared" si="84"/>
        <v>1</v>
      </c>
      <c r="P182" s="1218" t="e">
        <f t="shared" ca="1" si="85"/>
        <v>#VALUE!</v>
      </c>
      <c r="Q182" s="1219" t="e">
        <f ca="1">IF(AND(INDEX(FlowCalConstA,MATCH(N175,FlowCalNumber,0),1,1)*P182^INDEX(FlowCalConstB,MATCH(N175,FlowCalNumber,0),1,1)&gt;INDEX(FlowCalLowSetting,MATCH(N175,FlowCalNumber,0),1,1), (INDEX(FlowCalConstA,MATCH(N175,FlowCalNumber,0),1,1)*P182^INDEX(FlowCalConstB,MATCH(N175,FlowCalNumber,0),1,1)&lt;INDEX(FlowCalHighSetting,MATCH(N175,FlowCalNumber,0),1,1))),INDEX(FlowCalConstA,MATCH(N175,FlowCalNumber,0),1,1)*P182^INDEX(FlowCalConstB,MATCH(N175,FlowCalNumber,0),1,1)," ")</f>
        <v>#N/A</v>
      </c>
      <c r="R182" s="1224"/>
      <c r="S182" s="1217">
        <f t="shared" si="86"/>
        <v>1</v>
      </c>
      <c r="T182" s="1218" t="e">
        <f t="shared" ca="1" si="87"/>
        <v>#VALUE!</v>
      </c>
      <c r="U182" s="1219" t="e">
        <f ca="1">IF(AND(INDEX(FlowCalConstA,MATCH(R175,FlowCalNumber,0),1,1)*T182^INDEX(FlowCalConstB,MATCH(R175,FlowCalNumber,0),1,1)&gt;INDEX(FlowCalLowSetting,MATCH(R175,FlowCalNumber,0),1,1), (INDEX(FlowCalConstA,MATCH(R175,FlowCalNumber,0),1,1)*T182^INDEX(FlowCalConstB,MATCH(R175,FlowCalNumber,0),1,1)&lt;INDEX(FlowCalHighSetting,MATCH(R175,FlowCalNumber,0),1,1))),INDEX(FlowCalConstA,MATCH(R175,FlowCalNumber,0),1,1)*T182^INDEX(FlowCalConstB,MATCH(R175,FlowCalNumber,0),1,1)," ")</f>
        <v>#N/A</v>
      </c>
      <c r="V182" s="1224"/>
      <c r="W182" s="1217"/>
      <c r="X182" s="1218"/>
      <c r="Y182" s="1219"/>
      <c r="Z182" s="1224"/>
      <c r="AA182" s="1217"/>
      <c r="AB182" s="1218"/>
      <c r="AC182" s="1219"/>
      <c r="AD182" s="1224"/>
      <c r="AE182" s="1217"/>
      <c r="AF182" s="1218"/>
      <c r="AG182" s="1219"/>
      <c r="AH182" s="1224"/>
      <c r="AI182" s="1217"/>
      <c r="AJ182" s="1218"/>
      <c r="AK182" s="1220"/>
      <c r="AL182" s="1219"/>
      <c r="AM182" s="1219"/>
      <c r="AN182" s="1219"/>
      <c r="AO182" s="1219"/>
      <c r="AP182" s="1219"/>
      <c r="AQ182" s="1219"/>
      <c r="AR182" s="1219"/>
      <c r="AS182" s="1219"/>
      <c r="AT182" s="1219"/>
      <c r="AU182" s="1219"/>
      <c r="AV182" s="1219"/>
      <c r="AW182" s="1219"/>
      <c r="AX182" s="1219"/>
      <c r="AY182" s="1219"/>
      <c r="AZ182" s="1219"/>
      <c r="BA182" s="1219"/>
      <c r="BB182" s="1219"/>
      <c r="BC182" s="1219"/>
      <c r="BD182" s="1219"/>
      <c r="BE182" s="1219"/>
      <c r="BF182" s="1219"/>
      <c r="BG182" s="1219"/>
      <c r="BH182" s="1219"/>
      <c r="BI182" s="1219"/>
      <c r="BJ182" s="1219"/>
      <c r="BK182" s="1219"/>
      <c r="BL182" s="1219"/>
      <c r="BM182" s="1219"/>
      <c r="BN182" s="1219"/>
      <c r="BO182" s="1219"/>
      <c r="BP182" s="1219"/>
      <c r="BQ182" s="1219"/>
      <c r="BR182" s="1219"/>
      <c r="BS182" s="1219"/>
      <c r="BU182" s="1217"/>
      <c r="BW182" s="1219"/>
      <c r="BY182" s="1217"/>
      <c r="CA182" s="1219"/>
      <c r="CC182" s="1217"/>
      <c r="CE182" s="1219"/>
      <c r="CG182" s="1217"/>
      <c r="CI182" s="1219"/>
    </row>
    <row r="183" spans="1:87">
      <c r="A183" s="20"/>
      <c r="B183" s="124" t="str">
        <f t="shared" si="80"/>
        <v/>
      </c>
      <c r="C183" s="235"/>
      <c r="D183" s="24">
        <f>'1% Wind'!$M$89</f>
        <v>7.6</v>
      </c>
      <c r="E183" s="90"/>
      <c r="F183" s="90"/>
      <c r="G183" s="79">
        <f ca="1">IF(I175=0.9743,$G182,MAX(G182/D182*D183,2))</f>
        <v>2</v>
      </c>
      <c r="H183" s="121" t="e">
        <f t="shared" ca="1" si="81"/>
        <v>#VALUE!</v>
      </c>
      <c r="J183" s="33"/>
      <c r="K183" s="242">
        <f t="shared" si="82"/>
        <v>1</v>
      </c>
      <c r="L183" s="241" t="e">
        <f t="shared" ca="1" si="83"/>
        <v>#VALUE!</v>
      </c>
      <c r="M183" s="243" t="e">
        <f ca="1">IF(AND(INDEX(FlowCalConstA,MATCH(J175,FlowCalNumber,0),1,1)*L183^INDEX(FlowCalConstB,MATCH(J175,FlowCalNumber,0),1,1)&gt;INDEX(FlowCalLowSetting,MATCH(J175,FlowCalNumber,0),1,1), (INDEX(FlowCalConstA,MATCH(J175,FlowCalNumber,0),1,1)*L183^INDEX(FlowCalConstB,MATCH(J175,FlowCalNumber,0),1,1)&lt;INDEX(FlowCalHighSetting,MATCH(J175,FlowCalNumber,0),1,1))),INDEX(FlowCalConstA,MATCH(J175,FlowCalNumber,0),1,1)*L183^INDEX(FlowCalConstB,MATCH(J175,FlowCalNumber,0),1,1)," ")</f>
        <v>#N/A</v>
      </c>
      <c r="N183" s="33"/>
      <c r="O183" s="242">
        <f t="shared" si="84"/>
        <v>1</v>
      </c>
      <c r="P183" s="241" t="e">
        <f t="shared" ca="1" si="85"/>
        <v>#VALUE!</v>
      </c>
      <c r="Q183" s="243" t="e">
        <f ca="1">IF(AND(INDEX(FlowCalConstA,MATCH(N175,FlowCalNumber,0),1,1)*P183^INDEX(FlowCalConstB,MATCH(N175,FlowCalNumber,0),1,1)&gt;INDEX(FlowCalLowSetting,MATCH(N175,FlowCalNumber,0),1,1), (INDEX(FlowCalConstA,MATCH(N175,FlowCalNumber,0),1,1)*P183^INDEX(FlowCalConstB,MATCH(N175,FlowCalNumber,0),1,1)&lt;INDEX(FlowCalHighSetting,MATCH(N175,FlowCalNumber,0),1,1))),INDEX(FlowCalConstA,MATCH(N175,FlowCalNumber,0),1,1)*P183^INDEX(FlowCalConstB,MATCH(N175,FlowCalNumber,0),1,1)," ")</f>
        <v>#N/A</v>
      </c>
      <c r="R183" s="33"/>
      <c r="S183" s="242">
        <f t="shared" si="86"/>
        <v>1</v>
      </c>
      <c r="T183" s="241" t="e">
        <f t="shared" ca="1" si="87"/>
        <v>#VALUE!</v>
      </c>
      <c r="U183" s="243" t="e">
        <f ca="1">IF(AND(INDEX(FlowCalConstA,MATCH(R175,FlowCalNumber,0),1,1)*T183^INDEX(FlowCalConstB,MATCH(R175,FlowCalNumber,0),1,1)&gt;INDEX(FlowCalLowSetting,MATCH(R175,FlowCalNumber,0),1,1), (INDEX(FlowCalConstA,MATCH(R175,FlowCalNumber,0),1,1)*T183^INDEX(FlowCalConstB,MATCH(R175,FlowCalNumber,0),1,1)&lt;INDEX(FlowCalHighSetting,MATCH(R175,FlowCalNumber,0),1,1))),INDEX(FlowCalConstA,MATCH(R175,FlowCalNumber,0),1,1)*T183^INDEX(FlowCalConstB,MATCH(R175,FlowCalNumber,0),1,1)," ")</f>
        <v>#N/A</v>
      </c>
      <c r="V183" s="33"/>
      <c r="W183" s="242"/>
      <c r="X183" s="241"/>
      <c r="Y183" s="243"/>
      <c r="Z183" s="33"/>
      <c r="AA183" s="242"/>
      <c r="AB183" s="241"/>
      <c r="AC183" s="243"/>
      <c r="AD183" s="33"/>
      <c r="AE183" s="242"/>
      <c r="AF183" s="241"/>
      <c r="AG183" s="243"/>
      <c r="AH183" s="33"/>
      <c r="AI183" s="242"/>
      <c r="AJ183" s="241"/>
      <c r="AK183" s="244"/>
      <c r="AL183" s="243"/>
      <c r="AM183" s="243"/>
      <c r="AN183" s="243"/>
      <c r="AO183" s="243"/>
      <c r="AP183" s="243"/>
      <c r="AQ183" s="243"/>
      <c r="AR183" s="243"/>
      <c r="AS183" s="243"/>
      <c r="AT183" s="243"/>
      <c r="AU183" s="243"/>
      <c r="AV183" s="243"/>
      <c r="AW183" s="243"/>
      <c r="AX183" s="243"/>
      <c r="AY183" s="243"/>
      <c r="AZ183" s="243"/>
      <c r="BA183" s="243"/>
      <c r="BB183" s="243"/>
      <c r="BC183" s="243"/>
      <c r="BD183" s="243"/>
      <c r="BE183" s="243"/>
      <c r="BF183" s="243"/>
      <c r="BG183" s="243"/>
      <c r="BH183" s="243"/>
      <c r="BI183" s="243"/>
      <c r="BJ183" s="243"/>
      <c r="BK183" s="243"/>
      <c r="BL183" s="243"/>
      <c r="BM183" s="243"/>
      <c r="BN183" s="243"/>
      <c r="BO183" s="243"/>
      <c r="BP183" s="243"/>
      <c r="BQ183" s="243"/>
      <c r="BR183" s="243"/>
      <c r="BS183" s="243"/>
      <c r="BU183" s="242"/>
      <c r="BW183" s="243"/>
      <c r="BY183" s="242"/>
      <c r="CA183" s="243"/>
      <c r="CC183" s="242"/>
      <c r="CE183" s="243"/>
      <c r="CG183" s="242"/>
      <c r="CI183" s="243"/>
    </row>
    <row r="184" spans="1:87" s="1215" customFormat="1">
      <c r="A184" s="1222"/>
      <c r="B184" s="1223" t="str">
        <f t="shared" si="80"/>
        <v/>
      </c>
      <c r="C184" s="1210"/>
      <c r="D184" s="1211">
        <f>'1% Wind'!$M$90</f>
        <v>5.7</v>
      </c>
      <c r="E184" s="1212"/>
      <c r="F184" s="1212"/>
      <c r="G184" s="1213">
        <f ca="1">IF(I175=0.9743,$G183,MAX(G183/D183*D184,2))</f>
        <v>2</v>
      </c>
      <c r="H184" s="1214" t="e">
        <f t="shared" ca="1" si="81"/>
        <v>#VALUE!</v>
      </c>
      <c r="J184" s="1224"/>
      <c r="K184" s="1217">
        <f t="shared" si="82"/>
        <v>1</v>
      </c>
      <c r="L184" s="1218" t="e">
        <f t="shared" ca="1" si="83"/>
        <v>#VALUE!</v>
      </c>
      <c r="M184" s="1219" t="e">
        <f ca="1">IF(AND(INDEX(FlowCalConstA,MATCH(J175,FlowCalNumber,0),1,1)*L184^INDEX(FlowCalConstB,MATCH(J175,FlowCalNumber,0),1,1)&gt;INDEX(FlowCalLowSetting,MATCH(J175,FlowCalNumber,0),1,1), (INDEX(FlowCalConstA,MATCH(J175,FlowCalNumber,0),1,1)*L184^INDEX(FlowCalConstB,MATCH(J175,FlowCalNumber,0),1,1)&lt;INDEX(FlowCalHighSetting,MATCH(J175,FlowCalNumber,0),1,1))),INDEX(FlowCalConstA,MATCH(J175,FlowCalNumber,0),1,1)*L184^INDEX(FlowCalConstB,MATCH(J175,FlowCalNumber,0),1,1)," ")</f>
        <v>#N/A</v>
      </c>
      <c r="N184" s="1224"/>
      <c r="O184" s="1217">
        <f t="shared" si="84"/>
        <v>1</v>
      </c>
      <c r="P184" s="1218" t="e">
        <f t="shared" ca="1" si="85"/>
        <v>#VALUE!</v>
      </c>
      <c r="Q184" s="1219" t="e">
        <f ca="1">IF(AND(INDEX(FlowCalConstA,MATCH(N175,FlowCalNumber,0),1,1)*P184^INDEX(FlowCalConstB,MATCH(N175,FlowCalNumber,0),1,1)&gt;INDEX(FlowCalLowSetting,MATCH(N175,FlowCalNumber,0),1,1), (INDEX(FlowCalConstA,MATCH(N175,FlowCalNumber,0),1,1)*P184^INDEX(FlowCalConstB,MATCH(N175,FlowCalNumber,0),1,1)&lt;INDEX(FlowCalHighSetting,MATCH(N175,FlowCalNumber,0),1,1))),INDEX(FlowCalConstA,MATCH(N175,FlowCalNumber,0),1,1)*P184^INDEX(FlowCalConstB,MATCH(N175,FlowCalNumber,0),1,1)," ")</f>
        <v>#N/A</v>
      </c>
      <c r="R184" s="1224"/>
      <c r="S184" s="1217">
        <f t="shared" si="86"/>
        <v>1</v>
      </c>
      <c r="T184" s="1218" t="e">
        <f t="shared" ca="1" si="87"/>
        <v>#VALUE!</v>
      </c>
      <c r="U184" s="1219" t="e">
        <f ca="1">IF(AND(INDEX(FlowCalConstA,MATCH(R175,FlowCalNumber,0),1,1)*T184^INDEX(FlowCalConstB,MATCH(R175,FlowCalNumber,0),1,1)&gt;INDEX(FlowCalLowSetting,MATCH(R175,FlowCalNumber,0),1,1), (INDEX(FlowCalConstA,MATCH(R175,FlowCalNumber,0),1,1)*T184^INDEX(FlowCalConstB,MATCH(R175,FlowCalNumber,0),1,1)&lt;INDEX(FlowCalHighSetting,MATCH(R175,FlowCalNumber,0),1,1))),INDEX(FlowCalConstA,MATCH(R175,FlowCalNumber,0),1,1)*T184^INDEX(FlowCalConstB,MATCH(R175,FlowCalNumber,0),1,1)," ")</f>
        <v>#N/A</v>
      </c>
      <c r="V184" s="1224"/>
      <c r="W184" s="1217"/>
      <c r="X184" s="1218"/>
      <c r="Y184" s="1219"/>
      <c r="Z184" s="1224"/>
      <c r="AA184" s="1217"/>
      <c r="AB184" s="1218"/>
      <c r="AC184" s="1219"/>
      <c r="AD184" s="1224"/>
      <c r="AE184" s="1217"/>
      <c r="AF184" s="1218"/>
      <c r="AG184" s="1219"/>
      <c r="AH184" s="1224"/>
      <c r="AI184" s="1217"/>
      <c r="AJ184" s="1218"/>
      <c r="AK184" s="1220"/>
      <c r="AL184" s="1219"/>
      <c r="AM184" s="1219"/>
      <c r="AN184" s="1219"/>
      <c r="AO184" s="1219"/>
      <c r="AP184" s="1219"/>
      <c r="AQ184" s="1219"/>
      <c r="AR184" s="1219"/>
      <c r="AS184" s="1219"/>
      <c r="AT184" s="1219"/>
      <c r="AU184" s="1219"/>
      <c r="AV184" s="1219"/>
      <c r="AW184" s="1219"/>
      <c r="AX184" s="1219"/>
      <c r="AY184" s="1219"/>
      <c r="AZ184" s="1219"/>
      <c r="BA184" s="1219"/>
      <c r="BB184" s="1219"/>
      <c r="BC184" s="1219"/>
      <c r="BD184" s="1219"/>
      <c r="BE184" s="1219"/>
      <c r="BF184" s="1219"/>
      <c r="BG184" s="1219"/>
      <c r="BH184" s="1219"/>
      <c r="BI184" s="1219"/>
      <c r="BJ184" s="1219"/>
      <c r="BK184" s="1219"/>
      <c r="BL184" s="1219"/>
      <c r="BM184" s="1219"/>
      <c r="BN184" s="1219"/>
      <c r="BO184" s="1219"/>
      <c r="BP184" s="1219"/>
      <c r="BQ184" s="1219"/>
      <c r="BR184" s="1219"/>
      <c r="BS184" s="1219"/>
      <c r="BU184" s="1217"/>
      <c r="BW184" s="1219"/>
      <c r="BY184" s="1217"/>
      <c r="CA184" s="1219"/>
      <c r="CC184" s="1217"/>
      <c r="CE184" s="1219"/>
      <c r="CG184" s="1217"/>
      <c r="CI184" s="1219"/>
    </row>
    <row r="185" spans="1:87">
      <c r="A185" s="20"/>
      <c r="B185" s="124" t="str">
        <f t="shared" si="80"/>
        <v/>
      </c>
      <c r="C185" s="235"/>
      <c r="D185" s="24">
        <f>'1% Wind'!$M$91</f>
        <v>4.2</v>
      </c>
      <c r="E185" s="90"/>
      <c r="F185" s="90"/>
      <c r="G185" s="79">
        <f ca="1">IF(I175=0.9743,$G184,MAX(G184/D184*D185,2))</f>
        <v>2</v>
      </c>
      <c r="H185" s="121" t="e">
        <f t="shared" ca="1" si="81"/>
        <v>#VALUE!</v>
      </c>
      <c r="J185" s="33"/>
      <c r="K185" s="242">
        <f t="shared" si="82"/>
        <v>1</v>
      </c>
      <c r="L185" s="241" t="e">
        <f t="shared" ca="1" si="83"/>
        <v>#VALUE!</v>
      </c>
      <c r="M185" s="243" t="e">
        <f ca="1">IF(AND(INDEX(FlowCalConstA,MATCH(J175,FlowCalNumber,0),1,1)*L185^INDEX(FlowCalConstB,MATCH(J175,FlowCalNumber,0),1,1)&gt;INDEX(FlowCalLowSetting,MATCH(J175,FlowCalNumber,0),1,1), (INDEX(FlowCalConstA,MATCH(J175,FlowCalNumber,0),1,1)*L185^INDEX(FlowCalConstB,MATCH(J175,FlowCalNumber,0),1,1)&lt;INDEX(FlowCalHighSetting,MATCH(J175,FlowCalNumber,0),1,1))),INDEX(FlowCalConstA,MATCH(J175,FlowCalNumber,0),1,1)*L185^INDEX(FlowCalConstB,MATCH(J175,FlowCalNumber,0),1,1)," ")</f>
        <v>#N/A</v>
      </c>
      <c r="N185" s="33"/>
      <c r="O185" s="242">
        <f t="shared" si="84"/>
        <v>1</v>
      </c>
      <c r="P185" s="241" t="e">
        <f t="shared" ca="1" si="85"/>
        <v>#VALUE!</v>
      </c>
      <c r="Q185" s="243" t="e">
        <f ca="1">IF(AND(INDEX(FlowCalConstA,MATCH(N175,FlowCalNumber,0),1,1)*P185^INDEX(FlowCalConstB,MATCH(N175,FlowCalNumber,0),1,1)&gt;INDEX(FlowCalLowSetting,MATCH(N175,FlowCalNumber,0),1,1), (INDEX(FlowCalConstA,MATCH(N175,FlowCalNumber,0),1,1)*P185^INDEX(FlowCalConstB,MATCH(N175,FlowCalNumber,0),1,1)&lt;INDEX(FlowCalHighSetting,MATCH(N175,FlowCalNumber,0),1,1))),INDEX(FlowCalConstA,MATCH(N175,FlowCalNumber,0),1,1)*P185^INDEX(FlowCalConstB,MATCH(N175,FlowCalNumber,0),1,1)," ")</f>
        <v>#N/A</v>
      </c>
      <c r="R185" s="33"/>
      <c r="S185" s="242">
        <f t="shared" si="86"/>
        <v>1</v>
      </c>
      <c r="T185" s="241" t="e">
        <f t="shared" ca="1" si="87"/>
        <v>#VALUE!</v>
      </c>
      <c r="U185" s="243" t="e">
        <f ca="1">IF(AND(INDEX(FlowCalConstA,MATCH(R175,FlowCalNumber,0),1,1)*T185^INDEX(FlowCalConstB,MATCH(R175,FlowCalNumber,0),1,1)&gt;INDEX(FlowCalLowSetting,MATCH(R175,FlowCalNumber,0),1,1), (INDEX(FlowCalConstA,MATCH(R175,FlowCalNumber,0),1,1)*T185^INDEX(FlowCalConstB,MATCH(R175,FlowCalNumber,0),1,1)&lt;INDEX(FlowCalHighSetting,MATCH(R175,FlowCalNumber,0),1,1))),INDEX(FlowCalConstA,MATCH(R175,FlowCalNumber,0),1,1)*T185^INDEX(FlowCalConstB,MATCH(R175,FlowCalNumber,0),1,1)," ")</f>
        <v>#N/A</v>
      </c>
      <c r="V185" s="33"/>
      <c r="W185" s="242"/>
      <c r="X185" s="241"/>
      <c r="Y185" s="243"/>
      <c r="Z185" s="33"/>
      <c r="AA185" s="242"/>
      <c r="AB185" s="241"/>
      <c r="AC185" s="243"/>
      <c r="AD185" s="33"/>
      <c r="AE185" s="242"/>
      <c r="AF185" s="241"/>
      <c r="AG185" s="243"/>
      <c r="AH185" s="33"/>
      <c r="AI185" s="242"/>
      <c r="AJ185" s="241"/>
      <c r="AK185" s="244"/>
      <c r="AL185" s="243"/>
      <c r="AM185" s="243"/>
      <c r="AN185" s="243"/>
      <c r="AO185" s="243"/>
      <c r="AP185" s="243"/>
      <c r="AQ185" s="243"/>
      <c r="AR185" s="243"/>
      <c r="AS185" s="243"/>
      <c r="AT185" s="243"/>
      <c r="AU185" s="243"/>
      <c r="AV185" s="243"/>
      <c r="AW185" s="243"/>
      <c r="AX185" s="243"/>
      <c r="AY185" s="243"/>
      <c r="AZ185" s="243"/>
      <c r="BA185" s="243"/>
      <c r="BB185" s="243"/>
      <c r="BC185" s="243"/>
      <c r="BD185" s="243"/>
      <c r="BE185" s="243"/>
      <c r="BF185" s="243"/>
      <c r="BG185" s="243"/>
      <c r="BH185" s="243"/>
      <c r="BI185" s="243"/>
      <c r="BJ185" s="243"/>
      <c r="BK185" s="243"/>
      <c r="BL185" s="243"/>
      <c r="BM185" s="243"/>
      <c r="BN185" s="243"/>
      <c r="BO185" s="243"/>
      <c r="BP185" s="243"/>
      <c r="BQ185" s="243"/>
      <c r="BR185" s="243"/>
      <c r="BS185" s="243"/>
      <c r="BU185" s="242"/>
      <c r="BW185" s="243"/>
      <c r="BY185" s="242"/>
      <c r="CA185" s="243"/>
      <c r="CC185" s="242"/>
      <c r="CE185" s="243"/>
      <c r="CG185" s="242"/>
      <c r="CI185" s="243"/>
    </row>
    <row r="186" spans="1:87" s="1215" customFormat="1">
      <c r="A186" s="1222"/>
      <c r="B186" s="1223" t="str">
        <f t="shared" si="80"/>
        <v/>
      </c>
      <c r="C186" s="1210"/>
      <c r="D186" s="1211">
        <f>'1% Wind'!$M$92</f>
        <v>3.2</v>
      </c>
      <c r="E186" s="1212"/>
      <c r="F186" s="1212"/>
      <c r="G186" s="1213">
        <f ca="1">IF(I175=0.9743,$G185,MAX(G185/D185*D186,2))</f>
        <v>2</v>
      </c>
      <c r="H186" s="1214" t="e">
        <f t="shared" ca="1" si="81"/>
        <v>#VALUE!</v>
      </c>
      <c r="J186" s="1224"/>
      <c r="K186" s="1217">
        <f t="shared" si="82"/>
        <v>1</v>
      </c>
      <c r="L186" s="1218" t="e">
        <f t="shared" ca="1" si="83"/>
        <v>#VALUE!</v>
      </c>
      <c r="M186" s="1219" t="e">
        <f ca="1">IF(AND(INDEX(FlowCalConstA,MATCH(J175,FlowCalNumber,0),1,1)*L186^INDEX(FlowCalConstB,MATCH(J175,FlowCalNumber,0),1,1)&gt;INDEX(FlowCalLowSetting,MATCH(J175,FlowCalNumber,0),1,1), (INDEX(FlowCalConstA,MATCH(J175,FlowCalNumber,0),1,1)*L186^INDEX(FlowCalConstB,MATCH(J175,FlowCalNumber,0),1,1)&lt;INDEX(FlowCalHighSetting,MATCH(J175,FlowCalNumber,0),1,1))),INDEX(FlowCalConstA,MATCH(J175,FlowCalNumber,0),1,1)*L186^INDEX(FlowCalConstB,MATCH(J175,FlowCalNumber,0),1,1)," ")</f>
        <v>#N/A</v>
      </c>
      <c r="N186" s="1224"/>
      <c r="O186" s="1217">
        <f t="shared" si="84"/>
        <v>1</v>
      </c>
      <c r="P186" s="1218" t="e">
        <f t="shared" ca="1" si="85"/>
        <v>#VALUE!</v>
      </c>
      <c r="Q186" s="1219" t="e">
        <f ca="1">IF(AND(INDEX(FlowCalConstA,MATCH(N175,FlowCalNumber,0),1,1)*P186^INDEX(FlowCalConstB,MATCH(N175,FlowCalNumber,0),1,1)&gt;INDEX(FlowCalLowSetting,MATCH(N175,FlowCalNumber,0),1,1), (INDEX(FlowCalConstA,MATCH(N175,FlowCalNumber,0),1,1)*P186^INDEX(FlowCalConstB,MATCH(N175,FlowCalNumber,0),1,1)&lt;INDEX(FlowCalHighSetting,MATCH(N175,FlowCalNumber,0),1,1))),INDEX(FlowCalConstA,MATCH(N175,FlowCalNumber,0),1,1)*P186^INDEX(FlowCalConstB,MATCH(N175,FlowCalNumber,0),1,1)," ")</f>
        <v>#N/A</v>
      </c>
      <c r="R186" s="1224"/>
      <c r="S186" s="1217">
        <f t="shared" si="86"/>
        <v>1</v>
      </c>
      <c r="T186" s="1218" t="e">
        <f t="shared" ca="1" si="87"/>
        <v>#VALUE!</v>
      </c>
      <c r="U186" s="1219" t="e">
        <f ca="1">IF(AND(INDEX(FlowCalConstA,MATCH(R175,FlowCalNumber,0),1,1)*T186^INDEX(FlowCalConstB,MATCH(R175,FlowCalNumber,0),1,1)&gt;INDEX(FlowCalLowSetting,MATCH(R175,FlowCalNumber,0),1,1), (INDEX(FlowCalConstA,MATCH(R175,FlowCalNumber,0),1,1)*T186^INDEX(FlowCalConstB,MATCH(R175,FlowCalNumber,0),1,1)&lt;INDEX(FlowCalHighSetting,MATCH(R175,FlowCalNumber,0),1,1))),INDEX(FlowCalConstA,MATCH(R175,FlowCalNumber,0),1,1)*T186^INDEX(FlowCalConstB,MATCH(R175,FlowCalNumber,0),1,1)," ")</f>
        <v>#N/A</v>
      </c>
      <c r="V186" s="1224"/>
      <c r="W186" s="1217"/>
      <c r="X186" s="1218"/>
      <c r="Y186" s="1219"/>
      <c r="Z186" s="1224"/>
      <c r="AA186" s="1217"/>
      <c r="AB186" s="1218"/>
      <c r="AC186" s="1219"/>
      <c r="AD186" s="1224"/>
      <c r="AE186" s="1217"/>
      <c r="AF186" s="1218"/>
      <c r="AG186" s="1219"/>
      <c r="AH186" s="1224"/>
      <c r="AI186" s="1217"/>
      <c r="AJ186" s="1218"/>
      <c r="AK186" s="1220"/>
      <c r="AL186" s="1219"/>
      <c r="AM186" s="1219"/>
      <c r="AN186" s="1219"/>
      <c r="AO186" s="1219"/>
      <c r="AP186" s="1219"/>
      <c r="AQ186" s="1219"/>
      <c r="AR186" s="1219"/>
      <c r="AS186" s="1219"/>
      <c r="AT186" s="1219"/>
      <c r="AU186" s="1219"/>
      <c r="AV186" s="1219"/>
      <c r="AW186" s="1219"/>
      <c r="AX186" s="1219"/>
      <c r="AY186" s="1219"/>
      <c r="AZ186" s="1219"/>
      <c r="BA186" s="1219"/>
      <c r="BB186" s="1219"/>
      <c r="BC186" s="1219"/>
      <c r="BD186" s="1219"/>
      <c r="BE186" s="1219"/>
      <c r="BF186" s="1219"/>
      <c r="BG186" s="1219"/>
      <c r="BH186" s="1219"/>
      <c r="BI186" s="1219"/>
      <c r="BJ186" s="1219"/>
      <c r="BK186" s="1219"/>
      <c r="BL186" s="1219"/>
      <c r="BM186" s="1219"/>
      <c r="BN186" s="1219"/>
      <c r="BO186" s="1219"/>
      <c r="BP186" s="1219"/>
      <c r="BQ186" s="1219"/>
      <c r="BR186" s="1219"/>
      <c r="BS186" s="1219"/>
      <c r="BU186" s="1217"/>
      <c r="BW186" s="1219"/>
      <c r="BY186" s="1217"/>
      <c r="CA186" s="1219"/>
      <c r="CC186" s="1217"/>
      <c r="CE186" s="1219"/>
      <c r="CG186" s="1217"/>
      <c r="CI186" s="1219"/>
    </row>
    <row r="187" spans="1:87">
      <c r="A187" s="20"/>
      <c r="B187" s="124" t="str">
        <f t="shared" si="80"/>
        <v/>
      </c>
      <c r="C187" s="235"/>
      <c r="D187" s="24">
        <f>'1% Wind'!$M$93</f>
        <v>2.4</v>
      </c>
      <c r="E187" s="90"/>
      <c r="F187" s="90"/>
      <c r="G187" s="79">
        <f ca="1">IF(I175=0.9743,$G186,MAX(G186/D186*D187,2))</f>
        <v>2</v>
      </c>
      <c r="H187" s="121" t="e">
        <f t="shared" ca="1" si="81"/>
        <v>#VALUE!</v>
      </c>
      <c r="J187" s="33"/>
      <c r="K187" s="242">
        <f t="shared" si="82"/>
        <v>1</v>
      </c>
      <c r="L187" s="241" t="e">
        <f t="shared" ca="1" si="83"/>
        <v>#VALUE!</v>
      </c>
      <c r="M187" s="243" t="e">
        <f ca="1">IF(AND(INDEX(FlowCalConstA,MATCH(J175,FlowCalNumber,0),1,1)*L187^INDEX(FlowCalConstB,MATCH(J175,FlowCalNumber,0),1,1)&gt;INDEX(FlowCalLowSetting,MATCH(J175,FlowCalNumber,0),1,1), (INDEX(FlowCalConstA,MATCH(J175,FlowCalNumber,0),1,1)*L187^INDEX(FlowCalConstB,MATCH(J175,FlowCalNumber,0),1,1)&lt;INDEX(FlowCalHighSetting,MATCH(J175,FlowCalNumber,0),1,1))),INDEX(FlowCalConstA,MATCH(J175,FlowCalNumber,0),1,1)*L187^INDEX(FlowCalConstB,MATCH(J175,FlowCalNumber,0),1,1)," ")</f>
        <v>#N/A</v>
      </c>
      <c r="N187" s="33"/>
      <c r="O187" s="242">
        <f t="shared" si="84"/>
        <v>1</v>
      </c>
      <c r="P187" s="241" t="e">
        <f t="shared" ca="1" si="85"/>
        <v>#VALUE!</v>
      </c>
      <c r="Q187" s="243" t="e">
        <f ca="1">IF(AND(INDEX(FlowCalConstA,MATCH(N175,FlowCalNumber,0),1,1)*P187^INDEX(FlowCalConstB,MATCH(N175,FlowCalNumber,0),1,1)&gt;INDEX(FlowCalLowSetting,MATCH(N175,FlowCalNumber,0),1,1), (INDEX(FlowCalConstA,MATCH(N175,FlowCalNumber,0),1,1)*P187^INDEX(FlowCalConstB,MATCH(N175,FlowCalNumber,0),1,1)&lt;INDEX(FlowCalHighSetting,MATCH(N175,FlowCalNumber,0),1,1))),INDEX(FlowCalConstA,MATCH(N175,FlowCalNumber,0),1,1)*P187^INDEX(FlowCalConstB,MATCH(N175,FlowCalNumber,0),1,1)," ")</f>
        <v>#N/A</v>
      </c>
      <c r="R187" s="33"/>
      <c r="S187" s="242">
        <f t="shared" si="86"/>
        <v>1</v>
      </c>
      <c r="T187" s="241" t="e">
        <f t="shared" ca="1" si="87"/>
        <v>#VALUE!</v>
      </c>
      <c r="U187" s="243" t="e">
        <f ca="1">IF(AND(INDEX(FlowCalConstA,MATCH(R175,FlowCalNumber,0),1,1)*T187^INDEX(FlowCalConstB,MATCH(R175,FlowCalNumber,0),1,1)&gt;INDEX(FlowCalLowSetting,MATCH(R175,FlowCalNumber,0),1,1), (INDEX(FlowCalConstA,MATCH(R175,FlowCalNumber,0),1,1)*T187^INDEX(FlowCalConstB,MATCH(R175,FlowCalNumber,0),1,1)&lt;INDEX(FlowCalHighSetting,MATCH(R175,FlowCalNumber,0),1,1))),INDEX(FlowCalConstA,MATCH(R175,FlowCalNumber,0),1,1)*T187^INDEX(FlowCalConstB,MATCH(R175,FlowCalNumber,0),1,1)," ")</f>
        <v>#N/A</v>
      </c>
      <c r="V187" s="33"/>
      <c r="W187" s="242"/>
      <c r="X187" s="241"/>
      <c r="Y187" s="243"/>
      <c r="Z187" s="33"/>
      <c r="AA187" s="242"/>
      <c r="AB187" s="241"/>
      <c r="AC187" s="243"/>
      <c r="AD187" s="33"/>
      <c r="AE187" s="242"/>
      <c r="AF187" s="241"/>
      <c r="AG187" s="243"/>
      <c r="AH187" s="33"/>
      <c r="AI187" s="242"/>
      <c r="AJ187" s="241"/>
      <c r="AK187" s="244"/>
      <c r="AL187" s="243"/>
      <c r="AM187" s="243"/>
      <c r="AN187" s="243"/>
      <c r="AO187" s="243"/>
      <c r="AP187" s="243"/>
      <c r="AQ187" s="243"/>
      <c r="AR187" s="243"/>
      <c r="AS187" s="243"/>
      <c r="AT187" s="243"/>
      <c r="AU187" s="243"/>
      <c r="AV187" s="243"/>
      <c r="AW187" s="243"/>
      <c r="AX187" s="243"/>
      <c r="AY187" s="243"/>
      <c r="AZ187" s="243"/>
      <c r="BA187" s="243"/>
      <c r="BB187" s="243"/>
      <c r="BC187" s="243"/>
      <c r="BD187" s="243"/>
      <c r="BE187" s="243"/>
      <c r="BF187" s="243"/>
      <c r="BG187" s="243"/>
      <c r="BH187" s="243"/>
      <c r="BI187" s="243"/>
      <c r="BJ187" s="243"/>
      <c r="BK187" s="243"/>
      <c r="BL187" s="243"/>
      <c r="BM187" s="243"/>
      <c r="BN187" s="243"/>
      <c r="BO187" s="243"/>
      <c r="BP187" s="243"/>
      <c r="BQ187" s="243"/>
      <c r="BR187" s="243"/>
      <c r="BS187" s="243"/>
      <c r="BU187" s="242"/>
      <c r="BW187" s="243"/>
      <c r="BY187" s="242"/>
      <c r="CA187" s="243"/>
      <c r="CC187" s="242"/>
      <c r="CE187" s="243"/>
      <c r="CG187" s="242"/>
      <c r="CI187" s="243"/>
    </row>
    <row r="188" spans="1:87" s="1215" customFormat="1">
      <c r="A188" s="1222"/>
      <c r="B188" s="1223" t="str">
        <f t="shared" si="80"/>
        <v/>
      </c>
      <c r="C188" s="1210"/>
      <c r="D188" s="1211">
        <f>'1% Wind'!$M$94</f>
        <v>1.8</v>
      </c>
      <c r="E188" s="1212"/>
      <c r="F188" s="1212"/>
      <c r="G188" s="1213">
        <f ca="1">IF(I175=0.9743,$G187,MAX(G187/D187*D188,2))</f>
        <v>2</v>
      </c>
      <c r="H188" s="1214" t="e">
        <f t="shared" ca="1" si="81"/>
        <v>#VALUE!</v>
      </c>
      <c r="J188" s="1224"/>
      <c r="K188" s="1217">
        <f t="shared" si="82"/>
        <v>1</v>
      </c>
      <c r="L188" s="1218" t="e">
        <f t="shared" ca="1" si="83"/>
        <v>#VALUE!</v>
      </c>
      <c r="M188" s="1219" t="e">
        <f ca="1">IF(AND(INDEX(FlowCalConstA,MATCH(J175,FlowCalNumber,0),1,1)*L188^INDEX(FlowCalConstB,MATCH(J175,FlowCalNumber,0),1,1)&gt;INDEX(FlowCalLowSetting,MATCH(J175,FlowCalNumber,0),1,1), (INDEX(FlowCalConstA,MATCH(J175,FlowCalNumber,0),1,1)*L188^INDEX(FlowCalConstB,MATCH(J175,FlowCalNumber,0),1,1)&lt;INDEX(FlowCalHighSetting,MATCH(J175,FlowCalNumber,0),1,1))),INDEX(FlowCalConstA,MATCH(J175,FlowCalNumber,0),1,1)*L188^INDEX(FlowCalConstB,MATCH(J175,FlowCalNumber,0),1,1)," ")</f>
        <v>#N/A</v>
      </c>
      <c r="N188" s="1224"/>
      <c r="O188" s="1217">
        <f t="shared" si="84"/>
        <v>1</v>
      </c>
      <c r="P188" s="1218" t="e">
        <f t="shared" ca="1" si="85"/>
        <v>#VALUE!</v>
      </c>
      <c r="Q188" s="1219" t="e">
        <f ca="1">IF(AND(INDEX(FlowCalConstA,MATCH(N175,FlowCalNumber,0),1,1)*P188^INDEX(FlowCalConstB,MATCH(N175,FlowCalNumber,0),1,1)&gt;INDEX(FlowCalLowSetting,MATCH(N175,FlowCalNumber,0),1,1), (INDEX(FlowCalConstA,MATCH(N175,FlowCalNumber,0),1,1)*P188^INDEX(FlowCalConstB,MATCH(N175,FlowCalNumber,0),1,1)&lt;INDEX(FlowCalHighSetting,MATCH(N175,FlowCalNumber,0),1,1))),INDEX(FlowCalConstA,MATCH(N175,FlowCalNumber,0),1,1)*P188^INDEX(FlowCalConstB,MATCH(N175,FlowCalNumber,0),1,1)," ")</f>
        <v>#N/A</v>
      </c>
      <c r="R188" s="1224"/>
      <c r="S188" s="1217">
        <f t="shared" si="86"/>
        <v>1</v>
      </c>
      <c r="T188" s="1218" t="e">
        <f t="shared" ca="1" si="87"/>
        <v>#VALUE!</v>
      </c>
      <c r="U188" s="1219" t="e">
        <f ca="1">IF(AND(INDEX(FlowCalConstA,MATCH(R175,FlowCalNumber,0),1,1)*T188^INDEX(FlowCalConstB,MATCH(R175,FlowCalNumber,0),1,1)&gt;INDEX(FlowCalLowSetting,MATCH(R175,FlowCalNumber,0),1,1), (INDEX(FlowCalConstA,MATCH(R175,FlowCalNumber,0),1,1)*T188^INDEX(FlowCalConstB,MATCH(R175,FlowCalNumber,0),1,1)&lt;INDEX(FlowCalHighSetting,MATCH(R175,FlowCalNumber,0),1,1))),INDEX(FlowCalConstA,MATCH(R175,FlowCalNumber,0),1,1)*T188^INDEX(FlowCalConstB,MATCH(R175,FlowCalNumber,0),1,1)," ")</f>
        <v>#N/A</v>
      </c>
      <c r="V188" s="1224"/>
      <c r="W188" s="1217"/>
      <c r="X188" s="1218"/>
      <c r="Y188" s="1219"/>
      <c r="Z188" s="1224"/>
      <c r="AA188" s="1217"/>
      <c r="AB188" s="1218"/>
      <c r="AC188" s="1219"/>
      <c r="AD188" s="1224"/>
      <c r="AE188" s="1217"/>
      <c r="AF188" s="1218"/>
      <c r="AG188" s="1219"/>
      <c r="AH188" s="1224"/>
      <c r="AI188" s="1217"/>
      <c r="AJ188" s="1218"/>
      <c r="AK188" s="1220"/>
      <c r="AL188" s="1219"/>
      <c r="AM188" s="1219"/>
      <c r="AN188" s="1219"/>
      <c r="AO188" s="1219"/>
      <c r="AP188" s="1219"/>
      <c r="AQ188" s="1219"/>
      <c r="AR188" s="1219"/>
      <c r="AS188" s="1219"/>
      <c r="AT188" s="1219"/>
      <c r="AU188" s="1219"/>
      <c r="AV188" s="1219"/>
      <c r="AW188" s="1219"/>
      <c r="AX188" s="1219"/>
      <c r="AY188" s="1219"/>
      <c r="AZ188" s="1219"/>
      <c r="BA188" s="1219"/>
      <c r="BB188" s="1219"/>
      <c r="BC188" s="1219"/>
      <c r="BD188" s="1219"/>
      <c r="BE188" s="1219"/>
      <c r="BF188" s="1219"/>
      <c r="BG188" s="1219"/>
      <c r="BH188" s="1219"/>
      <c r="BI188" s="1219"/>
      <c r="BJ188" s="1219"/>
      <c r="BK188" s="1219"/>
      <c r="BL188" s="1219"/>
      <c r="BM188" s="1219"/>
      <c r="BN188" s="1219"/>
      <c r="BO188" s="1219"/>
      <c r="BP188" s="1219"/>
      <c r="BQ188" s="1219"/>
      <c r="BR188" s="1219"/>
      <c r="BS188" s="1219"/>
      <c r="BU188" s="1217"/>
      <c r="BW188" s="1219"/>
      <c r="BY188" s="1217"/>
      <c r="CA188" s="1219"/>
      <c r="CC188" s="1217"/>
      <c r="CE188" s="1219"/>
      <c r="CG188" s="1217"/>
      <c r="CI188" s="1219"/>
    </row>
    <row r="189" spans="1:87">
      <c r="A189" s="20"/>
      <c r="B189" s="124" t="str">
        <f t="shared" si="80"/>
        <v/>
      </c>
      <c r="C189" s="235"/>
      <c r="D189" s="24">
        <f>'1% Wind'!$M$95</f>
        <v>1.3</v>
      </c>
      <c r="E189" s="90"/>
      <c r="F189" s="90"/>
      <c r="G189" s="79">
        <f ca="1">IF(I175=0.9743,$G188,MAX(G188/D188*D189,2))</f>
        <v>2</v>
      </c>
      <c r="H189" s="121" t="e">
        <f t="shared" ca="1" si="81"/>
        <v>#VALUE!</v>
      </c>
      <c r="J189" s="33"/>
      <c r="K189" s="242">
        <f t="shared" si="82"/>
        <v>1</v>
      </c>
      <c r="L189" s="241" t="e">
        <f t="shared" ca="1" si="83"/>
        <v>#VALUE!</v>
      </c>
      <c r="M189" s="243" t="e">
        <f ca="1">IF(AND(INDEX(FlowCalConstA,MATCH(J175,FlowCalNumber,0),1,1)*L189^INDEX(FlowCalConstB,MATCH(J175,FlowCalNumber,0),1,1)&gt;INDEX(FlowCalLowSetting,MATCH(J175,FlowCalNumber,0),1,1), (INDEX(FlowCalConstA,MATCH(J175,FlowCalNumber,0),1,1)*L189^INDEX(FlowCalConstB,MATCH(J175,FlowCalNumber,0),1,1)&lt;INDEX(FlowCalHighSetting,MATCH(J175,FlowCalNumber,0),1,1))),INDEX(FlowCalConstA,MATCH(J175,FlowCalNumber,0),1,1)*L189^INDEX(FlowCalConstB,MATCH(J175,FlowCalNumber,0),1,1)," ")</f>
        <v>#N/A</v>
      </c>
      <c r="N189" s="33"/>
      <c r="O189" s="242">
        <f t="shared" si="84"/>
        <v>1</v>
      </c>
      <c r="P189" s="241" t="e">
        <f t="shared" ca="1" si="85"/>
        <v>#VALUE!</v>
      </c>
      <c r="Q189" s="243" t="e">
        <f ca="1">IF(AND(INDEX(FlowCalConstA,MATCH(N175,FlowCalNumber,0),1,1)*P189^INDEX(FlowCalConstB,MATCH(N175,FlowCalNumber,0),1,1)&gt;INDEX(FlowCalLowSetting,MATCH(N175,FlowCalNumber,0),1,1), (INDEX(FlowCalConstA,MATCH(N175,FlowCalNumber,0),1,1)*P189^INDEX(FlowCalConstB,MATCH(N175,FlowCalNumber,0),1,1)&lt;INDEX(FlowCalHighSetting,MATCH(N175,FlowCalNumber,0),1,1))),INDEX(FlowCalConstA,MATCH(N175,FlowCalNumber,0),1,1)*P189^INDEX(FlowCalConstB,MATCH(N175,FlowCalNumber,0),1,1)," ")</f>
        <v>#N/A</v>
      </c>
      <c r="R189" s="33"/>
      <c r="S189" s="242">
        <f t="shared" si="86"/>
        <v>1</v>
      </c>
      <c r="T189" s="241" t="e">
        <f t="shared" ca="1" si="87"/>
        <v>#VALUE!</v>
      </c>
      <c r="U189" s="243" t="e">
        <f ca="1">IF(AND(INDEX(FlowCalConstA,MATCH(R175,FlowCalNumber,0),1,1)*T189^INDEX(FlowCalConstB,MATCH(R175,FlowCalNumber,0),1,1)&gt;INDEX(FlowCalLowSetting,MATCH(R175,FlowCalNumber,0),1,1), (INDEX(FlowCalConstA,MATCH(R175,FlowCalNumber,0),1,1)*T189^INDEX(FlowCalConstB,MATCH(R175,FlowCalNumber,0),1,1)&lt;INDEX(FlowCalHighSetting,MATCH(R175,FlowCalNumber,0),1,1))),INDEX(FlowCalConstA,MATCH(R175,FlowCalNumber,0),1,1)*T189^INDEX(FlowCalConstB,MATCH(R175,FlowCalNumber,0),1,1)," ")</f>
        <v>#N/A</v>
      </c>
      <c r="V189" s="33"/>
      <c r="W189" s="242"/>
      <c r="X189" s="241"/>
      <c r="Y189" s="243"/>
      <c r="Z189" s="33"/>
      <c r="AA189" s="242"/>
      <c r="AB189" s="241"/>
      <c r="AC189" s="243"/>
      <c r="AD189" s="33"/>
      <c r="AE189" s="242"/>
      <c r="AF189" s="241"/>
      <c r="AG189" s="243"/>
      <c r="AH189" s="33"/>
      <c r="AI189" s="242"/>
      <c r="AJ189" s="241"/>
      <c r="AK189" s="244"/>
      <c r="AL189" s="243"/>
      <c r="AM189" s="243"/>
      <c r="AN189" s="243"/>
      <c r="AO189" s="243"/>
      <c r="AP189" s="243"/>
      <c r="AQ189" s="243"/>
      <c r="AR189" s="243"/>
      <c r="AS189" s="243"/>
      <c r="AT189" s="243"/>
      <c r="AU189" s="243"/>
      <c r="AV189" s="243"/>
      <c r="AW189" s="243"/>
      <c r="AX189" s="243"/>
      <c r="AY189" s="243"/>
      <c r="AZ189" s="243"/>
      <c r="BA189" s="243"/>
      <c r="BB189" s="243"/>
      <c r="BC189" s="243"/>
      <c r="BD189" s="243"/>
      <c r="BE189" s="243"/>
      <c r="BF189" s="243"/>
      <c r="BG189" s="243"/>
      <c r="BH189" s="243"/>
      <c r="BI189" s="243"/>
      <c r="BJ189" s="243"/>
      <c r="BK189" s="243"/>
      <c r="BL189" s="243"/>
      <c r="BM189" s="243"/>
      <c r="BN189" s="243"/>
      <c r="BO189" s="243"/>
      <c r="BP189" s="243"/>
      <c r="BQ189" s="243"/>
      <c r="BR189" s="243"/>
      <c r="BS189" s="243"/>
      <c r="BU189" s="242"/>
      <c r="BW189" s="243"/>
      <c r="BY189" s="242"/>
      <c r="CA189" s="243"/>
      <c r="CC189" s="242"/>
      <c r="CE189" s="243"/>
      <c r="CG189" s="242"/>
      <c r="CI189" s="243"/>
    </row>
    <row r="190" spans="1:87" s="1215" customFormat="1">
      <c r="A190" s="1222"/>
      <c r="B190" s="1223" t="str">
        <f t="shared" si="80"/>
        <v/>
      </c>
      <c r="C190" s="1210"/>
      <c r="D190" s="1211">
        <f>'1% Wind'!$M$96</f>
        <v>1</v>
      </c>
      <c r="E190" s="1212"/>
      <c r="F190" s="1212"/>
      <c r="G190" s="1213">
        <f ca="1">IF(I175=0.9743,$G189,MAX(G189/D189*D190,2))</f>
        <v>2</v>
      </c>
      <c r="H190" s="1214" t="e">
        <f t="shared" ca="1" si="81"/>
        <v>#VALUE!</v>
      </c>
      <c r="J190" s="1224"/>
      <c r="K190" s="1217">
        <f t="shared" si="82"/>
        <v>1</v>
      </c>
      <c r="L190" s="1218" t="e">
        <f t="shared" ca="1" si="83"/>
        <v>#VALUE!</v>
      </c>
      <c r="M190" s="1219" t="e">
        <f ca="1">IF(AND(INDEX(FlowCalConstA,MATCH(J175,FlowCalNumber,0),1,1)*L190^INDEX(FlowCalConstB,MATCH(J175,FlowCalNumber,0),1,1)&gt;INDEX(FlowCalLowSetting,MATCH(J175,FlowCalNumber,0),1,1), (INDEX(FlowCalConstA,MATCH(J175,FlowCalNumber,0),1,1)*L190^INDEX(FlowCalConstB,MATCH(J175,FlowCalNumber,0),1,1)&lt;INDEX(FlowCalHighSetting,MATCH(J175,FlowCalNumber,0),1,1))),INDEX(FlowCalConstA,MATCH(J175,FlowCalNumber,0),1,1)*L190^INDEX(FlowCalConstB,MATCH(J175,FlowCalNumber,0),1,1)," ")</f>
        <v>#N/A</v>
      </c>
      <c r="N190" s="1224"/>
      <c r="O190" s="1217">
        <f t="shared" si="84"/>
        <v>1</v>
      </c>
      <c r="P190" s="1218" t="e">
        <f t="shared" ca="1" si="85"/>
        <v>#VALUE!</v>
      </c>
      <c r="Q190" s="1219" t="e">
        <f ca="1">IF(AND(INDEX(FlowCalConstA,MATCH(N175,FlowCalNumber,0),1,1)*P190^INDEX(FlowCalConstB,MATCH(N175,FlowCalNumber,0),1,1)&gt;INDEX(FlowCalLowSetting,MATCH(N175,FlowCalNumber,0),1,1), (INDEX(FlowCalConstA,MATCH(N175,FlowCalNumber,0),1,1)*P190^INDEX(FlowCalConstB,MATCH(N175,FlowCalNumber,0),1,1)&lt;INDEX(FlowCalHighSetting,MATCH(N175,FlowCalNumber,0),1,1))),INDEX(FlowCalConstA,MATCH(N175,FlowCalNumber,0),1,1)*P190^INDEX(FlowCalConstB,MATCH(N175,FlowCalNumber,0),1,1)," ")</f>
        <v>#N/A</v>
      </c>
      <c r="R190" s="1224"/>
      <c r="S190" s="1217">
        <f t="shared" si="86"/>
        <v>1</v>
      </c>
      <c r="T190" s="1218" t="e">
        <f t="shared" ca="1" si="87"/>
        <v>#VALUE!</v>
      </c>
      <c r="U190" s="1219" t="e">
        <f ca="1">IF(AND(INDEX(FlowCalConstA,MATCH(R175,FlowCalNumber,0),1,1)*T190^INDEX(FlowCalConstB,MATCH(R175,FlowCalNumber,0),1,1)&gt;INDEX(FlowCalLowSetting,MATCH(R175,FlowCalNumber,0),1,1), (INDEX(FlowCalConstA,MATCH(R175,FlowCalNumber,0),1,1)*T190^INDEX(FlowCalConstB,MATCH(R175,FlowCalNumber,0),1,1)&lt;INDEX(FlowCalHighSetting,MATCH(R175,FlowCalNumber,0),1,1))),INDEX(FlowCalConstA,MATCH(R175,FlowCalNumber,0),1,1)*T190^INDEX(FlowCalConstB,MATCH(R175,FlowCalNumber,0),1,1)," ")</f>
        <v>#N/A</v>
      </c>
      <c r="V190" s="1224"/>
      <c r="W190" s="1217"/>
      <c r="X190" s="1218"/>
      <c r="Y190" s="1219"/>
      <c r="Z190" s="1224"/>
      <c r="AA190" s="1217"/>
      <c r="AB190" s="1218"/>
      <c r="AC190" s="1219"/>
      <c r="AD190" s="1224"/>
      <c r="AE190" s="1217"/>
      <c r="AF190" s="1218"/>
      <c r="AG190" s="1219"/>
      <c r="AH190" s="1224"/>
      <c r="AI190" s="1217"/>
      <c r="AJ190" s="1218"/>
      <c r="AK190" s="1220"/>
      <c r="AL190" s="1219"/>
      <c r="AM190" s="1219"/>
      <c r="AN190" s="1219"/>
      <c r="AO190" s="1219"/>
      <c r="AP190" s="1219"/>
      <c r="AQ190" s="1219"/>
      <c r="AR190" s="1219"/>
      <c r="AS190" s="1219"/>
      <c r="AT190" s="1219"/>
      <c r="AU190" s="1219"/>
      <c r="AV190" s="1219"/>
      <c r="AW190" s="1219"/>
      <c r="AX190" s="1219"/>
      <c r="AY190" s="1219"/>
      <c r="AZ190" s="1219"/>
      <c r="BA190" s="1219"/>
      <c r="BB190" s="1219"/>
      <c r="BC190" s="1219"/>
      <c r="BD190" s="1219"/>
      <c r="BE190" s="1219"/>
      <c r="BF190" s="1219"/>
      <c r="BG190" s="1219"/>
      <c r="BH190" s="1219"/>
      <c r="BI190" s="1219"/>
      <c r="BJ190" s="1219"/>
      <c r="BK190" s="1219"/>
      <c r="BL190" s="1219"/>
      <c r="BM190" s="1219"/>
      <c r="BN190" s="1219"/>
      <c r="BO190" s="1219"/>
      <c r="BP190" s="1219"/>
      <c r="BQ190" s="1219"/>
      <c r="BR190" s="1219"/>
      <c r="BS190" s="1219"/>
      <c r="BU190" s="1217"/>
      <c r="BW190" s="1219"/>
      <c r="BY190" s="1217"/>
      <c r="CA190" s="1219"/>
      <c r="CC190" s="1217"/>
      <c r="CE190" s="1219"/>
      <c r="CG190" s="1217"/>
      <c r="CI190" s="1219"/>
    </row>
    <row r="191" spans="1:87">
      <c r="A191" s="33"/>
      <c r="B191" s="33"/>
      <c r="C191" s="235"/>
      <c r="E191" s="90"/>
      <c r="F191" s="90"/>
      <c r="G191" s="33"/>
      <c r="J191" s="33"/>
      <c r="M191" s="243"/>
      <c r="N191" s="33"/>
      <c r="Q191" s="243"/>
      <c r="R191" s="33"/>
      <c r="U191" s="243"/>
      <c r="V191" s="33"/>
      <c r="Y191" s="243"/>
      <c r="Z191" s="33"/>
      <c r="AC191" s="243"/>
      <c r="AD191" s="33"/>
      <c r="AG191" s="243"/>
      <c r="AH191" s="33"/>
      <c r="AK191" s="244"/>
      <c r="AL191" s="243"/>
      <c r="AM191" s="243"/>
      <c r="AN191" s="243"/>
      <c r="AO191" s="243"/>
      <c r="AP191" s="243"/>
      <c r="AQ191" s="243"/>
      <c r="AR191" s="243"/>
      <c r="AS191" s="243"/>
      <c r="AT191" s="243"/>
      <c r="AU191" s="243"/>
      <c r="AV191" s="243"/>
      <c r="AW191" s="243"/>
      <c r="AX191" s="243"/>
      <c r="AY191" s="243"/>
      <c r="AZ191" s="243"/>
      <c r="BA191" s="243"/>
      <c r="BB191" s="243"/>
      <c r="BC191" s="243"/>
      <c r="BD191" s="243"/>
      <c r="BE191" s="243"/>
      <c r="BF191" s="243"/>
      <c r="BG191" s="243"/>
      <c r="BH191" s="243"/>
      <c r="BI191" s="243"/>
      <c r="BJ191" s="243"/>
      <c r="BK191" s="243"/>
      <c r="BL191" s="243"/>
      <c r="BM191" s="243"/>
      <c r="BN191" s="243"/>
      <c r="BO191" s="243"/>
      <c r="BP191" s="243"/>
      <c r="BQ191" s="243"/>
      <c r="BR191" s="243"/>
      <c r="BS191" s="243"/>
      <c r="BW191" s="243"/>
      <c r="CA191" s="243"/>
      <c r="CE191" s="243"/>
      <c r="CI191" s="243"/>
    </row>
    <row r="192" spans="1:87">
      <c r="A192" s="256" t="str">
        <f>IF((RIGHT(A175,1))&lt;&gt;"Z",CHAR(CODE(A175))&amp;CHAR(CODE(RIGHT(A175,1))+1),CHAR(CODE(A175)+1)&amp;"A")</f>
        <v>AK</v>
      </c>
      <c r="B192" s="270" t="str">
        <f>INDEX(SourceID,MATCH($A192,SourceNumber,0),1,1)</f>
        <v>DT</v>
      </c>
      <c r="C192" s="354">
        <f>INDEX(SourceExitDiameter,MATCH($A192,SourceNumber,0),1,1)*3.28*12</f>
        <v>5.9999999999999991</v>
      </c>
      <c r="D192" s="24" t="str">
        <f>UAnem1percent</f>
        <v>1% Wind</v>
      </c>
      <c r="E192" s="350" t="e">
        <f ca="1">INDIRECT(ADDRESS(53,6,1,,CONCATENATE("TA",$A192)))</f>
        <v>#REF!</v>
      </c>
      <c r="F192" s="625" t="e">
        <f ca="1">(ROUND((INDIRECT(ADDRESS(15,7,1,,CONCATENATE("TA",$A192)))*3.28*12*32),0)&amp;"/32")</f>
        <v>#REF!</v>
      </c>
      <c r="G192" s="125">
        <f ca="1">INDIRECT(ADDRESS(29,7,1,,$A192))</f>
        <v>6.001707317073171</v>
      </c>
      <c r="H192" s="24" t="e">
        <f ca="1">INDIRECT(ADDRESS(19,7,1,,$A192))*100^3</f>
        <v>#VALUE!</v>
      </c>
      <c r="I192" s="941">
        <f ca="1">INDIRECT(ADDRESS(53,7,1,,$A192))</f>
        <v>0.97430000000000005</v>
      </c>
      <c r="J192" s="20" t="str">
        <f ca="1">IF($I192=$I$6,K$16&amp;$G$6&amp;J$6,IF($I192=$I$7,K$16&amp;$G$7&amp;J$7,"Bad"))</f>
        <v>100N2Pick a Tunnel</v>
      </c>
      <c r="K192" t="e">
        <f ca="1">INDEX(FlowCalGasMixture,MATCH(J192,FlowCalNumber,0),1,1)</f>
        <v>#N/A</v>
      </c>
      <c r="M192" s="944" t="e">
        <f ca="1">INDEX(FlowCalDevice,MATCH(J192,FlowCalNumber,0),1,1)</f>
        <v>#N/A</v>
      </c>
      <c r="N192" s="20" t="str">
        <f ca="1">IF($I192=$I$6,O$16&amp;$G$6&amp;N$6,IF($I192=$I$7,O$16&amp;$G$7&amp;N$7,"Bad"))</f>
        <v>100N2Pick a Tunnel</v>
      </c>
      <c r="O192" t="e">
        <f ca="1">INDEX(FlowCalGasMixture,MATCH(N192,FlowCalNumber,0),1,1)</f>
        <v>#N/A</v>
      </c>
      <c r="Q192" s="944" t="e">
        <f ca="1">INDEX(FlowCalDevice,MATCH(N192,FlowCalNumber,0),1,1)</f>
        <v>#N/A</v>
      </c>
      <c r="R192" s="20" t="str">
        <f ca="1">IF($I192=$I$6,S$16&amp;$G$6&amp;R$6,IF($I192=$I$7,S$16&amp;$G$7&amp;R$7,"Bad"))</f>
        <v>100N2Pick a Tunnel</v>
      </c>
      <c r="S192" t="e">
        <f ca="1">INDEX(FlowCalGasMixture,MATCH(R192,FlowCalNumber,0),1,1)</f>
        <v>#N/A</v>
      </c>
      <c r="U192" s="944" t="e">
        <f ca="1">INDEX(FlowCalDevice,MATCH(R192,FlowCalNumber,0),1,1)</f>
        <v>#N/A</v>
      </c>
      <c r="V192" s="20"/>
      <c r="Y192" s="944"/>
      <c r="Z192" s="946"/>
      <c r="AC192" s="944"/>
      <c r="AD192" s="20"/>
      <c r="AG192" s="944"/>
      <c r="AH192" s="946"/>
      <c r="AK192" s="982"/>
      <c r="AL192" s="355"/>
      <c r="AM192" s="355"/>
      <c r="AN192" s="355"/>
      <c r="AO192" s="355"/>
      <c r="AP192" s="355"/>
      <c r="AQ192" s="355"/>
      <c r="AR192" s="355"/>
      <c r="AS192" s="355"/>
      <c r="AT192" s="355"/>
      <c r="AU192" s="355"/>
      <c r="AV192" s="355"/>
      <c r="AW192" s="355"/>
      <c r="AX192" s="355"/>
      <c r="AY192" s="355"/>
      <c r="AZ192" s="355"/>
      <c r="BA192" s="355"/>
      <c r="BB192" s="355"/>
      <c r="BC192" s="355"/>
      <c r="BD192" s="355"/>
      <c r="BE192" s="355"/>
      <c r="BF192" s="355"/>
      <c r="BG192" s="355"/>
      <c r="BH192" s="355"/>
      <c r="BI192" s="355"/>
      <c r="BJ192" s="355"/>
      <c r="BK192" s="355"/>
      <c r="BL192" s="355"/>
      <c r="BM192" s="355"/>
      <c r="BN192" s="355"/>
      <c r="BO192" s="355"/>
      <c r="BP192" s="355"/>
      <c r="BQ192" s="355"/>
      <c r="BR192" s="355"/>
      <c r="BS192" s="355"/>
      <c r="BT192" s="46"/>
      <c r="BU192" s="16"/>
      <c r="BW192" s="355"/>
      <c r="BX192" s="42"/>
      <c r="BY192" s="16"/>
      <c r="CA192" s="355"/>
      <c r="CB192" s="42"/>
      <c r="CC192" s="16"/>
      <c r="CE192" s="355"/>
      <c r="CF192" s="42"/>
      <c r="CG192" s="16"/>
      <c r="CI192" s="355"/>
    </row>
    <row r="193" spans="1:87" s="1215" customFormat="1">
      <c r="A193" s="1222"/>
      <c r="B193" s="1223" t="str">
        <f t="shared" ref="B193:B207" si="88">IF(D193=UAnem1percent,"1% Wind","")</f>
        <v/>
      </c>
      <c r="C193" s="1210"/>
      <c r="D193" s="1211">
        <f>'1% Wind'!$M$82</f>
        <v>27</v>
      </c>
      <c r="E193" s="1212"/>
      <c r="F193" s="1212"/>
      <c r="G193" s="1364">
        <v>2</v>
      </c>
      <c r="H193" s="1214" t="e">
        <f t="shared" ref="H193:H207" ca="1" si="89">H192*(D192/D193)*(G193/G192)</f>
        <v>#VALUE!</v>
      </c>
      <c r="J193" s="1224"/>
      <c r="K193" s="1221">
        <f>K$17/100</f>
        <v>1</v>
      </c>
      <c r="L193" s="1218" t="e">
        <f ca="1">K193*$H193</f>
        <v>#VALUE!</v>
      </c>
      <c r="M193" s="1219" t="e">
        <f ca="1">IF(AND(INDEX(FlowCalConstA,MATCH(J192,FlowCalNumber,0),1,1)*L193^INDEX(FlowCalConstB,MATCH(J192,FlowCalNumber,0),1,1)&gt;INDEX(FlowCalLowSetting,MATCH(J192,FlowCalNumber,0),1,1), (INDEX(FlowCalConstA,MATCH(J192,FlowCalNumber,0),1,1)*L193^INDEX(FlowCalConstB,MATCH(J192,FlowCalNumber,0),1,1)&lt;INDEX(FlowCalHighSetting,MATCH(J192,FlowCalNumber,0),1,1))),INDEX(FlowCalConstA,MATCH(J192,FlowCalNumber,0),1,1)*L193^INDEX(FlowCalConstB,MATCH(J192,FlowCalNumber,0),1,1)," ")</f>
        <v>#N/A</v>
      </c>
      <c r="N193" s="1224"/>
      <c r="O193" s="1221">
        <f>O$17/100</f>
        <v>1</v>
      </c>
      <c r="P193" s="1218" t="e">
        <f ca="1">O193*$H193</f>
        <v>#VALUE!</v>
      </c>
      <c r="Q193" s="1219" t="e">
        <f ca="1">IF(AND(INDEX(FlowCalConstA,MATCH(N192,FlowCalNumber,0),1,1)*P193^INDEX(FlowCalConstB,MATCH(N192,FlowCalNumber,0),1,1)&gt;INDEX(FlowCalLowSetting,MATCH(N192,FlowCalNumber,0),1,1), (INDEX(FlowCalConstA,MATCH(N192,FlowCalNumber,0),1,1)*P193^INDEX(FlowCalConstB,MATCH(N192,FlowCalNumber,0),1,1)&lt;INDEX(FlowCalHighSetting,MATCH(N192,FlowCalNumber,0),1,1))),INDEX(FlowCalConstA,MATCH(N192,FlowCalNumber,0),1,1)*P193^INDEX(FlowCalConstB,MATCH(N192,FlowCalNumber,0),1,1)," ")</f>
        <v>#N/A</v>
      </c>
      <c r="R193" s="1224"/>
      <c r="S193" s="1221">
        <f>S$17/100</f>
        <v>1</v>
      </c>
      <c r="T193" s="1218" t="e">
        <f ca="1">S193*$H193</f>
        <v>#VALUE!</v>
      </c>
      <c r="U193" s="1219" t="e">
        <f ca="1">IF(AND(INDEX(FlowCalConstA,MATCH(R192,FlowCalNumber,0),1,1)*T193^INDEX(FlowCalConstB,MATCH(R192,FlowCalNumber,0),1,1)&gt;INDEX(FlowCalLowSetting,MATCH(R192,FlowCalNumber,0),1,1), (INDEX(FlowCalConstA,MATCH(R192,FlowCalNumber,0),1,1)*T193^INDEX(FlowCalConstB,MATCH(R192,FlowCalNumber,0),1,1)&lt;INDEX(FlowCalHighSetting,MATCH(R192,FlowCalNumber,0),1,1))),INDEX(FlowCalConstA,MATCH(R192,FlowCalNumber,0),1,1)*T193^INDEX(FlowCalConstB,MATCH(R192,FlowCalNumber,0),1,1)," ")</f>
        <v>#N/A</v>
      </c>
      <c r="V193" s="1224"/>
      <c r="W193" s="1221"/>
      <c r="X193" s="1218"/>
      <c r="Y193" s="1219"/>
      <c r="Z193" s="1224"/>
      <c r="AA193" s="1221"/>
      <c r="AB193" s="1218"/>
      <c r="AC193" s="1219"/>
      <c r="AD193" s="1224"/>
      <c r="AE193" s="1221"/>
      <c r="AF193" s="1218"/>
      <c r="AG193" s="1219"/>
      <c r="AH193" s="1224"/>
      <c r="AI193" s="1221"/>
      <c r="AJ193" s="1218"/>
      <c r="AK193" s="1220"/>
      <c r="AL193" s="1219"/>
      <c r="AM193" s="1219"/>
      <c r="AN193" s="1219"/>
      <c r="AO193" s="1219"/>
      <c r="AP193" s="1219"/>
      <c r="AQ193" s="1219"/>
      <c r="AR193" s="1219"/>
      <c r="AS193" s="1219"/>
      <c r="AT193" s="1219"/>
      <c r="AU193" s="1219"/>
      <c r="AV193" s="1219"/>
      <c r="AW193" s="1219"/>
      <c r="AX193" s="1219"/>
      <c r="AY193" s="1219"/>
      <c r="AZ193" s="1219"/>
      <c r="BA193" s="1219"/>
      <c r="BB193" s="1219"/>
      <c r="BC193" s="1219"/>
      <c r="BD193" s="1219"/>
      <c r="BE193" s="1219"/>
      <c r="BF193" s="1219"/>
      <c r="BG193" s="1219"/>
      <c r="BH193" s="1219"/>
      <c r="BI193" s="1219"/>
      <c r="BJ193" s="1219"/>
      <c r="BK193" s="1219"/>
      <c r="BL193" s="1219"/>
      <c r="BM193" s="1219"/>
      <c r="BN193" s="1219"/>
      <c r="BO193" s="1219"/>
      <c r="BP193" s="1219"/>
      <c r="BQ193" s="1219"/>
      <c r="BR193" s="1219"/>
      <c r="BS193" s="1219"/>
      <c r="BU193" s="1225"/>
      <c r="BW193" s="1219"/>
      <c r="BY193" s="1225"/>
      <c r="CA193" s="1219"/>
      <c r="CC193" s="1225"/>
      <c r="CE193" s="1219"/>
      <c r="CG193" s="1221"/>
      <c r="CI193" s="1219"/>
    </row>
    <row r="194" spans="1:87">
      <c r="A194" s="20"/>
      <c r="B194" s="124" t="str">
        <f t="shared" si="88"/>
        <v/>
      </c>
      <c r="C194" s="235"/>
      <c r="D194" s="24">
        <f>'1% Wind'!$M$83</f>
        <v>23.5</v>
      </c>
      <c r="E194" s="90"/>
      <c r="F194" s="90"/>
      <c r="G194" s="79">
        <f ca="1">IF(I192=0.9743,$G193,MAX(G193/D193*D194,2))</f>
        <v>2</v>
      </c>
      <c r="H194" s="121" t="e">
        <f t="shared" ca="1" si="89"/>
        <v>#VALUE!</v>
      </c>
      <c r="J194" s="33"/>
      <c r="K194" s="242">
        <f t="shared" ref="K194:K207" si="90">K193</f>
        <v>1</v>
      </c>
      <c r="L194" s="241" t="e">
        <f t="shared" ref="L194:L207" ca="1" si="91">K194*$H194</f>
        <v>#VALUE!</v>
      </c>
      <c r="M194" s="243" t="e">
        <f ca="1">IF(AND(INDEX(FlowCalConstA,MATCH(J192,FlowCalNumber,0),1,1)*L194^INDEX(FlowCalConstB,MATCH(J192,FlowCalNumber,0),1,1)&gt;INDEX(FlowCalLowSetting,MATCH(J192,FlowCalNumber,0),1,1), (INDEX(FlowCalConstA,MATCH(J192,FlowCalNumber,0),1,1)*L194^INDEX(FlowCalConstB,MATCH(J192,FlowCalNumber,0),1,1)&lt;INDEX(FlowCalHighSetting,MATCH(J192,FlowCalNumber,0),1,1))),INDEX(FlowCalConstA,MATCH(J192,FlowCalNumber,0),1,1)*L194^INDEX(FlowCalConstB,MATCH(J192,FlowCalNumber,0),1,1)," ")</f>
        <v>#N/A</v>
      </c>
      <c r="N194" s="33"/>
      <c r="O194" s="242">
        <f t="shared" ref="O194:O207" si="92">O193</f>
        <v>1</v>
      </c>
      <c r="P194" s="241" t="e">
        <f t="shared" ref="P194:P207" ca="1" si="93">O194*$H194</f>
        <v>#VALUE!</v>
      </c>
      <c r="Q194" s="243" t="e">
        <f ca="1">IF(AND(INDEX(FlowCalConstA,MATCH(N192,FlowCalNumber,0),1,1)*P194^INDEX(FlowCalConstB,MATCH(N192,FlowCalNumber,0),1,1)&gt;INDEX(FlowCalLowSetting,MATCH(N192,FlowCalNumber,0),1,1), (INDEX(FlowCalConstA,MATCH(N192,FlowCalNumber,0),1,1)*P194^INDEX(FlowCalConstB,MATCH(N192,FlowCalNumber,0),1,1)&lt;INDEX(FlowCalHighSetting,MATCH(N192,FlowCalNumber,0),1,1))),INDEX(FlowCalConstA,MATCH(N192,FlowCalNumber,0),1,1)*P194^INDEX(FlowCalConstB,MATCH(N192,FlowCalNumber,0),1,1)," ")</f>
        <v>#N/A</v>
      </c>
      <c r="R194" s="33"/>
      <c r="S194" s="242">
        <f t="shared" ref="S194:S207" si="94">S193</f>
        <v>1</v>
      </c>
      <c r="T194" s="241" t="e">
        <f t="shared" ref="T194:T207" ca="1" si="95">S194*$H194</f>
        <v>#VALUE!</v>
      </c>
      <c r="U194" s="243" t="e">
        <f ca="1">IF(AND(INDEX(FlowCalConstA,MATCH(R192,FlowCalNumber,0),1,1)*T194^INDEX(FlowCalConstB,MATCH(R192,FlowCalNumber,0),1,1)&gt;INDEX(FlowCalLowSetting,MATCH(R192,FlowCalNumber,0),1,1), (INDEX(FlowCalConstA,MATCH(R192,FlowCalNumber,0),1,1)*T194^INDEX(FlowCalConstB,MATCH(R192,FlowCalNumber,0),1,1)&lt;INDEX(FlowCalHighSetting,MATCH(R192,FlowCalNumber,0),1,1))),INDEX(FlowCalConstA,MATCH(R192,FlowCalNumber,0),1,1)*T194^INDEX(FlowCalConstB,MATCH(R192,FlowCalNumber,0),1,1)," ")</f>
        <v>#N/A</v>
      </c>
      <c r="V194" s="33"/>
      <c r="W194" s="242"/>
      <c r="X194" s="241"/>
      <c r="Y194" s="243"/>
      <c r="Z194" s="33"/>
      <c r="AA194" s="242"/>
      <c r="AB194" s="241"/>
      <c r="AC194" s="243"/>
      <c r="AD194" s="33"/>
      <c r="AE194" s="242"/>
      <c r="AF194" s="241"/>
      <c r="AG194" s="243"/>
      <c r="AH194" s="33"/>
      <c r="AI194" s="242"/>
      <c r="AJ194" s="241"/>
      <c r="AK194" s="244"/>
      <c r="AL194" s="243"/>
      <c r="AM194" s="243"/>
      <c r="AN194" s="243"/>
      <c r="AO194" s="243"/>
      <c r="AP194" s="243"/>
      <c r="AQ194" s="243"/>
      <c r="AR194" s="243"/>
      <c r="AS194" s="243"/>
      <c r="AT194" s="243"/>
      <c r="AU194" s="243"/>
      <c r="AV194" s="243"/>
      <c r="AW194" s="243"/>
      <c r="AX194" s="243"/>
      <c r="AY194" s="243"/>
      <c r="AZ194" s="243"/>
      <c r="BA194" s="243"/>
      <c r="BB194" s="243"/>
      <c r="BC194" s="243"/>
      <c r="BD194" s="243"/>
      <c r="BE194" s="243"/>
      <c r="BF194" s="243"/>
      <c r="BG194" s="243"/>
      <c r="BH194" s="243"/>
      <c r="BI194" s="243"/>
      <c r="BJ194" s="243"/>
      <c r="BK194" s="243"/>
      <c r="BL194" s="243"/>
      <c r="BM194" s="243"/>
      <c r="BN194" s="243"/>
      <c r="BO194" s="243"/>
      <c r="BP194" s="243"/>
      <c r="BQ194" s="243"/>
      <c r="BR194" s="243"/>
      <c r="BS194" s="243"/>
      <c r="BU194" s="242"/>
      <c r="BW194" s="243"/>
      <c r="BY194" s="242"/>
      <c r="CA194" s="243"/>
      <c r="CC194" s="242"/>
      <c r="CE194" s="243"/>
      <c r="CG194" s="242"/>
      <c r="CI194" s="243"/>
    </row>
    <row r="195" spans="1:87" s="1215" customFormat="1">
      <c r="A195" s="1222"/>
      <c r="B195" s="1223" t="str">
        <f t="shared" si="88"/>
        <v/>
      </c>
      <c r="C195" s="1210"/>
      <c r="D195" s="1211">
        <f>'1% Wind'!$M$84</f>
        <v>20.5</v>
      </c>
      <c r="E195" s="1212"/>
      <c r="F195" s="1212"/>
      <c r="G195" s="1213">
        <f ca="1">IF(I192=0.9743,$G194,MAX(G194/D194*D195,2))</f>
        <v>2</v>
      </c>
      <c r="H195" s="1214" t="e">
        <f t="shared" ca="1" si="89"/>
        <v>#VALUE!</v>
      </c>
      <c r="J195" s="1224"/>
      <c r="K195" s="1217">
        <f t="shared" si="90"/>
        <v>1</v>
      </c>
      <c r="L195" s="1218" t="e">
        <f t="shared" ca="1" si="91"/>
        <v>#VALUE!</v>
      </c>
      <c r="M195" s="1219" t="e">
        <f ca="1">IF(AND(INDEX(FlowCalConstA,MATCH(J192,FlowCalNumber,0),1,1)*L195^INDEX(FlowCalConstB,MATCH(J192,FlowCalNumber,0),1,1)&gt;INDEX(FlowCalLowSetting,MATCH(J192,FlowCalNumber,0),1,1), (INDEX(FlowCalConstA,MATCH(J192,FlowCalNumber,0),1,1)*L195^INDEX(FlowCalConstB,MATCH(J192,FlowCalNumber,0),1,1)&lt;INDEX(FlowCalHighSetting,MATCH(J192,FlowCalNumber,0),1,1))),INDEX(FlowCalConstA,MATCH(J192,FlowCalNumber,0),1,1)*L195^INDEX(FlowCalConstB,MATCH(J192,FlowCalNumber,0),1,1)," ")</f>
        <v>#N/A</v>
      </c>
      <c r="N195" s="1224"/>
      <c r="O195" s="1217">
        <f t="shared" si="92"/>
        <v>1</v>
      </c>
      <c r="P195" s="1218" t="e">
        <f t="shared" ca="1" si="93"/>
        <v>#VALUE!</v>
      </c>
      <c r="Q195" s="1219" t="e">
        <f ca="1">IF(AND(INDEX(FlowCalConstA,MATCH(N192,FlowCalNumber,0),1,1)*P195^INDEX(FlowCalConstB,MATCH(N192,FlowCalNumber,0),1,1)&gt;INDEX(FlowCalLowSetting,MATCH(N192,FlowCalNumber,0),1,1), (INDEX(FlowCalConstA,MATCH(N192,FlowCalNumber,0),1,1)*P195^INDEX(FlowCalConstB,MATCH(N192,FlowCalNumber,0),1,1)&lt;INDEX(FlowCalHighSetting,MATCH(N192,FlowCalNumber,0),1,1))),INDEX(FlowCalConstA,MATCH(N192,FlowCalNumber,0),1,1)*P195^INDEX(FlowCalConstB,MATCH(N192,FlowCalNumber,0),1,1)," ")</f>
        <v>#N/A</v>
      </c>
      <c r="R195" s="1224"/>
      <c r="S195" s="1217">
        <f t="shared" si="94"/>
        <v>1</v>
      </c>
      <c r="T195" s="1218" t="e">
        <f t="shared" ca="1" si="95"/>
        <v>#VALUE!</v>
      </c>
      <c r="U195" s="1219" t="e">
        <f ca="1">IF(AND(INDEX(FlowCalConstA,MATCH(R192,FlowCalNumber,0),1,1)*T195^INDEX(FlowCalConstB,MATCH(R192,FlowCalNumber,0),1,1)&gt;INDEX(FlowCalLowSetting,MATCH(R192,FlowCalNumber,0),1,1), (INDEX(FlowCalConstA,MATCH(R192,FlowCalNumber,0),1,1)*T195^INDEX(FlowCalConstB,MATCH(R192,FlowCalNumber,0),1,1)&lt;INDEX(FlowCalHighSetting,MATCH(R192,FlowCalNumber,0),1,1))),INDEX(FlowCalConstA,MATCH(R192,FlowCalNumber,0),1,1)*T195^INDEX(FlowCalConstB,MATCH(R192,FlowCalNumber,0),1,1)," ")</f>
        <v>#N/A</v>
      </c>
      <c r="V195" s="1224"/>
      <c r="W195" s="1217"/>
      <c r="X195" s="1218"/>
      <c r="Y195" s="1219"/>
      <c r="Z195" s="1224"/>
      <c r="AA195" s="1217"/>
      <c r="AB195" s="1218"/>
      <c r="AC195" s="1219"/>
      <c r="AD195" s="1224"/>
      <c r="AE195" s="1217"/>
      <c r="AF195" s="1218"/>
      <c r="AG195" s="1219"/>
      <c r="AH195" s="1224"/>
      <c r="AI195" s="1217"/>
      <c r="AJ195" s="1218"/>
      <c r="AK195" s="1220"/>
      <c r="AL195" s="1219"/>
      <c r="AM195" s="1219"/>
      <c r="AN195" s="1219"/>
      <c r="AO195" s="1219"/>
      <c r="AP195" s="1219"/>
      <c r="AQ195" s="1219"/>
      <c r="AR195" s="1219"/>
      <c r="AS195" s="1219"/>
      <c r="AT195" s="1219"/>
      <c r="AU195" s="1219"/>
      <c r="AV195" s="1219"/>
      <c r="AW195" s="1219"/>
      <c r="AX195" s="1219"/>
      <c r="AY195" s="1219"/>
      <c r="AZ195" s="1219"/>
      <c r="BA195" s="1219"/>
      <c r="BB195" s="1219"/>
      <c r="BC195" s="1219"/>
      <c r="BD195" s="1219"/>
      <c r="BE195" s="1219"/>
      <c r="BF195" s="1219"/>
      <c r="BG195" s="1219"/>
      <c r="BH195" s="1219"/>
      <c r="BI195" s="1219"/>
      <c r="BJ195" s="1219"/>
      <c r="BK195" s="1219"/>
      <c r="BL195" s="1219"/>
      <c r="BM195" s="1219"/>
      <c r="BN195" s="1219"/>
      <c r="BO195" s="1219"/>
      <c r="BP195" s="1219"/>
      <c r="BQ195" s="1219"/>
      <c r="BR195" s="1219"/>
      <c r="BS195" s="1219"/>
      <c r="BU195" s="1217"/>
      <c r="BW195" s="1219"/>
      <c r="BY195" s="1217"/>
      <c r="CA195" s="1219"/>
      <c r="CC195" s="1217"/>
      <c r="CE195" s="1219"/>
      <c r="CG195" s="1217"/>
      <c r="CI195" s="1219"/>
    </row>
    <row r="196" spans="1:87">
      <c r="A196" s="20"/>
      <c r="B196" s="124" t="str">
        <f t="shared" si="88"/>
        <v/>
      </c>
      <c r="C196" s="235"/>
      <c r="D196" s="24">
        <f>'1% Wind'!$M$85</f>
        <v>17.8</v>
      </c>
      <c r="E196" s="90"/>
      <c r="F196" s="90"/>
      <c r="G196" s="79">
        <f ca="1">IF(I192=0.9743,$G195,MAX(G195/D195*D196,2))</f>
        <v>2</v>
      </c>
      <c r="H196" s="121" t="e">
        <f t="shared" ca="1" si="89"/>
        <v>#VALUE!</v>
      </c>
      <c r="J196" s="33"/>
      <c r="K196" s="242">
        <f t="shared" si="90"/>
        <v>1</v>
      </c>
      <c r="L196" s="241" t="e">
        <f t="shared" ca="1" si="91"/>
        <v>#VALUE!</v>
      </c>
      <c r="M196" s="243" t="e">
        <f ca="1">IF(AND(INDEX(FlowCalConstA,MATCH(J192,FlowCalNumber,0),1,1)*L196^INDEX(FlowCalConstB,MATCH(J192,FlowCalNumber,0),1,1)&gt;INDEX(FlowCalLowSetting,MATCH(J192,FlowCalNumber,0),1,1), (INDEX(FlowCalConstA,MATCH(J192,FlowCalNumber,0),1,1)*L196^INDEX(FlowCalConstB,MATCH(J192,FlowCalNumber,0),1,1)&lt;INDEX(FlowCalHighSetting,MATCH(J192,FlowCalNumber,0),1,1))),INDEX(FlowCalConstA,MATCH(J192,FlowCalNumber,0),1,1)*L196^INDEX(FlowCalConstB,MATCH(J192,FlowCalNumber,0),1,1)," ")</f>
        <v>#N/A</v>
      </c>
      <c r="N196" s="33"/>
      <c r="O196" s="242">
        <f t="shared" si="92"/>
        <v>1</v>
      </c>
      <c r="P196" s="241" t="e">
        <f t="shared" ca="1" si="93"/>
        <v>#VALUE!</v>
      </c>
      <c r="Q196" s="243" t="e">
        <f ca="1">IF(AND(INDEX(FlowCalConstA,MATCH(N192,FlowCalNumber,0),1,1)*P196^INDEX(FlowCalConstB,MATCH(N192,FlowCalNumber,0),1,1)&gt;INDEX(FlowCalLowSetting,MATCH(N192,FlowCalNumber,0),1,1), (INDEX(FlowCalConstA,MATCH(N192,FlowCalNumber,0),1,1)*P196^INDEX(FlowCalConstB,MATCH(N192,FlowCalNumber,0),1,1)&lt;INDEX(FlowCalHighSetting,MATCH(N192,FlowCalNumber,0),1,1))),INDEX(FlowCalConstA,MATCH(N192,FlowCalNumber,0),1,1)*P196^INDEX(FlowCalConstB,MATCH(N192,FlowCalNumber,0),1,1)," ")</f>
        <v>#N/A</v>
      </c>
      <c r="R196" s="33"/>
      <c r="S196" s="242">
        <f t="shared" si="94"/>
        <v>1</v>
      </c>
      <c r="T196" s="241" t="e">
        <f t="shared" ca="1" si="95"/>
        <v>#VALUE!</v>
      </c>
      <c r="U196" s="243" t="e">
        <f ca="1">IF(AND(INDEX(FlowCalConstA,MATCH(R192,FlowCalNumber,0),1,1)*T196^INDEX(FlowCalConstB,MATCH(R192,FlowCalNumber,0),1,1)&gt;INDEX(FlowCalLowSetting,MATCH(R192,FlowCalNumber,0),1,1), (INDEX(FlowCalConstA,MATCH(R192,FlowCalNumber,0),1,1)*T196^INDEX(FlowCalConstB,MATCH(R192,FlowCalNumber,0),1,1)&lt;INDEX(FlowCalHighSetting,MATCH(R192,FlowCalNumber,0),1,1))),INDEX(FlowCalConstA,MATCH(R192,FlowCalNumber,0),1,1)*T196^INDEX(FlowCalConstB,MATCH(R192,FlowCalNumber,0),1,1)," ")</f>
        <v>#N/A</v>
      </c>
      <c r="V196" s="33"/>
      <c r="W196" s="242"/>
      <c r="X196" s="241"/>
      <c r="Y196" s="243"/>
      <c r="Z196" s="33"/>
      <c r="AA196" s="242"/>
      <c r="AB196" s="241"/>
      <c r="AC196" s="243"/>
      <c r="AD196" s="33"/>
      <c r="AE196" s="242"/>
      <c r="AF196" s="241"/>
      <c r="AG196" s="243"/>
      <c r="AH196" s="33"/>
      <c r="AI196" s="242"/>
      <c r="AJ196" s="241"/>
      <c r="AK196" s="244"/>
      <c r="AL196" s="243"/>
      <c r="AM196" s="243"/>
      <c r="AN196" s="243"/>
      <c r="AO196" s="243"/>
      <c r="AP196" s="243"/>
      <c r="AQ196" s="243"/>
      <c r="AR196" s="243"/>
      <c r="AS196" s="243"/>
      <c r="AT196" s="243"/>
      <c r="AU196" s="243"/>
      <c r="AV196" s="243"/>
      <c r="AW196" s="243"/>
      <c r="AX196" s="243"/>
      <c r="AY196" s="243"/>
      <c r="AZ196" s="243"/>
      <c r="BA196" s="243"/>
      <c r="BB196" s="243"/>
      <c r="BC196" s="243"/>
      <c r="BD196" s="243"/>
      <c r="BE196" s="243"/>
      <c r="BF196" s="243"/>
      <c r="BG196" s="243"/>
      <c r="BH196" s="243"/>
      <c r="BI196" s="243"/>
      <c r="BJ196" s="243"/>
      <c r="BK196" s="243"/>
      <c r="BL196" s="243"/>
      <c r="BM196" s="243"/>
      <c r="BN196" s="243"/>
      <c r="BO196" s="243"/>
      <c r="BP196" s="243"/>
      <c r="BQ196" s="243"/>
      <c r="BR196" s="243"/>
      <c r="BS196" s="243"/>
      <c r="BU196" s="242"/>
      <c r="BW196" s="243"/>
      <c r="BY196" s="242"/>
      <c r="CA196" s="243"/>
      <c r="CC196" s="242"/>
      <c r="CE196" s="243"/>
      <c r="CG196" s="242"/>
      <c r="CI196" s="243"/>
    </row>
    <row r="197" spans="1:87" s="1215" customFormat="1">
      <c r="A197" s="1222"/>
      <c r="B197" s="1223" t="str">
        <f t="shared" si="88"/>
        <v/>
      </c>
      <c r="C197" s="1210"/>
      <c r="D197" s="1211">
        <f>'1% Wind'!$M$86</f>
        <v>15.5</v>
      </c>
      <c r="E197" s="1212"/>
      <c r="F197" s="1212"/>
      <c r="G197" s="1213">
        <f ca="1">IF(I192=0.9743,$G196,MAX(G196/D196*D197,2))</f>
        <v>2</v>
      </c>
      <c r="H197" s="1214" t="e">
        <f t="shared" ca="1" si="89"/>
        <v>#VALUE!</v>
      </c>
      <c r="J197" s="1224"/>
      <c r="K197" s="1217">
        <f t="shared" si="90"/>
        <v>1</v>
      </c>
      <c r="L197" s="1218" t="e">
        <f t="shared" ca="1" si="91"/>
        <v>#VALUE!</v>
      </c>
      <c r="M197" s="1219" t="e">
        <f ca="1">IF(AND(INDEX(FlowCalConstA,MATCH(J192,FlowCalNumber,0),1,1)*L197^INDEX(FlowCalConstB,MATCH(J192,FlowCalNumber,0),1,1)&gt;INDEX(FlowCalLowSetting,MATCH(J192,FlowCalNumber,0),1,1), (INDEX(FlowCalConstA,MATCH(J192,FlowCalNumber,0),1,1)*L197^INDEX(FlowCalConstB,MATCH(J192,FlowCalNumber,0),1,1)&lt;INDEX(FlowCalHighSetting,MATCH(J192,FlowCalNumber,0),1,1))),INDEX(FlowCalConstA,MATCH(J192,FlowCalNumber,0),1,1)*L197^INDEX(FlowCalConstB,MATCH(J192,FlowCalNumber,0),1,1)," ")</f>
        <v>#N/A</v>
      </c>
      <c r="N197" s="1224"/>
      <c r="O197" s="1217">
        <f t="shared" si="92"/>
        <v>1</v>
      </c>
      <c r="P197" s="1218" t="e">
        <f t="shared" ca="1" si="93"/>
        <v>#VALUE!</v>
      </c>
      <c r="Q197" s="1219" t="e">
        <f ca="1">IF(AND(INDEX(FlowCalConstA,MATCH(N192,FlowCalNumber,0),1,1)*P197^INDEX(FlowCalConstB,MATCH(N192,FlowCalNumber,0),1,1)&gt;INDEX(FlowCalLowSetting,MATCH(N192,FlowCalNumber,0),1,1), (INDEX(FlowCalConstA,MATCH(N192,FlowCalNumber,0),1,1)*P197^INDEX(FlowCalConstB,MATCH(N192,FlowCalNumber,0),1,1)&lt;INDEX(FlowCalHighSetting,MATCH(N192,FlowCalNumber,0),1,1))),INDEX(FlowCalConstA,MATCH(N192,FlowCalNumber,0),1,1)*P197^INDEX(FlowCalConstB,MATCH(N192,FlowCalNumber,0),1,1)," ")</f>
        <v>#N/A</v>
      </c>
      <c r="R197" s="1224"/>
      <c r="S197" s="1217">
        <f t="shared" si="94"/>
        <v>1</v>
      </c>
      <c r="T197" s="1218" t="e">
        <f t="shared" ca="1" si="95"/>
        <v>#VALUE!</v>
      </c>
      <c r="U197" s="1219" t="e">
        <f ca="1">IF(AND(INDEX(FlowCalConstA,MATCH(R192,FlowCalNumber,0),1,1)*T197^INDEX(FlowCalConstB,MATCH(R192,FlowCalNumber,0),1,1)&gt;INDEX(FlowCalLowSetting,MATCH(R192,FlowCalNumber,0),1,1), (INDEX(FlowCalConstA,MATCH(R192,FlowCalNumber,0),1,1)*T197^INDEX(FlowCalConstB,MATCH(R192,FlowCalNumber,0),1,1)&lt;INDEX(FlowCalHighSetting,MATCH(R192,FlowCalNumber,0),1,1))),INDEX(FlowCalConstA,MATCH(R192,FlowCalNumber,0),1,1)*T197^INDEX(FlowCalConstB,MATCH(R192,FlowCalNumber,0),1,1)," ")</f>
        <v>#N/A</v>
      </c>
      <c r="V197" s="1224"/>
      <c r="W197" s="1217"/>
      <c r="X197" s="1218"/>
      <c r="Y197" s="1219"/>
      <c r="Z197" s="1224"/>
      <c r="AA197" s="1217"/>
      <c r="AB197" s="1218"/>
      <c r="AC197" s="1219"/>
      <c r="AD197" s="1224"/>
      <c r="AE197" s="1217"/>
      <c r="AF197" s="1218"/>
      <c r="AG197" s="1219"/>
      <c r="AH197" s="1224"/>
      <c r="AI197" s="1217"/>
      <c r="AJ197" s="1218"/>
      <c r="AK197" s="1220"/>
      <c r="AL197" s="1219"/>
      <c r="AM197" s="1219"/>
      <c r="AN197" s="1219"/>
      <c r="AO197" s="1219"/>
      <c r="AP197" s="1219"/>
      <c r="AQ197" s="1219"/>
      <c r="AR197" s="1219"/>
      <c r="AS197" s="1219"/>
      <c r="AT197" s="1219"/>
      <c r="AU197" s="1219"/>
      <c r="AV197" s="1219"/>
      <c r="AW197" s="1219"/>
      <c r="AX197" s="1219"/>
      <c r="AY197" s="1219"/>
      <c r="AZ197" s="1219"/>
      <c r="BA197" s="1219"/>
      <c r="BB197" s="1219"/>
      <c r="BC197" s="1219"/>
      <c r="BD197" s="1219"/>
      <c r="BE197" s="1219"/>
      <c r="BF197" s="1219"/>
      <c r="BG197" s="1219"/>
      <c r="BH197" s="1219"/>
      <c r="BI197" s="1219"/>
      <c r="BJ197" s="1219"/>
      <c r="BK197" s="1219"/>
      <c r="BL197" s="1219"/>
      <c r="BM197" s="1219"/>
      <c r="BN197" s="1219"/>
      <c r="BO197" s="1219"/>
      <c r="BP197" s="1219"/>
      <c r="BQ197" s="1219"/>
      <c r="BR197" s="1219"/>
      <c r="BS197" s="1219"/>
      <c r="BU197" s="1217"/>
      <c r="BW197" s="1219"/>
      <c r="BY197" s="1217"/>
      <c r="CA197" s="1219"/>
      <c r="CC197" s="1217"/>
      <c r="CE197" s="1219"/>
      <c r="CG197" s="1217"/>
      <c r="CI197" s="1219"/>
    </row>
    <row r="198" spans="1:87">
      <c r="A198" s="20"/>
      <c r="B198" s="124" t="str">
        <f t="shared" si="88"/>
        <v/>
      </c>
      <c r="C198" s="235"/>
      <c r="D198" s="24">
        <f>'1% Wind'!$M$87</f>
        <v>13.5</v>
      </c>
      <c r="E198" s="90"/>
      <c r="F198" s="90"/>
      <c r="G198" s="79">
        <f ca="1">IF(I192=0.9743,$G197,MAX(G197/D197*D198,2))</f>
        <v>2</v>
      </c>
      <c r="H198" s="121" t="e">
        <f t="shared" ca="1" si="89"/>
        <v>#VALUE!</v>
      </c>
      <c r="J198" s="33"/>
      <c r="K198" s="242">
        <f t="shared" si="90"/>
        <v>1</v>
      </c>
      <c r="L198" s="241" t="e">
        <f t="shared" ca="1" si="91"/>
        <v>#VALUE!</v>
      </c>
      <c r="M198" s="243" t="e">
        <f ca="1">IF(AND(INDEX(FlowCalConstA,MATCH(J192,FlowCalNumber,0),1,1)*L198^INDEX(FlowCalConstB,MATCH(J192,FlowCalNumber,0),1,1)&gt;INDEX(FlowCalLowSetting,MATCH(J192,FlowCalNumber,0),1,1), (INDEX(FlowCalConstA,MATCH(J192,FlowCalNumber,0),1,1)*L198^INDEX(FlowCalConstB,MATCH(J192,FlowCalNumber,0),1,1)&lt;INDEX(FlowCalHighSetting,MATCH(J192,FlowCalNumber,0),1,1))),INDEX(FlowCalConstA,MATCH(J192,FlowCalNumber,0),1,1)*L198^INDEX(FlowCalConstB,MATCH(J192,FlowCalNumber,0),1,1)," ")</f>
        <v>#N/A</v>
      </c>
      <c r="N198" s="33"/>
      <c r="O198" s="242">
        <f t="shared" si="92"/>
        <v>1</v>
      </c>
      <c r="P198" s="241" t="e">
        <f t="shared" ca="1" si="93"/>
        <v>#VALUE!</v>
      </c>
      <c r="Q198" s="243" t="e">
        <f ca="1">IF(AND(INDEX(FlowCalConstA,MATCH(N192,FlowCalNumber,0),1,1)*P198^INDEX(FlowCalConstB,MATCH(N192,FlowCalNumber,0),1,1)&gt;INDEX(FlowCalLowSetting,MATCH(N192,FlowCalNumber,0),1,1), (INDEX(FlowCalConstA,MATCH(N192,FlowCalNumber,0),1,1)*P198^INDEX(FlowCalConstB,MATCH(N192,FlowCalNumber,0),1,1)&lt;INDEX(FlowCalHighSetting,MATCH(N192,FlowCalNumber,0),1,1))),INDEX(FlowCalConstA,MATCH(N192,FlowCalNumber,0),1,1)*P198^INDEX(FlowCalConstB,MATCH(N192,FlowCalNumber,0),1,1)," ")</f>
        <v>#N/A</v>
      </c>
      <c r="R198" s="33"/>
      <c r="S198" s="242">
        <f t="shared" si="94"/>
        <v>1</v>
      </c>
      <c r="T198" s="241" t="e">
        <f t="shared" ca="1" si="95"/>
        <v>#VALUE!</v>
      </c>
      <c r="U198" s="243" t="e">
        <f ca="1">IF(AND(INDEX(FlowCalConstA,MATCH(R192,FlowCalNumber,0),1,1)*T198^INDEX(FlowCalConstB,MATCH(R192,FlowCalNumber,0),1,1)&gt;INDEX(FlowCalLowSetting,MATCH(R192,FlowCalNumber,0),1,1), (INDEX(FlowCalConstA,MATCH(R192,FlowCalNumber,0),1,1)*T198^INDEX(FlowCalConstB,MATCH(R192,FlowCalNumber,0),1,1)&lt;INDEX(FlowCalHighSetting,MATCH(R192,FlowCalNumber,0),1,1))),INDEX(FlowCalConstA,MATCH(R192,FlowCalNumber,0),1,1)*T198^INDEX(FlowCalConstB,MATCH(R192,FlowCalNumber,0),1,1)," ")</f>
        <v>#N/A</v>
      </c>
      <c r="V198" s="33"/>
      <c r="W198" s="242"/>
      <c r="X198" s="241"/>
      <c r="Y198" s="243"/>
      <c r="Z198" s="33"/>
      <c r="AA198" s="242"/>
      <c r="AB198" s="241"/>
      <c r="AC198" s="243"/>
      <c r="AD198" s="33"/>
      <c r="AE198" s="242"/>
      <c r="AF198" s="241"/>
      <c r="AG198" s="243"/>
      <c r="AH198" s="33"/>
      <c r="AI198" s="242"/>
      <c r="AJ198" s="241"/>
      <c r="AK198" s="244"/>
      <c r="AL198" s="243"/>
      <c r="AM198" s="243"/>
      <c r="AN198" s="243"/>
      <c r="AO198" s="243"/>
      <c r="AP198" s="243"/>
      <c r="AQ198" s="243"/>
      <c r="AR198" s="243"/>
      <c r="AS198" s="243"/>
      <c r="AT198" s="243"/>
      <c r="AU198" s="243"/>
      <c r="AV198" s="243"/>
      <c r="AW198" s="243"/>
      <c r="AX198" s="243"/>
      <c r="AY198" s="243"/>
      <c r="AZ198" s="243"/>
      <c r="BA198" s="243"/>
      <c r="BB198" s="243"/>
      <c r="BC198" s="243"/>
      <c r="BD198" s="243"/>
      <c r="BE198" s="243"/>
      <c r="BF198" s="243"/>
      <c r="BG198" s="243"/>
      <c r="BH198" s="243"/>
      <c r="BI198" s="243"/>
      <c r="BJ198" s="243"/>
      <c r="BK198" s="243"/>
      <c r="BL198" s="243"/>
      <c r="BM198" s="243"/>
      <c r="BN198" s="243"/>
      <c r="BO198" s="243"/>
      <c r="BP198" s="243"/>
      <c r="BQ198" s="243"/>
      <c r="BR198" s="243"/>
      <c r="BS198" s="243"/>
      <c r="BU198" s="242"/>
      <c r="BW198" s="243"/>
      <c r="BY198" s="242"/>
      <c r="CA198" s="243"/>
      <c r="CC198" s="242"/>
      <c r="CE198" s="243"/>
      <c r="CG198" s="242"/>
      <c r="CI198" s="243"/>
    </row>
    <row r="199" spans="1:87" s="1215" customFormat="1">
      <c r="A199" s="1222"/>
      <c r="B199" s="1223" t="str">
        <f t="shared" si="88"/>
        <v/>
      </c>
      <c r="C199" s="1210"/>
      <c r="D199" s="1211">
        <f>'1% Wind'!$M$88</f>
        <v>10.1</v>
      </c>
      <c r="E199" s="1212"/>
      <c r="F199" s="1212"/>
      <c r="G199" s="1213">
        <f ca="1">IF(I192=0.9743,$G198,MAX(G198/D198*D199,2))</f>
        <v>2</v>
      </c>
      <c r="H199" s="1214" t="e">
        <f t="shared" ca="1" si="89"/>
        <v>#VALUE!</v>
      </c>
      <c r="J199" s="1224"/>
      <c r="K199" s="1217">
        <f t="shared" si="90"/>
        <v>1</v>
      </c>
      <c r="L199" s="1218" t="e">
        <f t="shared" ca="1" si="91"/>
        <v>#VALUE!</v>
      </c>
      <c r="M199" s="1219" t="e">
        <f ca="1">IF(AND(INDEX(FlowCalConstA,MATCH(J192,FlowCalNumber,0),1,1)*L199^INDEX(FlowCalConstB,MATCH(J192,FlowCalNumber,0),1,1)&gt;INDEX(FlowCalLowSetting,MATCH(J192,FlowCalNumber,0),1,1), (INDEX(FlowCalConstA,MATCH(J192,FlowCalNumber,0),1,1)*L199^INDEX(FlowCalConstB,MATCH(J192,FlowCalNumber,0),1,1)&lt;INDEX(FlowCalHighSetting,MATCH(J192,FlowCalNumber,0),1,1))),INDEX(FlowCalConstA,MATCH(J192,FlowCalNumber,0),1,1)*L199^INDEX(FlowCalConstB,MATCH(J192,FlowCalNumber,0),1,1)," ")</f>
        <v>#N/A</v>
      </c>
      <c r="N199" s="1224"/>
      <c r="O199" s="1217">
        <f t="shared" si="92"/>
        <v>1</v>
      </c>
      <c r="P199" s="1218" t="e">
        <f t="shared" ca="1" si="93"/>
        <v>#VALUE!</v>
      </c>
      <c r="Q199" s="1219" t="e">
        <f ca="1">IF(AND(INDEX(FlowCalConstA,MATCH(N192,FlowCalNumber,0),1,1)*P199^INDEX(FlowCalConstB,MATCH(N192,FlowCalNumber,0),1,1)&gt;INDEX(FlowCalLowSetting,MATCH(N192,FlowCalNumber,0),1,1), (INDEX(FlowCalConstA,MATCH(N192,FlowCalNumber,0),1,1)*P199^INDEX(FlowCalConstB,MATCH(N192,FlowCalNumber,0),1,1)&lt;INDEX(FlowCalHighSetting,MATCH(N192,FlowCalNumber,0),1,1))),INDEX(FlowCalConstA,MATCH(N192,FlowCalNumber,0),1,1)*P199^INDEX(FlowCalConstB,MATCH(N192,FlowCalNumber,0),1,1)," ")</f>
        <v>#N/A</v>
      </c>
      <c r="R199" s="1224"/>
      <c r="S199" s="1217">
        <f t="shared" si="94"/>
        <v>1</v>
      </c>
      <c r="T199" s="1218" t="e">
        <f t="shared" ca="1" si="95"/>
        <v>#VALUE!</v>
      </c>
      <c r="U199" s="1219" t="e">
        <f ca="1">IF(AND(INDEX(FlowCalConstA,MATCH(R192,FlowCalNumber,0),1,1)*T199^INDEX(FlowCalConstB,MATCH(R192,FlowCalNumber,0),1,1)&gt;INDEX(FlowCalLowSetting,MATCH(R192,FlowCalNumber,0),1,1), (INDEX(FlowCalConstA,MATCH(R192,FlowCalNumber,0),1,1)*T199^INDEX(FlowCalConstB,MATCH(R192,FlowCalNumber,0),1,1)&lt;INDEX(FlowCalHighSetting,MATCH(R192,FlowCalNumber,0),1,1))),INDEX(FlowCalConstA,MATCH(R192,FlowCalNumber,0),1,1)*T199^INDEX(FlowCalConstB,MATCH(R192,FlowCalNumber,0),1,1)," ")</f>
        <v>#N/A</v>
      </c>
      <c r="V199" s="1224"/>
      <c r="W199" s="1217"/>
      <c r="X199" s="1218"/>
      <c r="Y199" s="1219"/>
      <c r="Z199" s="1224"/>
      <c r="AA199" s="1217"/>
      <c r="AB199" s="1218"/>
      <c r="AC199" s="1219"/>
      <c r="AD199" s="1224"/>
      <c r="AE199" s="1217"/>
      <c r="AF199" s="1218"/>
      <c r="AG199" s="1219"/>
      <c r="AH199" s="1224"/>
      <c r="AI199" s="1217"/>
      <c r="AJ199" s="1218"/>
      <c r="AK199" s="1220"/>
      <c r="AL199" s="1219"/>
      <c r="AM199" s="1219"/>
      <c r="AN199" s="1219"/>
      <c r="AO199" s="1219"/>
      <c r="AP199" s="1219"/>
      <c r="AQ199" s="1219"/>
      <c r="AR199" s="1219"/>
      <c r="AS199" s="1219"/>
      <c r="AT199" s="1219"/>
      <c r="AU199" s="1219"/>
      <c r="AV199" s="1219"/>
      <c r="AW199" s="1219"/>
      <c r="AX199" s="1219"/>
      <c r="AY199" s="1219"/>
      <c r="AZ199" s="1219"/>
      <c r="BA199" s="1219"/>
      <c r="BB199" s="1219"/>
      <c r="BC199" s="1219"/>
      <c r="BD199" s="1219"/>
      <c r="BE199" s="1219"/>
      <c r="BF199" s="1219"/>
      <c r="BG199" s="1219"/>
      <c r="BH199" s="1219"/>
      <c r="BI199" s="1219"/>
      <c r="BJ199" s="1219"/>
      <c r="BK199" s="1219"/>
      <c r="BL199" s="1219"/>
      <c r="BM199" s="1219"/>
      <c r="BN199" s="1219"/>
      <c r="BO199" s="1219"/>
      <c r="BP199" s="1219"/>
      <c r="BQ199" s="1219"/>
      <c r="BR199" s="1219"/>
      <c r="BS199" s="1219"/>
      <c r="BU199" s="1217"/>
      <c r="BW199" s="1219"/>
      <c r="BY199" s="1217"/>
      <c r="CA199" s="1219"/>
      <c r="CC199" s="1217"/>
      <c r="CE199" s="1219"/>
      <c r="CG199" s="1217"/>
      <c r="CI199" s="1219"/>
    </row>
    <row r="200" spans="1:87">
      <c r="A200" s="20"/>
      <c r="B200" s="124" t="str">
        <f t="shared" si="88"/>
        <v/>
      </c>
      <c r="C200" s="235"/>
      <c r="D200" s="24">
        <f>'1% Wind'!$M$89</f>
        <v>7.6</v>
      </c>
      <c r="E200" s="90"/>
      <c r="F200" s="90"/>
      <c r="G200" s="79">
        <f ca="1">IF(I192=0.9743,$G199,MAX(G199/D199*D200,2))</f>
        <v>2</v>
      </c>
      <c r="H200" s="121" t="e">
        <f t="shared" ca="1" si="89"/>
        <v>#VALUE!</v>
      </c>
      <c r="J200" s="33"/>
      <c r="K200" s="242">
        <f t="shared" si="90"/>
        <v>1</v>
      </c>
      <c r="L200" s="241" t="e">
        <f t="shared" ca="1" si="91"/>
        <v>#VALUE!</v>
      </c>
      <c r="M200" s="243" t="e">
        <f ca="1">IF(AND(INDEX(FlowCalConstA,MATCH(J192,FlowCalNumber,0),1,1)*L200^INDEX(FlowCalConstB,MATCH(J192,FlowCalNumber,0),1,1)&gt;INDEX(FlowCalLowSetting,MATCH(J192,FlowCalNumber,0),1,1), (INDEX(FlowCalConstA,MATCH(J192,FlowCalNumber,0),1,1)*L200^INDEX(FlowCalConstB,MATCH(J192,FlowCalNumber,0),1,1)&lt;INDEX(FlowCalHighSetting,MATCH(J192,FlowCalNumber,0),1,1))),INDEX(FlowCalConstA,MATCH(J192,FlowCalNumber,0),1,1)*L200^INDEX(FlowCalConstB,MATCH(J192,FlowCalNumber,0),1,1)," ")</f>
        <v>#N/A</v>
      </c>
      <c r="N200" s="33"/>
      <c r="O200" s="242">
        <f t="shared" si="92"/>
        <v>1</v>
      </c>
      <c r="P200" s="241" t="e">
        <f t="shared" ca="1" si="93"/>
        <v>#VALUE!</v>
      </c>
      <c r="Q200" s="243" t="e">
        <f ca="1">IF(AND(INDEX(FlowCalConstA,MATCH(N192,FlowCalNumber,0),1,1)*P200^INDEX(FlowCalConstB,MATCH(N192,FlowCalNumber,0),1,1)&gt;INDEX(FlowCalLowSetting,MATCH(N192,FlowCalNumber,0),1,1), (INDEX(FlowCalConstA,MATCH(N192,FlowCalNumber,0),1,1)*P200^INDEX(FlowCalConstB,MATCH(N192,FlowCalNumber,0),1,1)&lt;INDEX(FlowCalHighSetting,MATCH(N192,FlowCalNumber,0),1,1))),INDEX(FlowCalConstA,MATCH(N192,FlowCalNumber,0),1,1)*P200^INDEX(FlowCalConstB,MATCH(N192,FlowCalNumber,0),1,1)," ")</f>
        <v>#N/A</v>
      </c>
      <c r="R200" s="33"/>
      <c r="S200" s="242">
        <f t="shared" si="94"/>
        <v>1</v>
      </c>
      <c r="T200" s="241" t="e">
        <f t="shared" ca="1" si="95"/>
        <v>#VALUE!</v>
      </c>
      <c r="U200" s="243" t="e">
        <f ca="1">IF(AND(INDEX(FlowCalConstA,MATCH(R192,FlowCalNumber,0),1,1)*T200^INDEX(FlowCalConstB,MATCH(R192,FlowCalNumber,0),1,1)&gt;INDEX(FlowCalLowSetting,MATCH(R192,FlowCalNumber,0),1,1), (INDEX(FlowCalConstA,MATCH(R192,FlowCalNumber,0),1,1)*T200^INDEX(FlowCalConstB,MATCH(R192,FlowCalNumber,0),1,1)&lt;INDEX(FlowCalHighSetting,MATCH(R192,FlowCalNumber,0),1,1))),INDEX(FlowCalConstA,MATCH(R192,FlowCalNumber,0),1,1)*T200^INDEX(FlowCalConstB,MATCH(R192,FlowCalNumber,0),1,1)," ")</f>
        <v>#N/A</v>
      </c>
      <c r="V200" s="33"/>
      <c r="W200" s="242"/>
      <c r="X200" s="241"/>
      <c r="Y200" s="243"/>
      <c r="Z200" s="33"/>
      <c r="AA200" s="242"/>
      <c r="AB200" s="241"/>
      <c r="AC200" s="243"/>
      <c r="AD200" s="33"/>
      <c r="AE200" s="242"/>
      <c r="AF200" s="241"/>
      <c r="AG200" s="243"/>
      <c r="AH200" s="33"/>
      <c r="AI200" s="242"/>
      <c r="AJ200" s="241"/>
      <c r="AK200" s="244"/>
      <c r="AL200" s="243"/>
      <c r="AM200" s="243"/>
      <c r="AN200" s="243"/>
      <c r="AO200" s="243"/>
      <c r="AP200" s="243"/>
      <c r="AQ200" s="243"/>
      <c r="AR200" s="243"/>
      <c r="AS200" s="243"/>
      <c r="AT200" s="243"/>
      <c r="AU200" s="243"/>
      <c r="AV200" s="243"/>
      <c r="AW200" s="243"/>
      <c r="AX200" s="243"/>
      <c r="AY200" s="243"/>
      <c r="AZ200" s="243"/>
      <c r="BA200" s="243"/>
      <c r="BB200" s="243"/>
      <c r="BC200" s="243"/>
      <c r="BD200" s="243"/>
      <c r="BE200" s="243"/>
      <c r="BF200" s="243"/>
      <c r="BG200" s="243"/>
      <c r="BH200" s="243"/>
      <c r="BI200" s="243"/>
      <c r="BJ200" s="243"/>
      <c r="BK200" s="243"/>
      <c r="BL200" s="243"/>
      <c r="BM200" s="243"/>
      <c r="BN200" s="243"/>
      <c r="BO200" s="243"/>
      <c r="BP200" s="243"/>
      <c r="BQ200" s="243"/>
      <c r="BR200" s="243"/>
      <c r="BS200" s="243"/>
      <c r="BU200" s="242"/>
      <c r="BW200" s="243"/>
      <c r="BY200" s="242"/>
      <c r="CA200" s="243"/>
      <c r="CC200" s="242"/>
      <c r="CE200" s="243"/>
      <c r="CG200" s="242"/>
      <c r="CI200" s="243"/>
    </row>
    <row r="201" spans="1:87" s="1215" customFormat="1">
      <c r="A201" s="1222"/>
      <c r="B201" s="1223" t="str">
        <f t="shared" si="88"/>
        <v/>
      </c>
      <c r="C201" s="1210"/>
      <c r="D201" s="1211">
        <f>'1% Wind'!$M$90</f>
        <v>5.7</v>
      </c>
      <c r="E201" s="1212"/>
      <c r="F201" s="1212"/>
      <c r="G201" s="1213">
        <f ca="1">IF(I192=0.9743,$G200,MAX(G200/D200*D201,2))</f>
        <v>2</v>
      </c>
      <c r="H201" s="1214" t="e">
        <f t="shared" ca="1" si="89"/>
        <v>#VALUE!</v>
      </c>
      <c r="J201" s="1224"/>
      <c r="K201" s="1217">
        <f t="shared" si="90"/>
        <v>1</v>
      </c>
      <c r="L201" s="1218" t="e">
        <f t="shared" ca="1" si="91"/>
        <v>#VALUE!</v>
      </c>
      <c r="M201" s="1219" t="e">
        <f ca="1">IF(AND(INDEX(FlowCalConstA,MATCH(J192,FlowCalNumber,0),1,1)*L201^INDEX(FlowCalConstB,MATCH(J192,FlowCalNumber,0),1,1)&gt;INDEX(FlowCalLowSetting,MATCH(J192,FlowCalNumber,0),1,1), (INDEX(FlowCalConstA,MATCH(J192,FlowCalNumber,0),1,1)*L201^INDEX(FlowCalConstB,MATCH(J192,FlowCalNumber,0),1,1)&lt;INDEX(FlowCalHighSetting,MATCH(J192,FlowCalNumber,0),1,1))),INDEX(FlowCalConstA,MATCH(J192,FlowCalNumber,0),1,1)*L201^INDEX(FlowCalConstB,MATCH(J192,FlowCalNumber,0),1,1)," ")</f>
        <v>#N/A</v>
      </c>
      <c r="N201" s="1224"/>
      <c r="O201" s="1217">
        <f t="shared" si="92"/>
        <v>1</v>
      </c>
      <c r="P201" s="1218" t="e">
        <f t="shared" ca="1" si="93"/>
        <v>#VALUE!</v>
      </c>
      <c r="Q201" s="1219" t="e">
        <f ca="1">IF(AND(INDEX(FlowCalConstA,MATCH(N192,FlowCalNumber,0),1,1)*P201^INDEX(FlowCalConstB,MATCH(N192,FlowCalNumber,0),1,1)&gt;INDEX(FlowCalLowSetting,MATCH(N192,FlowCalNumber,0),1,1), (INDEX(FlowCalConstA,MATCH(N192,FlowCalNumber,0),1,1)*P201^INDEX(FlowCalConstB,MATCH(N192,FlowCalNumber,0),1,1)&lt;INDEX(FlowCalHighSetting,MATCH(N192,FlowCalNumber,0),1,1))),INDEX(FlowCalConstA,MATCH(N192,FlowCalNumber,0),1,1)*P201^INDEX(FlowCalConstB,MATCH(N192,FlowCalNumber,0),1,1)," ")</f>
        <v>#N/A</v>
      </c>
      <c r="R201" s="1224"/>
      <c r="S201" s="1217">
        <f t="shared" si="94"/>
        <v>1</v>
      </c>
      <c r="T201" s="1218" t="e">
        <f t="shared" ca="1" si="95"/>
        <v>#VALUE!</v>
      </c>
      <c r="U201" s="1219" t="e">
        <f ca="1">IF(AND(INDEX(FlowCalConstA,MATCH(R192,FlowCalNumber,0),1,1)*T201^INDEX(FlowCalConstB,MATCH(R192,FlowCalNumber,0),1,1)&gt;INDEX(FlowCalLowSetting,MATCH(R192,FlowCalNumber,0),1,1), (INDEX(FlowCalConstA,MATCH(R192,FlowCalNumber,0),1,1)*T201^INDEX(FlowCalConstB,MATCH(R192,FlowCalNumber,0),1,1)&lt;INDEX(FlowCalHighSetting,MATCH(R192,FlowCalNumber,0),1,1))),INDEX(FlowCalConstA,MATCH(R192,FlowCalNumber,0),1,1)*T201^INDEX(FlowCalConstB,MATCH(R192,FlowCalNumber,0),1,1)," ")</f>
        <v>#N/A</v>
      </c>
      <c r="V201" s="1224"/>
      <c r="W201" s="1217"/>
      <c r="X201" s="1218"/>
      <c r="Y201" s="1219"/>
      <c r="Z201" s="1224"/>
      <c r="AA201" s="1217"/>
      <c r="AB201" s="1218"/>
      <c r="AC201" s="1219"/>
      <c r="AD201" s="1224"/>
      <c r="AE201" s="1217"/>
      <c r="AF201" s="1218"/>
      <c r="AG201" s="1219"/>
      <c r="AH201" s="1224"/>
      <c r="AI201" s="1217"/>
      <c r="AJ201" s="1218"/>
      <c r="AK201" s="1220"/>
      <c r="AL201" s="1219"/>
      <c r="AM201" s="1219"/>
      <c r="AN201" s="1219"/>
      <c r="AO201" s="1219"/>
      <c r="AP201" s="1219"/>
      <c r="AQ201" s="1219"/>
      <c r="AR201" s="1219"/>
      <c r="AS201" s="1219"/>
      <c r="AT201" s="1219"/>
      <c r="AU201" s="1219"/>
      <c r="AV201" s="1219"/>
      <c r="AW201" s="1219"/>
      <c r="AX201" s="1219"/>
      <c r="AY201" s="1219"/>
      <c r="AZ201" s="1219"/>
      <c r="BA201" s="1219"/>
      <c r="BB201" s="1219"/>
      <c r="BC201" s="1219"/>
      <c r="BD201" s="1219"/>
      <c r="BE201" s="1219"/>
      <c r="BF201" s="1219"/>
      <c r="BG201" s="1219"/>
      <c r="BH201" s="1219"/>
      <c r="BI201" s="1219"/>
      <c r="BJ201" s="1219"/>
      <c r="BK201" s="1219"/>
      <c r="BL201" s="1219"/>
      <c r="BM201" s="1219"/>
      <c r="BN201" s="1219"/>
      <c r="BO201" s="1219"/>
      <c r="BP201" s="1219"/>
      <c r="BQ201" s="1219"/>
      <c r="BR201" s="1219"/>
      <c r="BS201" s="1219"/>
      <c r="BU201" s="1217"/>
      <c r="BW201" s="1219"/>
      <c r="BY201" s="1217"/>
      <c r="CA201" s="1219"/>
      <c r="CC201" s="1217"/>
      <c r="CE201" s="1219"/>
      <c r="CG201" s="1217"/>
      <c r="CI201" s="1219"/>
    </row>
    <row r="202" spans="1:87">
      <c r="A202" s="20"/>
      <c r="B202" s="124" t="str">
        <f t="shared" si="88"/>
        <v/>
      </c>
      <c r="C202" s="235"/>
      <c r="D202" s="24">
        <f>'1% Wind'!$M$91</f>
        <v>4.2</v>
      </c>
      <c r="E202" s="90"/>
      <c r="F202" s="90"/>
      <c r="G202" s="79">
        <f ca="1">IF(I192=0.9743,$G201,MAX(G201/D201*D202,2))</f>
        <v>2</v>
      </c>
      <c r="H202" s="121" t="e">
        <f t="shared" ca="1" si="89"/>
        <v>#VALUE!</v>
      </c>
      <c r="J202" s="33"/>
      <c r="K202" s="242">
        <f t="shared" si="90"/>
        <v>1</v>
      </c>
      <c r="L202" s="241" t="e">
        <f t="shared" ca="1" si="91"/>
        <v>#VALUE!</v>
      </c>
      <c r="M202" s="243" t="e">
        <f ca="1">IF(AND(INDEX(FlowCalConstA,MATCH(J192,FlowCalNumber,0),1,1)*L202^INDEX(FlowCalConstB,MATCH(J192,FlowCalNumber,0),1,1)&gt;INDEX(FlowCalLowSetting,MATCH(J192,FlowCalNumber,0),1,1), (INDEX(FlowCalConstA,MATCH(J192,FlowCalNumber,0),1,1)*L202^INDEX(FlowCalConstB,MATCH(J192,FlowCalNumber,0),1,1)&lt;INDEX(FlowCalHighSetting,MATCH(J192,FlowCalNumber,0),1,1))),INDEX(FlowCalConstA,MATCH(J192,FlowCalNumber,0),1,1)*L202^INDEX(FlowCalConstB,MATCH(J192,FlowCalNumber,0),1,1)," ")</f>
        <v>#N/A</v>
      </c>
      <c r="N202" s="33"/>
      <c r="O202" s="242">
        <f t="shared" si="92"/>
        <v>1</v>
      </c>
      <c r="P202" s="241" t="e">
        <f t="shared" ca="1" si="93"/>
        <v>#VALUE!</v>
      </c>
      <c r="Q202" s="243" t="e">
        <f ca="1">IF(AND(INDEX(FlowCalConstA,MATCH(N192,FlowCalNumber,0),1,1)*P202^INDEX(FlowCalConstB,MATCH(N192,FlowCalNumber,0),1,1)&gt;INDEX(FlowCalLowSetting,MATCH(N192,FlowCalNumber,0),1,1), (INDEX(FlowCalConstA,MATCH(N192,FlowCalNumber,0),1,1)*P202^INDEX(FlowCalConstB,MATCH(N192,FlowCalNumber,0),1,1)&lt;INDEX(FlowCalHighSetting,MATCH(N192,FlowCalNumber,0),1,1))),INDEX(FlowCalConstA,MATCH(N192,FlowCalNumber,0),1,1)*P202^INDEX(FlowCalConstB,MATCH(N192,FlowCalNumber,0),1,1)," ")</f>
        <v>#N/A</v>
      </c>
      <c r="R202" s="33"/>
      <c r="S202" s="242">
        <f t="shared" si="94"/>
        <v>1</v>
      </c>
      <c r="T202" s="241" t="e">
        <f t="shared" ca="1" si="95"/>
        <v>#VALUE!</v>
      </c>
      <c r="U202" s="243" t="e">
        <f ca="1">IF(AND(INDEX(FlowCalConstA,MATCH(R192,FlowCalNumber,0),1,1)*T202^INDEX(FlowCalConstB,MATCH(R192,FlowCalNumber,0),1,1)&gt;INDEX(FlowCalLowSetting,MATCH(R192,FlowCalNumber,0),1,1), (INDEX(FlowCalConstA,MATCH(R192,FlowCalNumber,0),1,1)*T202^INDEX(FlowCalConstB,MATCH(R192,FlowCalNumber,0),1,1)&lt;INDEX(FlowCalHighSetting,MATCH(R192,FlowCalNumber,0),1,1))),INDEX(FlowCalConstA,MATCH(R192,FlowCalNumber,0),1,1)*T202^INDEX(FlowCalConstB,MATCH(R192,FlowCalNumber,0),1,1)," ")</f>
        <v>#N/A</v>
      </c>
      <c r="V202" s="33"/>
      <c r="W202" s="242"/>
      <c r="X202" s="241"/>
      <c r="Y202" s="243"/>
      <c r="Z202" s="33"/>
      <c r="AA202" s="242"/>
      <c r="AB202" s="241"/>
      <c r="AC202" s="243"/>
      <c r="AD202" s="33"/>
      <c r="AE202" s="242"/>
      <c r="AF202" s="241"/>
      <c r="AG202" s="243"/>
      <c r="AH202" s="33"/>
      <c r="AI202" s="242"/>
      <c r="AJ202" s="241"/>
      <c r="AK202" s="244"/>
      <c r="AL202" s="243"/>
      <c r="AM202" s="243"/>
      <c r="AN202" s="243"/>
      <c r="AO202" s="243"/>
      <c r="AP202" s="243"/>
      <c r="AQ202" s="243"/>
      <c r="AR202" s="243"/>
      <c r="AS202" s="243"/>
      <c r="AT202" s="243"/>
      <c r="AU202" s="243"/>
      <c r="AV202" s="243"/>
      <c r="AW202" s="243"/>
      <c r="AX202" s="243"/>
      <c r="AY202" s="243"/>
      <c r="AZ202" s="243"/>
      <c r="BA202" s="243"/>
      <c r="BB202" s="243"/>
      <c r="BC202" s="243"/>
      <c r="BD202" s="243"/>
      <c r="BE202" s="243"/>
      <c r="BF202" s="243"/>
      <c r="BG202" s="243"/>
      <c r="BH202" s="243"/>
      <c r="BI202" s="243"/>
      <c r="BJ202" s="243"/>
      <c r="BK202" s="243"/>
      <c r="BL202" s="243"/>
      <c r="BM202" s="243"/>
      <c r="BN202" s="243"/>
      <c r="BO202" s="243"/>
      <c r="BP202" s="243"/>
      <c r="BQ202" s="243"/>
      <c r="BR202" s="243"/>
      <c r="BS202" s="243"/>
      <c r="BU202" s="242"/>
      <c r="BW202" s="243"/>
      <c r="BY202" s="242"/>
      <c r="CA202" s="243"/>
      <c r="CC202" s="242"/>
      <c r="CE202" s="243"/>
      <c r="CG202" s="242"/>
      <c r="CI202" s="243"/>
    </row>
    <row r="203" spans="1:87" s="1215" customFormat="1">
      <c r="A203" s="1222"/>
      <c r="B203" s="1223" t="str">
        <f t="shared" si="88"/>
        <v/>
      </c>
      <c r="C203" s="1210"/>
      <c r="D203" s="1211">
        <f>'1% Wind'!$M$92</f>
        <v>3.2</v>
      </c>
      <c r="E203" s="1212"/>
      <c r="F203" s="1212"/>
      <c r="G203" s="1213">
        <f ca="1">IF(I192=0.9743,$G202,MAX(G202/D202*D203,2))</f>
        <v>2</v>
      </c>
      <c r="H203" s="1214" t="e">
        <f t="shared" ca="1" si="89"/>
        <v>#VALUE!</v>
      </c>
      <c r="J203" s="1224"/>
      <c r="K203" s="1217">
        <f t="shared" si="90"/>
        <v>1</v>
      </c>
      <c r="L203" s="1218" t="e">
        <f t="shared" ca="1" si="91"/>
        <v>#VALUE!</v>
      </c>
      <c r="M203" s="1219" t="e">
        <f ca="1">IF(AND(INDEX(FlowCalConstA,MATCH(J192,FlowCalNumber,0),1,1)*L203^INDEX(FlowCalConstB,MATCH(J192,FlowCalNumber,0),1,1)&gt;INDEX(FlowCalLowSetting,MATCH(J192,FlowCalNumber,0),1,1), (INDEX(FlowCalConstA,MATCH(J192,FlowCalNumber,0),1,1)*L203^INDEX(FlowCalConstB,MATCH(J192,FlowCalNumber,0),1,1)&lt;INDEX(FlowCalHighSetting,MATCH(J192,FlowCalNumber,0),1,1))),INDEX(FlowCalConstA,MATCH(J192,FlowCalNumber,0),1,1)*L203^INDEX(FlowCalConstB,MATCH(J192,FlowCalNumber,0),1,1)," ")</f>
        <v>#N/A</v>
      </c>
      <c r="N203" s="1224"/>
      <c r="O203" s="1217">
        <f t="shared" si="92"/>
        <v>1</v>
      </c>
      <c r="P203" s="1218" t="e">
        <f t="shared" ca="1" si="93"/>
        <v>#VALUE!</v>
      </c>
      <c r="Q203" s="1219" t="e">
        <f ca="1">IF(AND(INDEX(FlowCalConstA,MATCH(N192,FlowCalNumber,0),1,1)*P203^INDEX(FlowCalConstB,MATCH(N192,FlowCalNumber,0),1,1)&gt;INDEX(FlowCalLowSetting,MATCH(N192,FlowCalNumber,0),1,1), (INDEX(FlowCalConstA,MATCH(N192,FlowCalNumber,0),1,1)*P203^INDEX(FlowCalConstB,MATCH(N192,FlowCalNumber,0),1,1)&lt;INDEX(FlowCalHighSetting,MATCH(N192,FlowCalNumber,0),1,1))),INDEX(FlowCalConstA,MATCH(N192,FlowCalNumber,0),1,1)*P203^INDEX(FlowCalConstB,MATCH(N192,FlowCalNumber,0),1,1)," ")</f>
        <v>#N/A</v>
      </c>
      <c r="R203" s="1224"/>
      <c r="S203" s="1217">
        <f t="shared" si="94"/>
        <v>1</v>
      </c>
      <c r="T203" s="1218" t="e">
        <f t="shared" ca="1" si="95"/>
        <v>#VALUE!</v>
      </c>
      <c r="U203" s="1219" t="e">
        <f ca="1">IF(AND(INDEX(FlowCalConstA,MATCH(R192,FlowCalNumber,0),1,1)*T203^INDEX(FlowCalConstB,MATCH(R192,FlowCalNumber,0),1,1)&gt;INDEX(FlowCalLowSetting,MATCH(R192,FlowCalNumber,0),1,1), (INDEX(FlowCalConstA,MATCH(R192,FlowCalNumber,0),1,1)*T203^INDEX(FlowCalConstB,MATCH(R192,FlowCalNumber,0),1,1)&lt;INDEX(FlowCalHighSetting,MATCH(R192,FlowCalNumber,0),1,1))),INDEX(FlowCalConstA,MATCH(R192,FlowCalNumber,0),1,1)*T203^INDEX(FlowCalConstB,MATCH(R192,FlowCalNumber,0),1,1)," ")</f>
        <v>#N/A</v>
      </c>
      <c r="V203" s="1224"/>
      <c r="W203" s="1217"/>
      <c r="X203" s="1218"/>
      <c r="Y203" s="1219"/>
      <c r="Z203" s="1224"/>
      <c r="AA203" s="1217"/>
      <c r="AB203" s="1218"/>
      <c r="AC203" s="1219"/>
      <c r="AD203" s="1224"/>
      <c r="AE203" s="1217"/>
      <c r="AF203" s="1218"/>
      <c r="AG203" s="1219"/>
      <c r="AH203" s="1224"/>
      <c r="AI203" s="1217"/>
      <c r="AJ203" s="1218"/>
      <c r="AK203" s="1220"/>
      <c r="AL203" s="1219"/>
      <c r="AM203" s="1219"/>
      <c r="AN203" s="1219"/>
      <c r="AO203" s="1219"/>
      <c r="AP203" s="1219"/>
      <c r="AQ203" s="1219"/>
      <c r="AR203" s="1219"/>
      <c r="AS203" s="1219"/>
      <c r="AT203" s="1219"/>
      <c r="AU203" s="1219"/>
      <c r="AV203" s="1219"/>
      <c r="AW203" s="1219"/>
      <c r="AX203" s="1219"/>
      <c r="AY203" s="1219"/>
      <c r="AZ203" s="1219"/>
      <c r="BA203" s="1219"/>
      <c r="BB203" s="1219"/>
      <c r="BC203" s="1219"/>
      <c r="BD203" s="1219"/>
      <c r="BE203" s="1219"/>
      <c r="BF203" s="1219"/>
      <c r="BG203" s="1219"/>
      <c r="BH203" s="1219"/>
      <c r="BI203" s="1219"/>
      <c r="BJ203" s="1219"/>
      <c r="BK203" s="1219"/>
      <c r="BL203" s="1219"/>
      <c r="BM203" s="1219"/>
      <c r="BN203" s="1219"/>
      <c r="BO203" s="1219"/>
      <c r="BP203" s="1219"/>
      <c r="BQ203" s="1219"/>
      <c r="BR203" s="1219"/>
      <c r="BS203" s="1219"/>
      <c r="BU203" s="1217"/>
      <c r="BW203" s="1219"/>
      <c r="BY203" s="1217"/>
      <c r="CA203" s="1219"/>
      <c r="CC203" s="1217"/>
      <c r="CE203" s="1219"/>
      <c r="CG203" s="1217"/>
      <c r="CI203" s="1219"/>
    </row>
    <row r="204" spans="1:87">
      <c r="A204" s="20"/>
      <c r="B204" s="124" t="str">
        <f t="shared" si="88"/>
        <v/>
      </c>
      <c r="C204" s="235"/>
      <c r="D204" s="24">
        <f>'1% Wind'!$M$93</f>
        <v>2.4</v>
      </c>
      <c r="E204" s="90"/>
      <c r="F204" s="90"/>
      <c r="G204" s="79">
        <f ca="1">IF(I192=0.9743,$G203,MAX(G203/D203*D204,2))</f>
        <v>2</v>
      </c>
      <c r="H204" s="121" t="e">
        <f t="shared" ca="1" si="89"/>
        <v>#VALUE!</v>
      </c>
      <c r="J204" s="33"/>
      <c r="K204" s="242">
        <f t="shared" si="90"/>
        <v>1</v>
      </c>
      <c r="L204" s="241" t="e">
        <f t="shared" ca="1" si="91"/>
        <v>#VALUE!</v>
      </c>
      <c r="M204" s="243" t="e">
        <f ca="1">IF(AND(INDEX(FlowCalConstA,MATCH(J192,FlowCalNumber,0),1,1)*L204^INDEX(FlowCalConstB,MATCH(J192,FlowCalNumber,0),1,1)&gt;INDEX(FlowCalLowSetting,MATCH(J192,FlowCalNumber,0),1,1), (INDEX(FlowCalConstA,MATCH(J192,FlowCalNumber,0),1,1)*L204^INDEX(FlowCalConstB,MATCH(J192,FlowCalNumber,0),1,1)&lt;INDEX(FlowCalHighSetting,MATCH(J192,FlowCalNumber,0),1,1))),INDEX(FlowCalConstA,MATCH(J192,FlowCalNumber,0),1,1)*L204^INDEX(FlowCalConstB,MATCH(J192,FlowCalNumber,0),1,1)," ")</f>
        <v>#N/A</v>
      </c>
      <c r="N204" s="33"/>
      <c r="O204" s="242">
        <f t="shared" si="92"/>
        <v>1</v>
      </c>
      <c r="P204" s="241" t="e">
        <f t="shared" ca="1" si="93"/>
        <v>#VALUE!</v>
      </c>
      <c r="Q204" s="243" t="e">
        <f ca="1">IF(AND(INDEX(FlowCalConstA,MATCH(N192,FlowCalNumber,0),1,1)*P204^INDEX(FlowCalConstB,MATCH(N192,FlowCalNumber,0),1,1)&gt;INDEX(FlowCalLowSetting,MATCH(N192,FlowCalNumber,0),1,1), (INDEX(FlowCalConstA,MATCH(N192,FlowCalNumber,0),1,1)*P204^INDEX(FlowCalConstB,MATCH(N192,FlowCalNumber,0),1,1)&lt;INDEX(FlowCalHighSetting,MATCH(N192,FlowCalNumber,0),1,1))),INDEX(FlowCalConstA,MATCH(N192,FlowCalNumber,0),1,1)*P204^INDEX(FlowCalConstB,MATCH(N192,FlowCalNumber,0),1,1)," ")</f>
        <v>#N/A</v>
      </c>
      <c r="R204" s="33"/>
      <c r="S204" s="242">
        <f t="shared" si="94"/>
        <v>1</v>
      </c>
      <c r="T204" s="241" t="e">
        <f t="shared" ca="1" si="95"/>
        <v>#VALUE!</v>
      </c>
      <c r="U204" s="243" t="e">
        <f ca="1">IF(AND(INDEX(FlowCalConstA,MATCH(R192,FlowCalNumber,0),1,1)*T204^INDEX(FlowCalConstB,MATCH(R192,FlowCalNumber,0),1,1)&gt;INDEX(FlowCalLowSetting,MATCH(R192,FlowCalNumber,0),1,1), (INDEX(FlowCalConstA,MATCH(R192,FlowCalNumber,0),1,1)*T204^INDEX(FlowCalConstB,MATCH(R192,FlowCalNumber,0),1,1)&lt;INDEX(FlowCalHighSetting,MATCH(R192,FlowCalNumber,0),1,1))),INDEX(FlowCalConstA,MATCH(R192,FlowCalNumber,0),1,1)*T204^INDEX(FlowCalConstB,MATCH(R192,FlowCalNumber,0),1,1)," ")</f>
        <v>#N/A</v>
      </c>
      <c r="V204" s="33"/>
      <c r="W204" s="242"/>
      <c r="X204" s="241"/>
      <c r="Y204" s="243"/>
      <c r="Z204" s="33"/>
      <c r="AA204" s="242"/>
      <c r="AB204" s="241"/>
      <c r="AC204" s="243"/>
      <c r="AD204" s="33"/>
      <c r="AE204" s="242"/>
      <c r="AF204" s="241"/>
      <c r="AG204" s="243"/>
      <c r="AH204" s="33"/>
      <c r="AI204" s="242"/>
      <c r="AJ204" s="241"/>
      <c r="AK204" s="244"/>
      <c r="AL204" s="243"/>
      <c r="AM204" s="243"/>
      <c r="AN204" s="243"/>
      <c r="AO204" s="243"/>
      <c r="AP204" s="243"/>
      <c r="AQ204" s="243"/>
      <c r="AR204" s="243"/>
      <c r="AS204" s="243"/>
      <c r="AT204" s="243"/>
      <c r="AU204" s="243"/>
      <c r="AV204" s="243"/>
      <c r="AW204" s="243"/>
      <c r="AX204" s="243"/>
      <c r="AY204" s="243"/>
      <c r="AZ204" s="243"/>
      <c r="BA204" s="243"/>
      <c r="BB204" s="243"/>
      <c r="BC204" s="243"/>
      <c r="BD204" s="243"/>
      <c r="BE204" s="243"/>
      <c r="BF204" s="243"/>
      <c r="BG204" s="243"/>
      <c r="BH204" s="243"/>
      <c r="BI204" s="243"/>
      <c r="BJ204" s="243"/>
      <c r="BK204" s="243"/>
      <c r="BL204" s="243"/>
      <c r="BM204" s="243"/>
      <c r="BN204" s="243"/>
      <c r="BO204" s="243"/>
      <c r="BP204" s="243"/>
      <c r="BQ204" s="243"/>
      <c r="BR204" s="243"/>
      <c r="BS204" s="243"/>
      <c r="BU204" s="242"/>
      <c r="BW204" s="243"/>
      <c r="BY204" s="242"/>
      <c r="CA204" s="243"/>
      <c r="CC204" s="242"/>
      <c r="CE204" s="243"/>
      <c r="CG204" s="242"/>
      <c r="CI204" s="243"/>
    </row>
    <row r="205" spans="1:87" s="1215" customFormat="1">
      <c r="A205" s="1222"/>
      <c r="B205" s="1223" t="str">
        <f t="shared" si="88"/>
        <v/>
      </c>
      <c r="C205" s="1210"/>
      <c r="D205" s="1211">
        <f>'1% Wind'!$M$94</f>
        <v>1.8</v>
      </c>
      <c r="E205" s="1212"/>
      <c r="F205" s="1212"/>
      <c r="G205" s="1213">
        <f ca="1">IF(I192=0.9743,$G204,MAX(G204/D204*D205,2))</f>
        <v>2</v>
      </c>
      <c r="H205" s="1214" t="e">
        <f t="shared" ca="1" si="89"/>
        <v>#VALUE!</v>
      </c>
      <c r="J205" s="1224"/>
      <c r="K205" s="1217">
        <f t="shared" si="90"/>
        <v>1</v>
      </c>
      <c r="L205" s="1218" t="e">
        <f t="shared" ca="1" si="91"/>
        <v>#VALUE!</v>
      </c>
      <c r="M205" s="1219" t="e">
        <f ca="1">IF(AND(INDEX(FlowCalConstA,MATCH(J192,FlowCalNumber,0),1,1)*L205^INDEX(FlowCalConstB,MATCH(J192,FlowCalNumber,0),1,1)&gt;INDEX(FlowCalLowSetting,MATCH(J192,FlowCalNumber,0),1,1), (INDEX(FlowCalConstA,MATCH(J192,FlowCalNumber,0),1,1)*L205^INDEX(FlowCalConstB,MATCH(J192,FlowCalNumber,0),1,1)&lt;INDEX(FlowCalHighSetting,MATCH(J192,FlowCalNumber,0),1,1))),INDEX(FlowCalConstA,MATCH(J192,FlowCalNumber,0),1,1)*L205^INDEX(FlowCalConstB,MATCH(J192,FlowCalNumber,0),1,1)," ")</f>
        <v>#N/A</v>
      </c>
      <c r="N205" s="1224"/>
      <c r="O205" s="1217">
        <f t="shared" si="92"/>
        <v>1</v>
      </c>
      <c r="P205" s="1218" t="e">
        <f t="shared" ca="1" si="93"/>
        <v>#VALUE!</v>
      </c>
      <c r="Q205" s="1219" t="e">
        <f ca="1">IF(AND(INDEX(FlowCalConstA,MATCH(N192,FlowCalNumber,0),1,1)*P205^INDEX(FlowCalConstB,MATCH(N192,FlowCalNumber,0),1,1)&gt;INDEX(FlowCalLowSetting,MATCH(N192,FlowCalNumber,0),1,1), (INDEX(FlowCalConstA,MATCH(N192,FlowCalNumber,0),1,1)*P205^INDEX(FlowCalConstB,MATCH(N192,FlowCalNumber,0),1,1)&lt;INDEX(FlowCalHighSetting,MATCH(N192,FlowCalNumber,0),1,1))),INDEX(FlowCalConstA,MATCH(N192,FlowCalNumber,0),1,1)*P205^INDEX(FlowCalConstB,MATCH(N192,FlowCalNumber,0),1,1)," ")</f>
        <v>#N/A</v>
      </c>
      <c r="R205" s="1224"/>
      <c r="S205" s="1217">
        <f t="shared" si="94"/>
        <v>1</v>
      </c>
      <c r="T205" s="1218" t="e">
        <f t="shared" ca="1" si="95"/>
        <v>#VALUE!</v>
      </c>
      <c r="U205" s="1219" t="e">
        <f ca="1">IF(AND(INDEX(FlowCalConstA,MATCH(R192,FlowCalNumber,0),1,1)*T205^INDEX(FlowCalConstB,MATCH(R192,FlowCalNumber,0),1,1)&gt;INDEX(FlowCalLowSetting,MATCH(R192,FlowCalNumber,0),1,1), (INDEX(FlowCalConstA,MATCH(R192,FlowCalNumber,0),1,1)*T205^INDEX(FlowCalConstB,MATCH(R192,FlowCalNumber,0),1,1)&lt;INDEX(FlowCalHighSetting,MATCH(R192,FlowCalNumber,0),1,1))),INDEX(FlowCalConstA,MATCH(R192,FlowCalNumber,0),1,1)*T205^INDEX(FlowCalConstB,MATCH(R192,FlowCalNumber,0),1,1)," ")</f>
        <v>#N/A</v>
      </c>
      <c r="V205" s="1224"/>
      <c r="W205" s="1217"/>
      <c r="X205" s="1218"/>
      <c r="Y205" s="1219"/>
      <c r="Z205" s="1224"/>
      <c r="AA205" s="1217"/>
      <c r="AB205" s="1218"/>
      <c r="AC205" s="1219"/>
      <c r="AD205" s="1224"/>
      <c r="AE205" s="1217"/>
      <c r="AF205" s="1218"/>
      <c r="AG205" s="1219"/>
      <c r="AH205" s="1224"/>
      <c r="AI205" s="1217"/>
      <c r="AJ205" s="1218"/>
      <c r="AK205" s="1220"/>
      <c r="AL205" s="1219"/>
      <c r="AM205" s="1219"/>
      <c r="AN205" s="1219"/>
      <c r="AO205" s="1219"/>
      <c r="AP205" s="1219"/>
      <c r="AQ205" s="1219"/>
      <c r="AR205" s="1219"/>
      <c r="AS205" s="1219"/>
      <c r="AT205" s="1219"/>
      <c r="AU205" s="1219"/>
      <c r="AV205" s="1219"/>
      <c r="AW205" s="1219"/>
      <c r="AX205" s="1219"/>
      <c r="AY205" s="1219"/>
      <c r="AZ205" s="1219"/>
      <c r="BA205" s="1219"/>
      <c r="BB205" s="1219"/>
      <c r="BC205" s="1219"/>
      <c r="BD205" s="1219"/>
      <c r="BE205" s="1219"/>
      <c r="BF205" s="1219"/>
      <c r="BG205" s="1219"/>
      <c r="BH205" s="1219"/>
      <c r="BI205" s="1219"/>
      <c r="BJ205" s="1219"/>
      <c r="BK205" s="1219"/>
      <c r="BL205" s="1219"/>
      <c r="BM205" s="1219"/>
      <c r="BN205" s="1219"/>
      <c r="BO205" s="1219"/>
      <c r="BP205" s="1219"/>
      <c r="BQ205" s="1219"/>
      <c r="BR205" s="1219"/>
      <c r="BS205" s="1219"/>
      <c r="BU205" s="1217"/>
      <c r="BW205" s="1219"/>
      <c r="BY205" s="1217"/>
      <c r="CA205" s="1219"/>
      <c r="CC205" s="1217"/>
      <c r="CE205" s="1219"/>
      <c r="CG205" s="1217"/>
      <c r="CI205" s="1219"/>
    </row>
    <row r="206" spans="1:87">
      <c r="A206" s="20"/>
      <c r="B206" s="124" t="str">
        <f t="shared" si="88"/>
        <v/>
      </c>
      <c r="C206" s="235"/>
      <c r="D206" s="24">
        <f>'1% Wind'!$M$95</f>
        <v>1.3</v>
      </c>
      <c r="E206" s="90"/>
      <c r="F206" s="90"/>
      <c r="G206" s="79">
        <f ca="1">IF(I192=0.9743,$G205,MAX(G205/D205*D206,2))</f>
        <v>2</v>
      </c>
      <c r="H206" s="121" t="e">
        <f t="shared" ca="1" si="89"/>
        <v>#VALUE!</v>
      </c>
      <c r="J206" s="33"/>
      <c r="K206" s="242">
        <f t="shared" si="90"/>
        <v>1</v>
      </c>
      <c r="L206" s="241" t="e">
        <f t="shared" ca="1" si="91"/>
        <v>#VALUE!</v>
      </c>
      <c r="M206" s="243" t="e">
        <f ca="1">IF(AND(INDEX(FlowCalConstA,MATCH(J192,FlowCalNumber,0),1,1)*L206^INDEX(FlowCalConstB,MATCH(J192,FlowCalNumber,0),1,1)&gt;INDEX(FlowCalLowSetting,MATCH(J192,FlowCalNumber,0),1,1), (INDEX(FlowCalConstA,MATCH(J192,FlowCalNumber,0),1,1)*L206^INDEX(FlowCalConstB,MATCH(J192,FlowCalNumber,0),1,1)&lt;INDEX(FlowCalHighSetting,MATCH(J192,FlowCalNumber,0),1,1))),INDEX(FlowCalConstA,MATCH(J192,FlowCalNumber,0),1,1)*L206^INDEX(FlowCalConstB,MATCH(J192,FlowCalNumber,0),1,1)," ")</f>
        <v>#N/A</v>
      </c>
      <c r="N206" s="33"/>
      <c r="O206" s="242">
        <f t="shared" si="92"/>
        <v>1</v>
      </c>
      <c r="P206" s="241" t="e">
        <f t="shared" ca="1" si="93"/>
        <v>#VALUE!</v>
      </c>
      <c r="Q206" s="243" t="e">
        <f ca="1">IF(AND(INDEX(FlowCalConstA,MATCH(N192,FlowCalNumber,0),1,1)*P206^INDEX(FlowCalConstB,MATCH(N192,FlowCalNumber,0),1,1)&gt;INDEX(FlowCalLowSetting,MATCH(N192,FlowCalNumber,0),1,1), (INDEX(FlowCalConstA,MATCH(N192,FlowCalNumber,0),1,1)*P206^INDEX(FlowCalConstB,MATCH(N192,FlowCalNumber,0),1,1)&lt;INDEX(FlowCalHighSetting,MATCH(N192,FlowCalNumber,0),1,1))),INDEX(FlowCalConstA,MATCH(N192,FlowCalNumber,0),1,1)*P206^INDEX(FlowCalConstB,MATCH(N192,FlowCalNumber,0),1,1)," ")</f>
        <v>#N/A</v>
      </c>
      <c r="R206" s="33"/>
      <c r="S206" s="242">
        <f t="shared" si="94"/>
        <v>1</v>
      </c>
      <c r="T206" s="241" t="e">
        <f t="shared" ca="1" si="95"/>
        <v>#VALUE!</v>
      </c>
      <c r="U206" s="243" t="e">
        <f ca="1">IF(AND(INDEX(FlowCalConstA,MATCH(R192,FlowCalNumber,0),1,1)*T206^INDEX(FlowCalConstB,MATCH(R192,FlowCalNumber,0),1,1)&gt;INDEX(FlowCalLowSetting,MATCH(R192,FlowCalNumber,0),1,1), (INDEX(FlowCalConstA,MATCH(R192,FlowCalNumber,0),1,1)*T206^INDEX(FlowCalConstB,MATCH(R192,FlowCalNumber,0),1,1)&lt;INDEX(FlowCalHighSetting,MATCH(R192,FlowCalNumber,0),1,1))),INDEX(FlowCalConstA,MATCH(R192,FlowCalNumber,0),1,1)*T206^INDEX(FlowCalConstB,MATCH(R192,FlowCalNumber,0),1,1)," ")</f>
        <v>#N/A</v>
      </c>
      <c r="V206" s="33"/>
      <c r="W206" s="242"/>
      <c r="X206" s="241"/>
      <c r="Y206" s="243"/>
      <c r="Z206" s="33"/>
      <c r="AA206" s="242"/>
      <c r="AB206" s="241"/>
      <c r="AC206" s="243"/>
      <c r="AD206" s="33"/>
      <c r="AE206" s="242"/>
      <c r="AF206" s="241"/>
      <c r="AG206" s="243"/>
      <c r="AH206" s="33"/>
      <c r="AI206" s="242"/>
      <c r="AJ206" s="241"/>
      <c r="AK206" s="244"/>
      <c r="AL206" s="243"/>
      <c r="AM206" s="243"/>
      <c r="AN206" s="243"/>
      <c r="AO206" s="243"/>
      <c r="AP206" s="243"/>
      <c r="AQ206" s="243"/>
      <c r="AR206" s="243"/>
      <c r="AS206" s="243"/>
      <c r="AT206" s="243"/>
      <c r="AU206" s="243"/>
      <c r="AV206" s="243"/>
      <c r="AW206" s="243"/>
      <c r="AX206" s="243"/>
      <c r="AY206" s="243"/>
      <c r="AZ206" s="243"/>
      <c r="BA206" s="243"/>
      <c r="BB206" s="243"/>
      <c r="BC206" s="243"/>
      <c r="BD206" s="243"/>
      <c r="BE206" s="243"/>
      <c r="BF206" s="243"/>
      <c r="BG206" s="243"/>
      <c r="BH206" s="243"/>
      <c r="BI206" s="243"/>
      <c r="BJ206" s="243"/>
      <c r="BK206" s="243"/>
      <c r="BL206" s="243"/>
      <c r="BM206" s="243"/>
      <c r="BN206" s="243"/>
      <c r="BO206" s="243"/>
      <c r="BP206" s="243"/>
      <c r="BQ206" s="243"/>
      <c r="BR206" s="243"/>
      <c r="BS206" s="243"/>
      <c r="BU206" s="242"/>
      <c r="BW206" s="243"/>
      <c r="BY206" s="242"/>
      <c r="CA206" s="243"/>
      <c r="CC206" s="242"/>
      <c r="CE206" s="243"/>
      <c r="CG206" s="242"/>
      <c r="CI206" s="243"/>
    </row>
    <row r="207" spans="1:87" s="1215" customFormat="1">
      <c r="A207" s="1222"/>
      <c r="B207" s="1223" t="str">
        <f t="shared" si="88"/>
        <v/>
      </c>
      <c r="C207" s="1210"/>
      <c r="D207" s="1211">
        <f>'1% Wind'!$M$96</f>
        <v>1</v>
      </c>
      <c r="E207" s="1212"/>
      <c r="F207" s="1212"/>
      <c r="G207" s="1213">
        <f ca="1">IF(I192=0.9743,$G206,MAX(G206/D206*D207,2))</f>
        <v>2</v>
      </c>
      <c r="H207" s="1214" t="e">
        <f t="shared" ca="1" si="89"/>
        <v>#VALUE!</v>
      </c>
      <c r="J207" s="1224"/>
      <c r="K207" s="1217">
        <f t="shared" si="90"/>
        <v>1</v>
      </c>
      <c r="L207" s="1218" t="e">
        <f t="shared" ca="1" si="91"/>
        <v>#VALUE!</v>
      </c>
      <c r="M207" s="1219" t="e">
        <f ca="1">IF(AND(INDEX(FlowCalConstA,MATCH(J192,FlowCalNumber,0),1,1)*L207^INDEX(FlowCalConstB,MATCH(J192,FlowCalNumber,0),1,1)&gt;INDEX(FlowCalLowSetting,MATCH(J192,FlowCalNumber,0),1,1), (INDEX(FlowCalConstA,MATCH(J192,FlowCalNumber,0),1,1)*L207^INDEX(FlowCalConstB,MATCH(J192,FlowCalNumber,0),1,1)&lt;INDEX(FlowCalHighSetting,MATCH(J192,FlowCalNumber,0),1,1))),INDEX(FlowCalConstA,MATCH(J192,FlowCalNumber,0),1,1)*L207^INDEX(FlowCalConstB,MATCH(J192,FlowCalNumber,0),1,1)," ")</f>
        <v>#N/A</v>
      </c>
      <c r="N207" s="1224"/>
      <c r="O207" s="1217">
        <f t="shared" si="92"/>
        <v>1</v>
      </c>
      <c r="P207" s="1218" t="e">
        <f t="shared" ca="1" si="93"/>
        <v>#VALUE!</v>
      </c>
      <c r="Q207" s="1219" t="e">
        <f ca="1">IF(AND(INDEX(FlowCalConstA,MATCH(N192,FlowCalNumber,0),1,1)*P207^INDEX(FlowCalConstB,MATCH(N192,FlowCalNumber,0),1,1)&gt;INDEX(FlowCalLowSetting,MATCH(N192,FlowCalNumber,0),1,1), (INDEX(FlowCalConstA,MATCH(N192,FlowCalNumber,0),1,1)*P207^INDEX(FlowCalConstB,MATCH(N192,FlowCalNumber,0),1,1)&lt;INDEX(FlowCalHighSetting,MATCH(N192,FlowCalNumber,0),1,1))),INDEX(FlowCalConstA,MATCH(N192,FlowCalNumber,0),1,1)*P207^INDEX(FlowCalConstB,MATCH(N192,FlowCalNumber,0),1,1)," ")</f>
        <v>#N/A</v>
      </c>
      <c r="R207" s="1224"/>
      <c r="S207" s="1217">
        <f t="shared" si="94"/>
        <v>1</v>
      </c>
      <c r="T207" s="1218" t="e">
        <f t="shared" ca="1" si="95"/>
        <v>#VALUE!</v>
      </c>
      <c r="U207" s="1219" t="e">
        <f ca="1">IF(AND(INDEX(FlowCalConstA,MATCH(R192,FlowCalNumber,0),1,1)*T207^INDEX(FlowCalConstB,MATCH(R192,FlowCalNumber,0),1,1)&gt;INDEX(FlowCalLowSetting,MATCH(R192,FlowCalNumber,0),1,1), (INDEX(FlowCalConstA,MATCH(R192,FlowCalNumber,0),1,1)*T207^INDEX(FlowCalConstB,MATCH(R192,FlowCalNumber,0),1,1)&lt;INDEX(FlowCalHighSetting,MATCH(R192,FlowCalNumber,0),1,1))),INDEX(FlowCalConstA,MATCH(R192,FlowCalNumber,0),1,1)*T207^INDEX(FlowCalConstB,MATCH(R192,FlowCalNumber,0),1,1)," ")</f>
        <v>#N/A</v>
      </c>
      <c r="V207" s="1224"/>
      <c r="W207" s="1217"/>
      <c r="X207" s="1218"/>
      <c r="Y207" s="1219"/>
      <c r="Z207" s="1224"/>
      <c r="AA207" s="1217"/>
      <c r="AB207" s="1218"/>
      <c r="AC207" s="1219"/>
      <c r="AD207" s="1224"/>
      <c r="AE207" s="1217"/>
      <c r="AF207" s="1218"/>
      <c r="AG207" s="1219"/>
      <c r="AH207" s="1224"/>
      <c r="AI207" s="1217"/>
      <c r="AJ207" s="1218"/>
      <c r="AK207" s="1220"/>
      <c r="AL207" s="1219"/>
      <c r="AM207" s="1219"/>
      <c r="AN207" s="1219"/>
      <c r="AO207" s="1219"/>
      <c r="AP207" s="1219"/>
      <c r="AQ207" s="1219"/>
      <c r="AR207" s="1219"/>
      <c r="AS207" s="1219"/>
      <c r="AT207" s="1219"/>
      <c r="AU207" s="1219"/>
      <c r="AV207" s="1219"/>
      <c r="AW207" s="1219"/>
      <c r="AX207" s="1219"/>
      <c r="AY207" s="1219"/>
      <c r="AZ207" s="1219"/>
      <c r="BA207" s="1219"/>
      <c r="BB207" s="1219"/>
      <c r="BC207" s="1219"/>
      <c r="BD207" s="1219"/>
      <c r="BE207" s="1219"/>
      <c r="BF207" s="1219"/>
      <c r="BG207" s="1219"/>
      <c r="BH207" s="1219"/>
      <c r="BI207" s="1219"/>
      <c r="BJ207" s="1219"/>
      <c r="BK207" s="1219"/>
      <c r="BL207" s="1219"/>
      <c r="BM207" s="1219"/>
      <c r="BN207" s="1219"/>
      <c r="BO207" s="1219"/>
      <c r="BP207" s="1219"/>
      <c r="BQ207" s="1219"/>
      <c r="BR207" s="1219"/>
      <c r="BS207" s="1219"/>
      <c r="BU207" s="1217"/>
      <c r="BW207" s="1219"/>
      <c r="BY207" s="1217"/>
      <c r="CA207" s="1219"/>
      <c r="CC207" s="1217"/>
      <c r="CE207" s="1219"/>
      <c r="CG207" s="1217"/>
      <c r="CI207" s="1219"/>
    </row>
    <row r="208" spans="1:87">
      <c r="A208" s="33"/>
      <c r="B208" s="33"/>
      <c r="C208" s="235"/>
      <c r="E208" s="90"/>
      <c r="F208" s="90"/>
      <c r="G208" s="33"/>
      <c r="J208" s="33"/>
      <c r="M208" s="243"/>
      <c r="N208" s="33"/>
      <c r="Q208" s="243"/>
      <c r="R208" s="33"/>
      <c r="U208" s="243"/>
      <c r="V208" s="33"/>
      <c r="Y208" s="243"/>
      <c r="Z208" s="33"/>
      <c r="AC208" s="243"/>
      <c r="AD208" s="33"/>
      <c r="AG208" s="243"/>
      <c r="AH208" s="33"/>
      <c r="AK208" s="244"/>
      <c r="AL208" s="243"/>
      <c r="AM208" s="243"/>
      <c r="AN208" s="243"/>
      <c r="AO208" s="243"/>
      <c r="AP208" s="243"/>
      <c r="AQ208" s="243"/>
      <c r="AR208" s="243"/>
      <c r="AS208" s="243"/>
      <c r="AT208" s="243"/>
      <c r="AU208" s="243"/>
      <c r="AV208" s="243"/>
      <c r="AW208" s="243"/>
      <c r="AX208" s="243"/>
      <c r="AY208" s="243"/>
      <c r="AZ208" s="243"/>
      <c r="BA208" s="243"/>
      <c r="BB208" s="243"/>
      <c r="BC208" s="243"/>
      <c r="BD208" s="243"/>
      <c r="BE208" s="243"/>
      <c r="BF208" s="243"/>
      <c r="BG208" s="243"/>
      <c r="BH208" s="243"/>
      <c r="BI208" s="243"/>
      <c r="BJ208" s="243"/>
      <c r="BK208" s="243"/>
      <c r="BL208" s="243"/>
      <c r="BM208" s="243"/>
      <c r="BN208" s="243"/>
      <c r="BO208" s="243"/>
      <c r="BP208" s="243"/>
      <c r="BQ208" s="243"/>
      <c r="BR208" s="243"/>
      <c r="BS208" s="243"/>
      <c r="BW208" s="243"/>
      <c r="CA208" s="243"/>
      <c r="CE208" s="243"/>
      <c r="CI208" s="243"/>
    </row>
    <row r="209" spans="1:87">
      <c r="A209" s="256" t="str">
        <f>IF((RIGHT(A192,1))&lt;&gt;"Z",CHAR(CODE(A192))&amp;CHAR(CODE(RIGHT(A192,1))+1),CHAR(CODE(A192)+1)&amp;"A")</f>
        <v>AL</v>
      </c>
      <c r="B209" s="270" t="str">
        <f>INDEX(SourceID,MATCH($A209,SourceNumber,0),1,1)</f>
        <v>DG</v>
      </c>
      <c r="C209" s="354">
        <f>INDEX(SourceExitDiameter,MATCH($A209,SourceNumber,0),1,1)*3.28*12</f>
        <v>14</v>
      </c>
      <c r="D209" s="24" t="str">
        <f>UAnem1percent</f>
        <v>1% Wind</v>
      </c>
      <c r="E209" s="350" t="e">
        <f ca="1">INDIRECT(ADDRESS(53,6,1,,CONCATENATE("TA",$A209)))</f>
        <v>#REF!</v>
      </c>
      <c r="F209" s="625" t="e">
        <f ca="1">(ROUND((INDIRECT(ADDRESS(15,7,1,,CONCATENATE("TA",$A209)))*3.28*12*32),0)&amp;"/32")</f>
        <v>#REF!</v>
      </c>
      <c r="G209" s="125">
        <f ca="1">INDIRECT(ADDRESS(29,7,1,,$A209))</f>
        <v>6.001707317073171</v>
      </c>
      <c r="H209" s="24" t="e">
        <f ca="1">INDIRECT(ADDRESS(19,7,1,,$A209))*100^3</f>
        <v>#VALUE!</v>
      </c>
      <c r="I209" s="941">
        <f ca="1">INDIRECT(ADDRESS(53,7,1,,$A209))</f>
        <v>0.97430000000000005</v>
      </c>
      <c r="J209" s="20" t="str">
        <f ca="1">IF($I209=$I$6,K$16&amp;$G$6&amp;J$6,IF($I209=$I$7,K$16&amp;$G$7&amp;J$7,"Bad"))</f>
        <v>100N2Pick a Tunnel</v>
      </c>
      <c r="K209" t="e">
        <f ca="1">INDEX(FlowCalGasMixture,MATCH(J209,FlowCalNumber,0),1,1)</f>
        <v>#N/A</v>
      </c>
      <c r="M209" s="944" t="e">
        <f ca="1">INDEX(FlowCalDevice,MATCH(J209,FlowCalNumber,0),1,1)</f>
        <v>#N/A</v>
      </c>
      <c r="N209" s="20" t="str">
        <f ca="1">IF($I209=$I$6,O$16&amp;$G$6&amp;N$6,IF($I209=$I$7,O$16&amp;$G$7&amp;N$7,"Bad"))</f>
        <v>100N2Pick a Tunnel</v>
      </c>
      <c r="O209" t="e">
        <f ca="1">INDEX(FlowCalGasMixture,MATCH(N209,FlowCalNumber,0),1,1)</f>
        <v>#N/A</v>
      </c>
      <c r="Q209" s="944" t="e">
        <f ca="1">INDEX(FlowCalDevice,MATCH(N209,FlowCalNumber,0),1,1)</f>
        <v>#N/A</v>
      </c>
      <c r="R209" s="20" t="str">
        <f ca="1">IF($I209=$I$6,S$16&amp;$G$6&amp;R$6,IF($I209=$I$7,S$16&amp;$G$7&amp;R$7,"Bad"))</f>
        <v>100N2Pick a Tunnel</v>
      </c>
      <c r="S209" t="e">
        <f ca="1">INDEX(FlowCalGasMixture,MATCH(R209,FlowCalNumber,0),1,1)</f>
        <v>#N/A</v>
      </c>
      <c r="U209" s="944" t="e">
        <f ca="1">INDEX(FlowCalDevice,MATCH(R209,FlowCalNumber,0),1,1)</f>
        <v>#N/A</v>
      </c>
      <c r="V209" s="20"/>
      <c r="Y209" s="944"/>
      <c r="Z209" s="946"/>
      <c r="AC209" s="944"/>
      <c r="AD209" s="20"/>
      <c r="AG209" s="944"/>
      <c r="AH209" s="946"/>
      <c r="AK209" s="982"/>
      <c r="AL209" s="355"/>
      <c r="AM209" s="355"/>
      <c r="AN209" s="355"/>
      <c r="AO209" s="355"/>
      <c r="AP209" s="355"/>
      <c r="AQ209" s="355"/>
      <c r="AR209" s="355"/>
      <c r="AS209" s="355"/>
      <c r="AT209" s="355"/>
      <c r="AU209" s="355"/>
      <c r="AV209" s="355"/>
      <c r="AW209" s="355"/>
      <c r="AX209" s="355"/>
      <c r="AY209" s="355"/>
      <c r="AZ209" s="355"/>
      <c r="BA209" s="355"/>
      <c r="BB209" s="355"/>
      <c r="BC209" s="355"/>
      <c r="BD209" s="355"/>
      <c r="BE209" s="355"/>
      <c r="BF209" s="355"/>
      <c r="BG209" s="355"/>
      <c r="BH209" s="355"/>
      <c r="BI209" s="355"/>
      <c r="BJ209" s="355"/>
      <c r="BK209" s="355"/>
      <c r="BL209" s="355"/>
      <c r="BM209" s="355"/>
      <c r="BN209" s="355"/>
      <c r="BO209" s="355"/>
      <c r="BP209" s="355"/>
      <c r="BQ209" s="355"/>
      <c r="BR209" s="355"/>
      <c r="BS209" s="355"/>
      <c r="BT209" s="46"/>
      <c r="BU209" s="16"/>
      <c r="BW209" s="355"/>
      <c r="BX209" s="42"/>
      <c r="BY209" s="16"/>
      <c r="CA209" s="355"/>
      <c r="CB209" s="42"/>
      <c r="CC209" s="16"/>
      <c r="CE209" s="355"/>
      <c r="CF209" s="42"/>
      <c r="CG209" s="16"/>
      <c r="CI209" s="355"/>
    </row>
    <row r="210" spans="1:87" s="1215" customFormat="1">
      <c r="A210" s="1222"/>
      <c r="B210" s="1223" t="str">
        <f t="shared" ref="B210:B224" si="96">IF(D210=UAnem1percent,"1% Wind","")</f>
        <v/>
      </c>
      <c r="C210" s="1210"/>
      <c r="D210" s="1211">
        <f>'1% Wind'!$M$82</f>
        <v>27</v>
      </c>
      <c r="E210" s="1212"/>
      <c r="F210" s="1212"/>
      <c r="G210" s="1364">
        <v>2</v>
      </c>
      <c r="H210" s="1214" t="e">
        <f t="shared" ref="H210:H224" ca="1" si="97">H209*(D209/D210)*(G210/G209)</f>
        <v>#VALUE!</v>
      </c>
      <c r="J210" s="1224"/>
      <c r="K210" s="1221">
        <f>K$17/100</f>
        <v>1</v>
      </c>
      <c r="L210" s="1218" t="e">
        <f ca="1">K210*$H210</f>
        <v>#VALUE!</v>
      </c>
      <c r="M210" s="1219" t="e">
        <f ca="1">IF(AND(INDEX(FlowCalConstA,MATCH(J209,FlowCalNumber,0),1,1)*L210^INDEX(FlowCalConstB,MATCH(J209,FlowCalNumber,0),1,1)&gt;INDEX(FlowCalLowSetting,MATCH(J209,FlowCalNumber,0),1,1), (INDEX(FlowCalConstA,MATCH(J209,FlowCalNumber,0),1,1)*L210^INDEX(FlowCalConstB,MATCH(J209,FlowCalNumber,0),1,1)&lt;INDEX(FlowCalHighSetting,MATCH(J209,FlowCalNumber,0),1,1))),INDEX(FlowCalConstA,MATCH(J209,FlowCalNumber,0),1,1)*L210^INDEX(FlowCalConstB,MATCH(J209,FlowCalNumber,0),1,1)," ")</f>
        <v>#N/A</v>
      </c>
      <c r="N210" s="1224"/>
      <c r="O210" s="1221">
        <f>O$17/100</f>
        <v>1</v>
      </c>
      <c r="P210" s="1218" t="e">
        <f ca="1">O210*$H210</f>
        <v>#VALUE!</v>
      </c>
      <c r="Q210" s="1219" t="e">
        <f ca="1">IF(AND(INDEX(FlowCalConstA,MATCH(N209,FlowCalNumber,0),1,1)*P210^INDEX(FlowCalConstB,MATCH(N209,FlowCalNumber,0),1,1)&gt;INDEX(FlowCalLowSetting,MATCH(N209,FlowCalNumber,0),1,1), (INDEX(FlowCalConstA,MATCH(N209,FlowCalNumber,0),1,1)*P210^INDEX(FlowCalConstB,MATCH(N209,FlowCalNumber,0),1,1)&lt;INDEX(FlowCalHighSetting,MATCH(N209,FlowCalNumber,0),1,1))),INDEX(FlowCalConstA,MATCH(N209,FlowCalNumber,0),1,1)*P210^INDEX(FlowCalConstB,MATCH(N209,FlowCalNumber,0),1,1)," ")</f>
        <v>#N/A</v>
      </c>
      <c r="R210" s="1224"/>
      <c r="S210" s="1221">
        <f>S$17/100</f>
        <v>1</v>
      </c>
      <c r="T210" s="1218" t="e">
        <f ca="1">S210*$H210</f>
        <v>#VALUE!</v>
      </c>
      <c r="U210" s="1219" t="e">
        <f ca="1">IF(AND(INDEX(FlowCalConstA,MATCH(R209,FlowCalNumber,0),1,1)*T210^INDEX(FlowCalConstB,MATCH(R209,FlowCalNumber,0),1,1)&gt;INDEX(FlowCalLowSetting,MATCH(R209,FlowCalNumber,0),1,1), (INDEX(FlowCalConstA,MATCH(R209,FlowCalNumber,0),1,1)*T210^INDEX(FlowCalConstB,MATCH(R209,FlowCalNumber,0),1,1)&lt;INDEX(FlowCalHighSetting,MATCH(R209,FlowCalNumber,0),1,1))),INDEX(FlowCalConstA,MATCH(R209,FlowCalNumber,0),1,1)*T210^INDEX(FlowCalConstB,MATCH(R209,FlowCalNumber,0),1,1)," ")</f>
        <v>#N/A</v>
      </c>
      <c r="V210" s="1224"/>
      <c r="W210" s="1221"/>
      <c r="X210" s="1218"/>
      <c r="Y210" s="1219"/>
      <c r="Z210" s="1224"/>
      <c r="AA210" s="1221"/>
      <c r="AB210" s="1218"/>
      <c r="AC210" s="1219"/>
      <c r="AD210" s="1224"/>
      <c r="AE210" s="1221"/>
      <c r="AF210" s="1218"/>
      <c r="AG210" s="1219"/>
      <c r="AH210" s="1224"/>
      <c r="AI210" s="1221"/>
      <c r="AJ210" s="1218"/>
      <c r="AK210" s="1220"/>
      <c r="AL210" s="1219"/>
      <c r="AM210" s="1219"/>
      <c r="AN210" s="1219"/>
      <c r="AO210" s="1219"/>
      <c r="AP210" s="1219"/>
      <c r="AQ210" s="1219"/>
      <c r="AR210" s="1219"/>
      <c r="AS210" s="1219"/>
      <c r="AT210" s="1219"/>
      <c r="AU210" s="1219"/>
      <c r="AV210" s="1219"/>
      <c r="AW210" s="1219"/>
      <c r="AX210" s="1219"/>
      <c r="AY210" s="1219"/>
      <c r="AZ210" s="1219"/>
      <c r="BA210" s="1219"/>
      <c r="BB210" s="1219"/>
      <c r="BC210" s="1219"/>
      <c r="BD210" s="1219"/>
      <c r="BE210" s="1219"/>
      <c r="BF210" s="1219"/>
      <c r="BG210" s="1219"/>
      <c r="BH210" s="1219"/>
      <c r="BI210" s="1219"/>
      <c r="BJ210" s="1219"/>
      <c r="BK210" s="1219"/>
      <c r="BL210" s="1219"/>
      <c r="BM210" s="1219"/>
      <c r="BN210" s="1219"/>
      <c r="BO210" s="1219"/>
      <c r="BP210" s="1219"/>
      <c r="BQ210" s="1219"/>
      <c r="BR210" s="1219"/>
      <c r="BS210" s="1219"/>
      <c r="BU210" s="1225"/>
      <c r="BW210" s="1219"/>
      <c r="BY210" s="1225"/>
      <c r="CA210" s="1219"/>
      <c r="CC210" s="1225"/>
      <c r="CE210" s="1219"/>
      <c r="CG210" s="1221"/>
      <c r="CI210" s="1219"/>
    </row>
    <row r="211" spans="1:87">
      <c r="A211" s="20"/>
      <c r="B211" s="124" t="str">
        <f t="shared" si="96"/>
        <v/>
      </c>
      <c r="C211" s="235"/>
      <c r="D211" s="24">
        <f>'1% Wind'!$M$83</f>
        <v>23.5</v>
      </c>
      <c r="E211" s="90"/>
      <c r="F211" s="90"/>
      <c r="G211" s="79">
        <f ca="1">IF(I209=0.9743,$G210,MAX(G210/D210*D211,2))</f>
        <v>2</v>
      </c>
      <c r="H211" s="121" t="e">
        <f t="shared" ca="1" si="97"/>
        <v>#VALUE!</v>
      </c>
      <c r="J211" s="33"/>
      <c r="K211" s="242">
        <f t="shared" ref="K211:K224" si="98">K210</f>
        <v>1</v>
      </c>
      <c r="L211" s="241" t="e">
        <f t="shared" ref="L211:L224" ca="1" si="99">K211*$H211</f>
        <v>#VALUE!</v>
      </c>
      <c r="M211" s="243" t="e">
        <f ca="1">IF(AND(INDEX(FlowCalConstA,MATCH(J209,FlowCalNumber,0),1,1)*L211^INDEX(FlowCalConstB,MATCH(J209,FlowCalNumber,0),1,1)&gt;INDEX(FlowCalLowSetting,MATCH(J209,FlowCalNumber,0),1,1), (INDEX(FlowCalConstA,MATCH(J209,FlowCalNumber,0),1,1)*L211^INDEX(FlowCalConstB,MATCH(J209,FlowCalNumber,0),1,1)&lt;INDEX(FlowCalHighSetting,MATCH(J209,FlowCalNumber,0),1,1))),INDEX(FlowCalConstA,MATCH(J209,FlowCalNumber,0),1,1)*L211^INDEX(FlowCalConstB,MATCH(J209,FlowCalNumber,0),1,1)," ")</f>
        <v>#N/A</v>
      </c>
      <c r="N211" s="33"/>
      <c r="O211" s="242">
        <f t="shared" ref="O211:O224" si="100">O210</f>
        <v>1</v>
      </c>
      <c r="P211" s="241" t="e">
        <f t="shared" ref="P211:P224" ca="1" si="101">O211*$H211</f>
        <v>#VALUE!</v>
      </c>
      <c r="Q211" s="243" t="e">
        <f ca="1">IF(AND(INDEX(FlowCalConstA,MATCH(N209,FlowCalNumber,0),1,1)*P211^INDEX(FlowCalConstB,MATCH(N209,FlowCalNumber,0),1,1)&gt;INDEX(FlowCalLowSetting,MATCH(N209,FlowCalNumber,0),1,1), (INDEX(FlowCalConstA,MATCH(N209,FlowCalNumber,0),1,1)*P211^INDEX(FlowCalConstB,MATCH(N209,FlowCalNumber,0),1,1)&lt;INDEX(FlowCalHighSetting,MATCH(N209,FlowCalNumber,0),1,1))),INDEX(FlowCalConstA,MATCH(N209,FlowCalNumber,0),1,1)*P211^INDEX(FlowCalConstB,MATCH(N209,FlowCalNumber,0),1,1)," ")</f>
        <v>#N/A</v>
      </c>
      <c r="R211" s="33"/>
      <c r="S211" s="242">
        <f t="shared" ref="S211:S224" si="102">S210</f>
        <v>1</v>
      </c>
      <c r="T211" s="241" t="e">
        <f t="shared" ref="T211:T224" ca="1" si="103">S211*$H211</f>
        <v>#VALUE!</v>
      </c>
      <c r="U211" s="243" t="e">
        <f ca="1">IF(AND(INDEX(FlowCalConstA,MATCH(R209,FlowCalNumber,0),1,1)*T211^INDEX(FlowCalConstB,MATCH(R209,FlowCalNumber,0),1,1)&gt;INDEX(FlowCalLowSetting,MATCH(R209,FlowCalNumber,0),1,1), (INDEX(FlowCalConstA,MATCH(R209,FlowCalNumber,0),1,1)*T211^INDEX(FlowCalConstB,MATCH(R209,FlowCalNumber,0),1,1)&lt;INDEX(FlowCalHighSetting,MATCH(R209,FlowCalNumber,0),1,1))),INDEX(FlowCalConstA,MATCH(R209,FlowCalNumber,0),1,1)*T211^INDEX(FlowCalConstB,MATCH(R209,FlowCalNumber,0),1,1)," ")</f>
        <v>#N/A</v>
      </c>
      <c r="V211" s="33"/>
      <c r="W211" s="242"/>
      <c r="X211" s="241"/>
      <c r="Y211" s="243"/>
      <c r="Z211" s="33"/>
      <c r="AA211" s="242"/>
      <c r="AB211" s="241"/>
      <c r="AC211" s="243"/>
      <c r="AD211" s="33"/>
      <c r="AE211" s="242"/>
      <c r="AF211" s="241"/>
      <c r="AG211" s="243"/>
      <c r="AH211" s="33"/>
      <c r="AI211" s="242"/>
      <c r="AJ211" s="241"/>
      <c r="AK211" s="244"/>
      <c r="AL211" s="243"/>
      <c r="AM211" s="243"/>
      <c r="AN211" s="243"/>
      <c r="AO211" s="243"/>
      <c r="AP211" s="243"/>
      <c r="AQ211" s="243"/>
      <c r="AR211" s="243"/>
      <c r="AS211" s="243"/>
      <c r="AT211" s="243"/>
      <c r="AU211" s="243"/>
      <c r="AV211" s="243"/>
      <c r="AW211" s="243"/>
      <c r="AX211" s="243"/>
      <c r="AY211" s="243"/>
      <c r="AZ211" s="243"/>
      <c r="BA211" s="243"/>
      <c r="BB211" s="243"/>
      <c r="BC211" s="243"/>
      <c r="BD211" s="243"/>
      <c r="BE211" s="243"/>
      <c r="BF211" s="243"/>
      <c r="BG211" s="243"/>
      <c r="BH211" s="243"/>
      <c r="BI211" s="243"/>
      <c r="BJ211" s="243"/>
      <c r="BK211" s="243"/>
      <c r="BL211" s="243"/>
      <c r="BM211" s="243"/>
      <c r="BN211" s="243"/>
      <c r="BO211" s="243"/>
      <c r="BP211" s="243"/>
      <c r="BQ211" s="243"/>
      <c r="BR211" s="243"/>
      <c r="BS211" s="243"/>
      <c r="BU211" s="242"/>
      <c r="BW211" s="243"/>
      <c r="BY211" s="242"/>
      <c r="CA211" s="243"/>
      <c r="CC211" s="242"/>
      <c r="CE211" s="243"/>
      <c r="CG211" s="242"/>
      <c r="CI211" s="243"/>
    </row>
    <row r="212" spans="1:87" s="1215" customFormat="1">
      <c r="A212" s="1222"/>
      <c r="B212" s="1223" t="str">
        <f t="shared" si="96"/>
        <v/>
      </c>
      <c r="C212" s="1210"/>
      <c r="D212" s="1211">
        <f>'1% Wind'!$M$84</f>
        <v>20.5</v>
      </c>
      <c r="E212" s="1212"/>
      <c r="F212" s="1212"/>
      <c r="G212" s="1213">
        <f ca="1">IF(I209=0.9743,$G211,MAX(G211/D211*D212,2))</f>
        <v>2</v>
      </c>
      <c r="H212" s="1214" t="e">
        <f t="shared" ca="1" si="97"/>
        <v>#VALUE!</v>
      </c>
      <c r="J212" s="1224"/>
      <c r="K212" s="1217">
        <f t="shared" si="98"/>
        <v>1</v>
      </c>
      <c r="L212" s="1218" t="e">
        <f t="shared" ca="1" si="99"/>
        <v>#VALUE!</v>
      </c>
      <c r="M212" s="1219" t="e">
        <f ca="1">IF(AND(INDEX(FlowCalConstA,MATCH(J209,FlowCalNumber,0),1,1)*L212^INDEX(FlowCalConstB,MATCH(J209,FlowCalNumber,0),1,1)&gt;INDEX(FlowCalLowSetting,MATCH(J209,FlowCalNumber,0),1,1), (INDEX(FlowCalConstA,MATCH(J209,FlowCalNumber,0),1,1)*L212^INDEX(FlowCalConstB,MATCH(J209,FlowCalNumber,0),1,1)&lt;INDEX(FlowCalHighSetting,MATCH(J209,FlowCalNumber,0),1,1))),INDEX(FlowCalConstA,MATCH(J209,FlowCalNumber,0),1,1)*L212^INDEX(FlowCalConstB,MATCH(J209,FlowCalNumber,0),1,1)," ")</f>
        <v>#N/A</v>
      </c>
      <c r="N212" s="1224"/>
      <c r="O212" s="1217">
        <f t="shared" si="100"/>
        <v>1</v>
      </c>
      <c r="P212" s="1218" t="e">
        <f t="shared" ca="1" si="101"/>
        <v>#VALUE!</v>
      </c>
      <c r="Q212" s="1219" t="e">
        <f ca="1">IF(AND(INDEX(FlowCalConstA,MATCH(N209,FlowCalNumber,0),1,1)*P212^INDEX(FlowCalConstB,MATCH(N209,FlowCalNumber,0),1,1)&gt;INDEX(FlowCalLowSetting,MATCH(N209,FlowCalNumber,0),1,1), (INDEX(FlowCalConstA,MATCH(N209,FlowCalNumber,0),1,1)*P212^INDEX(FlowCalConstB,MATCH(N209,FlowCalNumber,0),1,1)&lt;INDEX(FlowCalHighSetting,MATCH(N209,FlowCalNumber,0),1,1))),INDEX(FlowCalConstA,MATCH(N209,FlowCalNumber,0),1,1)*P212^INDEX(FlowCalConstB,MATCH(N209,FlowCalNumber,0),1,1)," ")</f>
        <v>#N/A</v>
      </c>
      <c r="R212" s="1224"/>
      <c r="S212" s="1217">
        <f t="shared" si="102"/>
        <v>1</v>
      </c>
      <c r="T212" s="1218" t="e">
        <f t="shared" ca="1" si="103"/>
        <v>#VALUE!</v>
      </c>
      <c r="U212" s="1219" t="e">
        <f ca="1">IF(AND(INDEX(FlowCalConstA,MATCH(R209,FlowCalNumber,0),1,1)*T212^INDEX(FlowCalConstB,MATCH(R209,FlowCalNumber,0),1,1)&gt;INDEX(FlowCalLowSetting,MATCH(R209,FlowCalNumber,0),1,1), (INDEX(FlowCalConstA,MATCH(R209,FlowCalNumber,0),1,1)*T212^INDEX(FlowCalConstB,MATCH(R209,FlowCalNumber,0),1,1)&lt;INDEX(FlowCalHighSetting,MATCH(R209,FlowCalNumber,0),1,1))),INDEX(FlowCalConstA,MATCH(R209,FlowCalNumber,0),1,1)*T212^INDEX(FlowCalConstB,MATCH(R209,FlowCalNumber,0),1,1)," ")</f>
        <v>#N/A</v>
      </c>
      <c r="V212" s="1224"/>
      <c r="W212" s="1217"/>
      <c r="X212" s="1218"/>
      <c r="Y212" s="1219"/>
      <c r="Z212" s="1224"/>
      <c r="AA212" s="1217"/>
      <c r="AB212" s="1218"/>
      <c r="AC212" s="1219"/>
      <c r="AD212" s="1224"/>
      <c r="AE212" s="1217"/>
      <c r="AF212" s="1218"/>
      <c r="AG212" s="1219"/>
      <c r="AH212" s="1224"/>
      <c r="AI212" s="1217"/>
      <c r="AJ212" s="1218"/>
      <c r="AK212" s="1220"/>
      <c r="AL212" s="1219"/>
      <c r="AM212" s="1219"/>
      <c r="AN212" s="1219"/>
      <c r="AO212" s="1219"/>
      <c r="AP212" s="1219"/>
      <c r="AQ212" s="1219"/>
      <c r="AR212" s="1219"/>
      <c r="AS212" s="1219"/>
      <c r="AT212" s="1219"/>
      <c r="AU212" s="1219"/>
      <c r="AV212" s="1219"/>
      <c r="AW212" s="1219"/>
      <c r="AX212" s="1219"/>
      <c r="AY212" s="1219"/>
      <c r="AZ212" s="1219"/>
      <c r="BA212" s="1219"/>
      <c r="BB212" s="1219"/>
      <c r="BC212" s="1219"/>
      <c r="BD212" s="1219"/>
      <c r="BE212" s="1219"/>
      <c r="BF212" s="1219"/>
      <c r="BG212" s="1219"/>
      <c r="BH212" s="1219"/>
      <c r="BI212" s="1219"/>
      <c r="BJ212" s="1219"/>
      <c r="BK212" s="1219"/>
      <c r="BL212" s="1219"/>
      <c r="BM212" s="1219"/>
      <c r="BN212" s="1219"/>
      <c r="BO212" s="1219"/>
      <c r="BP212" s="1219"/>
      <c r="BQ212" s="1219"/>
      <c r="BR212" s="1219"/>
      <c r="BS212" s="1219"/>
      <c r="BU212" s="1217"/>
      <c r="BW212" s="1219"/>
      <c r="BY212" s="1217"/>
      <c r="CA212" s="1219"/>
      <c r="CC212" s="1217"/>
      <c r="CE212" s="1219"/>
      <c r="CG212" s="1217"/>
      <c r="CI212" s="1219"/>
    </row>
    <row r="213" spans="1:87">
      <c r="A213" s="20"/>
      <c r="B213" s="124" t="str">
        <f t="shared" si="96"/>
        <v/>
      </c>
      <c r="C213" s="235"/>
      <c r="D213" s="24">
        <f>'1% Wind'!$M$85</f>
        <v>17.8</v>
      </c>
      <c r="E213" s="90"/>
      <c r="F213" s="90"/>
      <c r="G213" s="79">
        <f ca="1">IF(I209=0.9743,$G212,MAX(G212/D212*D213,2))</f>
        <v>2</v>
      </c>
      <c r="H213" s="121" t="e">
        <f t="shared" ca="1" si="97"/>
        <v>#VALUE!</v>
      </c>
      <c r="J213" s="33"/>
      <c r="K213" s="242">
        <f t="shared" si="98"/>
        <v>1</v>
      </c>
      <c r="L213" s="241" t="e">
        <f t="shared" ca="1" si="99"/>
        <v>#VALUE!</v>
      </c>
      <c r="M213" s="243" t="e">
        <f ca="1">IF(AND(INDEX(FlowCalConstA,MATCH(J209,FlowCalNumber,0),1,1)*L213^INDEX(FlowCalConstB,MATCH(J209,FlowCalNumber,0),1,1)&gt;INDEX(FlowCalLowSetting,MATCH(J209,FlowCalNumber,0),1,1), (INDEX(FlowCalConstA,MATCH(J209,FlowCalNumber,0),1,1)*L213^INDEX(FlowCalConstB,MATCH(J209,FlowCalNumber,0),1,1)&lt;INDEX(FlowCalHighSetting,MATCH(J209,FlowCalNumber,0),1,1))),INDEX(FlowCalConstA,MATCH(J209,FlowCalNumber,0),1,1)*L213^INDEX(FlowCalConstB,MATCH(J209,FlowCalNumber,0),1,1)," ")</f>
        <v>#N/A</v>
      </c>
      <c r="N213" s="33"/>
      <c r="O213" s="242">
        <f t="shared" si="100"/>
        <v>1</v>
      </c>
      <c r="P213" s="241" t="e">
        <f t="shared" ca="1" si="101"/>
        <v>#VALUE!</v>
      </c>
      <c r="Q213" s="243" t="e">
        <f ca="1">IF(AND(INDEX(FlowCalConstA,MATCH(N209,FlowCalNumber,0),1,1)*P213^INDEX(FlowCalConstB,MATCH(N209,FlowCalNumber,0),1,1)&gt;INDEX(FlowCalLowSetting,MATCH(N209,FlowCalNumber,0),1,1), (INDEX(FlowCalConstA,MATCH(N209,FlowCalNumber,0),1,1)*P213^INDEX(FlowCalConstB,MATCH(N209,FlowCalNumber,0),1,1)&lt;INDEX(FlowCalHighSetting,MATCH(N209,FlowCalNumber,0),1,1))),INDEX(FlowCalConstA,MATCH(N209,FlowCalNumber,0),1,1)*P213^INDEX(FlowCalConstB,MATCH(N209,FlowCalNumber,0),1,1)," ")</f>
        <v>#N/A</v>
      </c>
      <c r="R213" s="33"/>
      <c r="S213" s="242">
        <f t="shared" si="102"/>
        <v>1</v>
      </c>
      <c r="T213" s="241" t="e">
        <f t="shared" ca="1" si="103"/>
        <v>#VALUE!</v>
      </c>
      <c r="U213" s="243" t="e">
        <f ca="1">IF(AND(INDEX(FlowCalConstA,MATCH(R209,FlowCalNumber,0),1,1)*T213^INDEX(FlowCalConstB,MATCH(R209,FlowCalNumber,0),1,1)&gt;INDEX(FlowCalLowSetting,MATCH(R209,FlowCalNumber,0),1,1), (INDEX(FlowCalConstA,MATCH(R209,FlowCalNumber,0),1,1)*T213^INDEX(FlowCalConstB,MATCH(R209,FlowCalNumber,0),1,1)&lt;INDEX(FlowCalHighSetting,MATCH(R209,FlowCalNumber,0),1,1))),INDEX(FlowCalConstA,MATCH(R209,FlowCalNumber,0),1,1)*T213^INDEX(FlowCalConstB,MATCH(R209,FlowCalNumber,0),1,1)," ")</f>
        <v>#N/A</v>
      </c>
      <c r="V213" s="33"/>
      <c r="W213" s="242"/>
      <c r="X213" s="241"/>
      <c r="Y213" s="243"/>
      <c r="Z213" s="33"/>
      <c r="AA213" s="242"/>
      <c r="AB213" s="241"/>
      <c r="AC213" s="243"/>
      <c r="AD213" s="33"/>
      <c r="AE213" s="242"/>
      <c r="AF213" s="241"/>
      <c r="AG213" s="243"/>
      <c r="AH213" s="33"/>
      <c r="AI213" s="242"/>
      <c r="AJ213" s="241"/>
      <c r="AK213" s="244"/>
      <c r="AL213" s="243"/>
      <c r="AM213" s="243"/>
      <c r="AN213" s="243"/>
      <c r="AO213" s="243"/>
      <c r="AP213" s="243"/>
      <c r="AQ213" s="243"/>
      <c r="AR213" s="243"/>
      <c r="AS213" s="243"/>
      <c r="AT213" s="243"/>
      <c r="AU213" s="243"/>
      <c r="AV213" s="243"/>
      <c r="AW213" s="243"/>
      <c r="AX213" s="243"/>
      <c r="AY213" s="243"/>
      <c r="AZ213" s="243"/>
      <c r="BA213" s="243"/>
      <c r="BB213" s="243"/>
      <c r="BC213" s="243"/>
      <c r="BD213" s="243"/>
      <c r="BE213" s="243"/>
      <c r="BF213" s="243"/>
      <c r="BG213" s="243"/>
      <c r="BH213" s="243"/>
      <c r="BI213" s="243"/>
      <c r="BJ213" s="243"/>
      <c r="BK213" s="243"/>
      <c r="BL213" s="243"/>
      <c r="BM213" s="243"/>
      <c r="BN213" s="243"/>
      <c r="BO213" s="243"/>
      <c r="BP213" s="243"/>
      <c r="BQ213" s="243"/>
      <c r="BR213" s="243"/>
      <c r="BS213" s="243"/>
      <c r="BU213" s="242"/>
      <c r="BW213" s="243"/>
      <c r="BY213" s="242"/>
      <c r="CA213" s="243"/>
      <c r="CC213" s="242"/>
      <c r="CE213" s="243"/>
      <c r="CG213" s="242"/>
      <c r="CI213" s="243"/>
    </row>
    <row r="214" spans="1:87" s="1215" customFormat="1">
      <c r="A214" s="1222"/>
      <c r="B214" s="1223" t="str">
        <f t="shared" si="96"/>
        <v/>
      </c>
      <c r="C214" s="1210"/>
      <c r="D214" s="1211">
        <f>'1% Wind'!$M$86</f>
        <v>15.5</v>
      </c>
      <c r="E214" s="1212"/>
      <c r="F214" s="1212"/>
      <c r="G214" s="1213">
        <f ca="1">IF(I209=0.9743,$G213,MAX(G213/D213*D214,2))</f>
        <v>2</v>
      </c>
      <c r="H214" s="1214" t="e">
        <f t="shared" ca="1" si="97"/>
        <v>#VALUE!</v>
      </c>
      <c r="J214" s="1224"/>
      <c r="K214" s="1217">
        <f t="shared" si="98"/>
        <v>1</v>
      </c>
      <c r="L214" s="1218" t="e">
        <f t="shared" ca="1" si="99"/>
        <v>#VALUE!</v>
      </c>
      <c r="M214" s="1219" t="e">
        <f ca="1">IF(AND(INDEX(FlowCalConstA,MATCH(J209,FlowCalNumber,0),1,1)*L214^INDEX(FlowCalConstB,MATCH(J209,FlowCalNumber,0),1,1)&gt;INDEX(FlowCalLowSetting,MATCH(J209,FlowCalNumber,0),1,1), (INDEX(FlowCalConstA,MATCH(J209,FlowCalNumber,0),1,1)*L214^INDEX(FlowCalConstB,MATCH(J209,FlowCalNumber,0),1,1)&lt;INDEX(FlowCalHighSetting,MATCH(J209,FlowCalNumber,0),1,1))),INDEX(FlowCalConstA,MATCH(J209,FlowCalNumber,0),1,1)*L214^INDEX(FlowCalConstB,MATCH(J209,FlowCalNumber,0),1,1)," ")</f>
        <v>#N/A</v>
      </c>
      <c r="N214" s="1224"/>
      <c r="O214" s="1217">
        <f t="shared" si="100"/>
        <v>1</v>
      </c>
      <c r="P214" s="1218" t="e">
        <f t="shared" ca="1" si="101"/>
        <v>#VALUE!</v>
      </c>
      <c r="Q214" s="1219" t="e">
        <f ca="1">IF(AND(INDEX(FlowCalConstA,MATCH(N209,FlowCalNumber,0),1,1)*P214^INDEX(FlowCalConstB,MATCH(N209,FlowCalNumber,0),1,1)&gt;INDEX(FlowCalLowSetting,MATCH(N209,FlowCalNumber,0),1,1), (INDEX(FlowCalConstA,MATCH(N209,FlowCalNumber,0),1,1)*P214^INDEX(FlowCalConstB,MATCH(N209,FlowCalNumber,0),1,1)&lt;INDEX(FlowCalHighSetting,MATCH(N209,FlowCalNumber,0),1,1))),INDEX(FlowCalConstA,MATCH(N209,FlowCalNumber,0),1,1)*P214^INDEX(FlowCalConstB,MATCH(N209,FlowCalNumber,0),1,1)," ")</f>
        <v>#N/A</v>
      </c>
      <c r="R214" s="1224"/>
      <c r="S214" s="1217">
        <f t="shared" si="102"/>
        <v>1</v>
      </c>
      <c r="T214" s="1218" t="e">
        <f t="shared" ca="1" si="103"/>
        <v>#VALUE!</v>
      </c>
      <c r="U214" s="1219" t="e">
        <f ca="1">IF(AND(INDEX(FlowCalConstA,MATCH(R209,FlowCalNumber,0),1,1)*T214^INDEX(FlowCalConstB,MATCH(R209,FlowCalNumber,0),1,1)&gt;INDEX(FlowCalLowSetting,MATCH(R209,FlowCalNumber,0),1,1), (INDEX(FlowCalConstA,MATCH(R209,FlowCalNumber,0),1,1)*T214^INDEX(FlowCalConstB,MATCH(R209,FlowCalNumber,0),1,1)&lt;INDEX(FlowCalHighSetting,MATCH(R209,FlowCalNumber,0),1,1))),INDEX(FlowCalConstA,MATCH(R209,FlowCalNumber,0),1,1)*T214^INDEX(FlowCalConstB,MATCH(R209,FlowCalNumber,0),1,1)," ")</f>
        <v>#N/A</v>
      </c>
      <c r="V214" s="1224"/>
      <c r="W214" s="1217"/>
      <c r="X214" s="1218"/>
      <c r="Y214" s="1219"/>
      <c r="Z214" s="1224"/>
      <c r="AA214" s="1217"/>
      <c r="AB214" s="1218"/>
      <c r="AC214" s="1219"/>
      <c r="AD214" s="1224"/>
      <c r="AE214" s="1217"/>
      <c r="AF214" s="1218"/>
      <c r="AG214" s="1219"/>
      <c r="AH214" s="1224"/>
      <c r="AI214" s="1217"/>
      <c r="AJ214" s="1218"/>
      <c r="AK214" s="1220"/>
      <c r="AL214" s="1219"/>
      <c r="AM214" s="1219"/>
      <c r="AN214" s="1219"/>
      <c r="AO214" s="1219"/>
      <c r="AP214" s="1219"/>
      <c r="AQ214" s="1219"/>
      <c r="AR214" s="1219"/>
      <c r="AS214" s="1219"/>
      <c r="AT214" s="1219"/>
      <c r="AU214" s="1219"/>
      <c r="AV214" s="1219"/>
      <c r="AW214" s="1219"/>
      <c r="AX214" s="1219"/>
      <c r="AY214" s="1219"/>
      <c r="AZ214" s="1219"/>
      <c r="BA214" s="1219"/>
      <c r="BB214" s="1219"/>
      <c r="BC214" s="1219"/>
      <c r="BD214" s="1219"/>
      <c r="BE214" s="1219"/>
      <c r="BF214" s="1219"/>
      <c r="BG214" s="1219"/>
      <c r="BH214" s="1219"/>
      <c r="BI214" s="1219"/>
      <c r="BJ214" s="1219"/>
      <c r="BK214" s="1219"/>
      <c r="BL214" s="1219"/>
      <c r="BM214" s="1219"/>
      <c r="BN214" s="1219"/>
      <c r="BO214" s="1219"/>
      <c r="BP214" s="1219"/>
      <c r="BQ214" s="1219"/>
      <c r="BR214" s="1219"/>
      <c r="BS214" s="1219"/>
      <c r="BU214" s="1217"/>
      <c r="BW214" s="1219"/>
      <c r="BY214" s="1217"/>
      <c r="CA214" s="1219"/>
      <c r="CC214" s="1217"/>
      <c r="CE214" s="1219"/>
      <c r="CG214" s="1217"/>
      <c r="CI214" s="1219"/>
    </row>
    <row r="215" spans="1:87">
      <c r="A215" s="20"/>
      <c r="B215" s="124" t="str">
        <f t="shared" si="96"/>
        <v/>
      </c>
      <c r="C215" s="235"/>
      <c r="D215" s="24">
        <f>'1% Wind'!$M$87</f>
        <v>13.5</v>
      </c>
      <c r="E215" s="90"/>
      <c r="F215" s="90"/>
      <c r="G215" s="79">
        <f ca="1">IF(I209=0.9743,$G214,MAX(G214/D214*D215,2))</f>
        <v>2</v>
      </c>
      <c r="H215" s="121" t="e">
        <f t="shared" ca="1" si="97"/>
        <v>#VALUE!</v>
      </c>
      <c r="J215" s="33"/>
      <c r="K215" s="242">
        <f t="shared" si="98"/>
        <v>1</v>
      </c>
      <c r="L215" s="241" t="e">
        <f t="shared" ca="1" si="99"/>
        <v>#VALUE!</v>
      </c>
      <c r="M215" s="243" t="e">
        <f ca="1">IF(AND(INDEX(FlowCalConstA,MATCH(J209,FlowCalNumber,0),1,1)*L215^INDEX(FlowCalConstB,MATCH(J209,FlowCalNumber,0),1,1)&gt;INDEX(FlowCalLowSetting,MATCH(J209,FlowCalNumber,0),1,1), (INDEX(FlowCalConstA,MATCH(J209,FlowCalNumber,0),1,1)*L215^INDEX(FlowCalConstB,MATCH(J209,FlowCalNumber,0),1,1)&lt;INDEX(FlowCalHighSetting,MATCH(J209,FlowCalNumber,0),1,1))),INDEX(FlowCalConstA,MATCH(J209,FlowCalNumber,0),1,1)*L215^INDEX(FlowCalConstB,MATCH(J209,FlowCalNumber,0),1,1)," ")</f>
        <v>#N/A</v>
      </c>
      <c r="N215" s="33"/>
      <c r="O215" s="242">
        <f t="shared" si="100"/>
        <v>1</v>
      </c>
      <c r="P215" s="241" t="e">
        <f t="shared" ca="1" si="101"/>
        <v>#VALUE!</v>
      </c>
      <c r="Q215" s="243" t="e">
        <f ca="1">IF(AND(INDEX(FlowCalConstA,MATCH(N209,FlowCalNumber,0),1,1)*P215^INDEX(FlowCalConstB,MATCH(N209,FlowCalNumber,0),1,1)&gt;INDEX(FlowCalLowSetting,MATCH(N209,FlowCalNumber,0),1,1), (INDEX(FlowCalConstA,MATCH(N209,FlowCalNumber,0),1,1)*P215^INDEX(FlowCalConstB,MATCH(N209,FlowCalNumber,0),1,1)&lt;INDEX(FlowCalHighSetting,MATCH(N209,FlowCalNumber,0),1,1))),INDEX(FlowCalConstA,MATCH(N209,FlowCalNumber,0),1,1)*P215^INDEX(FlowCalConstB,MATCH(N209,FlowCalNumber,0),1,1)," ")</f>
        <v>#N/A</v>
      </c>
      <c r="R215" s="33"/>
      <c r="S215" s="242">
        <f t="shared" si="102"/>
        <v>1</v>
      </c>
      <c r="T215" s="241" t="e">
        <f t="shared" ca="1" si="103"/>
        <v>#VALUE!</v>
      </c>
      <c r="U215" s="243" t="e">
        <f ca="1">IF(AND(INDEX(FlowCalConstA,MATCH(R209,FlowCalNumber,0),1,1)*T215^INDEX(FlowCalConstB,MATCH(R209,FlowCalNumber,0),1,1)&gt;INDEX(FlowCalLowSetting,MATCH(R209,FlowCalNumber,0),1,1), (INDEX(FlowCalConstA,MATCH(R209,FlowCalNumber,0),1,1)*T215^INDEX(FlowCalConstB,MATCH(R209,FlowCalNumber,0),1,1)&lt;INDEX(FlowCalHighSetting,MATCH(R209,FlowCalNumber,0),1,1))),INDEX(FlowCalConstA,MATCH(R209,FlowCalNumber,0),1,1)*T215^INDEX(FlowCalConstB,MATCH(R209,FlowCalNumber,0),1,1)," ")</f>
        <v>#N/A</v>
      </c>
      <c r="V215" s="33"/>
      <c r="W215" s="242"/>
      <c r="X215" s="241"/>
      <c r="Y215" s="243"/>
      <c r="Z215" s="33"/>
      <c r="AA215" s="242"/>
      <c r="AB215" s="241"/>
      <c r="AC215" s="243"/>
      <c r="AD215" s="33"/>
      <c r="AE215" s="242"/>
      <c r="AF215" s="241"/>
      <c r="AG215" s="243"/>
      <c r="AH215" s="33"/>
      <c r="AI215" s="242"/>
      <c r="AJ215" s="241"/>
      <c r="AK215" s="244"/>
      <c r="AL215" s="243"/>
      <c r="AM215" s="243"/>
      <c r="AN215" s="243"/>
      <c r="AO215" s="243"/>
      <c r="AP215" s="243"/>
      <c r="AQ215" s="243"/>
      <c r="AR215" s="243"/>
      <c r="AS215" s="243"/>
      <c r="AT215" s="243"/>
      <c r="AU215" s="243"/>
      <c r="AV215" s="243"/>
      <c r="AW215" s="243"/>
      <c r="AX215" s="243"/>
      <c r="AY215" s="243"/>
      <c r="AZ215" s="243"/>
      <c r="BA215" s="243"/>
      <c r="BB215" s="243"/>
      <c r="BC215" s="243"/>
      <c r="BD215" s="243"/>
      <c r="BE215" s="243"/>
      <c r="BF215" s="243"/>
      <c r="BG215" s="243"/>
      <c r="BH215" s="243"/>
      <c r="BI215" s="243"/>
      <c r="BJ215" s="243"/>
      <c r="BK215" s="243"/>
      <c r="BL215" s="243"/>
      <c r="BM215" s="243"/>
      <c r="BN215" s="243"/>
      <c r="BO215" s="243"/>
      <c r="BP215" s="243"/>
      <c r="BQ215" s="243"/>
      <c r="BR215" s="243"/>
      <c r="BS215" s="243"/>
      <c r="BU215" s="242"/>
      <c r="BW215" s="243"/>
      <c r="BY215" s="242"/>
      <c r="CA215" s="243"/>
      <c r="CC215" s="242"/>
      <c r="CE215" s="243"/>
      <c r="CG215" s="242"/>
      <c r="CI215" s="243"/>
    </row>
    <row r="216" spans="1:87" s="1215" customFormat="1">
      <c r="A216" s="1222"/>
      <c r="B216" s="1223" t="str">
        <f t="shared" si="96"/>
        <v/>
      </c>
      <c r="C216" s="1210"/>
      <c r="D216" s="1211">
        <f>'1% Wind'!$M$88</f>
        <v>10.1</v>
      </c>
      <c r="E216" s="1212"/>
      <c r="F216" s="1212"/>
      <c r="G216" s="1213">
        <f ca="1">IF(I209=0.9743,$G215,MAX(G215/D215*D216,2))</f>
        <v>2</v>
      </c>
      <c r="H216" s="1214" t="e">
        <f t="shared" ca="1" si="97"/>
        <v>#VALUE!</v>
      </c>
      <c r="J216" s="1224"/>
      <c r="K216" s="1217">
        <f t="shared" si="98"/>
        <v>1</v>
      </c>
      <c r="L216" s="1218" t="e">
        <f t="shared" ca="1" si="99"/>
        <v>#VALUE!</v>
      </c>
      <c r="M216" s="1219" t="e">
        <f ca="1">IF(AND(INDEX(FlowCalConstA,MATCH(J209,FlowCalNumber,0),1,1)*L216^INDEX(FlowCalConstB,MATCH(J209,FlowCalNumber,0),1,1)&gt;INDEX(FlowCalLowSetting,MATCH(J209,FlowCalNumber,0),1,1), (INDEX(FlowCalConstA,MATCH(J209,FlowCalNumber,0),1,1)*L216^INDEX(FlowCalConstB,MATCH(J209,FlowCalNumber,0),1,1)&lt;INDEX(FlowCalHighSetting,MATCH(J209,FlowCalNumber,0),1,1))),INDEX(FlowCalConstA,MATCH(J209,FlowCalNumber,0),1,1)*L216^INDEX(FlowCalConstB,MATCH(J209,FlowCalNumber,0),1,1)," ")</f>
        <v>#N/A</v>
      </c>
      <c r="N216" s="1224"/>
      <c r="O216" s="1217">
        <f t="shared" si="100"/>
        <v>1</v>
      </c>
      <c r="P216" s="1218" t="e">
        <f t="shared" ca="1" si="101"/>
        <v>#VALUE!</v>
      </c>
      <c r="Q216" s="1219" t="e">
        <f ca="1">IF(AND(INDEX(FlowCalConstA,MATCH(N209,FlowCalNumber,0),1,1)*P216^INDEX(FlowCalConstB,MATCH(N209,FlowCalNumber,0),1,1)&gt;INDEX(FlowCalLowSetting,MATCH(N209,FlowCalNumber,0),1,1), (INDEX(FlowCalConstA,MATCH(N209,FlowCalNumber,0),1,1)*P216^INDEX(FlowCalConstB,MATCH(N209,FlowCalNumber,0),1,1)&lt;INDEX(FlowCalHighSetting,MATCH(N209,FlowCalNumber,0),1,1))),INDEX(FlowCalConstA,MATCH(N209,FlowCalNumber,0),1,1)*P216^INDEX(FlowCalConstB,MATCH(N209,FlowCalNumber,0),1,1)," ")</f>
        <v>#N/A</v>
      </c>
      <c r="R216" s="1224"/>
      <c r="S216" s="1217">
        <f t="shared" si="102"/>
        <v>1</v>
      </c>
      <c r="T216" s="1218" t="e">
        <f t="shared" ca="1" si="103"/>
        <v>#VALUE!</v>
      </c>
      <c r="U216" s="1219" t="e">
        <f ca="1">IF(AND(INDEX(FlowCalConstA,MATCH(R209,FlowCalNumber,0),1,1)*T216^INDEX(FlowCalConstB,MATCH(R209,FlowCalNumber,0),1,1)&gt;INDEX(FlowCalLowSetting,MATCH(R209,FlowCalNumber,0),1,1), (INDEX(FlowCalConstA,MATCH(R209,FlowCalNumber,0),1,1)*T216^INDEX(FlowCalConstB,MATCH(R209,FlowCalNumber,0),1,1)&lt;INDEX(FlowCalHighSetting,MATCH(R209,FlowCalNumber,0),1,1))),INDEX(FlowCalConstA,MATCH(R209,FlowCalNumber,0),1,1)*T216^INDEX(FlowCalConstB,MATCH(R209,FlowCalNumber,0),1,1)," ")</f>
        <v>#N/A</v>
      </c>
      <c r="V216" s="1224"/>
      <c r="W216" s="1217"/>
      <c r="X216" s="1218"/>
      <c r="Y216" s="1219"/>
      <c r="Z216" s="1224"/>
      <c r="AA216" s="1217"/>
      <c r="AB216" s="1218"/>
      <c r="AC216" s="1219"/>
      <c r="AD216" s="1224"/>
      <c r="AE216" s="1217"/>
      <c r="AF216" s="1218"/>
      <c r="AG216" s="1219"/>
      <c r="AH216" s="1224"/>
      <c r="AI216" s="1217"/>
      <c r="AJ216" s="1218"/>
      <c r="AK216" s="1220"/>
      <c r="AL216" s="1219"/>
      <c r="AM216" s="1219"/>
      <c r="AN216" s="1219"/>
      <c r="AO216" s="1219"/>
      <c r="AP216" s="1219"/>
      <c r="AQ216" s="1219"/>
      <c r="AR216" s="1219"/>
      <c r="AS216" s="1219"/>
      <c r="AT216" s="1219"/>
      <c r="AU216" s="1219"/>
      <c r="AV216" s="1219"/>
      <c r="AW216" s="1219"/>
      <c r="AX216" s="1219"/>
      <c r="AY216" s="1219"/>
      <c r="AZ216" s="1219"/>
      <c r="BA216" s="1219"/>
      <c r="BB216" s="1219"/>
      <c r="BC216" s="1219"/>
      <c r="BD216" s="1219"/>
      <c r="BE216" s="1219"/>
      <c r="BF216" s="1219"/>
      <c r="BG216" s="1219"/>
      <c r="BH216" s="1219"/>
      <c r="BI216" s="1219"/>
      <c r="BJ216" s="1219"/>
      <c r="BK216" s="1219"/>
      <c r="BL216" s="1219"/>
      <c r="BM216" s="1219"/>
      <c r="BN216" s="1219"/>
      <c r="BO216" s="1219"/>
      <c r="BP216" s="1219"/>
      <c r="BQ216" s="1219"/>
      <c r="BR216" s="1219"/>
      <c r="BS216" s="1219"/>
      <c r="BU216" s="1217"/>
      <c r="BW216" s="1219"/>
      <c r="BY216" s="1217"/>
      <c r="CA216" s="1219"/>
      <c r="CC216" s="1217"/>
      <c r="CE216" s="1219"/>
      <c r="CG216" s="1217"/>
      <c r="CI216" s="1219"/>
    </row>
    <row r="217" spans="1:87">
      <c r="A217" s="20"/>
      <c r="B217" s="124" t="str">
        <f t="shared" si="96"/>
        <v/>
      </c>
      <c r="C217" s="235"/>
      <c r="D217" s="24">
        <f>'1% Wind'!$M$89</f>
        <v>7.6</v>
      </c>
      <c r="E217" s="90"/>
      <c r="F217" s="90"/>
      <c r="G217" s="79">
        <f ca="1">IF(I209=0.9743,$G216,MAX(G216/D216*D217,2))</f>
        <v>2</v>
      </c>
      <c r="H217" s="121" t="e">
        <f t="shared" ca="1" si="97"/>
        <v>#VALUE!</v>
      </c>
      <c r="J217" s="33"/>
      <c r="K217" s="242">
        <f t="shared" si="98"/>
        <v>1</v>
      </c>
      <c r="L217" s="241" t="e">
        <f t="shared" ca="1" si="99"/>
        <v>#VALUE!</v>
      </c>
      <c r="M217" s="243" t="e">
        <f ca="1">IF(AND(INDEX(FlowCalConstA,MATCH(J209,FlowCalNumber,0),1,1)*L217^INDEX(FlowCalConstB,MATCH(J209,FlowCalNumber,0),1,1)&gt;INDEX(FlowCalLowSetting,MATCH(J209,FlowCalNumber,0),1,1), (INDEX(FlowCalConstA,MATCH(J209,FlowCalNumber,0),1,1)*L217^INDEX(FlowCalConstB,MATCH(J209,FlowCalNumber,0),1,1)&lt;INDEX(FlowCalHighSetting,MATCH(J209,FlowCalNumber,0),1,1))),INDEX(FlowCalConstA,MATCH(J209,FlowCalNumber,0),1,1)*L217^INDEX(FlowCalConstB,MATCH(J209,FlowCalNumber,0),1,1)," ")</f>
        <v>#N/A</v>
      </c>
      <c r="N217" s="33"/>
      <c r="O217" s="242">
        <f t="shared" si="100"/>
        <v>1</v>
      </c>
      <c r="P217" s="241" t="e">
        <f t="shared" ca="1" si="101"/>
        <v>#VALUE!</v>
      </c>
      <c r="Q217" s="243" t="e">
        <f ca="1">IF(AND(INDEX(FlowCalConstA,MATCH(N209,FlowCalNumber,0),1,1)*P217^INDEX(FlowCalConstB,MATCH(N209,FlowCalNumber,0),1,1)&gt;INDEX(FlowCalLowSetting,MATCH(N209,FlowCalNumber,0),1,1), (INDEX(FlowCalConstA,MATCH(N209,FlowCalNumber,0),1,1)*P217^INDEX(FlowCalConstB,MATCH(N209,FlowCalNumber,0),1,1)&lt;INDEX(FlowCalHighSetting,MATCH(N209,FlowCalNumber,0),1,1))),INDEX(FlowCalConstA,MATCH(N209,FlowCalNumber,0),1,1)*P217^INDEX(FlowCalConstB,MATCH(N209,FlowCalNumber,0),1,1)," ")</f>
        <v>#N/A</v>
      </c>
      <c r="R217" s="33"/>
      <c r="S217" s="242">
        <f t="shared" si="102"/>
        <v>1</v>
      </c>
      <c r="T217" s="241" t="e">
        <f t="shared" ca="1" si="103"/>
        <v>#VALUE!</v>
      </c>
      <c r="U217" s="243" t="e">
        <f ca="1">IF(AND(INDEX(FlowCalConstA,MATCH(R209,FlowCalNumber,0),1,1)*T217^INDEX(FlowCalConstB,MATCH(R209,FlowCalNumber,0),1,1)&gt;INDEX(FlowCalLowSetting,MATCH(R209,FlowCalNumber,0),1,1), (INDEX(FlowCalConstA,MATCH(R209,FlowCalNumber,0),1,1)*T217^INDEX(FlowCalConstB,MATCH(R209,FlowCalNumber,0),1,1)&lt;INDEX(FlowCalHighSetting,MATCH(R209,FlowCalNumber,0),1,1))),INDEX(FlowCalConstA,MATCH(R209,FlowCalNumber,0),1,1)*T217^INDEX(FlowCalConstB,MATCH(R209,FlowCalNumber,0),1,1)," ")</f>
        <v>#N/A</v>
      </c>
      <c r="V217" s="33"/>
      <c r="W217" s="242"/>
      <c r="X217" s="241"/>
      <c r="Y217" s="243"/>
      <c r="Z217" s="33"/>
      <c r="AA217" s="242"/>
      <c r="AB217" s="241"/>
      <c r="AC217" s="243"/>
      <c r="AD217" s="33"/>
      <c r="AE217" s="242"/>
      <c r="AF217" s="241"/>
      <c r="AG217" s="243"/>
      <c r="AH217" s="33"/>
      <c r="AI217" s="242"/>
      <c r="AJ217" s="241"/>
      <c r="AK217" s="244"/>
      <c r="AL217" s="243"/>
      <c r="AM217" s="243"/>
      <c r="AN217" s="243"/>
      <c r="AO217" s="243"/>
      <c r="AP217" s="243"/>
      <c r="AQ217" s="243"/>
      <c r="AR217" s="243"/>
      <c r="AS217" s="243"/>
      <c r="AT217" s="243"/>
      <c r="AU217" s="243"/>
      <c r="AV217" s="243"/>
      <c r="AW217" s="243"/>
      <c r="AX217" s="243"/>
      <c r="AY217" s="243"/>
      <c r="AZ217" s="243"/>
      <c r="BA217" s="243"/>
      <c r="BB217" s="243"/>
      <c r="BC217" s="243"/>
      <c r="BD217" s="243"/>
      <c r="BE217" s="243"/>
      <c r="BF217" s="243"/>
      <c r="BG217" s="243"/>
      <c r="BH217" s="243"/>
      <c r="BI217" s="243"/>
      <c r="BJ217" s="243"/>
      <c r="BK217" s="243"/>
      <c r="BL217" s="243"/>
      <c r="BM217" s="243"/>
      <c r="BN217" s="243"/>
      <c r="BO217" s="243"/>
      <c r="BP217" s="243"/>
      <c r="BQ217" s="243"/>
      <c r="BR217" s="243"/>
      <c r="BS217" s="243"/>
      <c r="BU217" s="242"/>
      <c r="BW217" s="243"/>
      <c r="BY217" s="242"/>
      <c r="CA217" s="243"/>
      <c r="CC217" s="242"/>
      <c r="CE217" s="243"/>
      <c r="CG217" s="242"/>
      <c r="CI217" s="243"/>
    </row>
    <row r="218" spans="1:87" s="1215" customFormat="1">
      <c r="A218" s="1222"/>
      <c r="B218" s="1223" t="str">
        <f t="shared" si="96"/>
        <v/>
      </c>
      <c r="C218" s="1210"/>
      <c r="D218" s="1211">
        <f>'1% Wind'!$M$90</f>
        <v>5.7</v>
      </c>
      <c r="E218" s="1212"/>
      <c r="F218" s="1212"/>
      <c r="G218" s="1213">
        <f ca="1">IF(I209=0.9743,$G217,MAX(G217/D217*D218,2))</f>
        <v>2</v>
      </c>
      <c r="H218" s="1214" t="e">
        <f t="shared" ca="1" si="97"/>
        <v>#VALUE!</v>
      </c>
      <c r="J218" s="1224"/>
      <c r="K218" s="1217">
        <f t="shared" si="98"/>
        <v>1</v>
      </c>
      <c r="L218" s="1218" t="e">
        <f t="shared" ca="1" si="99"/>
        <v>#VALUE!</v>
      </c>
      <c r="M218" s="1219" t="e">
        <f ca="1">IF(AND(INDEX(FlowCalConstA,MATCH(J209,FlowCalNumber,0),1,1)*L218^INDEX(FlowCalConstB,MATCH(J209,FlowCalNumber,0),1,1)&gt;INDEX(FlowCalLowSetting,MATCH(J209,FlowCalNumber,0),1,1), (INDEX(FlowCalConstA,MATCH(J209,FlowCalNumber,0),1,1)*L218^INDEX(FlowCalConstB,MATCH(J209,FlowCalNumber,0),1,1)&lt;INDEX(FlowCalHighSetting,MATCH(J209,FlowCalNumber,0),1,1))),INDEX(FlowCalConstA,MATCH(J209,FlowCalNumber,0),1,1)*L218^INDEX(FlowCalConstB,MATCH(J209,FlowCalNumber,0),1,1)," ")</f>
        <v>#N/A</v>
      </c>
      <c r="N218" s="1224"/>
      <c r="O218" s="1217">
        <f t="shared" si="100"/>
        <v>1</v>
      </c>
      <c r="P218" s="1218" t="e">
        <f t="shared" ca="1" si="101"/>
        <v>#VALUE!</v>
      </c>
      <c r="Q218" s="1219" t="e">
        <f ca="1">IF(AND(INDEX(FlowCalConstA,MATCH(N209,FlowCalNumber,0),1,1)*P218^INDEX(FlowCalConstB,MATCH(N209,FlowCalNumber,0),1,1)&gt;INDEX(FlowCalLowSetting,MATCH(N209,FlowCalNumber,0),1,1), (INDEX(FlowCalConstA,MATCH(N209,FlowCalNumber,0),1,1)*P218^INDEX(FlowCalConstB,MATCH(N209,FlowCalNumber,0),1,1)&lt;INDEX(FlowCalHighSetting,MATCH(N209,FlowCalNumber,0),1,1))),INDEX(FlowCalConstA,MATCH(N209,FlowCalNumber,0),1,1)*P218^INDEX(FlowCalConstB,MATCH(N209,FlowCalNumber,0),1,1)," ")</f>
        <v>#N/A</v>
      </c>
      <c r="R218" s="1224"/>
      <c r="S218" s="1217">
        <f t="shared" si="102"/>
        <v>1</v>
      </c>
      <c r="T218" s="1218" t="e">
        <f t="shared" ca="1" si="103"/>
        <v>#VALUE!</v>
      </c>
      <c r="U218" s="1219" t="e">
        <f ca="1">IF(AND(INDEX(FlowCalConstA,MATCH(R209,FlowCalNumber,0),1,1)*T218^INDEX(FlowCalConstB,MATCH(R209,FlowCalNumber,0),1,1)&gt;INDEX(FlowCalLowSetting,MATCH(R209,FlowCalNumber,0),1,1), (INDEX(FlowCalConstA,MATCH(R209,FlowCalNumber,0),1,1)*T218^INDEX(FlowCalConstB,MATCH(R209,FlowCalNumber,0),1,1)&lt;INDEX(FlowCalHighSetting,MATCH(R209,FlowCalNumber,0),1,1))),INDEX(FlowCalConstA,MATCH(R209,FlowCalNumber,0),1,1)*T218^INDEX(FlowCalConstB,MATCH(R209,FlowCalNumber,0),1,1)," ")</f>
        <v>#N/A</v>
      </c>
      <c r="V218" s="1224"/>
      <c r="W218" s="1217"/>
      <c r="X218" s="1218"/>
      <c r="Y218" s="1219"/>
      <c r="Z218" s="1224"/>
      <c r="AA218" s="1217"/>
      <c r="AB218" s="1218"/>
      <c r="AC218" s="1219"/>
      <c r="AD218" s="1224"/>
      <c r="AE218" s="1217"/>
      <c r="AF218" s="1218"/>
      <c r="AG218" s="1219"/>
      <c r="AH218" s="1224"/>
      <c r="AI218" s="1217"/>
      <c r="AJ218" s="1218"/>
      <c r="AK218" s="1220"/>
      <c r="AL218" s="1219"/>
      <c r="AM218" s="1219"/>
      <c r="AN218" s="1219"/>
      <c r="AO218" s="1219"/>
      <c r="AP218" s="1219"/>
      <c r="AQ218" s="1219"/>
      <c r="AR218" s="1219"/>
      <c r="AS218" s="1219"/>
      <c r="AT218" s="1219"/>
      <c r="AU218" s="1219"/>
      <c r="AV218" s="1219"/>
      <c r="AW218" s="1219"/>
      <c r="AX218" s="1219"/>
      <c r="AY218" s="1219"/>
      <c r="AZ218" s="1219"/>
      <c r="BA218" s="1219"/>
      <c r="BB218" s="1219"/>
      <c r="BC218" s="1219"/>
      <c r="BD218" s="1219"/>
      <c r="BE218" s="1219"/>
      <c r="BF218" s="1219"/>
      <c r="BG218" s="1219"/>
      <c r="BH218" s="1219"/>
      <c r="BI218" s="1219"/>
      <c r="BJ218" s="1219"/>
      <c r="BK218" s="1219"/>
      <c r="BL218" s="1219"/>
      <c r="BM218" s="1219"/>
      <c r="BN218" s="1219"/>
      <c r="BO218" s="1219"/>
      <c r="BP218" s="1219"/>
      <c r="BQ218" s="1219"/>
      <c r="BR218" s="1219"/>
      <c r="BS218" s="1219"/>
      <c r="BU218" s="1217"/>
      <c r="BW218" s="1219"/>
      <c r="BY218" s="1217"/>
      <c r="CA218" s="1219"/>
      <c r="CC218" s="1217"/>
      <c r="CE218" s="1219"/>
      <c r="CG218" s="1217"/>
      <c r="CI218" s="1219"/>
    </row>
    <row r="219" spans="1:87">
      <c r="A219" s="20"/>
      <c r="B219" s="124" t="str">
        <f t="shared" si="96"/>
        <v/>
      </c>
      <c r="C219" s="235"/>
      <c r="D219" s="24">
        <f>'1% Wind'!$M$91</f>
        <v>4.2</v>
      </c>
      <c r="E219" s="90"/>
      <c r="F219" s="90"/>
      <c r="G219" s="79">
        <f ca="1">IF(I209=0.9743,$G218,MAX(G218/D218*D219,2))</f>
        <v>2</v>
      </c>
      <c r="H219" s="121" t="e">
        <f t="shared" ca="1" si="97"/>
        <v>#VALUE!</v>
      </c>
      <c r="J219" s="33"/>
      <c r="K219" s="242">
        <f t="shared" si="98"/>
        <v>1</v>
      </c>
      <c r="L219" s="241" t="e">
        <f t="shared" ca="1" si="99"/>
        <v>#VALUE!</v>
      </c>
      <c r="M219" s="243" t="e">
        <f ca="1">IF(AND(INDEX(FlowCalConstA,MATCH(J209,FlowCalNumber,0),1,1)*L219^INDEX(FlowCalConstB,MATCH(J209,FlowCalNumber,0),1,1)&gt;INDEX(FlowCalLowSetting,MATCH(J209,FlowCalNumber,0),1,1), (INDEX(FlowCalConstA,MATCH(J209,FlowCalNumber,0),1,1)*L219^INDEX(FlowCalConstB,MATCH(J209,FlowCalNumber,0),1,1)&lt;INDEX(FlowCalHighSetting,MATCH(J209,FlowCalNumber,0),1,1))),INDEX(FlowCalConstA,MATCH(J209,FlowCalNumber,0),1,1)*L219^INDEX(FlowCalConstB,MATCH(J209,FlowCalNumber,0),1,1)," ")</f>
        <v>#N/A</v>
      </c>
      <c r="N219" s="33"/>
      <c r="O219" s="242">
        <f t="shared" si="100"/>
        <v>1</v>
      </c>
      <c r="P219" s="241" t="e">
        <f t="shared" ca="1" si="101"/>
        <v>#VALUE!</v>
      </c>
      <c r="Q219" s="243" t="e">
        <f ca="1">IF(AND(INDEX(FlowCalConstA,MATCH(N209,FlowCalNumber,0),1,1)*P219^INDEX(FlowCalConstB,MATCH(N209,FlowCalNumber,0),1,1)&gt;INDEX(FlowCalLowSetting,MATCH(N209,FlowCalNumber,0),1,1), (INDEX(FlowCalConstA,MATCH(N209,FlowCalNumber,0),1,1)*P219^INDEX(FlowCalConstB,MATCH(N209,FlowCalNumber,0),1,1)&lt;INDEX(FlowCalHighSetting,MATCH(N209,FlowCalNumber,0),1,1))),INDEX(FlowCalConstA,MATCH(N209,FlowCalNumber,0),1,1)*P219^INDEX(FlowCalConstB,MATCH(N209,FlowCalNumber,0),1,1)," ")</f>
        <v>#N/A</v>
      </c>
      <c r="R219" s="33"/>
      <c r="S219" s="242">
        <f t="shared" si="102"/>
        <v>1</v>
      </c>
      <c r="T219" s="241" t="e">
        <f t="shared" ca="1" si="103"/>
        <v>#VALUE!</v>
      </c>
      <c r="U219" s="243" t="e">
        <f ca="1">IF(AND(INDEX(FlowCalConstA,MATCH(R209,FlowCalNumber,0),1,1)*T219^INDEX(FlowCalConstB,MATCH(R209,FlowCalNumber,0),1,1)&gt;INDEX(FlowCalLowSetting,MATCH(R209,FlowCalNumber,0),1,1), (INDEX(FlowCalConstA,MATCH(R209,FlowCalNumber,0),1,1)*T219^INDEX(FlowCalConstB,MATCH(R209,FlowCalNumber,0),1,1)&lt;INDEX(FlowCalHighSetting,MATCH(R209,FlowCalNumber,0),1,1))),INDEX(FlowCalConstA,MATCH(R209,FlowCalNumber,0),1,1)*T219^INDEX(FlowCalConstB,MATCH(R209,FlowCalNumber,0),1,1)," ")</f>
        <v>#N/A</v>
      </c>
      <c r="V219" s="33"/>
      <c r="W219" s="242"/>
      <c r="X219" s="241"/>
      <c r="Y219" s="243"/>
      <c r="Z219" s="33"/>
      <c r="AA219" s="242"/>
      <c r="AB219" s="241"/>
      <c r="AC219" s="243"/>
      <c r="AD219" s="33"/>
      <c r="AE219" s="242"/>
      <c r="AF219" s="241"/>
      <c r="AG219" s="243"/>
      <c r="AH219" s="33"/>
      <c r="AI219" s="242"/>
      <c r="AJ219" s="241"/>
      <c r="AK219" s="244"/>
      <c r="AL219" s="243"/>
      <c r="AM219" s="243"/>
      <c r="AN219" s="243"/>
      <c r="AO219" s="243"/>
      <c r="AP219" s="243"/>
      <c r="AQ219" s="243"/>
      <c r="AR219" s="243"/>
      <c r="AS219" s="243"/>
      <c r="AT219" s="243"/>
      <c r="AU219" s="243"/>
      <c r="AV219" s="243"/>
      <c r="AW219" s="243"/>
      <c r="AX219" s="243"/>
      <c r="AY219" s="243"/>
      <c r="AZ219" s="243"/>
      <c r="BA219" s="243"/>
      <c r="BB219" s="243"/>
      <c r="BC219" s="243"/>
      <c r="BD219" s="243"/>
      <c r="BE219" s="243"/>
      <c r="BF219" s="243"/>
      <c r="BG219" s="243"/>
      <c r="BH219" s="243"/>
      <c r="BI219" s="243"/>
      <c r="BJ219" s="243"/>
      <c r="BK219" s="243"/>
      <c r="BL219" s="243"/>
      <c r="BM219" s="243"/>
      <c r="BN219" s="243"/>
      <c r="BO219" s="243"/>
      <c r="BP219" s="243"/>
      <c r="BQ219" s="243"/>
      <c r="BR219" s="243"/>
      <c r="BS219" s="243"/>
      <c r="BU219" s="242"/>
      <c r="BW219" s="243"/>
      <c r="BY219" s="242"/>
      <c r="CA219" s="243"/>
      <c r="CC219" s="242"/>
      <c r="CE219" s="243"/>
      <c r="CG219" s="242"/>
      <c r="CI219" s="243"/>
    </row>
    <row r="220" spans="1:87" s="1215" customFormat="1">
      <c r="A220" s="1222"/>
      <c r="B220" s="1223" t="str">
        <f t="shared" si="96"/>
        <v/>
      </c>
      <c r="C220" s="1210"/>
      <c r="D220" s="1211">
        <f>'1% Wind'!$M$92</f>
        <v>3.2</v>
      </c>
      <c r="E220" s="1212"/>
      <c r="F220" s="1212"/>
      <c r="G220" s="1213">
        <f ca="1">IF(I209=0.9743,$G219,MAX(G219/D219*D220,2))</f>
        <v>2</v>
      </c>
      <c r="H220" s="1214" t="e">
        <f t="shared" ca="1" si="97"/>
        <v>#VALUE!</v>
      </c>
      <c r="J220" s="1224"/>
      <c r="K220" s="1217">
        <f t="shared" si="98"/>
        <v>1</v>
      </c>
      <c r="L220" s="1218" t="e">
        <f t="shared" ca="1" si="99"/>
        <v>#VALUE!</v>
      </c>
      <c r="M220" s="1219" t="e">
        <f ca="1">IF(AND(INDEX(FlowCalConstA,MATCH(J209,FlowCalNumber,0),1,1)*L220^INDEX(FlowCalConstB,MATCH(J209,FlowCalNumber,0),1,1)&gt;INDEX(FlowCalLowSetting,MATCH(J209,FlowCalNumber,0),1,1), (INDEX(FlowCalConstA,MATCH(J209,FlowCalNumber,0),1,1)*L220^INDEX(FlowCalConstB,MATCH(J209,FlowCalNumber,0),1,1)&lt;INDEX(FlowCalHighSetting,MATCH(J209,FlowCalNumber,0),1,1))),INDEX(FlowCalConstA,MATCH(J209,FlowCalNumber,0),1,1)*L220^INDEX(FlowCalConstB,MATCH(J209,FlowCalNumber,0),1,1)," ")</f>
        <v>#N/A</v>
      </c>
      <c r="N220" s="1224"/>
      <c r="O220" s="1217">
        <f t="shared" si="100"/>
        <v>1</v>
      </c>
      <c r="P220" s="1218" t="e">
        <f t="shared" ca="1" si="101"/>
        <v>#VALUE!</v>
      </c>
      <c r="Q220" s="1219" t="e">
        <f ca="1">IF(AND(INDEX(FlowCalConstA,MATCH(N209,FlowCalNumber,0),1,1)*P220^INDEX(FlowCalConstB,MATCH(N209,FlowCalNumber,0),1,1)&gt;INDEX(FlowCalLowSetting,MATCH(N209,FlowCalNumber,0),1,1), (INDEX(FlowCalConstA,MATCH(N209,FlowCalNumber,0),1,1)*P220^INDEX(FlowCalConstB,MATCH(N209,FlowCalNumber,0),1,1)&lt;INDEX(FlowCalHighSetting,MATCH(N209,FlowCalNumber,0),1,1))),INDEX(FlowCalConstA,MATCH(N209,FlowCalNumber,0),1,1)*P220^INDEX(FlowCalConstB,MATCH(N209,FlowCalNumber,0),1,1)," ")</f>
        <v>#N/A</v>
      </c>
      <c r="R220" s="1224"/>
      <c r="S220" s="1217">
        <f t="shared" si="102"/>
        <v>1</v>
      </c>
      <c r="T220" s="1218" t="e">
        <f t="shared" ca="1" si="103"/>
        <v>#VALUE!</v>
      </c>
      <c r="U220" s="1219" t="e">
        <f ca="1">IF(AND(INDEX(FlowCalConstA,MATCH(R209,FlowCalNumber,0),1,1)*T220^INDEX(FlowCalConstB,MATCH(R209,FlowCalNumber,0),1,1)&gt;INDEX(FlowCalLowSetting,MATCH(R209,FlowCalNumber,0),1,1), (INDEX(FlowCalConstA,MATCH(R209,FlowCalNumber,0),1,1)*T220^INDEX(FlowCalConstB,MATCH(R209,FlowCalNumber,0),1,1)&lt;INDEX(FlowCalHighSetting,MATCH(R209,FlowCalNumber,0),1,1))),INDEX(FlowCalConstA,MATCH(R209,FlowCalNumber,0),1,1)*T220^INDEX(FlowCalConstB,MATCH(R209,FlowCalNumber,0),1,1)," ")</f>
        <v>#N/A</v>
      </c>
      <c r="V220" s="1224"/>
      <c r="W220" s="1217"/>
      <c r="X220" s="1218"/>
      <c r="Y220" s="1219"/>
      <c r="Z220" s="1224"/>
      <c r="AA220" s="1217"/>
      <c r="AB220" s="1218"/>
      <c r="AC220" s="1219"/>
      <c r="AD220" s="1224"/>
      <c r="AE220" s="1217"/>
      <c r="AF220" s="1218"/>
      <c r="AG220" s="1219"/>
      <c r="AH220" s="1224"/>
      <c r="AI220" s="1217"/>
      <c r="AJ220" s="1218"/>
      <c r="AK220" s="1220"/>
      <c r="AL220" s="1219"/>
      <c r="AM220" s="1219"/>
      <c r="AN220" s="1219"/>
      <c r="AO220" s="1219"/>
      <c r="AP220" s="1219"/>
      <c r="AQ220" s="1219"/>
      <c r="AR220" s="1219"/>
      <c r="AS220" s="1219"/>
      <c r="AT220" s="1219"/>
      <c r="AU220" s="1219"/>
      <c r="AV220" s="1219"/>
      <c r="AW220" s="1219"/>
      <c r="AX220" s="1219"/>
      <c r="AY220" s="1219"/>
      <c r="AZ220" s="1219"/>
      <c r="BA220" s="1219"/>
      <c r="BB220" s="1219"/>
      <c r="BC220" s="1219"/>
      <c r="BD220" s="1219"/>
      <c r="BE220" s="1219"/>
      <c r="BF220" s="1219"/>
      <c r="BG220" s="1219"/>
      <c r="BH220" s="1219"/>
      <c r="BI220" s="1219"/>
      <c r="BJ220" s="1219"/>
      <c r="BK220" s="1219"/>
      <c r="BL220" s="1219"/>
      <c r="BM220" s="1219"/>
      <c r="BN220" s="1219"/>
      <c r="BO220" s="1219"/>
      <c r="BP220" s="1219"/>
      <c r="BQ220" s="1219"/>
      <c r="BR220" s="1219"/>
      <c r="BS220" s="1219"/>
      <c r="BU220" s="1217"/>
      <c r="BW220" s="1219"/>
      <c r="BY220" s="1217"/>
      <c r="CA220" s="1219"/>
      <c r="CC220" s="1217"/>
      <c r="CE220" s="1219"/>
      <c r="CG220" s="1217"/>
      <c r="CI220" s="1219"/>
    </row>
    <row r="221" spans="1:87">
      <c r="A221" s="20"/>
      <c r="B221" s="124" t="str">
        <f t="shared" si="96"/>
        <v/>
      </c>
      <c r="C221" s="235"/>
      <c r="D221" s="24">
        <f>'1% Wind'!$M$93</f>
        <v>2.4</v>
      </c>
      <c r="E221" s="90"/>
      <c r="F221" s="90"/>
      <c r="G221" s="79">
        <f ca="1">IF(I209=0.9743,$G220,MAX(G220/D220*D221,2))</f>
        <v>2</v>
      </c>
      <c r="H221" s="121" t="e">
        <f t="shared" ca="1" si="97"/>
        <v>#VALUE!</v>
      </c>
      <c r="J221" s="33"/>
      <c r="K221" s="242">
        <f t="shared" si="98"/>
        <v>1</v>
      </c>
      <c r="L221" s="241" t="e">
        <f t="shared" ca="1" si="99"/>
        <v>#VALUE!</v>
      </c>
      <c r="M221" s="243" t="e">
        <f ca="1">IF(AND(INDEX(FlowCalConstA,MATCH(J209,FlowCalNumber,0),1,1)*L221^INDEX(FlowCalConstB,MATCH(J209,FlowCalNumber,0),1,1)&gt;INDEX(FlowCalLowSetting,MATCH(J209,FlowCalNumber,0),1,1), (INDEX(FlowCalConstA,MATCH(J209,FlowCalNumber,0),1,1)*L221^INDEX(FlowCalConstB,MATCH(J209,FlowCalNumber,0),1,1)&lt;INDEX(FlowCalHighSetting,MATCH(J209,FlowCalNumber,0),1,1))),INDEX(FlowCalConstA,MATCH(J209,FlowCalNumber,0),1,1)*L221^INDEX(FlowCalConstB,MATCH(J209,FlowCalNumber,0),1,1)," ")</f>
        <v>#N/A</v>
      </c>
      <c r="N221" s="33"/>
      <c r="O221" s="242">
        <f t="shared" si="100"/>
        <v>1</v>
      </c>
      <c r="P221" s="241" t="e">
        <f t="shared" ca="1" si="101"/>
        <v>#VALUE!</v>
      </c>
      <c r="Q221" s="243" t="e">
        <f ca="1">IF(AND(INDEX(FlowCalConstA,MATCH(N209,FlowCalNumber,0),1,1)*P221^INDEX(FlowCalConstB,MATCH(N209,FlowCalNumber,0),1,1)&gt;INDEX(FlowCalLowSetting,MATCH(N209,FlowCalNumber,0),1,1), (INDEX(FlowCalConstA,MATCH(N209,FlowCalNumber,0),1,1)*P221^INDEX(FlowCalConstB,MATCH(N209,FlowCalNumber,0),1,1)&lt;INDEX(FlowCalHighSetting,MATCH(N209,FlowCalNumber,0),1,1))),INDEX(FlowCalConstA,MATCH(N209,FlowCalNumber,0),1,1)*P221^INDEX(FlowCalConstB,MATCH(N209,FlowCalNumber,0),1,1)," ")</f>
        <v>#N/A</v>
      </c>
      <c r="R221" s="33"/>
      <c r="S221" s="242">
        <f t="shared" si="102"/>
        <v>1</v>
      </c>
      <c r="T221" s="241" t="e">
        <f t="shared" ca="1" si="103"/>
        <v>#VALUE!</v>
      </c>
      <c r="U221" s="243" t="e">
        <f ca="1">IF(AND(INDEX(FlowCalConstA,MATCH(R209,FlowCalNumber,0),1,1)*T221^INDEX(FlowCalConstB,MATCH(R209,FlowCalNumber,0),1,1)&gt;INDEX(FlowCalLowSetting,MATCH(R209,FlowCalNumber,0),1,1), (INDEX(FlowCalConstA,MATCH(R209,FlowCalNumber,0),1,1)*T221^INDEX(FlowCalConstB,MATCH(R209,FlowCalNumber,0),1,1)&lt;INDEX(FlowCalHighSetting,MATCH(R209,FlowCalNumber,0),1,1))),INDEX(FlowCalConstA,MATCH(R209,FlowCalNumber,0),1,1)*T221^INDEX(FlowCalConstB,MATCH(R209,FlowCalNumber,0),1,1)," ")</f>
        <v>#N/A</v>
      </c>
      <c r="V221" s="33"/>
      <c r="W221" s="242"/>
      <c r="X221" s="241"/>
      <c r="Y221" s="243"/>
      <c r="Z221" s="33"/>
      <c r="AA221" s="242"/>
      <c r="AB221" s="241"/>
      <c r="AC221" s="243"/>
      <c r="AD221" s="33"/>
      <c r="AE221" s="242"/>
      <c r="AF221" s="241"/>
      <c r="AG221" s="243"/>
      <c r="AH221" s="33"/>
      <c r="AI221" s="242"/>
      <c r="AJ221" s="241"/>
      <c r="AK221" s="244"/>
      <c r="AL221" s="243"/>
      <c r="AM221" s="243"/>
      <c r="AN221" s="243"/>
      <c r="AO221" s="243"/>
      <c r="AP221" s="243"/>
      <c r="AQ221" s="243"/>
      <c r="AR221" s="243"/>
      <c r="AS221" s="243"/>
      <c r="AT221" s="243"/>
      <c r="AU221" s="243"/>
      <c r="AV221" s="243"/>
      <c r="AW221" s="243"/>
      <c r="AX221" s="243"/>
      <c r="AY221" s="243"/>
      <c r="AZ221" s="243"/>
      <c r="BA221" s="243"/>
      <c r="BB221" s="243"/>
      <c r="BC221" s="243"/>
      <c r="BD221" s="243"/>
      <c r="BE221" s="243"/>
      <c r="BF221" s="243"/>
      <c r="BG221" s="243"/>
      <c r="BH221" s="243"/>
      <c r="BI221" s="243"/>
      <c r="BJ221" s="243"/>
      <c r="BK221" s="243"/>
      <c r="BL221" s="243"/>
      <c r="BM221" s="243"/>
      <c r="BN221" s="243"/>
      <c r="BO221" s="243"/>
      <c r="BP221" s="243"/>
      <c r="BQ221" s="243"/>
      <c r="BR221" s="243"/>
      <c r="BS221" s="243"/>
      <c r="BU221" s="242"/>
      <c r="BW221" s="243"/>
      <c r="BY221" s="242"/>
      <c r="CA221" s="243"/>
      <c r="CC221" s="242"/>
      <c r="CE221" s="243"/>
      <c r="CG221" s="242"/>
      <c r="CI221" s="243"/>
    </row>
    <row r="222" spans="1:87" s="1215" customFormat="1">
      <c r="A222" s="1222"/>
      <c r="B222" s="1223" t="str">
        <f t="shared" si="96"/>
        <v/>
      </c>
      <c r="C222" s="1210"/>
      <c r="D222" s="1211">
        <f>'1% Wind'!$M$94</f>
        <v>1.8</v>
      </c>
      <c r="E222" s="1212"/>
      <c r="F222" s="1212"/>
      <c r="G222" s="1213">
        <f ca="1">IF(I209=0.9743,$G221,MAX(G221/D221*D222,2))</f>
        <v>2</v>
      </c>
      <c r="H222" s="1214" t="e">
        <f t="shared" ca="1" si="97"/>
        <v>#VALUE!</v>
      </c>
      <c r="J222" s="1224"/>
      <c r="K222" s="1217">
        <f t="shared" si="98"/>
        <v>1</v>
      </c>
      <c r="L222" s="1218" t="e">
        <f t="shared" ca="1" si="99"/>
        <v>#VALUE!</v>
      </c>
      <c r="M222" s="1219" t="e">
        <f ca="1">IF(AND(INDEX(FlowCalConstA,MATCH(J209,FlowCalNumber,0),1,1)*L222^INDEX(FlowCalConstB,MATCH(J209,FlowCalNumber,0),1,1)&gt;INDEX(FlowCalLowSetting,MATCH(J209,FlowCalNumber,0),1,1), (INDEX(FlowCalConstA,MATCH(J209,FlowCalNumber,0),1,1)*L222^INDEX(FlowCalConstB,MATCH(J209,FlowCalNumber,0),1,1)&lt;INDEX(FlowCalHighSetting,MATCH(J209,FlowCalNumber,0),1,1))),INDEX(FlowCalConstA,MATCH(J209,FlowCalNumber,0),1,1)*L222^INDEX(FlowCalConstB,MATCH(J209,FlowCalNumber,0),1,1)," ")</f>
        <v>#N/A</v>
      </c>
      <c r="N222" s="1224"/>
      <c r="O222" s="1217">
        <f t="shared" si="100"/>
        <v>1</v>
      </c>
      <c r="P222" s="1218" t="e">
        <f t="shared" ca="1" si="101"/>
        <v>#VALUE!</v>
      </c>
      <c r="Q222" s="1219" t="e">
        <f ca="1">IF(AND(INDEX(FlowCalConstA,MATCH(N209,FlowCalNumber,0),1,1)*P222^INDEX(FlowCalConstB,MATCH(N209,FlowCalNumber,0),1,1)&gt;INDEX(FlowCalLowSetting,MATCH(N209,FlowCalNumber,0),1,1), (INDEX(FlowCalConstA,MATCH(N209,FlowCalNumber,0),1,1)*P222^INDEX(FlowCalConstB,MATCH(N209,FlowCalNumber,0),1,1)&lt;INDEX(FlowCalHighSetting,MATCH(N209,FlowCalNumber,0),1,1))),INDEX(FlowCalConstA,MATCH(N209,FlowCalNumber,0),1,1)*P222^INDEX(FlowCalConstB,MATCH(N209,FlowCalNumber,0),1,1)," ")</f>
        <v>#N/A</v>
      </c>
      <c r="R222" s="1224"/>
      <c r="S222" s="1217">
        <f t="shared" si="102"/>
        <v>1</v>
      </c>
      <c r="T222" s="1218" t="e">
        <f t="shared" ca="1" si="103"/>
        <v>#VALUE!</v>
      </c>
      <c r="U222" s="1219" t="e">
        <f ca="1">IF(AND(INDEX(FlowCalConstA,MATCH(R209,FlowCalNumber,0),1,1)*T222^INDEX(FlowCalConstB,MATCH(R209,FlowCalNumber,0),1,1)&gt;INDEX(FlowCalLowSetting,MATCH(R209,FlowCalNumber,0),1,1), (INDEX(FlowCalConstA,MATCH(R209,FlowCalNumber,0),1,1)*T222^INDEX(FlowCalConstB,MATCH(R209,FlowCalNumber,0),1,1)&lt;INDEX(FlowCalHighSetting,MATCH(R209,FlowCalNumber,0),1,1))),INDEX(FlowCalConstA,MATCH(R209,FlowCalNumber,0),1,1)*T222^INDEX(FlowCalConstB,MATCH(R209,FlowCalNumber,0),1,1)," ")</f>
        <v>#N/A</v>
      </c>
      <c r="V222" s="1224"/>
      <c r="W222" s="1217"/>
      <c r="X222" s="1218"/>
      <c r="Y222" s="1219"/>
      <c r="Z222" s="1224"/>
      <c r="AA222" s="1217"/>
      <c r="AB222" s="1218"/>
      <c r="AC222" s="1219"/>
      <c r="AD222" s="1224"/>
      <c r="AE222" s="1217"/>
      <c r="AF222" s="1218"/>
      <c r="AG222" s="1219"/>
      <c r="AH222" s="1224"/>
      <c r="AI222" s="1217"/>
      <c r="AJ222" s="1218"/>
      <c r="AK222" s="1220"/>
      <c r="AL222" s="1219"/>
      <c r="AM222" s="1219"/>
      <c r="AN222" s="1219"/>
      <c r="AO222" s="1219"/>
      <c r="AP222" s="1219"/>
      <c r="AQ222" s="1219"/>
      <c r="AR222" s="1219"/>
      <c r="AS222" s="1219"/>
      <c r="AT222" s="1219"/>
      <c r="AU222" s="1219"/>
      <c r="AV222" s="1219"/>
      <c r="AW222" s="1219"/>
      <c r="AX222" s="1219"/>
      <c r="AY222" s="1219"/>
      <c r="AZ222" s="1219"/>
      <c r="BA222" s="1219"/>
      <c r="BB222" s="1219"/>
      <c r="BC222" s="1219"/>
      <c r="BD222" s="1219"/>
      <c r="BE222" s="1219"/>
      <c r="BF222" s="1219"/>
      <c r="BG222" s="1219"/>
      <c r="BH222" s="1219"/>
      <c r="BI222" s="1219"/>
      <c r="BJ222" s="1219"/>
      <c r="BK222" s="1219"/>
      <c r="BL222" s="1219"/>
      <c r="BM222" s="1219"/>
      <c r="BN222" s="1219"/>
      <c r="BO222" s="1219"/>
      <c r="BP222" s="1219"/>
      <c r="BQ222" s="1219"/>
      <c r="BR222" s="1219"/>
      <c r="BS222" s="1219"/>
      <c r="BU222" s="1217"/>
      <c r="BW222" s="1219"/>
      <c r="BY222" s="1217"/>
      <c r="CA222" s="1219"/>
      <c r="CC222" s="1217"/>
      <c r="CE222" s="1219"/>
      <c r="CG222" s="1217"/>
      <c r="CI222" s="1219"/>
    </row>
    <row r="223" spans="1:87">
      <c r="A223" s="20"/>
      <c r="B223" s="124" t="str">
        <f t="shared" si="96"/>
        <v/>
      </c>
      <c r="C223" s="235"/>
      <c r="D223" s="24">
        <f>'1% Wind'!$M$95</f>
        <v>1.3</v>
      </c>
      <c r="E223" s="90"/>
      <c r="F223" s="90"/>
      <c r="G223" s="79">
        <f ca="1">IF(I209=0.9743,$G222,MAX(G222/D222*D223,2))</f>
        <v>2</v>
      </c>
      <c r="H223" s="121" t="e">
        <f t="shared" ca="1" si="97"/>
        <v>#VALUE!</v>
      </c>
      <c r="J223" s="33"/>
      <c r="K223" s="242">
        <f t="shared" si="98"/>
        <v>1</v>
      </c>
      <c r="L223" s="241" t="e">
        <f t="shared" ca="1" si="99"/>
        <v>#VALUE!</v>
      </c>
      <c r="M223" s="243" t="e">
        <f ca="1">IF(AND(INDEX(FlowCalConstA,MATCH(J209,FlowCalNumber,0),1,1)*L223^INDEX(FlowCalConstB,MATCH(J209,FlowCalNumber,0),1,1)&gt;INDEX(FlowCalLowSetting,MATCH(J209,FlowCalNumber,0),1,1), (INDEX(FlowCalConstA,MATCH(J209,FlowCalNumber,0),1,1)*L223^INDEX(FlowCalConstB,MATCH(J209,FlowCalNumber,0),1,1)&lt;INDEX(FlowCalHighSetting,MATCH(J209,FlowCalNumber,0),1,1))),INDEX(FlowCalConstA,MATCH(J209,FlowCalNumber,0),1,1)*L223^INDEX(FlowCalConstB,MATCH(J209,FlowCalNumber,0),1,1)," ")</f>
        <v>#N/A</v>
      </c>
      <c r="N223" s="33"/>
      <c r="O223" s="242">
        <f t="shared" si="100"/>
        <v>1</v>
      </c>
      <c r="P223" s="241" t="e">
        <f t="shared" ca="1" si="101"/>
        <v>#VALUE!</v>
      </c>
      <c r="Q223" s="243" t="e">
        <f ca="1">IF(AND(INDEX(FlowCalConstA,MATCH(N209,FlowCalNumber,0),1,1)*P223^INDEX(FlowCalConstB,MATCH(N209,FlowCalNumber,0),1,1)&gt;INDEX(FlowCalLowSetting,MATCH(N209,FlowCalNumber,0),1,1), (INDEX(FlowCalConstA,MATCH(N209,FlowCalNumber,0),1,1)*P223^INDEX(FlowCalConstB,MATCH(N209,FlowCalNumber,0),1,1)&lt;INDEX(FlowCalHighSetting,MATCH(N209,FlowCalNumber,0),1,1))),INDEX(FlowCalConstA,MATCH(N209,FlowCalNumber,0),1,1)*P223^INDEX(FlowCalConstB,MATCH(N209,FlowCalNumber,0),1,1)," ")</f>
        <v>#N/A</v>
      </c>
      <c r="R223" s="33"/>
      <c r="S223" s="242">
        <f t="shared" si="102"/>
        <v>1</v>
      </c>
      <c r="T223" s="241" t="e">
        <f t="shared" ca="1" si="103"/>
        <v>#VALUE!</v>
      </c>
      <c r="U223" s="243" t="e">
        <f ca="1">IF(AND(INDEX(FlowCalConstA,MATCH(R209,FlowCalNumber,0),1,1)*T223^INDEX(FlowCalConstB,MATCH(R209,FlowCalNumber,0),1,1)&gt;INDEX(FlowCalLowSetting,MATCH(R209,FlowCalNumber,0),1,1), (INDEX(FlowCalConstA,MATCH(R209,FlowCalNumber,0),1,1)*T223^INDEX(FlowCalConstB,MATCH(R209,FlowCalNumber,0),1,1)&lt;INDEX(FlowCalHighSetting,MATCH(R209,FlowCalNumber,0),1,1))),INDEX(FlowCalConstA,MATCH(R209,FlowCalNumber,0),1,1)*T223^INDEX(FlowCalConstB,MATCH(R209,FlowCalNumber,0),1,1)," ")</f>
        <v>#N/A</v>
      </c>
      <c r="V223" s="33"/>
      <c r="W223" s="242"/>
      <c r="X223" s="241"/>
      <c r="Y223" s="243"/>
      <c r="Z223" s="33"/>
      <c r="AA223" s="242"/>
      <c r="AB223" s="241"/>
      <c r="AC223" s="243"/>
      <c r="AD223" s="33"/>
      <c r="AE223" s="242"/>
      <c r="AF223" s="241"/>
      <c r="AG223" s="243"/>
      <c r="AH223" s="33"/>
      <c r="AI223" s="242"/>
      <c r="AJ223" s="241"/>
      <c r="AK223" s="244"/>
      <c r="AL223" s="243"/>
      <c r="AM223" s="243"/>
      <c r="AN223" s="243"/>
      <c r="AO223" s="243"/>
      <c r="AP223" s="243"/>
      <c r="AQ223" s="243"/>
      <c r="AR223" s="243"/>
      <c r="AS223" s="243"/>
      <c r="AT223" s="243"/>
      <c r="AU223" s="243"/>
      <c r="AV223" s="243"/>
      <c r="AW223" s="243"/>
      <c r="AX223" s="243"/>
      <c r="AY223" s="243"/>
      <c r="AZ223" s="243"/>
      <c r="BA223" s="243"/>
      <c r="BB223" s="243"/>
      <c r="BC223" s="243"/>
      <c r="BD223" s="243"/>
      <c r="BE223" s="243"/>
      <c r="BF223" s="243"/>
      <c r="BG223" s="243"/>
      <c r="BH223" s="243"/>
      <c r="BI223" s="243"/>
      <c r="BJ223" s="243"/>
      <c r="BK223" s="243"/>
      <c r="BL223" s="243"/>
      <c r="BM223" s="243"/>
      <c r="BN223" s="243"/>
      <c r="BO223" s="243"/>
      <c r="BP223" s="243"/>
      <c r="BQ223" s="243"/>
      <c r="BR223" s="243"/>
      <c r="BS223" s="243"/>
      <c r="BU223" s="242"/>
      <c r="BW223" s="243"/>
      <c r="BY223" s="242"/>
      <c r="CA223" s="243"/>
      <c r="CC223" s="242"/>
      <c r="CE223" s="243"/>
      <c r="CG223" s="242"/>
      <c r="CI223" s="243"/>
    </row>
    <row r="224" spans="1:87" s="1215" customFormat="1">
      <c r="A224" s="1222"/>
      <c r="B224" s="1223" t="str">
        <f t="shared" si="96"/>
        <v/>
      </c>
      <c r="C224" s="1210"/>
      <c r="D224" s="1211">
        <f>'1% Wind'!$M$96</f>
        <v>1</v>
      </c>
      <c r="E224" s="1212"/>
      <c r="F224" s="1212"/>
      <c r="G224" s="1213">
        <f ca="1">IF(I209=0.9743,$G223,MAX(G223/D223*D224,2))</f>
        <v>2</v>
      </c>
      <c r="H224" s="1214" t="e">
        <f t="shared" ca="1" si="97"/>
        <v>#VALUE!</v>
      </c>
      <c r="J224" s="1224"/>
      <c r="K224" s="1217">
        <f t="shared" si="98"/>
        <v>1</v>
      </c>
      <c r="L224" s="1218" t="e">
        <f t="shared" ca="1" si="99"/>
        <v>#VALUE!</v>
      </c>
      <c r="M224" s="1219" t="e">
        <f ca="1">IF(AND(INDEX(FlowCalConstA,MATCH(J209,FlowCalNumber,0),1,1)*L224^INDEX(FlowCalConstB,MATCH(J209,FlowCalNumber,0),1,1)&gt;INDEX(FlowCalLowSetting,MATCH(J209,FlowCalNumber,0),1,1), (INDEX(FlowCalConstA,MATCH(J209,FlowCalNumber,0),1,1)*L224^INDEX(FlowCalConstB,MATCH(J209,FlowCalNumber,0),1,1)&lt;INDEX(FlowCalHighSetting,MATCH(J209,FlowCalNumber,0),1,1))),INDEX(FlowCalConstA,MATCH(J209,FlowCalNumber,0),1,1)*L224^INDEX(FlowCalConstB,MATCH(J209,FlowCalNumber,0),1,1)," ")</f>
        <v>#N/A</v>
      </c>
      <c r="N224" s="1224"/>
      <c r="O224" s="1217">
        <f t="shared" si="100"/>
        <v>1</v>
      </c>
      <c r="P224" s="1218" t="e">
        <f t="shared" ca="1" si="101"/>
        <v>#VALUE!</v>
      </c>
      <c r="Q224" s="1219" t="e">
        <f ca="1">IF(AND(INDEX(FlowCalConstA,MATCH(N209,FlowCalNumber,0),1,1)*P224^INDEX(FlowCalConstB,MATCH(N209,FlowCalNumber,0),1,1)&gt;INDEX(FlowCalLowSetting,MATCH(N209,FlowCalNumber,0),1,1), (INDEX(FlowCalConstA,MATCH(N209,FlowCalNumber,0),1,1)*P224^INDEX(FlowCalConstB,MATCH(N209,FlowCalNumber,0),1,1)&lt;INDEX(FlowCalHighSetting,MATCH(N209,FlowCalNumber,0),1,1))),INDEX(FlowCalConstA,MATCH(N209,FlowCalNumber,0),1,1)*P224^INDEX(FlowCalConstB,MATCH(N209,FlowCalNumber,0),1,1)," ")</f>
        <v>#N/A</v>
      </c>
      <c r="R224" s="1224"/>
      <c r="S224" s="1217">
        <f t="shared" si="102"/>
        <v>1</v>
      </c>
      <c r="T224" s="1218" t="e">
        <f t="shared" ca="1" si="103"/>
        <v>#VALUE!</v>
      </c>
      <c r="U224" s="1219" t="e">
        <f ca="1">IF(AND(INDEX(FlowCalConstA,MATCH(R209,FlowCalNumber,0),1,1)*T224^INDEX(FlowCalConstB,MATCH(R209,FlowCalNumber,0),1,1)&gt;INDEX(FlowCalLowSetting,MATCH(R209,FlowCalNumber,0),1,1), (INDEX(FlowCalConstA,MATCH(R209,FlowCalNumber,0),1,1)*T224^INDEX(FlowCalConstB,MATCH(R209,FlowCalNumber,0),1,1)&lt;INDEX(FlowCalHighSetting,MATCH(R209,FlowCalNumber,0),1,1))),INDEX(FlowCalConstA,MATCH(R209,FlowCalNumber,0),1,1)*T224^INDEX(FlowCalConstB,MATCH(R209,FlowCalNumber,0),1,1)," ")</f>
        <v>#N/A</v>
      </c>
      <c r="V224" s="1224"/>
      <c r="W224" s="1217"/>
      <c r="X224" s="1218"/>
      <c r="Y224" s="1219"/>
      <c r="Z224" s="1224"/>
      <c r="AA224" s="1217"/>
      <c r="AB224" s="1218"/>
      <c r="AC224" s="1219"/>
      <c r="AD224" s="1224"/>
      <c r="AE224" s="1217"/>
      <c r="AF224" s="1218"/>
      <c r="AG224" s="1219"/>
      <c r="AH224" s="1224"/>
      <c r="AI224" s="1217"/>
      <c r="AJ224" s="1218"/>
      <c r="AK224" s="1220"/>
      <c r="AL224" s="1219"/>
      <c r="AM224" s="1219"/>
      <c r="AN224" s="1219"/>
      <c r="AO224" s="1219"/>
      <c r="AP224" s="1219"/>
      <c r="AQ224" s="1219"/>
      <c r="AR224" s="1219"/>
      <c r="AS224" s="1219"/>
      <c r="AT224" s="1219"/>
      <c r="AU224" s="1219"/>
      <c r="AV224" s="1219"/>
      <c r="AW224" s="1219"/>
      <c r="AX224" s="1219"/>
      <c r="AY224" s="1219"/>
      <c r="AZ224" s="1219"/>
      <c r="BA224" s="1219"/>
      <c r="BB224" s="1219"/>
      <c r="BC224" s="1219"/>
      <c r="BD224" s="1219"/>
      <c r="BE224" s="1219"/>
      <c r="BF224" s="1219"/>
      <c r="BG224" s="1219"/>
      <c r="BH224" s="1219"/>
      <c r="BI224" s="1219"/>
      <c r="BJ224" s="1219"/>
      <c r="BK224" s="1219"/>
      <c r="BL224" s="1219"/>
      <c r="BM224" s="1219"/>
      <c r="BN224" s="1219"/>
      <c r="BO224" s="1219"/>
      <c r="BP224" s="1219"/>
      <c r="BQ224" s="1219"/>
      <c r="BR224" s="1219"/>
      <c r="BS224" s="1219"/>
      <c r="BU224" s="1217"/>
      <c r="BW224" s="1219"/>
      <c r="BY224" s="1217"/>
      <c r="CA224" s="1219"/>
      <c r="CC224" s="1217"/>
      <c r="CE224" s="1219"/>
      <c r="CG224" s="1217"/>
      <c r="CI224" s="1219"/>
    </row>
    <row r="225" spans="1:87">
      <c r="A225" s="33"/>
      <c r="B225" s="33"/>
      <c r="C225" s="235"/>
      <c r="E225" s="90"/>
      <c r="F225" s="90"/>
      <c r="G225" s="33"/>
      <c r="J225" s="33"/>
      <c r="M225" s="243"/>
      <c r="N225" s="33"/>
      <c r="Q225" s="243"/>
      <c r="R225" s="33"/>
      <c r="U225" s="243"/>
      <c r="V225" s="33"/>
      <c r="Y225" s="243"/>
      <c r="Z225" s="33"/>
      <c r="AC225" s="243"/>
      <c r="AD225" s="33"/>
      <c r="AG225" s="243"/>
      <c r="AH225" s="33"/>
      <c r="AK225" s="244"/>
      <c r="AL225" s="243"/>
      <c r="AM225" s="243"/>
      <c r="AN225" s="243"/>
      <c r="AO225" s="243"/>
      <c r="AP225" s="243"/>
      <c r="AQ225" s="243"/>
      <c r="AR225" s="243"/>
      <c r="AS225" s="243"/>
      <c r="AT225" s="243"/>
      <c r="AU225" s="243"/>
      <c r="AV225" s="243"/>
      <c r="AW225" s="243"/>
      <c r="AX225" s="243"/>
      <c r="AY225" s="243"/>
      <c r="AZ225" s="243"/>
      <c r="BA225" s="243"/>
      <c r="BB225" s="243"/>
      <c r="BC225" s="243"/>
      <c r="BD225" s="243"/>
      <c r="BE225" s="243"/>
      <c r="BF225" s="243"/>
      <c r="BG225" s="243"/>
      <c r="BH225" s="243"/>
      <c r="BI225" s="243"/>
      <c r="BJ225" s="243"/>
      <c r="BK225" s="243"/>
      <c r="BL225" s="243"/>
      <c r="BM225" s="243"/>
      <c r="BN225" s="243"/>
      <c r="BO225" s="243"/>
      <c r="BP225" s="243"/>
      <c r="BQ225" s="243"/>
      <c r="BR225" s="243"/>
      <c r="BS225" s="243"/>
      <c r="BW225" s="243"/>
      <c r="CA225" s="243"/>
      <c r="CE225" s="243"/>
      <c r="CI225" s="243"/>
    </row>
    <row r="226" spans="1:87">
      <c r="A226" s="256" t="str">
        <f>IF((RIGHT(A209,1))&lt;&gt;"Z",CHAR(CODE(A209))&amp;CHAR(CODE(RIGHT(A209,1))+1),CHAR(CODE(A209)+1)&amp;"A")</f>
        <v>AM</v>
      </c>
      <c r="B226" s="270" t="e">
        <f>INDEX(SourceID,MATCH($A226,SourceNumber,0),1,1)</f>
        <v>#N/A</v>
      </c>
      <c r="C226" s="354" t="e">
        <f>INDEX(SourceExitDiameter,MATCH($A226,SourceNumber,0),1,1)*3.28*12</f>
        <v>#N/A</v>
      </c>
      <c r="D226" s="24" t="str">
        <f>UAnem1percent</f>
        <v>1% Wind</v>
      </c>
      <c r="E226" s="350" t="e">
        <f ca="1">INDIRECT(ADDRESS(53,6,1,,CONCATENATE("TA",$A226)))</f>
        <v>#REF!</v>
      </c>
      <c r="F226" s="625" t="e">
        <f ca="1">(ROUND((INDIRECT(ADDRESS(15,7,1,,CONCATENATE("TA",$A226)))*3.28*12*32),0)&amp;"/32")</f>
        <v>#REF!</v>
      </c>
      <c r="G226" s="125" t="e">
        <f ca="1">INDIRECT(ADDRESS(29,7,1,,$A226))</f>
        <v>#N/A</v>
      </c>
      <c r="H226" s="24" t="e">
        <f ca="1">INDIRECT(ADDRESS(19,7,1,,$A226))*100^3</f>
        <v>#N/A</v>
      </c>
      <c r="I226" s="941" t="e">
        <f ca="1">INDIRECT(ADDRESS(53,7,1,,$A226))</f>
        <v>#N/A</v>
      </c>
      <c r="J226" s="20" t="e">
        <f ca="1">IF($I226=$I$6,K$16&amp;$G$6&amp;J$6,IF($I226=$I$7,K$16&amp;$G$7&amp;J$7,"Bad"))</f>
        <v>#N/A</v>
      </c>
      <c r="K226" t="e">
        <f ca="1">INDEX(FlowCalGasMixture,MATCH(J226,FlowCalNumber,0),1,1)</f>
        <v>#N/A</v>
      </c>
      <c r="M226" s="944" t="e">
        <f ca="1">INDEX(FlowCalDevice,MATCH(J226,FlowCalNumber,0),1,1)</f>
        <v>#N/A</v>
      </c>
      <c r="N226" s="20" t="e">
        <f ca="1">IF($I226=$I$6,O$16&amp;$G$6&amp;N$6,IF($I226=$I$7,O$16&amp;$G$7&amp;N$7,"Bad"))</f>
        <v>#N/A</v>
      </c>
      <c r="O226" t="e">
        <f ca="1">INDEX(FlowCalGasMixture,MATCH(N226,FlowCalNumber,0),1,1)</f>
        <v>#N/A</v>
      </c>
      <c r="Q226" s="944" t="e">
        <f ca="1">INDEX(FlowCalDevice,MATCH(N226,FlowCalNumber,0),1,1)</f>
        <v>#N/A</v>
      </c>
      <c r="R226" s="20" t="e">
        <f ca="1">IF($I226=$I$6,S$16&amp;$G$6&amp;R$6,IF($I226=$I$7,S$16&amp;$G$7&amp;R$7,"Bad"))</f>
        <v>#N/A</v>
      </c>
      <c r="S226" t="e">
        <f ca="1">INDEX(FlowCalGasMixture,MATCH(R226,FlowCalNumber,0),1,1)</f>
        <v>#N/A</v>
      </c>
      <c r="U226" s="944" t="e">
        <f ca="1">INDEX(FlowCalDevice,MATCH(R226,FlowCalNumber,0),1,1)</f>
        <v>#N/A</v>
      </c>
      <c r="V226" s="20"/>
      <c r="Y226" s="944"/>
      <c r="Z226" s="946"/>
      <c r="AC226" s="944"/>
      <c r="AD226" s="20"/>
      <c r="AG226" s="944"/>
      <c r="AH226" s="946"/>
      <c r="AK226" s="982"/>
      <c r="AL226" s="355"/>
      <c r="AM226" s="355"/>
      <c r="AN226" s="355"/>
      <c r="AO226" s="355"/>
      <c r="AP226" s="355"/>
      <c r="AQ226" s="355"/>
      <c r="AR226" s="355"/>
      <c r="AS226" s="355"/>
      <c r="AT226" s="355"/>
      <c r="AU226" s="355"/>
      <c r="AV226" s="355"/>
      <c r="AW226" s="355"/>
      <c r="AX226" s="355"/>
      <c r="AY226" s="355"/>
      <c r="AZ226" s="355"/>
      <c r="BA226" s="355"/>
      <c r="BB226" s="355"/>
      <c r="BC226" s="355"/>
      <c r="BD226" s="355"/>
      <c r="BE226" s="355"/>
      <c r="BF226" s="355"/>
      <c r="BG226" s="355"/>
      <c r="BH226" s="355"/>
      <c r="BI226" s="355"/>
      <c r="BJ226" s="355"/>
      <c r="BK226" s="355"/>
      <c r="BL226" s="355"/>
      <c r="BM226" s="355"/>
      <c r="BN226" s="355"/>
      <c r="BO226" s="355"/>
      <c r="BP226" s="355"/>
      <c r="BQ226" s="355"/>
      <c r="BR226" s="355"/>
      <c r="BS226" s="355"/>
      <c r="BT226" s="46"/>
      <c r="BU226" s="16"/>
      <c r="BW226" s="355"/>
      <c r="BX226" s="42"/>
      <c r="BY226" s="16"/>
      <c r="CA226" s="355"/>
      <c r="CB226" s="42"/>
      <c r="CC226" s="16"/>
      <c r="CE226" s="355"/>
      <c r="CF226" s="42"/>
      <c r="CG226" s="16"/>
      <c r="CI226" s="355"/>
    </row>
    <row r="227" spans="1:87" s="1215" customFormat="1">
      <c r="A227" s="1222"/>
      <c r="B227" s="1223" t="str">
        <f t="shared" ref="B227:B241" si="104">IF(D227=UAnem1percent,"1% Wind","")</f>
        <v/>
      </c>
      <c r="C227" s="1210"/>
      <c r="D227" s="1211">
        <f>'1% Wind'!$M$82</f>
        <v>27</v>
      </c>
      <c r="E227" s="1212"/>
      <c r="F227" s="1212"/>
      <c r="G227" s="1364">
        <v>2</v>
      </c>
      <c r="H227" s="1214" t="e">
        <f t="shared" ref="H227:H241" ca="1" si="105">H226*(D226/D227)*(G227/G226)</f>
        <v>#N/A</v>
      </c>
      <c r="J227" s="1224"/>
      <c r="K227" s="1221">
        <f>K$17/100</f>
        <v>1</v>
      </c>
      <c r="L227" s="1218" t="e">
        <f ca="1">K227*$H227</f>
        <v>#N/A</v>
      </c>
      <c r="M227" s="1219" t="e">
        <f ca="1">IF(AND(INDEX(FlowCalConstA,MATCH(J226,FlowCalNumber,0),1,1)*L227^INDEX(FlowCalConstB,MATCH(J226,FlowCalNumber,0),1,1)&gt;INDEX(FlowCalLowSetting,MATCH(J226,FlowCalNumber,0),1,1), (INDEX(FlowCalConstA,MATCH(J226,FlowCalNumber,0),1,1)*L227^INDEX(FlowCalConstB,MATCH(J226,FlowCalNumber,0),1,1)&lt;INDEX(FlowCalHighSetting,MATCH(J226,FlowCalNumber,0),1,1))),INDEX(FlowCalConstA,MATCH(J226,FlowCalNumber,0),1,1)*L227^INDEX(FlowCalConstB,MATCH(J226,FlowCalNumber,0),1,1)," ")</f>
        <v>#N/A</v>
      </c>
      <c r="N227" s="1224"/>
      <c r="O227" s="1221">
        <f>O$17/100</f>
        <v>1</v>
      </c>
      <c r="P227" s="1218" t="e">
        <f ca="1">O227*$H227</f>
        <v>#N/A</v>
      </c>
      <c r="Q227" s="1219" t="e">
        <f ca="1">IF(AND(INDEX(FlowCalConstA,MATCH(N226,FlowCalNumber,0),1,1)*P227^INDEX(FlowCalConstB,MATCH(N226,FlowCalNumber,0),1,1)&gt;INDEX(FlowCalLowSetting,MATCH(N226,FlowCalNumber,0),1,1), (INDEX(FlowCalConstA,MATCH(N226,FlowCalNumber,0),1,1)*P227^INDEX(FlowCalConstB,MATCH(N226,FlowCalNumber,0),1,1)&lt;INDEX(FlowCalHighSetting,MATCH(N226,FlowCalNumber,0),1,1))),INDEX(FlowCalConstA,MATCH(N226,FlowCalNumber,0),1,1)*P227^INDEX(FlowCalConstB,MATCH(N226,FlowCalNumber,0),1,1)," ")</f>
        <v>#N/A</v>
      </c>
      <c r="R227" s="1224"/>
      <c r="S227" s="1221">
        <f>S$17/100</f>
        <v>1</v>
      </c>
      <c r="T227" s="1218" t="e">
        <f ca="1">S227*$H227</f>
        <v>#N/A</v>
      </c>
      <c r="U227" s="1219" t="e">
        <f ca="1">IF(AND(INDEX(FlowCalConstA,MATCH(R226,FlowCalNumber,0),1,1)*T227^INDEX(FlowCalConstB,MATCH(R226,FlowCalNumber,0),1,1)&gt;INDEX(FlowCalLowSetting,MATCH(R226,FlowCalNumber,0),1,1), (INDEX(FlowCalConstA,MATCH(R226,FlowCalNumber,0),1,1)*T227^INDEX(FlowCalConstB,MATCH(R226,FlowCalNumber,0),1,1)&lt;INDEX(FlowCalHighSetting,MATCH(R226,FlowCalNumber,0),1,1))),INDEX(FlowCalConstA,MATCH(R226,FlowCalNumber,0),1,1)*T227^INDEX(FlowCalConstB,MATCH(R226,FlowCalNumber,0),1,1)," ")</f>
        <v>#N/A</v>
      </c>
      <c r="V227" s="1224"/>
      <c r="W227" s="1221"/>
      <c r="X227" s="1218"/>
      <c r="Y227" s="1219"/>
      <c r="Z227" s="1224"/>
      <c r="AA227" s="1221"/>
      <c r="AB227" s="1218"/>
      <c r="AC227" s="1219"/>
      <c r="AD227" s="1224"/>
      <c r="AE227" s="1221"/>
      <c r="AF227" s="1218"/>
      <c r="AG227" s="1219"/>
      <c r="AH227" s="1224"/>
      <c r="AI227" s="1221"/>
      <c r="AJ227" s="1218"/>
      <c r="AK227" s="1220"/>
      <c r="AL227" s="1219"/>
      <c r="AM227" s="1219"/>
      <c r="AN227" s="1219"/>
      <c r="AO227" s="1219"/>
      <c r="AP227" s="1219"/>
      <c r="AQ227" s="1219"/>
      <c r="AR227" s="1219"/>
      <c r="AS227" s="1219"/>
      <c r="AT227" s="1219"/>
      <c r="AU227" s="1219"/>
      <c r="AV227" s="1219"/>
      <c r="AW227" s="1219"/>
      <c r="AX227" s="1219"/>
      <c r="AY227" s="1219"/>
      <c r="AZ227" s="1219"/>
      <c r="BA227" s="1219"/>
      <c r="BB227" s="1219"/>
      <c r="BC227" s="1219"/>
      <c r="BD227" s="1219"/>
      <c r="BE227" s="1219"/>
      <c r="BF227" s="1219"/>
      <c r="BG227" s="1219"/>
      <c r="BH227" s="1219"/>
      <c r="BI227" s="1219"/>
      <c r="BJ227" s="1219"/>
      <c r="BK227" s="1219"/>
      <c r="BL227" s="1219"/>
      <c r="BM227" s="1219"/>
      <c r="BN227" s="1219"/>
      <c r="BO227" s="1219"/>
      <c r="BP227" s="1219"/>
      <c r="BQ227" s="1219"/>
      <c r="BR227" s="1219"/>
      <c r="BS227" s="1219"/>
      <c r="BU227" s="1225"/>
      <c r="BW227" s="1219"/>
      <c r="BY227" s="1225"/>
      <c r="CA227" s="1219"/>
      <c r="CC227" s="1225"/>
      <c r="CE227" s="1219"/>
      <c r="CG227" s="1221"/>
      <c r="CI227" s="1219"/>
    </row>
    <row r="228" spans="1:87">
      <c r="A228" s="20"/>
      <c r="B228" s="124" t="str">
        <f t="shared" si="104"/>
        <v/>
      </c>
      <c r="C228" s="235"/>
      <c r="D228" s="24">
        <f>'1% Wind'!$M$83</f>
        <v>23.5</v>
      </c>
      <c r="E228" s="90"/>
      <c r="F228" s="90"/>
      <c r="G228" s="79" t="e">
        <f ca="1">IF(I226=0.9743,$G227,MAX(G227/D227*D228,2))</f>
        <v>#N/A</v>
      </c>
      <c r="H228" s="121" t="e">
        <f t="shared" ca="1" si="105"/>
        <v>#N/A</v>
      </c>
      <c r="J228" s="33"/>
      <c r="K228" s="242">
        <f t="shared" ref="K228:K241" si="106">K227</f>
        <v>1</v>
      </c>
      <c r="L228" s="241" t="e">
        <f t="shared" ref="L228:L241" ca="1" si="107">K228*$H228</f>
        <v>#N/A</v>
      </c>
      <c r="M228" s="243" t="e">
        <f ca="1">IF(AND(INDEX(FlowCalConstA,MATCH(J226,FlowCalNumber,0),1,1)*L228^INDEX(FlowCalConstB,MATCH(J226,FlowCalNumber,0),1,1)&gt;INDEX(FlowCalLowSetting,MATCH(J226,FlowCalNumber,0),1,1), (INDEX(FlowCalConstA,MATCH(J226,FlowCalNumber,0),1,1)*L228^INDEX(FlowCalConstB,MATCH(J226,FlowCalNumber,0),1,1)&lt;INDEX(FlowCalHighSetting,MATCH(J226,FlowCalNumber,0),1,1))),INDEX(FlowCalConstA,MATCH(J226,FlowCalNumber,0),1,1)*L228^INDEX(FlowCalConstB,MATCH(J226,FlowCalNumber,0),1,1)," ")</f>
        <v>#N/A</v>
      </c>
      <c r="N228" s="33"/>
      <c r="O228" s="242">
        <f t="shared" ref="O228:O241" si="108">O227</f>
        <v>1</v>
      </c>
      <c r="P228" s="241" t="e">
        <f t="shared" ref="P228:P241" ca="1" si="109">O228*$H228</f>
        <v>#N/A</v>
      </c>
      <c r="Q228" s="243" t="e">
        <f ca="1">IF(AND(INDEX(FlowCalConstA,MATCH(N226,FlowCalNumber,0),1,1)*P228^INDEX(FlowCalConstB,MATCH(N226,FlowCalNumber,0),1,1)&gt;INDEX(FlowCalLowSetting,MATCH(N226,FlowCalNumber,0),1,1), (INDEX(FlowCalConstA,MATCH(N226,FlowCalNumber,0),1,1)*P228^INDEX(FlowCalConstB,MATCH(N226,FlowCalNumber,0),1,1)&lt;INDEX(FlowCalHighSetting,MATCH(N226,FlowCalNumber,0),1,1))),INDEX(FlowCalConstA,MATCH(N226,FlowCalNumber,0),1,1)*P228^INDEX(FlowCalConstB,MATCH(N226,FlowCalNumber,0),1,1)," ")</f>
        <v>#N/A</v>
      </c>
      <c r="R228" s="33"/>
      <c r="S228" s="242">
        <f t="shared" ref="S228:S241" si="110">S227</f>
        <v>1</v>
      </c>
      <c r="T228" s="241" t="e">
        <f t="shared" ref="T228:T241" ca="1" si="111">S228*$H228</f>
        <v>#N/A</v>
      </c>
      <c r="U228" s="243" t="e">
        <f ca="1">IF(AND(INDEX(FlowCalConstA,MATCH(R226,FlowCalNumber,0),1,1)*T228^INDEX(FlowCalConstB,MATCH(R226,FlowCalNumber,0),1,1)&gt;INDEX(FlowCalLowSetting,MATCH(R226,FlowCalNumber,0),1,1), (INDEX(FlowCalConstA,MATCH(R226,FlowCalNumber,0),1,1)*T228^INDEX(FlowCalConstB,MATCH(R226,FlowCalNumber,0),1,1)&lt;INDEX(FlowCalHighSetting,MATCH(R226,FlowCalNumber,0),1,1))),INDEX(FlowCalConstA,MATCH(R226,FlowCalNumber,0),1,1)*T228^INDEX(FlowCalConstB,MATCH(R226,FlowCalNumber,0),1,1)," ")</f>
        <v>#N/A</v>
      </c>
      <c r="V228" s="33"/>
      <c r="W228" s="242"/>
      <c r="X228" s="241"/>
      <c r="Y228" s="243"/>
      <c r="Z228" s="33"/>
      <c r="AA228" s="242"/>
      <c r="AB228" s="241"/>
      <c r="AC228" s="243"/>
      <c r="AD228" s="33"/>
      <c r="AE228" s="242"/>
      <c r="AF228" s="241"/>
      <c r="AG228" s="243"/>
      <c r="AH228" s="33"/>
      <c r="AI228" s="242"/>
      <c r="AJ228" s="241"/>
      <c r="AK228" s="244"/>
      <c r="AL228" s="243"/>
      <c r="AM228" s="243"/>
      <c r="AN228" s="243"/>
      <c r="AO228" s="243"/>
      <c r="AP228" s="243"/>
      <c r="AQ228" s="243"/>
      <c r="AR228" s="243"/>
      <c r="AS228" s="243"/>
      <c r="AT228" s="243"/>
      <c r="AU228" s="243"/>
      <c r="AV228" s="243"/>
      <c r="AW228" s="243"/>
      <c r="AX228" s="243"/>
      <c r="AY228" s="243"/>
      <c r="AZ228" s="243"/>
      <c r="BA228" s="243"/>
      <c r="BB228" s="243"/>
      <c r="BC228" s="243"/>
      <c r="BD228" s="243"/>
      <c r="BE228" s="243"/>
      <c r="BF228" s="243"/>
      <c r="BG228" s="243"/>
      <c r="BH228" s="243"/>
      <c r="BI228" s="243"/>
      <c r="BJ228" s="243"/>
      <c r="BK228" s="243"/>
      <c r="BL228" s="243"/>
      <c r="BM228" s="243"/>
      <c r="BN228" s="243"/>
      <c r="BO228" s="243"/>
      <c r="BP228" s="243"/>
      <c r="BQ228" s="243"/>
      <c r="BR228" s="243"/>
      <c r="BS228" s="243"/>
      <c r="BU228" s="242"/>
      <c r="BW228" s="243"/>
      <c r="BY228" s="242"/>
      <c r="CA228" s="243"/>
      <c r="CC228" s="242"/>
      <c r="CE228" s="243"/>
      <c r="CG228" s="242"/>
      <c r="CI228" s="243"/>
    </row>
    <row r="229" spans="1:87" s="1215" customFormat="1">
      <c r="A229" s="1222"/>
      <c r="B229" s="1223" t="str">
        <f t="shared" si="104"/>
        <v/>
      </c>
      <c r="C229" s="1210"/>
      <c r="D229" s="1211">
        <f>'1% Wind'!$M$84</f>
        <v>20.5</v>
      </c>
      <c r="E229" s="1212"/>
      <c r="F229" s="1212"/>
      <c r="G229" s="1213" t="e">
        <f ca="1">IF(I226=0.9743,$G228,MAX(G228/D228*D229,2))</f>
        <v>#N/A</v>
      </c>
      <c r="H229" s="1214" t="e">
        <f t="shared" ca="1" si="105"/>
        <v>#N/A</v>
      </c>
      <c r="J229" s="1224"/>
      <c r="K229" s="1217">
        <f t="shared" si="106"/>
        <v>1</v>
      </c>
      <c r="L229" s="1218" t="e">
        <f t="shared" ca="1" si="107"/>
        <v>#N/A</v>
      </c>
      <c r="M229" s="1219" t="e">
        <f ca="1">IF(AND(INDEX(FlowCalConstA,MATCH(J226,FlowCalNumber,0),1,1)*L229^INDEX(FlowCalConstB,MATCH(J226,FlowCalNumber,0),1,1)&gt;INDEX(FlowCalLowSetting,MATCH(J226,FlowCalNumber,0),1,1), (INDEX(FlowCalConstA,MATCH(J226,FlowCalNumber,0),1,1)*L229^INDEX(FlowCalConstB,MATCH(J226,FlowCalNumber,0),1,1)&lt;INDEX(FlowCalHighSetting,MATCH(J226,FlowCalNumber,0),1,1))),INDEX(FlowCalConstA,MATCH(J226,FlowCalNumber,0),1,1)*L229^INDEX(FlowCalConstB,MATCH(J226,FlowCalNumber,0),1,1)," ")</f>
        <v>#N/A</v>
      </c>
      <c r="N229" s="1224"/>
      <c r="O229" s="1217">
        <f t="shared" si="108"/>
        <v>1</v>
      </c>
      <c r="P229" s="1218" t="e">
        <f t="shared" ca="1" si="109"/>
        <v>#N/A</v>
      </c>
      <c r="Q229" s="1219" t="e">
        <f ca="1">IF(AND(INDEX(FlowCalConstA,MATCH(N226,FlowCalNumber,0),1,1)*P229^INDEX(FlowCalConstB,MATCH(N226,FlowCalNumber,0),1,1)&gt;INDEX(FlowCalLowSetting,MATCH(N226,FlowCalNumber,0),1,1), (INDEX(FlowCalConstA,MATCH(N226,FlowCalNumber,0),1,1)*P229^INDEX(FlowCalConstB,MATCH(N226,FlowCalNumber,0),1,1)&lt;INDEX(FlowCalHighSetting,MATCH(N226,FlowCalNumber,0),1,1))),INDEX(FlowCalConstA,MATCH(N226,FlowCalNumber,0),1,1)*P229^INDEX(FlowCalConstB,MATCH(N226,FlowCalNumber,0),1,1)," ")</f>
        <v>#N/A</v>
      </c>
      <c r="R229" s="1224"/>
      <c r="S229" s="1217">
        <f t="shared" si="110"/>
        <v>1</v>
      </c>
      <c r="T229" s="1218" t="e">
        <f t="shared" ca="1" si="111"/>
        <v>#N/A</v>
      </c>
      <c r="U229" s="1219" t="e">
        <f ca="1">IF(AND(INDEX(FlowCalConstA,MATCH(R226,FlowCalNumber,0),1,1)*T229^INDEX(FlowCalConstB,MATCH(R226,FlowCalNumber,0),1,1)&gt;INDEX(FlowCalLowSetting,MATCH(R226,FlowCalNumber,0),1,1), (INDEX(FlowCalConstA,MATCH(R226,FlowCalNumber,0),1,1)*T229^INDEX(FlowCalConstB,MATCH(R226,FlowCalNumber,0),1,1)&lt;INDEX(FlowCalHighSetting,MATCH(R226,FlowCalNumber,0),1,1))),INDEX(FlowCalConstA,MATCH(R226,FlowCalNumber,0),1,1)*T229^INDEX(FlowCalConstB,MATCH(R226,FlowCalNumber,0),1,1)," ")</f>
        <v>#N/A</v>
      </c>
      <c r="V229" s="1224"/>
      <c r="W229" s="1217"/>
      <c r="X229" s="1218"/>
      <c r="Y229" s="1219"/>
      <c r="Z229" s="1224"/>
      <c r="AA229" s="1217"/>
      <c r="AB229" s="1218"/>
      <c r="AC229" s="1219"/>
      <c r="AD229" s="1224"/>
      <c r="AE229" s="1217"/>
      <c r="AF229" s="1218"/>
      <c r="AG229" s="1219"/>
      <c r="AH229" s="1224"/>
      <c r="AI229" s="1217"/>
      <c r="AJ229" s="1218"/>
      <c r="AK229" s="1220"/>
      <c r="AL229" s="1219"/>
      <c r="AM229" s="1219"/>
      <c r="AN229" s="1219"/>
      <c r="AO229" s="1219"/>
      <c r="AP229" s="1219"/>
      <c r="AQ229" s="1219"/>
      <c r="AR229" s="1219"/>
      <c r="AS229" s="1219"/>
      <c r="AT229" s="1219"/>
      <c r="AU229" s="1219"/>
      <c r="AV229" s="1219"/>
      <c r="AW229" s="1219"/>
      <c r="AX229" s="1219"/>
      <c r="AY229" s="1219"/>
      <c r="AZ229" s="1219"/>
      <c r="BA229" s="1219"/>
      <c r="BB229" s="1219"/>
      <c r="BC229" s="1219"/>
      <c r="BD229" s="1219"/>
      <c r="BE229" s="1219"/>
      <c r="BF229" s="1219"/>
      <c r="BG229" s="1219"/>
      <c r="BH229" s="1219"/>
      <c r="BI229" s="1219"/>
      <c r="BJ229" s="1219"/>
      <c r="BK229" s="1219"/>
      <c r="BL229" s="1219"/>
      <c r="BM229" s="1219"/>
      <c r="BN229" s="1219"/>
      <c r="BO229" s="1219"/>
      <c r="BP229" s="1219"/>
      <c r="BQ229" s="1219"/>
      <c r="BR229" s="1219"/>
      <c r="BS229" s="1219"/>
      <c r="BU229" s="1217"/>
      <c r="BW229" s="1219"/>
      <c r="BY229" s="1217"/>
      <c r="CA229" s="1219"/>
      <c r="CC229" s="1217"/>
      <c r="CE229" s="1219"/>
      <c r="CG229" s="1217"/>
      <c r="CI229" s="1219"/>
    </row>
    <row r="230" spans="1:87">
      <c r="A230" s="20"/>
      <c r="B230" s="124" t="str">
        <f t="shared" si="104"/>
        <v/>
      </c>
      <c r="C230" s="235"/>
      <c r="D230" s="24">
        <f>'1% Wind'!$M$85</f>
        <v>17.8</v>
      </c>
      <c r="E230" s="90"/>
      <c r="F230" s="90"/>
      <c r="G230" s="79" t="e">
        <f ca="1">IF(I226=0.9743,$G229,MAX(G229/D229*D230,2))</f>
        <v>#N/A</v>
      </c>
      <c r="H230" s="121" t="e">
        <f t="shared" ca="1" si="105"/>
        <v>#N/A</v>
      </c>
      <c r="J230" s="33"/>
      <c r="K230" s="242">
        <f t="shared" si="106"/>
        <v>1</v>
      </c>
      <c r="L230" s="241" t="e">
        <f t="shared" ca="1" si="107"/>
        <v>#N/A</v>
      </c>
      <c r="M230" s="243" t="e">
        <f ca="1">IF(AND(INDEX(FlowCalConstA,MATCH(J226,FlowCalNumber,0),1,1)*L230^INDEX(FlowCalConstB,MATCH(J226,FlowCalNumber,0),1,1)&gt;INDEX(FlowCalLowSetting,MATCH(J226,FlowCalNumber,0),1,1), (INDEX(FlowCalConstA,MATCH(J226,FlowCalNumber,0),1,1)*L230^INDEX(FlowCalConstB,MATCH(J226,FlowCalNumber,0),1,1)&lt;INDEX(FlowCalHighSetting,MATCH(J226,FlowCalNumber,0),1,1))),INDEX(FlowCalConstA,MATCH(J226,FlowCalNumber,0),1,1)*L230^INDEX(FlowCalConstB,MATCH(J226,FlowCalNumber,0),1,1)," ")</f>
        <v>#N/A</v>
      </c>
      <c r="N230" s="33"/>
      <c r="O230" s="242">
        <f t="shared" si="108"/>
        <v>1</v>
      </c>
      <c r="P230" s="241" t="e">
        <f t="shared" ca="1" si="109"/>
        <v>#N/A</v>
      </c>
      <c r="Q230" s="243" t="e">
        <f ca="1">IF(AND(INDEX(FlowCalConstA,MATCH(N226,FlowCalNumber,0),1,1)*P230^INDEX(FlowCalConstB,MATCH(N226,FlowCalNumber,0),1,1)&gt;INDEX(FlowCalLowSetting,MATCH(N226,FlowCalNumber,0),1,1), (INDEX(FlowCalConstA,MATCH(N226,FlowCalNumber,0),1,1)*P230^INDEX(FlowCalConstB,MATCH(N226,FlowCalNumber,0),1,1)&lt;INDEX(FlowCalHighSetting,MATCH(N226,FlowCalNumber,0),1,1))),INDEX(FlowCalConstA,MATCH(N226,FlowCalNumber,0),1,1)*P230^INDEX(FlowCalConstB,MATCH(N226,FlowCalNumber,0),1,1)," ")</f>
        <v>#N/A</v>
      </c>
      <c r="R230" s="33"/>
      <c r="S230" s="242">
        <f t="shared" si="110"/>
        <v>1</v>
      </c>
      <c r="T230" s="241" t="e">
        <f t="shared" ca="1" si="111"/>
        <v>#N/A</v>
      </c>
      <c r="U230" s="243" t="e">
        <f ca="1">IF(AND(INDEX(FlowCalConstA,MATCH(R226,FlowCalNumber,0),1,1)*T230^INDEX(FlowCalConstB,MATCH(R226,FlowCalNumber,0),1,1)&gt;INDEX(FlowCalLowSetting,MATCH(R226,FlowCalNumber,0),1,1), (INDEX(FlowCalConstA,MATCH(R226,FlowCalNumber,0),1,1)*T230^INDEX(FlowCalConstB,MATCH(R226,FlowCalNumber,0),1,1)&lt;INDEX(FlowCalHighSetting,MATCH(R226,FlowCalNumber,0),1,1))),INDEX(FlowCalConstA,MATCH(R226,FlowCalNumber,0),1,1)*T230^INDEX(FlowCalConstB,MATCH(R226,FlowCalNumber,0),1,1)," ")</f>
        <v>#N/A</v>
      </c>
      <c r="V230" s="33"/>
      <c r="W230" s="242"/>
      <c r="X230" s="241"/>
      <c r="Y230" s="243"/>
      <c r="Z230" s="33"/>
      <c r="AA230" s="242"/>
      <c r="AB230" s="241"/>
      <c r="AC230" s="243"/>
      <c r="AD230" s="33"/>
      <c r="AE230" s="242"/>
      <c r="AF230" s="241"/>
      <c r="AG230" s="243"/>
      <c r="AH230" s="33"/>
      <c r="AI230" s="242"/>
      <c r="AJ230" s="241"/>
      <c r="AK230" s="244"/>
      <c r="AL230" s="243"/>
      <c r="AM230" s="243"/>
      <c r="AN230" s="243"/>
      <c r="AO230" s="243"/>
      <c r="AP230" s="243"/>
      <c r="AQ230" s="243"/>
      <c r="AR230" s="243"/>
      <c r="AS230" s="243"/>
      <c r="AT230" s="243"/>
      <c r="AU230" s="243"/>
      <c r="AV230" s="243"/>
      <c r="AW230" s="243"/>
      <c r="AX230" s="243"/>
      <c r="AY230" s="243"/>
      <c r="AZ230" s="243"/>
      <c r="BA230" s="243"/>
      <c r="BB230" s="243"/>
      <c r="BC230" s="243"/>
      <c r="BD230" s="243"/>
      <c r="BE230" s="243"/>
      <c r="BF230" s="243"/>
      <c r="BG230" s="243"/>
      <c r="BH230" s="243"/>
      <c r="BI230" s="243"/>
      <c r="BJ230" s="243"/>
      <c r="BK230" s="243"/>
      <c r="BL230" s="243"/>
      <c r="BM230" s="243"/>
      <c r="BN230" s="243"/>
      <c r="BO230" s="243"/>
      <c r="BP230" s="243"/>
      <c r="BQ230" s="243"/>
      <c r="BR230" s="243"/>
      <c r="BS230" s="243"/>
      <c r="BU230" s="242"/>
      <c r="BW230" s="243"/>
      <c r="BY230" s="242"/>
      <c r="CA230" s="243"/>
      <c r="CC230" s="242"/>
      <c r="CE230" s="243"/>
      <c r="CG230" s="242"/>
      <c r="CI230" s="243"/>
    </row>
    <row r="231" spans="1:87" s="1215" customFormat="1">
      <c r="A231" s="1222"/>
      <c r="B231" s="1223" t="str">
        <f t="shared" si="104"/>
        <v/>
      </c>
      <c r="C231" s="1210"/>
      <c r="D231" s="1211">
        <f>'1% Wind'!$M$86</f>
        <v>15.5</v>
      </c>
      <c r="E231" s="1212"/>
      <c r="F231" s="1212"/>
      <c r="G231" s="1213" t="e">
        <f ca="1">IF(I226=0.9743,$G230,MAX(G230/D230*D231,2))</f>
        <v>#N/A</v>
      </c>
      <c r="H231" s="1214" t="e">
        <f t="shared" ca="1" si="105"/>
        <v>#N/A</v>
      </c>
      <c r="J231" s="1224"/>
      <c r="K231" s="1217">
        <f t="shared" si="106"/>
        <v>1</v>
      </c>
      <c r="L231" s="1218" t="e">
        <f t="shared" ca="1" si="107"/>
        <v>#N/A</v>
      </c>
      <c r="M231" s="1219" t="e">
        <f ca="1">IF(AND(INDEX(FlowCalConstA,MATCH(J226,FlowCalNumber,0),1,1)*L231^INDEX(FlowCalConstB,MATCH(J226,FlowCalNumber,0),1,1)&gt;INDEX(FlowCalLowSetting,MATCH(J226,FlowCalNumber,0),1,1), (INDEX(FlowCalConstA,MATCH(J226,FlowCalNumber,0),1,1)*L231^INDEX(FlowCalConstB,MATCH(J226,FlowCalNumber,0),1,1)&lt;INDEX(FlowCalHighSetting,MATCH(J226,FlowCalNumber,0),1,1))),INDEX(FlowCalConstA,MATCH(J226,FlowCalNumber,0),1,1)*L231^INDEX(FlowCalConstB,MATCH(J226,FlowCalNumber,0),1,1)," ")</f>
        <v>#N/A</v>
      </c>
      <c r="N231" s="1224"/>
      <c r="O231" s="1217">
        <f t="shared" si="108"/>
        <v>1</v>
      </c>
      <c r="P231" s="1218" t="e">
        <f t="shared" ca="1" si="109"/>
        <v>#N/A</v>
      </c>
      <c r="Q231" s="1219" t="e">
        <f ca="1">IF(AND(INDEX(FlowCalConstA,MATCH(N226,FlowCalNumber,0),1,1)*P231^INDEX(FlowCalConstB,MATCH(N226,FlowCalNumber,0),1,1)&gt;INDEX(FlowCalLowSetting,MATCH(N226,FlowCalNumber,0),1,1), (INDEX(FlowCalConstA,MATCH(N226,FlowCalNumber,0),1,1)*P231^INDEX(FlowCalConstB,MATCH(N226,FlowCalNumber,0),1,1)&lt;INDEX(FlowCalHighSetting,MATCH(N226,FlowCalNumber,0),1,1))),INDEX(FlowCalConstA,MATCH(N226,FlowCalNumber,0),1,1)*P231^INDEX(FlowCalConstB,MATCH(N226,FlowCalNumber,0),1,1)," ")</f>
        <v>#N/A</v>
      </c>
      <c r="R231" s="1224"/>
      <c r="S231" s="1217">
        <f t="shared" si="110"/>
        <v>1</v>
      </c>
      <c r="T231" s="1218" t="e">
        <f t="shared" ca="1" si="111"/>
        <v>#N/A</v>
      </c>
      <c r="U231" s="1219" t="e">
        <f ca="1">IF(AND(INDEX(FlowCalConstA,MATCH(R226,FlowCalNumber,0),1,1)*T231^INDEX(FlowCalConstB,MATCH(R226,FlowCalNumber,0),1,1)&gt;INDEX(FlowCalLowSetting,MATCH(R226,FlowCalNumber,0),1,1), (INDEX(FlowCalConstA,MATCH(R226,FlowCalNumber,0),1,1)*T231^INDEX(FlowCalConstB,MATCH(R226,FlowCalNumber,0),1,1)&lt;INDEX(FlowCalHighSetting,MATCH(R226,FlowCalNumber,0),1,1))),INDEX(FlowCalConstA,MATCH(R226,FlowCalNumber,0),1,1)*T231^INDEX(FlowCalConstB,MATCH(R226,FlowCalNumber,0),1,1)," ")</f>
        <v>#N/A</v>
      </c>
      <c r="V231" s="1224"/>
      <c r="W231" s="1217"/>
      <c r="X231" s="1218"/>
      <c r="Y231" s="1219"/>
      <c r="Z231" s="1224"/>
      <c r="AA231" s="1217"/>
      <c r="AB231" s="1218"/>
      <c r="AC231" s="1219"/>
      <c r="AD231" s="1224"/>
      <c r="AE231" s="1217"/>
      <c r="AF231" s="1218"/>
      <c r="AG231" s="1219"/>
      <c r="AH231" s="1224"/>
      <c r="AI231" s="1217"/>
      <c r="AJ231" s="1218"/>
      <c r="AK231" s="1220"/>
      <c r="AL231" s="1219"/>
      <c r="AM231" s="1219"/>
      <c r="AN231" s="1219"/>
      <c r="AO231" s="1219"/>
      <c r="AP231" s="1219"/>
      <c r="AQ231" s="1219"/>
      <c r="AR231" s="1219"/>
      <c r="AS231" s="1219"/>
      <c r="AT231" s="1219"/>
      <c r="AU231" s="1219"/>
      <c r="AV231" s="1219"/>
      <c r="AW231" s="1219"/>
      <c r="AX231" s="1219"/>
      <c r="AY231" s="1219"/>
      <c r="AZ231" s="1219"/>
      <c r="BA231" s="1219"/>
      <c r="BB231" s="1219"/>
      <c r="BC231" s="1219"/>
      <c r="BD231" s="1219"/>
      <c r="BE231" s="1219"/>
      <c r="BF231" s="1219"/>
      <c r="BG231" s="1219"/>
      <c r="BH231" s="1219"/>
      <c r="BI231" s="1219"/>
      <c r="BJ231" s="1219"/>
      <c r="BK231" s="1219"/>
      <c r="BL231" s="1219"/>
      <c r="BM231" s="1219"/>
      <c r="BN231" s="1219"/>
      <c r="BO231" s="1219"/>
      <c r="BP231" s="1219"/>
      <c r="BQ231" s="1219"/>
      <c r="BR231" s="1219"/>
      <c r="BS231" s="1219"/>
      <c r="BU231" s="1217"/>
      <c r="BW231" s="1219"/>
      <c r="BY231" s="1217"/>
      <c r="CA231" s="1219"/>
      <c r="CC231" s="1217"/>
      <c r="CE231" s="1219"/>
      <c r="CG231" s="1217"/>
      <c r="CI231" s="1219"/>
    </row>
    <row r="232" spans="1:87">
      <c r="A232" s="20"/>
      <c r="B232" s="124" t="str">
        <f t="shared" si="104"/>
        <v/>
      </c>
      <c r="C232" s="235"/>
      <c r="D232" s="24">
        <f>'1% Wind'!$M$87</f>
        <v>13.5</v>
      </c>
      <c r="E232" s="90"/>
      <c r="F232" s="90"/>
      <c r="G232" s="79" t="e">
        <f ca="1">IF(I226=0.9743,$G231,MAX(G231/D231*D232,2))</f>
        <v>#N/A</v>
      </c>
      <c r="H232" s="121" t="e">
        <f t="shared" ca="1" si="105"/>
        <v>#N/A</v>
      </c>
      <c r="J232" s="33"/>
      <c r="K232" s="242">
        <f t="shared" si="106"/>
        <v>1</v>
      </c>
      <c r="L232" s="241" t="e">
        <f t="shared" ca="1" si="107"/>
        <v>#N/A</v>
      </c>
      <c r="M232" s="243" t="e">
        <f ca="1">IF(AND(INDEX(FlowCalConstA,MATCH(J226,FlowCalNumber,0),1,1)*L232^INDEX(FlowCalConstB,MATCH(J226,FlowCalNumber,0),1,1)&gt;INDEX(FlowCalLowSetting,MATCH(J226,FlowCalNumber,0),1,1), (INDEX(FlowCalConstA,MATCH(J226,FlowCalNumber,0),1,1)*L232^INDEX(FlowCalConstB,MATCH(J226,FlowCalNumber,0),1,1)&lt;INDEX(FlowCalHighSetting,MATCH(J226,FlowCalNumber,0),1,1))),INDEX(FlowCalConstA,MATCH(J226,FlowCalNumber,0),1,1)*L232^INDEX(FlowCalConstB,MATCH(J226,FlowCalNumber,0),1,1)," ")</f>
        <v>#N/A</v>
      </c>
      <c r="N232" s="33"/>
      <c r="O232" s="242">
        <f t="shared" si="108"/>
        <v>1</v>
      </c>
      <c r="P232" s="241" t="e">
        <f t="shared" ca="1" si="109"/>
        <v>#N/A</v>
      </c>
      <c r="Q232" s="243" t="e">
        <f ca="1">IF(AND(INDEX(FlowCalConstA,MATCH(N226,FlowCalNumber,0),1,1)*P232^INDEX(FlowCalConstB,MATCH(N226,FlowCalNumber,0),1,1)&gt;INDEX(FlowCalLowSetting,MATCH(N226,FlowCalNumber,0),1,1), (INDEX(FlowCalConstA,MATCH(N226,FlowCalNumber,0),1,1)*P232^INDEX(FlowCalConstB,MATCH(N226,FlowCalNumber,0),1,1)&lt;INDEX(FlowCalHighSetting,MATCH(N226,FlowCalNumber,0),1,1))),INDEX(FlowCalConstA,MATCH(N226,FlowCalNumber,0),1,1)*P232^INDEX(FlowCalConstB,MATCH(N226,FlowCalNumber,0),1,1)," ")</f>
        <v>#N/A</v>
      </c>
      <c r="R232" s="33"/>
      <c r="S232" s="242">
        <f t="shared" si="110"/>
        <v>1</v>
      </c>
      <c r="T232" s="241" t="e">
        <f t="shared" ca="1" si="111"/>
        <v>#N/A</v>
      </c>
      <c r="U232" s="243" t="e">
        <f ca="1">IF(AND(INDEX(FlowCalConstA,MATCH(R226,FlowCalNumber,0),1,1)*T232^INDEX(FlowCalConstB,MATCH(R226,FlowCalNumber,0),1,1)&gt;INDEX(FlowCalLowSetting,MATCH(R226,FlowCalNumber,0),1,1), (INDEX(FlowCalConstA,MATCH(R226,FlowCalNumber,0),1,1)*T232^INDEX(FlowCalConstB,MATCH(R226,FlowCalNumber,0),1,1)&lt;INDEX(FlowCalHighSetting,MATCH(R226,FlowCalNumber,0),1,1))),INDEX(FlowCalConstA,MATCH(R226,FlowCalNumber,0),1,1)*T232^INDEX(FlowCalConstB,MATCH(R226,FlowCalNumber,0),1,1)," ")</f>
        <v>#N/A</v>
      </c>
      <c r="V232" s="33"/>
      <c r="W232" s="242"/>
      <c r="X232" s="241"/>
      <c r="Y232" s="243"/>
      <c r="Z232" s="33"/>
      <c r="AA232" s="242"/>
      <c r="AB232" s="241"/>
      <c r="AC232" s="243"/>
      <c r="AD232" s="33"/>
      <c r="AE232" s="242"/>
      <c r="AF232" s="241"/>
      <c r="AG232" s="243"/>
      <c r="AH232" s="33"/>
      <c r="AI232" s="242"/>
      <c r="AJ232" s="241"/>
      <c r="AK232" s="244"/>
      <c r="AL232" s="243"/>
      <c r="AM232" s="243"/>
      <c r="AN232" s="243"/>
      <c r="AO232" s="243"/>
      <c r="AP232" s="243"/>
      <c r="AQ232" s="243"/>
      <c r="AR232" s="243"/>
      <c r="AS232" s="243"/>
      <c r="AT232" s="243"/>
      <c r="AU232" s="243"/>
      <c r="AV232" s="243"/>
      <c r="AW232" s="243"/>
      <c r="AX232" s="243"/>
      <c r="AY232" s="243"/>
      <c r="AZ232" s="243"/>
      <c r="BA232" s="243"/>
      <c r="BB232" s="243"/>
      <c r="BC232" s="243"/>
      <c r="BD232" s="243"/>
      <c r="BE232" s="243"/>
      <c r="BF232" s="243"/>
      <c r="BG232" s="243"/>
      <c r="BH232" s="243"/>
      <c r="BI232" s="243"/>
      <c r="BJ232" s="243"/>
      <c r="BK232" s="243"/>
      <c r="BL232" s="243"/>
      <c r="BM232" s="243"/>
      <c r="BN232" s="243"/>
      <c r="BO232" s="243"/>
      <c r="BP232" s="243"/>
      <c r="BQ232" s="243"/>
      <c r="BR232" s="243"/>
      <c r="BS232" s="243"/>
      <c r="BU232" s="242"/>
      <c r="BW232" s="243"/>
      <c r="BY232" s="242"/>
      <c r="CA232" s="243"/>
      <c r="CC232" s="242"/>
      <c r="CE232" s="243"/>
      <c r="CG232" s="242"/>
      <c r="CI232" s="243"/>
    </row>
    <row r="233" spans="1:87" s="1215" customFormat="1">
      <c r="A233" s="1222"/>
      <c r="B233" s="1223" t="str">
        <f t="shared" si="104"/>
        <v/>
      </c>
      <c r="C233" s="1210"/>
      <c r="D233" s="1211">
        <f>'1% Wind'!$M$88</f>
        <v>10.1</v>
      </c>
      <c r="E233" s="1212"/>
      <c r="F233" s="1212"/>
      <c r="G233" s="1213" t="e">
        <f ca="1">IF(I226=0.9743,$G232,MAX(G232/D232*D233,2))</f>
        <v>#N/A</v>
      </c>
      <c r="H233" s="1214" t="e">
        <f t="shared" ca="1" si="105"/>
        <v>#N/A</v>
      </c>
      <c r="J233" s="1224"/>
      <c r="K233" s="1217">
        <f t="shared" si="106"/>
        <v>1</v>
      </c>
      <c r="L233" s="1218" t="e">
        <f t="shared" ca="1" si="107"/>
        <v>#N/A</v>
      </c>
      <c r="M233" s="1219" t="e">
        <f ca="1">IF(AND(INDEX(FlowCalConstA,MATCH(J226,FlowCalNumber,0),1,1)*L233^INDEX(FlowCalConstB,MATCH(J226,FlowCalNumber,0),1,1)&gt;INDEX(FlowCalLowSetting,MATCH(J226,FlowCalNumber,0),1,1), (INDEX(FlowCalConstA,MATCH(J226,FlowCalNumber,0),1,1)*L233^INDEX(FlowCalConstB,MATCH(J226,FlowCalNumber,0),1,1)&lt;INDEX(FlowCalHighSetting,MATCH(J226,FlowCalNumber,0),1,1))),INDEX(FlowCalConstA,MATCH(J226,FlowCalNumber,0),1,1)*L233^INDEX(FlowCalConstB,MATCH(J226,FlowCalNumber,0),1,1)," ")</f>
        <v>#N/A</v>
      </c>
      <c r="N233" s="1224"/>
      <c r="O233" s="1217">
        <f t="shared" si="108"/>
        <v>1</v>
      </c>
      <c r="P233" s="1218" t="e">
        <f t="shared" ca="1" si="109"/>
        <v>#N/A</v>
      </c>
      <c r="Q233" s="1219" t="e">
        <f ca="1">IF(AND(INDEX(FlowCalConstA,MATCH(N226,FlowCalNumber,0),1,1)*P233^INDEX(FlowCalConstB,MATCH(N226,FlowCalNumber,0),1,1)&gt;INDEX(FlowCalLowSetting,MATCH(N226,FlowCalNumber,0),1,1), (INDEX(FlowCalConstA,MATCH(N226,FlowCalNumber,0),1,1)*P233^INDEX(FlowCalConstB,MATCH(N226,FlowCalNumber,0),1,1)&lt;INDEX(FlowCalHighSetting,MATCH(N226,FlowCalNumber,0),1,1))),INDEX(FlowCalConstA,MATCH(N226,FlowCalNumber,0),1,1)*P233^INDEX(FlowCalConstB,MATCH(N226,FlowCalNumber,0),1,1)," ")</f>
        <v>#N/A</v>
      </c>
      <c r="R233" s="1224"/>
      <c r="S233" s="1217">
        <f t="shared" si="110"/>
        <v>1</v>
      </c>
      <c r="T233" s="1218" t="e">
        <f t="shared" ca="1" si="111"/>
        <v>#N/A</v>
      </c>
      <c r="U233" s="1219" t="e">
        <f ca="1">IF(AND(INDEX(FlowCalConstA,MATCH(R226,FlowCalNumber,0),1,1)*T233^INDEX(FlowCalConstB,MATCH(R226,FlowCalNumber,0),1,1)&gt;INDEX(FlowCalLowSetting,MATCH(R226,FlowCalNumber,0),1,1), (INDEX(FlowCalConstA,MATCH(R226,FlowCalNumber,0),1,1)*T233^INDEX(FlowCalConstB,MATCH(R226,FlowCalNumber,0),1,1)&lt;INDEX(FlowCalHighSetting,MATCH(R226,FlowCalNumber,0),1,1))),INDEX(FlowCalConstA,MATCH(R226,FlowCalNumber,0),1,1)*T233^INDEX(FlowCalConstB,MATCH(R226,FlowCalNumber,0),1,1)," ")</f>
        <v>#N/A</v>
      </c>
      <c r="V233" s="1224"/>
      <c r="W233" s="1217"/>
      <c r="X233" s="1218"/>
      <c r="Y233" s="1219"/>
      <c r="Z233" s="1224"/>
      <c r="AA233" s="1217"/>
      <c r="AB233" s="1218"/>
      <c r="AC233" s="1219"/>
      <c r="AD233" s="1224"/>
      <c r="AE233" s="1217"/>
      <c r="AF233" s="1218"/>
      <c r="AG233" s="1219"/>
      <c r="AH233" s="1224"/>
      <c r="AI233" s="1217"/>
      <c r="AJ233" s="1218"/>
      <c r="AK233" s="1220"/>
      <c r="AL233" s="1219"/>
      <c r="AM233" s="1219"/>
      <c r="AN233" s="1219"/>
      <c r="AO233" s="1219"/>
      <c r="AP233" s="1219"/>
      <c r="AQ233" s="1219"/>
      <c r="AR233" s="1219"/>
      <c r="AS233" s="1219"/>
      <c r="AT233" s="1219"/>
      <c r="AU233" s="1219"/>
      <c r="AV233" s="1219"/>
      <c r="AW233" s="1219"/>
      <c r="AX233" s="1219"/>
      <c r="AY233" s="1219"/>
      <c r="AZ233" s="1219"/>
      <c r="BA233" s="1219"/>
      <c r="BB233" s="1219"/>
      <c r="BC233" s="1219"/>
      <c r="BD233" s="1219"/>
      <c r="BE233" s="1219"/>
      <c r="BF233" s="1219"/>
      <c r="BG233" s="1219"/>
      <c r="BH233" s="1219"/>
      <c r="BI233" s="1219"/>
      <c r="BJ233" s="1219"/>
      <c r="BK233" s="1219"/>
      <c r="BL233" s="1219"/>
      <c r="BM233" s="1219"/>
      <c r="BN233" s="1219"/>
      <c r="BO233" s="1219"/>
      <c r="BP233" s="1219"/>
      <c r="BQ233" s="1219"/>
      <c r="BR233" s="1219"/>
      <c r="BS233" s="1219"/>
      <c r="BU233" s="1217"/>
      <c r="BW233" s="1219"/>
      <c r="BY233" s="1217"/>
      <c r="CA233" s="1219"/>
      <c r="CC233" s="1217"/>
      <c r="CE233" s="1219"/>
      <c r="CG233" s="1217"/>
      <c r="CI233" s="1219"/>
    </row>
    <row r="234" spans="1:87">
      <c r="A234" s="20"/>
      <c r="B234" s="124" t="str">
        <f t="shared" si="104"/>
        <v/>
      </c>
      <c r="C234" s="235"/>
      <c r="D234" s="24">
        <f>'1% Wind'!$M$89</f>
        <v>7.6</v>
      </c>
      <c r="E234" s="90"/>
      <c r="F234" s="90"/>
      <c r="G234" s="79" t="e">
        <f ca="1">IF(I226=0.9743,$G233,MAX(G233/D233*D234,2))</f>
        <v>#N/A</v>
      </c>
      <c r="H234" s="121" t="e">
        <f t="shared" ca="1" si="105"/>
        <v>#N/A</v>
      </c>
      <c r="J234" s="33"/>
      <c r="K234" s="242">
        <f t="shared" si="106"/>
        <v>1</v>
      </c>
      <c r="L234" s="241" t="e">
        <f t="shared" ca="1" si="107"/>
        <v>#N/A</v>
      </c>
      <c r="M234" s="243" t="e">
        <f ca="1">IF(AND(INDEX(FlowCalConstA,MATCH(J226,FlowCalNumber,0),1,1)*L234^INDEX(FlowCalConstB,MATCH(J226,FlowCalNumber,0),1,1)&gt;INDEX(FlowCalLowSetting,MATCH(J226,FlowCalNumber,0),1,1), (INDEX(FlowCalConstA,MATCH(J226,FlowCalNumber,0),1,1)*L234^INDEX(FlowCalConstB,MATCH(J226,FlowCalNumber,0),1,1)&lt;INDEX(FlowCalHighSetting,MATCH(J226,FlowCalNumber,0),1,1))),INDEX(FlowCalConstA,MATCH(J226,FlowCalNumber,0),1,1)*L234^INDEX(FlowCalConstB,MATCH(J226,FlowCalNumber,0),1,1)," ")</f>
        <v>#N/A</v>
      </c>
      <c r="N234" s="33"/>
      <c r="O234" s="242">
        <f t="shared" si="108"/>
        <v>1</v>
      </c>
      <c r="P234" s="241" t="e">
        <f t="shared" ca="1" si="109"/>
        <v>#N/A</v>
      </c>
      <c r="Q234" s="243" t="e">
        <f ca="1">IF(AND(INDEX(FlowCalConstA,MATCH(N226,FlowCalNumber,0),1,1)*P234^INDEX(FlowCalConstB,MATCH(N226,FlowCalNumber,0),1,1)&gt;INDEX(FlowCalLowSetting,MATCH(N226,FlowCalNumber,0),1,1), (INDEX(FlowCalConstA,MATCH(N226,FlowCalNumber,0),1,1)*P234^INDEX(FlowCalConstB,MATCH(N226,FlowCalNumber,0),1,1)&lt;INDEX(FlowCalHighSetting,MATCH(N226,FlowCalNumber,0),1,1))),INDEX(FlowCalConstA,MATCH(N226,FlowCalNumber,0),1,1)*P234^INDEX(FlowCalConstB,MATCH(N226,FlowCalNumber,0),1,1)," ")</f>
        <v>#N/A</v>
      </c>
      <c r="R234" s="33"/>
      <c r="S234" s="242">
        <f t="shared" si="110"/>
        <v>1</v>
      </c>
      <c r="T234" s="241" t="e">
        <f t="shared" ca="1" si="111"/>
        <v>#N/A</v>
      </c>
      <c r="U234" s="243" t="e">
        <f ca="1">IF(AND(INDEX(FlowCalConstA,MATCH(R226,FlowCalNumber,0),1,1)*T234^INDEX(FlowCalConstB,MATCH(R226,FlowCalNumber,0),1,1)&gt;INDEX(FlowCalLowSetting,MATCH(R226,FlowCalNumber,0),1,1), (INDEX(FlowCalConstA,MATCH(R226,FlowCalNumber,0),1,1)*T234^INDEX(FlowCalConstB,MATCH(R226,FlowCalNumber,0),1,1)&lt;INDEX(FlowCalHighSetting,MATCH(R226,FlowCalNumber,0),1,1))),INDEX(FlowCalConstA,MATCH(R226,FlowCalNumber,0),1,1)*T234^INDEX(FlowCalConstB,MATCH(R226,FlowCalNumber,0),1,1)," ")</f>
        <v>#N/A</v>
      </c>
      <c r="V234" s="33"/>
      <c r="W234" s="242"/>
      <c r="X234" s="241"/>
      <c r="Y234" s="243"/>
      <c r="Z234" s="33"/>
      <c r="AA234" s="242"/>
      <c r="AB234" s="241"/>
      <c r="AC234" s="243"/>
      <c r="AD234" s="33"/>
      <c r="AE234" s="242"/>
      <c r="AF234" s="241"/>
      <c r="AG234" s="243"/>
      <c r="AH234" s="33"/>
      <c r="AI234" s="242"/>
      <c r="AJ234" s="241"/>
      <c r="AK234" s="244"/>
      <c r="AL234" s="243"/>
      <c r="AM234" s="243"/>
      <c r="AN234" s="243"/>
      <c r="AO234" s="243"/>
      <c r="AP234" s="243"/>
      <c r="AQ234" s="243"/>
      <c r="AR234" s="243"/>
      <c r="AS234" s="243"/>
      <c r="AT234" s="243"/>
      <c r="AU234" s="243"/>
      <c r="AV234" s="243"/>
      <c r="AW234" s="243"/>
      <c r="AX234" s="243"/>
      <c r="AY234" s="243"/>
      <c r="AZ234" s="243"/>
      <c r="BA234" s="243"/>
      <c r="BB234" s="243"/>
      <c r="BC234" s="243"/>
      <c r="BD234" s="243"/>
      <c r="BE234" s="243"/>
      <c r="BF234" s="243"/>
      <c r="BG234" s="243"/>
      <c r="BH234" s="243"/>
      <c r="BI234" s="243"/>
      <c r="BJ234" s="243"/>
      <c r="BK234" s="243"/>
      <c r="BL234" s="243"/>
      <c r="BM234" s="243"/>
      <c r="BN234" s="243"/>
      <c r="BO234" s="243"/>
      <c r="BP234" s="243"/>
      <c r="BQ234" s="243"/>
      <c r="BR234" s="243"/>
      <c r="BS234" s="243"/>
      <c r="BU234" s="242"/>
      <c r="BW234" s="243"/>
      <c r="BY234" s="242"/>
      <c r="CA234" s="243"/>
      <c r="CC234" s="242"/>
      <c r="CE234" s="243"/>
      <c r="CG234" s="242"/>
      <c r="CI234" s="243"/>
    </row>
    <row r="235" spans="1:87" s="1215" customFormat="1">
      <c r="A235" s="1222"/>
      <c r="B235" s="1223" t="str">
        <f t="shared" si="104"/>
        <v/>
      </c>
      <c r="C235" s="1210"/>
      <c r="D235" s="1211">
        <f>'1% Wind'!$M$90</f>
        <v>5.7</v>
      </c>
      <c r="E235" s="1212"/>
      <c r="F235" s="1212"/>
      <c r="G235" s="1213" t="e">
        <f ca="1">IF(I226=0.9743,$G234,MAX(G234/D234*D235,2))</f>
        <v>#N/A</v>
      </c>
      <c r="H235" s="1214" t="e">
        <f t="shared" ca="1" si="105"/>
        <v>#N/A</v>
      </c>
      <c r="J235" s="1224"/>
      <c r="K235" s="1217">
        <f t="shared" si="106"/>
        <v>1</v>
      </c>
      <c r="L235" s="1218" t="e">
        <f t="shared" ca="1" si="107"/>
        <v>#N/A</v>
      </c>
      <c r="M235" s="1219" t="e">
        <f ca="1">IF(AND(INDEX(FlowCalConstA,MATCH(J226,FlowCalNumber,0),1,1)*L235^INDEX(FlowCalConstB,MATCH(J226,FlowCalNumber,0),1,1)&gt;INDEX(FlowCalLowSetting,MATCH(J226,FlowCalNumber,0),1,1), (INDEX(FlowCalConstA,MATCH(J226,FlowCalNumber,0),1,1)*L235^INDEX(FlowCalConstB,MATCH(J226,FlowCalNumber,0),1,1)&lt;INDEX(FlowCalHighSetting,MATCH(J226,FlowCalNumber,0),1,1))),INDEX(FlowCalConstA,MATCH(J226,FlowCalNumber,0),1,1)*L235^INDEX(FlowCalConstB,MATCH(J226,FlowCalNumber,0),1,1)," ")</f>
        <v>#N/A</v>
      </c>
      <c r="N235" s="1224"/>
      <c r="O235" s="1217">
        <f t="shared" si="108"/>
        <v>1</v>
      </c>
      <c r="P235" s="1218" t="e">
        <f t="shared" ca="1" si="109"/>
        <v>#N/A</v>
      </c>
      <c r="Q235" s="1219" t="e">
        <f ca="1">IF(AND(INDEX(FlowCalConstA,MATCH(N226,FlowCalNumber,0),1,1)*P235^INDEX(FlowCalConstB,MATCH(N226,FlowCalNumber,0),1,1)&gt;INDEX(FlowCalLowSetting,MATCH(N226,FlowCalNumber,0),1,1), (INDEX(FlowCalConstA,MATCH(N226,FlowCalNumber,0),1,1)*P235^INDEX(FlowCalConstB,MATCH(N226,FlowCalNumber,0),1,1)&lt;INDEX(FlowCalHighSetting,MATCH(N226,FlowCalNumber,0),1,1))),INDEX(FlowCalConstA,MATCH(N226,FlowCalNumber,0),1,1)*P235^INDEX(FlowCalConstB,MATCH(N226,FlowCalNumber,0),1,1)," ")</f>
        <v>#N/A</v>
      </c>
      <c r="R235" s="1224"/>
      <c r="S235" s="1217">
        <f t="shared" si="110"/>
        <v>1</v>
      </c>
      <c r="T235" s="1218" t="e">
        <f t="shared" ca="1" si="111"/>
        <v>#N/A</v>
      </c>
      <c r="U235" s="1219" t="e">
        <f ca="1">IF(AND(INDEX(FlowCalConstA,MATCH(R226,FlowCalNumber,0),1,1)*T235^INDEX(FlowCalConstB,MATCH(R226,FlowCalNumber,0),1,1)&gt;INDEX(FlowCalLowSetting,MATCH(R226,FlowCalNumber,0),1,1), (INDEX(FlowCalConstA,MATCH(R226,FlowCalNumber,0),1,1)*T235^INDEX(FlowCalConstB,MATCH(R226,FlowCalNumber,0),1,1)&lt;INDEX(FlowCalHighSetting,MATCH(R226,FlowCalNumber,0),1,1))),INDEX(FlowCalConstA,MATCH(R226,FlowCalNumber,0),1,1)*T235^INDEX(FlowCalConstB,MATCH(R226,FlowCalNumber,0),1,1)," ")</f>
        <v>#N/A</v>
      </c>
      <c r="V235" s="1224"/>
      <c r="W235" s="1217"/>
      <c r="X235" s="1218"/>
      <c r="Y235" s="1219"/>
      <c r="Z235" s="1224"/>
      <c r="AA235" s="1217"/>
      <c r="AB235" s="1218"/>
      <c r="AC235" s="1219"/>
      <c r="AD235" s="1224"/>
      <c r="AE235" s="1217"/>
      <c r="AF235" s="1218"/>
      <c r="AG235" s="1219"/>
      <c r="AH235" s="1224"/>
      <c r="AI235" s="1217"/>
      <c r="AJ235" s="1218"/>
      <c r="AK235" s="1220"/>
      <c r="AL235" s="1219"/>
      <c r="AM235" s="1219"/>
      <c r="AN235" s="1219"/>
      <c r="AO235" s="1219"/>
      <c r="AP235" s="1219"/>
      <c r="AQ235" s="1219"/>
      <c r="AR235" s="1219"/>
      <c r="AS235" s="1219"/>
      <c r="AT235" s="1219"/>
      <c r="AU235" s="1219"/>
      <c r="AV235" s="1219"/>
      <c r="AW235" s="1219"/>
      <c r="AX235" s="1219"/>
      <c r="AY235" s="1219"/>
      <c r="AZ235" s="1219"/>
      <c r="BA235" s="1219"/>
      <c r="BB235" s="1219"/>
      <c r="BC235" s="1219"/>
      <c r="BD235" s="1219"/>
      <c r="BE235" s="1219"/>
      <c r="BF235" s="1219"/>
      <c r="BG235" s="1219"/>
      <c r="BH235" s="1219"/>
      <c r="BI235" s="1219"/>
      <c r="BJ235" s="1219"/>
      <c r="BK235" s="1219"/>
      <c r="BL235" s="1219"/>
      <c r="BM235" s="1219"/>
      <c r="BN235" s="1219"/>
      <c r="BO235" s="1219"/>
      <c r="BP235" s="1219"/>
      <c r="BQ235" s="1219"/>
      <c r="BR235" s="1219"/>
      <c r="BS235" s="1219"/>
      <c r="BU235" s="1217"/>
      <c r="BW235" s="1219"/>
      <c r="BY235" s="1217"/>
      <c r="CA235" s="1219"/>
      <c r="CC235" s="1217"/>
      <c r="CE235" s="1219"/>
      <c r="CG235" s="1217"/>
      <c r="CI235" s="1219"/>
    </row>
    <row r="236" spans="1:87">
      <c r="A236" s="20"/>
      <c r="B236" s="124" t="str">
        <f t="shared" si="104"/>
        <v/>
      </c>
      <c r="C236" s="235"/>
      <c r="D236" s="24">
        <f>'1% Wind'!$M$91</f>
        <v>4.2</v>
      </c>
      <c r="E236" s="90"/>
      <c r="F236" s="90"/>
      <c r="G236" s="79" t="e">
        <f ca="1">IF(I226=0.9743,$G235,MAX(G235/D235*D236,2))</f>
        <v>#N/A</v>
      </c>
      <c r="H236" s="121" t="e">
        <f t="shared" ca="1" si="105"/>
        <v>#N/A</v>
      </c>
      <c r="J236" s="33"/>
      <c r="K236" s="242">
        <f t="shared" si="106"/>
        <v>1</v>
      </c>
      <c r="L236" s="241" t="e">
        <f t="shared" ca="1" si="107"/>
        <v>#N/A</v>
      </c>
      <c r="M236" s="243" t="e">
        <f ca="1">IF(AND(INDEX(FlowCalConstA,MATCH(J226,FlowCalNumber,0),1,1)*L236^INDEX(FlowCalConstB,MATCH(J226,FlowCalNumber,0),1,1)&gt;INDEX(FlowCalLowSetting,MATCH(J226,FlowCalNumber,0),1,1), (INDEX(FlowCalConstA,MATCH(J226,FlowCalNumber,0),1,1)*L236^INDEX(FlowCalConstB,MATCH(J226,FlowCalNumber,0),1,1)&lt;INDEX(FlowCalHighSetting,MATCH(J226,FlowCalNumber,0),1,1))),INDEX(FlowCalConstA,MATCH(J226,FlowCalNumber,0),1,1)*L236^INDEX(FlowCalConstB,MATCH(J226,FlowCalNumber,0),1,1)," ")</f>
        <v>#N/A</v>
      </c>
      <c r="N236" s="33"/>
      <c r="O236" s="242">
        <f t="shared" si="108"/>
        <v>1</v>
      </c>
      <c r="P236" s="241" t="e">
        <f t="shared" ca="1" si="109"/>
        <v>#N/A</v>
      </c>
      <c r="Q236" s="243" t="e">
        <f ca="1">IF(AND(INDEX(FlowCalConstA,MATCH(N226,FlowCalNumber,0),1,1)*P236^INDEX(FlowCalConstB,MATCH(N226,FlowCalNumber,0),1,1)&gt;INDEX(FlowCalLowSetting,MATCH(N226,FlowCalNumber,0),1,1), (INDEX(FlowCalConstA,MATCH(N226,FlowCalNumber,0),1,1)*P236^INDEX(FlowCalConstB,MATCH(N226,FlowCalNumber,0),1,1)&lt;INDEX(FlowCalHighSetting,MATCH(N226,FlowCalNumber,0),1,1))),INDEX(FlowCalConstA,MATCH(N226,FlowCalNumber,0),1,1)*P236^INDEX(FlowCalConstB,MATCH(N226,FlowCalNumber,0),1,1)," ")</f>
        <v>#N/A</v>
      </c>
      <c r="R236" s="33"/>
      <c r="S236" s="242">
        <f t="shared" si="110"/>
        <v>1</v>
      </c>
      <c r="T236" s="241" t="e">
        <f t="shared" ca="1" si="111"/>
        <v>#N/A</v>
      </c>
      <c r="U236" s="243" t="e">
        <f ca="1">IF(AND(INDEX(FlowCalConstA,MATCH(R226,FlowCalNumber,0),1,1)*T236^INDEX(FlowCalConstB,MATCH(R226,FlowCalNumber,0),1,1)&gt;INDEX(FlowCalLowSetting,MATCH(R226,FlowCalNumber,0),1,1), (INDEX(FlowCalConstA,MATCH(R226,FlowCalNumber,0),1,1)*T236^INDEX(FlowCalConstB,MATCH(R226,FlowCalNumber,0),1,1)&lt;INDEX(FlowCalHighSetting,MATCH(R226,FlowCalNumber,0),1,1))),INDEX(FlowCalConstA,MATCH(R226,FlowCalNumber,0),1,1)*T236^INDEX(FlowCalConstB,MATCH(R226,FlowCalNumber,0),1,1)," ")</f>
        <v>#N/A</v>
      </c>
      <c r="V236" s="33"/>
      <c r="W236" s="242"/>
      <c r="X236" s="241"/>
      <c r="Y236" s="243"/>
      <c r="Z236" s="33"/>
      <c r="AA236" s="242"/>
      <c r="AB236" s="241"/>
      <c r="AC236" s="243"/>
      <c r="AD236" s="33"/>
      <c r="AE236" s="242"/>
      <c r="AF236" s="241"/>
      <c r="AG236" s="243"/>
      <c r="AH236" s="33"/>
      <c r="AI236" s="242"/>
      <c r="AJ236" s="241"/>
      <c r="AK236" s="244"/>
      <c r="AL236" s="243"/>
      <c r="AM236" s="243"/>
      <c r="AN236" s="243"/>
      <c r="AO236" s="243"/>
      <c r="AP236" s="243"/>
      <c r="AQ236" s="243"/>
      <c r="AR236" s="243"/>
      <c r="AS236" s="243"/>
      <c r="AT236" s="243"/>
      <c r="AU236" s="243"/>
      <c r="AV236" s="243"/>
      <c r="AW236" s="243"/>
      <c r="AX236" s="243"/>
      <c r="AY236" s="243"/>
      <c r="AZ236" s="243"/>
      <c r="BA236" s="243"/>
      <c r="BB236" s="243"/>
      <c r="BC236" s="243"/>
      <c r="BD236" s="243"/>
      <c r="BE236" s="243"/>
      <c r="BF236" s="243"/>
      <c r="BG236" s="243"/>
      <c r="BH236" s="243"/>
      <c r="BI236" s="243"/>
      <c r="BJ236" s="243"/>
      <c r="BK236" s="243"/>
      <c r="BL236" s="243"/>
      <c r="BM236" s="243"/>
      <c r="BN236" s="243"/>
      <c r="BO236" s="243"/>
      <c r="BP236" s="243"/>
      <c r="BQ236" s="243"/>
      <c r="BR236" s="243"/>
      <c r="BS236" s="243"/>
      <c r="BU236" s="242"/>
      <c r="BW236" s="243"/>
      <c r="BY236" s="242"/>
      <c r="CA236" s="243"/>
      <c r="CC236" s="242"/>
      <c r="CE236" s="243"/>
      <c r="CG236" s="242"/>
      <c r="CI236" s="243"/>
    </row>
    <row r="237" spans="1:87" s="1215" customFormat="1">
      <c r="A237" s="1222"/>
      <c r="B237" s="1223" t="str">
        <f t="shared" si="104"/>
        <v/>
      </c>
      <c r="C237" s="1210"/>
      <c r="D237" s="1211">
        <f>'1% Wind'!$M$92</f>
        <v>3.2</v>
      </c>
      <c r="E237" s="1212"/>
      <c r="F237" s="1212"/>
      <c r="G237" s="1213" t="e">
        <f ca="1">IF(I226=0.9743,$G236,MAX(G236/D236*D237,2))</f>
        <v>#N/A</v>
      </c>
      <c r="H237" s="1214" t="e">
        <f t="shared" ca="1" si="105"/>
        <v>#N/A</v>
      </c>
      <c r="J237" s="1224"/>
      <c r="K237" s="1217">
        <f t="shared" si="106"/>
        <v>1</v>
      </c>
      <c r="L237" s="1218" t="e">
        <f t="shared" ca="1" si="107"/>
        <v>#N/A</v>
      </c>
      <c r="M237" s="1219" t="e">
        <f ca="1">IF(AND(INDEX(FlowCalConstA,MATCH(J226,FlowCalNumber,0),1,1)*L237^INDEX(FlowCalConstB,MATCH(J226,FlowCalNumber,0),1,1)&gt;INDEX(FlowCalLowSetting,MATCH(J226,FlowCalNumber,0),1,1), (INDEX(FlowCalConstA,MATCH(J226,FlowCalNumber,0),1,1)*L237^INDEX(FlowCalConstB,MATCH(J226,FlowCalNumber,0),1,1)&lt;INDEX(FlowCalHighSetting,MATCH(J226,FlowCalNumber,0),1,1))),INDEX(FlowCalConstA,MATCH(J226,FlowCalNumber,0),1,1)*L237^INDEX(FlowCalConstB,MATCH(J226,FlowCalNumber,0),1,1)," ")</f>
        <v>#N/A</v>
      </c>
      <c r="N237" s="1224"/>
      <c r="O237" s="1217">
        <f t="shared" si="108"/>
        <v>1</v>
      </c>
      <c r="P237" s="1218" t="e">
        <f t="shared" ca="1" si="109"/>
        <v>#N/A</v>
      </c>
      <c r="Q237" s="1219" t="e">
        <f ca="1">IF(AND(INDEX(FlowCalConstA,MATCH(N226,FlowCalNumber,0),1,1)*P237^INDEX(FlowCalConstB,MATCH(N226,FlowCalNumber,0),1,1)&gt;INDEX(FlowCalLowSetting,MATCH(N226,FlowCalNumber,0),1,1), (INDEX(FlowCalConstA,MATCH(N226,FlowCalNumber,0),1,1)*P237^INDEX(FlowCalConstB,MATCH(N226,FlowCalNumber,0),1,1)&lt;INDEX(FlowCalHighSetting,MATCH(N226,FlowCalNumber,0),1,1))),INDEX(FlowCalConstA,MATCH(N226,FlowCalNumber,0),1,1)*P237^INDEX(FlowCalConstB,MATCH(N226,FlowCalNumber,0),1,1)," ")</f>
        <v>#N/A</v>
      </c>
      <c r="R237" s="1224"/>
      <c r="S237" s="1217">
        <f t="shared" si="110"/>
        <v>1</v>
      </c>
      <c r="T237" s="1218" t="e">
        <f t="shared" ca="1" si="111"/>
        <v>#N/A</v>
      </c>
      <c r="U237" s="1219" t="e">
        <f ca="1">IF(AND(INDEX(FlowCalConstA,MATCH(R226,FlowCalNumber,0),1,1)*T237^INDEX(FlowCalConstB,MATCH(R226,FlowCalNumber,0),1,1)&gt;INDEX(FlowCalLowSetting,MATCH(R226,FlowCalNumber,0),1,1), (INDEX(FlowCalConstA,MATCH(R226,FlowCalNumber,0),1,1)*T237^INDEX(FlowCalConstB,MATCH(R226,FlowCalNumber,0),1,1)&lt;INDEX(FlowCalHighSetting,MATCH(R226,FlowCalNumber,0),1,1))),INDEX(FlowCalConstA,MATCH(R226,FlowCalNumber,0),1,1)*T237^INDEX(FlowCalConstB,MATCH(R226,FlowCalNumber,0),1,1)," ")</f>
        <v>#N/A</v>
      </c>
      <c r="V237" s="1224"/>
      <c r="W237" s="1217"/>
      <c r="X237" s="1218"/>
      <c r="Y237" s="1219"/>
      <c r="Z237" s="1224"/>
      <c r="AA237" s="1217"/>
      <c r="AB237" s="1218"/>
      <c r="AC237" s="1219"/>
      <c r="AD237" s="1224"/>
      <c r="AE237" s="1217"/>
      <c r="AF237" s="1218"/>
      <c r="AG237" s="1219"/>
      <c r="AH237" s="1224"/>
      <c r="AI237" s="1217"/>
      <c r="AJ237" s="1218"/>
      <c r="AK237" s="1220"/>
      <c r="AL237" s="1219"/>
      <c r="AM237" s="1219"/>
      <c r="AN237" s="1219"/>
      <c r="AO237" s="1219"/>
      <c r="AP237" s="1219"/>
      <c r="AQ237" s="1219"/>
      <c r="AR237" s="1219"/>
      <c r="AS237" s="1219"/>
      <c r="AT237" s="1219"/>
      <c r="AU237" s="1219"/>
      <c r="AV237" s="1219"/>
      <c r="AW237" s="1219"/>
      <c r="AX237" s="1219"/>
      <c r="AY237" s="1219"/>
      <c r="AZ237" s="1219"/>
      <c r="BA237" s="1219"/>
      <c r="BB237" s="1219"/>
      <c r="BC237" s="1219"/>
      <c r="BD237" s="1219"/>
      <c r="BE237" s="1219"/>
      <c r="BF237" s="1219"/>
      <c r="BG237" s="1219"/>
      <c r="BH237" s="1219"/>
      <c r="BI237" s="1219"/>
      <c r="BJ237" s="1219"/>
      <c r="BK237" s="1219"/>
      <c r="BL237" s="1219"/>
      <c r="BM237" s="1219"/>
      <c r="BN237" s="1219"/>
      <c r="BO237" s="1219"/>
      <c r="BP237" s="1219"/>
      <c r="BQ237" s="1219"/>
      <c r="BR237" s="1219"/>
      <c r="BS237" s="1219"/>
      <c r="BU237" s="1217"/>
      <c r="BW237" s="1219"/>
      <c r="BY237" s="1217"/>
      <c r="CA237" s="1219"/>
      <c r="CC237" s="1217"/>
      <c r="CE237" s="1219"/>
      <c r="CG237" s="1217"/>
      <c r="CI237" s="1219"/>
    </row>
    <row r="238" spans="1:87">
      <c r="A238" s="20"/>
      <c r="B238" s="124" t="str">
        <f t="shared" si="104"/>
        <v/>
      </c>
      <c r="C238" s="235"/>
      <c r="D238" s="24">
        <f>'1% Wind'!$M$93</f>
        <v>2.4</v>
      </c>
      <c r="E238" s="90"/>
      <c r="F238" s="90"/>
      <c r="G238" s="79" t="e">
        <f ca="1">IF(I226=0.9743,$G237,MAX(G237/D237*D238,2))</f>
        <v>#N/A</v>
      </c>
      <c r="H238" s="121" t="e">
        <f t="shared" ca="1" si="105"/>
        <v>#N/A</v>
      </c>
      <c r="J238" s="33"/>
      <c r="K238" s="242">
        <f t="shared" si="106"/>
        <v>1</v>
      </c>
      <c r="L238" s="241" t="e">
        <f t="shared" ca="1" si="107"/>
        <v>#N/A</v>
      </c>
      <c r="M238" s="243" t="e">
        <f ca="1">IF(AND(INDEX(FlowCalConstA,MATCH(J226,FlowCalNumber,0),1,1)*L238^INDEX(FlowCalConstB,MATCH(J226,FlowCalNumber,0),1,1)&gt;INDEX(FlowCalLowSetting,MATCH(J226,FlowCalNumber,0),1,1), (INDEX(FlowCalConstA,MATCH(J226,FlowCalNumber,0),1,1)*L238^INDEX(FlowCalConstB,MATCH(J226,FlowCalNumber,0),1,1)&lt;INDEX(FlowCalHighSetting,MATCH(J226,FlowCalNumber,0),1,1))),INDEX(FlowCalConstA,MATCH(J226,FlowCalNumber,0),1,1)*L238^INDEX(FlowCalConstB,MATCH(J226,FlowCalNumber,0),1,1)," ")</f>
        <v>#N/A</v>
      </c>
      <c r="N238" s="33"/>
      <c r="O238" s="242">
        <f t="shared" si="108"/>
        <v>1</v>
      </c>
      <c r="P238" s="241" t="e">
        <f t="shared" ca="1" si="109"/>
        <v>#N/A</v>
      </c>
      <c r="Q238" s="243" t="e">
        <f ca="1">IF(AND(INDEX(FlowCalConstA,MATCH(N226,FlowCalNumber,0),1,1)*P238^INDEX(FlowCalConstB,MATCH(N226,FlowCalNumber,0),1,1)&gt;INDEX(FlowCalLowSetting,MATCH(N226,FlowCalNumber,0),1,1), (INDEX(FlowCalConstA,MATCH(N226,FlowCalNumber,0),1,1)*P238^INDEX(FlowCalConstB,MATCH(N226,FlowCalNumber,0),1,1)&lt;INDEX(FlowCalHighSetting,MATCH(N226,FlowCalNumber,0),1,1))),INDEX(FlowCalConstA,MATCH(N226,FlowCalNumber,0),1,1)*P238^INDEX(FlowCalConstB,MATCH(N226,FlowCalNumber,0),1,1)," ")</f>
        <v>#N/A</v>
      </c>
      <c r="R238" s="33"/>
      <c r="S238" s="242">
        <f t="shared" si="110"/>
        <v>1</v>
      </c>
      <c r="T238" s="241" t="e">
        <f t="shared" ca="1" si="111"/>
        <v>#N/A</v>
      </c>
      <c r="U238" s="243" t="e">
        <f ca="1">IF(AND(INDEX(FlowCalConstA,MATCH(R226,FlowCalNumber,0),1,1)*T238^INDEX(FlowCalConstB,MATCH(R226,FlowCalNumber,0),1,1)&gt;INDEX(FlowCalLowSetting,MATCH(R226,FlowCalNumber,0),1,1), (INDEX(FlowCalConstA,MATCH(R226,FlowCalNumber,0),1,1)*T238^INDEX(FlowCalConstB,MATCH(R226,FlowCalNumber,0),1,1)&lt;INDEX(FlowCalHighSetting,MATCH(R226,FlowCalNumber,0),1,1))),INDEX(FlowCalConstA,MATCH(R226,FlowCalNumber,0),1,1)*T238^INDEX(FlowCalConstB,MATCH(R226,FlowCalNumber,0),1,1)," ")</f>
        <v>#N/A</v>
      </c>
      <c r="V238" s="33"/>
      <c r="W238" s="242"/>
      <c r="X238" s="241"/>
      <c r="Y238" s="243"/>
      <c r="Z238" s="33"/>
      <c r="AA238" s="242"/>
      <c r="AB238" s="241"/>
      <c r="AC238" s="243"/>
      <c r="AD238" s="33"/>
      <c r="AE238" s="242"/>
      <c r="AF238" s="241"/>
      <c r="AG238" s="243"/>
      <c r="AH238" s="33"/>
      <c r="AI238" s="242"/>
      <c r="AJ238" s="241"/>
      <c r="AK238" s="244"/>
      <c r="AL238" s="243"/>
      <c r="AM238" s="243"/>
      <c r="AN238" s="243"/>
      <c r="AO238" s="243"/>
      <c r="AP238" s="243"/>
      <c r="AQ238" s="243"/>
      <c r="AR238" s="243"/>
      <c r="AS238" s="243"/>
      <c r="AT238" s="243"/>
      <c r="AU238" s="243"/>
      <c r="AV238" s="243"/>
      <c r="AW238" s="243"/>
      <c r="AX238" s="243"/>
      <c r="AY238" s="243"/>
      <c r="AZ238" s="243"/>
      <c r="BA238" s="243"/>
      <c r="BB238" s="243"/>
      <c r="BC238" s="243"/>
      <c r="BD238" s="243"/>
      <c r="BE238" s="243"/>
      <c r="BF238" s="243"/>
      <c r="BG238" s="243"/>
      <c r="BH238" s="243"/>
      <c r="BI238" s="243"/>
      <c r="BJ238" s="243"/>
      <c r="BK238" s="243"/>
      <c r="BL238" s="243"/>
      <c r="BM238" s="243"/>
      <c r="BN238" s="243"/>
      <c r="BO238" s="243"/>
      <c r="BP238" s="243"/>
      <c r="BQ238" s="243"/>
      <c r="BR238" s="243"/>
      <c r="BS238" s="243"/>
      <c r="BU238" s="242"/>
      <c r="BW238" s="243"/>
      <c r="BY238" s="242"/>
      <c r="CA238" s="243"/>
      <c r="CC238" s="242"/>
      <c r="CE238" s="243"/>
      <c r="CG238" s="242"/>
      <c r="CI238" s="243"/>
    </row>
    <row r="239" spans="1:87" s="1215" customFormat="1">
      <c r="A239" s="1222"/>
      <c r="B239" s="1223" t="str">
        <f t="shared" si="104"/>
        <v/>
      </c>
      <c r="C239" s="1210"/>
      <c r="D239" s="1211">
        <f>'1% Wind'!$M$94</f>
        <v>1.8</v>
      </c>
      <c r="E239" s="1212"/>
      <c r="F239" s="1212"/>
      <c r="G239" s="1213" t="e">
        <f ca="1">IF(I226=0.9743,$G238,MAX(G238/D238*D239,2))</f>
        <v>#N/A</v>
      </c>
      <c r="H239" s="1214" t="e">
        <f t="shared" ca="1" si="105"/>
        <v>#N/A</v>
      </c>
      <c r="J239" s="1224"/>
      <c r="K239" s="1217">
        <f t="shared" si="106"/>
        <v>1</v>
      </c>
      <c r="L239" s="1218" t="e">
        <f t="shared" ca="1" si="107"/>
        <v>#N/A</v>
      </c>
      <c r="M239" s="1219" t="e">
        <f ca="1">IF(AND(INDEX(FlowCalConstA,MATCH(J226,FlowCalNumber,0),1,1)*L239^INDEX(FlowCalConstB,MATCH(J226,FlowCalNumber,0),1,1)&gt;INDEX(FlowCalLowSetting,MATCH(J226,FlowCalNumber,0),1,1), (INDEX(FlowCalConstA,MATCH(J226,FlowCalNumber,0),1,1)*L239^INDEX(FlowCalConstB,MATCH(J226,FlowCalNumber,0),1,1)&lt;INDEX(FlowCalHighSetting,MATCH(J226,FlowCalNumber,0),1,1))),INDEX(FlowCalConstA,MATCH(J226,FlowCalNumber,0),1,1)*L239^INDEX(FlowCalConstB,MATCH(J226,FlowCalNumber,0),1,1)," ")</f>
        <v>#N/A</v>
      </c>
      <c r="N239" s="1224"/>
      <c r="O239" s="1217">
        <f t="shared" si="108"/>
        <v>1</v>
      </c>
      <c r="P239" s="1218" t="e">
        <f t="shared" ca="1" si="109"/>
        <v>#N/A</v>
      </c>
      <c r="Q239" s="1219" t="e">
        <f ca="1">IF(AND(INDEX(FlowCalConstA,MATCH(N226,FlowCalNumber,0),1,1)*P239^INDEX(FlowCalConstB,MATCH(N226,FlowCalNumber,0),1,1)&gt;INDEX(FlowCalLowSetting,MATCH(N226,FlowCalNumber,0),1,1), (INDEX(FlowCalConstA,MATCH(N226,FlowCalNumber,0),1,1)*P239^INDEX(FlowCalConstB,MATCH(N226,FlowCalNumber,0),1,1)&lt;INDEX(FlowCalHighSetting,MATCH(N226,FlowCalNumber,0),1,1))),INDEX(FlowCalConstA,MATCH(N226,FlowCalNumber,0),1,1)*P239^INDEX(FlowCalConstB,MATCH(N226,FlowCalNumber,0),1,1)," ")</f>
        <v>#N/A</v>
      </c>
      <c r="R239" s="1224"/>
      <c r="S239" s="1217">
        <f t="shared" si="110"/>
        <v>1</v>
      </c>
      <c r="T239" s="1218" t="e">
        <f t="shared" ca="1" si="111"/>
        <v>#N/A</v>
      </c>
      <c r="U239" s="1219" t="e">
        <f ca="1">IF(AND(INDEX(FlowCalConstA,MATCH(R226,FlowCalNumber,0),1,1)*T239^INDEX(FlowCalConstB,MATCH(R226,FlowCalNumber,0),1,1)&gt;INDEX(FlowCalLowSetting,MATCH(R226,FlowCalNumber,0),1,1), (INDEX(FlowCalConstA,MATCH(R226,FlowCalNumber,0),1,1)*T239^INDEX(FlowCalConstB,MATCH(R226,FlowCalNumber,0),1,1)&lt;INDEX(FlowCalHighSetting,MATCH(R226,FlowCalNumber,0),1,1))),INDEX(FlowCalConstA,MATCH(R226,FlowCalNumber,0),1,1)*T239^INDEX(FlowCalConstB,MATCH(R226,FlowCalNumber,0),1,1)," ")</f>
        <v>#N/A</v>
      </c>
      <c r="V239" s="1224"/>
      <c r="W239" s="1217"/>
      <c r="X239" s="1218"/>
      <c r="Y239" s="1219"/>
      <c r="Z239" s="1224"/>
      <c r="AA239" s="1217"/>
      <c r="AB239" s="1218"/>
      <c r="AC239" s="1219"/>
      <c r="AD239" s="1224"/>
      <c r="AE239" s="1217"/>
      <c r="AF239" s="1218"/>
      <c r="AG239" s="1219"/>
      <c r="AH239" s="1224"/>
      <c r="AI239" s="1217"/>
      <c r="AJ239" s="1218"/>
      <c r="AK239" s="1220"/>
      <c r="AL239" s="1219"/>
      <c r="AM239" s="1219"/>
      <c r="AN239" s="1219"/>
      <c r="AO239" s="1219"/>
      <c r="AP239" s="1219"/>
      <c r="AQ239" s="1219"/>
      <c r="AR239" s="1219"/>
      <c r="AS239" s="1219"/>
      <c r="AT239" s="1219"/>
      <c r="AU239" s="1219"/>
      <c r="AV239" s="1219"/>
      <c r="AW239" s="1219"/>
      <c r="AX239" s="1219"/>
      <c r="AY239" s="1219"/>
      <c r="AZ239" s="1219"/>
      <c r="BA239" s="1219"/>
      <c r="BB239" s="1219"/>
      <c r="BC239" s="1219"/>
      <c r="BD239" s="1219"/>
      <c r="BE239" s="1219"/>
      <c r="BF239" s="1219"/>
      <c r="BG239" s="1219"/>
      <c r="BH239" s="1219"/>
      <c r="BI239" s="1219"/>
      <c r="BJ239" s="1219"/>
      <c r="BK239" s="1219"/>
      <c r="BL239" s="1219"/>
      <c r="BM239" s="1219"/>
      <c r="BN239" s="1219"/>
      <c r="BO239" s="1219"/>
      <c r="BP239" s="1219"/>
      <c r="BQ239" s="1219"/>
      <c r="BR239" s="1219"/>
      <c r="BS239" s="1219"/>
      <c r="BU239" s="1217"/>
      <c r="BW239" s="1219"/>
      <c r="BY239" s="1217"/>
      <c r="CA239" s="1219"/>
      <c r="CC239" s="1217"/>
      <c r="CE239" s="1219"/>
      <c r="CG239" s="1217"/>
      <c r="CI239" s="1219"/>
    </row>
    <row r="240" spans="1:87">
      <c r="A240" s="20"/>
      <c r="B240" s="124" t="str">
        <f t="shared" si="104"/>
        <v/>
      </c>
      <c r="C240" s="235"/>
      <c r="D240" s="24">
        <f>'1% Wind'!$M$95</f>
        <v>1.3</v>
      </c>
      <c r="E240" s="90"/>
      <c r="F240" s="90"/>
      <c r="G240" s="79" t="e">
        <f ca="1">IF(I226=0.9743,$G239,MAX(G239/D239*D240,2))</f>
        <v>#N/A</v>
      </c>
      <c r="H240" s="121" t="e">
        <f t="shared" ca="1" si="105"/>
        <v>#N/A</v>
      </c>
      <c r="J240" s="33"/>
      <c r="K240" s="242">
        <f t="shared" si="106"/>
        <v>1</v>
      </c>
      <c r="L240" s="241" t="e">
        <f t="shared" ca="1" si="107"/>
        <v>#N/A</v>
      </c>
      <c r="M240" s="243" t="e">
        <f ca="1">IF(AND(INDEX(FlowCalConstA,MATCH(J226,FlowCalNumber,0),1,1)*L240^INDEX(FlowCalConstB,MATCH(J226,FlowCalNumber,0),1,1)&gt;INDEX(FlowCalLowSetting,MATCH(J226,FlowCalNumber,0),1,1), (INDEX(FlowCalConstA,MATCH(J226,FlowCalNumber,0),1,1)*L240^INDEX(FlowCalConstB,MATCH(J226,FlowCalNumber,0),1,1)&lt;INDEX(FlowCalHighSetting,MATCH(J226,FlowCalNumber,0),1,1))),INDEX(FlowCalConstA,MATCH(J226,FlowCalNumber,0),1,1)*L240^INDEX(FlowCalConstB,MATCH(J226,FlowCalNumber,0),1,1)," ")</f>
        <v>#N/A</v>
      </c>
      <c r="N240" s="33"/>
      <c r="O240" s="242">
        <f t="shared" si="108"/>
        <v>1</v>
      </c>
      <c r="P240" s="241" t="e">
        <f t="shared" ca="1" si="109"/>
        <v>#N/A</v>
      </c>
      <c r="Q240" s="243" t="e">
        <f ca="1">IF(AND(INDEX(FlowCalConstA,MATCH(N226,FlowCalNumber,0),1,1)*P240^INDEX(FlowCalConstB,MATCH(N226,FlowCalNumber,0),1,1)&gt;INDEX(FlowCalLowSetting,MATCH(N226,FlowCalNumber,0),1,1), (INDEX(FlowCalConstA,MATCH(N226,FlowCalNumber,0),1,1)*P240^INDEX(FlowCalConstB,MATCH(N226,FlowCalNumber,0),1,1)&lt;INDEX(FlowCalHighSetting,MATCH(N226,FlowCalNumber,0),1,1))),INDEX(FlowCalConstA,MATCH(N226,FlowCalNumber,0),1,1)*P240^INDEX(FlowCalConstB,MATCH(N226,FlowCalNumber,0),1,1)," ")</f>
        <v>#N/A</v>
      </c>
      <c r="R240" s="33"/>
      <c r="S240" s="242">
        <f t="shared" si="110"/>
        <v>1</v>
      </c>
      <c r="T240" s="241" t="e">
        <f t="shared" ca="1" si="111"/>
        <v>#N/A</v>
      </c>
      <c r="U240" s="243" t="e">
        <f ca="1">IF(AND(INDEX(FlowCalConstA,MATCH(R226,FlowCalNumber,0),1,1)*T240^INDEX(FlowCalConstB,MATCH(R226,FlowCalNumber,0),1,1)&gt;INDEX(FlowCalLowSetting,MATCH(R226,FlowCalNumber,0),1,1), (INDEX(FlowCalConstA,MATCH(R226,FlowCalNumber,0),1,1)*T240^INDEX(FlowCalConstB,MATCH(R226,FlowCalNumber,0),1,1)&lt;INDEX(FlowCalHighSetting,MATCH(R226,FlowCalNumber,0),1,1))),INDEX(FlowCalConstA,MATCH(R226,FlowCalNumber,0),1,1)*T240^INDEX(FlowCalConstB,MATCH(R226,FlowCalNumber,0),1,1)," ")</f>
        <v>#N/A</v>
      </c>
      <c r="V240" s="33"/>
      <c r="W240" s="242"/>
      <c r="X240" s="241"/>
      <c r="Y240" s="243"/>
      <c r="Z240" s="33"/>
      <c r="AA240" s="242"/>
      <c r="AB240" s="241"/>
      <c r="AC240" s="243"/>
      <c r="AD240" s="33"/>
      <c r="AE240" s="242"/>
      <c r="AF240" s="241"/>
      <c r="AG240" s="243"/>
      <c r="AH240" s="33"/>
      <c r="AI240" s="242"/>
      <c r="AJ240" s="241"/>
      <c r="AK240" s="244"/>
      <c r="AL240" s="243"/>
      <c r="AM240" s="243"/>
      <c r="AN240" s="243"/>
      <c r="AO240" s="243"/>
      <c r="AP240" s="243"/>
      <c r="AQ240" s="243"/>
      <c r="AR240" s="243"/>
      <c r="AS240" s="243"/>
      <c r="AT240" s="243"/>
      <c r="AU240" s="243"/>
      <c r="AV240" s="243"/>
      <c r="AW240" s="243"/>
      <c r="AX240" s="243"/>
      <c r="AY240" s="243"/>
      <c r="AZ240" s="243"/>
      <c r="BA240" s="243"/>
      <c r="BB240" s="243"/>
      <c r="BC240" s="243"/>
      <c r="BD240" s="243"/>
      <c r="BE240" s="243"/>
      <c r="BF240" s="243"/>
      <c r="BG240" s="243"/>
      <c r="BH240" s="243"/>
      <c r="BI240" s="243"/>
      <c r="BJ240" s="243"/>
      <c r="BK240" s="243"/>
      <c r="BL240" s="243"/>
      <c r="BM240" s="243"/>
      <c r="BN240" s="243"/>
      <c r="BO240" s="243"/>
      <c r="BP240" s="243"/>
      <c r="BQ240" s="243"/>
      <c r="BR240" s="243"/>
      <c r="BS240" s="243"/>
      <c r="BU240" s="242"/>
      <c r="BW240" s="243"/>
      <c r="BY240" s="242"/>
      <c r="CA240" s="243"/>
      <c r="CC240" s="242"/>
      <c r="CE240" s="243"/>
      <c r="CG240" s="242"/>
      <c r="CI240" s="243"/>
    </row>
    <row r="241" spans="1:87" s="1215" customFormat="1">
      <c r="A241" s="1222"/>
      <c r="B241" s="1223" t="str">
        <f t="shared" si="104"/>
        <v/>
      </c>
      <c r="C241" s="1210"/>
      <c r="D241" s="1211">
        <f>'1% Wind'!$M$96</f>
        <v>1</v>
      </c>
      <c r="E241" s="1212"/>
      <c r="F241" s="1212"/>
      <c r="G241" s="1213" t="e">
        <f ca="1">IF(I226=0.9743,$G240,MAX(G240/D240*D241,2))</f>
        <v>#N/A</v>
      </c>
      <c r="H241" s="1214" t="e">
        <f t="shared" ca="1" si="105"/>
        <v>#N/A</v>
      </c>
      <c r="J241" s="1224"/>
      <c r="K241" s="1217">
        <f t="shared" si="106"/>
        <v>1</v>
      </c>
      <c r="L241" s="1218" t="e">
        <f t="shared" ca="1" si="107"/>
        <v>#N/A</v>
      </c>
      <c r="M241" s="1219" t="e">
        <f ca="1">IF(AND(INDEX(FlowCalConstA,MATCH(J226,FlowCalNumber,0),1,1)*L241^INDEX(FlowCalConstB,MATCH(J226,FlowCalNumber,0),1,1)&gt;INDEX(FlowCalLowSetting,MATCH(J226,FlowCalNumber,0),1,1), (INDEX(FlowCalConstA,MATCH(J226,FlowCalNumber,0),1,1)*L241^INDEX(FlowCalConstB,MATCH(J226,FlowCalNumber,0),1,1)&lt;INDEX(FlowCalHighSetting,MATCH(J226,FlowCalNumber,0),1,1))),INDEX(FlowCalConstA,MATCH(J226,FlowCalNumber,0),1,1)*L241^INDEX(FlowCalConstB,MATCH(J226,FlowCalNumber,0),1,1)," ")</f>
        <v>#N/A</v>
      </c>
      <c r="N241" s="1224"/>
      <c r="O241" s="1217">
        <f t="shared" si="108"/>
        <v>1</v>
      </c>
      <c r="P241" s="1218" t="e">
        <f t="shared" ca="1" si="109"/>
        <v>#N/A</v>
      </c>
      <c r="Q241" s="1219" t="e">
        <f ca="1">IF(AND(INDEX(FlowCalConstA,MATCH(N226,FlowCalNumber,0),1,1)*P241^INDEX(FlowCalConstB,MATCH(N226,FlowCalNumber,0),1,1)&gt;INDEX(FlowCalLowSetting,MATCH(N226,FlowCalNumber,0),1,1), (INDEX(FlowCalConstA,MATCH(N226,FlowCalNumber,0),1,1)*P241^INDEX(FlowCalConstB,MATCH(N226,FlowCalNumber,0),1,1)&lt;INDEX(FlowCalHighSetting,MATCH(N226,FlowCalNumber,0),1,1))),INDEX(FlowCalConstA,MATCH(N226,FlowCalNumber,0),1,1)*P241^INDEX(FlowCalConstB,MATCH(N226,FlowCalNumber,0),1,1)," ")</f>
        <v>#N/A</v>
      </c>
      <c r="R241" s="1224"/>
      <c r="S241" s="1217">
        <f t="shared" si="110"/>
        <v>1</v>
      </c>
      <c r="T241" s="1218" t="e">
        <f t="shared" ca="1" si="111"/>
        <v>#N/A</v>
      </c>
      <c r="U241" s="1219" t="e">
        <f ca="1">IF(AND(INDEX(FlowCalConstA,MATCH(R226,FlowCalNumber,0),1,1)*T241^INDEX(FlowCalConstB,MATCH(R226,FlowCalNumber,0),1,1)&gt;INDEX(FlowCalLowSetting,MATCH(R226,FlowCalNumber,0),1,1), (INDEX(FlowCalConstA,MATCH(R226,FlowCalNumber,0),1,1)*T241^INDEX(FlowCalConstB,MATCH(R226,FlowCalNumber,0),1,1)&lt;INDEX(FlowCalHighSetting,MATCH(R226,FlowCalNumber,0),1,1))),INDEX(FlowCalConstA,MATCH(R226,FlowCalNumber,0),1,1)*T241^INDEX(FlowCalConstB,MATCH(R226,FlowCalNumber,0),1,1)," ")</f>
        <v>#N/A</v>
      </c>
      <c r="V241" s="1224"/>
      <c r="W241" s="1217"/>
      <c r="X241" s="1218"/>
      <c r="Y241" s="1219"/>
      <c r="Z241" s="1224"/>
      <c r="AA241" s="1217"/>
      <c r="AB241" s="1218"/>
      <c r="AC241" s="1219"/>
      <c r="AD241" s="1224"/>
      <c r="AE241" s="1217"/>
      <c r="AF241" s="1218"/>
      <c r="AG241" s="1219"/>
      <c r="AH241" s="1224"/>
      <c r="AI241" s="1217"/>
      <c r="AJ241" s="1218"/>
      <c r="AK241" s="1220"/>
      <c r="AL241" s="1219"/>
      <c r="AM241" s="1219"/>
      <c r="AN241" s="1219"/>
      <c r="AO241" s="1219"/>
      <c r="AP241" s="1219"/>
      <c r="AQ241" s="1219"/>
      <c r="AR241" s="1219"/>
      <c r="AS241" s="1219"/>
      <c r="AT241" s="1219"/>
      <c r="AU241" s="1219"/>
      <c r="AV241" s="1219"/>
      <c r="AW241" s="1219"/>
      <c r="AX241" s="1219"/>
      <c r="AY241" s="1219"/>
      <c r="AZ241" s="1219"/>
      <c r="BA241" s="1219"/>
      <c r="BB241" s="1219"/>
      <c r="BC241" s="1219"/>
      <c r="BD241" s="1219"/>
      <c r="BE241" s="1219"/>
      <c r="BF241" s="1219"/>
      <c r="BG241" s="1219"/>
      <c r="BH241" s="1219"/>
      <c r="BI241" s="1219"/>
      <c r="BJ241" s="1219"/>
      <c r="BK241" s="1219"/>
      <c r="BL241" s="1219"/>
      <c r="BM241" s="1219"/>
      <c r="BN241" s="1219"/>
      <c r="BO241" s="1219"/>
      <c r="BP241" s="1219"/>
      <c r="BQ241" s="1219"/>
      <c r="BR241" s="1219"/>
      <c r="BS241" s="1219"/>
      <c r="BU241" s="1217"/>
      <c r="BW241" s="1219"/>
      <c r="BY241" s="1217"/>
      <c r="CA241" s="1219"/>
      <c r="CC241" s="1217"/>
      <c r="CE241" s="1219"/>
      <c r="CG241" s="1217"/>
      <c r="CI241" s="1219"/>
    </row>
    <row r="242" spans="1:87">
      <c r="A242" s="33"/>
      <c r="B242" s="33"/>
      <c r="C242" s="235"/>
      <c r="E242" s="90"/>
      <c r="F242" s="90"/>
      <c r="G242" s="33"/>
      <c r="J242" s="33"/>
      <c r="M242" s="243"/>
      <c r="N242" s="33"/>
      <c r="Q242" s="243"/>
      <c r="R242" s="33"/>
      <c r="U242" s="243"/>
      <c r="V242" s="33"/>
      <c r="Y242" s="243"/>
      <c r="Z242" s="33"/>
      <c r="AC242" s="243"/>
      <c r="AD242" s="33"/>
      <c r="AG242" s="243"/>
      <c r="AH242" s="33"/>
      <c r="AK242" s="244"/>
      <c r="AL242" s="243"/>
      <c r="AM242" s="243"/>
      <c r="AN242" s="243"/>
      <c r="AO242" s="243"/>
      <c r="AP242" s="243"/>
      <c r="AQ242" s="243"/>
      <c r="AR242" s="243"/>
      <c r="AS242" s="243"/>
      <c r="AT242" s="243"/>
      <c r="AU242" s="243"/>
      <c r="AV242" s="243"/>
      <c r="AW242" s="243"/>
      <c r="AX242" s="243"/>
      <c r="AY242" s="243"/>
      <c r="AZ242" s="243"/>
      <c r="BA242" s="243"/>
      <c r="BB242" s="243"/>
      <c r="BC242" s="243"/>
      <c r="BD242" s="243"/>
      <c r="BE242" s="243"/>
      <c r="BF242" s="243"/>
      <c r="BG242" s="243"/>
      <c r="BH242" s="243"/>
      <c r="BI242" s="243"/>
      <c r="BJ242" s="243"/>
      <c r="BK242" s="243"/>
      <c r="BL242" s="243"/>
      <c r="BM242" s="243"/>
      <c r="BN242" s="243"/>
      <c r="BO242" s="243"/>
      <c r="BP242" s="243"/>
      <c r="BQ242" s="243"/>
      <c r="BR242" s="243"/>
      <c r="BS242" s="243"/>
      <c r="BW242" s="243"/>
      <c r="CA242" s="243"/>
      <c r="CE242" s="243"/>
      <c r="CI242" s="243"/>
    </row>
    <row r="243" spans="1:87">
      <c r="A243" s="256" t="str">
        <f>IF((RIGHT(A226,1))&lt;&gt;"Z",CHAR(CODE(A226))&amp;CHAR(CODE(RIGHT(A226,1))+1),CHAR(CODE(A226)+1)&amp;"A")</f>
        <v>AN</v>
      </c>
      <c r="B243" s="270" t="e">
        <f>INDEX(SourceID,MATCH($A243,SourceNumber,0),1,1)</f>
        <v>#N/A</v>
      </c>
      <c r="C243" s="354" t="e">
        <f>INDEX(SourceExitDiameter,MATCH($A243,SourceNumber,0),1,1)*3.28*12</f>
        <v>#N/A</v>
      </c>
      <c r="D243" s="24" t="str">
        <f>UAnem1percent</f>
        <v>1% Wind</v>
      </c>
      <c r="E243" s="350" t="e">
        <f ca="1">INDIRECT(ADDRESS(53,6,1,,CONCATENATE("TA",$A243)))</f>
        <v>#REF!</v>
      </c>
      <c r="F243" s="625" t="e">
        <f ca="1">(ROUND((INDIRECT(ADDRESS(15,7,1,,CONCATENATE("TA",$A243)))*3.28*12*32),0)&amp;"/32")</f>
        <v>#REF!</v>
      </c>
      <c r="G243" s="125" t="e">
        <f ca="1">INDIRECT(ADDRESS(29,7,1,,$A243))</f>
        <v>#N/A</v>
      </c>
      <c r="H243" s="24" t="e">
        <f ca="1">INDIRECT(ADDRESS(19,7,1,,$A243))*100^3</f>
        <v>#N/A</v>
      </c>
      <c r="I243" s="941" t="e">
        <f ca="1">INDIRECT(ADDRESS(53,7,1,,$A243))</f>
        <v>#N/A</v>
      </c>
      <c r="J243" s="20" t="e">
        <f ca="1">IF($I243=$I$6,K$16&amp;$G$6&amp;J$6,IF($I243=$I$7,K$16&amp;$G$7&amp;J$7,"Bad"))</f>
        <v>#N/A</v>
      </c>
      <c r="K243" t="e">
        <f ca="1">INDEX(FlowCalGasMixture,MATCH(J243,FlowCalNumber,0),1,1)</f>
        <v>#N/A</v>
      </c>
      <c r="M243" s="944" t="e">
        <f ca="1">INDEX(FlowCalDevice,MATCH(J243,FlowCalNumber,0),1,1)</f>
        <v>#N/A</v>
      </c>
      <c r="N243" s="20" t="e">
        <f ca="1">IF($I243=$I$6,O$16&amp;$G$6&amp;N$6,IF($I243=$I$7,O$16&amp;$G$7&amp;N$7,"Bad"))</f>
        <v>#N/A</v>
      </c>
      <c r="O243" t="e">
        <f ca="1">INDEX(FlowCalGasMixture,MATCH(N243,FlowCalNumber,0),1,1)</f>
        <v>#N/A</v>
      </c>
      <c r="Q243" s="944" t="e">
        <f ca="1">INDEX(FlowCalDevice,MATCH(N243,FlowCalNumber,0),1,1)</f>
        <v>#N/A</v>
      </c>
      <c r="R243" s="20" t="e">
        <f ca="1">IF($I243=$I$6,S$16&amp;$G$6&amp;R$6,IF($I243=$I$7,S$16&amp;$G$7&amp;R$7,"Bad"))</f>
        <v>#N/A</v>
      </c>
      <c r="S243" t="e">
        <f ca="1">INDEX(FlowCalGasMixture,MATCH(R243,FlowCalNumber,0),1,1)</f>
        <v>#N/A</v>
      </c>
      <c r="U243" s="944" t="e">
        <f ca="1">INDEX(FlowCalDevice,MATCH(R243,FlowCalNumber,0),1,1)</f>
        <v>#N/A</v>
      </c>
      <c r="V243" s="20"/>
      <c r="Y243" s="944"/>
      <c r="Z243" s="946"/>
      <c r="AC243" s="944"/>
      <c r="AD243" s="20"/>
      <c r="AG243" s="944"/>
      <c r="AH243" s="946"/>
      <c r="AK243" s="982"/>
      <c r="AL243" s="355"/>
      <c r="AM243" s="355"/>
      <c r="AN243" s="355"/>
      <c r="AO243" s="355"/>
      <c r="AP243" s="355"/>
      <c r="AQ243" s="355"/>
      <c r="AR243" s="355"/>
      <c r="AS243" s="355"/>
      <c r="AT243" s="355"/>
      <c r="AU243" s="355"/>
      <c r="AV243" s="355"/>
      <c r="AW243" s="355"/>
      <c r="AX243" s="355"/>
      <c r="AY243" s="355"/>
      <c r="AZ243" s="355"/>
      <c r="BA243" s="355"/>
      <c r="BB243" s="355"/>
      <c r="BC243" s="355"/>
      <c r="BD243" s="355"/>
      <c r="BE243" s="355"/>
      <c r="BF243" s="355"/>
      <c r="BG243" s="355"/>
      <c r="BH243" s="355"/>
      <c r="BI243" s="355"/>
      <c r="BJ243" s="355"/>
      <c r="BK243" s="355"/>
      <c r="BL243" s="355"/>
      <c r="BM243" s="355"/>
      <c r="BN243" s="355"/>
      <c r="BO243" s="355"/>
      <c r="BP243" s="355"/>
      <c r="BQ243" s="355"/>
      <c r="BR243" s="355"/>
      <c r="BS243" s="355"/>
      <c r="BT243" s="46"/>
      <c r="BU243" s="16"/>
      <c r="BW243" s="355"/>
      <c r="BX243" s="42"/>
      <c r="BY243" s="16"/>
      <c r="CA243" s="355"/>
      <c r="CB243" s="42"/>
      <c r="CC243" s="16"/>
      <c r="CE243" s="355"/>
      <c r="CF243" s="42"/>
      <c r="CG243" s="16"/>
      <c r="CI243" s="355"/>
    </row>
    <row r="244" spans="1:87" s="1215" customFormat="1">
      <c r="A244" s="1222"/>
      <c r="B244" s="1223" t="str">
        <f t="shared" ref="B244:B258" si="112">IF(D244=UAnem1percent,"1% Wind","")</f>
        <v/>
      </c>
      <c r="C244" s="1210"/>
      <c r="D244" s="1211">
        <f>'1% Wind'!$M$82</f>
        <v>27</v>
      </c>
      <c r="E244" s="1212"/>
      <c r="F244" s="1212"/>
      <c r="G244" s="1364">
        <v>2</v>
      </c>
      <c r="H244" s="1214" t="e">
        <f t="shared" ref="H244:H258" ca="1" si="113">H243*(D243/D244)*(G244/G243)</f>
        <v>#N/A</v>
      </c>
      <c r="J244" s="1224"/>
      <c r="K244" s="1221">
        <f>K$17/100</f>
        <v>1</v>
      </c>
      <c r="L244" s="1218" t="e">
        <f ca="1">K244*$H244</f>
        <v>#N/A</v>
      </c>
      <c r="M244" s="1219" t="e">
        <f ca="1">IF(AND(INDEX(FlowCalConstA,MATCH(J243,FlowCalNumber,0),1,1)*L244^INDEX(FlowCalConstB,MATCH(J243,FlowCalNumber,0),1,1)&gt;INDEX(FlowCalLowSetting,MATCH(J243,FlowCalNumber,0),1,1), (INDEX(FlowCalConstA,MATCH(J243,FlowCalNumber,0),1,1)*L244^INDEX(FlowCalConstB,MATCH(J243,FlowCalNumber,0),1,1)&lt;INDEX(FlowCalHighSetting,MATCH(J243,FlowCalNumber,0),1,1))),INDEX(FlowCalConstA,MATCH(J243,FlowCalNumber,0),1,1)*L244^INDEX(FlowCalConstB,MATCH(J243,FlowCalNumber,0),1,1)," ")</f>
        <v>#N/A</v>
      </c>
      <c r="N244" s="1224"/>
      <c r="O244" s="1221">
        <f>O$17/100</f>
        <v>1</v>
      </c>
      <c r="P244" s="1218" t="e">
        <f ca="1">O244*$H244</f>
        <v>#N/A</v>
      </c>
      <c r="Q244" s="1219" t="e">
        <f ca="1">IF(AND(INDEX(FlowCalConstA,MATCH(N243,FlowCalNumber,0),1,1)*P244^INDEX(FlowCalConstB,MATCH(N243,FlowCalNumber,0),1,1)&gt;INDEX(FlowCalLowSetting,MATCH(N243,FlowCalNumber,0),1,1), (INDEX(FlowCalConstA,MATCH(N243,FlowCalNumber,0),1,1)*P244^INDEX(FlowCalConstB,MATCH(N243,FlowCalNumber,0),1,1)&lt;INDEX(FlowCalHighSetting,MATCH(N243,FlowCalNumber,0),1,1))),INDEX(FlowCalConstA,MATCH(N243,FlowCalNumber,0),1,1)*P244^INDEX(FlowCalConstB,MATCH(N243,FlowCalNumber,0),1,1)," ")</f>
        <v>#N/A</v>
      </c>
      <c r="R244" s="1224"/>
      <c r="S244" s="1221">
        <f>S$17/100</f>
        <v>1</v>
      </c>
      <c r="T244" s="1218" t="e">
        <f ca="1">S244*$H244</f>
        <v>#N/A</v>
      </c>
      <c r="U244" s="1219" t="e">
        <f ca="1">IF(AND(INDEX(FlowCalConstA,MATCH(R243,FlowCalNumber,0),1,1)*T244^INDEX(FlowCalConstB,MATCH(R243,FlowCalNumber,0),1,1)&gt;INDEX(FlowCalLowSetting,MATCH(R243,FlowCalNumber,0),1,1), (INDEX(FlowCalConstA,MATCH(R243,FlowCalNumber,0),1,1)*T244^INDEX(FlowCalConstB,MATCH(R243,FlowCalNumber,0),1,1)&lt;INDEX(FlowCalHighSetting,MATCH(R243,FlowCalNumber,0),1,1))),INDEX(FlowCalConstA,MATCH(R243,FlowCalNumber,0),1,1)*T244^INDEX(FlowCalConstB,MATCH(R243,FlowCalNumber,0),1,1)," ")</f>
        <v>#N/A</v>
      </c>
      <c r="V244" s="1224"/>
      <c r="W244" s="1221"/>
      <c r="X244" s="1218"/>
      <c r="Y244" s="1219"/>
      <c r="Z244" s="1224"/>
      <c r="AA244" s="1221"/>
      <c r="AB244" s="1218"/>
      <c r="AC244" s="1219"/>
      <c r="AD244" s="1224"/>
      <c r="AE244" s="1221"/>
      <c r="AF244" s="1218"/>
      <c r="AG244" s="1219"/>
      <c r="AH244" s="1224"/>
      <c r="AI244" s="1221"/>
      <c r="AJ244" s="1218"/>
      <c r="AK244" s="1220"/>
      <c r="AL244" s="1219"/>
      <c r="AM244" s="1219"/>
      <c r="AN244" s="1219"/>
      <c r="AO244" s="1219"/>
      <c r="AP244" s="1219"/>
      <c r="AQ244" s="1219"/>
      <c r="AR244" s="1219"/>
      <c r="AS244" s="1219"/>
      <c r="AT244" s="1219"/>
      <c r="AU244" s="1219"/>
      <c r="AV244" s="1219"/>
      <c r="AW244" s="1219"/>
      <c r="AX244" s="1219"/>
      <c r="AY244" s="1219"/>
      <c r="AZ244" s="1219"/>
      <c r="BA244" s="1219"/>
      <c r="BB244" s="1219"/>
      <c r="BC244" s="1219"/>
      <c r="BD244" s="1219"/>
      <c r="BE244" s="1219"/>
      <c r="BF244" s="1219"/>
      <c r="BG244" s="1219"/>
      <c r="BH244" s="1219"/>
      <c r="BI244" s="1219"/>
      <c r="BJ244" s="1219"/>
      <c r="BK244" s="1219"/>
      <c r="BL244" s="1219"/>
      <c r="BM244" s="1219"/>
      <c r="BN244" s="1219"/>
      <c r="BO244" s="1219"/>
      <c r="BP244" s="1219"/>
      <c r="BQ244" s="1219"/>
      <c r="BR244" s="1219"/>
      <c r="BS244" s="1219"/>
      <c r="BU244" s="1225"/>
      <c r="BW244" s="1219"/>
      <c r="BY244" s="1225"/>
      <c r="CA244" s="1219"/>
      <c r="CC244" s="1225"/>
      <c r="CE244" s="1219"/>
      <c r="CG244" s="1221"/>
      <c r="CI244" s="1219"/>
    </row>
    <row r="245" spans="1:87">
      <c r="A245" s="20"/>
      <c r="B245" s="124" t="str">
        <f t="shared" si="112"/>
        <v/>
      </c>
      <c r="C245" s="235"/>
      <c r="D245" s="24">
        <f>'1% Wind'!$M$83</f>
        <v>23.5</v>
      </c>
      <c r="E245" s="90"/>
      <c r="F245" s="90"/>
      <c r="G245" s="79" t="e">
        <f ca="1">IF(I243=0.9743,$G244,MAX(G244/D244*D245,2))</f>
        <v>#N/A</v>
      </c>
      <c r="H245" s="121" t="e">
        <f t="shared" ca="1" si="113"/>
        <v>#N/A</v>
      </c>
      <c r="J245" s="33"/>
      <c r="K245" s="242">
        <f t="shared" ref="K245:K258" si="114">K244</f>
        <v>1</v>
      </c>
      <c r="L245" s="241" t="e">
        <f t="shared" ref="L245:L258" ca="1" si="115">K245*$H245</f>
        <v>#N/A</v>
      </c>
      <c r="M245" s="243" t="e">
        <f ca="1">IF(AND(INDEX(FlowCalConstA,MATCH(J243,FlowCalNumber,0),1,1)*L245^INDEX(FlowCalConstB,MATCH(J243,FlowCalNumber,0),1,1)&gt;INDEX(FlowCalLowSetting,MATCH(J243,FlowCalNumber,0),1,1), (INDEX(FlowCalConstA,MATCH(J243,FlowCalNumber,0),1,1)*L245^INDEX(FlowCalConstB,MATCH(J243,FlowCalNumber,0),1,1)&lt;INDEX(FlowCalHighSetting,MATCH(J243,FlowCalNumber,0),1,1))),INDEX(FlowCalConstA,MATCH(J243,FlowCalNumber,0),1,1)*L245^INDEX(FlowCalConstB,MATCH(J243,FlowCalNumber,0),1,1)," ")</f>
        <v>#N/A</v>
      </c>
      <c r="N245" s="33"/>
      <c r="O245" s="242">
        <f t="shared" ref="O245:O258" si="116">O244</f>
        <v>1</v>
      </c>
      <c r="P245" s="241" t="e">
        <f t="shared" ref="P245:P258" ca="1" si="117">O245*$H245</f>
        <v>#N/A</v>
      </c>
      <c r="Q245" s="243" t="e">
        <f ca="1">IF(AND(INDEX(FlowCalConstA,MATCH(N243,FlowCalNumber,0),1,1)*P245^INDEX(FlowCalConstB,MATCH(N243,FlowCalNumber,0),1,1)&gt;INDEX(FlowCalLowSetting,MATCH(N243,FlowCalNumber,0),1,1), (INDEX(FlowCalConstA,MATCH(N243,FlowCalNumber,0),1,1)*P245^INDEX(FlowCalConstB,MATCH(N243,FlowCalNumber,0),1,1)&lt;INDEX(FlowCalHighSetting,MATCH(N243,FlowCalNumber,0),1,1))),INDEX(FlowCalConstA,MATCH(N243,FlowCalNumber,0),1,1)*P245^INDEX(FlowCalConstB,MATCH(N243,FlowCalNumber,0),1,1)," ")</f>
        <v>#N/A</v>
      </c>
      <c r="R245" s="33"/>
      <c r="S245" s="242">
        <f t="shared" ref="S245:S258" si="118">S244</f>
        <v>1</v>
      </c>
      <c r="T245" s="241" t="e">
        <f t="shared" ref="T245:T258" ca="1" si="119">S245*$H245</f>
        <v>#N/A</v>
      </c>
      <c r="U245" s="243" t="e">
        <f ca="1">IF(AND(INDEX(FlowCalConstA,MATCH(R243,FlowCalNumber,0),1,1)*T245^INDEX(FlowCalConstB,MATCH(R243,FlowCalNumber,0),1,1)&gt;INDEX(FlowCalLowSetting,MATCH(R243,FlowCalNumber,0),1,1), (INDEX(FlowCalConstA,MATCH(R243,FlowCalNumber,0),1,1)*T245^INDEX(FlowCalConstB,MATCH(R243,FlowCalNumber,0),1,1)&lt;INDEX(FlowCalHighSetting,MATCH(R243,FlowCalNumber,0),1,1))),INDEX(FlowCalConstA,MATCH(R243,FlowCalNumber,0),1,1)*T245^INDEX(FlowCalConstB,MATCH(R243,FlowCalNumber,0),1,1)," ")</f>
        <v>#N/A</v>
      </c>
      <c r="V245" s="33"/>
      <c r="W245" s="242"/>
      <c r="X245" s="241"/>
      <c r="Y245" s="243"/>
      <c r="Z245" s="33"/>
      <c r="AA245" s="242"/>
      <c r="AB245" s="241"/>
      <c r="AC245" s="243"/>
      <c r="AD245" s="33"/>
      <c r="AE245" s="242"/>
      <c r="AF245" s="241"/>
      <c r="AG245" s="243"/>
      <c r="AH245" s="33"/>
      <c r="AI245" s="242"/>
      <c r="AJ245" s="241"/>
      <c r="AK245" s="244"/>
      <c r="AL245" s="243"/>
      <c r="AM245" s="243"/>
      <c r="AN245" s="243"/>
      <c r="AO245" s="243"/>
      <c r="AP245" s="243"/>
      <c r="AQ245" s="243"/>
      <c r="AR245" s="243"/>
      <c r="AS245" s="243"/>
      <c r="AT245" s="243"/>
      <c r="AU245" s="243"/>
      <c r="AV245" s="243"/>
      <c r="AW245" s="243"/>
      <c r="AX245" s="243"/>
      <c r="AY245" s="243"/>
      <c r="AZ245" s="243"/>
      <c r="BA245" s="243"/>
      <c r="BB245" s="243"/>
      <c r="BC245" s="243"/>
      <c r="BD245" s="243"/>
      <c r="BE245" s="243"/>
      <c r="BF245" s="243"/>
      <c r="BG245" s="243"/>
      <c r="BH245" s="243"/>
      <c r="BI245" s="243"/>
      <c r="BJ245" s="243"/>
      <c r="BK245" s="243"/>
      <c r="BL245" s="243"/>
      <c r="BM245" s="243"/>
      <c r="BN245" s="243"/>
      <c r="BO245" s="243"/>
      <c r="BP245" s="243"/>
      <c r="BQ245" s="243"/>
      <c r="BR245" s="243"/>
      <c r="BS245" s="243"/>
      <c r="BU245" s="242"/>
      <c r="BW245" s="243"/>
      <c r="BY245" s="242"/>
      <c r="CA245" s="243"/>
      <c r="CC245" s="242"/>
      <c r="CE245" s="243"/>
      <c r="CG245" s="242"/>
      <c r="CI245" s="243"/>
    </row>
    <row r="246" spans="1:87" s="1215" customFormat="1">
      <c r="A246" s="1222"/>
      <c r="B246" s="1223" t="str">
        <f t="shared" si="112"/>
        <v/>
      </c>
      <c r="C246" s="1210"/>
      <c r="D246" s="1211">
        <f>'1% Wind'!$M$84</f>
        <v>20.5</v>
      </c>
      <c r="E246" s="1212"/>
      <c r="F246" s="1212"/>
      <c r="G246" s="1213" t="e">
        <f ca="1">IF(I243=0.9743,$G245,MAX(G245/D245*D246,2))</f>
        <v>#N/A</v>
      </c>
      <c r="H246" s="1214" t="e">
        <f t="shared" ca="1" si="113"/>
        <v>#N/A</v>
      </c>
      <c r="J246" s="1224"/>
      <c r="K246" s="1217">
        <f t="shared" si="114"/>
        <v>1</v>
      </c>
      <c r="L246" s="1218" t="e">
        <f t="shared" ca="1" si="115"/>
        <v>#N/A</v>
      </c>
      <c r="M246" s="1219" t="e">
        <f ca="1">IF(AND(INDEX(FlowCalConstA,MATCH(J243,FlowCalNumber,0),1,1)*L246^INDEX(FlowCalConstB,MATCH(J243,FlowCalNumber,0),1,1)&gt;INDEX(FlowCalLowSetting,MATCH(J243,FlowCalNumber,0),1,1), (INDEX(FlowCalConstA,MATCH(J243,FlowCalNumber,0),1,1)*L246^INDEX(FlowCalConstB,MATCH(J243,FlowCalNumber,0),1,1)&lt;INDEX(FlowCalHighSetting,MATCH(J243,FlowCalNumber,0),1,1))),INDEX(FlowCalConstA,MATCH(J243,FlowCalNumber,0),1,1)*L246^INDEX(FlowCalConstB,MATCH(J243,FlowCalNumber,0),1,1)," ")</f>
        <v>#N/A</v>
      </c>
      <c r="N246" s="1224"/>
      <c r="O246" s="1217">
        <f t="shared" si="116"/>
        <v>1</v>
      </c>
      <c r="P246" s="1218" t="e">
        <f t="shared" ca="1" si="117"/>
        <v>#N/A</v>
      </c>
      <c r="Q246" s="1219" t="e">
        <f ca="1">IF(AND(INDEX(FlowCalConstA,MATCH(N243,FlowCalNumber,0),1,1)*P246^INDEX(FlowCalConstB,MATCH(N243,FlowCalNumber,0),1,1)&gt;INDEX(FlowCalLowSetting,MATCH(N243,FlowCalNumber,0),1,1), (INDEX(FlowCalConstA,MATCH(N243,FlowCalNumber,0),1,1)*P246^INDEX(FlowCalConstB,MATCH(N243,FlowCalNumber,0),1,1)&lt;INDEX(FlowCalHighSetting,MATCH(N243,FlowCalNumber,0),1,1))),INDEX(FlowCalConstA,MATCH(N243,FlowCalNumber,0),1,1)*P246^INDEX(FlowCalConstB,MATCH(N243,FlowCalNumber,0),1,1)," ")</f>
        <v>#N/A</v>
      </c>
      <c r="R246" s="1224"/>
      <c r="S246" s="1217">
        <f t="shared" si="118"/>
        <v>1</v>
      </c>
      <c r="T246" s="1218" t="e">
        <f t="shared" ca="1" si="119"/>
        <v>#N/A</v>
      </c>
      <c r="U246" s="1219" t="e">
        <f ca="1">IF(AND(INDEX(FlowCalConstA,MATCH(R243,FlowCalNumber,0),1,1)*T246^INDEX(FlowCalConstB,MATCH(R243,FlowCalNumber,0),1,1)&gt;INDEX(FlowCalLowSetting,MATCH(R243,FlowCalNumber,0),1,1), (INDEX(FlowCalConstA,MATCH(R243,FlowCalNumber,0),1,1)*T246^INDEX(FlowCalConstB,MATCH(R243,FlowCalNumber,0),1,1)&lt;INDEX(FlowCalHighSetting,MATCH(R243,FlowCalNumber,0),1,1))),INDEX(FlowCalConstA,MATCH(R243,FlowCalNumber,0),1,1)*T246^INDEX(FlowCalConstB,MATCH(R243,FlowCalNumber,0),1,1)," ")</f>
        <v>#N/A</v>
      </c>
      <c r="V246" s="1224"/>
      <c r="W246" s="1217"/>
      <c r="X246" s="1218"/>
      <c r="Y246" s="1219"/>
      <c r="Z246" s="1224"/>
      <c r="AA246" s="1217"/>
      <c r="AB246" s="1218"/>
      <c r="AC246" s="1219"/>
      <c r="AD246" s="1224"/>
      <c r="AE246" s="1217"/>
      <c r="AF246" s="1218"/>
      <c r="AG246" s="1219"/>
      <c r="AH246" s="1224"/>
      <c r="AI246" s="1217"/>
      <c r="AJ246" s="1218"/>
      <c r="AK246" s="1220"/>
      <c r="AL246" s="1219"/>
      <c r="AM246" s="1219"/>
      <c r="AN246" s="1219"/>
      <c r="AO246" s="1219"/>
      <c r="AP246" s="1219"/>
      <c r="AQ246" s="1219"/>
      <c r="AR246" s="1219"/>
      <c r="AS246" s="1219"/>
      <c r="AT246" s="1219"/>
      <c r="AU246" s="1219"/>
      <c r="AV246" s="1219"/>
      <c r="AW246" s="1219"/>
      <c r="AX246" s="1219"/>
      <c r="AY246" s="1219"/>
      <c r="AZ246" s="1219"/>
      <c r="BA246" s="1219"/>
      <c r="BB246" s="1219"/>
      <c r="BC246" s="1219"/>
      <c r="BD246" s="1219"/>
      <c r="BE246" s="1219"/>
      <c r="BF246" s="1219"/>
      <c r="BG246" s="1219"/>
      <c r="BH246" s="1219"/>
      <c r="BI246" s="1219"/>
      <c r="BJ246" s="1219"/>
      <c r="BK246" s="1219"/>
      <c r="BL246" s="1219"/>
      <c r="BM246" s="1219"/>
      <c r="BN246" s="1219"/>
      <c r="BO246" s="1219"/>
      <c r="BP246" s="1219"/>
      <c r="BQ246" s="1219"/>
      <c r="BR246" s="1219"/>
      <c r="BS246" s="1219"/>
      <c r="BU246" s="1217"/>
      <c r="BW246" s="1219"/>
      <c r="BY246" s="1217"/>
      <c r="CA246" s="1219"/>
      <c r="CC246" s="1217"/>
      <c r="CE246" s="1219"/>
      <c r="CG246" s="1217"/>
      <c r="CI246" s="1219"/>
    </row>
    <row r="247" spans="1:87">
      <c r="A247" s="20"/>
      <c r="B247" s="124" t="str">
        <f t="shared" si="112"/>
        <v/>
      </c>
      <c r="C247" s="235"/>
      <c r="D247" s="24">
        <f>'1% Wind'!$M$85</f>
        <v>17.8</v>
      </c>
      <c r="E247" s="90"/>
      <c r="F247" s="90"/>
      <c r="G247" s="79" t="e">
        <f ca="1">IF(I243=0.9743,$G246,MAX(G246/D246*D247,2))</f>
        <v>#N/A</v>
      </c>
      <c r="H247" s="121" t="e">
        <f t="shared" ca="1" si="113"/>
        <v>#N/A</v>
      </c>
      <c r="J247" s="33"/>
      <c r="K247" s="242">
        <f t="shared" si="114"/>
        <v>1</v>
      </c>
      <c r="L247" s="241" t="e">
        <f t="shared" ca="1" si="115"/>
        <v>#N/A</v>
      </c>
      <c r="M247" s="243" t="e">
        <f ca="1">IF(AND(INDEX(FlowCalConstA,MATCH(J243,FlowCalNumber,0),1,1)*L247^INDEX(FlowCalConstB,MATCH(J243,FlowCalNumber,0),1,1)&gt;INDEX(FlowCalLowSetting,MATCH(J243,FlowCalNumber,0),1,1), (INDEX(FlowCalConstA,MATCH(J243,FlowCalNumber,0),1,1)*L247^INDEX(FlowCalConstB,MATCH(J243,FlowCalNumber,0),1,1)&lt;INDEX(FlowCalHighSetting,MATCH(J243,FlowCalNumber,0),1,1))),INDEX(FlowCalConstA,MATCH(J243,FlowCalNumber,0),1,1)*L247^INDEX(FlowCalConstB,MATCH(J243,FlowCalNumber,0),1,1)," ")</f>
        <v>#N/A</v>
      </c>
      <c r="N247" s="33"/>
      <c r="O247" s="242">
        <f t="shared" si="116"/>
        <v>1</v>
      </c>
      <c r="P247" s="241" t="e">
        <f t="shared" ca="1" si="117"/>
        <v>#N/A</v>
      </c>
      <c r="Q247" s="243" t="e">
        <f ca="1">IF(AND(INDEX(FlowCalConstA,MATCH(N243,FlowCalNumber,0),1,1)*P247^INDEX(FlowCalConstB,MATCH(N243,FlowCalNumber,0),1,1)&gt;INDEX(FlowCalLowSetting,MATCH(N243,FlowCalNumber,0),1,1), (INDEX(FlowCalConstA,MATCH(N243,FlowCalNumber,0),1,1)*P247^INDEX(FlowCalConstB,MATCH(N243,FlowCalNumber,0),1,1)&lt;INDEX(FlowCalHighSetting,MATCH(N243,FlowCalNumber,0),1,1))),INDEX(FlowCalConstA,MATCH(N243,FlowCalNumber,0),1,1)*P247^INDEX(FlowCalConstB,MATCH(N243,FlowCalNumber,0),1,1)," ")</f>
        <v>#N/A</v>
      </c>
      <c r="R247" s="33"/>
      <c r="S247" s="242">
        <f t="shared" si="118"/>
        <v>1</v>
      </c>
      <c r="T247" s="241" t="e">
        <f t="shared" ca="1" si="119"/>
        <v>#N/A</v>
      </c>
      <c r="U247" s="243" t="e">
        <f ca="1">IF(AND(INDEX(FlowCalConstA,MATCH(R243,FlowCalNumber,0),1,1)*T247^INDEX(FlowCalConstB,MATCH(R243,FlowCalNumber,0),1,1)&gt;INDEX(FlowCalLowSetting,MATCH(R243,FlowCalNumber,0),1,1), (INDEX(FlowCalConstA,MATCH(R243,FlowCalNumber,0),1,1)*T247^INDEX(FlowCalConstB,MATCH(R243,FlowCalNumber,0),1,1)&lt;INDEX(FlowCalHighSetting,MATCH(R243,FlowCalNumber,0),1,1))),INDEX(FlowCalConstA,MATCH(R243,FlowCalNumber,0),1,1)*T247^INDEX(FlowCalConstB,MATCH(R243,FlowCalNumber,0),1,1)," ")</f>
        <v>#N/A</v>
      </c>
      <c r="V247" s="33"/>
      <c r="W247" s="242"/>
      <c r="X247" s="241"/>
      <c r="Y247" s="243"/>
      <c r="Z247" s="33"/>
      <c r="AA247" s="242"/>
      <c r="AB247" s="241"/>
      <c r="AC247" s="243"/>
      <c r="AD247" s="33"/>
      <c r="AE247" s="242"/>
      <c r="AF247" s="241"/>
      <c r="AG247" s="243"/>
      <c r="AH247" s="33"/>
      <c r="AI247" s="242"/>
      <c r="AJ247" s="241"/>
      <c r="AK247" s="244"/>
      <c r="AL247" s="243"/>
      <c r="AM247" s="243"/>
      <c r="AN247" s="243"/>
      <c r="AO247" s="243"/>
      <c r="AP247" s="243"/>
      <c r="AQ247" s="243"/>
      <c r="AR247" s="243"/>
      <c r="AS247" s="243"/>
      <c r="AT247" s="243"/>
      <c r="AU247" s="243"/>
      <c r="AV247" s="243"/>
      <c r="AW247" s="243"/>
      <c r="AX247" s="243"/>
      <c r="AY247" s="243"/>
      <c r="AZ247" s="243"/>
      <c r="BA247" s="243"/>
      <c r="BB247" s="243"/>
      <c r="BC247" s="243"/>
      <c r="BD247" s="243"/>
      <c r="BE247" s="243"/>
      <c r="BF247" s="243"/>
      <c r="BG247" s="243"/>
      <c r="BH247" s="243"/>
      <c r="BI247" s="243"/>
      <c r="BJ247" s="243"/>
      <c r="BK247" s="243"/>
      <c r="BL247" s="243"/>
      <c r="BM247" s="243"/>
      <c r="BN247" s="243"/>
      <c r="BO247" s="243"/>
      <c r="BP247" s="243"/>
      <c r="BQ247" s="243"/>
      <c r="BR247" s="243"/>
      <c r="BS247" s="243"/>
      <c r="BU247" s="242"/>
      <c r="BW247" s="243"/>
      <c r="BY247" s="242"/>
      <c r="CA247" s="243"/>
      <c r="CC247" s="242"/>
      <c r="CE247" s="243"/>
      <c r="CG247" s="242"/>
      <c r="CI247" s="243"/>
    </row>
    <row r="248" spans="1:87" s="1215" customFormat="1">
      <c r="A248" s="1222"/>
      <c r="B248" s="1223" t="str">
        <f t="shared" si="112"/>
        <v/>
      </c>
      <c r="C248" s="1210"/>
      <c r="D248" s="1211">
        <f>'1% Wind'!$M$86</f>
        <v>15.5</v>
      </c>
      <c r="E248" s="1212"/>
      <c r="F248" s="1212"/>
      <c r="G248" s="1213" t="e">
        <f ca="1">IF(I243=0.9743,$G247,MAX(G247/D247*D248,2))</f>
        <v>#N/A</v>
      </c>
      <c r="H248" s="1214" t="e">
        <f t="shared" ca="1" si="113"/>
        <v>#N/A</v>
      </c>
      <c r="J248" s="1224"/>
      <c r="K248" s="1217">
        <f t="shared" si="114"/>
        <v>1</v>
      </c>
      <c r="L248" s="1218" t="e">
        <f t="shared" ca="1" si="115"/>
        <v>#N/A</v>
      </c>
      <c r="M248" s="1219" t="e">
        <f ca="1">IF(AND(INDEX(FlowCalConstA,MATCH(J243,FlowCalNumber,0),1,1)*L248^INDEX(FlowCalConstB,MATCH(J243,FlowCalNumber,0),1,1)&gt;INDEX(FlowCalLowSetting,MATCH(J243,FlowCalNumber,0),1,1), (INDEX(FlowCalConstA,MATCH(J243,FlowCalNumber,0),1,1)*L248^INDEX(FlowCalConstB,MATCH(J243,FlowCalNumber,0),1,1)&lt;INDEX(FlowCalHighSetting,MATCH(J243,FlowCalNumber,0),1,1))),INDEX(FlowCalConstA,MATCH(J243,FlowCalNumber,0),1,1)*L248^INDEX(FlowCalConstB,MATCH(J243,FlowCalNumber,0),1,1)," ")</f>
        <v>#N/A</v>
      </c>
      <c r="N248" s="1224"/>
      <c r="O248" s="1217">
        <f t="shared" si="116"/>
        <v>1</v>
      </c>
      <c r="P248" s="1218" t="e">
        <f t="shared" ca="1" si="117"/>
        <v>#N/A</v>
      </c>
      <c r="Q248" s="1219" t="e">
        <f ca="1">IF(AND(INDEX(FlowCalConstA,MATCH(N243,FlowCalNumber,0),1,1)*P248^INDEX(FlowCalConstB,MATCH(N243,FlowCalNumber,0),1,1)&gt;INDEX(FlowCalLowSetting,MATCH(N243,FlowCalNumber,0),1,1), (INDEX(FlowCalConstA,MATCH(N243,FlowCalNumber,0),1,1)*P248^INDEX(FlowCalConstB,MATCH(N243,FlowCalNumber,0),1,1)&lt;INDEX(FlowCalHighSetting,MATCH(N243,FlowCalNumber,0),1,1))),INDEX(FlowCalConstA,MATCH(N243,FlowCalNumber,0),1,1)*P248^INDEX(FlowCalConstB,MATCH(N243,FlowCalNumber,0),1,1)," ")</f>
        <v>#N/A</v>
      </c>
      <c r="R248" s="1224"/>
      <c r="S248" s="1217">
        <f t="shared" si="118"/>
        <v>1</v>
      </c>
      <c r="T248" s="1218" t="e">
        <f t="shared" ca="1" si="119"/>
        <v>#N/A</v>
      </c>
      <c r="U248" s="1219" t="e">
        <f ca="1">IF(AND(INDEX(FlowCalConstA,MATCH(R243,FlowCalNumber,0),1,1)*T248^INDEX(FlowCalConstB,MATCH(R243,FlowCalNumber,0),1,1)&gt;INDEX(FlowCalLowSetting,MATCH(R243,FlowCalNumber,0),1,1), (INDEX(FlowCalConstA,MATCH(R243,FlowCalNumber,0),1,1)*T248^INDEX(FlowCalConstB,MATCH(R243,FlowCalNumber,0),1,1)&lt;INDEX(FlowCalHighSetting,MATCH(R243,FlowCalNumber,0),1,1))),INDEX(FlowCalConstA,MATCH(R243,FlowCalNumber,0),1,1)*T248^INDEX(FlowCalConstB,MATCH(R243,FlowCalNumber,0),1,1)," ")</f>
        <v>#N/A</v>
      </c>
      <c r="V248" s="1224"/>
      <c r="W248" s="1217"/>
      <c r="X248" s="1218"/>
      <c r="Y248" s="1219"/>
      <c r="Z248" s="1224"/>
      <c r="AA248" s="1217"/>
      <c r="AB248" s="1218"/>
      <c r="AC248" s="1219"/>
      <c r="AD248" s="1224"/>
      <c r="AE248" s="1217"/>
      <c r="AF248" s="1218"/>
      <c r="AG248" s="1219"/>
      <c r="AH248" s="1224"/>
      <c r="AI248" s="1217"/>
      <c r="AJ248" s="1218"/>
      <c r="AK248" s="1220"/>
      <c r="AL248" s="1219"/>
      <c r="AM248" s="1219"/>
      <c r="AN248" s="1219"/>
      <c r="AO248" s="1219"/>
      <c r="AP248" s="1219"/>
      <c r="AQ248" s="1219"/>
      <c r="AR248" s="1219"/>
      <c r="AS248" s="1219"/>
      <c r="AT248" s="1219"/>
      <c r="AU248" s="1219"/>
      <c r="AV248" s="1219"/>
      <c r="AW248" s="1219"/>
      <c r="AX248" s="1219"/>
      <c r="AY248" s="1219"/>
      <c r="AZ248" s="1219"/>
      <c r="BA248" s="1219"/>
      <c r="BB248" s="1219"/>
      <c r="BC248" s="1219"/>
      <c r="BD248" s="1219"/>
      <c r="BE248" s="1219"/>
      <c r="BF248" s="1219"/>
      <c r="BG248" s="1219"/>
      <c r="BH248" s="1219"/>
      <c r="BI248" s="1219"/>
      <c r="BJ248" s="1219"/>
      <c r="BK248" s="1219"/>
      <c r="BL248" s="1219"/>
      <c r="BM248" s="1219"/>
      <c r="BN248" s="1219"/>
      <c r="BO248" s="1219"/>
      <c r="BP248" s="1219"/>
      <c r="BQ248" s="1219"/>
      <c r="BR248" s="1219"/>
      <c r="BS248" s="1219"/>
      <c r="BU248" s="1217"/>
      <c r="BW248" s="1219"/>
      <c r="BY248" s="1217"/>
      <c r="CA248" s="1219"/>
      <c r="CC248" s="1217"/>
      <c r="CE248" s="1219"/>
      <c r="CG248" s="1217"/>
      <c r="CI248" s="1219"/>
    </row>
    <row r="249" spans="1:87">
      <c r="A249" s="20"/>
      <c r="B249" s="124" t="str">
        <f t="shared" si="112"/>
        <v/>
      </c>
      <c r="C249" s="235"/>
      <c r="D249" s="24">
        <f>'1% Wind'!$M$87</f>
        <v>13.5</v>
      </c>
      <c r="E249" s="90"/>
      <c r="F249" s="90"/>
      <c r="G249" s="79" t="e">
        <f ca="1">IF(I243=0.9743,$G248,MAX(G248/D248*D249,2))</f>
        <v>#N/A</v>
      </c>
      <c r="H249" s="121" t="e">
        <f t="shared" ca="1" si="113"/>
        <v>#N/A</v>
      </c>
      <c r="J249" s="33"/>
      <c r="K249" s="242">
        <f t="shared" si="114"/>
        <v>1</v>
      </c>
      <c r="L249" s="241" t="e">
        <f t="shared" ca="1" si="115"/>
        <v>#N/A</v>
      </c>
      <c r="M249" s="243" t="e">
        <f ca="1">IF(AND(INDEX(FlowCalConstA,MATCH(J243,FlowCalNumber,0),1,1)*L249^INDEX(FlowCalConstB,MATCH(J243,FlowCalNumber,0),1,1)&gt;INDEX(FlowCalLowSetting,MATCH(J243,FlowCalNumber,0),1,1), (INDEX(FlowCalConstA,MATCH(J243,FlowCalNumber,0),1,1)*L249^INDEX(FlowCalConstB,MATCH(J243,FlowCalNumber,0),1,1)&lt;INDEX(FlowCalHighSetting,MATCH(J243,FlowCalNumber,0),1,1))),INDEX(FlowCalConstA,MATCH(J243,FlowCalNumber,0),1,1)*L249^INDEX(FlowCalConstB,MATCH(J243,FlowCalNumber,0),1,1)," ")</f>
        <v>#N/A</v>
      </c>
      <c r="N249" s="33"/>
      <c r="O249" s="242">
        <f t="shared" si="116"/>
        <v>1</v>
      </c>
      <c r="P249" s="241" t="e">
        <f t="shared" ca="1" si="117"/>
        <v>#N/A</v>
      </c>
      <c r="Q249" s="243" t="e">
        <f ca="1">IF(AND(INDEX(FlowCalConstA,MATCH(N243,FlowCalNumber,0),1,1)*P249^INDEX(FlowCalConstB,MATCH(N243,FlowCalNumber,0),1,1)&gt;INDEX(FlowCalLowSetting,MATCH(N243,FlowCalNumber,0),1,1), (INDEX(FlowCalConstA,MATCH(N243,FlowCalNumber,0),1,1)*P249^INDEX(FlowCalConstB,MATCH(N243,FlowCalNumber,0),1,1)&lt;INDEX(FlowCalHighSetting,MATCH(N243,FlowCalNumber,0),1,1))),INDEX(FlowCalConstA,MATCH(N243,FlowCalNumber,0),1,1)*P249^INDEX(FlowCalConstB,MATCH(N243,FlowCalNumber,0),1,1)," ")</f>
        <v>#N/A</v>
      </c>
      <c r="R249" s="33"/>
      <c r="S249" s="242">
        <f t="shared" si="118"/>
        <v>1</v>
      </c>
      <c r="T249" s="241" t="e">
        <f t="shared" ca="1" si="119"/>
        <v>#N/A</v>
      </c>
      <c r="U249" s="243" t="e">
        <f ca="1">IF(AND(INDEX(FlowCalConstA,MATCH(R243,FlowCalNumber,0),1,1)*T249^INDEX(FlowCalConstB,MATCH(R243,FlowCalNumber,0),1,1)&gt;INDEX(FlowCalLowSetting,MATCH(R243,FlowCalNumber,0),1,1), (INDEX(FlowCalConstA,MATCH(R243,FlowCalNumber,0),1,1)*T249^INDEX(FlowCalConstB,MATCH(R243,FlowCalNumber,0),1,1)&lt;INDEX(FlowCalHighSetting,MATCH(R243,FlowCalNumber,0),1,1))),INDEX(FlowCalConstA,MATCH(R243,FlowCalNumber,0),1,1)*T249^INDEX(FlowCalConstB,MATCH(R243,FlowCalNumber,0),1,1)," ")</f>
        <v>#N/A</v>
      </c>
      <c r="V249" s="33"/>
      <c r="W249" s="242"/>
      <c r="X249" s="241"/>
      <c r="Y249" s="243"/>
      <c r="Z249" s="33"/>
      <c r="AA249" s="242"/>
      <c r="AB249" s="241"/>
      <c r="AC249" s="243"/>
      <c r="AD249" s="33"/>
      <c r="AE249" s="242"/>
      <c r="AF249" s="241"/>
      <c r="AG249" s="243"/>
      <c r="AH249" s="33"/>
      <c r="AI249" s="242"/>
      <c r="AJ249" s="241"/>
      <c r="AK249" s="244"/>
      <c r="AL249" s="243"/>
      <c r="AM249" s="243"/>
      <c r="AN249" s="243"/>
      <c r="AO249" s="243"/>
      <c r="AP249" s="243"/>
      <c r="AQ249" s="243"/>
      <c r="AR249" s="243"/>
      <c r="AS249" s="243"/>
      <c r="AT249" s="243"/>
      <c r="AU249" s="243"/>
      <c r="AV249" s="243"/>
      <c r="AW249" s="243"/>
      <c r="AX249" s="243"/>
      <c r="AY249" s="243"/>
      <c r="AZ249" s="243"/>
      <c r="BA249" s="243"/>
      <c r="BB249" s="243"/>
      <c r="BC249" s="243"/>
      <c r="BD249" s="243"/>
      <c r="BE249" s="243"/>
      <c r="BF249" s="243"/>
      <c r="BG249" s="243"/>
      <c r="BH249" s="243"/>
      <c r="BI249" s="243"/>
      <c r="BJ249" s="243"/>
      <c r="BK249" s="243"/>
      <c r="BL249" s="243"/>
      <c r="BM249" s="243"/>
      <c r="BN249" s="243"/>
      <c r="BO249" s="243"/>
      <c r="BP249" s="243"/>
      <c r="BQ249" s="243"/>
      <c r="BR249" s="243"/>
      <c r="BS249" s="243"/>
      <c r="BU249" s="242"/>
      <c r="BW249" s="243"/>
      <c r="BY249" s="242"/>
      <c r="CA249" s="243"/>
      <c r="CC249" s="242"/>
      <c r="CE249" s="243"/>
      <c r="CG249" s="242"/>
      <c r="CI249" s="243"/>
    </row>
    <row r="250" spans="1:87" s="1215" customFormat="1">
      <c r="A250" s="1222"/>
      <c r="B250" s="1223" t="str">
        <f t="shared" si="112"/>
        <v/>
      </c>
      <c r="C250" s="1210"/>
      <c r="D250" s="1211">
        <f>'1% Wind'!$M$88</f>
        <v>10.1</v>
      </c>
      <c r="E250" s="1212"/>
      <c r="F250" s="1212"/>
      <c r="G250" s="1213" t="e">
        <f ca="1">IF(I243=0.9743,$G249,MAX(G249/D249*D250,2))</f>
        <v>#N/A</v>
      </c>
      <c r="H250" s="1214" t="e">
        <f t="shared" ca="1" si="113"/>
        <v>#N/A</v>
      </c>
      <c r="J250" s="1224"/>
      <c r="K250" s="1217">
        <f t="shared" si="114"/>
        <v>1</v>
      </c>
      <c r="L250" s="1218" t="e">
        <f t="shared" ca="1" si="115"/>
        <v>#N/A</v>
      </c>
      <c r="M250" s="1219" t="e">
        <f ca="1">IF(AND(INDEX(FlowCalConstA,MATCH(J243,FlowCalNumber,0),1,1)*L250^INDEX(FlowCalConstB,MATCH(J243,FlowCalNumber,0),1,1)&gt;INDEX(FlowCalLowSetting,MATCH(J243,FlowCalNumber,0),1,1), (INDEX(FlowCalConstA,MATCH(J243,FlowCalNumber,0),1,1)*L250^INDEX(FlowCalConstB,MATCH(J243,FlowCalNumber,0),1,1)&lt;INDEX(FlowCalHighSetting,MATCH(J243,FlowCalNumber,0),1,1))),INDEX(FlowCalConstA,MATCH(J243,FlowCalNumber,0),1,1)*L250^INDEX(FlowCalConstB,MATCH(J243,FlowCalNumber,0),1,1)," ")</f>
        <v>#N/A</v>
      </c>
      <c r="N250" s="1224"/>
      <c r="O250" s="1217">
        <f t="shared" si="116"/>
        <v>1</v>
      </c>
      <c r="P250" s="1218" t="e">
        <f t="shared" ca="1" si="117"/>
        <v>#N/A</v>
      </c>
      <c r="Q250" s="1219" t="e">
        <f ca="1">IF(AND(INDEX(FlowCalConstA,MATCH(N243,FlowCalNumber,0),1,1)*P250^INDEX(FlowCalConstB,MATCH(N243,FlowCalNumber,0),1,1)&gt;INDEX(FlowCalLowSetting,MATCH(N243,FlowCalNumber,0),1,1), (INDEX(FlowCalConstA,MATCH(N243,FlowCalNumber,0),1,1)*P250^INDEX(FlowCalConstB,MATCH(N243,FlowCalNumber,0),1,1)&lt;INDEX(FlowCalHighSetting,MATCH(N243,FlowCalNumber,0),1,1))),INDEX(FlowCalConstA,MATCH(N243,FlowCalNumber,0),1,1)*P250^INDEX(FlowCalConstB,MATCH(N243,FlowCalNumber,0),1,1)," ")</f>
        <v>#N/A</v>
      </c>
      <c r="R250" s="1224"/>
      <c r="S250" s="1217">
        <f t="shared" si="118"/>
        <v>1</v>
      </c>
      <c r="T250" s="1218" t="e">
        <f t="shared" ca="1" si="119"/>
        <v>#N/A</v>
      </c>
      <c r="U250" s="1219" t="e">
        <f ca="1">IF(AND(INDEX(FlowCalConstA,MATCH(R243,FlowCalNumber,0),1,1)*T250^INDEX(FlowCalConstB,MATCH(R243,FlowCalNumber,0),1,1)&gt;INDEX(FlowCalLowSetting,MATCH(R243,FlowCalNumber,0),1,1), (INDEX(FlowCalConstA,MATCH(R243,FlowCalNumber,0),1,1)*T250^INDEX(FlowCalConstB,MATCH(R243,FlowCalNumber,0),1,1)&lt;INDEX(FlowCalHighSetting,MATCH(R243,FlowCalNumber,0),1,1))),INDEX(FlowCalConstA,MATCH(R243,FlowCalNumber,0),1,1)*T250^INDEX(FlowCalConstB,MATCH(R243,FlowCalNumber,0),1,1)," ")</f>
        <v>#N/A</v>
      </c>
      <c r="V250" s="1224"/>
      <c r="W250" s="1217"/>
      <c r="X250" s="1218"/>
      <c r="Y250" s="1219"/>
      <c r="Z250" s="1224"/>
      <c r="AA250" s="1217"/>
      <c r="AB250" s="1218"/>
      <c r="AC250" s="1219"/>
      <c r="AD250" s="1224"/>
      <c r="AE250" s="1217"/>
      <c r="AF250" s="1218"/>
      <c r="AG250" s="1219"/>
      <c r="AH250" s="1224"/>
      <c r="AI250" s="1217"/>
      <c r="AJ250" s="1218"/>
      <c r="AK250" s="1220"/>
      <c r="AL250" s="1219"/>
      <c r="AM250" s="1219"/>
      <c r="AN250" s="1219"/>
      <c r="AO250" s="1219"/>
      <c r="AP250" s="1219"/>
      <c r="AQ250" s="1219"/>
      <c r="AR250" s="1219"/>
      <c r="AS250" s="1219"/>
      <c r="AT250" s="1219"/>
      <c r="AU250" s="1219"/>
      <c r="AV250" s="1219"/>
      <c r="AW250" s="1219"/>
      <c r="AX250" s="1219"/>
      <c r="AY250" s="1219"/>
      <c r="AZ250" s="1219"/>
      <c r="BA250" s="1219"/>
      <c r="BB250" s="1219"/>
      <c r="BC250" s="1219"/>
      <c r="BD250" s="1219"/>
      <c r="BE250" s="1219"/>
      <c r="BF250" s="1219"/>
      <c r="BG250" s="1219"/>
      <c r="BH250" s="1219"/>
      <c r="BI250" s="1219"/>
      <c r="BJ250" s="1219"/>
      <c r="BK250" s="1219"/>
      <c r="BL250" s="1219"/>
      <c r="BM250" s="1219"/>
      <c r="BN250" s="1219"/>
      <c r="BO250" s="1219"/>
      <c r="BP250" s="1219"/>
      <c r="BQ250" s="1219"/>
      <c r="BR250" s="1219"/>
      <c r="BS250" s="1219"/>
      <c r="BU250" s="1217"/>
      <c r="BW250" s="1219"/>
      <c r="BY250" s="1217"/>
      <c r="CA250" s="1219"/>
      <c r="CC250" s="1217"/>
      <c r="CE250" s="1219"/>
      <c r="CG250" s="1217"/>
      <c r="CI250" s="1219"/>
    </row>
    <row r="251" spans="1:87">
      <c r="A251" s="20"/>
      <c r="B251" s="124" t="str">
        <f t="shared" si="112"/>
        <v/>
      </c>
      <c r="C251" s="235"/>
      <c r="D251" s="24">
        <f>'1% Wind'!$M$89</f>
        <v>7.6</v>
      </c>
      <c r="E251" s="90"/>
      <c r="F251" s="90"/>
      <c r="G251" s="79" t="e">
        <f ca="1">IF(I243=0.9743,$G250,MAX(G250/D250*D251,2))</f>
        <v>#N/A</v>
      </c>
      <c r="H251" s="121" t="e">
        <f t="shared" ca="1" si="113"/>
        <v>#N/A</v>
      </c>
      <c r="J251" s="33"/>
      <c r="K251" s="242">
        <f t="shared" si="114"/>
        <v>1</v>
      </c>
      <c r="L251" s="241" t="e">
        <f t="shared" ca="1" si="115"/>
        <v>#N/A</v>
      </c>
      <c r="M251" s="243" t="e">
        <f ca="1">IF(AND(INDEX(FlowCalConstA,MATCH(J243,FlowCalNumber,0),1,1)*L251^INDEX(FlowCalConstB,MATCH(J243,FlowCalNumber,0),1,1)&gt;INDEX(FlowCalLowSetting,MATCH(J243,FlowCalNumber,0),1,1), (INDEX(FlowCalConstA,MATCH(J243,FlowCalNumber,0),1,1)*L251^INDEX(FlowCalConstB,MATCH(J243,FlowCalNumber,0),1,1)&lt;INDEX(FlowCalHighSetting,MATCH(J243,FlowCalNumber,0),1,1))),INDEX(FlowCalConstA,MATCH(J243,FlowCalNumber,0),1,1)*L251^INDEX(FlowCalConstB,MATCH(J243,FlowCalNumber,0),1,1)," ")</f>
        <v>#N/A</v>
      </c>
      <c r="N251" s="33"/>
      <c r="O251" s="242">
        <f t="shared" si="116"/>
        <v>1</v>
      </c>
      <c r="P251" s="241" t="e">
        <f t="shared" ca="1" si="117"/>
        <v>#N/A</v>
      </c>
      <c r="Q251" s="243" t="e">
        <f ca="1">IF(AND(INDEX(FlowCalConstA,MATCH(N243,FlowCalNumber,0),1,1)*P251^INDEX(FlowCalConstB,MATCH(N243,FlowCalNumber,0),1,1)&gt;INDEX(FlowCalLowSetting,MATCH(N243,FlowCalNumber,0),1,1), (INDEX(FlowCalConstA,MATCH(N243,FlowCalNumber,0),1,1)*P251^INDEX(FlowCalConstB,MATCH(N243,FlowCalNumber,0),1,1)&lt;INDEX(FlowCalHighSetting,MATCH(N243,FlowCalNumber,0),1,1))),INDEX(FlowCalConstA,MATCH(N243,FlowCalNumber,0),1,1)*P251^INDEX(FlowCalConstB,MATCH(N243,FlowCalNumber,0),1,1)," ")</f>
        <v>#N/A</v>
      </c>
      <c r="R251" s="33"/>
      <c r="S251" s="242">
        <f t="shared" si="118"/>
        <v>1</v>
      </c>
      <c r="T251" s="241" t="e">
        <f t="shared" ca="1" si="119"/>
        <v>#N/A</v>
      </c>
      <c r="U251" s="243" t="e">
        <f ca="1">IF(AND(INDEX(FlowCalConstA,MATCH(R243,FlowCalNumber,0),1,1)*T251^INDEX(FlowCalConstB,MATCH(R243,FlowCalNumber,0),1,1)&gt;INDEX(FlowCalLowSetting,MATCH(R243,FlowCalNumber,0),1,1), (INDEX(FlowCalConstA,MATCH(R243,FlowCalNumber,0),1,1)*T251^INDEX(FlowCalConstB,MATCH(R243,FlowCalNumber,0),1,1)&lt;INDEX(FlowCalHighSetting,MATCH(R243,FlowCalNumber,0),1,1))),INDEX(FlowCalConstA,MATCH(R243,FlowCalNumber,0),1,1)*T251^INDEX(FlowCalConstB,MATCH(R243,FlowCalNumber,0),1,1)," ")</f>
        <v>#N/A</v>
      </c>
      <c r="V251" s="33"/>
      <c r="W251" s="242"/>
      <c r="X251" s="241"/>
      <c r="Y251" s="243"/>
      <c r="Z251" s="33"/>
      <c r="AA251" s="242"/>
      <c r="AB251" s="241"/>
      <c r="AC251" s="243"/>
      <c r="AD251" s="33"/>
      <c r="AE251" s="242"/>
      <c r="AF251" s="241"/>
      <c r="AG251" s="243"/>
      <c r="AH251" s="33"/>
      <c r="AI251" s="242"/>
      <c r="AJ251" s="241"/>
      <c r="AK251" s="244"/>
      <c r="AL251" s="243"/>
      <c r="AM251" s="243"/>
      <c r="AN251" s="243"/>
      <c r="AO251" s="243"/>
      <c r="AP251" s="243"/>
      <c r="AQ251" s="243"/>
      <c r="AR251" s="243"/>
      <c r="AS251" s="243"/>
      <c r="AT251" s="243"/>
      <c r="AU251" s="243"/>
      <c r="AV251" s="243"/>
      <c r="AW251" s="243"/>
      <c r="AX251" s="243"/>
      <c r="AY251" s="243"/>
      <c r="AZ251" s="243"/>
      <c r="BA251" s="243"/>
      <c r="BB251" s="243"/>
      <c r="BC251" s="243"/>
      <c r="BD251" s="243"/>
      <c r="BE251" s="243"/>
      <c r="BF251" s="243"/>
      <c r="BG251" s="243"/>
      <c r="BH251" s="243"/>
      <c r="BI251" s="243"/>
      <c r="BJ251" s="243"/>
      <c r="BK251" s="243"/>
      <c r="BL251" s="243"/>
      <c r="BM251" s="243"/>
      <c r="BN251" s="243"/>
      <c r="BO251" s="243"/>
      <c r="BP251" s="243"/>
      <c r="BQ251" s="243"/>
      <c r="BR251" s="243"/>
      <c r="BS251" s="243"/>
      <c r="BU251" s="242"/>
      <c r="BW251" s="243"/>
      <c r="BY251" s="242"/>
      <c r="CA251" s="243"/>
      <c r="CC251" s="242"/>
      <c r="CE251" s="243"/>
      <c r="CG251" s="242"/>
      <c r="CI251" s="243"/>
    </row>
    <row r="252" spans="1:87" s="1215" customFormat="1">
      <c r="A252" s="1222"/>
      <c r="B252" s="1223" t="str">
        <f t="shared" si="112"/>
        <v/>
      </c>
      <c r="C252" s="1210"/>
      <c r="D252" s="1211">
        <f>'1% Wind'!$M$90</f>
        <v>5.7</v>
      </c>
      <c r="E252" s="1212"/>
      <c r="F252" s="1212"/>
      <c r="G252" s="1213" t="e">
        <f ca="1">IF(I243=0.9743,$G251,MAX(G251/D251*D252,2))</f>
        <v>#N/A</v>
      </c>
      <c r="H252" s="1214" t="e">
        <f t="shared" ca="1" si="113"/>
        <v>#N/A</v>
      </c>
      <c r="J252" s="1224"/>
      <c r="K252" s="1217">
        <f t="shared" si="114"/>
        <v>1</v>
      </c>
      <c r="L252" s="1218" t="e">
        <f t="shared" ca="1" si="115"/>
        <v>#N/A</v>
      </c>
      <c r="M252" s="1219" t="e">
        <f ca="1">IF(AND(INDEX(FlowCalConstA,MATCH(J243,FlowCalNumber,0),1,1)*L252^INDEX(FlowCalConstB,MATCH(J243,FlowCalNumber,0),1,1)&gt;INDEX(FlowCalLowSetting,MATCH(J243,FlowCalNumber,0),1,1), (INDEX(FlowCalConstA,MATCH(J243,FlowCalNumber,0),1,1)*L252^INDEX(FlowCalConstB,MATCH(J243,FlowCalNumber,0),1,1)&lt;INDEX(FlowCalHighSetting,MATCH(J243,FlowCalNumber,0),1,1))),INDEX(FlowCalConstA,MATCH(J243,FlowCalNumber,0),1,1)*L252^INDEX(FlowCalConstB,MATCH(J243,FlowCalNumber,0),1,1)," ")</f>
        <v>#N/A</v>
      </c>
      <c r="N252" s="1224"/>
      <c r="O252" s="1217">
        <f t="shared" si="116"/>
        <v>1</v>
      </c>
      <c r="P252" s="1218" t="e">
        <f t="shared" ca="1" si="117"/>
        <v>#N/A</v>
      </c>
      <c r="Q252" s="1219" t="e">
        <f ca="1">IF(AND(INDEX(FlowCalConstA,MATCH(N243,FlowCalNumber,0),1,1)*P252^INDEX(FlowCalConstB,MATCH(N243,FlowCalNumber,0),1,1)&gt;INDEX(FlowCalLowSetting,MATCH(N243,FlowCalNumber,0),1,1), (INDEX(FlowCalConstA,MATCH(N243,FlowCalNumber,0),1,1)*P252^INDEX(FlowCalConstB,MATCH(N243,FlowCalNumber,0),1,1)&lt;INDEX(FlowCalHighSetting,MATCH(N243,FlowCalNumber,0),1,1))),INDEX(FlowCalConstA,MATCH(N243,FlowCalNumber,0),1,1)*P252^INDEX(FlowCalConstB,MATCH(N243,FlowCalNumber,0),1,1)," ")</f>
        <v>#N/A</v>
      </c>
      <c r="R252" s="1224"/>
      <c r="S252" s="1217">
        <f t="shared" si="118"/>
        <v>1</v>
      </c>
      <c r="T252" s="1218" t="e">
        <f t="shared" ca="1" si="119"/>
        <v>#N/A</v>
      </c>
      <c r="U252" s="1219" t="e">
        <f ca="1">IF(AND(INDEX(FlowCalConstA,MATCH(R243,FlowCalNumber,0),1,1)*T252^INDEX(FlowCalConstB,MATCH(R243,FlowCalNumber,0),1,1)&gt;INDEX(FlowCalLowSetting,MATCH(R243,FlowCalNumber,0),1,1), (INDEX(FlowCalConstA,MATCH(R243,FlowCalNumber,0),1,1)*T252^INDEX(FlowCalConstB,MATCH(R243,FlowCalNumber,0),1,1)&lt;INDEX(FlowCalHighSetting,MATCH(R243,FlowCalNumber,0),1,1))),INDEX(FlowCalConstA,MATCH(R243,FlowCalNumber,0),1,1)*T252^INDEX(FlowCalConstB,MATCH(R243,FlowCalNumber,0),1,1)," ")</f>
        <v>#N/A</v>
      </c>
      <c r="V252" s="1224"/>
      <c r="W252" s="1217"/>
      <c r="X252" s="1218"/>
      <c r="Y252" s="1219"/>
      <c r="Z252" s="1224"/>
      <c r="AA252" s="1217"/>
      <c r="AB252" s="1218"/>
      <c r="AC252" s="1219"/>
      <c r="AD252" s="1224"/>
      <c r="AE252" s="1217"/>
      <c r="AF252" s="1218"/>
      <c r="AG252" s="1219"/>
      <c r="AH252" s="1224"/>
      <c r="AI252" s="1217"/>
      <c r="AJ252" s="1218"/>
      <c r="AK252" s="1220"/>
      <c r="AL252" s="1219"/>
      <c r="AM252" s="1219"/>
      <c r="AN252" s="1219"/>
      <c r="AO252" s="1219"/>
      <c r="AP252" s="1219"/>
      <c r="AQ252" s="1219"/>
      <c r="AR252" s="1219"/>
      <c r="AS252" s="1219"/>
      <c r="AT252" s="1219"/>
      <c r="AU252" s="1219"/>
      <c r="AV252" s="1219"/>
      <c r="AW252" s="1219"/>
      <c r="AX252" s="1219"/>
      <c r="AY252" s="1219"/>
      <c r="AZ252" s="1219"/>
      <c r="BA252" s="1219"/>
      <c r="BB252" s="1219"/>
      <c r="BC252" s="1219"/>
      <c r="BD252" s="1219"/>
      <c r="BE252" s="1219"/>
      <c r="BF252" s="1219"/>
      <c r="BG252" s="1219"/>
      <c r="BH252" s="1219"/>
      <c r="BI252" s="1219"/>
      <c r="BJ252" s="1219"/>
      <c r="BK252" s="1219"/>
      <c r="BL252" s="1219"/>
      <c r="BM252" s="1219"/>
      <c r="BN252" s="1219"/>
      <c r="BO252" s="1219"/>
      <c r="BP252" s="1219"/>
      <c r="BQ252" s="1219"/>
      <c r="BR252" s="1219"/>
      <c r="BS252" s="1219"/>
      <c r="BU252" s="1217"/>
      <c r="BW252" s="1219"/>
      <c r="BY252" s="1217"/>
      <c r="CA252" s="1219"/>
      <c r="CC252" s="1217"/>
      <c r="CE252" s="1219"/>
      <c r="CG252" s="1217"/>
      <c r="CI252" s="1219"/>
    </row>
    <row r="253" spans="1:87">
      <c r="A253" s="20"/>
      <c r="B253" s="124" t="str">
        <f t="shared" si="112"/>
        <v/>
      </c>
      <c r="C253" s="235"/>
      <c r="D253" s="24">
        <f>'1% Wind'!$M$91</f>
        <v>4.2</v>
      </c>
      <c r="E253" s="90"/>
      <c r="F253" s="90"/>
      <c r="G253" s="79" t="e">
        <f ca="1">IF(I243=0.9743,$G252,MAX(G252/D252*D253,2))</f>
        <v>#N/A</v>
      </c>
      <c r="H253" s="121" t="e">
        <f t="shared" ca="1" si="113"/>
        <v>#N/A</v>
      </c>
      <c r="J253" s="33"/>
      <c r="K253" s="242">
        <f t="shared" si="114"/>
        <v>1</v>
      </c>
      <c r="L253" s="241" t="e">
        <f t="shared" ca="1" si="115"/>
        <v>#N/A</v>
      </c>
      <c r="M253" s="243" t="e">
        <f ca="1">IF(AND(INDEX(FlowCalConstA,MATCH(J243,FlowCalNumber,0),1,1)*L253^INDEX(FlowCalConstB,MATCH(J243,FlowCalNumber,0),1,1)&gt;INDEX(FlowCalLowSetting,MATCH(J243,FlowCalNumber,0),1,1), (INDEX(FlowCalConstA,MATCH(J243,FlowCalNumber,0),1,1)*L253^INDEX(FlowCalConstB,MATCH(J243,FlowCalNumber,0),1,1)&lt;INDEX(FlowCalHighSetting,MATCH(J243,FlowCalNumber,0),1,1))),INDEX(FlowCalConstA,MATCH(J243,FlowCalNumber,0),1,1)*L253^INDEX(FlowCalConstB,MATCH(J243,FlowCalNumber,0),1,1)," ")</f>
        <v>#N/A</v>
      </c>
      <c r="N253" s="33"/>
      <c r="O253" s="242">
        <f t="shared" si="116"/>
        <v>1</v>
      </c>
      <c r="P253" s="241" t="e">
        <f t="shared" ca="1" si="117"/>
        <v>#N/A</v>
      </c>
      <c r="Q253" s="243" t="e">
        <f ca="1">IF(AND(INDEX(FlowCalConstA,MATCH(N243,FlowCalNumber,0),1,1)*P253^INDEX(FlowCalConstB,MATCH(N243,FlowCalNumber,0),1,1)&gt;INDEX(FlowCalLowSetting,MATCH(N243,FlowCalNumber,0),1,1), (INDEX(FlowCalConstA,MATCH(N243,FlowCalNumber,0),1,1)*P253^INDEX(FlowCalConstB,MATCH(N243,FlowCalNumber,0),1,1)&lt;INDEX(FlowCalHighSetting,MATCH(N243,FlowCalNumber,0),1,1))),INDEX(FlowCalConstA,MATCH(N243,FlowCalNumber,0),1,1)*P253^INDEX(FlowCalConstB,MATCH(N243,FlowCalNumber,0),1,1)," ")</f>
        <v>#N/A</v>
      </c>
      <c r="R253" s="33"/>
      <c r="S253" s="242">
        <f t="shared" si="118"/>
        <v>1</v>
      </c>
      <c r="T253" s="241" t="e">
        <f t="shared" ca="1" si="119"/>
        <v>#N/A</v>
      </c>
      <c r="U253" s="243" t="e">
        <f ca="1">IF(AND(INDEX(FlowCalConstA,MATCH(R243,FlowCalNumber,0),1,1)*T253^INDEX(FlowCalConstB,MATCH(R243,FlowCalNumber,0),1,1)&gt;INDEX(FlowCalLowSetting,MATCH(R243,FlowCalNumber,0),1,1), (INDEX(FlowCalConstA,MATCH(R243,FlowCalNumber,0),1,1)*T253^INDEX(FlowCalConstB,MATCH(R243,FlowCalNumber,0),1,1)&lt;INDEX(FlowCalHighSetting,MATCH(R243,FlowCalNumber,0),1,1))),INDEX(FlowCalConstA,MATCH(R243,FlowCalNumber,0),1,1)*T253^INDEX(FlowCalConstB,MATCH(R243,FlowCalNumber,0),1,1)," ")</f>
        <v>#N/A</v>
      </c>
      <c r="V253" s="33"/>
      <c r="W253" s="242"/>
      <c r="X253" s="241"/>
      <c r="Y253" s="243"/>
      <c r="Z253" s="33"/>
      <c r="AA253" s="242"/>
      <c r="AB253" s="241"/>
      <c r="AC253" s="243"/>
      <c r="AD253" s="33"/>
      <c r="AE253" s="242"/>
      <c r="AF253" s="241"/>
      <c r="AG253" s="243"/>
      <c r="AH253" s="33"/>
      <c r="AI253" s="242"/>
      <c r="AJ253" s="241"/>
      <c r="AK253" s="244"/>
      <c r="AL253" s="243"/>
      <c r="AM253" s="243"/>
      <c r="AN253" s="243"/>
      <c r="AO253" s="243"/>
      <c r="AP253" s="243"/>
      <c r="AQ253" s="243"/>
      <c r="AR253" s="243"/>
      <c r="AS253" s="243"/>
      <c r="AT253" s="243"/>
      <c r="AU253" s="243"/>
      <c r="AV253" s="243"/>
      <c r="AW253" s="243"/>
      <c r="AX253" s="243"/>
      <c r="AY253" s="243"/>
      <c r="AZ253" s="243"/>
      <c r="BA253" s="243"/>
      <c r="BB253" s="243"/>
      <c r="BC253" s="243"/>
      <c r="BD253" s="243"/>
      <c r="BE253" s="243"/>
      <c r="BF253" s="243"/>
      <c r="BG253" s="243"/>
      <c r="BH253" s="243"/>
      <c r="BI253" s="243"/>
      <c r="BJ253" s="243"/>
      <c r="BK253" s="243"/>
      <c r="BL253" s="243"/>
      <c r="BM253" s="243"/>
      <c r="BN253" s="243"/>
      <c r="BO253" s="243"/>
      <c r="BP253" s="243"/>
      <c r="BQ253" s="243"/>
      <c r="BR253" s="243"/>
      <c r="BS253" s="243"/>
      <c r="BU253" s="242"/>
      <c r="BW253" s="243"/>
      <c r="BY253" s="242"/>
      <c r="CA253" s="243"/>
      <c r="CC253" s="242"/>
      <c r="CE253" s="243"/>
      <c r="CG253" s="242"/>
      <c r="CI253" s="243"/>
    </row>
    <row r="254" spans="1:87" s="1215" customFormat="1">
      <c r="A254" s="1222"/>
      <c r="B254" s="1223" t="str">
        <f t="shared" si="112"/>
        <v/>
      </c>
      <c r="C254" s="1210"/>
      <c r="D254" s="1211">
        <f>'1% Wind'!$M$92</f>
        <v>3.2</v>
      </c>
      <c r="E254" s="1212"/>
      <c r="F254" s="1212"/>
      <c r="G254" s="1213" t="e">
        <f ca="1">IF(I243=0.9743,$G253,MAX(G253/D253*D254,2))</f>
        <v>#N/A</v>
      </c>
      <c r="H254" s="1214" t="e">
        <f t="shared" ca="1" si="113"/>
        <v>#N/A</v>
      </c>
      <c r="J254" s="1224"/>
      <c r="K254" s="1217">
        <f t="shared" si="114"/>
        <v>1</v>
      </c>
      <c r="L254" s="1218" t="e">
        <f t="shared" ca="1" si="115"/>
        <v>#N/A</v>
      </c>
      <c r="M254" s="1219" t="e">
        <f ca="1">IF(AND(INDEX(FlowCalConstA,MATCH(J243,FlowCalNumber,0),1,1)*L254^INDEX(FlowCalConstB,MATCH(J243,FlowCalNumber,0),1,1)&gt;INDEX(FlowCalLowSetting,MATCH(J243,FlowCalNumber,0),1,1), (INDEX(FlowCalConstA,MATCH(J243,FlowCalNumber,0),1,1)*L254^INDEX(FlowCalConstB,MATCH(J243,FlowCalNumber,0),1,1)&lt;INDEX(FlowCalHighSetting,MATCH(J243,FlowCalNumber,0),1,1))),INDEX(FlowCalConstA,MATCH(J243,FlowCalNumber,0),1,1)*L254^INDEX(FlowCalConstB,MATCH(J243,FlowCalNumber,0),1,1)," ")</f>
        <v>#N/A</v>
      </c>
      <c r="N254" s="1224"/>
      <c r="O254" s="1217">
        <f t="shared" si="116"/>
        <v>1</v>
      </c>
      <c r="P254" s="1218" t="e">
        <f t="shared" ca="1" si="117"/>
        <v>#N/A</v>
      </c>
      <c r="Q254" s="1219" t="e">
        <f ca="1">IF(AND(INDEX(FlowCalConstA,MATCH(N243,FlowCalNumber,0),1,1)*P254^INDEX(FlowCalConstB,MATCH(N243,FlowCalNumber,0),1,1)&gt;INDEX(FlowCalLowSetting,MATCH(N243,FlowCalNumber,0),1,1), (INDEX(FlowCalConstA,MATCH(N243,FlowCalNumber,0),1,1)*P254^INDEX(FlowCalConstB,MATCH(N243,FlowCalNumber,0),1,1)&lt;INDEX(FlowCalHighSetting,MATCH(N243,FlowCalNumber,0),1,1))),INDEX(FlowCalConstA,MATCH(N243,FlowCalNumber,0),1,1)*P254^INDEX(FlowCalConstB,MATCH(N243,FlowCalNumber,0),1,1)," ")</f>
        <v>#N/A</v>
      </c>
      <c r="R254" s="1224"/>
      <c r="S254" s="1217">
        <f t="shared" si="118"/>
        <v>1</v>
      </c>
      <c r="T254" s="1218" t="e">
        <f t="shared" ca="1" si="119"/>
        <v>#N/A</v>
      </c>
      <c r="U254" s="1219" t="e">
        <f ca="1">IF(AND(INDEX(FlowCalConstA,MATCH(R243,FlowCalNumber,0),1,1)*T254^INDEX(FlowCalConstB,MATCH(R243,FlowCalNumber,0),1,1)&gt;INDEX(FlowCalLowSetting,MATCH(R243,FlowCalNumber,0),1,1), (INDEX(FlowCalConstA,MATCH(R243,FlowCalNumber,0),1,1)*T254^INDEX(FlowCalConstB,MATCH(R243,FlowCalNumber,0),1,1)&lt;INDEX(FlowCalHighSetting,MATCH(R243,FlowCalNumber,0),1,1))),INDEX(FlowCalConstA,MATCH(R243,FlowCalNumber,0),1,1)*T254^INDEX(FlowCalConstB,MATCH(R243,FlowCalNumber,0),1,1)," ")</f>
        <v>#N/A</v>
      </c>
      <c r="V254" s="1224"/>
      <c r="W254" s="1217"/>
      <c r="X254" s="1218"/>
      <c r="Y254" s="1219"/>
      <c r="Z254" s="1224"/>
      <c r="AA254" s="1217"/>
      <c r="AB254" s="1218"/>
      <c r="AC254" s="1219"/>
      <c r="AD254" s="1224"/>
      <c r="AE254" s="1217"/>
      <c r="AF254" s="1218"/>
      <c r="AG254" s="1219"/>
      <c r="AH254" s="1224"/>
      <c r="AI254" s="1217"/>
      <c r="AJ254" s="1218"/>
      <c r="AK254" s="1220"/>
      <c r="AL254" s="1219"/>
      <c r="AM254" s="1219"/>
      <c r="AN254" s="1219"/>
      <c r="AO254" s="1219"/>
      <c r="AP254" s="1219"/>
      <c r="AQ254" s="1219"/>
      <c r="AR254" s="1219"/>
      <c r="AS254" s="1219"/>
      <c r="AT254" s="1219"/>
      <c r="AU254" s="1219"/>
      <c r="AV254" s="1219"/>
      <c r="AW254" s="1219"/>
      <c r="AX254" s="1219"/>
      <c r="AY254" s="1219"/>
      <c r="AZ254" s="1219"/>
      <c r="BA254" s="1219"/>
      <c r="BB254" s="1219"/>
      <c r="BC254" s="1219"/>
      <c r="BD254" s="1219"/>
      <c r="BE254" s="1219"/>
      <c r="BF254" s="1219"/>
      <c r="BG254" s="1219"/>
      <c r="BH254" s="1219"/>
      <c r="BI254" s="1219"/>
      <c r="BJ254" s="1219"/>
      <c r="BK254" s="1219"/>
      <c r="BL254" s="1219"/>
      <c r="BM254" s="1219"/>
      <c r="BN254" s="1219"/>
      <c r="BO254" s="1219"/>
      <c r="BP254" s="1219"/>
      <c r="BQ254" s="1219"/>
      <c r="BR254" s="1219"/>
      <c r="BS254" s="1219"/>
      <c r="BU254" s="1217"/>
      <c r="BW254" s="1219"/>
      <c r="BY254" s="1217"/>
      <c r="CA254" s="1219"/>
      <c r="CC254" s="1217"/>
      <c r="CE254" s="1219"/>
      <c r="CG254" s="1217"/>
      <c r="CI254" s="1219"/>
    </row>
    <row r="255" spans="1:87">
      <c r="A255" s="20"/>
      <c r="B255" s="124" t="str">
        <f t="shared" si="112"/>
        <v/>
      </c>
      <c r="C255" s="235"/>
      <c r="D255" s="24">
        <f>'1% Wind'!$M$93</f>
        <v>2.4</v>
      </c>
      <c r="E255" s="90"/>
      <c r="F255" s="90"/>
      <c r="G255" s="79" t="e">
        <f ca="1">IF(I243=0.9743,$G254,MAX(G254/D254*D255,2))</f>
        <v>#N/A</v>
      </c>
      <c r="H255" s="121" t="e">
        <f t="shared" ca="1" si="113"/>
        <v>#N/A</v>
      </c>
      <c r="J255" s="33"/>
      <c r="K255" s="242">
        <f t="shared" si="114"/>
        <v>1</v>
      </c>
      <c r="L255" s="241" t="e">
        <f t="shared" ca="1" si="115"/>
        <v>#N/A</v>
      </c>
      <c r="M255" s="243" t="e">
        <f ca="1">IF(AND(INDEX(FlowCalConstA,MATCH(J243,FlowCalNumber,0),1,1)*L255^INDEX(FlowCalConstB,MATCH(J243,FlowCalNumber,0),1,1)&gt;INDEX(FlowCalLowSetting,MATCH(J243,FlowCalNumber,0),1,1), (INDEX(FlowCalConstA,MATCH(J243,FlowCalNumber,0),1,1)*L255^INDEX(FlowCalConstB,MATCH(J243,FlowCalNumber,0),1,1)&lt;INDEX(FlowCalHighSetting,MATCH(J243,FlowCalNumber,0),1,1))),INDEX(FlowCalConstA,MATCH(J243,FlowCalNumber,0),1,1)*L255^INDEX(FlowCalConstB,MATCH(J243,FlowCalNumber,0),1,1)," ")</f>
        <v>#N/A</v>
      </c>
      <c r="N255" s="33"/>
      <c r="O255" s="242">
        <f t="shared" si="116"/>
        <v>1</v>
      </c>
      <c r="P255" s="241" t="e">
        <f t="shared" ca="1" si="117"/>
        <v>#N/A</v>
      </c>
      <c r="Q255" s="243" t="e">
        <f ca="1">IF(AND(INDEX(FlowCalConstA,MATCH(N243,FlowCalNumber,0),1,1)*P255^INDEX(FlowCalConstB,MATCH(N243,FlowCalNumber,0),1,1)&gt;INDEX(FlowCalLowSetting,MATCH(N243,FlowCalNumber,0),1,1), (INDEX(FlowCalConstA,MATCH(N243,FlowCalNumber,0),1,1)*P255^INDEX(FlowCalConstB,MATCH(N243,FlowCalNumber,0),1,1)&lt;INDEX(FlowCalHighSetting,MATCH(N243,FlowCalNumber,0),1,1))),INDEX(FlowCalConstA,MATCH(N243,FlowCalNumber,0),1,1)*P255^INDEX(FlowCalConstB,MATCH(N243,FlowCalNumber,0),1,1)," ")</f>
        <v>#N/A</v>
      </c>
      <c r="R255" s="33"/>
      <c r="S255" s="242">
        <f t="shared" si="118"/>
        <v>1</v>
      </c>
      <c r="T255" s="241" t="e">
        <f t="shared" ca="1" si="119"/>
        <v>#N/A</v>
      </c>
      <c r="U255" s="243" t="e">
        <f ca="1">IF(AND(INDEX(FlowCalConstA,MATCH(R243,FlowCalNumber,0),1,1)*T255^INDEX(FlowCalConstB,MATCH(R243,FlowCalNumber,0),1,1)&gt;INDEX(FlowCalLowSetting,MATCH(R243,FlowCalNumber,0),1,1), (INDEX(FlowCalConstA,MATCH(R243,FlowCalNumber,0),1,1)*T255^INDEX(FlowCalConstB,MATCH(R243,FlowCalNumber,0),1,1)&lt;INDEX(FlowCalHighSetting,MATCH(R243,FlowCalNumber,0),1,1))),INDEX(FlowCalConstA,MATCH(R243,FlowCalNumber,0),1,1)*T255^INDEX(FlowCalConstB,MATCH(R243,FlowCalNumber,0),1,1)," ")</f>
        <v>#N/A</v>
      </c>
      <c r="V255" s="33"/>
      <c r="W255" s="242"/>
      <c r="X255" s="241"/>
      <c r="Y255" s="243"/>
      <c r="Z255" s="33"/>
      <c r="AA255" s="242"/>
      <c r="AB255" s="241"/>
      <c r="AC255" s="243"/>
      <c r="AD255" s="33"/>
      <c r="AE255" s="242"/>
      <c r="AF255" s="241"/>
      <c r="AG255" s="243"/>
      <c r="AH255" s="33"/>
      <c r="AI255" s="242"/>
      <c r="AJ255" s="241"/>
      <c r="AK255" s="244"/>
      <c r="AL255" s="243"/>
      <c r="AM255" s="243"/>
      <c r="AN255" s="243"/>
      <c r="AO255" s="243"/>
      <c r="AP255" s="243"/>
      <c r="AQ255" s="243"/>
      <c r="AR255" s="243"/>
      <c r="AS255" s="243"/>
      <c r="AT255" s="243"/>
      <c r="AU255" s="243"/>
      <c r="AV255" s="243"/>
      <c r="AW255" s="243"/>
      <c r="AX255" s="243"/>
      <c r="AY255" s="243"/>
      <c r="AZ255" s="243"/>
      <c r="BA255" s="243"/>
      <c r="BB255" s="243"/>
      <c r="BC255" s="243"/>
      <c r="BD255" s="243"/>
      <c r="BE255" s="243"/>
      <c r="BF255" s="243"/>
      <c r="BG255" s="243"/>
      <c r="BH255" s="243"/>
      <c r="BI255" s="243"/>
      <c r="BJ255" s="243"/>
      <c r="BK255" s="243"/>
      <c r="BL255" s="243"/>
      <c r="BM255" s="243"/>
      <c r="BN255" s="243"/>
      <c r="BO255" s="243"/>
      <c r="BP255" s="243"/>
      <c r="BQ255" s="243"/>
      <c r="BR255" s="243"/>
      <c r="BS255" s="243"/>
      <c r="BU255" s="242"/>
      <c r="BW255" s="243"/>
      <c r="BY255" s="242"/>
      <c r="CA255" s="243"/>
      <c r="CC255" s="242"/>
      <c r="CE255" s="243"/>
      <c r="CG255" s="242"/>
      <c r="CI255" s="243"/>
    </row>
    <row r="256" spans="1:87" s="1215" customFormat="1">
      <c r="A256" s="1222"/>
      <c r="B256" s="1223" t="str">
        <f t="shared" si="112"/>
        <v/>
      </c>
      <c r="C256" s="1210"/>
      <c r="D256" s="1211">
        <f>'1% Wind'!$M$94</f>
        <v>1.8</v>
      </c>
      <c r="E256" s="1212"/>
      <c r="F256" s="1212"/>
      <c r="G256" s="1213" t="e">
        <f ca="1">IF(I243=0.9743,$G255,MAX(G255/D255*D256,2))</f>
        <v>#N/A</v>
      </c>
      <c r="H256" s="1214" t="e">
        <f t="shared" ca="1" si="113"/>
        <v>#N/A</v>
      </c>
      <c r="J256" s="1224"/>
      <c r="K256" s="1217">
        <f t="shared" si="114"/>
        <v>1</v>
      </c>
      <c r="L256" s="1218" t="e">
        <f t="shared" ca="1" si="115"/>
        <v>#N/A</v>
      </c>
      <c r="M256" s="1219" t="e">
        <f ca="1">IF(AND(INDEX(FlowCalConstA,MATCH(J243,FlowCalNumber,0),1,1)*L256^INDEX(FlowCalConstB,MATCH(J243,FlowCalNumber,0),1,1)&gt;INDEX(FlowCalLowSetting,MATCH(J243,FlowCalNumber,0),1,1), (INDEX(FlowCalConstA,MATCH(J243,FlowCalNumber,0),1,1)*L256^INDEX(FlowCalConstB,MATCH(J243,FlowCalNumber,0),1,1)&lt;INDEX(FlowCalHighSetting,MATCH(J243,FlowCalNumber,0),1,1))),INDEX(FlowCalConstA,MATCH(J243,FlowCalNumber,0),1,1)*L256^INDEX(FlowCalConstB,MATCH(J243,FlowCalNumber,0),1,1)," ")</f>
        <v>#N/A</v>
      </c>
      <c r="N256" s="1224"/>
      <c r="O256" s="1217">
        <f t="shared" si="116"/>
        <v>1</v>
      </c>
      <c r="P256" s="1218" t="e">
        <f t="shared" ca="1" si="117"/>
        <v>#N/A</v>
      </c>
      <c r="Q256" s="1219" t="e">
        <f ca="1">IF(AND(INDEX(FlowCalConstA,MATCH(N243,FlowCalNumber,0),1,1)*P256^INDEX(FlowCalConstB,MATCH(N243,FlowCalNumber,0),1,1)&gt;INDEX(FlowCalLowSetting,MATCH(N243,FlowCalNumber,0),1,1), (INDEX(FlowCalConstA,MATCH(N243,FlowCalNumber,0),1,1)*P256^INDEX(FlowCalConstB,MATCH(N243,FlowCalNumber,0),1,1)&lt;INDEX(FlowCalHighSetting,MATCH(N243,FlowCalNumber,0),1,1))),INDEX(FlowCalConstA,MATCH(N243,FlowCalNumber,0),1,1)*P256^INDEX(FlowCalConstB,MATCH(N243,FlowCalNumber,0),1,1)," ")</f>
        <v>#N/A</v>
      </c>
      <c r="R256" s="1224"/>
      <c r="S256" s="1217">
        <f t="shared" si="118"/>
        <v>1</v>
      </c>
      <c r="T256" s="1218" t="e">
        <f t="shared" ca="1" si="119"/>
        <v>#N/A</v>
      </c>
      <c r="U256" s="1219" t="e">
        <f ca="1">IF(AND(INDEX(FlowCalConstA,MATCH(R243,FlowCalNumber,0),1,1)*T256^INDEX(FlowCalConstB,MATCH(R243,FlowCalNumber,0),1,1)&gt;INDEX(FlowCalLowSetting,MATCH(R243,FlowCalNumber,0),1,1), (INDEX(FlowCalConstA,MATCH(R243,FlowCalNumber,0),1,1)*T256^INDEX(FlowCalConstB,MATCH(R243,FlowCalNumber,0),1,1)&lt;INDEX(FlowCalHighSetting,MATCH(R243,FlowCalNumber,0),1,1))),INDEX(FlowCalConstA,MATCH(R243,FlowCalNumber,0),1,1)*T256^INDEX(FlowCalConstB,MATCH(R243,FlowCalNumber,0),1,1)," ")</f>
        <v>#N/A</v>
      </c>
      <c r="V256" s="1224"/>
      <c r="W256" s="1217"/>
      <c r="X256" s="1218"/>
      <c r="Y256" s="1219"/>
      <c r="Z256" s="1224"/>
      <c r="AA256" s="1217"/>
      <c r="AB256" s="1218"/>
      <c r="AC256" s="1219"/>
      <c r="AD256" s="1224"/>
      <c r="AE256" s="1217"/>
      <c r="AF256" s="1218"/>
      <c r="AG256" s="1219"/>
      <c r="AH256" s="1224"/>
      <c r="AI256" s="1217"/>
      <c r="AJ256" s="1218"/>
      <c r="AK256" s="1220"/>
      <c r="AL256" s="1219"/>
      <c r="AM256" s="1219"/>
      <c r="AN256" s="1219"/>
      <c r="AO256" s="1219"/>
      <c r="AP256" s="1219"/>
      <c r="AQ256" s="1219"/>
      <c r="AR256" s="1219"/>
      <c r="AS256" s="1219"/>
      <c r="AT256" s="1219"/>
      <c r="AU256" s="1219"/>
      <c r="AV256" s="1219"/>
      <c r="AW256" s="1219"/>
      <c r="AX256" s="1219"/>
      <c r="AY256" s="1219"/>
      <c r="AZ256" s="1219"/>
      <c r="BA256" s="1219"/>
      <c r="BB256" s="1219"/>
      <c r="BC256" s="1219"/>
      <c r="BD256" s="1219"/>
      <c r="BE256" s="1219"/>
      <c r="BF256" s="1219"/>
      <c r="BG256" s="1219"/>
      <c r="BH256" s="1219"/>
      <c r="BI256" s="1219"/>
      <c r="BJ256" s="1219"/>
      <c r="BK256" s="1219"/>
      <c r="BL256" s="1219"/>
      <c r="BM256" s="1219"/>
      <c r="BN256" s="1219"/>
      <c r="BO256" s="1219"/>
      <c r="BP256" s="1219"/>
      <c r="BQ256" s="1219"/>
      <c r="BR256" s="1219"/>
      <c r="BS256" s="1219"/>
      <c r="BU256" s="1217"/>
      <c r="BW256" s="1219"/>
      <c r="BY256" s="1217"/>
      <c r="CA256" s="1219"/>
      <c r="CC256" s="1217"/>
      <c r="CE256" s="1219"/>
      <c r="CG256" s="1217"/>
      <c r="CI256" s="1219"/>
    </row>
    <row r="257" spans="1:87">
      <c r="A257" s="20"/>
      <c r="B257" s="124" t="str">
        <f t="shared" si="112"/>
        <v/>
      </c>
      <c r="C257" s="235"/>
      <c r="D257" s="24">
        <f>'1% Wind'!$M$95</f>
        <v>1.3</v>
      </c>
      <c r="E257" s="90"/>
      <c r="F257" s="90"/>
      <c r="G257" s="79" t="e">
        <f ca="1">IF(I243=0.9743,$G256,MAX(G256/D256*D257,2))</f>
        <v>#N/A</v>
      </c>
      <c r="H257" s="121" t="e">
        <f t="shared" ca="1" si="113"/>
        <v>#N/A</v>
      </c>
      <c r="J257" s="33"/>
      <c r="K257" s="242">
        <f t="shared" si="114"/>
        <v>1</v>
      </c>
      <c r="L257" s="241" t="e">
        <f t="shared" ca="1" si="115"/>
        <v>#N/A</v>
      </c>
      <c r="M257" s="243" t="e">
        <f ca="1">IF(AND(INDEX(FlowCalConstA,MATCH(J243,FlowCalNumber,0),1,1)*L257^INDEX(FlowCalConstB,MATCH(J243,FlowCalNumber,0),1,1)&gt;INDEX(FlowCalLowSetting,MATCH(J243,FlowCalNumber,0),1,1), (INDEX(FlowCalConstA,MATCH(J243,FlowCalNumber,0),1,1)*L257^INDEX(FlowCalConstB,MATCH(J243,FlowCalNumber,0),1,1)&lt;INDEX(FlowCalHighSetting,MATCH(J243,FlowCalNumber,0),1,1))),INDEX(FlowCalConstA,MATCH(J243,FlowCalNumber,0),1,1)*L257^INDEX(FlowCalConstB,MATCH(J243,FlowCalNumber,0),1,1)," ")</f>
        <v>#N/A</v>
      </c>
      <c r="N257" s="33"/>
      <c r="O257" s="242">
        <f t="shared" si="116"/>
        <v>1</v>
      </c>
      <c r="P257" s="241" t="e">
        <f t="shared" ca="1" si="117"/>
        <v>#N/A</v>
      </c>
      <c r="Q257" s="243" t="e">
        <f ca="1">IF(AND(INDEX(FlowCalConstA,MATCH(N243,FlowCalNumber,0),1,1)*P257^INDEX(FlowCalConstB,MATCH(N243,FlowCalNumber,0),1,1)&gt;INDEX(FlowCalLowSetting,MATCH(N243,FlowCalNumber,0),1,1), (INDEX(FlowCalConstA,MATCH(N243,FlowCalNumber,0),1,1)*P257^INDEX(FlowCalConstB,MATCH(N243,FlowCalNumber,0),1,1)&lt;INDEX(FlowCalHighSetting,MATCH(N243,FlowCalNumber,0),1,1))),INDEX(FlowCalConstA,MATCH(N243,FlowCalNumber,0),1,1)*P257^INDEX(FlowCalConstB,MATCH(N243,FlowCalNumber,0),1,1)," ")</f>
        <v>#N/A</v>
      </c>
      <c r="R257" s="33"/>
      <c r="S257" s="242">
        <f t="shared" si="118"/>
        <v>1</v>
      </c>
      <c r="T257" s="241" t="e">
        <f t="shared" ca="1" si="119"/>
        <v>#N/A</v>
      </c>
      <c r="U257" s="243" t="e">
        <f ca="1">IF(AND(INDEX(FlowCalConstA,MATCH(R243,FlowCalNumber,0),1,1)*T257^INDEX(FlowCalConstB,MATCH(R243,FlowCalNumber,0),1,1)&gt;INDEX(FlowCalLowSetting,MATCH(R243,FlowCalNumber,0),1,1), (INDEX(FlowCalConstA,MATCH(R243,FlowCalNumber,0),1,1)*T257^INDEX(FlowCalConstB,MATCH(R243,FlowCalNumber,0),1,1)&lt;INDEX(FlowCalHighSetting,MATCH(R243,FlowCalNumber,0),1,1))),INDEX(FlowCalConstA,MATCH(R243,FlowCalNumber,0),1,1)*T257^INDEX(FlowCalConstB,MATCH(R243,FlowCalNumber,0),1,1)," ")</f>
        <v>#N/A</v>
      </c>
      <c r="V257" s="33"/>
      <c r="W257" s="242"/>
      <c r="X257" s="241"/>
      <c r="Y257" s="243"/>
      <c r="Z257" s="33"/>
      <c r="AA257" s="242"/>
      <c r="AB257" s="241"/>
      <c r="AC257" s="243"/>
      <c r="AD257" s="33"/>
      <c r="AE257" s="242"/>
      <c r="AF257" s="241"/>
      <c r="AG257" s="243"/>
      <c r="AH257" s="33"/>
      <c r="AI257" s="242"/>
      <c r="AJ257" s="241"/>
      <c r="AK257" s="244"/>
      <c r="AL257" s="243"/>
      <c r="AM257" s="243"/>
      <c r="AN257" s="243"/>
      <c r="AO257" s="243"/>
      <c r="AP257" s="243"/>
      <c r="AQ257" s="243"/>
      <c r="AR257" s="243"/>
      <c r="AS257" s="243"/>
      <c r="AT257" s="243"/>
      <c r="AU257" s="243"/>
      <c r="AV257" s="243"/>
      <c r="AW257" s="243"/>
      <c r="AX257" s="243"/>
      <c r="AY257" s="243"/>
      <c r="AZ257" s="243"/>
      <c r="BA257" s="243"/>
      <c r="BB257" s="243"/>
      <c r="BC257" s="243"/>
      <c r="BD257" s="243"/>
      <c r="BE257" s="243"/>
      <c r="BF257" s="243"/>
      <c r="BG257" s="243"/>
      <c r="BH257" s="243"/>
      <c r="BI257" s="243"/>
      <c r="BJ257" s="243"/>
      <c r="BK257" s="243"/>
      <c r="BL257" s="243"/>
      <c r="BM257" s="243"/>
      <c r="BN257" s="243"/>
      <c r="BO257" s="243"/>
      <c r="BP257" s="243"/>
      <c r="BQ257" s="243"/>
      <c r="BR257" s="243"/>
      <c r="BS257" s="243"/>
      <c r="BU257" s="242"/>
      <c r="BW257" s="243"/>
      <c r="BY257" s="242"/>
      <c r="CA257" s="243"/>
      <c r="CC257" s="242"/>
      <c r="CE257" s="243"/>
      <c r="CG257" s="242"/>
      <c r="CI257" s="243"/>
    </row>
    <row r="258" spans="1:87" s="1215" customFormat="1">
      <c r="A258" s="1222"/>
      <c r="B258" s="1223" t="str">
        <f t="shared" si="112"/>
        <v/>
      </c>
      <c r="C258" s="1210"/>
      <c r="D258" s="1211">
        <f>'1% Wind'!$M$96</f>
        <v>1</v>
      </c>
      <c r="E258" s="1212"/>
      <c r="F258" s="1212"/>
      <c r="G258" s="1213" t="e">
        <f ca="1">IF(I243=0.9743,$G257,MAX(G257/D257*D258,2))</f>
        <v>#N/A</v>
      </c>
      <c r="H258" s="1214" t="e">
        <f t="shared" ca="1" si="113"/>
        <v>#N/A</v>
      </c>
      <c r="J258" s="1224"/>
      <c r="K258" s="1217">
        <f t="shared" si="114"/>
        <v>1</v>
      </c>
      <c r="L258" s="1218" t="e">
        <f t="shared" ca="1" si="115"/>
        <v>#N/A</v>
      </c>
      <c r="M258" s="1219" t="e">
        <f ca="1">IF(AND(INDEX(FlowCalConstA,MATCH(J243,FlowCalNumber,0),1,1)*L258^INDEX(FlowCalConstB,MATCH(J243,FlowCalNumber,0),1,1)&gt;INDEX(FlowCalLowSetting,MATCH(J243,FlowCalNumber,0),1,1), (INDEX(FlowCalConstA,MATCH(J243,FlowCalNumber,0),1,1)*L258^INDEX(FlowCalConstB,MATCH(J243,FlowCalNumber,0),1,1)&lt;INDEX(FlowCalHighSetting,MATCH(J243,FlowCalNumber,0),1,1))),INDEX(FlowCalConstA,MATCH(J243,FlowCalNumber,0),1,1)*L258^INDEX(FlowCalConstB,MATCH(J243,FlowCalNumber,0),1,1)," ")</f>
        <v>#N/A</v>
      </c>
      <c r="N258" s="1224"/>
      <c r="O258" s="1217">
        <f t="shared" si="116"/>
        <v>1</v>
      </c>
      <c r="P258" s="1218" t="e">
        <f t="shared" ca="1" si="117"/>
        <v>#N/A</v>
      </c>
      <c r="Q258" s="1219" t="e">
        <f ca="1">IF(AND(INDEX(FlowCalConstA,MATCH(N243,FlowCalNumber,0),1,1)*P258^INDEX(FlowCalConstB,MATCH(N243,FlowCalNumber,0),1,1)&gt;INDEX(FlowCalLowSetting,MATCH(N243,FlowCalNumber,0),1,1), (INDEX(FlowCalConstA,MATCH(N243,FlowCalNumber,0),1,1)*P258^INDEX(FlowCalConstB,MATCH(N243,FlowCalNumber,0),1,1)&lt;INDEX(FlowCalHighSetting,MATCH(N243,FlowCalNumber,0),1,1))),INDEX(FlowCalConstA,MATCH(N243,FlowCalNumber,0),1,1)*P258^INDEX(FlowCalConstB,MATCH(N243,FlowCalNumber,0),1,1)," ")</f>
        <v>#N/A</v>
      </c>
      <c r="R258" s="1224"/>
      <c r="S258" s="1217">
        <f t="shared" si="118"/>
        <v>1</v>
      </c>
      <c r="T258" s="1218" t="e">
        <f t="shared" ca="1" si="119"/>
        <v>#N/A</v>
      </c>
      <c r="U258" s="1219" t="e">
        <f ca="1">IF(AND(INDEX(FlowCalConstA,MATCH(R243,FlowCalNumber,0),1,1)*T258^INDEX(FlowCalConstB,MATCH(R243,FlowCalNumber,0),1,1)&gt;INDEX(FlowCalLowSetting,MATCH(R243,FlowCalNumber,0),1,1), (INDEX(FlowCalConstA,MATCH(R243,FlowCalNumber,0),1,1)*T258^INDEX(FlowCalConstB,MATCH(R243,FlowCalNumber,0),1,1)&lt;INDEX(FlowCalHighSetting,MATCH(R243,FlowCalNumber,0),1,1))),INDEX(FlowCalConstA,MATCH(R243,FlowCalNumber,0),1,1)*T258^INDEX(FlowCalConstB,MATCH(R243,FlowCalNumber,0),1,1)," ")</f>
        <v>#N/A</v>
      </c>
      <c r="V258" s="1224"/>
      <c r="W258" s="1217"/>
      <c r="X258" s="1218"/>
      <c r="Y258" s="1219"/>
      <c r="Z258" s="1224"/>
      <c r="AA258" s="1217"/>
      <c r="AB258" s="1218"/>
      <c r="AC258" s="1219"/>
      <c r="AD258" s="1224"/>
      <c r="AE258" s="1217"/>
      <c r="AF258" s="1218"/>
      <c r="AG258" s="1219"/>
      <c r="AH258" s="1224"/>
      <c r="AI258" s="1217"/>
      <c r="AJ258" s="1218"/>
      <c r="AK258" s="1220"/>
      <c r="AL258" s="1219"/>
      <c r="AM258" s="1219"/>
      <c r="AN258" s="1219"/>
      <c r="AO258" s="1219"/>
      <c r="AP258" s="1219"/>
      <c r="AQ258" s="1219"/>
      <c r="AR258" s="1219"/>
      <c r="AS258" s="1219"/>
      <c r="AT258" s="1219"/>
      <c r="AU258" s="1219"/>
      <c r="AV258" s="1219"/>
      <c r="AW258" s="1219"/>
      <c r="AX258" s="1219"/>
      <c r="AY258" s="1219"/>
      <c r="AZ258" s="1219"/>
      <c r="BA258" s="1219"/>
      <c r="BB258" s="1219"/>
      <c r="BC258" s="1219"/>
      <c r="BD258" s="1219"/>
      <c r="BE258" s="1219"/>
      <c r="BF258" s="1219"/>
      <c r="BG258" s="1219"/>
      <c r="BH258" s="1219"/>
      <c r="BI258" s="1219"/>
      <c r="BJ258" s="1219"/>
      <c r="BK258" s="1219"/>
      <c r="BL258" s="1219"/>
      <c r="BM258" s="1219"/>
      <c r="BN258" s="1219"/>
      <c r="BO258" s="1219"/>
      <c r="BP258" s="1219"/>
      <c r="BQ258" s="1219"/>
      <c r="BR258" s="1219"/>
      <c r="BS258" s="1219"/>
      <c r="BU258" s="1217"/>
      <c r="BW258" s="1219"/>
      <c r="BY258" s="1217"/>
      <c r="CA258" s="1219"/>
      <c r="CC258" s="1217"/>
      <c r="CE258" s="1219"/>
      <c r="CG258" s="1217"/>
      <c r="CI258" s="1219"/>
    </row>
    <row r="259" spans="1:87">
      <c r="A259" s="33"/>
      <c r="B259" s="33"/>
      <c r="C259" s="235"/>
      <c r="E259" s="90"/>
      <c r="F259" s="90"/>
      <c r="G259" s="33"/>
      <c r="J259" s="33"/>
      <c r="M259" s="243"/>
      <c r="N259" s="33"/>
      <c r="Q259" s="243"/>
      <c r="R259" s="33"/>
      <c r="U259" s="243"/>
      <c r="V259" s="33"/>
      <c r="Y259" s="243"/>
      <c r="Z259" s="33"/>
      <c r="AC259" s="243"/>
      <c r="AD259" s="33"/>
      <c r="AG259" s="243"/>
      <c r="AH259" s="33"/>
      <c r="AK259" s="244"/>
      <c r="AL259" s="243"/>
      <c r="AM259" s="243"/>
      <c r="AN259" s="243"/>
      <c r="AO259" s="243"/>
      <c r="AP259" s="243"/>
      <c r="AQ259" s="243"/>
      <c r="AR259" s="243"/>
      <c r="AS259" s="243"/>
      <c r="AT259" s="243"/>
      <c r="AU259" s="243"/>
      <c r="AV259" s="243"/>
      <c r="AW259" s="243"/>
      <c r="AX259" s="243"/>
      <c r="AY259" s="243"/>
      <c r="AZ259" s="243"/>
      <c r="BA259" s="243"/>
      <c r="BB259" s="243"/>
      <c r="BC259" s="243"/>
      <c r="BD259" s="243"/>
      <c r="BE259" s="243"/>
      <c r="BF259" s="243"/>
      <c r="BG259" s="243"/>
      <c r="BH259" s="243"/>
      <c r="BI259" s="243"/>
      <c r="BJ259" s="243"/>
      <c r="BK259" s="243"/>
      <c r="BL259" s="243"/>
      <c r="BM259" s="243"/>
      <c r="BN259" s="243"/>
      <c r="BO259" s="243"/>
      <c r="BP259" s="243"/>
      <c r="BQ259" s="243"/>
      <c r="BR259" s="243"/>
      <c r="BS259" s="243"/>
      <c r="BW259" s="243"/>
      <c r="CA259" s="243"/>
      <c r="CE259" s="243"/>
      <c r="CI259" s="243"/>
    </row>
    <row r="260" spans="1:87">
      <c r="A260" s="256" t="str">
        <f>IF((RIGHT(A243,1))&lt;&gt;"Z",CHAR(CODE(A243))&amp;CHAR(CODE(RIGHT(A243,1))+1),CHAR(CODE(A243)+1)&amp;"A")</f>
        <v>AO</v>
      </c>
      <c r="B260" s="270" t="e">
        <f>INDEX(SourceID,MATCH($A260,SourceNumber,0),1,1)</f>
        <v>#N/A</v>
      </c>
      <c r="C260" s="354" t="e">
        <f>INDEX(SourceExitDiameter,MATCH($A260,SourceNumber,0),1,1)*3.28*12</f>
        <v>#N/A</v>
      </c>
      <c r="D260" s="24" t="str">
        <f>UAnem1percent</f>
        <v>1% Wind</v>
      </c>
      <c r="E260" s="350" t="e">
        <f ca="1">INDIRECT(ADDRESS(53,6,1,,CONCATENATE("TA",$A260)))</f>
        <v>#REF!</v>
      </c>
      <c r="F260" s="625" t="e">
        <f ca="1">(ROUND((INDIRECT(ADDRESS(15,7,1,,CONCATENATE("TA",$A260)))*3.28*12*32),0)&amp;"/32")</f>
        <v>#REF!</v>
      </c>
      <c r="G260" s="125" t="e">
        <f ca="1">INDIRECT(ADDRESS(29,7,1,,$A260))</f>
        <v>#N/A</v>
      </c>
      <c r="H260" s="24" t="e">
        <f ca="1">INDIRECT(ADDRESS(19,7,1,,$A260))*100^3</f>
        <v>#N/A</v>
      </c>
      <c r="I260" s="941" t="e">
        <f ca="1">INDIRECT(ADDRESS(53,7,1,,$A260))</f>
        <v>#N/A</v>
      </c>
      <c r="J260" s="20" t="e">
        <f ca="1">IF($I260=$I$6,K$16&amp;$G$6&amp;J$6,IF($I260=$I$7,K$16&amp;$G$7&amp;J$7,"Bad"))</f>
        <v>#N/A</v>
      </c>
      <c r="K260" t="e">
        <f ca="1">INDEX(FlowCalGasMixture,MATCH(J260,FlowCalNumber,0),1,1)</f>
        <v>#N/A</v>
      </c>
      <c r="M260" s="944" t="e">
        <f ca="1">INDEX(FlowCalDevice,MATCH(J260,FlowCalNumber,0),1,1)</f>
        <v>#N/A</v>
      </c>
      <c r="N260" s="20" t="e">
        <f ca="1">IF($I260=$I$6,O$16&amp;$G$6&amp;N$6,IF($I260=$I$7,O$16&amp;$G$7&amp;N$7,"Bad"))</f>
        <v>#N/A</v>
      </c>
      <c r="O260" t="e">
        <f ca="1">INDEX(FlowCalGasMixture,MATCH(N260,FlowCalNumber,0),1,1)</f>
        <v>#N/A</v>
      </c>
      <c r="Q260" s="944" t="e">
        <f ca="1">INDEX(FlowCalDevice,MATCH(N260,FlowCalNumber,0),1,1)</f>
        <v>#N/A</v>
      </c>
      <c r="R260" s="20" t="e">
        <f ca="1">IF($I260=$I$6,S$16&amp;$G$6&amp;R$6,IF($I260=$I$7,S$16&amp;$G$7&amp;R$7,"Bad"))</f>
        <v>#N/A</v>
      </c>
      <c r="S260" t="e">
        <f ca="1">INDEX(FlowCalGasMixture,MATCH(R260,FlowCalNumber,0),1,1)</f>
        <v>#N/A</v>
      </c>
      <c r="U260" s="944" t="e">
        <f ca="1">INDEX(FlowCalDevice,MATCH(R260,FlowCalNumber,0),1,1)</f>
        <v>#N/A</v>
      </c>
      <c r="V260" s="20"/>
      <c r="Y260" s="944"/>
      <c r="Z260" s="946"/>
      <c r="AC260" s="944"/>
      <c r="AD260" s="20"/>
      <c r="AG260" s="944"/>
      <c r="AH260" s="946"/>
      <c r="AK260" s="982"/>
      <c r="AL260" s="355"/>
      <c r="AM260" s="355"/>
      <c r="AN260" s="355"/>
      <c r="AO260" s="355"/>
      <c r="AP260" s="355"/>
      <c r="AQ260" s="355"/>
      <c r="AR260" s="355"/>
      <c r="AS260" s="355"/>
      <c r="AT260" s="355"/>
      <c r="AU260" s="355"/>
      <c r="AV260" s="355"/>
      <c r="AW260" s="355"/>
      <c r="AX260" s="355"/>
      <c r="AY260" s="355"/>
      <c r="AZ260" s="355"/>
      <c r="BA260" s="355"/>
      <c r="BB260" s="355"/>
      <c r="BC260" s="355"/>
      <c r="BD260" s="355"/>
      <c r="BE260" s="355"/>
      <c r="BF260" s="355"/>
      <c r="BG260" s="355"/>
      <c r="BH260" s="355"/>
      <c r="BI260" s="355"/>
      <c r="BJ260" s="355"/>
      <c r="BK260" s="355"/>
      <c r="BL260" s="355"/>
      <c r="BM260" s="355"/>
      <c r="BN260" s="355"/>
      <c r="BO260" s="355"/>
      <c r="BP260" s="355"/>
      <c r="BQ260" s="355"/>
      <c r="BR260" s="355"/>
      <c r="BS260" s="355"/>
      <c r="BT260" s="46"/>
      <c r="BU260" s="16"/>
      <c r="BW260" s="355"/>
      <c r="BX260" s="42"/>
      <c r="BY260" s="16"/>
      <c r="CA260" s="355"/>
      <c r="CB260" s="42"/>
      <c r="CC260" s="16"/>
      <c r="CE260" s="355"/>
      <c r="CF260" s="42"/>
      <c r="CG260" s="16"/>
      <c r="CI260" s="355"/>
    </row>
    <row r="261" spans="1:87" s="1215" customFormat="1">
      <c r="A261" s="1222"/>
      <c r="B261" s="1223" t="str">
        <f t="shared" ref="B261:B275" si="120">IF(D261=UAnem1percent,"1% Wind","")</f>
        <v/>
      </c>
      <c r="C261" s="1210"/>
      <c r="D261" s="1211">
        <f>'1% Wind'!$M$82</f>
        <v>27</v>
      </c>
      <c r="E261" s="1212"/>
      <c r="F261" s="1212"/>
      <c r="G261" s="1364">
        <v>2</v>
      </c>
      <c r="H261" s="1214" t="e">
        <f t="shared" ref="H261:H275" ca="1" si="121">H260*(D260/D261)*(G261/G260)</f>
        <v>#N/A</v>
      </c>
      <c r="J261" s="1224"/>
      <c r="K261" s="1221">
        <f>K$17/100</f>
        <v>1</v>
      </c>
      <c r="L261" s="1218" t="e">
        <f ca="1">K261*$H261</f>
        <v>#N/A</v>
      </c>
      <c r="M261" s="1219" t="e">
        <f ca="1">IF(AND(INDEX(FlowCalConstA,MATCH(J260,FlowCalNumber,0),1,1)*L261^INDEX(FlowCalConstB,MATCH(J260,FlowCalNumber,0),1,1)&gt;INDEX(FlowCalLowSetting,MATCH(J260,FlowCalNumber,0),1,1), (INDEX(FlowCalConstA,MATCH(J260,FlowCalNumber,0),1,1)*L261^INDEX(FlowCalConstB,MATCH(J260,FlowCalNumber,0),1,1)&lt;INDEX(FlowCalHighSetting,MATCH(J260,FlowCalNumber,0),1,1))),INDEX(FlowCalConstA,MATCH(J260,FlowCalNumber,0),1,1)*L261^INDEX(FlowCalConstB,MATCH(J260,FlowCalNumber,0),1,1)," ")</f>
        <v>#N/A</v>
      </c>
      <c r="N261" s="1224"/>
      <c r="O261" s="1221">
        <f>O$17/100</f>
        <v>1</v>
      </c>
      <c r="P261" s="1218" t="e">
        <f ca="1">O261*$H261</f>
        <v>#N/A</v>
      </c>
      <c r="Q261" s="1219" t="e">
        <f ca="1">IF(AND(INDEX(FlowCalConstA,MATCH(N260,FlowCalNumber,0),1,1)*P261^INDEX(FlowCalConstB,MATCH(N260,FlowCalNumber,0),1,1)&gt;INDEX(FlowCalLowSetting,MATCH(N260,FlowCalNumber,0),1,1), (INDEX(FlowCalConstA,MATCH(N260,FlowCalNumber,0),1,1)*P261^INDEX(FlowCalConstB,MATCH(N260,FlowCalNumber,0),1,1)&lt;INDEX(FlowCalHighSetting,MATCH(N260,FlowCalNumber,0),1,1))),INDEX(FlowCalConstA,MATCH(N260,FlowCalNumber,0),1,1)*P261^INDEX(FlowCalConstB,MATCH(N260,FlowCalNumber,0),1,1)," ")</f>
        <v>#N/A</v>
      </c>
      <c r="R261" s="1224"/>
      <c r="S261" s="1221">
        <f>S$17/100</f>
        <v>1</v>
      </c>
      <c r="T261" s="1218" t="e">
        <f ca="1">S261*$H261</f>
        <v>#N/A</v>
      </c>
      <c r="U261" s="1219" t="e">
        <f ca="1">IF(AND(INDEX(FlowCalConstA,MATCH(R260,FlowCalNumber,0),1,1)*T261^INDEX(FlowCalConstB,MATCH(R260,FlowCalNumber,0),1,1)&gt;INDEX(FlowCalLowSetting,MATCH(R260,FlowCalNumber,0),1,1), (INDEX(FlowCalConstA,MATCH(R260,FlowCalNumber,0),1,1)*T261^INDEX(FlowCalConstB,MATCH(R260,FlowCalNumber,0),1,1)&lt;INDEX(FlowCalHighSetting,MATCH(R260,FlowCalNumber,0),1,1))),INDEX(FlowCalConstA,MATCH(R260,FlowCalNumber,0),1,1)*T261^INDEX(FlowCalConstB,MATCH(R260,FlowCalNumber,0),1,1)," ")</f>
        <v>#N/A</v>
      </c>
      <c r="V261" s="1224"/>
      <c r="W261" s="1221"/>
      <c r="X261" s="1218"/>
      <c r="Y261" s="1219"/>
      <c r="Z261" s="1224"/>
      <c r="AA261" s="1221"/>
      <c r="AB261" s="1218"/>
      <c r="AC261" s="1219"/>
      <c r="AD261" s="1224"/>
      <c r="AE261" s="1221"/>
      <c r="AF261" s="1218"/>
      <c r="AG261" s="1219"/>
      <c r="AH261" s="1224"/>
      <c r="AI261" s="1221"/>
      <c r="AJ261" s="1218"/>
      <c r="AK261" s="1220"/>
      <c r="AL261" s="1219"/>
      <c r="AM261" s="1219"/>
      <c r="AN261" s="1219"/>
      <c r="AO261" s="1219"/>
      <c r="AP261" s="1219"/>
      <c r="AQ261" s="1219"/>
      <c r="AR261" s="1219"/>
      <c r="AS261" s="1219"/>
      <c r="AT261" s="1219"/>
      <c r="AU261" s="1219"/>
      <c r="AV261" s="1219"/>
      <c r="AW261" s="1219"/>
      <c r="AX261" s="1219"/>
      <c r="AY261" s="1219"/>
      <c r="AZ261" s="1219"/>
      <c r="BA261" s="1219"/>
      <c r="BB261" s="1219"/>
      <c r="BC261" s="1219"/>
      <c r="BD261" s="1219"/>
      <c r="BE261" s="1219"/>
      <c r="BF261" s="1219"/>
      <c r="BG261" s="1219"/>
      <c r="BH261" s="1219"/>
      <c r="BI261" s="1219"/>
      <c r="BJ261" s="1219"/>
      <c r="BK261" s="1219"/>
      <c r="BL261" s="1219"/>
      <c r="BM261" s="1219"/>
      <c r="BN261" s="1219"/>
      <c r="BO261" s="1219"/>
      <c r="BP261" s="1219"/>
      <c r="BQ261" s="1219"/>
      <c r="BR261" s="1219"/>
      <c r="BS261" s="1219"/>
      <c r="BU261" s="1225"/>
      <c r="BW261" s="1219"/>
      <c r="BY261" s="1225"/>
      <c r="CA261" s="1219"/>
      <c r="CC261" s="1225"/>
      <c r="CE261" s="1219"/>
      <c r="CG261" s="1221"/>
      <c r="CI261" s="1219"/>
    </row>
    <row r="262" spans="1:87">
      <c r="A262" s="20"/>
      <c r="B262" s="124" t="str">
        <f t="shared" si="120"/>
        <v/>
      </c>
      <c r="C262" s="235"/>
      <c r="D262" s="24">
        <f>'1% Wind'!$M$83</f>
        <v>23.5</v>
      </c>
      <c r="E262" s="90"/>
      <c r="F262" s="90"/>
      <c r="G262" s="79" t="e">
        <f ca="1">IF(I260=0.9743,$G261,MAX(G261/D261*D262,2))</f>
        <v>#N/A</v>
      </c>
      <c r="H262" s="121" t="e">
        <f t="shared" ca="1" si="121"/>
        <v>#N/A</v>
      </c>
      <c r="J262" s="33"/>
      <c r="K262" s="242">
        <f t="shared" ref="K262:K275" si="122">K261</f>
        <v>1</v>
      </c>
      <c r="L262" s="241" t="e">
        <f t="shared" ref="L262:L275" ca="1" si="123">K262*$H262</f>
        <v>#N/A</v>
      </c>
      <c r="M262" s="243" t="e">
        <f ca="1">IF(AND(INDEX(FlowCalConstA,MATCH(J260,FlowCalNumber,0),1,1)*L262^INDEX(FlowCalConstB,MATCH(J260,FlowCalNumber,0),1,1)&gt;INDEX(FlowCalLowSetting,MATCH(J260,FlowCalNumber,0),1,1), (INDEX(FlowCalConstA,MATCH(J260,FlowCalNumber,0),1,1)*L262^INDEX(FlowCalConstB,MATCH(J260,FlowCalNumber,0),1,1)&lt;INDEX(FlowCalHighSetting,MATCH(J260,FlowCalNumber,0),1,1))),INDEX(FlowCalConstA,MATCH(J260,FlowCalNumber,0),1,1)*L262^INDEX(FlowCalConstB,MATCH(J260,FlowCalNumber,0),1,1)," ")</f>
        <v>#N/A</v>
      </c>
      <c r="N262" s="33"/>
      <c r="O262" s="242">
        <f t="shared" ref="O262:O275" si="124">O261</f>
        <v>1</v>
      </c>
      <c r="P262" s="241" t="e">
        <f t="shared" ref="P262:P275" ca="1" si="125">O262*$H262</f>
        <v>#N/A</v>
      </c>
      <c r="Q262" s="243" t="e">
        <f ca="1">IF(AND(INDEX(FlowCalConstA,MATCH(N260,FlowCalNumber,0),1,1)*P262^INDEX(FlowCalConstB,MATCH(N260,FlowCalNumber,0),1,1)&gt;INDEX(FlowCalLowSetting,MATCH(N260,FlowCalNumber,0),1,1), (INDEX(FlowCalConstA,MATCH(N260,FlowCalNumber,0),1,1)*P262^INDEX(FlowCalConstB,MATCH(N260,FlowCalNumber,0),1,1)&lt;INDEX(FlowCalHighSetting,MATCH(N260,FlowCalNumber,0),1,1))),INDEX(FlowCalConstA,MATCH(N260,FlowCalNumber,0),1,1)*P262^INDEX(FlowCalConstB,MATCH(N260,FlowCalNumber,0),1,1)," ")</f>
        <v>#N/A</v>
      </c>
      <c r="R262" s="33"/>
      <c r="S262" s="242">
        <f t="shared" ref="S262:S275" si="126">S261</f>
        <v>1</v>
      </c>
      <c r="T262" s="241" t="e">
        <f t="shared" ref="T262:T275" ca="1" si="127">S262*$H262</f>
        <v>#N/A</v>
      </c>
      <c r="U262" s="243" t="e">
        <f ca="1">IF(AND(INDEX(FlowCalConstA,MATCH(R260,FlowCalNumber,0),1,1)*T262^INDEX(FlowCalConstB,MATCH(R260,FlowCalNumber,0),1,1)&gt;INDEX(FlowCalLowSetting,MATCH(R260,FlowCalNumber,0),1,1), (INDEX(FlowCalConstA,MATCH(R260,FlowCalNumber,0),1,1)*T262^INDEX(FlowCalConstB,MATCH(R260,FlowCalNumber,0),1,1)&lt;INDEX(FlowCalHighSetting,MATCH(R260,FlowCalNumber,0),1,1))),INDEX(FlowCalConstA,MATCH(R260,FlowCalNumber,0),1,1)*T262^INDEX(FlowCalConstB,MATCH(R260,FlowCalNumber,0),1,1)," ")</f>
        <v>#N/A</v>
      </c>
      <c r="V262" s="33"/>
      <c r="W262" s="242"/>
      <c r="X262" s="241"/>
      <c r="Y262" s="243"/>
      <c r="Z262" s="33"/>
      <c r="AA262" s="242"/>
      <c r="AB262" s="241"/>
      <c r="AC262" s="243"/>
      <c r="AD262" s="33"/>
      <c r="AE262" s="242"/>
      <c r="AF262" s="241"/>
      <c r="AG262" s="243"/>
      <c r="AH262" s="33"/>
      <c r="AI262" s="242"/>
      <c r="AJ262" s="241"/>
      <c r="AK262" s="244"/>
      <c r="AL262" s="243"/>
      <c r="AM262" s="243"/>
      <c r="AN262" s="243"/>
      <c r="AO262" s="243"/>
      <c r="AP262" s="243"/>
      <c r="AQ262" s="243"/>
      <c r="AR262" s="243"/>
      <c r="AS262" s="243"/>
      <c r="AT262" s="243"/>
      <c r="AU262" s="243"/>
      <c r="AV262" s="243"/>
      <c r="AW262" s="243"/>
      <c r="AX262" s="243"/>
      <c r="AY262" s="243"/>
      <c r="AZ262" s="243"/>
      <c r="BA262" s="243"/>
      <c r="BB262" s="243"/>
      <c r="BC262" s="243"/>
      <c r="BD262" s="243"/>
      <c r="BE262" s="243"/>
      <c r="BF262" s="243"/>
      <c r="BG262" s="243"/>
      <c r="BH262" s="243"/>
      <c r="BI262" s="243"/>
      <c r="BJ262" s="243"/>
      <c r="BK262" s="243"/>
      <c r="BL262" s="243"/>
      <c r="BM262" s="243"/>
      <c r="BN262" s="243"/>
      <c r="BO262" s="243"/>
      <c r="BP262" s="243"/>
      <c r="BQ262" s="243"/>
      <c r="BR262" s="243"/>
      <c r="BS262" s="243"/>
      <c r="BU262" s="242"/>
      <c r="BW262" s="243"/>
      <c r="BY262" s="242"/>
      <c r="CA262" s="243"/>
      <c r="CC262" s="242"/>
      <c r="CE262" s="243"/>
      <c r="CG262" s="242"/>
      <c r="CI262" s="243"/>
    </row>
    <row r="263" spans="1:87" s="1215" customFormat="1">
      <c r="A263" s="1222"/>
      <c r="B263" s="1223" t="str">
        <f t="shared" si="120"/>
        <v/>
      </c>
      <c r="C263" s="1210"/>
      <c r="D263" s="1211">
        <f>'1% Wind'!$M$84</f>
        <v>20.5</v>
      </c>
      <c r="E263" s="1212"/>
      <c r="F263" s="1212"/>
      <c r="G263" s="1213" t="e">
        <f ca="1">IF(I260=0.9743,$G262,MAX(G262/D262*D263,2))</f>
        <v>#N/A</v>
      </c>
      <c r="H263" s="1214" t="e">
        <f t="shared" ca="1" si="121"/>
        <v>#N/A</v>
      </c>
      <c r="J263" s="1224"/>
      <c r="K263" s="1217">
        <f t="shared" si="122"/>
        <v>1</v>
      </c>
      <c r="L263" s="1218" t="e">
        <f t="shared" ca="1" si="123"/>
        <v>#N/A</v>
      </c>
      <c r="M263" s="1219" t="e">
        <f ca="1">IF(AND(INDEX(FlowCalConstA,MATCH(J260,FlowCalNumber,0),1,1)*L263^INDEX(FlowCalConstB,MATCH(J260,FlowCalNumber,0),1,1)&gt;INDEX(FlowCalLowSetting,MATCH(J260,FlowCalNumber,0),1,1), (INDEX(FlowCalConstA,MATCH(J260,FlowCalNumber,0),1,1)*L263^INDEX(FlowCalConstB,MATCH(J260,FlowCalNumber,0),1,1)&lt;INDEX(FlowCalHighSetting,MATCH(J260,FlowCalNumber,0),1,1))),INDEX(FlowCalConstA,MATCH(J260,FlowCalNumber,0),1,1)*L263^INDEX(FlowCalConstB,MATCH(J260,FlowCalNumber,0),1,1)," ")</f>
        <v>#N/A</v>
      </c>
      <c r="N263" s="1224"/>
      <c r="O263" s="1217">
        <f t="shared" si="124"/>
        <v>1</v>
      </c>
      <c r="P263" s="1218" t="e">
        <f t="shared" ca="1" si="125"/>
        <v>#N/A</v>
      </c>
      <c r="Q263" s="1219" t="e">
        <f ca="1">IF(AND(INDEX(FlowCalConstA,MATCH(N260,FlowCalNumber,0),1,1)*P263^INDEX(FlowCalConstB,MATCH(N260,FlowCalNumber,0),1,1)&gt;INDEX(FlowCalLowSetting,MATCH(N260,FlowCalNumber,0),1,1), (INDEX(FlowCalConstA,MATCH(N260,FlowCalNumber,0),1,1)*P263^INDEX(FlowCalConstB,MATCH(N260,FlowCalNumber,0),1,1)&lt;INDEX(FlowCalHighSetting,MATCH(N260,FlowCalNumber,0),1,1))),INDEX(FlowCalConstA,MATCH(N260,FlowCalNumber,0),1,1)*P263^INDEX(FlowCalConstB,MATCH(N260,FlowCalNumber,0),1,1)," ")</f>
        <v>#N/A</v>
      </c>
      <c r="R263" s="1224"/>
      <c r="S263" s="1217">
        <f t="shared" si="126"/>
        <v>1</v>
      </c>
      <c r="T263" s="1218" t="e">
        <f t="shared" ca="1" si="127"/>
        <v>#N/A</v>
      </c>
      <c r="U263" s="1219" t="e">
        <f ca="1">IF(AND(INDEX(FlowCalConstA,MATCH(R260,FlowCalNumber,0),1,1)*T263^INDEX(FlowCalConstB,MATCH(R260,FlowCalNumber,0),1,1)&gt;INDEX(FlowCalLowSetting,MATCH(R260,FlowCalNumber,0),1,1), (INDEX(FlowCalConstA,MATCH(R260,FlowCalNumber,0),1,1)*T263^INDEX(FlowCalConstB,MATCH(R260,FlowCalNumber,0),1,1)&lt;INDEX(FlowCalHighSetting,MATCH(R260,FlowCalNumber,0),1,1))),INDEX(FlowCalConstA,MATCH(R260,FlowCalNumber,0),1,1)*T263^INDEX(FlowCalConstB,MATCH(R260,FlowCalNumber,0),1,1)," ")</f>
        <v>#N/A</v>
      </c>
      <c r="V263" s="1224"/>
      <c r="W263" s="1217"/>
      <c r="X263" s="1218"/>
      <c r="Y263" s="1219"/>
      <c r="Z263" s="1224"/>
      <c r="AA263" s="1217"/>
      <c r="AB263" s="1218"/>
      <c r="AC263" s="1219"/>
      <c r="AD263" s="1224"/>
      <c r="AE263" s="1217"/>
      <c r="AF263" s="1218"/>
      <c r="AG263" s="1219"/>
      <c r="AH263" s="1224"/>
      <c r="AI263" s="1217"/>
      <c r="AJ263" s="1218"/>
      <c r="AK263" s="1220"/>
      <c r="AL263" s="1219"/>
      <c r="AM263" s="1219"/>
      <c r="AN263" s="1219"/>
      <c r="AO263" s="1219"/>
      <c r="AP263" s="1219"/>
      <c r="AQ263" s="1219"/>
      <c r="AR263" s="1219"/>
      <c r="AS263" s="1219"/>
      <c r="AT263" s="1219"/>
      <c r="AU263" s="1219"/>
      <c r="AV263" s="1219"/>
      <c r="AW263" s="1219"/>
      <c r="AX263" s="1219"/>
      <c r="AY263" s="1219"/>
      <c r="AZ263" s="1219"/>
      <c r="BA263" s="1219"/>
      <c r="BB263" s="1219"/>
      <c r="BC263" s="1219"/>
      <c r="BD263" s="1219"/>
      <c r="BE263" s="1219"/>
      <c r="BF263" s="1219"/>
      <c r="BG263" s="1219"/>
      <c r="BH263" s="1219"/>
      <c r="BI263" s="1219"/>
      <c r="BJ263" s="1219"/>
      <c r="BK263" s="1219"/>
      <c r="BL263" s="1219"/>
      <c r="BM263" s="1219"/>
      <c r="BN263" s="1219"/>
      <c r="BO263" s="1219"/>
      <c r="BP263" s="1219"/>
      <c r="BQ263" s="1219"/>
      <c r="BR263" s="1219"/>
      <c r="BS263" s="1219"/>
      <c r="BU263" s="1217"/>
      <c r="BW263" s="1219"/>
      <c r="BY263" s="1217"/>
      <c r="CA263" s="1219"/>
      <c r="CC263" s="1217"/>
      <c r="CE263" s="1219"/>
      <c r="CG263" s="1217"/>
      <c r="CI263" s="1219"/>
    </row>
    <row r="264" spans="1:87">
      <c r="A264" s="20"/>
      <c r="B264" s="124" t="str">
        <f t="shared" si="120"/>
        <v/>
      </c>
      <c r="C264" s="235"/>
      <c r="D264" s="24">
        <f>'1% Wind'!$M$85</f>
        <v>17.8</v>
      </c>
      <c r="E264" s="90"/>
      <c r="F264" s="90"/>
      <c r="G264" s="79" t="e">
        <f ca="1">IF(I260=0.9743,$G263,MAX(G263/D263*D264,2))</f>
        <v>#N/A</v>
      </c>
      <c r="H264" s="121" t="e">
        <f t="shared" ca="1" si="121"/>
        <v>#N/A</v>
      </c>
      <c r="J264" s="33"/>
      <c r="K264" s="242">
        <f t="shared" si="122"/>
        <v>1</v>
      </c>
      <c r="L264" s="241" t="e">
        <f t="shared" ca="1" si="123"/>
        <v>#N/A</v>
      </c>
      <c r="M264" s="243" t="e">
        <f ca="1">IF(AND(INDEX(FlowCalConstA,MATCH(J260,FlowCalNumber,0),1,1)*L264^INDEX(FlowCalConstB,MATCH(J260,FlowCalNumber,0),1,1)&gt;INDEX(FlowCalLowSetting,MATCH(J260,FlowCalNumber,0),1,1), (INDEX(FlowCalConstA,MATCH(J260,FlowCalNumber,0),1,1)*L264^INDEX(FlowCalConstB,MATCH(J260,FlowCalNumber,0),1,1)&lt;INDEX(FlowCalHighSetting,MATCH(J260,FlowCalNumber,0),1,1))),INDEX(FlowCalConstA,MATCH(J260,FlowCalNumber,0),1,1)*L264^INDEX(FlowCalConstB,MATCH(J260,FlowCalNumber,0),1,1)," ")</f>
        <v>#N/A</v>
      </c>
      <c r="N264" s="33"/>
      <c r="O264" s="242">
        <f t="shared" si="124"/>
        <v>1</v>
      </c>
      <c r="P264" s="241" t="e">
        <f t="shared" ca="1" si="125"/>
        <v>#N/A</v>
      </c>
      <c r="Q264" s="243" t="e">
        <f ca="1">IF(AND(INDEX(FlowCalConstA,MATCH(N260,FlowCalNumber,0),1,1)*P264^INDEX(FlowCalConstB,MATCH(N260,FlowCalNumber,0),1,1)&gt;INDEX(FlowCalLowSetting,MATCH(N260,FlowCalNumber,0),1,1), (INDEX(FlowCalConstA,MATCH(N260,FlowCalNumber,0),1,1)*P264^INDEX(FlowCalConstB,MATCH(N260,FlowCalNumber,0),1,1)&lt;INDEX(FlowCalHighSetting,MATCH(N260,FlowCalNumber,0),1,1))),INDEX(FlowCalConstA,MATCH(N260,FlowCalNumber,0),1,1)*P264^INDEX(FlowCalConstB,MATCH(N260,FlowCalNumber,0),1,1)," ")</f>
        <v>#N/A</v>
      </c>
      <c r="R264" s="33"/>
      <c r="S264" s="242">
        <f t="shared" si="126"/>
        <v>1</v>
      </c>
      <c r="T264" s="241" t="e">
        <f t="shared" ca="1" si="127"/>
        <v>#N/A</v>
      </c>
      <c r="U264" s="243" t="e">
        <f ca="1">IF(AND(INDEX(FlowCalConstA,MATCH(R260,FlowCalNumber,0),1,1)*T264^INDEX(FlowCalConstB,MATCH(R260,FlowCalNumber,0),1,1)&gt;INDEX(FlowCalLowSetting,MATCH(R260,FlowCalNumber,0),1,1), (INDEX(FlowCalConstA,MATCH(R260,FlowCalNumber,0),1,1)*T264^INDEX(FlowCalConstB,MATCH(R260,FlowCalNumber,0),1,1)&lt;INDEX(FlowCalHighSetting,MATCH(R260,FlowCalNumber,0),1,1))),INDEX(FlowCalConstA,MATCH(R260,FlowCalNumber,0),1,1)*T264^INDEX(FlowCalConstB,MATCH(R260,FlowCalNumber,0),1,1)," ")</f>
        <v>#N/A</v>
      </c>
      <c r="V264" s="33"/>
      <c r="W264" s="242"/>
      <c r="X264" s="241"/>
      <c r="Y264" s="243"/>
      <c r="Z264" s="33"/>
      <c r="AA264" s="242"/>
      <c r="AB264" s="241"/>
      <c r="AC264" s="243"/>
      <c r="AD264" s="33"/>
      <c r="AE264" s="242"/>
      <c r="AF264" s="241"/>
      <c r="AG264" s="243"/>
      <c r="AH264" s="33"/>
      <c r="AI264" s="242"/>
      <c r="AJ264" s="241"/>
      <c r="AK264" s="244"/>
      <c r="AL264" s="243"/>
      <c r="AM264" s="243"/>
      <c r="AN264" s="243"/>
      <c r="AO264" s="243"/>
      <c r="AP264" s="243"/>
      <c r="AQ264" s="243"/>
      <c r="AR264" s="243"/>
      <c r="AS264" s="243"/>
      <c r="AT264" s="243"/>
      <c r="AU264" s="243"/>
      <c r="AV264" s="243"/>
      <c r="AW264" s="243"/>
      <c r="AX264" s="243"/>
      <c r="AY264" s="243"/>
      <c r="AZ264" s="243"/>
      <c r="BA264" s="243"/>
      <c r="BB264" s="243"/>
      <c r="BC264" s="243"/>
      <c r="BD264" s="243"/>
      <c r="BE264" s="243"/>
      <c r="BF264" s="243"/>
      <c r="BG264" s="243"/>
      <c r="BH264" s="243"/>
      <c r="BI264" s="243"/>
      <c r="BJ264" s="243"/>
      <c r="BK264" s="243"/>
      <c r="BL264" s="243"/>
      <c r="BM264" s="243"/>
      <c r="BN264" s="243"/>
      <c r="BO264" s="243"/>
      <c r="BP264" s="243"/>
      <c r="BQ264" s="243"/>
      <c r="BR264" s="243"/>
      <c r="BS264" s="243"/>
      <c r="BU264" s="242"/>
      <c r="BW264" s="243"/>
      <c r="BY264" s="242"/>
      <c r="CA264" s="243"/>
      <c r="CC264" s="242"/>
      <c r="CE264" s="243"/>
      <c r="CG264" s="242"/>
      <c r="CI264" s="243"/>
    </row>
    <row r="265" spans="1:87" s="1215" customFormat="1">
      <c r="A265" s="1222"/>
      <c r="B265" s="1223" t="str">
        <f t="shared" si="120"/>
        <v/>
      </c>
      <c r="C265" s="1210"/>
      <c r="D265" s="1211">
        <f>'1% Wind'!$M$86</f>
        <v>15.5</v>
      </c>
      <c r="E265" s="1212"/>
      <c r="F265" s="1212"/>
      <c r="G265" s="1213" t="e">
        <f ca="1">IF(I260=0.9743,$G264,MAX(G264/D264*D265,2))</f>
        <v>#N/A</v>
      </c>
      <c r="H265" s="1214" t="e">
        <f t="shared" ca="1" si="121"/>
        <v>#N/A</v>
      </c>
      <c r="J265" s="1224"/>
      <c r="K265" s="1217">
        <f t="shared" si="122"/>
        <v>1</v>
      </c>
      <c r="L265" s="1218" t="e">
        <f t="shared" ca="1" si="123"/>
        <v>#N/A</v>
      </c>
      <c r="M265" s="1219" t="e">
        <f ca="1">IF(AND(INDEX(FlowCalConstA,MATCH(J260,FlowCalNumber,0),1,1)*L265^INDEX(FlowCalConstB,MATCH(J260,FlowCalNumber,0),1,1)&gt;INDEX(FlowCalLowSetting,MATCH(J260,FlowCalNumber,0),1,1), (INDEX(FlowCalConstA,MATCH(J260,FlowCalNumber,0),1,1)*L265^INDEX(FlowCalConstB,MATCH(J260,FlowCalNumber,0),1,1)&lt;INDEX(FlowCalHighSetting,MATCH(J260,FlowCalNumber,0),1,1))),INDEX(FlowCalConstA,MATCH(J260,FlowCalNumber,0),1,1)*L265^INDEX(FlowCalConstB,MATCH(J260,FlowCalNumber,0),1,1)," ")</f>
        <v>#N/A</v>
      </c>
      <c r="N265" s="1224"/>
      <c r="O265" s="1217">
        <f t="shared" si="124"/>
        <v>1</v>
      </c>
      <c r="P265" s="1218" t="e">
        <f t="shared" ca="1" si="125"/>
        <v>#N/A</v>
      </c>
      <c r="Q265" s="1219" t="e">
        <f ca="1">IF(AND(INDEX(FlowCalConstA,MATCH(N260,FlowCalNumber,0),1,1)*P265^INDEX(FlowCalConstB,MATCH(N260,FlowCalNumber,0),1,1)&gt;INDEX(FlowCalLowSetting,MATCH(N260,FlowCalNumber,0),1,1), (INDEX(FlowCalConstA,MATCH(N260,FlowCalNumber,0),1,1)*P265^INDEX(FlowCalConstB,MATCH(N260,FlowCalNumber,0),1,1)&lt;INDEX(FlowCalHighSetting,MATCH(N260,FlowCalNumber,0),1,1))),INDEX(FlowCalConstA,MATCH(N260,FlowCalNumber,0),1,1)*P265^INDEX(FlowCalConstB,MATCH(N260,FlowCalNumber,0),1,1)," ")</f>
        <v>#N/A</v>
      </c>
      <c r="R265" s="1224"/>
      <c r="S265" s="1217">
        <f t="shared" si="126"/>
        <v>1</v>
      </c>
      <c r="T265" s="1218" t="e">
        <f t="shared" ca="1" si="127"/>
        <v>#N/A</v>
      </c>
      <c r="U265" s="1219" t="e">
        <f ca="1">IF(AND(INDEX(FlowCalConstA,MATCH(R260,FlowCalNumber,0),1,1)*T265^INDEX(FlowCalConstB,MATCH(R260,FlowCalNumber,0),1,1)&gt;INDEX(FlowCalLowSetting,MATCH(R260,FlowCalNumber,0),1,1), (INDEX(FlowCalConstA,MATCH(R260,FlowCalNumber,0),1,1)*T265^INDEX(FlowCalConstB,MATCH(R260,FlowCalNumber,0),1,1)&lt;INDEX(FlowCalHighSetting,MATCH(R260,FlowCalNumber,0),1,1))),INDEX(FlowCalConstA,MATCH(R260,FlowCalNumber,0),1,1)*T265^INDEX(FlowCalConstB,MATCH(R260,FlowCalNumber,0),1,1)," ")</f>
        <v>#N/A</v>
      </c>
      <c r="V265" s="1224"/>
      <c r="W265" s="1217"/>
      <c r="X265" s="1218"/>
      <c r="Y265" s="1219"/>
      <c r="Z265" s="1224"/>
      <c r="AA265" s="1217"/>
      <c r="AB265" s="1218"/>
      <c r="AC265" s="1219"/>
      <c r="AD265" s="1224"/>
      <c r="AE265" s="1217"/>
      <c r="AF265" s="1218"/>
      <c r="AG265" s="1219"/>
      <c r="AH265" s="1224"/>
      <c r="AI265" s="1217"/>
      <c r="AJ265" s="1218"/>
      <c r="AK265" s="1220"/>
      <c r="AL265" s="1219"/>
      <c r="AM265" s="1219"/>
      <c r="AN265" s="1219"/>
      <c r="AO265" s="1219"/>
      <c r="AP265" s="1219"/>
      <c r="AQ265" s="1219"/>
      <c r="AR265" s="1219"/>
      <c r="AS265" s="1219"/>
      <c r="AT265" s="1219"/>
      <c r="AU265" s="1219"/>
      <c r="AV265" s="1219"/>
      <c r="AW265" s="1219"/>
      <c r="AX265" s="1219"/>
      <c r="AY265" s="1219"/>
      <c r="AZ265" s="1219"/>
      <c r="BA265" s="1219"/>
      <c r="BB265" s="1219"/>
      <c r="BC265" s="1219"/>
      <c r="BD265" s="1219"/>
      <c r="BE265" s="1219"/>
      <c r="BF265" s="1219"/>
      <c r="BG265" s="1219"/>
      <c r="BH265" s="1219"/>
      <c r="BI265" s="1219"/>
      <c r="BJ265" s="1219"/>
      <c r="BK265" s="1219"/>
      <c r="BL265" s="1219"/>
      <c r="BM265" s="1219"/>
      <c r="BN265" s="1219"/>
      <c r="BO265" s="1219"/>
      <c r="BP265" s="1219"/>
      <c r="BQ265" s="1219"/>
      <c r="BR265" s="1219"/>
      <c r="BS265" s="1219"/>
      <c r="BU265" s="1217"/>
      <c r="BW265" s="1219"/>
      <c r="BY265" s="1217"/>
      <c r="CA265" s="1219"/>
      <c r="CC265" s="1217"/>
      <c r="CE265" s="1219"/>
      <c r="CG265" s="1217"/>
      <c r="CI265" s="1219"/>
    </row>
    <row r="266" spans="1:87">
      <c r="A266" s="20"/>
      <c r="B266" s="124" t="str">
        <f t="shared" si="120"/>
        <v/>
      </c>
      <c r="C266" s="235"/>
      <c r="D266" s="24">
        <f>'1% Wind'!$M$87</f>
        <v>13.5</v>
      </c>
      <c r="E266" s="90"/>
      <c r="F266" s="90"/>
      <c r="G266" s="79" t="e">
        <f ca="1">IF(I260=0.9743,$G265,MAX(G265/D265*D266,2))</f>
        <v>#N/A</v>
      </c>
      <c r="H266" s="121" t="e">
        <f t="shared" ca="1" si="121"/>
        <v>#N/A</v>
      </c>
      <c r="J266" s="33"/>
      <c r="K266" s="242">
        <f t="shared" si="122"/>
        <v>1</v>
      </c>
      <c r="L266" s="241" t="e">
        <f t="shared" ca="1" si="123"/>
        <v>#N/A</v>
      </c>
      <c r="M266" s="243" t="e">
        <f ca="1">IF(AND(INDEX(FlowCalConstA,MATCH(J260,FlowCalNumber,0),1,1)*L266^INDEX(FlowCalConstB,MATCH(J260,FlowCalNumber,0),1,1)&gt;INDEX(FlowCalLowSetting,MATCH(J260,FlowCalNumber,0),1,1), (INDEX(FlowCalConstA,MATCH(J260,FlowCalNumber,0),1,1)*L266^INDEX(FlowCalConstB,MATCH(J260,FlowCalNumber,0),1,1)&lt;INDEX(FlowCalHighSetting,MATCH(J260,FlowCalNumber,0),1,1))),INDEX(FlowCalConstA,MATCH(J260,FlowCalNumber,0),1,1)*L266^INDEX(FlowCalConstB,MATCH(J260,FlowCalNumber,0),1,1)," ")</f>
        <v>#N/A</v>
      </c>
      <c r="N266" s="33"/>
      <c r="O266" s="242">
        <f t="shared" si="124"/>
        <v>1</v>
      </c>
      <c r="P266" s="241" t="e">
        <f t="shared" ca="1" si="125"/>
        <v>#N/A</v>
      </c>
      <c r="Q266" s="243" t="e">
        <f ca="1">IF(AND(INDEX(FlowCalConstA,MATCH(N260,FlowCalNumber,0),1,1)*P266^INDEX(FlowCalConstB,MATCH(N260,FlowCalNumber,0),1,1)&gt;INDEX(FlowCalLowSetting,MATCH(N260,FlowCalNumber,0),1,1), (INDEX(FlowCalConstA,MATCH(N260,FlowCalNumber,0),1,1)*P266^INDEX(FlowCalConstB,MATCH(N260,FlowCalNumber,0),1,1)&lt;INDEX(FlowCalHighSetting,MATCH(N260,FlowCalNumber,0),1,1))),INDEX(FlowCalConstA,MATCH(N260,FlowCalNumber,0),1,1)*P266^INDEX(FlowCalConstB,MATCH(N260,FlowCalNumber,0),1,1)," ")</f>
        <v>#N/A</v>
      </c>
      <c r="R266" s="33"/>
      <c r="S266" s="242">
        <f t="shared" si="126"/>
        <v>1</v>
      </c>
      <c r="T266" s="241" t="e">
        <f t="shared" ca="1" si="127"/>
        <v>#N/A</v>
      </c>
      <c r="U266" s="243" t="e">
        <f ca="1">IF(AND(INDEX(FlowCalConstA,MATCH(R260,FlowCalNumber,0),1,1)*T266^INDEX(FlowCalConstB,MATCH(R260,FlowCalNumber,0),1,1)&gt;INDEX(FlowCalLowSetting,MATCH(R260,FlowCalNumber,0),1,1), (INDEX(FlowCalConstA,MATCH(R260,FlowCalNumber,0),1,1)*T266^INDEX(FlowCalConstB,MATCH(R260,FlowCalNumber,0),1,1)&lt;INDEX(FlowCalHighSetting,MATCH(R260,FlowCalNumber,0),1,1))),INDEX(FlowCalConstA,MATCH(R260,FlowCalNumber,0),1,1)*T266^INDEX(FlowCalConstB,MATCH(R260,FlowCalNumber,0),1,1)," ")</f>
        <v>#N/A</v>
      </c>
      <c r="V266" s="33"/>
      <c r="W266" s="242"/>
      <c r="X266" s="241"/>
      <c r="Y266" s="243"/>
      <c r="Z266" s="33"/>
      <c r="AA266" s="242"/>
      <c r="AB266" s="241"/>
      <c r="AC266" s="243"/>
      <c r="AD266" s="33"/>
      <c r="AE266" s="242"/>
      <c r="AF266" s="241"/>
      <c r="AG266" s="243"/>
      <c r="AH266" s="33"/>
      <c r="AI266" s="242"/>
      <c r="AJ266" s="241"/>
      <c r="AK266" s="244"/>
      <c r="AL266" s="243"/>
      <c r="AM266" s="243"/>
      <c r="AN266" s="243"/>
      <c r="AO266" s="243"/>
      <c r="AP266" s="243"/>
      <c r="AQ266" s="243"/>
      <c r="AR266" s="243"/>
      <c r="AS266" s="243"/>
      <c r="AT266" s="243"/>
      <c r="AU266" s="243"/>
      <c r="AV266" s="243"/>
      <c r="AW266" s="243"/>
      <c r="AX266" s="243"/>
      <c r="AY266" s="243"/>
      <c r="AZ266" s="243"/>
      <c r="BA266" s="243"/>
      <c r="BB266" s="243"/>
      <c r="BC266" s="243"/>
      <c r="BD266" s="243"/>
      <c r="BE266" s="243"/>
      <c r="BF266" s="243"/>
      <c r="BG266" s="243"/>
      <c r="BH266" s="243"/>
      <c r="BI266" s="243"/>
      <c r="BJ266" s="243"/>
      <c r="BK266" s="243"/>
      <c r="BL266" s="243"/>
      <c r="BM266" s="243"/>
      <c r="BN266" s="243"/>
      <c r="BO266" s="243"/>
      <c r="BP266" s="243"/>
      <c r="BQ266" s="243"/>
      <c r="BR266" s="243"/>
      <c r="BS266" s="243"/>
      <c r="BU266" s="242"/>
      <c r="BW266" s="243"/>
      <c r="BY266" s="242"/>
      <c r="CA266" s="243"/>
      <c r="CC266" s="242"/>
      <c r="CE266" s="243"/>
      <c r="CG266" s="242"/>
      <c r="CI266" s="243"/>
    </row>
    <row r="267" spans="1:87" s="1215" customFormat="1">
      <c r="A267" s="1222"/>
      <c r="B267" s="1223" t="str">
        <f t="shared" si="120"/>
        <v/>
      </c>
      <c r="C267" s="1210"/>
      <c r="D267" s="1211">
        <f>'1% Wind'!$M$88</f>
        <v>10.1</v>
      </c>
      <c r="E267" s="1212"/>
      <c r="F267" s="1212"/>
      <c r="G267" s="1213" t="e">
        <f ca="1">IF(I260=0.9743,$G266,MAX(G266/D266*D267,2))</f>
        <v>#N/A</v>
      </c>
      <c r="H267" s="1214" t="e">
        <f t="shared" ca="1" si="121"/>
        <v>#N/A</v>
      </c>
      <c r="J267" s="1224"/>
      <c r="K267" s="1217">
        <f t="shared" si="122"/>
        <v>1</v>
      </c>
      <c r="L267" s="1218" t="e">
        <f t="shared" ca="1" si="123"/>
        <v>#N/A</v>
      </c>
      <c r="M267" s="1219" t="e">
        <f ca="1">IF(AND(INDEX(FlowCalConstA,MATCH(J260,FlowCalNumber,0),1,1)*L267^INDEX(FlowCalConstB,MATCH(J260,FlowCalNumber,0),1,1)&gt;INDEX(FlowCalLowSetting,MATCH(J260,FlowCalNumber,0),1,1), (INDEX(FlowCalConstA,MATCH(J260,FlowCalNumber,0),1,1)*L267^INDEX(FlowCalConstB,MATCH(J260,FlowCalNumber,0),1,1)&lt;INDEX(FlowCalHighSetting,MATCH(J260,FlowCalNumber,0),1,1))),INDEX(FlowCalConstA,MATCH(J260,FlowCalNumber,0),1,1)*L267^INDEX(FlowCalConstB,MATCH(J260,FlowCalNumber,0),1,1)," ")</f>
        <v>#N/A</v>
      </c>
      <c r="N267" s="1224"/>
      <c r="O267" s="1217">
        <f t="shared" si="124"/>
        <v>1</v>
      </c>
      <c r="P267" s="1218" t="e">
        <f t="shared" ca="1" si="125"/>
        <v>#N/A</v>
      </c>
      <c r="Q267" s="1219" t="e">
        <f ca="1">IF(AND(INDEX(FlowCalConstA,MATCH(N260,FlowCalNumber,0),1,1)*P267^INDEX(FlowCalConstB,MATCH(N260,FlowCalNumber,0),1,1)&gt;INDEX(FlowCalLowSetting,MATCH(N260,FlowCalNumber,0),1,1), (INDEX(FlowCalConstA,MATCH(N260,FlowCalNumber,0),1,1)*P267^INDEX(FlowCalConstB,MATCH(N260,FlowCalNumber,0),1,1)&lt;INDEX(FlowCalHighSetting,MATCH(N260,FlowCalNumber,0),1,1))),INDEX(FlowCalConstA,MATCH(N260,FlowCalNumber,0),1,1)*P267^INDEX(FlowCalConstB,MATCH(N260,FlowCalNumber,0),1,1)," ")</f>
        <v>#N/A</v>
      </c>
      <c r="R267" s="1224"/>
      <c r="S267" s="1217">
        <f t="shared" si="126"/>
        <v>1</v>
      </c>
      <c r="T267" s="1218" t="e">
        <f t="shared" ca="1" si="127"/>
        <v>#N/A</v>
      </c>
      <c r="U267" s="1219" t="e">
        <f ca="1">IF(AND(INDEX(FlowCalConstA,MATCH(R260,FlowCalNumber,0),1,1)*T267^INDEX(FlowCalConstB,MATCH(R260,FlowCalNumber,0),1,1)&gt;INDEX(FlowCalLowSetting,MATCH(R260,FlowCalNumber,0),1,1), (INDEX(FlowCalConstA,MATCH(R260,FlowCalNumber,0),1,1)*T267^INDEX(FlowCalConstB,MATCH(R260,FlowCalNumber,0),1,1)&lt;INDEX(FlowCalHighSetting,MATCH(R260,FlowCalNumber,0),1,1))),INDEX(FlowCalConstA,MATCH(R260,FlowCalNumber,0),1,1)*T267^INDEX(FlowCalConstB,MATCH(R260,FlowCalNumber,0),1,1)," ")</f>
        <v>#N/A</v>
      </c>
      <c r="V267" s="1224"/>
      <c r="W267" s="1217"/>
      <c r="X267" s="1218"/>
      <c r="Y267" s="1219"/>
      <c r="Z267" s="1224"/>
      <c r="AA267" s="1217"/>
      <c r="AB267" s="1218"/>
      <c r="AC267" s="1219"/>
      <c r="AD267" s="1224"/>
      <c r="AE267" s="1217"/>
      <c r="AF267" s="1218"/>
      <c r="AG267" s="1219"/>
      <c r="AH267" s="1224"/>
      <c r="AI267" s="1217"/>
      <c r="AJ267" s="1218"/>
      <c r="AK267" s="1220"/>
      <c r="AL267" s="1219"/>
      <c r="AM267" s="1219"/>
      <c r="AN267" s="1219"/>
      <c r="AO267" s="1219"/>
      <c r="AP267" s="1219"/>
      <c r="AQ267" s="1219"/>
      <c r="AR267" s="1219"/>
      <c r="AS267" s="1219"/>
      <c r="AT267" s="1219"/>
      <c r="AU267" s="1219"/>
      <c r="AV267" s="1219"/>
      <c r="AW267" s="1219"/>
      <c r="AX267" s="1219"/>
      <c r="AY267" s="1219"/>
      <c r="AZ267" s="1219"/>
      <c r="BA267" s="1219"/>
      <c r="BB267" s="1219"/>
      <c r="BC267" s="1219"/>
      <c r="BD267" s="1219"/>
      <c r="BE267" s="1219"/>
      <c r="BF267" s="1219"/>
      <c r="BG267" s="1219"/>
      <c r="BH267" s="1219"/>
      <c r="BI267" s="1219"/>
      <c r="BJ267" s="1219"/>
      <c r="BK267" s="1219"/>
      <c r="BL267" s="1219"/>
      <c r="BM267" s="1219"/>
      <c r="BN267" s="1219"/>
      <c r="BO267" s="1219"/>
      <c r="BP267" s="1219"/>
      <c r="BQ267" s="1219"/>
      <c r="BR267" s="1219"/>
      <c r="BS267" s="1219"/>
      <c r="BU267" s="1217"/>
      <c r="BW267" s="1219"/>
      <c r="BY267" s="1217"/>
      <c r="CA267" s="1219"/>
      <c r="CC267" s="1217"/>
      <c r="CE267" s="1219"/>
      <c r="CG267" s="1217"/>
      <c r="CI267" s="1219"/>
    </row>
    <row r="268" spans="1:87">
      <c r="A268" s="20"/>
      <c r="B268" s="124" t="str">
        <f t="shared" si="120"/>
        <v/>
      </c>
      <c r="C268" s="235"/>
      <c r="D268" s="24">
        <f>'1% Wind'!$M$89</f>
        <v>7.6</v>
      </c>
      <c r="E268" s="90"/>
      <c r="F268" s="90"/>
      <c r="G268" s="79" t="e">
        <f ca="1">IF(I260=0.9743,$G267,MAX(G267/D267*D268,2))</f>
        <v>#N/A</v>
      </c>
      <c r="H268" s="121" t="e">
        <f t="shared" ca="1" si="121"/>
        <v>#N/A</v>
      </c>
      <c r="J268" s="33"/>
      <c r="K268" s="242">
        <f t="shared" si="122"/>
        <v>1</v>
      </c>
      <c r="L268" s="241" t="e">
        <f t="shared" ca="1" si="123"/>
        <v>#N/A</v>
      </c>
      <c r="M268" s="243" t="e">
        <f ca="1">IF(AND(INDEX(FlowCalConstA,MATCH(J260,FlowCalNumber,0),1,1)*L268^INDEX(FlowCalConstB,MATCH(J260,FlowCalNumber,0),1,1)&gt;INDEX(FlowCalLowSetting,MATCH(J260,FlowCalNumber,0),1,1), (INDEX(FlowCalConstA,MATCH(J260,FlowCalNumber,0),1,1)*L268^INDEX(FlowCalConstB,MATCH(J260,FlowCalNumber,0),1,1)&lt;INDEX(FlowCalHighSetting,MATCH(J260,FlowCalNumber,0),1,1))),INDEX(FlowCalConstA,MATCH(J260,FlowCalNumber,0),1,1)*L268^INDEX(FlowCalConstB,MATCH(J260,FlowCalNumber,0),1,1)," ")</f>
        <v>#N/A</v>
      </c>
      <c r="N268" s="33"/>
      <c r="O268" s="242">
        <f t="shared" si="124"/>
        <v>1</v>
      </c>
      <c r="P268" s="241" t="e">
        <f t="shared" ca="1" si="125"/>
        <v>#N/A</v>
      </c>
      <c r="Q268" s="243" t="e">
        <f ca="1">IF(AND(INDEX(FlowCalConstA,MATCH(N260,FlowCalNumber,0),1,1)*P268^INDEX(FlowCalConstB,MATCH(N260,FlowCalNumber,0),1,1)&gt;INDEX(FlowCalLowSetting,MATCH(N260,FlowCalNumber,0),1,1), (INDEX(FlowCalConstA,MATCH(N260,FlowCalNumber,0),1,1)*P268^INDEX(FlowCalConstB,MATCH(N260,FlowCalNumber,0),1,1)&lt;INDEX(FlowCalHighSetting,MATCH(N260,FlowCalNumber,0),1,1))),INDEX(FlowCalConstA,MATCH(N260,FlowCalNumber,0),1,1)*P268^INDEX(FlowCalConstB,MATCH(N260,FlowCalNumber,0),1,1)," ")</f>
        <v>#N/A</v>
      </c>
      <c r="R268" s="33"/>
      <c r="S268" s="242">
        <f t="shared" si="126"/>
        <v>1</v>
      </c>
      <c r="T268" s="241" t="e">
        <f t="shared" ca="1" si="127"/>
        <v>#N/A</v>
      </c>
      <c r="U268" s="243" t="e">
        <f ca="1">IF(AND(INDEX(FlowCalConstA,MATCH(R260,FlowCalNumber,0),1,1)*T268^INDEX(FlowCalConstB,MATCH(R260,FlowCalNumber,0),1,1)&gt;INDEX(FlowCalLowSetting,MATCH(R260,FlowCalNumber,0),1,1), (INDEX(FlowCalConstA,MATCH(R260,FlowCalNumber,0),1,1)*T268^INDEX(FlowCalConstB,MATCH(R260,FlowCalNumber,0),1,1)&lt;INDEX(FlowCalHighSetting,MATCH(R260,FlowCalNumber,0),1,1))),INDEX(FlowCalConstA,MATCH(R260,FlowCalNumber,0),1,1)*T268^INDEX(FlowCalConstB,MATCH(R260,FlowCalNumber,0),1,1)," ")</f>
        <v>#N/A</v>
      </c>
      <c r="V268" s="33"/>
      <c r="W268" s="242"/>
      <c r="X268" s="241"/>
      <c r="Y268" s="243"/>
      <c r="Z268" s="33"/>
      <c r="AA268" s="242"/>
      <c r="AB268" s="241"/>
      <c r="AC268" s="243"/>
      <c r="AD268" s="33"/>
      <c r="AE268" s="242"/>
      <c r="AF268" s="241"/>
      <c r="AG268" s="243"/>
      <c r="AH268" s="33"/>
      <c r="AI268" s="242"/>
      <c r="AJ268" s="241"/>
      <c r="AK268" s="244"/>
      <c r="AL268" s="243"/>
      <c r="AM268" s="243"/>
      <c r="AN268" s="243"/>
      <c r="AO268" s="243"/>
      <c r="AP268" s="243"/>
      <c r="AQ268" s="243"/>
      <c r="AR268" s="243"/>
      <c r="AS268" s="243"/>
      <c r="AT268" s="243"/>
      <c r="AU268" s="243"/>
      <c r="AV268" s="243"/>
      <c r="AW268" s="243"/>
      <c r="AX268" s="243"/>
      <c r="AY268" s="243"/>
      <c r="AZ268" s="243"/>
      <c r="BA268" s="243"/>
      <c r="BB268" s="243"/>
      <c r="BC268" s="243"/>
      <c r="BD268" s="243"/>
      <c r="BE268" s="243"/>
      <c r="BF268" s="243"/>
      <c r="BG268" s="243"/>
      <c r="BH268" s="243"/>
      <c r="BI268" s="243"/>
      <c r="BJ268" s="243"/>
      <c r="BK268" s="243"/>
      <c r="BL268" s="243"/>
      <c r="BM268" s="243"/>
      <c r="BN268" s="243"/>
      <c r="BO268" s="243"/>
      <c r="BP268" s="243"/>
      <c r="BQ268" s="243"/>
      <c r="BR268" s="243"/>
      <c r="BS268" s="243"/>
      <c r="BU268" s="242"/>
      <c r="BW268" s="243"/>
      <c r="BY268" s="242"/>
      <c r="CA268" s="243"/>
      <c r="CC268" s="242"/>
      <c r="CE268" s="243"/>
      <c r="CG268" s="242"/>
      <c r="CI268" s="243"/>
    </row>
    <row r="269" spans="1:87" s="1215" customFormat="1">
      <c r="A269" s="1222"/>
      <c r="B269" s="1223" t="str">
        <f t="shared" si="120"/>
        <v/>
      </c>
      <c r="C269" s="1210"/>
      <c r="D269" s="1211">
        <f>'1% Wind'!$M$90</f>
        <v>5.7</v>
      </c>
      <c r="E269" s="1212"/>
      <c r="F269" s="1212"/>
      <c r="G269" s="1213" t="e">
        <f ca="1">IF(I260=0.9743,$G268,MAX(G268/D268*D269,2))</f>
        <v>#N/A</v>
      </c>
      <c r="H269" s="1214" t="e">
        <f t="shared" ca="1" si="121"/>
        <v>#N/A</v>
      </c>
      <c r="J269" s="1224"/>
      <c r="K269" s="1217">
        <f t="shared" si="122"/>
        <v>1</v>
      </c>
      <c r="L269" s="1218" t="e">
        <f t="shared" ca="1" si="123"/>
        <v>#N/A</v>
      </c>
      <c r="M269" s="1219" t="e">
        <f ca="1">IF(AND(INDEX(FlowCalConstA,MATCH(J260,FlowCalNumber,0),1,1)*L269^INDEX(FlowCalConstB,MATCH(J260,FlowCalNumber,0),1,1)&gt;INDEX(FlowCalLowSetting,MATCH(J260,FlowCalNumber,0),1,1), (INDEX(FlowCalConstA,MATCH(J260,FlowCalNumber,0),1,1)*L269^INDEX(FlowCalConstB,MATCH(J260,FlowCalNumber,0),1,1)&lt;INDEX(FlowCalHighSetting,MATCH(J260,FlowCalNumber,0),1,1))),INDEX(FlowCalConstA,MATCH(J260,FlowCalNumber,0),1,1)*L269^INDEX(FlowCalConstB,MATCH(J260,FlowCalNumber,0),1,1)," ")</f>
        <v>#N/A</v>
      </c>
      <c r="N269" s="1224"/>
      <c r="O269" s="1217">
        <f t="shared" si="124"/>
        <v>1</v>
      </c>
      <c r="P269" s="1218" t="e">
        <f t="shared" ca="1" si="125"/>
        <v>#N/A</v>
      </c>
      <c r="Q269" s="1219" t="e">
        <f ca="1">IF(AND(INDEX(FlowCalConstA,MATCH(N260,FlowCalNumber,0),1,1)*P269^INDEX(FlowCalConstB,MATCH(N260,FlowCalNumber,0),1,1)&gt;INDEX(FlowCalLowSetting,MATCH(N260,FlowCalNumber,0),1,1), (INDEX(FlowCalConstA,MATCH(N260,FlowCalNumber,0),1,1)*P269^INDEX(FlowCalConstB,MATCH(N260,FlowCalNumber,0),1,1)&lt;INDEX(FlowCalHighSetting,MATCH(N260,FlowCalNumber,0),1,1))),INDEX(FlowCalConstA,MATCH(N260,FlowCalNumber,0),1,1)*P269^INDEX(FlowCalConstB,MATCH(N260,FlowCalNumber,0),1,1)," ")</f>
        <v>#N/A</v>
      </c>
      <c r="R269" s="1224"/>
      <c r="S269" s="1217">
        <f t="shared" si="126"/>
        <v>1</v>
      </c>
      <c r="T269" s="1218" t="e">
        <f t="shared" ca="1" si="127"/>
        <v>#N/A</v>
      </c>
      <c r="U269" s="1219" t="e">
        <f ca="1">IF(AND(INDEX(FlowCalConstA,MATCH(R260,FlowCalNumber,0),1,1)*T269^INDEX(FlowCalConstB,MATCH(R260,FlowCalNumber,0),1,1)&gt;INDEX(FlowCalLowSetting,MATCH(R260,FlowCalNumber,0),1,1), (INDEX(FlowCalConstA,MATCH(R260,FlowCalNumber,0),1,1)*T269^INDEX(FlowCalConstB,MATCH(R260,FlowCalNumber,0),1,1)&lt;INDEX(FlowCalHighSetting,MATCH(R260,FlowCalNumber,0),1,1))),INDEX(FlowCalConstA,MATCH(R260,FlowCalNumber,0),1,1)*T269^INDEX(FlowCalConstB,MATCH(R260,FlowCalNumber,0),1,1)," ")</f>
        <v>#N/A</v>
      </c>
      <c r="V269" s="1224"/>
      <c r="W269" s="1217"/>
      <c r="X269" s="1218"/>
      <c r="Y269" s="1219"/>
      <c r="Z269" s="1224"/>
      <c r="AA269" s="1217"/>
      <c r="AB269" s="1218"/>
      <c r="AC269" s="1219"/>
      <c r="AD269" s="1224"/>
      <c r="AE269" s="1217"/>
      <c r="AF269" s="1218"/>
      <c r="AG269" s="1219"/>
      <c r="AH269" s="1224"/>
      <c r="AI269" s="1217"/>
      <c r="AJ269" s="1218"/>
      <c r="AK269" s="1220"/>
      <c r="AL269" s="1219"/>
      <c r="AM269" s="1219"/>
      <c r="AN269" s="1219"/>
      <c r="AO269" s="1219"/>
      <c r="AP269" s="1219"/>
      <c r="AQ269" s="1219"/>
      <c r="AR269" s="1219"/>
      <c r="AS269" s="1219"/>
      <c r="AT269" s="1219"/>
      <c r="AU269" s="1219"/>
      <c r="AV269" s="1219"/>
      <c r="AW269" s="1219"/>
      <c r="AX269" s="1219"/>
      <c r="AY269" s="1219"/>
      <c r="AZ269" s="1219"/>
      <c r="BA269" s="1219"/>
      <c r="BB269" s="1219"/>
      <c r="BC269" s="1219"/>
      <c r="BD269" s="1219"/>
      <c r="BE269" s="1219"/>
      <c r="BF269" s="1219"/>
      <c r="BG269" s="1219"/>
      <c r="BH269" s="1219"/>
      <c r="BI269" s="1219"/>
      <c r="BJ269" s="1219"/>
      <c r="BK269" s="1219"/>
      <c r="BL269" s="1219"/>
      <c r="BM269" s="1219"/>
      <c r="BN269" s="1219"/>
      <c r="BO269" s="1219"/>
      <c r="BP269" s="1219"/>
      <c r="BQ269" s="1219"/>
      <c r="BR269" s="1219"/>
      <c r="BS269" s="1219"/>
      <c r="BU269" s="1217"/>
      <c r="BW269" s="1219"/>
      <c r="BY269" s="1217"/>
      <c r="CA269" s="1219"/>
      <c r="CC269" s="1217"/>
      <c r="CE269" s="1219"/>
      <c r="CG269" s="1217"/>
      <c r="CI269" s="1219"/>
    </row>
    <row r="270" spans="1:87">
      <c r="A270" s="20"/>
      <c r="B270" s="124" t="str">
        <f t="shared" si="120"/>
        <v/>
      </c>
      <c r="C270" s="235"/>
      <c r="D270" s="24">
        <f>'1% Wind'!$M$91</f>
        <v>4.2</v>
      </c>
      <c r="E270" s="90"/>
      <c r="F270" s="90"/>
      <c r="G270" s="79" t="e">
        <f ca="1">IF(I260=0.9743,$G269,MAX(G269/D269*D270,2))</f>
        <v>#N/A</v>
      </c>
      <c r="H270" s="121" t="e">
        <f t="shared" ca="1" si="121"/>
        <v>#N/A</v>
      </c>
      <c r="J270" s="33"/>
      <c r="K270" s="242">
        <f t="shared" si="122"/>
        <v>1</v>
      </c>
      <c r="L270" s="241" t="e">
        <f t="shared" ca="1" si="123"/>
        <v>#N/A</v>
      </c>
      <c r="M270" s="243" t="e">
        <f ca="1">IF(AND(INDEX(FlowCalConstA,MATCH(J260,FlowCalNumber,0),1,1)*L270^INDEX(FlowCalConstB,MATCH(J260,FlowCalNumber,0),1,1)&gt;INDEX(FlowCalLowSetting,MATCH(J260,FlowCalNumber,0),1,1), (INDEX(FlowCalConstA,MATCH(J260,FlowCalNumber,0),1,1)*L270^INDEX(FlowCalConstB,MATCH(J260,FlowCalNumber,0),1,1)&lt;INDEX(FlowCalHighSetting,MATCH(J260,FlowCalNumber,0),1,1))),INDEX(FlowCalConstA,MATCH(J260,FlowCalNumber,0),1,1)*L270^INDEX(FlowCalConstB,MATCH(J260,FlowCalNumber,0),1,1)," ")</f>
        <v>#N/A</v>
      </c>
      <c r="N270" s="33"/>
      <c r="O270" s="242">
        <f t="shared" si="124"/>
        <v>1</v>
      </c>
      <c r="P270" s="241" t="e">
        <f t="shared" ca="1" si="125"/>
        <v>#N/A</v>
      </c>
      <c r="Q270" s="243" t="e">
        <f ca="1">IF(AND(INDEX(FlowCalConstA,MATCH(N260,FlowCalNumber,0),1,1)*P270^INDEX(FlowCalConstB,MATCH(N260,FlowCalNumber,0),1,1)&gt;INDEX(FlowCalLowSetting,MATCH(N260,FlowCalNumber,0),1,1), (INDEX(FlowCalConstA,MATCH(N260,FlowCalNumber,0),1,1)*P270^INDEX(FlowCalConstB,MATCH(N260,FlowCalNumber,0),1,1)&lt;INDEX(FlowCalHighSetting,MATCH(N260,FlowCalNumber,0),1,1))),INDEX(FlowCalConstA,MATCH(N260,FlowCalNumber,0),1,1)*P270^INDEX(FlowCalConstB,MATCH(N260,FlowCalNumber,0),1,1)," ")</f>
        <v>#N/A</v>
      </c>
      <c r="R270" s="33"/>
      <c r="S270" s="242">
        <f t="shared" si="126"/>
        <v>1</v>
      </c>
      <c r="T270" s="241" t="e">
        <f t="shared" ca="1" si="127"/>
        <v>#N/A</v>
      </c>
      <c r="U270" s="243" t="e">
        <f ca="1">IF(AND(INDEX(FlowCalConstA,MATCH(R260,FlowCalNumber,0),1,1)*T270^INDEX(FlowCalConstB,MATCH(R260,FlowCalNumber,0),1,1)&gt;INDEX(FlowCalLowSetting,MATCH(R260,FlowCalNumber,0),1,1), (INDEX(FlowCalConstA,MATCH(R260,FlowCalNumber,0),1,1)*T270^INDEX(FlowCalConstB,MATCH(R260,FlowCalNumber,0),1,1)&lt;INDEX(FlowCalHighSetting,MATCH(R260,FlowCalNumber,0),1,1))),INDEX(FlowCalConstA,MATCH(R260,FlowCalNumber,0),1,1)*T270^INDEX(FlowCalConstB,MATCH(R260,FlowCalNumber,0),1,1)," ")</f>
        <v>#N/A</v>
      </c>
      <c r="V270" s="33"/>
      <c r="W270" s="242"/>
      <c r="X270" s="241"/>
      <c r="Y270" s="243"/>
      <c r="Z270" s="33"/>
      <c r="AA270" s="242"/>
      <c r="AB270" s="241"/>
      <c r="AC270" s="243"/>
      <c r="AD270" s="33"/>
      <c r="AE270" s="242"/>
      <c r="AF270" s="241"/>
      <c r="AG270" s="243"/>
      <c r="AH270" s="33"/>
      <c r="AI270" s="242"/>
      <c r="AJ270" s="241"/>
      <c r="AK270" s="244"/>
      <c r="AL270" s="243"/>
      <c r="AM270" s="243"/>
      <c r="AN270" s="243"/>
      <c r="AO270" s="243"/>
      <c r="AP270" s="243"/>
      <c r="AQ270" s="243"/>
      <c r="AR270" s="243"/>
      <c r="AS270" s="243"/>
      <c r="AT270" s="243"/>
      <c r="AU270" s="243"/>
      <c r="AV270" s="243"/>
      <c r="AW270" s="243"/>
      <c r="AX270" s="243"/>
      <c r="AY270" s="243"/>
      <c r="AZ270" s="243"/>
      <c r="BA270" s="243"/>
      <c r="BB270" s="243"/>
      <c r="BC270" s="243"/>
      <c r="BD270" s="243"/>
      <c r="BE270" s="243"/>
      <c r="BF270" s="243"/>
      <c r="BG270" s="243"/>
      <c r="BH270" s="243"/>
      <c r="BI270" s="243"/>
      <c r="BJ270" s="243"/>
      <c r="BK270" s="243"/>
      <c r="BL270" s="243"/>
      <c r="BM270" s="243"/>
      <c r="BN270" s="243"/>
      <c r="BO270" s="243"/>
      <c r="BP270" s="243"/>
      <c r="BQ270" s="243"/>
      <c r="BR270" s="243"/>
      <c r="BS270" s="243"/>
      <c r="BU270" s="242"/>
      <c r="BW270" s="243"/>
      <c r="BY270" s="242"/>
      <c r="CA270" s="243"/>
      <c r="CC270" s="242"/>
      <c r="CE270" s="243"/>
      <c r="CG270" s="242"/>
      <c r="CI270" s="243"/>
    </row>
    <row r="271" spans="1:87" s="1215" customFormat="1">
      <c r="A271" s="1222"/>
      <c r="B271" s="1223" t="str">
        <f t="shared" si="120"/>
        <v/>
      </c>
      <c r="C271" s="1210"/>
      <c r="D271" s="1211">
        <f>'1% Wind'!$M$92</f>
        <v>3.2</v>
      </c>
      <c r="E271" s="1212"/>
      <c r="F271" s="1212"/>
      <c r="G271" s="1213" t="e">
        <f ca="1">IF(I260=0.9743,$G270,MAX(G270/D270*D271,2))</f>
        <v>#N/A</v>
      </c>
      <c r="H271" s="1214" t="e">
        <f t="shared" ca="1" si="121"/>
        <v>#N/A</v>
      </c>
      <c r="J271" s="1224"/>
      <c r="K271" s="1217">
        <f t="shared" si="122"/>
        <v>1</v>
      </c>
      <c r="L271" s="1218" t="e">
        <f t="shared" ca="1" si="123"/>
        <v>#N/A</v>
      </c>
      <c r="M271" s="1219" t="e">
        <f ca="1">IF(AND(INDEX(FlowCalConstA,MATCH(J260,FlowCalNumber,0),1,1)*L271^INDEX(FlowCalConstB,MATCH(J260,FlowCalNumber,0),1,1)&gt;INDEX(FlowCalLowSetting,MATCH(J260,FlowCalNumber,0),1,1), (INDEX(FlowCalConstA,MATCH(J260,FlowCalNumber,0),1,1)*L271^INDEX(FlowCalConstB,MATCH(J260,FlowCalNumber,0),1,1)&lt;INDEX(FlowCalHighSetting,MATCH(J260,FlowCalNumber,0),1,1))),INDEX(FlowCalConstA,MATCH(J260,FlowCalNumber,0),1,1)*L271^INDEX(FlowCalConstB,MATCH(J260,FlowCalNumber,0),1,1)," ")</f>
        <v>#N/A</v>
      </c>
      <c r="N271" s="1224"/>
      <c r="O271" s="1217">
        <f t="shared" si="124"/>
        <v>1</v>
      </c>
      <c r="P271" s="1218" t="e">
        <f t="shared" ca="1" si="125"/>
        <v>#N/A</v>
      </c>
      <c r="Q271" s="1219" t="e">
        <f ca="1">IF(AND(INDEX(FlowCalConstA,MATCH(N260,FlowCalNumber,0),1,1)*P271^INDEX(FlowCalConstB,MATCH(N260,FlowCalNumber,0),1,1)&gt;INDEX(FlowCalLowSetting,MATCH(N260,FlowCalNumber,0),1,1), (INDEX(FlowCalConstA,MATCH(N260,FlowCalNumber,0),1,1)*P271^INDEX(FlowCalConstB,MATCH(N260,FlowCalNumber,0),1,1)&lt;INDEX(FlowCalHighSetting,MATCH(N260,FlowCalNumber,0),1,1))),INDEX(FlowCalConstA,MATCH(N260,FlowCalNumber,0),1,1)*P271^INDEX(FlowCalConstB,MATCH(N260,FlowCalNumber,0),1,1)," ")</f>
        <v>#N/A</v>
      </c>
      <c r="R271" s="1224"/>
      <c r="S271" s="1217">
        <f t="shared" si="126"/>
        <v>1</v>
      </c>
      <c r="T271" s="1218" t="e">
        <f t="shared" ca="1" si="127"/>
        <v>#N/A</v>
      </c>
      <c r="U271" s="1219" t="e">
        <f ca="1">IF(AND(INDEX(FlowCalConstA,MATCH(R260,FlowCalNumber,0),1,1)*T271^INDEX(FlowCalConstB,MATCH(R260,FlowCalNumber,0),1,1)&gt;INDEX(FlowCalLowSetting,MATCH(R260,FlowCalNumber,0),1,1), (INDEX(FlowCalConstA,MATCH(R260,FlowCalNumber,0),1,1)*T271^INDEX(FlowCalConstB,MATCH(R260,FlowCalNumber,0),1,1)&lt;INDEX(FlowCalHighSetting,MATCH(R260,FlowCalNumber,0),1,1))),INDEX(FlowCalConstA,MATCH(R260,FlowCalNumber,0),1,1)*T271^INDEX(FlowCalConstB,MATCH(R260,FlowCalNumber,0),1,1)," ")</f>
        <v>#N/A</v>
      </c>
      <c r="V271" s="1224"/>
      <c r="W271" s="1217"/>
      <c r="X271" s="1218"/>
      <c r="Y271" s="1219"/>
      <c r="Z271" s="1224"/>
      <c r="AA271" s="1217"/>
      <c r="AB271" s="1218"/>
      <c r="AC271" s="1219"/>
      <c r="AD271" s="1224"/>
      <c r="AE271" s="1217"/>
      <c r="AF271" s="1218"/>
      <c r="AG271" s="1219"/>
      <c r="AH271" s="1224"/>
      <c r="AI271" s="1217"/>
      <c r="AJ271" s="1218"/>
      <c r="AK271" s="1220"/>
      <c r="AL271" s="1219"/>
      <c r="AM271" s="1219"/>
      <c r="AN271" s="1219"/>
      <c r="AO271" s="1219"/>
      <c r="AP271" s="1219"/>
      <c r="AQ271" s="1219"/>
      <c r="AR271" s="1219"/>
      <c r="AS271" s="1219"/>
      <c r="AT271" s="1219"/>
      <c r="AU271" s="1219"/>
      <c r="AV271" s="1219"/>
      <c r="AW271" s="1219"/>
      <c r="AX271" s="1219"/>
      <c r="AY271" s="1219"/>
      <c r="AZ271" s="1219"/>
      <c r="BA271" s="1219"/>
      <c r="BB271" s="1219"/>
      <c r="BC271" s="1219"/>
      <c r="BD271" s="1219"/>
      <c r="BE271" s="1219"/>
      <c r="BF271" s="1219"/>
      <c r="BG271" s="1219"/>
      <c r="BH271" s="1219"/>
      <c r="BI271" s="1219"/>
      <c r="BJ271" s="1219"/>
      <c r="BK271" s="1219"/>
      <c r="BL271" s="1219"/>
      <c r="BM271" s="1219"/>
      <c r="BN271" s="1219"/>
      <c r="BO271" s="1219"/>
      <c r="BP271" s="1219"/>
      <c r="BQ271" s="1219"/>
      <c r="BR271" s="1219"/>
      <c r="BS271" s="1219"/>
      <c r="BU271" s="1217"/>
      <c r="BW271" s="1219"/>
      <c r="BY271" s="1217"/>
      <c r="CA271" s="1219"/>
      <c r="CC271" s="1217"/>
      <c r="CE271" s="1219"/>
      <c r="CG271" s="1217"/>
      <c r="CI271" s="1219"/>
    </row>
    <row r="272" spans="1:87">
      <c r="A272" s="20"/>
      <c r="B272" s="124" t="str">
        <f t="shared" si="120"/>
        <v/>
      </c>
      <c r="C272" s="235"/>
      <c r="D272" s="24">
        <f>'1% Wind'!$M$93</f>
        <v>2.4</v>
      </c>
      <c r="E272" s="90"/>
      <c r="F272" s="90"/>
      <c r="G272" s="79" t="e">
        <f ca="1">IF(I260=0.9743,$G271,MAX(G271/D271*D272,2))</f>
        <v>#N/A</v>
      </c>
      <c r="H272" s="121" t="e">
        <f t="shared" ca="1" si="121"/>
        <v>#N/A</v>
      </c>
      <c r="J272" s="33"/>
      <c r="K272" s="242">
        <f t="shared" si="122"/>
        <v>1</v>
      </c>
      <c r="L272" s="241" t="e">
        <f t="shared" ca="1" si="123"/>
        <v>#N/A</v>
      </c>
      <c r="M272" s="243" t="e">
        <f ca="1">IF(AND(INDEX(FlowCalConstA,MATCH(J260,FlowCalNumber,0),1,1)*L272^INDEX(FlowCalConstB,MATCH(J260,FlowCalNumber,0),1,1)&gt;INDEX(FlowCalLowSetting,MATCH(J260,FlowCalNumber,0),1,1), (INDEX(FlowCalConstA,MATCH(J260,FlowCalNumber,0),1,1)*L272^INDEX(FlowCalConstB,MATCH(J260,FlowCalNumber,0),1,1)&lt;INDEX(FlowCalHighSetting,MATCH(J260,FlowCalNumber,0),1,1))),INDEX(FlowCalConstA,MATCH(J260,FlowCalNumber,0),1,1)*L272^INDEX(FlowCalConstB,MATCH(J260,FlowCalNumber,0),1,1)," ")</f>
        <v>#N/A</v>
      </c>
      <c r="N272" s="33"/>
      <c r="O272" s="242">
        <f t="shared" si="124"/>
        <v>1</v>
      </c>
      <c r="P272" s="241" t="e">
        <f t="shared" ca="1" si="125"/>
        <v>#N/A</v>
      </c>
      <c r="Q272" s="243" t="e">
        <f ca="1">IF(AND(INDEX(FlowCalConstA,MATCH(N260,FlowCalNumber,0),1,1)*P272^INDEX(FlowCalConstB,MATCH(N260,FlowCalNumber,0),1,1)&gt;INDEX(FlowCalLowSetting,MATCH(N260,FlowCalNumber,0),1,1), (INDEX(FlowCalConstA,MATCH(N260,FlowCalNumber,0),1,1)*P272^INDEX(FlowCalConstB,MATCH(N260,FlowCalNumber,0),1,1)&lt;INDEX(FlowCalHighSetting,MATCH(N260,FlowCalNumber,0),1,1))),INDEX(FlowCalConstA,MATCH(N260,FlowCalNumber,0),1,1)*P272^INDEX(FlowCalConstB,MATCH(N260,FlowCalNumber,0),1,1)," ")</f>
        <v>#N/A</v>
      </c>
      <c r="R272" s="33"/>
      <c r="S272" s="242">
        <f t="shared" si="126"/>
        <v>1</v>
      </c>
      <c r="T272" s="241" t="e">
        <f t="shared" ca="1" si="127"/>
        <v>#N/A</v>
      </c>
      <c r="U272" s="243" t="e">
        <f ca="1">IF(AND(INDEX(FlowCalConstA,MATCH(R260,FlowCalNumber,0),1,1)*T272^INDEX(FlowCalConstB,MATCH(R260,FlowCalNumber,0),1,1)&gt;INDEX(FlowCalLowSetting,MATCH(R260,FlowCalNumber,0),1,1), (INDEX(FlowCalConstA,MATCH(R260,FlowCalNumber,0),1,1)*T272^INDEX(FlowCalConstB,MATCH(R260,FlowCalNumber,0),1,1)&lt;INDEX(FlowCalHighSetting,MATCH(R260,FlowCalNumber,0),1,1))),INDEX(FlowCalConstA,MATCH(R260,FlowCalNumber,0),1,1)*T272^INDEX(FlowCalConstB,MATCH(R260,FlowCalNumber,0),1,1)," ")</f>
        <v>#N/A</v>
      </c>
      <c r="V272" s="33"/>
      <c r="W272" s="242"/>
      <c r="X272" s="241"/>
      <c r="Y272" s="243"/>
      <c r="Z272" s="33"/>
      <c r="AA272" s="242"/>
      <c r="AB272" s="241"/>
      <c r="AC272" s="243"/>
      <c r="AD272" s="33"/>
      <c r="AE272" s="242"/>
      <c r="AF272" s="241"/>
      <c r="AG272" s="243"/>
      <c r="AH272" s="33"/>
      <c r="AI272" s="242"/>
      <c r="AJ272" s="241"/>
      <c r="AK272" s="244"/>
      <c r="AL272" s="243"/>
      <c r="AM272" s="243"/>
      <c r="AN272" s="243"/>
      <c r="AO272" s="243"/>
      <c r="AP272" s="243"/>
      <c r="AQ272" s="243"/>
      <c r="AR272" s="243"/>
      <c r="AS272" s="243"/>
      <c r="AT272" s="243"/>
      <c r="AU272" s="243"/>
      <c r="AV272" s="243"/>
      <c r="AW272" s="243"/>
      <c r="AX272" s="243"/>
      <c r="AY272" s="243"/>
      <c r="AZ272" s="243"/>
      <c r="BA272" s="243"/>
      <c r="BB272" s="243"/>
      <c r="BC272" s="243"/>
      <c r="BD272" s="243"/>
      <c r="BE272" s="243"/>
      <c r="BF272" s="243"/>
      <c r="BG272" s="243"/>
      <c r="BH272" s="243"/>
      <c r="BI272" s="243"/>
      <c r="BJ272" s="243"/>
      <c r="BK272" s="243"/>
      <c r="BL272" s="243"/>
      <c r="BM272" s="243"/>
      <c r="BN272" s="243"/>
      <c r="BO272" s="243"/>
      <c r="BP272" s="243"/>
      <c r="BQ272" s="243"/>
      <c r="BR272" s="243"/>
      <c r="BS272" s="243"/>
      <c r="BU272" s="242"/>
      <c r="BW272" s="243"/>
      <c r="BY272" s="242"/>
      <c r="CA272" s="243"/>
      <c r="CC272" s="242"/>
      <c r="CE272" s="243"/>
      <c r="CG272" s="242"/>
      <c r="CI272" s="243"/>
    </row>
    <row r="273" spans="1:87" s="1215" customFormat="1">
      <c r="A273" s="1222"/>
      <c r="B273" s="1223" t="str">
        <f t="shared" si="120"/>
        <v/>
      </c>
      <c r="C273" s="1210"/>
      <c r="D273" s="1211">
        <f>'1% Wind'!$M$94</f>
        <v>1.8</v>
      </c>
      <c r="E273" s="1212"/>
      <c r="F273" s="1212"/>
      <c r="G273" s="1213" t="e">
        <f ca="1">IF(I260=0.9743,$G272,MAX(G272/D272*D273,2))</f>
        <v>#N/A</v>
      </c>
      <c r="H273" s="1214" t="e">
        <f t="shared" ca="1" si="121"/>
        <v>#N/A</v>
      </c>
      <c r="J273" s="1224"/>
      <c r="K273" s="1217">
        <f t="shared" si="122"/>
        <v>1</v>
      </c>
      <c r="L273" s="1218" t="e">
        <f t="shared" ca="1" si="123"/>
        <v>#N/A</v>
      </c>
      <c r="M273" s="1219" t="e">
        <f ca="1">IF(AND(INDEX(FlowCalConstA,MATCH(J260,FlowCalNumber,0),1,1)*L273^INDEX(FlowCalConstB,MATCH(J260,FlowCalNumber,0),1,1)&gt;INDEX(FlowCalLowSetting,MATCH(J260,FlowCalNumber,0),1,1), (INDEX(FlowCalConstA,MATCH(J260,FlowCalNumber,0),1,1)*L273^INDEX(FlowCalConstB,MATCH(J260,FlowCalNumber,0),1,1)&lt;INDEX(FlowCalHighSetting,MATCH(J260,FlowCalNumber,0),1,1))),INDEX(FlowCalConstA,MATCH(J260,FlowCalNumber,0),1,1)*L273^INDEX(FlowCalConstB,MATCH(J260,FlowCalNumber,0),1,1)," ")</f>
        <v>#N/A</v>
      </c>
      <c r="N273" s="1224"/>
      <c r="O273" s="1217">
        <f t="shared" si="124"/>
        <v>1</v>
      </c>
      <c r="P273" s="1218" t="e">
        <f t="shared" ca="1" si="125"/>
        <v>#N/A</v>
      </c>
      <c r="Q273" s="1219" t="e">
        <f ca="1">IF(AND(INDEX(FlowCalConstA,MATCH(N260,FlowCalNumber,0),1,1)*P273^INDEX(FlowCalConstB,MATCH(N260,FlowCalNumber,0),1,1)&gt;INDEX(FlowCalLowSetting,MATCH(N260,FlowCalNumber,0),1,1), (INDEX(FlowCalConstA,MATCH(N260,FlowCalNumber,0),1,1)*P273^INDEX(FlowCalConstB,MATCH(N260,FlowCalNumber,0),1,1)&lt;INDEX(FlowCalHighSetting,MATCH(N260,FlowCalNumber,0),1,1))),INDEX(FlowCalConstA,MATCH(N260,FlowCalNumber,0),1,1)*P273^INDEX(FlowCalConstB,MATCH(N260,FlowCalNumber,0),1,1)," ")</f>
        <v>#N/A</v>
      </c>
      <c r="R273" s="1224"/>
      <c r="S273" s="1217">
        <f t="shared" si="126"/>
        <v>1</v>
      </c>
      <c r="T273" s="1218" t="e">
        <f t="shared" ca="1" si="127"/>
        <v>#N/A</v>
      </c>
      <c r="U273" s="1219" t="e">
        <f ca="1">IF(AND(INDEX(FlowCalConstA,MATCH(R260,FlowCalNumber,0),1,1)*T273^INDEX(FlowCalConstB,MATCH(R260,FlowCalNumber,0),1,1)&gt;INDEX(FlowCalLowSetting,MATCH(R260,FlowCalNumber,0),1,1), (INDEX(FlowCalConstA,MATCH(R260,FlowCalNumber,0),1,1)*T273^INDEX(FlowCalConstB,MATCH(R260,FlowCalNumber,0),1,1)&lt;INDEX(FlowCalHighSetting,MATCH(R260,FlowCalNumber,0),1,1))),INDEX(FlowCalConstA,MATCH(R260,FlowCalNumber,0),1,1)*T273^INDEX(FlowCalConstB,MATCH(R260,FlowCalNumber,0),1,1)," ")</f>
        <v>#N/A</v>
      </c>
      <c r="V273" s="1224"/>
      <c r="W273" s="1217"/>
      <c r="X273" s="1218"/>
      <c r="Y273" s="1219"/>
      <c r="Z273" s="1224"/>
      <c r="AA273" s="1217"/>
      <c r="AB273" s="1218"/>
      <c r="AC273" s="1219"/>
      <c r="AD273" s="1224"/>
      <c r="AE273" s="1217"/>
      <c r="AF273" s="1218"/>
      <c r="AG273" s="1219"/>
      <c r="AH273" s="1224"/>
      <c r="AI273" s="1217"/>
      <c r="AJ273" s="1218"/>
      <c r="AK273" s="1220"/>
      <c r="AL273" s="1219"/>
      <c r="AM273" s="1219"/>
      <c r="AN273" s="1219"/>
      <c r="AO273" s="1219"/>
      <c r="AP273" s="1219"/>
      <c r="AQ273" s="1219"/>
      <c r="AR273" s="1219"/>
      <c r="AS273" s="1219"/>
      <c r="AT273" s="1219"/>
      <c r="AU273" s="1219"/>
      <c r="AV273" s="1219"/>
      <c r="AW273" s="1219"/>
      <c r="AX273" s="1219"/>
      <c r="AY273" s="1219"/>
      <c r="AZ273" s="1219"/>
      <c r="BA273" s="1219"/>
      <c r="BB273" s="1219"/>
      <c r="BC273" s="1219"/>
      <c r="BD273" s="1219"/>
      <c r="BE273" s="1219"/>
      <c r="BF273" s="1219"/>
      <c r="BG273" s="1219"/>
      <c r="BH273" s="1219"/>
      <c r="BI273" s="1219"/>
      <c r="BJ273" s="1219"/>
      <c r="BK273" s="1219"/>
      <c r="BL273" s="1219"/>
      <c r="BM273" s="1219"/>
      <c r="BN273" s="1219"/>
      <c r="BO273" s="1219"/>
      <c r="BP273" s="1219"/>
      <c r="BQ273" s="1219"/>
      <c r="BR273" s="1219"/>
      <c r="BS273" s="1219"/>
      <c r="BU273" s="1217"/>
      <c r="BW273" s="1219"/>
      <c r="BY273" s="1217"/>
      <c r="CA273" s="1219"/>
      <c r="CC273" s="1217"/>
      <c r="CE273" s="1219"/>
      <c r="CG273" s="1217"/>
      <c r="CI273" s="1219"/>
    </row>
    <row r="274" spans="1:87">
      <c r="A274" s="20"/>
      <c r="B274" s="124" t="str">
        <f t="shared" si="120"/>
        <v/>
      </c>
      <c r="C274" s="235"/>
      <c r="D274" s="24">
        <f>'1% Wind'!$M$95</f>
        <v>1.3</v>
      </c>
      <c r="E274" s="90"/>
      <c r="F274" s="90"/>
      <c r="G274" s="79" t="e">
        <f ca="1">IF(I260=0.9743,$G273,MAX(G273/D273*D274,2))</f>
        <v>#N/A</v>
      </c>
      <c r="H274" s="121" t="e">
        <f t="shared" ca="1" si="121"/>
        <v>#N/A</v>
      </c>
      <c r="J274" s="33"/>
      <c r="K274" s="242">
        <f t="shared" si="122"/>
        <v>1</v>
      </c>
      <c r="L274" s="241" t="e">
        <f t="shared" ca="1" si="123"/>
        <v>#N/A</v>
      </c>
      <c r="M274" s="243" t="e">
        <f ca="1">IF(AND(INDEX(FlowCalConstA,MATCH(J260,FlowCalNumber,0),1,1)*L274^INDEX(FlowCalConstB,MATCH(J260,FlowCalNumber,0),1,1)&gt;INDEX(FlowCalLowSetting,MATCH(J260,FlowCalNumber,0),1,1), (INDEX(FlowCalConstA,MATCH(J260,FlowCalNumber,0),1,1)*L274^INDEX(FlowCalConstB,MATCH(J260,FlowCalNumber,0),1,1)&lt;INDEX(FlowCalHighSetting,MATCH(J260,FlowCalNumber,0),1,1))),INDEX(FlowCalConstA,MATCH(J260,FlowCalNumber,0),1,1)*L274^INDEX(FlowCalConstB,MATCH(J260,FlowCalNumber,0),1,1)," ")</f>
        <v>#N/A</v>
      </c>
      <c r="N274" s="33"/>
      <c r="O274" s="242">
        <f t="shared" si="124"/>
        <v>1</v>
      </c>
      <c r="P274" s="241" t="e">
        <f t="shared" ca="1" si="125"/>
        <v>#N/A</v>
      </c>
      <c r="Q274" s="243" t="e">
        <f ca="1">IF(AND(INDEX(FlowCalConstA,MATCH(N260,FlowCalNumber,0),1,1)*P274^INDEX(FlowCalConstB,MATCH(N260,FlowCalNumber,0),1,1)&gt;INDEX(FlowCalLowSetting,MATCH(N260,FlowCalNumber,0),1,1), (INDEX(FlowCalConstA,MATCH(N260,FlowCalNumber,0),1,1)*P274^INDEX(FlowCalConstB,MATCH(N260,FlowCalNumber,0),1,1)&lt;INDEX(FlowCalHighSetting,MATCH(N260,FlowCalNumber,0),1,1))),INDEX(FlowCalConstA,MATCH(N260,FlowCalNumber,0),1,1)*P274^INDEX(FlowCalConstB,MATCH(N260,FlowCalNumber,0),1,1)," ")</f>
        <v>#N/A</v>
      </c>
      <c r="R274" s="33"/>
      <c r="S274" s="242">
        <f t="shared" si="126"/>
        <v>1</v>
      </c>
      <c r="T274" s="241" t="e">
        <f t="shared" ca="1" si="127"/>
        <v>#N/A</v>
      </c>
      <c r="U274" s="243" t="e">
        <f ca="1">IF(AND(INDEX(FlowCalConstA,MATCH(R260,FlowCalNumber,0),1,1)*T274^INDEX(FlowCalConstB,MATCH(R260,FlowCalNumber,0),1,1)&gt;INDEX(FlowCalLowSetting,MATCH(R260,FlowCalNumber,0),1,1), (INDEX(FlowCalConstA,MATCH(R260,FlowCalNumber,0),1,1)*T274^INDEX(FlowCalConstB,MATCH(R260,FlowCalNumber,0),1,1)&lt;INDEX(FlowCalHighSetting,MATCH(R260,FlowCalNumber,0),1,1))),INDEX(FlowCalConstA,MATCH(R260,FlowCalNumber,0),1,1)*T274^INDEX(FlowCalConstB,MATCH(R260,FlowCalNumber,0),1,1)," ")</f>
        <v>#N/A</v>
      </c>
      <c r="V274" s="33"/>
      <c r="W274" s="242"/>
      <c r="X274" s="241"/>
      <c r="Y274" s="243"/>
      <c r="Z274" s="33"/>
      <c r="AA274" s="242"/>
      <c r="AB274" s="241"/>
      <c r="AC274" s="243"/>
      <c r="AD274" s="33"/>
      <c r="AE274" s="242"/>
      <c r="AF274" s="241"/>
      <c r="AG274" s="243"/>
      <c r="AH274" s="33"/>
      <c r="AI274" s="242"/>
      <c r="AJ274" s="241"/>
      <c r="AK274" s="244"/>
      <c r="AL274" s="243"/>
      <c r="AM274" s="243"/>
      <c r="AN274" s="243"/>
      <c r="AO274" s="243"/>
      <c r="AP274" s="243"/>
      <c r="AQ274" s="243"/>
      <c r="AR274" s="243"/>
      <c r="AS274" s="243"/>
      <c r="AT274" s="243"/>
      <c r="AU274" s="243"/>
      <c r="AV274" s="243"/>
      <c r="AW274" s="243"/>
      <c r="AX274" s="243"/>
      <c r="AY274" s="243"/>
      <c r="AZ274" s="243"/>
      <c r="BA274" s="243"/>
      <c r="BB274" s="243"/>
      <c r="BC274" s="243"/>
      <c r="BD274" s="243"/>
      <c r="BE274" s="243"/>
      <c r="BF274" s="243"/>
      <c r="BG274" s="243"/>
      <c r="BH274" s="243"/>
      <c r="BI274" s="243"/>
      <c r="BJ274" s="243"/>
      <c r="BK274" s="243"/>
      <c r="BL274" s="243"/>
      <c r="BM274" s="243"/>
      <c r="BN274" s="243"/>
      <c r="BO274" s="243"/>
      <c r="BP274" s="243"/>
      <c r="BQ274" s="243"/>
      <c r="BR274" s="243"/>
      <c r="BS274" s="243"/>
      <c r="BU274" s="242"/>
      <c r="BW274" s="243"/>
      <c r="BY274" s="242"/>
      <c r="CA274" s="243"/>
      <c r="CC274" s="242"/>
      <c r="CE274" s="243"/>
      <c r="CG274" s="242"/>
      <c r="CI274" s="243"/>
    </row>
    <row r="275" spans="1:87" s="1215" customFormat="1">
      <c r="A275" s="1222"/>
      <c r="B275" s="1223" t="str">
        <f t="shared" si="120"/>
        <v/>
      </c>
      <c r="C275" s="1210"/>
      <c r="D275" s="1211">
        <f>'1% Wind'!$M$96</f>
        <v>1</v>
      </c>
      <c r="E275" s="1212"/>
      <c r="F275" s="1212"/>
      <c r="G275" s="1213" t="e">
        <f ca="1">IF(I260=0.9743,$G274,MAX(G274/D274*D275,2))</f>
        <v>#N/A</v>
      </c>
      <c r="H275" s="1214" t="e">
        <f t="shared" ca="1" si="121"/>
        <v>#N/A</v>
      </c>
      <c r="J275" s="1224"/>
      <c r="K275" s="1217">
        <f t="shared" si="122"/>
        <v>1</v>
      </c>
      <c r="L275" s="1218" t="e">
        <f t="shared" ca="1" si="123"/>
        <v>#N/A</v>
      </c>
      <c r="M275" s="1219" t="e">
        <f ca="1">IF(AND(INDEX(FlowCalConstA,MATCH(J260,FlowCalNumber,0),1,1)*L275^INDEX(FlowCalConstB,MATCH(J260,FlowCalNumber,0),1,1)&gt;INDEX(FlowCalLowSetting,MATCH(J260,FlowCalNumber,0),1,1), (INDEX(FlowCalConstA,MATCH(J260,FlowCalNumber,0),1,1)*L275^INDEX(FlowCalConstB,MATCH(J260,FlowCalNumber,0),1,1)&lt;INDEX(FlowCalHighSetting,MATCH(J260,FlowCalNumber,0),1,1))),INDEX(FlowCalConstA,MATCH(J260,FlowCalNumber,0),1,1)*L275^INDEX(FlowCalConstB,MATCH(J260,FlowCalNumber,0),1,1)," ")</f>
        <v>#N/A</v>
      </c>
      <c r="N275" s="1224"/>
      <c r="O275" s="1217">
        <f t="shared" si="124"/>
        <v>1</v>
      </c>
      <c r="P275" s="1218" t="e">
        <f t="shared" ca="1" si="125"/>
        <v>#N/A</v>
      </c>
      <c r="Q275" s="1219" t="e">
        <f ca="1">IF(AND(INDEX(FlowCalConstA,MATCH(N260,FlowCalNumber,0),1,1)*P275^INDEX(FlowCalConstB,MATCH(N260,FlowCalNumber,0),1,1)&gt;INDEX(FlowCalLowSetting,MATCH(N260,FlowCalNumber,0),1,1), (INDEX(FlowCalConstA,MATCH(N260,FlowCalNumber,0),1,1)*P275^INDEX(FlowCalConstB,MATCH(N260,FlowCalNumber,0),1,1)&lt;INDEX(FlowCalHighSetting,MATCH(N260,FlowCalNumber,0),1,1))),INDEX(FlowCalConstA,MATCH(N260,FlowCalNumber,0),1,1)*P275^INDEX(FlowCalConstB,MATCH(N260,FlowCalNumber,0),1,1)," ")</f>
        <v>#N/A</v>
      </c>
      <c r="R275" s="1224"/>
      <c r="S275" s="1217">
        <f t="shared" si="126"/>
        <v>1</v>
      </c>
      <c r="T275" s="1218" t="e">
        <f t="shared" ca="1" si="127"/>
        <v>#N/A</v>
      </c>
      <c r="U275" s="1219" t="e">
        <f ca="1">IF(AND(INDEX(FlowCalConstA,MATCH(R260,FlowCalNumber,0),1,1)*T275^INDEX(FlowCalConstB,MATCH(R260,FlowCalNumber,0),1,1)&gt;INDEX(FlowCalLowSetting,MATCH(R260,FlowCalNumber,0),1,1), (INDEX(FlowCalConstA,MATCH(R260,FlowCalNumber,0),1,1)*T275^INDEX(FlowCalConstB,MATCH(R260,FlowCalNumber,0),1,1)&lt;INDEX(FlowCalHighSetting,MATCH(R260,FlowCalNumber,0),1,1))),INDEX(FlowCalConstA,MATCH(R260,FlowCalNumber,0),1,1)*T275^INDEX(FlowCalConstB,MATCH(R260,FlowCalNumber,0),1,1)," ")</f>
        <v>#N/A</v>
      </c>
      <c r="V275" s="1224"/>
      <c r="W275" s="1217"/>
      <c r="X275" s="1218"/>
      <c r="Y275" s="1219"/>
      <c r="Z275" s="1224"/>
      <c r="AA275" s="1217"/>
      <c r="AB275" s="1218"/>
      <c r="AC275" s="1219"/>
      <c r="AD275" s="1224"/>
      <c r="AE275" s="1217"/>
      <c r="AF275" s="1218"/>
      <c r="AG275" s="1219"/>
      <c r="AH275" s="1224"/>
      <c r="AI275" s="1217"/>
      <c r="AJ275" s="1218"/>
      <c r="AK275" s="1220"/>
      <c r="AL275" s="1219"/>
      <c r="AM275" s="1219"/>
      <c r="AN275" s="1219"/>
      <c r="AO275" s="1219"/>
      <c r="AP275" s="1219"/>
      <c r="AQ275" s="1219"/>
      <c r="AR275" s="1219"/>
      <c r="AS275" s="1219"/>
      <c r="AT275" s="1219"/>
      <c r="AU275" s="1219"/>
      <c r="AV275" s="1219"/>
      <c r="AW275" s="1219"/>
      <c r="AX275" s="1219"/>
      <c r="AY275" s="1219"/>
      <c r="AZ275" s="1219"/>
      <c r="BA275" s="1219"/>
      <c r="BB275" s="1219"/>
      <c r="BC275" s="1219"/>
      <c r="BD275" s="1219"/>
      <c r="BE275" s="1219"/>
      <c r="BF275" s="1219"/>
      <c r="BG275" s="1219"/>
      <c r="BH275" s="1219"/>
      <c r="BI275" s="1219"/>
      <c r="BJ275" s="1219"/>
      <c r="BK275" s="1219"/>
      <c r="BL275" s="1219"/>
      <c r="BM275" s="1219"/>
      <c r="BN275" s="1219"/>
      <c r="BO275" s="1219"/>
      <c r="BP275" s="1219"/>
      <c r="BQ275" s="1219"/>
      <c r="BR275" s="1219"/>
      <c r="BS275" s="1219"/>
      <c r="BU275" s="1217"/>
      <c r="BW275" s="1219"/>
      <c r="BY275" s="1217"/>
      <c r="CA275" s="1219"/>
      <c r="CC275" s="1217"/>
      <c r="CE275" s="1219"/>
      <c r="CG275" s="1217"/>
      <c r="CI275" s="1219"/>
    </row>
    <row r="276" spans="1:87">
      <c r="A276" s="33"/>
      <c r="B276" s="33"/>
      <c r="C276" s="235"/>
      <c r="E276" s="90"/>
      <c r="F276" s="90"/>
      <c r="G276" s="33"/>
      <c r="J276" s="33"/>
      <c r="M276" s="243"/>
      <c r="N276" s="33"/>
      <c r="Q276" s="243"/>
      <c r="R276" s="33"/>
      <c r="U276" s="243"/>
      <c r="V276" s="33"/>
      <c r="Y276" s="243"/>
      <c r="Z276" s="33"/>
      <c r="AC276" s="243"/>
      <c r="AD276" s="33"/>
      <c r="AG276" s="243"/>
      <c r="AH276" s="33"/>
      <c r="AK276" s="244"/>
      <c r="AL276" s="243"/>
      <c r="AM276" s="243"/>
      <c r="AN276" s="243"/>
      <c r="AO276" s="243"/>
      <c r="AP276" s="243"/>
      <c r="AQ276" s="243"/>
      <c r="AR276" s="243"/>
      <c r="AS276" s="243"/>
      <c r="AT276" s="243"/>
      <c r="AU276" s="243"/>
      <c r="AV276" s="243"/>
      <c r="AW276" s="243"/>
      <c r="AX276" s="243"/>
      <c r="AY276" s="243"/>
      <c r="AZ276" s="243"/>
      <c r="BA276" s="243"/>
      <c r="BB276" s="243"/>
      <c r="BC276" s="243"/>
      <c r="BD276" s="243"/>
      <c r="BE276" s="243"/>
      <c r="BF276" s="243"/>
      <c r="BG276" s="243"/>
      <c r="BH276" s="243"/>
      <c r="BI276" s="243"/>
      <c r="BJ276" s="243"/>
      <c r="BK276" s="243"/>
      <c r="BL276" s="243"/>
      <c r="BM276" s="243"/>
      <c r="BN276" s="243"/>
      <c r="BO276" s="243"/>
      <c r="BP276" s="243"/>
      <c r="BQ276" s="243"/>
      <c r="BR276" s="243"/>
      <c r="BS276" s="243"/>
      <c r="BW276" s="243"/>
      <c r="CA276" s="243"/>
      <c r="CE276" s="243"/>
      <c r="CI276" s="243"/>
    </row>
    <row r="277" spans="1:87">
      <c r="A277" s="256" t="str">
        <f>IF((RIGHT(A260,1))&lt;&gt;"Z",CHAR(CODE(A260))&amp;CHAR(CODE(RIGHT(A260,1))+1),CHAR(CODE(A260)+1)&amp;"A")</f>
        <v>AP</v>
      </c>
      <c r="B277" s="270" t="e">
        <f>INDEX(SourceID,MATCH($A277,SourceNumber,0),1,1)</f>
        <v>#N/A</v>
      </c>
      <c r="C277" s="354" t="e">
        <f>INDEX(SourceExitDiameter,MATCH($A277,SourceNumber,0),1,1)*3.28*12</f>
        <v>#N/A</v>
      </c>
      <c r="D277" s="24" t="str">
        <f>UAnem1percent</f>
        <v>1% Wind</v>
      </c>
      <c r="E277" s="350" t="e">
        <f ca="1">INDIRECT(ADDRESS(53,6,1,,CONCATENATE("TA",$A277)))</f>
        <v>#REF!</v>
      </c>
      <c r="F277" s="625" t="e">
        <f ca="1">(ROUND((INDIRECT(ADDRESS(15,7,1,,CONCATENATE("TA",$A277)))*3.28*12*32),0)&amp;"/32")</f>
        <v>#REF!</v>
      </c>
      <c r="G277" s="125" t="e">
        <f ca="1">INDIRECT(ADDRESS(29,7,1,,$A277))</f>
        <v>#N/A</v>
      </c>
      <c r="H277" s="24" t="e">
        <f ca="1">INDIRECT(ADDRESS(19,7,1,,$A277))*100^3</f>
        <v>#N/A</v>
      </c>
      <c r="I277" s="941" t="e">
        <f ca="1">INDIRECT(ADDRESS(53,7,1,,$A277))</f>
        <v>#N/A</v>
      </c>
      <c r="J277" s="20" t="e">
        <f ca="1">IF($I277=$I$6,K$16&amp;$G$6&amp;J$6,IF($I277=$I$7,K$16&amp;$G$7&amp;J$7,"Bad"))</f>
        <v>#N/A</v>
      </c>
      <c r="K277" t="e">
        <f ca="1">INDEX(FlowCalGasMixture,MATCH(J277,FlowCalNumber,0),1,1)</f>
        <v>#N/A</v>
      </c>
      <c r="M277" s="944" t="e">
        <f ca="1">INDEX(FlowCalDevice,MATCH(J277,FlowCalNumber,0),1,1)</f>
        <v>#N/A</v>
      </c>
      <c r="N277" s="20" t="e">
        <f ca="1">IF($I277=$I$6,O$16&amp;$G$6&amp;N$6,IF($I277=$I$7,O$16&amp;$G$7&amp;N$7,"Bad"))</f>
        <v>#N/A</v>
      </c>
      <c r="O277" t="e">
        <f ca="1">INDEX(FlowCalGasMixture,MATCH(N277,FlowCalNumber,0),1,1)</f>
        <v>#N/A</v>
      </c>
      <c r="Q277" s="944" t="e">
        <f ca="1">INDEX(FlowCalDevice,MATCH(N277,FlowCalNumber,0),1,1)</f>
        <v>#N/A</v>
      </c>
      <c r="R277" s="20" t="e">
        <f ca="1">IF($I277=$I$6,S$16&amp;$G$6&amp;R$6,IF($I277=$I$7,S$16&amp;$G$7&amp;R$7,"Bad"))</f>
        <v>#N/A</v>
      </c>
      <c r="S277" t="e">
        <f ca="1">INDEX(FlowCalGasMixture,MATCH(R277,FlowCalNumber,0),1,1)</f>
        <v>#N/A</v>
      </c>
      <c r="U277" s="944" t="e">
        <f ca="1">INDEX(FlowCalDevice,MATCH(R277,FlowCalNumber,0),1,1)</f>
        <v>#N/A</v>
      </c>
      <c r="V277" s="20"/>
      <c r="Y277" s="944"/>
      <c r="Z277" s="946"/>
      <c r="AC277" s="944"/>
      <c r="AD277" s="20"/>
      <c r="AG277" s="944"/>
      <c r="AH277" s="946"/>
      <c r="AK277" s="982"/>
      <c r="AL277" s="355"/>
      <c r="AM277" s="355"/>
      <c r="AN277" s="355"/>
      <c r="AO277" s="355"/>
      <c r="AP277" s="355"/>
      <c r="AQ277" s="355"/>
      <c r="AR277" s="355"/>
      <c r="AS277" s="355"/>
      <c r="AT277" s="355"/>
      <c r="AU277" s="355"/>
      <c r="AV277" s="355"/>
      <c r="AW277" s="355"/>
      <c r="AX277" s="355"/>
      <c r="AY277" s="355"/>
      <c r="AZ277" s="355"/>
      <c r="BA277" s="355"/>
      <c r="BB277" s="355"/>
      <c r="BC277" s="355"/>
      <c r="BD277" s="355"/>
      <c r="BE277" s="355"/>
      <c r="BF277" s="355"/>
      <c r="BG277" s="355"/>
      <c r="BH277" s="355"/>
      <c r="BI277" s="355"/>
      <c r="BJ277" s="355"/>
      <c r="BK277" s="355"/>
      <c r="BL277" s="355"/>
      <c r="BM277" s="355"/>
      <c r="BN277" s="355"/>
      <c r="BO277" s="355"/>
      <c r="BP277" s="355"/>
      <c r="BQ277" s="355"/>
      <c r="BR277" s="355"/>
      <c r="BS277" s="355"/>
      <c r="BT277" s="46"/>
      <c r="BU277" s="16"/>
      <c r="BW277" s="355"/>
      <c r="BX277" s="42"/>
      <c r="BY277" s="16"/>
      <c r="CA277" s="355"/>
      <c r="CB277" s="42"/>
      <c r="CC277" s="16"/>
      <c r="CE277" s="355"/>
      <c r="CF277" s="42"/>
      <c r="CG277" s="16"/>
      <c r="CI277" s="355"/>
    </row>
    <row r="278" spans="1:87" s="1215" customFormat="1">
      <c r="A278" s="1222"/>
      <c r="B278" s="1223" t="str">
        <f t="shared" ref="B278:B292" si="128">IF(D278=UAnem1percent,"1% Wind","")</f>
        <v/>
      </c>
      <c r="C278" s="1210"/>
      <c r="D278" s="1211">
        <f>'1% Wind'!$M$82</f>
        <v>27</v>
      </c>
      <c r="E278" s="1212"/>
      <c r="F278" s="1212"/>
      <c r="G278" s="1364">
        <v>2</v>
      </c>
      <c r="H278" s="1214" t="e">
        <f t="shared" ref="H278:H292" ca="1" si="129">H277*(D277/D278)*(G278/G277)</f>
        <v>#N/A</v>
      </c>
      <c r="J278" s="1224"/>
      <c r="K278" s="1221">
        <f>K$17/100</f>
        <v>1</v>
      </c>
      <c r="L278" s="1218" t="e">
        <f ca="1">K278*$H278</f>
        <v>#N/A</v>
      </c>
      <c r="M278" s="1219" t="e">
        <f ca="1">IF(AND(INDEX(FlowCalConstA,MATCH(J277,FlowCalNumber,0),1,1)*L278^INDEX(FlowCalConstB,MATCH(J277,FlowCalNumber,0),1,1)&gt;INDEX(FlowCalLowSetting,MATCH(J277,FlowCalNumber,0),1,1), (INDEX(FlowCalConstA,MATCH(J277,FlowCalNumber,0),1,1)*L278^INDEX(FlowCalConstB,MATCH(J277,FlowCalNumber,0),1,1)&lt;INDEX(FlowCalHighSetting,MATCH(J277,FlowCalNumber,0),1,1))),INDEX(FlowCalConstA,MATCH(J277,FlowCalNumber,0),1,1)*L278^INDEX(FlowCalConstB,MATCH(J277,FlowCalNumber,0),1,1)," ")</f>
        <v>#N/A</v>
      </c>
      <c r="N278" s="1224"/>
      <c r="O278" s="1221">
        <f>O$17/100</f>
        <v>1</v>
      </c>
      <c r="P278" s="1218" t="e">
        <f ca="1">O278*$H278</f>
        <v>#N/A</v>
      </c>
      <c r="Q278" s="1219" t="e">
        <f ca="1">IF(AND(INDEX(FlowCalConstA,MATCH(N277,FlowCalNumber,0),1,1)*P278^INDEX(FlowCalConstB,MATCH(N277,FlowCalNumber,0),1,1)&gt;INDEX(FlowCalLowSetting,MATCH(N277,FlowCalNumber,0),1,1), (INDEX(FlowCalConstA,MATCH(N277,FlowCalNumber,0),1,1)*P278^INDEX(FlowCalConstB,MATCH(N277,FlowCalNumber,0),1,1)&lt;INDEX(FlowCalHighSetting,MATCH(N277,FlowCalNumber,0),1,1))),INDEX(FlowCalConstA,MATCH(N277,FlowCalNumber,0),1,1)*P278^INDEX(FlowCalConstB,MATCH(N277,FlowCalNumber,0),1,1)," ")</f>
        <v>#N/A</v>
      </c>
      <c r="R278" s="1224"/>
      <c r="S278" s="1221">
        <f>S$17/100</f>
        <v>1</v>
      </c>
      <c r="T278" s="1218" t="e">
        <f ca="1">S278*$H278</f>
        <v>#N/A</v>
      </c>
      <c r="U278" s="1219" t="e">
        <f ca="1">IF(AND(INDEX(FlowCalConstA,MATCH(R277,FlowCalNumber,0),1,1)*T278^INDEX(FlowCalConstB,MATCH(R277,FlowCalNumber,0),1,1)&gt;INDEX(FlowCalLowSetting,MATCH(R277,FlowCalNumber,0),1,1), (INDEX(FlowCalConstA,MATCH(R277,FlowCalNumber,0),1,1)*T278^INDEX(FlowCalConstB,MATCH(R277,FlowCalNumber,0),1,1)&lt;INDEX(FlowCalHighSetting,MATCH(R277,FlowCalNumber,0),1,1))),INDEX(FlowCalConstA,MATCH(R277,FlowCalNumber,0),1,1)*T278^INDEX(FlowCalConstB,MATCH(R277,FlowCalNumber,0),1,1)," ")</f>
        <v>#N/A</v>
      </c>
      <c r="V278" s="1224"/>
      <c r="W278" s="1221"/>
      <c r="X278" s="1218"/>
      <c r="Y278" s="1219"/>
      <c r="Z278" s="1224"/>
      <c r="AA278" s="1221"/>
      <c r="AB278" s="1218"/>
      <c r="AC278" s="1219"/>
      <c r="AD278" s="1224"/>
      <c r="AE278" s="1221"/>
      <c r="AF278" s="1218"/>
      <c r="AG278" s="1219"/>
      <c r="AH278" s="1224"/>
      <c r="AI278" s="1221"/>
      <c r="AJ278" s="1218"/>
      <c r="AK278" s="1220"/>
      <c r="AL278" s="1219"/>
      <c r="AM278" s="1219"/>
      <c r="AN278" s="1219"/>
      <c r="AO278" s="1219"/>
      <c r="AP278" s="1219"/>
      <c r="AQ278" s="1219"/>
      <c r="AR278" s="1219"/>
      <c r="AS278" s="1219"/>
      <c r="AT278" s="1219"/>
      <c r="AU278" s="1219"/>
      <c r="AV278" s="1219"/>
      <c r="AW278" s="1219"/>
      <c r="AX278" s="1219"/>
      <c r="AY278" s="1219"/>
      <c r="AZ278" s="1219"/>
      <c r="BA278" s="1219"/>
      <c r="BB278" s="1219"/>
      <c r="BC278" s="1219"/>
      <c r="BD278" s="1219"/>
      <c r="BE278" s="1219"/>
      <c r="BF278" s="1219"/>
      <c r="BG278" s="1219"/>
      <c r="BH278" s="1219"/>
      <c r="BI278" s="1219"/>
      <c r="BJ278" s="1219"/>
      <c r="BK278" s="1219"/>
      <c r="BL278" s="1219"/>
      <c r="BM278" s="1219"/>
      <c r="BN278" s="1219"/>
      <c r="BO278" s="1219"/>
      <c r="BP278" s="1219"/>
      <c r="BQ278" s="1219"/>
      <c r="BR278" s="1219"/>
      <c r="BS278" s="1219"/>
      <c r="BU278" s="1225"/>
      <c r="BW278" s="1219"/>
      <c r="BY278" s="1225"/>
      <c r="CA278" s="1219"/>
      <c r="CC278" s="1225"/>
      <c r="CE278" s="1219"/>
      <c r="CG278" s="1221"/>
      <c r="CI278" s="1219"/>
    </row>
    <row r="279" spans="1:87">
      <c r="A279" s="20"/>
      <c r="B279" s="124" t="str">
        <f t="shared" si="128"/>
        <v/>
      </c>
      <c r="C279" s="235"/>
      <c r="D279" s="24">
        <f>'1% Wind'!$M$83</f>
        <v>23.5</v>
      </c>
      <c r="E279" s="90"/>
      <c r="F279" s="90"/>
      <c r="G279" s="79" t="e">
        <f ca="1">IF(I277=0.9743,$G278,MAX(G278/D278*D279,2))</f>
        <v>#N/A</v>
      </c>
      <c r="H279" s="121" t="e">
        <f t="shared" ca="1" si="129"/>
        <v>#N/A</v>
      </c>
      <c r="J279" s="33"/>
      <c r="K279" s="242">
        <f t="shared" ref="K279:K292" si="130">K278</f>
        <v>1</v>
      </c>
      <c r="L279" s="241" t="e">
        <f t="shared" ref="L279:L292" ca="1" si="131">K279*$H279</f>
        <v>#N/A</v>
      </c>
      <c r="M279" s="243" t="e">
        <f ca="1">IF(AND(INDEX(FlowCalConstA,MATCH(J277,FlowCalNumber,0),1,1)*L279^INDEX(FlowCalConstB,MATCH(J277,FlowCalNumber,0),1,1)&gt;INDEX(FlowCalLowSetting,MATCH(J277,FlowCalNumber,0),1,1), (INDEX(FlowCalConstA,MATCH(J277,FlowCalNumber,0),1,1)*L279^INDEX(FlowCalConstB,MATCH(J277,FlowCalNumber,0),1,1)&lt;INDEX(FlowCalHighSetting,MATCH(J277,FlowCalNumber,0),1,1))),INDEX(FlowCalConstA,MATCH(J277,FlowCalNumber,0),1,1)*L279^INDEX(FlowCalConstB,MATCH(J277,FlowCalNumber,0),1,1)," ")</f>
        <v>#N/A</v>
      </c>
      <c r="N279" s="33"/>
      <c r="O279" s="242">
        <f t="shared" ref="O279:O292" si="132">O278</f>
        <v>1</v>
      </c>
      <c r="P279" s="241" t="e">
        <f t="shared" ref="P279:P292" ca="1" si="133">O279*$H279</f>
        <v>#N/A</v>
      </c>
      <c r="Q279" s="243" t="e">
        <f ca="1">IF(AND(INDEX(FlowCalConstA,MATCH(N277,FlowCalNumber,0),1,1)*P279^INDEX(FlowCalConstB,MATCH(N277,FlowCalNumber,0),1,1)&gt;INDEX(FlowCalLowSetting,MATCH(N277,FlowCalNumber,0),1,1), (INDEX(FlowCalConstA,MATCH(N277,FlowCalNumber,0),1,1)*P279^INDEX(FlowCalConstB,MATCH(N277,FlowCalNumber,0),1,1)&lt;INDEX(FlowCalHighSetting,MATCH(N277,FlowCalNumber,0),1,1))),INDEX(FlowCalConstA,MATCH(N277,FlowCalNumber,0),1,1)*P279^INDEX(FlowCalConstB,MATCH(N277,FlowCalNumber,0),1,1)," ")</f>
        <v>#N/A</v>
      </c>
      <c r="R279" s="33"/>
      <c r="S279" s="242">
        <f t="shared" ref="S279:S292" si="134">S278</f>
        <v>1</v>
      </c>
      <c r="T279" s="241" t="e">
        <f t="shared" ref="T279:T292" ca="1" si="135">S279*$H279</f>
        <v>#N/A</v>
      </c>
      <c r="U279" s="243" t="e">
        <f ca="1">IF(AND(INDEX(FlowCalConstA,MATCH(R277,FlowCalNumber,0),1,1)*T279^INDEX(FlowCalConstB,MATCH(R277,FlowCalNumber,0),1,1)&gt;INDEX(FlowCalLowSetting,MATCH(R277,FlowCalNumber,0),1,1), (INDEX(FlowCalConstA,MATCH(R277,FlowCalNumber,0),1,1)*T279^INDEX(FlowCalConstB,MATCH(R277,FlowCalNumber,0),1,1)&lt;INDEX(FlowCalHighSetting,MATCH(R277,FlowCalNumber,0),1,1))),INDEX(FlowCalConstA,MATCH(R277,FlowCalNumber,0),1,1)*T279^INDEX(FlowCalConstB,MATCH(R277,FlowCalNumber,0),1,1)," ")</f>
        <v>#N/A</v>
      </c>
      <c r="V279" s="33"/>
      <c r="W279" s="242"/>
      <c r="X279" s="241"/>
      <c r="Y279" s="243"/>
      <c r="Z279" s="33"/>
      <c r="AA279" s="242"/>
      <c r="AB279" s="241"/>
      <c r="AC279" s="243"/>
      <c r="AD279" s="33"/>
      <c r="AE279" s="242"/>
      <c r="AF279" s="241"/>
      <c r="AG279" s="243"/>
      <c r="AH279" s="33"/>
      <c r="AI279" s="242"/>
      <c r="AJ279" s="241"/>
      <c r="AK279" s="244"/>
      <c r="AL279" s="243"/>
      <c r="AM279" s="243"/>
      <c r="AN279" s="243"/>
      <c r="AO279" s="243"/>
      <c r="AP279" s="243"/>
      <c r="AQ279" s="243"/>
      <c r="AR279" s="243"/>
      <c r="AS279" s="243"/>
      <c r="AT279" s="243"/>
      <c r="AU279" s="243"/>
      <c r="AV279" s="243"/>
      <c r="AW279" s="243"/>
      <c r="AX279" s="243"/>
      <c r="AY279" s="243"/>
      <c r="AZ279" s="243"/>
      <c r="BA279" s="243"/>
      <c r="BB279" s="243"/>
      <c r="BC279" s="243"/>
      <c r="BD279" s="243"/>
      <c r="BE279" s="243"/>
      <c r="BF279" s="243"/>
      <c r="BG279" s="243"/>
      <c r="BH279" s="243"/>
      <c r="BI279" s="243"/>
      <c r="BJ279" s="243"/>
      <c r="BK279" s="243"/>
      <c r="BL279" s="243"/>
      <c r="BM279" s="243"/>
      <c r="BN279" s="243"/>
      <c r="BO279" s="243"/>
      <c r="BP279" s="243"/>
      <c r="BQ279" s="243"/>
      <c r="BR279" s="243"/>
      <c r="BS279" s="243"/>
      <c r="BU279" s="242"/>
      <c r="BW279" s="243"/>
      <c r="BY279" s="242"/>
      <c r="CA279" s="243"/>
      <c r="CC279" s="242"/>
      <c r="CE279" s="243"/>
      <c r="CG279" s="242"/>
      <c r="CI279" s="243"/>
    </row>
    <row r="280" spans="1:87" s="1215" customFormat="1">
      <c r="A280" s="1222"/>
      <c r="B280" s="1223" t="str">
        <f t="shared" si="128"/>
        <v/>
      </c>
      <c r="C280" s="1210"/>
      <c r="D280" s="1211">
        <f>'1% Wind'!$M$84</f>
        <v>20.5</v>
      </c>
      <c r="E280" s="1212"/>
      <c r="F280" s="1212"/>
      <c r="G280" s="1213" t="e">
        <f ca="1">IF(I277=0.9743,$G279,MAX(G279/D279*D280,2))</f>
        <v>#N/A</v>
      </c>
      <c r="H280" s="1214" t="e">
        <f t="shared" ca="1" si="129"/>
        <v>#N/A</v>
      </c>
      <c r="J280" s="1224"/>
      <c r="K280" s="1217">
        <f t="shared" si="130"/>
        <v>1</v>
      </c>
      <c r="L280" s="1218" t="e">
        <f t="shared" ca="1" si="131"/>
        <v>#N/A</v>
      </c>
      <c r="M280" s="1219" t="e">
        <f ca="1">IF(AND(INDEX(FlowCalConstA,MATCH(J277,FlowCalNumber,0),1,1)*L280^INDEX(FlowCalConstB,MATCH(J277,FlowCalNumber,0),1,1)&gt;INDEX(FlowCalLowSetting,MATCH(J277,FlowCalNumber,0),1,1), (INDEX(FlowCalConstA,MATCH(J277,FlowCalNumber,0),1,1)*L280^INDEX(FlowCalConstB,MATCH(J277,FlowCalNumber,0),1,1)&lt;INDEX(FlowCalHighSetting,MATCH(J277,FlowCalNumber,0),1,1))),INDEX(FlowCalConstA,MATCH(J277,FlowCalNumber,0),1,1)*L280^INDEX(FlowCalConstB,MATCH(J277,FlowCalNumber,0),1,1)," ")</f>
        <v>#N/A</v>
      </c>
      <c r="N280" s="1224"/>
      <c r="O280" s="1217">
        <f t="shared" si="132"/>
        <v>1</v>
      </c>
      <c r="P280" s="1218" t="e">
        <f t="shared" ca="1" si="133"/>
        <v>#N/A</v>
      </c>
      <c r="Q280" s="1219" t="e">
        <f ca="1">IF(AND(INDEX(FlowCalConstA,MATCH(N277,FlowCalNumber,0),1,1)*P280^INDEX(FlowCalConstB,MATCH(N277,FlowCalNumber,0),1,1)&gt;INDEX(FlowCalLowSetting,MATCH(N277,FlowCalNumber,0),1,1), (INDEX(FlowCalConstA,MATCH(N277,FlowCalNumber,0),1,1)*P280^INDEX(FlowCalConstB,MATCH(N277,FlowCalNumber,0),1,1)&lt;INDEX(FlowCalHighSetting,MATCH(N277,FlowCalNumber,0),1,1))),INDEX(FlowCalConstA,MATCH(N277,FlowCalNumber,0),1,1)*P280^INDEX(FlowCalConstB,MATCH(N277,FlowCalNumber,0),1,1)," ")</f>
        <v>#N/A</v>
      </c>
      <c r="R280" s="1224"/>
      <c r="S280" s="1217">
        <f t="shared" si="134"/>
        <v>1</v>
      </c>
      <c r="T280" s="1218" t="e">
        <f t="shared" ca="1" si="135"/>
        <v>#N/A</v>
      </c>
      <c r="U280" s="1219" t="e">
        <f ca="1">IF(AND(INDEX(FlowCalConstA,MATCH(R277,FlowCalNumber,0),1,1)*T280^INDEX(FlowCalConstB,MATCH(R277,FlowCalNumber,0),1,1)&gt;INDEX(FlowCalLowSetting,MATCH(R277,FlowCalNumber,0),1,1), (INDEX(FlowCalConstA,MATCH(R277,FlowCalNumber,0),1,1)*T280^INDEX(FlowCalConstB,MATCH(R277,FlowCalNumber,0),1,1)&lt;INDEX(FlowCalHighSetting,MATCH(R277,FlowCalNumber,0),1,1))),INDEX(FlowCalConstA,MATCH(R277,FlowCalNumber,0),1,1)*T280^INDEX(FlowCalConstB,MATCH(R277,FlowCalNumber,0),1,1)," ")</f>
        <v>#N/A</v>
      </c>
      <c r="V280" s="1224"/>
      <c r="W280" s="1217"/>
      <c r="X280" s="1218"/>
      <c r="Y280" s="1219"/>
      <c r="Z280" s="1224"/>
      <c r="AA280" s="1217"/>
      <c r="AB280" s="1218"/>
      <c r="AC280" s="1219"/>
      <c r="AD280" s="1224"/>
      <c r="AE280" s="1217"/>
      <c r="AF280" s="1218"/>
      <c r="AG280" s="1219"/>
      <c r="AH280" s="1224"/>
      <c r="AI280" s="1217"/>
      <c r="AJ280" s="1218"/>
      <c r="AK280" s="1220"/>
      <c r="AL280" s="1219"/>
      <c r="AM280" s="1219"/>
      <c r="AN280" s="1219"/>
      <c r="AO280" s="1219"/>
      <c r="AP280" s="1219"/>
      <c r="AQ280" s="1219"/>
      <c r="AR280" s="1219"/>
      <c r="AS280" s="1219"/>
      <c r="AT280" s="1219"/>
      <c r="AU280" s="1219"/>
      <c r="AV280" s="1219"/>
      <c r="AW280" s="1219"/>
      <c r="AX280" s="1219"/>
      <c r="AY280" s="1219"/>
      <c r="AZ280" s="1219"/>
      <c r="BA280" s="1219"/>
      <c r="BB280" s="1219"/>
      <c r="BC280" s="1219"/>
      <c r="BD280" s="1219"/>
      <c r="BE280" s="1219"/>
      <c r="BF280" s="1219"/>
      <c r="BG280" s="1219"/>
      <c r="BH280" s="1219"/>
      <c r="BI280" s="1219"/>
      <c r="BJ280" s="1219"/>
      <c r="BK280" s="1219"/>
      <c r="BL280" s="1219"/>
      <c r="BM280" s="1219"/>
      <c r="BN280" s="1219"/>
      <c r="BO280" s="1219"/>
      <c r="BP280" s="1219"/>
      <c r="BQ280" s="1219"/>
      <c r="BR280" s="1219"/>
      <c r="BS280" s="1219"/>
      <c r="BU280" s="1217"/>
      <c r="BW280" s="1219"/>
      <c r="BY280" s="1217"/>
      <c r="CA280" s="1219"/>
      <c r="CC280" s="1217"/>
      <c r="CE280" s="1219"/>
      <c r="CG280" s="1217"/>
      <c r="CI280" s="1219"/>
    </row>
    <row r="281" spans="1:87">
      <c r="A281" s="20"/>
      <c r="B281" s="124" t="str">
        <f t="shared" si="128"/>
        <v/>
      </c>
      <c r="C281" s="235"/>
      <c r="D281" s="24">
        <f>'1% Wind'!$M$85</f>
        <v>17.8</v>
      </c>
      <c r="E281" s="90"/>
      <c r="F281" s="90"/>
      <c r="G281" s="79" t="e">
        <f ca="1">IF(I277=0.9743,$G280,MAX(G280/D280*D281,2))</f>
        <v>#N/A</v>
      </c>
      <c r="H281" s="121" t="e">
        <f t="shared" ca="1" si="129"/>
        <v>#N/A</v>
      </c>
      <c r="J281" s="33"/>
      <c r="K281" s="242">
        <f t="shared" si="130"/>
        <v>1</v>
      </c>
      <c r="L281" s="241" t="e">
        <f t="shared" ca="1" si="131"/>
        <v>#N/A</v>
      </c>
      <c r="M281" s="243" t="e">
        <f ca="1">IF(AND(INDEX(FlowCalConstA,MATCH(J277,FlowCalNumber,0),1,1)*L281^INDEX(FlowCalConstB,MATCH(J277,FlowCalNumber,0),1,1)&gt;INDEX(FlowCalLowSetting,MATCH(J277,FlowCalNumber,0),1,1), (INDEX(FlowCalConstA,MATCH(J277,FlowCalNumber,0),1,1)*L281^INDEX(FlowCalConstB,MATCH(J277,FlowCalNumber,0),1,1)&lt;INDEX(FlowCalHighSetting,MATCH(J277,FlowCalNumber,0),1,1))),INDEX(FlowCalConstA,MATCH(J277,FlowCalNumber,0),1,1)*L281^INDEX(FlowCalConstB,MATCH(J277,FlowCalNumber,0),1,1)," ")</f>
        <v>#N/A</v>
      </c>
      <c r="N281" s="33"/>
      <c r="O281" s="242">
        <f t="shared" si="132"/>
        <v>1</v>
      </c>
      <c r="P281" s="241" t="e">
        <f t="shared" ca="1" si="133"/>
        <v>#N/A</v>
      </c>
      <c r="Q281" s="243" t="e">
        <f ca="1">IF(AND(INDEX(FlowCalConstA,MATCH(N277,FlowCalNumber,0),1,1)*P281^INDEX(FlowCalConstB,MATCH(N277,FlowCalNumber,0),1,1)&gt;INDEX(FlowCalLowSetting,MATCH(N277,FlowCalNumber,0),1,1), (INDEX(FlowCalConstA,MATCH(N277,FlowCalNumber,0),1,1)*P281^INDEX(FlowCalConstB,MATCH(N277,FlowCalNumber,0),1,1)&lt;INDEX(FlowCalHighSetting,MATCH(N277,FlowCalNumber,0),1,1))),INDEX(FlowCalConstA,MATCH(N277,FlowCalNumber,0),1,1)*P281^INDEX(FlowCalConstB,MATCH(N277,FlowCalNumber,0),1,1)," ")</f>
        <v>#N/A</v>
      </c>
      <c r="R281" s="33"/>
      <c r="S281" s="242">
        <f t="shared" si="134"/>
        <v>1</v>
      </c>
      <c r="T281" s="241" t="e">
        <f t="shared" ca="1" si="135"/>
        <v>#N/A</v>
      </c>
      <c r="U281" s="243" t="e">
        <f ca="1">IF(AND(INDEX(FlowCalConstA,MATCH(R277,FlowCalNumber,0),1,1)*T281^INDEX(FlowCalConstB,MATCH(R277,FlowCalNumber,0),1,1)&gt;INDEX(FlowCalLowSetting,MATCH(R277,FlowCalNumber,0),1,1), (INDEX(FlowCalConstA,MATCH(R277,FlowCalNumber,0),1,1)*T281^INDEX(FlowCalConstB,MATCH(R277,FlowCalNumber,0),1,1)&lt;INDEX(FlowCalHighSetting,MATCH(R277,FlowCalNumber,0),1,1))),INDEX(FlowCalConstA,MATCH(R277,FlowCalNumber,0),1,1)*T281^INDEX(FlowCalConstB,MATCH(R277,FlowCalNumber,0),1,1)," ")</f>
        <v>#N/A</v>
      </c>
      <c r="V281" s="33"/>
      <c r="W281" s="242"/>
      <c r="X281" s="241"/>
      <c r="Y281" s="243"/>
      <c r="Z281" s="33"/>
      <c r="AA281" s="242"/>
      <c r="AB281" s="241"/>
      <c r="AC281" s="243"/>
      <c r="AD281" s="33"/>
      <c r="AE281" s="242"/>
      <c r="AF281" s="241"/>
      <c r="AG281" s="243"/>
      <c r="AH281" s="33"/>
      <c r="AI281" s="242"/>
      <c r="AJ281" s="241"/>
      <c r="AK281" s="244"/>
      <c r="AL281" s="243"/>
      <c r="AM281" s="243"/>
      <c r="AN281" s="243"/>
      <c r="AO281" s="243"/>
      <c r="AP281" s="243"/>
      <c r="AQ281" s="243"/>
      <c r="AR281" s="243"/>
      <c r="AS281" s="243"/>
      <c r="AT281" s="243"/>
      <c r="AU281" s="243"/>
      <c r="AV281" s="243"/>
      <c r="AW281" s="243"/>
      <c r="AX281" s="243"/>
      <c r="AY281" s="243"/>
      <c r="AZ281" s="243"/>
      <c r="BA281" s="243"/>
      <c r="BB281" s="243"/>
      <c r="BC281" s="243"/>
      <c r="BD281" s="243"/>
      <c r="BE281" s="243"/>
      <c r="BF281" s="243"/>
      <c r="BG281" s="243"/>
      <c r="BH281" s="243"/>
      <c r="BI281" s="243"/>
      <c r="BJ281" s="243"/>
      <c r="BK281" s="243"/>
      <c r="BL281" s="243"/>
      <c r="BM281" s="243"/>
      <c r="BN281" s="243"/>
      <c r="BO281" s="243"/>
      <c r="BP281" s="243"/>
      <c r="BQ281" s="243"/>
      <c r="BR281" s="243"/>
      <c r="BS281" s="243"/>
      <c r="BU281" s="242"/>
      <c r="BW281" s="243"/>
      <c r="BY281" s="242"/>
      <c r="CA281" s="243"/>
      <c r="CC281" s="242"/>
      <c r="CE281" s="243"/>
      <c r="CG281" s="242"/>
      <c r="CI281" s="243"/>
    </row>
    <row r="282" spans="1:87" s="1215" customFormat="1">
      <c r="A282" s="1222"/>
      <c r="B282" s="1223" t="str">
        <f t="shared" si="128"/>
        <v/>
      </c>
      <c r="C282" s="1210"/>
      <c r="D282" s="1211">
        <f>'1% Wind'!$M$86</f>
        <v>15.5</v>
      </c>
      <c r="E282" s="1212"/>
      <c r="F282" s="1212"/>
      <c r="G282" s="1213" t="e">
        <f ca="1">IF(I277=0.9743,$G281,MAX(G281/D281*D282,2))</f>
        <v>#N/A</v>
      </c>
      <c r="H282" s="1214" t="e">
        <f t="shared" ca="1" si="129"/>
        <v>#N/A</v>
      </c>
      <c r="J282" s="1224"/>
      <c r="K282" s="1217">
        <f t="shared" si="130"/>
        <v>1</v>
      </c>
      <c r="L282" s="1218" t="e">
        <f t="shared" ca="1" si="131"/>
        <v>#N/A</v>
      </c>
      <c r="M282" s="1219" t="e">
        <f ca="1">IF(AND(INDEX(FlowCalConstA,MATCH(J277,FlowCalNumber,0),1,1)*L282^INDEX(FlowCalConstB,MATCH(J277,FlowCalNumber,0),1,1)&gt;INDEX(FlowCalLowSetting,MATCH(J277,FlowCalNumber,0),1,1), (INDEX(FlowCalConstA,MATCH(J277,FlowCalNumber,0),1,1)*L282^INDEX(FlowCalConstB,MATCH(J277,FlowCalNumber,0),1,1)&lt;INDEX(FlowCalHighSetting,MATCH(J277,FlowCalNumber,0),1,1))),INDEX(FlowCalConstA,MATCH(J277,FlowCalNumber,0),1,1)*L282^INDEX(FlowCalConstB,MATCH(J277,FlowCalNumber,0),1,1)," ")</f>
        <v>#N/A</v>
      </c>
      <c r="N282" s="1224"/>
      <c r="O282" s="1217">
        <f t="shared" si="132"/>
        <v>1</v>
      </c>
      <c r="P282" s="1218" t="e">
        <f t="shared" ca="1" si="133"/>
        <v>#N/A</v>
      </c>
      <c r="Q282" s="1219" t="e">
        <f ca="1">IF(AND(INDEX(FlowCalConstA,MATCH(N277,FlowCalNumber,0),1,1)*P282^INDEX(FlowCalConstB,MATCH(N277,FlowCalNumber,0),1,1)&gt;INDEX(FlowCalLowSetting,MATCH(N277,FlowCalNumber,0),1,1), (INDEX(FlowCalConstA,MATCH(N277,FlowCalNumber,0),1,1)*P282^INDEX(FlowCalConstB,MATCH(N277,FlowCalNumber,0),1,1)&lt;INDEX(FlowCalHighSetting,MATCH(N277,FlowCalNumber,0),1,1))),INDEX(FlowCalConstA,MATCH(N277,FlowCalNumber,0),1,1)*P282^INDEX(FlowCalConstB,MATCH(N277,FlowCalNumber,0),1,1)," ")</f>
        <v>#N/A</v>
      </c>
      <c r="R282" s="1224"/>
      <c r="S282" s="1217">
        <f t="shared" si="134"/>
        <v>1</v>
      </c>
      <c r="T282" s="1218" t="e">
        <f t="shared" ca="1" si="135"/>
        <v>#N/A</v>
      </c>
      <c r="U282" s="1219" t="e">
        <f ca="1">IF(AND(INDEX(FlowCalConstA,MATCH(R277,FlowCalNumber,0),1,1)*T282^INDEX(FlowCalConstB,MATCH(R277,FlowCalNumber,0),1,1)&gt;INDEX(FlowCalLowSetting,MATCH(R277,FlowCalNumber,0),1,1), (INDEX(FlowCalConstA,MATCH(R277,FlowCalNumber,0),1,1)*T282^INDEX(FlowCalConstB,MATCH(R277,FlowCalNumber,0),1,1)&lt;INDEX(FlowCalHighSetting,MATCH(R277,FlowCalNumber,0),1,1))),INDEX(FlowCalConstA,MATCH(R277,FlowCalNumber,0),1,1)*T282^INDEX(FlowCalConstB,MATCH(R277,FlowCalNumber,0),1,1)," ")</f>
        <v>#N/A</v>
      </c>
      <c r="V282" s="1224"/>
      <c r="W282" s="1217"/>
      <c r="X282" s="1218"/>
      <c r="Y282" s="1219"/>
      <c r="Z282" s="1224"/>
      <c r="AA282" s="1217"/>
      <c r="AB282" s="1218"/>
      <c r="AC282" s="1219"/>
      <c r="AD282" s="1224"/>
      <c r="AE282" s="1217"/>
      <c r="AF282" s="1218"/>
      <c r="AG282" s="1219"/>
      <c r="AH282" s="1224"/>
      <c r="AI282" s="1217"/>
      <c r="AJ282" s="1218"/>
      <c r="AK282" s="1220"/>
      <c r="AL282" s="1219"/>
      <c r="AM282" s="1219"/>
      <c r="AN282" s="1219"/>
      <c r="AO282" s="1219"/>
      <c r="AP282" s="1219"/>
      <c r="AQ282" s="1219"/>
      <c r="AR282" s="1219"/>
      <c r="AS282" s="1219"/>
      <c r="AT282" s="1219"/>
      <c r="AU282" s="1219"/>
      <c r="AV282" s="1219"/>
      <c r="AW282" s="1219"/>
      <c r="AX282" s="1219"/>
      <c r="AY282" s="1219"/>
      <c r="AZ282" s="1219"/>
      <c r="BA282" s="1219"/>
      <c r="BB282" s="1219"/>
      <c r="BC282" s="1219"/>
      <c r="BD282" s="1219"/>
      <c r="BE282" s="1219"/>
      <c r="BF282" s="1219"/>
      <c r="BG282" s="1219"/>
      <c r="BH282" s="1219"/>
      <c r="BI282" s="1219"/>
      <c r="BJ282" s="1219"/>
      <c r="BK282" s="1219"/>
      <c r="BL282" s="1219"/>
      <c r="BM282" s="1219"/>
      <c r="BN282" s="1219"/>
      <c r="BO282" s="1219"/>
      <c r="BP282" s="1219"/>
      <c r="BQ282" s="1219"/>
      <c r="BR282" s="1219"/>
      <c r="BS282" s="1219"/>
      <c r="BU282" s="1217"/>
      <c r="BW282" s="1219"/>
      <c r="BY282" s="1217"/>
      <c r="CA282" s="1219"/>
      <c r="CC282" s="1217"/>
      <c r="CE282" s="1219"/>
      <c r="CG282" s="1217"/>
      <c r="CI282" s="1219"/>
    </row>
    <row r="283" spans="1:87">
      <c r="A283" s="20"/>
      <c r="B283" s="124" t="str">
        <f t="shared" si="128"/>
        <v/>
      </c>
      <c r="C283" s="235"/>
      <c r="D283" s="24">
        <f>'1% Wind'!$M$87</f>
        <v>13.5</v>
      </c>
      <c r="E283" s="90"/>
      <c r="F283" s="90"/>
      <c r="G283" s="79" t="e">
        <f ca="1">IF(I277=0.9743,$G282,MAX(G282/D282*D283,2))</f>
        <v>#N/A</v>
      </c>
      <c r="H283" s="121" t="e">
        <f t="shared" ca="1" si="129"/>
        <v>#N/A</v>
      </c>
      <c r="J283" s="33"/>
      <c r="K283" s="242">
        <f t="shared" si="130"/>
        <v>1</v>
      </c>
      <c r="L283" s="241" t="e">
        <f t="shared" ca="1" si="131"/>
        <v>#N/A</v>
      </c>
      <c r="M283" s="243" t="e">
        <f ca="1">IF(AND(INDEX(FlowCalConstA,MATCH(J277,FlowCalNumber,0),1,1)*L283^INDEX(FlowCalConstB,MATCH(J277,FlowCalNumber,0),1,1)&gt;INDEX(FlowCalLowSetting,MATCH(J277,FlowCalNumber,0),1,1), (INDEX(FlowCalConstA,MATCH(J277,FlowCalNumber,0),1,1)*L283^INDEX(FlowCalConstB,MATCH(J277,FlowCalNumber,0),1,1)&lt;INDEX(FlowCalHighSetting,MATCH(J277,FlowCalNumber,0),1,1))),INDEX(FlowCalConstA,MATCH(J277,FlowCalNumber,0),1,1)*L283^INDEX(FlowCalConstB,MATCH(J277,FlowCalNumber,0),1,1)," ")</f>
        <v>#N/A</v>
      </c>
      <c r="N283" s="33"/>
      <c r="O283" s="242">
        <f t="shared" si="132"/>
        <v>1</v>
      </c>
      <c r="P283" s="241" t="e">
        <f t="shared" ca="1" si="133"/>
        <v>#N/A</v>
      </c>
      <c r="Q283" s="243" t="e">
        <f ca="1">IF(AND(INDEX(FlowCalConstA,MATCH(N277,FlowCalNumber,0),1,1)*P283^INDEX(FlowCalConstB,MATCH(N277,FlowCalNumber,0),1,1)&gt;INDEX(FlowCalLowSetting,MATCH(N277,FlowCalNumber,0),1,1), (INDEX(FlowCalConstA,MATCH(N277,FlowCalNumber,0),1,1)*P283^INDEX(FlowCalConstB,MATCH(N277,FlowCalNumber,0),1,1)&lt;INDEX(FlowCalHighSetting,MATCH(N277,FlowCalNumber,0),1,1))),INDEX(FlowCalConstA,MATCH(N277,FlowCalNumber,0),1,1)*P283^INDEX(FlowCalConstB,MATCH(N277,FlowCalNumber,0),1,1)," ")</f>
        <v>#N/A</v>
      </c>
      <c r="R283" s="33"/>
      <c r="S283" s="242">
        <f t="shared" si="134"/>
        <v>1</v>
      </c>
      <c r="T283" s="241" t="e">
        <f t="shared" ca="1" si="135"/>
        <v>#N/A</v>
      </c>
      <c r="U283" s="243" t="e">
        <f ca="1">IF(AND(INDEX(FlowCalConstA,MATCH(R277,FlowCalNumber,0),1,1)*T283^INDEX(FlowCalConstB,MATCH(R277,FlowCalNumber,0),1,1)&gt;INDEX(FlowCalLowSetting,MATCH(R277,FlowCalNumber,0),1,1), (INDEX(FlowCalConstA,MATCH(R277,FlowCalNumber,0),1,1)*T283^INDEX(FlowCalConstB,MATCH(R277,FlowCalNumber,0),1,1)&lt;INDEX(FlowCalHighSetting,MATCH(R277,FlowCalNumber,0),1,1))),INDEX(FlowCalConstA,MATCH(R277,FlowCalNumber,0),1,1)*T283^INDEX(FlowCalConstB,MATCH(R277,FlowCalNumber,0),1,1)," ")</f>
        <v>#N/A</v>
      </c>
      <c r="V283" s="33"/>
      <c r="W283" s="242"/>
      <c r="X283" s="241"/>
      <c r="Y283" s="243"/>
      <c r="Z283" s="33"/>
      <c r="AA283" s="242"/>
      <c r="AB283" s="241"/>
      <c r="AC283" s="243"/>
      <c r="AD283" s="33"/>
      <c r="AE283" s="242"/>
      <c r="AF283" s="241"/>
      <c r="AG283" s="243"/>
      <c r="AH283" s="33"/>
      <c r="AI283" s="242"/>
      <c r="AJ283" s="241"/>
      <c r="AK283" s="244"/>
      <c r="AL283" s="243"/>
      <c r="AM283" s="243"/>
      <c r="AN283" s="243"/>
      <c r="AO283" s="243"/>
      <c r="AP283" s="243"/>
      <c r="AQ283" s="243"/>
      <c r="AR283" s="243"/>
      <c r="AS283" s="243"/>
      <c r="AT283" s="243"/>
      <c r="AU283" s="243"/>
      <c r="AV283" s="243"/>
      <c r="AW283" s="243"/>
      <c r="AX283" s="243"/>
      <c r="AY283" s="243"/>
      <c r="AZ283" s="243"/>
      <c r="BA283" s="243"/>
      <c r="BB283" s="243"/>
      <c r="BC283" s="243"/>
      <c r="BD283" s="243"/>
      <c r="BE283" s="243"/>
      <c r="BF283" s="243"/>
      <c r="BG283" s="243"/>
      <c r="BH283" s="243"/>
      <c r="BI283" s="243"/>
      <c r="BJ283" s="243"/>
      <c r="BK283" s="243"/>
      <c r="BL283" s="243"/>
      <c r="BM283" s="243"/>
      <c r="BN283" s="243"/>
      <c r="BO283" s="243"/>
      <c r="BP283" s="243"/>
      <c r="BQ283" s="243"/>
      <c r="BR283" s="243"/>
      <c r="BS283" s="243"/>
      <c r="BU283" s="242"/>
      <c r="BW283" s="243"/>
      <c r="BY283" s="242"/>
      <c r="CA283" s="243"/>
      <c r="CC283" s="242"/>
      <c r="CE283" s="243"/>
      <c r="CG283" s="242"/>
      <c r="CI283" s="243"/>
    </row>
    <row r="284" spans="1:87" s="1215" customFormat="1">
      <c r="A284" s="1222"/>
      <c r="B284" s="1223" t="str">
        <f t="shared" si="128"/>
        <v/>
      </c>
      <c r="C284" s="1210"/>
      <c r="D284" s="1211">
        <f>'1% Wind'!$M$88</f>
        <v>10.1</v>
      </c>
      <c r="E284" s="1212"/>
      <c r="F284" s="1212"/>
      <c r="G284" s="1213" t="e">
        <f ca="1">IF(I277=0.9743,$G283,MAX(G283/D283*D284,2))</f>
        <v>#N/A</v>
      </c>
      <c r="H284" s="1214" t="e">
        <f t="shared" ca="1" si="129"/>
        <v>#N/A</v>
      </c>
      <c r="J284" s="1224"/>
      <c r="K284" s="1217">
        <f t="shared" si="130"/>
        <v>1</v>
      </c>
      <c r="L284" s="1218" t="e">
        <f t="shared" ca="1" si="131"/>
        <v>#N/A</v>
      </c>
      <c r="M284" s="1219" t="e">
        <f ca="1">IF(AND(INDEX(FlowCalConstA,MATCH(J277,FlowCalNumber,0),1,1)*L284^INDEX(FlowCalConstB,MATCH(J277,FlowCalNumber,0),1,1)&gt;INDEX(FlowCalLowSetting,MATCH(J277,FlowCalNumber,0),1,1), (INDEX(FlowCalConstA,MATCH(J277,FlowCalNumber,0),1,1)*L284^INDEX(FlowCalConstB,MATCH(J277,FlowCalNumber,0),1,1)&lt;INDEX(FlowCalHighSetting,MATCH(J277,FlowCalNumber,0),1,1))),INDEX(FlowCalConstA,MATCH(J277,FlowCalNumber,0),1,1)*L284^INDEX(FlowCalConstB,MATCH(J277,FlowCalNumber,0),1,1)," ")</f>
        <v>#N/A</v>
      </c>
      <c r="N284" s="1224"/>
      <c r="O284" s="1217">
        <f t="shared" si="132"/>
        <v>1</v>
      </c>
      <c r="P284" s="1218" t="e">
        <f t="shared" ca="1" si="133"/>
        <v>#N/A</v>
      </c>
      <c r="Q284" s="1219" t="e">
        <f ca="1">IF(AND(INDEX(FlowCalConstA,MATCH(N277,FlowCalNumber,0),1,1)*P284^INDEX(FlowCalConstB,MATCH(N277,FlowCalNumber,0),1,1)&gt;INDEX(FlowCalLowSetting,MATCH(N277,FlowCalNumber,0),1,1), (INDEX(FlowCalConstA,MATCH(N277,FlowCalNumber,0),1,1)*P284^INDEX(FlowCalConstB,MATCH(N277,FlowCalNumber,0),1,1)&lt;INDEX(FlowCalHighSetting,MATCH(N277,FlowCalNumber,0),1,1))),INDEX(FlowCalConstA,MATCH(N277,FlowCalNumber,0),1,1)*P284^INDEX(FlowCalConstB,MATCH(N277,FlowCalNumber,0),1,1)," ")</f>
        <v>#N/A</v>
      </c>
      <c r="R284" s="1224"/>
      <c r="S284" s="1217">
        <f t="shared" si="134"/>
        <v>1</v>
      </c>
      <c r="T284" s="1218" t="e">
        <f t="shared" ca="1" si="135"/>
        <v>#N/A</v>
      </c>
      <c r="U284" s="1219" t="e">
        <f ca="1">IF(AND(INDEX(FlowCalConstA,MATCH(R277,FlowCalNumber,0),1,1)*T284^INDEX(FlowCalConstB,MATCH(R277,FlowCalNumber,0),1,1)&gt;INDEX(FlowCalLowSetting,MATCH(R277,FlowCalNumber,0),1,1), (INDEX(FlowCalConstA,MATCH(R277,FlowCalNumber,0),1,1)*T284^INDEX(FlowCalConstB,MATCH(R277,FlowCalNumber,0),1,1)&lt;INDEX(FlowCalHighSetting,MATCH(R277,FlowCalNumber,0),1,1))),INDEX(FlowCalConstA,MATCH(R277,FlowCalNumber,0),1,1)*T284^INDEX(FlowCalConstB,MATCH(R277,FlowCalNumber,0),1,1)," ")</f>
        <v>#N/A</v>
      </c>
      <c r="V284" s="1224"/>
      <c r="W284" s="1217"/>
      <c r="X284" s="1218"/>
      <c r="Y284" s="1219"/>
      <c r="Z284" s="1224"/>
      <c r="AA284" s="1217"/>
      <c r="AB284" s="1218"/>
      <c r="AC284" s="1219"/>
      <c r="AD284" s="1224"/>
      <c r="AE284" s="1217"/>
      <c r="AF284" s="1218"/>
      <c r="AG284" s="1219"/>
      <c r="AH284" s="1224"/>
      <c r="AI284" s="1217"/>
      <c r="AJ284" s="1218"/>
      <c r="AK284" s="1220"/>
      <c r="AL284" s="1219"/>
      <c r="AM284" s="1219"/>
      <c r="AN284" s="1219"/>
      <c r="AO284" s="1219"/>
      <c r="AP284" s="1219"/>
      <c r="AQ284" s="1219"/>
      <c r="AR284" s="1219"/>
      <c r="AS284" s="1219"/>
      <c r="AT284" s="1219"/>
      <c r="AU284" s="1219"/>
      <c r="AV284" s="1219"/>
      <c r="AW284" s="1219"/>
      <c r="AX284" s="1219"/>
      <c r="AY284" s="1219"/>
      <c r="AZ284" s="1219"/>
      <c r="BA284" s="1219"/>
      <c r="BB284" s="1219"/>
      <c r="BC284" s="1219"/>
      <c r="BD284" s="1219"/>
      <c r="BE284" s="1219"/>
      <c r="BF284" s="1219"/>
      <c r="BG284" s="1219"/>
      <c r="BH284" s="1219"/>
      <c r="BI284" s="1219"/>
      <c r="BJ284" s="1219"/>
      <c r="BK284" s="1219"/>
      <c r="BL284" s="1219"/>
      <c r="BM284" s="1219"/>
      <c r="BN284" s="1219"/>
      <c r="BO284" s="1219"/>
      <c r="BP284" s="1219"/>
      <c r="BQ284" s="1219"/>
      <c r="BR284" s="1219"/>
      <c r="BS284" s="1219"/>
      <c r="BU284" s="1217"/>
      <c r="BW284" s="1219"/>
      <c r="BY284" s="1217"/>
      <c r="CA284" s="1219"/>
      <c r="CC284" s="1217"/>
      <c r="CE284" s="1219"/>
      <c r="CG284" s="1217"/>
      <c r="CI284" s="1219"/>
    </row>
    <row r="285" spans="1:87">
      <c r="A285" s="20"/>
      <c r="B285" s="124" t="str">
        <f t="shared" si="128"/>
        <v/>
      </c>
      <c r="C285" s="235"/>
      <c r="D285" s="24">
        <f>'1% Wind'!$M$89</f>
        <v>7.6</v>
      </c>
      <c r="E285" s="90"/>
      <c r="F285" s="90"/>
      <c r="G285" s="79" t="e">
        <f ca="1">IF(I277=0.9743,$G284,MAX(G284/D284*D285,2))</f>
        <v>#N/A</v>
      </c>
      <c r="H285" s="121" t="e">
        <f t="shared" ca="1" si="129"/>
        <v>#N/A</v>
      </c>
      <c r="J285" s="33"/>
      <c r="K285" s="242">
        <f t="shared" si="130"/>
        <v>1</v>
      </c>
      <c r="L285" s="241" t="e">
        <f t="shared" ca="1" si="131"/>
        <v>#N/A</v>
      </c>
      <c r="M285" s="243" t="e">
        <f ca="1">IF(AND(INDEX(FlowCalConstA,MATCH(J277,FlowCalNumber,0),1,1)*L285^INDEX(FlowCalConstB,MATCH(J277,FlowCalNumber,0),1,1)&gt;INDEX(FlowCalLowSetting,MATCH(J277,FlowCalNumber,0),1,1), (INDEX(FlowCalConstA,MATCH(J277,FlowCalNumber,0),1,1)*L285^INDEX(FlowCalConstB,MATCH(J277,FlowCalNumber,0),1,1)&lt;INDEX(FlowCalHighSetting,MATCH(J277,FlowCalNumber,0),1,1))),INDEX(FlowCalConstA,MATCH(J277,FlowCalNumber,0),1,1)*L285^INDEX(FlowCalConstB,MATCH(J277,FlowCalNumber,0),1,1)," ")</f>
        <v>#N/A</v>
      </c>
      <c r="N285" s="33"/>
      <c r="O285" s="242">
        <f t="shared" si="132"/>
        <v>1</v>
      </c>
      <c r="P285" s="241" t="e">
        <f t="shared" ca="1" si="133"/>
        <v>#N/A</v>
      </c>
      <c r="Q285" s="243" t="e">
        <f ca="1">IF(AND(INDEX(FlowCalConstA,MATCH(N277,FlowCalNumber,0),1,1)*P285^INDEX(FlowCalConstB,MATCH(N277,FlowCalNumber,0),1,1)&gt;INDEX(FlowCalLowSetting,MATCH(N277,FlowCalNumber,0),1,1), (INDEX(FlowCalConstA,MATCH(N277,FlowCalNumber,0),1,1)*P285^INDEX(FlowCalConstB,MATCH(N277,FlowCalNumber,0),1,1)&lt;INDEX(FlowCalHighSetting,MATCH(N277,FlowCalNumber,0),1,1))),INDEX(FlowCalConstA,MATCH(N277,FlowCalNumber,0),1,1)*P285^INDEX(FlowCalConstB,MATCH(N277,FlowCalNumber,0),1,1)," ")</f>
        <v>#N/A</v>
      </c>
      <c r="R285" s="33"/>
      <c r="S285" s="242">
        <f t="shared" si="134"/>
        <v>1</v>
      </c>
      <c r="T285" s="241" t="e">
        <f t="shared" ca="1" si="135"/>
        <v>#N/A</v>
      </c>
      <c r="U285" s="243" t="e">
        <f ca="1">IF(AND(INDEX(FlowCalConstA,MATCH(R277,FlowCalNumber,0),1,1)*T285^INDEX(FlowCalConstB,MATCH(R277,FlowCalNumber,0),1,1)&gt;INDEX(FlowCalLowSetting,MATCH(R277,FlowCalNumber,0),1,1), (INDEX(FlowCalConstA,MATCH(R277,FlowCalNumber,0),1,1)*T285^INDEX(FlowCalConstB,MATCH(R277,FlowCalNumber,0),1,1)&lt;INDEX(FlowCalHighSetting,MATCH(R277,FlowCalNumber,0),1,1))),INDEX(FlowCalConstA,MATCH(R277,FlowCalNumber,0),1,1)*T285^INDEX(FlowCalConstB,MATCH(R277,FlowCalNumber,0),1,1)," ")</f>
        <v>#N/A</v>
      </c>
      <c r="V285" s="33"/>
      <c r="W285" s="242"/>
      <c r="X285" s="241"/>
      <c r="Y285" s="243"/>
      <c r="Z285" s="33"/>
      <c r="AA285" s="242"/>
      <c r="AB285" s="241"/>
      <c r="AC285" s="243"/>
      <c r="AD285" s="33"/>
      <c r="AE285" s="242"/>
      <c r="AF285" s="241"/>
      <c r="AG285" s="243"/>
      <c r="AH285" s="33"/>
      <c r="AI285" s="242"/>
      <c r="AJ285" s="241"/>
      <c r="AK285" s="244"/>
      <c r="AL285" s="243"/>
      <c r="AM285" s="243"/>
      <c r="AN285" s="243"/>
      <c r="AO285" s="243"/>
      <c r="AP285" s="243"/>
      <c r="AQ285" s="243"/>
      <c r="AR285" s="243"/>
      <c r="AS285" s="243"/>
      <c r="AT285" s="243"/>
      <c r="AU285" s="243"/>
      <c r="AV285" s="243"/>
      <c r="AW285" s="243"/>
      <c r="AX285" s="243"/>
      <c r="AY285" s="243"/>
      <c r="AZ285" s="243"/>
      <c r="BA285" s="243"/>
      <c r="BB285" s="243"/>
      <c r="BC285" s="243"/>
      <c r="BD285" s="243"/>
      <c r="BE285" s="243"/>
      <c r="BF285" s="243"/>
      <c r="BG285" s="243"/>
      <c r="BH285" s="243"/>
      <c r="BI285" s="243"/>
      <c r="BJ285" s="243"/>
      <c r="BK285" s="243"/>
      <c r="BL285" s="243"/>
      <c r="BM285" s="243"/>
      <c r="BN285" s="243"/>
      <c r="BO285" s="243"/>
      <c r="BP285" s="243"/>
      <c r="BQ285" s="243"/>
      <c r="BR285" s="243"/>
      <c r="BS285" s="243"/>
      <c r="BU285" s="242"/>
      <c r="BW285" s="243"/>
      <c r="BY285" s="242"/>
      <c r="CA285" s="243"/>
      <c r="CC285" s="242"/>
      <c r="CE285" s="243"/>
      <c r="CG285" s="242"/>
      <c r="CI285" s="243"/>
    </row>
    <row r="286" spans="1:87" s="1215" customFormat="1">
      <c r="A286" s="1222"/>
      <c r="B286" s="1223" t="str">
        <f t="shared" si="128"/>
        <v/>
      </c>
      <c r="C286" s="1210"/>
      <c r="D286" s="1211">
        <f>'1% Wind'!$M$90</f>
        <v>5.7</v>
      </c>
      <c r="E286" s="1212"/>
      <c r="F286" s="1212"/>
      <c r="G286" s="1213" t="e">
        <f ca="1">IF(I277=0.9743,$G285,MAX(G285/D285*D286,2))</f>
        <v>#N/A</v>
      </c>
      <c r="H286" s="1214" t="e">
        <f t="shared" ca="1" si="129"/>
        <v>#N/A</v>
      </c>
      <c r="J286" s="1224"/>
      <c r="K286" s="1217">
        <f t="shared" si="130"/>
        <v>1</v>
      </c>
      <c r="L286" s="1218" t="e">
        <f t="shared" ca="1" si="131"/>
        <v>#N/A</v>
      </c>
      <c r="M286" s="1219" t="e">
        <f ca="1">IF(AND(INDEX(FlowCalConstA,MATCH(J277,FlowCalNumber,0),1,1)*L286^INDEX(FlowCalConstB,MATCH(J277,FlowCalNumber,0),1,1)&gt;INDEX(FlowCalLowSetting,MATCH(J277,FlowCalNumber,0),1,1), (INDEX(FlowCalConstA,MATCH(J277,FlowCalNumber,0),1,1)*L286^INDEX(FlowCalConstB,MATCH(J277,FlowCalNumber,0),1,1)&lt;INDEX(FlowCalHighSetting,MATCH(J277,FlowCalNumber,0),1,1))),INDEX(FlowCalConstA,MATCH(J277,FlowCalNumber,0),1,1)*L286^INDEX(FlowCalConstB,MATCH(J277,FlowCalNumber,0),1,1)," ")</f>
        <v>#N/A</v>
      </c>
      <c r="N286" s="1224"/>
      <c r="O286" s="1217">
        <f t="shared" si="132"/>
        <v>1</v>
      </c>
      <c r="P286" s="1218" t="e">
        <f t="shared" ca="1" si="133"/>
        <v>#N/A</v>
      </c>
      <c r="Q286" s="1219" t="e">
        <f ca="1">IF(AND(INDEX(FlowCalConstA,MATCH(N277,FlowCalNumber,0),1,1)*P286^INDEX(FlowCalConstB,MATCH(N277,FlowCalNumber,0),1,1)&gt;INDEX(FlowCalLowSetting,MATCH(N277,FlowCalNumber,0),1,1), (INDEX(FlowCalConstA,MATCH(N277,FlowCalNumber,0),1,1)*P286^INDEX(FlowCalConstB,MATCH(N277,FlowCalNumber,0),1,1)&lt;INDEX(FlowCalHighSetting,MATCH(N277,FlowCalNumber,0),1,1))),INDEX(FlowCalConstA,MATCH(N277,FlowCalNumber,0),1,1)*P286^INDEX(FlowCalConstB,MATCH(N277,FlowCalNumber,0),1,1)," ")</f>
        <v>#N/A</v>
      </c>
      <c r="R286" s="1224"/>
      <c r="S286" s="1217">
        <f t="shared" si="134"/>
        <v>1</v>
      </c>
      <c r="T286" s="1218" t="e">
        <f t="shared" ca="1" si="135"/>
        <v>#N/A</v>
      </c>
      <c r="U286" s="1219" t="e">
        <f ca="1">IF(AND(INDEX(FlowCalConstA,MATCH(R277,FlowCalNumber,0),1,1)*T286^INDEX(FlowCalConstB,MATCH(R277,FlowCalNumber,0),1,1)&gt;INDEX(FlowCalLowSetting,MATCH(R277,FlowCalNumber,0),1,1), (INDEX(FlowCalConstA,MATCH(R277,FlowCalNumber,0),1,1)*T286^INDEX(FlowCalConstB,MATCH(R277,FlowCalNumber,0),1,1)&lt;INDEX(FlowCalHighSetting,MATCH(R277,FlowCalNumber,0),1,1))),INDEX(FlowCalConstA,MATCH(R277,FlowCalNumber,0),1,1)*T286^INDEX(FlowCalConstB,MATCH(R277,FlowCalNumber,0),1,1)," ")</f>
        <v>#N/A</v>
      </c>
      <c r="V286" s="1224"/>
      <c r="W286" s="1217"/>
      <c r="X286" s="1218"/>
      <c r="Y286" s="1219"/>
      <c r="Z286" s="1224"/>
      <c r="AA286" s="1217"/>
      <c r="AB286" s="1218"/>
      <c r="AC286" s="1219"/>
      <c r="AD286" s="1224"/>
      <c r="AE286" s="1217"/>
      <c r="AF286" s="1218"/>
      <c r="AG286" s="1219"/>
      <c r="AH286" s="1224"/>
      <c r="AI286" s="1217"/>
      <c r="AJ286" s="1218"/>
      <c r="AK286" s="1220"/>
      <c r="AL286" s="1219"/>
      <c r="AM286" s="1219"/>
      <c r="AN286" s="1219"/>
      <c r="AO286" s="1219"/>
      <c r="AP286" s="1219"/>
      <c r="AQ286" s="1219"/>
      <c r="AR286" s="1219"/>
      <c r="AS286" s="1219"/>
      <c r="AT286" s="1219"/>
      <c r="AU286" s="1219"/>
      <c r="AV286" s="1219"/>
      <c r="AW286" s="1219"/>
      <c r="AX286" s="1219"/>
      <c r="AY286" s="1219"/>
      <c r="AZ286" s="1219"/>
      <c r="BA286" s="1219"/>
      <c r="BB286" s="1219"/>
      <c r="BC286" s="1219"/>
      <c r="BD286" s="1219"/>
      <c r="BE286" s="1219"/>
      <c r="BF286" s="1219"/>
      <c r="BG286" s="1219"/>
      <c r="BH286" s="1219"/>
      <c r="BI286" s="1219"/>
      <c r="BJ286" s="1219"/>
      <c r="BK286" s="1219"/>
      <c r="BL286" s="1219"/>
      <c r="BM286" s="1219"/>
      <c r="BN286" s="1219"/>
      <c r="BO286" s="1219"/>
      <c r="BP286" s="1219"/>
      <c r="BQ286" s="1219"/>
      <c r="BR286" s="1219"/>
      <c r="BS286" s="1219"/>
      <c r="BU286" s="1217"/>
      <c r="BW286" s="1219"/>
      <c r="BY286" s="1217"/>
      <c r="CA286" s="1219"/>
      <c r="CC286" s="1217"/>
      <c r="CE286" s="1219"/>
      <c r="CG286" s="1217"/>
      <c r="CI286" s="1219"/>
    </row>
    <row r="287" spans="1:87">
      <c r="A287" s="20"/>
      <c r="B287" s="124" t="str">
        <f t="shared" si="128"/>
        <v/>
      </c>
      <c r="C287" s="235"/>
      <c r="D287" s="24">
        <f>'1% Wind'!$M$91</f>
        <v>4.2</v>
      </c>
      <c r="E287" s="90"/>
      <c r="F287" s="90"/>
      <c r="G287" s="79" t="e">
        <f ca="1">IF(I277=0.9743,$G286,MAX(G286/D286*D287,2))</f>
        <v>#N/A</v>
      </c>
      <c r="H287" s="121" t="e">
        <f t="shared" ca="1" si="129"/>
        <v>#N/A</v>
      </c>
      <c r="J287" s="33"/>
      <c r="K287" s="242">
        <f t="shared" si="130"/>
        <v>1</v>
      </c>
      <c r="L287" s="241" t="e">
        <f t="shared" ca="1" si="131"/>
        <v>#N/A</v>
      </c>
      <c r="M287" s="243" t="e">
        <f ca="1">IF(AND(INDEX(FlowCalConstA,MATCH(J277,FlowCalNumber,0),1,1)*L287^INDEX(FlowCalConstB,MATCH(J277,FlowCalNumber,0),1,1)&gt;INDEX(FlowCalLowSetting,MATCH(J277,FlowCalNumber,0),1,1), (INDEX(FlowCalConstA,MATCH(J277,FlowCalNumber,0),1,1)*L287^INDEX(FlowCalConstB,MATCH(J277,FlowCalNumber,0),1,1)&lt;INDEX(FlowCalHighSetting,MATCH(J277,FlowCalNumber,0),1,1))),INDEX(FlowCalConstA,MATCH(J277,FlowCalNumber,0),1,1)*L287^INDEX(FlowCalConstB,MATCH(J277,FlowCalNumber,0),1,1)," ")</f>
        <v>#N/A</v>
      </c>
      <c r="N287" s="33"/>
      <c r="O287" s="242">
        <f t="shared" si="132"/>
        <v>1</v>
      </c>
      <c r="P287" s="241" t="e">
        <f t="shared" ca="1" si="133"/>
        <v>#N/A</v>
      </c>
      <c r="Q287" s="243" t="e">
        <f ca="1">IF(AND(INDEX(FlowCalConstA,MATCH(N277,FlowCalNumber,0),1,1)*P287^INDEX(FlowCalConstB,MATCH(N277,FlowCalNumber,0),1,1)&gt;INDEX(FlowCalLowSetting,MATCH(N277,FlowCalNumber,0),1,1), (INDEX(FlowCalConstA,MATCH(N277,FlowCalNumber,0),1,1)*P287^INDEX(FlowCalConstB,MATCH(N277,FlowCalNumber,0),1,1)&lt;INDEX(FlowCalHighSetting,MATCH(N277,FlowCalNumber,0),1,1))),INDEX(FlowCalConstA,MATCH(N277,FlowCalNumber,0),1,1)*P287^INDEX(FlowCalConstB,MATCH(N277,FlowCalNumber,0),1,1)," ")</f>
        <v>#N/A</v>
      </c>
      <c r="R287" s="33"/>
      <c r="S287" s="242">
        <f t="shared" si="134"/>
        <v>1</v>
      </c>
      <c r="T287" s="241" t="e">
        <f t="shared" ca="1" si="135"/>
        <v>#N/A</v>
      </c>
      <c r="U287" s="243" t="e">
        <f ca="1">IF(AND(INDEX(FlowCalConstA,MATCH(R277,FlowCalNumber,0),1,1)*T287^INDEX(FlowCalConstB,MATCH(R277,FlowCalNumber,0),1,1)&gt;INDEX(FlowCalLowSetting,MATCH(R277,FlowCalNumber,0),1,1), (INDEX(FlowCalConstA,MATCH(R277,FlowCalNumber,0),1,1)*T287^INDEX(FlowCalConstB,MATCH(R277,FlowCalNumber,0),1,1)&lt;INDEX(FlowCalHighSetting,MATCH(R277,FlowCalNumber,0),1,1))),INDEX(FlowCalConstA,MATCH(R277,FlowCalNumber,0),1,1)*T287^INDEX(FlowCalConstB,MATCH(R277,FlowCalNumber,0),1,1)," ")</f>
        <v>#N/A</v>
      </c>
      <c r="V287" s="33"/>
      <c r="W287" s="242"/>
      <c r="X287" s="241"/>
      <c r="Y287" s="243"/>
      <c r="Z287" s="33"/>
      <c r="AA287" s="242"/>
      <c r="AB287" s="241"/>
      <c r="AC287" s="243"/>
      <c r="AD287" s="33"/>
      <c r="AE287" s="242"/>
      <c r="AF287" s="241"/>
      <c r="AG287" s="243"/>
      <c r="AH287" s="33"/>
      <c r="AI287" s="242"/>
      <c r="AJ287" s="241"/>
      <c r="AK287" s="244"/>
      <c r="AL287" s="243"/>
      <c r="AM287" s="243"/>
      <c r="AN287" s="243"/>
      <c r="AO287" s="243"/>
      <c r="AP287" s="243"/>
      <c r="AQ287" s="243"/>
      <c r="AR287" s="243"/>
      <c r="AS287" s="243"/>
      <c r="AT287" s="243"/>
      <c r="AU287" s="243"/>
      <c r="AV287" s="243"/>
      <c r="AW287" s="243"/>
      <c r="AX287" s="243"/>
      <c r="AY287" s="243"/>
      <c r="AZ287" s="243"/>
      <c r="BA287" s="243"/>
      <c r="BB287" s="243"/>
      <c r="BC287" s="243"/>
      <c r="BD287" s="243"/>
      <c r="BE287" s="243"/>
      <c r="BF287" s="243"/>
      <c r="BG287" s="243"/>
      <c r="BH287" s="243"/>
      <c r="BI287" s="243"/>
      <c r="BJ287" s="243"/>
      <c r="BK287" s="243"/>
      <c r="BL287" s="243"/>
      <c r="BM287" s="243"/>
      <c r="BN287" s="243"/>
      <c r="BO287" s="243"/>
      <c r="BP287" s="243"/>
      <c r="BQ287" s="243"/>
      <c r="BR287" s="243"/>
      <c r="BS287" s="243"/>
      <c r="BU287" s="242"/>
      <c r="BW287" s="243"/>
      <c r="BY287" s="242"/>
      <c r="CA287" s="243"/>
      <c r="CC287" s="242"/>
      <c r="CE287" s="243"/>
      <c r="CG287" s="242"/>
      <c r="CI287" s="243"/>
    </row>
    <row r="288" spans="1:87" s="1215" customFormat="1">
      <c r="A288" s="1222"/>
      <c r="B288" s="1223" t="str">
        <f t="shared" si="128"/>
        <v/>
      </c>
      <c r="C288" s="1210"/>
      <c r="D288" s="1211">
        <f>'1% Wind'!$M$92</f>
        <v>3.2</v>
      </c>
      <c r="E288" s="1212"/>
      <c r="F288" s="1212"/>
      <c r="G288" s="1213" t="e">
        <f ca="1">IF(I277=0.9743,$G287,MAX(G287/D287*D288,2))</f>
        <v>#N/A</v>
      </c>
      <c r="H288" s="1214" t="e">
        <f t="shared" ca="1" si="129"/>
        <v>#N/A</v>
      </c>
      <c r="J288" s="1224"/>
      <c r="K288" s="1217">
        <f t="shared" si="130"/>
        <v>1</v>
      </c>
      <c r="L288" s="1218" t="e">
        <f t="shared" ca="1" si="131"/>
        <v>#N/A</v>
      </c>
      <c r="M288" s="1219" t="e">
        <f ca="1">IF(AND(INDEX(FlowCalConstA,MATCH(J277,FlowCalNumber,0),1,1)*L288^INDEX(FlowCalConstB,MATCH(J277,FlowCalNumber,0),1,1)&gt;INDEX(FlowCalLowSetting,MATCH(J277,FlowCalNumber,0),1,1), (INDEX(FlowCalConstA,MATCH(J277,FlowCalNumber,0),1,1)*L288^INDEX(FlowCalConstB,MATCH(J277,FlowCalNumber,0),1,1)&lt;INDEX(FlowCalHighSetting,MATCH(J277,FlowCalNumber,0),1,1))),INDEX(FlowCalConstA,MATCH(J277,FlowCalNumber,0),1,1)*L288^INDEX(FlowCalConstB,MATCH(J277,FlowCalNumber,0),1,1)," ")</f>
        <v>#N/A</v>
      </c>
      <c r="N288" s="1224"/>
      <c r="O288" s="1217">
        <f t="shared" si="132"/>
        <v>1</v>
      </c>
      <c r="P288" s="1218" t="e">
        <f t="shared" ca="1" si="133"/>
        <v>#N/A</v>
      </c>
      <c r="Q288" s="1219" t="e">
        <f ca="1">IF(AND(INDEX(FlowCalConstA,MATCH(N277,FlowCalNumber,0),1,1)*P288^INDEX(FlowCalConstB,MATCH(N277,FlowCalNumber,0),1,1)&gt;INDEX(FlowCalLowSetting,MATCH(N277,FlowCalNumber,0),1,1), (INDEX(FlowCalConstA,MATCH(N277,FlowCalNumber,0),1,1)*P288^INDEX(FlowCalConstB,MATCH(N277,FlowCalNumber,0),1,1)&lt;INDEX(FlowCalHighSetting,MATCH(N277,FlowCalNumber,0),1,1))),INDEX(FlowCalConstA,MATCH(N277,FlowCalNumber,0),1,1)*P288^INDEX(FlowCalConstB,MATCH(N277,FlowCalNumber,0),1,1)," ")</f>
        <v>#N/A</v>
      </c>
      <c r="R288" s="1224"/>
      <c r="S288" s="1217">
        <f t="shared" si="134"/>
        <v>1</v>
      </c>
      <c r="T288" s="1218" t="e">
        <f t="shared" ca="1" si="135"/>
        <v>#N/A</v>
      </c>
      <c r="U288" s="1219" t="e">
        <f ca="1">IF(AND(INDEX(FlowCalConstA,MATCH(R277,FlowCalNumber,0),1,1)*T288^INDEX(FlowCalConstB,MATCH(R277,FlowCalNumber,0),1,1)&gt;INDEX(FlowCalLowSetting,MATCH(R277,FlowCalNumber,0),1,1), (INDEX(FlowCalConstA,MATCH(R277,FlowCalNumber,0),1,1)*T288^INDEX(FlowCalConstB,MATCH(R277,FlowCalNumber,0),1,1)&lt;INDEX(FlowCalHighSetting,MATCH(R277,FlowCalNumber,0),1,1))),INDEX(FlowCalConstA,MATCH(R277,FlowCalNumber,0),1,1)*T288^INDEX(FlowCalConstB,MATCH(R277,FlowCalNumber,0),1,1)," ")</f>
        <v>#N/A</v>
      </c>
      <c r="V288" s="1224"/>
      <c r="W288" s="1217"/>
      <c r="X288" s="1218"/>
      <c r="Y288" s="1219"/>
      <c r="Z288" s="1224"/>
      <c r="AA288" s="1217"/>
      <c r="AB288" s="1218"/>
      <c r="AC288" s="1219"/>
      <c r="AD288" s="1224"/>
      <c r="AE288" s="1217"/>
      <c r="AF288" s="1218"/>
      <c r="AG288" s="1219"/>
      <c r="AH288" s="1224"/>
      <c r="AI288" s="1217"/>
      <c r="AJ288" s="1218"/>
      <c r="AK288" s="1220"/>
      <c r="AL288" s="1219"/>
      <c r="AM288" s="1219"/>
      <c r="AN288" s="1219"/>
      <c r="AO288" s="1219"/>
      <c r="AP288" s="1219"/>
      <c r="AQ288" s="1219"/>
      <c r="AR288" s="1219"/>
      <c r="AS288" s="1219"/>
      <c r="AT288" s="1219"/>
      <c r="AU288" s="1219"/>
      <c r="AV288" s="1219"/>
      <c r="AW288" s="1219"/>
      <c r="AX288" s="1219"/>
      <c r="AY288" s="1219"/>
      <c r="AZ288" s="1219"/>
      <c r="BA288" s="1219"/>
      <c r="BB288" s="1219"/>
      <c r="BC288" s="1219"/>
      <c r="BD288" s="1219"/>
      <c r="BE288" s="1219"/>
      <c r="BF288" s="1219"/>
      <c r="BG288" s="1219"/>
      <c r="BH288" s="1219"/>
      <c r="BI288" s="1219"/>
      <c r="BJ288" s="1219"/>
      <c r="BK288" s="1219"/>
      <c r="BL288" s="1219"/>
      <c r="BM288" s="1219"/>
      <c r="BN288" s="1219"/>
      <c r="BO288" s="1219"/>
      <c r="BP288" s="1219"/>
      <c r="BQ288" s="1219"/>
      <c r="BR288" s="1219"/>
      <c r="BS288" s="1219"/>
      <c r="BU288" s="1217"/>
      <c r="BW288" s="1219"/>
      <c r="BY288" s="1217"/>
      <c r="CA288" s="1219"/>
      <c r="CC288" s="1217"/>
      <c r="CE288" s="1219"/>
      <c r="CG288" s="1217"/>
      <c r="CI288" s="1219"/>
    </row>
    <row r="289" spans="1:87">
      <c r="A289" s="20"/>
      <c r="B289" s="124" t="str">
        <f t="shared" si="128"/>
        <v/>
      </c>
      <c r="C289" s="235"/>
      <c r="D289" s="24">
        <f>'1% Wind'!$M$93</f>
        <v>2.4</v>
      </c>
      <c r="E289" s="90"/>
      <c r="F289" s="90"/>
      <c r="G289" s="79" t="e">
        <f ca="1">IF(I277=0.9743,$G288,MAX(G288/D288*D289,2))</f>
        <v>#N/A</v>
      </c>
      <c r="H289" s="121" t="e">
        <f t="shared" ca="1" si="129"/>
        <v>#N/A</v>
      </c>
      <c r="J289" s="33"/>
      <c r="K289" s="242">
        <f t="shared" si="130"/>
        <v>1</v>
      </c>
      <c r="L289" s="241" t="e">
        <f t="shared" ca="1" si="131"/>
        <v>#N/A</v>
      </c>
      <c r="M289" s="243" t="e">
        <f ca="1">IF(AND(INDEX(FlowCalConstA,MATCH(J277,FlowCalNumber,0),1,1)*L289^INDEX(FlowCalConstB,MATCH(J277,FlowCalNumber,0),1,1)&gt;INDEX(FlowCalLowSetting,MATCH(J277,FlowCalNumber,0),1,1), (INDEX(FlowCalConstA,MATCH(J277,FlowCalNumber,0),1,1)*L289^INDEX(FlowCalConstB,MATCH(J277,FlowCalNumber,0),1,1)&lt;INDEX(FlowCalHighSetting,MATCH(J277,FlowCalNumber,0),1,1))),INDEX(FlowCalConstA,MATCH(J277,FlowCalNumber,0),1,1)*L289^INDEX(FlowCalConstB,MATCH(J277,FlowCalNumber,0),1,1)," ")</f>
        <v>#N/A</v>
      </c>
      <c r="N289" s="33"/>
      <c r="O289" s="242">
        <f t="shared" si="132"/>
        <v>1</v>
      </c>
      <c r="P289" s="241" t="e">
        <f t="shared" ca="1" si="133"/>
        <v>#N/A</v>
      </c>
      <c r="Q289" s="243" t="e">
        <f ca="1">IF(AND(INDEX(FlowCalConstA,MATCH(N277,FlowCalNumber,0),1,1)*P289^INDEX(FlowCalConstB,MATCH(N277,FlowCalNumber,0),1,1)&gt;INDEX(FlowCalLowSetting,MATCH(N277,FlowCalNumber,0),1,1), (INDEX(FlowCalConstA,MATCH(N277,FlowCalNumber,0),1,1)*P289^INDEX(FlowCalConstB,MATCH(N277,FlowCalNumber,0),1,1)&lt;INDEX(FlowCalHighSetting,MATCH(N277,FlowCalNumber,0),1,1))),INDEX(FlowCalConstA,MATCH(N277,FlowCalNumber,0),1,1)*P289^INDEX(FlowCalConstB,MATCH(N277,FlowCalNumber,0),1,1)," ")</f>
        <v>#N/A</v>
      </c>
      <c r="R289" s="33"/>
      <c r="S289" s="242">
        <f t="shared" si="134"/>
        <v>1</v>
      </c>
      <c r="T289" s="241" t="e">
        <f t="shared" ca="1" si="135"/>
        <v>#N/A</v>
      </c>
      <c r="U289" s="243" t="e">
        <f ca="1">IF(AND(INDEX(FlowCalConstA,MATCH(R277,FlowCalNumber,0),1,1)*T289^INDEX(FlowCalConstB,MATCH(R277,FlowCalNumber,0),1,1)&gt;INDEX(FlowCalLowSetting,MATCH(R277,FlowCalNumber,0),1,1), (INDEX(FlowCalConstA,MATCH(R277,FlowCalNumber,0),1,1)*T289^INDEX(FlowCalConstB,MATCH(R277,FlowCalNumber,0),1,1)&lt;INDEX(FlowCalHighSetting,MATCH(R277,FlowCalNumber,0),1,1))),INDEX(FlowCalConstA,MATCH(R277,FlowCalNumber,0),1,1)*T289^INDEX(FlowCalConstB,MATCH(R277,FlowCalNumber,0),1,1)," ")</f>
        <v>#N/A</v>
      </c>
      <c r="V289" s="33"/>
      <c r="W289" s="242"/>
      <c r="X289" s="241"/>
      <c r="Y289" s="243"/>
      <c r="Z289" s="33"/>
      <c r="AA289" s="242"/>
      <c r="AB289" s="241"/>
      <c r="AC289" s="243"/>
      <c r="AD289" s="33"/>
      <c r="AE289" s="242"/>
      <c r="AF289" s="241"/>
      <c r="AG289" s="243"/>
      <c r="AH289" s="33"/>
      <c r="AI289" s="242"/>
      <c r="AJ289" s="241"/>
      <c r="AK289" s="244"/>
      <c r="AL289" s="243"/>
      <c r="AM289" s="243"/>
      <c r="AN289" s="243"/>
      <c r="AO289" s="243"/>
      <c r="AP289" s="243"/>
      <c r="AQ289" s="243"/>
      <c r="AR289" s="243"/>
      <c r="AS289" s="243"/>
      <c r="AT289" s="243"/>
      <c r="AU289" s="243"/>
      <c r="AV289" s="243"/>
      <c r="AW289" s="243"/>
      <c r="AX289" s="243"/>
      <c r="AY289" s="243"/>
      <c r="AZ289" s="243"/>
      <c r="BA289" s="243"/>
      <c r="BB289" s="243"/>
      <c r="BC289" s="243"/>
      <c r="BD289" s="243"/>
      <c r="BE289" s="243"/>
      <c r="BF289" s="243"/>
      <c r="BG289" s="243"/>
      <c r="BH289" s="243"/>
      <c r="BI289" s="243"/>
      <c r="BJ289" s="243"/>
      <c r="BK289" s="243"/>
      <c r="BL289" s="243"/>
      <c r="BM289" s="243"/>
      <c r="BN289" s="243"/>
      <c r="BO289" s="243"/>
      <c r="BP289" s="243"/>
      <c r="BQ289" s="243"/>
      <c r="BR289" s="243"/>
      <c r="BS289" s="243"/>
      <c r="BU289" s="242"/>
      <c r="BW289" s="243"/>
      <c r="BY289" s="242"/>
      <c r="CA289" s="243"/>
      <c r="CC289" s="242"/>
      <c r="CE289" s="243"/>
      <c r="CG289" s="242"/>
      <c r="CI289" s="243"/>
    </row>
    <row r="290" spans="1:87" s="1215" customFormat="1">
      <c r="A290" s="1222"/>
      <c r="B290" s="1223" t="str">
        <f t="shared" si="128"/>
        <v/>
      </c>
      <c r="C290" s="1210"/>
      <c r="D290" s="1211">
        <f>'1% Wind'!$M$94</f>
        <v>1.8</v>
      </c>
      <c r="E290" s="1212"/>
      <c r="F290" s="1212"/>
      <c r="G290" s="1213" t="e">
        <f ca="1">IF(I277=0.9743,$G289,MAX(G289/D289*D290,2))</f>
        <v>#N/A</v>
      </c>
      <c r="H290" s="1214" t="e">
        <f t="shared" ca="1" si="129"/>
        <v>#N/A</v>
      </c>
      <c r="J290" s="1224"/>
      <c r="K290" s="1217">
        <f t="shared" si="130"/>
        <v>1</v>
      </c>
      <c r="L290" s="1218" t="e">
        <f t="shared" ca="1" si="131"/>
        <v>#N/A</v>
      </c>
      <c r="M290" s="1219" t="e">
        <f ca="1">IF(AND(INDEX(FlowCalConstA,MATCH(J277,FlowCalNumber,0),1,1)*L290^INDEX(FlowCalConstB,MATCH(J277,FlowCalNumber,0),1,1)&gt;INDEX(FlowCalLowSetting,MATCH(J277,FlowCalNumber,0),1,1), (INDEX(FlowCalConstA,MATCH(J277,FlowCalNumber,0),1,1)*L290^INDEX(FlowCalConstB,MATCH(J277,FlowCalNumber,0),1,1)&lt;INDEX(FlowCalHighSetting,MATCH(J277,FlowCalNumber,0),1,1))),INDEX(FlowCalConstA,MATCH(J277,FlowCalNumber,0),1,1)*L290^INDEX(FlowCalConstB,MATCH(J277,FlowCalNumber,0),1,1)," ")</f>
        <v>#N/A</v>
      </c>
      <c r="N290" s="1224"/>
      <c r="O290" s="1217">
        <f t="shared" si="132"/>
        <v>1</v>
      </c>
      <c r="P290" s="1218" t="e">
        <f t="shared" ca="1" si="133"/>
        <v>#N/A</v>
      </c>
      <c r="Q290" s="1219" t="e">
        <f ca="1">IF(AND(INDEX(FlowCalConstA,MATCH(N277,FlowCalNumber,0),1,1)*P290^INDEX(FlowCalConstB,MATCH(N277,FlowCalNumber,0),1,1)&gt;INDEX(FlowCalLowSetting,MATCH(N277,FlowCalNumber,0),1,1), (INDEX(FlowCalConstA,MATCH(N277,FlowCalNumber,0),1,1)*P290^INDEX(FlowCalConstB,MATCH(N277,FlowCalNumber,0),1,1)&lt;INDEX(FlowCalHighSetting,MATCH(N277,FlowCalNumber,0),1,1))),INDEX(FlowCalConstA,MATCH(N277,FlowCalNumber,0),1,1)*P290^INDEX(FlowCalConstB,MATCH(N277,FlowCalNumber,0),1,1)," ")</f>
        <v>#N/A</v>
      </c>
      <c r="R290" s="1224"/>
      <c r="S290" s="1217">
        <f t="shared" si="134"/>
        <v>1</v>
      </c>
      <c r="T290" s="1218" t="e">
        <f t="shared" ca="1" si="135"/>
        <v>#N/A</v>
      </c>
      <c r="U290" s="1219" t="e">
        <f ca="1">IF(AND(INDEX(FlowCalConstA,MATCH(R277,FlowCalNumber,0),1,1)*T290^INDEX(FlowCalConstB,MATCH(R277,FlowCalNumber,0),1,1)&gt;INDEX(FlowCalLowSetting,MATCH(R277,FlowCalNumber,0),1,1), (INDEX(FlowCalConstA,MATCH(R277,FlowCalNumber,0),1,1)*T290^INDEX(FlowCalConstB,MATCH(R277,FlowCalNumber,0),1,1)&lt;INDEX(FlowCalHighSetting,MATCH(R277,FlowCalNumber,0),1,1))),INDEX(FlowCalConstA,MATCH(R277,FlowCalNumber,0),1,1)*T290^INDEX(FlowCalConstB,MATCH(R277,FlowCalNumber,0),1,1)," ")</f>
        <v>#N/A</v>
      </c>
      <c r="V290" s="1224"/>
      <c r="W290" s="1217"/>
      <c r="X290" s="1218"/>
      <c r="Y290" s="1219"/>
      <c r="Z290" s="1224"/>
      <c r="AA290" s="1217"/>
      <c r="AB290" s="1218"/>
      <c r="AC290" s="1219"/>
      <c r="AD290" s="1224"/>
      <c r="AE290" s="1217"/>
      <c r="AF290" s="1218"/>
      <c r="AG290" s="1219"/>
      <c r="AH290" s="1224"/>
      <c r="AI290" s="1217"/>
      <c r="AJ290" s="1218"/>
      <c r="AK290" s="1220"/>
      <c r="AL290" s="1219"/>
      <c r="AM290" s="1219"/>
      <c r="AN290" s="1219"/>
      <c r="AO290" s="1219"/>
      <c r="AP290" s="1219"/>
      <c r="AQ290" s="1219"/>
      <c r="AR290" s="1219"/>
      <c r="AS290" s="1219"/>
      <c r="AT290" s="1219"/>
      <c r="AU290" s="1219"/>
      <c r="AV290" s="1219"/>
      <c r="AW290" s="1219"/>
      <c r="AX290" s="1219"/>
      <c r="AY290" s="1219"/>
      <c r="AZ290" s="1219"/>
      <c r="BA290" s="1219"/>
      <c r="BB290" s="1219"/>
      <c r="BC290" s="1219"/>
      <c r="BD290" s="1219"/>
      <c r="BE290" s="1219"/>
      <c r="BF290" s="1219"/>
      <c r="BG290" s="1219"/>
      <c r="BH290" s="1219"/>
      <c r="BI290" s="1219"/>
      <c r="BJ290" s="1219"/>
      <c r="BK290" s="1219"/>
      <c r="BL290" s="1219"/>
      <c r="BM290" s="1219"/>
      <c r="BN290" s="1219"/>
      <c r="BO290" s="1219"/>
      <c r="BP290" s="1219"/>
      <c r="BQ290" s="1219"/>
      <c r="BR290" s="1219"/>
      <c r="BS290" s="1219"/>
      <c r="BU290" s="1217"/>
      <c r="BW290" s="1219"/>
      <c r="BY290" s="1217"/>
      <c r="CA290" s="1219"/>
      <c r="CC290" s="1217"/>
      <c r="CE290" s="1219"/>
      <c r="CG290" s="1217"/>
      <c r="CI290" s="1219"/>
    </row>
    <row r="291" spans="1:87">
      <c r="A291" s="20"/>
      <c r="B291" s="124" t="str">
        <f t="shared" si="128"/>
        <v/>
      </c>
      <c r="C291" s="235"/>
      <c r="D291" s="24">
        <f>'1% Wind'!$M$95</f>
        <v>1.3</v>
      </c>
      <c r="E291" s="90"/>
      <c r="F291" s="90"/>
      <c r="G291" s="79" t="e">
        <f ca="1">IF(I277=0.9743,$G290,MAX(G290/D290*D291,2))</f>
        <v>#N/A</v>
      </c>
      <c r="H291" s="121" t="e">
        <f t="shared" ca="1" si="129"/>
        <v>#N/A</v>
      </c>
      <c r="J291" s="33"/>
      <c r="K291" s="242">
        <f t="shared" si="130"/>
        <v>1</v>
      </c>
      <c r="L291" s="241" t="e">
        <f t="shared" ca="1" si="131"/>
        <v>#N/A</v>
      </c>
      <c r="M291" s="243" t="e">
        <f ca="1">IF(AND(INDEX(FlowCalConstA,MATCH(J277,FlowCalNumber,0),1,1)*L291^INDEX(FlowCalConstB,MATCH(J277,FlowCalNumber,0),1,1)&gt;INDEX(FlowCalLowSetting,MATCH(J277,FlowCalNumber,0),1,1), (INDEX(FlowCalConstA,MATCH(J277,FlowCalNumber,0),1,1)*L291^INDEX(FlowCalConstB,MATCH(J277,FlowCalNumber,0),1,1)&lt;INDEX(FlowCalHighSetting,MATCH(J277,FlowCalNumber,0),1,1))),INDEX(FlowCalConstA,MATCH(J277,FlowCalNumber,0),1,1)*L291^INDEX(FlowCalConstB,MATCH(J277,FlowCalNumber,0),1,1)," ")</f>
        <v>#N/A</v>
      </c>
      <c r="N291" s="33"/>
      <c r="O291" s="242">
        <f t="shared" si="132"/>
        <v>1</v>
      </c>
      <c r="P291" s="241" t="e">
        <f t="shared" ca="1" si="133"/>
        <v>#N/A</v>
      </c>
      <c r="Q291" s="243" t="e">
        <f ca="1">IF(AND(INDEX(FlowCalConstA,MATCH(N277,FlowCalNumber,0),1,1)*P291^INDEX(FlowCalConstB,MATCH(N277,FlowCalNumber,0),1,1)&gt;INDEX(FlowCalLowSetting,MATCH(N277,FlowCalNumber,0),1,1), (INDEX(FlowCalConstA,MATCH(N277,FlowCalNumber,0),1,1)*P291^INDEX(FlowCalConstB,MATCH(N277,FlowCalNumber,0),1,1)&lt;INDEX(FlowCalHighSetting,MATCH(N277,FlowCalNumber,0),1,1))),INDEX(FlowCalConstA,MATCH(N277,FlowCalNumber,0),1,1)*P291^INDEX(FlowCalConstB,MATCH(N277,FlowCalNumber,0),1,1)," ")</f>
        <v>#N/A</v>
      </c>
      <c r="R291" s="33"/>
      <c r="S291" s="242">
        <f t="shared" si="134"/>
        <v>1</v>
      </c>
      <c r="T291" s="241" t="e">
        <f t="shared" ca="1" si="135"/>
        <v>#N/A</v>
      </c>
      <c r="U291" s="243" t="e">
        <f ca="1">IF(AND(INDEX(FlowCalConstA,MATCH(R277,FlowCalNumber,0),1,1)*T291^INDEX(FlowCalConstB,MATCH(R277,FlowCalNumber,0),1,1)&gt;INDEX(FlowCalLowSetting,MATCH(R277,FlowCalNumber,0),1,1), (INDEX(FlowCalConstA,MATCH(R277,FlowCalNumber,0),1,1)*T291^INDEX(FlowCalConstB,MATCH(R277,FlowCalNumber,0),1,1)&lt;INDEX(FlowCalHighSetting,MATCH(R277,FlowCalNumber,0),1,1))),INDEX(FlowCalConstA,MATCH(R277,FlowCalNumber,0),1,1)*T291^INDEX(FlowCalConstB,MATCH(R277,FlowCalNumber,0),1,1)," ")</f>
        <v>#N/A</v>
      </c>
      <c r="V291" s="33"/>
      <c r="W291" s="242"/>
      <c r="X291" s="241"/>
      <c r="Y291" s="243"/>
      <c r="Z291" s="33"/>
      <c r="AA291" s="242"/>
      <c r="AB291" s="241"/>
      <c r="AC291" s="243"/>
      <c r="AD291" s="33"/>
      <c r="AE291" s="242"/>
      <c r="AF291" s="241"/>
      <c r="AG291" s="243"/>
      <c r="AH291" s="33"/>
      <c r="AI291" s="242"/>
      <c r="AJ291" s="241"/>
      <c r="AK291" s="244"/>
      <c r="AL291" s="243"/>
      <c r="AM291" s="243"/>
      <c r="AN291" s="243"/>
      <c r="AO291" s="243"/>
      <c r="AP291" s="243"/>
      <c r="AQ291" s="243"/>
      <c r="AR291" s="243"/>
      <c r="AS291" s="243"/>
      <c r="AT291" s="243"/>
      <c r="AU291" s="243"/>
      <c r="AV291" s="243"/>
      <c r="AW291" s="243"/>
      <c r="AX291" s="243"/>
      <c r="AY291" s="243"/>
      <c r="AZ291" s="243"/>
      <c r="BA291" s="243"/>
      <c r="BB291" s="243"/>
      <c r="BC291" s="243"/>
      <c r="BD291" s="243"/>
      <c r="BE291" s="243"/>
      <c r="BF291" s="243"/>
      <c r="BG291" s="243"/>
      <c r="BH291" s="243"/>
      <c r="BI291" s="243"/>
      <c r="BJ291" s="243"/>
      <c r="BK291" s="243"/>
      <c r="BL291" s="243"/>
      <c r="BM291" s="243"/>
      <c r="BN291" s="243"/>
      <c r="BO291" s="243"/>
      <c r="BP291" s="243"/>
      <c r="BQ291" s="243"/>
      <c r="BR291" s="243"/>
      <c r="BS291" s="243"/>
      <c r="BU291" s="242"/>
      <c r="BW291" s="243"/>
      <c r="BY291" s="242"/>
      <c r="CA291" s="243"/>
      <c r="CC291" s="242"/>
      <c r="CE291" s="243"/>
      <c r="CG291" s="242"/>
      <c r="CI291" s="243"/>
    </row>
    <row r="292" spans="1:87" s="1215" customFormat="1">
      <c r="A292" s="1222"/>
      <c r="B292" s="1223" t="str">
        <f t="shared" si="128"/>
        <v/>
      </c>
      <c r="C292" s="1210"/>
      <c r="D292" s="1211">
        <f>'1% Wind'!$M$96</f>
        <v>1</v>
      </c>
      <c r="E292" s="1212"/>
      <c r="F292" s="1212"/>
      <c r="G292" s="1213" t="e">
        <f ca="1">IF(I277=0.9743,$G291,MAX(G291/D291*D292,2))</f>
        <v>#N/A</v>
      </c>
      <c r="H292" s="1214" t="e">
        <f t="shared" ca="1" si="129"/>
        <v>#N/A</v>
      </c>
      <c r="J292" s="1224"/>
      <c r="K292" s="1217">
        <f t="shared" si="130"/>
        <v>1</v>
      </c>
      <c r="L292" s="1218" t="e">
        <f t="shared" ca="1" si="131"/>
        <v>#N/A</v>
      </c>
      <c r="M292" s="1219" t="e">
        <f ca="1">IF(AND(INDEX(FlowCalConstA,MATCH(J277,FlowCalNumber,0),1,1)*L292^INDEX(FlowCalConstB,MATCH(J277,FlowCalNumber,0),1,1)&gt;INDEX(FlowCalLowSetting,MATCH(J277,FlowCalNumber,0),1,1), (INDEX(FlowCalConstA,MATCH(J277,FlowCalNumber,0),1,1)*L292^INDEX(FlowCalConstB,MATCH(J277,FlowCalNumber,0),1,1)&lt;INDEX(FlowCalHighSetting,MATCH(J277,FlowCalNumber,0),1,1))),INDEX(FlowCalConstA,MATCH(J277,FlowCalNumber,0),1,1)*L292^INDEX(FlowCalConstB,MATCH(J277,FlowCalNumber,0),1,1)," ")</f>
        <v>#N/A</v>
      </c>
      <c r="N292" s="1224"/>
      <c r="O292" s="1217">
        <f t="shared" si="132"/>
        <v>1</v>
      </c>
      <c r="P292" s="1218" t="e">
        <f t="shared" ca="1" si="133"/>
        <v>#N/A</v>
      </c>
      <c r="Q292" s="1219" t="e">
        <f ca="1">IF(AND(INDEX(FlowCalConstA,MATCH(N277,FlowCalNumber,0),1,1)*P292^INDEX(FlowCalConstB,MATCH(N277,FlowCalNumber,0),1,1)&gt;INDEX(FlowCalLowSetting,MATCH(N277,FlowCalNumber,0),1,1), (INDEX(FlowCalConstA,MATCH(N277,FlowCalNumber,0),1,1)*P292^INDEX(FlowCalConstB,MATCH(N277,FlowCalNumber,0),1,1)&lt;INDEX(FlowCalHighSetting,MATCH(N277,FlowCalNumber,0),1,1))),INDEX(FlowCalConstA,MATCH(N277,FlowCalNumber,0),1,1)*P292^INDEX(FlowCalConstB,MATCH(N277,FlowCalNumber,0),1,1)," ")</f>
        <v>#N/A</v>
      </c>
      <c r="R292" s="1224"/>
      <c r="S292" s="1217">
        <f t="shared" si="134"/>
        <v>1</v>
      </c>
      <c r="T292" s="1218" t="e">
        <f t="shared" ca="1" si="135"/>
        <v>#N/A</v>
      </c>
      <c r="U292" s="1219" t="e">
        <f ca="1">IF(AND(INDEX(FlowCalConstA,MATCH(R277,FlowCalNumber,0),1,1)*T292^INDEX(FlowCalConstB,MATCH(R277,FlowCalNumber,0),1,1)&gt;INDEX(FlowCalLowSetting,MATCH(R277,FlowCalNumber,0),1,1), (INDEX(FlowCalConstA,MATCH(R277,FlowCalNumber,0),1,1)*T292^INDEX(FlowCalConstB,MATCH(R277,FlowCalNumber,0),1,1)&lt;INDEX(FlowCalHighSetting,MATCH(R277,FlowCalNumber,0),1,1))),INDEX(FlowCalConstA,MATCH(R277,FlowCalNumber,0),1,1)*T292^INDEX(FlowCalConstB,MATCH(R277,FlowCalNumber,0),1,1)," ")</f>
        <v>#N/A</v>
      </c>
      <c r="V292" s="1224"/>
      <c r="W292" s="1217"/>
      <c r="X292" s="1218"/>
      <c r="Y292" s="1219"/>
      <c r="Z292" s="1224"/>
      <c r="AA292" s="1217"/>
      <c r="AB292" s="1218"/>
      <c r="AC292" s="1219"/>
      <c r="AD292" s="1224"/>
      <c r="AE292" s="1217"/>
      <c r="AF292" s="1218"/>
      <c r="AG292" s="1219"/>
      <c r="AH292" s="1224"/>
      <c r="AI292" s="1217"/>
      <c r="AJ292" s="1218"/>
      <c r="AK292" s="1220"/>
      <c r="AL292" s="1219"/>
      <c r="AM292" s="1219"/>
      <c r="AN292" s="1219"/>
      <c r="AO292" s="1219"/>
      <c r="AP292" s="1219"/>
      <c r="AQ292" s="1219"/>
      <c r="AR292" s="1219"/>
      <c r="AS292" s="1219"/>
      <c r="AT292" s="1219"/>
      <c r="AU292" s="1219"/>
      <c r="AV292" s="1219"/>
      <c r="AW292" s="1219"/>
      <c r="AX292" s="1219"/>
      <c r="AY292" s="1219"/>
      <c r="AZ292" s="1219"/>
      <c r="BA292" s="1219"/>
      <c r="BB292" s="1219"/>
      <c r="BC292" s="1219"/>
      <c r="BD292" s="1219"/>
      <c r="BE292" s="1219"/>
      <c r="BF292" s="1219"/>
      <c r="BG292" s="1219"/>
      <c r="BH292" s="1219"/>
      <c r="BI292" s="1219"/>
      <c r="BJ292" s="1219"/>
      <c r="BK292" s="1219"/>
      <c r="BL292" s="1219"/>
      <c r="BM292" s="1219"/>
      <c r="BN292" s="1219"/>
      <c r="BO292" s="1219"/>
      <c r="BP292" s="1219"/>
      <c r="BQ292" s="1219"/>
      <c r="BR292" s="1219"/>
      <c r="BS292" s="1219"/>
      <c r="BU292" s="1217"/>
      <c r="BW292" s="1219"/>
      <c r="BY292" s="1217"/>
      <c r="CA292" s="1219"/>
      <c r="CC292" s="1217"/>
      <c r="CE292" s="1219"/>
      <c r="CG292" s="1217"/>
      <c r="CI292" s="1219"/>
    </row>
    <row r="293" spans="1:87">
      <c r="A293" s="33"/>
      <c r="B293" s="33"/>
      <c r="C293" s="235"/>
      <c r="E293" s="90"/>
      <c r="F293" s="90"/>
      <c r="G293" s="33"/>
      <c r="J293" s="33"/>
      <c r="M293" s="243"/>
      <c r="N293" s="33"/>
      <c r="Q293" s="243"/>
      <c r="R293" s="33"/>
      <c r="U293" s="243"/>
      <c r="V293" s="33"/>
      <c r="Y293" s="243"/>
      <c r="Z293" s="33"/>
      <c r="AC293" s="243"/>
      <c r="AD293" s="33"/>
      <c r="AG293" s="243"/>
      <c r="AH293" s="33"/>
      <c r="AK293" s="244"/>
      <c r="AL293" s="243"/>
      <c r="AM293" s="243"/>
      <c r="AN293" s="243"/>
      <c r="AO293" s="243"/>
      <c r="AP293" s="243"/>
      <c r="AQ293" s="243"/>
      <c r="AR293" s="243"/>
      <c r="AS293" s="243"/>
      <c r="AT293" s="243"/>
      <c r="AU293" s="243"/>
      <c r="AV293" s="243"/>
      <c r="AW293" s="243"/>
      <c r="AX293" s="243"/>
      <c r="AY293" s="243"/>
      <c r="AZ293" s="243"/>
      <c r="BA293" s="243"/>
      <c r="BB293" s="243"/>
      <c r="BC293" s="243"/>
      <c r="BD293" s="243"/>
      <c r="BE293" s="243"/>
      <c r="BF293" s="243"/>
      <c r="BG293" s="243"/>
      <c r="BH293" s="243"/>
      <c r="BI293" s="243"/>
      <c r="BJ293" s="243"/>
      <c r="BK293" s="243"/>
      <c r="BL293" s="243"/>
      <c r="BM293" s="243"/>
      <c r="BN293" s="243"/>
      <c r="BO293" s="243"/>
      <c r="BP293" s="243"/>
      <c r="BQ293" s="243"/>
      <c r="BR293" s="243"/>
      <c r="BS293" s="243"/>
      <c r="BW293" s="243"/>
      <c r="CA293" s="243"/>
      <c r="CE293" s="243"/>
      <c r="CI293" s="243"/>
    </row>
    <row r="294" spans="1:87">
      <c r="A294" s="256" t="str">
        <f>IF((RIGHT(A277,1))&lt;&gt;"Z",CHAR(CODE(A277))&amp;CHAR(CODE(RIGHT(A277,1))+1),CHAR(CODE(A277)+1)&amp;"A")</f>
        <v>AQ</v>
      </c>
      <c r="B294" s="270" t="e">
        <f>INDEX(SourceID,MATCH($A294,SourceNumber,0),1,1)</f>
        <v>#N/A</v>
      </c>
      <c r="C294" s="354" t="e">
        <f>INDEX(SourceExitDiameter,MATCH($A294,SourceNumber,0),1,1)*3.28*12</f>
        <v>#N/A</v>
      </c>
      <c r="D294" s="24" t="str">
        <f>UAnem1percent</f>
        <v>1% Wind</v>
      </c>
      <c r="E294" s="350" t="e">
        <f ca="1">INDIRECT(ADDRESS(53,6,1,,CONCATENATE("TA",$A294)))</f>
        <v>#REF!</v>
      </c>
      <c r="F294" s="625" t="e">
        <f ca="1">(ROUND((INDIRECT(ADDRESS(15,7,1,,CONCATENATE("TA",$A294)))*3.28*12*32),0)&amp;"/32")</f>
        <v>#REF!</v>
      </c>
      <c r="G294" s="125" t="e">
        <f ca="1">INDIRECT(ADDRESS(29,7,1,,$A294))</f>
        <v>#N/A</v>
      </c>
      <c r="H294" s="24" t="e">
        <f ca="1">INDIRECT(ADDRESS(19,7,1,,$A294))*100^3</f>
        <v>#N/A</v>
      </c>
      <c r="I294" s="941" t="e">
        <f ca="1">INDIRECT(ADDRESS(53,7,1,,$A294))</f>
        <v>#N/A</v>
      </c>
      <c r="J294" s="20" t="e">
        <f ca="1">IF($I294=$I$6,K$16&amp;$G$6&amp;J$6,IF($I294=$I$7,K$16&amp;$G$7&amp;J$7,"Bad"))</f>
        <v>#N/A</v>
      </c>
      <c r="K294" t="e">
        <f ca="1">INDEX(FlowCalGasMixture,MATCH(J294,FlowCalNumber,0),1,1)</f>
        <v>#N/A</v>
      </c>
      <c r="M294" s="944" t="e">
        <f ca="1">INDEX(FlowCalDevice,MATCH(J294,FlowCalNumber,0),1,1)</f>
        <v>#N/A</v>
      </c>
      <c r="N294" s="20" t="e">
        <f ca="1">IF($I294=$I$6,O$16&amp;$G$6&amp;N$6,IF($I294=$I$7,O$16&amp;$G$7&amp;N$7,"Bad"))</f>
        <v>#N/A</v>
      </c>
      <c r="O294" t="e">
        <f ca="1">INDEX(FlowCalGasMixture,MATCH(N294,FlowCalNumber,0),1,1)</f>
        <v>#N/A</v>
      </c>
      <c r="Q294" s="944" t="e">
        <f ca="1">INDEX(FlowCalDevice,MATCH(N294,FlowCalNumber,0),1,1)</f>
        <v>#N/A</v>
      </c>
      <c r="R294" s="20" t="e">
        <f ca="1">IF($I294=$I$6,S$16&amp;$G$6&amp;R$6,IF($I294=$I$7,S$16&amp;$G$7&amp;R$7,"Bad"))</f>
        <v>#N/A</v>
      </c>
      <c r="S294" t="e">
        <f ca="1">INDEX(FlowCalGasMixture,MATCH(R294,FlowCalNumber,0),1,1)</f>
        <v>#N/A</v>
      </c>
      <c r="U294" s="944" t="e">
        <f ca="1">INDEX(FlowCalDevice,MATCH(R294,FlowCalNumber,0),1,1)</f>
        <v>#N/A</v>
      </c>
      <c r="V294" s="20"/>
      <c r="Y294" s="944"/>
      <c r="Z294" s="946"/>
      <c r="AC294" s="944"/>
      <c r="AD294" s="20"/>
      <c r="AG294" s="944"/>
      <c r="AH294" s="946"/>
      <c r="AK294" s="982"/>
      <c r="AL294" s="355"/>
      <c r="AM294" s="355"/>
      <c r="AN294" s="355"/>
      <c r="AO294" s="355"/>
      <c r="AP294" s="355"/>
      <c r="AQ294" s="355"/>
      <c r="AR294" s="355"/>
      <c r="AS294" s="355"/>
      <c r="AT294" s="355"/>
      <c r="AU294" s="355"/>
      <c r="AV294" s="355"/>
      <c r="AW294" s="355"/>
      <c r="AX294" s="355"/>
      <c r="AY294" s="355"/>
      <c r="AZ294" s="355"/>
      <c r="BA294" s="355"/>
      <c r="BB294" s="355"/>
      <c r="BC294" s="355"/>
      <c r="BD294" s="355"/>
      <c r="BE294" s="355"/>
      <c r="BF294" s="355"/>
      <c r="BG294" s="355"/>
      <c r="BH294" s="355"/>
      <c r="BI294" s="355"/>
      <c r="BJ294" s="355"/>
      <c r="BK294" s="355"/>
      <c r="BL294" s="355"/>
      <c r="BM294" s="355"/>
      <c r="BN294" s="355"/>
      <c r="BO294" s="355"/>
      <c r="BP294" s="355"/>
      <c r="BQ294" s="355"/>
      <c r="BR294" s="355"/>
      <c r="BS294" s="355"/>
      <c r="BT294" s="46"/>
      <c r="BU294" s="16"/>
      <c r="BW294" s="355"/>
      <c r="BX294" s="42"/>
      <c r="BY294" s="16"/>
      <c r="CA294" s="355"/>
      <c r="CB294" s="42"/>
      <c r="CC294" s="16"/>
      <c r="CE294" s="355"/>
      <c r="CF294" s="42"/>
      <c r="CG294" s="16"/>
      <c r="CI294" s="355"/>
    </row>
    <row r="295" spans="1:87" s="1215" customFormat="1">
      <c r="A295" s="1222"/>
      <c r="B295" s="1223" t="str">
        <f t="shared" ref="B295:B309" si="136">IF(D295=UAnem1percent,"1% Wind","")</f>
        <v/>
      </c>
      <c r="C295" s="1210"/>
      <c r="D295" s="1211">
        <f>'1% Wind'!$M$82</f>
        <v>27</v>
      </c>
      <c r="E295" s="1212"/>
      <c r="F295" s="1212"/>
      <c r="G295" s="1364">
        <v>2</v>
      </c>
      <c r="H295" s="1214" t="e">
        <f t="shared" ref="H295:H309" ca="1" si="137">H294*(D294/D295)*(G295/G294)</f>
        <v>#N/A</v>
      </c>
      <c r="J295" s="1224"/>
      <c r="K295" s="1221">
        <f>K$17/100</f>
        <v>1</v>
      </c>
      <c r="L295" s="1218" t="e">
        <f ca="1">K295*$H295</f>
        <v>#N/A</v>
      </c>
      <c r="M295" s="1219" t="e">
        <f ca="1">IF(AND(INDEX(FlowCalConstA,MATCH(J294,FlowCalNumber,0),1,1)*L295^INDEX(FlowCalConstB,MATCH(J294,FlowCalNumber,0),1,1)&gt;INDEX(FlowCalLowSetting,MATCH(J294,FlowCalNumber,0),1,1), (INDEX(FlowCalConstA,MATCH(J294,FlowCalNumber,0),1,1)*L295^INDEX(FlowCalConstB,MATCH(J294,FlowCalNumber,0),1,1)&lt;INDEX(FlowCalHighSetting,MATCH(J294,FlowCalNumber,0),1,1))),INDEX(FlowCalConstA,MATCH(J294,FlowCalNumber,0),1,1)*L295^INDEX(FlowCalConstB,MATCH(J294,FlowCalNumber,0),1,1)," ")</f>
        <v>#N/A</v>
      </c>
      <c r="N295" s="1224"/>
      <c r="O295" s="1221">
        <f>O$17/100</f>
        <v>1</v>
      </c>
      <c r="P295" s="1218" t="e">
        <f ca="1">O295*$H295</f>
        <v>#N/A</v>
      </c>
      <c r="Q295" s="1219" t="e">
        <f ca="1">IF(AND(INDEX(FlowCalConstA,MATCH(N294,FlowCalNumber,0),1,1)*P295^INDEX(FlowCalConstB,MATCH(N294,FlowCalNumber,0),1,1)&gt;INDEX(FlowCalLowSetting,MATCH(N294,FlowCalNumber,0),1,1), (INDEX(FlowCalConstA,MATCH(N294,FlowCalNumber,0),1,1)*P295^INDEX(FlowCalConstB,MATCH(N294,FlowCalNumber,0),1,1)&lt;INDEX(FlowCalHighSetting,MATCH(N294,FlowCalNumber,0),1,1))),INDEX(FlowCalConstA,MATCH(N294,FlowCalNumber,0),1,1)*P295^INDEX(FlowCalConstB,MATCH(N294,FlowCalNumber,0),1,1)," ")</f>
        <v>#N/A</v>
      </c>
      <c r="R295" s="1224"/>
      <c r="S295" s="1221">
        <f>S$17/100</f>
        <v>1</v>
      </c>
      <c r="T295" s="1218" t="e">
        <f ca="1">S295*$H295</f>
        <v>#N/A</v>
      </c>
      <c r="U295" s="1219" t="e">
        <f ca="1">IF(AND(INDEX(FlowCalConstA,MATCH(R294,FlowCalNumber,0),1,1)*T295^INDEX(FlowCalConstB,MATCH(R294,FlowCalNumber,0),1,1)&gt;INDEX(FlowCalLowSetting,MATCH(R294,FlowCalNumber,0),1,1), (INDEX(FlowCalConstA,MATCH(R294,FlowCalNumber,0),1,1)*T295^INDEX(FlowCalConstB,MATCH(R294,FlowCalNumber,0),1,1)&lt;INDEX(FlowCalHighSetting,MATCH(R294,FlowCalNumber,0),1,1))),INDEX(FlowCalConstA,MATCH(R294,FlowCalNumber,0),1,1)*T295^INDEX(FlowCalConstB,MATCH(R294,FlowCalNumber,0),1,1)," ")</f>
        <v>#N/A</v>
      </c>
      <c r="V295" s="1224"/>
      <c r="W295" s="1221"/>
      <c r="X295" s="1218"/>
      <c r="Y295" s="1219"/>
      <c r="Z295" s="1224"/>
      <c r="AA295" s="1221"/>
      <c r="AB295" s="1218"/>
      <c r="AC295" s="1219"/>
      <c r="AD295" s="1224"/>
      <c r="AE295" s="1221"/>
      <c r="AF295" s="1218"/>
      <c r="AG295" s="1219"/>
      <c r="AH295" s="1224"/>
      <c r="AI295" s="1221"/>
      <c r="AJ295" s="1218"/>
      <c r="AK295" s="1220"/>
      <c r="AL295" s="1219"/>
      <c r="AM295" s="1219"/>
      <c r="AN295" s="1219"/>
      <c r="AO295" s="1219"/>
      <c r="AP295" s="1219"/>
      <c r="AQ295" s="1219"/>
      <c r="AR295" s="1219"/>
      <c r="AS295" s="1219"/>
      <c r="AT295" s="1219"/>
      <c r="AU295" s="1219"/>
      <c r="AV295" s="1219"/>
      <c r="AW295" s="1219"/>
      <c r="AX295" s="1219"/>
      <c r="AY295" s="1219"/>
      <c r="AZ295" s="1219"/>
      <c r="BA295" s="1219"/>
      <c r="BB295" s="1219"/>
      <c r="BC295" s="1219"/>
      <c r="BD295" s="1219"/>
      <c r="BE295" s="1219"/>
      <c r="BF295" s="1219"/>
      <c r="BG295" s="1219"/>
      <c r="BH295" s="1219"/>
      <c r="BI295" s="1219"/>
      <c r="BJ295" s="1219"/>
      <c r="BK295" s="1219"/>
      <c r="BL295" s="1219"/>
      <c r="BM295" s="1219"/>
      <c r="BN295" s="1219"/>
      <c r="BO295" s="1219"/>
      <c r="BP295" s="1219"/>
      <c r="BQ295" s="1219"/>
      <c r="BR295" s="1219"/>
      <c r="BS295" s="1219"/>
      <c r="BU295" s="1225"/>
      <c r="BW295" s="1219"/>
      <c r="BY295" s="1225"/>
      <c r="CA295" s="1219"/>
      <c r="CC295" s="1225"/>
      <c r="CE295" s="1219"/>
      <c r="CG295" s="1221"/>
      <c r="CI295" s="1219"/>
    </row>
    <row r="296" spans="1:87">
      <c r="A296" s="20"/>
      <c r="B296" s="124" t="str">
        <f t="shared" si="136"/>
        <v/>
      </c>
      <c r="C296" s="235"/>
      <c r="D296" s="24">
        <f>'1% Wind'!$M$83</f>
        <v>23.5</v>
      </c>
      <c r="E296" s="90"/>
      <c r="F296" s="90"/>
      <c r="G296" s="79" t="e">
        <f ca="1">IF(I294=0.9743,$G295,MAX(G295/D295*D296,2))</f>
        <v>#N/A</v>
      </c>
      <c r="H296" s="121" t="e">
        <f t="shared" ca="1" si="137"/>
        <v>#N/A</v>
      </c>
      <c r="J296" s="33"/>
      <c r="K296" s="242">
        <f t="shared" ref="K296:K309" si="138">K295</f>
        <v>1</v>
      </c>
      <c r="L296" s="241" t="e">
        <f t="shared" ref="L296:L309" ca="1" si="139">K296*$H296</f>
        <v>#N/A</v>
      </c>
      <c r="M296" s="243" t="e">
        <f ca="1">IF(AND(INDEX(FlowCalConstA,MATCH(J294,FlowCalNumber,0),1,1)*L296^INDEX(FlowCalConstB,MATCH(J294,FlowCalNumber,0),1,1)&gt;INDEX(FlowCalLowSetting,MATCH(J294,FlowCalNumber,0),1,1), (INDEX(FlowCalConstA,MATCH(J294,FlowCalNumber,0),1,1)*L296^INDEX(FlowCalConstB,MATCH(J294,FlowCalNumber,0),1,1)&lt;INDEX(FlowCalHighSetting,MATCH(J294,FlowCalNumber,0),1,1))),INDEX(FlowCalConstA,MATCH(J294,FlowCalNumber,0),1,1)*L296^INDEX(FlowCalConstB,MATCH(J294,FlowCalNumber,0),1,1)," ")</f>
        <v>#N/A</v>
      </c>
      <c r="N296" s="33"/>
      <c r="O296" s="242">
        <f t="shared" ref="O296:O309" si="140">O295</f>
        <v>1</v>
      </c>
      <c r="P296" s="241" t="e">
        <f t="shared" ref="P296:P309" ca="1" si="141">O296*$H296</f>
        <v>#N/A</v>
      </c>
      <c r="Q296" s="243" t="e">
        <f ca="1">IF(AND(INDEX(FlowCalConstA,MATCH(N294,FlowCalNumber,0),1,1)*P296^INDEX(FlowCalConstB,MATCH(N294,FlowCalNumber,0),1,1)&gt;INDEX(FlowCalLowSetting,MATCH(N294,FlowCalNumber,0),1,1), (INDEX(FlowCalConstA,MATCH(N294,FlowCalNumber,0),1,1)*P296^INDEX(FlowCalConstB,MATCH(N294,FlowCalNumber,0),1,1)&lt;INDEX(FlowCalHighSetting,MATCH(N294,FlowCalNumber,0),1,1))),INDEX(FlowCalConstA,MATCH(N294,FlowCalNumber,0),1,1)*P296^INDEX(FlowCalConstB,MATCH(N294,FlowCalNumber,0),1,1)," ")</f>
        <v>#N/A</v>
      </c>
      <c r="R296" s="33"/>
      <c r="S296" s="242">
        <f t="shared" ref="S296:S309" si="142">S295</f>
        <v>1</v>
      </c>
      <c r="T296" s="241" t="e">
        <f t="shared" ref="T296:T309" ca="1" si="143">S296*$H296</f>
        <v>#N/A</v>
      </c>
      <c r="U296" s="243" t="e">
        <f ca="1">IF(AND(INDEX(FlowCalConstA,MATCH(R294,FlowCalNumber,0),1,1)*T296^INDEX(FlowCalConstB,MATCH(R294,FlowCalNumber,0),1,1)&gt;INDEX(FlowCalLowSetting,MATCH(R294,FlowCalNumber,0),1,1), (INDEX(FlowCalConstA,MATCH(R294,FlowCalNumber,0),1,1)*T296^INDEX(FlowCalConstB,MATCH(R294,FlowCalNumber,0),1,1)&lt;INDEX(FlowCalHighSetting,MATCH(R294,FlowCalNumber,0),1,1))),INDEX(FlowCalConstA,MATCH(R294,FlowCalNumber,0),1,1)*T296^INDEX(FlowCalConstB,MATCH(R294,FlowCalNumber,0),1,1)," ")</f>
        <v>#N/A</v>
      </c>
      <c r="V296" s="33"/>
      <c r="W296" s="242"/>
      <c r="X296" s="241"/>
      <c r="Y296" s="243"/>
      <c r="Z296" s="33"/>
      <c r="AA296" s="242"/>
      <c r="AB296" s="241"/>
      <c r="AC296" s="243"/>
      <c r="AD296" s="33"/>
      <c r="AE296" s="242"/>
      <c r="AF296" s="241"/>
      <c r="AG296" s="243"/>
      <c r="AH296" s="33"/>
      <c r="AI296" s="242"/>
      <c r="AJ296" s="241"/>
      <c r="AK296" s="244"/>
      <c r="AL296" s="243"/>
      <c r="AM296" s="243"/>
      <c r="AN296" s="243"/>
      <c r="AO296" s="243"/>
      <c r="AP296" s="243"/>
      <c r="AQ296" s="243"/>
      <c r="AR296" s="243"/>
      <c r="AS296" s="243"/>
      <c r="AT296" s="243"/>
      <c r="AU296" s="243"/>
      <c r="AV296" s="243"/>
      <c r="AW296" s="243"/>
      <c r="AX296" s="243"/>
      <c r="AY296" s="243"/>
      <c r="AZ296" s="243"/>
      <c r="BA296" s="243"/>
      <c r="BB296" s="243"/>
      <c r="BC296" s="243"/>
      <c r="BD296" s="243"/>
      <c r="BE296" s="243"/>
      <c r="BF296" s="243"/>
      <c r="BG296" s="243"/>
      <c r="BH296" s="243"/>
      <c r="BI296" s="243"/>
      <c r="BJ296" s="243"/>
      <c r="BK296" s="243"/>
      <c r="BL296" s="243"/>
      <c r="BM296" s="243"/>
      <c r="BN296" s="243"/>
      <c r="BO296" s="243"/>
      <c r="BP296" s="243"/>
      <c r="BQ296" s="243"/>
      <c r="BR296" s="243"/>
      <c r="BS296" s="243"/>
      <c r="BU296" s="242"/>
      <c r="BW296" s="243"/>
      <c r="BY296" s="242"/>
      <c r="CA296" s="243"/>
      <c r="CC296" s="242"/>
      <c r="CE296" s="243"/>
      <c r="CG296" s="242"/>
      <c r="CI296" s="243"/>
    </row>
    <row r="297" spans="1:87" s="1215" customFormat="1">
      <c r="A297" s="1222"/>
      <c r="B297" s="1223" t="str">
        <f t="shared" si="136"/>
        <v/>
      </c>
      <c r="C297" s="1210"/>
      <c r="D297" s="1211">
        <f>'1% Wind'!$M$84</f>
        <v>20.5</v>
      </c>
      <c r="E297" s="1212"/>
      <c r="F297" s="1212"/>
      <c r="G297" s="1213" t="e">
        <f ca="1">IF(I294=0.9743,$G296,MAX(G296/D296*D297,2))</f>
        <v>#N/A</v>
      </c>
      <c r="H297" s="1214" t="e">
        <f t="shared" ca="1" si="137"/>
        <v>#N/A</v>
      </c>
      <c r="J297" s="1224"/>
      <c r="K297" s="1217">
        <f t="shared" si="138"/>
        <v>1</v>
      </c>
      <c r="L297" s="1218" t="e">
        <f t="shared" ca="1" si="139"/>
        <v>#N/A</v>
      </c>
      <c r="M297" s="1219" t="e">
        <f ca="1">IF(AND(INDEX(FlowCalConstA,MATCH(J294,FlowCalNumber,0),1,1)*L297^INDEX(FlowCalConstB,MATCH(J294,FlowCalNumber,0),1,1)&gt;INDEX(FlowCalLowSetting,MATCH(J294,FlowCalNumber,0),1,1), (INDEX(FlowCalConstA,MATCH(J294,FlowCalNumber,0),1,1)*L297^INDEX(FlowCalConstB,MATCH(J294,FlowCalNumber,0),1,1)&lt;INDEX(FlowCalHighSetting,MATCH(J294,FlowCalNumber,0),1,1))),INDEX(FlowCalConstA,MATCH(J294,FlowCalNumber,0),1,1)*L297^INDEX(FlowCalConstB,MATCH(J294,FlowCalNumber,0),1,1)," ")</f>
        <v>#N/A</v>
      </c>
      <c r="N297" s="1224"/>
      <c r="O297" s="1217">
        <f t="shared" si="140"/>
        <v>1</v>
      </c>
      <c r="P297" s="1218" t="e">
        <f t="shared" ca="1" si="141"/>
        <v>#N/A</v>
      </c>
      <c r="Q297" s="1219" t="e">
        <f ca="1">IF(AND(INDEX(FlowCalConstA,MATCH(N294,FlowCalNumber,0),1,1)*P297^INDEX(FlowCalConstB,MATCH(N294,FlowCalNumber,0),1,1)&gt;INDEX(FlowCalLowSetting,MATCH(N294,FlowCalNumber,0),1,1), (INDEX(FlowCalConstA,MATCH(N294,FlowCalNumber,0),1,1)*P297^INDEX(FlowCalConstB,MATCH(N294,FlowCalNumber,0),1,1)&lt;INDEX(FlowCalHighSetting,MATCH(N294,FlowCalNumber,0),1,1))),INDEX(FlowCalConstA,MATCH(N294,FlowCalNumber,0),1,1)*P297^INDEX(FlowCalConstB,MATCH(N294,FlowCalNumber,0),1,1)," ")</f>
        <v>#N/A</v>
      </c>
      <c r="R297" s="1224"/>
      <c r="S297" s="1217">
        <f t="shared" si="142"/>
        <v>1</v>
      </c>
      <c r="T297" s="1218" t="e">
        <f t="shared" ca="1" si="143"/>
        <v>#N/A</v>
      </c>
      <c r="U297" s="1219" t="e">
        <f ca="1">IF(AND(INDEX(FlowCalConstA,MATCH(R294,FlowCalNumber,0),1,1)*T297^INDEX(FlowCalConstB,MATCH(R294,FlowCalNumber,0),1,1)&gt;INDEX(FlowCalLowSetting,MATCH(R294,FlowCalNumber,0),1,1), (INDEX(FlowCalConstA,MATCH(R294,FlowCalNumber,0),1,1)*T297^INDEX(FlowCalConstB,MATCH(R294,FlowCalNumber,0),1,1)&lt;INDEX(FlowCalHighSetting,MATCH(R294,FlowCalNumber,0),1,1))),INDEX(FlowCalConstA,MATCH(R294,FlowCalNumber,0),1,1)*T297^INDEX(FlowCalConstB,MATCH(R294,FlowCalNumber,0),1,1)," ")</f>
        <v>#N/A</v>
      </c>
      <c r="V297" s="1224"/>
      <c r="W297" s="1217"/>
      <c r="X297" s="1218"/>
      <c r="Y297" s="1219"/>
      <c r="Z297" s="1224"/>
      <c r="AA297" s="1217"/>
      <c r="AB297" s="1218"/>
      <c r="AC297" s="1219"/>
      <c r="AD297" s="1224"/>
      <c r="AE297" s="1217"/>
      <c r="AF297" s="1218"/>
      <c r="AG297" s="1219"/>
      <c r="AH297" s="1224"/>
      <c r="AI297" s="1217"/>
      <c r="AJ297" s="1218"/>
      <c r="AK297" s="1220"/>
      <c r="AL297" s="1219"/>
      <c r="AM297" s="1219"/>
      <c r="AN297" s="1219"/>
      <c r="AO297" s="1219"/>
      <c r="AP297" s="1219"/>
      <c r="AQ297" s="1219"/>
      <c r="AR297" s="1219"/>
      <c r="AS297" s="1219"/>
      <c r="AT297" s="1219"/>
      <c r="AU297" s="1219"/>
      <c r="AV297" s="1219"/>
      <c r="AW297" s="1219"/>
      <c r="AX297" s="1219"/>
      <c r="AY297" s="1219"/>
      <c r="AZ297" s="1219"/>
      <c r="BA297" s="1219"/>
      <c r="BB297" s="1219"/>
      <c r="BC297" s="1219"/>
      <c r="BD297" s="1219"/>
      <c r="BE297" s="1219"/>
      <c r="BF297" s="1219"/>
      <c r="BG297" s="1219"/>
      <c r="BH297" s="1219"/>
      <c r="BI297" s="1219"/>
      <c r="BJ297" s="1219"/>
      <c r="BK297" s="1219"/>
      <c r="BL297" s="1219"/>
      <c r="BM297" s="1219"/>
      <c r="BN297" s="1219"/>
      <c r="BO297" s="1219"/>
      <c r="BP297" s="1219"/>
      <c r="BQ297" s="1219"/>
      <c r="BR297" s="1219"/>
      <c r="BS297" s="1219"/>
      <c r="BU297" s="1217"/>
      <c r="BW297" s="1219"/>
      <c r="BY297" s="1217"/>
      <c r="CA297" s="1219"/>
      <c r="CC297" s="1217"/>
      <c r="CE297" s="1219"/>
      <c r="CG297" s="1217"/>
      <c r="CI297" s="1219"/>
    </row>
    <row r="298" spans="1:87">
      <c r="A298" s="20"/>
      <c r="B298" s="124" t="str">
        <f t="shared" si="136"/>
        <v/>
      </c>
      <c r="C298" s="235"/>
      <c r="D298" s="24">
        <f>'1% Wind'!$M$85</f>
        <v>17.8</v>
      </c>
      <c r="E298" s="90"/>
      <c r="F298" s="90"/>
      <c r="G298" s="79" t="e">
        <f ca="1">IF(I294=0.9743,$G297,MAX(G297/D297*D298,2))</f>
        <v>#N/A</v>
      </c>
      <c r="H298" s="121" t="e">
        <f t="shared" ca="1" si="137"/>
        <v>#N/A</v>
      </c>
      <c r="J298" s="33"/>
      <c r="K298" s="242">
        <f t="shared" si="138"/>
        <v>1</v>
      </c>
      <c r="L298" s="241" t="e">
        <f t="shared" ca="1" si="139"/>
        <v>#N/A</v>
      </c>
      <c r="M298" s="243" t="e">
        <f ca="1">IF(AND(INDEX(FlowCalConstA,MATCH(J294,FlowCalNumber,0),1,1)*L298^INDEX(FlowCalConstB,MATCH(J294,FlowCalNumber,0),1,1)&gt;INDEX(FlowCalLowSetting,MATCH(J294,FlowCalNumber,0),1,1), (INDEX(FlowCalConstA,MATCH(J294,FlowCalNumber,0),1,1)*L298^INDEX(FlowCalConstB,MATCH(J294,FlowCalNumber,0),1,1)&lt;INDEX(FlowCalHighSetting,MATCH(J294,FlowCalNumber,0),1,1))),INDEX(FlowCalConstA,MATCH(J294,FlowCalNumber,0),1,1)*L298^INDEX(FlowCalConstB,MATCH(J294,FlowCalNumber,0),1,1)," ")</f>
        <v>#N/A</v>
      </c>
      <c r="N298" s="33"/>
      <c r="O298" s="242">
        <f t="shared" si="140"/>
        <v>1</v>
      </c>
      <c r="P298" s="241" t="e">
        <f t="shared" ca="1" si="141"/>
        <v>#N/A</v>
      </c>
      <c r="Q298" s="243" t="e">
        <f ca="1">IF(AND(INDEX(FlowCalConstA,MATCH(N294,FlowCalNumber,0),1,1)*P298^INDEX(FlowCalConstB,MATCH(N294,FlowCalNumber,0),1,1)&gt;INDEX(FlowCalLowSetting,MATCH(N294,FlowCalNumber,0),1,1), (INDEX(FlowCalConstA,MATCH(N294,FlowCalNumber,0),1,1)*P298^INDEX(FlowCalConstB,MATCH(N294,FlowCalNumber,0),1,1)&lt;INDEX(FlowCalHighSetting,MATCH(N294,FlowCalNumber,0),1,1))),INDEX(FlowCalConstA,MATCH(N294,FlowCalNumber,0),1,1)*P298^INDEX(FlowCalConstB,MATCH(N294,FlowCalNumber,0),1,1)," ")</f>
        <v>#N/A</v>
      </c>
      <c r="R298" s="33"/>
      <c r="S298" s="242">
        <f t="shared" si="142"/>
        <v>1</v>
      </c>
      <c r="T298" s="241" t="e">
        <f t="shared" ca="1" si="143"/>
        <v>#N/A</v>
      </c>
      <c r="U298" s="243" t="e">
        <f ca="1">IF(AND(INDEX(FlowCalConstA,MATCH(R294,FlowCalNumber,0),1,1)*T298^INDEX(FlowCalConstB,MATCH(R294,FlowCalNumber,0),1,1)&gt;INDEX(FlowCalLowSetting,MATCH(R294,FlowCalNumber,0),1,1), (INDEX(FlowCalConstA,MATCH(R294,FlowCalNumber,0),1,1)*T298^INDEX(FlowCalConstB,MATCH(R294,FlowCalNumber,0),1,1)&lt;INDEX(FlowCalHighSetting,MATCH(R294,FlowCalNumber,0),1,1))),INDEX(FlowCalConstA,MATCH(R294,FlowCalNumber,0),1,1)*T298^INDEX(FlowCalConstB,MATCH(R294,FlowCalNumber,0),1,1)," ")</f>
        <v>#N/A</v>
      </c>
      <c r="V298" s="33"/>
      <c r="W298" s="242"/>
      <c r="X298" s="241"/>
      <c r="Y298" s="243"/>
      <c r="Z298" s="33"/>
      <c r="AA298" s="242"/>
      <c r="AB298" s="241"/>
      <c r="AC298" s="243"/>
      <c r="AD298" s="33"/>
      <c r="AE298" s="242"/>
      <c r="AF298" s="241"/>
      <c r="AG298" s="243"/>
      <c r="AH298" s="33"/>
      <c r="AI298" s="242"/>
      <c r="AJ298" s="241"/>
      <c r="AK298" s="244"/>
      <c r="AL298" s="243"/>
      <c r="AM298" s="243"/>
      <c r="AN298" s="243"/>
      <c r="AO298" s="243"/>
      <c r="AP298" s="243"/>
      <c r="AQ298" s="243"/>
      <c r="AR298" s="243"/>
      <c r="AS298" s="243"/>
      <c r="AT298" s="243"/>
      <c r="AU298" s="243"/>
      <c r="AV298" s="243"/>
      <c r="AW298" s="243"/>
      <c r="AX298" s="243"/>
      <c r="AY298" s="243"/>
      <c r="AZ298" s="243"/>
      <c r="BA298" s="243"/>
      <c r="BB298" s="243"/>
      <c r="BC298" s="243"/>
      <c r="BD298" s="243"/>
      <c r="BE298" s="243"/>
      <c r="BF298" s="243"/>
      <c r="BG298" s="243"/>
      <c r="BH298" s="243"/>
      <c r="BI298" s="243"/>
      <c r="BJ298" s="243"/>
      <c r="BK298" s="243"/>
      <c r="BL298" s="243"/>
      <c r="BM298" s="243"/>
      <c r="BN298" s="243"/>
      <c r="BO298" s="243"/>
      <c r="BP298" s="243"/>
      <c r="BQ298" s="243"/>
      <c r="BR298" s="243"/>
      <c r="BS298" s="243"/>
      <c r="BU298" s="242"/>
      <c r="BW298" s="243"/>
      <c r="BY298" s="242"/>
      <c r="CA298" s="243"/>
      <c r="CC298" s="242"/>
      <c r="CE298" s="243"/>
      <c r="CG298" s="242"/>
      <c r="CI298" s="243"/>
    </row>
    <row r="299" spans="1:87" s="1215" customFormat="1">
      <c r="A299" s="1222"/>
      <c r="B299" s="1223" t="str">
        <f t="shared" si="136"/>
        <v/>
      </c>
      <c r="C299" s="1210"/>
      <c r="D299" s="1211">
        <f>'1% Wind'!$M$86</f>
        <v>15.5</v>
      </c>
      <c r="E299" s="1212"/>
      <c r="F299" s="1212"/>
      <c r="G299" s="1213" t="e">
        <f ca="1">IF(I294=0.9743,$G298,MAX(G298/D298*D299,2))</f>
        <v>#N/A</v>
      </c>
      <c r="H299" s="1214" t="e">
        <f t="shared" ca="1" si="137"/>
        <v>#N/A</v>
      </c>
      <c r="J299" s="1224"/>
      <c r="K299" s="1217">
        <f t="shared" si="138"/>
        <v>1</v>
      </c>
      <c r="L299" s="1218" t="e">
        <f t="shared" ca="1" si="139"/>
        <v>#N/A</v>
      </c>
      <c r="M299" s="1219" t="e">
        <f ca="1">IF(AND(INDEX(FlowCalConstA,MATCH(J294,FlowCalNumber,0),1,1)*L299^INDEX(FlowCalConstB,MATCH(J294,FlowCalNumber,0),1,1)&gt;INDEX(FlowCalLowSetting,MATCH(J294,FlowCalNumber,0),1,1), (INDEX(FlowCalConstA,MATCH(J294,FlowCalNumber,0),1,1)*L299^INDEX(FlowCalConstB,MATCH(J294,FlowCalNumber,0),1,1)&lt;INDEX(FlowCalHighSetting,MATCH(J294,FlowCalNumber,0),1,1))),INDEX(FlowCalConstA,MATCH(J294,FlowCalNumber,0),1,1)*L299^INDEX(FlowCalConstB,MATCH(J294,FlowCalNumber,0),1,1)," ")</f>
        <v>#N/A</v>
      </c>
      <c r="N299" s="1224"/>
      <c r="O299" s="1217">
        <f t="shared" si="140"/>
        <v>1</v>
      </c>
      <c r="P299" s="1218" t="e">
        <f t="shared" ca="1" si="141"/>
        <v>#N/A</v>
      </c>
      <c r="Q299" s="1219" t="e">
        <f ca="1">IF(AND(INDEX(FlowCalConstA,MATCH(N294,FlowCalNumber,0),1,1)*P299^INDEX(FlowCalConstB,MATCH(N294,FlowCalNumber,0),1,1)&gt;INDEX(FlowCalLowSetting,MATCH(N294,FlowCalNumber,0),1,1), (INDEX(FlowCalConstA,MATCH(N294,FlowCalNumber,0),1,1)*P299^INDEX(FlowCalConstB,MATCH(N294,FlowCalNumber,0),1,1)&lt;INDEX(FlowCalHighSetting,MATCH(N294,FlowCalNumber,0),1,1))),INDEX(FlowCalConstA,MATCH(N294,FlowCalNumber,0),1,1)*P299^INDEX(FlowCalConstB,MATCH(N294,FlowCalNumber,0),1,1)," ")</f>
        <v>#N/A</v>
      </c>
      <c r="R299" s="1224"/>
      <c r="S299" s="1217">
        <f t="shared" si="142"/>
        <v>1</v>
      </c>
      <c r="T299" s="1218" t="e">
        <f t="shared" ca="1" si="143"/>
        <v>#N/A</v>
      </c>
      <c r="U299" s="1219" t="e">
        <f ca="1">IF(AND(INDEX(FlowCalConstA,MATCH(R294,FlowCalNumber,0),1,1)*T299^INDEX(FlowCalConstB,MATCH(R294,FlowCalNumber,0),1,1)&gt;INDEX(FlowCalLowSetting,MATCH(R294,FlowCalNumber,0),1,1), (INDEX(FlowCalConstA,MATCH(R294,FlowCalNumber,0),1,1)*T299^INDEX(FlowCalConstB,MATCH(R294,FlowCalNumber,0),1,1)&lt;INDEX(FlowCalHighSetting,MATCH(R294,FlowCalNumber,0),1,1))),INDEX(FlowCalConstA,MATCH(R294,FlowCalNumber,0),1,1)*T299^INDEX(FlowCalConstB,MATCH(R294,FlowCalNumber,0),1,1)," ")</f>
        <v>#N/A</v>
      </c>
      <c r="V299" s="1224"/>
      <c r="W299" s="1217"/>
      <c r="X299" s="1218"/>
      <c r="Y299" s="1219"/>
      <c r="Z299" s="1224"/>
      <c r="AA299" s="1217"/>
      <c r="AB299" s="1218"/>
      <c r="AC299" s="1219"/>
      <c r="AD299" s="1224"/>
      <c r="AE299" s="1217"/>
      <c r="AF299" s="1218"/>
      <c r="AG299" s="1219"/>
      <c r="AH299" s="1224"/>
      <c r="AI299" s="1217"/>
      <c r="AJ299" s="1218"/>
      <c r="AK299" s="1220"/>
      <c r="AL299" s="1219"/>
      <c r="AM299" s="1219"/>
      <c r="AN299" s="1219"/>
      <c r="AO299" s="1219"/>
      <c r="AP299" s="1219"/>
      <c r="AQ299" s="1219"/>
      <c r="AR299" s="1219"/>
      <c r="AS299" s="1219"/>
      <c r="AT299" s="1219"/>
      <c r="AU299" s="1219"/>
      <c r="AV299" s="1219"/>
      <c r="AW299" s="1219"/>
      <c r="AX299" s="1219"/>
      <c r="AY299" s="1219"/>
      <c r="AZ299" s="1219"/>
      <c r="BA299" s="1219"/>
      <c r="BB299" s="1219"/>
      <c r="BC299" s="1219"/>
      <c r="BD299" s="1219"/>
      <c r="BE299" s="1219"/>
      <c r="BF299" s="1219"/>
      <c r="BG299" s="1219"/>
      <c r="BH299" s="1219"/>
      <c r="BI299" s="1219"/>
      <c r="BJ299" s="1219"/>
      <c r="BK299" s="1219"/>
      <c r="BL299" s="1219"/>
      <c r="BM299" s="1219"/>
      <c r="BN299" s="1219"/>
      <c r="BO299" s="1219"/>
      <c r="BP299" s="1219"/>
      <c r="BQ299" s="1219"/>
      <c r="BR299" s="1219"/>
      <c r="BS299" s="1219"/>
      <c r="BU299" s="1217"/>
      <c r="BW299" s="1219"/>
      <c r="BY299" s="1217"/>
      <c r="CA299" s="1219"/>
      <c r="CC299" s="1217"/>
      <c r="CE299" s="1219"/>
      <c r="CG299" s="1217"/>
      <c r="CI299" s="1219"/>
    </row>
    <row r="300" spans="1:87">
      <c r="A300" s="20"/>
      <c r="B300" s="124" t="str">
        <f t="shared" si="136"/>
        <v/>
      </c>
      <c r="C300" s="235"/>
      <c r="D300" s="24">
        <f>'1% Wind'!$M$87</f>
        <v>13.5</v>
      </c>
      <c r="E300" s="90"/>
      <c r="F300" s="90"/>
      <c r="G300" s="79" t="e">
        <f ca="1">IF(I294=0.9743,$G299,MAX(G299/D299*D300,2))</f>
        <v>#N/A</v>
      </c>
      <c r="H300" s="121" t="e">
        <f t="shared" ca="1" si="137"/>
        <v>#N/A</v>
      </c>
      <c r="J300" s="33"/>
      <c r="K300" s="242">
        <f t="shared" si="138"/>
        <v>1</v>
      </c>
      <c r="L300" s="241" t="e">
        <f t="shared" ca="1" si="139"/>
        <v>#N/A</v>
      </c>
      <c r="M300" s="243" t="e">
        <f ca="1">IF(AND(INDEX(FlowCalConstA,MATCH(J294,FlowCalNumber,0),1,1)*L300^INDEX(FlowCalConstB,MATCH(J294,FlowCalNumber,0),1,1)&gt;INDEX(FlowCalLowSetting,MATCH(J294,FlowCalNumber,0),1,1), (INDEX(FlowCalConstA,MATCH(J294,FlowCalNumber,0),1,1)*L300^INDEX(FlowCalConstB,MATCH(J294,FlowCalNumber,0),1,1)&lt;INDEX(FlowCalHighSetting,MATCH(J294,FlowCalNumber,0),1,1))),INDEX(FlowCalConstA,MATCH(J294,FlowCalNumber,0),1,1)*L300^INDEX(FlowCalConstB,MATCH(J294,FlowCalNumber,0),1,1)," ")</f>
        <v>#N/A</v>
      </c>
      <c r="N300" s="33"/>
      <c r="O300" s="242">
        <f t="shared" si="140"/>
        <v>1</v>
      </c>
      <c r="P300" s="241" t="e">
        <f t="shared" ca="1" si="141"/>
        <v>#N/A</v>
      </c>
      <c r="Q300" s="243" t="e">
        <f ca="1">IF(AND(INDEX(FlowCalConstA,MATCH(N294,FlowCalNumber,0),1,1)*P300^INDEX(FlowCalConstB,MATCH(N294,FlowCalNumber,0),1,1)&gt;INDEX(FlowCalLowSetting,MATCH(N294,FlowCalNumber,0),1,1), (INDEX(FlowCalConstA,MATCH(N294,FlowCalNumber,0),1,1)*P300^INDEX(FlowCalConstB,MATCH(N294,FlowCalNumber,0),1,1)&lt;INDEX(FlowCalHighSetting,MATCH(N294,FlowCalNumber,0),1,1))),INDEX(FlowCalConstA,MATCH(N294,FlowCalNumber,0),1,1)*P300^INDEX(FlowCalConstB,MATCH(N294,FlowCalNumber,0),1,1)," ")</f>
        <v>#N/A</v>
      </c>
      <c r="R300" s="33"/>
      <c r="S300" s="242">
        <f t="shared" si="142"/>
        <v>1</v>
      </c>
      <c r="T300" s="241" t="e">
        <f t="shared" ca="1" si="143"/>
        <v>#N/A</v>
      </c>
      <c r="U300" s="243" t="e">
        <f ca="1">IF(AND(INDEX(FlowCalConstA,MATCH(R294,FlowCalNumber,0),1,1)*T300^INDEX(FlowCalConstB,MATCH(R294,FlowCalNumber,0),1,1)&gt;INDEX(FlowCalLowSetting,MATCH(R294,FlowCalNumber,0),1,1), (INDEX(FlowCalConstA,MATCH(R294,FlowCalNumber,0),1,1)*T300^INDEX(FlowCalConstB,MATCH(R294,FlowCalNumber,0),1,1)&lt;INDEX(FlowCalHighSetting,MATCH(R294,FlowCalNumber,0),1,1))),INDEX(FlowCalConstA,MATCH(R294,FlowCalNumber,0),1,1)*T300^INDEX(FlowCalConstB,MATCH(R294,FlowCalNumber,0),1,1)," ")</f>
        <v>#N/A</v>
      </c>
      <c r="V300" s="33"/>
      <c r="W300" s="242"/>
      <c r="X300" s="241"/>
      <c r="Y300" s="243"/>
      <c r="Z300" s="33"/>
      <c r="AA300" s="242"/>
      <c r="AB300" s="241"/>
      <c r="AC300" s="243"/>
      <c r="AD300" s="33"/>
      <c r="AE300" s="242"/>
      <c r="AF300" s="241"/>
      <c r="AG300" s="243"/>
      <c r="AH300" s="33"/>
      <c r="AI300" s="242"/>
      <c r="AJ300" s="241"/>
      <c r="AK300" s="244"/>
      <c r="AL300" s="243"/>
      <c r="AM300" s="243"/>
      <c r="AN300" s="243"/>
      <c r="AO300" s="243"/>
      <c r="AP300" s="243"/>
      <c r="AQ300" s="243"/>
      <c r="AR300" s="243"/>
      <c r="AS300" s="243"/>
      <c r="AT300" s="243"/>
      <c r="AU300" s="243"/>
      <c r="AV300" s="243"/>
      <c r="AW300" s="243"/>
      <c r="AX300" s="243"/>
      <c r="AY300" s="243"/>
      <c r="AZ300" s="243"/>
      <c r="BA300" s="243"/>
      <c r="BB300" s="243"/>
      <c r="BC300" s="243"/>
      <c r="BD300" s="243"/>
      <c r="BE300" s="243"/>
      <c r="BF300" s="243"/>
      <c r="BG300" s="243"/>
      <c r="BH300" s="243"/>
      <c r="BI300" s="243"/>
      <c r="BJ300" s="243"/>
      <c r="BK300" s="243"/>
      <c r="BL300" s="243"/>
      <c r="BM300" s="243"/>
      <c r="BN300" s="243"/>
      <c r="BO300" s="243"/>
      <c r="BP300" s="243"/>
      <c r="BQ300" s="243"/>
      <c r="BR300" s="243"/>
      <c r="BS300" s="243"/>
      <c r="BU300" s="242"/>
      <c r="BW300" s="243"/>
      <c r="BY300" s="242"/>
      <c r="CA300" s="243"/>
      <c r="CC300" s="242"/>
      <c r="CE300" s="243"/>
      <c r="CG300" s="242"/>
      <c r="CI300" s="243"/>
    </row>
    <row r="301" spans="1:87" s="1215" customFormat="1">
      <c r="A301" s="1222"/>
      <c r="B301" s="1223" t="str">
        <f t="shared" si="136"/>
        <v/>
      </c>
      <c r="C301" s="1210"/>
      <c r="D301" s="1211">
        <f>'1% Wind'!$M$88</f>
        <v>10.1</v>
      </c>
      <c r="E301" s="1212"/>
      <c r="F301" s="1212"/>
      <c r="G301" s="1213" t="e">
        <f ca="1">IF(I294=0.9743,$G300,MAX(G300/D300*D301,2))</f>
        <v>#N/A</v>
      </c>
      <c r="H301" s="1214" t="e">
        <f t="shared" ca="1" si="137"/>
        <v>#N/A</v>
      </c>
      <c r="J301" s="1224"/>
      <c r="K301" s="1217">
        <f t="shared" si="138"/>
        <v>1</v>
      </c>
      <c r="L301" s="1218" t="e">
        <f t="shared" ca="1" si="139"/>
        <v>#N/A</v>
      </c>
      <c r="M301" s="1219" t="e">
        <f ca="1">IF(AND(INDEX(FlowCalConstA,MATCH(J294,FlowCalNumber,0),1,1)*L301^INDEX(FlowCalConstB,MATCH(J294,FlowCalNumber,0),1,1)&gt;INDEX(FlowCalLowSetting,MATCH(J294,FlowCalNumber,0),1,1), (INDEX(FlowCalConstA,MATCH(J294,FlowCalNumber,0),1,1)*L301^INDEX(FlowCalConstB,MATCH(J294,FlowCalNumber,0),1,1)&lt;INDEX(FlowCalHighSetting,MATCH(J294,FlowCalNumber,0),1,1))),INDEX(FlowCalConstA,MATCH(J294,FlowCalNumber,0),1,1)*L301^INDEX(FlowCalConstB,MATCH(J294,FlowCalNumber,0),1,1)," ")</f>
        <v>#N/A</v>
      </c>
      <c r="N301" s="1224"/>
      <c r="O301" s="1217">
        <f t="shared" si="140"/>
        <v>1</v>
      </c>
      <c r="P301" s="1218" t="e">
        <f t="shared" ca="1" si="141"/>
        <v>#N/A</v>
      </c>
      <c r="Q301" s="1219" t="e">
        <f ca="1">IF(AND(INDEX(FlowCalConstA,MATCH(N294,FlowCalNumber,0),1,1)*P301^INDEX(FlowCalConstB,MATCH(N294,FlowCalNumber,0),1,1)&gt;INDEX(FlowCalLowSetting,MATCH(N294,FlowCalNumber,0),1,1), (INDEX(FlowCalConstA,MATCH(N294,FlowCalNumber,0),1,1)*P301^INDEX(FlowCalConstB,MATCH(N294,FlowCalNumber,0),1,1)&lt;INDEX(FlowCalHighSetting,MATCH(N294,FlowCalNumber,0),1,1))),INDEX(FlowCalConstA,MATCH(N294,FlowCalNumber,0),1,1)*P301^INDEX(FlowCalConstB,MATCH(N294,FlowCalNumber,0),1,1)," ")</f>
        <v>#N/A</v>
      </c>
      <c r="R301" s="1224"/>
      <c r="S301" s="1217">
        <f t="shared" si="142"/>
        <v>1</v>
      </c>
      <c r="T301" s="1218" t="e">
        <f t="shared" ca="1" si="143"/>
        <v>#N/A</v>
      </c>
      <c r="U301" s="1219" t="e">
        <f ca="1">IF(AND(INDEX(FlowCalConstA,MATCH(R294,FlowCalNumber,0),1,1)*T301^INDEX(FlowCalConstB,MATCH(R294,FlowCalNumber,0),1,1)&gt;INDEX(FlowCalLowSetting,MATCH(R294,FlowCalNumber,0),1,1), (INDEX(FlowCalConstA,MATCH(R294,FlowCalNumber,0),1,1)*T301^INDEX(FlowCalConstB,MATCH(R294,FlowCalNumber,0),1,1)&lt;INDEX(FlowCalHighSetting,MATCH(R294,FlowCalNumber,0),1,1))),INDEX(FlowCalConstA,MATCH(R294,FlowCalNumber,0),1,1)*T301^INDEX(FlowCalConstB,MATCH(R294,FlowCalNumber,0),1,1)," ")</f>
        <v>#N/A</v>
      </c>
      <c r="V301" s="1224"/>
      <c r="W301" s="1217"/>
      <c r="X301" s="1218"/>
      <c r="Y301" s="1219"/>
      <c r="Z301" s="1224"/>
      <c r="AA301" s="1217"/>
      <c r="AB301" s="1218"/>
      <c r="AC301" s="1219"/>
      <c r="AD301" s="1224"/>
      <c r="AE301" s="1217"/>
      <c r="AF301" s="1218"/>
      <c r="AG301" s="1219"/>
      <c r="AH301" s="1224"/>
      <c r="AI301" s="1217"/>
      <c r="AJ301" s="1218"/>
      <c r="AK301" s="1220"/>
      <c r="AL301" s="1219"/>
      <c r="AM301" s="1219"/>
      <c r="AN301" s="1219"/>
      <c r="AO301" s="1219"/>
      <c r="AP301" s="1219"/>
      <c r="AQ301" s="1219"/>
      <c r="AR301" s="1219"/>
      <c r="AS301" s="1219"/>
      <c r="AT301" s="1219"/>
      <c r="AU301" s="1219"/>
      <c r="AV301" s="1219"/>
      <c r="AW301" s="1219"/>
      <c r="AX301" s="1219"/>
      <c r="AY301" s="1219"/>
      <c r="AZ301" s="1219"/>
      <c r="BA301" s="1219"/>
      <c r="BB301" s="1219"/>
      <c r="BC301" s="1219"/>
      <c r="BD301" s="1219"/>
      <c r="BE301" s="1219"/>
      <c r="BF301" s="1219"/>
      <c r="BG301" s="1219"/>
      <c r="BH301" s="1219"/>
      <c r="BI301" s="1219"/>
      <c r="BJ301" s="1219"/>
      <c r="BK301" s="1219"/>
      <c r="BL301" s="1219"/>
      <c r="BM301" s="1219"/>
      <c r="BN301" s="1219"/>
      <c r="BO301" s="1219"/>
      <c r="BP301" s="1219"/>
      <c r="BQ301" s="1219"/>
      <c r="BR301" s="1219"/>
      <c r="BS301" s="1219"/>
      <c r="BU301" s="1217"/>
      <c r="BW301" s="1219"/>
      <c r="BY301" s="1217"/>
      <c r="CA301" s="1219"/>
      <c r="CC301" s="1217"/>
      <c r="CE301" s="1219"/>
      <c r="CG301" s="1217"/>
      <c r="CI301" s="1219"/>
    </row>
    <row r="302" spans="1:87">
      <c r="A302" s="20"/>
      <c r="B302" s="124" t="str">
        <f t="shared" si="136"/>
        <v/>
      </c>
      <c r="C302" s="235"/>
      <c r="D302" s="24">
        <f>'1% Wind'!$M$89</f>
        <v>7.6</v>
      </c>
      <c r="E302" s="90"/>
      <c r="F302" s="90"/>
      <c r="G302" s="79" t="e">
        <f ca="1">IF(I294=0.9743,$G301,MAX(G301/D301*D302,2))</f>
        <v>#N/A</v>
      </c>
      <c r="H302" s="121" t="e">
        <f t="shared" ca="1" si="137"/>
        <v>#N/A</v>
      </c>
      <c r="J302" s="33"/>
      <c r="K302" s="242">
        <f t="shared" si="138"/>
        <v>1</v>
      </c>
      <c r="L302" s="241" t="e">
        <f t="shared" ca="1" si="139"/>
        <v>#N/A</v>
      </c>
      <c r="M302" s="243" t="e">
        <f ca="1">IF(AND(INDEX(FlowCalConstA,MATCH(J294,FlowCalNumber,0),1,1)*L302^INDEX(FlowCalConstB,MATCH(J294,FlowCalNumber,0),1,1)&gt;INDEX(FlowCalLowSetting,MATCH(J294,FlowCalNumber,0),1,1), (INDEX(FlowCalConstA,MATCH(J294,FlowCalNumber,0),1,1)*L302^INDEX(FlowCalConstB,MATCH(J294,FlowCalNumber,0),1,1)&lt;INDEX(FlowCalHighSetting,MATCH(J294,FlowCalNumber,0),1,1))),INDEX(FlowCalConstA,MATCH(J294,FlowCalNumber,0),1,1)*L302^INDEX(FlowCalConstB,MATCH(J294,FlowCalNumber,0),1,1)," ")</f>
        <v>#N/A</v>
      </c>
      <c r="N302" s="33"/>
      <c r="O302" s="242">
        <f t="shared" si="140"/>
        <v>1</v>
      </c>
      <c r="P302" s="241" t="e">
        <f t="shared" ca="1" si="141"/>
        <v>#N/A</v>
      </c>
      <c r="Q302" s="243" t="e">
        <f ca="1">IF(AND(INDEX(FlowCalConstA,MATCH(N294,FlowCalNumber,0),1,1)*P302^INDEX(FlowCalConstB,MATCH(N294,FlowCalNumber,0),1,1)&gt;INDEX(FlowCalLowSetting,MATCH(N294,FlowCalNumber,0),1,1), (INDEX(FlowCalConstA,MATCH(N294,FlowCalNumber,0),1,1)*P302^INDEX(FlowCalConstB,MATCH(N294,FlowCalNumber,0),1,1)&lt;INDEX(FlowCalHighSetting,MATCH(N294,FlowCalNumber,0),1,1))),INDEX(FlowCalConstA,MATCH(N294,FlowCalNumber,0),1,1)*P302^INDEX(FlowCalConstB,MATCH(N294,FlowCalNumber,0),1,1)," ")</f>
        <v>#N/A</v>
      </c>
      <c r="R302" s="33"/>
      <c r="S302" s="242">
        <f t="shared" si="142"/>
        <v>1</v>
      </c>
      <c r="T302" s="241" t="e">
        <f t="shared" ca="1" si="143"/>
        <v>#N/A</v>
      </c>
      <c r="U302" s="243" t="e">
        <f ca="1">IF(AND(INDEX(FlowCalConstA,MATCH(R294,FlowCalNumber,0),1,1)*T302^INDEX(FlowCalConstB,MATCH(R294,FlowCalNumber,0),1,1)&gt;INDEX(FlowCalLowSetting,MATCH(R294,FlowCalNumber,0),1,1), (INDEX(FlowCalConstA,MATCH(R294,FlowCalNumber,0),1,1)*T302^INDEX(FlowCalConstB,MATCH(R294,FlowCalNumber,0),1,1)&lt;INDEX(FlowCalHighSetting,MATCH(R294,FlowCalNumber,0),1,1))),INDEX(FlowCalConstA,MATCH(R294,FlowCalNumber,0),1,1)*T302^INDEX(FlowCalConstB,MATCH(R294,FlowCalNumber,0),1,1)," ")</f>
        <v>#N/A</v>
      </c>
      <c r="V302" s="33"/>
      <c r="W302" s="242"/>
      <c r="X302" s="241"/>
      <c r="Y302" s="243"/>
      <c r="Z302" s="33"/>
      <c r="AA302" s="242"/>
      <c r="AB302" s="241"/>
      <c r="AC302" s="243"/>
      <c r="AD302" s="33"/>
      <c r="AE302" s="242"/>
      <c r="AF302" s="241"/>
      <c r="AG302" s="243"/>
      <c r="AH302" s="33"/>
      <c r="AI302" s="242"/>
      <c r="AJ302" s="241"/>
      <c r="AK302" s="244"/>
      <c r="AL302" s="243"/>
      <c r="AM302" s="243"/>
      <c r="AN302" s="243"/>
      <c r="AO302" s="243"/>
      <c r="AP302" s="243"/>
      <c r="AQ302" s="243"/>
      <c r="AR302" s="243"/>
      <c r="AS302" s="243"/>
      <c r="AT302" s="243"/>
      <c r="AU302" s="243"/>
      <c r="AV302" s="243"/>
      <c r="AW302" s="243"/>
      <c r="AX302" s="243"/>
      <c r="AY302" s="243"/>
      <c r="AZ302" s="243"/>
      <c r="BA302" s="243"/>
      <c r="BB302" s="243"/>
      <c r="BC302" s="243"/>
      <c r="BD302" s="243"/>
      <c r="BE302" s="243"/>
      <c r="BF302" s="243"/>
      <c r="BG302" s="243"/>
      <c r="BH302" s="243"/>
      <c r="BI302" s="243"/>
      <c r="BJ302" s="243"/>
      <c r="BK302" s="243"/>
      <c r="BL302" s="243"/>
      <c r="BM302" s="243"/>
      <c r="BN302" s="243"/>
      <c r="BO302" s="243"/>
      <c r="BP302" s="243"/>
      <c r="BQ302" s="243"/>
      <c r="BR302" s="243"/>
      <c r="BS302" s="243"/>
      <c r="BU302" s="242"/>
      <c r="BW302" s="243"/>
      <c r="BY302" s="242"/>
      <c r="CA302" s="243"/>
      <c r="CC302" s="242"/>
      <c r="CE302" s="243"/>
      <c r="CG302" s="242"/>
      <c r="CI302" s="243"/>
    </row>
    <row r="303" spans="1:87" s="1215" customFormat="1">
      <c r="A303" s="1222"/>
      <c r="B303" s="1223" t="str">
        <f t="shared" si="136"/>
        <v/>
      </c>
      <c r="C303" s="1210"/>
      <c r="D303" s="1211">
        <f>'1% Wind'!$M$90</f>
        <v>5.7</v>
      </c>
      <c r="E303" s="1212"/>
      <c r="F303" s="1212"/>
      <c r="G303" s="1213" t="e">
        <f ca="1">IF(I294=0.9743,$G302,MAX(G302/D302*D303,2))</f>
        <v>#N/A</v>
      </c>
      <c r="H303" s="1214" t="e">
        <f t="shared" ca="1" si="137"/>
        <v>#N/A</v>
      </c>
      <c r="J303" s="1224"/>
      <c r="K303" s="1217">
        <f t="shared" si="138"/>
        <v>1</v>
      </c>
      <c r="L303" s="1218" t="e">
        <f t="shared" ca="1" si="139"/>
        <v>#N/A</v>
      </c>
      <c r="M303" s="1219" t="e">
        <f ca="1">IF(AND(INDEX(FlowCalConstA,MATCH(J294,FlowCalNumber,0),1,1)*L303^INDEX(FlowCalConstB,MATCH(J294,FlowCalNumber,0),1,1)&gt;INDEX(FlowCalLowSetting,MATCH(J294,FlowCalNumber,0),1,1), (INDEX(FlowCalConstA,MATCH(J294,FlowCalNumber,0),1,1)*L303^INDEX(FlowCalConstB,MATCH(J294,FlowCalNumber,0),1,1)&lt;INDEX(FlowCalHighSetting,MATCH(J294,FlowCalNumber,0),1,1))),INDEX(FlowCalConstA,MATCH(J294,FlowCalNumber,0),1,1)*L303^INDEX(FlowCalConstB,MATCH(J294,FlowCalNumber,0),1,1)," ")</f>
        <v>#N/A</v>
      </c>
      <c r="N303" s="1224"/>
      <c r="O303" s="1217">
        <f t="shared" si="140"/>
        <v>1</v>
      </c>
      <c r="P303" s="1218" t="e">
        <f t="shared" ca="1" si="141"/>
        <v>#N/A</v>
      </c>
      <c r="Q303" s="1219" t="e">
        <f ca="1">IF(AND(INDEX(FlowCalConstA,MATCH(N294,FlowCalNumber,0),1,1)*P303^INDEX(FlowCalConstB,MATCH(N294,FlowCalNumber,0),1,1)&gt;INDEX(FlowCalLowSetting,MATCH(N294,FlowCalNumber,0),1,1), (INDEX(FlowCalConstA,MATCH(N294,FlowCalNumber,0),1,1)*P303^INDEX(FlowCalConstB,MATCH(N294,FlowCalNumber,0),1,1)&lt;INDEX(FlowCalHighSetting,MATCH(N294,FlowCalNumber,0),1,1))),INDEX(FlowCalConstA,MATCH(N294,FlowCalNumber,0),1,1)*P303^INDEX(FlowCalConstB,MATCH(N294,FlowCalNumber,0),1,1)," ")</f>
        <v>#N/A</v>
      </c>
      <c r="R303" s="1224"/>
      <c r="S303" s="1217">
        <f t="shared" si="142"/>
        <v>1</v>
      </c>
      <c r="T303" s="1218" t="e">
        <f t="shared" ca="1" si="143"/>
        <v>#N/A</v>
      </c>
      <c r="U303" s="1219" t="e">
        <f ca="1">IF(AND(INDEX(FlowCalConstA,MATCH(R294,FlowCalNumber,0),1,1)*T303^INDEX(FlowCalConstB,MATCH(R294,FlowCalNumber,0),1,1)&gt;INDEX(FlowCalLowSetting,MATCH(R294,FlowCalNumber,0),1,1), (INDEX(FlowCalConstA,MATCH(R294,FlowCalNumber,0),1,1)*T303^INDEX(FlowCalConstB,MATCH(R294,FlowCalNumber,0),1,1)&lt;INDEX(FlowCalHighSetting,MATCH(R294,FlowCalNumber,0),1,1))),INDEX(FlowCalConstA,MATCH(R294,FlowCalNumber,0),1,1)*T303^INDEX(FlowCalConstB,MATCH(R294,FlowCalNumber,0),1,1)," ")</f>
        <v>#N/A</v>
      </c>
      <c r="V303" s="1224"/>
      <c r="W303" s="1217"/>
      <c r="X303" s="1218"/>
      <c r="Y303" s="1219"/>
      <c r="Z303" s="1224"/>
      <c r="AA303" s="1217"/>
      <c r="AB303" s="1218"/>
      <c r="AC303" s="1219"/>
      <c r="AD303" s="1224"/>
      <c r="AE303" s="1217"/>
      <c r="AF303" s="1218"/>
      <c r="AG303" s="1219"/>
      <c r="AH303" s="1224"/>
      <c r="AI303" s="1217"/>
      <c r="AJ303" s="1218"/>
      <c r="AK303" s="1220"/>
      <c r="AL303" s="1219"/>
      <c r="AM303" s="1219"/>
      <c r="AN303" s="1219"/>
      <c r="AO303" s="1219"/>
      <c r="AP303" s="1219"/>
      <c r="AQ303" s="1219"/>
      <c r="AR303" s="1219"/>
      <c r="AS303" s="1219"/>
      <c r="AT303" s="1219"/>
      <c r="AU303" s="1219"/>
      <c r="AV303" s="1219"/>
      <c r="AW303" s="1219"/>
      <c r="AX303" s="1219"/>
      <c r="AY303" s="1219"/>
      <c r="AZ303" s="1219"/>
      <c r="BA303" s="1219"/>
      <c r="BB303" s="1219"/>
      <c r="BC303" s="1219"/>
      <c r="BD303" s="1219"/>
      <c r="BE303" s="1219"/>
      <c r="BF303" s="1219"/>
      <c r="BG303" s="1219"/>
      <c r="BH303" s="1219"/>
      <c r="BI303" s="1219"/>
      <c r="BJ303" s="1219"/>
      <c r="BK303" s="1219"/>
      <c r="BL303" s="1219"/>
      <c r="BM303" s="1219"/>
      <c r="BN303" s="1219"/>
      <c r="BO303" s="1219"/>
      <c r="BP303" s="1219"/>
      <c r="BQ303" s="1219"/>
      <c r="BR303" s="1219"/>
      <c r="BS303" s="1219"/>
      <c r="BU303" s="1217"/>
      <c r="BW303" s="1219"/>
      <c r="BY303" s="1217"/>
      <c r="CA303" s="1219"/>
      <c r="CC303" s="1217"/>
      <c r="CE303" s="1219"/>
      <c r="CG303" s="1217"/>
      <c r="CI303" s="1219"/>
    </row>
    <row r="304" spans="1:87">
      <c r="A304" s="20"/>
      <c r="B304" s="124" t="str">
        <f t="shared" si="136"/>
        <v/>
      </c>
      <c r="C304" s="235"/>
      <c r="D304" s="24">
        <f>'1% Wind'!$M$91</f>
        <v>4.2</v>
      </c>
      <c r="E304" s="90"/>
      <c r="F304" s="90"/>
      <c r="G304" s="79" t="e">
        <f ca="1">IF(I294=0.9743,$G303,MAX(G303/D303*D304,2))</f>
        <v>#N/A</v>
      </c>
      <c r="H304" s="121" t="e">
        <f t="shared" ca="1" si="137"/>
        <v>#N/A</v>
      </c>
      <c r="J304" s="33"/>
      <c r="K304" s="242">
        <f t="shared" si="138"/>
        <v>1</v>
      </c>
      <c r="L304" s="241" t="e">
        <f t="shared" ca="1" si="139"/>
        <v>#N/A</v>
      </c>
      <c r="M304" s="243" t="e">
        <f ca="1">IF(AND(INDEX(FlowCalConstA,MATCH(J294,FlowCalNumber,0),1,1)*L304^INDEX(FlowCalConstB,MATCH(J294,FlowCalNumber,0),1,1)&gt;INDEX(FlowCalLowSetting,MATCH(J294,FlowCalNumber,0),1,1), (INDEX(FlowCalConstA,MATCH(J294,FlowCalNumber,0),1,1)*L304^INDEX(FlowCalConstB,MATCH(J294,FlowCalNumber,0),1,1)&lt;INDEX(FlowCalHighSetting,MATCH(J294,FlowCalNumber,0),1,1))),INDEX(FlowCalConstA,MATCH(J294,FlowCalNumber,0),1,1)*L304^INDEX(FlowCalConstB,MATCH(J294,FlowCalNumber,0),1,1)," ")</f>
        <v>#N/A</v>
      </c>
      <c r="N304" s="33"/>
      <c r="O304" s="242">
        <f t="shared" si="140"/>
        <v>1</v>
      </c>
      <c r="P304" s="241" t="e">
        <f t="shared" ca="1" si="141"/>
        <v>#N/A</v>
      </c>
      <c r="Q304" s="243" t="e">
        <f ca="1">IF(AND(INDEX(FlowCalConstA,MATCH(N294,FlowCalNumber,0),1,1)*P304^INDEX(FlowCalConstB,MATCH(N294,FlowCalNumber,0),1,1)&gt;INDEX(FlowCalLowSetting,MATCH(N294,FlowCalNumber,0),1,1), (INDEX(FlowCalConstA,MATCH(N294,FlowCalNumber,0),1,1)*P304^INDEX(FlowCalConstB,MATCH(N294,FlowCalNumber,0),1,1)&lt;INDEX(FlowCalHighSetting,MATCH(N294,FlowCalNumber,0),1,1))),INDEX(FlowCalConstA,MATCH(N294,FlowCalNumber,0),1,1)*P304^INDEX(FlowCalConstB,MATCH(N294,FlowCalNumber,0),1,1)," ")</f>
        <v>#N/A</v>
      </c>
      <c r="R304" s="33"/>
      <c r="S304" s="242">
        <f t="shared" si="142"/>
        <v>1</v>
      </c>
      <c r="T304" s="241" t="e">
        <f t="shared" ca="1" si="143"/>
        <v>#N/A</v>
      </c>
      <c r="U304" s="243" t="e">
        <f ca="1">IF(AND(INDEX(FlowCalConstA,MATCH(R294,FlowCalNumber,0),1,1)*T304^INDEX(FlowCalConstB,MATCH(R294,FlowCalNumber,0),1,1)&gt;INDEX(FlowCalLowSetting,MATCH(R294,FlowCalNumber,0),1,1), (INDEX(FlowCalConstA,MATCH(R294,FlowCalNumber,0),1,1)*T304^INDEX(FlowCalConstB,MATCH(R294,FlowCalNumber,0),1,1)&lt;INDEX(FlowCalHighSetting,MATCH(R294,FlowCalNumber,0),1,1))),INDEX(FlowCalConstA,MATCH(R294,FlowCalNumber,0),1,1)*T304^INDEX(FlowCalConstB,MATCH(R294,FlowCalNumber,0),1,1)," ")</f>
        <v>#N/A</v>
      </c>
      <c r="V304" s="33"/>
      <c r="W304" s="242"/>
      <c r="X304" s="241"/>
      <c r="Y304" s="243"/>
      <c r="Z304" s="33"/>
      <c r="AA304" s="242"/>
      <c r="AB304" s="241"/>
      <c r="AC304" s="243"/>
      <c r="AD304" s="33"/>
      <c r="AE304" s="242"/>
      <c r="AF304" s="241"/>
      <c r="AG304" s="243"/>
      <c r="AH304" s="33"/>
      <c r="AI304" s="242"/>
      <c r="AJ304" s="241"/>
      <c r="AK304" s="244"/>
      <c r="AL304" s="243"/>
      <c r="AM304" s="243"/>
      <c r="AN304" s="243"/>
      <c r="AO304" s="243"/>
      <c r="AP304" s="243"/>
      <c r="AQ304" s="243"/>
      <c r="AR304" s="243"/>
      <c r="AS304" s="243"/>
      <c r="AT304" s="243"/>
      <c r="AU304" s="243"/>
      <c r="AV304" s="243"/>
      <c r="AW304" s="243"/>
      <c r="AX304" s="243"/>
      <c r="AY304" s="243"/>
      <c r="AZ304" s="243"/>
      <c r="BA304" s="243"/>
      <c r="BB304" s="243"/>
      <c r="BC304" s="243"/>
      <c r="BD304" s="243"/>
      <c r="BE304" s="243"/>
      <c r="BF304" s="243"/>
      <c r="BG304" s="243"/>
      <c r="BH304" s="243"/>
      <c r="BI304" s="243"/>
      <c r="BJ304" s="243"/>
      <c r="BK304" s="243"/>
      <c r="BL304" s="243"/>
      <c r="BM304" s="243"/>
      <c r="BN304" s="243"/>
      <c r="BO304" s="243"/>
      <c r="BP304" s="243"/>
      <c r="BQ304" s="243"/>
      <c r="BR304" s="243"/>
      <c r="BS304" s="243"/>
      <c r="BU304" s="242"/>
      <c r="BW304" s="243"/>
      <c r="BY304" s="242"/>
      <c r="CA304" s="243"/>
      <c r="CC304" s="242"/>
      <c r="CE304" s="243"/>
      <c r="CG304" s="242"/>
      <c r="CI304" s="243"/>
    </row>
    <row r="305" spans="1:87" s="1215" customFormat="1">
      <c r="A305" s="1222"/>
      <c r="B305" s="1223" t="str">
        <f t="shared" si="136"/>
        <v/>
      </c>
      <c r="C305" s="1210"/>
      <c r="D305" s="1211">
        <f>'1% Wind'!$M$92</f>
        <v>3.2</v>
      </c>
      <c r="E305" s="1212"/>
      <c r="F305" s="1212"/>
      <c r="G305" s="1213" t="e">
        <f ca="1">IF(I294=0.9743,$G304,MAX(G304/D304*D305,2))</f>
        <v>#N/A</v>
      </c>
      <c r="H305" s="1214" t="e">
        <f t="shared" ca="1" si="137"/>
        <v>#N/A</v>
      </c>
      <c r="J305" s="1224"/>
      <c r="K305" s="1217">
        <f t="shared" si="138"/>
        <v>1</v>
      </c>
      <c r="L305" s="1218" t="e">
        <f t="shared" ca="1" si="139"/>
        <v>#N/A</v>
      </c>
      <c r="M305" s="1219" t="e">
        <f ca="1">IF(AND(INDEX(FlowCalConstA,MATCH(J294,FlowCalNumber,0),1,1)*L305^INDEX(FlowCalConstB,MATCH(J294,FlowCalNumber,0),1,1)&gt;INDEX(FlowCalLowSetting,MATCH(J294,FlowCalNumber,0),1,1), (INDEX(FlowCalConstA,MATCH(J294,FlowCalNumber,0),1,1)*L305^INDEX(FlowCalConstB,MATCH(J294,FlowCalNumber,0),1,1)&lt;INDEX(FlowCalHighSetting,MATCH(J294,FlowCalNumber,0),1,1))),INDEX(FlowCalConstA,MATCH(J294,FlowCalNumber,0),1,1)*L305^INDEX(FlowCalConstB,MATCH(J294,FlowCalNumber,0),1,1)," ")</f>
        <v>#N/A</v>
      </c>
      <c r="N305" s="1224"/>
      <c r="O305" s="1217">
        <f t="shared" si="140"/>
        <v>1</v>
      </c>
      <c r="P305" s="1218" t="e">
        <f t="shared" ca="1" si="141"/>
        <v>#N/A</v>
      </c>
      <c r="Q305" s="1219" t="e">
        <f ca="1">IF(AND(INDEX(FlowCalConstA,MATCH(N294,FlowCalNumber,0),1,1)*P305^INDEX(FlowCalConstB,MATCH(N294,FlowCalNumber,0),1,1)&gt;INDEX(FlowCalLowSetting,MATCH(N294,FlowCalNumber,0),1,1), (INDEX(FlowCalConstA,MATCH(N294,FlowCalNumber,0),1,1)*P305^INDEX(FlowCalConstB,MATCH(N294,FlowCalNumber,0),1,1)&lt;INDEX(FlowCalHighSetting,MATCH(N294,FlowCalNumber,0),1,1))),INDEX(FlowCalConstA,MATCH(N294,FlowCalNumber,0),1,1)*P305^INDEX(FlowCalConstB,MATCH(N294,FlowCalNumber,0),1,1)," ")</f>
        <v>#N/A</v>
      </c>
      <c r="R305" s="1224"/>
      <c r="S305" s="1217">
        <f t="shared" si="142"/>
        <v>1</v>
      </c>
      <c r="T305" s="1218" t="e">
        <f t="shared" ca="1" si="143"/>
        <v>#N/A</v>
      </c>
      <c r="U305" s="1219" t="e">
        <f ca="1">IF(AND(INDEX(FlowCalConstA,MATCH(R294,FlowCalNumber,0),1,1)*T305^INDEX(FlowCalConstB,MATCH(R294,FlowCalNumber,0),1,1)&gt;INDEX(FlowCalLowSetting,MATCH(R294,FlowCalNumber,0),1,1), (INDEX(FlowCalConstA,MATCH(R294,FlowCalNumber,0),1,1)*T305^INDEX(FlowCalConstB,MATCH(R294,FlowCalNumber,0),1,1)&lt;INDEX(FlowCalHighSetting,MATCH(R294,FlowCalNumber,0),1,1))),INDEX(FlowCalConstA,MATCH(R294,FlowCalNumber,0),1,1)*T305^INDEX(FlowCalConstB,MATCH(R294,FlowCalNumber,0),1,1)," ")</f>
        <v>#N/A</v>
      </c>
      <c r="V305" s="1224"/>
      <c r="W305" s="1217"/>
      <c r="X305" s="1218"/>
      <c r="Y305" s="1219"/>
      <c r="Z305" s="1224"/>
      <c r="AA305" s="1217"/>
      <c r="AB305" s="1218"/>
      <c r="AC305" s="1219"/>
      <c r="AD305" s="1224"/>
      <c r="AE305" s="1217"/>
      <c r="AF305" s="1218"/>
      <c r="AG305" s="1219"/>
      <c r="AH305" s="1224"/>
      <c r="AI305" s="1217"/>
      <c r="AJ305" s="1218"/>
      <c r="AK305" s="1220"/>
      <c r="AL305" s="1219"/>
      <c r="AM305" s="1219"/>
      <c r="AN305" s="1219"/>
      <c r="AO305" s="1219"/>
      <c r="AP305" s="1219"/>
      <c r="AQ305" s="1219"/>
      <c r="AR305" s="1219"/>
      <c r="AS305" s="1219"/>
      <c r="AT305" s="1219"/>
      <c r="AU305" s="1219"/>
      <c r="AV305" s="1219"/>
      <c r="AW305" s="1219"/>
      <c r="AX305" s="1219"/>
      <c r="AY305" s="1219"/>
      <c r="AZ305" s="1219"/>
      <c r="BA305" s="1219"/>
      <c r="BB305" s="1219"/>
      <c r="BC305" s="1219"/>
      <c r="BD305" s="1219"/>
      <c r="BE305" s="1219"/>
      <c r="BF305" s="1219"/>
      <c r="BG305" s="1219"/>
      <c r="BH305" s="1219"/>
      <c r="BI305" s="1219"/>
      <c r="BJ305" s="1219"/>
      <c r="BK305" s="1219"/>
      <c r="BL305" s="1219"/>
      <c r="BM305" s="1219"/>
      <c r="BN305" s="1219"/>
      <c r="BO305" s="1219"/>
      <c r="BP305" s="1219"/>
      <c r="BQ305" s="1219"/>
      <c r="BR305" s="1219"/>
      <c r="BS305" s="1219"/>
      <c r="BU305" s="1217"/>
      <c r="BW305" s="1219"/>
      <c r="BY305" s="1217"/>
      <c r="CA305" s="1219"/>
      <c r="CC305" s="1217"/>
      <c r="CE305" s="1219"/>
      <c r="CG305" s="1217"/>
      <c r="CI305" s="1219"/>
    </row>
    <row r="306" spans="1:87">
      <c r="A306" s="20"/>
      <c r="B306" s="124" t="str">
        <f t="shared" si="136"/>
        <v/>
      </c>
      <c r="C306" s="235"/>
      <c r="D306" s="24">
        <f>'1% Wind'!$M$93</f>
        <v>2.4</v>
      </c>
      <c r="E306" s="90"/>
      <c r="F306" s="90"/>
      <c r="G306" s="79" t="e">
        <f ca="1">IF(I294=0.9743,$G305,MAX(G305/D305*D306,2))</f>
        <v>#N/A</v>
      </c>
      <c r="H306" s="121" t="e">
        <f t="shared" ca="1" si="137"/>
        <v>#N/A</v>
      </c>
      <c r="J306" s="33"/>
      <c r="K306" s="242">
        <f t="shared" si="138"/>
        <v>1</v>
      </c>
      <c r="L306" s="241" t="e">
        <f t="shared" ca="1" si="139"/>
        <v>#N/A</v>
      </c>
      <c r="M306" s="243" t="e">
        <f ca="1">IF(AND(INDEX(FlowCalConstA,MATCH(J294,FlowCalNumber,0),1,1)*L306^INDEX(FlowCalConstB,MATCH(J294,FlowCalNumber,0),1,1)&gt;INDEX(FlowCalLowSetting,MATCH(J294,FlowCalNumber,0),1,1), (INDEX(FlowCalConstA,MATCH(J294,FlowCalNumber,0),1,1)*L306^INDEX(FlowCalConstB,MATCH(J294,FlowCalNumber,0),1,1)&lt;INDEX(FlowCalHighSetting,MATCH(J294,FlowCalNumber,0),1,1))),INDEX(FlowCalConstA,MATCH(J294,FlowCalNumber,0),1,1)*L306^INDEX(FlowCalConstB,MATCH(J294,FlowCalNumber,0),1,1)," ")</f>
        <v>#N/A</v>
      </c>
      <c r="N306" s="33"/>
      <c r="O306" s="242">
        <f t="shared" si="140"/>
        <v>1</v>
      </c>
      <c r="P306" s="241" t="e">
        <f t="shared" ca="1" si="141"/>
        <v>#N/A</v>
      </c>
      <c r="Q306" s="243" t="e">
        <f ca="1">IF(AND(INDEX(FlowCalConstA,MATCH(N294,FlowCalNumber,0),1,1)*P306^INDEX(FlowCalConstB,MATCH(N294,FlowCalNumber,0),1,1)&gt;INDEX(FlowCalLowSetting,MATCH(N294,FlowCalNumber,0),1,1), (INDEX(FlowCalConstA,MATCH(N294,FlowCalNumber,0),1,1)*P306^INDEX(FlowCalConstB,MATCH(N294,FlowCalNumber,0),1,1)&lt;INDEX(FlowCalHighSetting,MATCH(N294,FlowCalNumber,0),1,1))),INDEX(FlowCalConstA,MATCH(N294,FlowCalNumber,0),1,1)*P306^INDEX(FlowCalConstB,MATCH(N294,FlowCalNumber,0),1,1)," ")</f>
        <v>#N/A</v>
      </c>
      <c r="R306" s="33"/>
      <c r="S306" s="242">
        <f t="shared" si="142"/>
        <v>1</v>
      </c>
      <c r="T306" s="241" t="e">
        <f t="shared" ca="1" si="143"/>
        <v>#N/A</v>
      </c>
      <c r="U306" s="243" t="e">
        <f ca="1">IF(AND(INDEX(FlowCalConstA,MATCH(R294,FlowCalNumber,0),1,1)*T306^INDEX(FlowCalConstB,MATCH(R294,FlowCalNumber,0),1,1)&gt;INDEX(FlowCalLowSetting,MATCH(R294,FlowCalNumber,0),1,1), (INDEX(FlowCalConstA,MATCH(R294,FlowCalNumber,0),1,1)*T306^INDEX(FlowCalConstB,MATCH(R294,FlowCalNumber,0),1,1)&lt;INDEX(FlowCalHighSetting,MATCH(R294,FlowCalNumber,0),1,1))),INDEX(FlowCalConstA,MATCH(R294,FlowCalNumber,0),1,1)*T306^INDEX(FlowCalConstB,MATCH(R294,FlowCalNumber,0),1,1)," ")</f>
        <v>#N/A</v>
      </c>
      <c r="V306" s="33"/>
      <c r="W306" s="242"/>
      <c r="X306" s="241"/>
      <c r="Y306" s="243"/>
      <c r="Z306" s="33"/>
      <c r="AA306" s="242"/>
      <c r="AB306" s="241"/>
      <c r="AC306" s="243"/>
      <c r="AD306" s="33"/>
      <c r="AE306" s="242"/>
      <c r="AF306" s="241"/>
      <c r="AG306" s="243"/>
      <c r="AH306" s="33"/>
      <c r="AI306" s="242"/>
      <c r="AJ306" s="241"/>
      <c r="AK306" s="244"/>
      <c r="AL306" s="243"/>
      <c r="AM306" s="243"/>
      <c r="AN306" s="243"/>
      <c r="AO306" s="243"/>
      <c r="AP306" s="243"/>
      <c r="AQ306" s="243"/>
      <c r="AR306" s="243"/>
      <c r="AS306" s="243"/>
      <c r="AT306" s="243"/>
      <c r="AU306" s="243"/>
      <c r="AV306" s="243"/>
      <c r="AW306" s="243"/>
      <c r="AX306" s="243"/>
      <c r="AY306" s="243"/>
      <c r="AZ306" s="243"/>
      <c r="BA306" s="243"/>
      <c r="BB306" s="243"/>
      <c r="BC306" s="243"/>
      <c r="BD306" s="243"/>
      <c r="BE306" s="243"/>
      <c r="BF306" s="243"/>
      <c r="BG306" s="243"/>
      <c r="BH306" s="243"/>
      <c r="BI306" s="243"/>
      <c r="BJ306" s="243"/>
      <c r="BK306" s="243"/>
      <c r="BL306" s="243"/>
      <c r="BM306" s="243"/>
      <c r="BN306" s="243"/>
      <c r="BO306" s="243"/>
      <c r="BP306" s="243"/>
      <c r="BQ306" s="243"/>
      <c r="BR306" s="243"/>
      <c r="BS306" s="243"/>
      <c r="BU306" s="242"/>
      <c r="BW306" s="243"/>
      <c r="BY306" s="242"/>
      <c r="CA306" s="243"/>
      <c r="CC306" s="242"/>
      <c r="CE306" s="243"/>
      <c r="CG306" s="242"/>
      <c r="CI306" s="243"/>
    </row>
    <row r="307" spans="1:87" s="1215" customFormat="1">
      <c r="A307" s="1222"/>
      <c r="B307" s="1223" t="str">
        <f t="shared" si="136"/>
        <v/>
      </c>
      <c r="C307" s="1210"/>
      <c r="D307" s="1211">
        <f>'1% Wind'!$M$94</f>
        <v>1.8</v>
      </c>
      <c r="E307" s="1212"/>
      <c r="F307" s="1212"/>
      <c r="G307" s="1213" t="e">
        <f ca="1">IF(I294=0.9743,$G306,MAX(G306/D306*D307,2))</f>
        <v>#N/A</v>
      </c>
      <c r="H307" s="1214" t="e">
        <f t="shared" ca="1" si="137"/>
        <v>#N/A</v>
      </c>
      <c r="J307" s="1224"/>
      <c r="K307" s="1217">
        <f t="shared" si="138"/>
        <v>1</v>
      </c>
      <c r="L307" s="1218" t="e">
        <f t="shared" ca="1" si="139"/>
        <v>#N/A</v>
      </c>
      <c r="M307" s="1219" t="e">
        <f ca="1">IF(AND(INDEX(FlowCalConstA,MATCH(J294,FlowCalNumber,0),1,1)*L307^INDEX(FlowCalConstB,MATCH(J294,FlowCalNumber,0),1,1)&gt;INDEX(FlowCalLowSetting,MATCH(J294,FlowCalNumber,0),1,1), (INDEX(FlowCalConstA,MATCH(J294,FlowCalNumber,0),1,1)*L307^INDEX(FlowCalConstB,MATCH(J294,FlowCalNumber,0),1,1)&lt;INDEX(FlowCalHighSetting,MATCH(J294,FlowCalNumber,0),1,1))),INDEX(FlowCalConstA,MATCH(J294,FlowCalNumber,0),1,1)*L307^INDEX(FlowCalConstB,MATCH(J294,FlowCalNumber,0),1,1)," ")</f>
        <v>#N/A</v>
      </c>
      <c r="N307" s="1224"/>
      <c r="O307" s="1217">
        <f t="shared" si="140"/>
        <v>1</v>
      </c>
      <c r="P307" s="1218" t="e">
        <f t="shared" ca="1" si="141"/>
        <v>#N/A</v>
      </c>
      <c r="Q307" s="1219" t="e">
        <f ca="1">IF(AND(INDEX(FlowCalConstA,MATCH(N294,FlowCalNumber,0),1,1)*P307^INDEX(FlowCalConstB,MATCH(N294,FlowCalNumber,0),1,1)&gt;INDEX(FlowCalLowSetting,MATCH(N294,FlowCalNumber,0),1,1), (INDEX(FlowCalConstA,MATCH(N294,FlowCalNumber,0),1,1)*P307^INDEX(FlowCalConstB,MATCH(N294,FlowCalNumber,0),1,1)&lt;INDEX(FlowCalHighSetting,MATCH(N294,FlowCalNumber,0),1,1))),INDEX(FlowCalConstA,MATCH(N294,FlowCalNumber,0),1,1)*P307^INDEX(FlowCalConstB,MATCH(N294,FlowCalNumber,0),1,1)," ")</f>
        <v>#N/A</v>
      </c>
      <c r="R307" s="1224"/>
      <c r="S307" s="1217">
        <f t="shared" si="142"/>
        <v>1</v>
      </c>
      <c r="T307" s="1218" t="e">
        <f t="shared" ca="1" si="143"/>
        <v>#N/A</v>
      </c>
      <c r="U307" s="1219" t="e">
        <f ca="1">IF(AND(INDEX(FlowCalConstA,MATCH(R294,FlowCalNumber,0),1,1)*T307^INDEX(FlowCalConstB,MATCH(R294,FlowCalNumber,0),1,1)&gt;INDEX(FlowCalLowSetting,MATCH(R294,FlowCalNumber,0),1,1), (INDEX(FlowCalConstA,MATCH(R294,FlowCalNumber,0),1,1)*T307^INDEX(FlowCalConstB,MATCH(R294,FlowCalNumber,0),1,1)&lt;INDEX(FlowCalHighSetting,MATCH(R294,FlowCalNumber,0),1,1))),INDEX(FlowCalConstA,MATCH(R294,FlowCalNumber,0),1,1)*T307^INDEX(FlowCalConstB,MATCH(R294,FlowCalNumber,0),1,1)," ")</f>
        <v>#N/A</v>
      </c>
      <c r="V307" s="1224"/>
      <c r="W307" s="1217"/>
      <c r="X307" s="1218"/>
      <c r="Y307" s="1219"/>
      <c r="Z307" s="1224"/>
      <c r="AA307" s="1217"/>
      <c r="AB307" s="1218"/>
      <c r="AC307" s="1219"/>
      <c r="AD307" s="1224"/>
      <c r="AE307" s="1217"/>
      <c r="AF307" s="1218"/>
      <c r="AG307" s="1219"/>
      <c r="AH307" s="1224"/>
      <c r="AI307" s="1217"/>
      <c r="AJ307" s="1218"/>
      <c r="AK307" s="1220"/>
      <c r="AL307" s="1219"/>
      <c r="AM307" s="1219"/>
      <c r="AN307" s="1219"/>
      <c r="AO307" s="1219"/>
      <c r="AP307" s="1219"/>
      <c r="AQ307" s="1219"/>
      <c r="AR307" s="1219"/>
      <c r="AS307" s="1219"/>
      <c r="AT307" s="1219"/>
      <c r="AU307" s="1219"/>
      <c r="AV307" s="1219"/>
      <c r="AW307" s="1219"/>
      <c r="AX307" s="1219"/>
      <c r="AY307" s="1219"/>
      <c r="AZ307" s="1219"/>
      <c r="BA307" s="1219"/>
      <c r="BB307" s="1219"/>
      <c r="BC307" s="1219"/>
      <c r="BD307" s="1219"/>
      <c r="BE307" s="1219"/>
      <c r="BF307" s="1219"/>
      <c r="BG307" s="1219"/>
      <c r="BH307" s="1219"/>
      <c r="BI307" s="1219"/>
      <c r="BJ307" s="1219"/>
      <c r="BK307" s="1219"/>
      <c r="BL307" s="1219"/>
      <c r="BM307" s="1219"/>
      <c r="BN307" s="1219"/>
      <c r="BO307" s="1219"/>
      <c r="BP307" s="1219"/>
      <c r="BQ307" s="1219"/>
      <c r="BR307" s="1219"/>
      <c r="BS307" s="1219"/>
      <c r="BU307" s="1217"/>
      <c r="BW307" s="1219"/>
      <c r="BY307" s="1217"/>
      <c r="CA307" s="1219"/>
      <c r="CC307" s="1217"/>
      <c r="CE307" s="1219"/>
      <c r="CG307" s="1217"/>
      <c r="CI307" s="1219"/>
    </row>
    <row r="308" spans="1:87">
      <c r="A308" s="20"/>
      <c r="B308" s="124" t="str">
        <f t="shared" si="136"/>
        <v/>
      </c>
      <c r="C308" s="235"/>
      <c r="D308" s="24">
        <f>'1% Wind'!$M$95</f>
        <v>1.3</v>
      </c>
      <c r="E308" s="90"/>
      <c r="F308" s="90"/>
      <c r="G308" s="79" t="e">
        <f ca="1">IF(I294=0.9743,$G307,MAX(G307/D307*D308,2))</f>
        <v>#N/A</v>
      </c>
      <c r="H308" s="121" t="e">
        <f t="shared" ca="1" si="137"/>
        <v>#N/A</v>
      </c>
      <c r="J308" s="33"/>
      <c r="K308" s="242">
        <f t="shared" si="138"/>
        <v>1</v>
      </c>
      <c r="L308" s="241" t="e">
        <f t="shared" ca="1" si="139"/>
        <v>#N/A</v>
      </c>
      <c r="M308" s="243" t="e">
        <f ca="1">IF(AND(INDEX(FlowCalConstA,MATCH(J294,FlowCalNumber,0),1,1)*L308^INDEX(FlowCalConstB,MATCH(J294,FlowCalNumber,0),1,1)&gt;INDEX(FlowCalLowSetting,MATCH(J294,FlowCalNumber,0),1,1), (INDEX(FlowCalConstA,MATCH(J294,FlowCalNumber,0),1,1)*L308^INDEX(FlowCalConstB,MATCH(J294,FlowCalNumber,0),1,1)&lt;INDEX(FlowCalHighSetting,MATCH(J294,FlowCalNumber,0),1,1))),INDEX(FlowCalConstA,MATCH(J294,FlowCalNumber,0),1,1)*L308^INDEX(FlowCalConstB,MATCH(J294,FlowCalNumber,0),1,1)," ")</f>
        <v>#N/A</v>
      </c>
      <c r="N308" s="33"/>
      <c r="O308" s="242">
        <f t="shared" si="140"/>
        <v>1</v>
      </c>
      <c r="P308" s="241" t="e">
        <f t="shared" ca="1" si="141"/>
        <v>#N/A</v>
      </c>
      <c r="Q308" s="243" t="e">
        <f ca="1">IF(AND(INDEX(FlowCalConstA,MATCH(N294,FlowCalNumber,0),1,1)*P308^INDEX(FlowCalConstB,MATCH(N294,FlowCalNumber,0),1,1)&gt;INDEX(FlowCalLowSetting,MATCH(N294,FlowCalNumber,0),1,1), (INDEX(FlowCalConstA,MATCH(N294,FlowCalNumber,0),1,1)*P308^INDEX(FlowCalConstB,MATCH(N294,FlowCalNumber,0),1,1)&lt;INDEX(FlowCalHighSetting,MATCH(N294,FlowCalNumber,0),1,1))),INDEX(FlowCalConstA,MATCH(N294,FlowCalNumber,0),1,1)*P308^INDEX(FlowCalConstB,MATCH(N294,FlowCalNumber,0),1,1)," ")</f>
        <v>#N/A</v>
      </c>
      <c r="R308" s="33"/>
      <c r="S308" s="242">
        <f t="shared" si="142"/>
        <v>1</v>
      </c>
      <c r="T308" s="241" t="e">
        <f t="shared" ca="1" si="143"/>
        <v>#N/A</v>
      </c>
      <c r="U308" s="243" t="e">
        <f ca="1">IF(AND(INDEX(FlowCalConstA,MATCH(R294,FlowCalNumber,0),1,1)*T308^INDEX(FlowCalConstB,MATCH(R294,FlowCalNumber,0),1,1)&gt;INDEX(FlowCalLowSetting,MATCH(R294,FlowCalNumber,0),1,1), (INDEX(FlowCalConstA,MATCH(R294,FlowCalNumber,0),1,1)*T308^INDEX(FlowCalConstB,MATCH(R294,FlowCalNumber,0),1,1)&lt;INDEX(FlowCalHighSetting,MATCH(R294,FlowCalNumber,0),1,1))),INDEX(FlowCalConstA,MATCH(R294,FlowCalNumber,0),1,1)*T308^INDEX(FlowCalConstB,MATCH(R294,FlowCalNumber,0),1,1)," ")</f>
        <v>#N/A</v>
      </c>
      <c r="V308" s="33"/>
      <c r="W308" s="242"/>
      <c r="X308" s="241"/>
      <c r="Y308" s="243"/>
      <c r="Z308" s="33"/>
      <c r="AA308" s="242"/>
      <c r="AB308" s="241"/>
      <c r="AC308" s="243"/>
      <c r="AD308" s="33"/>
      <c r="AE308" s="242"/>
      <c r="AF308" s="241"/>
      <c r="AG308" s="243"/>
      <c r="AH308" s="33"/>
      <c r="AI308" s="242"/>
      <c r="AJ308" s="241"/>
      <c r="AK308" s="244"/>
      <c r="AL308" s="243"/>
      <c r="AM308" s="243"/>
      <c r="AN308" s="243"/>
      <c r="AO308" s="243"/>
      <c r="AP308" s="243"/>
      <c r="AQ308" s="243"/>
      <c r="AR308" s="243"/>
      <c r="AS308" s="243"/>
      <c r="AT308" s="243"/>
      <c r="AU308" s="243"/>
      <c r="AV308" s="243"/>
      <c r="AW308" s="243"/>
      <c r="AX308" s="243"/>
      <c r="AY308" s="243"/>
      <c r="AZ308" s="243"/>
      <c r="BA308" s="243"/>
      <c r="BB308" s="243"/>
      <c r="BC308" s="243"/>
      <c r="BD308" s="243"/>
      <c r="BE308" s="243"/>
      <c r="BF308" s="243"/>
      <c r="BG308" s="243"/>
      <c r="BH308" s="243"/>
      <c r="BI308" s="243"/>
      <c r="BJ308" s="243"/>
      <c r="BK308" s="243"/>
      <c r="BL308" s="243"/>
      <c r="BM308" s="243"/>
      <c r="BN308" s="243"/>
      <c r="BO308" s="243"/>
      <c r="BP308" s="243"/>
      <c r="BQ308" s="243"/>
      <c r="BR308" s="243"/>
      <c r="BS308" s="243"/>
      <c r="BU308" s="242"/>
      <c r="BW308" s="243"/>
      <c r="BY308" s="242"/>
      <c r="CA308" s="243"/>
      <c r="CC308" s="242"/>
      <c r="CE308" s="243"/>
      <c r="CG308" s="242"/>
      <c r="CI308" s="243"/>
    </row>
    <row r="309" spans="1:87" s="1215" customFormat="1">
      <c r="A309" s="1222"/>
      <c r="B309" s="1223" t="str">
        <f t="shared" si="136"/>
        <v/>
      </c>
      <c r="C309" s="1210"/>
      <c r="D309" s="1211">
        <f>'1% Wind'!$M$96</f>
        <v>1</v>
      </c>
      <c r="E309" s="1212"/>
      <c r="F309" s="1212"/>
      <c r="G309" s="1213" t="e">
        <f ca="1">IF(I294=0.9743,$G308,MAX(G308/D308*D309,2))</f>
        <v>#N/A</v>
      </c>
      <c r="H309" s="1214" t="e">
        <f t="shared" ca="1" si="137"/>
        <v>#N/A</v>
      </c>
      <c r="J309" s="1224"/>
      <c r="K309" s="1217">
        <f t="shared" si="138"/>
        <v>1</v>
      </c>
      <c r="L309" s="1218" t="e">
        <f t="shared" ca="1" si="139"/>
        <v>#N/A</v>
      </c>
      <c r="M309" s="1219" t="e">
        <f ca="1">IF(AND(INDEX(FlowCalConstA,MATCH(J294,FlowCalNumber,0),1,1)*L309^INDEX(FlowCalConstB,MATCH(J294,FlowCalNumber,0),1,1)&gt;INDEX(FlowCalLowSetting,MATCH(J294,FlowCalNumber,0),1,1), (INDEX(FlowCalConstA,MATCH(J294,FlowCalNumber,0),1,1)*L309^INDEX(FlowCalConstB,MATCH(J294,FlowCalNumber,0),1,1)&lt;INDEX(FlowCalHighSetting,MATCH(J294,FlowCalNumber,0),1,1))),INDEX(FlowCalConstA,MATCH(J294,FlowCalNumber,0),1,1)*L309^INDEX(FlowCalConstB,MATCH(J294,FlowCalNumber,0),1,1)," ")</f>
        <v>#N/A</v>
      </c>
      <c r="N309" s="1224"/>
      <c r="O309" s="1217">
        <f t="shared" si="140"/>
        <v>1</v>
      </c>
      <c r="P309" s="1218" t="e">
        <f t="shared" ca="1" si="141"/>
        <v>#N/A</v>
      </c>
      <c r="Q309" s="1219" t="e">
        <f ca="1">IF(AND(INDEX(FlowCalConstA,MATCH(N294,FlowCalNumber,0),1,1)*P309^INDEX(FlowCalConstB,MATCH(N294,FlowCalNumber,0),1,1)&gt;INDEX(FlowCalLowSetting,MATCH(N294,FlowCalNumber,0),1,1), (INDEX(FlowCalConstA,MATCH(N294,FlowCalNumber,0),1,1)*P309^INDEX(FlowCalConstB,MATCH(N294,FlowCalNumber,0),1,1)&lt;INDEX(FlowCalHighSetting,MATCH(N294,FlowCalNumber,0),1,1))),INDEX(FlowCalConstA,MATCH(N294,FlowCalNumber,0),1,1)*P309^INDEX(FlowCalConstB,MATCH(N294,FlowCalNumber,0),1,1)," ")</f>
        <v>#N/A</v>
      </c>
      <c r="R309" s="1224"/>
      <c r="S309" s="1217">
        <f t="shared" si="142"/>
        <v>1</v>
      </c>
      <c r="T309" s="1218" t="e">
        <f t="shared" ca="1" si="143"/>
        <v>#N/A</v>
      </c>
      <c r="U309" s="1219" t="e">
        <f ca="1">IF(AND(INDEX(FlowCalConstA,MATCH(R294,FlowCalNumber,0),1,1)*T309^INDEX(FlowCalConstB,MATCH(R294,FlowCalNumber,0),1,1)&gt;INDEX(FlowCalLowSetting,MATCH(R294,FlowCalNumber,0),1,1), (INDEX(FlowCalConstA,MATCH(R294,FlowCalNumber,0),1,1)*T309^INDEX(FlowCalConstB,MATCH(R294,FlowCalNumber,0),1,1)&lt;INDEX(FlowCalHighSetting,MATCH(R294,FlowCalNumber,0),1,1))),INDEX(FlowCalConstA,MATCH(R294,FlowCalNumber,0),1,1)*T309^INDEX(FlowCalConstB,MATCH(R294,FlowCalNumber,0),1,1)," ")</f>
        <v>#N/A</v>
      </c>
      <c r="V309" s="1224"/>
      <c r="W309" s="1217"/>
      <c r="X309" s="1218"/>
      <c r="Y309" s="1219"/>
      <c r="Z309" s="1224"/>
      <c r="AA309" s="1217"/>
      <c r="AB309" s="1218"/>
      <c r="AC309" s="1219"/>
      <c r="AD309" s="1224"/>
      <c r="AE309" s="1217"/>
      <c r="AF309" s="1218"/>
      <c r="AG309" s="1219"/>
      <c r="AH309" s="1224"/>
      <c r="AI309" s="1217"/>
      <c r="AJ309" s="1218"/>
      <c r="AK309" s="1220"/>
      <c r="AL309" s="1219"/>
      <c r="AM309" s="1219"/>
      <c r="AN309" s="1219"/>
      <c r="AO309" s="1219"/>
      <c r="AP309" s="1219"/>
      <c r="AQ309" s="1219"/>
      <c r="AR309" s="1219"/>
      <c r="AS309" s="1219"/>
      <c r="AT309" s="1219"/>
      <c r="AU309" s="1219"/>
      <c r="AV309" s="1219"/>
      <c r="AW309" s="1219"/>
      <c r="AX309" s="1219"/>
      <c r="AY309" s="1219"/>
      <c r="AZ309" s="1219"/>
      <c r="BA309" s="1219"/>
      <c r="BB309" s="1219"/>
      <c r="BC309" s="1219"/>
      <c r="BD309" s="1219"/>
      <c r="BE309" s="1219"/>
      <c r="BF309" s="1219"/>
      <c r="BG309" s="1219"/>
      <c r="BH309" s="1219"/>
      <c r="BI309" s="1219"/>
      <c r="BJ309" s="1219"/>
      <c r="BK309" s="1219"/>
      <c r="BL309" s="1219"/>
      <c r="BM309" s="1219"/>
      <c r="BN309" s="1219"/>
      <c r="BO309" s="1219"/>
      <c r="BP309" s="1219"/>
      <c r="BQ309" s="1219"/>
      <c r="BR309" s="1219"/>
      <c r="BS309" s="1219"/>
      <c r="BU309" s="1217"/>
      <c r="BW309" s="1219"/>
      <c r="BY309" s="1217"/>
      <c r="CA309" s="1219"/>
      <c r="CC309" s="1217"/>
      <c r="CE309" s="1219"/>
      <c r="CG309" s="1217"/>
      <c r="CI309" s="1219"/>
    </row>
    <row r="310" spans="1:87">
      <c r="A310" s="33"/>
      <c r="B310" s="33"/>
      <c r="C310" s="235"/>
      <c r="E310" s="90"/>
      <c r="F310" s="90"/>
      <c r="G310" s="33"/>
      <c r="J310" s="33"/>
      <c r="M310" s="243"/>
      <c r="N310" s="33"/>
      <c r="Q310" s="243"/>
      <c r="R310" s="33"/>
      <c r="U310" s="243"/>
      <c r="V310" s="33"/>
      <c r="Y310" s="243"/>
      <c r="Z310" s="33"/>
      <c r="AC310" s="243"/>
      <c r="AD310" s="33"/>
      <c r="AG310" s="243"/>
      <c r="AH310" s="33"/>
      <c r="AK310" s="244"/>
      <c r="AL310" s="243"/>
      <c r="AM310" s="243"/>
      <c r="AN310" s="243"/>
      <c r="AO310" s="243"/>
      <c r="AP310" s="243"/>
      <c r="AQ310" s="243"/>
      <c r="AR310" s="243"/>
      <c r="AS310" s="243"/>
      <c r="AT310" s="243"/>
      <c r="AU310" s="243"/>
      <c r="AV310" s="243"/>
      <c r="AW310" s="243"/>
      <c r="AX310" s="243"/>
      <c r="AY310" s="243"/>
      <c r="AZ310" s="243"/>
      <c r="BA310" s="243"/>
      <c r="BB310" s="243"/>
      <c r="BC310" s="243"/>
      <c r="BD310" s="243"/>
      <c r="BE310" s="243"/>
      <c r="BF310" s="243"/>
      <c r="BG310" s="243"/>
      <c r="BH310" s="243"/>
      <c r="BI310" s="243"/>
      <c r="BJ310" s="243"/>
      <c r="BK310" s="243"/>
      <c r="BL310" s="243"/>
      <c r="BM310" s="243"/>
      <c r="BN310" s="243"/>
      <c r="BO310" s="243"/>
      <c r="BP310" s="243"/>
      <c r="BQ310" s="243"/>
      <c r="BR310" s="243"/>
      <c r="BS310" s="243"/>
      <c r="BW310" s="243"/>
      <c r="CA310" s="243"/>
      <c r="CE310" s="243"/>
      <c r="CI310" s="243"/>
    </row>
    <row r="311" spans="1:87">
      <c r="A311" s="256" t="str">
        <f>IF((RIGHT(A294,1))&lt;&gt;"Z",CHAR(CODE(A294))&amp;CHAR(CODE(RIGHT(A294,1))+1),CHAR(CODE(A294)+1)&amp;"A")</f>
        <v>AR</v>
      </c>
      <c r="B311" s="270" t="e">
        <f>INDEX(SourceID,MATCH($A311,SourceNumber,0),1,1)</f>
        <v>#N/A</v>
      </c>
      <c r="C311" s="354" t="e">
        <f>INDEX(SourceExitDiameter,MATCH($A311,SourceNumber,0),1,1)*3.28*12</f>
        <v>#N/A</v>
      </c>
      <c r="D311" s="24" t="str">
        <f>UAnem1percent</f>
        <v>1% Wind</v>
      </c>
      <c r="E311" s="350" t="e">
        <f ca="1">INDIRECT(ADDRESS(53,6,1,,CONCATENATE("TA",$A311)))</f>
        <v>#REF!</v>
      </c>
      <c r="F311" s="625" t="e">
        <f ca="1">(ROUND((INDIRECT(ADDRESS(15,7,1,,CONCATENATE("TA",$A311)))*3.28*12*32),0)&amp;"/32")</f>
        <v>#REF!</v>
      </c>
      <c r="G311" s="125" t="e">
        <f ca="1">INDIRECT(ADDRESS(29,7,1,,$A311))</f>
        <v>#REF!</v>
      </c>
      <c r="H311" s="24" t="e">
        <f ca="1">INDIRECT(ADDRESS(19,7,1,,$A311))*100^3</f>
        <v>#REF!</v>
      </c>
      <c r="I311" s="941" t="e">
        <f ca="1">INDIRECT(ADDRESS(53,7,1,,$A311))</f>
        <v>#REF!</v>
      </c>
      <c r="J311" s="20" t="e">
        <f ca="1">IF($I311=$I$6,K$16&amp;$G$6&amp;J$6,IF($I311=$I$7,K$16&amp;$G$7&amp;J$7,"Bad"))</f>
        <v>#REF!</v>
      </c>
      <c r="K311" t="e">
        <f ca="1">INDEX(FlowCalGasMixture,MATCH(J311,FlowCalNumber,0),1,1)</f>
        <v>#REF!</v>
      </c>
      <c r="M311" s="944" t="e">
        <f ca="1">INDEX(FlowCalDevice,MATCH(J311,FlowCalNumber,0),1,1)</f>
        <v>#REF!</v>
      </c>
      <c r="N311" s="20" t="e">
        <f ca="1">IF($I311=$I$6,O$16&amp;$G$6&amp;N$6,IF($I311=$I$7,O$16&amp;$G$7&amp;N$7,"Bad"))</f>
        <v>#REF!</v>
      </c>
      <c r="O311" t="e">
        <f ca="1">INDEX(FlowCalGasMixture,MATCH(N311,FlowCalNumber,0),1,1)</f>
        <v>#REF!</v>
      </c>
      <c r="Q311" s="944" t="e">
        <f ca="1">INDEX(FlowCalDevice,MATCH(N311,FlowCalNumber,0),1,1)</f>
        <v>#REF!</v>
      </c>
      <c r="R311" s="20" t="e">
        <f ca="1">IF($I311=$I$6,S$16&amp;$G$6&amp;R$6,IF($I311=$I$7,S$16&amp;$G$7&amp;R$7,"Bad"))</f>
        <v>#REF!</v>
      </c>
      <c r="S311" t="e">
        <f ca="1">INDEX(FlowCalGasMixture,MATCH(R311,FlowCalNumber,0),1,1)</f>
        <v>#REF!</v>
      </c>
      <c r="U311" s="944" t="e">
        <f ca="1">INDEX(FlowCalDevice,MATCH(R311,FlowCalNumber,0),1,1)</f>
        <v>#REF!</v>
      </c>
      <c r="V311" s="20"/>
      <c r="Y311" s="944"/>
      <c r="Z311" s="946"/>
      <c r="AC311" s="944"/>
      <c r="AD311" s="20"/>
      <c r="AG311" s="944"/>
      <c r="AH311" s="946"/>
      <c r="AK311" s="982"/>
      <c r="AL311" s="355"/>
      <c r="AM311" s="355"/>
      <c r="AN311" s="355"/>
      <c r="AO311" s="355"/>
      <c r="AP311" s="355"/>
      <c r="AQ311" s="355"/>
      <c r="AR311" s="355"/>
      <c r="AS311" s="355"/>
      <c r="AT311" s="355"/>
      <c r="AU311" s="355"/>
      <c r="AV311" s="355"/>
      <c r="AW311" s="355"/>
      <c r="AX311" s="355"/>
      <c r="AY311" s="355"/>
      <c r="AZ311" s="355"/>
      <c r="BA311" s="355"/>
      <c r="BB311" s="355"/>
      <c r="BC311" s="355"/>
      <c r="BD311" s="355"/>
      <c r="BE311" s="355"/>
      <c r="BF311" s="355"/>
      <c r="BG311" s="355"/>
      <c r="BH311" s="355"/>
      <c r="BI311" s="355"/>
      <c r="BJ311" s="355"/>
      <c r="BK311" s="355"/>
      <c r="BL311" s="355"/>
      <c r="BM311" s="355"/>
      <c r="BN311" s="355"/>
      <c r="BO311" s="355"/>
      <c r="BP311" s="355"/>
      <c r="BQ311" s="355"/>
      <c r="BR311" s="355"/>
      <c r="BS311" s="355"/>
      <c r="BT311" s="46"/>
      <c r="BU311" s="16"/>
      <c r="BW311" s="355"/>
      <c r="BX311" s="42"/>
      <c r="BY311" s="16"/>
      <c r="CA311" s="355"/>
      <c r="CB311" s="42"/>
      <c r="CC311" s="16"/>
      <c r="CE311" s="355"/>
      <c r="CF311" s="42"/>
      <c r="CG311" s="16"/>
      <c r="CI311" s="355"/>
    </row>
    <row r="312" spans="1:87" s="1215" customFormat="1">
      <c r="A312" s="1222"/>
      <c r="B312" s="1223" t="str">
        <f t="shared" ref="B312:B326" si="144">IF(D312=UAnem1percent,"1% Wind","")</f>
        <v/>
      </c>
      <c r="C312" s="1210"/>
      <c r="D312" s="1211">
        <f>'1% Wind'!$M$82</f>
        <v>27</v>
      </c>
      <c r="E312" s="1212"/>
      <c r="F312" s="1212"/>
      <c r="G312" s="1364">
        <v>2</v>
      </c>
      <c r="H312" s="1214" t="e">
        <f t="shared" ref="H312:H326" ca="1" si="145">H311*(D311/D312)*(G312/G311)</f>
        <v>#REF!</v>
      </c>
      <c r="J312" s="1224"/>
      <c r="K312" s="1221">
        <f>K$17/100</f>
        <v>1</v>
      </c>
      <c r="L312" s="1218" t="e">
        <f ca="1">K312*$H312</f>
        <v>#REF!</v>
      </c>
      <c r="M312" s="1219" t="e">
        <f ca="1">IF(AND(INDEX(FlowCalConstA,MATCH(J311,FlowCalNumber,0),1,1)*L312^INDEX(FlowCalConstB,MATCH(J311,FlowCalNumber,0),1,1)&gt;INDEX(FlowCalLowSetting,MATCH(J311,FlowCalNumber,0),1,1), (INDEX(FlowCalConstA,MATCH(J311,FlowCalNumber,0),1,1)*L312^INDEX(FlowCalConstB,MATCH(J311,FlowCalNumber,0),1,1)&lt;INDEX(FlowCalHighSetting,MATCH(J311,FlowCalNumber,0),1,1))),INDEX(FlowCalConstA,MATCH(J311,FlowCalNumber,0),1,1)*L312^INDEX(FlowCalConstB,MATCH(J311,FlowCalNumber,0),1,1)," ")</f>
        <v>#REF!</v>
      </c>
      <c r="N312" s="1224"/>
      <c r="O312" s="1221">
        <f>O$17/100</f>
        <v>1</v>
      </c>
      <c r="P312" s="1218" t="e">
        <f ca="1">O312*$H312</f>
        <v>#REF!</v>
      </c>
      <c r="Q312" s="1219" t="e">
        <f ca="1">IF(AND(INDEX(FlowCalConstA,MATCH(N311,FlowCalNumber,0),1,1)*P312^INDEX(FlowCalConstB,MATCH(N311,FlowCalNumber,0),1,1)&gt;INDEX(FlowCalLowSetting,MATCH(N311,FlowCalNumber,0),1,1), (INDEX(FlowCalConstA,MATCH(N311,FlowCalNumber,0),1,1)*P312^INDEX(FlowCalConstB,MATCH(N311,FlowCalNumber,0),1,1)&lt;INDEX(FlowCalHighSetting,MATCH(N311,FlowCalNumber,0),1,1))),INDEX(FlowCalConstA,MATCH(N311,FlowCalNumber,0),1,1)*P312^INDEX(FlowCalConstB,MATCH(N311,FlowCalNumber,0),1,1)," ")</f>
        <v>#REF!</v>
      </c>
      <c r="R312" s="1224"/>
      <c r="S312" s="1221">
        <f>S$17/100</f>
        <v>1</v>
      </c>
      <c r="T312" s="1218" t="e">
        <f ca="1">S312*$H312</f>
        <v>#REF!</v>
      </c>
      <c r="U312" s="1219" t="e">
        <f ca="1">IF(AND(INDEX(FlowCalConstA,MATCH(R311,FlowCalNumber,0),1,1)*T312^INDEX(FlowCalConstB,MATCH(R311,FlowCalNumber,0),1,1)&gt;INDEX(FlowCalLowSetting,MATCH(R311,FlowCalNumber,0),1,1), (INDEX(FlowCalConstA,MATCH(R311,FlowCalNumber,0),1,1)*T312^INDEX(FlowCalConstB,MATCH(R311,FlowCalNumber,0),1,1)&lt;INDEX(FlowCalHighSetting,MATCH(R311,FlowCalNumber,0),1,1))),INDEX(FlowCalConstA,MATCH(R311,FlowCalNumber,0),1,1)*T312^INDEX(FlowCalConstB,MATCH(R311,FlowCalNumber,0),1,1)," ")</f>
        <v>#REF!</v>
      </c>
      <c r="V312" s="1224"/>
      <c r="W312" s="1221"/>
      <c r="X312" s="1218"/>
      <c r="Y312" s="1219"/>
      <c r="Z312" s="1224"/>
      <c r="AA312" s="1221"/>
      <c r="AB312" s="1218"/>
      <c r="AC312" s="1219"/>
      <c r="AD312" s="1224"/>
      <c r="AE312" s="1221"/>
      <c r="AF312" s="1218"/>
      <c r="AG312" s="1219"/>
      <c r="AH312" s="1224"/>
      <c r="AI312" s="1221"/>
      <c r="AJ312" s="1218"/>
      <c r="AK312" s="1220"/>
      <c r="AL312" s="1219"/>
      <c r="AM312" s="1219"/>
      <c r="AN312" s="1219"/>
      <c r="AO312" s="1219"/>
      <c r="AP312" s="1219"/>
      <c r="AQ312" s="1219"/>
      <c r="AR312" s="1219"/>
      <c r="AS312" s="1219"/>
      <c r="AT312" s="1219"/>
      <c r="AU312" s="1219"/>
      <c r="AV312" s="1219"/>
      <c r="AW312" s="1219"/>
      <c r="AX312" s="1219"/>
      <c r="AY312" s="1219"/>
      <c r="AZ312" s="1219"/>
      <c r="BA312" s="1219"/>
      <c r="BB312" s="1219"/>
      <c r="BC312" s="1219"/>
      <c r="BD312" s="1219"/>
      <c r="BE312" s="1219"/>
      <c r="BF312" s="1219"/>
      <c r="BG312" s="1219"/>
      <c r="BH312" s="1219"/>
      <c r="BI312" s="1219"/>
      <c r="BJ312" s="1219"/>
      <c r="BK312" s="1219"/>
      <c r="BL312" s="1219"/>
      <c r="BM312" s="1219"/>
      <c r="BN312" s="1219"/>
      <c r="BO312" s="1219"/>
      <c r="BP312" s="1219"/>
      <c r="BQ312" s="1219"/>
      <c r="BR312" s="1219"/>
      <c r="BS312" s="1219"/>
      <c r="BU312" s="1225"/>
      <c r="BW312" s="1219"/>
      <c r="BY312" s="1225"/>
      <c r="CA312" s="1219"/>
      <c r="CC312" s="1225"/>
      <c r="CE312" s="1219"/>
      <c r="CG312" s="1221"/>
      <c r="CI312" s="1219"/>
    </row>
    <row r="313" spans="1:87">
      <c r="A313" s="20"/>
      <c r="B313" s="124" t="str">
        <f t="shared" si="144"/>
        <v/>
      </c>
      <c r="C313" s="235"/>
      <c r="D313" s="24">
        <f>'1% Wind'!$M$83</f>
        <v>23.5</v>
      </c>
      <c r="E313" s="90"/>
      <c r="F313" s="90"/>
      <c r="G313" s="79" t="e">
        <f ca="1">IF(I311=0.9743,$G312,MAX(G312/D312*D313,2))</f>
        <v>#REF!</v>
      </c>
      <c r="H313" s="121" t="e">
        <f t="shared" ca="1" si="145"/>
        <v>#REF!</v>
      </c>
      <c r="J313" s="33"/>
      <c r="K313" s="242">
        <f t="shared" ref="K313:K326" si="146">K312</f>
        <v>1</v>
      </c>
      <c r="L313" s="241" t="e">
        <f t="shared" ref="L313:L326" ca="1" si="147">K313*$H313</f>
        <v>#REF!</v>
      </c>
      <c r="M313" s="243" t="e">
        <f ca="1">IF(AND(INDEX(FlowCalConstA,MATCH(J311,FlowCalNumber,0),1,1)*L313^INDEX(FlowCalConstB,MATCH(J311,FlowCalNumber,0),1,1)&gt;INDEX(FlowCalLowSetting,MATCH(J311,FlowCalNumber,0),1,1), (INDEX(FlowCalConstA,MATCH(J311,FlowCalNumber,0),1,1)*L313^INDEX(FlowCalConstB,MATCH(J311,FlowCalNumber,0),1,1)&lt;INDEX(FlowCalHighSetting,MATCH(J311,FlowCalNumber,0),1,1))),INDEX(FlowCalConstA,MATCH(J311,FlowCalNumber,0),1,1)*L313^INDEX(FlowCalConstB,MATCH(J311,FlowCalNumber,0),1,1)," ")</f>
        <v>#REF!</v>
      </c>
      <c r="N313" s="33"/>
      <c r="O313" s="242">
        <f t="shared" ref="O313:O326" si="148">O312</f>
        <v>1</v>
      </c>
      <c r="P313" s="241" t="e">
        <f t="shared" ref="P313:P326" ca="1" si="149">O313*$H313</f>
        <v>#REF!</v>
      </c>
      <c r="Q313" s="243" t="e">
        <f ca="1">IF(AND(INDEX(FlowCalConstA,MATCH(N311,FlowCalNumber,0),1,1)*P313^INDEX(FlowCalConstB,MATCH(N311,FlowCalNumber,0),1,1)&gt;INDEX(FlowCalLowSetting,MATCH(N311,FlowCalNumber,0),1,1), (INDEX(FlowCalConstA,MATCH(N311,FlowCalNumber,0),1,1)*P313^INDEX(FlowCalConstB,MATCH(N311,FlowCalNumber,0),1,1)&lt;INDEX(FlowCalHighSetting,MATCH(N311,FlowCalNumber,0),1,1))),INDEX(FlowCalConstA,MATCH(N311,FlowCalNumber,0),1,1)*P313^INDEX(FlowCalConstB,MATCH(N311,FlowCalNumber,0),1,1)," ")</f>
        <v>#REF!</v>
      </c>
      <c r="R313" s="33"/>
      <c r="S313" s="242">
        <f t="shared" ref="S313:S326" si="150">S312</f>
        <v>1</v>
      </c>
      <c r="T313" s="241" t="e">
        <f t="shared" ref="T313:T326" ca="1" si="151">S313*$H313</f>
        <v>#REF!</v>
      </c>
      <c r="U313" s="243" t="e">
        <f ca="1">IF(AND(INDEX(FlowCalConstA,MATCH(R311,FlowCalNumber,0),1,1)*T313^INDEX(FlowCalConstB,MATCH(R311,FlowCalNumber,0),1,1)&gt;INDEX(FlowCalLowSetting,MATCH(R311,FlowCalNumber,0),1,1), (INDEX(FlowCalConstA,MATCH(R311,FlowCalNumber,0),1,1)*T313^INDEX(FlowCalConstB,MATCH(R311,FlowCalNumber,0),1,1)&lt;INDEX(FlowCalHighSetting,MATCH(R311,FlowCalNumber,0),1,1))),INDEX(FlowCalConstA,MATCH(R311,FlowCalNumber,0),1,1)*T313^INDEX(FlowCalConstB,MATCH(R311,FlowCalNumber,0),1,1)," ")</f>
        <v>#REF!</v>
      </c>
      <c r="V313" s="33"/>
      <c r="W313" s="242"/>
      <c r="X313" s="241"/>
      <c r="Y313" s="243"/>
      <c r="Z313" s="33"/>
      <c r="AA313" s="242"/>
      <c r="AB313" s="241"/>
      <c r="AC313" s="243"/>
      <c r="AD313" s="33"/>
      <c r="AE313" s="242"/>
      <c r="AF313" s="241"/>
      <c r="AG313" s="243"/>
      <c r="AH313" s="33"/>
      <c r="AI313" s="242"/>
      <c r="AJ313" s="241"/>
      <c r="AK313" s="244"/>
      <c r="AL313" s="243"/>
      <c r="AM313" s="243"/>
      <c r="AN313" s="243"/>
      <c r="AO313" s="243"/>
      <c r="AP313" s="243"/>
      <c r="AQ313" s="243"/>
      <c r="AR313" s="243"/>
      <c r="AS313" s="243"/>
      <c r="AT313" s="243"/>
      <c r="AU313" s="243"/>
      <c r="AV313" s="243"/>
      <c r="AW313" s="243"/>
      <c r="AX313" s="243"/>
      <c r="AY313" s="243"/>
      <c r="AZ313" s="243"/>
      <c r="BA313" s="243"/>
      <c r="BB313" s="243"/>
      <c r="BC313" s="243"/>
      <c r="BD313" s="243"/>
      <c r="BE313" s="243"/>
      <c r="BF313" s="243"/>
      <c r="BG313" s="243"/>
      <c r="BH313" s="243"/>
      <c r="BI313" s="243"/>
      <c r="BJ313" s="243"/>
      <c r="BK313" s="243"/>
      <c r="BL313" s="243"/>
      <c r="BM313" s="243"/>
      <c r="BN313" s="243"/>
      <c r="BO313" s="243"/>
      <c r="BP313" s="243"/>
      <c r="BQ313" s="243"/>
      <c r="BR313" s="243"/>
      <c r="BS313" s="243"/>
      <c r="BU313" s="242"/>
      <c r="BW313" s="243"/>
      <c r="BY313" s="242"/>
      <c r="CA313" s="243"/>
      <c r="CC313" s="242"/>
      <c r="CE313" s="243"/>
      <c r="CG313" s="242"/>
      <c r="CI313" s="243"/>
    </row>
    <row r="314" spans="1:87" s="1215" customFormat="1">
      <c r="A314" s="1222"/>
      <c r="B314" s="1223" t="str">
        <f t="shared" si="144"/>
        <v/>
      </c>
      <c r="C314" s="1210"/>
      <c r="D314" s="1211">
        <f>'1% Wind'!$M$84</f>
        <v>20.5</v>
      </c>
      <c r="E314" s="1212"/>
      <c r="F314" s="1212"/>
      <c r="G314" s="1213" t="e">
        <f ca="1">IF(I311=0.9743,$G313,MAX(G313/D313*D314,2))</f>
        <v>#REF!</v>
      </c>
      <c r="H314" s="1214" t="e">
        <f t="shared" ca="1" si="145"/>
        <v>#REF!</v>
      </c>
      <c r="J314" s="1224"/>
      <c r="K314" s="1217">
        <f t="shared" si="146"/>
        <v>1</v>
      </c>
      <c r="L314" s="1218" t="e">
        <f t="shared" ca="1" si="147"/>
        <v>#REF!</v>
      </c>
      <c r="M314" s="1219" t="e">
        <f ca="1">IF(AND(INDEX(FlowCalConstA,MATCH(J311,FlowCalNumber,0),1,1)*L314^INDEX(FlowCalConstB,MATCH(J311,FlowCalNumber,0),1,1)&gt;INDEX(FlowCalLowSetting,MATCH(J311,FlowCalNumber,0),1,1), (INDEX(FlowCalConstA,MATCH(J311,FlowCalNumber,0),1,1)*L314^INDEX(FlowCalConstB,MATCH(J311,FlowCalNumber,0),1,1)&lt;INDEX(FlowCalHighSetting,MATCH(J311,FlowCalNumber,0),1,1))),INDEX(FlowCalConstA,MATCH(J311,FlowCalNumber,0),1,1)*L314^INDEX(FlowCalConstB,MATCH(J311,FlowCalNumber,0),1,1)," ")</f>
        <v>#REF!</v>
      </c>
      <c r="N314" s="1224"/>
      <c r="O314" s="1217">
        <f t="shared" si="148"/>
        <v>1</v>
      </c>
      <c r="P314" s="1218" t="e">
        <f t="shared" ca="1" si="149"/>
        <v>#REF!</v>
      </c>
      <c r="Q314" s="1219" t="e">
        <f ca="1">IF(AND(INDEX(FlowCalConstA,MATCH(N311,FlowCalNumber,0),1,1)*P314^INDEX(FlowCalConstB,MATCH(N311,FlowCalNumber,0),1,1)&gt;INDEX(FlowCalLowSetting,MATCH(N311,FlowCalNumber,0),1,1), (INDEX(FlowCalConstA,MATCH(N311,FlowCalNumber,0),1,1)*P314^INDEX(FlowCalConstB,MATCH(N311,FlowCalNumber,0),1,1)&lt;INDEX(FlowCalHighSetting,MATCH(N311,FlowCalNumber,0),1,1))),INDEX(FlowCalConstA,MATCH(N311,FlowCalNumber,0),1,1)*P314^INDEX(FlowCalConstB,MATCH(N311,FlowCalNumber,0),1,1)," ")</f>
        <v>#REF!</v>
      </c>
      <c r="R314" s="1224"/>
      <c r="S314" s="1217">
        <f t="shared" si="150"/>
        <v>1</v>
      </c>
      <c r="T314" s="1218" t="e">
        <f t="shared" ca="1" si="151"/>
        <v>#REF!</v>
      </c>
      <c r="U314" s="1219" t="e">
        <f ca="1">IF(AND(INDEX(FlowCalConstA,MATCH(R311,FlowCalNumber,0),1,1)*T314^INDEX(FlowCalConstB,MATCH(R311,FlowCalNumber,0),1,1)&gt;INDEX(FlowCalLowSetting,MATCH(R311,FlowCalNumber,0),1,1), (INDEX(FlowCalConstA,MATCH(R311,FlowCalNumber,0),1,1)*T314^INDEX(FlowCalConstB,MATCH(R311,FlowCalNumber,0),1,1)&lt;INDEX(FlowCalHighSetting,MATCH(R311,FlowCalNumber,0),1,1))),INDEX(FlowCalConstA,MATCH(R311,FlowCalNumber,0),1,1)*T314^INDEX(FlowCalConstB,MATCH(R311,FlowCalNumber,0),1,1)," ")</f>
        <v>#REF!</v>
      </c>
      <c r="V314" s="1224"/>
      <c r="W314" s="1217"/>
      <c r="X314" s="1218"/>
      <c r="Y314" s="1219"/>
      <c r="Z314" s="1224"/>
      <c r="AA314" s="1217"/>
      <c r="AB314" s="1218"/>
      <c r="AC314" s="1219"/>
      <c r="AD314" s="1224"/>
      <c r="AE314" s="1217"/>
      <c r="AF314" s="1218"/>
      <c r="AG314" s="1219"/>
      <c r="AH314" s="1224"/>
      <c r="AI314" s="1217"/>
      <c r="AJ314" s="1218"/>
      <c r="AK314" s="1220"/>
      <c r="AL314" s="1219"/>
      <c r="AM314" s="1219"/>
      <c r="AN314" s="1219"/>
      <c r="AO314" s="1219"/>
      <c r="AP314" s="1219"/>
      <c r="AQ314" s="1219"/>
      <c r="AR314" s="1219"/>
      <c r="AS314" s="1219"/>
      <c r="AT314" s="1219"/>
      <c r="AU314" s="1219"/>
      <c r="AV314" s="1219"/>
      <c r="AW314" s="1219"/>
      <c r="AX314" s="1219"/>
      <c r="AY314" s="1219"/>
      <c r="AZ314" s="1219"/>
      <c r="BA314" s="1219"/>
      <c r="BB314" s="1219"/>
      <c r="BC314" s="1219"/>
      <c r="BD314" s="1219"/>
      <c r="BE314" s="1219"/>
      <c r="BF314" s="1219"/>
      <c r="BG314" s="1219"/>
      <c r="BH314" s="1219"/>
      <c r="BI314" s="1219"/>
      <c r="BJ314" s="1219"/>
      <c r="BK314" s="1219"/>
      <c r="BL314" s="1219"/>
      <c r="BM314" s="1219"/>
      <c r="BN314" s="1219"/>
      <c r="BO314" s="1219"/>
      <c r="BP314" s="1219"/>
      <c r="BQ314" s="1219"/>
      <c r="BR314" s="1219"/>
      <c r="BS314" s="1219"/>
      <c r="BU314" s="1217"/>
      <c r="BW314" s="1219"/>
      <c r="BY314" s="1217"/>
      <c r="CA314" s="1219"/>
      <c r="CC314" s="1217"/>
      <c r="CE314" s="1219"/>
      <c r="CG314" s="1217"/>
      <c r="CI314" s="1219"/>
    </row>
    <row r="315" spans="1:87">
      <c r="A315" s="20"/>
      <c r="B315" s="124" t="str">
        <f t="shared" si="144"/>
        <v/>
      </c>
      <c r="C315" s="235"/>
      <c r="D315" s="24">
        <f>'1% Wind'!$M$85</f>
        <v>17.8</v>
      </c>
      <c r="E315" s="90"/>
      <c r="F315" s="90"/>
      <c r="G315" s="79" t="e">
        <f ca="1">IF(I311=0.9743,$G314,MAX(G314/D314*D315,2))</f>
        <v>#REF!</v>
      </c>
      <c r="H315" s="121" t="e">
        <f t="shared" ca="1" si="145"/>
        <v>#REF!</v>
      </c>
      <c r="J315" s="33"/>
      <c r="K315" s="242">
        <f t="shared" si="146"/>
        <v>1</v>
      </c>
      <c r="L315" s="241" t="e">
        <f t="shared" ca="1" si="147"/>
        <v>#REF!</v>
      </c>
      <c r="M315" s="243" t="e">
        <f ca="1">IF(AND(INDEX(FlowCalConstA,MATCH(J311,FlowCalNumber,0),1,1)*L315^INDEX(FlowCalConstB,MATCH(J311,FlowCalNumber,0),1,1)&gt;INDEX(FlowCalLowSetting,MATCH(J311,FlowCalNumber,0),1,1), (INDEX(FlowCalConstA,MATCH(J311,FlowCalNumber,0),1,1)*L315^INDEX(FlowCalConstB,MATCH(J311,FlowCalNumber,0),1,1)&lt;INDEX(FlowCalHighSetting,MATCH(J311,FlowCalNumber,0),1,1))),INDEX(FlowCalConstA,MATCH(J311,FlowCalNumber,0),1,1)*L315^INDEX(FlowCalConstB,MATCH(J311,FlowCalNumber,0),1,1)," ")</f>
        <v>#REF!</v>
      </c>
      <c r="N315" s="33"/>
      <c r="O315" s="242">
        <f t="shared" si="148"/>
        <v>1</v>
      </c>
      <c r="P315" s="241" t="e">
        <f t="shared" ca="1" si="149"/>
        <v>#REF!</v>
      </c>
      <c r="Q315" s="243" t="e">
        <f ca="1">IF(AND(INDEX(FlowCalConstA,MATCH(N311,FlowCalNumber,0),1,1)*P315^INDEX(FlowCalConstB,MATCH(N311,FlowCalNumber,0),1,1)&gt;INDEX(FlowCalLowSetting,MATCH(N311,FlowCalNumber,0),1,1), (INDEX(FlowCalConstA,MATCH(N311,FlowCalNumber,0),1,1)*P315^INDEX(FlowCalConstB,MATCH(N311,FlowCalNumber,0),1,1)&lt;INDEX(FlowCalHighSetting,MATCH(N311,FlowCalNumber,0),1,1))),INDEX(FlowCalConstA,MATCH(N311,FlowCalNumber,0),1,1)*P315^INDEX(FlowCalConstB,MATCH(N311,FlowCalNumber,0),1,1)," ")</f>
        <v>#REF!</v>
      </c>
      <c r="R315" s="33"/>
      <c r="S315" s="242">
        <f t="shared" si="150"/>
        <v>1</v>
      </c>
      <c r="T315" s="241" t="e">
        <f t="shared" ca="1" si="151"/>
        <v>#REF!</v>
      </c>
      <c r="U315" s="243" t="e">
        <f ca="1">IF(AND(INDEX(FlowCalConstA,MATCH(R311,FlowCalNumber,0),1,1)*T315^INDEX(FlowCalConstB,MATCH(R311,FlowCalNumber,0),1,1)&gt;INDEX(FlowCalLowSetting,MATCH(R311,FlowCalNumber,0),1,1), (INDEX(FlowCalConstA,MATCH(R311,FlowCalNumber,0),1,1)*T315^INDEX(FlowCalConstB,MATCH(R311,FlowCalNumber,0),1,1)&lt;INDEX(FlowCalHighSetting,MATCH(R311,FlowCalNumber,0),1,1))),INDEX(FlowCalConstA,MATCH(R311,FlowCalNumber,0),1,1)*T315^INDEX(FlowCalConstB,MATCH(R311,FlowCalNumber,0),1,1)," ")</f>
        <v>#REF!</v>
      </c>
      <c r="V315" s="33"/>
      <c r="W315" s="242"/>
      <c r="X315" s="241"/>
      <c r="Y315" s="243"/>
      <c r="Z315" s="33"/>
      <c r="AA315" s="242"/>
      <c r="AB315" s="241"/>
      <c r="AC315" s="243"/>
      <c r="AD315" s="33"/>
      <c r="AE315" s="242"/>
      <c r="AF315" s="241"/>
      <c r="AG315" s="243"/>
      <c r="AH315" s="33"/>
      <c r="AI315" s="242"/>
      <c r="AJ315" s="241"/>
      <c r="AK315" s="244"/>
      <c r="AL315" s="243"/>
      <c r="AM315" s="243"/>
      <c r="AN315" s="243"/>
      <c r="AO315" s="243"/>
      <c r="AP315" s="243"/>
      <c r="AQ315" s="243"/>
      <c r="AR315" s="243"/>
      <c r="AS315" s="243"/>
      <c r="AT315" s="243"/>
      <c r="AU315" s="243"/>
      <c r="AV315" s="243"/>
      <c r="AW315" s="243"/>
      <c r="AX315" s="243"/>
      <c r="AY315" s="243"/>
      <c r="AZ315" s="243"/>
      <c r="BA315" s="243"/>
      <c r="BB315" s="243"/>
      <c r="BC315" s="243"/>
      <c r="BD315" s="243"/>
      <c r="BE315" s="243"/>
      <c r="BF315" s="243"/>
      <c r="BG315" s="243"/>
      <c r="BH315" s="243"/>
      <c r="BI315" s="243"/>
      <c r="BJ315" s="243"/>
      <c r="BK315" s="243"/>
      <c r="BL315" s="243"/>
      <c r="BM315" s="243"/>
      <c r="BN315" s="243"/>
      <c r="BO315" s="243"/>
      <c r="BP315" s="243"/>
      <c r="BQ315" s="243"/>
      <c r="BR315" s="243"/>
      <c r="BS315" s="243"/>
      <c r="BU315" s="242"/>
      <c r="BW315" s="243"/>
      <c r="BY315" s="242"/>
      <c r="CA315" s="243"/>
      <c r="CC315" s="242"/>
      <c r="CE315" s="243"/>
      <c r="CG315" s="242"/>
      <c r="CI315" s="243"/>
    </row>
    <row r="316" spans="1:87" s="1215" customFormat="1">
      <c r="A316" s="1222"/>
      <c r="B316" s="1223" t="str">
        <f t="shared" si="144"/>
        <v/>
      </c>
      <c r="C316" s="1210"/>
      <c r="D316" s="1211">
        <f>'1% Wind'!$M$86</f>
        <v>15.5</v>
      </c>
      <c r="E316" s="1212"/>
      <c r="F316" s="1212"/>
      <c r="G316" s="1213" t="e">
        <f ca="1">IF(I311=0.9743,$G315,MAX(G315/D315*D316,2))</f>
        <v>#REF!</v>
      </c>
      <c r="H316" s="1214" t="e">
        <f t="shared" ca="1" si="145"/>
        <v>#REF!</v>
      </c>
      <c r="J316" s="1224"/>
      <c r="K316" s="1217">
        <f t="shared" si="146"/>
        <v>1</v>
      </c>
      <c r="L316" s="1218" t="e">
        <f t="shared" ca="1" si="147"/>
        <v>#REF!</v>
      </c>
      <c r="M316" s="1219" t="e">
        <f ca="1">IF(AND(INDEX(FlowCalConstA,MATCH(J311,FlowCalNumber,0),1,1)*L316^INDEX(FlowCalConstB,MATCH(J311,FlowCalNumber,0),1,1)&gt;INDEX(FlowCalLowSetting,MATCH(J311,FlowCalNumber,0),1,1), (INDEX(FlowCalConstA,MATCH(J311,FlowCalNumber,0),1,1)*L316^INDEX(FlowCalConstB,MATCH(J311,FlowCalNumber,0),1,1)&lt;INDEX(FlowCalHighSetting,MATCH(J311,FlowCalNumber,0),1,1))),INDEX(FlowCalConstA,MATCH(J311,FlowCalNumber,0),1,1)*L316^INDEX(FlowCalConstB,MATCH(J311,FlowCalNumber,0),1,1)," ")</f>
        <v>#REF!</v>
      </c>
      <c r="N316" s="1224"/>
      <c r="O316" s="1217">
        <f t="shared" si="148"/>
        <v>1</v>
      </c>
      <c r="P316" s="1218" t="e">
        <f t="shared" ca="1" si="149"/>
        <v>#REF!</v>
      </c>
      <c r="Q316" s="1219" t="e">
        <f ca="1">IF(AND(INDEX(FlowCalConstA,MATCH(N311,FlowCalNumber,0),1,1)*P316^INDEX(FlowCalConstB,MATCH(N311,FlowCalNumber,0),1,1)&gt;INDEX(FlowCalLowSetting,MATCH(N311,FlowCalNumber,0),1,1), (INDEX(FlowCalConstA,MATCH(N311,FlowCalNumber,0),1,1)*P316^INDEX(FlowCalConstB,MATCH(N311,FlowCalNumber,0),1,1)&lt;INDEX(FlowCalHighSetting,MATCH(N311,FlowCalNumber,0),1,1))),INDEX(FlowCalConstA,MATCH(N311,FlowCalNumber,0),1,1)*P316^INDEX(FlowCalConstB,MATCH(N311,FlowCalNumber,0),1,1)," ")</f>
        <v>#REF!</v>
      </c>
      <c r="R316" s="1224"/>
      <c r="S316" s="1217">
        <f t="shared" si="150"/>
        <v>1</v>
      </c>
      <c r="T316" s="1218" t="e">
        <f t="shared" ca="1" si="151"/>
        <v>#REF!</v>
      </c>
      <c r="U316" s="1219" t="e">
        <f ca="1">IF(AND(INDEX(FlowCalConstA,MATCH(R311,FlowCalNumber,0),1,1)*T316^INDEX(FlowCalConstB,MATCH(R311,FlowCalNumber,0),1,1)&gt;INDEX(FlowCalLowSetting,MATCH(R311,FlowCalNumber,0),1,1), (INDEX(FlowCalConstA,MATCH(R311,FlowCalNumber,0),1,1)*T316^INDEX(FlowCalConstB,MATCH(R311,FlowCalNumber,0),1,1)&lt;INDEX(FlowCalHighSetting,MATCH(R311,FlowCalNumber,0),1,1))),INDEX(FlowCalConstA,MATCH(R311,FlowCalNumber,0),1,1)*T316^INDEX(FlowCalConstB,MATCH(R311,FlowCalNumber,0),1,1)," ")</f>
        <v>#REF!</v>
      </c>
      <c r="V316" s="1224"/>
      <c r="W316" s="1217"/>
      <c r="X316" s="1218"/>
      <c r="Y316" s="1219"/>
      <c r="Z316" s="1224"/>
      <c r="AA316" s="1217"/>
      <c r="AB316" s="1218"/>
      <c r="AC316" s="1219"/>
      <c r="AD316" s="1224"/>
      <c r="AE316" s="1217"/>
      <c r="AF316" s="1218"/>
      <c r="AG316" s="1219"/>
      <c r="AH316" s="1224"/>
      <c r="AI316" s="1217"/>
      <c r="AJ316" s="1218"/>
      <c r="AK316" s="1220"/>
      <c r="AL316" s="1219"/>
      <c r="AM316" s="1219"/>
      <c r="AN316" s="1219"/>
      <c r="AO316" s="1219"/>
      <c r="AP316" s="1219"/>
      <c r="AQ316" s="1219"/>
      <c r="AR316" s="1219"/>
      <c r="AS316" s="1219"/>
      <c r="AT316" s="1219"/>
      <c r="AU316" s="1219"/>
      <c r="AV316" s="1219"/>
      <c r="AW316" s="1219"/>
      <c r="AX316" s="1219"/>
      <c r="AY316" s="1219"/>
      <c r="AZ316" s="1219"/>
      <c r="BA316" s="1219"/>
      <c r="BB316" s="1219"/>
      <c r="BC316" s="1219"/>
      <c r="BD316" s="1219"/>
      <c r="BE316" s="1219"/>
      <c r="BF316" s="1219"/>
      <c r="BG316" s="1219"/>
      <c r="BH316" s="1219"/>
      <c r="BI316" s="1219"/>
      <c r="BJ316" s="1219"/>
      <c r="BK316" s="1219"/>
      <c r="BL316" s="1219"/>
      <c r="BM316" s="1219"/>
      <c r="BN316" s="1219"/>
      <c r="BO316" s="1219"/>
      <c r="BP316" s="1219"/>
      <c r="BQ316" s="1219"/>
      <c r="BR316" s="1219"/>
      <c r="BS316" s="1219"/>
      <c r="BU316" s="1217"/>
      <c r="BW316" s="1219"/>
      <c r="BY316" s="1217"/>
      <c r="CA316" s="1219"/>
      <c r="CC316" s="1217"/>
      <c r="CE316" s="1219"/>
      <c r="CG316" s="1217"/>
      <c r="CI316" s="1219"/>
    </row>
    <row r="317" spans="1:87">
      <c r="A317" s="20"/>
      <c r="B317" s="124" t="str">
        <f t="shared" si="144"/>
        <v/>
      </c>
      <c r="C317" s="235"/>
      <c r="D317" s="24">
        <f>'1% Wind'!$M$87</f>
        <v>13.5</v>
      </c>
      <c r="E317" s="90"/>
      <c r="F317" s="90"/>
      <c r="G317" s="79" t="e">
        <f ca="1">IF(I311=0.9743,$G316,MAX(G316/D316*D317,2))</f>
        <v>#REF!</v>
      </c>
      <c r="H317" s="121" t="e">
        <f t="shared" ca="1" si="145"/>
        <v>#REF!</v>
      </c>
      <c r="J317" s="33"/>
      <c r="K317" s="242">
        <f t="shared" si="146"/>
        <v>1</v>
      </c>
      <c r="L317" s="241" t="e">
        <f t="shared" ca="1" si="147"/>
        <v>#REF!</v>
      </c>
      <c r="M317" s="243" t="e">
        <f ca="1">IF(AND(INDEX(FlowCalConstA,MATCH(J311,FlowCalNumber,0),1,1)*L317^INDEX(FlowCalConstB,MATCH(J311,FlowCalNumber,0),1,1)&gt;INDEX(FlowCalLowSetting,MATCH(J311,FlowCalNumber,0),1,1), (INDEX(FlowCalConstA,MATCH(J311,FlowCalNumber,0),1,1)*L317^INDEX(FlowCalConstB,MATCH(J311,FlowCalNumber,0),1,1)&lt;INDEX(FlowCalHighSetting,MATCH(J311,FlowCalNumber,0),1,1))),INDEX(FlowCalConstA,MATCH(J311,FlowCalNumber,0),1,1)*L317^INDEX(FlowCalConstB,MATCH(J311,FlowCalNumber,0),1,1)," ")</f>
        <v>#REF!</v>
      </c>
      <c r="N317" s="33"/>
      <c r="O317" s="242">
        <f t="shared" si="148"/>
        <v>1</v>
      </c>
      <c r="P317" s="241" t="e">
        <f t="shared" ca="1" si="149"/>
        <v>#REF!</v>
      </c>
      <c r="Q317" s="243" t="e">
        <f ca="1">IF(AND(INDEX(FlowCalConstA,MATCH(N311,FlowCalNumber,0),1,1)*P317^INDEX(FlowCalConstB,MATCH(N311,FlowCalNumber,0),1,1)&gt;INDEX(FlowCalLowSetting,MATCH(N311,FlowCalNumber,0),1,1), (INDEX(FlowCalConstA,MATCH(N311,FlowCalNumber,0),1,1)*P317^INDEX(FlowCalConstB,MATCH(N311,FlowCalNumber,0),1,1)&lt;INDEX(FlowCalHighSetting,MATCH(N311,FlowCalNumber,0),1,1))),INDEX(FlowCalConstA,MATCH(N311,FlowCalNumber,0),1,1)*P317^INDEX(FlowCalConstB,MATCH(N311,FlowCalNumber,0),1,1)," ")</f>
        <v>#REF!</v>
      </c>
      <c r="R317" s="33"/>
      <c r="S317" s="242">
        <f t="shared" si="150"/>
        <v>1</v>
      </c>
      <c r="T317" s="241" t="e">
        <f t="shared" ca="1" si="151"/>
        <v>#REF!</v>
      </c>
      <c r="U317" s="243" t="e">
        <f ca="1">IF(AND(INDEX(FlowCalConstA,MATCH(R311,FlowCalNumber,0),1,1)*T317^INDEX(FlowCalConstB,MATCH(R311,FlowCalNumber,0),1,1)&gt;INDEX(FlowCalLowSetting,MATCH(R311,FlowCalNumber,0),1,1), (INDEX(FlowCalConstA,MATCH(R311,FlowCalNumber,0),1,1)*T317^INDEX(FlowCalConstB,MATCH(R311,FlowCalNumber,0),1,1)&lt;INDEX(FlowCalHighSetting,MATCH(R311,FlowCalNumber,0),1,1))),INDEX(FlowCalConstA,MATCH(R311,FlowCalNumber,0),1,1)*T317^INDEX(FlowCalConstB,MATCH(R311,FlowCalNumber,0),1,1)," ")</f>
        <v>#REF!</v>
      </c>
      <c r="V317" s="33"/>
      <c r="W317" s="242"/>
      <c r="X317" s="241"/>
      <c r="Y317" s="243"/>
      <c r="Z317" s="33"/>
      <c r="AA317" s="242"/>
      <c r="AB317" s="241"/>
      <c r="AC317" s="243"/>
      <c r="AD317" s="33"/>
      <c r="AE317" s="242"/>
      <c r="AF317" s="241"/>
      <c r="AG317" s="243"/>
      <c r="AH317" s="33"/>
      <c r="AI317" s="242"/>
      <c r="AJ317" s="241"/>
      <c r="AK317" s="244"/>
      <c r="AL317" s="243"/>
      <c r="AM317" s="243"/>
      <c r="AN317" s="243"/>
      <c r="AO317" s="243"/>
      <c r="AP317" s="243"/>
      <c r="AQ317" s="243"/>
      <c r="AR317" s="243"/>
      <c r="AS317" s="243"/>
      <c r="AT317" s="243"/>
      <c r="AU317" s="243"/>
      <c r="AV317" s="243"/>
      <c r="AW317" s="243"/>
      <c r="AX317" s="243"/>
      <c r="AY317" s="243"/>
      <c r="AZ317" s="243"/>
      <c r="BA317" s="243"/>
      <c r="BB317" s="243"/>
      <c r="BC317" s="243"/>
      <c r="BD317" s="243"/>
      <c r="BE317" s="243"/>
      <c r="BF317" s="243"/>
      <c r="BG317" s="243"/>
      <c r="BH317" s="243"/>
      <c r="BI317" s="243"/>
      <c r="BJ317" s="243"/>
      <c r="BK317" s="243"/>
      <c r="BL317" s="243"/>
      <c r="BM317" s="243"/>
      <c r="BN317" s="243"/>
      <c r="BO317" s="243"/>
      <c r="BP317" s="243"/>
      <c r="BQ317" s="243"/>
      <c r="BR317" s="243"/>
      <c r="BS317" s="243"/>
      <c r="BU317" s="242"/>
      <c r="BW317" s="243"/>
      <c r="BY317" s="242"/>
      <c r="CA317" s="243"/>
      <c r="CC317" s="242"/>
      <c r="CE317" s="243"/>
      <c r="CG317" s="242"/>
      <c r="CI317" s="243"/>
    </row>
    <row r="318" spans="1:87" s="1215" customFormat="1">
      <c r="A318" s="1222"/>
      <c r="B318" s="1223" t="str">
        <f t="shared" si="144"/>
        <v/>
      </c>
      <c r="C318" s="1210"/>
      <c r="D318" s="1211">
        <f>'1% Wind'!$M$88</f>
        <v>10.1</v>
      </c>
      <c r="E318" s="1212"/>
      <c r="F318" s="1212"/>
      <c r="G318" s="1213" t="e">
        <f ca="1">IF(I311=0.9743,$G317,MAX(G317/D317*D318,2))</f>
        <v>#REF!</v>
      </c>
      <c r="H318" s="1214" t="e">
        <f t="shared" ca="1" si="145"/>
        <v>#REF!</v>
      </c>
      <c r="J318" s="1224"/>
      <c r="K318" s="1217">
        <f t="shared" si="146"/>
        <v>1</v>
      </c>
      <c r="L318" s="1218" t="e">
        <f t="shared" ca="1" si="147"/>
        <v>#REF!</v>
      </c>
      <c r="M318" s="1219" t="e">
        <f ca="1">IF(AND(INDEX(FlowCalConstA,MATCH(J311,FlowCalNumber,0),1,1)*L318^INDEX(FlowCalConstB,MATCH(J311,FlowCalNumber,0),1,1)&gt;INDEX(FlowCalLowSetting,MATCH(J311,FlowCalNumber,0),1,1), (INDEX(FlowCalConstA,MATCH(J311,FlowCalNumber,0),1,1)*L318^INDEX(FlowCalConstB,MATCH(J311,FlowCalNumber,0),1,1)&lt;INDEX(FlowCalHighSetting,MATCH(J311,FlowCalNumber,0),1,1))),INDEX(FlowCalConstA,MATCH(J311,FlowCalNumber,0),1,1)*L318^INDEX(FlowCalConstB,MATCH(J311,FlowCalNumber,0),1,1)," ")</f>
        <v>#REF!</v>
      </c>
      <c r="N318" s="1224"/>
      <c r="O318" s="1217">
        <f t="shared" si="148"/>
        <v>1</v>
      </c>
      <c r="P318" s="1218" t="e">
        <f t="shared" ca="1" si="149"/>
        <v>#REF!</v>
      </c>
      <c r="Q318" s="1219" t="e">
        <f ca="1">IF(AND(INDEX(FlowCalConstA,MATCH(N311,FlowCalNumber,0),1,1)*P318^INDEX(FlowCalConstB,MATCH(N311,FlowCalNumber,0),1,1)&gt;INDEX(FlowCalLowSetting,MATCH(N311,FlowCalNumber,0),1,1), (INDEX(FlowCalConstA,MATCH(N311,FlowCalNumber,0),1,1)*P318^INDEX(FlowCalConstB,MATCH(N311,FlowCalNumber,0),1,1)&lt;INDEX(FlowCalHighSetting,MATCH(N311,FlowCalNumber,0),1,1))),INDEX(FlowCalConstA,MATCH(N311,FlowCalNumber,0),1,1)*P318^INDEX(FlowCalConstB,MATCH(N311,FlowCalNumber,0),1,1)," ")</f>
        <v>#REF!</v>
      </c>
      <c r="R318" s="1224"/>
      <c r="S318" s="1217">
        <f t="shared" si="150"/>
        <v>1</v>
      </c>
      <c r="T318" s="1218" t="e">
        <f t="shared" ca="1" si="151"/>
        <v>#REF!</v>
      </c>
      <c r="U318" s="1219" t="e">
        <f ca="1">IF(AND(INDEX(FlowCalConstA,MATCH(R311,FlowCalNumber,0),1,1)*T318^INDEX(FlowCalConstB,MATCH(R311,FlowCalNumber,0),1,1)&gt;INDEX(FlowCalLowSetting,MATCH(R311,FlowCalNumber,0),1,1), (INDEX(FlowCalConstA,MATCH(R311,FlowCalNumber,0),1,1)*T318^INDEX(FlowCalConstB,MATCH(R311,FlowCalNumber,0),1,1)&lt;INDEX(FlowCalHighSetting,MATCH(R311,FlowCalNumber,0),1,1))),INDEX(FlowCalConstA,MATCH(R311,FlowCalNumber,0),1,1)*T318^INDEX(FlowCalConstB,MATCH(R311,FlowCalNumber,0),1,1)," ")</f>
        <v>#REF!</v>
      </c>
      <c r="V318" s="1224"/>
      <c r="W318" s="1217"/>
      <c r="X318" s="1218"/>
      <c r="Y318" s="1219"/>
      <c r="Z318" s="1224"/>
      <c r="AA318" s="1217"/>
      <c r="AB318" s="1218"/>
      <c r="AC318" s="1219"/>
      <c r="AD318" s="1224"/>
      <c r="AE318" s="1217"/>
      <c r="AF318" s="1218"/>
      <c r="AG318" s="1219"/>
      <c r="AH318" s="1224"/>
      <c r="AI318" s="1217"/>
      <c r="AJ318" s="1218"/>
      <c r="AK318" s="1220"/>
      <c r="AL318" s="1219"/>
      <c r="AM318" s="1219"/>
      <c r="AN318" s="1219"/>
      <c r="AO318" s="1219"/>
      <c r="AP318" s="1219"/>
      <c r="AQ318" s="1219"/>
      <c r="AR318" s="1219"/>
      <c r="AS318" s="1219"/>
      <c r="AT318" s="1219"/>
      <c r="AU318" s="1219"/>
      <c r="AV318" s="1219"/>
      <c r="AW318" s="1219"/>
      <c r="AX318" s="1219"/>
      <c r="AY318" s="1219"/>
      <c r="AZ318" s="1219"/>
      <c r="BA318" s="1219"/>
      <c r="BB318" s="1219"/>
      <c r="BC318" s="1219"/>
      <c r="BD318" s="1219"/>
      <c r="BE318" s="1219"/>
      <c r="BF318" s="1219"/>
      <c r="BG318" s="1219"/>
      <c r="BH318" s="1219"/>
      <c r="BI318" s="1219"/>
      <c r="BJ318" s="1219"/>
      <c r="BK318" s="1219"/>
      <c r="BL318" s="1219"/>
      <c r="BM318" s="1219"/>
      <c r="BN318" s="1219"/>
      <c r="BO318" s="1219"/>
      <c r="BP318" s="1219"/>
      <c r="BQ318" s="1219"/>
      <c r="BR318" s="1219"/>
      <c r="BS318" s="1219"/>
      <c r="BU318" s="1217"/>
      <c r="BW318" s="1219"/>
      <c r="BY318" s="1217"/>
      <c r="CA318" s="1219"/>
      <c r="CC318" s="1217"/>
      <c r="CE318" s="1219"/>
      <c r="CG318" s="1217"/>
      <c r="CI318" s="1219"/>
    </row>
    <row r="319" spans="1:87">
      <c r="A319" s="20"/>
      <c r="B319" s="124" t="str">
        <f t="shared" si="144"/>
        <v/>
      </c>
      <c r="C319" s="235"/>
      <c r="D319" s="24">
        <f>'1% Wind'!$M$89</f>
        <v>7.6</v>
      </c>
      <c r="E319" s="90"/>
      <c r="F319" s="90"/>
      <c r="G319" s="79" t="e">
        <f ca="1">IF(I311=0.9743,$G318,MAX(G318/D318*D319,2))</f>
        <v>#REF!</v>
      </c>
      <c r="H319" s="121" t="e">
        <f t="shared" ca="1" si="145"/>
        <v>#REF!</v>
      </c>
      <c r="J319" s="33"/>
      <c r="K319" s="242">
        <f t="shared" si="146"/>
        <v>1</v>
      </c>
      <c r="L319" s="241" t="e">
        <f t="shared" ca="1" si="147"/>
        <v>#REF!</v>
      </c>
      <c r="M319" s="243" t="e">
        <f ca="1">IF(AND(INDEX(FlowCalConstA,MATCH(J311,FlowCalNumber,0),1,1)*L319^INDEX(FlowCalConstB,MATCH(J311,FlowCalNumber,0),1,1)&gt;INDEX(FlowCalLowSetting,MATCH(J311,FlowCalNumber,0),1,1), (INDEX(FlowCalConstA,MATCH(J311,FlowCalNumber,0),1,1)*L319^INDEX(FlowCalConstB,MATCH(J311,FlowCalNumber,0),1,1)&lt;INDEX(FlowCalHighSetting,MATCH(J311,FlowCalNumber,0),1,1))),INDEX(FlowCalConstA,MATCH(J311,FlowCalNumber,0),1,1)*L319^INDEX(FlowCalConstB,MATCH(J311,FlowCalNumber,0),1,1)," ")</f>
        <v>#REF!</v>
      </c>
      <c r="N319" s="33"/>
      <c r="O319" s="242">
        <f t="shared" si="148"/>
        <v>1</v>
      </c>
      <c r="P319" s="241" t="e">
        <f t="shared" ca="1" si="149"/>
        <v>#REF!</v>
      </c>
      <c r="Q319" s="243" t="e">
        <f ca="1">IF(AND(INDEX(FlowCalConstA,MATCH(N311,FlowCalNumber,0),1,1)*P319^INDEX(FlowCalConstB,MATCH(N311,FlowCalNumber,0),1,1)&gt;INDEX(FlowCalLowSetting,MATCH(N311,FlowCalNumber,0),1,1), (INDEX(FlowCalConstA,MATCH(N311,FlowCalNumber,0),1,1)*P319^INDEX(FlowCalConstB,MATCH(N311,FlowCalNumber,0),1,1)&lt;INDEX(FlowCalHighSetting,MATCH(N311,FlowCalNumber,0),1,1))),INDEX(FlowCalConstA,MATCH(N311,FlowCalNumber,0),1,1)*P319^INDEX(FlowCalConstB,MATCH(N311,FlowCalNumber,0),1,1)," ")</f>
        <v>#REF!</v>
      </c>
      <c r="R319" s="33"/>
      <c r="S319" s="242">
        <f t="shared" si="150"/>
        <v>1</v>
      </c>
      <c r="T319" s="241" t="e">
        <f t="shared" ca="1" si="151"/>
        <v>#REF!</v>
      </c>
      <c r="U319" s="243" t="e">
        <f ca="1">IF(AND(INDEX(FlowCalConstA,MATCH(R311,FlowCalNumber,0),1,1)*T319^INDEX(FlowCalConstB,MATCH(R311,FlowCalNumber,0),1,1)&gt;INDEX(FlowCalLowSetting,MATCH(R311,FlowCalNumber,0),1,1), (INDEX(FlowCalConstA,MATCH(R311,FlowCalNumber,0),1,1)*T319^INDEX(FlowCalConstB,MATCH(R311,FlowCalNumber,0),1,1)&lt;INDEX(FlowCalHighSetting,MATCH(R311,FlowCalNumber,0),1,1))),INDEX(FlowCalConstA,MATCH(R311,FlowCalNumber,0),1,1)*T319^INDEX(FlowCalConstB,MATCH(R311,FlowCalNumber,0),1,1)," ")</f>
        <v>#REF!</v>
      </c>
      <c r="V319" s="33"/>
      <c r="W319" s="242"/>
      <c r="X319" s="241"/>
      <c r="Y319" s="243"/>
      <c r="Z319" s="33"/>
      <c r="AA319" s="242"/>
      <c r="AB319" s="241"/>
      <c r="AC319" s="243"/>
      <c r="AD319" s="33"/>
      <c r="AE319" s="242"/>
      <c r="AF319" s="241"/>
      <c r="AG319" s="243"/>
      <c r="AH319" s="33"/>
      <c r="AI319" s="242"/>
      <c r="AJ319" s="241"/>
      <c r="AK319" s="244"/>
      <c r="AL319" s="243"/>
      <c r="AM319" s="243"/>
      <c r="AN319" s="243"/>
      <c r="AO319" s="243"/>
      <c r="AP319" s="243"/>
      <c r="AQ319" s="243"/>
      <c r="AR319" s="243"/>
      <c r="AS319" s="243"/>
      <c r="AT319" s="243"/>
      <c r="AU319" s="243"/>
      <c r="AV319" s="243"/>
      <c r="AW319" s="243"/>
      <c r="AX319" s="243"/>
      <c r="AY319" s="243"/>
      <c r="AZ319" s="243"/>
      <c r="BA319" s="243"/>
      <c r="BB319" s="243"/>
      <c r="BC319" s="243"/>
      <c r="BD319" s="243"/>
      <c r="BE319" s="243"/>
      <c r="BF319" s="243"/>
      <c r="BG319" s="243"/>
      <c r="BH319" s="243"/>
      <c r="BI319" s="243"/>
      <c r="BJ319" s="243"/>
      <c r="BK319" s="243"/>
      <c r="BL319" s="243"/>
      <c r="BM319" s="243"/>
      <c r="BN319" s="243"/>
      <c r="BO319" s="243"/>
      <c r="BP319" s="243"/>
      <c r="BQ319" s="243"/>
      <c r="BR319" s="243"/>
      <c r="BS319" s="243"/>
      <c r="BU319" s="242"/>
      <c r="BW319" s="243"/>
      <c r="BY319" s="242"/>
      <c r="CA319" s="243"/>
      <c r="CC319" s="242"/>
      <c r="CE319" s="243"/>
      <c r="CG319" s="242"/>
      <c r="CI319" s="243"/>
    </row>
    <row r="320" spans="1:87" s="1215" customFormat="1">
      <c r="A320" s="1222"/>
      <c r="B320" s="1223" t="str">
        <f t="shared" si="144"/>
        <v/>
      </c>
      <c r="C320" s="1210"/>
      <c r="D320" s="1211">
        <f>'1% Wind'!$M$90</f>
        <v>5.7</v>
      </c>
      <c r="E320" s="1212"/>
      <c r="F320" s="1212"/>
      <c r="G320" s="1213" t="e">
        <f ca="1">IF(I311=0.9743,$G319,MAX(G319/D319*D320,2))</f>
        <v>#REF!</v>
      </c>
      <c r="H320" s="1214" t="e">
        <f t="shared" ca="1" si="145"/>
        <v>#REF!</v>
      </c>
      <c r="J320" s="1224"/>
      <c r="K320" s="1217">
        <f t="shared" si="146"/>
        <v>1</v>
      </c>
      <c r="L320" s="1218" t="e">
        <f t="shared" ca="1" si="147"/>
        <v>#REF!</v>
      </c>
      <c r="M320" s="1219" t="e">
        <f ca="1">IF(AND(INDEX(FlowCalConstA,MATCH(J311,FlowCalNumber,0),1,1)*L320^INDEX(FlowCalConstB,MATCH(J311,FlowCalNumber,0),1,1)&gt;INDEX(FlowCalLowSetting,MATCH(J311,FlowCalNumber,0),1,1), (INDEX(FlowCalConstA,MATCH(J311,FlowCalNumber,0),1,1)*L320^INDEX(FlowCalConstB,MATCH(J311,FlowCalNumber,0),1,1)&lt;INDEX(FlowCalHighSetting,MATCH(J311,FlowCalNumber,0),1,1))),INDEX(FlowCalConstA,MATCH(J311,FlowCalNumber,0),1,1)*L320^INDEX(FlowCalConstB,MATCH(J311,FlowCalNumber,0),1,1)," ")</f>
        <v>#REF!</v>
      </c>
      <c r="N320" s="1224"/>
      <c r="O320" s="1217">
        <f t="shared" si="148"/>
        <v>1</v>
      </c>
      <c r="P320" s="1218" t="e">
        <f t="shared" ca="1" si="149"/>
        <v>#REF!</v>
      </c>
      <c r="Q320" s="1219" t="e">
        <f ca="1">IF(AND(INDEX(FlowCalConstA,MATCH(N311,FlowCalNumber,0),1,1)*P320^INDEX(FlowCalConstB,MATCH(N311,FlowCalNumber,0),1,1)&gt;INDEX(FlowCalLowSetting,MATCH(N311,FlowCalNumber,0),1,1), (INDEX(FlowCalConstA,MATCH(N311,FlowCalNumber,0),1,1)*P320^INDEX(FlowCalConstB,MATCH(N311,FlowCalNumber,0),1,1)&lt;INDEX(FlowCalHighSetting,MATCH(N311,FlowCalNumber,0),1,1))),INDEX(FlowCalConstA,MATCH(N311,FlowCalNumber,0),1,1)*P320^INDEX(FlowCalConstB,MATCH(N311,FlowCalNumber,0),1,1)," ")</f>
        <v>#REF!</v>
      </c>
      <c r="R320" s="1224"/>
      <c r="S320" s="1217">
        <f t="shared" si="150"/>
        <v>1</v>
      </c>
      <c r="T320" s="1218" t="e">
        <f t="shared" ca="1" si="151"/>
        <v>#REF!</v>
      </c>
      <c r="U320" s="1219" t="e">
        <f ca="1">IF(AND(INDEX(FlowCalConstA,MATCH(R311,FlowCalNumber,0),1,1)*T320^INDEX(FlowCalConstB,MATCH(R311,FlowCalNumber,0),1,1)&gt;INDEX(FlowCalLowSetting,MATCH(R311,FlowCalNumber,0),1,1), (INDEX(FlowCalConstA,MATCH(R311,FlowCalNumber,0),1,1)*T320^INDEX(FlowCalConstB,MATCH(R311,FlowCalNumber,0),1,1)&lt;INDEX(FlowCalHighSetting,MATCH(R311,FlowCalNumber,0),1,1))),INDEX(FlowCalConstA,MATCH(R311,FlowCalNumber,0),1,1)*T320^INDEX(FlowCalConstB,MATCH(R311,FlowCalNumber,0),1,1)," ")</f>
        <v>#REF!</v>
      </c>
      <c r="V320" s="1224"/>
      <c r="W320" s="1217"/>
      <c r="X320" s="1218"/>
      <c r="Y320" s="1219"/>
      <c r="Z320" s="1224"/>
      <c r="AA320" s="1217"/>
      <c r="AB320" s="1218"/>
      <c r="AC320" s="1219"/>
      <c r="AD320" s="1224"/>
      <c r="AE320" s="1217"/>
      <c r="AF320" s="1218"/>
      <c r="AG320" s="1219"/>
      <c r="AH320" s="1224"/>
      <c r="AI320" s="1217"/>
      <c r="AJ320" s="1218"/>
      <c r="AK320" s="1220"/>
      <c r="AL320" s="1219"/>
      <c r="AM320" s="1219"/>
      <c r="AN320" s="1219"/>
      <c r="AO320" s="1219"/>
      <c r="AP320" s="1219"/>
      <c r="AQ320" s="1219"/>
      <c r="AR320" s="1219"/>
      <c r="AS320" s="1219"/>
      <c r="AT320" s="1219"/>
      <c r="AU320" s="1219"/>
      <c r="AV320" s="1219"/>
      <c r="AW320" s="1219"/>
      <c r="AX320" s="1219"/>
      <c r="AY320" s="1219"/>
      <c r="AZ320" s="1219"/>
      <c r="BA320" s="1219"/>
      <c r="BB320" s="1219"/>
      <c r="BC320" s="1219"/>
      <c r="BD320" s="1219"/>
      <c r="BE320" s="1219"/>
      <c r="BF320" s="1219"/>
      <c r="BG320" s="1219"/>
      <c r="BH320" s="1219"/>
      <c r="BI320" s="1219"/>
      <c r="BJ320" s="1219"/>
      <c r="BK320" s="1219"/>
      <c r="BL320" s="1219"/>
      <c r="BM320" s="1219"/>
      <c r="BN320" s="1219"/>
      <c r="BO320" s="1219"/>
      <c r="BP320" s="1219"/>
      <c r="BQ320" s="1219"/>
      <c r="BR320" s="1219"/>
      <c r="BS320" s="1219"/>
      <c r="BU320" s="1217"/>
      <c r="BW320" s="1219"/>
      <c r="BY320" s="1217"/>
      <c r="CA320" s="1219"/>
      <c r="CC320" s="1217"/>
      <c r="CE320" s="1219"/>
      <c r="CG320" s="1217"/>
      <c r="CI320" s="1219"/>
    </row>
    <row r="321" spans="1:87">
      <c r="A321" s="20"/>
      <c r="B321" s="124" t="str">
        <f t="shared" si="144"/>
        <v/>
      </c>
      <c r="C321" s="235"/>
      <c r="D321" s="24">
        <f>'1% Wind'!$M$91</f>
        <v>4.2</v>
      </c>
      <c r="E321" s="90"/>
      <c r="F321" s="90"/>
      <c r="G321" s="79" t="e">
        <f ca="1">IF(I311=0.9743,$G320,MAX(G320/D320*D321,2))</f>
        <v>#REF!</v>
      </c>
      <c r="H321" s="121" t="e">
        <f t="shared" ca="1" si="145"/>
        <v>#REF!</v>
      </c>
      <c r="J321" s="33"/>
      <c r="K321" s="242">
        <f t="shared" si="146"/>
        <v>1</v>
      </c>
      <c r="L321" s="241" t="e">
        <f t="shared" ca="1" si="147"/>
        <v>#REF!</v>
      </c>
      <c r="M321" s="243" t="e">
        <f ca="1">IF(AND(INDEX(FlowCalConstA,MATCH(J311,FlowCalNumber,0),1,1)*L321^INDEX(FlowCalConstB,MATCH(J311,FlowCalNumber,0),1,1)&gt;INDEX(FlowCalLowSetting,MATCH(J311,FlowCalNumber,0),1,1), (INDEX(FlowCalConstA,MATCH(J311,FlowCalNumber,0),1,1)*L321^INDEX(FlowCalConstB,MATCH(J311,FlowCalNumber,0),1,1)&lt;INDEX(FlowCalHighSetting,MATCH(J311,FlowCalNumber,0),1,1))),INDEX(FlowCalConstA,MATCH(J311,FlowCalNumber,0),1,1)*L321^INDEX(FlowCalConstB,MATCH(J311,FlowCalNumber,0),1,1)," ")</f>
        <v>#REF!</v>
      </c>
      <c r="N321" s="33"/>
      <c r="O321" s="242">
        <f t="shared" si="148"/>
        <v>1</v>
      </c>
      <c r="P321" s="241" t="e">
        <f t="shared" ca="1" si="149"/>
        <v>#REF!</v>
      </c>
      <c r="Q321" s="243" t="e">
        <f ca="1">IF(AND(INDEX(FlowCalConstA,MATCH(N311,FlowCalNumber,0),1,1)*P321^INDEX(FlowCalConstB,MATCH(N311,FlowCalNumber,0),1,1)&gt;INDEX(FlowCalLowSetting,MATCH(N311,FlowCalNumber,0),1,1), (INDEX(FlowCalConstA,MATCH(N311,FlowCalNumber,0),1,1)*P321^INDEX(FlowCalConstB,MATCH(N311,FlowCalNumber,0),1,1)&lt;INDEX(FlowCalHighSetting,MATCH(N311,FlowCalNumber,0),1,1))),INDEX(FlowCalConstA,MATCH(N311,FlowCalNumber,0),1,1)*P321^INDEX(FlowCalConstB,MATCH(N311,FlowCalNumber,0),1,1)," ")</f>
        <v>#REF!</v>
      </c>
      <c r="R321" s="33"/>
      <c r="S321" s="242">
        <f t="shared" si="150"/>
        <v>1</v>
      </c>
      <c r="T321" s="241" t="e">
        <f t="shared" ca="1" si="151"/>
        <v>#REF!</v>
      </c>
      <c r="U321" s="243" t="e">
        <f ca="1">IF(AND(INDEX(FlowCalConstA,MATCH(R311,FlowCalNumber,0),1,1)*T321^INDEX(FlowCalConstB,MATCH(R311,FlowCalNumber,0),1,1)&gt;INDEX(FlowCalLowSetting,MATCH(R311,FlowCalNumber,0),1,1), (INDEX(FlowCalConstA,MATCH(R311,FlowCalNumber,0),1,1)*T321^INDEX(FlowCalConstB,MATCH(R311,FlowCalNumber,0),1,1)&lt;INDEX(FlowCalHighSetting,MATCH(R311,FlowCalNumber,0),1,1))),INDEX(FlowCalConstA,MATCH(R311,FlowCalNumber,0),1,1)*T321^INDEX(FlowCalConstB,MATCH(R311,FlowCalNumber,0),1,1)," ")</f>
        <v>#REF!</v>
      </c>
      <c r="V321" s="33"/>
      <c r="W321" s="242"/>
      <c r="X321" s="241"/>
      <c r="Y321" s="243"/>
      <c r="Z321" s="33"/>
      <c r="AA321" s="242"/>
      <c r="AB321" s="241"/>
      <c r="AC321" s="243"/>
      <c r="AD321" s="33"/>
      <c r="AE321" s="242"/>
      <c r="AF321" s="241"/>
      <c r="AG321" s="243"/>
      <c r="AH321" s="33"/>
      <c r="AI321" s="242"/>
      <c r="AJ321" s="241"/>
      <c r="AK321" s="244"/>
      <c r="AL321" s="243"/>
      <c r="AM321" s="243"/>
      <c r="AN321" s="243"/>
      <c r="AO321" s="243"/>
      <c r="AP321" s="243"/>
      <c r="AQ321" s="243"/>
      <c r="AR321" s="243"/>
      <c r="AS321" s="243"/>
      <c r="AT321" s="243"/>
      <c r="AU321" s="243"/>
      <c r="AV321" s="243"/>
      <c r="AW321" s="243"/>
      <c r="AX321" s="243"/>
      <c r="AY321" s="243"/>
      <c r="AZ321" s="243"/>
      <c r="BA321" s="243"/>
      <c r="BB321" s="243"/>
      <c r="BC321" s="243"/>
      <c r="BD321" s="243"/>
      <c r="BE321" s="243"/>
      <c r="BF321" s="243"/>
      <c r="BG321" s="243"/>
      <c r="BH321" s="243"/>
      <c r="BI321" s="243"/>
      <c r="BJ321" s="243"/>
      <c r="BK321" s="243"/>
      <c r="BL321" s="243"/>
      <c r="BM321" s="243"/>
      <c r="BN321" s="243"/>
      <c r="BO321" s="243"/>
      <c r="BP321" s="243"/>
      <c r="BQ321" s="243"/>
      <c r="BR321" s="243"/>
      <c r="BS321" s="243"/>
      <c r="BU321" s="242"/>
      <c r="BW321" s="243"/>
      <c r="BY321" s="242"/>
      <c r="CA321" s="243"/>
      <c r="CC321" s="242"/>
      <c r="CE321" s="243"/>
      <c r="CG321" s="242"/>
      <c r="CI321" s="243"/>
    </row>
    <row r="322" spans="1:87" s="1215" customFormat="1">
      <c r="A322" s="1222"/>
      <c r="B322" s="1223" t="str">
        <f t="shared" si="144"/>
        <v/>
      </c>
      <c r="C322" s="1210"/>
      <c r="D322" s="1211">
        <f>'1% Wind'!$M$92</f>
        <v>3.2</v>
      </c>
      <c r="E322" s="1212"/>
      <c r="F322" s="1212"/>
      <c r="G322" s="1213" t="e">
        <f ca="1">IF(I311=0.9743,$G321,MAX(G321/D321*D322,2))</f>
        <v>#REF!</v>
      </c>
      <c r="H322" s="1214" t="e">
        <f t="shared" ca="1" si="145"/>
        <v>#REF!</v>
      </c>
      <c r="J322" s="1224"/>
      <c r="K322" s="1217">
        <f t="shared" si="146"/>
        <v>1</v>
      </c>
      <c r="L322" s="1218" t="e">
        <f t="shared" ca="1" si="147"/>
        <v>#REF!</v>
      </c>
      <c r="M322" s="1219" t="e">
        <f ca="1">IF(AND(INDEX(FlowCalConstA,MATCH(J311,FlowCalNumber,0),1,1)*L322^INDEX(FlowCalConstB,MATCH(J311,FlowCalNumber,0),1,1)&gt;INDEX(FlowCalLowSetting,MATCH(J311,FlowCalNumber,0),1,1), (INDEX(FlowCalConstA,MATCH(J311,FlowCalNumber,0),1,1)*L322^INDEX(FlowCalConstB,MATCH(J311,FlowCalNumber,0),1,1)&lt;INDEX(FlowCalHighSetting,MATCH(J311,FlowCalNumber,0),1,1))),INDEX(FlowCalConstA,MATCH(J311,FlowCalNumber,0),1,1)*L322^INDEX(FlowCalConstB,MATCH(J311,FlowCalNumber,0),1,1)," ")</f>
        <v>#REF!</v>
      </c>
      <c r="N322" s="1224"/>
      <c r="O322" s="1217">
        <f t="shared" si="148"/>
        <v>1</v>
      </c>
      <c r="P322" s="1218" t="e">
        <f t="shared" ca="1" si="149"/>
        <v>#REF!</v>
      </c>
      <c r="Q322" s="1219" t="e">
        <f ca="1">IF(AND(INDEX(FlowCalConstA,MATCH(N311,FlowCalNumber,0),1,1)*P322^INDEX(FlowCalConstB,MATCH(N311,FlowCalNumber,0),1,1)&gt;INDEX(FlowCalLowSetting,MATCH(N311,FlowCalNumber,0),1,1), (INDEX(FlowCalConstA,MATCH(N311,FlowCalNumber,0),1,1)*P322^INDEX(FlowCalConstB,MATCH(N311,FlowCalNumber,0),1,1)&lt;INDEX(FlowCalHighSetting,MATCH(N311,FlowCalNumber,0),1,1))),INDEX(FlowCalConstA,MATCH(N311,FlowCalNumber,0),1,1)*P322^INDEX(FlowCalConstB,MATCH(N311,FlowCalNumber,0),1,1)," ")</f>
        <v>#REF!</v>
      </c>
      <c r="R322" s="1224"/>
      <c r="S322" s="1217">
        <f t="shared" si="150"/>
        <v>1</v>
      </c>
      <c r="T322" s="1218" t="e">
        <f t="shared" ca="1" si="151"/>
        <v>#REF!</v>
      </c>
      <c r="U322" s="1219" t="e">
        <f ca="1">IF(AND(INDEX(FlowCalConstA,MATCH(R311,FlowCalNumber,0),1,1)*T322^INDEX(FlowCalConstB,MATCH(R311,FlowCalNumber,0),1,1)&gt;INDEX(FlowCalLowSetting,MATCH(R311,FlowCalNumber,0),1,1), (INDEX(FlowCalConstA,MATCH(R311,FlowCalNumber,0),1,1)*T322^INDEX(FlowCalConstB,MATCH(R311,FlowCalNumber,0),1,1)&lt;INDEX(FlowCalHighSetting,MATCH(R311,FlowCalNumber,0),1,1))),INDEX(FlowCalConstA,MATCH(R311,FlowCalNumber,0),1,1)*T322^INDEX(FlowCalConstB,MATCH(R311,FlowCalNumber,0),1,1)," ")</f>
        <v>#REF!</v>
      </c>
      <c r="V322" s="1224"/>
      <c r="W322" s="1217"/>
      <c r="X322" s="1218"/>
      <c r="Y322" s="1219"/>
      <c r="Z322" s="1224"/>
      <c r="AA322" s="1217"/>
      <c r="AB322" s="1218"/>
      <c r="AC322" s="1219"/>
      <c r="AD322" s="1224"/>
      <c r="AE322" s="1217"/>
      <c r="AF322" s="1218"/>
      <c r="AG322" s="1219"/>
      <c r="AH322" s="1224"/>
      <c r="AI322" s="1217"/>
      <c r="AJ322" s="1218"/>
      <c r="AK322" s="1220"/>
      <c r="AL322" s="1219"/>
      <c r="AM322" s="1219"/>
      <c r="AN322" s="1219"/>
      <c r="AO322" s="1219"/>
      <c r="AP322" s="1219"/>
      <c r="AQ322" s="1219"/>
      <c r="AR322" s="1219"/>
      <c r="AS322" s="1219"/>
      <c r="AT322" s="1219"/>
      <c r="AU322" s="1219"/>
      <c r="AV322" s="1219"/>
      <c r="AW322" s="1219"/>
      <c r="AX322" s="1219"/>
      <c r="AY322" s="1219"/>
      <c r="AZ322" s="1219"/>
      <c r="BA322" s="1219"/>
      <c r="BB322" s="1219"/>
      <c r="BC322" s="1219"/>
      <c r="BD322" s="1219"/>
      <c r="BE322" s="1219"/>
      <c r="BF322" s="1219"/>
      <c r="BG322" s="1219"/>
      <c r="BH322" s="1219"/>
      <c r="BI322" s="1219"/>
      <c r="BJ322" s="1219"/>
      <c r="BK322" s="1219"/>
      <c r="BL322" s="1219"/>
      <c r="BM322" s="1219"/>
      <c r="BN322" s="1219"/>
      <c r="BO322" s="1219"/>
      <c r="BP322" s="1219"/>
      <c r="BQ322" s="1219"/>
      <c r="BR322" s="1219"/>
      <c r="BS322" s="1219"/>
      <c r="BU322" s="1217"/>
      <c r="BW322" s="1219"/>
      <c r="BY322" s="1217"/>
      <c r="CA322" s="1219"/>
      <c r="CC322" s="1217"/>
      <c r="CE322" s="1219"/>
      <c r="CG322" s="1217"/>
      <c r="CI322" s="1219"/>
    </row>
    <row r="323" spans="1:87">
      <c r="A323" s="20"/>
      <c r="B323" s="124" t="str">
        <f t="shared" si="144"/>
        <v/>
      </c>
      <c r="C323" s="235"/>
      <c r="D323" s="24">
        <f>'1% Wind'!$M$93</f>
        <v>2.4</v>
      </c>
      <c r="E323" s="90"/>
      <c r="F323" s="90"/>
      <c r="G323" s="79" t="e">
        <f ca="1">IF(I311=0.9743,$G322,MAX(G322/D322*D323,2))</f>
        <v>#REF!</v>
      </c>
      <c r="H323" s="121" t="e">
        <f t="shared" ca="1" si="145"/>
        <v>#REF!</v>
      </c>
      <c r="J323" s="33"/>
      <c r="K323" s="242">
        <f t="shared" si="146"/>
        <v>1</v>
      </c>
      <c r="L323" s="241" t="e">
        <f t="shared" ca="1" si="147"/>
        <v>#REF!</v>
      </c>
      <c r="M323" s="243" t="e">
        <f ca="1">IF(AND(INDEX(FlowCalConstA,MATCH(J311,FlowCalNumber,0),1,1)*L323^INDEX(FlowCalConstB,MATCH(J311,FlowCalNumber,0),1,1)&gt;INDEX(FlowCalLowSetting,MATCH(J311,FlowCalNumber,0),1,1), (INDEX(FlowCalConstA,MATCH(J311,FlowCalNumber,0),1,1)*L323^INDEX(FlowCalConstB,MATCH(J311,FlowCalNumber,0),1,1)&lt;INDEX(FlowCalHighSetting,MATCH(J311,FlowCalNumber,0),1,1))),INDEX(FlowCalConstA,MATCH(J311,FlowCalNumber,0),1,1)*L323^INDEX(FlowCalConstB,MATCH(J311,FlowCalNumber,0),1,1)," ")</f>
        <v>#REF!</v>
      </c>
      <c r="N323" s="33"/>
      <c r="O323" s="242">
        <f t="shared" si="148"/>
        <v>1</v>
      </c>
      <c r="P323" s="241" t="e">
        <f t="shared" ca="1" si="149"/>
        <v>#REF!</v>
      </c>
      <c r="Q323" s="243" t="e">
        <f ca="1">IF(AND(INDEX(FlowCalConstA,MATCH(N311,FlowCalNumber,0),1,1)*P323^INDEX(FlowCalConstB,MATCH(N311,FlowCalNumber,0),1,1)&gt;INDEX(FlowCalLowSetting,MATCH(N311,FlowCalNumber,0),1,1), (INDEX(FlowCalConstA,MATCH(N311,FlowCalNumber,0),1,1)*P323^INDEX(FlowCalConstB,MATCH(N311,FlowCalNumber,0),1,1)&lt;INDEX(FlowCalHighSetting,MATCH(N311,FlowCalNumber,0),1,1))),INDEX(FlowCalConstA,MATCH(N311,FlowCalNumber,0),1,1)*P323^INDEX(FlowCalConstB,MATCH(N311,FlowCalNumber,0),1,1)," ")</f>
        <v>#REF!</v>
      </c>
      <c r="R323" s="33"/>
      <c r="S323" s="242">
        <f t="shared" si="150"/>
        <v>1</v>
      </c>
      <c r="T323" s="241" t="e">
        <f t="shared" ca="1" si="151"/>
        <v>#REF!</v>
      </c>
      <c r="U323" s="243" t="e">
        <f ca="1">IF(AND(INDEX(FlowCalConstA,MATCH(R311,FlowCalNumber,0),1,1)*T323^INDEX(FlowCalConstB,MATCH(R311,FlowCalNumber,0),1,1)&gt;INDEX(FlowCalLowSetting,MATCH(R311,FlowCalNumber,0),1,1), (INDEX(FlowCalConstA,MATCH(R311,FlowCalNumber,0),1,1)*T323^INDEX(FlowCalConstB,MATCH(R311,FlowCalNumber,0),1,1)&lt;INDEX(FlowCalHighSetting,MATCH(R311,FlowCalNumber,0),1,1))),INDEX(FlowCalConstA,MATCH(R311,FlowCalNumber,0),1,1)*T323^INDEX(FlowCalConstB,MATCH(R311,FlowCalNumber,0),1,1)," ")</f>
        <v>#REF!</v>
      </c>
      <c r="V323" s="33"/>
      <c r="W323" s="242"/>
      <c r="X323" s="241"/>
      <c r="Y323" s="243"/>
      <c r="Z323" s="33"/>
      <c r="AA323" s="242"/>
      <c r="AB323" s="241"/>
      <c r="AC323" s="243"/>
      <c r="AD323" s="33"/>
      <c r="AE323" s="242"/>
      <c r="AF323" s="241"/>
      <c r="AG323" s="243"/>
      <c r="AH323" s="33"/>
      <c r="AI323" s="242"/>
      <c r="AJ323" s="241"/>
      <c r="AK323" s="244"/>
      <c r="AL323" s="243"/>
      <c r="AM323" s="243"/>
      <c r="AN323" s="243"/>
      <c r="AO323" s="243"/>
      <c r="AP323" s="243"/>
      <c r="AQ323" s="243"/>
      <c r="AR323" s="243"/>
      <c r="AS323" s="243"/>
      <c r="AT323" s="243"/>
      <c r="AU323" s="243"/>
      <c r="AV323" s="243"/>
      <c r="AW323" s="243"/>
      <c r="AX323" s="243"/>
      <c r="AY323" s="243"/>
      <c r="AZ323" s="243"/>
      <c r="BA323" s="243"/>
      <c r="BB323" s="243"/>
      <c r="BC323" s="243"/>
      <c r="BD323" s="243"/>
      <c r="BE323" s="243"/>
      <c r="BF323" s="243"/>
      <c r="BG323" s="243"/>
      <c r="BH323" s="243"/>
      <c r="BI323" s="243"/>
      <c r="BJ323" s="243"/>
      <c r="BK323" s="243"/>
      <c r="BL323" s="243"/>
      <c r="BM323" s="243"/>
      <c r="BN323" s="243"/>
      <c r="BO323" s="243"/>
      <c r="BP323" s="243"/>
      <c r="BQ323" s="243"/>
      <c r="BR323" s="243"/>
      <c r="BS323" s="243"/>
      <c r="BU323" s="242"/>
      <c r="BW323" s="243"/>
      <c r="BY323" s="242"/>
      <c r="CA323" s="243"/>
      <c r="CC323" s="242"/>
      <c r="CE323" s="243"/>
      <c r="CG323" s="242"/>
      <c r="CI323" s="243"/>
    </row>
    <row r="324" spans="1:87" s="1215" customFormat="1">
      <c r="A324" s="1222"/>
      <c r="B324" s="1223" t="str">
        <f t="shared" si="144"/>
        <v/>
      </c>
      <c r="C324" s="1210"/>
      <c r="D324" s="1211">
        <f>'1% Wind'!$M$94</f>
        <v>1.8</v>
      </c>
      <c r="E324" s="1212"/>
      <c r="F324" s="1212"/>
      <c r="G324" s="1213" t="e">
        <f ca="1">IF(I311=0.9743,$G323,MAX(G323/D323*D324,2))</f>
        <v>#REF!</v>
      </c>
      <c r="H324" s="1214" t="e">
        <f t="shared" ca="1" si="145"/>
        <v>#REF!</v>
      </c>
      <c r="J324" s="1224"/>
      <c r="K324" s="1217">
        <f t="shared" si="146"/>
        <v>1</v>
      </c>
      <c r="L324" s="1218" t="e">
        <f t="shared" ca="1" si="147"/>
        <v>#REF!</v>
      </c>
      <c r="M324" s="1219" t="e">
        <f ca="1">IF(AND(INDEX(FlowCalConstA,MATCH(J311,FlowCalNumber,0),1,1)*L324^INDEX(FlowCalConstB,MATCH(J311,FlowCalNumber,0),1,1)&gt;INDEX(FlowCalLowSetting,MATCH(J311,FlowCalNumber,0),1,1), (INDEX(FlowCalConstA,MATCH(J311,FlowCalNumber,0),1,1)*L324^INDEX(FlowCalConstB,MATCH(J311,FlowCalNumber,0),1,1)&lt;INDEX(FlowCalHighSetting,MATCH(J311,FlowCalNumber,0),1,1))),INDEX(FlowCalConstA,MATCH(J311,FlowCalNumber,0),1,1)*L324^INDEX(FlowCalConstB,MATCH(J311,FlowCalNumber,0),1,1)," ")</f>
        <v>#REF!</v>
      </c>
      <c r="N324" s="1224"/>
      <c r="O324" s="1217">
        <f t="shared" si="148"/>
        <v>1</v>
      </c>
      <c r="P324" s="1218" t="e">
        <f t="shared" ca="1" si="149"/>
        <v>#REF!</v>
      </c>
      <c r="Q324" s="1219" t="e">
        <f ca="1">IF(AND(INDEX(FlowCalConstA,MATCH(N311,FlowCalNumber,0),1,1)*P324^INDEX(FlowCalConstB,MATCH(N311,FlowCalNumber,0),1,1)&gt;INDEX(FlowCalLowSetting,MATCH(N311,FlowCalNumber,0),1,1), (INDEX(FlowCalConstA,MATCH(N311,FlowCalNumber,0),1,1)*P324^INDEX(FlowCalConstB,MATCH(N311,FlowCalNumber,0),1,1)&lt;INDEX(FlowCalHighSetting,MATCH(N311,FlowCalNumber,0),1,1))),INDEX(FlowCalConstA,MATCH(N311,FlowCalNumber,0),1,1)*P324^INDEX(FlowCalConstB,MATCH(N311,FlowCalNumber,0),1,1)," ")</f>
        <v>#REF!</v>
      </c>
      <c r="R324" s="1224"/>
      <c r="S324" s="1217">
        <f t="shared" si="150"/>
        <v>1</v>
      </c>
      <c r="T324" s="1218" t="e">
        <f t="shared" ca="1" si="151"/>
        <v>#REF!</v>
      </c>
      <c r="U324" s="1219" t="e">
        <f ca="1">IF(AND(INDEX(FlowCalConstA,MATCH(R311,FlowCalNumber,0),1,1)*T324^INDEX(FlowCalConstB,MATCH(R311,FlowCalNumber,0),1,1)&gt;INDEX(FlowCalLowSetting,MATCH(R311,FlowCalNumber,0),1,1), (INDEX(FlowCalConstA,MATCH(R311,FlowCalNumber,0),1,1)*T324^INDEX(FlowCalConstB,MATCH(R311,FlowCalNumber,0),1,1)&lt;INDEX(FlowCalHighSetting,MATCH(R311,FlowCalNumber,0),1,1))),INDEX(FlowCalConstA,MATCH(R311,FlowCalNumber,0),1,1)*T324^INDEX(FlowCalConstB,MATCH(R311,FlowCalNumber,0),1,1)," ")</f>
        <v>#REF!</v>
      </c>
      <c r="V324" s="1224"/>
      <c r="W324" s="1217"/>
      <c r="X324" s="1218"/>
      <c r="Y324" s="1219"/>
      <c r="Z324" s="1224"/>
      <c r="AA324" s="1217"/>
      <c r="AB324" s="1218"/>
      <c r="AC324" s="1219"/>
      <c r="AD324" s="1224"/>
      <c r="AE324" s="1217"/>
      <c r="AF324" s="1218"/>
      <c r="AG324" s="1219"/>
      <c r="AH324" s="1224"/>
      <c r="AI324" s="1217"/>
      <c r="AJ324" s="1218"/>
      <c r="AK324" s="1220"/>
      <c r="AL324" s="1219"/>
      <c r="AM324" s="1219"/>
      <c r="AN324" s="1219"/>
      <c r="AO324" s="1219"/>
      <c r="AP324" s="1219"/>
      <c r="AQ324" s="1219"/>
      <c r="AR324" s="1219"/>
      <c r="AS324" s="1219"/>
      <c r="AT324" s="1219"/>
      <c r="AU324" s="1219"/>
      <c r="AV324" s="1219"/>
      <c r="AW324" s="1219"/>
      <c r="AX324" s="1219"/>
      <c r="AY324" s="1219"/>
      <c r="AZ324" s="1219"/>
      <c r="BA324" s="1219"/>
      <c r="BB324" s="1219"/>
      <c r="BC324" s="1219"/>
      <c r="BD324" s="1219"/>
      <c r="BE324" s="1219"/>
      <c r="BF324" s="1219"/>
      <c r="BG324" s="1219"/>
      <c r="BH324" s="1219"/>
      <c r="BI324" s="1219"/>
      <c r="BJ324" s="1219"/>
      <c r="BK324" s="1219"/>
      <c r="BL324" s="1219"/>
      <c r="BM324" s="1219"/>
      <c r="BN324" s="1219"/>
      <c r="BO324" s="1219"/>
      <c r="BP324" s="1219"/>
      <c r="BQ324" s="1219"/>
      <c r="BR324" s="1219"/>
      <c r="BS324" s="1219"/>
      <c r="BU324" s="1217"/>
      <c r="BW324" s="1219"/>
      <c r="BY324" s="1217"/>
      <c r="CA324" s="1219"/>
      <c r="CC324" s="1217"/>
      <c r="CE324" s="1219"/>
      <c r="CG324" s="1217"/>
      <c r="CI324" s="1219"/>
    </row>
    <row r="325" spans="1:87">
      <c r="A325" s="20"/>
      <c r="B325" s="124" t="str">
        <f t="shared" si="144"/>
        <v/>
      </c>
      <c r="C325" s="235"/>
      <c r="D325" s="24">
        <f>'1% Wind'!$M$95</f>
        <v>1.3</v>
      </c>
      <c r="E325" s="90"/>
      <c r="F325" s="90"/>
      <c r="G325" s="79" t="e">
        <f ca="1">IF(I311=0.9743,$G324,MAX(G324/D324*D325,2))</f>
        <v>#REF!</v>
      </c>
      <c r="H325" s="121" t="e">
        <f t="shared" ca="1" si="145"/>
        <v>#REF!</v>
      </c>
      <c r="J325" s="33"/>
      <c r="K325" s="242">
        <f t="shared" si="146"/>
        <v>1</v>
      </c>
      <c r="L325" s="241" t="e">
        <f t="shared" ca="1" si="147"/>
        <v>#REF!</v>
      </c>
      <c r="M325" s="243" t="e">
        <f ca="1">IF(AND(INDEX(FlowCalConstA,MATCH(J311,FlowCalNumber,0),1,1)*L325^INDEX(FlowCalConstB,MATCH(J311,FlowCalNumber,0),1,1)&gt;INDEX(FlowCalLowSetting,MATCH(J311,FlowCalNumber,0),1,1), (INDEX(FlowCalConstA,MATCH(J311,FlowCalNumber,0),1,1)*L325^INDEX(FlowCalConstB,MATCH(J311,FlowCalNumber,0),1,1)&lt;INDEX(FlowCalHighSetting,MATCH(J311,FlowCalNumber,0),1,1))),INDEX(FlowCalConstA,MATCH(J311,FlowCalNumber,0),1,1)*L325^INDEX(FlowCalConstB,MATCH(J311,FlowCalNumber,0),1,1)," ")</f>
        <v>#REF!</v>
      </c>
      <c r="N325" s="33"/>
      <c r="O325" s="242">
        <f t="shared" si="148"/>
        <v>1</v>
      </c>
      <c r="P325" s="241" t="e">
        <f t="shared" ca="1" si="149"/>
        <v>#REF!</v>
      </c>
      <c r="Q325" s="243" t="e">
        <f ca="1">IF(AND(INDEX(FlowCalConstA,MATCH(N311,FlowCalNumber,0),1,1)*P325^INDEX(FlowCalConstB,MATCH(N311,FlowCalNumber,0),1,1)&gt;INDEX(FlowCalLowSetting,MATCH(N311,FlowCalNumber,0),1,1), (INDEX(FlowCalConstA,MATCH(N311,FlowCalNumber,0),1,1)*P325^INDEX(FlowCalConstB,MATCH(N311,FlowCalNumber,0),1,1)&lt;INDEX(FlowCalHighSetting,MATCH(N311,FlowCalNumber,0),1,1))),INDEX(FlowCalConstA,MATCH(N311,FlowCalNumber,0),1,1)*P325^INDEX(FlowCalConstB,MATCH(N311,FlowCalNumber,0),1,1)," ")</f>
        <v>#REF!</v>
      </c>
      <c r="R325" s="33"/>
      <c r="S325" s="242">
        <f t="shared" si="150"/>
        <v>1</v>
      </c>
      <c r="T325" s="241" t="e">
        <f t="shared" ca="1" si="151"/>
        <v>#REF!</v>
      </c>
      <c r="U325" s="243" t="e">
        <f ca="1">IF(AND(INDEX(FlowCalConstA,MATCH(R311,FlowCalNumber,0),1,1)*T325^INDEX(FlowCalConstB,MATCH(R311,FlowCalNumber,0),1,1)&gt;INDEX(FlowCalLowSetting,MATCH(R311,FlowCalNumber,0),1,1), (INDEX(FlowCalConstA,MATCH(R311,FlowCalNumber,0),1,1)*T325^INDEX(FlowCalConstB,MATCH(R311,FlowCalNumber,0),1,1)&lt;INDEX(FlowCalHighSetting,MATCH(R311,FlowCalNumber,0),1,1))),INDEX(FlowCalConstA,MATCH(R311,FlowCalNumber,0),1,1)*T325^INDEX(FlowCalConstB,MATCH(R311,FlowCalNumber,0),1,1)," ")</f>
        <v>#REF!</v>
      </c>
      <c r="V325" s="33"/>
      <c r="W325" s="242"/>
      <c r="X325" s="241"/>
      <c r="Y325" s="243"/>
      <c r="Z325" s="33"/>
      <c r="AA325" s="242"/>
      <c r="AB325" s="241"/>
      <c r="AC325" s="243"/>
      <c r="AD325" s="33"/>
      <c r="AE325" s="242"/>
      <c r="AF325" s="241"/>
      <c r="AG325" s="243"/>
      <c r="AH325" s="33"/>
      <c r="AI325" s="242"/>
      <c r="AJ325" s="241"/>
      <c r="AK325" s="244"/>
      <c r="AL325" s="243"/>
      <c r="AM325" s="243"/>
      <c r="AN325" s="243"/>
      <c r="AO325" s="243"/>
      <c r="AP325" s="243"/>
      <c r="AQ325" s="243"/>
      <c r="AR325" s="243"/>
      <c r="AS325" s="243"/>
      <c r="AT325" s="243"/>
      <c r="AU325" s="243"/>
      <c r="AV325" s="243"/>
      <c r="AW325" s="243"/>
      <c r="AX325" s="243"/>
      <c r="AY325" s="243"/>
      <c r="AZ325" s="243"/>
      <c r="BA325" s="243"/>
      <c r="BB325" s="243"/>
      <c r="BC325" s="243"/>
      <c r="BD325" s="243"/>
      <c r="BE325" s="243"/>
      <c r="BF325" s="243"/>
      <c r="BG325" s="243"/>
      <c r="BH325" s="243"/>
      <c r="BI325" s="243"/>
      <c r="BJ325" s="243"/>
      <c r="BK325" s="243"/>
      <c r="BL325" s="243"/>
      <c r="BM325" s="243"/>
      <c r="BN325" s="243"/>
      <c r="BO325" s="243"/>
      <c r="BP325" s="243"/>
      <c r="BQ325" s="243"/>
      <c r="BR325" s="243"/>
      <c r="BS325" s="243"/>
      <c r="BU325" s="242"/>
      <c r="BW325" s="243"/>
      <c r="BY325" s="242"/>
      <c r="CA325" s="243"/>
      <c r="CC325" s="242"/>
      <c r="CE325" s="243"/>
      <c r="CG325" s="242"/>
      <c r="CI325" s="243"/>
    </row>
    <row r="326" spans="1:87" s="1215" customFormat="1">
      <c r="A326" s="1222"/>
      <c r="B326" s="1223" t="str">
        <f t="shared" si="144"/>
        <v/>
      </c>
      <c r="C326" s="1210"/>
      <c r="D326" s="1211">
        <f>'1% Wind'!$M$96</f>
        <v>1</v>
      </c>
      <c r="E326" s="1212"/>
      <c r="F326" s="1212"/>
      <c r="G326" s="1213" t="e">
        <f ca="1">IF(I311=0.9743,$G325,MAX(G325/D325*D326,2))</f>
        <v>#REF!</v>
      </c>
      <c r="H326" s="1214" t="e">
        <f t="shared" ca="1" si="145"/>
        <v>#REF!</v>
      </c>
      <c r="J326" s="1224"/>
      <c r="K326" s="1217">
        <f t="shared" si="146"/>
        <v>1</v>
      </c>
      <c r="L326" s="1218" t="e">
        <f t="shared" ca="1" si="147"/>
        <v>#REF!</v>
      </c>
      <c r="M326" s="1219" t="e">
        <f ca="1">IF(AND(INDEX(FlowCalConstA,MATCH(J311,FlowCalNumber,0),1,1)*L326^INDEX(FlowCalConstB,MATCH(J311,FlowCalNumber,0),1,1)&gt;INDEX(FlowCalLowSetting,MATCH(J311,FlowCalNumber,0),1,1), (INDEX(FlowCalConstA,MATCH(J311,FlowCalNumber,0),1,1)*L326^INDEX(FlowCalConstB,MATCH(J311,FlowCalNumber,0),1,1)&lt;INDEX(FlowCalHighSetting,MATCH(J311,FlowCalNumber,0),1,1))),INDEX(FlowCalConstA,MATCH(J311,FlowCalNumber,0),1,1)*L326^INDEX(FlowCalConstB,MATCH(J311,FlowCalNumber,0),1,1)," ")</f>
        <v>#REF!</v>
      </c>
      <c r="N326" s="1224"/>
      <c r="O326" s="1217">
        <f t="shared" si="148"/>
        <v>1</v>
      </c>
      <c r="P326" s="1218" t="e">
        <f t="shared" ca="1" si="149"/>
        <v>#REF!</v>
      </c>
      <c r="Q326" s="1219" t="e">
        <f ca="1">IF(AND(INDEX(FlowCalConstA,MATCH(N311,FlowCalNumber,0),1,1)*P326^INDEX(FlowCalConstB,MATCH(N311,FlowCalNumber,0),1,1)&gt;INDEX(FlowCalLowSetting,MATCH(N311,FlowCalNumber,0),1,1), (INDEX(FlowCalConstA,MATCH(N311,FlowCalNumber,0),1,1)*P326^INDEX(FlowCalConstB,MATCH(N311,FlowCalNumber,0),1,1)&lt;INDEX(FlowCalHighSetting,MATCH(N311,FlowCalNumber,0),1,1))),INDEX(FlowCalConstA,MATCH(N311,FlowCalNumber,0),1,1)*P326^INDEX(FlowCalConstB,MATCH(N311,FlowCalNumber,0),1,1)," ")</f>
        <v>#REF!</v>
      </c>
      <c r="R326" s="1224"/>
      <c r="S326" s="1217">
        <f t="shared" si="150"/>
        <v>1</v>
      </c>
      <c r="T326" s="1218" t="e">
        <f t="shared" ca="1" si="151"/>
        <v>#REF!</v>
      </c>
      <c r="U326" s="1219" t="e">
        <f ca="1">IF(AND(INDEX(FlowCalConstA,MATCH(R311,FlowCalNumber,0),1,1)*T326^INDEX(FlowCalConstB,MATCH(R311,FlowCalNumber,0),1,1)&gt;INDEX(FlowCalLowSetting,MATCH(R311,FlowCalNumber,0),1,1), (INDEX(FlowCalConstA,MATCH(R311,FlowCalNumber,0),1,1)*T326^INDEX(FlowCalConstB,MATCH(R311,FlowCalNumber,0),1,1)&lt;INDEX(FlowCalHighSetting,MATCH(R311,FlowCalNumber,0),1,1))),INDEX(FlowCalConstA,MATCH(R311,FlowCalNumber,0),1,1)*T326^INDEX(FlowCalConstB,MATCH(R311,FlowCalNumber,0),1,1)," ")</f>
        <v>#REF!</v>
      </c>
      <c r="V326" s="1224"/>
      <c r="W326" s="1217"/>
      <c r="X326" s="1218"/>
      <c r="Y326" s="1219"/>
      <c r="Z326" s="1224"/>
      <c r="AA326" s="1217"/>
      <c r="AB326" s="1218"/>
      <c r="AC326" s="1219"/>
      <c r="AD326" s="1224"/>
      <c r="AE326" s="1217"/>
      <c r="AF326" s="1218"/>
      <c r="AG326" s="1219"/>
      <c r="AH326" s="1224"/>
      <c r="AI326" s="1217"/>
      <c r="AJ326" s="1218"/>
      <c r="AK326" s="1220"/>
      <c r="AL326" s="1219"/>
      <c r="AM326" s="1219"/>
      <c r="AN326" s="1219"/>
      <c r="AO326" s="1219"/>
      <c r="AP326" s="1219"/>
      <c r="AQ326" s="1219"/>
      <c r="AR326" s="1219"/>
      <c r="AS326" s="1219"/>
      <c r="AT326" s="1219"/>
      <c r="AU326" s="1219"/>
      <c r="AV326" s="1219"/>
      <c r="AW326" s="1219"/>
      <c r="AX326" s="1219"/>
      <c r="AY326" s="1219"/>
      <c r="AZ326" s="1219"/>
      <c r="BA326" s="1219"/>
      <c r="BB326" s="1219"/>
      <c r="BC326" s="1219"/>
      <c r="BD326" s="1219"/>
      <c r="BE326" s="1219"/>
      <c r="BF326" s="1219"/>
      <c r="BG326" s="1219"/>
      <c r="BH326" s="1219"/>
      <c r="BI326" s="1219"/>
      <c r="BJ326" s="1219"/>
      <c r="BK326" s="1219"/>
      <c r="BL326" s="1219"/>
      <c r="BM326" s="1219"/>
      <c r="BN326" s="1219"/>
      <c r="BO326" s="1219"/>
      <c r="BP326" s="1219"/>
      <c r="BQ326" s="1219"/>
      <c r="BR326" s="1219"/>
      <c r="BS326" s="1219"/>
      <c r="BU326" s="1217"/>
      <c r="BW326" s="1219"/>
      <c r="BY326" s="1217"/>
      <c r="CA326" s="1219"/>
      <c r="CC326" s="1217"/>
      <c r="CE326" s="1219"/>
      <c r="CG326" s="1217"/>
      <c r="CI326" s="1219"/>
    </row>
    <row r="327" spans="1:87">
      <c r="A327" s="33"/>
      <c r="B327" s="33"/>
      <c r="C327" s="235"/>
      <c r="E327" s="90"/>
      <c r="F327" s="90"/>
      <c r="G327" s="33"/>
      <c r="J327" s="33"/>
      <c r="M327" s="243"/>
      <c r="N327" s="33"/>
      <c r="Q327" s="243"/>
      <c r="R327" s="33"/>
      <c r="U327" s="243"/>
      <c r="V327" s="33"/>
      <c r="Y327" s="243"/>
      <c r="Z327" s="33"/>
      <c r="AC327" s="243"/>
      <c r="AD327" s="33"/>
      <c r="AG327" s="243"/>
      <c r="AH327" s="33"/>
      <c r="AK327" s="244"/>
      <c r="AL327" s="243"/>
      <c r="AM327" s="243"/>
      <c r="AN327" s="243"/>
      <c r="AO327" s="243"/>
      <c r="AP327" s="243"/>
      <c r="AQ327" s="243"/>
      <c r="AR327" s="243"/>
      <c r="AS327" s="243"/>
      <c r="AT327" s="243"/>
      <c r="AU327" s="243"/>
      <c r="AV327" s="243"/>
      <c r="AW327" s="243"/>
      <c r="AX327" s="243"/>
      <c r="AY327" s="243"/>
      <c r="AZ327" s="243"/>
      <c r="BA327" s="243"/>
      <c r="BB327" s="243"/>
      <c r="BC327" s="243"/>
      <c r="BD327" s="243"/>
      <c r="BE327" s="243"/>
      <c r="BF327" s="243"/>
      <c r="BG327" s="243"/>
      <c r="BH327" s="243"/>
      <c r="BI327" s="243"/>
      <c r="BJ327" s="243"/>
      <c r="BK327" s="243"/>
      <c r="BL327" s="243"/>
      <c r="BM327" s="243"/>
      <c r="BN327" s="243"/>
      <c r="BO327" s="243"/>
      <c r="BP327" s="243"/>
      <c r="BQ327" s="243"/>
      <c r="BR327" s="243"/>
      <c r="BS327" s="243"/>
      <c r="BW327" s="243"/>
      <c r="CA327" s="243"/>
      <c r="CE327" s="243"/>
      <c r="CI327" s="243"/>
    </row>
    <row r="328" spans="1:87">
      <c r="A328" s="256" t="str">
        <f>IF((RIGHT(A311,1))&lt;&gt;"Z",CHAR(CODE(A311))&amp;CHAR(CODE(RIGHT(A311,1))+1),CHAR(CODE(A311)+1)&amp;"A")</f>
        <v>AS</v>
      </c>
      <c r="B328" s="270" t="e">
        <f>INDEX(SourceID,MATCH($A328,SourceNumber,0),1,1)</f>
        <v>#N/A</v>
      </c>
      <c r="C328" s="354" t="e">
        <f>INDEX(SourceExitDiameter,MATCH($A328,SourceNumber,0),1,1)*3.28*12</f>
        <v>#N/A</v>
      </c>
      <c r="D328" s="24" t="str">
        <f>UAnem1percent</f>
        <v>1% Wind</v>
      </c>
      <c r="E328" s="350" t="e">
        <f ca="1">INDIRECT(ADDRESS(53,6,1,,CONCATENATE("TA",$A328)))</f>
        <v>#REF!</v>
      </c>
      <c r="F328" s="625" t="e">
        <f ca="1">(ROUND((INDIRECT(ADDRESS(15,7,1,,CONCATENATE("TA",$A328)))*3.28*12*32),0)&amp;"/32")</f>
        <v>#REF!</v>
      </c>
      <c r="G328" s="125" t="e">
        <f ca="1">INDIRECT(ADDRESS(29,7,1,,$A328))</f>
        <v>#REF!</v>
      </c>
      <c r="H328" s="24" t="e">
        <f ca="1">INDIRECT(ADDRESS(19,7,1,,$A328))*100^3</f>
        <v>#REF!</v>
      </c>
      <c r="I328" s="941" t="e">
        <f ca="1">INDIRECT(ADDRESS(53,7,1,,$A328))</f>
        <v>#REF!</v>
      </c>
      <c r="J328" s="20" t="e">
        <f ca="1">IF($I328=$I$6,K$16&amp;$G$6&amp;J$6,IF($I328=$I$7,K$16&amp;$G$7&amp;J$7,"Bad"))</f>
        <v>#REF!</v>
      </c>
      <c r="K328" t="e">
        <f ca="1">INDEX(FlowCalGasMixture,MATCH(J328,FlowCalNumber,0),1,1)</f>
        <v>#REF!</v>
      </c>
      <c r="M328" s="944" t="e">
        <f ca="1">INDEX(FlowCalDevice,MATCH(J328,FlowCalNumber,0),1,1)</f>
        <v>#REF!</v>
      </c>
      <c r="N328" s="20" t="e">
        <f ca="1">IF($I328=$I$6,O$16&amp;$G$6&amp;N$6,IF($I328=$I$7,O$16&amp;$G$7&amp;N$7,"Bad"))</f>
        <v>#REF!</v>
      </c>
      <c r="O328" t="e">
        <f ca="1">INDEX(FlowCalGasMixture,MATCH(N328,FlowCalNumber,0),1,1)</f>
        <v>#REF!</v>
      </c>
      <c r="Q328" s="944" t="e">
        <f ca="1">INDEX(FlowCalDevice,MATCH(N328,FlowCalNumber,0),1,1)</f>
        <v>#REF!</v>
      </c>
      <c r="R328" s="20" t="e">
        <f ca="1">IF($I328=$I$6,S$16&amp;$G$6&amp;R$6,IF($I328=$I$7,S$16&amp;$G$7&amp;R$7,"Bad"))</f>
        <v>#REF!</v>
      </c>
      <c r="S328" t="e">
        <f ca="1">INDEX(FlowCalGasMixture,MATCH(R328,FlowCalNumber,0),1,1)</f>
        <v>#REF!</v>
      </c>
      <c r="U328" s="944" t="e">
        <f ca="1">INDEX(FlowCalDevice,MATCH(R328,FlowCalNumber,0),1,1)</f>
        <v>#REF!</v>
      </c>
      <c r="V328" s="20"/>
      <c r="Y328" s="944"/>
      <c r="Z328" s="946"/>
      <c r="AC328" s="944"/>
      <c r="AD328" s="20"/>
      <c r="AG328" s="944"/>
      <c r="AH328" s="946"/>
      <c r="AK328" s="982"/>
      <c r="AL328" s="355"/>
      <c r="AM328" s="355"/>
      <c r="AN328" s="355"/>
      <c r="AO328" s="355"/>
      <c r="AP328" s="355"/>
      <c r="AQ328" s="355"/>
      <c r="AR328" s="355"/>
      <c r="AS328" s="355"/>
      <c r="AT328" s="355"/>
      <c r="AU328" s="355"/>
      <c r="AV328" s="355"/>
      <c r="AW328" s="355"/>
      <c r="AX328" s="355"/>
      <c r="AY328" s="355"/>
      <c r="AZ328" s="355"/>
      <c r="BA328" s="355"/>
      <c r="BB328" s="355"/>
      <c r="BC328" s="355"/>
      <c r="BD328" s="355"/>
      <c r="BE328" s="355"/>
      <c r="BF328" s="355"/>
      <c r="BG328" s="355"/>
      <c r="BH328" s="355"/>
      <c r="BI328" s="355"/>
      <c r="BJ328" s="355"/>
      <c r="BK328" s="355"/>
      <c r="BL328" s="355"/>
      <c r="BM328" s="355"/>
      <c r="BN328" s="355"/>
      <c r="BO328" s="355"/>
      <c r="BP328" s="355"/>
      <c r="BQ328" s="355"/>
      <c r="BR328" s="355"/>
      <c r="BS328" s="355"/>
      <c r="BT328" s="46"/>
      <c r="BU328" s="16"/>
      <c r="BW328" s="355"/>
      <c r="BX328" s="42"/>
      <c r="BY328" s="16"/>
      <c r="CA328" s="355"/>
      <c r="CB328" s="42"/>
      <c r="CC328" s="16"/>
      <c r="CE328" s="355"/>
      <c r="CF328" s="42"/>
      <c r="CG328" s="16"/>
      <c r="CI328" s="355"/>
    </row>
    <row r="329" spans="1:87" s="1215" customFormat="1">
      <c r="A329" s="1222"/>
      <c r="B329" s="1223" t="str">
        <f t="shared" ref="B329:B343" si="152">IF(D329=UAnem1percent,"1% Wind","")</f>
        <v/>
      </c>
      <c r="C329" s="1210"/>
      <c r="D329" s="1211">
        <f>'1% Wind'!$M$82</f>
        <v>27</v>
      </c>
      <c r="E329" s="1212"/>
      <c r="F329" s="1212"/>
      <c r="G329" s="1364">
        <v>2</v>
      </c>
      <c r="H329" s="1214" t="e">
        <f t="shared" ref="H329:H343" ca="1" si="153">H328*(D328/D329)*(G329/G328)</f>
        <v>#REF!</v>
      </c>
      <c r="J329" s="1224"/>
      <c r="K329" s="1221">
        <f>K$17/100</f>
        <v>1</v>
      </c>
      <c r="L329" s="1218" t="e">
        <f ca="1">K329*$H329</f>
        <v>#REF!</v>
      </c>
      <c r="M329" s="1219" t="e">
        <f ca="1">IF(AND(INDEX(FlowCalConstA,MATCH(J328,FlowCalNumber,0),1,1)*L329^INDEX(FlowCalConstB,MATCH(J328,FlowCalNumber,0),1,1)&gt;INDEX(FlowCalLowSetting,MATCH(J328,FlowCalNumber,0),1,1), (INDEX(FlowCalConstA,MATCH(J328,FlowCalNumber,0),1,1)*L329^INDEX(FlowCalConstB,MATCH(J328,FlowCalNumber,0),1,1)&lt;INDEX(FlowCalHighSetting,MATCH(J328,FlowCalNumber,0),1,1))),INDEX(FlowCalConstA,MATCH(J328,FlowCalNumber,0),1,1)*L329^INDEX(FlowCalConstB,MATCH(J328,FlowCalNumber,0),1,1)," ")</f>
        <v>#REF!</v>
      </c>
      <c r="N329" s="1224"/>
      <c r="O329" s="1221">
        <f>O$17/100</f>
        <v>1</v>
      </c>
      <c r="P329" s="1218" t="e">
        <f ca="1">O329*$H329</f>
        <v>#REF!</v>
      </c>
      <c r="Q329" s="1219" t="e">
        <f ca="1">IF(AND(INDEX(FlowCalConstA,MATCH(N328,FlowCalNumber,0),1,1)*P329^INDEX(FlowCalConstB,MATCH(N328,FlowCalNumber,0),1,1)&gt;INDEX(FlowCalLowSetting,MATCH(N328,FlowCalNumber,0),1,1), (INDEX(FlowCalConstA,MATCH(N328,FlowCalNumber,0),1,1)*P329^INDEX(FlowCalConstB,MATCH(N328,FlowCalNumber,0),1,1)&lt;INDEX(FlowCalHighSetting,MATCH(N328,FlowCalNumber,0),1,1))),INDEX(FlowCalConstA,MATCH(N328,FlowCalNumber,0),1,1)*P329^INDEX(FlowCalConstB,MATCH(N328,FlowCalNumber,0),1,1)," ")</f>
        <v>#REF!</v>
      </c>
      <c r="R329" s="1224"/>
      <c r="S329" s="1221">
        <f>S$17/100</f>
        <v>1</v>
      </c>
      <c r="T329" s="1218" t="e">
        <f ca="1">S329*$H329</f>
        <v>#REF!</v>
      </c>
      <c r="U329" s="1219" t="e">
        <f ca="1">IF(AND(INDEX(FlowCalConstA,MATCH(R328,FlowCalNumber,0),1,1)*T329^INDEX(FlowCalConstB,MATCH(R328,FlowCalNumber,0),1,1)&gt;INDEX(FlowCalLowSetting,MATCH(R328,FlowCalNumber,0),1,1), (INDEX(FlowCalConstA,MATCH(R328,FlowCalNumber,0),1,1)*T329^INDEX(FlowCalConstB,MATCH(R328,FlowCalNumber,0),1,1)&lt;INDEX(FlowCalHighSetting,MATCH(R328,FlowCalNumber,0),1,1))),INDEX(FlowCalConstA,MATCH(R328,FlowCalNumber,0),1,1)*T329^INDEX(FlowCalConstB,MATCH(R328,FlowCalNumber,0),1,1)," ")</f>
        <v>#REF!</v>
      </c>
      <c r="V329" s="1224"/>
      <c r="W329" s="1221"/>
      <c r="X329" s="1218"/>
      <c r="Y329" s="1219"/>
      <c r="Z329" s="1224"/>
      <c r="AA329" s="1221"/>
      <c r="AB329" s="1218"/>
      <c r="AC329" s="1219"/>
      <c r="AD329" s="1224"/>
      <c r="AE329" s="1221"/>
      <c r="AF329" s="1218"/>
      <c r="AG329" s="1219"/>
      <c r="AH329" s="1224"/>
      <c r="AI329" s="1221"/>
      <c r="AJ329" s="1218"/>
      <c r="AK329" s="1220"/>
      <c r="AL329" s="1219"/>
      <c r="AM329" s="1219"/>
      <c r="AN329" s="1219"/>
      <c r="AO329" s="1219"/>
      <c r="AP329" s="1219"/>
      <c r="AQ329" s="1219"/>
      <c r="AR329" s="1219"/>
      <c r="AS329" s="1219"/>
      <c r="AT329" s="1219"/>
      <c r="AU329" s="1219"/>
      <c r="AV329" s="1219"/>
      <c r="AW329" s="1219"/>
      <c r="AX329" s="1219"/>
      <c r="AY329" s="1219"/>
      <c r="AZ329" s="1219"/>
      <c r="BA329" s="1219"/>
      <c r="BB329" s="1219"/>
      <c r="BC329" s="1219"/>
      <c r="BD329" s="1219"/>
      <c r="BE329" s="1219"/>
      <c r="BF329" s="1219"/>
      <c r="BG329" s="1219"/>
      <c r="BH329" s="1219"/>
      <c r="BI329" s="1219"/>
      <c r="BJ329" s="1219"/>
      <c r="BK329" s="1219"/>
      <c r="BL329" s="1219"/>
      <c r="BM329" s="1219"/>
      <c r="BN329" s="1219"/>
      <c r="BO329" s="1219"/>
      <c r="BP329" s="1219"/>
      <c r="BQ329" s="1219"/>
      <c r="BR329" s="1219"/>
      <c r="BS329" s="1219"/>
      <c r="BU329" s="1225"/>
      <c r="BW329" s="1219"/>
      <c r="BY329" s="1225"/>
      <c r="CA329" s="1219"/>
      <c r="CC329" s="1225"/>
      <c r="CE329" s="1219"/>
      <c r="CG329" s="1221"/>
      <c r="CI329" s="1219"/>
    </row>
    <row r="330" spans="1:87">
      <c r="A330" s="20"/>
      <c r="B330" s="124" t="str">
        <f t="shared" si="152"/>
        <v/>
      </c>
      <c r="C330" s="235"/>
      <c r="D330" s="24">
        <f>'1% Wind'!$M$83</f>
        <v>23.5</v>
      </c>
      <c r="E330" s="90"/>
      <c r="F330" s="90"/>
      <c r="G330" s="79" t="e">
        <f ca="1">IF(I328=0.9743,$G329,MAX(G329/D329*D330,2))</f>
        <v>#REF!</v>
      </c>
      <c r="H330" s="121" t="e">
        <f t="shared" ca="1" si="153"/>
        <v>#REF!</v>
      </c>
      <c r="J330" s="33"/>
      <c r="K330" s="242">
        <f t="shared" ref="K330:K343" si="154">K329</f>
        <v>1</v>
      </c>
      <c r="L330" s="241" t="e">
        <f t="shared" ref="L330:L343" ca="1" si="155">K330*$H330</f>
        <v>#REF!</v>
      </c>
      <c r="M330" s="243" t="e">
        <f ca="1">IF(AND(INDEX(FlowCalConstA,MATCH(J328,FlowCalNumber,0),1,1)*L330^INDEX(FlowCalConstB,MATCH(J328,FlowCalNumber,0),1,1)&gt;INDEX(FlowCalLowSetting,MATCH(J328,FlowCalNumber,0),1,1), (INDEX(FlowCalConstA,MATCH(J328,FlowCalNumber,0),1,1)*L330^INDEX(FlowCalConstB,MATCH(J328,FlowCalNumber,0),1,1)&lt;INDEX(FlowCalHighSetting,MATCH(J328,FlowCalNumber,0),1,1))),INDEX(FlowCalConstA,MATCH(J328,FlowCalNumber,0),1,1)*L330^INDEX(FlowCalConstB,MATCH(J328,FlowCalNumber,0),1,1)," ")</f>
        <v>#REF!</v>
      </c>
      <c r="N330" s="33"/>
      <c r="O330" s="242">
        <f t="shared" ref="O330:O343" si="156">O329</f>
        <v>1</v>
      </c>
      <c r="P330" s="241" t="e">
        <f t="shared" ref="P330:P343" ca="1" si="157">O330*$H330</f>
        <v>#REF!</v>
      </c>
      <c r="Q330" s="243" t="e">
        <f ca="1">IF(AND(INDEX(FlowCalConstA,MATCH(N328,FlowCalNumber,0),1,1)*P330^INDEX(FlowCalConstB,MATCH(N328,FlowCalNumber,0),1,1)&gt;INDEX(FlowCalLowSetting,MATCH(N328,FlowCalNumber,0),1,1), (INDEX(FlowCalConstA,MATCH(N328,FlowCalNumber,0),1,1)*P330^INDEX(FlowCalConstB,MATCH(N328,FlowCalNumber,0),1,1)&lt;INDEX(FlowCalHighSetting,MATCH(N328,FlowCalNumber,0),1,1))),INDEX(FlowCalConstA,MATCH(N328,FlowCalNumber,0),1,1)*P330^INDEX(FlowCalConstB,MATCH(N328,FlowCalNumber,0),1,1)," ")</f>
        <v>#REF!</v>
      </c>
      <c r="R330" s="33"/>
      <c r="S330" s="242">
        <f t="shared" ref="S330:S343" si="158">S329</f>
        <v>1</v>
      </c>
      <c r="T330" s="241" t="e">
        <f t="shared" ref="T330:T343" ca="1" si="159">S330*$H330</f>
        <v>#REF!</v>
      </c>
      <c r="U330" s="243" t="e">
        <f ca="1">IF(AND(INDEX(FlowCalConstA,MATCH(R328,FlowCalNumber,0),1,1)*T330^INDEX(FlowCalConstB,MATCH(R328,FlowCalNumber,0),1,1)&gt;INDEX(FlowCalLowSetting,MATCH(R328,FlowCalNumber,0),1,1), (INDEX(FlowCalConstA,MATCH(R328,FlowCalNumber,0),1,1)*T330^INDEX(FlowCalConstB,MATCH(R328,FlowCalNumber,0),1,1)&lt;INDEX(FlowCalHighSetting,MATCH(R328,FlowCalNumber,0),1,1))),INDEX(FlowCalConstA,MATCH(R328,FlowCalNumber,0),1,1)*T330^INDEX(FlowCalConstB,MATCH(R328,FlowCalNumber,0),1,1)," ")</f>
        <v>#REF!</v>
      </c>
      <c r="V330" s="33"/>
      <c r="W330" s="242"/>
      <c r="X330" s="241"/>
      <c r="Y330" s="243"/>
      <c r="Z330" s="33"/>
      <c r="AA330" s="242"/>
      <c r="AB330" s="241"/>
      <c r="AC330" s="243"/>
      <c r="AD330" s="33"/>
      <c r="AE330" s="242"/>
      <c r="AF330" s="241"/>
      <c r="AG330" s="243"/>
      <c r="AH330" s="33"/>
      <c r="AI330" s="242"/>
      <c r="AJ330" s="241"/>
      <c r="AK330" s="244"/>
      <c r="AL330" s="243"/>
      <c r="AM330" s="243"/>
      <c r="AN330" s="243"/>
      <c r="AO330" s="243"/>
      <c r="AP330" s="243"/>
      <c r="AQ330" s="243"/>
      <c r="AR330" s="243"/>
      <c r="AS330" s="243"/>
      <c r="AT330" s="243"/>
      <c r="AU330" s="243"/>
      <c r="AV330" s="243"/>
      <c r="AW330" s="243"/>
      <c r="AX330" s="243"/>
      <c r="AY330" s="243"/>
      <c r="AZ330" s="243"/>
      <c r="BA330" s="243"/>
      <c r="BB330" s="243"/>
      <c r="BC330" s="243"/>
      <c r="BD330" s="243"/>
      <c r="BE330" s="243"/>
      <c r="BF330" s="243"/>
      <c r="BG330" s="243"/>
      <c r="BH330" s="243"/>
      <c r="BI330" s="243"/>
      <c r="BJ330" s="243"/>
      <c r="BK330" s="243"/>
      <c r="BL330" s="243"/>
      <c r="BM330" s="243"/>
      <c r="BN330" s="243"/>
      <c r="BO330" s="243"/>
      <c r="BP330" s="243"/>
      <c r="BQ330" s="243"/>
      <c r="BR330" s="243"/>
      <c r="BS330" s="243"/>
      <c r="BU330" s="242"/>
      <c r="BW330" s="243"/>
      <c r="BY330" s="242"/>
      <c r="CA330" s="243"/>
      <c r="CC330" s="242"/>
      <c r="CE330" s="243"/>
      <c r="CG330" s="242"/>
      <c r="CI330" s="243"/>
    </row>
    <row r="331" spans="1:87" s="1215" customFormat="1">
      <c r="A331" s="1222"/>
      <c r="B331" s="1223" t="str">
        <f t="shared" si="152"/>
        <v/>
      </c>
      <c r="C331" s="1210"/>
      <c r="D331" s="1211">
        <f>'1% Wind'!$M$84</f>
        <v>20.5</v>
      </c>
      <c r="E331" s="1212"/>
      <c r="F331" s="1212"/>
      <c r="G331" s="1213" t="e">
        <f ca="1">IF(I328=0.9743,$G330,MAX(G330/D330*D331,2))</f>
        <v>#REF!</v>
      </c>
      <c r="H331" s="1214" t="e">
        <f t="shared" ca="1" si="153"/>
        <v>#REF!</v>
      </c>
      <c r="J331" s="1224"/>
      <c r="K331" s="1217">
        <f t="shared" si="154"/>
        <v>1</v>
      </c>
      <c r="L331" s="1218" t="e">
        <f t="shared" ca="1" si="155"/>
        <v>#REF!</v>
      </c>
      <c r="M331" s="1219" t="e">
        <f ca="1">IF(AND(INDEX(FlowCalConstA,MATCH(J328,FlowCalNumber,0),1,1)*L331^INDEX(FlowCalConstB,MATCH(J328,FlowCalNumber,0),1,1)&gt;INDEX(FlowCalLowSetting,MATCH(J328,FlowCalNumber,0),1,1), (INDEX(FlowCalConstA,MATCH(J328,FlowCalNumber,0),1,1)*L331^INDEX(FlowCalConstB,MATCH(J328,FlowCalNumber,0),1,1)&lt;INDEX(FlowCalHighSetting,MATCH(J328,FlowCalNumber,0),1,1))),INDEX(FlowCalConstA,MATCH(J328,FlowCalNumber,0),1,1)*L331^INDEX(FlowCalConstB,MATCH(J328,FlowCalNumber,0),1,1)," ")</f>
        <v>#REF!</v>
      </c>
      <c r="N331" s="1224"/>
      <c r="O331" s="1217">
        <f t="shared" si="156"/>
        <v>1</v>
      </c>
      <c r="P331" s="1218" t="e">
        <f t="shared" ca="1" si="157"/>
        <v>#REF!</v>
      </c>
      <c r="Q331" s="1219" t="e">
        <f ca="1">IF(AND(INDEX(FlowCalConstA,MATCH(N328,FlowCalNumber,0),1,1)*P331^INDEX(FlowCalConstB,MATCH(N328,FlowCalNumber,0),1,1)&gt;INDEX(FlowCalLowSetting,MATCH(N328,FlowCalNumber,0),1,1), (INDEX(FlowCalConstA,MATCH(N328,FlowCalNumber,0),1,1)*P331^INDEX(FlowCalConstB,MATCH(N328,FlowCalNumber,0),1,1)&lt;INDEX(FlowCalHighSetting,MATCH(N328,FlowCalNumber,0),1,1))),INDEX(FlowCalConstA,MATCH(N328,FlowCalNumber,0),1,1)*P331^INDEX(FlowCalConstB,MATCH(N328,FlowCalNumber,0),1,1)," ")</f>
        <v>#REF!</v>
      </c>
      <c r="R331" s="1224"/>
      <c r="S331" s="1217">
        <f t="shared" si="158"/>
        <v>1</v>
      </c>
      <c r="T331" s="1218" t="e">
        <f t="shared" ca="1" si="159"/>
        <v>#REF!</v>
      </c>
      <c r="U331" s="1219" t="e">
        <f ca="1">IF(AND(INDEX(FlowCalConstA,MATCH(R328,FlowCalNumber,0),1,1)*T331^INDEX(FlowCalConstB,MATCH(R328,FlowCalNumber,0),1,1)&gt;INDEX(FlowCalLowSetting,MATCH(R328,FlowCalNumber,0),1,1), (INDEX(FlowCalConstA,MATCH(R328,FlowCalNumber,0),1,1)*T331^INDEX(FlowCalConstB,MATCH(R328,FlowCalNumber,0),1,1)&lt;INDEX(FlowCalHighSetting,MATCH(R328,FlowCalNumber,0),1,1))),INDEX(FlowCalConstA,MATCH(R328,FlowCalNumber,0),1,1)*T331^INDEX(FlowCalConstB,MATCH(R328,FlowCalNumber,0),1,1)," ")</f>
        <v>#REF!</v>
      </c>
      <c r="V331" s="1224"/>
      <c r="W331" s="1217"/>
      <c r="X331" s="1218"/>
      <c r="Y331" s="1219"/>
      <c r="Z331" s="1224"/>
      <c r="AA331" s="1217"/>
      <c r="AB331" s="1218"/>
      <c r="AC331" s="1219"/>
      <c r="AD331" s="1224"/>
      <c r="AE331" s="1217"/>
      <c r="AF331" s="1218"/>
      <c r="AG331" s="1219"/>
      <c r="AH331" s="1224"/>
      <c r="AI331" s="1217"/>
      <c r="AJ331" s="1218"/>
      <c r="AK331" s="1220"/>
      <c r="AL331" s="1219"/>
      <c r="AM331" s="1219"/>
      <c r="AN331" s="1219"/>
      <c r="AO331" s="1219"/>
      <c r="AP331" s="1219"/>
      <c r="AQ331" s="1219"/>
      <c r="AR331" s="1219"/>
      <c r="AS331" s="1219"/>
      <c r="AT331" s="1219"/>
      <c r="AU331" s="1219"/>
      <c r="AV331" s="1219"/>
      <c r="AW331" s="1219"/>
      <c r="AX331" s="1219"/>
      <c r="AY331" s="1219"/>
      <c r="AZ331" s="1219"/>
      <c r="BA331" s="1219"/>
      <c r="BB331" s="1219"/>
      <c r="BC331" s="1219"/>
      <c r="BD331" s="1219"/>
      <c r="BE331" s="1219"/>
      <c r="BF331" s="1219"/>
      <c r="BG331" s="1219"/>
      <c r="BH331" s="1219"/>
      <c r="BI331" s="1219"/>
      <c r="BJ331" s="1219"/>
      <c r="BK331" s="1219"/>
      <c r="BL331" s="1219"/>
      <c r="BM331" s="1219"/>
      <c r="BN331" s="1219"/>
      <c r="BO331" s="1219"/>
      <c r="BP331" s="1219"/>
      <c r="BQ331" s="1219"/>
      <c r="BR331" s="1219"/>
      <c r="BS331" s="1219"/>
      <c r="BU331" s="1217"/>
      <c r="BW331" s="1219"/>
      <c r="BY331" s="1217"/>
      <c r="CA331" s="1219"/>
      <c r="CC331" s="1217"/>
      <c r="CE331" s="1219"/>
      <c r="CG331" s="1217"/>
      <c r="CI331" s="1219"/>
    </row>
    <row r="332" spans="1:87">
      <c r="A332" s="20"/>
      <c r="B332" s="124" t="str">
        <f t="shared" si="152"/>
        <v/>
      </c>
      <c r="C332" s="235"/>
      <c r="D332" s="24">
        <f>'1% Wind'!$M$85</f>
        <v>17.8</v>
      </c>
      <c r="E332" s="90"/>
      <c r="F332" s="90"/>
      <c r="G332" s="79" t="e">
        <f ca="1">IF(I328=0.9743,$G331,MAX(G331/D331*D332,2))</f>
        <v>#REF!</v>
      </c>
      <c r="H332" s="121" t="e">
        <f t="shared" ca="1" si="153"/>
        <v>#REF!</v>
      </c>
      <c r="J332" s="33"/>
      <c r="K332" s="242">
        <f t="shared" si="154"/>
        <v>1</v>
      </c>
      <c r="L332" s="241" t="e">
        <f t="shared" ca="1" si="155"/>
        <v>#REF!</v>
      </c>
      <c r="M332" s="243" t="e">
        <f ca="1">IF(AND(INDEX(FlowCalConstA,MATCH(J328,FlowCalNumber,0),1,1)*L332^INDEX(FlowCalConstB,MATCH(J328,FlowCalNumber,0),1,1)&gt;INDEX(FlowCalLowSetting,MATCH(J328,FlowCalNumber,0),1,1), (INDEX(FlowCalConstA,MATCH(J328,FlowCalNumber,0),1,1)*L332^INDEX(FlowCalConstB,MATCH(J328,FlowCalNumber,0),1,1)&lt;INDEX(FlowCalHighSetting,MATCH(J328,FlowCalNumber,0),1,1))),INDEX(FlowCalConstA,MATCH(J328,FlowCalNumber,0),1,1)*L332^INDEX(FlowCalConstB,MATCH(J328,FlowCalNumber,0),1,1)," ")</f>
        <v>#REF!</v>
      </c>
      <c r="N332" s="33"/>
      <c r="O332" s="242">
        <f t="shared" si="156"/>
        <v>1</v>
      </c>
      <c r="P332" s="241" t="e">
        <f t="shared" ca="1" si="157"/>
        <v>#REF!</v>
      </c>
      <c r="Q332" s="243" t="e">
        <f ca="1">IF(AND(INDEX(FlowCalConstA,MATCH(N328,FlowCalNumber,0),1,1)*P332^INDEX(FlowCalConstB,MATCH(N328,FlowCalNumber,0),1,1)&gt;INDEX(FlowCalLowSetting,MATCH(N328,FlowCalNumber,0),1,1), (INDEX(FlowCalConstA,MATCH(N328,FlowCalNumber,0),1,1)*P332^INDEX(FlowCalConstB,MATCH(N328,FlowCalNumber,0),1,1)&lt;INDEX(FlowCalHighSetting,MATCH(N328,FlowCalNumber,0),1,1))),INDEX(FlowCalConstA,MATCH(N328,FlowCalNumber,0),1,1)*P332^INDEX(FlowCalConstB,MATCH(N328,FlowCalNumber,0),1,1)," ")</f>
        <v>#REF!</v>
      </c>
      <c r="R332" s="33"/>
      <c r="S332" s="242">
        <f t="shared" si="158"/>
        <v>1</v>
      </c>
      <c r="T332" s="241" t="e">
        <f t="shared" ca="1" si="159"/>
        <v>#REF!</v>
      </c>
      <c r="U332" s="243" t="e">
        <f ca="1">IF(AND(INDEX(FlowCalConstA,MATCH(R328,FlowCalNumber,0),1,1)*T332^INDEX(FlowCalConstB,MATCH(R328,FlowCalNumber,0),1,1)&gt;INDEX(FlowCalLowSetting,MATCH(R328,FlowCalNumber,0),1,1), (INDEX(FlowCalConstA,MATCH(R328,FlowCalNumber,0),1,1)*T332^INDEX(FlowCalConstB,MATCH(R328,FlowCalNumber,0),1,1)&lt;INDEX(FlowCalHighSetting,MATCH(R328,FlowCalNumber,0),1,1))),INDEX(FlowCalConstA,MATCH(R328,FlowCalNumber,0),1,1)*T332^INDEX(FlowCalConstB,MATCH(R328,FlowCalNumber,0),1,1)," ")</f>
        <v>#REF!</v>
      </c>
      <c r="V332" s="33"/>
      <c r="W332" s="242"/>
      <c r="X332" s="241"/>
      <c r="Y332" s="243"/>
      <c r="Z332" s="33"/>
      <c r="AA332" s="242"/>
      <c r="AB332" s="241"/>
      <c r="AC332" s="243"/>
      <c r="AD332" s="33"/>
      <c r="AE332" s="242"/>
      <c r="AF332" s="241"/>
      <c r="AG332" s="243"/>
      <c r="AH332" s="33"/>
      <c r="AI332" s="242"/>
      <c r="AJ332" s="241"/>
      <c r="AK332" s="244"/>
      <c r="AL332" s="243"/>
      <c r="AM332" s="243"/>
      <c r="AN332" s="243"/>
      <c r="AO332" s="243"/>
      <c r="AP332" s="243"/>
      <c r="AQ332" s="243"/>
      <c r="AR332" s="243"/>
      <c r="AS332" s="243"/>
      <c r="AT332" s="243"/>
      <c r="AU332" s="243"/>
      <c r="AV332" s="243"/>
      <c r="AW332" s="243"/>
      <c r="AX332" s="243"/>
      <c r="AY332" s="243"/>
      <c r="AZ332" s="243"/>
      <c r="BA332" s="243"/>
      <c r="BB332" s="243"/>
      <c r="BC332" s="243"/>
      <c r="BD332" s="243"/>
      <c r="BE332" s="243"/>
      <c r="BF332" s="243"/>
      <c r="BG332" s="243"/>
      <c r="BH332" s="243"/>
      <c r="BI332" s="243"/>
      <c r="BJ332" s="243"/>
      <c r="BK332" s="243"/>
      <c r="BL332" s="243"/>
      <c r="BM332" s="243"/>
      <c r="BN332" s="243"/>
      <c r="BO332" s="243"/>
      <c r="BP332" s="243"/>
      <c r="BQ332" s="243"/>
      <c r="BR332" s="243"/>
      <c r="BS332" s="243"/>
      <c r="BU332" s="242"/>
      <c r="BW332" s="243"/>
      <c r="BY332" s="242"/>
      <c r="CA332" s="243"/>
      <c r="CC332" s="242"/>
      <c r="CE332" s="243"/>
      <c r="CG332" s="242"/>
      <c r="CI332" s="243"/>
    </row>
    <row r="333" spans="1:87" s="1215" customFormat="1">
      <c r="A333" s="1222"/>
      <c r="B333" s="1223" t="str">
        <f t="shared" si="152"/>
        <v/>
      </c>
      <c r="C333" s="1210"/>
      <c r="D333" s="1211">
        <f>'1% Wind'!$M$86</f>
        <v>15.5</v>
      </c>
      <c r="E333" s="1212"/>
      <c r="F333" s="1212"/>
      <c r="G333" s="1213" t="e">
        <f ca="1">IF(I328=0.9743,$G332,MAX(G332/D332*D333,2))</f>
        <v>#REF!</v>
      </c>
      <c r="H333" s="1214" t="e">
        <f t="shared" ca="1" si="153"/>
        <v>#REF!</v>
      </c>
      <c r="J333" s="1224"/>
      <c r="K333" s="1217">
        <f t="shared" si="154"/>
        <v>1</v>
      </c>
      <c r="L333" s="1218" t="e">
        <f t="shared" ca="1" si="155"/>
        <v>#REF!</v>
      </c>
      <c r="M333" s="1219" t="e">
        <f ca="1">IF(AND(INDEX(FlowCalConstA,MATCH(J328,FlowCalNumber,0),1,1)*L333^INDEX(FlowCalConstB,MATCH(J328,FlowCalNumber,0),1,1)&gt;INDEX(FlowCalLowSetting,MATCH(J328,FlowCalNumber,0),1,1), (INDEX(FlowCalConstA,MATCH(J328,FlowCalNumber,0),1,1)*L333^INDEX(FlowCalConstB,MATCH(J328,FlowCalNumber,0),1,1)&lt;INDEX(FlowCalHighSetting,MATCH(J328,FlowCalNumber,0),1,1))),INDEX(FlowCalConstA,MATCH(J328,FlowCalNumber,0),1,1)*L333^INDEX(FlowCalConstB,MATCH(J328,FlowCalNumber,0),1,1)," ")</f>
        <v>#REF!</v>
      </c>
      <c r="N333" s="1224"/>
      <c r="O333" s="1217">
        <f t="shared" si="156"/>
        <v>1</v>
      </c>
      <c r="P333" s="1218" t="e">
        <f t="shared" ca="1" si="157"/>
        <v>#REF!</v>
      </c>
      <c r="Q333" s="1219" t="e">
        <f ca="1">IF(AND(INDEX(FlowCalConstA,MATCH(N328,FlowCalNumber,0),1,1)*P333^INDEX(FlowCalConstB,MATCH(N328,FlowCalNumber,0),1,1)&gt;INDEX(FlowCalLowSetting,MATCH(N328,FlowCalNumber,0),1,1), (INDEX(FlowCalConstA,MATCH(N328,FlowCalNumber,0),1,1)*P333^INDEX(FlowCalConstB,MATCH(N328,FlowCalNumber,0),1,1)&lt;INDEX(FlowCalHighSetting,MATCH(N328,FlowCalNumber,0),1,1))),INDEX(FlowCalConstA,MATCH(N328,FlowCalNumber,0),1,1)*P333^INDEX(FlowCalConstB,MATCH(N328,FlowCalNumber,0),1,1)," ")</f>
        <v>#REF!</v>
      </c>
      <c r="R333" s="1224"/>
      <c r="S333" s="1217">
        <f t="shared" si="158"/>
        <v>1</v>
      </c>
      <c r="T333" s="1218" t="e">
        <f t="shared" ca="1" si="159"/>
        <v>#REF!</v>
      </c>
      <c r="U333" s="1219" t="e">
        <f ca="1">IF(AND(INDEX(FlowCalConstA,MATCH(R328,FlowCalNumber,0),1,1)*T333^INDEX(FlowCalConstB,MATCH(R328,FlowCalNumber,0),1,1)&gt;INDEX(FlowCalLowSetting,MATCH(R328,FlowCalNumber,0),1,1), (INDEX(FlowCalConstA,MATCH(R328,FlowCalNumber,0),1,1)*T333^INDEX(FlowCalConstB,MATCH(R328,FlowCalNumber,0),1,1)&lt;INDEX(FlowCalHighSetting,MATCH(R328,FlowCalNumber,0),1,1))),INDEX(FlowCalConstA,MATCH(R328,FlowCalNumber,0),1,1)*T333^INDEX(FlowCalConstB,MATCH(R328,FlowCalNumber,0),1,1)," ")</f>
        <v>#REF!</v>
      </c>
      <c r="V333" s="1224"/>
      <c r="W333" s="1217"/>
      <c r="X333" s="1218"/>
      <c r="Y333" s="1219"/>
      <c r="Z333" s="1224"/>
      <c r="AA333" s="1217"/>
      <c r="AB333" s="1218"/>
      <c r="AC333" s="1219"/>
      <c r="AD333" s="1224"/>
      <c r="AE333" s="1217"/>
      <c r="AF333" s="1218"/>
      <c r="AG333" s="1219"/>
      <c r="AH333" s="1224"/>
      <c r="AI333" s="1217"/>
      <c r="AJ333" s="1218"/>
      <c r="AK333" s="1220"/>
      <c r="AL333" s="1219"/>
      <c r="AM333" s="1219"/>
      <c r="AN333" s="1219"/>
      <c r="AO333" s="1219"/>
      <c r="AP333" s="1219"/>
      <c r="AQ333" s="1219"/>
      <c r="AR333" s="1219"/>
      <c r="AS333" s="1219"/>
      <c r="AT333" s="1219"/>
      <c r="AU333" s="1219"/>
      <c r="AV333" s="1219"/>
      <c r="AW333" s="1219"/>
      <c r="AX333" s="1219"/>
      <c r="AY333" s="1219"/>
      <c r="AZ333" s="1219"/>
      <c r="BA333" s="1219"/>
      <c r="BB333" s="1219"/>
      <c r="BC333" s="1219"/>
      <c r="BD333" s="1219"/>
      <c r="BE333" s="1219"/>
      <c r="BF333" s="1219"/>
      <c r="BG333" s="1219"/>
      <c r="BH333" s="1219"/>
      <c r="BI333" s="1219"/>
      <c r="BJ333" s="1219"/>
      <c r="BK333" s="1219"/>
      <c r="BL333" s="1219"/>
      <c r="BM333" s="1219"/>
      <c r="BN333" s="1219"/>
      <c r="BO333" s="1219"/>
      <c r="BP333" s="1219"/>
      <c r="BQ333" s="1219"/>
      <c r="BR333" s="1219"/>
      <c r="BS333" s="1219"/>
      <c r="BU333" s="1217"/>
      <c r="BW333" s="1219"/>
      <c r="BY333" s="1217"/>
      <c r="CA333" s="1219"/>
      <c r="CC333" s="1217"/>
      <c r="CE333" s="1219"/>
      <c r="CG333" s="1217"/>
      <c r="CI333" s="1219"/>
    </row>
    <row r="334" spans="1:87">
      <c r="A334" s="20"/>
      <c r="B334" s="124" t="str">
        <f t="shared" si="152"/>
        <v/>
      </c>
      <c r="C334" s="235"/>
      <c r="D334" s="24">
        <f>'1% Wind'!$M$87</f>
        <v>13.5</v>
      </c>
      <c r="E334" s="90"/>
      <c r="F334" s="90"/>
      <c r="G334" s="79" t="e">
        <f ca="1">IF(I328=0.9743,$G333,MAX(G333/D333*D334,2))</f>
        <v>#REF!</v>
      </c>
      <c r="H334" s="121" t="e">
        <f t="shared" ca="1" si="153"/>
        <v>#REF!</v>
      </c>
      <c r="J334" s="33"/>
      <c r="K334" s="242">
        <f t="shared" si="154"/>
        <v>1</v>
      </c>
      <c r="L334" s="241" t="e">
        <f t="shared" ca="1" si="155"/>
        <v>#REF!</v>
      </c>
      <c r="M334" s="243" t="e">
        <f ca="1">IF(AND(INDEX(FlowCalConstA,MATCH(J328,FlowCalNumber,0),1,1)*L334^INDEX(FlowCalConstB,MATCH(J328,FlowCalNumber,0),1,1)&gt;INDEX(FlowCalLowSetting,MATCH(J328,FlowCalNumber,0),1,1), (INDEX(FlowCalConstA,MATCH(J328,FlowCalNumber,0),1,1)*L334^INDEX(FlowCalConstB,MATCH(J328,FlowCalNumber,0),1,1)&lt;INDEX(FlowCalHighSetting,MATCH(J328,FlowCalNumber,0),1,1))),INDEX(FlowCalConstA,MATCH(J328,FlowCalNumber,0),1,1)*L334^INDEX(FlowCalConstB,MATCH(J328,FlowCalNumber,0),1,1)," ")</f>
        <v>#REF!</v>
      </c>
      <c r="N334" s="33"/>
      <c r="O334" s="242">
        <f t="shared" si="156"/>
        <v>1</v>
      </c>
      <c r="P334" s="241" t="e">
        <f t="shared" ca="1" si="157"/>
        <v>#REF!</v>
      </c>
      <c r="Q334" s="243" t="e">
        <f ca="1">IF(AND(INDEX(FlowCalConstA,MATCH(N328,FlowCalNumber,0),1,1)*P334^INDEX(FlowCalConstB,MATCH(N328,FlowCalNumber,0),1,1)&gt;INDEX(FlowCalLowSetting,MATCH(N328,FlowCalNumber,0),1,1), (INDEX(FlowCalConstA,MATCH(N328,FlowCalNumber,0),1,1)*P334^INDEX(FlowCalConstB,MATCH(N328,FlowCalNumber,0),1,1)&lt;INDEX(FlowCalHighSetting,MATCH(N328,FlowCalNumber,0),1,1))),INDEX(FlowCalConstA,MATCH(N328,FlowCalNumber,0),1,1)*P334^INDEX(FlowCalConstB,MATCH(N328,FlowCalNumber,0),1,1)," ")</f>
        <v>#REF!</v>
      </c>
      <c r="R334" s="33"/>
      <c r="S334" s="242">
        <f t="shared" si="158"/>
        <v>1</v>
      </c>
      <c r="T334" s="241" t="e">
        <f t="shared" ca="1" si="159"/>
        <v>#REF!</v>
      </c>
      <c r="U334" s="243" t="e">
        <f ca="1">IF(AND(INDEX(FlowCalConstA,MATCH(R328,FlowCalNumber,0),1,1)*T334^INDEX(FlowCalConstB,MATCH(R328,FlowCalNumber,0),1,1)&gt;INDEX(FlowCalLowSetting,MATCH(R328,FlowCalNumber,0),1,1), (INDEX(FlowCalConstA,MATCH(R328,FlowCalNumber,0),1,1)*T334^INDEX(FlowCalConstB,MATCH(R328,FlowCalNumber,0),1,1)&lt;INDEX(FlowCalHighSetting,MATCH(R328,FlowCalNumber,0),1,1))),INDEX(FlowCalConstA,MATCH(R328,FlowCalNumber,0),1,1)*T334^INDEX(FlowCalConstB,MATCH(R328,FlowCalNumber,0),1,1)," ")</f>
        <v>#REF!</v>
      </c>
      <c r="V334" s="33"/>
      <c r="W334" s="242"/>
      <c r="X334" s="241"/>
      <c r="Y334" s="243"/>
      <c r="Z334" s="33"/>
      <c r="AA334" s="242"/>
      <c r="AB334" s="241"/>
      <c r="AC334" s="243"/>
      <c r="AD334" s="33"/>
      <c r="AE334" s="242"/>
      <c r="AF334" s="241"/>
      <c r="AG334" s="243"/>
      <c r="AH334" s="33"/>
      <c r="AI334" s="242"/>
      <c r="AJ334" s="241"/>
      <c r="AK334" s="244"/>
      <c r="AL334" s="243"/>
      <c r="AM334" s="243"/>
      <c r="AN334" s="243"/>
      <c r="AO334" s="243"/>
      <c r="AP334" s="243"/>
      <c r="AQ334" s="243"/>
      <c r="AR334" s="243"/>
      <c r="AS334" s="243"/>
      <c r="AT334" s="243"/>
      <c r="AU334" s="243"/>
      <c r="AV334" s="243"/>
      <c r="AW334" s="243"/>
      <c r="AX334" s="243"/>
      <c r="AY334" s="243"/>
      <c r="AZ334" s="243"/>
      <c r="BA334" s="243"/>
      <c r="BB334" s="243"/>
      <c r="BC334" s="243"/>
      <c r="BD334" s="243"/>
      <c r="BE334" s="243"/>
      <c r="BF334" s="243"/>
      <c r="BG334" s="243"/>
      <c r="BH334" s="243"/>
      <c r="BI334" s="243"/>
      <c r="BJ334" s="243"/>
      <c r="BK334" s="243"/>
      <c r="BL334" s="243"/>
      <c r="BM334" s="243"/>
      <c r="BN334" s="243"/>
      <c r="BO334" s="243"/>
      <c r="BP334" s="243"/>
      <c r="BQ334" s="243"/>
      <c r="BR334" s="243"/>
      <c r="BS334" s="243"/>
      <c r="BU334" s="242"/>
      <c r="BW334" s="243"/>
      <c r="BY334" s="242"/>
      <c r="CA334" s="243"/>
      <c r="CC334" s="242"/>
      <c r="CE334" s="243"/>
      <c r="CG334" s="242"/>
      <c r="CI334" s="243"/>
    </row>
    <row r="335" spans="1:87" s="1215" customFormat="1">
      <c r="A335" s="1222"/>
      <c r="B335" s="1223" t="str">
        <f t="shared" si="152"/>
        <v/>
      </c>
      <c r="C335" s="1210"/>
      <c r="D335" s="1211">
        <f>'1% Wind'!$M$88</f>
        <v>10.1</v>
      </c>
      <c r="E335" s="1212"/>
      <c r="F335" s="1212"/>
      <c r="G335" s="1213" t="e">
        <f ca="1">IF(I328=0.9743,$G334,MAX(G334/D334*D335,2))</f>
        <v>#REF!</v>
      </c>
      <c r="H335" s="1214" t="e">
        <f t="shared" ca="1" si="153"/>
        <v>#REF!</v>
      </c>
      <c r="J335" s="1224"/>
      <c r="K335" s="1217">
        <f t="shared" si="154"/>
        <v>1</v>
      </c>
      <c r="L335" s="1218" t="e">
        <f t="shared" ca="1" si="155"/>
        <v>#REF!</v>
      </c>
      <c r="M335" s="1219" t="e">
        <f ca="1">IF(AND(INDEX(FlowCalConstA,MATCH(J328,FlowCalNumber,0),1,1)*L335^INDEX(FlowCalConstB,MATCH(J328,FlowCalNumber,0),1,1)&gt;INDEX(FlowCalLowSetting,MATCH(J328,FlowCalNumber,0),1,1), (INDEX(FlowCalConstA,MATCH(J328,FlowCalNumber,0),1,1)*L335^INDEX(FlowCalConstB,MATCH(J328,FlowCalNumber,0),1,1)&lt;INDEX(FlowCalHighSetting,MATCH(J328,FlowCalNumber,0),1,1))),INDEX(FlowCalConstA,MATCH(J328,FlowCalNumber,0),1,1)*L335^INDEX(FlowCalConstB,MATCH(J328,FlowCalNumber,0),1,1)," ")</f>
        <v>#REF!</v>
      </c>
      <c r="N335" s="1224"/>
      <c r="O335" s="1217">
        <f t="shared" si="156"/>
        <v>1</v>
      </c>
      <c r="P335" s="1218" t="e">
        <f t="shared" ca="1" si="157"/>
        <v>#REF!</v>
      </c>
      <c r="Q335" s="1219" t="e">
        <f ca="1">IF(AND(INDEX(FlowCalConstA,MATCH(N328,FlowCalNumber,0),1,1)*P335^INDEX(FlowCalConstB,MATCH(N328,FlowCalNumber,0),1,1)&gt;INDEX(FlowCalLowSetting,MATCH(N328,FlowCalNumber,0),1,1), (INDEX(FlowCalConstA,MATCH(N328,FlowCalNumber,0),1,1)*P335^INDEX(FlowCalConstB,MATCH(N328,FlowCalNumber,0),1,1)&lt;INDEX(FlowCalHighSetting,MATCH(N328,FlowCalNumber,0),1,1))),INDEX(FlowCalConstA,MATCH(N328,FlowCalNumber,0),1,1)*P335^INDEX(FlowCalConstB,MATCH(N328,FlowCalNumber,0),1,1)," ")</f>
        <v>#REF!</v>
      </c>
      <c r="R335" s="1224"/>
      <c r="S335" s="1217">
        <f t="shared" si="158"/>
        <v>1</v>
      </c>
      <c r="T335" s="1218" t="e">
        <f t="shared" ca="1" si="159"/>
        <v>#REF!</v>
      </c>
      <c r="U335" s="1219" t="e">
        <f ca="1">IF(AND(INDEX(FlowCalConstA,MATCH(R328,FlowCalNumber,0),1,1)*T335^INDEX(FlowCalConstB,MATCH(R328,FlowCalNumber,0),1,1)&gt;INDEX(FlowCalLowSetting,MATCH(R328,FlowCalNumber,0),1,1), (INDEX(FlowCalConstA,MATCH(R328,FlowCalNumber,0),1,1)*T335^INDEX(FlowCalConstB,MATCH(R328,FlowCalNumber,0),1,1)&lt;INDEX(FlowCalHighSetting,MATCH(R328,FlowCalNumber,0),1,1))),INDEX(FlowCalConstA,MATCH(R328,FlowCalNumber,0),1,1)*T335^INDEX(FlowCalConstB,MATCH(R328,FlowCalNumber,0),1,1)," ")</f>
        <v>#REF!</v>
      </c>
      <c r="V335" s="1224"/>
      <c r="W335" s="1217"/>
      <c r="X335" s="1218"/>
      <c r="Y335" s="1219"/>
      <c r="Z335" s="1224"/>
      <c r="AA335" s="1217"/>
      <c r="AB335" s="1218"/>
      <c r="AC335" s="1219"/>
      <c r="AD335" s="1224"/>
      <c r="AE335" s="1217"/>
      <c r="AF335" s="1218"/>
      <c r="AG335" s="1219"/>
      <c r="AH335" s="1224"/>
      <c r="AI335" s="1217"/>
      <c r="AJ335" s="1218"/>
      <c r="AK335" s="1220"/>
      <c r="AL335" s="1219"/>
      <c r="AM335" s="1219"/>
      <c r="AN335" s="1219"/>
      <c r="AO335" s="1219"/>
      <c r="AP335" s="1219"/>
      <c r="AQ335" s="1219"/>
      <c r="AR335" s="1219"/>
      <c r="AS335" s="1219"/>
      <c r="AT335" s="1219"/>
      <c r="AU335" s="1219"/>
      <c r="AV335" s="1219"/>
      <c r="AW335" s="1219"/>
      <c r="AX335" s="1219"/>
      <c r="AY335" s="1219"/>
      <c r="AZ335" s="1219"/>
      <c r="BA335" s="1219"/>
      <c r="BB335" s="1219"/>
      <c r="BC335" s="1219"/>
      <c r="BD335" s="1219"/>
      <c r="BE335" s="1219"/>
      <c r="BF335" s="1219"/>
      <c r="BG335" s="1219"/>
      <c r="BH335" s="1219"/>
      <c r="BI335" s="1219"/>
      <c r="BJ335" s="1219"/>
      <c r="BK335" s="1219"/>
      <c r="BL335" s="1219"/>
      <c r="BM335" s="1219"/>
      <c r="BN335" s="1219"/>
      <c r="BO335" s="1219"/>
      <c r="BP335" s="1219"/>
      <c r="BQ335" s="1219"/>
      <c r="BR335" s="1219"/>
      <c r="BS335" s="1219"/>
      <c r="BU335" s="1217"/>
      <c r="BW335" s="1219"/>
      <c r="BY335" s="1217"/>
      <c r="CA335" s="1219"/>
      <c r="CC335" s="1217"/>
      <c r="CE335" s="1219"/>
      <c r="CG335" s="1217"/>
      <c r="CI335" s="1219"/>
    </row>
    <row r="336" spans="1:87">
      <c r="A336" s="20"/>
      <c r="B336" s="124" t="str">
        <f t="shared" si="152"/>
        <v/>
      </c>
      <c r="C336" s="235"/>
      <c r="D336" s="24">
        <f>'1% Wind'!$M$89</f>
        <v>7.6</v>
      </c>
      <c r="E336" s="90"/>
      <c r="F336" s="90"/>
      <c r="G336" s="79" t="e">
        <f ca="1">IF(I328=0.9743,$G335,MAX(G335/D335*D336,2))</f>
        <v>#REF!</v>
      </c>
      <c r="H336" s="121" t="e">
        <f t="shared" ca="1" si="153"/>
        <v>#REF!</v>
      </c>
      <c r="J336" s="33"/>
      <c r="K336" s="242">
        <f t="shared" si="154"/>
        <v>1</v>
      </c>
      <c r="L336" s="241" t="e">
        <f t="shared" ca="1" si="155"/>
        <v>#REF!</v>
      </c>
      <c r="M336" s="243" t="e">
        <f ca="1">IF(AND(INDEX(FlowCalConstA,MATCH(J328,FlowCalNumber,0),1,1)*L336^INDEX(FlowCalConstB,MATCH(J328,FlowCalNumber,0),1,1)&gt;INDEX(FlowCalLowSetting,MATCH(J328,FlowCalNumber,0),1,1), (INDEX(FlowCalConstA,MATCH(J328,FlowCalNumber,0),1,1)*L336^INDEX(FlowCalConstB,MATCH(J328,FlowCalNumber,0),1,1)&lt;INDEX(FlowCalHighSetting,MATCH(J328,FlowCalNumber,0),1,1))),INDEX(FlowCalConstA,MATCH(J328,FlowCalNumber,0),1,1)*L336^INDEX(FlowCalConstB,MATCH(J328,FlowCalNumber,0),1,1)," ")</f>
        <v>#REF!</v>
      </c>
      <c r="N336" s="33"/>
      <c r="O336" s="242">
        <f t="shared" si="156"/>
        <v>1</v>
      </c>
      <c r="P336" s="241" t="e">
        <f t="shared" ca="1" si="157"/>
        <v>#REF!</v>
      </c>
      <c r="Q336" s="243" t="e">
        <f ca="1">IF(AND(INDEX(FlowCalConstA,MATCH(N328,FlowCalNumber,0),1,1)*P336^INDEX(FlowCalConstB,MATCH(N328,FlowCalNumber,0),1,1)&gt;INDEX(FlowCalLowSetting,MATCH(N328,FlowCalNumber,0),1,1), (INDEX(FlowCalConstA,MATCH(N328,FlowCalNumber,0),1,1)*P336^INDEX(FlowCalConstB,MATCH(N328,FlowCalNumber,0),1,1)&lt;INDEX(FlowCalHighSetting,MATCH(N328,FlowCalNumber,0),1,1))),INDEX(FlowCalConstA,MATCH(N328,FlowCalNumber,0),1,1)*P336^INDEX(FlowCalConstB,MATCH(N328,FlowCalNumber,0),1,1)," ")</f>
        <v>#REF!</v>
      </c>
      <c r="R336" s="33"/>
      <c r="S336" s="242">
        <f t="shared" si="158"/>
        <v>1</v>
      </c>
      <c r="T336" s="241" t="e">
        <f t="shared" ca="1" si="159"/>
        <v>#REF!</v>
      </c>
      <c r="U336" s="243" t="e">
        <f ca="1">IF(AND(INDEX(FlowCalConstA,MATCH(R328,FlowCalNumber,0),1,1)*T336^INDEX(FlowCalConstB,MATCH(R328,FlowCalNumber,0),1,1)&gt;INDEX(FlowCalLowSetting,MATCH(R328,FlowCalNumber,0),1,1), (INDEX(FlowCalConstA,MATCH(R328,FlowCalNumber,0),1,1)*T336^INDEX(FlowCalConstB,MATCH(R328,FlowCalNumber,0),1,1)&lt;INDEX(FlowCalHighSetting,MATCH(R328,FlowCalNumber,0),1,1))),INDEX(FlowCalConstA,MATCH(R328,FlowCalNumber,0),1,1)*T336^INDEX(FlowCalConstB,MATCH(R328,FlowCalNumber,0),1,1)," ")</f>
        <v>#REF!</v>
      </c>
      <c r="V336" s="33"/>
      <c r="W336" s="242"/>
      <c r="X336" s="241"/>
      <c r="Y336" s="243"/>
      <c r="Z336" s="33"/>
      <c r="AA336" s="242"/>
      <c r="AB336" s="241"/>
      <c r="AC336" s="243"/>
      <c r="AD336" s="33"/>
      <c r="AE336" s="242"/>
      <c r="AF336" s="241"/>
      <c r="AG336" s="243"/>
      <c r="AH336" s="33"/>
      <c r="AI336" s="242"/>
      <c r="AJ336" s="241"/>
      <c r="AK336" s="244"/>
      <c r="AL336" s="243"/>
      <c r="AM336" s="243"/>
      <c r="AN336" s="243"/>
      <c r="AO336" s="243"/>
      <c r="AP336" s="243"/>
      <c r="AQ336" s="243"/>
      <c r="AR336" s="243"/>
      <c r="AS336" s="243"/>
      <c r="AT336" s="243"/>
      <c r="AU336" s="243"/>
      <c r="AV336" s="243"/>
      <c r="AW336" s="243"/>
      <c r="AX336" s="243"/>
      <c r="AY336" s="243"/>
      <c r="AZ336" s="243"/>
      <c r="BA336" s="243"/>
      <c r="BB336" s="243"/>
      <c r="BC336" s="243"/>
      <c r="BD336" s="243"/>
      <c r="BE336" s="243"/>
      <c r="BF336" s="243"/>
      <c r="BG336" s="243"/>
      <c r="BH336" s="243"/>
      <c r="BI336" s="243"/>
      <c r="BJ336" s="243"/>
      <c r="BK336" s="243"/>
      <c r="BL336" s="243"/>
      <c r="BM336" s="243"/>
      <c r="BN336" s="243"/>
      <c r="BO336" s="243"/>
      <c r="BP336" s="243"/>
      <c r="BQ336" s="243"/>
      <c r="BR336" s="243"/>
      <c r="BS336" s="243"/>
      <c r="BU336" s="242"/>
      <c r="BW336" s="243"/>
      <c r="BY336" s="242"/>
      <c r="CA336" s="243"/>
      <c r="CC336" s="242"/>
      <c r="CE336" s="243"/>
      <c r="CG336" s="242"/>
      <c r="CI336" s="243"/>
    </row>
    <row r="337" spans="1:87" s="1215" customFormat="1">
      <c r="A337" s="1222"/>
      <c r="B337" s="1223" t="str">
        <f t="shared" si="152"/>
        <v/>
      </c>
      <c r="C337" s="1210"/>
      <c r="D337" s="1211">
        <f>'1% Wind'!$M$90</f>
        <v>5.7</v>
      </c>
      <c r="E337" s="1212"/>
      <c r="F337" s="1212"/>
      <c r="G337" s="1213" t="e">
        <f ca="1">IF(I328=0.9743,$G336,MAX(G336/D336*D337,2))</f>
        <v>#REF!</v>
      </c>
      <c r="H337" s="1214" t="e">
        <f t="shared" ca="1" si="153"/>
        <v>#REF!</v>
      </c>
      <c r="J337" s="1224"/>
      <c r="K337" s="1217">
        <f t="shared" si="154"/>
        <v>1</v>
      </c>
      <c r="L337" s="1218" t="e">
        <f t="shared" ca="1" si="155"/>
        <v>#REF!</v>
      </c>
      <c r="M337" s="1219" t="e">
        <f ca="1">IF(AND(INDEX(FlowCalConstA,MATCH(J328,FlowCalNumber,0),1,1)*L337^INDEX(FlowCalConstB,MATCH(J328,FlowCalNumber,0),1,1)&gt;INDEX(FlowCalLowSetting,MATCH(J328,FlowCalNumber,0),1,1), (INDEX(FlowCalConstA,MATCH(J328,FlowCalNumber,0),1,1)*L337^INDEX(FlowCalConstB,MATCH(J328,FlowCalNumber,0),1,1)&lt;INDEX(FlowCalHighSetting,MATCH(J328,FlowCalNumber,0),1,1))),INDEX(FlowCalConstA,MATCH(J328,FlowCalNumber,0),1,1)*L337^INDEX(FlowCalConstB,MATCH(J328,FlowCalNumber,0),1,1)," ")</f>
        <v>#REF!</v>
      </c>
      <c r="N337" s="1224"/>
      <c r="O337" s="1217">
        <f t="shared" si="156"/>
        <v>1</v>
      </c>
      <c r="P337" s="1218" t="e">
        <f t="shared" ca="1" si="157"/>
        <v>#REF!</v>
      </c>
      <c r="Q337" s="1219" t="e">
        <f ca="1">IF(AND(INDEX(FlowCalConstA,MATCH(N328,FlowCalNumber,0),1,1)*P337^INDEX(FlowCalConstB,MATCH(N328,FlowCalNumber,0),1,1)&gt;INDEX(FlowCalLowSetting,MATCH(N328,FlowCalNumber,0),1,1), (INDEX(FlowCalConstA,MATCH(N328,FlowCalNumber,0),1,1)*P337^INDEX(FlowCalConstB,MATCH(N328,FlowCalNumber,0),1,1)&lt;INDEX(FlowCalHighSetting,MATCH(N328,FlowCalNumber,0),1,1))),INDEX(FlowCalConstA,MATCH(N328,FlowCalNumber,0),1,1)*P337^INDEX(FlowCalConstB,MATCH(N328,FlowCalNumber,0),1,1)," ")</f>
        <v>#REF!</v>
      </c>
      <c r="R337" s="1224"/>
      <c r="S337" s="1217">
        <f t="shared" si="158"/>
        <v>1</v>
      </c>
      <c r="T337" s="1218" t="e">
        <f t="shared" ca="1" si="159"/>
        <v>#REF!</v>
      </c>
      <c r="U337" s="1219" t="e">
        <f ca="1">IF(AND(INDEX(FlowCalConstA,MATCH(R328,FlowCalNumber,0),1,1)*T337^INDEX(FlowCalConstB,MATCH(R328,FlowCalNumber,0),1,1)&gt;INDEX(FlowCalLowSetting,MATCH(R328,FlowCalNumber,0),1,1), (INDEX(FlowCalConstA,MATCH(R328,FlowCalNumber,0),1,1)*T337^INDEX(FlowCalConstB,MATCH(R328,FlowCalNumber,0),1,1)&lt;INDEX(FlowCalHighSetting,MATCH(R328,FlowCalNumber,0),1,1))),INDEX(FlowCalConstA,MATCH(R328,FlowCalNumber,0),1,1)*T337^INDEX(FlowCalConstB,MATCH(R328,FlowCalNumber,0),1,1)," ")</f>
        <v>#REF!</v>
      </c>
      <c r="V337" s="1224"/>
      <c r="W337" s="1217"/>
      <c r="X337" s="1218"/>
      <c r="Y337" s="1219"/>
      <c r="Z337" s="1224"/>
      <c r="AA337" s="1217"/>
      <c r="AB337" s="1218"/>
      <c r="AC337" s="1219"/>
      <c r="AD337" s="1224"/>
      <c r="AE337" s="1217"/>
      <c r="AF337" s="1218"/>
      <c r="AG337" s="1219"/>
      <c r="AH337" s="1224"/>
      <c r="AI337" s="1217"/>
      <c r="AJ337" s="1218"/>
      <c r="AK337" s="1220"/>
      <c r="AL337" s="1219"/>
      <c r="AM337" s="1219"/>
      <c r="AN337" s="1219"/>
      <c r="AO337" s="1219"/>
      <c r="AP337" s="1219"/>
      <c r="AQ337" s="1219"/>
      <c r="AR337" s="1219"/>
      <c r="AS337" s="1219"/>
      <c r="AT337" s="1219"/>
      <c r="AU337" s="1219"/>
      <c r="AV337" s="1219"/>
      <c r="AW337" s="1219"/>
      <c r="AX337" s="1219"/>
      <c r="AY337" s="1219"/>
      <c r="AZ337" s="1219"/>
      <c r="BA337" s="1219"/>
      <c r="BB337" s="1219"/>
      <c r="BC337" s="1219"/>
      <c r="BD337" s="1219"/>
      <c r="BE337" s="1219"/>
      <c r="BF337" s="1219"/>
      <c r="BG337" s="1219"/>
      <c r="BH337" s="1219"/>
      <c r="BI337" s="1219"/>
      <c r="BJ337" s="1219"/>
      <c r="BK337" s="1219"/>
      <c r="BL337" s="1219"/>
      <c r="BM337" s="1219"/>
      <c r="BN337" s="1219"/>
      <c r="BO337" s="1219"/>
      <c r="BP337" s="1219"/>
      <c r="BQ337" s="1219"/>
      <c r="BR337" s="1219"/>
      <c r="BS337" s="1219"/>
      <c r="BU337" s="1217"/>
      <c r="BW337" s="1219"/>
      <c r="BY337" s="1217"/>
      <c r="CA337" s="1219"/>
      <c r="CC337" s="1217"/>
      <c r="CE337" s="1219"/>
      <c r="CG337" s="1217"/>
      <c r="CI337" s="1219"/>
    </row>
    <row r="338" spans="1:87">
      <c r="A338" s="20"/>
      <c r="B338" s="124" t="str">
        <f t="shared" si="152"/>
        <v/>
      </c>
      <c r="C338" s="235"/>
      <c r="D338" s="24">
        <f>'1% Wind'!$M$91</f>
        <v>4.2</v>
      </c>
      <c r="E338" s="90"/>
      <c r="F338" s="90"/>
      <c r="G338" s="79" t="e">
        <f ca="1">IF(I328=0.9743,$G337,MAX(G337/D337*D338,2))</f>
        <v>#REF!</v>
      </c>
      <c r="H338" s="121" t="e">
        <f t="shared" ca="1" si="153"/>
        <v>#REF!</v>
      </c>
      <c r="J338" s="33"/>
      <c r="K338" s="242">
        <f t="shared" si="154"/>
        <v>1</v>
      </c>
      <c r="L338" s="241" t="e">
        <f t="shared" ca="1" si="155"/>
        <v>#REF!</v>
      </c>
      <c r="M338" s="243" t="e">
        <f ca="1">IF(AND(INDEX(FlowCalConstA,MATCH(J328,FlowCalNumber,0),1,1)*L338^INDEX(FlowCalConstB,MATCH(J328,FlowCalNumber,0),1,1)&gt;INDEX(FlowCalLowSetting,MATCH(J328,FlowCalNumber,0),1,1), (INDEX(FlowCalConstA,MATCH(J328,FlowCalNumber,0),1,1)*L338^INDEX(FlowCalConstB,MATCH(J328,FlowCalNumber,0),1,1)&lt;INDEX(FlowCalHighSetting,MATCH(J328,FlowCalNumber,0),1,1))),INDEX(FlowCalConstA,MATCH(J328,FlowCalNumber,0),1,1)*L338^INDEX(FlowCalConstB,MATCH(J328,FlowCalNumber,0),1,1)," ")</f>
        <v>#REF!</v>
      </c>
      <c r="N338" s="33"/>
      <c r="O338" s="242">
        <f t="shared" si="156"/>
        <v>1</v>
      </c>
      <c r="P338" s="241" t="e">
        <f t="shared" ca="1" si="157"/>
        <v>#REF!</v>
      </c>
      <c r="Q338" s="243" t="e">
        <f ca="1">IF(AND(INDEX(FlowCalConstA,MATCH(N328,FlowCalNumber,0),1,1)*P338^INDEX(FlowCalConstB,MATCH(N328,FlowCalNumber,0),1,1)&gt;INDEX(FlowCalLowSetting,MATCH(N328,FlowCalNumber,0),1,1), (INDEX(FlowCalConstA,MATCH(N328,FlowCalNumber,0),1,1)*P338^INDEX(FlowCalConstB,MATCH(N328,FlowCalNumber,0),1,1)&lt;INDEX(FlowCalHighSetting,MATCH(N328,FlowCalNumber,0),1,1))),INDEX(FlowCalConstA,MATCH(N328,FlowCalNumber,0),1,1)*P338^INDEX(FlowCalConstB,MATCH(N328,FlowCalNumber,0),1,1)," ")</f>
        <v>#REF!</v>
      </c>
      <c r="R338" s="33"/>
      <c r="S338" s="242">
        <f t="shared" si="158"/>
        <v>1</v>
      </c>
      <c r="T338" s="241" t="e">
        <f t="shared" ca="1" si="159"/>
        <v>#REF!</v>
      </c>
      <c r="U338" s="243" t="e">
        <f ca="1">IF(AND(INDEX(FlowCalConstA,MATCH(R328,FlowCalNumber,0),1,1)*T338^INDEX(FlowCalConstB,MATCH(R328,FlowCalNumber,0),1,1)&gt;INDEX(FlowCalLowSetting,MATCH(R328,FlowCalNumber,0),1,1), (INDEX(FlowCalConstA,MATCH(R328,FlowCalNumber,0),1,1)*T338^INDEX(FlowCalConstB,MATCH(R328,FlowCalNumber,0),1,1)&lt;INDEX(FlowCalHighSetting,MATCH(R328,FlowCalNumber,0),1,1))),INDEX(FlowCalConstA,MATCH(R328,FlowCalNumber,0),1,1)*T338^INDEX(FlowCalConstB,MATCH(R328,FlowCalNumber,0),1,1)," ")</f>
        <v>#REF!</v>
      </c>
      <c r="V338" s="33"/>
      <c r="W338" s="242"/>
      <c r="X338" s="241"/>
      <c r="Y338" s="243"/>
      <c r="Z338" s="33"/>
      <c r="AA338" s="242"/>
      <c r="AB338" s="241"/>
      <c r="AC338" s="243"/>
      <c r="AD338" s="33"/>
      <c r="AE338" s="242"/>
      <c r="AF338" s="241"/>
      <c r="AG338" s="243"/>
      <c r="AH338" s="33"/>
      <c r="AI338" s="242"/>
      <c r="AJ338" s="241"/>
      <c r="AK338" s="244"/>
      <c r="AL338" s="243"/>
      <c r="AM338" s="243"/>
      <c r="AN338" s="243"/>
      <c r="AO338" s="243"/>
      <c r="AP338" s="243"/>
      <c r="AQ338" s="243"/>
      <c r="AR338" s="243"/>
      <c r="AS338" s="243"/>
      <c r="AT338" s="243"/>
      <c r="AU338" s="243"/>
      <c r="AV338" s="243"/>
      <c r="AW338" s="243"/>
      <c r="AX338" s="243"/>
      <c r="AY338" s="243"/>
      <c r="AZ338" s="243"/>
      <c r="BA338" s="243"/>
      <c r="BB338" s="243"/>
      <c r="BC338" s="243"/>
      <c r="BD338" s="243"/>
      <c r="BE338" s="243"/>
      <c r="BF338" s="243"/>
      <c r="BG338" s="243"/>
      <c r="BH338" s="243"/>
      <c r="BI338" s="243"/>
      <c r="BJ338" s="243"/>
      <c r="BK338" s="243"/>
      <c r="BL338" s="243"/>
      <c r="BM338" s="243"/>
      <c r="BN338" s="243"/>
      <c r="BO338" s="243"/>
      <c r="BP338" s="243"/>
      <c r="BQ338" s="243"/>
      <c r="BR338" s="243"/>
      <c r="BS338" s="243"/>
      <c r="BU338" s="242"/>
      <c r="BW338" s="243"/>
      <c r="BY338" s="242"/>
      <c r="CA338" s="243"/>
      <c r="CC338" s="242"/>
      <c r="CE338" s="243"/>
      <c r="CG338" s="242"/>
      <c r="CI338" s="243"/>
    </row>
    <row r="339" spans="1:87" s="1215" customFormat="1">
      <c r="A339" s="1222"/>
      <c r="B339" s="1223" t="str">
        <f t="shared" si="152"/>
        <v/>
      </c>
      <c r="C339" s="1210"/>
      <c r="D339" s="1211">
        <f>'1% Wind'!$M$92</f>
        <v>3.2</v>
      </c>
      <c r="E339" s="1212"/>
      <c r="F339" s="1212"/>
      <c r="G339" s="1213" t="e">
        <f ca="1">IF(I328=0.9743,$G338,MAX(G338/D338*D339,2))</f>
        <v>#REF!</v>
      </c>
      <c r="H339" s="1214" t="e">
        <f t="shared" ca="1" si="153"/>
        <v>#REF!</v>
      </c>
      <c r="J339" s="1224"/>
      <c r="K339" s="1217">
        <f t="shared" si="154"/>
        <v>1</v>
      </c>
      <c r="L339" s="1218" t="e">
        <f t="shared" ca="1" si="155"/>
        <v>#REF!</v>
      </c>
      <c r="M339" s="1219" t="e">
        <f ca="1">IF(AND(INDEX(FlowCalConstA,MATCH(J328,FlowCalNumber,0),1,1)*L339^INDEX(FlowCalConstB,MATCH(J328,FlowCalNumber,0),1,1)&gt;INDEX(FlowCalLowSetting,MATCH(J328,FlowCalNumber,0),1,1), (INDEX(FlowCalConstA,MATCH(J328,FlowCalNumber,0),1,1)*L339^INDEX(FlowCalConstB,MATCH(J328,FlowCalNumber,0),1,1)&lt;INDEX(FlowCalHighSetting,MATCH(J328,FlowCalNumber,0),1,1))),INDEX(FlowCalConstA,MATCH(J328,FlowCalNumber,0),1,1)*L339^INDEX(FlowCalConstB,MATCH(J328,FlowCalNumber,0),1,1)," ")</f>
        <v>#REF!</v>
      </c>
      <c r="N339" s="1224"/>
      <c r="O339" s="1217">
        <f t="shared" si="156"/>
        <v>1</v>
      </c>
      <c r="P339" s="1218" t="e">
        <f t="shared" ca="1" si="157"/>
        <v>#REF!</v>
      </c>
      <c r="Q339" s="1219" t="e">
        <f ca="1">IF(AND(INDEX(FlowCalConstA,MATCH(N328,FlowCalNumber,0),1,1)*P339^INDEX(FlowCalConstB,MATCH(N328,FlowCalNumber,0),1,1)&gt;INDEX(FlowCalLowSetting,MATCH(N328,FlowCalNumber,0),1,1), (INDEX(FlowCalConstA,MATCH(N328,FlowCalNumber,0),1,1)*P339^INDEX(FlowCalConstB,MATCH(N328,FlowCalNumber,0),1,1)&lt;INDEX(FlowCalHighSetting,MATCH(N328,FlowCalNumber,0),1,1))),INDEX(FlowCalConstA,MATCH(N328,FlowCalNumber,0),1,1)*P339^INDEX(FlowCalConstB,MATCH(N328,FlowCalNumber,0),1,1)," ")</f>
        <v>#REF!</v>
      </c>
      <c r="R339" s="1224"/>
      <c r="S339" s="1217">
        <f t="shared" si="158"/>
        <v>1</v>
      </c>
      <c r="T339" s="1218" t="e">
        <f t="shared" ca="1" si="159"/>
        <v>#REF!</v>
      </c>
      <c r="U339" s="1219" t="e">
        <f ca="1">IF(AND(INDEX(FlowCalConstA,MATCH(R328,FlowCalNumber,0),1,1)*T339^INDEX(FlowCalConstB,MATCH(R328,FlowCalNumber,0),1,1)&gt;INDEX(FlowCalLowSetting,MATCH(R328,FlowCalNumber,0),1,1), (INDEX(FlowCalConstA,MATCH(R328,FlowCalNumber,0),1,1)*T339^INDEX(FlowCalConstB,MATCH(R328,FlowCalNumber,0),1,1)&lt;INDEX(FlowCalHighSetting,MATCH(R328,FlowCalNumber,0),1,1))),INDEX(FlowCalConstA,MATCH(R328,FlowCalNumber,0),1,1)*T339^INDEX(FlowCalConstB,MATCH(R328,FlowCalNumber,0),1,1)," ")</f>
        <v>#REF!</v>
      </c>
      <c r="V339" s="1224"/>
      <c r="W339" s="1217"/>
      <c r="X339" s="1218"/>
      <c r="Y339" s="1219"/>
      <c r="Z339" s="1224"/>
      <c r="AA339" s="1217"/>
      <c r="AB339" s="1218"/>
      <c r="AC339" s="1219"/>
      <c r="AD339" s="1224"/>
      <c r="AE339" s="1217"/>
      <c r="AF339" s="1218"/>
      <c r="AG339" s="1219"/>
      <c r="AH339" s="1224"/>
      <c r="AI339" s="1217"/>
      <c r="AJ339" s="1218"/>
      <c r="AK339" s="1220"/>
      <c r="AL339" s="1219"/>
      <c r="AM339" s="1219"/>
      <c r="AN339" s="1219"/>
      <c r="AO339" s="1219"/>
      <c r="AP339" s="1219"/>
      <c r="AQ339" s="1219"/>
      <c r="AR339" s="1219"/>
      <c r="AS339" s="1219"/>
      <c r="AT339" s="1219"/>
      <c r="AU339" s="1219"/>
      <c r="AV339" s="1219"/>
      <c r="AW339" s="1219"/>
      <c r="AX339" s="1219"/>
      <c r="AY339" s="1219"/>
      <c r="AZ339" s="1219"/>
      <c r="BA339" s="1219"/>
      <c r="BB339" s="1219"/>
      <c r="BC339" s="1219"/>
      <c r="BD339" s="1219"/>
      <c r="BE339" s="1219"/>
      <c r="BF339" s="1219"/>
      <c r="BG339" s="1219"/>
      <c r="BH339" s="1219"/>
      <c r="BI339" s="1219"/>
      <c r="BJ339" s="1219"/>
      <c r="BK339" s="1219"/>
      <c r="BL339" s="1219"/>
      <c r="BM339" s="1219"/>
      <c r="BN339" s="1219"/>
      <c r="BO339" s="1219"/>
      <c r="BP339" s="1219"/>
      <c r="BQ339" s="1219"/>
      <c r="BR339" s="1219"/>
      <c r="BS339" s="1219"/>
      <c r="BU339" s="1217"/>
      <c r="BW339" s="1219"/>
      <c r="BY339" s="1217"/>
      <c r="CA339" s="1219"/>
      <c r="CC339" s="1217"/>
      <c r="CE339" s="1219"/>
      <c r="CG339" s="1217"/>
      <c r="CI339" s="1219"/>
    </row>
    <row r="340" spans="1:87">
      <c r="A340" s="20"/>
      <c r="B340" s="124" t="str">
        <f t="shared" si="152"/>
        <v/>
      </c>
      <c r="C340" s="235"/>
      <c r="D340" s="24">
        <f>'1% Wind'!$M$93</f>
        <v>2.4</v>
      </c>
      <c r="E340" s="90"/>
      <c r="F340" s="90"/>
      <c r="G340" s="79" t="e">
        <f ca="1">IF(I328=0.9743,$G339,MAX(G339/D339*D340,2))</f>
        <v>#REF!</v>
      </c>
      <c r="H340" s="121" t="e">
        <f t="shared" ca="1" si="153"/>
        <v>#REF!</v>
      </c>
      <c r="J340" s="33"/>
      <c r="K340" s="242">
        <f t="shared" si="154"/>
        <v>1</v>
      </c>
      <c r="L340" s="241" t="e">
        <f t="shared" ca="1" si="155"/>
        <v>#REF!</v>
      </c>
      <c r="M340" s="243" t="e">
        <f ca="1">IF(AND(INDEX(FlowCalConstA,MATCH(J328,FlowCalNumber,0),1,1)*L340^INDEX(FlowCalConstB,MATCH(J328,FlowCalNumber,0),1,1)&gt;INDEX(FlowCalLowSetting,MATCH(J328,FlowCalNumber,0),1,1), (INDEX(FlowCalConstA,MATCH(J328,FlowCalNumber,0),1,1)*L340^INDEX(FlowCalConstB,MATCH(J328,FlowCalNumber,0),1,1)&lt;INDEX(FlowCalHighSetting,MATCH(J328,FlowCalNumber,0),1,1))),INDEX(FlowCalConstA,MATCH(J328,FlowCalNumber,0),1,1)*L340^INDEX(FlowCalConstB,MATCH(J328,FlowCalNumber,0),1,1)," ")</f>
        <v>#REF!</v>
      </c>
      <c r="N340" s="33"/>
      <c r="O340" s="242">
        <f t="shared" si="156"/>
        <v>1</v>
      </c>
      <c r="P340" s="241" t="e">
        <f t="shared" ca="1" si="157"/>
        <v>#REF!</v>
      </c>
      <c r="Q340" s="243" t="e">
        <f ca="1">IF(AND(INDEX(FlowCalConstA,MATCH(N328,FlowCalNumber,0),1,1)*P340^INDEX(FlowCalConstB,MATCH(N328,FlowCalNumber,0),1,1)&gt;INDEX(FlowCalLowSetting,MATCH(N328,FlowCalNumber,0),1,1), (INDEX(FlowCalConstA,MATCH(N328,FlowCalNumber,0),1,1)*P340^INDEX(FlowCalConstB,MATCH(N328,FlowCalNumber,0),1,1)&lt;INDEX(FlowCalHighSetting,MATCH(N328,FlowCalNumber,0),1,1))),INDEX(FlowCalConstA,MATCH(N328,FlowCalNumber,0),1,1)*P340^INDEX(FlowCalConstB,MATCH(N328,FlowCalNumber,0),1,1)," ")</f>
        <v>#REF!</v>
      </c>
      <c r="R340" s="33"/>
      <c r="S340" s="242">
        <f t="shared" si="158"/>
        <v>1</v>
      </c>
      <c r="T340" s="241" t="e">
        <f t="shared" ca="1" si="159"/>
        <v>#REF!</v>
      </c>
      <c r="U340" s="243" t="e">
        <f ca="1">IF(AND(INDEX(FlowCalConstA,MATCH(R328,FlowCalNumber,0),1,1)*T340^INDEX(FlowCalConstB,MATCH(R328,FlowCalNumber,0),1,1)&gt;INDEX(FlowCalLowSetting,MATCH(R328,FlowCalNumber,0),1,1), (INDEX(FlowCalConstA,MATCH(R328,FlowCalNumber,0),1,1)*T340^INDEX(FlowCalConstB,MATCH(R328,FlowCalNumber,0),1,1)&lt;INDEX(FlowCalHighSetting,MATCH(R328,FlowCalNumber,0),1,1))),INDEX(FlowCalConstA,MATCH(R328,FlowCalNumber,0),1,1)*T340^INDEX(FlowCalConstB,MATCH(R328,FlowCalNumber,0),1,1)," ")</f>
        <v>#REF!</v>
      </c>
      <c r="V340" s="33"/>
      <c r="W340" s="242"/>
      <c r="X340" s="241"/>
      <c r="Y340" s="243"/>
      <c r="Z340" s="33"/>
      <c r="AA340" s="242"/>
      <c r="AB340" s="241"/>
      <c r="AC340" s="243"/>
      <c r="AD340" s="33"/>
      <c r="AE340" s="242"/>
      <c r="AF340" s="241"/>
      <c r="AG340" s="243"/>
      <c r="AH340" s="33"/>
      <c r="AI340" s="242"/>
      <c r="AJ340" s="241"/>
      <c r="AK340" s="244"/>
      <c r="AL340" s="243"/>
      <c r="AM340" s="243"/>
      <c r="AN340" s="243"/>
      <c r="AO340" s="243"/>
      <c r="AP340" s="243"/>
      <c r="AQ340" s="243"/>
      <c r="AR340" s="243"/>
      <c r="AS340" s="243"/>
      <c r="AT340" s="243"/>
      <c r="AU340" s="243"/>
      <c r="AV340" s="243"/>
      <c r="AW340" s="243"/>
      <c r="AX340" s="243"/>
      <c r="AY340" s="243"/>
      <c r="AZ340" s="243"/>
      <c r="BA340" s="243"/>
      <c r="BB340" s="243"/>
      <c r="BC340" s="243"/>
      <c r="BD340" s="243"/>
      <c r="BE340" s="243"/>
      <c r="BF340" s="243"/>
      <c r="BG340" s="243"/>
      <c r="BH340" s="243"/>
      <c r="BI340" s="243"/>
      <c r="BJ340" s="243"/>
      <c r="BK340" s="243"/>
      <c r="BL340" s="243"/>
      <c r="BM340" s="243"/>
      <c r="BN340" s="243"/>
      <c r="BO340" s="243"/>
      <c r="BP340" s="243"/>
      <c r="BQ340" s="243"/>
      <c r="BR340" s="243"/>
      <c r="BS340" s="243"/>
      <c r="BU340" s="242"/>
      <c r="BW340" s="243"/>
      <c r="BY340" s="242"/>
      <c r="CA340" s="243"/>
      <c r="CC340" s="242"/>
      <c r="CE340" s="243"/>
      <c r="CG340" s="242"/>
      <c r="CI340" s="243"/>
    </row>
    <row r="341" spans="1:87" s="1215" customFormat="1">
      <c r="A341" s="1222"/>
      <c r="B341" s="1223" t="str">
        <f t="shared" si="152"/>
        <v/>
      </c>
      <c r="C341" s="1210"/>
      <c r="D341" s="1211">
        <f>'1% Wind'!$M$94</f>
        <v>1.8</v>
      </c>
      <c r="E341" s="1212"/>
      <c r="F341" s="1212"/>
      <c r="G341" s="1213" t="e">
        <f ca="1">IF(I328=0.9743,$G340,MAX(G340/D340*D341,2))</f>
        <v>#REF!</v>
      </c>
      <c r="H341" s="1214" t="e">
        <f t="shared" ca="1" si="153"/>
        <v>#REF!</v>
      </c>
      <c r="J341" s="1224"/>
      <c r="K341" s="1217">
        <f t="shared" si="154"/>
        <v>1</v>
      </c>
      <c r="L341" s="1218" t="e">
        <f t="shared" ca="1" si="155"/>
        <v>#REF!</v>
      </c>
      <c r="M341" s="1219" t="e">
        <f ca="1">IF(AND(INDEX(FlowCalConstA,MATCH(J328,FlowCalNumber,0),1,1)*L341^INDEX(FlowCalConstB,MATCH(J328,FlowCalNumber,0),1,1)&gt;INDEX(FlowCalLowSetting,MATCH(J328,FlowCalNumber,0),1,1), (INDEX(FlowCalConstA,MATCH(J328,FlowCalNumber,0),1,1)*L341^INDEX(FlowCalConstB,MATCH(J328,FlowCalNumber,0),1,1)&lt;INDEX(FlowCalHighSetting,MATCH(J328,FlowCalNumber,0),1,1))),INDEX(FlowCalConstA,MATCH(J328,FlowCalNumber,0),1,1)*L341^INDEX(FlowCalConstB,MATCH(J328,FlowCalNumber,0),1,1)," ")</f>
        <v>#REF!</v>
      </c>
      <c r="N341" s="1224"/>
      <c r="O341" s="1217">
        <f t="shared" si="156"/>
        <v>1</v>
      </c>
      <c r="P341" s="1218" t="e">
        <f t="shared" ca="1" si="157"/>
        <v>#REF!</v>
      </c>
      <c r="Q341" s="1219" t="e">
        <f ca="1">IF(AND(INDEX(FlowCalConstA,MATCH(N328,FlowCalNumber,0),1,1)*P341^INDEX(FlowCalConstB,MATCH(N328,FlowCalNumber,0),1,1)&gt;INDEX(FlowCalLowSetting,MATCH(N328,FlowCalNumber,0),1,1), (INDEX(FlowCalConstA,MATCH(N328,FlowCalNumber,0),1,1)*P341^INDEX(FlowCalConstB,MATCH(N328,FlowCalNumber,0),1,1)&lt;INDEX(FlowCalHighSetting,MATCH(N328,FlowCalNumber,0),1,1))),INDEX(FlowCalConstA,MATCH(N328,FlowCalNumber,0),1,1)*P341^INDEX(FlowCalConstB,MATCH(N328,FlowCalNumber,0),1,1)," ")</f>
        <v>#REF!</v>
      </c>
      <c r="R341" s="1224"/>
      <c r="S341" s="1217">
        <f t="shared" si="158"/>
        <v>1</v>
      </c>
      <c r="T341" s="1218" t="e">
        <f t="shared" ca="1" si="159"/>
        <v>#REF!</v>
      </c>
      <c r="U341" s="1219" t="e">
        <f ca="1">IF(AND(INDEX(FlowCalConstA,MATCH(R328,FlowCalNumber,0),1,1)*T341^INDEX(FlowCalConstB,MATCH(R328,FlowCalNumber,0),1,1)&gt;INDEX(FlowCalLowSetting,MATCH(R328,FlowCalNumber,0),1,1), (INDEX(FlowCalConstA,MATCH(R328,FlowCalNumber,0),1,1)*T341^INDEX(FlowCalConstB,MATCH(R328,FlowCalNumber,0),1,1)&lt;INDEX(FlowCalHighSetting,MATCH(R328,FlowCalNumber,0),1,1))),INDEX(FlowCalConstA,MATCH(R328,FlowCalNumber,0),1,1)*T341^INDEX(FlowCalConstB,MATCH(R328,FlowCalNumber,0),1,1)," ")</f>
        <v>#REF!</v>
      </c>
      <c r="V341" s="1224"/>
      <c r="W341" s="1217"/>
      <c r="X341" s="1218"/>
      <c r="Y341" s="1219"/>
      <c r="Z341" s="1224"/>
      <c r="AA341" s="1217"/>
      <c r="AB341" s="1218"/>
      <c r="AC341" s="1219"/>
      <c r="AD341" s="1224"/>
      <c r="AE341" s="1217"/>
      <c r="AF341" s="1218"/>
      <c r="AG341" s="1219"/>
      <c r="AH341" s="1224"/>
      <c r="AI341" s="1217"/>
      <c r="AJ341" s="1218"/>
      <c r="AK341" s="1220"/>
      <c r="AL341" s="1219"/>
      <c r="AM341" s="1219"/>
      <c r="AN341" s="1219"/>
      <c r="AO341" s="1219"/>
      <c r="AP341" s="1219"/>
      <c r="AQ341" s="1219"/>
      <c r="AR341" s="1219"/>
      <c r="AS341" s="1219"/>
      <c r="AT341" s="1219"/>
      <c r="AU341" s="1219"/>
      <c r="AV341" s="1219"/>
      <c r="AW341" s="1219"/>
      <c r="AX341" s="1219"/>
      <c r="AY341" s="1219"/>
      <c r="AZ341" s="1219"/>
      <c r="BA341" s="1219"/>
      <c r="BB341" s="1219"/>
      <c r="BC341" s="1219"/>
      <c r="BD341" s="1219"/>
      <c r="BE341" s="1219"/>
      <c r="BF341" s="1219"/>
      <c r="BG341" s="1219"/>
      <c r="BH341" s="1219"/>
      <c r="BI341" s="1219"/>
      <c r="BJ341" s="1219"/>
      <c r="BK341" s="1219"/>
      <c r="BL341" s="1219"/>
      <c r="BM341" s="1219"/>
      <c r="BN341" s="1219"/>
      <c r="BO341" s="1219"/>
      <c r="BP341" s="1219"/>
      <c r="BQ341" s="1219"/>
      <c r="BR341" s="1219"/>
      <c r="BS341" s="1219"/>
      <c r="BU341" s="1217"/>
      <c r="BW341" s="1219"/>
      <c r="BY341" s="1217"/>
      <c r="CA341" s="1219"/>
      <c r="CC341" s="1217"/>
      <c r="CE341" s="1219"/>
      <c r="CG341" s="1217"/>
      <c r="CI341" s="1219"/>
    </row>
    <row r="342" spans="1:87">
      <c r="A342" s="20"/>
      <c r="B342" s="124" t="str">
        <f t="shared" si="152"/>
        <v/>
      </c>
      <c r="C342" s="235"/>
      <c r="D342" s="24">
        <f>'1% Wind'!$M$95</f>
        <v>1.3</v>
      </c>
      <c r="E342" s="90"/>
      <c r="F342" s="90"/>
      <c r="G342" s="79" t="e">
        <f ca="1">IF(I328=0.9743,$G341,MAX(G341/D341*D342,2))</f>
        <v>#REF!</v>
      </c>
      <c r="H342" s="121" t="e">
        <f t="shared" ca="1" si="153"/>
        <v>#REF!</v>
      </c>
      <c r="J342" s="33"/>
      <c r="K342" s="242">
        <f t="shared" si="154"/>
        <v>1</v>
      </c>
      <c r="L342" s="241" t="e">
        <f t="shared" ca="1" si="155"/>
        <v>#REF!</v>
      </c>
      <c r="M342" s="243" t="e">
        <f ca="1">IF(AND(INDEX(FlowCalConstA,MATCH(J328,FlowCalNumber,0),1,1)*L342^INDEX(FlowCalConstB,MATCH(J328,FlowCalNumber,0),1,1)&gt;INDEX(FlowCalLowSetting,MATCH(J328,FlowCalNumber,0),1,1), (INDEX(FlowCalConstA,MATCH(J328,FlowCalNumber,0),1,1)*L342^INDEX(FlowCalConstB,MATCH(J328,FlowCalNumber,0),1,1)&lt;INDEX(FlowCalHighSetting,MATCH(J328,FlowCalNumber,0),1,1))),INDEX(FlowCalConstA,MATCH(J328,FlowCalNumber,0),1,1)*L342^INDEX(FlowCalConstB,MATCH(J328,FlowCalNumber,0),1,1)," ")</f>
        <v>#REF!</v>
      </c>
      <c r="N342" s="33"/>
      <c r="O342" s="242">
        <f t="shared" si="156"/>
        <v>1</v>
      </c>
      <c r="P342" s="241" t="e">
        <f t="shared" ca="1" si="157"/>
        <v>#REF!</v>
      </c>
      <c r="Q342" s="243" t="e">
        <f ca="1">IF(AND(INDEX(FlowCalConstA,MATCH(N328,FlowCalNumber,0),1,1)*P342^INDEX(FlowCalConstB,MATCH(N328,FlowCalNumber,0),1,1)&gt;INDEX(FlowCalLowSetting,MATCH(N328,FlowCalNumber,0),1,1), (INDEX(FlowCalConstA,MATCH(N328,FlowCalNumber,0),1,1)*P342^INDEX(FlowCalConstB,MATCH(N328,FlowCalNumber,0),1,1)&lt;INDEX(FlowCalHighSetting,MATCH(N328,FlowCalNumber,0),1,1))),INDEX(FlowCalConstA,MATCH(N328,FlowCalNumber,0),1,1)*P342^INDEX(FlowCalConstB,MATCH(N328,FlowCalNumber,0),1,1)," ")</f>
        <v>#REF!</v>
      </c>
      <c r="R342" s="33"/>
      <c r="S342" s="242">
        <f t="shared" si="158"/>
        <v>1</v>
      </c>
      <c r="T342" s="241" t="e">
        <f t="shared" ca="1" si="159"/>
        <v>#REF!</v>
      </c>
      <c r="U342" s="243" t="e">
        <f ca="1">IF(AND(INDEX(FlowCalConstA,MATCH(R328,FlowCalNumber,0),1,1)*T342^INDEX(FlowCalConstB,MATCH(R328,FlowCalNumber,0),1,1)&gt;INDEX(FlowCalLowSetting,MATCH(R328,FlowCalNumber,0),1,1), (INDEX(FlowCalConstA,MATCH(R328,FlowCalNumber,0),1,1)*T342^INDEX(FlowCalConstB,MATCH(R328,FlowCalNumber,0),1,1)&lt;INDEX(FlowCalHighSetting,MATCH(R328,FlowCalNumber,0),1,1))),INDEX(FlowCalConstA,MATCH(R328,FlowCalNumber,0),1,1)*T342^INDEX(FlowCalConstB,MATCH(R328,FlowCalNumber,0),1,1)," ")</f>
        <v>#REF!</v>
      </c>
      <c r="V342" s="33"/>
      <c r="W342" s="242"/>
      <c r="X342" s="241"/>
      <c r="Y342" s="243"/>
      <c r="Z342" s="33"/>
      <c r="AA342" s="242"/>
      <c r="AB342" s="241"/>
      <c r="AC342" s="243"/>
      <c r="AD342" s="33"/>
      <c r="AE342" s="242"/>
      <c r="AF342" s="241"/>
      <c r="AG342" s="243"/>
      <c r="AH342" s="33"/>
      <c r="AI342" s="242"/>
      <c r="AJ342" s="241"/>
      <c r="AK342" s="244"/>
      <c r="AL342" s="243"/>
      <c r="AM342" s="243"/>
      <c r="AN342" s="243"/>
      <c r="AO342" s="243"/>
      <c r="AP342" s="243"/>
      <c r="AQ342" s="243"/>
      <c r="AR342" s="243"/>
      <c r="AS342" s="243"/>
      <c r="AT342" s="243"/>
      <c r="AU342" s="243"/>
      <c r="AV342" s="243"/>
      <c r="AW342" s="243"/>
      <c r="AX342" s="243"/>
      <c r="AY342" s="243"/>
      <c r="AZ342" s="243"/>
      <c r="BA342" s="243"/>
      <c r="BB342" s="243"/>
      <c r="BC342" s="243"/>
      <c r="BD342" s="243"/>
      <c r="BE342" s="243"/>
      <c r="BF342" s="243"/>
      <c r="BG342" s="243"/>
      <c r="BH342" s="243"/>
      <c r="BI342" s="243"/>
      <c r="BJ342" s="243"/>
      <c r="BK342" s="243"/>
      <c r="BL342" s="243"/>
      <c r="BM342" s="243"/>
      <c r="BN342" s="243"/>
      <c r="BO342" s="243"/>
      <c r="BP342" s="243"/>
      <c r="BQ342" s="243"/>
      <c r="BR342" s="243"/>
      <c r="BS342" s="243"/>
      <c r="BU342" s="242"/>
      <c r="BW342" s="243"/>
      <c r="BY342" s="242"/>
      <c r="CA342" s="243"/>
      <c r="CC342" s="242"/>
      <c r="CE342" s="243"/>
      <c r="CG342" s="242"/>
      <c r="CI342" s="243"/>
    </row>
    <row r="343" spans="1:87" s="1215" customFormat="1">
      <c r="A343" s="1222"/>
      <c r="B343" s="1223" t="str">
        <f t="shared" si="152"/>
        <v/>
      </c>
      <c r="C343" s="1210"/>
      <c r="D343" s="1211">
        <f>'1% Wind'!$M$96</f>
        <v>1</v>
      </c>
      <c r="E343" s="1212"/>
      <c r="F343" s="1212"/>
      <c r="G343" s="1213" t="e">
        <f ca="1">IF(I328=0.9743,$G342,MAX(G342/D342*D343,2))</f>
        <v>#REF!</v>
      </c>
      <c r="H343" s="1214" t="e">
        <f t="shared" ca="1" si="153"/>
        <v>#REF!</v>
      </c>
      <c r="J343" s="1224"/>
      <c r="K343" s="1217">
        <f t="shared" si="154"/>
        <v>1</v>
      </c>
      <c r="L343" s="1218" t="e">
        <f t="shared" ca="1" si="155"/>
        <v>#REF!</v>
      </c>
      <c r="M343" s="1219" t="e">
        <f ca="1">IF(AND(INDEX(FlowCalConstA,MATCH(J328,FlowCalNumber,0),1,1)*L343^INDEX(FlowCalConstB,MATCH(J328,FlowCalNumber,0),1,1)&gt;INDEX(FlowCalLowSetting,MATCH(J328,FlowCalNumber,0),1,1), (INDEX(FlowCalConstA,MATCH(J328,FlowCalNumber,0),1,1)*L343^INDEX(FlowCalConstB,MATCH(J328,FlowCalNumber,0),1,1)&lt;INDEX(FlowCalHighSetting,MATCH(J328,FlowCalNumber,0),1,1))),INDEX(FlowCalConstA,MATCH(J328,FlowCalNumber,0),1,1)*L343^INDEX(FlowCalConstB,MATCH(J328,FlowCalNumber,0),1,1)," ")</f>
        <v>#REF!</v>
      </c>
      <c r="N343" s="1224"/>
      <c r="O343" s="1217">
        <f t="shared" si="156"/>
        <v>1</v>
      </c>
      <c r="P343" s="1218" t="e">
        <f t="shared" ca="1" si="157"/>
        <v>#REF!</v>
      </c>
      <c r="Q343" s="1219" t="e">
        <f ca="1">IF(AND(INDEX(FlowCalConstA,MATCH(N328,FlowCalNumber,0),1,1)*P343^INDEX(FlowCalConstB,MATCH(N328,FlowCalNumber,0),1,1)&gt;INDEX(FlowCalLowSetting,MATCH(N328,FlowCalNumber,0),1,1), (INDEX(FlowCalConstA,MATCH(N328,FlowCalNumber,0),1,1)*P343^INDEX(FlowCalConstB,MATCH(N328,FlowCalNumber,0),1,1)&lt;INDEX(FlowCalHighSetting,MATCH(N328,FlowCalNumber,0),1,1))),INDEX(FlowCalConstA,MATCH(N328,FlowCalNumber,0),1,1)*P343^INDEX(FlowCalConstB,MATCH(N328,FlowCalNumber,0),1,1)," ")</f>
        <v>#REF!</v>
      </c>
      <c r="R343" s="1224"/>
      <c r="S343" s="1217">
        <f t="shared" si="158"/>
        <v>1</v>
      </c>
      <c r="T343" s="1218" t="e">
        <f t="shared" ca="1" si="159"/>
        <v>#REF!</v>
      </c>
      <c r="U343" s="1219" t="e">
        <f ca="1">IF(AND(INDEX(FlowCalConstA,MATCH(R328,FlowCalNumber,0),1,1)*T343^INDEX(FlowCalConstB,MATCH(R328,FlowCalNumber,0),1,1)&gt;INDEX(FlowCalLowSetting,MATCH(R328,FlowCalNumber,0),1,1), (INDEX(FlowCalConstA,MATCH(R328,FlowCalNumber,0),1,1)*T343^INDEX(FlowCalConstB,MATCH(R328,FlowCalNumber,0),1,1)&lt;INDEX(FlowCalHighSetting,MATCH(R328,FlowCalNumber,0),1,1))),INDEX(FlowCalConstA,MATCH(R328,FlowCalNumber,0),1,1)*T343^INDEX(FlowCalConstB,MATCH(R328,FlowCalNumber,0),1,1)," ")</f>
        <v>#REF!</v>
      </c>
      <c r="V343" s="1224"/>
      <c r="W343" s="1217"/>
      <c r="X343" s="1218"/>
      <c r="Y343" s="1219"/>
      <c r="Z343" s="1224"/>
      <c r="AA343" s="1217"/>
      <c r="AB343" s="1218"/>
      <c r="AC343" s="1219"/>
      <c r="AD343" s="1224"/>
      <c r="AE343" s="1217"/>
      <c r="AF343" s="1218"/>
      <c r="AG343" s="1219"/>
      <c r="AH343" s="1224"/>
      <c r="AI343" s="1217"/>
      <c r="AJ343" s="1218"/>
      <c r="AK343" s="1220"/>
      <c r="AL343" s="1219"/>
      <c r="AM343" s="1219"/>
      <c r="AN343" s="1219"/>
      <c r="AO343" s="1219"/>
      <c r="AP343" s="1219"/>
      <c r="AQ343" s="1219"/>
      <c r="AR343" s="1219"/>
      <c r="AS343" s="1219"/>
      <c r="AT343" s="1219"/>
      <c r="AU343" s="1219"/>
      <c r="AV343" s="1219"/>
      <c r="AW343" s="1219"/>
      <c r="AX343" s="1219"/>
      <c r="AY343" s="1219"/>
      <c r="AZ343" s="1219"/>
      <c r="BA343" s="1219"/>
      <c r="BB343" s="1219"/>
      <c r="BC343" s="1219"/>
      <c r="BD343" s="1219"/>
      <c r="BE343" s="1219"/>
      <c r="BF343" s="1219"/>
      <c r="BG343" s="1219"/>
      <c r="BH343" s="1219"/>
      <c r="BI343" s="1219"/>
      <c r="BJ343" s="1219"/>
      <c r="BK343" s="1219"/>
      <c r="BL343" s="1219"/>
      <c r="BM343" s="1219"/>
      <c r="BN343" s="1219"/>
      <c r="BO343" s="1219"/>
      <c r="BP343" s="1219"/>
      <c r="BQ343" s="1219"/>
      <c r="BR343" s="1219"/>
      <c r="BS343" s="1219"/>
      <c r="BU343" s="1217"/>
      <c r="BW343" s="1219"/>
      <c r="BY343" s="1217"/>
      <c r="CA343" s="1219"/>
      <c r="CC343" s="1217"/>
      <c r="CE343" s="1219"/>
      <c r="CG343" s="1217"/>
      <c r="CI343" s="1219"/>
    </row>
    <row r="344" spans="1:87">
      <c r="A344" s="33"/>
      <c r="B344" s="33"/>
      <c r="C344" s="235"/>
      <c r="E344" s="90"/>
      <c r="F344" s="90"/>
      <c r="G344" s="33"/>
      <c r="J344" s="33"/>
      <c r="M344" s="243"/>
      <c r="N344" s="33"/>
      <c r="Q344" s="243"/>
      <c r="R344" s="33"/>
      <c r="U344" s="243"/>
      <c r="V344" s="33"/>
      <c r="Y344" s="243"/>
      <c r="Z344" s="33"/>
      <c r="AC344" s="243"/>
      <c r="AD344" s="33"/>
      <c r="AG344" s="243"/>
      <c r="AH344" s="33"/>
      <c r="AK344" s="244"/>
      <c r="AL344" s="243"/>
      <c r="AM344" s="243"/>
      <c r="AN344" s="243"/>
      <c r="AO344" s="243"/>
      <c r="AP344" s="243"/>
      <c r="AQ344" s="243"/>
      <c r="AR344" s="243"/>
      <c r="AS344" s="243"/>
      <c r="AT344" s="243"/>
      <c r="AU344" s="243"/>
      <c r="AV344" s="243"/>
      <c r="AW344" s="243"/>
      <c r="AX344" s="243"/>
      <c r="AY344" s="243"/>
      <c r="AZ344" s="243"/>
      <c r="BA344" s="243"/>
      <c r="BB344" s="243"/>
      <c r="BC344" s="243"/>
      <c r="BD344" s="243"/>
      <c r="BE344" s="243"/>
      <c r="BF344" s="243"/>
      <c r="BG344" s="243"/>
      <c r="BH344" s="243"/>
      <c r="BI344" s="243"/>
      <c r="BJ344" s="243"/>
      <c r="BK344" s="243"/>
      <c r="BL344" s="243"/>
      <c r="BM344" s="243"/>
      <c r="BN344" s="243"/>
      <c r="BO344" s="243"/>
      <c r="BP344" s="243"/>
      <c r="BQ344" s="243"/>
      <c r="BR344" s="243"/>
      <c r="BS344" s="243"/>
      <c r="BW344" s="243"/>
      <c r="CA344" s="243"/>
      <c r="CE344" s="243"/>
      <c r="CI344" s="243"/>
    </row>
    <row r="345" spans="1:87">
      <c r="A345" s="256" t="str">
        <f>IF((RIGHT(A328,1))&lt;&gt;"Z",CHAR(CODE(A328))&amp;CHAR(CODE(RIGHT(A328,1))+1),CHAR(CODE(A328)+1)&amp;"A")</f>
        <v>AT</v>
      </c>
      <c r="B345" s="270" t="e">
        <f>INDEX(SourceID,MATCH($A345,SourceNumber,0),1,1)</f>
        <v>#N/A</v>
      </c>
      <c r="C345" s="354" t="e">
        <f>INDEX(SourceExitDiameter,MATCH($A345,SourceNumber,0),1,1)*3.28*12</f>
        <v>#N/A</v>
      </c>
      <c r="D345" s="24" t="str">
        <f>UAnem1percent</f>
        <v>1% Wind</v>
      </c>
      <c r="E345" s="350" t="e">
        <f ca="1">INDIRECT(ADDRESS(53,6,1,,CONCATENATE("TA",$A345)))</f>
        <v>#REF!</v>
      </c>
      <c r="F345" s="625" t="e">
        <f ca="1">(ROUND((INDIRECT(ADDRESS(15,7,1,,CONCATENATE("TA",$A345)))*3.28*12*32),0)&amp;"/32")</f>
        <v>#REF!</v>
      </c>
      <c r="G345" s="125" t="e">
        <f ca="1">INDIRECT(ADDRESS(29,7,1,,$A345))</f>
        <v>#REF!</v>
      </c>
      <c r="H345" s="24" t="e">
        <f ca="1">INDIRECT(ADDRESS(19,7,1,,$A345))*100^3</f>
        <v>#REF!</v>
      </c>
      <c r="I345" s="941" t="e">
        <f ca="1">INDIRECT(ADDRESS(53,7,1,,$A345))</f>
        <v>#REF!</v>
      </c>
      <c r="J345" s="20" t="e">
        <f ca="1">IF($I345=$I$6,K$16&amp;$G$6&amp;J$6,IF($I345=$I$7,K$16&amp;$G$7&amp;J$7,"Bad"))</f>
        <v>#REF!</v>
      </c>
      <c r="K345" t="e">
        <f ca="1">INDEX(FlowCalGasMixture,MATCH(J345,FlowCalNumber,0),1,1)</f>
        <v>#REF!</v>
      </c>
      <c r="M345" s="944" t="e">
        <f ca="1">INDEX(FlowCalDevice,MATCH(J345,FlowCalNumber,0),1,1)</f>
        <v>#REF!</v>
      </c>
      <c r="N345" s="20" t="e">
        <f ca="1">IF($I345=$I$6,O$16&amp;$G$6&amp;N$6,IF($I345=$I$7,O$16&amp;$G$7&amp;N$7,"Bad"))</f>
        <v>#REF!</v>
      </c>
      <c r="O345" t="e">
        <f ca="1">INDEX(FlowCalGasMixture,MATCH(N345,FlowCalNumber,0),1,1)</f>
        <v>#REF!</v>
      </c>
      <c r="Q345" s="944" t="e">
        <f ca="1">INDEX(FlowCalDevice,MATCH(N345,FlowCalNumber,0),1,1)</f>
        <v>#REF!</v>
      </c>
      <c r="R345" s="20" t="e">
        <f ca="1">IF($I345=$I$6,S$16&amp;$G$6&amp;R$6,IF($I345=$I$7,S$16&amp;$G$7&amp;R$7,"Bad"))</f>
        <v>#REF!</v>
      </c>
      <c r="S345" t="e">
        <f ca="1">INDEX(FlowCalGasMixture,MATCH(R345,FlowCalNumber,0),1,1)</f>
        <v>#REF!</v>
      </c>
      <c r="U345" s="944" t="e">
        <f ca="1">INDEX(FlowCalDevice,MATCH(R345,FlowCalNumber,0),1,1)</f>
        <v>#REF!</v>
      </c>
      <c r="V345" s="20"/>
      <c r="Y345" s="944"/>
      <c r="Z345" s="946"/>
      <c r="AC345" s="944"/>
      <c r="AD345" s="20"/>
      <c r="AG345" s="944"/>
      <c r="AH345" s="946"/>
      <c r="AK345" s="982"/>
      <c r="AL345" s="355"/>
      <c r="AM345" s="355"/>
      <c r="AN345" s="355"/>
      <c r="AO345" s="355"/>
      <c r="AP345" s="355"/>
      <c r="AQ345" s="355"/>
      <c r="AR345" s="355"/>
      <c r="AS345" s="355"/>
      <c r="AT345" s="355"/>
      <c r="AU345" s="355"/>
      <c r="AV345" s="355"/>
      <c r="AW345" s="355"/>
      <c r="AX345" s="355"/>
      <c r="AY345" s="355"/>
      <c r="AZ345" s="355"/>
      <c r="BA345" s="355"/>
      <c r="BB345" s="355"/>
      <c r="BC345" s="355"/>
      <c r="BD345" s="355"/>
      <c r="BE345" s="355"/>
      <c r="BF345" s="355"/>
      <c r="BG345" s="355"/>
      <c r="BH345" s="355"/>
      <c r="BI345" s="355"/>
      <c r="BJ345" s="355"/>
      <c r="BK345" s="355"/>
      <c r="BL345" s="355"/>
      <c r="BM345" s="355"/>
      <c r="BN345" s="355"/>
      <c r="BO345" s="355"/>
      <c r="BP345" s="355"/>
      <c r="BQ345" s="355"/>
      <c r="BR345" s="355"/>
      <c r="BS345" s="355"/>
      <c r="BT345" s="46"/>
      <c r="BU345" s="16"/>
      <c r="BW345" s="355"/>
      <c r="BX345" s="42"/>
      <c r="BY345" s="16"/>
      <c r="CA345" s="355"/>
      <c r="CB345" s="42"/>
      <c r="CC345" s="16"/>
      <c r="CE345" s="355"/>
      <c r="CF345" s="42"/>
      <c r="CG345" s="16"/>
      <c r="CI345" s="355"/>
    </row>
    <row r="346" spans="1:87" s="1215" customFormat="1">
      <c r="A346" s="1222"/>
      <c r="B346" s="1223" t="str">
        <f t="shared" ref="B346:B360" si="160">IF(D346=UAnem1percent,"1% Wind","")</f>
        <v/>
      </c>
      <c r="C346" s="1210"/>
      <c r="D346" s="1211">
        <f>'1% Wind'!$M$82</f>
        <v>27</v>
      </c>
      <c r="E346" s="1212"/>
      <c r="F346" s="1212"/>
      <c r="G346" s="1364">
        <v>2</v>
      </c>
      <c r="H346" s="1214" t="e">
        <f t="shared" ref="H346:H360" ca="1" si="161">H345*(D345/D346)*(G346/G345)</f>
        <v>#REF!</v>
      </c>
      <c r="J346" s="1224"/>
      <c r="K346" s="1221">
        <f>K$17/100</f>
        <v>1</v>
      </c>
      <c r="L346" s="1218" t="e">
        <f ca="1">K346*$H346</f>
        <v>#REF!</v>
      </c>
      <c r="M346" s="1219" t="e">
        <f ca="1">IF(AND(INDEX(FlowCalConstA,MATCH(J345,FlowCalNumber,0),1,1)*L346^INDEX(FlowCalConstB,MATCH(J345,FlowCalNumber,0),1,1)&gt;INDEX(FlowCalLowSetting,MATCH(J345,FlowCalNumber,0),1,1), (INDEX(FlowCalConstA,MATCH(J345,FlowCalNumber,0),1,1)*L346^INDEX(FlowCalConstB,MATCH(J345,FlowCalNumber,0),1,1)&lt;INDEX(FlowCalHighSetting,MATCH(J345,FlowCalNumber,0),1,1))),INDEX(FlowCalConstA,MATCH(J345,FlowCalNumber,0),1,1)*L346^INDEX(FlowCalConstB,MATCH(J345,FlowCalNumber,0),1,1)," ")</f>
        <v>#REF!</v>
      </c>
      <c r="N346" s="1224"/>
      <c r="O346" s="1221">
        <f>O$17/100</f>
        <v>1</v>
      </c>
      <c r="P346" s="1218" t="e">
        <f ca="1">O346*$H346</f>
        <v>#REF!</v>
      </c>
      <c r="Q346" s="1219" t="e">
        <f ca="1">IF(AND(INDEX(FlowCalConstA,MATCH(N345,FlowCalNumber,0),1,1)*P346^INDEX(FlowCalConstB,MATCH(N345,FlowCalNumber,0),1,1)&gt;INDEX(FlowCalLowSetting,MATCH(N345,FlowCalNumber,0),1,1), (INDEX(FlowCalConstA,MATCH(N345,FlowCalNumber,0),1,1)*P346^INDEX(FlowCalConstB,MATCH(N345,FlowCalNumber,0),1,1)&lt;INDEX(FlowCalHighSetting,MATCH(N345,FlowCalNumber,0),1,1))),INDEX(FlowCalConstA,MATCH(N345,FlowCalNumber,0),1,1)*P346^INDEX(FlowCalConstB,MATCH(N345,FlowCalNumber,0),1,1)," ")</f>
        <v>#REF!</v>
      </c>
      <c r="R346" s="1224"/>
      <c r="S346" s="1221">
        <f>S$17/100</f>
        <v>1</v>
      </c>
      <c r="T346" s="1218" t="e">
        <f ca="1">S346*$H346</f>
        <v>#REF!</v>
      </c>
      <c r="U346" s="1219" t="e">
        <f ca="1">IF(AND(INDEX(FlowCalConstA,MATCH(R345,FlowCalNumber,0),1,1)*T346^INDEX(FlowCalConstB,MATCH(R345,FlowCalNumber,0),1,1)&gt;INDEX(FlowCalLowSetting,MATCH(R345,FlowCalNumber,0),1,1), (INDEX(FlowCalConstA,MATCH(R345,FlowCalNumber,0),1,1)*T346^INDEX(FlowCalConstB,MATCH(R345,FlowCalNumber,0),1,1)&lt;INDEX(FlowCalHighSetting,MATCH(R345,FlowCalNumber,0),1,1))),INDEX(FlowCalConstA,MATCH(R345,FlowCalNumber,0),1,1)*T346^INDEX(FlowCalConstB,MATCH(R345,FlowCalNumber,0),1,1)," ")</f>
        <v>#REF!</v>
      </c>
      <c r="V346" s="1224"/>
      <c r="W346" s="1221"/>
      <c r="X346" s="1218"/>
      <c r="Y346" s="1219"/>
      <c r="Z346" s="1224"/>
      <c r="AA346" s="1221"/>
      <c r="AB346" s="1218"/>
      <c r="AC346" s="1219"/>
      <c r="AD346" s="1224"/>
      <c r="AE346" s="1221"/>
      <c r="AF346" s="1218"/>
      <c r="AG346" s="1219"/>
      <c r="AH346" s="1224"/>
      <c r="AI346" s="1221"/>
      <c r="AJ346" s="1218"/>
      <c r="AK346" s="1220"/>
      <c r="AL346" s="1219"/>
      <c r="AM346" s="1219"/>
      <c r="AN346" s="1219"/>
      <c r="AO346" s="1219"/>
      <c r="AP346" s="1219"/>
      <c r="AQ346" s="1219"/>
      <c r="AR346" s="1219"/>
      <c r="AS346" s="1219"/>
      <c r="AT346" s="1219"/>
      <c r="AU346" s="1219"/>
      <c r="AV346" s="1219"/>
      <c r="AW346" s="1219"/>
      <c r="AX346" s="1219"/>
      <c r="AY346" s="1219"/>
      <c r="AZ346" s="1219"/>
      <c r="BA346" s="1219"/>
      <c r="BB346" s="1219"/>
      <c r="BC346" s="1219"/>
      <c r="BD346" s="1219"/>
      <c r="BE346" s="1219"/>
      <c r="BF346" s="1219"/>
      <c r="BG346" s="1219"/>
      <c r="BH346" s="1219"/>
      <c r="BI346" s="1219"/>
      <c r="BJ346" s="1219"/>
      <c r="BK346" s="1219"/>
      <c r="BL346" s="1219"/>
      <c r="BM346" s="1219"/>
      <c r="BN346" s="1219"/>
      <c r="BO346" s="1219"/>
      <c r="BP346" s="1219"/>
      <c r="BQ346" s="1219"/>
      <c r="BR346" s="1219"/>
      <c r="BS346" s="1219"/>
      <c r="BU346" s="1225"/>
      <c r="BW346" s="1219"/>
      <c r="BY346" s="1225"/>
      <c r="CA346" s="1219"/>
      <c r="CC346" s="1225"/>
      <c r="CE346" s="1219"/>
      <c r="CG346" s="1221"/>
      <c r="CI346" s="1219"/>
    </row>
    <row r="347" spans="1:87">
      <c r="A347" s="20"/>
      <c r="B347" s="124" t="str">
        <f t="shared" si="160"/>
        <v/>
      </c>
      <c r="C347" s="235"/>
      <c r="D347" s="24">
        <f>'1% Wind'!$M$83</f>
        <v>23.5</v>
      </c>
      <c r="E347" s="90"/>
      <c r="F347" s="90"/>
      <c r="G347" s="79" t="e">
        <f ca="1">IF(I345=0.9743,$G346,MAX(G346/D346*D347,2))</f>
        <v>#REF!</v>
      </c>
      <c r="H347" s="121" t="e">
        <f t="shared" ca="1" si="161"/>
        <v>#REF!</v>
      </c>
      <c r="J347" s="33"/>
      <c r="K347" s="242">
        <f t="shared" ref="K347:K360" si="162">K346</f>
        <v>1</v>
      </c>
      <c r="L347" s="241" t="e">
        <f t="shared" ref="L347:L360" ca="1" si="163">K347*$H347</f>
        <v>#REF!</v>
      </c>
      <c r="M347" s="243" t="e">
        <f ca="1">IF(AND(INDEX(FlowCalConstA,MATCH(J345,FlowCalNumber,0),1,1)*L347^INDEX(FlowCalConstB,MATCH(J345,FlowCalNumber,0),1,1)&gt;INDEX(FlowCalLowSetting,MATCH(J345,FlowCalNumber,0),1,1), (INDEX(FlowCalConstA,MATCH(J345,FlowCalNumber,0),1,1)*L347^INDEX(FlowCalConstB,MATCH(J345,FlowCalNumber,0),1,1)&lt;INDEX(FlowCalHighSetting,MATCH(J345,FlowCalNumber,0),1,1))),INDEX(FlowCalConstA,MATCH(J345,FlowCalNumber,0),1,1)*L347^INDEX(FlowCalConstB,MATCH(J345,FlowCalNumber,0),1,1)," ")</f>
        <v>#REF!</v>
      </c>
      <c r="N347" s="33"/>
      <c r="O347" s="242">
        <f t="shared" ref="O347:O360" si="164">O346</f>
        <v>1</v>
      </c>
      <c r="P347" s="241" t="e">
        <f t="shared" ref="P347:P360" ca="1" si="165">O347*$H347</f>
        <v>#REF!</v>
      </c>
      <c r="Q347" s="243" t="e">
        <f ca="1">IF(AND(INDEX(FlowCalConstA,MATCH(N345,FlowCalNumber,0),1,1)*P347^INDEX(FlowCalConstB,MATCH(N345,FlowCalNumber,0),1,1)&gt;INDEX(FlowCalLowSetting,MATCH(N345,FlowCalNumber,0),1,1), (INDEX(FlowCalConstA,MATCH(N345,FlowCalNumber,0),1,1)*P347^INDEX(FlowCalConstB,MATCH(N345,FlowCalNumber,0),1,1)&lt;INDEX(FlowCalHighSetting,MATCH(N345,FlowCalNumber,0),1,1))),INDEX(FlowCalConstA,MATCH(N345,FlowCalNumber,0),1,1)*P347^INDEX(FlowCalConstB,MATCH(N345,FlowCalNumber,0),1,1)," ")</f>
        <v>#REF!</v>
      </c>
      <c r="R347" s="33"/>
      <c r="S347" s="242">
        <f t="shared" ref="S347:S360" si="166">S346</f>
        <v>1</v>
      </c>
      <c r="T347" s="241" t="e">
        <f t="shared" ref="T347:T360" ca="1" si="167">S347*$H347</f>
        <v>#REF!</v>
      </c>
      <c r="U347" s="243" t="e">
        <f ca="1">IF(AND(INDEX(FlowCalConstA,MATCH(R345,FlowCalNumber,0),1,1)*T347^INDEX(FlowCalConstB,MATCH(R345,FlowCalNumber,0),1,1)&gt;INDEX(FlowCalLowSetting,MATCH(R345,FlowCalNumber,0),1,1), (INDEX(FlowCalConstA,MATCH(R345,FlowCalNumber,0),1,1)*T347^INDEX(FlowCalConstB,MATCH(R345,FlowCalNumber,0),1,1)&lt;INDEX(FlowCalHighSetting,MATCH(R345,FlowCalNumber,0),1,1))),INDEX(FlowCalConstA,MATCH(R345,FlowCalNumber,0),1,1)*T347^INDEX(FlowCalConstB,MATCH(R345,FlowCalNumber,0),1,1)," ")</f>
        <v>#REF!</v>
      </c>
      <c r="V347" s="33"/>
      <c r="W347" s="242"/>
      <c r="X347" s="241"/>
      <c r="Y347" s="243"/>
      <c r="Z347" s="33"/>
      <c r="AA347" s="242"/>
      <c r="AB347" s="241"/>
      <c r="AC347" s="243"/>
      <c r="AD347" s="33"/>
      <c r="AE347" s="242"/>
      <c r="AF347" s="241"/>
      <c r="AG347" s="243"/>
      <c r="AH347" s="33"/>
      <c r="AI347" s="242"/>
      <c r="AJ347" s="241"/>
      <c r="AK347" s="244"/>
      <c r="AL347" s="243"/>
      <c r="AM347" s="243"/>
      <c r="AN347" s="243"/>
      <c r="AO347" s="243"/>
      <c r="AP347" s="243"/>
      <c r="AQ347" s="243"/>
      <c r="AR347" s="243"/>
      <c r="AS347" s="243"/>
      <c r="AT347" s="243"/>
      <c r="AU347" s="243"/>
      <c r="AV347" s="243"/>
      <c r="AW347" s="243"/>
      <c r="AX347" s="243"/>
      <c r="AY347" s="243"/>
      <c r="AZ347" s="243"/>
      <c r="BA347" s="243"/>
      <c r="BB347" s="243"/>
      <c r="BC347" s="243"/>
      <c r="BD347" s="243"/>
      <c r="BE347" s="243"/>
      <c r="BF347" s="243"/>
      <c r="BG347" s="243"/>
      <c r="BH347" s="243"/>
      <c r="BI347" s="243"/>
      <c r="BJ347" s="243"/>
      <c r="BK347" s="243"/>
      <c r="BL347" s="243"/>
      <c r="BM347" s="243"/>
      <c r="BN347" s="243"/>
      <c r="BO347" s="243"/>
      <c r="BP347" s="243"/>
      <c r="BQ347" s="243"/>
      <c r="BR347" s="243"/>
      <c r="BS347" s="243"/>
      <c r="BU347" s="242"/>
      <c r="BW347" s="243"/>
      <c r="BY347" s="242"/>
      <c r="CA347" s="243"/>
      <c r="CC347" s="242"/>
      <c r="CE347" s="243"/>
      <c r="CG347" s="242"/>
      <c r="CI347" s="243"/>
    </row>
    <row r="348" spans="1:87" s="1215" customFormat="1">
      <c r="A348" s="1222"/>
      <c r="B348" s="1223" t="str">
        <f t="shared" si="160"/>
        <v/>
      </c>
      <c r="C348" s="1210"/>
      <c r="D348" s="1211">
        <f>'1% Wind'!$M$84</f>
        <v>20.5</v>
      </c>
      <c r="E348" s="1212"/>
      <c r="F348" s="1212"/>
      <c r="G348" s="1213" t="e">
        <f ca="1">IF(I345=0.9743,$G347,MAX(G347/D347*D348,2))</f>
        <v>#REF!</v>
      </c>
      <c r="H348" s="1214" t="e">
        <f t="shared" ca="1" si="161"/>
        <v>#REF!</v>
      </c>
      <c r="J348" s="1224"/>
      <c r="K348" s="1217">
        <f t="shared" si="162"/>
        <v>1</v>
      </c>
      <c r="L348" s="1218" t="e">
        <f t="shared" ca="1" si="163"/>
        <v>#REF!</v>
      </c>
      <c r="M348" s="1219" t="e">
        <f ca="1">IF(AND(INDEX(FlowCalConstA,MATCH(J345,FlowCalNumber,0),1,1)*L348^INDEX(FlowCalConstB,MATCH(J345,FlowCalNumber,0),1,1)&gt;INDEX(FlowCalLowSetting,MATCH(J345,FlowCalNumber,0),1,1), (INDEX(FlowCalConstA,MATCH(J345,FlowCalNumber,0),1,1)*L348^INDEX(FlowCalConstB,MATCH(J345,FlowCalNumber,0),1,1)&lt;INDEX(FlowCalHighSetting,MATCH(J345,FlowCalNumber,0),1,1))),INDEX(FlowCalConstA,MATCH(J345,FlowCalNumber,0),1,1)*L348^INDEX(FlowCalConstB,MATCH(J345,FlowCalNumber,0),1,1)," ")</f>
        <v>#REF!</v>
      </c>
      <c r="N348" s="1224"/>
      <c r="O348" s="1217">
        <f t="shared" si="164"/>
        <v>1</v>
      </c>
      <c r="P348" s="1218" t="e">
        <f t="shared" ca="1" si="165"/>
        <v>#REF!</v>
      </c>
      <c r="Q348" s="1219" t="e">
        <f ca="1">IF(AND(INDEX(FlowCalConstA,MATCH(N345,FlowCalNumber,0),1,1)*P348^INDEX(FlowCalConstB,MATCH(N345,FlowCalNumber,0),1,1)&gt;INDEX(FlowCalLowSetting,MATCH(N345,FlowCalNumber,0),1,1), (INDEX(FlowCalConstA,MATCH(N345,FlowCalNumber,0),1,1)*P348^INDEX(FlowCalConstB,MATCH(N345,FlowCalNumber,0),1,1)&lt;INDEX(FlowCalHighSetting,MATCH(N345,FlowCalNumber,0),1,1))),INDEX(FlowCalConstA,MATCH(N345,FlowCalNumber,0),1,1)*P348^INDEX(FlowCalConstB,MATCH(N345,FlowCalNumber,0),1,1)," ")</f>
        <v>#REF!</v>
      </c>
      <c r="R348" s="1224"/>
      <c r="S348" s="1217">
        <f t="shared" si="166"/>
        <v>1</v>
      </c>
      <c r="T348" s="1218" t="e">
        <f t="shared" ca="1" si="167"/>
        <v>#REF!</v>
      </c>
      <c r="U348" s="1219" t="e">
        <f ca="1">IF(AND(INDEX(FlowCalConstA,MATCH(R345,FlowCalNumber,0),1,1)*T348^INDEX(FlowCalConstB,MATCH(R345,FlowCalNumber,0),1,1)&gt;INDEX(FlowCalLowSetting,MATCH(R345,FlowCalNumber,0),1,1), (INDEX(FlowCalConstA,MATCH(R345,FlowCalNumber,0),1,1)*T348^INDEX(FlowCalConstB,MATCH(R345,FlowCalNumber,0),1,1)&lt;INDEX(FlowCalHighSetting,MATCH(R345,FlowCalNumber,0),1,1))),INDEX(FlowCalConstA,MATCH(R345,FlowCalNumber,0),1,1)*T348^INDEX(FlowCalConstB,MATCH(R345,FlowCalNumber,0),1,1)," ")</f>
        <v>#REF!</v>
      </c>
      <c r="V348" s="1224"/>
      <c r="W348" s="1217"/>
      <c r="X348" s="1218"/>
      <c r="Y348" s="1219"/>
      <c r="Z348" s="1224"/>
      <c r="AA348" s="1217"/>
      <c r="AB348" s="1218"/>
      <c r="AC348" s="1219"/>
      <c r="AD348" s="1224"/>
      <c r="AE348" s="1217"/>
      <c r="AF348" s="1218"/>
      <c r="AG348" s="1219"/>
      <c r="AH348" s="1224"/>
      <c r="AI348" s="1217"/>
      <c r="AJ348" s="1218"/>
      <c r="AK348" s="1220"/>
      <c r="AL348" s="1219"/>
      <c r="AM348" s="1219"/>
      <c r="AN348" s="1219"/>
      <c r="AO348" s="1219"/>
      <c r="AP348" s="1219"/>
      <c r="AQ348" s="1219"/>
      <c r="AR348" s="1219"/>
      <c r="AS348" s="1219"/>
      <c r="AT348" s="1219"/>
      <c r="AU348" s="1219"/>
      <c r="AV348" s="1219"/>
      <c r="AW348" s="1219"/>
      <c r="AX348" s="1219"/>
      <c r="AY348" s="1219"/>
      <c r="AZ348" s="1219"/>
      <c r="BA348" s="1219"/>
      <c r="BB348" s="1219"/>
      <c r="BC348" s="1219"/>
      <c r="BD348" s="1219"/>
      <c r="BE348" s="1219"/>
      <c r="BF348" s="1219"/>
      <c r="BG348" s="1219"/>
      <c r="BH348" s="1219"/>
      <c r="BI348" s="1219"/>
      <c r="BJ348" s="1219"/>
      <c r="BK348" s="1219"/>
      <c r="BL348" s="1219"/>
      <c r="BM348" s="1219"/>
      <c r="BN348" s="1219"/>
      <c r="BO348" s="1219"/>
      <c r="BP348" s="1219"/>
      <c r="BQ348" s="1219"/>
      <c r="BR348" s="1219"/>
      <c r="BS348" s="1219"/>
      <c r="BU348" s="1217"/>
      <c r="BW348" s="1219"/>
      <c r="BY348" s="1217"/>
      <c r="CA348" s="1219"/>
      <c r="CC348" s="1217"/>
      <c r="CE348" s="1219"/>
      <c r="CG348" s="1217"/>
      <c r="CI348" s="1219"/>
    </row>
    <row r="349" spans="1:87">
      <c r="A349" s="20"/>
      <c r="B349" s="124" t="str">
        <f t="shared" si="160"/>
        <v/>
      </c>
      <c r="C349" s="235"/>
      <c r="D349" s="24">
        <f>'1% Wind'!$M$85</f>
        <v>17.8</v>
      </c>
      <c r="E349" s="90"/>
      <c r="F349" s="90"/>
      <c r="G349" s="79" t="e">
        <f ca="1">IF(I345=0.9743,$G348,MAX(G348/D348*D349,2))</f>
        <v>#REF!</v>
      </c>
      <c r="H349" s="121" t="e">
        <f t="shared" ca="1" si="161"/>
        <v>#REF!</v>
      </c>
      <c r="J349" s="33"/>
      <c r="K349" s="242">
        <f t="shared" si="162"/>
        <v>1</v>
      </c>
      <c r="L349" s="241" t="e">
        <f t="shared" ca="1" si="163"/>
        <v>#REF!</v>
      </c>
      <c r="M349" s="243" t="e">
        <f ca="1">IF(AND(INDEX(FlowCalConstA,MATCH(J345,FlowCalNumber,0),1,1)*L349^INDEX(FlowCalConstB,MATCH(J345,FlowCalNumber,0),1,1)&gt;INDEX(FlowCalLowSetting,MATCH(J345,FlowCalNumber,0),1,1), (INDEX(FlowCalConstA,MATCH(J345,FlowCalNumber,0),1,1)*L349^INDEX(FlowCalConstB,MATCH(J345,FlowCalNumber,0),1,1)&lt;INDEX(FlowCalHighSetting,MATCH(J345,FlowCalNumber,0),1,1))),INDEX(FlowCalConstA,MATCH(J345,FlowCalNumber,0),1,1)*L349^INDEX(FlowCalConstB,MATCH(J345,FlowCalNumber,0),1,1)," ")</f>
        <v>#REF!</v>
      </c>
      <c r="N349" s="33"/>
      <c r="O349" s="242">
        <f t="shared" si="164"/>
        <v>1</v>
      </c>
      <c r="P349" s="241" t="e">
        <f t="shared" ca="1" si="165"/>
        <v>#REF!</v>
      </c>
      <c r="Q349" s="243" t="e">
        <f ca="1">IF(AND(INDEX(FlowCalConstA,MATCH(N345,FlowCalNumber,0),1,1)*P349^INDEX(FlowCalConstB,MATCH(N345,FlowCalNumber,0),1,1)&gt;INDEX(FlowCalLowSetting,MATCH(N345,FlowCalNumber,0),1,1), (INDEX(FlowCalConstA,MATCH(N345,FlowCalNumber,0),1,1)*P349^INDEX(FlowCalConstB,MATCH(N345,FlowCalNumber,0),1,1)&lt;INDEX(FlowCalHighSetting,MATCH(N345,FlowCalNumber,0),1,1))),INDEX(FlowCalConstA,MATCH(N345,FlowCalNumber,0),1,1)*P349^INDEX(FlowCalConstB,MATCH(N345,FlowCalNumber,0),1,1)," ")</f>
        <v>#REF!</v>
      </c>
      <c r="R349" s="33"/>
      <c r="S349" s="242">
        <f t="shared" si="166"/>
        <v>1</v>
      </c>
      <c r="T349" s="241" t="e">
        <f t="shared" ca="1" si="167"/>
        <v>#REF!</v>
      </c>
      <c r="U349" s="243" t="e">
        <f ca="1">IF(AND(INDEX(FlowCalConstA,MATCH(R345,FlowCalNumber,0),1,1)*T349^INDEX(FlowCalConstB,MATCH(R345,FlowCalNumber,0),1,1)&gt;INDEX(FlowCalLowSetting,MATCH(R345,FlowCalNumber,0),1,1), (INDEX(FlowCalConstA,MATCH(R345,FlowCalNumber,0),1,1)*T349^INDEX(FlowCalConstB,MATCH(R345,FlowCalNumber,0),1,1)&lt;INDEX(FlowCalHighSetting,MATCH(R345,FlowCalNumber,0),1,1))),INDEX(FlowCalConstA,MATCH(R345,FlowCalNumber,0),1,1)*T349^INDEX(FlowCalConstB,MATCH(R345,FlowCalNumber,0),1,1)," ")</f>
        <v>#REF!</v>
      </c>
      <c r="V349" s="33"/>
      <c r="W349" s="242"/>
      <c r="X349" s="241"/>
      <c r="Y349" s="243"/>
      <c r="Z349" s="33"/>
      <c r="AA349" s="242"/>
      <c r="AB349" s="241"/>
      <c r="AC349" s="243"/>
      <c r="AD349" s="33"/>
      <c r="AE349" s="242"/>
      <c r="AF349" s="241"/>
      <c r="AG349" s="243"/>
      <c r="AH349" s="33"/>
      <c r="AI349" s="242"/>
      <c r="AJ349" s="241"/>
      <c r="AK349" s="244"/>
      <c r="AL349" s="243"/>
      <c r="AM349" s="243"/>
      <c r="AN349" s="243"/>
      <c r="AO349" s="243"/>
      <c r="AP349" s="243"/>
      <c r="AQ349" s="243"/>
      <c r="AR349" s="243"/>
      <c r="AS349" s="243"/>
      <c r="AT349" s="243"/>
      <c r="AU349" s="243"/>
      <c r="AV349" s="243"/>
      <c r="AW349" s="243"/>
      <c r="AX349" s="243"/>
      <c r="AY349" s="243"/>
      <c r="AZ349" s="243"/>
      <c r="BA349" s="243"/>
      <c r="BB349" s="243"/>
      <c r="BC349" s="243"/>
      <c r="BD349" s="243"/>
      <c r="BE349" s="243"/>
      <c r="BF349" s="243"/>
      <c r="BG349" s="243"/>
      <c r="BH349" s="243"/>
      <c r="BI349" s="243"/>
      <c r="BJ349" s="243"/>
      <c r="BK349" s="243"/>
      <c r="BL349" s="243"/>
      <c r="BM349" s="243"/>
      <c r="BN349" s="243"/>
      <c r="BO349" s="243"/>
      <c r="BP349" s="243"/>
      <c r="BQ349" s="243"/>
      <c r="BR349" s="243"/>
      <c r="BS349" s="243"/>
      <c r="BU349" s="242"/>
      <c r="BW349" s="243"/>
      <c r="BY349" s="242"/>
      <c r="CA349" s="243"/>
      <c r="CC349" s="242"/>
      <c r="CE349" s="243"/>
      <c r="CG349" s="242"/>
      <c r="CI349" s="243"/>
    </row>
    <row r="350" spans="1:87" s="1215" customFormat="1">
      <c r="A350" s="1222"/>
      <c r="B350" s="1223" t="str">
        <f t="shared" si="160"/>
        <v/>
      </c>
      <c r="C350" s="1210"/>
      <c r="D350" s="1211">
        <f>'1% Wind'!$M$86</f>
        <v>15.5</v>
      </c>
      <c r="E350" s="1212"/>
      <c r="F350" s="1212"/>
      <c r="G350" s="1213" t="e">
        <f ca="1">IF(I345=0.9743,$G349,MAX(G349/D349*D350,2))</f>
        <v>#REF!</v>
      </c>
      <c r="H350" s="1214" t="e">
        <f t="shared" ca="1" si="161"/>
        <v>#REF!</v>
      </c>
      <c r="J350" s="1224"/>
      <c r="K350" s="1217">
        <f t="shared" si="162"/>
        <v>1</v>
      </c>
      <c r="L350" s="1218" t="e">
        <f t="shared" ca="1" si="163"/>
        <v>#REF!</v>
      </c>
      <c r="M350" s="1219" t="e">
        <f ca="1">IF(AND(INDEX(FlowCalConstA,MATCH(J345,FlowCalNumber,0),1,1)*L350^INDEX(FlowCalConstB,MATCH(J345,FlowCalNumber,0),1,1)&gt;INDEX(FlowCalLowSetting,MATCH(J345,FlowCalNumber,0),1,1), (INDEX(FlowCalConstA,MATCH(J345,FlowCalNumber,0),1,1)*L350^INDEX(FlowCalConstB,MATCH(J345,FlowCalNumber,0),1,1)&lt;INDEX(FlowCalHighSetting,MATCH(J345,FlowCalNumber,0),1,1))),INDEX(FlowCalConstA,MATCH(J345,FlowCalNumber,0),1,1)*L350^INDEX(FlowCalConstB,MATCH(J345,FlowCalNumber,0),1,1)," ")</f>
        <v>#REF!</v>
      </c>
      <c r="N350" s="1224"/>
      <c r="O350" s="1217">
        <f t="shared" si="164"/>
        <v>1</v>
      </c>
      <c r="P350" s="1218" t="e">
        <f t="shared" ca="1" si="165"/>
        <v>#REF!</v>
      </c>
      <c r="Q350" s="1219" t="e">
        <f ca="1">IF(AND(INDEX(FlowCalConstA,MATCH(N345,FlowCalNumber,0),1,1)*P350^INDEX(FlowCalConstB,MATCH(N345,FlowCalNumber,0),1,1)&gt;INDEX(FlowCalLowSetting,MATCH(N345,FlowCalNumber,0),1,1), (INDEX(FlowCalConstA,MATCH(N345,FlowCalNumber,0),1,1)*P350^INDEX(FlowCalConstB,MATCH(N345,FlowCalNumber,0),1,1)&lt;INDEX(FlowCalHighSetting,MATCH(N345,FlowCalNumber,0),1,1))),INDEX(FlowCalConstA,MATCH(N345,FlowCalNumber,0),1,1)*P350^INDEX(FlowCalConstB,MATCH(N345,FlowCalNumber,0),1,1)," ")</f>
        <v>#REF!</v>
      </c>
      <c r="R350" s="1224"/>
      <c r="S350" s="1217">
        <f t="shared" si="166"/>
        <v>1</v>
      </c>
      <c r="T350" s="1218" t="e">
        <f t="shared" ca="1" si="167"/>
        <v>#REF!</v>
      </c>
      <c r="U350" s="1219" t="e">
        <f ca="1">IF(AND(INDEX(FlowCalConstA,MATCH(R345,FlowCalNumber,0),1,1)*T350^INDEX(FlowCalConstB,MATCH(R345,FlowCalNumber,0),1,1)&gt;INDEX(FlowCalLowSetting,MATCH(R345,FlowCalNumber,0),1,1), (INDEX(FlowCalConstA,MATCH(R345,FlowCalNumber,0),1,1)*T350^INDEX(FlowCalConstB,MATCH(R345,FlowCalNumber,0),1,1)&lt;INDEX(FlowCalHighSetting,MATCH(R345,FlowCalNumber,0),1,1))),INDEX(FlowCalConstA,MATCH(R345,FlowCalNumber,0),1,1)*T350^INDEX(FlowCalConstB,MATCH(R345,FlowCalNumber,0),1,1)," ")</f>
        <v>#REF!</v>
      </c>
      <c r="V350" s="1224"/>
      <c r="W350" s="1217"/>
      <c r="X350" s="1218"/>
      <c r="Y350" s="1219"/>
      <c r="Z350" s="1224"/>
      <c r="AA350" s="1217"/>
      <c r="AB350" s="1218"/>
      <c r="AC350" s="1219"/>
      <c r="AD350" s="1224"/>
      <c r="AE350" s="1217"/>
      <c r="AF350" s="1218"/>
      <c r="AG350" s="1219"/>
      <c r="AH350" s="1224"/>
      <c r="AI350" s="1217"/>
      <c r="AJ350" s="1218"/>
      <c r="AK350" s="1220"/>
      <c r="AL350" s="1219"/>
      <c r="AM350" s="1219"/>
      <c r="AN350" s="1219"/>
      <c r="AO350" s="1219"/>
      <c r="AP350" s="1219"/>
      <c r="AQ350" s="1219"/>
      <c r="AR350" s="1219"/>
      <c r="AS350" s="1219"/>
      <c r="AT350" s="1219"/>
      <c r="AU350" s="1219"/>
      <c r="AV350" s="1219"/>
      <c r="AW350" s="1219"/>
      <c r="AX350" s="1219"/>
      <c r="AY350" s="1219"/>
      <c r="AZ350" s="1219"/>
      <c r="BA350" s="1219"/>
      <c r="BB350" s="1219"/>
      <c r="BC350" s="1219"/>
      <c r="BD350" s="1219"/>
      <c r="BE350" s="1219"/>
      <c r="BF350" s="1219"/>
      <c r="BG350" s="1219"/>
      <c r="BH350" s="1219"/>
      <c r="BI350" s="1219"/>
      <c r="BJ350" s="1219"/>
      <c r="BK350" s="1219"/>
      <c r="BL350" s="1219"/>
      <c r="BM350" s="1219"/>
      <c r="BN350" s="1219"/>
      <c r="BO350" s="1219"/>
      <c r="BP350" s="1219"/>
      <c r="BQ350" s="1219"/>
      <c r="BR350" s="1219"/>
      <c r="BS350" s="1219"/>
      <c r="BU350" s="1217"/>
      <c r="BW350" s="1219"/>
      <c r="BY350" s="1217"/>
      <c r="CA350" s="1219"/>
      <c r="CC350" s="1217"/>
      <c r="CE350" s="1219"/>
      <c r="CG350" s="1217"/>
      <c r="CI350" s="1219"/>
    </row>
    <row r="351" spans="1:87">
      <c r="A351" s="20"/>
      <c r="B351" s="124" t="str">
        <f t="shared" si="160"/>
        <v/>
      </c>
      <c r="C351" s="235"/>
      <c r="D351" s="24">
        <f>'1% Wind'!$M$87</f>
        <v>13.5</v>
      </c>
      <c r="E351" s="90"/>
      <c r="F351" s="90"/>
      <c r="G351" s="79" t="e">
        <f ca="1">IF(I345=0.9743,$G350,MAX(G350/D350*D351,2))</f>
        <v>#REF!</v>
      </c>
      <c r="H351" s="121" t="e">
        <f t="shared" ca="1" si="161"/>
        <v>#REF!</v>
      </c>
      <c r="J351" s="33"/>
      <c r="K351" s="242">
        <f t="shared" si="162"/>
        <v>1</v>
      </c>
      <c r="L351" s="241" t="e">
        <f t="shared" ca="1" si="163"/>
        <v>#REF!</v>
      </c>
      <c r="M351" s="243" t="e">
        <f ca="1">IF(AND(INDEX(FlowCalConstA,MATCH(J345,FlowCalNumber,0),1,1)*L351^INDEX(FlowCalConstB,MATCH(J345,FlowCalNumber,0),1,1)&gt;INDEX(FlowCalLowSetting,MATCH(J345,FlowCalNumber,0),1,1), (INDEX(FlowCalConstA,MATCH(J345,FlowCalNumber,0),1,1)*L351^INDEX(FlowCalConstB,MATCH(J345,FlowCalNumber,0),1,1)&lt;INDEX(FlowCalHighSetting,MATCH(J345,FlowCalNumber,0),1,1))),INDEX(FlowCalConstA,MATCH(J345,FlowCalNumber,0),1,1)*L351^INDEX(FlowCalConstB,MATCH(J345,FlowCalNumber,0),1,1)," ")</f>
        <v>#REF!</v>
      </c>
      <c r="N351" s="33"/>
      <c r="O351" s="242">
        <f t="shared" si="164"/>
        <v>1</v>
      </c>
      <c r="P351" s="241" t="e">
        <f t="shared" ca="1" si="165"/>
        <v>#REF!</v>
      </c>
      <c r="Q351" s="243" t="e">
        <f ca="1">IF(AND(INDEX(FlowCalConstA,MATCH(N345,FlowCalNumber,0),1,1)*P351^INDEX(FlowCalConstB,MATCH(N345,FlowCalNumber,0),1,1)&gt;INDEX(FlowCalLowSetting,MATCH(N345,FlowCalNumber,0),1,1), (INDEX(FlowCalConstA,MATCH(N345,FlowCalNumber,0),1,1)*P351^INDEX(FlowCalConstB,MATCH(N345,FlowCalNumber,0),1,1)&lt;INDEX(FlowCalHighSetting,MATCH(N345,FlowCalNumber,0),1,1))),INDEX(FlowCalConstA,MATCH(N345,FlowCalNumber,0),1,1)*P351^INDEX(FlowCalConstB,MATCH(N345,FlowCalNumber,0),1,1)," ")</f>
        <v>#REF!</v>
      </c>
      <c r="R351" s="33"/>
      <c r="S351" s="242">
        <f t="shared" si="166"/>
        <v>1</v>
      </c>
      <c r="T351" s="241" t="e">
        <f t="shared" ca="1" si="167"/>
        <v>#REF!</v>
      </c>
      <c r="U351" s="243" t="e">
        <f ca="1">IF(AND(INDEX(FlowCalConstA,MATCH(R345,FlowCalNumber,0),1,1)*T351^INDEX(FlowCalConstB,MATCH(R345,FlowCalNumber,0),1,1)&gt;INDEX(FlowCalLowSetting,MATCH(R345,FlowCalNumber,0),1,1), (INDEX(FlowCalConstA,MATCH(R345,FlowCalNumber,0),1,1)*T351^INDEX(FlowCalConstB,MATCH(R345,FlowCalNumber,0),1,1)&lt;INDEX(FlowCalHighSetting,MATCH(R345,FlowCalNumber,0),1,1))),INDEX(FlowCalConstA,MATCH(R345,FlowCalNumber,0),1,1)*T351^INDEX(FlowCalConstB,MATCH(R345,FlowCalNumber,0),1,1)," ")</f>
        <v>#REF!</v>
      </c>
      <c r="V351" s="33"/>
      <c r="W351" s="242"/>
      <c r="X351" s="241"/>
      <c r="Y351" s="243"/>
      <c r="Z351" s="33"/>
      <c r="AA351" s="242"/>
      <c r="AB351" s="241"/>
      <c r="AC351" s="243"/>
      <c r="AD351" s="33"/>
      <c r="AE351" s="242"/>
      <c r="AF351" s="241"/>
      <c r="AG351" s="243"/>
      <c r="AH351" s="33"/>
      <c r="AI351" s="242"/>
      <c r="AJ351" s="241"/>
      <c r="AK351" s="244"/>
      <c r="AL351" s="243"/>
      <c r="AM351" s="243"/>
      <c r="AN351" s="243"/>
      <c r="AO351" s="243"/>
      <c r="AP351" s="243"/>
      <c r="AQ351" s="243"/>
      <c r="AR351" s="243"/>
      <c r="AS351" s="243"/>
      <c r="AT351" s="243"/>
      <c r="AU351" s="243"/>
      <c r="AV351" s="243"/>
      <c r="AW351" s="243"/>
      <c r="AX351" s="243"/>
      <c r="AY351" s="243"/>
      <c r="AZ351" s="243"/>
      <c r="BA351" s="243"/>
      <c r="BB351" s="243"/>
      <c r="BC351" s="243"/>
      <c r="BD351" s="243"/>
      <c r="BE351" s="243"/>
      <c r="BF351" s="243"/>
      <c r="BG351" s="243"/>
      <c r="BH351" s="243"/>
      <c r="BI351" s="243"/>
      <c r="BJ351" s="243"/>
      <c r="BK351" s="243"/>
      <c r="BL351" s="243"/>
      <c r="BM351" s="243"/>
      <c r="BN351" s="243"/>
      <c r="BO351" s="243"/>
      <c r="BP351" s="243"/>
      <c r="BQ351" s="243"/>
      <c r="BR351" s="243"/>
      <c r="BS351" s="243"/>
      <c r="BU351" s="242"/>
      <c r="BW351" s="243"/>
      <c r="BY351" s="242"/>
      <c r="CA351" s="243"/>
      <c r="CC351" s="242"/>
      <c r="CE351" s="243"/>
      <c r="CG351" s="242"/>
      <c r="CI351" s="243"/>
    </row>
    <row r="352" spans="1:87" s="1215" customFormat="1">
      <c r="A352" s="1222"/>
      <c r="B352" s="1223" t="str">
        <f t="shared" si="160"/>
        <v/>
      </c>
      <c r="C352" s="1210"/>
      <c r="D352" s="1211">
        <f>'1% Wind'!$M$88</f>
        <v>10.1</v>
      </c>
      <c r="E352" s="1212"/>
      <c r="F352" s="1212"/>
      <c r="G352" s="1213" t="e">
        <f ca="1">IF(I345=0.9743,$G351,MAX(G351/D351*D352,2))</f>
        <v>#REF!</v>
      </c>
      <c r="H352" s="1214" t="e">
        <f t="shared" ca="1" si="161"/>
        <v>#REF!</v>
      </c>
      <c r="J352" s="1224"/>
      <c r="K352" s="1217">
        <f t="shared" si="162"/>
        <v>1</v>
      </c>
      <c r="L352" s="1218" t="e">
        <f t="shared" ca="1" si="163"/>
        <v>#REF!</v>
      </c>
      <c r="M352" s="1219" t="e">
        <f ca="1">IF(AND(INDEX(FlowCalConstA,MATCH(J345,FlowCalNumber,0),1,1)*L352^INDEX(FlowCalConstB,MATCH(J345,FlowCalNumber,0),1,1)&gt;INDEX(FlowCalLowSetting,MATCH(J345,FlowCalNumber,0),1,1), (INDEX(FlowCalConstA,MATCH(J345,FlowCalNumber,0),1,1)*L352^INDEX(FlowCalConstB,MATCH(J345,FlowCalNumber,0),1,1)&lt;INDEX(FlowCalHighSetting,MATCH(J345,FlowCalNumber,0),1,1))),INDEX(FlowCalConstA,MATCH(J345,FlowCalNumber,0),1,1)*L352^INDEX(FlowCalConstB,MATCH(J345,FlowCalNumber,0),1,1)," ")</f>
        <v>#REF!</v>
      </c>
      <c r="N352" s="1224"/>
      <c r="O352" s="1217">
        <f t="shared" si="164"/>
        <v>1</v>
      </c>
      <c r="P352" s="1218" t="e">
        <f t="shared" ca="1" si="165"/>
        <v>#REF!</v>
      </c>
      <c r="Q352" s="1219" t="e">
        <f ca="1">IF(AND(INDEX(FlowCalConstA,MATCH(N345,FlowCalNumber,0),1,1)*P352^INDEX(FlowCalConstB,MATCH(N345,FlowCalNumber,0),1,1)&gt;INDEX(FlowCalLowSetting,MATCH(N345,FlowCalNumber,0),1,1), (INDEX(FlowCalConstA,MATCH(N345,FlowCalNumber,0),1,1)*P352^INDEX(FlowCalConstB,MATCH(N345,FlowCalNumber,0),1,1)&lt;INDEX(FlowCalHighSetting,MATCH(N345,FlowCalNumber,0),1,1))),INDEX(FlowCalConstA,MATCH(N345,FlowCalNumber,0),1,1)*P352^INDEX(FlowCalConstB,MATCH(N345,FlowCalNumber,0),1,1)," ")</f>
        <v>#REF!</v>
      </c>
      <c r="R352" s="1224"/>
      <c r="S352" s="1217">
        <f t="shared" si="166"/>
        <v>1</v>
      </c>
      <c r="T352" s="1218" t="e">
        <f t="shared" ca="1" si="167"/>
        <v>#REF!</v>
      </c>
      <c r="U352" s="1219" t="e">
        <f ca="1">IF(AND(INDEX(FlowCalConstA,MATCH(R345,FlowCalNumber,0),1,1)*T352^INDEX(FlowCalConstB,MATCH(R345,FlowCalNumber,0),1,1)&gt;INDEX(FlowCalLowSetting,MATCH(R345,FlowCalNumber,0),1,1), (INDEX(FlowCalConstA,MATCH(R345,FlowCalNumber,0),1,1)*T352^INDEX(FlowCalConstB,MATCH(R345,FlowCalNumber,0),1,1)&lt;INDEX(FlowCalHighSetting,MATCH(R345,FlowCalNumber,0),1,1))),INDEX(FlowCalConstA,MATCH(R345,FlowCalNumber,0),1,1)*T352^INDEX(FlowCalConstB,MATCH(R345,FlowCalNumber,0),1,1)," ")</f>
        <v>#REF!</v>
      </c>
      <c r="V352" s="1224"/>
      <c r="W352" s="1217"/>
      <c r="X352" s="1218"/>
      <c r="Y352" s="1219"/>
      <c r="Z352" s="1224"/>
      <c r="AA352" s="1217"/>
      <c r="AB352" s="1218"/>
      <c r="AC352" s="1219"/>
      <c r="AD352" s="1224"/>
      <c r="AE352" s="1217"/>
      <c r="AF352" s="1218"/>
      <c r="AG352" s="1219"/>
      <c r="AH352" s="1224"/>
      <c r="AI352" s="1217"/>
      <c r="AJ352" s="1218"/>
      <c r="AK352" s="1220"/>
      <c r="AL352" s="1219"/>
      <c r="AM352" s="1219"/>
      <c r="AN352" s="1219"/>
      <c r="AO352" s="1219"/>
      <c r="AP352" s="1219"/>
      <c r="AQ352" s="1219"/>
      <c r="AR352" s="1219"/>
      <c r="AS352" s="1219"/>
      <c r="AT352" s="1219"/>
      <c r="AU352" s="1219"/>
      <c r="AV352" s="1219"/>
      <c r="AW352" s="1219"/>
      <c r="AX352" s="1219"/>
      <c r="AY352" s="1219"/>
      <c r="AZ352" s="1219"/>
      <c r="BA352" s="1219"/>
      <c r="BB352" s="1219"/>
      <c r="BC352" s="1219"/>
      <c r="BD352" s="1219"/>
      <c r="BE352" s="1219"/>
      <c r="BF352" s="1219"/>
      <c r="BG352" s="1219"/>
      <c r="BH352" s="1219"/>
      <c r="BI352" s="1219"/>
      <c r="BJ352" s="1219"/>
      <c r="BK352" s="1219"/>
      <c r="BL352" s="1219"/>
      <c r="BM352" s="1219"/>
      <c r="BN352" s="1219"/>
      <c r="BO352" s="1219"/>
      <c r="BP352" s="1219"/>
      <c r="BQ352" s="1219"/>
      <c r="BR352" s="1219"/>
      <c r="BS352" s="1219"/>
      <c r="BU352" s="1217"/>
      <c r="BW352" s="1219"/>
      <c r="BY352" s="1217"/>
      <c r="CA352" s="1219"/>
      <c r="CC352" s="1217"/>
      <c r="CE352" s="1219"/>
      <c r="CG352" s="1217"/>
      <c r="CI352" s="1219"/>
    </row>
    <row r="353" spans="1:87">
      <c r="A353" s="20"/>
      <c r="B353" s="124" t="str">
        <f t="shared" si="160"/>
        <v/>
      </c>
      <c r="C353" s="235"/>
      <c r="D353" s="24">
        <f>'1% Wind'!$M$89</f>
        <v>7.6</v>
      </c>
      <c r="E353" s="90"/>
      <c r="F353" s="90"/>
      <c r="G353" s="79" t="e">
        <f ca="1">IF(I345=0.9743,$G352,MAX(G352/D352*D353,2))</f>
        <v>#REF!</v>
      </c>
      <c r="H353" s="121" t="e">
        <f t="shared" ca="1" si="161"/>
        <v>#REF!</v>
      </c>
      <c r="J353" s="33"/>
      <c r="K353" s="242">
        <f t="shared" si="162"/>
        <v>1</v>
      </c>
      <c r="L353" s="241" t="e">
        <f t="shared" ca="1" si="163"/>
        <v>#REF!</v>
      </c>
      <c r="M353" s="243" t="e">
        <f ca="1">IF(AND(INDEX(FlowCalConstA,MATCH(J345,FlowCalNumber,0),1,1)*L353^INDEX(FlowCalConstB,MATCH(J345,FlowCalNumber,0),1,1)&gt;INDEX(FlowCalLowSetting,MATCH(J345,FlowCalNumber,0),1,1), (INDEX(FlowCalConstA,MATCH(J345,FlowCalNumber,0),1,1)*L353^INDEX(FlowCalConstB,MATCH(J345,FlowCalNumber,0),1,1)&lt;INDEX(FlowCalHighSetting,MATCH(J345,FlowCalNumber,0),1,1))),INDEX(FlowCalConstA,MATCH(J345,FlowCalNumber,0),1,1)*L353^INDEX(FlowCalConstB,MATCH(J345,FlowCalNumber,0),1,1)," ")</f>
        <v>#REF!</v>
      </c>
      <c r="N353" s="33"/>
      <c r="O353" s="242">
        <f t="shared" si="164"/>
        <v>1</v>
      </c>
      <c r="P353" s="241" t="e">
        <f t="shared" ca="1" si="165"/>
        <v>#REF!</v>
      </c>
      <c r="Q353" s="243" t="e">
        <f ca="1">IF(AND(INDEX(FlowCalConstA,MATCH(N345,FlowCalNumber,0),1,1)*P353^INDEX(FlowCalConstB,MATCH(N345,FlowCalNumber,0),1,1)&gt;INDEX(FlowCalLowSetting,MATCH(N345,FlowCalNumber,0),1,1), (INDEX(FlowCalConstA,MATCH(N345,FlowCalNumber,0),1,1)*P353^INDEX(FlowCalConstB,MATCH(N345,FlowCalNumber,0),1,1)&lt;INDEX(FlowCalHighSetting,MATCH(N345,FlowCalNumber,0),1,1))),INDEX(FlowCalConstA,MATCH(N345,FlowCalNumber,0),1,1)*P353^INDEX(FlowCalConstB,MATCH(N345,FlowCalNumber,0),1,1)," ")</f>
        <v>#REF!</v>
      </c>
      <c r="R353" s="33"/>
      <c r="S353" s="242">
        <f t="shared" si="166"/>
        <v>1</v>
      </c>
      <c r="T353" s="241" t="e">
        <f t="shared" ca="1" si="167"/>
        <v>#REF!</v>
      </c>
      <c r="U353" s="243" t="e">
        <f ca="1">IF(AND(INDEX(FlowCalConstA,MATCH(R345,FlowCalNumber,0),1,1)*T353^INDEX(FlowCalConstB,MATCH(R345,FlowCalNumber,0),1,1)&gt;INDEX(FlowCalLowSetting,MATCH(R345,FlowCalNumber,0),1,1), (INDEX(FlowCalConstA,MATCH(R345,FlowCalNumber,0),1,1)*T353^INDEX(FlowCalConstB,MATCH(R345,FlowCalNumber,0),1,1)&lt;INDEX(FlowCalHighSetting,MATCH(R345,FlowCalNumber,0),1,1))),INDEX(FlowCalConstA,MATCH(R345,FlowCalNumber,0),1,1)*T353^INDEX(FlowCalConstB,MATCH(R345,FlowCalNumber,0),1,1)," ")</f>
        <v>#REF!</v>
      </c>
      <c r="V353" s="33"/>
      <c r="W353" s="242"/>
      <c r="X353" s="241"/>
      <c r="Y353" s="243"/>
      <c r="Z353" s="33"/>
      <c r="AA353" s="242"/>
      <c r="AB353" s="241"/>
      <c r="AC353" s="243"/>
      <c r="AD353" s="33"/>
      <c r="AE353" s="242"/>
      <c r="AF353" s="241"/>
      <c r="AG353" s="243"/>
      <c r="AH353" s="33"/>
      <c r="AI353" s="242"/>
      <c r="AJ353" s="241"/>
      <c r="AK353" s="244"/>
      <c r="AL353" s="243"/>
      <c r="AM353" s="243"/>
      <c r="AN353" s="243"/>
      <c r="AO353" s="243"/>
      <c r="AP353" s="243"/>
      <c r="AQ353" s="243"/>
      <c r="AR353" s="243"/>
      <c r="AS353" s="243"/>
      <c r="AT353" s="243"/>
      <c r="AU353" s="243"/>
      <c r="AV353" s="243"/>
      <c r="AW353" s="243"/>
      <c r="AX353" s="243"/>
      <c r="AY353" s="243"/>
      <c r="AZ353" s="243"/>
      <c r="BA353" s="243"/>
      <c r="BB353" s="243"/>
      <c r="BC353" s="243"/>
      <c r="BD353" s="243"/>
      <c r="BE353" s="243"/>
      <c r="BF353" s="243"/>
      <c r="BG353" s="243"/>
      <c r="BH353" s="243"/>
      <c r="BI353" s="243"/>
      <c r="BJ353" s="243"/>
      <c r="BK353" s="243"/>
      <c r="BL353" s="243"/>
      <c r="BM353" s="243"/>
      <c r="BN353" s="243"/>
      <c r="BO353" s="243"/>
      <c r="BP353" s="243"/>
      <c r="BQ353" s="243"/>
      <c r="BR353" s="243"/>
      <c r="BS353" s="243"/>
      <c r="BU353" s="242"/>
      <c r="BW353" s="243"/>
      <c r="BY353" s="242"/>
      <c r="CA353" s="243"/>
      <c r="CC353" s="242"/>
      <c r="CE353" s="243"/>
      <c r="CG353" s="242"/>
      <c r="CI353" s="243"/>
    </row>
    <row r="354" spans="1:87" s="1215" customFormat="1">
      <c r="A354" s="1222"/>
      <c r="B354" s="1223" t="str">
        <f t="shared" si="160"/>
        <v/>
      </c>
      <c r="C354" s="1210"/>
      <c r="D354" s="1211">
        <f>'1% Wind'!$M$90</f>
        <v>5.7</v>
      </c>
      <c r="E354" s="1212"/>
      <c r="F354" s="1212"/>
      <c r="G354" s="1213" t="e">
        <f ca="1">IF(I345=0.9743,$G353,MAX(G353/D353*D354,2))</f>
        <v>#REF!</v>
      </c>
      <c r="H354" s="1214" t="e">
        <f t="shared" ca="1" si="161"/>
        <v>#REF!</v>
      </c>
      <c r="J354" s="1224"/>
      <c r="K354" s="1217">
        <f t="shared" si="162"/>
        <v>1</v>
      </c>
      <c r="L354" s="1218" t="e">
        <f t="shared" ca="1" si="163"/>
        <v>#REF!</v>
      </c>
      <c r="M354" s="1219" t="e">
        <f ca="1">IF(AND(INDEX(FlowCalConstA,MATCH(J345,FlowCalNumber,0),1,1)*L354^INDEX(FlowCalConstB,MATCH(J345,FlowCalNumber,0),1,1)&gt;INDEX(FlowCalLowSetting,MATCH(J345,FlowCalNumber,0),1,1), (INDEX(FlowCalConstA,MATCH(J345,FlowCalNumber,0),1,1)*L354^INDEX(FlowCalConstB,MATCH(J345,FlowCalNumber,0),1,1)&lt;INDEX(FlowCalHighSetting,MATCH(J345,FlowCalNumber,0),1,1))),INDEX(FlowCalConstA,MATCH(J345,FlowCalNumber,0),1,1)*L354^INDEX(FlowCalConstB,MATCH(J345,FlowCalNumber,0),1,1)," ")</f>
        <v>#REF!</v>
      </c>
      <c r="N354" s="1224"/>
      <c r="O354" s="1217">
        <f t="shared" si="164"/>
        <v>1</v>
      </c>
      <c r="P354" s="1218" t="e">
        <f t="shared" ca="1" si="165"/>
        <v>#REF!</v>
      </c>
      <c r="Q354" s="1219" t="e">
        <f ca="1">IF(AND(INDEX(FlowCalConstA,MATCH(N345,FlowCalNumber,0),1,1)*P354^INDEX(FlowCalConstB,MATCH(N345,FlowCalNumber,0),1,1)&gt;INDEX(FlowCalLowSetting,MATCH(N345,FlowCalNumber,0),1,1), (INDEX(FlowCalConstA,MATCH(N345,FlowCalNumber,0),1,1)*P354^INDEX(FlowCalConstB,MATCH(N345,FlowCalNumber,0),1,1)&lt;INDEX(FlowCalHighSetting,MATCH(N345,FlowCalNumber,0),1,1))),INDEX(FlowCalConstA,MATCH(N345,FlowCalNumber,0),1,1)*P354^INDEX(FlowCalConstB,MATCH(N345,FlowCalNumber,0),1,1)," ")</f>
        <v>#REF!</v>
      </c>
      <c r="R354" s="1224"/>
      <c r="S354" s="1217">
        <f t="shared" si="166"/>
        <v>1</v>
      </c>
      <c r="T354" s="1218" t="e">
        <f t="shared" ca="1" si="167"/>
        <v>#REF!</v>
      </c>
      <c r="U354" s="1219" t="e">
        <f ca="1">IF(AND(INDEX(FlowCalConstA,MATCH(R345,FlowCalNumber,0),1,1)*T354^INDEX(FlowCalConstB,MATCH(R345,FlowCalNumber,0),1,1)&gt;INDEX(FlowCalLowSetting,MATCH(R345,FlowCalNumber,0),1,1), (INDEX(FlowCalConstA,MATCH(R345,FlowCalNumber,0),1,1)*T354^INDEX(FlowCalConstB,MATCH(R345,FlowCalNumber,0),1,1)&lt;INDEX(FlowCalHighSetting,MATCH(R345,FlowCalNumber,0),1,1))),INDEX(FlowCalConstA,MATCH(R345,FlowCalNumber,0),1,1)*T354^INDEX(FlowCalConstB,MATCH(R345,FlowCalNumber,0),1,1)," ")</f>
        <v>#REF!</v>
      </c>
      <c r="V354" s="1224"/>
      <c r="W354" s="1217"/>
      <c r="X354" s="1218"/>
      <c r="Y354" s="1219"/>
      <c r="Z354" s="1224"/>
      <c r="AA354" s="1217"/>
      <c r="AB354" s="1218"/>
      <c r="AC354" s="1219"/>
      <c r="AD354" s="1224"/>
      <c r="AE354" s="1217"/>
      <c r="AF354" s="1218"/>
      <c r="AG354" s="1219"/>
      <c r="AH354" s="1224"/>
      <c r="AI354" s="1217"/>
      <c r="AJ354" s="1218"/>
      <c r="AK354" s="1220"/>
      <c r="AL354" s="1219"/>
      <c r="AM354" s="1219"/>
      <c r="AN354" s="1219"/>
      <c r="AO354" s="1219"/>
      <c r="AP354" s="1219"/>
      <c r="AQ354" s="1219"/>
      <c r="AR354" s="1219"/>
      <c r="AS354" s="1219"/>
      <c r="AT354" s="1219"/>
      <c r="AU354" s="1219"/>
      <c r="AV354" s="1219"/>
      <c r="AW354" s="1219"/>
      <c r="AX354" s="1219"/>
      <c r="AY354" s="1219"/>
      <c r="AZ354" s="1219"/>
      <c r="BA354" s="1219"/>
      <c r="BB354" s="1219"/>
      <c r="BC354" s="1219"/>
      <c r="BD354" s="1219"/>
      <c r="BE354" s="1219"/>
      <c r="BF354" s="1219"/>
      <c r="BG354" s="1219"/>
      <c r="BH354" s="1219"/>
      <c r="BI354" s="1219"/>
      <c r="BJ354" s="1219"/>
      <c r="BK354" s="1219"/>
      <c r="BL354" s="1219"/>
      <c r="BM354" s="1219"/>
      <c r="BN354" s="1219"/>
      <c r="BO354" s="1219"/>
      <c r="BP354" s="1219"/>
      <c r="BQ354" s="1219"/>
      <c r="BR354" s="1219"/>
      <c r="BS354" s="1219"/>
      <c r="BU354" s="1217"/>
      <c r="BW354" s="1219"/>
      <c r="BY354" s="1217"/>
      <c r="CA354" s="1219"/>
      <c r="CC354" s="1217"/>
      <c r="CE354" s="1219"/>
      <c r="CG354" s="1217"/>
      <c r="CI354" s="1219"/>
    </row>
    <row r="355" spans="1:87">
      <c r="A355" s="20"/>
      <c r="B355" s="124" t="str">
        <f t="shared" si="160"/>
        <v/>
      </c>
      <c r="C355" s="235"/>
      <c r="D355" s="24">
        <f>'1% Wind'!$M$91</f>
        <v>4.2</v>
      </c>
      <c r="E355" s="90"/>
      <c r="F355" s="90"/>
      <c r="G355" s="79" t="e">
        <f ca="1">IF(I345=0.9743,$G354,MAX(G354/D354*D355,2))</f>
        <v>#REF!</v>
      </c>
      <c r="H355" s="121" t="e">
        <f t="shared" ca="1" si="161"/>
        <v>#REF!</v>
      </c>
      <c r="J355" s="33"/>
      <c r="K355" s="242">
        <f t="shared" si="162"/>
        <v>1</v>
      </c>
      <c r="L355" s="241" t="e">
        <f t="shared" ca="1" si="163"/>
        <v>#REF!</v>
      </c>
      <c r="M355" s="243" t="e">
        <f ca="1">IF(AND(INDEX(FlowCalConstA,MATCH(J345,FlowCalNumber,0),1,1)*L355^INDEX(FlowCalConstB,MATCH(J345,FlowCalNumber,0),1,1)&gt;INDEX(FlowCalLowSetting,MATCH(J345,FlowCalNumber,0),1,1), (INDEX(FlowCalConstA,MATCH(J345,FlowCalNumber,0),1,1)*L355^INDEX(FlowCalConstB,MATCH(J345,FlowCalNumber,0),1,1)&lt;INDEX(FlowCalHighSetting,MATCH(J345,FlowCalNumber,0),1,1))),INDEX(FlowCalConstA,MATCH(J345,FlowCalNumber,0),1,1)*L355^INDEX(FlowCalConstB,MATCH(J345,FlowCalNumber,0),1,1)," ")</f>
        <v>#REF!</v>
      </c>
      <c r="N355" s="33"/>
      <c r="O355" s="242">
        <f t="shared" si="164"/>
        <v>1</v>
      </c>
      <c r="P355" s="241" t="e">
        <f t="shared" ca="1" si="165"/>
        <v>#REF!</v>
      </c>
      <c r="Q355" s="243" t="e">
        <f ca="1">IF(AND(INDEX(FlowCalConstA,MATCH(N345,FlowCalNumber,0),1,1)*P355^INDEX(FlowCalConstB,MATCH(N345,FlowCalNumber,0),1,1)&gt;INDEX(FlowCalLowSetting,MATCH(N345,FlowCalNumber,0),1,1), (INDEX(FlowCalConstA,MATCH(N345,FlowCalNumber,0),1,1)*P355^INDEX(FlowCalConstB,MATCH(N345,FlowCalNumber,0),1,1)&lt;INDEX(FlowCalHighSetting,MATCH(N345,FlowCalNumber,0),1,1))),INDEX(FlowCalConstA,MATCH(N345,FlowCalNumber,0),1,1)*P355^INDEX(FlowCalConstB,MATCH(N345,FlowCalNumber,0),1,1)," ")</f>
        <v>#REF!</v>
      </c>
      <c r="R355" s="33"/>
      <c r="S355" s="242">
        <f t="shared" si="166"/>
        <v>1</v>
      </c>
      <c r="T355" s="241" t="e">
        <f t="shared" ca="1" si="167"/>
        <v>#REF!</v>
      </c>
      <c r="U355" s="243" t="e">
        <f ca="1">IF(AND(INDEX(FlowCalConstA,MATCH(R345,FlowCalNumber,0),1,1)*T355^INDEX(FlowCalConstB,MATCH(R345,FlowCalNumber,0),1,1)&gt;INDEX(FlowCalLowSetting,MATCH(R345,FlowCalNumber,0),1,1), (INDEX(FlowCalConstA,MATCH(R345,FlowCalNumber,0),1,1)*T355^INDEX(FlowCalConstB,MATCH(R345,FlowCalNumber,0),1,1)&lt;INDEX(FlowCalHighSetting,MATCH(R345,FlowCalNumber,0),1,1))),INDEX(FlowCalConstA,MATCH(R345,FlowCalNumber,0),1,1)*T355^INDEX(FlowCalConstB,MATCH(R345,FlowCalNumber,0),1,1)," ")</f>
        <v>#REF!</v>
      </c>
      <c r="V355" s="33"/>
      <c r="W355" s="242"/>
      <c r="X355" s="241"/>
      <c r="Y355" s="243"/>
      <c r="Z355" s="33"/>
      <c r="AA355" s="242"/>
      <c r="AB355" s="241"/>
      <c r="AC355" s="243"/>
      <c r="AD355" s="33"/>
      <c r="AE355" s="242"/>
      <c r="AF355" s="241"/>
      <c r="AG355" s="243"/>
      <c r="AH355" s="33"/>
      <c r="AI355" s="242"/>
      <c r="AJ355" s="241"/>
      <c r="AK355" s="244"/>
      <c r="AL355" s="243"/>
      <c r="AM355" s="243"/>
      <c r="AN355" s="243"/>
      <c r="AO355" s="243"/>
      <c r="AP355" s="243"/>
      <c r="AQ355" s="243"/>
      <c r="AR355" s="243"/>
      <c r="AS355" s="243"/>
      <c r="AT355" s="243"/>
      <c r="AU355" s="243"/>
      <c r="AV355" s="243"/>
      <c r="AW355" s="243"/>
      <c r="AX355" s="243"/>
      <c r="AY355" s="243"/>
      <c r="AZ355" s="243"/>
      <c r="BA355" s="243"/>
      <c r="BB355" s="243"/>
      <c r="BC355" s="243"/>
      <c r="BD355" s="243"/>
      <c r="BE355" s="243"/>
      <c r="BF355" s="243"/>
      <c r="BG355" s="243"/>
      <c r="BH355" s="243"/>
      <c r="BI355" s="243"/>
      <c r="BJ355" s="243"/>
      <c r="BK355" s="243"/>
      <c r="BL355" s="243"/>
      <c r="BM355" s="243"/>
      <c r="BN355" s="243"/>
      <c r="BO355" s="243"/>
      <c r="BP355" s="243"/>
      <c r="BQ355" s="243"/>
      <c r="BR355" s="243"/>
      <c r="BS355" s="243"/>
      <c r="BU355" s="242"/>
      <c r="BW355" s="243"/>
      <c r="BY355" s="242"/>
      <c r="CA355" s="243"/>
      <c r="CC355" s="242"/>
      <c r="CE355" s="243"/>
      <c r="CG355" s="242"/>
      <c r="CI355" s="243"/>
    </row>
    <row r="356" spans="1:87" s="1215" customFormat="1">
      <c r="A356" s="1222"/>
      <c r="B356" s="1223" t="str">
        <f t="shared" si="160"/>
        <v/>
      </c>
      <c r="C356" s="1210"/>
      <c r="D356" s="1211">
        <f>'1% Wind'!$M$92</f>
        <v>3.2</v>
      </c>
      <c r="E356" s="1212"/>
      <c r="F356" s="1212"/>
      <c r="G356" s="1213" t="e">
        <f ca="1">IF(I345=0.9743,$G355,MAX(G355/D355*D356,2))</f>
        <v>#REF!</v>
      </c>
      <c r="H356" s="1214" t="e">
        <f t="shared" ca="1" si="161"/>
        <v>#REF!</v>
      </c>
      <c r="J356" s="1224"/>
      <c r="K356" s="1217">
        <f t="shared" si="162"/>
        <v>1</v>
      </c>
      <c r="L356" s="1218" t="e">
        <f t="shared" ca="1" si="163"/>
        <v>#REF!</v>
      </c>
      <c r="M356" s="1219" t="e">
        <f ca="1">IF(AND(INDEX(FlowCalConstA,MATCH(J345,FlowCalNumber,0),1,1)*L356^INDEX(FlowCalConstB,MATCH(J345,FlowCalNumber,0),1,1)&gt;INDEX(FlowCalLowSetting,MATCH(J345,FlowCalNumber,0),1,1), (INDEX(FlowCalConstA,MATCH(J345,FlowCalNumber,0),1,1)*L356^INDEX(FlowCalConstB,MATCH(J345,FlowCalNumber,0),1,1)&lt;INDEX(FlowCalHighSetting,MATCH(J345,FlowCalNumber,0),1,1))),INDEX(FlowCalConstA,MATCH(J345,FlowCalNumber,0),1,1)*L356^INDEX(FlowCalConstB,MATCH(J345,FlowCalNumber,0),1,1)," ")</f>
        <v>#REF!</v>
      </c>
      <c r="N356" s="1224"/>
      <c r="O356" s="1217">
        <f t="shared" si="164"/>
        <v>1</v>
      </c>
      <c r="P356" s="1218" t="e">
        <f t="shared" ca="1" si="165"/>
        <v>#REF!</v>
      </c>
      <c r="Q356" s="1219" t="e">
        <f ca="1">IF(AND(INDEX(FlowCalConstA,MATCH(N345,FlowCalNumber,0),1,1)*P356^INDEX(FlowCalConstB,MATCH(N345,FlowCalNumber,0),1,1)&gt;INDEX(FlowCalLowSetting,MATCH(N345,FlowCalNumber,0),1,1), (INDEX(FlowCalConstA,MATCH(N345,FlowCalNumber,0),1,1)*P356^INDEX(FlowCalConstB,MATCH(N345,FlowCalNumber,0),1,1)&lt;INDEX(FlowCalHighSetting,MATCH(N345,FlowCalNumber,0),1,1))),INDEX(FlowCalConstA,MATCH(N345,FlowCalNumber,0),1,1)*P356^INDEX(FlowCalConstB,MATCH(N345,FlowCalNumber,0),1,1)," ")</f>
        <v>#REF!</v>
      </c>
      <c r="R356" s="1224"/>
      <c r="S356" s="1217">
        <f t="shared" si="166"/>
        <v>1</v>
      </c>
      <c r="T356" s="1218" t="e">
        <f t="shared" ca="1" si="167"/>
        <v>#REF!</v>
      </c>
      <c r="U356" s="1219" t="e">
        <f ca="1">IF(AND(INDEX(FlowCalConstA,MATCH(R345,FlowCalNumber,0),1,1)*T356^INDEX(FlowCalConstB,MATCH(R345,FlowCalNumber,0),1,1)&gt;INDEX(FlowCalLowSetting,MATCH(R345,FlowCalNumber,0),1,1), (INDEX(FlowCalConstA,MATCH(R345,FlowCalNumber,0),1,1)*T356^INDEX(FlowCalConstB,MATCH(R345,FlowCalNumber,0),1,1)&lt;INDEX(FlowCalHighSetting,MATCH(R345,FlowCalNumber,0),1,1))),INDEX(FlowCalConstA,MATCH(R345,FlowCalNumber,0),1,1)*T356^INDEX(FlowCalConstB,MATCH(R345,FlowCalNumber,0),1,1)," ")</f>
        <v>#REF!</v>
      </c>
      <c r="V356" s="1224"/>
      <c r="W356" s="1217"/>
      <c r="X356" s="1218"/>
      <c r="Y356" s="1219"/>
      <c r="Z356" s="1224"/>
      <c r="AA356" s="1217"/>
      <c r="AB356" s="1218"/>
      <c r="AC356" s="1219"/>
      <c r="AD356" s="1224"/>
      <c r="AE356" s="1217"/>
      <c r="AF356" s="1218"/>
      <c r="AG356" s="1219"/>
      <c r="AH356" s="1224"/>
      <c r="AI356" s="1217"/>
      <c r="AJ356" s="1218"/>
      <c r="AK356" s="1220"/>
      <c r="AL356" s="1219"/>
      <c r="AM356" s="1219"/>
      <c r="AN356" s="1219"/>
      <c r="AO356" s="1219"/>
      <c r="AP356" s="1219"/>
      <c r="AQ356" s="1219"/>
      <c r="AR356" s="1219"/>
      <c r="AS356" s="1219"/>
      <c r="AT356" s="1219"/>
      <c r="AU356" s="1219"/>
      <c r="AV356" s="1219"/>
      <c r="AW356" s="1219"/>
      <c r="AX356" s="1219"/>
      <c r="AY356" s="1219"/>
      <c r="AZ356" s="1219"/>
      <c r="BA356" s="1219"/>
      <c r="BB356" s="1219"/>
      <c r="BC356" s="1219"/>
      <c r="BD356" s="1219"/>
      <c r="BE356" s="1219"/>
      <c r="BF356" s="1219"/>
      <c r="BG356" s="1219"/>
      <c r="BH356" s="1219"/>
      <c r="BI356" s="1219"/>
      <c r="BJ356" s="1219"/>
      <c r="BK356" s="1219"/>
      <c r="BL356" s="1219"/>
      <c r="BM356" s="1219"/>
      <c r="BN356" s="1219"/>
      <c r="BO356" s="1219"/>
      <c r="BP356" s="1219"/>
      <c r="BQ356" s="1219"/>
      <c r="BR356" s="1219"/>
      <c r="BS356" s="1219"/>
      <c r="BU356" s="1217"/>
      <c r="BW356" s="1219"/>
      <c r="BY356" s="1217"/>
      <c r="CA356" s="1219"/>
      <c r="CC356" s="1217"/>
      <c r="CE356" s="1219"/>
      <c r="CG356" s="1217"/>
      <c r="CI356" s="1219"/>
    </row>
    <row r="357" spans="1:87">
      <c r="A357" s="20"/>
      <c r="B357" s="124" t="str">
        <f t="shared" si="160"/>
        <v/>
      </c>
      <c r="C357" s="235"/>
      <c r="D357" s="24">
        <f>'1% Wind'!$M$93</f>
        <v>2.4</v>
      </c>
      <c r="E357" s="90"/>
      <c r="F357" s="90"/>
      <c r="G357" s="79" t="e">
        <f ca="1">IF(I345=0.9743,$G356,MAX(G356/D356*D357,2))</f>
        <v>#REF!</v>
      </c>
      <c r="H357" s="121" t="e">
        <f t="shared" ca="1" si="161"/>
        <v>#REF!</v>
      </c>
      <c r="J357" s="33"/>
      <c r="K357" s="242">
        <f t="shared" si="162"/>
        <v>1</v>
      </c>
      <c r="L357" s="241" t="e">
        <f t="shared" ca="1" si="163"/>
        <v>#REF!</v>
      </c>
      <c r="M357" s="243" t="e">
        <f ca="1">IF(AND(INDEX(FlowCalConstA,MATCH(J345,FlowCalNumber,0),1,1)*L357^INDEX(FlowCalConstB,MATCH(J345,FlowCalNumber,0),1,1)&gt;INDEX(FlowCalLowSetting,MATCH(J345,FlowCalNumber,0),1,1), (INDEX(FlowCalConstA,MATCH(J345,FlowCalNumber,0),1,1)*L357^INDEX(FlowCalConstB,MATCH(J345,FlowCalNumber,0),1,1)&lt;INDEX(FlowCalHighSetting,MATCH(J345,FlowCalNumber,0),1,1))),INDEX(FlowCalConstA,MATCH(J345,FlowCalNumber,0),1,1)*L357^INDEX(FlowCalConstB,MATCH(J345,FlowCalNumber,0),1,1)," ")</f>
        <v>#REF!</v>
      </c>
      <c r="N357" s="33"/>
      <c r="O357" s="242">
        <f t="shared" si="164"/>
        <v>1</v>
      </c>
      <c r="P357" s="241" t="e">
        <f t="shared" ca="1" si="165"/>
        <v>#REF!</v>
      </c>
      <c r="Q357" s="243" t="e">
        <f ca="1">IF(AND(INDEX(FlowCalConstA,MATCH(N345,FlowCalNumber,0),1,1)*P357^INDEX(FlowCalConstB,MATCH(N345,FlowCalNumber,0),1,1)&gt;INDEX(FlowCalLowSetting,MATCH(N345,FlowCalNumber,0),1,1), (INDEX(FlowCalConstA,MATCH(N345,FlowCalNumber,0),1,1)*P357^INDEX(FlowCalConstB,MATCH(N345,FlowCalNumber,0),1,1)&lt;INDEX(FlowCalHighSetting,MATCH(N345,FlowCalNumber,0),1,1))),INDEX(FlowCalConstA,MATCH(N345,FlowCalNumber,0),1,1)*P357^INDEX(FlowCalConstB,MATCH(N345,FlowCalNumber,0),1,1)," ")</f>
        <v>#REF!</v>
      </c>
      <c r="R357" s="33"/>
      <c r="S357" s="242">
        <f t="shared" si="166"/>
        <v>1</v>
      </c>
      <c r="T357" s="241" t="e">
        <f t="shared" ca="1" si="167"/>
        <v>#REF!</v>
      </c>
      <c r="U357" s="243" t="e">
        <f ca="1">IF(AND(INDEX(FlowCalConstA,MATCH(R345,FlowCalNumber,0),1,1)*T357^INDEX(FlowCalConstB,MATCH(R345,FlowCalNumber,0),1,1)&gt;INDEX(FlowCalLowSetting,MATCH(R345,FlowCalNumber,0),1,1), (INDEX(FlowCalConstA,MATCH(R345,FlowCalNumber,0),1,1)*T357^INDEX(FlowCalConstB,MATCH(R345,FlowCalNumber,0),1,1)&lt;INDEX(FlowCalHighSetting,MATCH(R345,FlowCalNumber,0),1,1))),INDEX(FlowCalConstA,MATCH(R345,FlowCalNumber,0),1,1)*T357^INDEX(FlowCalConstB,MATCH(R345,FlowCalNumber,0),1,1)," ")</f>
        <v>#REF!</v>
      </c>
      <c r="V357" s="33"/>
      <c r="W357" s="242"/>
      <c r="X357" s="241"/>
      <c r="Y357" s="243"/>
      <c r="Z357" s="33"/>
      <c r="AA357" s="242"/>
      <c r="AB357" s="241"/>
      <c r="AC357" s="243"/>
      <c r="AD357" s="33"/>
      <c r="AE357" s="242"/>
      <c r="AF357" s="241"/>
      <c r="AG357" s="243"/>
      <c r="AH357" s="33"/>
      <c r="AI357" s="242"/>
      <c r="AJ357" s="241"/>
      <c r="AK357" s="244"/>
      <c r="AL357" s="243"/>
      <c r="AM357" s="243"/>
      <c r="AN357" s="243"/>
      <c r="AO357" s="243"/>
      <c r="AP357" s="243"/>
      <c r="AQ357" s="243"/>
      <c r="AR357" s="243"/>
      <c r="AS357" s="243"/>
      <c r="AT357" s="243"/>
      <c r="AU357" s="243"/>
      <c r="AV357" s="243"/>
      <c r="AW357" s="243"/>
      <c r="AX357" s="243"/>
      <c r="AY357" s="243"/>
      <c r="AZ357" s="243"/>
      <c r="BA357" s="243"/>
      <c r="BB357" s="243"/>
      <c r="BC357" s="243"/>
      <c r="BD357" s="243"/>
      <c r="BE357" s="243"/>
      <c r="BF357" s="243"/>
      <c r="BG357" s="243"/>
      <c r="BH357" s="243"/>
      <c r="BI357" s="243"/>
      <c r="BJ357" s="243"/>
      <c r="BK357" s="243"/>
      <c r="BL357" s="243"/>
      <c r="BM357" s="243"/>
      <c r="BN357" s="243"/>
      <c r="BO357" s="243"/>
      <c r="BP357" s="243"/>
      <c r="BQ357" s="243"/>
      <c r="BR357" s="243"/>
      <c r="BS357" s="243"/>
      <c r="BU357" s="242"/>
      <c r="BW357" s="243"/>
      <c r="BY357" s="242"/>
      <c r="CA357" s="243"/>
      <c r="CC357" s="242"/>
      <c r="CE357" s="243"/>
      <c r="CG357" s="242"/>
      <c r="CI357" s="243"/>
    </row>
    <row r="358" spans="1:87" s="1215" customFormat="1">
      <c r="A358" s="1222"/>
      <c r="B358" s="1223" t="str">
        <f t="shared" si="160"/>
        <v/>
      </c>
      <c r="C358" s="1210"/>
      <c r="D358" s="1211">
        <f>'1% Wind'!$M$94</f>
        <v>1.8</v>
      </c>
      <c r="E358" s="1212"/>
      <c r="F358" s="1212"/>
      <c r="G358" s="1213" t="e">
        <f ca="1">IF(I345=0.9743,$G357,MAX(G357/D357*D358,2))</f>
        <v>#REF!</v>
      </c>
      <c r="H358" s="1214" t="e">
        <f t="shared" ca="1" si="161"/>
        <v>#REF!</v>
      </c>
      <c r="J358" s="1224"/>
      <c r="K358" s="1217">
        <f t="shared" si="162"/>
        <v>1</v>
      </c>
      <c r="L358" s="1218" t="e">
        <f t="shared" ca="1" si="163"/>
        <v>#REF!</v>
      </c>
      <c r="M358" s="1219" t="e">
        <f ca="1">IF(AND(INDEX(FlowCalConstA,MATCH(J345,FlowCalNumber,0),1,1)*L358^INDEX(FlowCalConstB,MATCH(J345,FlowCalNumber,0),1,1)&gt;INDEX(FlowCalLowSetting,MATCH(J345,FlowCalNumber,0),1,1), (INDEX(FlowCalConstA,MATCH(J345,FlowCalNumber,0),1,1)*L358^INDEX(FlowCalConstB,MATCH(J345,FlowCalNumber,0),1,1)&lt;INDEX(FlowCalHighSetting,MATCH(J345,FlowCalNumber,0),1,1))),INDEX(FlowCalConstA,MATCH(J345,FlowCalNumber,0),1,1)*L358^INDEX(FlowCalConstB,MATCH(J345,FlowCalNumber,0),1,1)," ")</f>
        <v>#REF!</v>
      </c>
      <c r="N358" s="1224"/>
      <c r="O358" s="1217">
        <f t="shared" si="164"/>
        <v>1</v>
      </c>
      <c r="P358" s="1218" t="e">
        <f t="shared" ca="1" si="165"/>
        <v>#REF!</v>
      </c>
      <c r="Q358" s="1219" t="e">
        <f ca="1">IF(AND(INDEX(FlowCalConstA,MATCH(N345,FlowCalNumber,0),1,1)*P358^INDEX(FlowCalConstB,MATCH(N345,FlowCalNumber,0),1,1)&gt;INDEX(FlowCalLowSetting,MATCH(N345,FlowCalNumber,0),1,1), (INDEX(FlowCalConstA,MATCH(N345,FlowCalNumber,0),1,1)*P358^INDEX(FlowCalConstB,MATCH(N345,FlowCalNumber,0),1,1)&lt;INDEX(FlowCalHighSetting,MATCH(N345,FlowCalNumber,0),1,1))),INDEX(FlowCalConstA,MATCH(N345,FlowCalNumber,0),1,1)*P358^INDEX(FlowCalConstB,MATCH(N345,FlowCalNumber,0),1,1)," ")</f>
        <v>#REF!</v>
      </c>
      <c r="R358" s="1224"/>
      <c r="S358" s="1217">
        <f t="shared" si="166"/>
        <v>1</v>
      </c>
      <c r="T358" s="1218" t="e">
        <f t="shared" ca="1" si="167"/>
        <v>#REF!</v>
      </c>
      <c r="U358" s="1219" t="e">
        <f ca="1">IF(AND(INDEX(FlowCalConstA,MATCH(R345,FlowCalNumber,0),1,1)*T358^INDEX(FlowCalConstB,MATCH(R345,FlowCalNumber,0),1,1)&gt;INDEX(FlowCalLowSetting,MATCH(R345,FlowCalNumber,0),1,1), (INDEX(FlowCalConstA,MATCH(R345,FlowCalNumber,0),1,1)*T358^INDEX(FlowCalConstB,MATCH(R345,FlowCalNumber,0),1,1)&lt;INDEX(FlowCalHighSetting,MATCH(R345,FlowCalNumber,0),1,1))),INDEX(FlowCalConstA,MATCH(R345,FlowCalNumber,0),1,1)*T358^INDEX(FlowCalConstB,MATCH(R345,FlowCalNumber,0),1,1)," ")</f>
        <v>#REF!</v>
      </c>
      <c r="V358" s="1224"/>
      <c r="W358" s="1217"/>
      <c r="X358" s="1218"/>
      <c r="Y358" s="1219"/>
      <c r="Z358" s="1224"/>
      <c r="AA358" s="1217"/>
      <c r="AB358" s="1218"/>
      <c r="AC358" s="1219"/>
      <c r="AD358" s="1224"/>
      <c r="AE358" s="1217"/>
      <c r="AF358" s="1218"/>
      <c r="AG358" s="1219"/>
      <c r="AH358" s="1224"/>
      <c r="AI358" s="1217"/>
      <c r="AJ358" s="1218"/>
      <c r="AK358" s="1220"/>
      <c r="AL358" s="1219"/>
      <c r="AM358" s="1219"/>
      <c r="AN358" s="1219"/>
      <c r="AO358" s="1219"/>
      <c r="AP358" s="1219"/>
      <c r="AQ358" s="1219"/>
      <c r="AR358" s="1219"/>
      <c r="AS358" s="1219"/>
      <c r="AT358" s="1219"/>
      <c r="AU358" s="1219"/>
      <c r="AV358" s="1219"/>
      <c r="AW358" s="1219"/>
      <c r="AX358" s="1219"/>
      <c r="AY358" s="1219"/>
      <c r="AZ358" s="1219"/>
      <c r="BA358" s="1219"/>
      <c r="BB358" s="1219"/>
      <c r="BC358" s="1219"/>
      <c r="BD358" s="1219"/>
      <c r="BE358" s="1219"/>
      <c r="BF358" s="1219"/>
      <c r="BG358" s="1219"/>
      <c r="BH358" s="1219"/>
      <c r="BI358" s="1219"/>
      <c r="BJ358" s="1219"/>
      <c r="BK358" s="1219"/>
      <c r="BL358" s="1219"/>
      <c r="BM358" s="1219"/>
      <c r="BN358" s="1219"/>
      <c r="BO358" s="1219"/>
      <c r="BP358" s="1219"/>
      <c r="BQ358" s="1219"/>
      <c r="BR358" s="1219"/>
      <c r="BS358" s="1219"/>
      <c r="BU358" s="1217"/>
      <c r="BW358" s="1219"/>
      <c r="BY358" s="1217"/>
      <c r="CA358" s="1219"/>
      <c r="CC358" s="1217"/>
      <c r="CE358" s="1219"/>
      <c r="CG358" s="1217"/>
      <c r="CI358" s="1219"/>
    </row>
    <row r="359" spans="1:87">
      <c r="A359" s="20"/>
      <c r="B359" s="124" t="str">
        <f t="shared" si="160"/>
        <v/>
      </c>
      <c r="C359" s="235"/>
      <c r="D359" s="24">
        <f>'1% Wind'!$M$95</f>
        <v>1.3</v>
      </c>
      <c r="E359" s="90"/>
      <c r="F359" s="90"/>
      <c r="G359" s="79" t="e">
        <f ca="1">IF(I345=0.9743,$G358,MAX(G358/D358*D359,2))</f>
        <v>#REF!</v>
      </c>
      <c r="H359" s="121" t="e">
        <f t="shared" ca="1" si="161"/>
        <v>#REF!</v>
      </c>
      <c r="J359" s="33"/>
      <c r="K359" s="242">
        <f t="shared" si="162"/>
        <v>1</v>
      </c>
      <c r="L359" s="241" t="e">
        <f t="shared" ca="1" si="163"/>
        <v>#REF!</v>
      </c>
      <c r="M359" s="243" t="e">
        <f ca="1">IF(AND(INDEX(FlowCalConstA,MATCH(J345,FlowCalNumber,0),1,1)*L359^INDEX(FlowCalConstB,MATCH(J345,FlowCalNumber,0),1,1)&gt;INDEX(FlowCalLowSetting,MATCH(J345,FlowCalNumber,0),1,1), (INDEX(FlowCalConstA,MATCH(J345,FlowCalNumber,0),1,1)*L359^INDEX(FlowCalConstB,MATCH(J345,FlowCalNumber,0),1,1)&lt;INDEX(FlowCalHighSetting,MATCH(J345,FlowCalNumber,0),1,1))),INDEX(FlowCalConstA,MATCH(J345,FlowCalNumber,0),1,1)*L359^INDEX(FlowCalConstB,MATCH(J345,FlowCalNumber,0),1,1)," ")</f>
        <v>#REF!</v>
      </c>
      <c r="N359" s="33"/>
      <c r="O359" s="242">
        <f t="shared" si="164"/>
        <v>1</v>
      </c>
      <c r="P359" s="241" t="e">
        <f t="shared" ca="1" si="165"/>
        <v>#REF!</v>
      </c>
      <c r="Q359" s="243" t="e">
        <f ca="1">IF(AND(INDEX(FlowCalConstA,MATCH(N345,FlowCalNumber,0),1,1)*P359^INDEX(FlowCalConstB,MATCH(N345,FlowCalNumber,0),1,1)&gt;INDEX(FlowCalLowSetting,MATCH(N345,FlowCalNumber,0),1,1), (INDEX(FlowCalConstA,MATCH(N345,FlowCalNumber,0),1,1)*P359^INDEX(FlowCalConstB,MATCH(N345,FlowCalNumber,0),1,1)&lt;INDEX(FlowCalHighSetting,MATCH(N345,FlowCalNumber,0),1,1))),INDEX(FlowCalConstA,MATCH(N345,FlowCalNumber,0),1,1)*P359^INDEX(FlowCalConstB,MATCH(N345,FlowCalNumber,0),1,1)," ")</f>
        <v>#REF!</v>
      </c>
      <c r="R359" s="33"/>
      <c r="S359" s="242">
        <f t="shared" si="166"/>
        <v>1</v>
      </c>
      <c r="T359" s="241" t="e">
        <f t="shared" ca="1" si="167"/>
        <v>#REF!</v>
      </c>
      <c r="U359" s="243" t="e">
        <f ca="1">IF(AND(INDEX(FlowCalConstA,MATCH(R345,FlowCalNumber,0),1,1)*T359^INDEX(FlowCalConstB,MATCH(R345,FlowCalNumber,0),1,1)&gt;INDEX(FlowCalLowSetting,MATCH(R345,FlowCalNumber,0),1,1), (INDEX(FlowCalConstA,MATCH(R345,FlowCalNumber,0),1,1)*T359^INDEX(FlowCalConstB,MATCH(R345,FlowCalNumber,0),1,1)&lt;INDEX(FlowCalHighSetting,MATCH(R345,FlowCalNumber,0),1,1))),INDEX(FlowCalConstA,MATCH(R345,FlowCalNumber,0),1,1)*T359^INDEX(FlowCalConstB,MATCH(R345,FlowCalNumber,0),1,1)," ")</f>
        <v>#REF!</v>
      </c>
      <c r="V359" s="33"/>
      <c r="W359" s="242"/>
      <c r="X359" s="241"/>
      <c r="Y359" s="243"/>
      <c r="Z359" s="33"/>
      <c r="AA359" s="242"/>
      <c r="AB359" s="241"/>
      <c r="AC359" s="243"/>
      <c r="AD359" s="33"/>
      <c r="AE359" s="242"/>
      <c r="AF359" s="241"/>
      <c r="AG359" s="243"/>
      <c r="AH359" s="33"/>
      <c r="AI359" s="242"/>
      <c r="AJ359" s="241"/>
      <c r="AK359" s="244"/>
      <c r="AL359" s="243"/>
      <c r="AM359" s="243"/>
      <c r="AN359" s="243"/>
      <c r="AO359" s="243"/>
      <c r="AP359" s="243"/>
      <c r="AQ359" s="243"/>
      <c r="AR359" s="243"/>
      <c r="AS359" s="243"/>
      <c r="AT359" s="243"/>
      <c r="AU359" s="243"/>
      <c r="AV359" s="243"/>
      <c r="AW359" s="243"/>
      <c r="AX359" s="243"/>
      <c r="AY359" s="243"/>
      <c r="AZ359" s="243"/>
      <c r="BA359" s="243"/>
      <c r="BB359" s="243"/>
      <c r="BC359" s="243"/>
      <c r="BD359" s="243"/>
      <c r="BE359" s="243"/>
      <c r="BF359" s="243"/>
      <c r="BG359" s="243"/>
      <c r="BH359" s="243"/>
      <c r="BI359" s="243"/>
      <c r="BJ359" s="243"/>
      <c r="BK359" s="243"/>
      <c r="BL359" s="243"/>
      <c r="BM359" s="243"/>
      <c r="BN359" s="243"/>
      <c r="BO359" s="243"/>
      <c r="BP359" s="243"/>
      <c r="BQ359" s="243"/>
      <c r="BR359" s="243"/>
      <c r="BS359" s="243"/>
      <c r="BU359" s="242"/>
      <c r="BW359" s="243"/>
      <c r="BY359" s="242"/>
      <c r="CA359" s="243"/>
      <c r="CC359" s="242"/>
      <c r="CE359" s="243"/>
      <c r="CG359" s="242"/>
      <c r="CI359" s="243"/>
    </row>
    <row r="360" spans="1:87" s="1215" customFormat="1">
      <c r="A360" s="1222"/>
      <c r="B360" s="1223" t="str">
        <f t="shared" si="160"/>
        <v/>
      </c>
      <c r="C360" s="1210"/>
      <c r="D360" s="1211">
        <f>'1% Wind'!$M$96</f>
        <v>1</v>
      </c>
      <c r="E360" s="1212"/>
      <c r="F360" s="1212"/>
      <c r="G360" s="1213" t="e">
        <f ca="1">IF(I345=0.9743,$G359,MAX(G359/D359*D360,2))</f>
        <v>#REF!</v>
      </c>
      <c r="H360" s="1214" t="e">
        <f t="shared" ca="1" si="161"/>
        <v>#REF!</v>
      </c>
      <c r="J360" s="1224"/>
      <c r="K360" s="1217">
        <f t="shared" si="162"/>
        <v>1</v>
      </c>
      <c r="L360" s="1218" t="e">
        <f t="shared" ca="1" si="163"/>
        <v>#REF!</v>
      </c>
      <c r="M360" s="1219" t="e">
        <f ca="1">IF(AND(INDEX(FlowCalConstA,MATCH(J345,FlowCalNumber,0),1,1)*L360^INDEX(FlowCalConstB,MATCH(J345,FlowCalNumber,0),1,1)&gt;INDEX(FlowCalLowSetting,MATCH(J345,FlowCalNumber,0),1,1), (INDEX(FlowCalConstA,MATCH(J345,FlowCalNumber,0),1,1)*L360^INDEX(FlowCalConstB,MATCH(J345,FlowCalNumber,0),1,1)&lt;INDEX(FlowCalHighSetting,MATCH(J345,FlowCalNumber,0),1,1))),INDEX(FlowCalConstA,MATCH(J345,FlowCalNumber,0),1,1)*L360^INDEX(FlowCalConstB,MATCH(J345,FlowCalNumber,0),1,1)," ")</f>
        <v>#REF!</v>
      </c>
      <c r="N360" s="1224"/>
      <c r="O360" s="1217">
        <f t="shared" si="164"/>
        <v>1</v>
      </c>
      <c r="P360" s="1218" t="e">
        <f t="shared" ca="1" si="165"/>
        <v>#REF!</v>
      </c>
      <c r="Q360" s="1219" t="e">
        <f ca="1">IF(AND(INDEX(FlowCalConstA,MATCH(N345,FlowCalNumber,0),1,1)*P360^INDEX(FlowCalConstB,MATCH(N345,FlowCalNumber,0),1,1)&gt;INDEX(FlowCalLowSetting,MATCH(N345,FlowCalNumber,0),1,1), (INDEX(FlowCalConstA,MATCH(N345,FlowCalNumber,0),1,1)*P360^INDEX(FlowCalConstB,MATCH(N345,FlowCalNumber,0),1,1)&lt;INDEX(FlowCalHighSetting,MATCH(N345,FlowCalNumber,0),1,1))),INDEX(FlowCalConstA,MATCH(N345,FlowCalNumber,0),1,1)*P360^INDEX(FlowCalConstB,MATCH(N345,FlowCalNumber,0),1,1)," ")</f>
        <v>#REF!</v>
      </c>
      <c r="R360" s="1224"/>
      <c r="S360" s="1217">
        <f t="shared" si="166"/>
        <v>1</v>
      </c>
      <c r="T360" s="1218" t="e">
        <f t="shared" ca="1" si="167"/>
        <v>#REF!</v>
      </c>
      <c r="U360" s="1219" t="e">
        <f ca="1">IF(AND(INDEX(FlowCalConstA,MATCH(R345,FlowCalNumber,0),1,1)*T360^INDEX(FlowCalConstB,MATCH(R345,FlowCalNumber,0),1,1)&gt;INDEX(FlowCalLowSetting,MATCH(R345,FlowCalNumber,0),1,1), (INDEX(FlowCalConstA,MATCH(R345,FlowCalNumber,0),1,1)*T360^INDEX(FlowCalConstB,MATCH(R345,FlowCalNumber,0),1,1)&lt;INDEX(FlowCalHighSetting,MATCH(R345,FlowCalNumber,0),1,1))),INDEX(FlowCalConstA,MATCH(R345,FlowCalNumber,0),1,1)*T360^INDEX(FlowCalConstB,MATCH(R345,FlowCalNumber,0),1,1)," ")</f>
        <v>#REF!</v>
      </c>
      <c r="V360" s="1224"/>
      <c r="W360" s="1217"/>
      <c r="X360" s="1218"/>
      <c r="Y360" s="1219"/>
      <c r="Z360" s="1224"/>
      <c r="AA360" s="1217"/>
      <c r="AB360" s="1218"/>
      <c r="AC360" s="1219"/>
      <c r="AD360" s="1224"/>
      <c r="AE360" s="1217"/>
      <c r="AF360" s="1218"/>
      <c r="AG360" s="1219"/>
      <c r="AH360" s="1224"/>
      <c r="AI360" s="1217"/>
      <c r="AJ360" s="1218"/>
      <c r="AK360" s="1220"/>
      <c r="AL360" s="1219"/>
      <c r="AM360" s="1219"/>
      <c r="AN360" s="1219"/>
      <c r="AO360" s="1219"/>
      <c r="AP360" s="1219"/>
      <c r="AQ360" s="1219"/>
      <c r="AR360" s="1219"/>
      <c r="AS360" s="1219"/>
      <c r="AT360" s="1219"/>
      <c r="AU360" s="1219"/>
      <c r="AV360" s="1219"/>
      <c r="AW360" s="1219"/>
      <c r="AX360" s="1219"/>
      <c r="AY360" s="1219"/>
      <c r="AZ360" s="1219"/>
      <c r="BA360" s="1219"/>
      <c r="BB360" s="1219"/>
      <c r="BC360" s="1219"/>
      <c r="BD360" s="1219"/>
      <c r="BE360" s="1219"/>
      <c r="BF360" s="1219"/>
      <c r="BG360" s="1219"/>
      <c r="BH360" s="1219"/>
      <c r="BI360" s="1219"/>
      <c r="BJ360" s="1219"/>
      <c r="BK360" s="1219"/>
      <c r="BL360" s="1219"/>
      <c r="BM360" s="1219"/>
      <c r="BN360" s="1219"/>
      <c r="BO360" s="1219"/>
      <c r="BP360" s="1219"/>
      <c r="BQ360" s="1219"/>
      <c r="BR360" s="1219"/>
      <c r="BS360" s="1219"/>
      <c r="BU360" s="1217"/>
      <c r="BW360" s="1219"/>
      <c r="BY360" s="1217"/>
      <c r="CA360" s="1219"/>
      <c r="CC360" s="1217"/>
      <c r="CE360" s="1219"/>
      <c r="CG360" s="1217"/>
      <c r="CI360" s="1219"/>
    </row>
    <row r="361" spans="1:87">
      <c r="A361" s="33"/>
      <c r="B361" s="33"/>
      <c r="C361" s="235"/>
      <c r="E361" s="90"/>
      <c r="F361" s="90"/>
      <c r="G361" s="33"/>
      <c r="J361" s="33"/>
      <c r="M361" s="243"/>
      <c r="N361" s="33"/>
      <c r="Q361" s="243"/>
      <c r="R361" s="33"/>
      <c r="U361" s="243"/>
      <c r="V361" s="33"/>
      <c r="Y361" s="243"/>
      <c r="Z361" s="33"/>
      <c r="AC361" s="243"/>
      <c r="AD361" s="33"/>
      <c r="AG361" s="243"/>
      <c r="AH361" s="33"/>
      <c r="AK361" s="244"/>
      <c r="AL361" s="243"/>
      <c r="AM361" s="243"/>
      <c r="AN361" s="243"/>
      <c r="AO361" s="243"/>
      <c r="AP361" s="243"/>
      <c r="AQ361" s="243"/>
      <c r="AR361" s="243"/>
      <c r="AS361" s="243"/>
      <c r="AT361" s="243"/>
      <c r="AU361" s="243"/>
      <c r="AV361" s="243"/>
      <c r="AW361" s="243"/>
      <c r="AX361" s="243"/>
      <c r="AY361" s="243"/>
      <c r="AZ361" s="243"/>
      <c r="BA361" s="243"/>
      <c r="BB361" s="243"/>
      <c r="BC361" s="243"/>
      <c r="BD361" s="243"/>
      <c r="BE361" s="243"/>
      <c r="BF361" s="243"/>
      <c r="BG361" s="243"/>
      <c r="BH361" s="243"/>
      <c r="BI361" s="243"/>
      <c r="BJ361" s="243"/>
      <c r="BK361" s="243"/>
      <c r="BL361" s="243"/>
      <c r="BM361" s="243"/>
      <c r="BN361" s="243"/>
      <c r="BO361" s="243"/>
      <c r="BP361" s="243"/>
      <c r="BQ361" s="243"/>
      <c r="BR361" s="243"/>
      <c r="BS361" s="243"/>
      <c r="BW361" s="243"/>
      <c r="CA361" s="243"/>
      <c r="CE361" s="243"/>
      <c r="CI361" s="243"/>
    </row>
    <row r="362" spans="1:87">
      <c r="A362" s="256" t="str">
        <f>IF((RIGHT(A345,1))&lt;&gt;"Z",CHAR(CODE(A345))&amp;CHAR(CODE(RIGHT(A345,1))+1),CHAR(CODE(A345)+1)&amp;"A")</f>
        <v>AU</v>
      </c>
      <c r="B362" s="270" t="e">
        <f>INDEX(SourceID,MATCH($A362,SourceNumber,0),1,1)</f>
        <v>#N/A</v>
      </c>
      <c r="C362" s="354" t="e">
        <f>INDEX(SourceExitDiameter,MATCH($A362,SourceNumber,0),1,1)*3.28*12</f>
        <v>#N/A</v>
      </c>
      <c r="D362" s="24" t="str">
        <f>UAnem1percent</f>
        <v>1% Wind</v>
      </c>
      <c r="E362" s="350" t="e">
        <f ca="1">INDIRECT(ADDRESS(53,6,1,,CONCATENATE("TA",$A362)))</f>
        <v>#REF!</v>
      </c>
      <c r="F362" s="625" t="e">
        <f ca="1">(ROUND((INDIRECT(ADDRESS(15,7,1,,CONCATENATE("TA",$A362)))*3.28*12*32),0)&amp;"/32")</f>
        <v>#REF!</v>
      </c>
      <c r="G362" s="125" t="e">
        <f ca="1">INDIRECT(ADDRESS(29,7,1,,$A362))</f>
        <v>#REF!</v>
      </c>
      <c r="H362" s="24" t="e">
        <f ca="1">INDIRECT(ADDRESS(19,7,1,,$A362))*100^3</f>
        <v>#REF!</v>
      </c>
      <c r="I362" s="941" t="e">
        <f ca="1">INDIRECT(ADDRESS(53,7,1,,$A362))</f>
        <v>#REF!</v>
      </c>
      <c r="J362" s="20" t="e">
        <f ca="1">IF($I362=$I$6,K$16&amp;$G$6&amp;J$6,IF($I362=$I$7,K$16&amp;$G$7&amp;J$7,"Bad"))</f>
        <v>#REF!</v>
      </c>
      <c r="K362" t="e">
        <f ca="1">INDEX(FlowCalGasMixture,MATCH(J362,FlowCalNumber,0),1,1)</f>
        <v>#REF!</v>
      </c>
      <c r="M362" s="944" t="e">
        <f ca="1">INDEX(FlowCalDevice,MATCH(J362,FlowCalNumber,0),1,1)</f>
        <v>#REF!</v>
      </c>
      <c r="N362" s="20" t="e">
        <f ca="1">IF($I362=$I$6,O$16&amp;$G$6&amp;N$6,IF($I362=$I$7,O$16&amp;$G$7&amp;N$7,"Bad"))</f>
        <v>#REF!</v>
      </c>
      <c r="O362" t="e">
        <f ca="1">INDEX(FlowCalGasMixture,MATCH(N362,FlowCalNumber,0),1,1)</f>
        <v>#REF!</v>
      </c>
      <c r="Q362" s="944" t="e">
        <f ca="1">INDEX(FlowCalDevice,MATCH(N362,FlowCalNumber,0),1,1)</f>
        <v>#REF!</v>
      </c>
      <c r="R362" s="20" t="e">
        <f ca="1">IF($I362=$I$6,S$16&amp;$G$6&amp;R$6,IF($I362=$I$7,S$16&amp;$G$7&amp;R$7,"Bad"))</f>
        <v>#REF!</v>
      </c>
      <c r="S362" t="e">
        <f ca="1">INDEX(FlowCalGasMixture,MATCH(R362,FlowCalNumber,0),1,1)</f>
        <v>#REF!</v>
      </c>
      <c r="U362" s="944" t="e">
        <f ca="1">INDEX(FlowCalDevice,MATCH(R362,FlowCalNumber,0),1,1)</f>
        <v>#REF!</v>
      </c>
      <c r="V362" s="20"/>
      <c r="Y362" s="944"/>
      <c r="Z362" s="946"/>
      <c r="AC362" s="944"/>
      <c r="AD362" s="20"/>
      <c r="AG362" s="944"/>
      <c r="AH362" s="946"/>
      <c r="AK362" s="982"/>
      <c r="AL362" s="355"/>
      <c r="AM362" s="355"/>
      <c r="AN362" s="355"/>
      <c r="AO362" s="355"/>
      <c r="AP362" s="355"/>
      <c r="AQ362" s="355"/>
      <c r="AR362" s="355"/>
      <c r="AS362" s="355"/>
      <c r="AT362" s="355"/>
      <c r="AU362" s="355"/>
      <c r="AV362" s="355"/>
      <c r="AW362" s="355"/>
      <c r="AX362" s="355"/>
      <c r="AY362" s="355"/>
      <c r="AZ362" s="355"/>
      <c r="BA362" s="355"/>
      <c r="BB362" s="355"/>
      <c r="BC362" s="355"/>
      <c r="BD362" s="355"/>
      <c r="BE362" s="355"/>
      <c r="BF362" s="355"/>
      <c r="BG362" s="355"/>
      <c r="BH362" s="355"/>
      <c r="BI362" s="355"/>
      <c r="BJ362" s="355"/>
      <c r="BK362" s="355"/>
      <c r="BL362" s="355"/>
      <c r="BM362" s="355"/>
      <c r="BN362" s="355"/>
      <c r="BO362" s="355"/>
      <c r="BP362" s="355"/>
      <c r="BQ362" s="355"/>
      <c r="BR362" s="355"/>
      <c r="BS362" s="355"/>
      <c r="BT362" s="46"/>
      <c r="BU362" s="16"/>
      <c r="BW362" s="355"/>
      <c r="BX362" s="42"/>
      <c r="BY362" s="16"/>
      <c r="CA362" s="355"/>
      <c r="CB362" s="42"/>
      <c r="CC362" s="16"/>
      <c r="CE362" s="355"/>
      <c r="CF362" s="42"/>
      <c r="CG362" s="16"/>
      <c r="CI362" s="355"/>
    </row>
    <row r="363" spans="1:87" s="1215" customFormat="1">
      <c r="A363" s="1222"/>
      <c r="B363" s="1223" t="str">
        <f t="shared" ref="B363:B377" si="168">IF(D363=UAnem1percent,"1% Wind","")</f>
        <v/>
      </c>
      <c r="C363" s="1210"/>
      <c r="D363" s="1211">
        <f>'1% Wind'!$M$82</f>
        <v>27</v>
      </c>
      <c r="E363" s="1212"/>
      <c r="F363" s="1212"/>
      <c r="G363" s="1364">
        <v>2</v>
      </c>
      <c r="H363" s="1214" t="e">
        <f t="shared" ref="H363:H377" ca="1" si="169">H362*(D362/D363)*(G363/G362)</f>
        <v>#REF!</v>
      </c>
      <c r="J363" s="1224"/>
      <c r="K363" s="1221">
        <f>K$17/100</f>
        <v>1</v>
      </c>
      <c r="L363" s="1218" t="e">
        <f ca="1">K363*$H363</f>
        <v>#REF!</v>
      </c>
      <c r="M363" s="1219" t="e">
        <f ca="1">IF(AND(INDEX(FlowCalConstA,MATCH(J362,FlowCalNumber,0),1,1)*L363^INDEX(FlowCalConstB,MATCH(J362,FlowCalNumber,0),1,1)&gt;INDEX(FlowCalLowSetting,MATCH(J362,FlowCalNumber,0),1,1), (INDEX(FlowCalConstA,MATCH(J362,FlowCalNumber,0),1,1)*L363^INDEX(FlowCalConstB,MATCH(J362,FlowCalNumber,0),1,1)&lt;INDEX(FlowCalHighSetting,MATCH(J362,FlowCalNumber,0),1,1))),INDEX(FlowCalConstA,MATCH(J362,FlowCalNumber,0),1,1)*L363^INDEX(FlowCalConstB,MATCH(J362,FlowCalNumber,0),1,1)," ")</f>
        <v>#REF!</v>
      </c>
      <c r="N363" s="1224"/>
      <c r="O363" s="1221">
        <f>O$17/100</f>
        <v>1</v>
      </c>
      <c r="P363" s="1218" t="e">
        <f ca="1">O363*$H363</f>
        <v>#REF!</v>
      </c>
      <c r="Q363" s="1219" t="e">
        <f ca="1">IF(AND(INDEX(FlowCalConstA,MATCH(N362,FlowCalNumber,0),1,1)*P363^INDEX(FlowCalConstB,MATCH(N362,FlowCalNumber,0),1,1)&gt;INDEX(FlowCalLowSetting,MATCH(N362,FlowCalNumber,0),1,1), (INDEX(FlowCalConstA,MATCH(N362,FlowCalNumber,0),1,1)*P363^INDEX(FlowCalConstB,MATCH(N362,FlowCalNumber,0),1,1)&lt;INDEX(FlowCalHighSetting,MATCH(N362,FlowCalNumber,0),1,1))),INDEX(FlowCalConstA,MATCH(N362,FlowCalNumber,0),1,1)*P363^INDEX(FlowCalConstB,MATCH(N362,FlowCalNumber,0),1,1)," ")</f>
        <v>#REF!</v>
      </c>
      <c r="R363" s="1224"/>
      <c r="S363" s="1221">
        <f>S$17/100</f>
        <v>1</v>
      </c>
      <c r="T363" s="1218" t="e">
        <f ca="1">S363*$H363</f>
        <v>#REF!</v>
      </c>
      <c r="U363" s="1219" t="e">
        <f ca="1">IF(AND(INDEX(FlowCalConstA,MATCH(R362,FlowCalNumber,0),1,1)*T363^INDEX(FlowCalConstB,MATCH(R362,FlowCalNumber,0),1,1)&gt;INDEX(FlowCalLowSetting,MATCH(R362,FlowCalNumber,0),1,1), (INDEX(FlowCalConstA,MATCH(R362,FlowCalNumber,0),1,1)*T363^INDEX(FlowCalConstB,MATCH(R362,FlowCalNumber,0),1,1)&lt;INDEX(FlowCalHighSetting,MATCH(R362,FlowCalNumber,0),1,1))),INDEX(FlowCalConstA,MATCH(R362,FlowCalNumber,0),1,1)*T363^INDEX(FlowCalConstB,MATCH(R362,FlowCalNumber,0),1,1)," ")</f>
        <v>#REF!</v>
      </c>
      <c r="V363" s="1224"/>
      <c r="W363" s="1221"/>
      <c r="X363" s="1218"/>
      <c r="Y363" s="1219"/>
      <c r="Z363" s="1224"/>
      <c r="AA363" s="1221"/>
      <c r="AB363" s="1218"/>
      <c r="AC363" s="1219"/>
      <c r="AD363" s="1224"/>
      <c r="AE363" s="1221"/>
      <c r="AF363" s="1218"/>
      <c r="AG363" s="1219"/>
      <c r="AH363" s="1224"/>
      <c r="AI363" s="1221"/>
      <c r="AJ363" s="1218"/>
      <c r="AK363" s="1220"/>
      <c r="AL363" s="1219"/>
      <c r="AM363" s="1219"/>
      <c r="AN363" s="1219"/>
      <c r="AO363" s="1219"/>
      <c r="AP363" s="1219"/>
      <c r="AQ363" s="1219"/>
      <c r="AR363" s="1219"/>
      <c r="AS363" s="1219"/>
      <c r="AT363" s="1219"/>
      <c r="AU363" s="1219"/>
      <c r="AV363" s="1219"/>
      <c r="AW363" s="1219"/>
      <c r="AX363" s="1219"/>
      <c r="AY363" s="1219"/>
      <c r="AZ363" s="1219"/>
      <c r="BA363" s="1219"/>
      <c r="BB363" s="1219"/>
      <c r="BC363" s="1219"/>
      <c r="BD363" s="1219"/>
      <c r="BE363" s="1219"/>
      <c r="BF363" s="1219"/>
      <c r="BG363" s="1219"/>
      <c r="BH363" s="1219"/>
      <c r="BI363" s="1219"/>
      <c r="BJ363" s="1219"/>
      <c r="BK363" s="1219"/>
      <c r="BL363" s="1219"/>
      <c r="BM363" s="1219"/>
      <c r="BN363" s="1219"/>
      <c r="BO363" s="1219"/>
      <c r="BP363" s="1219"/>
      <c r="BQ363" s="1219"/>
      <c r="BR363" s="1219"/>
      <c r="BS363" s="1219"/>
      <c r="BU363" s="1225"/>
      <c r="BW363" s="1219"/>
      <c r="BY363" s="1225"/>
      <c r="CA363" s="1219"/>
      <c r="CC363" s="1225"/>
      <c r="CE363" s="1219"/>
      <c r="CG363" s="1221"/>
      <c r="CI363" s="1219"/>
    </row>
    <row r="364" spans="1:87">
      <c r="A364" s="20"/>
      <c r="B364" s="124" t="str">
        <f t="shared" si="168"/>
        <v/>
      </c>
      <c r="C364" s="235"/>
      <c r="D364" s="24">
        <f>'1% Wind'!$M$83</f>
        <v>23.5</v>
      </c>
      <c r="E364" s="90"/>
      <c r="F364" s="90"/>
      <c r="G364" s="79" t="e">
        <f ca="1">IF(I362=0.9743,$G363,MAX(G363/D363*D364,2))</f>
        <v>#REF!</v>
      </c>
      <c r="H364" s="121" t="e">
        <f t="shared" ca="1" si="169"/>
        <v>#REF!</v>
      </c>
      <c r="J364" s="33"/>
      <c r="K364" s="242">
        <f t="shared" ref="K364:K377" si="170">K363</f>
        <v>1</v>
      </c>
      <c r="L364" s="241" t="e">
        <f t="shared" ref="L364:L377" ca="1" si="171">K364*$H364</f>
        <v>#REF!</v>
      </c>
      <c r="M364" s="243" t="e">
        <f ca="1">IF(AND(INDEX(FlowCalConstA,MATCH(J362,FlowCalNumber,0),1,1)*L364^INDEX(FlowCalConstB,MATCH(J362,FlowCalNumber,0),1,1)&gt;INDEX(FlowCalLowSetting,MATCH(J362,FlowCalNumber,0),1,1), (INDEX(FlowCalConstA,MATCH(J362,FlowCalNumber,0),1,1)*L364^INDEX(FlowCalConstB,MATCH(J362,FlowCalNumber,0),1,1)&lt;INDEX(FlowCalHighSetting,MATCH(J362,FlowCalNumber,0),1,1))),INDEX(FlowCalConstA,MATCH(J362,FlowCalNumber,0),1,1)*L364^INDEX(FlowCalConstB,MATCH(J362,FlowCalNumber,0),1,1)," ")</f>
        <v>#REF!</v>
      </c>
      <c r="N364" s="33"/>
      <c r="O364" s="242">
        <f t="shared" ref="O364:O377" si="172">O363</f>
        <v>1</v>
      </c>
      <c r="P364" s="241" t="e">
        <f t="shared" ref="P364:P377" ca="1" si="173">O364*$H364</f>
        <v>#REF!</v>
      </c>
      <c r="Q364" s="243" t="e">
        <f ca="1">IF(AND(INDEX(FlowCalConstA,MATCH(N362,FlowCalNumber,0),1,1)*P364^INDEX(FlowCalConstB,MATCH(N362,FlowCalNumber,0),1,1)&gt;INDEX(FlowCalLowSetting,MATCH(N362,FlowCalNumber,0),1,1), (INDEX(FlowCalConstA,MATCH(N362,FlowCalNumber,0),1,1)*P364^INDEX(FlowCalConstB,MATCH(N362,FlowCalNumber,0),1,1)&lt;INDEX(FlowCalHighSetting,MATCH(N362,FlowCalNumber,0),1,1))),INDEX(FlowCalConstA,MATCH(N362,FlowCalNumber,0),1,1)*P364^INDEX(FlowCalConstB,MATCH(N362,FlowCalNumber,0),1,1)," ")</f>
        <v>#REF!</v>
      </c>
      <c r="R364" s="33"/>
      <c r="S364" s="242">
        <f t="shared" ref="S364:S377" si="174">S363</f>
        <v>1</v>
      </c>
      <c r="T364" s="241" t="e">
        <f t="shared" ref="T364:T377" ca="1" si="175">S364*$H364</f>
        <v>#REF!</v>
      </c>
      <c r="U364" s="243" t="e">
        <f ca="1">IF(AND(INDEX(FlowCalConstA,MATCH(R362,FlowCalNumber,0),1,1)*T364^INDEX(FlowCalConstB,MATCH(R362,FlowCalNumber,0),1,1)&gt;INDEX(FlowCalLowSetting,MATCH(R362,FlowCalNumber,0),1,1), (INDEX(FlowCalConstA,MATCH(R362,FlowCalNumber,0),1,1)*T364^INDEX(FlowCalConstB,MATCH(R362,FlowCalNumber,0),1,1)&lt;INDEX(FlowCalHighSetting,MATCH(R362,FlowCalNumber,0),1,1))),INDEX(FlowCalConstA,MATCH(R362,FlowCalNumber,0),1,1)*T364^INDEX(FlowCalConstB,MATCH(R362,FlowCalNumber,0),1,1)," ")</f>
        <v>#REF!</v>
      </c>
      <c r="V364" s="33"/>
      <c r="W364" s="242"/>
      <c r="X364" s="241"/>
      <c r="Y364" s="243"/>
      <c r="Z364" s="33"/>
      <c r="AA364" s="242"/>
      <c r="AB364" s="241"/>
      <c r="AC364" s="243"/>
      <c r="AD364" s="33"/>
      <c r="AE364" s="242"/>
      <c r="AF364" s="241"/>
      <c r="AG364" s="243"/>
      <c r="AH364" s="33"/>
      <c r="AI364" s="242"/>
      <c r="AJ364" s="241"/>
      <c r="AK364" s="244"/>
      <c r="AL364" s="243"/>
      <c r="AM364" s="243"/>
      <c r="AN364" s="243"/>
      <c r="AO364" s="243"/>
      <c r="AP364" s="243"/>
      <c r="AQ364" s="243"/>
      <c r="AR364" s="243"/>
      <c r="AS364" s="243"/>
      <c r="AT364" s="243"/>
      <c r="AU364" s="243"/>
      <c r="AV364" s="243"/>
      <c r="AW364" s="243"/>
      <c r="AX364" s="243"/>
      <c r="AY364" s="243"/>
      <c r="AZ364" s="243"/>
      <c r="BA364" s="243"/>
      <c r="BB364" s="243"/>
      <c r="BC364" s="243"/>
      <c r="BD364" s="243"/>
      <c r="BE364" s="243"/>
      <c r="BF364" s="243"/>
      <c r="BG364" s="243"/>
      <c r="BH364" s="243"/>
      <c r="BI364" s="243"/>
      <c r="BJ364" s="243"/>
      <c r="BK364" s="243"/>
      <c r="BL364" s="243"/>
      <c r="BM364" s="243"/>
      <c r="BN364" s="243"/>
      <c r="BO364" s="243"/>
      <c r="BP364" s="243"/>
      <c r="BQ364" s="243"/>
      <c r="BR364" s="243"/>
      <c r="BS364" s="243"/>
      <c r="BU364" s="242"/>
      <c r="BW364" s="243"/>
      <c r="BY364" s="242"/>
      <c r="CA364" s="243"/>
      <c r="CC364" s="242"/>
      <c r="CE364" s="243"/>
      <c r="CG364" s="242"/>
      <c r="CI364" s="243"/>
    </row>
    <row r="365" spans="1:87" s="1215" customFormat="1">
      <c r="A365" s="1222"/>
      <c r="B365" s="1223" t="str">
        <f t="shared" si="168"/>
        <v/>
      </c>
      <c r="C365" s="1210"/>
      <c r="D365" s="1211">
        <f>'1% Wind'!$M$84</f>
        <v>20.5</v>
      </c>
      <c r="E365" s="1212"/>
      <c r="F365" s="1212"/>
      <c r="G365" s="1213" t="e">
        <f ca="1">IF(I362=0.9743,$G364,MAX(G364/D364*D365,2))</f>
        <v>#REF!</v>
      </c>
      <c r="H365" s="1214" t="e">
        <f t="shared" ca="1" si="169"/>
        <v>#REF!</v>
      </c>
      <c r="J365" s="1224"/>
      <c r="K365" s="1217">
        <f t="shared" si="170"/>
        <v>1</v>
      </c>
      <c r="L365" s="1218" t="e">
        <f t="shared" ca="1" si="171"/>
        <v>#REF!</v>
      </c>
      <c r="M365" s="1219" t="e">
        <f ca="1">IF(AND(INDEX(FlowCalConstA,MATCH(J362,FlowCalNumber,0),1,1)*L365^INDEX(FlowCalConstB,MATCH(J362,FlowCalNumber,0),1,1)&gt;INDEX(FlowCalLowSetting,MATCH(J362,FlowCalNumber,0),1,1), (INDEX(FlowCalConstA,MATCH(J362,FlowCalNumber,0),1,1)*L365^INDEX(FlowCalConstB,MATCH(J362,FlowCalNumber,0),1,1)&lt;INDEX(FlowCalHighSetting,MATCH(J362,FlowCalNumber,0),1,1))),INDEX(FlowCalConstA,MATCH(J362,FlowCalNumber,0),1,1)*L365^INDEX(FlowCalConstB,MATCH(J362,FlowCalNumber,0),1,1)," ")</f>
        <v>#REF!</v>
      </c>
      <c r="N365" s="1224"/>
      <c r="O365" s="1217">
        <f t="shared" si="172"/>
        <v>1</v>
      </c>
      <c r="P365" s="1218" t="e">
        <f t="shared" ca="1" si="173"/>
        <v>#REF!</v>
      </c>
      <c r="Q365" s="1219" t="e">
        <f ca="1">IF(AND(INDEX(FlowCalConstA,MATCH(N362,FlowCalNumber,0),1,1)*P365^INDEX(FlowCalConstB,MATCH(N362,FlowCalNumber,0),1,1)&gt;INDEX(FlowCalLowSetting,MATCH(N362,FlowCalNumber,0),1,1), (INDEX(FlowCalConstA,MATCH(N362,FlowCalNumber,0),1,1)*P365^INDEX(FlowCalConstB,MATCH(N362,FlowCalNumber,0),1,1)&lt;INDEX(FlowCalHighSetting,MATCH(N362,FlowCalNumber,0),1,1))),INDEX(FlowCalConstA,MATCH(N362,FlowCalNumber,0),1,1)*P365^INDEX(FlowCalConstB,MATCH(N362,FlowCalNumber,0),1,1)," ")</f>
        <v>#REF!</v>
      </c>
      <c r="R365" s="1224"/>
      <c r="S365" s="1217">
        <f t="shared" si="174"/>
        <v>1</v>
      </c>
      <c r="T365" s="1218" t="e">
        <f t="shared" ca="1" si="175"/>
        <v>#REF!</v>
      </c>
      <c r="U365" s="1219" t="e">
        <f ca="1">IF(AND(INDEX(FlowCalConstA,MATCH(R362,FlowCalNumber,0),1,1)*T365^INDEX(FlowCalConstB,MATCH(R362,FlowCalNumber,0),1,1)&gt;INDEX(FlowCalLowSetting,MATCH(R362,FlowCalNumber,0),1,1), (INDEX(FlowCalConstA,MATCH(R362,FlowCalNumber,0),1,1)*T365^INDEX(FlowCalConstB,MATCH(R362,FlowCalNumber,0),1,1)&lt;INDEX(FlowCalHighSetting,MATCH(R362,FlowCalNumber,0),1,1))),INDEX(FlowCalConstA,MATCH(R362,FlowCalNumber,0),1,1)*T365^INDEX(FlowCalConstB,MATCH(R362,FlowCalNumber,0),1,1)," ")</f>
        <v>#REF!</v>
      </c>
      <c r="V365" s="1224"/>
      <c r="W365" s="1217"/>
      <c r="X365" s="1218"/>
      <c r="Y365" s="1219"/>
      <c r="Z365" s="1224"/>
      <c r="AA365" s="1217"/>
      <c r="AB365" s="1218"/>
      <c r="AC365" s="1219"/>
      <c r="AD365" s="1224"/>
      <c r="AE365" s="1217"/>
      <c r="AF365" s="1218"/>
      <c r="AG365" s="1219"/>
      <c r="AH365" s="1224"/>
      <c r="AI365" s="1217"/>
      <c r="AJ365" s="1218"/>
      <c r="AK365" s="1220"/>
      <c r="AL365" s="1219"/>
      <c r="AM365" s="1219"/>
      <c r="AN365" s="1219"/>
      <c r="AO365" s="1219"/>
      <c r="AP365" s="1219"/>
      <c r="AQ365" s="1219"/>
      <c r="AR365" s="1219"/>
      <c r="AS365" s="1219"/>
      <c r="AT365" s="1219"/>
      <c r="AU365" s="1219"/>
      <c r="AV365" s="1219"/>
      <c r="AW365" s="1219"/>
      <c r="AX365" s="1219"/>
      <c r="AY365" s="1219"/>
      <c r="AZ365" s="1219"/>
      <c r="BA365" s="1219"/>
      <c r="BB365" s="1219"/>
      <c r="BC365" s="1219"/>
      <c r="BD365" s="1219"/>
      <c r="BE365" s="1219"/>
      <c r="BF365" s="1219"/>
      <c r="BG365" s="1219"/>
      <c r="BH365" s="1219"/>
      <c r="BI365" s="1219"/>
      <c r="BJ365" s="1219"/>
      <c r="BK365" s="1219"/>
      <c r="BL365" s="1219"/>
      <c r="BM365" s="1219"/>
      <c r="BN365" s="1219"/>
      <c r="BO365" s="1219"/>
      <c r="BP365" s="1219"/>
      <c r="BQ365" s="1219"/>
      <c r="BR365" s="1219"/>
      <c r="BS365" s="1219"/>
      <c r="BU365" s="1217"/>
      <c r="BW365" s="1219"/>
      <c r="BY365" s="1217"/>
      <c r="CA365" s="1219"/>
      <c r="CC365" s="1217"/>
      <c r="CE365" s="1219"/>
      <c r="CG365" s="1217"/>
      <c r="CI365" s="1219"/>
    </row>
    <row r="366" spans="1:87">
      <c r="A366" s="20"/>
      <c r="B366" s="124" t="str">
        <f t="shared" si="168"/>
        <v/>
      </c>
      <c r="C366" s="235"/>
      <c r="D366" s="24">
        <f>'1% Wind'!$M$85</f>
        <v>17.8</v>
      </c>
      <c r="E366" s="90"/>
      <c r="F366" s="90"/>
      <c r="G366" s="79" t="e">
        <f ca="1">IF(I362=0.9743,$G365,MAX(G365/D365*D366,2))</f>
        <v>#REF!</v>
      </c>
      <c r="H366" s="121" t="e">
        <f t="shared" ca="1" si="169"/>
        <v>#REF!</v>
      </c>
      <c r="J366" s="33"/>
      <c r="K366" s="242">
        <f t="shared" si="170"/>
        <v>1</v>
      </c>
      <c r="L366" s="241" t="e">
        <f t="shared" ca="1" si="171"/>
        <v>#REF!</v>
      </c>
      <c r="M366" s="243" t="e">
        <f ca="1">IF(AND(INDEX(FlowCalConstA,MATCH(J362,FlowCalNumber,0),1,1)*L366^INDEX(FlowCalConstB,MATCH(J362,FlowCalNumber,0),1,1)&gt;INDEX(FlowCalLowSetting,MATCH(J362,FlowCalNumber,0),1,1), (INDEX(FlowCalConstA,MATCH(J362,FlowCalNumber,0),1,1)*L366^INDEX(FlowCalConstB,MATCH(J362,FlowCalNumber,0),1,1)&lt;INDEX(FlowCalHighSetting,MATCH(J362,FlowCalNumber,0),1,1))),INDEX(FlowCalConstA,MATCH(J362,FlowCalNumber,0),1,1)*L366^INDEX(FlowCalConstB,MATCH(J362,FlowCalNumber,0),1,1)," ")</f>
        <v>#REF!</v>
      </c>
      <c r="N366" s="33"/>
      <c r="O366" s="242">
        <f t="shared" si="172"/>
        <v>1</v>
      </c>
      <c r="P366" s="241" t="e">
        <f t="shared" ca="1" si="173"/>
        <v>#REF!</v>
      </c>
      <c r="Q366" s="243" t="e">
        <f ca="1">IF(AND(INDEX(FlowCalConstA,MATCH(N362,FlowCalNumber,0),1,1)*P366^INDEX(FlowCalConstB,MATCH(N362,FlowCalNumber,0),1,1)&gt;INDEX(FlowCalLowSetting,MATCH(N362,FlowCalNumber,0),1,1), (INDEX(FlowCalConstA,MATCH(N362,FlowCalNumber,0),1,1)*P366^INDEX(FlowCalConstB,MATCH(N362,FlowCalNumber,0),1,1)&lt;INDEX(FlowCalHighSetting,MATCH(N362,FlowCalNumber,0),1,1))),INDEX(FlowCalConstA,MATCH(N362,FlowCalNumber,0),1,1)*P366^INDEX(FlowCalConstB,MATCH(N362,FlowCalNumber,0),1,1)," ")</f>
        <v>#REF!</v>
      </c>
      <c r="R366" s="33"/>
      <c r="S366" s="242">
        <f t="shared" si="174"/>
        <v>1</v>
      </c>
      <c r="T366" s="241" t="e">
        <f t="shared" ca="1" si="175"/>
        <v>#REF!</v>
      </c>
      <c r="U366" s="243" t="e">
        <f ca="1">IF(AND(INDEX(FlowCalConstA,MATCH(R362,FlowCalNumber,0),1,1)*T366^INDEX(FlowCalConstB,MATCH(R362,FlowCalNumber,0),1,1)&gt;INDEX(FlowCalLowSetting,MATCH(R362,FlowCalNumber,0),1,1), (INDEX(FlowCalConstA,MATCH(R362,FlowCalNumber,0),1,1)*T366^INDEX(FlowCalConstB,MATCH(R362,FlowCalNumber,0),1,1)&lt;INDEX(FlowCalHighSetting,MATCH(R362,FlowCalNumber,0),1,1))),INDEX(FlowCalConstA,MATCH(R362,FlowCalNumber,0),1,1)*T366^INDEX(FlowCalConstB,MATCH(R362,FlowCalNumber,0),1,1)," ")</f>
        <v>#REF!</v>
      </c>
      <c r="V366" s="33"/>
      <c r="W366" s="242"/>
      <c r="X366" s="241"/>
      <c r="Y366" s="243"/>
      <c r="Z366" s="33"/>
      <c r="AA366" s="242"/>
      <c r="AB366" s="241"/>
      <c r="AC366" s="243"/>
      <c r="AD366" s="33"/>
      <c r="AE366" s="242"/>
      <c r="AF366" s="241"/>
      <c r="AG366" s="243"/>
      <c r="AH366" s="33"/>
      <c r="AI366" s="242"/>
      <c r="AJ366" s="241"/>
      <c r="AK366" s="244"/>
      <c r="AL366" s="243"/>
      <c r="AM366" s="243"/>
      <c r="AN366" s="243"/>
      <c r="AO366" s="243"/>
      <c r="AP366" s="243"/>
      <c r="AQ366" s="243"/>
      <c r="AR366" s="243"/>
      <c r="AS366" s="243"/>
      <c r="AT366" s="243"/>
      <c r="AU366" s="243"/>
      <c r="AV366" s="243"/>
      <c r="AW366" s="243"/>
      <c r="AX366" s="243"/>
      <c r="AY366" s="243"/>
      <c r="AZ366" s="243"/>
      <c r="BA366" s="243"/>
      <c r="BB366" s="243"/>
      <c r="BC366" s="243"/>
      <c r="BD366" s="243"/>
      <c r="BE366" s="243"/>
      <c r="BF366" s="243"/>
      <c r="BG366" s="243"/>
      <c r="BH366" s="243"/>
      <c r="BI366" s="243"/>
      <c r="BJ366" s="243"/>
      <c r="BK366" s="243"/>
      <c r="BL366" s="243"/>
      <c r="BM366" s="243"/>
      <c r="BN366" s="243"/>
      <c r="BO366" s="243"/>
      <c r="BP366" s="243"/>
      <c r="BQ366" s="243"/>
      <c r="BR366" s="243"/>
      <c r="BS366" s="243"/>
      <c r="BU366" s="242"/>
      <c r="BW366" s="243"/>
      <c r="BY366" s="242"/>
      <c r="CA366" s="243"/>
      <c r="CC366" s="242"/>
      <c r="CE366" s="243"/>
      <c r="CG366" s="242"/>
      <c r="CI366" s="243"/>
    </row>
    <row r="367" spans="1:87" s="1215" customFormat="1">
      <c r="A367" s="1222"/>
      <c r="B367" s="1223" t="str">
        <f t="shared" si="168"/>
        <v/>
      </c>
      <c r="C367" s="1210"/>
      <c r="D367" s="1211">
        <f>'1% Wind'!$M$86</f>
        <v>15.5</v>
      </c>
      <c r="E367" s="1212"/>
      <c r="F367" s="1212"/>
      <c r="G367" s="1213" t="e">
        <f ca="1">IF(I362=0.9743,$G366,MAX(G366/D366*D367,2))</f>
        <v>#REF!</v>
      </c>
      <c r="H367" s="1214" t="e">
        <f t="shared" ca="1" si="169"/>
        <v>#REF!</v>
      </c>
      <c r="J367" s="1224"/>
      <c r="K367" s="1217">
        <f t="shared" si="170"/>
        <v>1</v>
      </c>
      <c r="L367" s="1218" t="e">
        <f t="shared" ca="1" si="171"/>
        <v>#REF!</v>
      </c>
      <c r="M367" s="1219" t="e">
        <f ca="1">IF(AND(INDEX(FlowCalConstA,MATCH(J362,FlowCalNumber,0),1,1)*L367^INDEX(FlowCalConstB,MATCH(J362,FlowCalNumber,0),1,1)&gt;INDEX(FlowCalLowSetting,MATCH(J362,FlowCalNumber,0),1,1), (INDEX(FlowCalConstA,MATCH(J362,FlowCalNumber,0),1,1)*L367^INDEX(FlowCalConstB,MATCH(J362,FlowCalNumber,0),1,1)&lt;INDEX(FlowCalHighSetting,MATCH(J362,FlowCalNumber,0),1,1))),INDEX(FlowCalConstA,MATCH(J362,FlowCalNumber,0),1,1)*L367^INDEX(FlowCalConstB,MATCH(J362,FlowCalNumber,0),1,1)," ")</f>
        <v>#REF!</v>
      </c>
      <c r="N367" s="1224"/>
      <c r="O367" s="1217">
        <f t="shared" si="172"/>
        <v>1</v>
      </c>
      <c r="P367" s="1218" t="e">
        <f t="shared" ca="1" si="173"/>
        <v>#REF!</v>
      </c>
      <c r="Q367" s="1219" t="e">
        <f ca="1">IF(AND(INDEX(FlowCalConstA,MATCH(N362,FlowCalNumber,0),1,1)*P367^INDEX(FlowCalConstB,MATCH(N362,FlowCalNumber,0),1,1)&gt;INDEX(FlowCalLowSetting,MATCH(N362,FlowCalNumber,0),1,1), (INDEX(FlowCalConstA,MATCH(N362,FlowCalNumber,0),1,1)*P367^INDEX(FlowCalConstB,MATCH(N362,FlowCalNumber,0),1,1)&lt;INDEX(FlowCalHighSetting,MATCH(N362,FlowCalNumber,0),1,1))),INDEX(FlowCalConstA,MATCH(N362,FlowCalNumber,0),1,1)*P367^INDEX(FlowCalConstB,MATCH(N362,FlowCalNumber,0),1,1)," ")</f>
        <v>#REF!</v>
      </c>
      <c r="R367" s="1224"/>
      <c r="S367" s="1217">
        <f t="shared" si="174"/>
        <v>1</v>
      </c>
      <c r="T367" s="1218" t="e">
        <f t="shared" ca="1" si="175"/>
        <v>#REF!</v>
      </c>
      <c r="U367" s="1219" t="e">
        <f ca="1">IF(AND(INDEX(FlowCalConstA,MATCH(R362,FlowCalNumber,0),1,1)*T367^INDEX(FlowCalConstB,MATCH(R362,FlowCalNumber,0),1,1)&gt;INDEX(FlowCalLowSetting,MATCH(R362,FlowCalNumber,0),1,1), (INDEX(FlowCalConstA,MATCH(R362,FlowCalNumber,0),1,1)*T367^INDEX(FlowCalConstB,MATCH(R362,FlowCalNumber,0),1,1)&lt;INDEX(FlowCalHighSetting,MATCH(R362,FlowCalNumber,0),1,1))),INDEX(FlowCalConstA,MATCH(R362,FlowCalNumber,0),1,1)*T367^INDEX(FlowCalConstB,MATCH(R362,FlowCalNumber,0),1,1)," ")</f>
        <v>#REF!</v>
      </c>
      <c r="V367" s="1224"/>
      <c r="W367" s="1217"/>
      <c r="X367" s="1218"/>
      <c r="Y367" s="1219"/>
      <c r="Z367" s="1224"/>
      <c r="AA367" s="1217"/>
      <c r="AB367" s="1218"/>
      <c r="AC367" s="1219"/>
      <c r="AD367" s="1224"/>
      <c r="AE367" s="1217"/>
      <c r="AF367" s="1218"/>
      <c r="AG367" s="1219"/>
      <c r="AH367" s="1224"/>
      <c r="AI367" s="1217"/>
      <c r="AJ367" s="1218"/>
      <c r="AK367" s="1220"/>
      <c r="AL367" s="1219"/>
      <c r="AM367" s="1219"/>
      <c r="AN367" s="1219"/>
      <c r="AO367" s="1219"/>
      <c r="AP367" s="1219"/>
      <c r="AQ367" s="1219"/>
      <c r="AR367" s="1219"/>
      <c r="AS367" s="1219"/>
      <c r="AT367" s="1219"/>
      <c r="AU367" s="1219"/>
      <c r="AV367" s="1219"/>
      <c r="AW367" s="1219"/>
      <c r="AX367" s="1219"/>
      <c r="AY367" s="1219"/>
      <c r="AZ367" s="1219"/>
      <c r="BA367" s="1219"/>
      <c r="BB367" s="1219"/>
      <c r="BC367" s="1219"/>
      <c r="BD367" s="1219"/>
      <c r="BE367" s="1219"/>
      <c r="BF367" s="1219"/>
      <c r="BG367" s="1219"/>
      <c r="BH367" s="1219"/>
      <c r="BI367" s="1219"/>
      <c r="BJ367" s="1219"/>
      <c r="BK367" s="1219"/>
      <c r="BL367" s="1219"/>
      <c r="BM367" s="1219"/>
      <c r="BN367" s="1219"/>
      <c r="BO367" s="1219"/>
      <c r="BP367" s="1219"/>
      <c r="BQ367" s="1219"/>
      <c r="BR367" s="1219"/>
      <c r="BS367" s="1219"/>
      <c r="BU367" s="1217"/>
      <c r="BW367" s="1219"/>
      <c r="BY367" s="1217"/>
      <c r="CA367" s="1219"/>
      <c r="CC367" s="1217"/>
      <c r="CE367" s="1219"/>
      <c r="CG367" s="1217"/>
      <c r="CI367" s="1219"/>
    </row>
    <row r="368" spans="1:87">
      <c r="A368" s="20"/>
      <c r="B368" s="124" t="str">
        <f t="shared" si="168"/>
        <v/>
      </c>
      <c r="C368" s="235"/>
      <c r="D368" s="24">
        <f>'1% Wind'!$M$87</f>
        <v>13.5</v>
      </c>
      <c r="E368" s="90"/>
      <c r="F368" s="90"/>
      <c r="G368" s="79" t="e">
        <f ca="1">IF(I362=0.9743,$G367,MAX(G367/D367*D368,2))</f>
        <v>#REF!</v>
      </c>
      <c r="H368" s="121" t="e">
        <f t="shared" ca="1" si="169"/>
        <v>#REF!</v>
      </c>
      <c r="J368" s="33"/>
      <c r="K368" s="242">
        <f t="shared" si="170"/>
        <v>1</v>
      </c>
      <c r="L368" s="241" t="e">
        <f t="shared" ca="1" si="171"/>
        <v>#REF!</v>
      </c>
      <c r="M368" s="243" t="e">
        <f ca="1">IF(AND(INDEX(FlowCalConstA,MATCH(J362,FlowCalNumber,0),1,1)*L368^INDEX(FlowCalConstB,MATCH(J362,FlowCalNumber,0),1,1)&gt;INDEX(FlowCalLowSetting,MATCH(J362,FlowCalNumber,0),1,1), (INDEX(FlowCalConstA,MATCH(J362,FlowCalNumber,0),1,1)*L368^INDEX(FlowCalConstB,MATCH(J362,FlowCalNumber,0),1,1)&lt;INDEX(FlowCalHighSetting,MATCH(J362,FlowCalNumber,0),1,1))),INDEX(FlowCalConstA,MATCH(J362,FlowCalNumber,0),1,1)*L368^INDEX(FlowCalConstB,MATCH(J362,FlowCalNumber,0),1,1)," ")</f>
        <v>#REF!</v>
      </c>
      <c r="N368" s="33"/>
      <c r="O368" s="242">
        <f t="shared" si="172"/>
        <v>1</v>
      </c>
      <c r="P368" s="241" t="e">
        <f t="shared" ca="1" si="173"/>
        <v>#REF!</v>
      </c>
      <c r="Q368" s="243" t="e">
        <f ca="1">IF(AND(INDEX(FlowCalConstA,MATCH(N362,FlowCalNumber,0),1,1)*P368^INDEX(FlowCalConstB,MATCH(N362,FlowCalNumber,0),1,1)&gt;INDEX(FlowCalLowSetting,MATCH(N362,FlowCalNumber,0),1,1), (INDEX(FlowCalConstA,MATCH(N362,FlowCalNumber,0),1,1)*P368^INDEX(FlowCalConstB,MATCH(N362,FlowCalNumber,0),1,1)&lt;INDEX(FlowCalHighSetting,MATCH(N362,FlowCalNumber,0),1,1))),INDEX(FlowCalConstA,MATCH(N362,FlowCalNumber,0),1,1)*P368^INDEX(FlowCalConstB,MATCH(N362,FlowCalNumber,0),1,1)," ")</f>
        <v>#REF!</v>
      </c>
      <c r="R368" s="33"/>
      <c r="S368" s="242">
        <f t="shared" si="174"/>
        <v>1</v>
      </c>
      <c r="T368" s="241" t="e">
        <f t="shared" ca="1" si="175"/>
        <v>#REF!</v>
      </c>
      <c r="U368" s="243" t="e">
        <f ca="1">IF(AND(INDEX(FlowCalConstA,MATCH(R362,FlowCalNumber,0),1,1)*T368^INDEX(FlowCalConstB,MATCH(R362,FlowCalNumber,0),1,1)&gt;INDEX(FlowCalLowSetting,MATCH(R362,FlowCalNumber,0),1,1), (INDEX(FlowCalConstA,MATCH(R362,FlowCalNumber,0),1,1)*T368^INDEX(FlowCalConstB,MATCH(R362,FlowCalNumber,0),1,1)&lt;INDEX(FlowCalHighSetting,MATCH(R362,FlowCalNumber,0),1,1))),INDEX(FlowCalConstA,MATCH(R362,FlowCalNumber,0),1,1)*T368^INDEX(FlowCalConstB,MATCH(R362,FlowCalNumber,0),1,1)," ")</f>
        <v>#REF!</v>
      </c>
      <c r="V368" s="33"/>
      <c r="W368" s="242"/>
      <c r="X368" s="241"/>
      <c r="Y368" s="243"/>
      <c r="Z368" s="33"/>
      <c r="AA368" s="242"/>
      <c r="AB368" s="241"/>
      <c r="AC368" s="243"/>
      <c r="AD368" s="33"/>
      <c r="AE368" s="242"/>
      <c r="AF368" s="241"/>
      <c r="AG368" s="243"/>
      <c r="AH368" s="33"/>
      <c r="AI368" s="242"/>
      <c r="AJ368" s="241"/>
      <c r="AK368" s="244"/>
      <c r="AL368" s="243"/>
      <c r="AM368" s="243"/>
      <c r="AN368" s="243"/>
      <c r="AO368" s="243"/>
      <c r="AP368" s="243"/>
      <c r="AQ368" s="243"/>
      <c r="AR368" s="243"/>
      <c r="AS368" s="243"/>
      <c r="AT368" s="243"/>
      <c r="AU368" s="243"/>
      <c r="AV368" s="243"/>
      <c r="AW368" s="243"/>
      <c r="AX368" s="243"/>
      <c r="AY368" s="243"/>
      <c r="AZ368" s="243"/>
      <c r="BA368" s="243"/>
      <c r="BB368" s="243"/>
      <c r="BC368" s="243"/>
      <c r="BD368" s="243"/>
      <c r="BE368" s="243"/>
      <c r="BF368" s="243"/>
      <c r="BG368" s="243"/>
      <c r="BH368" s="243"/>
      <c r="BI368" s="243"/>
      <c r="BJ368" s="243"/>
      <c r="BK368" s="243"/>
      <c r="BL368" s="243"/>
      <c r="BM368" s="243"/>
      <c r="BN368" s="243"/>
      <c r="BO368" s="243"/>
      <c r="BP368" s="243"/>
      <c r="BQ368" s="243"/>
      <c r="BR368" s="243"/>
      <c r="BS368" s="243"/>
      <c r="BU368" s="242"/>
      <c r="BW368" s="243"/>
      <c r="BY368" s="242"/>
      <c r="CA368" s="243"/>
      <c r="CC368" s="242"/>
      <c r="CE368" s="243"/>
      <c r="CG368" s="242"/>
      <c r="CI368" s="243"/>
    </row>
    <row r="369" spans="1:87" s="1215" customFormat="1">
      <c r="A369" s="1222"/>
      <c r="B369" s="1223" t="str">
        <f t="shared" si="168"/>
        <v/>
      </c>
      <c r="C369" s="1210"/>
      <c r="D369" s="1211">
        <f>'1% Wind'!$M$88</f>
        <v>10.1</v>
      </c>
      <c r="E369" s="1212"/>
      <c r="F369" s="1212"/>
      <c r="G369" s="1213" t="e">
        <f ca="1">IF(I362=0.9743,$G368,MAX(G368/D368*D369,2))</f>
        <v>#REF!</v>
      </c>
      <c r="H369" s="1214" t="e">
        <f t="shared" ca="1" si="169"/>
        <v>#REF!</v>
      </c>
      <c r="J369" s="1224"/>
      <c r="K369" s="1217">
        <f t="shared" si="170"/>
        <v>1</v>
      </c>
      <c r="L369" s="1218" t="e">
        <f t="shared" ca="1" si="171"/>
        <v>#REF!</v>
      </c>
      <c r="M369" s="1219" t="e">
        <f ca="1">IF(AND(INDEX(FlowCalConstA,MATCH(J362,FlowCalNumber,0),1,1)*L369^INDEX(FlowCalConstB,MATCH(J362,FlowCalNumber,0),1,1)&gt;INDEX(FlowCalLowSetting,MATCH(J362,FlowCalNumber,0),1,1), (INDEX(FlowCalConstA,MATCH(J362,FlowCalNumber,0),1,1)*L369^INDEX(FlowCalConstB,MATCH(J362,FlowCalNumber,0),1,1)&lt;INDEX(FlowCalHighSetting,MATCH(J362,FlowCalNumber,0),1,1))),INDEX(FlowCalConstA,MATCH(J362,FlowCalNumber,0),1,1)*L369^INDEX(FlowCalConstB,MATCH(J362,FlowCalNumber,0),1,1)," ")</f>
        <v>#REF!</v>
      </c>
      <c r="N369" s="1224"/>
      <c r="O369" s="1217">
        <f t="shared" si="172"/>
        <v>1</v>
      </c>
      <c r="P369" s="1218" t="e">
        <f t="shared" ca="1" si="173"/>
        <v>#REF!</v>
      </c>
      <c r="Q369" s="1219" t="e">
        <f ca="1">IF(AND(INDEX(FlowCalConstA,MATCH(N362,FlowCalNumber,0),1,1)*P369^INDEX(FlowCalConstB,MATCH(N362,FlowCalNumber,0),1,1)&gt;INDEX(FlowCalLowSetting,MATCH(N362,FlowCalNumber,0),1,1), (INDEX(FlowCalConstA,MATCH(N362,FlowCalNumber,0),1,1)*P369^INDEX(FlowCalConstB,MATCH(N362,FlowCalNumber,0),1,1)&lt;INDEX(FlowCalHighSetting,MATCH(N362,FlowCalNumber,0),1,1))),INDEX(FlowCalConstA,MATCH(N362,FlowCalNumber,0),1,1)*P369^INDEX(FlowCalConstB,MATCH(N362,FlowCalNumber,0),1,1)," ")</f>
        <v>#REF!</v>
      </c>
      <c r="R369" s="1224"/>
      <c r="S369" s="1217">
        <f t="shared" si="174"/>
        <v>1</v>
      </c>
      <c r="T369" s="1218" t="e">
        <f t="shared" ca="1" si="175"/>
        <v>#REF!</v>
      </c>
      <c r="U369" s="1219" t="e">
        <f ca="1">IF(AND(INDEX(FlowCalConstA,MATCH(R362,FlowCalNumber,0),1,1)*T369^INDEX(FlowCalConstB,MATCH(R362,FlowCalNumber,0),1,1)&gt;INDEX(FlowCalLowSetting,MATCH(R362,FlowCalNumber,0),1,1), (INDEX(FlowCalConstA,MATCH(R362,FlowCalNumber,0),1,1)*T369^INDEX(FlowCalConstB,MATCH(R362,FlowCalNumber,0),1,1)&lt;INDEX(FlowCalHighSetting,MATCH(R362,FlowCalNumber,0),1,1))),INDEX(FlowCalConstA,MATCH(R362,FlowCalNumber,0),1,1)*T369^INDEX(FlowCalConstB,MATCH(R362,FlowCalNumber,0),1,1)," ")</f>
        <v>#REF!</v>
      </c>
      <c r="V369" s="1224"/>
      <c r="W369" s="1217"/>
      <c r="X369" s="1218"/>
      <c r="Y369" s="1219"/>
      <c r="Z369" s="1224"/>
      <c r="AA369" s="1217"/>
      <c r="AB369" s="1218"/>
      <c r="AC369" s="1219"/>
      <c r="AD369" s="1224"/>
      <c r="AE369" s="1217"/>
      <c r="AF369" s="1218"/>
      <c r="AG369" s="1219"/>
      <c r="AH369" s="1224"/>
      <c r="AI369" s="1217"/>
      <c r="AJ369" s="1218"/>
      <c r="AK369" s="1220"/>
      <c r="AL369" s="1219"/>
      <c r="AM369" s="1219"/>
      <c r="AN369" s="1219"/>
      <c r="AO369" s="1219"/>
      <c r="AP369" s="1219"/>
      <c r="AQ369" s="1219"/>
      <c r="AR369" s="1219"/>
      <c r="AS369" s="1219"/>
      <c r="AT369" s="1219"/>
      <c r="AU369" s="1219"/>
      <c r="AV369" s="1219"/>
      <c r="AW369" s="1219"/>
      <c r="AX369" s="1219"/>
      <c r="AY369" s="1219"/>
      <c r="AZ369" s="1219"/>
      <c r="BA369" s="1219"/>
      <c r="BB369" s="1219"/>
      <c r="BC369" s="1219"/>
      <c r="BD369" s="1219"/>
      <c r="BE369" s="1219"/>
      <c r="BF369" s="1219"/>
      <c r="BG369" s="1219"/>
      <c r="BH369" s="1219"/>
      <c r="BI369" s="1219"/>
      <c r="BJ369" s="1219"/>
      <c r="BK369" s="1219"/>
      <c r="BL369" s="1219"/>
      <c r="BM369" s="1219"/>
      <c r="BN369" s="1219"/>
      <c r="BO369" s="1219"/>
      <c r="BP369" s="1219"/>
      <c r="BQ369" s="1219"/>
      <c r="BR369" s="1219"/>
      <c r="BS369" s="1219"/>
      <c r="BU369" s="1217"/>
      <c r="BW369" s="1219"/>
      <c r="BY369" s="1217"/>
      <c r="CA369" s="1219"/>
      <c r="CC369" s="1217"/>
      <c r="CE369" s="1219"/>
      <c r="CG369" s="1217"/>
      <c r="CI369" s="1219"/>
    </row>
    <row r="370" spans="1:87">
      <c r="A370" s="20"/>
      <c r="B370" s="124" t="str">
        <f t="shared" si="168"/>
        <v/>
      </c>
      <c r="C370" s="235"/>
      <c r="D370" s="24">
        <f>'1% Wind'!$M$89</f>
        <v>7.6</v>
      </c>
      <c r="E370" s="90"/>
      <c r="F370" s="90"/>
      <c r="G370" s="79" t="e">
        <f ca="1">IF(I362=0.9743,$G369,MAX(G369/D369*D370,2))</f>
        <v>#REF!</v>
      </c>
      <c r="H370" s="121" t="e">
        <f t="shared" ca="1" si="169"/>
        <v>#REF!</v>
      </c>
      <c r="J370" s="33"/>
      <c r="K370" s="242">
        <f t="shared" si="170"/>
        <v>1</v>
      </c>
      <c r="L370" s="241" t="e">
        <f t="shared" ca="1" si="171"/>
        <v>#REF!</v>
      </c>
      <c r="M370" s="243" t="e">
        <f ca="1">IF(AND(INDEX(FlowCalConstA,MATCH(J362,FlowCalNumber,0),1,1)*L370^INDEX(FlowCalConstB,MATCH(J362,FlowCalNumber,0),1,1)&gt;INDEX(FlowCalLowSetting,MATCH(J362,FlowCalNumber,0),1,1), (INDEX(FlowCalConstA,MATCH(J362,FlowCalNumber,0),1,1)*L370^INDEX(FlowCalConstB,MATCH(J362,FlowCalNumber,0),1,1)&lt;INDEX(FlowCalHighSetting,MATCH(J362,FlowCalNumber,0),1,1))),INDEX(FlowCalConstA,MATCH(J362,FlowCalNumber,0),1,1)*L370^INDEX(FlowCalConstB,MATCH(J362,FlowCalNumber,0),1,1)," ")</f>
        <v>#REF!</v>
      </c>
      <c r="N370" s="33"/>
      <c r="O370" s="242">
        <f t="shared" si="172"/>
        <v>1</v>
      </c>
      <c r="P370" s="241" t="e">
        <f t="shared" ca="1" si="173"/>
        <v>#REF!</v>
      </c>
      <c r="Q370" s="243" t="e">
        <f ca="1">IF(AND(INDEX(FlowCalConstA,MATCH(N362,FlowCalNumber,0),1,1)*P370^INDEX(FlowCalConstB,MATCH(N362,FlowCalNumber,0),1,1)&gt;INDEX(FlowCalLowSetting,MATCH(N362,FlowCalNumber,0),1,1), (INDEX(FlowCalConstA,MATCH(N362,FlowCalNumber,0),1,1)*P370^INDEX(FlowCalConstB,MATCH(N362,FlowCalNumber,0),1,1)&lt;INDEX(FlowCalHighSetting,MATCH(N362,FlowCalNumber,0),1,1))),INDEX(FlowCalConstA,MATCH(N362,FlowCalNumber,0),1,1)*P370^INDEX(FlowCalConstB,MATCH(N362,FlowCalNumber,0),1,1)," ")</f>
        <v>#REF!</v>
      </c>
      <c r="R370" s="33"/>
      <c r="S370" s="242">
        <f t="shared" si="174"/>
        <v>1</v>
      </c>
      <c r="T370" s="241" t="e">
        <f t="shared" ca="1" si="175"/>
        <v>#REF!</v>
      </c>
      <c r="U370" s="243" t="e">
        <f ca="1">IF(AND(INDEX(FlowCalConstA,MATCH(R362,FlowCalNumber,0),1,1)*T370^INDEX(FlowCalConstB,MATCH(R362,FlowCalNumber,0),1,1)&gt;INDEX(FlowCalLowSetting,MATCH(R362,FlowCalNumber,0),1,1), (INDEX(FlowCalConstA,MATCH(R362,FlowCalNumber,0),1,1)*T370^INDEX(FlowCalConstB,MATCH(R362,FlowCalNumber,0),1,1)&lt;INDEX(FlowCalHighSetting,MATCH(R362,FlowCalNumber,0),1,1))),INDEX(FlowCalConstA,MATCH(R362,FlowCalNumber,0),1,1)*T370^INDEX(FlowCalConstB,MATCH(R362,FlowCalNumber,0),1,1)," ")</f>
        <v>#REF!</v>
      </c>
      <c r="V370" s="33"/>
      <c r="W370" s="242"/>
      <c r="X370" s="241"/>
      <c r="Y370" s="243"/>
      <c r="Z370" s="33"/>
      <c r="AA370" s="242"/>
      <c r="AB370" s="241"/>
      <c r="AC370" s="243"/>
      <c r="AD370" s="33"/>
      <c r="AE370" s="242"/>
      <c r="AF370" s="241"/>
      <c r="AG370" s="243"/>
      <c r="AH370" s="33"/>
      <c r="AI370" s="242"/>
      <c r="AJ370" s="241"/>
      <c r="AK370" s="244"/>
      <c r="AL370" s="243"/>
      <c r="AM370" s="243"/>
      <c r="AN370" s="243"/>
      <c r="AO370" s="243"/>
      <c r="AP370" s="243"/>
      <c r="AQ370" s="243"/>
      <c r="AR370" s="243"/>
      <c r="AS370" s="243"/>
      <c r="AT370" s="243"/>
      <c r="AU370" s="243"/>
      <c r="AV370" s="243"/>
      <c r="AW370" s="243"/>
      <c r="AX370" s="243"/>
      <c r="AY370" s="243"/>
      <c r="AZ370" s="243"/>
      <c r="BA370" s="243"/>
      <c r="BB370" s="243"/>
      <c r="BC370" s="243"/>
      <c r="BD370" s="243"/>
      <c r="BE370" s="243"/>
      <c r="BF370" s="243"/>
      <c r="BG370" s="243"/>
      <c r="BH370" s="243"/>
      <c r="BI370" s="243"/>
      <c r="BJ370" s="243"/>
      <c r="BK370" s="243"/>
      <c r="BL370" s="243"/>
      <c r="BM370" s="243"/>
      <c r="BN370" s="243"/>
      <c r="BO370" s="243"/>
      <c r="BP370" s="243"/>
      <c r="BQ370" s="243"/>
      <c r="BR370" s="243"/>
      <c r="BS370" s="243"/>
      <c r="BU370" s="242"/>
      <c r="BW370" s="243"/>
      <c r="BY370" s="242"/>
      <c r="CA370" s="243"/>
      <c r="CC370" s="242"/>
      <c r="CE370" s="243"/>
      <c r="CG370" s="242"/>
      <c r="CI370" s="243"/>
    </row>
    <row r="371" spans="1:87" s="1215" customFormat="1">
      <c r="A371" s="1222"/>
      <c r="B371" s="1223" t="str">
        <f t="shared" si="168"/>
        <v/>
      </c>
      <c r="C371" s="1210"/>
      <c r="D371" s="1211">
        <f>'1% Wind'!$M$90</f>
        <v>5.7</v>
      </c>
      <c r="E371" s="1212"/>
      <c r="F371" s="1212"/>
      <c r="G371" s="1213" t="e">
        <f ca="1">IF(I362=0.9743,$G370,MAX(G370/D370*D371,2))</f>
        <v>#REF!</v>
      </c>
      <c r="H371" s="1214" t="e">
        <f t="shared" ca="1" si="169"/>
        <v>#REF!</v>
      </c>
      <c r="J371" s="1224"/>
      <c r="K371" s="1217">
        <f t="shared" si="170"/>
        <v>1</v>
      </c>
      <c r="L371" s="1218" t="e">
        <f t="shared" ca="1" si="171"/>
        <v>#REF!</v>
      </c>
      <c r="M371" s="1219" t="e">
        <f ca="1">IF(AND(INDEX(FlowCalConstA,MATCH(J362,FlowCalNumber,0),1,1)*L371^INDEX(FlowCalConstB,MATCH(J362,FlowCalNumber,0),1,1)&gt;INDEX(FlowCalLowSetting,MATCH(J362,FlowCalNumber,0),1,1), (INDEX(FlowCalConstA,MATCH(J362,FlowCalNumber,0),1,1)*L371^INDEX(FlowCalConstB,MATCH(J362,FlowCalNumber,0),1,1)&lt;INDEX(FlowCalHighSetting,MATCH(J362,FlowCalNumber,0),1,1))),INDEX(FlowCalConstA,MATCH(J362,FlowCalNumber,0),1,1)*L371^INDEX(FlowCalConstB,MATCH(J362,FlowCalNumber,0),1,1)," ")</f>
        <v>#REF!</v>
      </c>
      <c r="N371" s="1224"/>
      <c r="O371" s="1217">
        <f t="shared" si="172"/>
        <v>1</v>
      </c>
      <c r="P371" s="1218" t="e">
        <f t="shared" ca="1" si="173"/>
        <v>#REF!</v>
      </c>
      <c r="Q371" s="1219" t="e">
        <f ca="1">IF(AND(INDEX(FlowCalConstA,MATCH(N362,FlowCalNumber,0),1,1)*P371^INDEX(FlowCalConstB,MATCH(N362,FlowCalNumber,0),1,1)&gt;INDEX(FlowCalLowSetting,MATCH(N362,FlowCalNumber,0),1,1), (INDEX(FlowCalConstA,MATCH(N362,FlowCalNumber,0),1,1)*P371^INDEX(FlowCalConstB,MATCH(N362,FlowCalNumber,0),1,1)&lt;INDEX(FlowCalHighSetting,MATCH(N362,FlowCalNumber,0),1,1))),INDEX(FlowCalConstA,MATCH(N362,FlowCalNumber,0),1,1)*P371^INDEX(FlowCalConstB,MATCH(N362,FlowCalNumber,0),1,1)," ")</f>
        <v>#REF!</v>
      </c>
      <c r="R371" s="1224"/>
      <c r="S371" s="1217">
        <f t="shared" si="174"/>
        <v>1</v>
      </c>
      <c r="T371" s="1218" t="e">
        <f t="shared" ca="1" si="175"/>
        <v>#REF!</v>
      </c>
      <c r="U371" s="1219" t="e">
        <f ca="1">IF(AND(INDEX(FlowCalConstA,MATCH(R362,FlowCalNumber,0),1,1)*T371^INDEX(FlowCalConstB,MATCH(R362,FlowCalNumber,0),1,1)&gt;INDEX(FlowCalLowSetting,MATCH(R362,FlowCalNumber,0),1,1), (INDEX(FlowCalConstA,MATCH(R362,FlowCalNumber,0),1,1)*T371^INDEX(FlowCalConstB,MATCH(R362,FlowCalNumber,0),1,1)&lt;INDEX(FlowCalHighSetting,MATCH(R362,FlowCalNumber,0),1,1))),INDEX(FlowCalConstA,MATCH(R362,FlowCalNumber,0),1,1)*T371^INDEX(FlowCalConstB,MATCH(R362,FlowCalNumber,0),1,1)," ")</f>
        <v>#REF!</v>
      </c>
      <c r="V371" s="1224"/>
      <c r="W371" s="1217"/>
      <c r="X371" s="1218"/>
      <c r="Y371" s="1219"/>
      <c r="Z371" s="1224"/>
      <c r="AA371" s="1217"/>
      <c r="AB371" s="1218"/>
      <c r="AC371" s="1219"/>
      <c r="AD371" s="1224"/>
      <c r="AE371" s="1217"/>
      <c r="AF371" s="1218"/>
      <c r="AG371" s="1219"/>
      <c r="AH371" s="1224"/>
      <c r="AI371" s="1217"/>
      <c r="AJ371" s="1218"/>
      <c r="AK371" s="1220"/>
      <c r="AL371" s="1219"/>
      <c r="AM371" s="1219"/>
      <c r="AN371" s="1219"/>
      <c r="AO371" s="1219"/>
      <c r="AP371" s="1219"/>
      <c r="AQ371" s="1219"/>
      <c r="AR371" s="1219"/>
      <c r="AS371" s="1219"/>
      <c r="AT371" s="1219"/>
      <c r="AU371" s="1219"/>
      <c r="AV371" s="1219"/>
      <c r="AW371" s="1219"/>
      <c r="AX371" s="1219"/>
      <c r="AY371" s="1219"/>
      <c r="AZ371" s="1219"/>
      <c r="BA371" s="1219"/>
      <c r="BB371" s="1219"/>
      <c r="BC371" s="1219"/>
      <c r="BD371" s="1219"/>
      <c r="BE371" s="1219"/>
      <c r="BF371" s="1219"/>
      <c r="BG371" s="1219"/>
      <c r="BH371" s="1219"/>
      <c r="BI371" s="1219"/>
      <c r="BJ371" s="1219"/>
      <c r="BK371" s="1219"/>
      <c r="BL371" s="1219"/>
      <c r="BM371" s="1219"/>
      <c r="BN371" s="1219"/>
      <c r="BO371" s="1219"/>
      <c r="BP371" s="1219"/>
      <c r="BQ371" s="1219"/>
      <c r="BR371" s="1219"/>
      <c r="BS371" s="1219"/>
      <c r="BU371" s="1217"/>
      <c r="BW371" s="1219"/>
      <c r="BY371" s="1217"/>
      <c r="CA371" s="1219"/>
      <c r="CC371" s="1217"/>
      <c r="CE371" s="1219"/>
      <c r="CG371" s="1217"/>
      <c r="CI371" s="1219"/>
    </row>
    <row r="372" spans="1:87">
      <c r="A372" s="20"/>
      <c r="B372" s="124" t="str">
        <f t="shared" si="168"/>
        <v/>
      </c>
      <c r="C372" s="235"/>
      <c r="D372" s="24">
        <f>'1% Wind'!$M$91</f>
        <v>4.2</v>
      </c>
      <c r="E372" s="90"/>
      <c r="F372" s="90"/>
      <c r="G372" s="79" t="e">
        <f ca="1">IF(I362=0.9743,$G371,MAX(G371/D371*D372,2))</f>
        <v>#REF!</v>
      </c>
      <c r="H372" s="121" t="e">
        <f t="shared" ca="1" si="169"/>
        <v>#REF!</v>
      </c>
      <c r="J372" s="33"/>
      <c r="K372" s="242">
        <f t="shared" si="170"/>
        <v>1</v>
      </c>
      <c r="L372" s="241" t="e">
        <f t="shared" ca="1" si="171"/>
        <v>#REF!</v>
      </c>
      <c r="M372" s="243" t="e">
        <f ca="1">IF(AND(INDEX(FlowCalConstA,MATCH(J362,FlowCalNumber,0),1,1)*L372^INDEX(FlowCalConstB,MATCH(J362,FlowCalNumber,0),1,1)&gt;INDEX(FlowCalLowSetting,MATCH(J362,FlowCalNumber,0),1,1), (INDEX(FlowCalConstA,MATCH(J362,FlowCalNumber,0),1,1)*L372^INDEX(FlowCalConstB,MATCH(J362,FlowCalNumber,0),1,1)&lt;INDEX(FlowCalHighSetting,MATCH(J362,FlowCalNumber,0),1,1))),INDEX(FlowCalConstA,MATCH(J362,FlowCalNumber,0),1,1)*L372^INDEX(FlowCalConstB,MATCH(J362,FlowCalNumber,0),1,1)," ")</f>
        <v>#REF!</v>
      </c>
      <c r="N372" s="33"/>
      <c r="O372" s="242">
        <f t="shared" si="172"/>
        <v>1</v>
      </c>
      <c r="P372" s="241" t="e">
        <f t="shared" ca="1" si="173"/>
        <v>#REF!</v>
      </c>
      <c r="Q372" s="243" t="e">
        <f ca="1">IF(AND(INDEX(FlowCalConstA,MATCH(N362,FlowCalNumber,0),1,1)*P372^INDEX(FlowCalConstB,MATCH(N362,FlowCalNumber,0),1,1)&gt;INDEX(FlowCalLowSetting,MATCH(N362,FlowCalNumber,0),1,1), (INDEX(FlowCalConstA,MATCH(N362,FlowCalNumber,0),1,1)*P372^INDEX(FlowCalConstB,MATCH(N362,FlowCalNumber,0),1,1)&lt;INDEX(FlowCalHighSetting,MATCH(N362,FlowCalNumber,0),1,1))),INDEX(FlowCalConstA,MATCH(N362,FlowCalNumber,0),1,1)*P372^INDEX(FlowCalConstB,MATCH(N362,FlowCalNumber,0),1,1)," ")</f>
        <v>#REF!</v>
      </c>
      <c r="R372" s="33"/>
      <c r="S372" s="242">
        <f t="shared" si="174"/>
        <v>1</v>
      </c>
      <c r="T372" s="241" t="e">
        <f t="shared" ca="1" si="175"/>
        <v>#REF!</v>
      </c>
      <c r="U372" s="243" t="e">
        <f ca="1">IF(AND(INDEX(FlowCalConstA,MATCH(R362,FlowCalNumber,0),1,1)*T372^INDEX(FlowCalConstB,MATCH(R362,FlowCalNumber,0),1,1)&gt;INDEX(FlowCalLowSetting,MATCH(R362,FlowCalNumber,0),1,1), (INDEX(FlowCalConstA,MATCH(R362,FlowCalNumber,0),1,1)*T372^INDEX(FlowCalConstB,MATCH(R362,FlowCalNumber,0),1,1)&lt;INDEX(FlowCalHighSetting,MATCH(R362,FlowCalNumber,0),1,1))),INDEX(FlowCalConstA,MATCH(R362,FlowCalNumber,0),1,1)*T372^INDEX(FlowCalConstB,MATCH(R362,FlowCalNumber,0),1,1)," ")</f>
        <v>#REF!</v>
      </c>
      <c r="V372" s="33"/>
      <c r="W372" s="242"/>
      <c r="X372" s="241"/>
      <c r="Y372" s="243"/>
      <c r="Z372" s="33"/>
      <c r="AA372" s="242"/>
      <c r="AB372" s="241"/>
      <c r="AC372" s="243"/>
      <c r="AD372" s="33"/>
      <c r="AE372" s="242"/>
      <c r="AF372" s="241"/>
      <c r="AG372" s="243"/>
      <c r="AH372" s="33"/>
      <c r="AI372" s="242"/>
      <c r="AJ372" s="241"/>
      <c r="AK372" s="244"/>
      <c r="AL372" s="243"/>
      <c r="AM372" s="243"/>
      <c r="AN372" s="243"/>
      <c r="AO372" s="243"/>
      <c r="AP372" s="243"/>
      <c r="AQ372" s="243"/>
      <c r="AR372" s="243"/>
      <c r="AS372" s="243"/>
      <c r="AT372" s="243"/>
      <c r="AU372" s="243"/>
      <c r="AV372" s="243"/>
      <c r="AW372" s="243"/>
      <c r="AX372" s="243"/>
      <c r="AY372" s="243"/>
      <c r="AZ372" s="243"/>
      <c r="BA372" s="243"/>
      <c r="BB372" s="243"/>
      <c r="BC372" s="243"/>
      <c r="BD372" s="243"/>
      <c r="BE372" s="243"/>
      <c r="BF372" s="243"/>
      <c r="BG372" s="243"/>
      <c r="BH372" s="243"/>
      <c r="BI372" s="243"/>
      <c r="BJ372" s="243"/>
      <c r="BK372" s="243"/>
      <c r="BL372" s="243"/>
      <c r="BM372" s="243"/>
      <c r="BN372" s="243"/>
      <c r="BO372" s="243"/>
      <c r="BP372" s="243"/>
      <c r="BQ372" s="243"/>
      <c r="BR372" s="243"/>
      <c r="BS372" s="243"/>
      <c r="BU372" s="242"/>
      <c r="BW372" s="243"/>
      <c r="BY372" s="242"/>
      <c r="CA372" s="243"/>
      <c r="CC372" s="242"/>
      <c r="CE372" s="243"/>
      <c r="CG372" s="242"/>
      <c r="CI372" s="243"/>
    </row>
    <row r="373" spans="1:87" s="1215" customFormat="1">
      <c r="A373" s="1222"/>
      <c r="B373" s="1223" t="str">
        <f t="shared" si="168"/>
        <v/>
      </c>
      <c r="C373" s="1210"/>
      <c r="D373" s="1211">
        <f>'1% Wind'!$M$92</f>
        <v>3.2</v>
      </c>
      <c r="E373" s="1212"/>
      <c r="F373" s="1212"/>
      <c r="G373" s="1213" t="e">
        <f ca="1">IF(I362=0.9743,$G372,MAX(G372/D372*D373,2))</f>
        <v>#REF!</v>
      </c>
      <c r="H373" s="1214" t="e">
        <f t="shared" ca="1" si="169"/>
        <v>#REF!</v>
      </c>
      <c r="J373" s="1224"/>
      <c r="K373" s="1217">
        <f t="shared" si="170"/>
        <v>1</v>
      </c>
      <c r="L373" s="1218" t="e">
        <f t="shared" ca="1" si="171"/>
        <v>#REF!</v>
      </c>
      <c r="M373" s="1219" t="e">
        <f ca="1">IF(AND(INDEX(FlowCalConstA,MATCH(J362,FlowCalNumber,0),1,1)*L373^INDEX(FlowCalConstB,MATCH(J362,FlowCalNumber,0),1,1)&gt;INDEX(FlowCalLowSetting,MATCH(J362,FlowCalNumber,0),1,1), (INDEX(FlowCalConstA,MATCH(J362,FlowCalNumber,0),1,1)*L373^INDEX(FlowCalConstB,MATCH(J362,FlowCalNumber,0),1,1)&lt;INDEX(FlowCalHighSetting,MATCH(J362,FlowCalNumber,0),1,1))),INDEX(FlowCalConstA,MATCH(J362,FlowCalNumber,0),1,1)*L373^INDEX(FlowCalConstB,MATCH(J362,FlowCalNumber,0),1,1)," ")</f>
        <v>#REF!</v>
      </c>
      <c r="N373" s="1224"/>
      <c r="O373" s="1217">
        <f t="shared" si="172"/>
        <v>1</v>
      </c>
      <c r="P373" s="1218" t="e">
        <f t="shared" ca="1" si="173"/>
        <v>#REF!</v>
      </c>
      <c r="Q373" s="1219" t="e">
        <f ca="1">IF(AND(INDEX(FlowCalConstA,MATCH(N362,FlowCalNumber,0),1,1)*P373^INDEX(FlowCalConstB,MATCH(N362,FlowCalNumber,0),1,1)&gt;INDEX(FlowCalLowSetting,MATCH(N362,FlowCalNumber,0),1,1), (INDEX(FlowCalConstA,MATCH(N362,FlowCalNumber,0),1,1)*P373^INDEX(FlowCalConstB,MATCH(N362,FlowCalNumber,0),1,1)&lt;INDEX(FlowCalHighSetting,MATCH(N362,FlowCalNumber,0),1,1))),INDEX(FlowCalConstA,MATCH(N362,FlowCalNumber,0),1,1)*P373^INDEX(FlowCalConstB,MATCH(N362,FlowCalNumber,0),1,1)," ")</f>
        <v>#REF!</v>
      </c>
      <c r="R373" s="1224"/>
      <c r="S373" s="1217">
        <f t="shared" si="174"/>
        <v>1</v>
      </c>
      <c r="T373" s="1218" t="e">
        <f t="shared" ca="1" si="175"/>
        <v>#REF!</v>
      </c>
      <c r="U373" s="1219" t="e">
        <f ca="1">IF(AND(INDEX(FlowCalConstA,MATCH(R362,FlowCalNumber,0),1,1)*T373^INDEX(FlowCalConstB,MATCH(R362,FlowCalNumber,0),1,1)&gt;INDEX(FlowCalLowSetting,MATCH(R362,FlowCalNumber,0),1,1), (INDEX(FlowCalConstA,MATCH(R362,FlowCalNumber,0),1,1)*T373^INDEX(FlowCalConstB,MATCH(R362,FlowCalNumber,0),1,1)&lt;INDEX(FlowCalHighSetting,MATCH(R362,FlowCalNumber,0),1,1))),INDEX(FlowCalConstA,MATCH(R362,FlowCalNumber,0),1,1)*T373^INDEX(FlowCalConstB,MATCH(R362,FlowCalNumber,0),1,1)," ")</f>
        <v>#REF!</v>
      </c>
      <c r="V373" s="1224"/>
      <c r="W373" s="1217"/>
      <c r="X373" s="1218"/>
      <c r="Y373" s="1219"/>
      <c r="Z373" s="1224"/>
      <c r="AA373" s="1217"/>
      <c r="AB373" s="1218"/>
      <c r="AC373" s="1219"/>
      <c r="AD373" s="1224"/>
      <c r="AE373" s="1217"/>
      <c r="AF373" s="1218"/>
      <c r="AG373" s="1219"/>
      <c r="AH373" s="1224"/>
      <c r="AI373" s="1217"/>
      <c r="AJ373" s="1218"/>
      <c r="AK373" s="1220"/>
      <c r="AL373" s="1219"/>
      <c r="AM373" s="1219"/>
      <c r="AN373" s="1219"/>
      <c r="AO373" s="1219"/>
      <c r="AP373" s="1219"/>
      <c r="AQ373" s="1219"/>
      <c r="AR373" s="1219"/>
      <c r="AS373" s="1219"/>
      <c r="AT373" s="1219"/>
      <c r="AU373" s="1219"/>
      <c r="AV373" s="1219"/>
      <c r="AW373" s="1219"/>
      <c r="AX373" s="1219"/>
      <c r="AY373" s="1219"/>
      <c r="AZ373" s="1219"/>
      <c r="BA373" s="1219"/>
      <c r="BB373" s="1219"/>
      <c r="BC373" s="1219"/>
      <c r="BD373" s="1219"/>
      <c r="BE373" s="1219"/>
      <c r="BF373" s="1219"/>
      <c r="BG373" s="1219"/>
      <c r="BH373" s="1219"/>
      <c r="BI373" s="1219"/>
      <c r="BJ373" s="1219"/>
      <c r="BK373" s="1219"/>
      <c r="BL373" s="1219"/>
      <c r="BM373" s="1219"/>
      <c r="BN373" s="1219"/>
      <c r="BO373" s="1219"/>
      <c r="BP373" s="1219"/>
      <c r="BQ373" s="1219"/>
      <c r="BR373" s="1219"/>
      <c r="BS373" s="1219"/>
      <c r="BU373" s="1217"/>
      <c r="BW373" s="1219"/>
      <c r="BY373" s="1217"/>
      <c r="CA373" s="1219"/>
      <c r="CC373" s="1217"/>
      <c r="CE373" s="1219"/>
      <c r="CG373" s="1217"/>
      <c r="CI373" s="1219"/>
    </row>
    <row r="374" spans="1:87">
      <c r="A374" s="20"/>
      <c r="B374" s="124" t="str">
        <f t="shared" si="168"/>
        <v/>
      </c>
      <c r="C374" s="235"/>
      <c r="D374" s="24">
        <f>'1% Wind'!$M$93</f>
        <v>2.4</v>
      </c>
      <c r="E374" s="90"/>
      <c r="F374" s="90"/>
      <c r="G374" s="79" t="e">
        <f ca="1">IF(I362=0.9743,$G373,MAX(G373/D373*D374,2))</f>
        <v>#REF!</v>
      </c>
      <c r="H374" s="121" t="e">
        <f t="shared" ca="1" si="169"/>
        <v>#REF!</v>
      </c>
      <c r="J374" s="33"/>
      <c r="K374" s="242">
        <f t="shared" si="170"/>
        <v>1</v>
      </c>
      <c r="L374" s="241" t="e">
        <f t="shared" ca="1" si="171"/>
        <v>#REF!</v>
      </c>
      <c r="M374" s="243" t="e">
        <f ca="1">IF(AND(INDEX(FlowCalConstA,MATCH(J362,FlowCalNumber,0),1,1)*L374^INDEX(FlowCalConstB,MATCH(J362,FlowCalNumber,0),1,1)&gt;INDEX(FlowCalLowSetting,MATCH(J362,FlowCalNumber,0),1,1), (INDEX(FlowCalConstA,MATCH(J362,FlowCalNumber,0),1,1)*L374^INDEX(FlowCalConstB,MATCH(J362,FlowCalNumber,0),1,1)&lt;INDEX(FlowCalHighSetting,MATCH(J362,FlowCalNumber,0),1,1))),INDEX(FlowCalConstA,MATCH(J362,FlowCalNumber,0),1,1)*L374^INDEX(FlowCalConstB,MATCH(J362,FlowCalNumber,0),1,1)," ")</f>
        <v>#REF!</v>
      </c>
      <c r="N374" s="33"/>
      <c r="O374" s="242">
        <f t="shared" si="172"/>
        <v>1</v>
      </c>
      <c r="P374" s="241" t="e">
        <f t="shared" ca="1" si="173"/>
        <v>#REF!</v>
      </c>
      <c r="Q374" s="243" t="e">
        <f ca="1">IF(AND(INDEX(FlowCalConstA,MATCH(N362,FlowCalNumber,0),1,1)*P374^INDEX(FlowCalConstB,MATCH(N362,FlowCalNumber,0),1,1)&gt;INDEX(FlowCalLowSetting,MATCH(N362,FlowCalNumber,0),1,1), (INDEX(FlowCalConstA,MATCH(N362,FlowCalNumber,0),1,1)*P374^INDEX(FlowCalConstB,MATCH(N362,FlowCalNumber,0),1,1)&lt;INDEX(FlowCalHighSetting,MATCH(N362,FlowCalNumber,0),1,1))),INDEX(FlowCalConstA,MATCH(N362,FlowCalNumber,0),1,1)*P374^INDEX(FlowCalConstB,MATCH(N362,FlowCalNumber,0),1,1)," ")</f>
        <v>#REF!</v>
      </c>
      <c r="R374" s="33"/>
      <c r="S374" s="242">
        <f t="shared" si="174"/>
        <v>1</v>
      </c>
      <c r="T374" s="241" t="e">
        <f t="shared" ca="1" si="175"/>
        <v>#REF!</v>
      </c>
      <c r="U374" s="243" t="e">
        <f ca="1">IF(AND(INDEX(FlowCalConstA,MATCH(R362,FlowCalNumber,0),1,1)*T374^INDEX(FlowCalConstB,MATCH(R362,FlowCalNumber,0),1,1)&gt;INDEX(FlowCalLowSetting,MATCH(R362,FlowCalNumber,0),1,1), (INDEX(FlowCalConstA,MATCH(R362,FlowCalNumber,0),1,1)*T374^INDEX(FlowCalConstB,MATCH(R362,FlowCalNumber,0),1,1)&lt;INDEX(FlowCalHighSetting,MATCH(R362,FlowCalNumber,0),1,1))),INDEX(FlowCalConstA,MATCH(R362,FlowCalNumber,0),1,1)*T374^INDEX(FlowCalConstB,MATCH(R362,FlowCalNumber,0),1,1)," ")</f>
        <v>#REF!</v>
      </c>
      <c r="V374" s="33"/>
      <c r="W374" s="242"/>
      <c r="X374" s="241"/>
      <c r="Y374" s="243"/>
      <c r="Z374" s="33"/>
      <c r="AA374" s="242"/>
      <c r="AB374" s="241"/>
      <c r="AC374" s="243"/>
      <c r="AD374" s="33"/>
      <c r="AE374" s="242"/>
      <c r="AF374" s="241"/>
      <c r="AG374" s="243"/>
      <c r="AH374" s="33"/>
      <c r="AI374" s="242"/>
      <c r="AJ374" s="241"/>
      <c r="AK374" s="244"/>
      <c r="AL374" s="243"/>
      <c r="AM374" s="243"/>
      <c r="AN374" s="243"/>
      <c r="AO374" s="243"/>
      <c r="AP374" s="243"/>
      <c r="AQ374" s="243"/>
      <c r="AR374" s="243"/>
      <c r="AS374" s="243"/>
      <c r="AT374" s="243"/>
      <c r="AU374" s="243"/>
      <c r="AV374" s="243"/>
      <c r="AW374" s="243"/>
      <c r="AX374" s="243"/>
      <c r="AY374" s="243"/>
      <c r="AZ374" s="243"/>
      <c r="BA374" s="243"/>
      <c r="BB374" s="243"/>
      <c r="BC374" s="243"/>
      <c r="BD374" s="243"/>
      <c r="BE374" s="243"/>
      <c r="BF374" s="243"/>
      <c r="BG374" s="243"/>
      <c r="BH374" s="243"/>
      <c r="BI374" s="243"/>
      <c r="BJ374" s="243"/>
      <c r="BK374" s="243"/>
      <c r="BL374" s="243"/>
      <c r="BM374" s="243"/>
      <c r="BN374" s="243"/>
      <c r="BO374" s="243"/>
      <c r="BP374" s="243"/>
      <c r="BQ374" s="243"/>
      <c r="BR374" s="243"/>
      <c r="BS374" s="243"/>
      <c r="BU374" s="242"/>
      <c r="BW374" s="243"/>
      <c r="BY374" s="242"/>
      <c r="CA374" s="243"/>
      <c r="CC374" s="242"/>
      <c r="CE374" s="243"/>
      <c r="CG374" s="242"/>
      <c r="CI374" s="243"/>
    </row>
    <row r="375" spans="1:87" s="1215" customFormat="1">
      <c r="A375" s="1222"/>
      <c r="B375" s="1223" t="str">
        <f t="shared" si="168"/>
        <v/>
      </c>
      <c r="C375" s="1210"/>
      <c r="D375" s="1211">
        <f>'1% Wind'!$M$94</f>
        <v>1.8</v>
      </c>
      <c r="E375" s="1212"/>
      <c r="F375" s="1212"/>
      <c r="G375" s="1213" t="e">
        <f ca="1">IF(I362=0.9743,$G374,MAX(G374/D374*D375,2))</f>
        <v>#REF!</v>
      </c>
      <c r="H375" s="1214" t="e">
        <f t="shared" ca="1" si="169"/>
        <v>#REF!</v>
      </c>
      <c r="J375" s="1224"/>
      <c r="K375" s="1217">
        <f t="shared" si="170"/>
        <v>1</v>
      </c>
      <c r="L375" s="1218" t="e">
        <f t="shared" ca="1" si="171"/>
        <v>#REF!</v>
      </c>
      <c r="M375" s="1219" t="e">
        <f ca="1">IF(AND(INDEX(FlowCalConstA,MATCH(J362,FlowCalNumber,0),1,1)*L375^INDEX(FlowCalConstB,MATCH(J362,FlowCalNumber,0),1,1)&gt;INDEX(FlowCalLowSetting,MATCH(J362,FlowCalNumber,0),1,1), (INDEX(FlowCalConstA,MATCH(J362,FlowCalNumber,0),1,1)*L375^INDEX(FlowCalConstB,MATCH(J362,FlowCalNumber,0),1,1)&lt;INDEX(FlowCalHighSetting,MATCH(J362,FlowCalNumber,0),1,1))),INDEX(FlowCalConstA,MATCH(J362,FlowCalNumber,0),1,1)*L375^INDEX(FlowCalConstB,MATCH(J362,FlowCalNumber,0),1,1)," ")</f>
        <v>#REF!</v>
      </c>
      <c r="N375" s="1224"/>
      <c r="O375" s="1217">
        <f t="shared" si="172"/>
        <v>1</v>
      </c>
      <c r="P375" s="1218" t="e">
        <f t="shared" ca="1" si="173"/>
        <v>#REF!</v>
      </c>
      <c r="Q375" s="1219" t="e">
        <f ca="1">IF(AND(INDEX(FlowCalConstA,MATCH(N362,FlowCalNumber,0),1,1)*P375^INDEX(FlowCalConstB,MATCH(N362,FlowCalNumber,0),1,1)&gt;INDEX(FlowCalLowSetting,MATCH(N362,FlowCalNumber,0),1,1), (INDEX(FlowCalConstA,MATCH(N362,FlowCalNumber,0),1,1)*P375^INDEX(FlowCalConstB,MATCH(N362,FlowCalNumber,0),1,1)&lt;INDEX(FlowCalHighSetting,MATCH(N362,FlowCalNumber,0),1,1))),INDEX(FlowCalConstA,MATCH(N362,FlowCalNumber,0),1,1)*P375^INDEX(FlowCalConstB,MATCH(N362,FlowCalNumber,0),1,1)," ")</f>
        <v>#REF!</v>
      </c>
      <c r="R375" s="1224"/>
      <c r="S375" s="1217">
        <f t="shared" si="174"/>
        <v>1</v>
      </c>
      <c r="T375" s="1218" t="e">
        <f t="shared" ca="1" si="175"/>
        <v>#REF!</v>
      </c>
      <c r="U375" s="1219" t="e">
        <f ca="1">IF(AND(INDEX(FlowCalConstA,MATCH(R362,FlowCalNumber,0),1,1)*T375^INDEX(FlowCalConstB,MATCH(R362,FlowCalNumber,0),1,1)&gt;INDEX(FlowCalLowSetting,MATCH(R362,FlowCalNumber,0),1,1), (INDEX(FlowCalConstA,MATCH(R362,FlowCalNumber,0),1,1)*T375^INDEX(FlowCalConstB,MATCH(R362,FlowCalNumber,0),1,1)&lt;INDEX(FlowCalHighSetting,MATCH(R362,FlowCalNumber,0),1,1))),INDEX(FlowCalConstA,MATCH(R362,FlowCalNumber,0),1,1)*T375^INDEX(FlowCalConstB,MATCH(R362,FlowCalNumber,0),1,1)," ")</f>
        <v>#REF!</v>
      </c>
      <c r="V375" s="1224"/>
      <c r="W375" s="1217"/>
      <c r="X375" s="1218"/>
      <c r="Y375" s="1219"/>
      <c r="Z375" s="1224"/>
      <c r="AA375" s="1217"/>
      <c r="AB375" s="1218"/>
      <c r="AC375" s="1219"/>
      <c r="AD375" s="1224"/>
      <c r="AE375" s="1217"/>
      <c r="AF375" s="1218"/>
      <c r="AG375" s="1219"/>
      <c r="AH375" s="1224"/>
      <c r="AI375" s="1217"/>
      <c r="AJ375" s="1218"/>
      <c r="AK375" s="1220"/>
      <c r="AL375" s="1219"/>
      <c r="AM375" s="1219"/>
      <c r="AN375" s="1219"/>
      <c r="AO375" s="1219"/>
      <c r="AP375" s="1219"/>
      <c r="AQ375" s="1219"/>
      <c r="AR375" s="1219"/>
      <c r="AS375" s="1219"/>
      <c r="AT375" s="1219"/>
      <c r="AU375" s="1219"/>
      <c r="AV375" s="1219"/>
      <c r="AW375" s="1219"/>
      <c r="AX375" s="1219"/>
      <c r="AY375" s="1219"/>
      <c r="AZ375" s="1219"/>
      <c r="BA375" s="1219"/>
      <c r="BB375" s="1219"/>
      <c r="BC375" s="1219"/>
      <c r="BD375" s="1219"/>
      <c r="BE375" s="1219"/>
      <c r="BF375" s="1219"/>
      <c r="BG375" s="1219"/>
      <c r="BH375" s="1219"/>
      <c r="BI375" s="1219"/>
      <c r="BJ375" s="1219"/>
      <c r="BK375" s="1219"/>
      <c r="BL375" s="1219"/>
      <c r="BM375" s="1219"/>
      <c r="BN375" s="1219"/>
      <c r="BO375" s="1219"/>
      <c r="BP375" s="1219"/>
      <c r="BQ375" s="1219"/>
      <c r="BR375" s="1219"/>
      <c r="BS375" s="1219"/>
      <c r="BU375" s="1217"/>
      <c r="BW375" s="1219"/>
      <c r="BY375" s="1217"/>
      <c r="CA375" s="1219"/>
      <c r="CC375" s="1217"/>
      <c r="CE375" s="1219"/>
      <c r="CG375" s="1217"/>
      <c r="CI375" s="1219"/>
    </row>
    <row r="376" spans="1:87">
      <c r="A376" s="20"/>
      <c r="B376" s="124" t="str">
        <f t="shared" si="168"/>
        <v/>
      </c>
      <c r="C376" s="235"/>
      <c r="D376" s="24">
        <f>'1% Wind'!$M$95</f>
        <v>1.3</v>
      </c>
      <c r="E376" s="90"/>
      <c r="F376" s="90"/>
      <c r="G376" s="79" t="e">
        <f ca="1">IF(I362=0.9743,$G375,MAX(G375/D375*D376,2))</f>
        <v>#REF!</v>
      </c>
      <c r="H376" s="121" t="e">
        <f t="shared" ca="1" si="169"/>
        <v>#REF!</v>
      </c>
      <c r="J376" s="33"/>
      <c r="K376" s="242">
        <f t="shared" si="170"/>
        <v>1</v>
      </c>
      <c r="L376" s="241" t="e">
        <f t="shared" ca="1" si="171"/>
        <v>#REF!</v>
      </c>
      <c r="M376" s="243" t="e">
        <f ca="1">IF(AND(INDEX(FlowCalConstA,MATCH(J362,FlowCalNumber,0),1,1)*L376^INDEX(FlowCalConstB,MATCH(J362,FlowCalNumber,0),1,1)&gt;INDEX(FlowCalLowSetting,MATCH(J362,FlowCalNumber,0),1,1), (INDEX(FlowCalConstA,MATCH(J362,FlowCalNumber,0),1,1)*L376^INDEX(FlowCalConstB,MATCH(J362,FlowCalNumber,0),1,1)&lt;INDEX(FlowCalHighSetting,MATCH(J362,FlowCalNumber,0),1,1))),INDEX(FlowCalConstA,MATCH(J362,FlowCalNumber,0),1,1)*L376^INDEX(FlowCalConstB,MATCH(J362,FlowCalNumber,0),1,1)," ")</f>
        <v>#REF!</v>
      </c>
      <c r="N376" s="33"/>
      <c r="O376" s="242">
        <f t="shared" si="172"/>
        <v>1</v>
      </c>
      <c r="P376" s="241" t="e">
        <f t="shared" ca="1" si="173"/>
        <v>#REF!</v>
      </c>
      <c r="Q376" s="243" t="e">
        <f ca="1">IF(AND(INDEX(FlowCalConstA,MATCH(N362,FlowCalNumber,0),1,1)*P376^INDEX(FlowCalConstB,MATCH(N362,FlowCalNumber,0),1,1)&gt;INDEX(FlowCalLowSetting,MATCH(N362,FlowCalNumber,0),1,1), (INDEX(FlowCalConstA,MATCH(N362,FlowCalNumber,0),1,1)*P376^INDEX(FlowCalConstB,MATCH(N362,FlowCalNumber,0),1,1)&lt;INDEX(FlowCalHighSetting,MATCH(N362,FlowCalNumber,0),1,1))),INDEX(FlowCalConstA,MATCH(N362,FlowCalNumber,0),1,1)*P376^INDEX(FlowCalConstB,MATCH(N362,FlowCalNumber,0),1,1)," ")</f>
        <v>#REF!</v>
      </c>
      <c r="R376" s="33"/>
      <c r="S376" s="242">
        <f t="shared" si="174"/>
        <v>1</v>
      </c>
      <c r="T376" s="241" t="e">
        <f t="shared" ca="1" si="175"/>
        <v>#REF!</v>
      </c>
      <c r="U376" s="243" t="e">
        <f ca="1">IF(AND(INDEX(FlowCalConstA,MATCH(R362,FlowCalNumber,0),1,1)*T376^INDEX(FlowCalConstB,MATCH(R362,FlowCalNumber,0),1,1)&gt;INDEX(FlowCalLowSetting,MATCH(R362,FlowCalNumber,0),1,1), (INDEX(FlowCalConstA,MATCH(R362,FlowCalNumber,0),1,1)*T376^INDEX(FlowCalConstB,MATCH(R362,FlowCalNumber,0),1,1)&lt;INDEX(FlowCalHighSetting,MATCH(R362,FlowCalNumber,0),1,1))),INDEX(FlowCalConstA,MATCH(R362,FlowCalNumber,0),1,1)*T376^INDEX(FlowCalConstB,MATCH(R362,FlowCalNumber,0),1,1)," ")</f>
        <v>#REF!</v>
      </c>
      <c r="V376" s="33"/>
      <c r="W376" s="242"/>
      <c r="X376" s="241"/>
      <c r="Y376" s="243"/>
      <c r="Z376" s="33"/>
      <c r="AA376" s="242"/>
      <c r="AB376" s="241"/>
      <c r="AC376" s="243"/>
      <c r="AD376" s="33"/>
      <c r="AE376" s="242"/>
      <c r="AF376" s="241"/>
      <c r="AG376" s="243"/>
      <c r="AH376" s="33"/>
      <c r="AI376" s="242"/>
      <c r="AJ376" s="241"/>
      <c r="AK376" s="244"/>
      <c r="AL376" s="243"/>
      <c r="AM376" s="243"/>
      <c r="AN376" s="243"/>
      <c r="AO376" s="243"/>
      <c r="AP376" s="243"/>
      <c r="AQ376" s="243"/>
      <c r="AR376" s="243"/>
      <c r="AS376" s="243"/>
      <c r="AT376" s="243"/>
      <c r="AU376" s="243"/>
      <c r="AV376" s="243"/>
      <c r="AW376" s="243"/>
      <c r="AX376" s="243"/>
      <c r="AY376" s="243"/>
      <c r="AZ376" s="243"/>
      <c r="BA376" s="243"/>
      <c r="BB376" s="243"/>
      <c r="BC376" s="243"/>
      <c r="BD376" s="243"/>
      <c r="BE376" s="243"/>
      <c r="BF376" s="243"/>
      <c r="BG376" s="243"/>
      <c r="BH376" s="243"/>
      <c r="BI376" s="243"/>
      <c r="BJ376" s="243"/>
      <c r="BK376" s="243"/>
      <c r="BL376" s="243"/>
      <c r="BM376" s="243"/>
      <c r="BN376" s="243"/>
      <c r="BO376" s="243"/>
      <c r="BP376" s="243"/>
      <c r="BQ376" s="243"/>
      <c r="BR376" s="243"/>
      <c r="BS376" s="243"/>
      <c r="BU376" s="242"/>
      <c r="BW376" s="243"/>
      <c r="BY376" s="242"/>
      <c r="CA376" s="243"/>
      <c r="CC376" s="242"/>
      <c r="CE376" s="243"/>
      <c r="CG376" s="242"/>
      <c r="CI376" s="243"/>
    </row>
    <row r="377" spans="1:87" s="1215" customFormat="1">
      <c r="A377" s="1222"/>
      <c r="B377" s="1223" t="str">
        <f t="shared" si="168"/>
        <v/>
      </c>
      <c r="C377" s="1210"/>
      <c r="D377" s="1211">
        <f>'1% Wind'!$M$96</f>
        <v>1</v>
      </c>
      <c r="E377" s="1212"/>
      <c r="F377" s="1212"/>
      <c r="G377" s="1213" t="e">
        <f ca="1">IF(I362=0.9743,$G376,MAX(G376/D376*D377,2))</f>
        <v>#REF!</v>
      </c>
      <c r="H377" s="1214" t="e">
        <f t="shared" ca="1" si="169"/>
        <v>#REF!</v>
      </c>
      <c r="J377" s="1224"/>
      <c r="K377" s="1217">
        <f t="shared" si="170"/>
        <v>1</v>
      </c>
      <c r="L377" s="1218" t="e">
        <f t="shared" ca="1" si="171"/>
        <v>#REF!</v>
      </c>
      <c r="M377" s="1219" t="e">
        <f ca="1">IF(AND(INDEX(FlowCalConstA,MATCH(J362,FlowCalNumber,0),1,1)*L377^INDEX(FlowCalConstB,MATCH(J362,FlowCalNumber,0),1,1)&gt;INDEX(FlowCalLowSetting,MATCH(J362,FlowCalNumber,0),1,1), (INDEX(FlowCalConstA,MATCH(J362,FlowCalNumber,0),1,1)*L377^INDEX(FlowCalConstB,MATCH(J362,FlowCalNumber,0),1,1)&lt;INDEX(FlowCalHighSetting,MATCH(J362,FlowCalNumber,0),1,1))),INDEX(FlowCalConstA,MATCH(J362,FlowCalNumber,0),1,1)*L377^INDEX(FlowCalConstB,MATCH(J362,FlowCalNumber,0),1,1)," ")</f>
        <v>#REF!</v>
      </c>
      <c r="N377" s="1224"/>
      <c r="O377" s="1217">
        <f t="shared" si="172"/>
        <v>1</v>
      </c>
      <c r="P377" s="1218" t="e">
        <f t="shared" ca="1" si="173"/>
        <v>#REF!</v>
      </c>
      <c r="Q377" s="1219" t="e">
        <f ca="1">IF(AND(INDEX(FlowCalConstA,MATCH(N362,FlowCalNumber,0),1,1)*P377^INDEX(FlowCalConstB,MATCH(N362,FlowCalNumber,0),1,1)&gt;INDEX(FlowCalLowSetting,MATCH(N362,FlowCalNumber,0),1,1), (INDEX(FlowCalConstA,MATCH(N362,FlowCalNumber,0),1,1)*P377^INDEX(FlowCalConstB,MATCH(N362,FlowCalNumber,0),1,1)&lt;INDEX(FlowCalHighSetting,MATCH(N362,FlowCalNumber,0),1,1))),INDEX(FlowCalConstA,MATCH(N362,FlowCalNumber,0),1,1)*P377^INDEX(FlowCalConstB,MATCH(N362,FlowCalNumber,0),1,1)," ")</f>
        <v>#REF!</v>
      </c>
      <c r="R377" s="1224"/>
      <c r="S377" s="1217">
        <f t="shared" si="174"/>
        <v>1</v>
      </c>
      <c r="T377" s="1218" t="e">
        <f t="shared" ca="1" si="175"/>
        <v>#REF!</v>
      </c>
      <c r="U377" s="1219" t="e">
        <f ca="1">IF(AND(INDEX(FlowCalConstA,MATCH(R362,FlowCalNumber,0),1,1)*T377^INDEX(FlowCalConstB,MATCH(R362,FlowCalNumber,0),1,1)&gt;INDEX(FlowCalLowSetting,MATCH(R362,FlowCalNumber,0),1,1), (INDEX(FlowCalConstA,MATCH(R362,FlowCalNumber,0),1,1)*T377^INDEX(FlowCalConstB,MATCH(R362,FlowCalNumber,0),1,1)&lt;INDEX(FlowCalHighSetting,MATCH(R362,FlowCalNumber,0),1,1))),INDEX(FlowCalConstA,MATCH(R362,FlowCalNumber,0),1,1)*T377^INDEX(FlowCalConstB,MATCH(R362,FlowCalNumber,0),1,1)," ")</f>
        <v>#REF!</v>
      </c>
      <c r="V377" s="1224"/>
      <c r="W377" s="1217"/>
      <c r="X377" s="1218"/>
      <c r="Y377" s="1219"/>
      <c r="Z377" s="1224"/>
      <c r="AA377" s="1217"/>
      <c r="AB377" s="1218"/>
      <c r="AC377" s="1219"/>
      <c r="AD377" s="1224"/>
      <c r="AE377" s="1217"/>
      <c r="AF377" s="1218"/>
      <c r="AG377" s="1219"/>
      <c r="AH377" s="1224"/>
      <c r="AI377" s="1217"/>
      <c r="AJ377" s="1218"/>
      <c r="AK377" s="1220"/>
      <c r="AL377" s="1219"/>
      <c r="AM377" s="1219"/>
      <c r="AN377" s="1219"/>
      <c r="AO377" s="1219"/>
      <c r="AP377" s="1219"/>
      <c r="AQ377" s="1219"/>
      <c r="AR377" s="1219"/>
      <c r="AS377" s="1219"/>
      <c r="AT377" s="1219"/>
      <c r="AU377" s="1219"/>
      <c r="AV377" s="1219"/>
      <c r="AW377" s="1219"/>
      <c r="AX377" s="1219"/>
      <c r="AY377" s="1219"/>
      <c r="AZ377" s="1219"/>
      <c r="BA377" s="1219"/>
      <c r="BB377" s="1219"/>
      <c r="BC377" s="1219"/>
      <c r="BD377" s="1219"/>
      <c r="BE377" s="1219"/>
      <c r="BF377" s="1219"/>
      <c r="BG377" s="1219"/>
      <c r="BH377" s="1219"/>
      <c r="BI377" s="1219"/>
      <c r="BJ377" s="1219"/>
      <c r="BK377" s="1219"/>
      <c r="BL377" s="1219"/>
      <c r="BM377" s="1219"/>
      <c r="BN377" s="1219"/>
      <c r="BO377" s="1219"/>
      <c r="BP377" s="1219"/>
      <c r="BQ377" s="1219"/>
      <c r="BR377" s="1219"/>
      <c r="BS377" s="1219"/>
      <c r="BU377" s="1217"/>
      <c r="BW377" s="1219"/>
      <c r="BY377" s="1217"/>
      <c r="CA377" s="1219"/>
      <c r="CC377" s="1217"/>
      <c r="CE377" s="1219"/>
      <c r="CG377" s="1217"/>
      <c r="CI377" s="1219"/>
    </row>
    <row r="378" spans="1:87">
      <c r="A378" s="33"/>
      <c r="B378" s="33"/>
      <c r="C378" s="235"/>
      <c r="E378" s="90"/>
      <c r="F378" s="90"/>
      <c r="G378" s="33"/>
      <c r="J378" s="33"/>
      <c r="M378" s="243"/>
      <c r="N378" s="33"/>
      <c r="Q378" s="243"/>
      <c r="R378" s="33"/>
      <c r="U378" s="243"/>
      <c r="V378" s="33"/>
      <c r="Y378" s="243"/>
      <c r="Z378" s="33"/>
      <c r="AC378" s="243"/>
      <c r="AD378" s="33"/>
      <c r="AG378" s="243"/>
      <c r="AH378" s="33"/>
      <c r="AK378" s="244"/>
      <c r="AL378" s="243"/>
      <c r="AM378" s="243"/>
      <c r="AN378" s="243"/>
      <c r="AO378" s="243"/>
      <c r="AP378" s="243"/>
      <c r="AQ378" s="243"/>
      <c r="AR378" s="243"/>
      <c r="AS378" s="243"/>
      <c r="AT378" s="243"/>
      <c r="AU378" s="243"/>
      <c r="AV378" s="243"/>
      <c r="AW378" s="243"/>
      <c r="AX378" s="243"/>
      <c r="AY378" s="243"/>
      <c r="AZ378" s="243"/>
      <c r="BA378" s="243"/>
      <c r="BB378" s="243"/>
      <c r="BC378" s="243"/>
      <c r="BD378" s="243"/>
      <c r="BE378" s="243"/>
      <c r="BF378" s="243"/>
      <c r="BG378" s="243"/>
      <c r="BH378" s="243"/>
      <c r="BI378" s="243"/>
      <c r="BJ378" s="243"/>
      <c r="BK378" s="243"/>
      <c r="BL378" s="243"/>
      <c r="BM378" s="243"/>
      <c r="BN378" s="243"/>
      <c r="BO378" s="243"/>
      <c r="BP378" s="243"/>
      <c r="BQ378" s="243"/>
      <c r="BR378" s="243"/>
      <c r="BS378" s="243"/>
      <c r="BW378" s="243"/>
      <c r="CA378" s="243"/>
      <c r="CE378" s="243"/>
      <c r="CI378" s="243"/>
    </row>
    <row r="379" spans="1:87">
      <c r="A379" s="256" t="str">
        <f>IF((RIGHT(A362,1))&lt;&gt;"Z",CHAR(CODE(A362))&amp;CHAR(CODE(RIGHT(A362,1))+1),CHAR(CODE(A362)+1)&amp;"A")</f>
        <v>AV</v>
      </c>
      <c r="B379" s="270" t="e">
        <f>INDEX(SourceID,MATCH($A379,SourceNumber,0),1,1)</f>
        <v>#N/A</v>
      </c>
      <c r="C379" s="354" t="e">
        <f>INDEX(SourceExitDiameter,MATCH($A379,SourceNumber,0),1,1)*3.28*12</f>
        <v>#N/A</v>
      </c>
      <c r="D379" s="24" t="str">
        <f>UAnem1percent</f>
        <v>1% Wind</v>
      </c>
      <c r="E379" s="350" t="e">
        <f ca="1">INDIRECT(ADDRESS(53,6,1,,CONCATENATE("TA",$A379)))</f>
        <v>#REF!</v>
      </c>
      <c r="F379" s="625" t="e">
        <f ca="1">(ROUND((INDIRECT(ADDRESS(15,7,1,,CONCATENATE("TA",$A379)))*3.28*12*32),0)&amp;"/32")</f>
        <v>#REF!</v>
      </c>
      <c r="G379" s="125" t="e">
        <f ca="1">INDIRECT(ADDRESS(29,7,1,,$A379))</f>
        <v>#REF!</v>
      </c>
      <c r="H379" s="24" t="e">
        <f ca="1">INDIRECT(ADDRESS(19,7,1,,$A379))*100^3</f>
        <v>#REF!</v>
      </c>
      <c r="I379" s="941" t="e">
        <f ca="1">INDIRECT(ADDRESS(53,7,1,,$A379))</f>
        <v>#REF!</v>
      </c>
      <c r="J379" s="20" t="e">
        <f ca="1">IF($I379=$I$6,K$16&amp;$G$6&amp;J$6,IF($I379=$I$7,K$16&amp;$G$7&amp;J$7,"Bad"))</f>
        <v>#REF!</v>
      </c>
      <c r="K379" t="e">
        <f ca="1">INDEX(FlowCalGasMixture,MATCH(J379,FlowCalNumber,0),1,1)</f>
        <v>#REF!</v>
      </c>
      <c r="M379" s="944" t="e">
        <f ca="1">INDEX(FlowCalDevice,MATCH(J379,FlowCalNumber,0),1,1)</f>
        <v>#REF!</v>
      </c>
      <c r="N379" s="20" t="e">
        <f ca="1">IF($I379=$I$6,O$16&amp;$G$6&amp;N$6,IF($I379=$I$7,O$16&amp;$G$7&amp;N$7,"Bad"))</f>
        <v>#REF!</v>
      </c>
      <c r="O379" t="e">
        <f ca="1">INDEX(FlowCalGasMixture,MATCH(N379,FlowCalNumber,0),1,1)</f>
        <v>#REF!</v>
      </c>
      <c r="Q379" s="944" t="e">
        <f ca="1">INDEX(FlowCalDevice,MATCH(N379,FlowCalNumber,0),1,1)</f>
        <v>#REF!</v>
      </c>
      <c r="R379" s="20" t="e">
        <f ca="1">IF($I379=$I$6,S$16&amp;$G$6&amp;R$6,IF($I379=$I$7,S$16&amp;$G$7&amp;R$7,"Bad"))</f>
        <v>#REF!</v>
      </c>
      <c r="S379" t="e">
        <f ca="1">INDEX(FlowCalGasMixture,MATCH(R379,FlowCalNumber,0),1,1)</f>
        <v>#REF!</v>
      </c>
      <c r="U379" s="944" t="e">
        <f ca="1">INDEX(FlowCalDevice,MATCH(R379,FlowCalNumber,0),1,1)</f>
        <v>#REF!</v>
      </c>
      <c r="V379" s="20"/>
      <c r="Y379" s="944"/>
      <c r="Z379" s="946"/>
      <c r="AC379" s="944"/>
      <c r="AD379" s="20"/>
      <c r="AG379" s="944"/>
      <c r="AH379" s="946"/>
      <c r="AK379" s="982"/>
      <c r="AL379" s="355"/>
      <c r="AM379" s="355"/>
      <c r="AN379" s="355"/>
      <c r="AO379" s="355"/>
      <c r="AP379" s="355"/>
      <c r="AQ379" s="355"/>
      <c r="AR379" s="355"/>
      <c r="AS379" s="355"/>
      <c r="AT379" s="355"/>
      <c r="AU379" s="355"/>
      <c r="AV379" s="355"/>
      <c r="AW379" s="355"/>
      <c r="AX379" s="355"/>
      <c r="AY379" s="355"/>
      <c r="AZ379" s="355"/>
      <c r="BA379" s="355"/>
      <c r="BB379" s="355"/>
      <c r="BC379" s="355"/>
      <c r="BD379" s="355"/>
      <c r="BE379" s="355"/>
      <c r="BF379" s="355"/>
      <c r="BG379" s="355"/>
      <c r="BH379" s="355"/>
      <c r="BI379" s="355"/>
      <c r="BJ379" s="355"/>
      <c r="BK379" s="355"/>
      <c r="BL379" s="355"/>
      <c r="BM379" s="355"/>
      <c r="BN379" s="355"/>
      <c r="BO379" s="355"/>
      <c r="BP379" s="355"/>
      <c r="BQ379" s="355"/>
      <c r="BR379" s="355"/>
      <c r="BS379" s="355"/>
      <c r="BT379" s="46"/>
      <c r="BU379" s="16"/>
      <c r="BW379" s="355"/>
      <c r="BX379" s="42"/>
      <c r="BY379" s="16"/>
      <c r="CA379" s="355"/>
      <c r="CB379" s="42"/>
      <c r="CC379" s="16"/>
      <c r="CE379" s="355"/>
      <c r="CF379" s="42"/>
      <c r="CG379" s="16"/>
      <c r="CI379" s="355"/>
    </row>
    <row r="380" spans="1:87" s="1215" customFormat="1">
      <c r="A380" s="1222"/>
      <c r="B380" s="1223" t="str">
        <f t="shared" ref="B380:B394" si="176">IF(D380=UAnem1percent,"1% Wind","")</f>
        <v/>
      </c>
      <c r="C380" s="1210"/>
      <c r="D380" s="1211">
        <f>'1% Wind'!$M$82</f>
        <v>27</v>
      </c>
      <c r="E380" s="1212"/>
      <c r="F380" s="1212"/>
      <c r="G380" s="1364">
        <v>2</v>
      </c>
      <c r="H380" s="1214" t="e">
        <f t="shared" ref="H380:H394" ca="1" si="177">H379*(D379/D380)*(G380/G379)</f>
        <v>#REF!</v>
      </c>
      <c r="J380" s="1224"/>
      <c r="K380" s="1221">
        <f>K$17/100</f>
        <v>1</v>
      </c>
      <c r="L380" s="1218" t="e">
        <f ca="1">K380*$H380</f>
        <v>#REF!</v>
      </c>
      <c r="M380" s="1219" t="e">
        <f ca="1">IF(AND(INDEX(FlowCalConstA,MATCH(J379,FlowCalNumber,0),1,1)*L380^INDEX(FlowCalConstB,MATCH(J379,FlowCalNumber,0),1,1)&gt;INDEX(FlowCalLowSetting,MATCH(J379,FlowCalNumber,0),1,1), (INDEX(FlowCalConstA,MATCH(J379,FlowCalNumber,0),1,1)*L380^INDEX(FlowCalConstB,MATCH(J379,FlowCalNumber,0),1,1)&lt;INDEX(FlowCalHighSetting,MATCH(J379,FlowCalNumber,0),1,1))),INDEX(FlowCalConstA,MATCH(J379,FlowCalNumber,0),1,1)*L380^INDEX(FlowCalConstB,MATCH(J379,FlowCalNumber,0),1,1)," ")</f>
        <v>#REF!</v>
      </c>
      <c r="N380" s="1224"/>
      <c r="O380" s="1221">
        <f>O$17/100</f>
        <v>1</v>
      </c>
      <c r="P380" s="1218" t="e">
        <f ca="1">O380*$H380</f>
        <v>#REF!</v>
      </c>
      <c r="Q380" s="1219" t="e">
        <f ca="1">IF(AND(INDEX(FlowCalConstA,MATCH(N379,FlowCalNumber,0),1,1)*P380^INDEX(FlowCalConstB,MATCH(N379,FlowCalNumber,0),1,1)&gt;INDEX(FlowCalLowSetting,MATCH(N379,FlowCalNumber,0),1,1), (INDEX(FlowCalConstA,MATCH(N379,FlowCalNumber,0),1,1)*P380^INDEX(FlowCalConstB,MATCH(N379,FlowCalNumber,0),1,1)&lt;INDEX(FlowCalHighSetting,MATCH(N379,FlowCalNumber,0),1,1))),INDEX(FlowCalConstA,MATCH(N379,FlowCalNumber,0),1,1)*P380^INDEX(FlowCalConstB,MATCH(N379,FlowCalNumber,0),1,1)," ")</f>
        <v>#REF!</v>
      </c>
      <c r="R380" s="1224"/>
      <c r="S380" s="1221">
        <f>S$17/100</f>
        <v>1</v>
      </c>
      <c r="T380" s="1218" t="e">
        <f ca="1">S380*$H380</f>
        <v>#REF!</v>
      </c>
      <c r="U380" s="1219" t="e">
        <f ca="1">IF(AND(INDEX(FlowCalConstA,MATCH(R379,FlowCalNumber,0),1,1)*T380^INDEX(FlowCalConstB,MATCH(R379,FlowCalNumber,0),1,1)&gt;INDEX(FlowCalLowSetting,MATCH(R379,FlowCalNumber,0),1,1), (INDEX(FlowCalConstA,MATCH(R379,FlowCalNumber,0),1,1)*T380^INDEX(FlowCalConstB,MATCH(R379,FlowCalNumber,0),1,1)&lt;INDEX(FlowCalHighSetting,MATCH(R379,FlowCalNumber,0),1,1))),INDEX(FlowCalConstA,MATCH(R379,FlowCalNumber,0),1,1)*T380^INDEX(FlowCalConstB,MATCH(R379,FlowCalNumber,0),1,1)," ")</f>
        <v>#REF!</v>
      </c>
      <c r="V380" s="1224"/>
      <c r="W380" s="1221"/>
      <c r="X380" s="1218"/>
      <c r="Y380" s="1219"/>
      <c r="Z380" s="1224"/>
      <c r="AA380" s="1221"/>
      <c r="AB380" s="1218"/>
      <c r="AC380" s="1219"/>
      <c r="AD380" s="1224"/>
      <c r="AE380" s="1221"/>
      <c r="AF380" s="1218"/>
      <c r="AG380" s="1219"/>
      <c r="AH380" s="1224"/>
      <c r="AI380" s="1221"/>
      <c r="AJ380" s="1218"/>
      <c r="AK380" s="1220"/>
      <c r="AL380" s="1219"/>
      <c r="AM380" s="1219"/>
      <c r="AN380" s="1219"/>
      <c r="AO380" s="1219"/>
      <c r="AP380" s="1219"/>
      <c r="AQ380" s="1219"/>
      <c r="AR380" s="1219"/>
      <c r="AS380" s="1219"/>
      <c r="AT380" s="1219"/>
      <c r="AU380" s="1219"/>
      <c r="AV380" s="1219"/>
      <c r="AW380" s="1219"/>
      <c r="AX380" s="1219"/>
      <c r="AY380" s="1219"/>
      <c r="AZ380" s="1219"/>
      <c r="BA380" s="1219"/>
      <c r="BB380" s="1219"/>
      <c r="BC380" s="1219"/>
      <c r="BD380" s="1219"/>
      <c r="BE380" s="1219"/>
      <c r="BF380" s="1219"/>
      <c r="BG380" s="1219"/>
      <c r="BH380" s="1219"/>
      <c r="BI380" s="1219"/>
      <c r="BJ380" s="1219"/>
      <c r="BK380" s="1219"/>
      <c r="BL380" s="1219"/>
      <c r="BM380" s="1219"/>
      <c r="BN380" s="1219"/>
      <c r="BO380" s="1219"/>
      <c r="BP380" s="1219"/>
      <c r="BQ380" s="1219"/>
      <c r="BR380" s="1219"/>
      <c r="BS380" s="1219"/>
      <c r="BU380" s="1225"/>
      <c r="BW380" s="1219"/>
      <c r="BY380" s="1225"/>
      <c r="CA380" s="1219"/>
      <c r="CC380" s="1225"/>
      <c r="CE380" s="1219"/>
      <c r="CG380" s="1221"/>
      <c r="CI380" s="1219"/>
    </row>
    <row r="381" spans="1:87">
      <c r="A381" s="20"/>
      <c r="B381" s="124" t="str">
        <f t="shared" si="176"/>
        <v/>
      </c>
      <c r="C381" s="235"/>
      <c r="D381" s="24">
        <f>'1% Wind'!$M$83</f>
        <v>23.5</v>
      </c>
      <c r="E381" s="90"/>
      <c r="F381" s="90"/>
      <c r="G381" s="79" t="e">
        <f ca="1">IF(I379=0.9743,$G380,MAX(G380/D380*D381,2))</f>
        <v>#REF!</v>
      </c>
      <c r="H381" s="121" t="e">
        <f t="shared" ca="1" si="177"/>
        <v>#REF!</v>
      </c>
      <c r="J381" s="33"/>
      <c r="K381" s="242">
        <f t="shared" ref="K381:K394" si="178">K380</f>
        <v>1</v>
      </c>
      <c r="L381" s="241" t="e">
        <f t="shared" ref="L381:L394" ca="1" si="179">K381*$H381</f>
        <v>#REF!</v>
      </c>
      <c r="M381" s="243" t="e">
        <f ca="1">IF(AND(INDEX(FlowCalConstA,MATCH(J379,FlowCalNumber,0),1,1)*L381^INDEX(FlowCalConstB,MATCH(J379,FlowCalNumber,0),1,1)&gt;INDEX(FlowCalLowSetting,MATCH(J379,FlowCalNumber,0),1,1), (INDEX(FlowCalConstA,MATCH(J379,FlowCalNumber,0),1,1)*L381^INDEX(FlowCalConstB,MATCH(J379,FlowCalNumber,0),1,1)&lt;INDEX(FlowCalHighSetting,MATCH(J379,FlowCalNumber,0),1,1))),INDEX(FlowCalConstA,MATCH(J379,FlowCalNumber,0),1,1)*L381^INDEX(FlowCalConstB,MATCH(J379,FlowCalNumber,0),1,1)," ")</f>
        <v>#REF!</v>
      </c>
      <c r="N381" s="33"/>
      <c r="O381" s="242">
        <f t="shared" ref="O381:O394" si="180">O380</f>
        <v>1</v>
      </c>
      <c r="P381" s="241" t="e">
        <f t="shared" ref="P381:P394" ca="1" si="181">O381*$H381</f>
        <v>#REF!</v>
      </c>
      <c r="Q381" s="243" t="e">
        <f ca="1">IF(AND(INDEX(FlowCalConstA,MATCH(N379,FlowCalNumber,0),1,1)*P381^INDEX(FlowCalConstB,MATCH(N379,FlowCalNumber,0),1,1)&gt;INDEX(FlowCalLowSetting,MATCH(N379,FlowCalNumber,0),1,1), (INDEX(FlowCalConstA,MATCH(N379,FlowCalNumber,0),1,1)*P381^INDEX(FlowCalConstB,MATCH(N379,FlowCalNumber,0),1,1)&lt;INDEX(FlowCalHighSetting,MATCH(N379,FlowCalNumber,0),1,1))),INDEX(FlowCalConstA,MATCH(N379,FlowCalNumber,0),1,1)*P381^INDEX(FlowCalConstB,MATCH(N379,FlowCalNumber,0),1,1)," ")</f>
        <v>#REF!</v>
      </c>
      <c r="R381" s="33"/>
      <c r="S381" s="242">
        <f t="shared" ref="S381:S394" si="182">S380</f>
        <v>1</v>
      </c>
      <c r="T381" s="241" t="e">
        <f t="shared" ref="T381:T394" ca="1" si="183">S381*$H381</f>
        <v>#REF!</v>
      </c>
      <c r="U381" s="243" t="e">
        <f ca="1">IF(AND(INDEX(FlowCalConstA,MATCH(R379,FlowCalNumber,0),1,1)*T381^INDEX(FlowCalConstB,MATCH(R379,FlowCalNumber,0),1,1)&gt;INDEX(FlowCalLowSetting,MATCH(R379,FlowCalNumber,0),1,1), (INDEX(FlowCalConstA,MATCH(R379,FlowCalNumber,0),1,1)*T381^INDEX(FlowCalConstB,MATCH(R379,FlowCalNumber,0),1,1)&lt;INDEX(FlowCalHighSetting,MATCH(R379,FlowCalNumber,0),1,1))),INDEX(FlowCalConstA,MATCH(R379,FlowCalNumber,0),1,1)*T381^INDEX(FlowCalConstB,MATCH(R379,FlowCalNumber,0),1,1)," ")</f>
        <v>#REF!</v>
      </c>
      <c r="V381" s="33"/>
      <c r="W381" s="242"/>
      <c r="X381" s="241"/>
      <c r="Y381" s="243"/>
      <c r="Z381" s="33"/>
      <c r="AA381" s="242"/>
      <c r="AB381" s="241"/>
      <c r="AC381" s="243"/>
      <c r="AD381" s="33"/>
      <c r="AE381" s="242"/>
      <c r="AF381" s="241"/>
      <c r="AG381" s="243"/>
      <c r="AH381" s="33"/>
      <c r="AI381" s="242"/>
      <c r="AJ381" s="241"/>
      <c r="AK381" s="244"/>
      <c r="AL381" s="243"/>
      <c r="AM381" s="243"/>
      <c r="AN381" s="243"/>
      <c r="AO381" s="243"/>
      <c r="AP381" s="243"/>
      <c r="AQ381" s="243"/>
      <c r="AR381" s="243"/>
      <c r="AS381" s="243"/>
      <c r="AT381" s="243"/>
      <c r="AU381" s="243"/>
      <c r="AV381" s="243"/>
      <c r="AW381" s="243"/>
      <c r="AX381" s="243"/>
      <c r="AY381" s="243"/>
      <c r="AZ381" s="243"/>
      <c r="BA381" s="243"/>
      <c r="BB381" s="243"/>
      <c r="BC381" s="243"/>
      <c r="BD381" s="243"/>
      <c r="BE381" s="243"/>
      <c r="BF381" s="243"/>
      <c r="BG381" s="243"/>
      <c r="BH381" s="243"/>
      <c r="BI381" s="243"/>
      <c r="BJ381" s="243"/>
      <c r="BK381" s="243"/>
      <c r="BL381" s="243"/>
      <c r="BM381" s="243"/>
      <c r="BN381" s="243"/>
      <c r="BO381" s="243"/>
      <c r="BP381" s="243"/>
      <c r="BQ381" s="243"/>
      <c r="BR381" s="243"/>
      <c r="BS381" s="243"/>
      <c r="BU381" s="242"/>
      <c r="BW381" s="243"/>
      <c r="BY381" s="242"/>
      <c r="CA381" s="243"/>
      <c r="CC381" s="242"/>
      <c r="CE381" s="243"/>
      <c r="CG381" s="242"/>
      <c r="CI381" s="243"/>
    </row>
    <row r="382" spans="1:87" s="1215" customFormat="1">
      <c r="A382" s="1222"/>
      <c r="B382" s="1223" t="str">
        <f t="shared" si="176"/>
        <v/>
      </c>
      <c r="C382" s="1210"/>
      <c r="D382" s="1211">
        <f>'1% Wind'!$M$84</f>
        <v>20.5</v>
      </c>
      <c r="E382" s="1212"/>
      <c r="F382" s="1212"/>
      <c r="G382" s="1213" t="e">
        <f ca="1">IF(I379=0.9743,$G381,MAX(G381/D381*D382,2))</f>
        <v>#REF!</v>
      </c>
      <c r="H382" s="1214" t="e">
        <f t="shared" ca="1" si="177"/>
        <v>#REF!</v>
      </c>
      <c r="J382" s="1224"/>
      <c r="K382" s="1217">
        <f t="shared" si="178"/>
        <v>1</v>
      </c>
      <c r="L382" s="1218" t="e">
        <f t="shared" ca="1" si="179"/>
        <v>#REF!</v>
      </c>
      <c r="M382" s="1219" t="e">
        <f ca="1">IF(AND(INDEX(FlowCalConstA,MATCH(J379,FlowCalNumber,0),1,1)*L382^INDEX(FlowCalConstB,MATCH(J379,FlowCalNumber,0),1,1)&gt;INDEX(FlowCalLowSetting,MATCH(J379,FlowCalNumber,0),1,1), (INDEX(FlowCalConstA,MATCH(J379,FlowCalNumber,0),1,1)*L382^INDEX(FlowCalConstB,MATCH(J379,FlowCalNumber,0),1,1)&lt;INDEX(FlowCalHighSetting,MATCH(J379,FlowCalNumber,0),1,1))),INDEX(FlowCalConstA,MATCH(J379,FlowCalNumber,0),1,1)*L382^INDEX(FlowCalConstB,MATCH(J379,FlowCalNumber,0),1,1)," ")</f>
        <v>#REF!</v>
      </c>
      <c r="N382" s="1224"/>
      <c r="O382" s="1217">
        <f t="shared" si="180"/>
        <v>1</v>
      </c>
      <c r="P382" s="1218" t="e">
        <f t="shared" ca="1" si="181"/>
        <v>#REF!</v>
      </c>
      <c r="Q382" s="1219" t="e">
        <f ca="1">IF(AND(INDEX(FlowCalConstA,MATCH(N379,FlowCalNumber,0),1,1)*P382^INDEX(FlowCalConstB,MATCH(N379,FlowCalNumber,0),1,1)&gt;INDEX(FlowCalLowSetting,MATCH(N379,FlowCalNumber,0),1,1), (INDEX(FlowCalConstA,MATCH(N379,FlowCalNumber,0),1,1)*P382^INDEX(FlowCalConstB,MATCH(N379,FlowCalNumber,0),1,1)&lt;INDEX(FlowCalHighSetting,MATCH(N379,FlowCalNumber,0),1,1))),INDEX(FlowCalConstA,MATCH(N379,FlowCalNumber,0),1,1)*P382^INDEX(FlowCalConstB,MATCH(N379,FlowCalNumber,0),1,1)," ")</f>
        <v>#REF!</v>
      </c>
      <c r="R382" s="1224"/>
      <c r="S382" s="1217">
        <f t="shared" si="182"/>
        <v>1</v>
      </c>
      <c r="T382" s="1218" t="e">
        <f t="shared" ca="1" si="183"/>
        <v>#REF!</v>
      </c>
      <c r="U382" s="1219" t="e">
        <f ca="1">IF(AND(INDEX(FlowCalConstA,MATCH(R379,FlowCalNumber,0),1,1)*T382^INDEX(FlowCalConstB,MATCH(R379,FlowCalNumber,0),1,1)&gt;INDEX(FlowCalLowSetting,MATCH(R379,FlowCalNumber,0),1,1), (INDEX(FlowCalConstA,MATCH(R379,FlowCalNumber,0),1,1)*T382^INDEX(FlowCalConstB,MATCH(R379,FlowCalNumber,0),1,1)&lt;INDEX(FlowCalHighSetting,MATCH(R379,FlowCalNumber,0),1,1))),INDEX(FlowCalConstA,MATCH(R379,FlowCalNumber,0),1,1)*T382^INDEX(FlowCalConstB,MATCH(R379,FlowCalNumber,0),1,1)," ")</f>
        <v>#REF!</v>
      </c>
      <c r="V382" s="1224"/>
      <c r="W382" s="1217"/>
      <c r="X382" s="1218"/>
      <c r="Y382" s="1219"/>
      <c r="Z382" s="1224"/>
      <c r="AA382" s="1217"/>
      <c r="AB382" s="1218"/>
      <c r="AC382" s="1219"/>
      <c r="AD382" s="1224"/>
      <c r="AE382" s="1217"/>
      <c r="AF382" s="1218"/>
      <c r="AG382" s="1219"/>
      <c r="AH382" s="1224"/>
      <c r="AI382" s="1217"/>
      <c r="AJ382" s="1218"/>
      <c r="AK382" s="1220"/>
      <c r="AL382" s="1219"/>
      <c r="AM382" s="1219"/>
      <c r="AN382" s="1219"/>
      <c r="AO382" s="1219"/>
      <c r="AP382" s="1219"/>
      <c r="AQ382" s="1219"/>
      <c r="AR382" s="1219"/>
      <c r="AS382" s="1219"/>
      <c r="AT382" s="1219"/>
      <c r="AU382" s="1219"/>
      <c r="AV382" s="1219"/>
      <c r="AW382" s="1219"/>
      <c r="AX382" s="1219"/>
      <c r="AY382" s="1219"/>
      <c r="AZ382" s="1219"/>
      <c r="BA382" s="1219"/>
      <c r="BB382" s="1219"/>
      <c r="BC382" s="1219"/>
      <c r="BD382" s="1219"/>
      <c r="BE382" s="1219"/>
      <c r="BF382" s="1219"/>
      <c r="BG382" s="1219"/>
      <c r="BH382" s="1219"/>
      <c r="BI382" s="1219"/>
      <c r="BJ382" s="1219"/>
      <c r="BK382" s="1219"/>
      <c r="BL382" s="1219"/>
      <c r="BM382" s="1219"/>
      <c r="BN382" s="1219"/>
      <c r="BO382" s="1219"/>
      <c r="BP382" s="1219"/>
      <c r="BQ382" s="1219"/>
      <c r="BR382" s="1219"/>
      <c r="BS382" s="1219"/>
      <c r="BU382" s="1217"/>
      <c r="BW382" s="1219"/>
      <c r="BY382" s="1217"/>
      <c r="CA382" s="1219"/>
      <c r="CC382" s="1217"/>
      <c r="CE382" s="1219"/>
      <c r="CG382" s="1217"/>
      <c r="CI382" s="1219"/>
    </row>
    <row r="383" spans="1:87">
      <c r="A383" s="20"/>
      <c r="B383" s="124" t="str">
        <f t="shared" si="176"/>
        <v/>
      </c>
      <c r="C383" s="235"/>
      <c r="D383" s="24">
        <f>'1% Wind'!$M$85</f>
        <v>17.8</v>
      </c>
      <c r="E383" s="90"/>
      <c r="F383" s="90"/>
      <c r="G383" s="79" t="e">
        <f ca="1">IF(I379=0.9743,$G382,MAX(G382/D382*D383,2))</f>
        <v>#REF!</v>
      </c>
      <c r="H383" s="121" t="e">
        <f t="shared" ca="1" si="177"/>
        <v>#REF!</v>
      </c>
      <c r="J383" s="33"/>
      <c r="K383" s="242">
        <f t="shared" si="178"/>
        <v>1</v>
      </c>
      <c r="L383" s="241" t="e">
        <f t="shared" ca="1" si="179"/>
        <v>#REF!</v>
      </c>
      <c r="M383" s="243" t="e">
        <f ca="1">IF(AND(INDEX(FlowCalConstA,MATCH(J379,FlowCalNumber,0),1,1)*L383^INDEX(FlowCalConstB,MATCH(J379,FlowCalNumber,0),1,1)&gt;INDEX(FlowCalLowSetting,MATCH(J379,FlowCalNumber,0),1,1), (INDEX(FlowCalConstA,MATCH(J379,FlowCalNumber,0),1,1)*L383^INDEX(FlowCalConstB,MATCH(J379,FlowCalNumber,0),1,1)&lt;INDEX(FlowCalHighSetting,MATCH(J379,FlowCalNumber,0),1,1))),INDEX(FlowCalConstA,MATCH(J379,FlowCalNumber,0),1,1)*L383^INDEX(FlowCalConstB,MATCH(J379,FlowCalNumber,0),1,1)," ")</f>
        <v>#REF!</v>
      </c>
      <c r="N383" s="33"/>
      <c r="O383" s="242">
        <f t="shared" si="180"/>
        <v>1</v>
      </c>
      <c r="P383" s="241" t="e">
        <f t="shared" ca="1" si="181"/>
        <v>#REF!</v>
      </c>
      <c r="Q383" s="243" t="e">
        <f ca="1">IF(AND(INDEX(FlowCalConstA,MATCH(N379,FlowCalNumber,0),1,1)*P383^INDEX(FlowCalConstB,MATCH(N379,FlowCalNumber,0),1,1)&gt;INDEX(FlowCalLowSetting,MATCH(N379,FlowCalNumber,0),1,1), (INDEX(FlowCalConstA,MATCH(N379,FlowCalNumber,0),1,1)*P383^INDEX(FlowCalConstB,MATCH(N379,FlowCalNumber,0),1,1)&lt;INDEX(FlowCalHighSetting,MATCH(N379,FlowCalNumber,0),1,1))),INDEX(FlowCalConstA,MATCH(N379,FlowCalNumber,0),1,1)*P383^INDEX(FlowCalConstB,MATCH(N379,FlowCalNumber,0),1,1)," ")</f>
        <v>#REF!</v>
      </c>
      <c r="R383" s="33"/>
      <c r="S383" s="242">
        <f t="shared" si="182"/>
        <v>1</v>
      </c>
      <c r="T383" s="241" t="e">
        <f t="shared" ca="1" si="183"/>
        <v>#REF!</v>
      </c>
      <c r="U383" s="243" t="e">
        <f ca="1">IF(AND(INDEX(FlowCalConstA,MATCH(R379,FlowCalNumber,0),1,1)*T383^INDEX(FlowCalConstB,MATCH(R379,FlowCalNumber,0),1,1)&gt;INDEX(FlowCalLowSetting,MATCH(R379,FlowCalNumber,0),1,1), (INDEX(FlowCalConstA,MATCH(R379,FlowCalNumber,0),1,1)*T383^INDEX(FlowCalConstB,MATCH(R379,FlowCalNumber,0),1,1)&lt;INDEX(FlowCalHighSetting,MATCH(R379,FlowCalNumber,0),1,1))),INDEX(FlowCalConstA,MATCH(R379,FlowCalNumber,0),1,1)*T383^INDEX(FlowCalConstB,MATCH(R379,FlowCalNumber,0),1,1)," ")</f>
        <v>#REF!</v>
      </c>
      <c r="V383" s="33"/>
      <c r="W383" s="242"/>
      <c r="X383" s="241"/>
      <c r="Y383" s="243"/>
      <c r="Z383" s="33"/>
      <c r="AA383" s="242"/>
      <c r="AB383" s="241"/>
      <c r="AC383" s="243"/>
      <c r="AD383" s="33"/>
      <c r="AE383" s="242"/>
      <c r="AF383" s="241"/>
      <c r="AG383" s="243"/>
      <c r="AH383" s="33"/>
      <c r="AI383" s="242"/>
      <c r="AJ383" s="241"/>
      <c r="AK383" s="244"/>
      <c r="AL383" s="243"/>
      <c r="AM383" s="243"/>
      <c r="AN383" s="243"/>
      <c r="AO383" s="243"/>
      <c r="AP383" s="243"/>
      <c r="AQ383" s="243"/>
      <c r="AR383" s="243"/>
      <c r="AS383" s="243"/>
      <c r="AT383" s="243"/>
      <c r="AU383" s="243"/>
      <c r="AV383" s="243"/>
      <c r="AW383" s="243"/>
      <c r="AX383" s="243"/>
      <c r="AY383" s="243"/>
      <c r="AZ383" s="243"/>
      <c r="BA383" s="243"/>
      <c r="BB383" s="243"/>
      <c r="BC383" s="243"/>
      <c r="BD383" s="243"/>
      <c r="BE383" s="243"/>
      <c r="BF383" s="243"/>
      <c r="BG383" s="243"/>
      <c r="BH383" s="243"/>
      <c r="BI383" s="243"/>
      <c r="BJ383" s="243"/>
      <c r="BK383" s="243"/>
      <c r="BL383" s="243"/>
      <c r="BM383" s="243"/>
      <c r="BN383" s="243"/>
      <c r="BO383" s="243"/>
      <c r="BP383" s="243"/>
      <c r="BQ383" s="243"/>
      <c r="BR383" s="243"/>
      <c r="BS383" s="243"/>
      <c r="BU383" s="242"/>
      <c r="BW383" s="243"/>
      <c r="BY383" s="242"/>
      <c r="CA383" s="243"/>
      <c r="CC383" s="242"/>
      <c r="CE383" s="243"/>
      <c r="CG383" s="242"/>
      <c r="CI383" s="243"/>
    </row>
    <row r="384" spans="1:87" s="1215" customFormat="1">
      <c r="A384" s="1222"/>
      <c r="B384" s="1223" t="str">
        <f t="shared" si="176"/>
        <v/>
      </c>
      <c r="C384" s="1210"/>
      <c r="D384" s="1211">
        <f>'1% Wind'!$M$86</f>
        <v>15.5</v>
      </c>
      <c r="E384" s="1212"/>
      <c r="F384" s="1212"/>
      <c r="G384" s="1213" t="e">
        <f ca="1">IF(I379=0.9743,$G383,MAX(G383/D383*D384,2))</f>
        <v>#REF!</v>
      </c>
      <c r="H384" s="1214" t="e">
        <f t="shared" ca="1" si="177"/>
        <v>#REF!</v>
      </c>
      <c r="J384" s="1224"/>
      <c r="K384" s="1217">
        <f t="shared" si="178"/>
        <v>1</v>
      </c>
      <c r="L384" s="1218" t="e">
        <f t="shared" ca="1" si="179"/>
        <v>#REF!</v>
      </c>
      <c r="M384" s="1219" t="e">
        <f ca="1">IF(AND(INDEX(FlowCalConstA,MATCH(J379,FlowCalNumber,0),1,1)*L384^INDEX(FlowCalConstB,MATCH(J379,FlowCalNumber,0),1,1)&gt;INDEX(FlowCalLowSetting,MATCH(J379,FlowCalNumber,0),1,1), (INDEX(FlowCalConstA,MATCH(J379,FlowCalNumber,0),1,1)*L384^INDEX(FlowCalConstB,MATCH(J379,FlowCalNumber,0),1,1)&lt;INDEX(FlowCalHighSetting,MATCH(J379,FlowCalNumber,0),1,1))),INDEX(FlowCalConstA,MATCH(J379,FlowCalNumber,0),1,1)*L384^INDEX(FlowCalConstB,MATCH(J379,FlowCalNumber,0),1,1)," ")</f>
        <v>#REF!</v>
      </c>
      <c r="N384" s="1224"/>
      <c r="O384" s="1217">
        <f t="shared" si="180"/>
        <v>1</v>
      </c>
      <c r="P384" s="1218" t="e">
        <f t="shared" ca="1" si="181"/>
        <v>#REF!</v>
      </c>
      <c r="Q384" s="1219" t="e">
        <f ca="1">IF(AND(INDEX(FlowCalConstA,MATCH(N379,FlowCalNumber,0),1,1)*P384^INDEX(FlowCalConstB,MATCH(N379,FlowCalNumber,0),1,1)&gt;INDEX(FlowCalLowSetting,MATCH(N379,FlowCalNumber,0),1,1), (INDEX(FlowCalConstA,MATCH(N379,FlowCalNumber,0),1,1)*P384^INDEX(FlowCalConstB,MATCH(N379,FlowCalNumber,0),1,1)&lt;INDEX(FlowCalHighSetting,MATCH(N379,FlowCalNumber,0),1,1))),INDEX(FlowCalConstA,MATCH(N379,FlowCalNumber,0),1,1)*P384^INDEX(FlowCalConstB,MATCH(N379,FlowCalNumber,0),1,1)," ")</f>
        <v>#REF!</v>
      </c>
      <c r="R384" s="1224"/>
      <c r="S384" s="1217">
        <f t="shared" si="182"/>
        <v>1</v>
      </c>
      <c r="T384" s="1218" t="e">
        <f t="shared" ca="1" si="183"/>
        <v>#REF!</v>
      </c>
      <c r="U384" s="1219" t="e">
        <f ca="1">IF(AND(INDEX(FlowCalConstA,MATCH(R379,FlowCalNumber,0),1,1)*T384^INDEX(FlowCalConstB,MATCH(R379,FlowCalNumber,0),1,1)&gt;INDEX(FlowCalLowSetting,MATCH(R379,FlowCalNumber,0),1,1), (INDEX(FlowCalConstA,MATCH(R379,FlowCalNumber,0),1,1)*T384^INDEX(FlowCalConstB,MATCH(R379,FlowCalNumber,0),1,1)&lt;INDEX(FlowCalHighSetting,MATCH(R379,FlowCalNumber,0),1,1))),INDEX(FlowCalConstA,MATCH(R379,FlowCalNumber,0),1,1)*T384^INDEX(FlowCalConstB,MATCH(R379,FlowCalNumber,0),1,1)," ")</f>
        <v>#REF!</v>
      </c>
      <c r="V384" s="1224"/>
      <c r="W384" s="1217"/>
      <c r="X384" s="1218"/>
      <c r="Y384" s="1219"/>
      <c r="Z384" s="1224"/>
      <c r="AA384" s="1217"/>
      <c r="AB384" s="1218"/>
      <c r="AC384" s="1219"/>
      <c r="AD384" s="1224"/>
      <c r="AE384" s="1217"/>
      <c r="AF384" s="1218"/>
      <c r="AG384" s="1219"/>
      <c r="AH384" s="1224"/>
      <c r="AI384" s="1217"/>
      <c r="AJ384" s="1218"/>
      <c r="AK384" s="1220"/>
      <c r="AL384" s="1219"/>
      <c r="AM384" s="1219"/>
      <c r="AN384" s="1219"/>
      <c r="AO384" s="1219"/>
      <c r="AP384" s="1219"/>
      <c r="AQ384" s="1219"/>
      <c r="AR384" s="1219"/>
      <c r="AS384" s="1219"/>
      <c r="AT384" s="1219"/>
      <c r="AU384" s="1219"/>
      <c r="AV384" s="1219"/>
      <c r="AW384" s="1219"/>
      <c r="AX384" s="1219"/>
      <c r="AY384" s="1219"/>
      <c r="AZ384" s="1219"/>
      <c r="BA384" s="1219"/>
      <c r="BB384" s="1219"/>
      <c r="BC384" s="1219"/>
      <c r="BD384" s="1219"/>
      <c r="BE384" s="1219"/>
      <c r="BF384" s="1219"/>
      <c r="BG384" s="1219"/>
      <c r="BH384" s="1219"/>
      <c r="BI384" s="1219"/>
      <c r="BJ384" s="1219"/>
      <c r="BK384" s="1219"/>
      <c r="BL384" s="1219"/>
      <c r="BM384" s="1219"/>
      <c r="BN384" s="1219"/>
      <c r="BO384" s="1219"/>
      <c r="BP384" s="1219"/>
      <c r="BQ384" s="1219"/>
      <c r="BR384" s="1219"/>
      <c r="BS384" s="1219"/>
      <c r="BU384" s="1217"/>
      <c r="BW384" s="1219"/>
      <c r="BY384" s="1217"/>
      <c r="CA384" s="1219"/>
      <c r="CC384" s="1217"/>
      <c r="CE384" s="1219"/>
      <c r="CG384" s="1217"/>
      <c r="CI384" s="1219"/>
    </row>
    <row r="385" spans="1:87">
      <c r="A385" s="20"/>
      <c r="B385" s="124" t="str">
        <f t="shared" si="176"/>
        <v/>
      </c>
      <c r="C385" s="235"/>
      <c r="D385" s="24">
        <f>'1% Wind'!$M$87</f>
        <v>13.5</v>
      </c>
      <c r="E385" s="90"/>
      <c r="F385" s="90"/>
      <c r="G385" s="79" t="e">
        <f ca="1">IF(I379=0.9743,$G384,MAX(G384/D384*D385,2))</f>
        <v>#REF!</v>
      </c>
      <c r="H385" s="121" t="e">
        <f t="shared" ca="1" si="177"/>
        <v>#REF!</v>
      </c>
      <c r="J385" s="33"/>
      <c r="K385" s="242">
        <f t="shared" si="178"/>
        <v>1</v>
      </c>
      <c r="L385" s="241" t="e">
        <f t="shared" ca="1" si="179"/>
        <v>#REF!</v>
      </c>
      <c r="M385" s="243" t="e">
        <f ca="1">IF(AND(INDEX(FlowCalConstA,MATCH(J379,FlowCalNumber,0),1,1)*L385^INDEX(FlowCalConstB,MATCH(J379,FlowCalNumber,0),1,1)&gt;INDEX(FlowCalLowSetting,MATCH(J379,FlowCalNumber,0),1,1), (INDEX(FlowCalConstA,MATCH(J379,FlowCalNumber,0),1,1)*L385^INDEX(FlowCalConstB,MATCH(J379,FlowCalNumber,0),1,1)&lt;INDEX(FlowCalHighSetting,MATCH(J379,FlowCalNumber,0),1,1))),INDEX(FlowCalConstA,MATCH(J379,FlowCalNumber,0),1,1)*L385^INDEX(FlowCalConstB,MATCH(J379,FlowCalNumber,0),1,1)," ")</f>
        <v>#REF!</v>
      </c>
      <c r="N385" s="33"/>
      <c r="O385" s="242">
        <f t="shared" si="180"/>
        <v>1</v>
      </c>
      <c r="P385" s="241" t="e">
        <f t="shared" ca="1" si="181"/>
        <v>#REF!</v>
      </c>
      <c r="Q385" s="243" t="e">
        <f ca="1">IF(AND(INDEX(FlowCalConstA,MATCH(N379,FlowCalNumber,0),1,1)*P385^INDEX(FlowCalConstB,MATCH(N379,FlowCalNumber,0),1,1)&gt;INDEX(FlowCalLowSetting,MATCH(N379,FlowCalNumber,0),1,1), (INDEX(FlowCalConstA,MATCH(N379,FlowCalNumber,0),1,1)*P385^INDEX(FlowCalConstB,MATCH(N379,FlowCalNumber,0),1,1)&lt;INDEX(FlowCalHighSetting,MATCH(N379,FlowCalNumber,0),1,1))),INDEX(FlowCalConstA,MATCH(N379,FlowCalNumber,0),1,1)*P385^INDEX(FlowCalConstB,MATCH(N379,FlowCalNumber,0),1,1)," ")</f>
        <v>#REF!</v>
      </c>
      <c r="R385" s="33"/>
      <c r="S385" s="242">
        <f t="shared" si="182"/>
        <v>1</v>
      </c>
      <c r="T385" s="241" t="e">
        <f t="shared" ca="1" si="183"/>
        <v>#REF!</v>
      </c>
      <c r="U385" s="243" t="e">
        <f ca="1">IF(AND(INDEX(FlowCalConstA,MATCH(R379,FlowCalNumber,0),1,1)*T385^INDEX(FlowCalConstB,MATCH(R379,FlowCalNumber,0),1,1)&gt;INDEX(FlowCalLowSetting,MATCH(R379,FlowCalNumber,0),1,1), (INDEX(FlowCalConstA,MATCH(R379,FlowCalNumber,0),1,1)*T385^INDEX(FlowCalConstB,MATCH(R379,FlowCalNumber,0),1,1)&lt;INDEX(FlowCalHighSetting,MATCH(R379,FlowCalNumber,0),1,1))),INDEX(FlowCalConstA,MATCH(R379,FlowCalNumber,0),1,1)*T385^INDEX(FlowCalConstB,MATCH(R379,FlowCalNumber,0),1,1)," ")</f>
        <v>#REF!</v>
      </c>
      <c r="V385" s="33"/>
      <c r="W385" s="242"/>
      <c r="X385" s="241"/>
      <c r="Y385" s="243"/>
      <c r="Z385" s="33"/>
      <c r="AA385" s="242"/>
      <c r="AB385" s="241"/>
      <c r="AC385" s="243"/>
      <c r="AD385" s="33"/>
      <c r="AE385" s="242"/>
      <c r="AF385" s="241"/>
      <c r="AG385" s="243"/>
      <c r="AH385" s="33"/>
      <c r="AI385" s="242"/>
      <c r="AJ385" s="241"/>
      <c r="AK385" s="244"/>
      <c r="AL385" s="243"/>
      <c r="AM385" s="243"/>
      <c r="AN385" s="243"/>
      <c r="AO385" s="243"/>
      <c r="AP385" s="243"/>
      <c r="AQ385" s="243"/>
      <c r="AR385" s="243"/>
      <c r="AS385" s="243"/>
      <c r="AT385" s="243"/>
      <c r="AU385" s="243"/>
      <c r="AV385" s="243"/>
      <c r="AW385" s="243"/>
      <c r="AX385" s="243"/>
      <c r="AY385" s="243"/>
      <c r="AZ385" s="243"/>
      <c r="BA385" s="243"/>
      <c r="BB385" s="243"/>
      <c r="BC385" s="243"/>
      <c r="BD385" s="243"/>
      <c r="BE385" s="243"/>
      <c r="BF385" s="243"/>
      <c r="BG385" s="243"/>
      <c r="BH385" s="243"/>
      <c r="BI385" s="243"/>
      <c r="BJ385" s="243"/>
      <c r="BK385" s="243"/>
      <c r="BL385" s="243"/>
      <c r="BM385" s="243"/>
      <c r="BN385" s="243"/>
      <c r="BO385" s="243"/>
      <c r="BP385" s="243"/>
      <c r="BQ385" s="243"/>
      <c r="BR385" s="243"/>
      <c r="BS385" s="243"/>
      <c r="BU385" s="242"/>
      <c r="BW385" s="243"/>
      <c r="BY385" s="242"/>
      <c r="CA385" s="243"/>
      <c r="CC385" s="242"/>
      <c r="CE385" s="243"/>
      <c r="CG385" s="242"/>
      <c r="CI385" s="243"/>
    </row>
    <row r="386" spans="1:87" s="1215" customFormat="1">
      <c r="A386" s="1222"/>
      <c r="B386" s="1223" t="str">
        <f t="shared" si="176"/>
        <v/>
      </c>
      <c r="C386" s="1210"/>
      <c r="D386" s="1211">
        <f>'1% Wind'!$M$88</f>
        <v>10.1</v>
      </c>
      <c r="E386" s="1212"/>
      <c r="F386" s="1212"/>
      <c r="G386" s="1213" t="e">
        <f ca="1">IF(I379=0.9743,$G385,MAX(G385/D385*D386,2))</f>
        <v>#REF!</v>
      </c>
      <c r="H386" s="1214" t="e">
        <f t="shared" ca="1" si="177"/>
        <v>#REF!</v>
      </c>
      <c r="J386" s="1224"/>
      <c r="K386" s="1217">
        <f t="shared" si="178"/>
        <v>1</v>
      </c>
      <c r="L386" s="1218" t="e">
        <f t="shared" ca="1" si="179"/>
        <v>#REF!</v>
      </c>
      <c r="M386" s="1219" t="e">
        <f ca="1">IF(AND(INDEX(FlowCalConstA,MATCH(J379,FlowCalNumber,0),1,1)*L386^INDEX(FlowCalConstB,MATCH(J379,FlowCalNumber,0),1,1)&gt;INDEX(FlowCalLowSetting,MATCH(J379,FlowCalNumber,0),1,1), (INDEX(FlowCalConstA,MATCH(J379,FlowCalNumber,0),1,1)*L386^INDEX(FlowCalConstB,MATCH(J379,FlowCalNumber,0),1,1)&lt;INDEX(FlowCalHighSetting,MATCH(J379,FlowCalNumber,0),1,1))),INDEX(FlowCalConstA,MATCH(J379,FlowCalNumber,0),1,1)*L386^INDEX(FlowCalConstB,MATCH(J379,FlowCalNumber,0),1,1)," ")</f>
        <v>#REF!</v>
      </c>
      <c r="N386" s="1224"/>
      <c r="O386" s="1217">
        <f t="shared" si="180"/>
        <v>1</v>
      </c>
      <c r="P386" s="1218" t="e">
        <f t="shared" ca="1" si="181"/>
        <v>#REF!</v>
      </c>
      <c r="Q386" s="1219" t="e">
        <f ca="1">IF(AND(INDEX(FlowCalConstA,MATCH(N379,FlowCalNumber,0),1,1)*P386^INDEX(FlowCalConstB,MATCH(N379,FlowCalNumber,0),1,1)&gt;INDEX(FlowCalLowSetting,MATCH(N379,FlowCalNumber,0),1,1), (INDEX(FlowCalConstA,MATCH(N379,FlowCalNumber,0),1,1)*P386^INDEX(FlowCalConstB,MATCH(N379,FlowCalNumber,0),1,1)&lt;INDEX(FlowCalHighSetting,MATCH(N379,FlowCalNumber,0),1,1))),INDEX(FlowCalConstA,MATCH(N379,FlowCalNumber,0),1,1)*P386^INDEX(FlowCalConstB,MATCH(N379,FlowCalNumber,0),1,1)," ")</f>
        <v>#REF!</v>
      </c>
      <c r="R386" s="1224"/>
      <c r="S386" s="1217">
        <f t="shared" si="182"/>
        <v>1</v>
      </c>
      <c r="T386" s="1218" t="e">
        <f t="shared" ca="1" si="183"/>
        <v>#REF!</v>
      </c>
      <c r="U386" s="1219" t="e">
        <f ca="1">IF(AND(INDEX(FlowCalConstA,MATCH(R379,FlowCalNumber,0),1,1)*T386^INDEX(FlowCalConstB,MATCH(R379,FlowCalNumber,0),1,1)&gt;INDEX(FlowCalLowSetting,MATCH(R379,FlowCalNumber,0),1,1), (INDEX(FlowCalConstA,MATCH(R379,FlowCalNumber,0),1,1)*T386^INDEX(FlowCalConstB,MATCH(R379,FlowCalNumber,0),1,1)&lt;INDEX(FlowCalHighSetting,MATCH(R379,FlowCalNumber,0),1,1))),INDEX(FlowCalConstA,MATCH(R379,FlowCalNumber,0),1,1)*T386^INDEX(FlowCalConstB,MATCH(R379,FlowCalNumber,0),1,1)," ")</f>
        <v>#REF!</v>
      </c>
      <c r="V386" s="1224"/>
      <c r="W386" s="1217"/>
      <c r="X386" s="1218"/>
      <c r="Y386" s="1219"/>
      <c r="Z386" s="1224"/>
      <c r="AA386" s="1217"/>
      <c r="AB386" s="1218"/>
      <c r="AC386" s="1219"/>
      <c r="AD386" s="1224"/>
      <c r="AE386" s="1217"/>
      <c r="AF386" s="1218"/>
      <c r="AG386" s="1219"/>
      <c r="AH386" s="1224"/>
      <c r="AI386" s="1217"/>
      <c r="AJ386" s="1218"/>
      <c r="AK386" s="1220"/>
      <c r="AL386" s="1219"/>
      <c r="AM386" s="1219"/>
      <c r="AN386" s="1219"/>
      <c r="AO386" s="1219"/>
      <c r="AP386" s="1219"/>
      <c r="AQ386" s="1219"/>
      <c r="AR386" s="1219"/>
      <c r="AS386" s="1219"/>
      <c r="AT386" s="1219"/>
      <c r="AU386" s="1219"/>
      <c r="AV386" s="1219"/>
      <c r="AW386" s="1219"/>
      <c r="AX386" s="1219"/>
      <c r="AY386" s="1219"/>
      <c r="AZ386" s="1219"/>
      <c r="BA386" s="1219"/>
      <c r="BB386" s="1219"/>
      <c r="BC386" s="1219"/>
      <c r="BD386" s="1219"/>
      <c r="BE386" s="1219"/>
      <c r="BF386" s="1219"/>
      <c r="BG386" s="1219"/>
      <c r="BH386" s="1219"/>
      <c r="BI386" s="1219"/>
      <c r="BJ386" s="1219"/>
      <c r="BK386" s="1219"/>
      <c r="BL386" s="1219"/>
      <c r="BM386" s="1219"/>
      <c r="BN386" s="1219"/>
      <c r="BO386" s="1219"/>
      <c r="BP386" s="1219"/>
      <c r="BQ386" s="1219"/>
      <c r="BR386" s="1219"/>
      <c r="BS386" s="1219"/>
      <c r="BU386" s="1217"/>
      <c r="BW386" s="1219"/>
      <c r="BY386" s="1217"/>
      <c r="CA386" s="1219"/>
      <c r="CC386" s="1217"/>
      <c r="CE386" s="1219"/>
      <c r="CG386" s="1217"/>
      <c r="CI386" s="1219"/>
    </row>
    <row r="387" spans="1:87">
      <c r="A387" s="20"/>
      <c r="B387" s="124" t="str">
        <f t="shared" si="176"/>
        <v/>
      </c>
      <c r="C387" s="235"/>
      <c r="D387" s="24">
        <f>'1% Wind'!$M$89</f>
        <v>7.6</v>
      </c>
      <c r="E387" s="90"/>
      <c r="F387" s="90"/>
      <c r="G387" s="79" t="e">
        <f ca="1">IF(I379=0.9743,$G386,MAX(G386/D386*D387,2))</f>
        <v>#REF!</v>
      </c>
      <c r="H387" s="121" t="e">
        <f t="shared" ca="1" si="177"/>
        <v>#REF!</v>
      </c>
      <c r="J387" s="33"/>
      <c r="K387" s="242">
        <f t="shared" si="178"/>
        <v>1</v>
      </c>
      <c r="L387" s="241" t="e">
        <f t="shared" ca="1" si="179"/>
        <v>#REF!</v>
      </c>
      <c r="M387" s="243" t="e">
        <f ca="1">IF(AND(INDEX(FlowCalConstA,MATCH(J379,FlowCalNumber,0),1,1)*L387^INDEX(FlowCalConstB,MATCH(J379,FlowCalNumber,0),1,1)&gt;INDEX(FlowCalLowSetting,MATCH(J379,FlowCalNumber,0),1,1), (INDEX(FlowCalConstA,MATCH(J379,FlowCalNumber,0),1,1)*L387^INDEX(FlowCalConstB,MATCH(J379,FlowCalNumber,0),1,1)&lt;INDEX(FlowCalHighSetting,MATCH(J379,FlowCalNumber,0),1,1))),INDEX(FlowCalConstA,MATCH(J379,FlowCalNumber,0),1,1)*L387^INDEX(FlowCalConstB,MATCH(J379,FlowCalNumber,0),1,1)," ")</f>
        <v>#REF!</v>
      </c>
      <c r="N387" s="33"/>
      <c r="O387" s="242">
        <f t="shared" si="180"/>
        <v>1</v>
      </c>
      <c r="P387" s="241" t="e">
        <f t="shared" ca="1" si="181"/>
        <v>#REF!</v>
      </c>
      <c r="Q387" s="243" t="e">
        <f ca="1">IF(AND(INDEX(FlowCalConstA,MATCH(N379,FlowCalNumber,0),1,1)*P387^INDEX(FlowCalConstB,MATCH(N379,FlowCalNumber,0),1,1)&gt;INDEX(FlowCalLowSetting,MATCH(N379,FlowCalNumber,0),1,1), (INDEX(FlowCalConstA,MATCH(N379,FlowCalNumber,0),1,1)*P387^INDEX(FlowCalConstB,MATCH(N379,FlowCalNumber,0),1,1)&lt;INDEX(FlowCalHighSetting,MATCH(N379,FlowCalNumber,0),1,1))),INDEX(FlowCalConstA,MATCH(N379,FlowCalNumber,0),1,1)*P387^INDEX(FlowCalConstB,MATCH(N379,FlowCalNumber,0),1,1)," ")</f>
        <v>#REF!</v>
      </c>
      <c r="R387" s="33"/>
      <c r="S387" s="242">
        <f t="shared" si="182"/>
        <v>1</v>
      </c>
      <c r="T387" s="241" t="e">
        <f t="shared" ca="1" si="183"/>
        <v>#REF!</v>
      </c>
      <c r="U387" s="243" t="e">
        <f ca="1">IF(AND(INDEX(FlowCalConstA,MATCH(R379,FlowCalNumber,0),1,1)*T387^INDEX(FlowCalConstB,MATCH(R379,FlowCalNumber,0),1,1)&gt;INDEX(FlowCalLowSetting,MATCH(R379,FlowCalNumber,0),1,1), (INDEX(FlowCalConstA,MATCH(R379,FlowCalNumber,0),1,1)*T387^INDEX(FlowCalConstB,MATCH(R379,FlowCalNumber,0),1,1)&lt;INDEX(FlowCalHighSetting,MATCH(R379,FlowCalNumber,0),1,1))),INDEX(FlowCalConstA,MATCH(R379,FlowCalNumber,0),1,1)*T387^INDEX(FlowCalConstB,MATCH(R379,FlowCalNumber,0),1,1)," ")</f>
        <v>#REF!</v>
      </c>
      <c r="V387" s="33"/>
      <c r="W387" s="242"/>
      <c r="X387" s="241"/>
      <c r="Y387" s="243"/>
      <c r="Z387" s="33"/>
      <c r="AA387" s="242"/>
      <c r="AB387" s="241"/>
      <c r="AC387" s="243"/>
      <c r="AD387" s="33"/>
      <c r="AE387" s="242"/>
      <c r="AF387" s="241"/>
      <c r="AG387" s="243"/>
      <c r="AH387" s="33"/>
      <c r="AI387" s="242"/>
      <c r="AJ387" s="241"/>
      <c r="AK387" s="244"/>
      <c r="AL387" s="243"/>
      <c r="AM387" s="243"/>
      <c r="AN387" s="243"/>
      <c r="AO387" s="243"/>
      <c r="AP387" s="243"/>
      <c r="AQ387" s="243"/>
      <c r="AR387" s="243"/>
      <c r="AS387" s="243"/>
      <c r="AT387" s="243"/>
      <c r="AU387" s="243"/>
      <c r="AV387" s="243"/>
      <c r="AW387" s="243"/>
      <c r="AX387" s="243"/>
      <c r="AY387" s="243"/>
      <c r="AZ387" s="243"/>
      <c r="BA387" s="243"/>
      <c r="BB387" s="243"/>
      <c r="BC387" s="243"/>
      <c r="BD387" s="243"/>
      <c r="BE387" s="243"/>
      <c r="BF387" s="243"/>
      <c r="BG387" s="243"/>
      <c r="BH387" s="243"/>
      <c r="BI387" s="243"/>
      <c r="BJ387" s="243"/>
      <c r="BK387" s="243"/>
      <c r="BL387" s="243"/>
      <c r="BM387" s="243"/>
      <c r="BN387" s="243"/>
      <c r="BO387" s="243"/>
      <c r="BP387" s="243"/>
      <c r="BQ387" s="243"/>
      <c r="BR387" s="243"/>
      <c r="BS387" s="243"/>
      <c r="BU387" s="242"/>
      <c r="BW387" s="243"/>
      <c r="BY387" s="242"/>
      <c r="CA387" s="243"/>
      <c r="CC387" s="242"/>
      <c r="CE387" s="243"/>
      <c r="CG387" s="242"/>
      <c r="CI387" s="243"/>
    </row>
    <row r="388" spans="1:87" s="1215" customFormat="1">
      <c r="A388" s="1222"/>
      <c r="B388" s="1223" t="str">
        <f t="shared" si="176"/>
        <v/>
      </c>
      <c r="C388" s="1210"/>
      <c r="D388" s="1211">
        <f>'1% Wind'!$M$90</f>
        <v>5.7</v>
      </c>
      <c r="E388" s="1212"/>
      <c r="F388" s="1212"/>
      <c r="G388" s="1213" t="e">
        <f ca="1">IF(I379=0.9743,$G387,MAX(G387/D387*D388,2))</f>
        <v>#REF!</v>
      </c>
      <c r="H388" s="1214" t="e">
        <f t="shared" ca="1" si="177"/>
        <v>#REF!</v>
      </c>
      <c r="J388" s="1224"/>
      <c r="K388" s="1217">
        <f t="shared" si="178"/>
        <v>1</v>
      </c>
      <c r="L388" s="1218" t="e">
        <f t="shared" ca="1" si="179"/>
        <v>#REF!</v>
      </c>
      <c r="M388" s="1219" t="e">
        <f ca="1">IF(AND(INDEX(FlowCalConstA,MATCH(J379,FlowCalNumber,0),1,1)*L388^INDEX(FlowCalConstB,MATCH(J379,FlowCalNumber,0),1,1)&gt;INDEX(FlowCalLowSetting,MATCH(J379,FlowCalNumber,0),1,1), (INDEX(FlowCalConstA,MATCH(J379,FlowCalNumber,0),1,1)*L388^INDEX(FlowCalConstB,MATCH(J379,FlowCalNumber,0),1,1)&lt;INDEX(FlowCalHighSetting,MATCH(J379,FlowCalNumber,0),1,1))),INDEX(FlowCalConstA,MATCH(J379,FlowCalNumber,0),1,1)*L388^INDEX(FlowCalConstB,MATCH(J379,FlowCalNumber,0),1,1)," ")</f>
        <v>#REF!</v>
      </c>
      <c r="N388" s="1224"/>
      <c r="O388" s="1217">
        <f t="shared" si="180"/>
        <v>1</v>
      </c>
      <c r="P388" s="1218" t="e">
        <f t="shared" ca="1" si="181"/>
        <v>#REF!</v>
      </c>
      <c r="Q388" s="1219" t="e">
        <f ca="1">IF(AND(INDEX(FlowCalConstA,MATCH(N379,FlowCalNumber,0),1,1)*P388^INDEX(FlowCalConstB,MATCH(N379,FlowCalNumber,0),1,1)&gt;INDEX(FlowCalLowSetting,MATCH(N379,FlowCalNumber,0),1,1), (INDEX(FlowCalConstA,MATCH(N379,FlowCalNumber,0),1,1)*P388^INDEX(FlowCalConstB,MATCH(N379,FlowCalNumber,0),1,1)&lt;INDEX(FlowCalHighSetting,MATCH(N379,FlowCalNumber,0),1,1))),INDEX(FlowCalConstA,MATCH(N379,FlowCalNumber,0),1,1)*P388^INDEX(FlowCalConstB,MATCH(N379,FlowCalNumber,0),1,1)," ")</f>
        <v>#REF!</v>
      </c>
      <c r="R388" s="1224"/>
      <c r="S388" s="1217">
        <f t="shared" si="182"/>
        <v>1</v>
      </c>
      <c r="T388" s="1218" t="e">
        <f t="shared" ca="1" si="183"/>
        <v>#REF!</v>
      </c>
      <c r="U388" s="1219" t="e">
        <f ca="1">IF(AND(INDEX(FlowCalConstA,MATCH(R379,FlowCalNumber,0),1,1)*T388^INDEX(FlowCalConstB,MATCH(R379,FlowCalNumber,0),1,1)&gt;INDEX(FlowCalLowSetting,MATCH(R379,FlowCalNumber,0),1,1), (INDEX(FlowCalConstA,MATCH(R379,FlowCalNumber,0),1,1)*T388^INDEX(FlowCalConstB,MATCH(R379,FlowCalNumber,0),1,1)&lt;INDEX(FlowCalHighSetting,MATCH(R379,FlowCalNumber,0),1,1))),INDEX(FlowCalConstA,MATCH(R379,FlowCalNumber,0),1,1)*T388^INDEX(FlowCalConstB,MATCH(R379,FlowCalNumber,0),1,1)," ")</f>
        <v>#REF!</v>
      </c>
      <c r="V388" s="1224"/>
      <c r="W388" s="1217"/>
      <c r="X388" s="1218"/>
      <c r="Y388" s="1219"/>
      <c r="Z388" s="1224"/>
      <c r="AA388" s="1217"/>
      <c r="AB388" s="1218"/>
      <c r="AC388" s="1219"/>
      <c r="AD388" s="1224"/>
      <c r="AE388" s="1217"/>
      <c r="AF388" s="1218"/>
      <c r="AG388" s="1219"/>
      <c r="AH388" s="1224"/>
      <c r="AI388" s="1217"/>
      <c r="AJ388" s="1218"/>
      <c r="AK388" s="1220"/>
      <c r="AL388" s="1219"/>
      <c r="AM388" s="1219"/>
      <c r="AN388" s="1219"/>
      <c r="AO388" s="1219"/>
      <c r="AP388" s="1219"/>
      <c r="AQ388" s="1219"/>
      <c r="AR388" s="1219"/>
      <c r="AS388" s="1219"/>
      <c r="AT388" s="1219"/>
      <c r="AU388" s="1219"/>
      <c r="AV388" s="1219"/>
      <c r="AW388" s="1219"/>
      <c r="AX388" s="1219"/>
      <c r="AY388" s="1219"/>
      <c r="AZ388" s="1219"/>
      <c r="BA388" s="1219"/>
      <c r="BB388" s="1219"/>
      <c r="BC388" s="1219"/>
      <c r="BD388" s="1219"/>
      <c r="BE388" s="1219"/>
      <c r="BF388" s="1219"/>
      <c r="BG388" s="1219"/>
      <c r="BH388" s="1219"/>
      <c r="BI388" s="1219"/>
      <c r="BJ388" s="1219"/>
      <c r="BK388" s="1219"/>
      <c r="BL388" s="1219"/>
      <c r="BM388" s="1219"/>
      <c r="BN388" s="1219"/>
      <c r="BO388" s="1219"/>
      <c r="BP388" s="1219"/>
      <c r="BQ388" s="1219"/>
      <c r="BR388" s="1219"/>
      <c r="BS388" s="1219"/>
      <c r="BU388" s="1217"/>
      <c r="BW388" s="1219"/>
      <c r="BY388" s="1217"/>
      <c r="CA388" s="1219"/>
      <c r="CC388" s="1217"/>
      <c r="CE388" s="1219"/>
      <c r="CG388" s="1217"/>
      <c r="CI388" s="1219"/>
    </row>
    <row r="389" spans="1:87">
      <c r="A389" s="20"/>
      <c r="B389" s="124" t="str">
        <f t="shared" si="176"/>
        <v/>
      </c>
      <c r="C389" s="235"/>
      <c r="D389" s="24">
        <f>'1% Wind'!$M$91</f>
        <v>4.2</v>
      </c>
      <c r="E389" s="90"/>
      <c r="F389" s="90"/>
      <c r="G389" s="79" t="e">
        <f ca="1">IF(I379=0.9743,$G388,MAX(G388/D388*D389,2))</f>
        <v>#REF!</v>
      </c>
      <c r="H389" s="121" t="e">
        <f t="shared" ca="1" si="177"/>
        <v>#REF!</v>
      </c>
      <c r="J389" s="33"/>
      <c r="K389" s="242">
        <f t="shared" si="178"/>
        <v>1</v>
      </c>
      <c r="L389" s="241" t="e">
        <f t="shared" ca="1" si="179"/>
        <v>#REF!</v>
      </c>
      <c r="M389" s="243" t="e">
        <f ca="1">IF(AND(INDEX(FlowCalConstA,MATCH(J379,FlowCalNumber,0),1,1)*L389^INDEX(FlowCalConstB,MATCH(J379,FlowCalNumber,0),1,1)&gt;INDEX(FlowCalLowSetting,MATCH(J379,FlowCalNumber,0),1,1), (INDEX(FlowCalConstA,MATCH(J379,FlowCalNumber,0),1,1)*L389^INDEX(FlowCalConstB,MATCH(J379,FlowCalNumber,0),1,1)&lt;INDEX(FlowCalHighSetting,MATCH(J379,FlowCalNumber,0),1,1))),INDEX(FlowCalConstA,MATCH(J379,FlowCalNumber,0),1,1)*L389^INDEX(FlowCalConstB,MATCH(J379,FlowCalNumber,0),1,1)," ")</f>
        <v>#REF!</v>
      </c>
      <c r="N389" s="33"/>
      <c r="O389" s="242">
        <f t="shared" si="180"/>
        <v>1</v>
      </c>
      <c r="P389" s="241" t="e">
        <f t="shared" ca="1" si="181"/>
        <v>#REF!</v>
      </c>
      <c r="Q389" s="243" t="e">
        <f ca="1">IF(AND(INDEX(FlowCalConstA,MATCH(N379,FlowCalNumber,0),1,1)*P389^INDEX(FlowCalConstB,MATCH(N379,FlowCalNumber,0),1,1)&gt;INDEX(FlowCalLowSetting,MATCH(N379,FlowCalNumber,0),1,1), (INDEX(FlowCalConstA,MATCH(N379,FlowCalNumber,0),1,1)*P389^INDEX(FlowCalConstB,MATCH(N379,FlowCalNumber,0),1,1)&lt;INDEX(FlowCalHighSetting,MATCH(N379,FlowCalNumber,0),1,1))),INDEX(FlowCalConstA,MATCH(N379,FlowCalNumber,0),1,1)*P389^INDEX(FlowCalConstB,MATCH(N379,FlowCalNumber,0),1,1)," ")</f>
        <v>#REF!</v>
      </c>
      <c r="R389" s="33"/>
      <c r="S389" s="242">
        <f t="shared" si="182"/>
        <v>1</v>
      </c>
      <c r="T389" s="241" t="e">
        <f t="shared" ca="1" si="183"/>
        <v>#REF!</v>
      </c>
      <c r="U389" s="243" t="e">
        <f ca="1">IF(AND(INDEX(FlowCalConstA,MATCH(R379,FlowCalNumber,0),1,1)*T389^INDEX(FlowCalConstB,MATCH(R379,FlowCalNumber,0),1,1)&gt;INDEX(FlowCalLowSetting,MATCH(R379,FlowCalNumber,0),1,1), (INDEX(FlowCalConstA,MATCH(R379,FlowCalNumber,0),1,1)*T389^INDEX(FlowCalConstB,MATCH(R379,FlowCalNumber,0),1,1)&lt;INDEX(FlowCalHighSetting,MATCH(R379,FlowCalNumber,0),1,1))),INDEX(FlowCalConstA,MATCH(R379,FlowCalNumber,0),1,1)*T389^INDEX(FlowCalConstB,MATCH(R379,FlowCalNumber,0),1,1)," ")</f>
        <v>#REF!</v>
      </c>
      <c r="V389" s="33"/>
      <c r="W389" s="242"/>
      <c r="X389" s="241"/>
      <c r="Y389" s="243"/>
      <c r="Z389" s="33"/>
      <c r="AA389" s="242"/>
      <c r="AB389" s="241"/>
      <c r="AC389" s="243"/>
      <c r="AD389" s="33"/>
      <c r="AE389" s="242"/>
      <c r="AF389" s="241"/>
      <c r="AG389" s="243"/>
      <c r="AH389" s="33"/>
      <c r="AI389" s="242"/>
      <c r="AJ389" s="241"/>
      <c r="AK389" s="244"/>
      <c r="AL389" s="243"/>
      <c r="AM389" s="243"/>
      <c r="AN389" s="243"/>
      <c r="AO389" s="243"/>
      <c r="AP389" s="243"/>
      <c r="AQ389" s="243"/>
      <c r="AR389" s="243"/>
      <c r="AS389" s="243"/>
      <c r="AT389" s="243"/>
      <c r="AU389" s="243"/>
      <c r="AV389" s="243"/>
      <c r="AW389" s="243"/>
      <c r="AX389" s="243"/>
      <c r="AY389" s="243"/>
      <c r="AZ389" s="243"/>
      <c r="BA389" s="243"/>
      <c r="BB389" s="243"/>
      <c r="BC389" s="243"/>
      <c r="BD389" s="243"/>
      <c r="BE389" s="243"/>
      <c r="BF389" s="243"/>
      <c r="BG389" s="243"/>
      <c r="BH389" s="243"/>
      <c r="BI389" s="243"/>
      <c r="BJ389" s="243"/>
      <c r="BK389" s="243"/>
      <c r="BL389" s="243"/>
      <c r="BM389" s="243"/>
      <c r="BN389" s="243"/>
      <c r="BO389" s="243"/>
      <c r="BP389" s="243"/>
      <c r="BQ389" s="243"/>
      <c r="BR389" s="243"/>
      <c r="BS389" s="243"/>
      <c r="BU389" s="242"/>
      <c r="BW389" s="243"/>
      <c r="BY389" s="242"/>
      <c r="CA389" s="243"/>
      <c r="CC389" s="242"/>
      <c r="CE389" s="243"/>
      <c r="CG389" s="242"/>
      <c r="CI389" s="243"/>
    </row>
    <row r="390" spans="1:87" s="1215" customFormat="1">
      <c r="A390" s="1222"/>
      <c r="B390" s="1223" t="str">
        <f t="shared" si="176"/>
        <v/>
      </c>
      <c r="C390" s="1210"/>
      <c r="D390" s="1211">
        <f>'1% Wind'!$M$92</f>
        <v>3.2</v>
      </c>
      <c r="E390" s="1212"/>
      <c r="F390" s="1212"/>
      <c r="G390" s="1213" t="e">
        <f ca="1">IF(I379=0.9743,$G389,MAX(G389/D389*D390,2))</f>
        <v>#REF!</v>
      </c>
      <c r="H390" s="1214" t="e">
        <f t="shared" ca="1" si="177"/>
        <v>#REF!</v>
      </c>
      <c r="J390" s="1224"/>
      <c r="K390" s="1217">
        <f t="shared" si="178"/>
        <v>1</v>
      </c>
      <c r="L390" s="1218" t="e">
        <f t="shared" ca="1" si="179"/>
        <v>#REF!</v>
      </c>
      <c r="M390" s="1219" t="e">
        <f ca="1">IF(AND(INDEX(FlowCalConstA,MATCH(J379,FlowCalNumber,0),1,1)*L390^INDEX(FlowCalConstB,MATCH(J379,FlowCalNumber,0),1,1)&gt;INDEX(FlowCalLowSetting,MATCH(J379,FlowCalNumber,0),1,1), (INDEX(FlowCalConstA,MATCH(J379,FlowCalNumber,0),1,1)*L390^INDEX(FlowCalConstB,MATCH(J379,FlowCalNumber,0),1,1)&lt;INDEX(FlowCalHighSetting,MATCH(J379,FlowCalNumber,0),1,1))),INDEX(FlowCalConstA,MATCH(J379,FlowCalNumber,0),1,1)*L390^INDEX(FlowCalConstB,MATCH(J379,FlowCalNumber,0),1,1)," ")</f>
        <v>#REF!</v>
      </c>
      <c r="N390" s="1224"/>
      <c r="O390" s="1217">
        <f t="shared" si="180"/>
        <v>1</v>
      </c>
      <c r="P390" s="1218" t="e">
        <f t="shared" ca="1" si="181"/>
        <v>#REF!</v>
      </c>
      <c r="Q390" s="1219" t="e">
        <f ca="1">IF(AND(INDEX(FlowCalConstA,MATCH(N379,FlowCalNumber,0),1,1)*P390^INDEX(FlowCalConstB,MATCH(N379,FlowCalNumber,0),1,1)&gt;INDEX(FlowCalLowSetting,MATCH(N379,FlowCalNumber,0),1,1), (INDEX(FlowCalConstA,MATCH(N379,FlowCalNumber,0),1,1)*P390^INDEX(FlowCalConstB,MATCH(N379,FlowCalNumber,0),1,1)&lt;INDEX(FlowCalHighSetting,MATCH(N379,FlowCalNumber,0),1,1))),INDEX(FlowCalConstA,MATCH(N379,FlowCalNumber,0),1,1)*P390^INDEX(FlowCalConstB,MATCH(N379,FlowCalNumber,0),1,1)," ")</f>
        <v>#REF!</v>
      </c>
      <c r="R390" s="1224"/>
      <c r="S390" s="1217">
        <f t="shared" si="182"/>
        <v>1</v>
      </c>
      <c r="T390" s="1218" t="e">
        <f t="shared" ca="1" si="183"/>
        <v>#REF!</v>
      </c>
      <c r="U390" s="1219" t="e">
        <f ca="1">IF(AND(INDEX(FlowCalConstA,MATCH(R379,FlowCalNumber,0),1,1)*T390^INDEX(FlowCalConstB,MATCH(R379,FlowCalNumber,0),1,1)&gt;INDEX(FlowCalLowSetting,MATCH(R379,FlowCalNumber,0),1,1), (INDEX(FlowCalConstA,MATCH(R379,FlowCalNumber,0),1,1)*T390^INDEX(FlowCalConstB,MATCH(R379,FlowCalNumber,0),1,1)&lt;INDEX(FlowCalHighSetting,MATCH(R379,FlowCalNumber,0),1,1))),INDEX(FlowCalConstA,MATCH(R379,FlowCalNumber,0),1,1)*T390^INDEX(FlowCalConstB,MATCH(R379,FlowCalNumber,0),1,1)," ")</f>
        <v>#REF!</v>
      </c>
      <c r="V390" s="1224"/>
      <c r="W390" s="1217"/>
      <c r="X390" s="1218"/>
      <c r="Y390" s="1219"/>
      <c r="Z390" s="1224"/>
      <c r="AA390" s="1217"/>
      <c r="AB390" s="1218"/>
      <c r="AC390" s="1219"/>
      <c r="AD390" s="1224"/>
      <c r="AE390" s="1217"/>
      <c r="AF390" s="1218"/>
      <c r="AG390" s="1219"/>
      <c r="AH390" s="1224"/>
      <c r="AI390" s="1217"/>
      <c r="AJ390" s="1218"/>
      <c r="AK390" s="1220"/>
      <c r="AL390" s="1219"/>
      <c r="AM390" s="1219"/>
      <c r="AN390" s="1219"/>
      <c r="AO390" s="1219"/>
      <c r="AP390" s="1219"/>
      <c r="AQ390" s="1219"/>
      <c r="AR390" s="1219"/>
      <c r="AS390" s="1219"/>
      <c r="AT390" s="1219"/>
      <c r="AU390" s="1219"/>
      <c r="AV390" s="1219"/>
      <c r="AW390" s="1219"/>
      <c r="AX390" s="1219"/>
      <c r="AY390" s="1219"/>
      <c r="AZ390" s="1219"/>
      <c r="BA390" s="1219"/>
      <c r="BB390" s="1219"/>
      <c r="BC390" s="1219"/>
      <c r="BD390" s="1219"/>
      <c r="BE390" s="1219"/>
      <c r="BF390" s="1219"/>
      <c r="BG390" s="1219"/>
      <c r="BH390" s="1219"/>
      <c r="BI390" s="1219"/>
      <c r="BJ390" s="1219"/>
      <c r="BK390" s="1219"/>
      <c r="BL390" s="1219"/>
      <c r="BM390" s="1219"/>
      <c r="BN390" s="1219"/>
      <c r="BO390" s="1219"/>
      <c r="BP390" s="1219"/>
      <c r="BQ390" s="1219"/>
      <c r="BR390" s="1219"/>
      <c r="BS390" s="1219"/>
      <c r="BU390" s="1217"/>
      <c r="BW390" s="1219"/>
      <c r="BY390" s="1217"/>
      <c r="CA390" s="1219"/>
      <c r="CC390" s="1217"/>
      <c r="CE390" s="1219"/>
      <c r="CG390" s="1217"/>
      <c r="CI390" s="1219"/>
    </row>
    <row r="391" spans="1:87">
      <c r="A391" s="20"/>
      <c r="B391" s="124" t="str">
        <f t="shared" si="176"/>
        <v/>
      </c>
      <c r="C391" s="235"/>
      <c r="D391" s="24">
        <f>'1% Wind'!$M$93</f>
        <v>2.4</v>
      </c>
      <c r="E391" s="90"/>
      <c r="F391" s="90"/>
      <c r="G391" s="79" t="e">
        <f ca="1">IF(I379=0.9743,$G390,MAX(G390/D390*D391,2))</f>
        <v>#REF!</v>
      </c>
      <c r="H391" s="121" t="e">
        <f t="shared" ca="1" si="177"/>
        <v>#REF!</v>
      </c>
      <c r="J391" s="33"/>
      <c r="K391" s="242">
        <f t="shared" si="178"/>
        <v>1</v>
      </c>
      <c r="L391" s="241" t="e">
        <f t="shared" ca="1" si="179"/>
        <v>#REF!</v>
      </c>
      <c r="M391" s="243" t="e">
        <f ca="1">IF(AND(INDEX(FlowCalConstA,MATCH(J379,FlowCalNumber,0),1,1)*L391^INDEX(FlowCalConstB,MATCH(J379,FlowCalNumber,0),1,1)&gt;INDEX(FlowCalLowSetting,MATCH(J379,FlowCalNumber,0),1,1), (INDEX(FlowCalConstA,MATCH(J379,FlowCalNumber,0),1,1)*L391^INDEX(FlowCalConstB,MATCH(J379,FlowCalNumber,0),1,1)&lt;INDEX(FlowCalHighSetting,MATCH(J379,FlowCalNumber,0),1,1))),INDEX(FlowCalConstA,MATCH(J379,FlowCalNumber,0),1,1)*L391^INDEX(FlowCalConstB,MATCH(J379,FlowCalNumber,0),1,1)," ")</f>
        <v>#REF!</v>
      </c>
      <c r="N391" s="33"/>
      <c r="O391" s="242">
        <f t="shared" si="180"/>
        <v>1</v>
      </c>
      <c r="P391" s="241" t="e">
        <f t="shared" ca="1" si="181"/>
        <v>#REF!</v>
      </c>
      <c r="Q391" s="243" t="e">
        <f ca="1">IF(AND(INDEX(FlowCalConstA,MATCH(N379,FlowCalNumber,0),1,1)*P391^INDEX(FlowCalConstB,MATCH(N379,FlowCalNumber,0),1,1)&gt;INDEX(FlowCalLowSetting,MATCH(N379,FlowCalNumber,0),1,1), (INDEX(FlowCalConstA,MATCH(N379,FlowCalNumber,0),1,1)*P391^INDEX(FlowCalConstB,MATCH(N379,FlowCalNumber,0),1,1)&lt;INDEX(FlowCalHighSetting,MATCH(N379,FlowCalNumber,0),1,1))),INDEX(FlowCalConstA,MATCH(N379,FlowCalNumber,0),1,1)*P391^INDEX(FlowCalConstB,MATCH(N379,FlowCalNumber,0),1,1)," ")</f>
        <v>#REF!</v>
      </c>
      <c r="R391" s="33"/>
      <c r="S391" s="242">
        <f t="shared" si="182"/>
        <v>1</v>
      </c>
      <c r="T391" s="241" t="e">
        <f t="shared" ca="1" si="183"/>
        <v>#REF!</v>
      </c>
      <c r="U391" s="243" t="e">
        <f ca="1">IF(AND(INDEX(FlowCalConstA,MATCH(R379,FlowCalNumber,0),1,1)*T391^INDEX(FlowCalConstB,MATCH(R379,FlowCalNumber,0),1,1)&gt;INDEX(FlowCalLowSetting,MATCH(R379,FlowCalNumber,0),1,1), (INDEX(FlowCalConstA,MATCH(R379,FlowCalNumber,0),1,1)*T391^INDEX(FlowCalConstB,MATCH(R379,FlowCalNumber,0),1,1)&lt;INDEX(FlowCalHighSetting,MATCH(R379,FlowCalNumber,0),1,1))),INDEX(FlowCalConstA,MATCH(R379,FlowCalNumber,0),1,1)*T391^INDEX(FlowCalConstB,MATCH(R379,FlowCalNumber,0),1,1)," ")</f>
        <v>#REF!</v>
      </c>
      <c r="V391" s="33"/>
      <c r="W391" s="242"/>
      <c r="X391" s="241"/>
      <c r="Y391" s="243"/>
      <c r="Z391" s="33"/>
      <c r="AA391" s="242"/>
      <c r="AB391" s="241"/>
      <c r="AC391" s="243"/>
      <c r="AD391" s="33"/>
      <c r="AE391" s="242"/>
      <c r="AF391" s="241"/>
      <c r="AG391" s="243"/>
      <c r="AH391" s="33"/>
      <c r="AI391" s="242"/>
      <c r="AJ391" s="241"/>
      <c r="AK391" s="244"/>
      <c r="AL391" s="243"/>
      <c r="AM391" s="243"/>
      <c r="AN391" s="243"/>
      <c r="AO391" s="243"/>
      <c r="AP391" s="243"/>
      <c r="AQ391" s="243"/>
      <c r="AR391" s="243"/>
      <c r="AS391" s="243"/>
      <c r="AT391" s="243"/>
      <c r="AU391" s="243"/>
      <c r="AV391" s="243"/>
      <c r="AW391" s="243"/>
      <c r="AX391" s="243"/>
      <c r="AY391" s="243"/>
      <c r="AZ391" s="243"/>
      <c r="BA391" s="243"/>
      <c r="BB391" s="243"/>
      <c r="BC391" s="243"/>
      <c r="BD391" s="243"/>
      <c r="BE391" s="243"/>
      <c r="BF391" s="243"/>
      <c r="BG391" s="243"/>
      <c r="BH391" s="243"/>
      <c r="BI391" s="243"/>
      <c r="BJ391" s="243"/>
      <c r="BK391" s="243"/>
      <c r="BL391" s="243"/>
      <c r="BM391" s="243"/>
      <c r="BN391" s="243"/>
      <c r="BO391" s="243"/>
      <c r="BP391" s="243"/>
      <c r="BQ391" s="243"/>
      <c r="BR391" s="243"/>
      <c r="BS391" s="243"/>
      <c r="BU391" s="242"/>
      <c r="BW391" s="243"/>
      <c r="BY391" s="242"/>
      <c r="CA391" s="243"/>
      <c r="CC391" s="242"/>
      <c r="CE391" s="243"/>
      <c r="CG391" s="242"/>
      <c r="CI391" s="243"/>
    </row>
    <row r="392" spans="1:87" s="1215" customFormat="1">
      <c r="A392" s="1222"/>
      <c r="B392" s="1223" t="str">
        <f t="shared" si="176"/>
        <v/>
      </c>
      <c r="C392" s="1210"/>
      <c r="D392" s="1211">
        <f>'1% Wind'!$M$94</f>
        <v>1.8</v>
      </c>
      <c r="E392" s="1212"/>
      <c r="F392" s="1212"/>
      <c r="G392" s="1213" t="e">
        <f ca="1">IF(I379=0.9743,$G391,MAX(G391/D391*D392,2))</f>
        <v>#REF!</v>
      </c>
      <c r="H392" s="1214" t="e">
        <f t="shared" ca="1" si="177"/>
        <v>#REF!</v>
      </c>
      <c r="J392" s="1224"/>
      <c r="K392" s="1217">
        <f t="shared" si="178"/>
        <v>1</v>
      </c>
      <c r="L392" s="1218" t="e">
        <f t="shared" ca="1" si="179"/>
        <v>#REF!</v>
      </c>
      <c r="M392" s="1219" t="e">
        <f ca="1">IF(AND(INDEX(FlowCalConstA,MATCH(J379,FlowCalNumber,0),1,1)*L392^INDEX(FlowCalConstB,MATCH(J379,FlowCalNumber,0),1,1)&gt;INDEX(FlowCalLowSetting,MATCH(J379,FlowCalNumber,0),1,1), (INDEX(FlowCalConstA,MATCH(J379,FlowCalNumber,0),1,1)*L392^INDEX(FlowCalConstB,MATCH(J379,FlowCalNumber,0),1,1)&lt;INDEX(FlowCalHighSetting,MATCH(J379,FlowCalNumber,0),1,1))),INDEX(FlowCalConstA,MATCH(J379,FlowCalNumber,0),1,1)*L392^INDEX(FlowCalConstB,MATCH(J379,FlowCalNumber,0),1,1)," ")</f>
        <v>#REF!</v>
      </c>
      <c r="N392" s="1224"/>
      <c r="O392" s="1217">
        <f t="shared" si="180"/>
        <v>1</v>
      </c>
      <c r="P392" s="1218" t="e">
        <f t="shared" ca="1" si="181"/>
        <v>#REF!</v>
      </c>
      <c r="Q392" s="1219" t="e">
        <f ca="1">IF(AND(INDEX(FlowCalConstA,MATCH(N379,FlowCalNumber,0),1,1)*P392^INDEX(FlowCalConstB,MATCH(N379,FlowCalNumber,0),1,1)&gt;INDEX(FlowCalLowSetting,MATCH(N379,FlowCalNumber,0),1,1), (INDEX(FlowCalConstA,MATCH(N379,FlowCalNumber,0),1,1)*P392^INDEX(FlowCalConstB,MATCH(N379,FlowCalNumber,0),1,1)&lt;INDEX(FlowCalHighSetting,MATCH(N379,FlowCalNumber,0),1,1))),INDEX(FlowCalConstA,MATCH(N379,FlowCalNumber,0),1,1)*P392^INDEX(FlowCalConstB,MATCH(N379,FlowCalNumber,0),1,1)," ")</f>
        <v>#REF!</v>
      </c>
      <c r="R392" s="1224"/>
      <c r="S392" s="1217">
        <f t="shared" si="182"/>
        <v>1</v>
      </c>
      <c r="T392" s="1218" t="e">
        <f t="shared" ca="1" si="183"/>
        <v>#REF!</v>
      </c>
      <c r="U392" s="1219" t="e">
        <f ca="1">IF(AND(INDEX(FlowCalConstA,MATCH(R379,FlowCalNumber,0),1,1)*T392^INDEX(FlowCalConstB,MATCH(R379,FlowCalNumber,0),1,1)&gt;INDEX(FlowCalLowSetting,MATCH(R379,FlowCalNumber,0),1,1), (INDEX(FlowCalConstA,MATCH(R379,FlowCalNumber,0),1,1)*T392^INDEX(FlowCalConstB,MATCH(R379,FlowCalNumber,0),1,1)&lt;INDEX(FlowCalHighSetting,MATCH(R379,FlowCalNumber,0),1,1))),INDEX(FlowCalConstA,MATCH(R379,FlowCalNumber,0),1,1)*T392^INDEX(FlowCalConstB,MATCH(R379,FlowCalNumber,0),1,1)," ")</f>
        <v>#REF!</v>
      </c>
      <c r="V392" s="1224"/>
      <c r="W392" s="1217"/>
      <c r="X392" s="1218"/>
      <c r="Y392" s="1219"/>
      <c r="Z392" s="1224"/>
      <c r="AA392" s="1217"/>
      <c r="AB392" s="1218"/>
      <c r="AC392" s="1219"/>
      <c r="AD392" s="1224"/>
      <c r="AE392" s="1217"/>
      <c r="AF392" s="1218"/>
      <c r="AG392" s="1219"/>
      <c r="AH392" s="1224"/>
      <c r="AI392" s="1217"/>
      <c r="AJ392" s="1218"/>
      <c r="AK392" s="1220"/>
      <c r="AL392" s="1219"/>
      <c r="AM392" s="1219"/>
      <c r="AN392" s="1219"/>
      <c r="AO392" s="1219"/>
      <c r="AP392" s="1219"/>
      <c r="AQ392" s="1219"/>
      <c r="AR392" s="1219"/>
      <c r="AS392" s="1219"/>
      <c r="AT392" s="1219"/>
      <c r="AU392" s="1219"/>
      <c r="AV392" s="1219"/>
      <c r="AW392" s="1219"/>
      <c r="AX392" s="1219"/>
      <c r="AY392" s="1219"/>
      <c r="AZ392" s="1219"/>
      <c r="BA392" s="1219"/>
      <c r="BB392" s="1219"/>
      <c r="BC392" s="1219"/>
      <c r="BD392" s="1219"/>
      <c r="BE392" s="1219"/>
      <c r="BF392" s="1219"/>
      <c r="BG392" s="1219"/>
      <c r="BH392" s="1219"/>
      <c r="BI392" s="1219"/>
      <c r="BJ392" s="1219"/>
      <c r="BK392" s="1219"/>
      <c r="BL392" s="1219"/>
      <c r="BM392" s="1219"/>
      <c r="BN392" s="1219"/>
      <c r="BO392" s="1219"/>
      <c r="BP392" s="1219"/>
      <c r="BQ392" s="1219"/>
      <c r="BR392" s="1219"/>
      <c r="BS392" s="1219"/>
      <c r="BU392" s="1217"/>
      <c r="BW392" s="1219"/>
      <c r="BY392" s="1217"/>
      <c r="CA392" s="1219"/>
      <c r="CC392" s="1217"/>
      <c r="CE392" s="1219"/>
      <c r="CG392" s="1217"/>
      <c r="CI392" s="1219"/>
    </row>
    <row r="393" spans="1:87">
      <c r="A393" s="20"/>
      <c r="B393" s="124" t="str">
        <f t="shared" si="176"/>
        <v/>
      </c>
      <c r="C393" s="235"/>
      <c r="D393" s="24">
        <f>'1% Wind'!$M$95</f>
        <v>1.3</v>
      </c>
      <c r="E393" s="90"/>
      <c r="F393" s="90"/>
      <c r="G393" s="79" t="e">
        <f ca="1">IF(I379=0.9743,$G392,MAX(G392/D392*D393,2))</f>
        <v>#REF!</v>
      </c>
      <c r="H393" s="121" t="e">
        <f t="shared" ca="1" si="177"/>
        <v>#REF!</v>
      </c>
      <c r="J393" s="33"/>
      <c r="K393" s="242">
        <f t="shared" si="178"/>
        <v>1</v>
      </c>
      <c r="L393" s="241" t="e">
        <f t="shared" ca="1" si="179"/>
        <v>#REF!</v>
      </c>
      <c r="M393" s="243" t="e">
        <f ca="1">IF(AND(INDEX(FlowCalConstA,MATCH(J379,FlowCalNumber,0),1,1)*L393^INDEX(FlowCalConstB,MATCH(J379,FlowCalNumber,0),1,1)&gt;INDEX(FlowCalLowSetting,MATCH(J379,FlowCalNumber,0),1,1), (INDEX(FlowCalConstA,MATCH(J379,FlowCalNumber,0),1,1)*L393^INDEX(FlowCalConstB,MATCH(J379,FlowCalNumber,0),1,1)&lt;INDEX(FlowCalHighSetting,MATCH(J379,FlowCalNumber,0),1,1))),INDEX(FlowCalConstA,MATCH(J379,FlowCalNumber,0),1,1)*L393^INDEX(FlowCalConstB,MATCH(J379,FlowCalNumber,0),1,1)," ")</f>
        <v>#REF!</v>
      </c>
      <c r="N393" s="33"/>
      <c r="O393" s="242">
        <f t="shared" si="180"/>
        <v>1</v>
      </c>
      <c r="P393" s="241" t="e">
        <f t="shared" ca="1" si="181"/>
        <v>#REF!</v>
      </c>
      <c r="Q393" s="243" t="e">
        <f ca="1">IF(AND(INDEX(FlowCalConstA,MATCH(N379,FlowCalNumber,0),1,1)*P393^INDEX(FlowCalConstB,MATCH(N379,FlowCalNumber,0),1,1)&gt;INDEX(FlowCalLowSetting,MATCH(N379,FlowCalNumber,0),1,1), (INDEX(FlowCalConstA,MATCH(N379,FlowCalNumber,0),1,1)*P393^INDEX(FlowCalConstB,MATCH(N379,FlowCalNumber,0),1,1)&lt;INDEX(FlowCalHighSetting,MATCH(N379,FlowCalNumber,0),1,1))),INDEX(FlowCalConstA,MATCH(N379,FlowCalNumber,0),1,1)*P393^INDEX(FlowCalConstB,MATCH(N379,FlowCalNumber,0),1,1)," ")</f>
        <v>#REF!</v>
      </c>
      <c r="R393" s="33"/>
      <c r="S393" s="242">
        <f t="shared" si="182"/>
        <v>1</v>
      </c>
      <c r="T393" s="241" t="e">
        <f t="shared" ca="1" si="183"/>
        <v>#REF!</v>
      </c>
      <c r="U393" s="243" t="e">
        <f ca="1">IF(AND(INDEX(FlowCalConstA,MATCH(R379,FlowCalNumber,0),1,1)*T393^INDEX(FlowCalConstB,MATCH(R379,FlowCalNumber,0),1,1)&gt;INDEX(FlowCalLowSetting,MATCH(R379,FlowCalNumber,0),1,1), (INDEX(FlowCalConstA,MATCH(R379,FlowCalNumber,0),1,1)*T393^INDEX(FlowCalConstB,MATCH(R379,FlowCalNumber,0),1,1)&lt;INDEX(FlowCalHighSetting,MATCH(R379,FlowCalNumber,0),1,1))),INDEX(FlowCalConstA,MATCH(R379,FlowCalNumber,0),1,1)*T393^INDEX(FlowCalConstB,MATCH(R379,FlowCalNumber,0),1,1)," ")</f>
        <v>#REF!</v>
      </c>
      <c r="V393" s="33"/>
      <c r="W393" s="242"/>
      <c r="X393" s="241"/>
      <c r="Y393" s="243"/>
      <c r="Z393" s="33"/>
      <c r="AA393" s="242"/>
      <c r="AB393" s="241"/>
      <c r="AC393" s="243"/>
      <c r="AD393" s="33"/>
      <c r="AE393" s="242"/>
      <c r="AF393" s="241"/>
      <c r="AG393" s="243"/>
      <c r="AH393" s="33"/>
      <c r="AI393" s="242"/>
      <c r="AJ393" s="241"/>
      <c r="AK393" s="244"/>
      <c r="AL393" s="243"/>
      <c r="AM393" s="243"/>
      <c r="AN393" s="243"/>
      <c r="AO393" s="243"/>
      <c r="AP393" s="243"/>
      <c r="AQ393" s="243"/>
      <c r="AR393" s="243"/>
      <c r="AS393" s="243"/>
      <c r="AT393" s="243"/>
      <c r="AU393" s="243"/>
      <c r="AV393" s="243"/>
      <c r="AW393" s="243"/>
      <c r="AX393" s="243"/>
      <c r="AY393" s="243"/>
      <c r="AZ393" s="243"/>
      <c r="BA393" s="243"/>
      <c r="BB393" s="243"/>
      <c r="BC393" s="243"/>
      <c r="BD393" s="243"/>
      <c r="BE393" s="243"/>
      <c r="BF393" s="243"/>
      <c r="BG393" s="243"/>
      <c r="BH393" s="243"/>
      <c r="BI393" s="243"/>
      <c r="BJ393" s="243"/>
      <c r="BK393" s="243"/>
      <c r="BL393" s="243"/>
      <c r="BM393" s="243"/>
      <c r="BN393" s="243"/>
      <c r="BO393" s="243"/>
      <c r="BP393" s="243"/>
      <c r="BQ393" s="243"/>
      <c r="BR393" s="243"/>
      <c r="BS393" s="243"/>
      <c r="BU393" s="242"/>
      <c r="BW393" s="243"/>
      <c r="BY393" s="242"/>
      <c r="CA393" s="243"/>
      <c r="CC393" s="242"/>
      <c r="CE393" s="243"/>
      <c r="CG393" s="242"/>
      <c r="CI393" s="243"/>
    </row>
    <row r="394" spans="1:87" s="1215" customFormat="1">
      <c r="A394" s="1222"/>
      <c r="B394" s="1223" t="str">
        <f t="shared" si="176"/>
        <v/>
      </c>
      <c r="C394" s="1210"/>
      <c r="D394" s="1211">
        <f>'1% Wind'!$M$96</f>
        <v>1</v>
      </c>
      <c r="E394" s="1212"/>
      <c r="F394" s="1212"/>
      <c r="G394" s="1213" t="e">
        <f ca="1">IF(I379=0.9743,$G393,MAX(G393/D393*D394,2))</f>
        <v>#REF!</v>
      </c>
      <c r="H394" s="1214" t="e">
        <f t="shared" ca="1" si="177"/>
        <v>#REF!</v>
      </c>
      <c r="J394" s="1224"/>
      <c r="K394" s="1217">
        <f t="shared" si="178"/>
        <v>1</v>
      </c>
      <c r="L394" s="1218" t="e">
        <f t="shared" ca="1" si="179"/>
        <v>#REF!</v>
      </c>
      <c r="M394" s="1219" t="e">
        <f ca="1">IF(AND(INDEX(FlowCalConstA,MATCH(J379,FlowCalNumber,0),1,1)*L394^INDEX(FlowCalConstB,MATCH(J379,FlowCalNumber,0),1,1)&gt;INDEX(FlowCalLowSetting,MATCH(J379,FlowCalNumber,0),1,1), (INDEX(FlowCalConstA,MATCH(J379,FlowCalNumber,0),1,1)*L394^INDEX(FlowCalConstB,MATCH(J379,FlowCalNumber,0),1,1)&lt;INDEX(FlowCalHighSetting,MATCH(J379,FlowCalNumber,0),1,1))),INDEX(FlowCalConstA,MATCH(J379,FlowCalNumber,0),1,1)*L394^INDEX(FlowCalConstB,MATCH(J379,FlowCalNumber,0),1,1)," ")</f>
        <v>#REF!</v>
      </c>
      <c r="N394" s="1224"/>
      <c r="O394" s="1217">
        <f t="shared" si="180"/>
        <v>1</v>
      </c>
      <c r="P394" s="1218" t="e">
        <f t="shared" ca="1" si="181"/>
        <v>#REF!</v>
      </c>
      <c r="Q394" s="1219" t="e">
        <f ca="1">IF(AND(INDEX(FlowCalConstA,MATCH(N379,FlowCalNumber,0),1,1)*P394^INDEX(FlowCalConstB,MATCH(N379,FlowCalNumber,0),1,1)&gt;INDEX(FlowCalLowSetting,MATCH(N379,FlowCalNumber,0),1,1), (INDEX(FlowCalConstA,MATCH(N379,FlowCalNumber,0),1,1)*P394^INDEX(FlowCalConstB,MATCH(N379,FlowCalNumber,0),1,1)&lt;INDEX(FlowCalHighSetting,MATCH(N379,FlowCalNumber,0),1,1))),INDEX(FlowCalConstA,MATCH(N379,FlowCalNumber,0),1,1)*P394^INDEX(FlowCalConstB,MATCH(N379,FlowCalNumber,0),1,1)," ")</f>
        <v>#REF!</v>
      </c>
      <c r="R394" s="1224"/>
      <c r="S394" s="1217">
        <f t="shared" si="182"/>
        <v>1</v>
      </c>
      <c r="T394" s="1218" t="e">
        <f t="shared" ca="1" si="183"/>
        <v>#REF!</v>
      </c>
      <c r="U394" s="1219" t="e">
        <f ca="1">IF(AND(INDEX(FlowCalConstA,MATCH(R379,FlowCalNumber,0),1,1)*T394^INDEX(FlowCalConstB,MATCH(R379,FlowCalNumber,0),1,1)&gt;INDEX(FlowCalLowSetting,MATCH(R379,FlowCalNumber,0),1,1), (INDEX(FlowCalConstA,MATCH(R379,FlowCalNumber,0),1,1)*T394^INDEX(FlowCalConstB,MATCH(R379,FlowCalNumber,0),1,1)&lt;INDEX(FlowCalHighSetting,MATCH(R379,FlowCalNumber,0),1,1))),INDEX(FlowCalConstA,MATCH(R379,FlowCalNumber,0),1,1)*T394^INDEX(FlowCalConstB,MATCH(R379,FlowCalNumber,0),1,1)," ")</f>
        <v>#REF!</v>
      </c>
      <c r="V394" s="1224"/>
      <c r="W394" s="1217"/>
      <c r="X394" s="1218"/>
      <c r="Y394" s="1219"/>
      <c r="Z394" s="1224"/>
      <c r="AA394" s="1217"/>
      <c r="AB394" s="1218"/>
      <c r="AC394" s="1219"/>
      <c r="AD394" s="1224"/>
      <c r="AE394" s="1217"/>
      <c r="AF394" s="1218"/>
      <c r="AG394" s="1219"/>
      <c r="AH394" s="1224"/>
      <c r="AI394" s="1217"/>
      <c r="AJ394" s="1218"/>
      <c r="AK394" s="1220"/>
      <c r="AL394" s="1219"/>
      <c r="AM394" s="1219"/>
      <c r="AN394" s="1219"/>
      <c r="AO394" s="1219"/>
      <c r="AP394" s="1219"/>
      <c r="AQ394" s="1219"/>
      <c r="AR394" s="1219"/>
      <c r="AS394" s="1219"/>
      <c r="AT394" s="1219"/>
      <c r="AU394" s="1219"/>
      <c r="AV394" s="1219"/>
      <c r="AW394" s="1219"/>
      <c r="AX394" s="1219"/>
      <c r="AY394" s="1219"/>
      <c r="AZ394" s="1219"/>
      <c r="BA394" s="1219"/>
      <c r="BB394" s="1219"/>
      <c r="BC394" s="1219"/>
      <c r="BD394" s="1219"/>
      <c r="BE394" s="1219"/>
      <c r="BF394" s="1219"/>
      <c r="BG394" s="1219"/>
      <c r="BH394" s="1219"/>
      <c r="BI394" s="1219"/>
      <c r="BJ394" s="1219"/>
      <c r="BK394" s="1219"/>
      <c r="BL394" s="1219"/>
      <c r="BM394" s="1219"/>
      <c r="BN394" s="1219"/>
      <c r="BO394" s="1219"/>
      <c r="BP394" s="1219"/>
      <c r="BQ394" s="1219"/>
      <c r="BR394" s="1219"/>
      <c r="BS394" s="1219"/>
      <c r="BU394" s="1217"/>
      <c r="BW394" s="1219"/>
      <c r="BY394" s="1217"/>
      <c r="CA394" s="1219"/>
      <c r="CC394" s="1217"/>
      <c r="CE394" s="1219"/>
      <c r="CG394" s="1217"/>
      <c r="CI394" s="1219"/>
    </row>
    <row r="395" spans="1:87">
      <c r="A395" s="33"/>
      <c r="B395" s="33"/>
      <c r="C395" s="235"/>
      <c r="E395" s="90"/>
      <c r="F395" s="90"/>
      <c r="G395" s="33"/>
      <c r="J395" s="33"/>
      <c r="M395" s="243"/>
      <c r="N395" s="33"/>
      <c r="Q395" s="243"/>
      <c r="R395" s="33"/>
      <c r="U395" s="243"/>
      <c r="V395" s="33"/>
      <c r="Y395" s="243"/>
      <c r="Z395" s="33"/>
      <c r="AC395" s="243"/>
      <c r="AD395" s="33"/>
      <c r="AG395" s="243"/>
      <c r="AH395" s="33"/>
      <c r="AK395" s="244"/>
      <c r="AL395" s="243"/>
      <c r="AM395" s="243"/>
      <c r="AN395" s="243"/>
      <c r="AO395" s="243"/>
      <c r="AP395" s="243"/>
      <c r="AQ395" s="243"/>
      <c r="AR395" s="243"/>
      <c r="AS395" s="243"/>
      <c r="AT395" s="243"/>
      <c r="AU395" s="243"/>
      <c r="AV395" s="243"/>
      <c r="AW395" s="243"/>
      <c r="AX395" s="243"/>
      <c r="AY395" s="243"/>
      <c r="AZ395" s="243"/>
      <c r="BA395" s="243"/>
      <c r="BB395" s="243"/>
      <c r="BC395" s="243"/>
      <c r="BD395" s="243"/>
      <c r="BE395" s="243"/>
      <c r="BF395" s="243"/>
      <c r="BG395" s="243"/>
      <c r="BH395" s="243"/>
      <c r="BI395" s="243"/>
      <c r="BJ395" s="243"/>
      <c r="BK395" s="243"/>
      <c r="BL395" s="243"/>
      <c r="BM395" s="243"/>
      <c r="BN395" s="243"/>
      <c r="BO395" s="243"/>
      <c r="BP395" s="243"/>
      <c r="BQ395" s="243"/>
      <c r="BR395" s="243"/>
      <c r="BS395" s="243"/>
      <c r="BW395" s="243"/>
      <c r="CA395" s="243"/>
      <c r="CE395" s="243"/>
      <c r="CI395" s="243"/>
    </row>
    <row r="396" spans="1:87">
      <c r="A396" s="256" t="str">
        <f>IF((RIGHT(A379,1))&lt;&gt;"Z",CHAR(CODE(A379))&amp;CHAR(CODE(RIGHT(A379,1))+1),CHAR(CODE(A379)+1)&amp;"A")</f>
        <v>AW</v>
      </c>
      <c r="B396" s="270" t="e">
        <f>INDEX(SourceID,MATCH($A396,SourceNumber,0),1,1)</f>
        <v>#N/A</v>
      </c>
      <c r="C396" s="354" t="e">
        <f>INDEX(SourceExitDiameter,MATCH($A396,SourceNumber,0),1,1)*3.28*12</f>
        <v>#N/A</v>
      </c>
      <c r="D396" s="24" t="str">
        <f>UAnem1percent</f>
        <v>1% Wind</v>
      </c>
      <c r="E396" s="350" t="e">
        <f ca="1">INDIRECT(ADDRESS(53,6,1,,CONCATENATE("TA",$A396)))</f>
        <v>#REF!</v>
      </c>
      <c r="F396" s="625" t="e">
        <f ca="1">(ROUND((INDIRECT(ADDRESS(15,7,1,,CONCATENATE("TA",$A396)))*3.28*12*32),0)&amp;"/32")</f>
        <v>#REF!</v>
      </c>
      <c r="G396" s="125" t="e">
        <f ca="1">INDIRECT(ADDRESS(29,7,1,,$A396))</f>
        <v>#REF!</v>
      </c>
      <c r="H396" s="24" t="e">
        <f ca="1">INDIRECT(ADDRESS(19,7,1,,$A396))*100^3</f>
        <v>#REF!</v>
      </c>
      <c r="I396" s="941" t="e">
        <f ca="1">INDIRECT(ADDRESS(53,7,1,,$A396))</f>
        <v>#REF!</v>
      </c>
      <c r="J396" s="20" t="e">
        <f ca="1">IF($I396=$I$6,K$16&amp;$G$6&amp;J$6,IF($I396=$I$7,K$16&amp;$G$7&amp;J$7,"Bad"))</f>
        <v>#REF!</v>
      </c>
      <c r="K396" t="e">
        <f ca="1">INDEX(FlowCalGasMixture,MATCH(J396,FlowCalNumber,0),1,1)</f>
        <v>#REF!</v>
      </c>
      <c r="M396" s="944" t="e">
        <f ca="1">INDEX(FlowCalDevice,MATCH(J396,FlowCalNumber,0),1,1)</f>
        <v>#REF!</v>
      </c>
      <c r="N396" s="20" t="e">
        <f ca="1">IF($I396=$I$6,O$16&amp;$G$6&amp;N$6,IF($I396=$I$7,O$16&amp;$G$7&amp;N$7,"Bad"))</f>
        <v>#REF!</v>
      </c>
      <c r="O396" t="e">
        <f ca="1">INDEX(FlowCalGasMixture,MATCH(N396,FlowCalNumber,0),1,1)</f>
        <v>#REF!</v>
      </c>
      <c r="Q396" s="944" t="e">
        <f ca="1">INDEX(FlowCalDevice,MATCH(N396,FlowCalNumber,0),1,1)</f>
        <v>#REF!</v>
      </c>
      <c r="R396" s="20" t="e">
        <f ca="1">IF($I396=$I$6,S$16&amp;$G$6&amp;R$6,IF($I396=$I$7,S$16&amp;$G$7&amp;R$7,"Bad"))</f>
        <v>#REF!</v>
      </c>
      <c r="S396" t="e">
        <f ca="1">INDEX(FlowCalGasMixture,MATCH(R396,FlowCalNumber,0),1,1)</f>
        <v>#REF!</v>
      </c>
      <c r="U396" s="944" t="e">
        <f ca="1">INDEX(FlowCalDevice,MATCH(R396,FlowCalNumber,0),1,1)</f>
        <v>#REF!</v>
      </c>
      <c r="V396" s="20"/>
      <c r="Y396" s="944"/>
      <c r="Z396" s="946"/>
      <c r="AC396" s="944"/>
      <c r="AD396" s="20"/>
      <c r="AG396" s="944"/>
      <c r="AH396" s="946"/>
      <c r="AK396" s="982"/>
      <c r="AL396" s="355"/>
      <c r="AM396" s="355"/>
      <c r="AN396" s="355"/>
      <c r="AO396" s="355"/>
      <c r="AP396" s="355"/>
      <c r="AQ396" s="355"/>
      <c r="AR396" s="355"/>
      <c r="AS396" s="355"/>
      <c r="AT396" s="355"/>
      <c r="AU396" s="355"/>
      <c r="AV396" s="355"/>
      <c r="AW396" s="355"/>
      <c r="AX396" s="355"/>
      <c r="AY396" s="355"/>
      <c r="AZ396" s="355"/>
      <c r="BA396" s="355"/>
      <c r="BB396" s="355"/>
      <c r="BC396" s="355"/>
      <c r="BD396" s="355"/>
      <c r="BE396" s="355"/>
      <c r="BF396" s="355"/>
      <c r="BG396" s="355"/>
      <c r="BH396" s="355"/>
      <c r="BI396" s="355"/>
      <c r="BJ396" s="355"/>
      <c r="BK396" s="355"/>
      <c r="BL396" s="355"/>
      <c r="BM396" s="355"/>
      <c r="BN396" s="355"/>
      <c r="BO396" s="355"/>
      <c r="BP396" s="355"/>
      <c r="BQ396" s="355"/>
      <c r="BR396" s="355"/>
      <c r="BS396" s="355"/>
      <c r="BT396" s="46"/>
      <c r="BU396" s="16"/>
      <c r="BW396" s="355"/>
      <c r="BX396" s="42"/>
      <c r="BY396" s="16"/>
      <c r="CA396" s="355"/>
      <c r="CB396" s="42"/>
      <c r="CC396" s="16"/>
      <c r="CE396" s="355"/>
      <c r="CF396" s="42"/>
      <c r="CG396" s="16"/>
      <c r="CI396" s="355"/>
    </row>
    <row r="397" spans="1:87" s="1215" customFormat="1">
      <c r="A397" s="1222"/>
      <c r="B397" s="1223" t="str">
        <f t="shared" ref="B397:B411" si="184">IF(D397=UAnem1percent,"1% Wind","")</f>
        <v/>
      </c>
      <c r="C397" s="1210"/>
      <c r="D397" s="1211">
        <f>'1% Wind'!$M$82</f>
        <v>27</v>
      </c>
      <c r="E397" s="1212"/>
      <c r="F397" s="1212"/>
      <c r="G397" s="1364">
        <v>2</v>
      </c>
      <c r="H397" s="1214" t="e">
        <f t="shared" ref="H397:H411" ca="1" si="185">H396*(D396/D397)*(G397/G396)</f>
        <v>#REF!</v>
      </c>
      <c r="J397" s="1224"/>
      <c r="K397" s="1221">
        <f>K$17/100</f>
        <v>1</v>
      </c>
      <c r="L397" s="1218" t="e">
        <f ca="1">K397*$H397</f>
        <v>#REF!</v>
      </c>
      <c r="M397" s="1219" t="e">
        <f ca="1">IF(AND(INDEX(FlowCalConstA,MATCH(J396,FlowCalNumber,0),1,1)*L397^INDEX(FlowCalConstB,MATCH(J396,FlowCalNumber,0),1,1)&gt;INDEX(FlowCalLowSetting,MATCH(J396,FlowCalNumber,0),1,1), (INDEX(FlowCalConstA,MATCH(J396,FlowCalNumber,0),1,1)*L397^INDEX(FlowCalConstB,MATCH(J396,FlowCalNumber,0),1,1)&lt;INDEX(FlowCalHighSetting,MATCH(J396,FlowCalNumber,0),1,1))),INDEX(FlowCalConstA,MATCH(J396,FlowCalNumber,0),1,1)*L397^INDEX(FlowCalConstB,MATCH(J396,FlowCalNumber,0),1,1)," ")</f>
        <v>#REF!</v>
      </c>
      <c r="N397" s="1224"/>
      <c r="O397" s="1221">
        <f>O$17/100</f>
        <v>1</v>
      </c>
      <c r="P397" s="1218" t="e">
        <f ca="1">O397*$H397</f>
        <v>#REF!</v>
      </c>
      <c r="Q397" s="1219" t="e">
        <f ca="1">IF(AND(INDEX(FlowCalConstA,MATCH(N396,FlowCalNumber,0),1,1)*P397^INDEX(FlowCalConstB,MATCH(N396,FlowCalNumber,0),1,1)&gt;INDEX(FlowCalLowSetting,MATCH(N396,FlowCalNumber,0),1,1), (INDEX(FlowCalConstA,MATCH(N396,FlowCalNumber,0),1,1)*P397^INDEX(FlowCalConstB,MATCH(N396,FlowCalNumber,0),1,1)&lt;INDEX(FlowCalHighSetting,MATCH(N396,FlowCalNumber,0),1,1))),INDEX(FlowCalConstA,MATCH(N396,FlowCalNumber,0),1,1)*P397^INDEX(FlowCalConstB,MATCH(N396,FlowCalNumber,0),1,1)," ")</f>
        <v>#REF!</v>
      </c>
      <c r="R397" s="1224"/>
      <c r="S397" s="1221">
        <f>S$17/100</f>
        <v>1</v>
      </c>
      <c r="T397" s="1218" t="e">
        <f ca="1">S397*$H397</f>
        <v>#REF!</v>
      </c>
      <c r="U397" s="1219" t="e">
        <f ca="1">IF(AND(INDEX(FlowCalConstA,MATCH(R396,FlowCalNumber,0),1,1)*T397^INDEX(FlowCalConstB,MATCH(R396,FlowCalNumber,0),1,1)&gt;INDEX(FlowCalLowSetting,MATCH(R396,FlowCalNumber,0),1,1), (INDEX(FlowCalConstA,MATCH(R396,FlowCalNumber,0),1,1)*T397^INDEX(FlowCalConstB,MATCH(R396,FlowCalNumber,0),1,1)&lt;INDEX(FlowCalHighSetting,MATCH(R396,FlowCalNumber,0),1,1))),INDEX(FlowCalConstA,MATCH(R396,FlowCalNumber,0),1,1)*T397^INDEX(FlowCalConstB,MATCH(R396,FlowCalNumber,0),1,1)," ")</f>
        <v>#REF!</v>
      </c>
      <c r="V397" s="1224"/>
      <c r="W397" s="1221"/>
      <c r="X397" s="1218"/>
      <c r="Y397" s="1219"/>
      <c r="Z397" s="1224"/>
      <c r="AA397" s="1221"/>
      <c r="AB397" s="1218"/>
      <c r="AC397" s="1219"/>
      <c r="AD397" s="1224"/>
      <c r="AE397" s="1221"/>
      <c r="AF397" s="1218"/>
      <c r="AG397" s="1219"/>
      <c r="AH397" s="1224"/>
      <c r="AI397" s="1221"/>
      <c r="AJ397" s="1218"/>
      <c r="AK397" s="1220"/>
      <c r="AL397" s="1219"/>
      <c r="AM397" s="1219"/>
      <c r="AN397" s="1219"/>
      <c r="AO397" s="1219"/>
      <c r="AP397" s="1219"/>
      <c r="AQ397" s="1219"/>
      <c r="AR397" s="1219"/>
      <c r="AS397" s="1219"/>
      <c r="AT397" s="1219"/>
      <c r="AU397" s="1219"/>
      <c r="AV397" s="1219"/>
      <c r="AW397" s="1219"/>
      <c r="AX397" s="1219"/>
      <c r="AY397" s="1219"/>
      <c r="AZ397" s="1219"/>
      <c r="BA397" s="1219"/>
      <c r="BB397" s="1219"/>
      <c r="BC397" s="1219"/>
      <c r="BD397" s="1219"/>
      <c r="BE397" s="1219"/>
      <c r="BF397" s="1219"/>
      <c r="BG397" s="1219"/>
      <c r="BH397" s="1219"/>
      <c r="BI397" s="1219"/>
      <c r="BJ397" s="1219"/>
      <c r="BK397" s="1219"/>
      <c r="BL397" s="1219"/>
      <c r="BM397" s="1219"/>
      <c r="BN397" s="1219"/>
      <c r="BO397" s="1219"/>
      <c r="BP397" s="1219"/>
      <c r="BQ397" s="1219"/>
      <c r="BR397" s="1219"/>
      <c r="BS397" s="1219"/>
      <c r="BU397" s="1225"/>
      <c r="BW397" s="1219"/>
      <c r="BY397" s="1225"/>
      <c r="CA397" s="1219"/>
      <c r="CC397" s="1225"/>
      <c r="CE397" s="1219"/>
      <c r="CG397" s="1221"/>
      <c r="CI397" s="1219"/>
    </row>
    <row r="398" spans="1:87">
      <c r="A398" s="20"/>
      <c r="B398" s="124" t="str">
        <f t="shared" si="184"/>
        <v/>
      </c>
      <c r="C398" s="235"/>
      <c r="D398" s="24">
        <f>'1% Wind'!$M$83</f>
        <v>23.5</v>
      </c>
      <c r="E398" s="90"/>
      <c r="F398" s="90"/>
      <c r="G398" s="79" t="e">
        <f ca="1">IF(I396=0.9743,$G397,MAX(G397/D397*D398,2))</f>
        <v>#REF!</v>
      </c>
      <c r="H398" s="121" t="e">
        <f t="shared" ca="1" si="185"/>
        <v>#REF!</v>
      </c>
      <c r="J398" s="33"/>
      <c r="K398" s="242">
        <f t="shared" ref="K398:K411" si="186">K397</f>
        <v>1</v>
      </c>
      <c r="L398" s="241" t="e">
        <f t="shared" ref="L398:L411" ca="1" si="187">K398*$H398</f>
        <v>#REF!</v>
      </c>
      <c r="M398" s="243" t="e">
        <f ca="1">IF(AND(INDEX(FlowCalConstA,MATCH(J396,FlowCalNumber,0),1,1)*L398^INDEX(FlowCalConstB,MATCH(J396,FlowCalNumber,0),1,1)&gt;INDEX(FlowCalLowSetting,MATCH(J396,FlowCalNumber,0),1,1), (INDEX(FlowCalConstA,MATCH(J396,FlowCalNumber,0),1,1)*L398^INDEX(FlowCalConstB,MATCH(J396,FlowCalNumber,0),1,1)&lt;INDEX(FlowCalHighSetting,MATCH(J396,FlowCalNumber,0),1,1))),INDEX(FlowCalConstA,MATCH(J396,FlowCalNumber,0),1,1)*L398^INDEX(FlowCalConstB,MATCH(J396,FlowCalNumber,0),1,1)," ")</f>
        <v>#REF!</v>
      </c>
      <c r="N398" s="33"/>
      <c r="O398" s="242">
        <f t="shared" ref="O398:O411" si="188">O397</f>
        <v>1</v>
      </c>
      <c r="P398" s="241" t="e">
        <f t="shared" ref="P398:P411" ca="1" si="189">O398*$H398</f>
        <v>#REF!</v>
      </c>
      <c r="Q398" s="243" t="e">
        <f ca="1">IF(AND(INDEX(FlowCalConstA,MATCH(N396,FlowCalNumber,0),1,1)*P398^INDEX(FlowCalConstB,MATCH(N396,FlowCalNumber,0),1,1)&gt;INDEX(FlowCalLowSetting,MATCH(N396,FlowCalNumber,0),1,1), (INDEX(FlowCalConstA,MATCH(N396,FlowCalNumber,0),1,1)*P398^INDEX(FlowCalConstB,MATCH(N396,FlowCalNumber,0),1,1)&lt;INDEX(FlowCalHighSetting,MATCH(N396,FlowCalNumber,0),1,1))),INDEX(FlowCalConstA,MATCH(N396,FlowCalNumber,0),1,1)*P398^INDEX(FlowCalConstB,MATCH(N396,FlowCalNumber,0),1,1)," ")</f>
        <v>#REF!</v>
      </c>
      <c r="R398" s="33"/>
      <c r="S398" s="242">
        <f t="shared" ref="S398:S411" si="190">S397</f>
        <v>1</v>
      </c>
      <c r="T398" s="241" t="e">
        <f t="shared" ref="T398:T411" ca="1" si="191">S398*$H398</f>
        <v>#REF!</v>
      </c>
      <c r="U398" s="243" t="e">
        <f ca="1">IF(AND(INDEX(FlowCalConstA,MATCH(R396,FlowCalNumber,0),1,1)*T398^INDEX(FlowCalConstB,MATCH(R396,FlowCalNumber,0),1,1)&gt;INDEX(FlowCalLowSetting,MATCH(R396,FlowCalNumber,0),1,1), (INDEX(FlowCalConstA,MATCH(R396,FlowCalNumber,0),1,1)*T398^INDEX(FlowCalConstB,MATCH(R396,FlowCalNumber,0),1,1)&lt;INDEX(FlowCalHighSetting,MATCH(R396,FlowCalNumber,0),1,1))),INDEX(FlowCalConstA,MATCH(R396,FlowCalNumber,0),1,1)*T398^INDEX(FlowCalConstB,MATCH(R396,FlowCalNumber,0),1,1)," ")</f>
        <v>#REF!</v>
      </c>
      <c r="V398" s="33"/>
      <c r="W398" s="242"/>
      <c r="X398" s="241"/>
      <c r="Y398" s="243"/>
      <c r="Z398" s="33"/>
      <c r="AA398" s="242"/>
      <c r="AB398" s="241"/>
      <c r="AC398" s="243"/>
      <c r="AD398" s="33"/>
      <c r="AE398" s="242"/>
      <c r="AF398" s="241"/>
      <c r="AG398" s="243"/>
      <c r="AH398" s="33"/>
      <c r="AI398" s="242"/>
      <c r="AJ398" s="241"/>
      <c r="AK398" s="244"/>
      <c r="AL398" s="243"/>
      <c r="AM398" s="243"/>
      <c r="AN398" s="243"/>
      <c r="AO398" s="243"/>
      <c r="AP398" s="243"/>
      <c r="AQ398" s="243"/>
      <c r="AR398" s="243"/>
      <c r="AS398" s="243"/>
      <c r="AT398" s="243"/>
      <c r="AU398" s="243"/>
      <c r="AV398" s="243"/>
      <c r="AW398" s="243"/>
      <c r="AX398" s="243"/>
      <c r="AY398" s="243"/>
      <c r="AZ398" s="243"/>
      <c r="BA398" s="243"/>
      <c r="BB398" s="243"/>
      <c r="BC398" s="243"/>
      <c r="BD398" s="243"/>
      <c r="BE398" s="243"/>
      <c r="BF398" s="243"/>
      <c r="BG398" s="243"/>
      <c r="BH398" s="243"/>
      <c r="BI398" s="243"/>
      <c r="BJ398" s="243"/>
      <c r="BK398" s="243"/>
      <c r="BL398" s="243"/>
      <c r="BM398" s="243"/>
      <c r="BN398" s="243"/>
      <c r="BO398" s="243"/>
      <c r="BP398" s="243"/>
      <c r="BQ398" s="243"/>
      <c r="BR398" s="243"/>
      <c r="BS398" s="243"/>
      <c r="BU398" s="242"/>
      <c r="BW398" s="243"/>
      <c r="BY398" s="242"/>
      <c r="CA398" s="243"/>
      <c r="CC398" s="242"/>
      <c r="CE398" s="243"/>
      <c r="CG398" s="242"/>
      <c r="CI398" s="243"/>
    </row>
    <row r="399" spans="1:87" s="1215" customFormat="1">
      <c r="A399" s="1222"/>
      <c r="B399" s="1223" t="str">
        <f t="shared" si="184"/>
        <v/>
      </c>
      <c r="C399" s="1210"/>
      <c r="D399" s="1211">
        <f>'1% Wind'!$M$84</f>
        <v>20.5</v>
      </c>
      <c r="E399" s="1212"/>
      <c r="F399" s="1212"/>
      <c r="G399" s="1213" t="e">
        <f ca="1">IF(I396=0.9743,$G398,MAX(G398/D398*D399,2))</f>
        <v>#REF!</v>
      </c>
      <c r="H399" s="1214" t="e">
        <f t="shared" ca="1" si="185"/>
        <v>#REF!</v>
      </c>
      <c r="J399" s="1224"/>
      <c r="K399" s="1217">
        <f t="shared" si="186"/>
        <v>1</v>
      </c>
      <c r="L399" s="1218" t="e">
        <f t="shared" ca="1" si="187"/>
        <v>#REF!</v>
      </c>
      <c r="M399" s="1219" t="e">
        <f ca="1">IF(AND(INDEX(FlowCalConstA,MATCH(J396,FlowCalNumber,0),1,1)*L399^INDEX(FlowCalConstB,MATCH(J396,FlowCalNumber,0),1,1)&gt;INDEX(FlowCalLowSetting,MATCH(J396,FlowCalNumber,0),1,1), (INDEX(FlowCalConstA,MATCH(J396,FlowCalNumber,0),1,1)*L399^INDEX(FlowCalConstB,MATCH(J396,FlowCalNumber,0),1,1)&lt;INDEX(FlowCalHighSetting,MATCH(J396,FlowCalNumber,0),1,1))),INDEX(FlowCalConstA,MATCH(J396,FlowCalNumber,0),1,1)*L399^INDEX(FlowCalConstB,MATCH(J396,FlowCalNumber,0),1,1)," ")</f>
        <v>#REF!</v>
      </c>
      <c r="N399" s="1224"/>
      <c r="O399" s="1217">
        <f t="shared" si="188"/>
        <v>1</v>
      </c>
      <c r="P399" s="1218" t="e">
        <f t="shared" ca="1" si="189"/>
        <v>#REF!</v>
      </c>
      <c r="Q399" s="1219" t="e">
        <f ca="1">IF(AND(INDEX(FlowCalConstA,MATCH(N396,FlowCalNumber,0),1,1)*P399^INDEX(FlowCalConstB,MATCH(N396,FlowCalNumber,0),1,1)&gt;INDEX(FlowCalLowSetting,MATCH(N396,FlowCalNumber,0),1,1), (INDEX(FlowCalConstA,MATCH(N396,FlowCalNumber,0),1,1)*P399^INDEX(FlowCalConstB,MATCH(N396,FlowCalNumber,0),1,1)&lt;INDEX(FlowCalHighSetting,MATCH(N396,FlowCalNumber,0),1,1))),INDEX(FlowCalConstA,MATCH(N396,FlowCalNumber,0),1,1)*P399^INDEX(FlowCalConstB,MATCH(N396,FlowCalNumber,0),1,1)," ")</f>
        <v>#REF!</v>
      </c>
      <c r="R399" s="1224"/>
      <c r="S399" s="1217">
        <f t="shared" si="190"/>
        <v>1</v>
      </c>
      <c r="T399" s="1218" t="e">
        <f t="shared" ca="1" si="191"/>
        <v>#REF!</v>
      </c>
      <c r="U399" s="1219" t="e">
        <f ca="1">IF(AND(INDEX(FlowCalConstA,MATCH(R396,FlowCalNumber,0),1,1)*T399^INDEX(FlowCalConstB,MATCH(R396,FlowCalNumber,0),1,1)&gt;INDEX(FlowCalLowSetting,MATCH(R396,FlowCalNumber,0),1,1), (INDEX(FlowCalConstA,MATCH(R396,FlowCalNumber,0),1,1)*T399^INDEX(FlowCalConstB,MATCH(R396,FlowCalNumber,0),1,1)&lt;INDEX(FlowCalHighSetting,MATCH(R396,FlowCalNumber,0),1,1))),INDEX(FlowCalConstA,MATCH(R396,FlowCalNumber,0),1,1)*T399^INDEX(FlowCalConstB,MATCH(R396,FlowCalNumber,0),1,1)," ")</f>
        <v>#REF!</v>
      </c>
      <c r="V399" s="1224"/>
      <c r="W399" s="1217"/>
      <c r="X399" s="1218"/>
      <c r="Y399" s="1219"/>
      <c r="Z399" s="1224"/>
      <c r="AA399" s="1217"/>
      <c r="AB399" s="1218"/>
      <c r="AC399" s="1219"/>
      <c r="AD399" s="1224"/>
      <c r="AE399" s="1217"/>
      <c r="AF399" s="1218"/>
      <c r="AG399" s="1219"/>
      <c r="AH399" s="1224"/>
      <c r="AI399" s="1217"/>
      <c r="AJ399" s="1218"/>
      <c r="AK399" s="1220"/>
      <c r="AL399" s="1219"/>
      <c r="AM399" s="1219"/>
      <c r="AN399" s="1219"/>
      <c r="AO399" s="1219"/>
      <c r="AP399" s="1219"/>
      <c r="AQ399" s="1219"/>
      <c r="AR399" s="1219"/>
      <c r="AS399" s="1219"/>
      <c r="AT399" s="1219"/>
      <c r="AU399" s="1219"/>
      <c r="AV399" s="1219"/>
      <c r="AW399" s="1219"/>
      <c r="AX399" s="1219"/>
      <c r="AY399" s="1219"/>
      <c r="AZ399" s="1219"/>
      <c r="BA399" s="1219"/>
      <c r="BB399" s="1219"/>
      <c r="BC399" s="1219"/>
      <c r="BD399" s="1219"/>
      <c r="BE399" s="1219"/>
      <c r="BF399" s="1219"/>
      <c r="BG399" s="1219"/>
      <c r="BH399" s="1219"/>
      <c r="BI399" s="1219"/>
      <c r="BJ399" s="1219"/>
      <c r="BK399" s="1219"/>
      <c r="BL399" s="1219"/>
      <c r="BM399" s="1219"/>
      <c r="BN399" s="1219"/>
      <c r="BO399" s="1219"/>
      <c r="BP399" s="1219"/>
      <c r="BQ399" s="1219"/>
      <c r="BR399" s="1219"/>
      <c r="BS399" s="1219"/>
      <c r="BU399" s="1217"/>
      <c r="BW399" s="1219"/>
      <c r="BY399" s="1217"/>
      <c r="CA399" s="1219"/>
      <c r="CC399" s="1217"/>
      <c r="CE399" s="1219"/>
      <c r="CG399" s="1217"/>
      <c r="CI399" s="1219"/>
    </row>
    <row r="400" spans="1:87">
      <c r="A400" s="20"/>
      <c r="B400" s="124" t="str">
        <f t="shared" si="184"/>
        <v/>
      </c>
      <c r="C400" s="235"/>
      <c r="D400" s="24">
        <f>'1% Wind'!$M$85</f>
        <v>17.8</v>
      </c>
      <c r="E400" s="90"/>
      <c r="F400" s="90"/>
      <c r="G400" s="79" t="e">
        <f ca="1">IF(I396=0.9743,$G399,MAX(G399/D399*D400,2))</f>
        <v>#REF!</v>
      </c>
      <c r="H400" s="121" t="e">
        <f t="shared" ca="1" si="185"/>
        <v>#REF!</v>
      </c>
      <c r="J400" s="33"/>
      <c r="K400" s="242">
        <f t="shared" si="186"/>
        <v>1</v>
      </c>
      <c r="L400" s="241" t="e">
        <f t="shared" ca="1" si="187"/>
        <v>#REF!</v>
      </c>
      <c r="M400" s="243" t="e">
        <f ca="1">IF(AND(INDEX(FlowCalConstA,MATCH(J396,FlowCalNumber,0),1,1)*L400^INDEX(FlowCalConstB,MATCH(J396,FlowCalNumber,0),1,1)&gt;INDEX(FlowCalLowSetting,MATCH(J396,FlowCalNumber,0),1,1), (INDEX(FlowCalConstA,MATCH(J396,FlowCalNumber,0),1,1)*L400^INDEX(FlowCalConstB,MATCH(J396,FlowCalNumber,0),1,1)&lt;INDEX(FlowCalHighSetting,MATCH(J396,FlowCalNumber,0),1,1))),INDEX(FlowCalConstA,MATCH(J396,FlowCalNumber,0),1,1)*L400^INDEX(FlowCalConstB,MATCH(J396,FlowCalNumber,0),1,1)," ")</f>
        <v>#REF!</v>
      </c>
      <c r="N400" s="33"/>
      <c r="O400" s="242">
        <f t="shared" si="188"/>
        <v>1</v>
      </c>
      <c r="P400" s="241" t="e">
        <f t="shared" ca="1" si="189"/>
        <v>#REF!</v>
      </c>
      <c r="Q400" s="243" t="e">
        <f ca="1">IF(AND(INDEX(FlowCalConstA,MATCH(N396,FlowCalNumber,0),1,1)*P400^INDEX(FlowCalConstB,MATCH(N396,FlowCalNumber,0),1,1)&gt;INDEX(FlowCalLowSetting,MATCH(N396,FlowCalNumber,0),1,1), (INDEX(FlowCalConstA,MATCH(N396,FlowCalNumber,0),1,1)*P400^INDEX(FlowCalConstB,MATCH(N396,FlowCalNumber,0),1,1)&lt;INDEX(FlowCalHighSetting,MATCH(N396,FlowCalNumber,0),1,1))),INDEX(FlowCalConstA,MATCH(N396,FlowCalNumber,0),1,1)*P400^INDEX(FlowCalConstB,MATCH(N396,FlowCalNumber,0),1,1)," ")</f>
        <v>#REF!</v>
      </c>
      <c r="R400" s="33"/>
      <c r="S400" s="242">
        <f t="shared" si="190"/>
        <v>1</v>
      </c>
      <c r="T400" s="241" t="e">
        <f t="shared" ca="1" si="191"/>
        <v>#REF!</v>
      </c>
      <c r="U400" s="243" t="e">
        <f ca="1">IF(AND(INDEX(FlowCalConstA,MATCH(R396,FlowCalNumber,0),1,1)*T400^INDEX(FlowCalConstB,MATCH(R396,FlowCalNumber,0),1,1)&gt;INDEX(FlowCalLowSetting,MATCH(R396,FlowCalNumber,0),1,1), (INDEX(FlowCalConstA,MATCH(R396,FlowCalNumber,0),1,1)*T400^INDEX(FlowCalConstB,MATCH(R396,FlowCalNumber,0),1,1)&lt;INDEX(FlowCalHighSetting,MATCH(R396,FlowCalNumber,0),1,1))),INDEX(FlowCalConstA,MATCH(R396,FlowCalNumber,0),1,1)*T400^INDEX(FlowCalConstB,MATCH(R396,FlowCalNumber,0),1,1)," ")</f>
        <v>#REF!</v>
      </c>
      <c r="V400" s="33"/>
      <c r="W400" s="242"/>
      <c r="X400" s="241"/>
      <c r="Y400" s="243"/>
      <c r="Z400" s="33"/>
      <c r="AA400" s="242"/>
      <c r="AB400" s="241"/>
      <c r="AC400" s="243"/>
      <c r="AD400" s="33"/>
      <c r="AE400" s="242"/>
      <c r="AF400" s="241"/>
      <c r="AG400" s="243"/>
      <c r="AH400" s="33"/>
      <c r="AI400" s="242"/>
      <c r="AJ400" s="241"/>
      <c r="AK400" s="244"/>
      <c r="AL400" s="243"/>
      <c r="AM400" s="243"/>
      <c r="AN400" s="243"/>
      <c r="AO400" s="243"/>
      <c r="AP400" s="243"/>
      <c r="AQ400" s="243"/>
      <c r="AR400" s="243"/>
      <c r="AS400" s="243"/>
      <c r="AT400" s="243"/>
      <c r="AU400" s="243"/>
      <c r="AV400" s="243"/>
      <c r="AW400" s="243"/>
      <c r="AX400" s="243"/>
      <c r="AY400" s="243"/>
      <c r="AZ400" s="243"/>
      <c r="BA400" s="243"/>
      <c r="BB400" s="243"/>
      <c r="BC400" s="243"/>
      <c r="BD400" s="243"/>
      <c r="BE400" s="243"/>
      <c r="BF400" s="243"/>
      <c r="BG400" s="243"/>
      <c r="BH400" s="243"/>
      <c r="BI400" s="243"/>
      <c r="BJ400" s="243"/>
      <c r="BK400" s="243"/>
      <c r="BL400" s="243"/>
      <c r="BM400" s="243"/>
      <c r="BN400" s="243"/>
      <c r="BO400" s="243"/>
      <c r="BP400" s="243"/>
      <c r="BQ400" s="243"/>
      <c r="BR400" s="243"/>
      <c r="BS400" s="243"/>
      <c r="BU400" s="242"/>
      <c r="BW400" s="243"/>
      <c r="BY400" s="242"/>
      <c r="CA400" s="243"/>
      <c r="CC400" s="242"/>
      <c r="CE400" s="243"/>
      <c r="CG400" s="242"/>
      <c r="CI400" s="243"/>
    </row>
    <row r="401" spans="1:87" s="1215" customFormat="1">
      <c r="A401" s="1222"/>
      <c r="B401" s="1223" t="str">
        <f t="shared" si="184"/>
        <v/>
      </c>
      <c r="C401" s="1210"/>
      <c r="D401" s="1211">
        <f>'1% Wind'!$M$86</f>
        <v>15.5</v>
      </c>
      <c r="E401" s="1212"/>
      <c r="F401" s="1212"/>
      <c r="G401" s="1213" t="e">
        <f ca="1">IF(I396=0.9743,$G400,MAX(G400/D400*D401,2))</f>
        <v>#REF!</v>
      </c>
      <c r="H401" s="1214" t="e">
        <f t="shared" ca="1" si="185"/>
        <v>#REF!</v>
      </c>
      <c r="J401" s="1224"/>
      <c r="K401" s="1217">
        <f t="shared" si="186"/>
        <v>1</v>
      </c>
      <c r="L401" s="1218" t="e">
        <f t="shared" ca="1" si="187"/>
        <v>#REF!</v>
      </c>
      <c r="M401" s="1219" t="e">
        <f ca="1">IF(AND(INDEX(FlowCalConstA,MATCH(J396,FlowCalNumber,0),1,1)*L401^INDEX(FlowCalConstB,MATCH(J396,FlowCalNumber,0),1,1)&gt;INDEX(FlowCalLowSetting,MATCH(J396,FlowCalNumber,0),1,1), (INDEX(FlowCalConstA,MATCH(J396,FlowCalNumber,0),1,1)*L401^INDEX(FlowCalConstB,MATCH(J396,FlowCalNumber,0),1,1)&lt;INDEX(FlowCalHighSetting,MATCH(J396,FlowCalNumber,0),1,1))),INDEX(FlowCalConstA,MATCH(J396,FlowCalNumber,0),1,1)*L401^INDEX(FlowCalConstB,MATCH(J396,FlowCalNumber,0),1,1)," ")</f>
        <v>#REF!</v>
      </c>
      <c r="N401" s="1224"/>
      <c r="O401" s="1217">
        <f t="shared" si="188"/>
        <v>1</v>
      </c>
      <c r="P401" s="1218" t="e">
        <f t="shared" ca="1" si="189"/>
        <v>#REF!</v>
      </c>
      <c r="Q401" s="1219" t="e">
        <f ca="1">IF(AND(INDEX(FlowCalConstA,MATCH(N396,FlowCalNumber,0),1,1)*P401^INDEX(FlowCalConstB,MATCH(N396,FlowCalNumber,0),1,1)&gt;INDEX(FlowCalLowSetting,MATCH(N396,FlowCalNumber,0),1,1), (INDEX(FlowCalConstA,MATCH(N396,FlowCalNumber,0),1,1)*P401^INDEX(FlowCalConstB,MATCH(N396,FlowCalNumber,0),1,1)&lt;INDEX(FlowCalHighSetting,MATCH(N396,FlowCalNumber,0),1,1))),INDEX(FlowCalConstA,MATCH(N396,FlowCalNumber,0),1,1)*P401^INDEX(FlowCalConstB,MATCH(N396,FlowCalNumber,0),1,1)," ")</f>
        <v>#REF!</v>
      </c>
      <c r="R401" s="1224"/>
      <c r="S401" s="1217">
        <f t="shared" si="190"/>
        <v>1</v>
      </c>
      <c r="T401" s="1218" t="e">
        <f t="shared" ca="1" si="191"/>
        <v>#REF!</v>
      </c>
      <c r="U401" s="1219" t="e">
        <f ca="1">IF(AND(INDEX(FlowCalConstA,MATCH(R396,FlowCalNumber,0),1,1)*T401^INDEX(FlowCalConstB,MATCH(R396,FlowCalNumber,0),1,1)&gt;INDEX(FlowCalLowSetting,MATCH(R396,FlowCalNumber,0),1,1), (INDEX(FlowCalConstA,MATCH(R396,FlowCalNumber,0),1,1)*T401^INDEX(FlowCalConstB,MATCH(R396,FlowCalNumber,0),1,1)&lt;INDEX(FlowCalHighSetting,MATCH(R396,FlowCalNumber,0),1,1))),INDEX(FlowCalConstA,MATCH(R396,FlowCalNumber,0),1,1)*T401^INDEX(FlowCalConstB,MATCH(R396,FlowCalNumber,0),1,1)," ")</f>
        <v>#REF!</v>
      </c>
      <c r="V401" s="1224"/>
      <c r="W401" s="1217"/>
      <c r="X401" s="1218"/>
      <c r="Y401" s="1219"/>
      <c r="Z401" s="1224"/>
      <c r="AA401" s="1217"/>
      <c r="AB401" s="1218"/>
      <c r="AC401" s="1219"/>
      <c r="AD401" s="1224"/>
      <c r="AE401" s="1217"/>
      <c r="AF401" s="1218"/>
      <c r="AG401" s="1219"/>
      <c r="AH401" s="1224"/>
      <c r="AI401" s="1217"/>
      <c r="AJ401" s="1218"/>
      <c r="AK401" s="1220"/>
      <c r="AL401" s="1219"/>
      <c r="AM401" s="1219"/>
      <c r="AN401" s="1219"/>
      <c r="AO401" s="1219"/>
      <c r="AP401" s="1219"/>
      <c r="AQ401" s="1219"/>
      <c r="AR401" s="1219"/>
      <c r="AS401" s="1219"/>
      <c r="AT401" s="1219"/>
      <c r="AU401" s="1219"/>
      <c r="AV401" s="1219"/>
      <c r="AW401" s="1219"/>
      <c r="AX401" s="1219"/>
      <c r="AY401" s="1219"/>
      <c r="AZ401" s="1219"/>
      <c r="BA401" s="1219"/>
      <c r="BB401" s="1219"/>
      <c r="BC401" s="1219"/>
      <c r="BD401" s="1219"/>
      <c r="BE401" s="1219"/>
      <c r="BF401" s="1219"/>
      <c r="BG401" s="1219"/>
      <c r="BH401" s="1219"/>
      <c r="BI401" s="1219"/>
      <c r="BJ401" s="1219"/>
      <c r="BK401" s="1219"/>
      <c r="BL401" s="1219"/>
      <c r="BM401" s="1219"/>
      <c r="BN401" s="1219"/>
      <c r="BO401" s="1219"/>
      <c r="BP401" s="1219"/>
      <c r="BQ401" s="1219"/>
      <c r="BR401" s="1219"/>
      <c r="BS401" s="1219"/>
      <c r="BU401" s="1217"/>
      <c r="BW401" s="1219"/>
      <c r="BY401" s="1217"/>
      <c r="CA401" s="1219"/>
      <c r="CC401" s="1217"/>
      <c r="CE401" s="1219"/>
      <c r="CG401" s="1217"/>
      <c r="CI401" s="1219"/>
    </row>
    <row r="402" spans="1:87">
      <c r="A402" s="20"/>
      <c r="B402" s="124" t="str">
        <f t="shared" si="184"/>
        <v/>
      </c>
      <c r="C402" s="235"/>
      <c r="D402" s="24">
        <f>'1% Wind'!$M$87</f>
        <v>13.5</v>
      </c>
      <c r="E402" s="90"/>
      <c r="F402" s="90"/>
      <c r="G402" s="79" t="e">
        <f ca="1">IF(I396=0.9743,$G401,MAX(G401/D401*D402,2))</f>
        <v>#REF!</v>
      </c>
      <c r="H402" s="121" t="e">
        <f t="shared" ca="1" si="185"/>
        <v>#REF!</v>
      </c>
      <c r="J402" s="33"/>
      <c r="K402" s="242">
        <f t="shared" si="186"/>
        <v>1</v>
      </c>
      <c r="L402" s="241" t="e">
        <f t="shared" ca="1" si="187"/>
        <v>#REF!</v>
      </c>
      <c r="M402" s="243" t="e">
        <f ca="1">IF(AND(INDEX(FlowCalConstA,MATCH(J396,FlowCalNumber,0),1,1)*L402^INDEX(FlowCalConstB,MATCH(J396,FlowCalNumber,0),1,1)&gt;INDEX(FlowCalLowSetting,MATCH(J396,FlowCalNumber,0),1,1), (INDEX(FlowCalConstA,MATCH(J396,FlowCalNumber,0),1,1)*L402^INDEX(FlowCalConstB,MATCH(J396,FlowCalNumber,0),1,1)&lt;INDEX(FlowCalHighSetting,MATCH(J396,FlowCalNumber,0),1,1))),INDEX(FlowCalConstA,MATCH(J396,FlowCalNumber,0),1,1)*L402^INDEX(FlowCalConstB,MATCH(J396,FlowCalNumber,0),1,1)," ")</f>
        <v>#REF!</v>
      </c>
      <c r="N402" s="33"/>
      <c r="O402" s="242">
        <f t="shared" si="188"/>
        <v>1</v>
      </c>
      <c r="P402" s="241" t="e">
        <f t="shared" ca="1" si="189"/>
        <v>#REF!</v>
      </c>
      <c r="Q402" s="243" t="e">
        <f ca="1">IF(AND(INDEX(FlowCalConstA,MATCH(N396,FlowCalNumber,0),1,1)*P402^INDEX(FlowCalConstB,MATCH(N396,FlowCalNumber,0),1,1)&gt;INDEX(FlowCalLowSetting,MATCH(N396,FlowCalNumber,0),1,1), (INDEX(FlowCalConstA,MATCH(N396,FlowCalNumber,0),1,1)*P402^INDEX(FlowCalConstB,MATCH(N396,FlowCalNumber,0),1,1)&lt;INDEX(FlowCalHighSetting,MATCH(N396,FlowCalNumber,0),1,1))),INDEX(FlowCalConstA,MATCH(N396,FlowCalNumber,0),1,1)*P402^INDEX(FlowCalConstB,MATCH(N396,FlowCalNumber,0),1,1)," ")</f>
        <v>#REF!</v>
      </c>
      <c r="R402" s="33"/>
      <c r="S402" s="242">
        <f t="shared" si="190"/>
        <v>1</v>
      </c>
      <c r="T402" s="241" t="e">
        <f t="shared" ca="1" si="191"/>
        <v>#REF!</v>
      </c>
      <c r="U402" s="243" t="e">
        <f ca="1">IF(AND(INDEX(FlowCalConstA,MATCH(R396,FlowCalNumber,0),1,1)*T402^INDEX(FlowCalConstB,MATCH(R396,FlowCalNumber,0),1,1)&gt;INDEX(FlowCalLowSetting,MATCH(R396,FlowCalNumber,0),1,1), (INDEX(FlowCalConstA,MATCH(R396,FlowCalNumber,0),1,1)*T402^INDEX(FlowCalConstB,MATCH(R396,FlowCalNumber,0),1,1)&lt;INDEX(FlowCalHighSetting,MATCH(R396,FlowCalNumber,0),1,1))),INDEX(FlowCalConstA,MATCH(R396,FlowCalNumber,0),1,1)*T402^INDEX(FlowCalConstB,MATCH(R396,FlowCalNumber,0),1,1)," ")</f>
        <v>#REF!</v>
      </c>
      <c r="V402" s="33"/>
      <c r="W402" s="242"/>
      <c r="X402" s="241"/>
      <c r="Y402" s="243"/>
      <c r="Z402" s="33"/>
      <c r="AA402" s="242"/>
      <c r="AB402" s="241"/>
      <c r="AC402" s="243"/>
      <c r="AD402" s="33"/>
      <c r="AE402" s="242"/>
      <c r="AF402" s="241"/>
      <c r="AG402" s="243"/>
      <c r="AH402" s="33"/>
      <c r="AI402" s="242"/>
      <c r="AJ402" s="241"/>
      <c r="AK402" s="244"/>
      <c r="AL402" s="243"/>
      <c r="AM402" s="243"/>
      <c r="AN402" s="243"/>
      <c r="AO402" s="243"/>
      <c r="AP402" s="243"/>
      <c r="AQ402" s="243"/>
      <c r="AR402" s="243"/>
      <c r="AS402" s="243"/>
      <c r="AT402" s="243"/>
      <c r="AU402" s="243"/>
      <c r="AV402" s="243"/>
      <c r="AW402" s="243"/>
      <c r="AX402" s="243"/>
      <c r="AY402" s="243"/>
      <c r="AZ402" s="243"/>
      <c r="BA402" s="243"/>
      <c r="BB402" s="243"/>
      <c r="BC402" s="243"/>
      <c r="BD402" s="243"/>
      <c r="BE402" s="243"/>
      <c r="BF402" s="243"/>
      <c r="BG402" s="243"/>
      <c r="BH402" s="243"/>
      <c r="BI402" s="243"/>
      <c r="BJ402" s="243"/>
      <c r="BK402" s="243"/>
      <c r="BL402" s="243"/>
      <c r="BM402" s="243"/>
      <c r="BN402" s="243"/>
      <c r="BO402" s="243"/>
      <c r="BP402" s="243"/>
      <c r="BQ402" s="243"/>
      <c r="BR402" s="243"/>
      <c r="BS402" s="243"/>
      <c r="BU402" s="242"/>
      <c r="BW402" s="243"/>
      <c r="BY402" s="242"/>
      <c r="CA402" s="243"/>
      <c r="CC402" s="242"/>
      <c r="CE402" s="243"/>
      <c r="CG402" s="242"/>
      <c r="CI402" s="243"/>
    </row>
    <row r="403" spans="1:87" s="1215" customFormat="1">
      <c r="A403" s="1222"/>
      <c r="B403" s="1223" t="str">
        <f t="shared" si="184"/>
        <v/>
      </c>
      <c r="C403" s="1210"/>
      <c r="D403" s="1211">
        <f>'1% Wind'!$M$88</f>
        <v>10.1</v>
      </c>
      <c r="E403" s="1212"/>
      <c r="F403" s="1212"/>
      <c r="G403" s="1213" t="e">
        <f ca="1">IF(I396=0.9743,$G402,MAX(G402/D402*D403,2))</f>
        <v>#REF!</v>
      </c>
      <c r="H403" s="1214" t="e">
        <f t="shared" ca="1" si="185"/>
        <v>#REF!</v>
      </c>
      <c r="J403" s="1224"/>
      <c r="K403" s="1217">
        <f t="shared" si="186"/>
        <v>1</v>
      </c>
      <c r="L403" s="1218" t="e">
        <f t="shared" ca="1" si="187"/>
        <v>#REF!</v>
      </c>
      <c r="M403" s="1219" t="e">
        <f ca="1">IF(AND(INDEX(FlowCalConstA,MATCH(J396,FlowCalNumber,0),1,1)*L403^INDEX(FlowCalConstB,MATCH(J396,FlowCalNumber,0),1,1)&gt;INDEX(FlowCalLowSetting,MATCH(J396,FlowCalNumber,0),1,1), (INDEX(FlowCalConstA,MATCH(J396,FlowCalNumber,0),1,1)*L403^INDEX(FlowCalConstB,MATCH(J396,FlowCalNumber,0),1,1)&lt;INDEX(FlowCalHighSetting,MATCH(J396,FlowCalNumber,0),1,1))),INDEX(FlowCalConstA,MATCH(J396,FlowCalNumber,0),1,1)*L403^INDEX(FlowCalConstB,MATCH(J396,FlowCalNumber,0),1,1)," ")</f>
        <v>#REF!</v>
      </c>
      <c r="N403" s="1224"/>
      <c r="O403" s="1217">
        <f t="shared" si="188"/>
        <v>1</v>
      </c>
      <c r="P403" s="1218" t="e">
        <f t="shared" ca="1" si="189"/>
        <v>#REF!</v>
      </c>
      <c r="Q403" s="1219" t="e">
        <f ca="1">IF(AND(INDEX(FlowCalConstA,MATCH(N396,FlowCalNumber,0),1,1)*P403^INDEX(FlowCalConstB,MATCH(N396,FlowCalNumber,0),1,1)&gt;INDEX(FlowCalLowSetting,MATCH(N396,FlowCalNumber,0),1,1), (INDEX(FlowCalConstA,MATCH(N396,FlowCalNumber,0),1,1)*P403^INDEX(FlowCalConstB,MATCH(N396,FlowCalNumber,0),1,1)&lt;INDEX(FlowCalHighSetting,MATCH(N396,FlowCalNumber,0),1,1))),INDEX(FlowCalConstA,MATCH(N396,FlowCalNumber,0),1,1)*P403^INDEX(FlowCalConstB,MATCH(N396,FlowCalNumber,0),1,1)," ")</f>
        <v>#REF!</v>
      </c>
      <c r="R403" s="1224"/>
      <c r="S403" s="1217">
        <f t="shared" si="190"/>
        <v>1</v>
      </c>
      <c r="T403" s="1218" t="e">
        <f t="shared" ca="1" si="191"/>
        <v>#REF!</v>
      </c>
      <c r="U403" s="1219" t="e">
        <f ca="1">IF(AND(INDEX(FlowCalConstA,MATCH(R396,FlowCalNumber,0),1,1)*T403^INDEX(FlowCalConstB,MATCH(R396,FlowCalNumber,0),1,1)&gt;INDEX(FlowCalLowSetting,MATCH(R396,FlowCalNumber,0),1,1), (INDEX(FlowCalConstA,MATCH(R396,FlowCalNumber,0),1,1)*T403^INDEX(FlowCalConstB,MATCH(R396,FlowCalNumber,0),1,1)&lt;INDEX(FlowCalHighSetting,MATCH(R396,FlowCalNumber,0),1,1))),INDEX(FlowCalConstA,MATCH(R396,FlowCalNumber,0),1,1)*T403^INDEX(FlowCalConstB,MATCH(R396,FlowCalNumber,0),1,1)," ")</f>
        <v>#REF!</v>
      </c>
      <c r="V403" s="1224"/>
      <c r="W403" s="1217"/>
      <c r="X403" s="1218"/>
      <c r="Y403" s="1219"/>
      <c r="Z403" s="1224"/>
      <c r="AA403" s="1217"/>
      <c r="AB403" s="1218"/>
      <c r="AC403" s="1219"/>
      <c r="AD403" s="1224"/>
      <c r="AE403" s="1217"/>
      <c r="AF403" s="1218"/>
      <c r="AG403" s="1219"/>
      <c r="AH403" s="1224"/>
      <c r="AI403" s="1217"/>
      <c r="AJ403" s="1218"/>
      <c r="AK403" s="1220"/>
      <c r="AL403" s="1219"/>
      <c r="AM403" s="1219"/>
      <c r="AN403" s="1219"/>
      <c r="AO403" s="1219"/>
      <c r="AP403" s="1219"/>
      <c r="AQ403" s="1219"/>
      <c r="AR403" s="1219"/>
      <c r="AS403" s="1219"/>
      <c r="AT403" s="1219"/>
      <c r="AU403" s="1219"/>
      <c r="AV403" s="1219"/>
      <c r="AW403" s="1219"/>
      <c r="AX403" s="1219"/>
      <c r="AY403" s="1219"/>
      <c r="AZ403" s="1219"/>
      <c r="BA403" s="1219"/>
      <c r="BB403" s="1219"/>
      <c r="BC403" s="1219"/>
      <c r="BD403" s="1219"/>
      <c r="BE403" s="1219"/>
      <c r="BF403" s="1219"/>
      <c r="BG403" s="1219"/>
      <c r="BH403" s="1219"/>
      <c r="BI403" s="1219"/>
      <c r="BJ403" s="1219"/>
      <c r="BK403" s="1219"/>
      <c r="BL403" s="1219"/>
      <c r="BM403" s="1219"/>
      <c r="BN403" s="1219"/>
      <c r="BO403" s="1219"/>
      <c r="BP403" s="1219"/>
      <c r="BQ403" s="1219"/>
      <c r="BR403" s="1219"/>
      <c r="BS403" s="1219"/>
      <c r="BU403" s="1217"/>
      <c r="BW403" s="1219"/>
      <c r="BY403" s="1217"/>
      <c r="CA403" s="1219"/>
      <c r="CC403" s="1217"/>
      <c r="CE403" s="1219"/>
      <c r="CG403" s="1217"/>
      <c r="CI403" s="1219"/>
    </row>
    <row r="404" spans="1:87">
      <c r="A404" s="20"/>
      <c r="B404" s="124" t="str">
        <f t="shared" si="184"/>
        <v/>
      </c>
      <c r="C404" s="235"/>
      <c r="D404" s="24">
        <f>'1% Wind'!$M$89</f>
        <v>7.6</v>
      </c>
      <c r="E404" s="90"/>
      <c r="F404" s="90"/>
      <c r="G404" s="79" t="e">
        <f ca="1">IF(I396=0.9743,$G403,MAX(G403/D403*D404,2))</f>
        <v>#REF!</v>
      </c>
      <c r="H404" s="121" t="e">
        <f t="shared" ca="1" si="185"/>
        <v>#REF!</v>
      </c>
      <c r="J404" s="33"/>
      <c r="K404" s="242">
        <f t="shared" si="186"/>
        <v>1</v>
      </c>
      <c r="L404" s="241" t="e">
        <f t="shared" ca="1" si="187"/>
        <v>#REF!</v>
      </c>
      <c r="M404" s="243" t="e">
        <f ca="1">IF(AND(INDEX(FlowCalConstA,MATCH(J396,FlowCalNumber,0),1,1)*L404^INDEX(FlowCalConstB,MATCH(J396,FlowCalNumber,0),1,1)&gt;INDEX(FlowCalLowSetting,MATCH(J396,FlowCalNumber,0),1,1), (INDEX(FlowCalConstA,MATCH(J396,FlowCalNumber,0),1,1)*L404^INDEX(FlowCalConstB,MATCH(J396,FlowCalNumber,0),1,1)&lt;INDEX(FlowCalHighSetting,MATCH(J396,FlowCalNumber,0),1,1))),INDEX(FlowCalConstA,MATCH(J396,FlowCalNumber,0),1,1)*L404^INDEX(FlowCalConstB,MATCH(J396,FlowCalNumber,0),1,1)," ")</f>
        <v>#REF!</v>
      </c>
      <c r="N404" s="33"/>
      <c r="O404" s="242">
        <f t="shared" si="188"/>
        <v>1</v>
      </c>
      <c r="P404" s="241" t="e">
        <f t="shared" ca="1" si="189"/>
        <v>#REF!</v>
      </c>
      <c r="Q404" s="243" t="e">
        <f ca="1">IF(AND(INDEX(FlowCalConstA,MATCH(N396,FlowCalNumber,0),1,1)*P404^INDEX(FlowCalConstB,MATCH(N396,FlowCalNumber,0),1,1)&gt;INDEX(FlowCalLowSetting,MATCH(N396,FlowCalNumber,0),1,1), (INDEX(FlowCalConstA,MATCH(N396,FlowCalNumber,0),1,1)*P404^INDEX(FlowCalConstB,MATCH(N396,FlowCalNumber,0),1,1)&lt;INDEX(FlowCalHighSetting,MATCH(N396,FlowCalNumber,0),1,1))),INDEX(FlowCalConstA,MATCH(N396,FlowCalNumber,0),1,1)*P404^INDEX(FlowCalConstB,MATCH(N396,FlowCalNumber,0),1,1)," ")</f>
        <v>#REF!</v>
      </c>
      <c r="R404" s="33"/>
      <c r="S404" s="242">
        <f t="shared" si="190"/>
        <v>1</v>
      </c>
      <c r="T404" s="241" t="e">
        <f t="shared" ca="1" si="191"/>
        <v>#REF!</v>
      </c>
      <c r="U404" s="243" t="e">
        <f ca="1">IF(AND(INDEX(FlowCalConstA,MATCH(R396,FlowCalNumber,0),1,1)*T404^INDEX(FlowCalConstB,MATCH(R396,FlowCalNumber,0),1,1)&gt;INDEX(FlowCalLowSetting,MATCH(R396,FlowCalNumber,0),1,1), (INDEX(FlowCalConstA,MATCH(R396,FlowCalNumber,0),1,1)*T404^INDEX(FlowCalConstB,MATCH(R396,FlowCalNumber,0),1,1)&lt;INDEX(FlowCalHighSetting,MATCH(R396,FlowCalNumber,0),1,1))),INDEX(FlowCalConstA,MATCH(R396,FlowCalNumber,0),1,1)*T404^INDEX(FlowCalConstB,MATCH(R396,FlowCalNumber,0),1,1)," ")</f>
        <v>#REF!</v>
      </c>
      <c r="V404" s="33"/>
      <c r="W404" s="242"/>
      <c r="X404" s="241"/>
      <c r="Y404" s="243"/>
      <c r="Z404" s="33"/>
      <c r="AA404" s="242"/>
      <c r="AB404" s="241"/>
      <c r="AC404" s="243"/>
      <c r="AD404" s="33"/>
      <c r="AE404" s="242"/>
      <c r="AF404" s="241"/>
      <c r="AG404" s="243"/>
      <c r="AH404" s="33"/>
      <c r="AI404" s="242"/>
      <c r="AJ404" s="241"/>
      <c r="AK404" s="244"/>
      <c r="AL404" s="243"/>
      <c r="AM404" s="243"/>
      <c r="AN404" s="243"/>
      <c r="AO404" s="243"/>
      <c r="AP404" s="243"/>
      <c r="AQ404" s="243"/>
      <c r="AR404" s="243"/>
      <c r="AS404" s="243"/>
      <c r="AT404" s="243"/>
      <c r="AU404" s="243"/>
      <c r="AV404" s="243"/>
      <c r="AW404" s="243"/>
      <c r="AX404" s="243"/>
      <c r="AY404" s="243"/>
      <c r="AZ404" s="243"/>
      <c r="BA404" s="243"/>
      <c r="BB404" s="243"/>
      <c r="BC404" s="243"/>
      <c r="BD404" s="243"/>
      <c r="BE404" s="243"/>
      <c r="BF404" s="243"/>
      <c r="BG404" s="243"/>
      <c r="BH404" s="243"/>
      <c r="BI404" s="243"/>
      <c r="BJ404" s="243"/>
      <c r="BK404" s="243"/>
      <c r="BL404" s="243"/>
      <c r="BM404" s="243"/>
      <c r="BN404" s="243"/>
      <c r="BO404" s="243"/>
      <c r="BP404" s="243"/>
      <c r="BQ404" s="243"/>
      <c r="BR404" s="243"/>
      <c r="BS404" s="243"/>
      <c r="BU404" s="242"/>
      <c r="BW404" s="243"/>
      <c r="BY404" s="242"/>
      <c r="CA404" s="243"/>
      <c r="CC404" s="242"/>
      <c r="CE404" s="243"/>
      <c r="CG404" s="242"/>
      <c r="CI404" s="243"/>
    </row>
    <row r="405" spans="1:87" s="1215" customFormat="1">
      <c r="A405" s="1222"/>
      <c r="B405" s="1223" t="str">
        <f t="shared" si="184"/>
        <v/>
      </c>
      <c r="C405" s="1210"/>
      <c r="D405" s="1211">
        <f>'1% Wind'!$M$90</f>
        <v>5.7</v>
      </c>
      <c r="E405" s="1212"/>
      <c r="F405" s="1212"/>
      <c r="G405" s="1213" t="e">
        <f ca="1">IF(I396=0.9743,$G404,MAX(G404/D404*D405,2))</f>
        <v>#REF!</v>
      </c>
      <c r="H405" s="1214" t="e">
        <f t="shared" ca="1" si="185"/>
        <v>#REF!</v>
      </c>
      <c r="J405" s="1224"/>
      <c r="K405" s="1217">
        <f t="shared" si="186"/>
        <v>1</v>
      </c>
      <c r="L405" s="1218" t="e">
        <f t="shared" ca="1" si="187"/>
        <v>#REF!</v>
      </c>
      <c r="M405" s="1219" t="e">
        <f ca="1">IF(AND(INDEX(FlowCalConstA,MATCH(J396,FlowCalNumber,0),1,1)*L405^INDEX(FlowCalConstB,MATCH(J396,FlowCalNumber,0),1,1)&gt;INDEX(FlowCalLowSetting,MATCH(J396,FlowCalNumber,0),1,1), (INDEX(FlowCalConstA,MATCH(J396,FlowCalNumber,0),1,1)*L405^INDEX(FlowCalConstB,MATCH(J396,FlowCalNumber,0),1,1)&lt;INDEX(FlowCalHighSetting,MATCH(J396,FlowCalNumber,0),1,1))),INDEX(FlowCalConstA,MATCH(J396,FlowCalNumber,0),1,1)*L405^INDEX(FlowCalConstB,MATCH(J396,FlowCalNumber,0),1,1)," ")</f>
        <v>#REF!</v>
      </c>
      <c r="N405" s="1224"/>
      <c r="O405" s="1217">
        <f t="shared" si="188"/>
        <v>1</v>
      </c>
      <c r="P405" s="1218" t="e">
        <f t="shared" ca="1" si="189"/>
        <v>#REF!</v>
      </c>
      <c r="Q405" s="1219" t="e">
        <f ca="1">IF(AND(INDEX(FlowCalConstA,MATCH(N396,FlowCalNumber,0),1,1)*P405^INDEX(FlowCalConstB,MATCH(N396,FlowCalNumber,0),1,1)&gt;INDEX(FlowCalLowSetting,MATCH(N396,FlowCalNumber,0),1,1), (INDEX(FlowCalConstA,MATCH(N396,FlowCalNumber,0),1,1)*P405^INDEX(FlowCalConstB,MATCH(N396,FlowCalNumber,0),1,1)&lt;INDEX(FlowCalHighSetting,MATCH(N396,FlowCalNumber,0),1,1))),INDEX(FlowCalConstA,MATCH(N396,FlowCalNumber,0),1,1)*P405^INDEX(FlowCalConstB,MATCH(N396,FlowCalNumber,0),1,1)," ")</f>
        <v>#REF!</v>
      </c>
      <c r="R405" s="1224"/>
      <c r="S405" s="1217">
        <f t="shared" si="190"/>
        <v>1</v>
      </c>
      <c r="T405" s="1218" t="e">
        <f t="shared" ca="1" si="191"/>
        <v>#REF!</v>
      </c>
      <c r="U405" s="1219" t="e">
        <f ca="1">IF(AND(INDEX(FlowCalConstA,MATCH(R396,FlowCalNumber,0),1,1)*T405^INDEX(FlowCalConstB,MATCH(R396,FlowCalNumber,0),1,1)&gt;INDEX(FlowCalLowSetting,MATCH(R396,FlowCalNumber,0),1,1), (INDEX(FlowCalConstA,MATCH(R396,FlowCalNumber,0),1,1)*T405^INDEX(FlowCalConstB,MATCH(R396,FlowCalNumber,0),1,1)&lt;INDEX(FlowCalHighSetting,MATCH(R396,FlowCalNumber,0),1,1))),INDEX(FlowCalConstA,MATCH(R396,FlowCalNumber,0),1,1)*T405^INDEX(FlowCalConstB,MATCH(R396,FlowCalNumber,0),1,1)," ")</f>
        <v>#REF!</v>
      </c>
      <c r="V405" s="1224"/>
      <c r="W405" s="1217"/>
      <c r="X405" s="1218"/>
      <c r="Y405" s="1219"/>
      <c r="Z405" s="1224"/>
      <c r="AA405" s="1217"/>
      <c r="AB405" s="1218"/>
      <c r="AC405" s="1219"/>
      <c r="AD405" s="1224"/>
      <c r="AE405" s="1217"/>
      <c r="AF405" s="1218"/>
      <c r="AG405" s="1219"/>
      <c r="AH405" s="1224"/>
      <c r="AI405" s="1217"/>
      <c r="AJ405" s="1218"/>
      <c r="AK405" s="1220"/>
      <c r="AL405" s="1219"/>
      <c r="AM405" s="1219"/>
      <c r="AN405" s="1219"/>
      <c r="AO405" s="1219"/>
      <c r="AP405" s="1219"/>
      <c r="AQ405" s="1219"/>
      <c r="AR405" s="1219"/>
      <c r="AS405" s="1219"/>
      <c r="AT405" s="1219"/>
      <c r="AU405" s="1219"/>
      <c r="AV405" s="1219"/>
      <c r="AW405" s="1219"/>
      <c r="AX405" s="1219"/>
      <c r="AY405" s="1219"/>
      <c r="AZ405" s="1219"/>
      <c r="BA405" s="1219"/>
      <c r="BB405" s="1219"/>
      <c r="BC405" s="1219"/>
      <c r="BD405" s="1219"/>
      <c r="BE405" s="1219"/>
      <c r="BF405" s="1219"/>
      <c r="BG405" s="1219"/>
      <c r="BH405" s="1219"/>
      <c r="BI405" s="1219"/>
      <c r="BJ405" s="1219"/>
      <c r="BK405" s="1219"/>
      <c r="BL405" s="1219"/>
      <c r="BM405" s="1219"/>
      <c r="BN405" s="1219"/>
      <c r="BO405" s="1219"/>
      <c r="BP405" s="1219"/>
      <c r="BQ405" s="1219"/>
      <c r="BR405" s="1219"/>
      <c r="BS405" s="1219"/>
      <c r="BU405" s="1217"/>
      <c r="BW405" s="1219"/>
      <c r="BY405" s="1217"/>
      <c r="CA405" s="1219"/>
      <c r="CC405" s="1217"/>
      <c r="CE405" s="1219"/>
      <c r="CG405" s="1217"/>
      <c r="CI405" s="1219"/>
    </row>
    <row r="406" spans="1:87">
      <c r="A406" s="20"/>
      <c r="B406" s="124" t="str">
        <f t="shared" si="184"/>
        <v/>
      </c>
      <c r="C406" s="235"/>
      <c r="D406" s="24">
        <f>'1% Wind'!$M$91</f>
        <v>4.2</v>
      </c>
      <c r="E406" s="90"/>
      <c r="F406" s="90"/>
      <c r="G406" s="79" t="e">
        <f ca="1">IF(I396=0.9743,$G405,MAX(G405/D405*D406,2))</f>
        <v>#REF!</v>
      </c>
      <c r="H406" s="121" t="e">
        <f t="shared" ca="1" si="185"/>
        <v>#REF!</v>
      </c>
      <c r="J406" s="33"/>
      <c r="K406" s="242">
        <f t="shared" si="186"/>
        <v>1</v>
      </c>
      <c r="L406" s="241" t="e">
        <f t="shared" ca="1" si="187"/>
        <v>#REF!</v>
      </c>
      <c r="M406" s="243" t="e">
        <f ca="1">IF(AND(INDEX(FlowCalConstA,MATCH(J396,FlowCalNumber,0),1,1)*L406^INDEX(FlowCalConstB,MATCH(J396,FlowCalNumber,0),1,1)&gt;INDEX(FlowCalLowSetting,MATCH(J396,FlowCalNumber,0),1,1), (INDEX(FlowCalConstA,MATCH(J396,FlowCalNumber,0),1,1)*L406^INDEX(FlowCalConstB,MATCH(J396,FlowCalNumber,0),1,1)&lt;INDEX(FlowCalHighSetting,MATCH(J396,FlowCalNumber,0),1,1))),INDEX(FlowCalConstA,MATCH(J396,FlowCalNumber,0),1,1)*L406^INDEX(FlowCalConstB,MATCH(J396,FlowCalNumber,0),1,1)," ")</f>
        <v>#REF!</v>
      </c>
      <c r="N406" s="33"/>
      <c r="O406" s="242">
        <f t="shared" si="188"/>
        <v>1</v>
      </c>
      <c r="P406" s="241" t="e">
        <f t="shared" ca="1" si="189"/>
        <v>#REF!</v>
      </c>
      <c r="Q406" s="243" t="e">
        <f ca="1">IF(AND(INDEX(FlowCalConstA,MATCH(N396,FlowCalNumber,0),1,1)*P406^INDEX(FlowCalConstB,MATCH(N396,FlowCalNumber,0),1,1)&gt;INDEX(FlowCalLowSetting,MATCH(N396,FlowCalNumber,0),1,1), (INDEX(FlowCalConstA,MATCH(N396,FlowCalNumber,0),1,1)*P406^INDEX(FlowCalConstB,MATCH(N396,FlowCalNumber,0),1,1)&lt;INDEX(FlowCalHighSetting,MATCH(N396,FlowCalNumber,0),1,1))),INDEX(FlowCalConstA,MATCH(N396,FlowCalNumber,0),1,1)*P406^INDEX(FlowCalConstB,MATCH(N396,FlowCalNumber,0),1,1)," ")</f>
        <v>#REF!</v>
      </c>
      <c r="R406" s="33"/>
      <c r="S406" s="242">
        <f t="shared" si="190"/>
        <v>1</v>
      </c>
      <c r="T406" s="241" t="e">
        <f t="shared" ca="1" si="191"/>
        <v>#REF!</v>
      </c>
      <c r="U406" s="243" t="e">
        <f ca="1">IF(AND(INDEX(FlowCalConstA,MATCH(R396,FlowCalNumber,0),1,1)*T406^INDEX(FlowCalConstB,MATCH(R396,FlowCalNumber,0),1,1)&gt;INDEX(FlowCalLowSetting,MATCH(R396,FlowCalNumber,0),1,1), (INDEX(FlowCalConstA,MATCH(R396,FlowCalNumber,0),1,1)*T406^INDEX(FlowCalConstB,MATCH(R396,FlowCalNumber,0),1,1)&lt;INDEX(FlowCalHighSetting,MATCH(R396,FlowCalNumber,0),1,1))),INDEX(FlowCalConstA,MATCH(R396,FlowCalNumber,0),1,1)*T406^INDEX(FlowCalConstB,MATCH(R396,FlowCalNumber,0),1,1)," ")</f>
        <v>#REF!</v>
      </c>
      <c r="V406" s="33"/>
      <c r="W406" s="242"/>
      <c r="X406" s="241"/>
      <c r="Y406" s="243"/>
      <c r="Z406" s="33"/>
      <c r="AA406" s="242"/>
      <c r="AB406" s="241"/>
      <c r="AC406" s="243"/>
      <c r="AD406" s="33"/>
      <c r="AE406" s="242"/>
      <c r="AF406" s="241"/>
      <c r="AG406" s="243"/>
      <c r="AH406" s="33"/>
      <c r="AI406" s="242"/>
      <c r="AJ406" s="241"/>
      <c r="AK406" s="244"/>
      <c r="AL406" s="243"/>
      <c r="AM406" s="243"/>
      <c r="AN406" s="243"/>
      <c r="AO406" s="243"/>
      <c r="AP406" s="243"/>
      <c r="AQ406" s="243"/>
      <c r="AR406" s="243"/>
      <c r="AS406" s="243"/>
      <c r="AT406" s="243"/>
      <c r="AU406" s="243"/>
      <c r="AV406" s="243"/>
      <c r="AW406" s="243"/>
      <c r="AX406" s="243"/>
      <c r="AY406" s="243"/>
      <c r="AZ406" s="243"/>
      <c r="BA406" s="243"/>
      <c r="BB406" s="243"/>
      <c r="BC406" s="243"/>
      <c r="BD406" s="243"/>
      <c r="BE406" s="243"/>
      <c r="BF406" s="243"/>
      <c r="BG406" s="243"/>
      <c r="BH406" s="243"/>
      <c r="BI406" s="243"/>
      <c r="BJ406" s="243"/>
      <c r="BK406" s="243"/>
      <c r="BL406" s="243"/>
      <c r="BM406" s="243"/>
      <c r="BN406" s="243"/>
      <c r="BO406" s="243"/>
      <c r="BP406" s="243"/>
      <c r="BQ406" s="243"/>
      <c r="BR406" s="243"/>
      <c r="BS406" s="243"/>
      <c r="BU406" s="242"/>
      <c r="BW406" s="243"/>
      <c r="BY406" s="242"/>
      <c r="CA406" s="243"/>
      <c r="CC406" s="242"/>
      <c r="CE406" s="243"/>
      <c r="CG406" s="242"/>
      <c r="CI406" s="243"/>
    </row>
    <row r="407" spans="1:87" s="1215" customFormat="1">
      <c r="A407" s="1222"/>
      <c r="B407" s="1223" t="str">
        <f t="shared" si="184"/>
        <v/>
      </c>
      <c r="C407" s="1210"/>
      <c r="D407" s="1211">
        <f>'1% Wind'!$M$92</f>
        <v>3.2</v>
      </c>
      <c r="E407" s="1212"/>
      <c r="F407" s="1212"/>
      <c r="G407" s="1213" t="e">
        <f ca="1">IF(I396=0.9743,$G406,MAX(G406/D406*D407,2))</f>
        <v>#REF!</v>
      </c>
      <c r="H407" s="1214" t="e">
        <f t="shared" ca="1" si="185"/>
        <v>#REF!</v>
      </c>
      <c r="J407" s="1224"/>
      <c r="K407" s="1217">
        <f t="shared" si="186"/>
        <v>1</v>
      </c>
      <c r="L407" s="1218" t="e">
        <f t="shared" ca="1" si="187"/>
        <v>#REF!</v>
      </c>
      <c r="M407" s="1219" t="e">
        <f ca="1">IF(AND(INDEX(FlowCalConstA,MATCH(J396,FlowCalNumber,0),1,1)*L407^INDEX(FlowCalConstB,MATCH(J396,FlowCalNumber,0),1,1)&gt;INDEX(FlowCalLowSetting,MATCH(J396,FlowCalNumber,0),1,1), (INDEX(FlowCalConstA,MATCH(J396,FlowCalNumber,0),1,1)*L407^INDEX(FlowCalConstB,MATCH(J396,FlowCalNumber,0),1,1)&lt;INDEX(FlowCalHighSetting,MATCH(J396,FlowCalNumber,0),1,1))),INDEX(FlowCalConstA,MATCH(J396,FlowCalNumber,0),1,1)*L407^INDEX(FlowCalConstB,MATCH(J396,FlowCalNumber,0),1,1)," ")</f>
        <v>#REF!</v>
      </c>
      <c r="N407" s="1224"/>
      <c r="O407" s="1217">
        <f t="shared" si="188"/>
        <v>1</v>
      </c>
      <c r="P407" s="1218" t="e">
        <f t="shared" ca="1" si="189"/>
        <v>#REF!</v>
      </c>
      <c r="Q407" s="1219" t="e">
        <f ca="1">IF(AND(INDEX(FlowCalConstA,MATCH(N396,FlowCalNumber,0),1,1)*P407^INDEX(FlowCalConstB,MATCH(N396,FlowCalNumber,0),1,1)&gt;INDEX(FlowCalLowSetting,MATCH(N396,FlowCalNumber,0),1,1), (INDEX(FlowCalConstA,MATCH(N396,FlowCalNumber,0),1,1)*P407^INDEX(FlowCalConstB,MATCH(N396,FlowCalNumber,0),1,1)&lt;INDEX(FlowCalHighSetting,MATCH(N396,FlowCalNumber,0),1,1))),INDEX(FlowCalConstA,MATCH(N396,FlowCalNumber,0),1,1)*P407^INDEX(FlowCalConstB,MATCH(N396,FlowCalNumber,0),1,1)," ")</f>
        <v>#REF!</v>
      </c>
      <c r="R407" s="1224"/>
      <c r="S407" s="1217">
        <f t="shared" si="190"/>
        <v>1</v>
      </c>
      <c r="T407" s="1218" t="e">
        <f t="shared" ca="1" si="191"/>
        <v>#REF!</v>
      </c>
      <c r="U407" s="1219" t="e">
        <f ca="1">IF(AND(INDEX(FlowCalConstA,MATCH(R396,FlowCalNumber,0),1,1)*T407^INDEX(FlowCalConstB,MATCH(R396,FlowCalNumber,0),1,1)&gt;INDEX(FlowCalLowSetting,MATCH(R396,FlowCalNumber,0),1,1), (INDEX(FlowCalConstA,MATCH(R396,FlowCalNumber,0),1,1)*T407^INDEX(FlowCalConstB,MATCH(R396,FlowCalNumber,0),1,1)&lt;INDEX(FlowCalHighSetting,MATCH(R396,FlowCalNumber,0),1,1))),INDEX(FlowCalConstA,MATCH(R396,FlowCalNumber,0),1,1)*T407^INDEX(FlowCalConstB,MATCH(R396,FlowCalNumber,0),1,1)," ")</f>
        <v>#REF!</v>
      </c>
      <c r="V407" s="1224"/>
      <c r="W407" s="1217"/>
      <c r="X407" s="1218"/>
      <c r="Y407" s="1219"/>
      <c r="Z407" s="1224"/>
      <c r="AA407" s="1217"/>
      <c r="AB407" s="1218"/>
      <c r="AC407" s="1219"/>
      <c r="AD407" s="1224"/>
      <c r="AE407" s="1217"/>
      <c r="AF407" s="1218"/>
      <c r="AG407" s="1219"/>
      <c r="AH407" s="1224"/>
      <c r="AI407" s="1217"/>
      <c r="AJ407" s="1218"/>
      <c r="AK407" s="1220"/>
      <c r="AL407" s="1219"/>
      <c r="AM407" s="1219"/>
      <c r="AN407" s="1219"/>
      <c r="AO407" s="1219"/>
      <c r="AP407" s="1219"/>
      <c r="AQ407" s="1219"/>
      <c r="AR407" s="1219"/>
      <c r="AS407" s="1219"/>
      <c r="AT407" s="1219"/>
      <c r="AU407" s="1219"/>
      <c r="AV407" s="1219"/>
      <c r="AW407" s="1219"/>
      <c r="AX407" s="1219"/>
      <c r="AY407" s="1219"/>
      <c r="AZ407" s="1219"/>
      <c r="BA407" s="1219"/>
      <c r="BB407" s="1219"/>
      <c r="BC407" s="1219"/>
      <c r="BD407" s="1219"/>
      <c r="BE407" s="1219"/>
      <c r="BF407" s="1219"/>
      <c r="BG407" s="1219"/>
      <c r="BH407" s="1219"/>
      <c r="BI407" s="1219"/>
      <c r="BJ407" s="1219"/>
      <c r="BK407" s="1219"/>
      <c r="BL407" s="1219"/>
      <c r="BM407" s="1219"/>
      <c r="BN407" s="1219"/>
      <c r="BO407" s="1219"/>
      <c r="BP407" s="1219"/>
      <c r="BQ407" s="1219"/>
      <c r="BR407" s="1219"/>
      <c r="BS407" s="1219"/>
      <c r="BU407" s="1217"/>
      <c r="BW407" s="1219"/>
      <c r="BY407" s="1217"/>
      <c r="CA407" s="1219"/>
      <c r="CC407" s="1217"/>
      <c r="CE407" s="1219"/>
      <c r="CG407" s="1217"/>
      <c r="CI407" s="1219"/>
    </row>
    <row r="408" spans="1:87">
      <c r="A408" s="20"/>
      <c r="B408" s="124" t="str">
        <f t="shared" si="184"/>
        <v/>
      </c>
      <c r="C408" s="235"/>
      <c r="D408" s="24">
        <f>'1% Wind'!$M$93</f>
        <v>2.4</v>
      </c>
      <c r="E408" s="90"/>
      <c r="F408" s="90"/>
      <c r="G408" s="79" t="e">
        <f ca="1">IF(I396=0.9743,$G407,MAX(G407/D407*D408,2))</f>
        <v>#REF!</v>
      </c>
      <c r="H408" s="121" t="e">
        <f t="shared" ca="1" si="185"/>
        <v>#REF!</v>
      </c>
      <c r="J408" s="33"/>
      <c r="K408" s="242">
        <f t="shared" si="186"/>
        <v>1</v>
      </c>
      <c r="L408" s="241" t="e">
        <f t="shared" ca="1" si="187"/>
        <v>#REF!</v>
      </c>
      <c r="M408" s="243" t="e">
        <f ca="1">IF(AND(INDEX(FlowCalConstA,MATCH(J396,FlowCalNumber,0),1,1)*L408^INDEX(FlowCalConstB,MATCH(J396,FlowCalNumber,0),1,1)&gt;INDEX(FlowCalLowSetting,MATCH(J396,FlowCalNumber,0),1,1), (INDEX(FlowCalConstA,MATCH(J396,FlowCalNumber,0),1,1)*L408^INDEX(FlowCalConstB,MATCH(J396,FlowCalNumber,0),1,1)&lt;INDEX(FlowCalHighSetting,MATCH(J396,FlowCalNumber,0),1,1))),INDEX(FlowCalConstA,MATCH(J396,FlowCalNumber,0),1,1)*L408^INDEX(FlowCalConstB,MATCH(J396,FlowCalNumber,0),1,1)," ")</f>
        <v>#REF!</v>
      </c>
      <c r="N408" s="33"/>
      <c r="O408" s="242">
        <f t="shared" si="188"/>
        <v>1</v>
      </c>
      <c r="P408" s="241" t="e">
        <f t="shared" ca="1" si="189"/>
        <v>#REF!</v>
      </c>
      <c r="Q408" s="243" t="e">
        <f ca="1">IF(AND(INDEX(FlowCalConstA,MATCH(N396,FlowCalNumber,0),1,1)*P408^INDEX(FlowCalConstB,MATCH(N396,FlowCalNumber,0),1,1)&gt;INDEX(FlowCalLowSetting,MATCH(N396,FlowCalNumber,0),1,1), (INDEX(FlowCalConstA,MATCH(N396,FlowCalNumber,0),1,1)*P408^INDEX(FlowCalConstB,MATCH(N396,FlowCalNumber,0),1,1)&lt;INDEX(FlowCalHighSetting,MATCH(N396,FlowCalNumber,0),1,1))),INDEX(FlowCalConstA,MATCH(N396,FlowCalNumber,0),1,1)*P408^INDEX(FlowCalConstB,MATCH(N396,FlowCalNumber,0),1,1)," ")</f>
        <v>#REF!</v>
      </c>
      <c r="R408" s="33"/>
      <c r="S408" s="242">
        <f t="shared" si="190"/>
        <v>1</v>
      </c>
      <c r="T408" s="241" t="e">
        <f t="shared" ca="1" si="191"/>
        <v>#REF!</v>
      </c>
      <c r="U408" s="243" t="e">
        <f ca="1">IF(AND(INDEX(FlowCalConstA,MATCH(R396,FlowCalNumber,0),1,1)*T408^INDEX(FlowCalConstB,MATCH(R396,FlowCalNumber,0),1,1)&gt;INDEX(FlowCalLowSetting,MATCH(R396,FlowCalNumber,0),1,1), (INDEX(FlowCalConstA,MATCH(R396,FlowCalNumber,0),1,1)*T408^INDEX(FlowCalConstB,MATCH(R396,FlowCalNumber,0),1,1)&lt;INDEX(FlowCalHighSetting,MATCH(R396,FlowCalNumber,0),1,1))),INDEX(FlowCalConstA,MATCH(R396,FlowCalNumber,0),1,1)*T408^INDEX(FlowCalConstB,MATCH(R396,FlowCalNumber,0),1,1)," ")</f>
        <v>#REF!</v>
      </c>
      <c r="V408" s="33"/>
      <c r="W408" s="242"/>
      <c r="X408" s="241"/>
      <c r="Y408" s="243"/>
      <c r="Z408" s="33"/>
      <c r="AA408" s="242"/>
      <c r="AB408" s="241"/>
      <c r="AC408" s="243"/>
      <c r="AD408" s="33"/>
      <c r="AE408" s="242"/>
      <c r="AF408" s="241"/>
      <c r="AG408" s="243"/>
      <c r="AH408" s="33"/>
      <c r="AI408" s="242"/>
      <c r="AJ408" s="241"/>
      <c r="AK408" s="244"/>
      <c r="AL408" s="243"/>
      <c r="AM408" s="243"/>
      <c r="AN408" s="243"/>
      <c r="AO408" s="243"/>
      <c r="AP408" s="243"/>
      <c r="AQ408" s="243"/>
      <c r="AR408" s="243"/>
      <c r="AS408" s="243"/>
      <c r="AT408" s="243"/>
      <c r="AU408" s="243"/>
      <c r="AV408" s="243"/>
      <c r="AW408" s="243"/>
      <c r="AX408" s="243"/>
      <c r="AY408" s="243"/>
      <c r="AZ408" s="243"/>
      <c r="BA408" s="243"/>
      <c r="BB408" s="243"/>
      <c r="BC408" s="243"/>
      <c r="BD408" s="243"/>
      <c r="BE408" s="243"/>
      <c r="BF408" s="243"/>
      <c r="BG408" s="243"/>
      <c r="BH408" s="243"/>
      <c r="BI408" s="243"/>
      <c r="BJ408" s="243"/>
      <c r="BK408" s="243"/>
      <c r="BL408" s="243"/>
      <c r="BM408" s="243"/>
      <c r="BN408" s="243"/>
      <c r="BO408" s="243"/>
      <c r="BP408" s="243"/>
      <c r="BQ408" s="243"/>
      <c r="BR408" s="243"/>
      <c r="BS408" s="243"/>
      <c r="BU408" s="242"/>
      <c r="BW408" s="243"/>
      <c r="BY408" s="242"/>
      <c r="CA408" s="243"/>
      <c r="CC408" s="242"/>
      <c r="CE408" s="243"/>
      <c r="CG408" s="242"/>
      <c r="CI408" s="243"/>
    </row>
    <row r="409" spans="1:87" s="1215" customFormat="1">
      <c r="A409" s="1222"/>
      <c r="B409" s="1223" t="str">
        <f t="shared" si="184"/>
        <v/>
      </c>
      <c r="C409" s="1210"/>
      <c r="D409" s="1211">
        <f>'1% Wind'!$M$94</f>
        <v>1.8</v>
      </c>
      <c r="E409" s="1212"/>
      <c r="F409" s="1212"/>
      <c r="G409" s="1213" t="e">
        <f ca="1">IF(I396=0.9743,$G408,MAX(G408/D408*D409,2))</f>
        <v>#REF!</v>
      </c>
      <c r="H409" s="1214" t="e">
        <f t="shared" ca="1" si="185"/>
        <v>#REF!</v>
      </c>
      <c r="J409" s="1224"/>
      <c r="K409" s="1217">
        <f t="shared" si="186"/>
        <v>1</v>
      </c>
      <c r="L409" s="1218" t="e">
        <f t="shared" ca="1" si="187"/>
        <v>#REF!</v>
      </c>
      <c r="M409" s="1219" t="e">
        <f ca="1">IF(AND(INDEX(FlowCalConstA,MATCH(J396,FlowCalNumber,0),1,1)*L409^INDEX(FlowCalConstB,MATCH(J396,FlowCalNumber,0),1,1)&gt;INDEX(FlowCalLowSetting,MATCH(J396,FlowCalNumber,0),1,1), (INDEX(FlowCalConstA,MATCH(J396,FlowCalNumber,0),1,1)*L409^INDEX(FlowCalConstB,MATCH(J396,FlowCalNumber,0),1,1)&lt;INDEX(FlowCalHighSetting,MATCH(J396,FlowCalNumber,0),1,1))),INDEX(FlowCalConstA,MATCH(J396,FlowCalNumber,0),1,1)*L409^INDEX(FlowCalConstB,MATCH(J396,FlowCalNumber,0),1,1)," ")</f>
        <v>#REF!</v>
      </c>
      <c r="N409" s="1224"/>
      <c r="O409" s="1217">
        <f t="shared" si="188"/>
        <v>1</v>
      </c>
      <c r="P409" s="1218" t="e">
        <f t="shared" ca="1" si="189"/>
        <v>#REF!</v>
      </c>
      <c r="Q409" s="1219" t="e">
        <f ca="1">IF(AND(INDEX(FlowCalConstA,MATCH(N396,FlowCalNumber,0),1,1)*P409^INDEX(FlowCalConstB,MATCH(N396,FlowCalNumber,0),1,1)&gt;INDEX(FlowCalLowSetting,MATCH(N396,FlowCalNumber,0),1,1), (INDEX(FlowCalConstA,MATCH(N396,FlowCalNumber,0),1,1)*P409^INDEX(FlowCalConstB,MATCH(N396,FlowCalNumber,0),1,1)&lt;INDEX(FlowCalHighSetting,MATCH(N396,FlowCalNumber,0),1,1))),INDEX(FlowCalConstA,MATCH(N396,FlowCalNumber,0),1,1)*P409^INDEX(FlowCalConstB,MATCH(N396,FlowCalNumber,0),1,1)," ")</f>
        <v>#REF!</v>
      </c>
      <c r="R409" s="1224"/>
      <c r="S409" s="1217">
        <f t="shared" si="190"/>
        <v>1</v>
      </c>
      <c r="T409" s="1218" t="e">
        <f t="shared" ca="1" si="191"/>
        <v>#REF!</v>
      </c>
      <c r="U409" s="1219" t="e">
        <f ca="1">IF(AND(INDEX(FlowCalConstA,MATCH(R396,FlowCalNumber,0),1,1)*T409^INDEX(FlowCalConstB,MATCH(R396,FlowCalNumber,0),1,1)&gt;INDEX(FlowCalLowSetting,MATCH(R396,FlowCalNumber,0),1,1), (INDEX(FlowCalConstA,MATCH(R396,FlowCalNumber,0),1,1)*T409^INDEX(FlowCalConstB,MATCH(R396,FlowCalNumber,0),1,1)&lt;INDEX(FlowCalHighSetting,MATCH(R396,FlowCalNumber,0),1,1))),INDEX(FlowCalConstA,MATCH(R396,FlowCalNumber,0),1,1)*T409^INDEX(FlowCalConstB,MATCH(R396,FlowCalNumber,0),1,1)," ")</f>
        <v>#REF!</v>
      </c>
      <c r="V409" s="1224"/>
      <c r="W409" s="1217"/>
      <c r="X409" s="1218"/>
      <c r="Y409" s="1219"/>
      <c r="Z409" s="1224"/>
      <c r="AA409" s="1217"/>
      <c r="AB409" s="1218"/>
      <c r="AC409" s="1219"/>
      <c r="AD409" s="1224"/>
      <c r="AE409" s="1217"/>
      <c r="AF409" s="1218"/>
      <c r="AG409" s="1219"/>
      <c r="AH409" s="1224"/>
      <c r="AI409" s="1217"/>
      <c r="AJ409" s="1218"/>
      <c r="AK409" s="1220"/>
      <c r="AL409" s="1219"/>
      <c r="AM409" s="1219"/>
      <c r="AN409" s="1219"/>
      <c r="AO409" s="1219"/>
      <c r="AP409" s="1219"/>
      <c r="AQ409" s="1219"/>
      <c r="AR409" s="1219"/>
      <c r="AS409" s="1219"/>
      <c r="AT409" s="1219"/>
      <c r="AU409" s="1219"/>
      <c r="AV409" s="1219"/>
      <c r="AW409" s="1219"/>
      <c r="AX409" s="1219"/>
      <c r="AY409" s="1219"/>
      <c r="AZ409" s="1219"/>
      <c r="BA409" s="1219"/>
      <c r="BB409" s="1219"/>
      <c r="BC409" s="1219"/>
      <c r="BD409" s="1219"/>
      <c r="BE409" s="1219"/>
      <c r="BF409" s="1219"/>
      <c r="BG409" s="1219"/>
      <c r="BH409" s="1219"/>
      <c r="BI409" s="1219"/>
      <c r="BJ409" s="1219"/>
      <c r="BK409" s="1219"/>
      <c r="BL409" s="1219"/>
      <c r="BM409" s="1219"/>
      <c r="BN409" s="1219"/>
      <c r="BO409" s="1219"/>
      <c r="BP409" s="1219"/>
      <c r="BQ409" s="1219"/>
      <c r="BR409" s="1219"/>
      <c r="BS409" s="1219"/>
      <c r="BU409" s="1217"/>
      <c r="BW409" s="1219"/>
      <c r="BY409" s="1217"/>
      <c r="CA409" s="1219"/>
      <c r="CC409" s="1217"/>
      <c r="CE409" s="1219"/>
      <c r="CG409" s="1217"/>
      <c r="CI409" s="1219"/>
    </row>
    <row r="410" spans="1:87">
      <c r="A410" s="20"/>
      <c r="B410" s="124" t="str">
        <f t="shared" si="184"/>
        <v/>
      </c>
      <c r="C410" s="235"/>
      <c r="D410" s="24">
        <f>'1% Wind'!$M$95</f>
        <v>1.3</v>
      </c>
      <c r="E410" s="90"/>
      <c r="F410" s="90"/>
      <c r="G410" s="79" t="e">
        <f ca="1">IF(I396=0.9743,$G409,MAX(G409/D409*D410,2))</f>
        <v>#REF!</v>
      </c>
      <c r="H410" s="121" t="e">
        <f t="shared" ca="1" si="185"/>
        <v>#REF!</v>
      </c>
      <c r="J410" s="33"/>
      <c r="K410" s="242">
        <f t="shared" si="186"/>
        <v>1</v>
      </c>
      <c r="L410" s="241" t="e">
        <f t="shared" ca="1" si="187"/>
        <v>#REF!</v>
      </c>
      <c r="M410" s="243" t="e">
        <f ca="1">IF(AND(INDEX(FlowCalConstA,MATCH(J396,FlowCalNumber,0),1,1)*L410^INDEX(FlowCalConstB,MATCH(J396,FlowCalNumber,0),1,1)&gt;INDEX(FlowCalLowSetting,MATCH(J396,FlowCalNumber,0),1,1), (INDEX(FlowCalConstA,MATCH(J396,FlowCalNumber,0),1,1)*L410^INDEX(FlowCalConstB,MATCH(J396,FlowCalNumber,0),1,1)&lt;INDEX(FlowCalHighSetting,MATCH(J396,FlowCalNumber,0),1,1))),INDEX(FlowCalConstA,MATCH(J396,FlowCalNumber,0),1,1)*L410^INDEX(FlowCalConstB,MATCH(J396,FlowCalNumber,0),1,1)," ")</f>
        <v>#REF!</v>
      </c>
      <c r="N410" s="33"/>
      <c r="O410" s="242">
        <f t="shared" si="188"/>
        <v>1</v>
      </c>
      <c r="P410" s="241" t="e">
        <f t="shared" ca="1" si="189"/>
        <v>#REF!</v>
      </c>
      <c r="Q410" s="243" t="e">
        <f ca="1">IF(AND(INDEX(FlowCalConstA,MATCH(N396,FlowCalNumber,0),1,1)*P410^INDEX(FlowCalConstB,MATCH(N396,FlowCalNumber,0),1,1)&gt;INDEX(FlowCalLowSetting,MATCH(N396,FlowCalNumber,0),1,1), (INDEX(FlowCalConstA,MATCH(N396,FlowCalNumber,0),1,1)*P410^INDEX(FlowCalConstB,MATCH(N396,FlowCalNumber,0),1,1)&lt;INDEX(FlowCalHighSetting,MATCH(N396,FlowCalNumber,0),1,1))),INDEX(FlowCalConstA,MATCH(N396,FlowCalNumber,0),1,1)*P410^INDEX(FlowCalConstB,MATCH(N396,FlowCalNumber,0),1,1)," ")</f>
        <v>#REF!</v>
      </c>
      <c r="R410" s="33"/>
      <c r="S410" s="242">
        <f t="shared" si="190"/>
        <v>1</v>
      </c>
      <c r="T410" s="241" t="e">
        <f t="shared" ca="1" si="191"/>
        <v>#REF!</v>
      </c>
      <c r="U410" s="243" t="e">
        <f ca="1">IF(AND(INDEX(FlowCalConstA,MATCH(R396,FlowCalNumber,0),1,1)*T410^INDEX(FlowCalConstB,MATCH(R396,FlowCalNumber,0),1,1)&gt;INDEX(FlowCalLowSetting,MATCH(R396,FlowCalNumber,0),1,1), (INDEX(FlowCalConstA,MATCH(R396,FlowCalNumber,0),1,1)*T410^INDEX(FlowCalConstB,MATCH(R396,FlowCalNumber,0),1,1)&lt;INDEX(FlowCalHighSetting,MATCH(R396,FlowCalNumber,0),1,1))),INDEX(FlowCalConstA,MATCH(R396,FlowCalNumber,0),1,1)*T410^INDEX(FlowCalConstB,MATCH(R396,FlowCalNumber,0),1,1)," ")</f>
        <v>#REF!</v>
      </c>
      <c r="V410" s="33"/>
      <c r="W410" s="242"/>
      <c r="X410" s="241"/>
      <c r="Y410" s="243"/>
      <c r="Z410" s="33"/>
      <c r="AA410" s="242"/>
      <c r="AB410" s="241"/>
      <c r="AC410" s="243"/>
      <c r="AD410" s="33"/>
      <c r="AE410" s="242"/>
      <c r="AF410" s="241"/>
      <c r="AG410" s="243"/>
      <c r="AH410" s="33"/>
      <c r="AI410" s="242"/>
      <c r="AJ410" s="241"/>
      <c r="AK410" s="244"/>
      <c r="AL410" s="243"/>
      <c r="AM410" s="243"/>
      <c r="AN410" s="243"/>
      <c r="AO410" s="243"/>
      <c r="AP410" s="243"/>
      <c r="AQ410" s="243"/>
      <c r="AR410" s="243"/>
      <c r="AS410" s="243"/>
      <c r="AT410" s="243"/>
      <c r="AU410" s="243"/>
      <c r="AV410" s="243"/>
      <c r="AW410" s="243"/>
      <c r="AX410" s="243"/>
      <c r="AY410" s="243"/>
      <c r="AZ410" s="243"/>
      <c r="BA410" s="243"/>
      <c r="BB410" s="243"/>
      <c r="BC410" s="243"/>
      <c r="BD410" s="243"/>
      <c r="BE410" s="243"/>
      <c r="BF410" s="243"/>
      <c r="BG410" s="243"/>
      <c r="BH410" s="243"/>
      <c r="BI410" s="243"/>
      <c r="BJ410" s="243"/>
      <c r="BK410" s="243"/>
      <c r="BL410" s="243"/>
      <c r="BM410" s="243"/>
      <c r="BN410" s="243"/>
      <c r="BO410" s="243"/>
      <c r="BP410" s="243"/>
      <c r="BQ410" s="243"/>
      <c r="BR410" s="243"/>
      <c r="BS410" s="243"/>
      <c r="BU410" s="242"/>
      <c r="BW410" s="243"/>
      <c r="BY410" s="242"/>
      <c r="CA410" s="243"/>
      <c r="CC410" s="242"/>
      <c r="CE410" s="243"/>
      <c r="CG410" s="242"/>
      <c r="CI410" s="243"/>
    </row>
    <row r="411" spans="1:87" s="1215" customFormat="1">
      <c r="A411" s="1222"/>
      <c r="B411" s="1223" t="str">
        <f t="shared" si="184"/>
        <v/>
      </c>
      <c r="C411" s="1210"/>
      <c r="D411" s="1211">
        <f>'1% Wind'!$M$96</f>
        <v>1</v>
      </c>
      <c r="E411" s="1212"/>
      <c r="F411" s="1212"/>
      <c r="G411" s="1213" t="e">
        <f ca="1">IF(I396=0.9743,$G410,MAX(G410/D410*D411,2))</f>
        <v>#REF!</v>
      </c>
      <c r="H411" s="1214" t="e">
        <f t="shared" ca="1" si="185"/>
        <v>#REF!</v>
      </c>
      <c r="J411" s="1224"/>
      <c r="K411" s="1217">
        <f t="shared" si="186"/>
        <v>1</v>
      </c>
      <c r="L411" s="1218" t="e">
        <f t="shared" ca="1" si="187"/>
        <v>#REF!</v>
      </c>
      <c r="M411" s="1219" t="e">
        <f ca="1">IF(AND(INDEX(FlowCalConstA,MATCH(J396,FlowCalNumber,0),1,1)*L411^INDEX(FlowCalConstB,MATCH(J396,FlowCalNumber,0),1,1)&gt;INDEX(FlowCalLowSetting,MATCH(J396,FlowCalNumber,0),1,1), (INDEX(FlowCalConstA,MATCH(J396,FlowCalNumber,0),1,1)*L411^INDEX(FlowCalConstB,MATCH(J396,FlowCalNumber,0),1,1)&lt;INDEX(FlowCalHighSetting,MATCH(J396,FlowCalNumber,0),1,1))),INDEX(FlowCalConstA,MATCH(J396,FlowCalNumber,0),1,1)*L411^INDEX(FlowCalConstB,MATCH(J396,FlowCalNumber,0),1,1)," ")</f>
        <v>#REF!</v>
      </c>
      <c r="N411" s="1224"/>
      <c r="O411" s="1217">
        <f t="shared" si="188"/>
        <v>1</v>
      </c>
      <c r="P411" s="1218" t="e">
        <f t="shared" ca="1" si="189"/>
        <v>#REF!</v>
      </c>
      <c r="Q411" s="1219" t="e">
        <f ca="1">IF(AND(INDEX(FlowCalConstA,MATCH(N396,FlowCalNumber,0),1,1)*P411^INDEX(FlowCalConstB,MATCH(N396,FlowCalNumber,0),1,1)&gt;INDEX(FlowCalLowSetting,MATCH(N396,FlowCalNumber,0),1,1), (INDEX(FlowCalConstA,MATCH(N396,FlowCalNumber,0),1,1)*P411^INDEX(FlowCalConstB,MATCH(N396,FlowCalNumber,0),1,1)&lt;INDEX(FlowCalHighSetting,MATCH(N396,FlowCalNumber,0),1,1))),INDEX(FlowCalConstA,MATCH(N396,FlowCalNumber,0),1,1)*P411^INDEX(FlowCalConstB,MATCH(N396,FlowCalNumber,0),1,1)," ")</f>
        <v>#REF!</v>
      </c>
      <c r="R411" s="1224"/>
      <c r="S411" s="1217">
        <f t="shared" si="190"/>
        <v>1</v>
      </c>
      <c r="T411" s="1218" t="e">
        <f t="shared" ca="1" si="191"/>
        <v>#REF!</v>
      </c>
      <c r="U411" s="1219" t="e">
        <f ca="1">IF(AND(INDEX(FlowCalConstA,MATCH(R396,FlowCalNumber,0),1,1)*T411^INDEX(FlowCalConstB,MATCH(R396,FlowCalNumber,0),1,1)&gt;INDEX(FlowCalLowSetting,MATCH(R396,FlowCalNumber,0),1,1), (INDEX(FlowCalConstA,MATCH(R396,FlowCalNumber,0),1,1)*T411^INDEX(FlowCalConstB,MATCH(R396,FlowCalNumber,0),1,1)&lt;INDEX(FlowCalHighSetting,MATCH(R396,FlowCalNumber,0),1,1))),INDEX(FlowCalConstA,MATCH(R396,FlowCalNumber,0),1,1)*T411^INDEX(FlowCalConstB,MATCH(R396,FlowCalNumber,0),1,1)," ")</f>
        <v>#REF!</v>
      </c>
      <c r="V411" s="1224"/>
      <c r="W411" s="1217"/>
      <c r="X411" s="1218"/>
      <c r="Y411" s="1219"/>
      <c r="Z411" s="1224"/>
      <c r="AA411" s="1217"/>
      <c r="AB411" s="1218"/>
      <c r="AC411" s="1219"/>
      <c r="AD411" s="1224"/>
      <c r="AE411" s="1217"/>
      <c r="AF411" s="1218"/>
      <c r="AG411" s="1219"/>
      <c r="AH411" s="1224"/>
      <c r="AI411" s="1217"/>
      <c r="AJ411" s="1218"/>
      <c r="AK411" s="1220"/>
      <c r="AL411" s="1219"/>
      <c r="AM411" s="1219"/>
      <c r="AN411" s="1219"/>
      <c r="AO411" s="1219"/>
      <c r="AP411" s="1219"/>
      <c r="AQ411" s="1219"/>
      <c r="AR411" s="1219"/>
      <c r="AS411" s="1219"/>
      <c r="AT411" s="1219"/>
      <c r="AU411" s="1219"/>
      <c r="AV411" s="1219"/>
      <c r="AW411" s="1219"/>
      <c r="AX411" s="1219"/>
      <c r="AY411" s="1219"/>
      <c r="AZ411" s="1219"/>
      <c r="BA411" s="1219"/>
      <c r="BB411" s="1219"/>
      <c r="BC411" s="1219"/>
      <c r="BD411" s="1219"/>
      <c r="BE411" s="1219"/>
      <c r="BF411" s="1219"/>
      <c r="BG411" s="1219"/>
      <c r="BH411" s="1219"/>
      <c r="BI411" s="1219"/>
      <c r="BJ411" s="1219"/>
      <c r="BK411" s="1219"/>
      <c r="BL411" s="1219"/>
      <c r="BM411" s="1219"/>
      <c r="BN411" s="1219"/>
      <c r="BO411" s="1219"/>
      <c r="BP411" s="1219"/>
      <c r="BQ411" s="1219"/>
      <c r="BR411" s="1219"/>
      <c r="BS411" s="1219"/>
      <c r="BU411" s="1217"/>
      <c r="BW411" s="1219"/>
      <c r="BY411" s="1217"/>
      <c r="CA411" s="1219"/>
      <c r="CC411" s="1217"/>
      <c r="CE411" s="1219"/>
      <c r="CG411" s="1217"/>
      <c r="CI411" s="1219"/>
    </row>
    <row r="412" spans="1:87">
      <c r="A412" s="33"/>
      <c r="B412" s="33"/>
      <c r="C412" s="235"/>
      <c r="E412" s="90"/>
      <c r="F412" s="90"/>
      <c r="G412" s="33"/>
      <c r="J412" s="33"/>
      <c r="M412" s="243"/>
      <c r="N412" s="33"/>
      <c r="Q412" s="243"/>
      <c r="R412" s="33"/>
      <c r="U412" s="243"/>
      <c r="V412" s="33"/>
      <c r="Y412" s="243"/>
      <c r="Z412" s="33"/>
      <c r="AC412" s="243"/>
      <c r="AD412" s="33"/>
      <c r="AG412" s="243"/>
      <c r="AH412" s="33"/>
      <c r="AK412" s="244"/>
      <c r="AL412" s="243"/>
      <c r="AM412" s="243"/>
      <c r="AN412" s="243"/>
      <c r="AO412" s="243"/>
      <c r="AP412" s="243"/>
      <c r="AQ412" s="243"/>
      <c r="AR412" s="243"/>
      <c r="AS412" s="243"/>
      <c r="AT412" s="243"/>
      <c r="AU412" s="243"/>
      <c r="AV412" s="243"/>
      <c r="AW412" s="243"/>
      <c r="AX412" s="243"/>
      <c r="AY412" s="243"/>
      <c r="AZ412" s="243"/>
      <c r="BA412" s="243"/>
      <c r="BB412" s="243"/>
      <c r="BC412" s="243"/>
      <c r="BD412" s="243"/>
      <c r="BE412" s="243"/>
      <c r="BF412" s="243"/>
      <c r="BG412" s="243"/>
      <c r="BH412" s="243"/>
      <c r="BI412" s="243"/>
      <c r="BJ412" s="243"/>
      <c r="BK412" s="243"/>
      <c r="BL412" s="243"/>
      <c r="BM412" s="243"/>
      <c r="BN412" s="243"/>
      <c r="BO412" s="243"/>
      <c r="BP412" s="243"/>
      <c r="BQ412" s="243"/>
      <c r="BR412" s="243"/>
      <c r="BS412" s="243"/>
      <c r="BW412" s="243"/>
      <c r="CA412" s="243"/>
      <c r="CE412" s="243"/>
      <c r="CI412" s="243"/>
    </row>
    <row r="413" spans="1:87">
      <c r="A413" s="256" t="str">
        <f>IF((RIGHT(A396,1))&lt;&gt;"Z",CHAR(CODE(A396))&amp;CHAR(CODE(RIGHT(A396,1))+1),CHAR(CODE(A396)+1)&amp;"A")</f>
        <v>AX</v>
      </c>
      <c r="B413" s="270" t="e">
        <f>INDEX(SourceID,MATCH($A413,SourceNumber,0),1,1)</f>
        <v>#N/A</v>
      </c>
      <c r="C413" s="354" t="e">
        <f>INDEX(SourceExitDiameter,MATCH($A413,SourceNumber,0),1,1)*3.28*12</f>
        <v>#N/A</v>
      </c>
      <c r="D413" s="24" t="str">
        <f>UAnem1percent</f>
        <v>1% Wind</v>
      </c>
      <c r="E413" s="350" t="e">
        <f ca="1">INDIRECT(ADDRESS(53,6,1,,CONCATENATE("TA",$A413)))</f>
        <v>#REF!</v>
      </c>
      <c r="F413" s="625" t="e">
        <f ca="1">(ROUND((INDIRECT(ADDRESS(15,7,1,,CONCATENATE("TA",$A413)))*3.28*12*32),0)&amp;"/32")</f>
        <v>#REF!</v>
      </c>
      <c r="G413" s="125" t="e">
        <f ca="1">INDIRECT(ADDRESS(29,7,1,,$A413))</f>
        <v>#REF!</v>
      </c>
      <c r="H413" s="24" t="e">
        <f ca="1">INDIRECT(ADDRESS(19,7,1,,$A413))*100^3</f>
        <v>#REF!</v>
      </c>
      <c r="I413" s="941" t="e">
        <f ca="1">INDIRECT(ADDRESS(53,7,1,,$A413))</f>
        <v>#REF!</v>
      </c>
      <c r="J413" s="20" t="e">
        <f ca="1">IF($I413=$I$6,K$16&amp;$G$6&amp;J$6,IF($I413=$I$7,K$16&amp;$G$7&amp;J$7,"Bad"))</f>
        <v>#REF!</v>
      </c>
      <c r="K413" t="e">
        <f ca="1">INDEX(FlowCalGasMixture,MATCH(J413,FlowCalNumber,0),1,1)</f>
        <v>#REF!</v>
      </c>
      <c r="M413" s="944" t="e">
        <f ca="1">INDEX(FlowCalDevice,MATCH(J413,FlowCalNumber,0),1,1)</f>
        <v>#REF!</v>
      </c>
      <c r="N413" s="20" t="e">
        <f ca="1">IF($I413=$I$6,O$16&amp;$G$6&amp;N$6,IF($I413=$I$7,O$16&amp;$G$7&amp;N$7,"Bad"))</f>
        <v>#REF!</v>
      </c>
      <c r="O413" t="e">
        <f ca="1">INDEX(FlowCalGasMixture,MATCH(N413,FlowCalNumber,0),1,1)</f>
        <v>#REF!</v>
      </c>
      <c r="Q413" s="944" t="e">
        <f ca="1">INDEX(FlowCalDevice,MATCH(N413,FlowCalNumber,0),1,1)</f>
        <v>#REF!</v>
      </c>
      <c r="R413" s="20" t="e">
        <f ca="1">IF($I413=$I$6,S$16&amp;$G$6&amp;R$6,IF($I413=$I$7,S$16&amp;$G$7&amp;R$7,"Bad"))</f>
        <v>#REF!</v>
      </c>
      <c r="S413" t="e">
        <f ca="1">INDEX(FlowCalGasMixture,MATCH(R413,FlowCalNumber,0),1,1)</f>
        <v>#REF!</v>
      </c>
      <c r="U413" s="944" t="e">
        <f ca="1">INDEX(FlowCalDevice,MATCH(R413,FlowCalNumber,0),1,1)</f>
        <v>#REF!</v>
      </c>
      <c r="V413" s="20"/>
      <c r="Y413" s="944"/>
      <c r="Z413" s="946"/>
      <c r="AC413" s="944"/>
      <c r="AD413" s="20"/>
      <c r="AG413" s="944"/>
      <c r="AH413" s="946"/>
      <c r="AK413" s="982"/>
      <c r="AL413" s="355"/>
      <c r="AM413" s="355"/>
      <c r="AN413" s="355"/>
      <c r="AO413" s="355"/>
      <c r="AP413" s="355"/>
      <c r="AQ413" s="355"/>
      <c r="AR413" s="355"/>
      <c r="AS413" s="355"/>
      <c r="AT413" s="355"/>
      <c r="AU413" s="355"/>
      <c r="AV413" s="355"/>
      <c r="AW413" s="355"/>
      <c r="AX413" s="355"/>
      <c r="AY413" s="355"/>
      <c r="AZ413" s="355"/>
      <c r="BA413" s="355"/>
      <c r="BB413" s="355"/>
      <c r="BC413" s="355"/>
      <c r="BD413" s="355"/>
      <c r="BE413" s="355"/>
      <c r="BF413" s="355"/>
      <c r="BG413" s="355"/>
      <c r="BH413" s="355"/>
      <c r="BI413" s="355"/>
      <c r="BJ413" s="355"/>
      <c r="BK413" s="355"/>
      <c r="BL413" s="355"/>
      <c r="BM413" s="355"/>
      <c r="BN413" s="355"/>
      <c r="BO413" s="355"/>
      <c r="BP413" s="355"/>
      <c r="BQ413" s="355"/>
      <c r="BR413" s="355"/>
      <c r="BS413" s="355"/>
      <c r="BT413" s="46"/>
      <c r="BU413" s="16"/>
      <c r="BW413" s="355"/>
      <c r="BX413" s="42"/>
      <c r="BY413" s="16"/>
      <c r="CA413" s="355"/>
      <c r="CB413" s="42"/>
      <c r="CC413" s="16"/>
      <c r="CE413" s="355"/>
      <c r="CF413" s="42"/>
      <c r="CG413" s="16"/>
      <c r="CI413" s="355"/>
    </row>
    <row r="414" spans="1:87" s="1215" customFormat="1">
      <c r="A414" s="1222"/>
      <c r="B414" s="1223" t="str">
        <f t="shared" ref="B414:B428" si="192">IF(D414=UAnem1percent,"1% Wind","")</f>
        <v/>
      </c>
      <c r="C414" s="1210"/>
      <c r="D414" s="1211">
        <f>'1% Wind'!$M$82</f>
        <v>27</v>
      </c>
      <c r="E414" s="1212"/>
      <c r="F414" s="1212"/>
      <c r="G414" s="1364">
        <v>2</v>
      </c>
      <c r="H414" s="1214" t="e">
        <f t="shared" ref="H414:H428" ca="1" si="193">H413*(D413/D414)*(G414/G413)</f>
        <v>#REF!</v>
      </c>
      <c r="J414" s="1224"/>
      <c r="K414" s="1221">
        <f>K$17/100</f>
        <v>1</v>
      </c>
      <c r="L414" s="1218" t="e">
        <f ca="1">K414*$H414</f>
        <v>#REF!</v>
      </c>
      <c r="M414" s="1219" t="e">
        <f ca="1">IF(AND(INDEX(FlowCalConstA,MATCH(J413,FlowCalNumber,0),1,1)*L414^INDEX(FlowCalConstB,MATCH(J413,FlowCalNumber,0),1,1)&gt;INDEX(FlowCalLowSetting,MATCH(J413,FlowCalNumber,0),1,1), (INDEX(FlowCalConstA,MATCH(J413,FlowCalNumber,0),1,1)*L414^INDEX(FlowCalConstB,MATCH(J413,FlowCalNumber,0),1,1)&lt;INDEX(FlowCalHighSetting,MATCH(J413,FlowCalNumber,0),1,1))),INDEX(FlowCalConstA,MATCH(J413,FlowCalNumber,0),1,1)*L414^INDEX(FlowCalConstB,MATCH(J413,FlowCalNumber,0),1,1)," ")</f>
        <v>#REF!</v>
      </c>
      <c r="N414" s="1224"/>
      <c r="O414" s="1221">
        <f>O$17/100</f>
        <v>1</v>
      </c>
      <c r="P414" s="1218" t="e">
        <f ca="1">O414*$H414</f>
        <v>#REF!</v>
      </c>
      <c r="Q414" s="1219" t="e">
        <f ca="1">IF(AND(INDEX(FlowCalConstA,MATCH(N413,FlowCalNumber,0),1,1)*P414^INDEX(FlowCalConstB,MATCH(N413,FlowCalNumber,0),1,1)&gt;INDEX(FlowCalLowSetting,MATCH(N413,FlowCalNumber,0),1,1), (INDEX(FlowCalConstA,MATCH(N413,FlowCalNumber,0),1,1)*P414^INDEX(FlowCalConstB,MATCH(N413,FlowCalNumber,0),1,1)&lt;INDEX(FlowCalHighSetting,MATCH(N413,FlowCalNumber,0),1,1))),INDEX(FlowCalConstA,MATCH(N413,FlowCalNumber,0),1,1)*P414^INDEX(FlowCalConstB,MATCH(N413,FlowCalNumber,0),1,1)," ")</f>
        <v>#REF!</v>
      </c>
      <c r="R414" s="1224"/>
      <c r="S414" s="1221">
        <f>S$17/100</f>
        <v>1</v>
      </c>
      <c r="T414" s="1218" t="e">
        <f ca="1">S414*$H414</f>
        <v>#REF!</v>
      </c>
      <c r="U414" s="1219" t="e">
        <f ca="1">IF(AND(INDEX(FlowCalConstA,MATCH(R413,FlowCalNumber,0),1,1)*T414^INDEX(FlowCalConstB,MATCH(R413,FlowCalNumber,0),1,1)&gt;INDEX(FlowCalLowSetting,MATCH(R413,FlowCalNumber,0),1,1), (INDEX(FlowCalConstA,MATCH(R413,FlowCalNumber,0),1,1)*T414^INDEX(FlowCalConstB,MATCH(R413,FlowCalNumber,0),1,1)&lt;INDEX(FlowCalHighSetting,MATCH(R413,FlowCalNumber,0),1,1))),INDEX(FlowCalConstA,MATCH(R413,FlowCalNumber,0),1,1)*T414^INDEX(FlowCalConstB,MATCH(R413,FlowCalNumber,0),1,1)," ")</f>
        <v>#REF!</v>
      </c>
      <c r="V414" s="1224"/>
      <c r="W414" s="1221"/>
      <c r="X414" s="1218"/>
      <c r="Y414" s="1219"/>
      <c r="Z414" s="1224"/>
      <c r="AA414" s="1221"/>
      <c r="AB414" s="1218"/>
      <c r="AC414" s="1219"/>
      <c r="AD414" s="1224"/>
      <c r="AE414" s="1221"/>
      <c r="AF414" s="1218"/>
      <c r="AG414" s="1219"/>
      <c r="AH414" s="1224"/>
      <c r="AI414" s="1221"/>
      <c r="AJ414" s="1218"/>
      <c r="AK414" s="1220"/>
      <c r="AL414" s="1219"/>
      <c r="AM414" s="1219"/>
      <c r="AN414" s="1219"/>
      <c r="AO414" s="1219"/>
      <c r="AP414" s="1219"/>
      <c r="AQ414" s="1219"/>
      <c r="AR414" s="1219"/>
      <c r="AS414" s="1219"/>
      <c r="AT414" s="1219"/>
      <c r="AU414" s="1219"/>
      <c r="AV414" s="1219"/>
      <c r="AW414" s="1219"/>
      <c r="AX414" s="1219"/>
      <c r="AY414" s="1219"/>
      <c r="AZ414" s="1219"/>
      <c r="BA414" s="1219"/>
      <c r="BB414" s="1219"/>
      <c r="BC414" s="1219"/>
      <c r="BD414" s="1219"/>
      <c r="BE414" s="1219"/>
      <c r="BF414" s="1219"/>
      <c r="BG414" s="1219"/>
      <c r="BH414" s="1219"/>
      <c r="BI414" s="1219"/>
      <c r="BJ414" s="1219"/>
      <c r="BK414" s="1219"/>
      <c r="BL414" s="1219"/>
      <c r="BM414" s="1219"/>
      <c r="BN414" s="1219"/>
      <c r="BO414" s="1219"/>
      <c r="BP414" s="1219"/>
      <c r="BQ414" s="1219"/>
      <c r="BR414" s="1219"/>
      <c r="BS414" s="1219"/>
      <c r="BU414" s="1225"/>
      <c r="BW414" s="1219"/>
      <c r="BY414" s="1225"/>
      <c r="CA414" s="1219"/>
      <c r="CC414" s="1225"/>
      <c r="CE414" s="1219"/>
      <c r="CG414" s="1221"/>
      <c r="CI414" s="1219"/>
    </row>
    <row r="415" spans="1:87">
      <c r="A415" s="20"/>
      <c r="B415" s="124" t="str">
        <f t="shared" si="192"/>
        <v/>
      </c>
      <c r="C415" s="235"/>
      <c r="D415" s="24">
        <f>'1% Wind'!$M$83</f>
        <v>23.5</v>
      </c>
      <c r="E415" s="90"/>
      <c r="F415" s="90"/>
      <c r="G415" s="79" t="e">
        <f ca="1">IF(I413=0.9743,$G414,MAX(G414/D414*D415,2))</f>
        <v>#REF!</v>
      </c>
      <c r="H415" s="121" t="e">
        <f t="shared" ca="1" si="193"/>
        <v>#REF!</v>
      </c>
      <c r="J415" s="33"/>
      <c r="K415" s="242">
        <f t="shared" ref="K415:K428" si="194">K414</f>
        <v>1</v>
      </c>
      <c r="L415" s="241" t="e">
        <f t="shared" ref="L415:L428" ca="1" si="195">K415*$H415</f>
        <v>#REF!</v>
      </c>
      <c r="M415" s="243" t="e">
        <f ca="1">IF(AND(INDEX(FlowCalConstA,MATCH(J413,FlowCalNumber,0),1,1)*L415^INDEX(FlowCalConstB,MATCH(J413,FlowCalNumber,0),1,1)&gt;INDEX(FlowCalLowSetting,MATCH(J413,FlowCalNumber,0),1,1), (INDEX(FlowCalConstA,MATCH(J413,FlowCalNumber,0),1,1)*L415^INDEX(FlowCalConstB,MATCH(J413,FlowCalNumber,0),1,1)&lt;INDEX(FlowCalHighSetting,MATCH(J413,FlowCalNumber,0),1,1))),INDEX(FlowCalConstA,MATCH(J413,FlowCalNumber,0),1,1)*L415^INDEX(FlowCalConstB,MATCH(J413,FlowCalNumber,0),1,1)," ")</f>
        <v>#REF!</v>
      </c>
      <c r="N415" s="33"/>
      <c r="O415" s="242">
        <f t="shared" ref="O415:O428" si="196">O414</f>
        <v>1</v>
      </c>
      <c r="P415" s="241" t="e">
        <f t="shared" ref="P415:P428" ca="1" si="197">O415*$H415</f>
        <v>#REF!</v>
      </c>
      <c r="Q415" s="243" t="e">
        <f ca="1">IF(AND(INDEX(FlowCalConstA,MATCH(N413,FlowCalNumber,0),1,1)*P415^INDEX(FlowCalConstB,MATCH(N413,FlowCalNumber,0),1,1)&gt;INDEX(FlowCalLowSetting,MATCH(N413,FlowCalNumber,0),1,1), (INDEX(FlowCalConstA,MATCH(N413,FlowCalNumber,0),1,1)*P415^INDEX(FlowCalConstB,MATCH(N413,FlowCalNumber,0),1,1)&lt;INDEX(FlowCalHighSetting,MATCH(N413,FlowCalNumber,0),1,1))),INDEX(FlowCalConstA,MATCH(N413,FlowCalNumber,0),1,1)*P415^INDEX(FlowCalConstB,MATCH(N413,FlowCalNumber,0),1,1)," ")</f>
        <v>#REF!</v>
      </c>
      <c r="R415" s="33"/>
      <c r="S415" s="242">
        <f t="shared" ref="S415:S428" si="198">S414</f>
        <v>1</v>
      </c>
      <c r="T415" s="241" t="e">
        <f t="shared" ref="T415:T428" ca="1" si="199">S415*$H415</f>
        <v>#REF!</v>
      </c>
      <c r="U415" s="243" t="e">
        <f ca="1">IF(AND(INDEX(FlowCalConstA,MATCH(R413,FlowCalNumber,0),1,1)*T415^INDEX(FlowCalConstB,MATCH(R413,FlowCalNumber,0),1,1)&gt;INDEX(FlowCalLowSetting,MATCH(R413,FlowCalNumber,0),1,1), (INDEX(FlowCalConstA,MATCH(R413,FlowCalNumber,0),1,1)*T415^INDEX(FlowCalConstB,MATCH(R413,FlowCalNumber,0),1,1)&lt;INDEX(FlowCalHighSetting,MATCH(R413,FlowCalNumber,0),1,1))),INDEX(FlowCalConstA,MATCH(R413,FlowCalNumber,0),1,1)*T415^INDEX(FlowCalConstB,MATCH(R413,FlowCalNumber,0),1,1)," ")</f>
        <v>#REF!</v>
      </c>
      <c r="V415" s="33"/>
      <c r="W415" s="242"/>
      <c r="X415" s="241"/>
      <c r="Y415" s="243"/>
      <c r="Z415" s="33"/>
      <c r="AA415" s="242"/>
      <c r="AB415" s="241"/>
      <c r="AC415" s="243"/>
      <c r="AD415" s="33"/>
      <c r="AE415" s="242"/>
      <c r="AF415" s="241"/>
      <c r="AG415" s="243"/>
      <c r="AH415" s="33"/>
      <c r="AI415" s="242"/>
      <c r="AJ415" s="241"/>
      <c r="AK415" s="244"/>
      <c r="AL415" s="243"/>
      <c r="AM415" s="243"/>
      <c r="AN415" s="243"/>
      <c r="AO415" s="243"/>
      <c r="AP415" s="243"/>
      <c r="AQ415" s="243"/>
      <c r="AR415" s="243"/>
      <c r="AS415" s="243"/>
      <c r="AT415" s="243"/>
      <c r="AU415" s="243"/>
      <c r="AV415" s="243"/>
      <c r="AW415" s="243"/>
      <c r="AX415" s="243"/>
      <c r="AY415" s="243"/>
      <c r="AZ415" s="243"/>
      <c r="BA415" s="243"/>
      <c r="BB415" s="243"/>
      <c r="BC415" s="243"/>
      <c r="BD415" s="243"/>
      <c r="BE415" s="243"/>
      <c r="BF415" s="243"/>
      <c r="BG415" s="243"/>
      <c r="BH415" s="243"/>
      <c r="BI415" s="243"/>
      <c r="BJ415" s="243"/>
      <c r="BK415" s="243"/>
      <c r="BL415" s="243"/>
      <c r="BM415" s="243"/>
      <c r="BN415" s="243"/>
      <c r="BO415" s="243"/>
      <c r="BP415" s="243"/>
      <c r="BQ415" s="243"/>
      <c r="BR415" s="243"/>
      <c r="BS415" s="243"/>
      <c r="BU415" s="242"/>
      <c r="BW415" s="243"/>
      <c r="BY415" s="242"/>
      <c r="CA415" s="243"/>
      <c r="CC415" s="242"/>
      <c r="CE415" s="243"/>
      <c r="CG415" s="242"/>
      <c r="CI415" s="243"/>
    </row>
    <row r="416" spans="1:87" s="1215" customFormat="1">
      <c r="A416" s="1222"/>
      <c r="B416" s="1223" t="str">
        <f t="shared" si="192"/>
        <v/>
      </c>
      <c r="C416" s="1210"/>
      <c r="D416" s="1211">
        <f>'1% Wind'!$M$84</f>
        <v>20.5</v>
      </c>
      <c r="E416" s="1212"/>
      <c r="F416" s="1212"/>
      <c r="G416" s="1213" t="e">
        <f ca="1">IF(I413=0.9743,$G415,MAX(G415/D415*D416,2))</f>
        <v>#REF!</v>
      </c>
      <c r="H416" s="1214" t="e">
        <f t="shared" ca="1" si="193"/>
        <v>#REF!</v>
      </c>
      <c r="J416" s="1224"/>
      <c r="K416" s="1217">
        <f t="shared" si="194"/>
        <v>1</v>
      </c>
      <c r="L416" s="1218" t="e">
        <f t="shared" ca="1" si="195"/>
        <v>#REF!</v>
      </c>
      <c r="M416" s="1219" t="e">
        <f ca="1">IF(AND(INDEX(FlowCalConstA,MATCH(J413,FlowCalNumber,0),1,1)*L416^INDEX(FlowCalConstB,MATCH(J413,FlowCalNumber,0),1,1)&gt;INDEX(FlowCalLowSetting,MATCH(J413,FlowCalNumber,0),1,1), (INDEX(FlowCalConstA,MATCH(J413,FlowCalNumber,0),1,1)*L416^INDEX(FlowCalConstB,MATCH(J413,FlowCalNumber,0),1,1)&lt;INDEX(FlowCalHighSetting,MATCH(J413,FlowCalNumber,0),1,1))),INDEX(FlowCalConstA,MATCH(J413,FlowCalNumber,0),1,1)*L416^INDEX(FlowCalConstB,MATCH(J413,FlowCalNumber,0),1,1)," ")</f>
        <v>#REF!</v>
      </c>
      <c r="N416" s="1224"/>
      <c r="O416" s="1217">
        <f t="shared" si="196"/>
        <v>1</v>
      </c>
      <c r="P416" s="1218" t="e">
        <f t="shared" ca="1" si="197"/>
        <v>#REF!</v>
      </c>
      <c r="Q416" s="1219" t="e">
        <f ca="1">IF(AND(INDEX(FlowCalConstA,MATCH(N413,FlowCalNumber,0),1,1)*P416^INDEX(FlowCalConstB,MATCH(N413,FlowCalNumber,0),1,1)&gt;INDEX(FlowCalLowSetting,MATCH(N413,FlowCalNumber,0),1,1), (INDEX(FlowCalConstA,MATCH(N413,FlowCalNumber,0),1,1)*P416^INDEX(FlowCalConstB,MATCH(N413,FlowCalNumber,0),1,1)&lt;INDEX(FlowCalHighSetting,MATCH(N413,FlowCalNumber,0),1,1))),INDEX(FlowCalConstA,MATCH(N413,FlowCalNumber,0),1,1)*P416^INDEX(FlowCalConstB,MATCH(N413,FlowCalNumber,0),1,1)," ")</f>
        <v>#REF!</v>
      </c>
      <c r="R416" s="1224"/>
      <c r="S416" s="1217">
        <f t="shared" si="198"/>
        <v>1</v>
      </c>
      <c r="T416" s="1218" t="e">
        <f t="shared" ca="1" si="199"/>
        <v>#REF!</v>
      </c>
      <c r="U416" s="1219" t="e">
        <f ca="1">IF(AND(INDEX(FlowCalConstA,MATCH(R413,FlowCalNumber,0),1,1)*T416^INDEX(FlowCalConstB,MATCH(R413,FlowCalNumber,0),1,1)&gt;INDEX(FlowCalLowSetting,MATCH(R413,FlowCalNumber,0),1,1), (INDEX(FlowCalConstA,MATCH(R413,FlowCalNumber,0),1,1)*T416^INDEX(FlowCalConstB,MATCH(R413,FlowCalNumber,0),1,1)&lt;INDEX(FlowCalHighSetting,MATCH(R413,FlowCalNumber,0),1,1))),INDEX(FlowCalConstA,MATCH(R413,FlowCalNumber,0),1,1)*T416^INDEX(FlowCalConstB,MATCH(R413,FlowCalNumber,0),1,1)," ")</f>
        <v>#REF!</v>
      </c>
      <c r="V416" s="1224"/>
      <c r="W416" s="1217"/>
      <c r="X416" s="1218"/>
      <c r="Y416" s="1219"/>
      <c r="Z416" s="1224"/>
      <c r="AA416" s="1217"/>
      <c r="AB416" s="1218"/>
      <c r="AC416" s="1219"/>
      <c r="AD416" s="1224"/>
      <c r="AE416" s="1217"/>
      <c r="AF416" s="1218"/>
      <c r="AG416" s="1219"/>
      <c r="AH416" s="1224"/>
      <c r="AI416" s="1217"/>
      <c r="AJ416" s="1218"/>
      <c r="AK416" s="1220"/>
      <c r="AL416" s="1219"/>
      <c r="AM416" s="1219"/>
      <c r="AN416" s="1219"/>
      <c r="AO416" s="1219"/>
      <c r="AP416" s="1219"/>
      <c r="AQ416" s="1219"/>
      <c r="AR416" s="1219"/>
      <c r="AS416" s="1219"/>
      <c r="AT416" s="1219"/>
      <c r="AU416" s="1219"/>
      <c r="AV416" s="1219"/>
      <c r="AW416" s="1219"/>
      <c r="AX416" s="1219"/>
      <c r="AY416" s="1219"/>
      <c r="AZ416" s="1219"/>
      <c r="BA416" s="1219"/>
      <c r="BB416" s="1219"/>
      <c r="BC416" s="1219"/>
      <c r="BD416" s="1219"/>
      <c r="BE416" s="1219"/>
      <c r="BF416" s="1219"/>
      <c r="BG416" s="1219"/>
      <c r="BH416" s="1219"/>
      <c r="BI416" s="1219"/>
      <c r="BJ416" s="1219"/>
      <c r="BK416" s="1219"/>
      <c r="BL416" s="1219"/>
      <c r="BM416" s="1219"/>
      <c r="BN416" s="1219"/>
      <c r="BO416" s="1219"/>
      <c r="BP416" s="1219"/>
      <c r="BQ416" s="1219"/>
      <c r="BR416" s="1219"/>
      <c r="BS416" s="1219"/>
      <c r="BU416" s="1217"/>
      <c r="BW416" s="1219"/>
      <c r="BY416" s="1217"/>
      <c r="CA416" s="1219"/>
      <c r="CC416" s="1217"/>
      <c r="CE416" s="1219"/>
      <c r="CG416" s="1217"/>
      <c r="CI416" s="1219"/>
    </row>
    <row r="417" spans="1:87">
      <c r="A417" s="20"/>
      <c r="B417" s="124" t="str">
        <f t="shared" si="192"/>
        <v/>
      </c>
      <c r="C417" s="235"/>
      <c r="D417" s="24">
        <f>'1% Wind'!$M$85</f>
        <v>17.8</v>
      </c>
      <c r="E417" s="90"/>
      <c r="F417" s="90"/>
      <c r="G417" s="79" t="e">
        <f ca="1">IF(I413=0.9743,$G416,MAX(G416/D416*D417,2))</f>
        <v>#REF!</v>
      </c>
      <c r="H417" s="121" t="e">
        <f t="shared" ca="1" si="193"/>
        <v>#REF!</v>
      </c>
      <c r="J417" s="33"/>
      <c r="K417" s="242">
        <f t="shared" si="194"/>
        <v>1</v>
      </c>
      <c r="L417" s="241" t="e">
        <f t="shared" ca="1" si="195"/>
        <v>#REF!</v>
      </c>
      <c r="M417" s="243" t="e">
        <f ca="1">IF(AND(INDEX(FlowCalConstA,MATCH(J413,FlowCalNumber,0),1,1)*L417^INDEX(FlowCalConstB,MATCH(J413,FlowCalNumber,0),1,1)&gt;INDEX(FlowCalLowSetting,MATCH(J413,FlowCalNumber,0),1,1), (INDEX(FlowCalConstA,MATCH(J413,FlowCalNumber,0),1,1)*L417^INDEX(FlowCalConstB,MATCH(J413,FlowCalNumber,0),1,1)&lt;INDEX(FlowCalHighSetting,MATCH(J413,FlowCalNumber,0),1,1))),INDEX(FlowCalConstA,MATCH(J413,FlowCalNumber,0),1,1)*L417^INDEX(FlowCalConstB,MATCH(J413,FlowCalNumber,0),1,1)," ")</f>
        <v>#REF!</v>
      </c>
      <c r="N417" s="33"/>
      <c r="O417" s="242">
        <f t="shared" si="196"/>
        <v>1</v>
      </c>
      <c r="P417" s="241" t="e">
        <f t="shared" ca="1" si="197"/>
        <v>#REF!</v>
      </c>
      <c r="Q417" s="243" t="e">
        <f ca="1">IF(AND(INDEX(FlowCalConstA,MATCH(N413,FlowCalNumber,0),1,1)*P417^INDEX(FlowCalConstB,MATCH(N413,FlowCalNumber,0),1,1)&gt;INDEX(FlowCalLowSetting,MATCH(N413,FlowCalNumber,0),1,1), (INDEX(FlowCalConstA,MATCH(N413,FlowCalNumber,0),1,1)*P417^INDEX(FlowCalConstB,MATCH(N413,FlowCalNumber,0),1,1)&lt;INDEX(FlowCalHighSetting,MATCH(N413,FlowCalNumber,0),1,1))),INDEX(FlowCalConstA,MATCH(N413,FlowCalNumber,0),1,1)*P417^INDEX(FlowCalConstB,MATCH(N413,FlowCalNumber,0),1,1)," ")</f>
        <v>#REF!</v>
      </c>
      <c r="R417" s="33"/>
      <c r="S417" s="242">
        <f t="shared" si="198"/>
        <v>1</v>
      </c>
      <c r="T417" s="241" t="e">
        <f t="shared" ca="1" si="199"/>
        <v>#REF!</v>
      </c>
      <c r="U417" s="243" t="e">
        <f ca="1">IF(AND(INDEX(FlowCalConstA,MATCH(R413,FlowCalNumber,0),1,1)*T417^INDEX(FlowCalConstB,MATCH(R413,FlowCalNumber,0),1,1)&gt;INDEX(FlowCalLowSetting,MATCH(R413,FlowCalNumber,0),1,1), (INDEX(FlowCalConstA,MATCH(R413,FlowCalNumber,0),1,1)*T417^INDEX(FlowCalConstB,MATCH(R413,FlowCalNumber,0),1,1)&lt;INDEX(FlowCalHighSetting,MATCH(R413,FlowCalNumber,0),1,1))),INDEX(FlowCalConstA,MATCH(R413,FlowCalNumber,0),1,1)*T417^INDEX(FlowCalConstB,MATCH(R413,FlowCalNumber,0),1,1)," ")</f>
        <v>#REF!</v>
      </c>
      <c r="V417" s="33"/>
      <c r="W417" s="242"/>
      <c r="X417" s="241"/>
      <c r="Y417" s="243"/>
      <c r="Z417" s="33"/>
      <c r="AA417" s="242"/>
      <c r="AB417" s="241"/>
      <c r="AC417" s="243"/>
      <c r="AD417" s="33"/>
      <c r="AE417" s="242"/>
      <c r="AF417" s="241"/>
      <c r="AG417" s="243"/>
      <c r="AH417" s="33"/>
      <c r="AI417" s="242"/>
      <c r="AJ417" s="241"/>
      <c r="AK417" s="244"/>
      <c r="AL417" s="243"/>
      <c r="AM417" s="243"/>
      <c r="AN417" s="243"/>
      <c r="AO417" s="243"/>
      <c r="AP417" s="243"/>
      <c r="AQ417" s="243"/>
      <c r="AR417" s="243"/>
      <c r="AS417" s="243"/>
      <c r="AT417" s="243"/>
      <c r="AU417" s="243"/>
      <c r="AV417" s="243"/>
      <c r="AW417" s="243"/>
      <c r="AX417" s="243"/>
      <c r="AY417" s="243"/>
      <c r="AZ417" s="243"/>
      <c r="BA417" s="243"/>
      <c r="BB417" s="243"/>
      <c r="BC417" s="243"/>
      <c r="BD417" s="243"/>
      <c r="BE417" s="243"/>
      <c r="BF417" s="243"/>
      <c r="BG417" s="243"/>
      <c r="BH417" s="243"/>
      <c r="BI417" s="243"/>
      <c r="BJ417" s="243"/>
      <c r="BK417" s="243"/>
      <c r="BL417" s="243"/>
      <c r="BM417" s="243"/>
      <c r="BN417" s="243"/>
      <c r="BO417" s="243"/>
      <c r="BP417" s="243"/>
      <c r="BQ417" s="243"/>
      <c r="BR417" s="243"/>
      <c r="BS417" s="243"/>
      <c r="BU417" s="242"/>
      <c r="BW417" s="243"/>
      <c r="BY417" s="242"/>
      <c r="CA417" s="243"/>
      <c r="CC417" s="242"/>
      <c r="CE417" s="243"/>
      <c r="CG417" s="242"/>
      <c r="CI417" s="243"/>
    </row>
    <row r="418" spans="1:87" s="1215" customFormat="1">
      <c r="A418" s="1222"/>
      <c r="B418" s="1223" t="str">
        <f t="shared" si="192"/>
        <v/>
      </c>
      <c r="C418" s="1210"/>
      <c r="D418" s="1211">
        <f>'1% Wind'!$M$86</f>
        <v>15.5</v>
      </c>
      <c r="E418" s="1212"/>
      <c r="F418" s="1212"/>
      <c r="G418" s="1213" t="e">
        <f ca="1">IF(I413=0.9743,$G417,MAX(G417/D417*D418,2))</f>
        <v>#REF!</v>
      </c>
      <c r="H418" s="1214" t="e">
        <f t="shared" ca="1" si="193"/>
        <v>#REF!</v>
      </c>
      <c r="J418" s="1224"/>
      <c r="K418" s="1217">
        <f t="shared" si="194"/>
        <v>1</v>
      </c>
      <c r="L418" s="1218" t="e">
        <f t="shared" ca="1" si="195"/>
        <v>#REF!</v>
      </c>
      <c r="M418" s="1219" t="e">
        <f ca="1">IF(AND(INDEX(FlowCalConstA,MATCH(J413,FlowCalNumber,0),1,1)*L418^INDEX(FlowCalConstB,MATCH(J413,FlowCalNumber,0),1,1)&gt;INDEX(FlowCalLowSetting,MATCH(J413,FlowCalNumber,0),1,1), (INDEX(FlowCalConstA,MATCH(J413,FlowCalNumber,0),1,1)*L418^INDEX(FlowCalConstB,MATCH(J413,FlowCalNumber,0),1,1)&lt;INDEX(FlowCalHighSetting,MATCH(J413,FlowCalNumber,0),1,1))),INDEX(FlowCalConstA,MATCH(J413,FlowCalNumber,0),1,1)*L418^INDEX(FlowCalConstB,MATCH(J413,FlowCalNumber,0),1,1)," ")</f>
        <v>#REF!</v>
      </c>
      <c r="N418" s="1224"/>
      <c r="O418" s="1217">
        <f t="shared" si="196"/>
        <v>1</v>
      </c>
      <c r="P418" s="1218" t="e">
        <f t="shared" ca="1" si="197"/>
        <v>#REF!</v>
      </c>
      <c r="Q418" s="1219" t="e">
        <f ca="1">IF(AND(INDEX(FlowCalConstA,MATCH(N413,FlowCalNumber,0),1,1)*P418^INDEX(FlowCalConstB,MATCH(N413,FlowCalNumber,0),1,1)&gt;INDEX(FlowCalLowSetting,MATCH(N413,FlowCalNumber,0),1,1), (INDEX(FlowCalConstA,MATCH(N413,FlowCalNumber,0),1,1)*P418^INDEX(FlowCalConstB,MATCH(N413,FlowCalNumber,0),1,1)&lt;INDEX(FlowCalHighSetting,MATCH(N413,FlowCalNumber,0),1,1))),INDEX(FlowCalConstA,MATCH(N413,FlowCalNumber,0),1,1)*P418^INDEX(FlowCalConstB,MATCH(N413,FlowCalNumber,0),1,1)," ")</f>
        <v>#REF!</v>
      </c>
      <c r="R418" s="1224"/>
      <c r="S418" s="1217">
        <f t="shared" si="198"/>
        <v>1</v>
      </c>
      <c r="T418" s="1218" t="e">
        <f t="shared" ca="1" si="199"/>
        <v>#REF!</v>
      </c>
      <c r="U418" s="1219" t="e">
        <f ca="1">IF(AND(INDEX(FlowCalConstA,MATCH(R413,FlowCalNumber,0),1,1)*T418^INDEX(FlowCalConstB,MATCH(R413,FlowCalNumber,0),1,1)&gt;INDEX(FlowCalLowSetting,MATCH(R413,FlowCalNumber,0),1,1), (INDEX(FlowCalConstA,MATCH(R413,FlowCalNumber,0),1,1)*T418^INDEX(FlowCalConstB,MATCH(R413,FlowCalNumber,0),1,1)&lt;INDEX(FlowCalHighSetting,MATCH(R413,FlowCalNumber,0),1,1))),INDEX(FlowCalConstA,MATCH(R413,FlowCalNumber,0),1,1)*T418^INDEX(FlowCalConstB,MATCH(R413,FlowCalNumber,0),1,1)," ")</f>
        <v>#REF!</v>
      </c>
      <c r="V418" s="1224"/>
      <c r="W418" s="1217"/>
      <c r="X418" s="1218"/>
      <c r="Y418" s="1219"/>
      <c r="Z418" s="1224"/>
      <c r="AA418" s="1217"/>
      <c r="AB418" s="1218"/>
      <c r="AC418" s="1219"/>
      <c r="AD418" s="1224"/>
      <c r="AE418" s="1217"/>
      <c r="AF418" s="1218"/>
      <c r="AG418" s="1219"/>
      <c r="AH418" s="1224"/>
      <c r="AI418" s="1217"/>
      <c r="AJ418" s="1218"/>
      <c r="AK418" s="1220"/>
      <c r="AL418" s="1219"/>
      <c r="AM418" s="1219"/>
      <c r="AN418" s="1219"/>
      <c r="AO418" s="1219"/>
      <c r="AP418" s="1219"/>
      <c r="AQ418" s="1219"/>
      <c r="AR418" s="1219"/>
      <c r="AS418" s="1219"/>
      <c r="AT418" s="1219"/>
      <c r="AU418" s="1219"/>
      <c r="AV418" s="1219"/>
      <c r="AW418" s="1219"/>
      <c r="AX418" s="1219"/>
      <c r="AY418" s="1219"/>
      <c r="AZ418" s="1219"/>
      <c r="BA418" s="1219"/>
      <c r="BB418" s="1219"/>
      <c r="BC418" s="1219"/>
      <c r="BD418" s="1219"/>
      <c r="BE418" s="1219"/>
      <c r="BF418" s="1219"/>
      <c r="BG418" s="1219"/>
      <c r="BH418" s="1219"/>
      <c r="BI418" s="1219"/>
      <c r="BJ418" s="1219"/>
      <c r="BK418" s="1219"/>
      <c r="BL418" s="1219"/>
      <c r="BM418" s="1219"/>
      <c r="BN418" s="1219"/>
      <c r="BO418" s="1219"/>
      <c r="BP418" s="1219"/>
      <c r="BQ418" s="1219"/>
      <c r="BR418" s="1219"/>
      <c r="BS418" s="1219"/>
      <c r="BU418" s="1217"/>
      <c r="BW418" s="1219"/>
      <c r="BY418" s="1217"/>
      <c r="CA418" s="1219"/>
      <c r="CC418" s="1217"/>
      <c r="CE418" s="1219"/>
      <c r="CG418" s="1217"/>
      <c r="CI418" s="1219"/>
    </row>
    <row r="419" spans="1:87">
      <c r="A419" s="20"/>
      <c r="B419" s="124" t="str">
        <f t="shared" si="192"/>
        <v/>
      </c>
      <c r="C419" s="235"/>
      <c r="D419" s="24">
        <f>'1% Wind'!$M$87</f>
        <v>13.5</v>
      </c>
      <c r="E419" s="90"/>
      <c r="F419" s="90"/>
      <c r="G419" s="79" t="e">
        <f ca="1">IF(I413=0.9743,$G418,MAX(G418/D418*D419,2))</f>
        <v>#REF!</v>
      </c>
      <c r="H419" s="121" t="e">
        <f t="shared" ca="1" si="193"/>
        <v>#REF!</v>
      </c>
      <c r="J419" s="33"/>
      <c r="K419" s="242">
        <f t="shared" si="194"/>
        <v>1</v>
      </c>
      <c r="L419" s="241" t="e">
        <f t="shared" ca="1" si="195"/>
        <v>#REF!</v>
      </c>
      <c r="M419" s="243" t="e">
        <f ca="1">IF(AND(INDEX(FlowCalConstA,MATCH(J413,FlowCalNumber,0),1,1)*L419^INDEX(FlowCalConstB,MATCH(J413,FlowCalNumber,0),1,1)&gt;INDEX(FlowCalLowSetting,MATCH(J413,FlowCalNumber,0),1,1), (INDEX(FlowCalConstA,MATCH(J413,FlowCalNumber,0),1,1)*L419^INDEX(FlowCalConstB,MATCH(J413,FlowCalNumber,0),1,1)&lt;INDEX(FlowCalHighSetting,MATCH(J413,FlowCalNumber,0),1,1))),INDEX(FlowCalConstA,MATCH(J413,FlowCalNumber,0),1,1)*L419^INDEX(FlowCalConstB,MATCH(J413,FlowCalNumber,0),1,1)," ")</f>
        <v>#REF!</v>
      </c>
      <c r="N419" s="33"/>
      <c r="O419" s="242">
        <f t="shared" si="196"/>
        <v>1</v>
      </c>
      <c r="P419" s="241" t="e">
        <f t="shared" ca="1" si="197"/>
        <v>#REF!</v>
      </c>
      <c r="Q419" s="243" t="e">
        <f ca="1">IF(AND(INDEX(FlowCalConstA,MATCH(N413,FlowCalNumber,0),1,1)*P419^INDEX(FlowCalConstB,MATCH(N413,FlowCalNumber,0),1,1)&gt;INDEX(FlowCalLowSetting,MATCH(N413,FlowCalNumber,0),1,1), (INDEX(FlowCalConstA,MATCH(N413,FlowCalNumber,0),1,1)*P419^INDEX(FlowCalConstB,MATCH(N413,FlowCalNumber,0),1,1)&lt;INDEX(FlowCalHighSetting,MATCH(N413,FlowCalNumber,0),1,1))),INDEX(FlowCalConstA,MATCH(N413,FlowCalNumber,0),1,1)*P419^INDEX(FlowCalConstB,MATCH(N413,FlowCalNumber,0),1,1)," ")</f>
        <v>#REF!</v>
      </c>
      <c r="R419" s="33"/>
      <c r="S419" s="242">
        <f t="shared" si="198"/>
        <v>1</v>
      </c>
      <c r="T419" s="241" t="e">
        <f t="shared" ca="1" si="199"/>
        <v>#REF!</v>
      </c>
      <c r="U419" s="243" t="e">
        <f ca="1">IF(AND(INDEX(FlowCalConstA,MATCH(R413,FlowCalNumber,0),1,1)*T419^INDEX(FlowCalConstB,MATCH(R413,FlowCalNumber,0),1,1)&gt;INDEX(FlowCalLowSetting,MATCH(R413,FlowCalNumber,0),1,1), (INDEX(FlowCalConstA,MATCH(R413,FlowCalNumber,0),1,1)*T419^INDEX(FlowCalConstB,MATCH(R413,FlowCalNumber,0),1,1)&lt;INDEX(FlowCalHighSetting,MATCH(R413,FlowCalNumber,0),1,1))),INDEX(FlowCalConstA,MATCH(R413,FlowCalNumber,0),1,1)*T419^INDEX(FlowCalConstB,MATCH(R413,FlowCalNumber,0),1,1)," ")</f>
        <v>#REF!</v>
      </c>
      <c r="V419" s="33"/>
      <c r="W419" s="242"/>
      <c r="X419" s="241"/>
      <c r="Y419" s="243"/>
      <c r="Z419" s="33"/>
      <c r="AA419" s="242"/>
      <c r="AB419" s="241"/>
      <c r="AC419" s="243"/>
      <c r="AD419" s="33"/>
      <c r="AE419" s="242"/>
      <c r="AF419" s="241"/>
      <c r="AG419" s="243"/>
      <c r="AH419" s="33"/>
      <c r="AI419" s="242"/>
      <c r="AJ419" s="241"/>
      <c r="AK419" s="244"/>
      <c r="AL419" s="243"/>
      <c r="AM419" s="243"/>
      <c r="AN419" s="243"/>
      <c r="AO419" s="243"/>
      <c r="AP419" s="243"/>
      <c r="AQ419" s="243"/>
      <c r="AR419" s="243"/>
      <c r="AS419" s="243"/>
      <c r="AT419" s="243"/>
      <c r="AU419" s="243"/>
      <c r="AV419" s="243"/>
      <c r="AW419" s="243"/>
      <c r="AX419" s="243"/>
      <c r="AY419" s="243"/>
      <c r="AZ419" s="243"/>
      <c r="BA419" s="243"/>
      <c r="BB419" s="243"/>
      <c r="BC419" s="243"/>
      <c r="BD419" s="243"/>
      <c r="BE419" s="243"/>
      <c r="BF419" s="243"/>
      <c r="BG419" s="243"/>
      <c r="BH419" s="243"/>
      <c r="BI419" s="243"/>
      <c r="BJ419" s="243"/>
      <c r="BK419" s="243"/>
      <c r="BL419" s="243"/>
      <c r="BM419" s="243"/>
      <c r="BN419" s="243"/>
      <c r="BO419" s="243"/>
      <c r="BP419" s="243"/>
      <c r="BQ419" s="243"/>
      <c r="BR419" s="243"/>
      <c r="BS419" s="243"/>
      <c r="BU419" s="242"/>
      <c r="BW419" s="243"/>
      <c r="BY419" s="242"/>
      <c r="CA419" s="243"/>
      <c r="CC419" s="242"/>
      <c r="CE419" s="243"/>
      <c r="CG419" s="242"/>
      <c r="CI419" s="243"/>
    </row>
    <row r="420" spans="1:87" s="1215" customFormat="1">
      <c r="A420" s="1222"/>
      <c r="B420" s="1223" t="str">
        <f t="shared" si="192"/>
        <v/>
      </c>
      <c r="C420" s="1210"/>
      <c r="D420" s="1211">
        <f>'1% Wind'!$M$88</f>
        <v>10.1</v>
      </c>
      <c r="E420" s="1212"/>
      <c r="F420" s="1212"/>
      <c r="G420" s="1213" t="e">
        <f ca="1">IF(I413=0.9743,$G419,MAX(G419/D419*D420,2))</f>
        <v>#REF!</v>
      </c>
      <c r="H420" s="1214" t="e">
        <f t="shared" ca="1" si="193"/>
        <v>#REF!</v>
      </c>
      <c r="J420" s="1224"/>
      <c r="K420" s="1217">
        <f t="shared" si="194"/>
        <v>1</v>
      </c>
      <c r="L420" s="1218" t="e">
        <f t="shared" ca="1" si="195"/>
        <v>#REF!</v>
      </c>
      <c r="M420" s="1219" t="e">
        <f ca="1">IF(AND(INDEX(FlowCalConstA,MATCH(J413,FlowCalNumber,0),1,1)*L420^INDEX(FlowCalConstB,MATCH(J413,FlowCalNumber,0),1,1)&gt;INDEX(FlowCalLowSetting,MATCH(J413,FlowCalNumber,0),1,1), (INDEX(FlowCalConstA,MATCH(J413,FlowCalNumber,0),1,1)*L420^INDEX(FlowCalConstB,MATCH(J413,FlowCalNumber,0),1,1)&lt;INDEX(FlowCalHighSetting,MATCH(J413,FlowCalNumber,0),1,1))),INDEX(FlowCalConstA,MATCH(J413,FlowCalNumber,0),1,1)*L420^INDEX(FlowCalConstB,MATCH(J413,FlowCalNumber,0),1,1)," ")</f>
        <v>#REF!</v>
      </c>
      <c r="N420" s="1224"/>
      <c r="O420" s="1217">
        <f t="shared" si="196"/>
        <v>1</v>
      </c>
      <c r="P420" s="1218" t="e">
        <f t="shared" ca="1" si="197"/>
        <v>#REF!</v>
      </c>
      <c r="Q420" s="1219" t="e">
        <f ca="1">IF(AND(INDEX(FlowCalConstA,MATCH(N413,FlowCalNumber,0),1,1)*P420^INDEX(FlowCalConstB,MATCH(N413,FlowCalNumber,0),1,1)&gt;INDEX(FlowCalLowSetting,MATCH(N413,FlowCalNumber,0),1,1), (INDEX(FlowCalConstA,MATCH(N413,FlowCalNumber,0),1,1)*P420^INDEX(FlowCalConstB,MATCH(N413,FlowCalNumber,0),1,1)&lt;INDEX(FlowCalHighSetting,MATCH(N413,FlowCalNumber,0),1,1))),INDEX(FlowCalConstA,MATCH(N413,FlowCalNumber,0),1,1)*P420^INDEX(FlowCalConstB,MATCH(N413,FlowCalNumber,0),1,1)," ")</f>
        <v>#REF!</v>
      </c>
      <c r="R420" s="1224"/>
      <c r="S420" s="1217">
        <f t="shared" si="198"/>
        <v>1</v>
      </c>
      <c r="T420" s="1218" t="e">
        <f t="shared" ca="1" si="199"/>
        <v>#REF!</v>
      </c>
      <c r="U420" s="1219" t="e">
        <f ca="1">IF(AND(INDEX(FlowCalConstA,MATCH(R413,FlowCalNumber,0),1,1)*T420^INDEX(FlowCalConstB,MATCH(R413,FlowCalNumber,0),1,1)&gt;INDEX(FlowCalLowSetting,MATCH(R413,FlowCalNumber,0),1,1), (INDEX(FlowCalConstA,MATCH(R413,FlowCalNumber,0),1,1)*T420^INDEX(FlowCalConstB,MATCH(R413,FlowCalNumber,0),1,1)&lt;INDEX(FlowCalHighSetting,MATCH(R413,FlowCalNumber,0),1,1))),INDEX(FlowCalConstA,MATCH(R413,FlowCalNumber,0),1,1)*T420^INDEX(FlowCalConstB,MATCH(R413,FlowCalNumber,0),1,1)," ")</f>
        <v>#REF!</v>
      </c>
      <c r="V420" s="1224"/>
      <c r="W420" s="1217"/>
      <c r="X420" s="1218"/>
      <c r="Y420" s="1219"/>
      <c r="Z420" s="1224"/>
      <c r="AA420" s="1217"/>
      <c r="AB420" s="1218"/>
      <c r="AC420" s="1219"/>
      <c r="AD420" s="1224"/>
      <c r="AE420" s="1217"/>
      <c r="AF420" s="1218"/>
      <c r="AG420" s="1219"/>
      <c r="AH420" s="1224"/>
      <c r="AI420" s="1217"/>
      <c r="AJ420" s="1218"/>
      <c r="AK420" s="1220"/>
      <c r="AL420" s="1219"/>
      <c r="AM420" s="1219"/>
      <c r="AN420" s="1219"/>
      <c r="AO420" s="1219"/>
      <c r="AP420" s="1219"/>
      <c r="AQ420" s="1219"/>
      <c r="AR420" s="1219"/>
      <c r="AS420" s="1219"/>
      <c r="AT420" s="1219"/>
      <c r="AU420" s="1219"/>
      <c r="AV420" s="1219"/>
      <c r="AW420" s="1219"/>
      <c r="AX420" s="1219"/>
      <c r="AY420" s="1219"/>
      <c r="AZ420" s="1219"/>
      <c r="BA420" s="1219"/>
      <c r="BB420" s="1219"/>
      <c r="BC420" s="1219"/>
      <c r="BD420" s="1219"/>
      <c r="BE420" s="1219"/>
      <c r="BF420" s="1219"/>
      <c r="BG420" s="1219"/>
      <c r="BH420" s="1219"/>
      <c r="BI420" s="1219"/>
      <c r="BJ420" s="1219"/>
      <c r="BK420" s="1219"/>
      <c r="BL420" s="1219"/>
      <c r="BM420" s="1219"/>
      <c r="BN420" s="1219"/>
      <c r="BO420" s="1219"/>
      <c r="BP420" s="1219"/>
      <c r="BQ420" s="1219"/>
      <c r="BR420" s="1219"/>
      <c r="BS420" s="1219"/>
      <c r="BU420" s="1217"/>
      <c r="BW420" s="1219"/>
      <c r="BY420" s="1217"/>
      <c r="CA420" s="1219"/>
      <c r="CC420" s="1217"/>
      <c r="CE420" s="1219"/>
      <c r="CG420" s="1217"/>
      <c r="CI420" s="1219"/>
    </row>
    <row r="421" spans="1:87">
      <c r="A421" s="20"/>
      <c r="B421" s="124" t="str">
        <f t="shared" si="192"/>
        <v/>
      </c>
      <c r="C421" s="235"/>
      <c r="D421" s="24">
        <f>'1% Wind'!$M$89</f>
        <v>7.6</v>
      </c>
      <c r="E421" s="90"/>
      <c r="F421" s="90"/>
      <c r="G421" s="79" t="e">
        <f ca="1">IF(I413=0.9743,$G420,MAX(G420/D420*D421,2))</f>
        <v>#REF!</v>
      </c>
      <c r="H421" s="121" t="e">
        <f t="shared" ca="1" si="193"/>
        <v>#REF!</v>
      </c>
      <c r="J421" s="33"/>
      <c r="K421" s="242">
        <f t="shared" si="194"/>
        <v>1</v>
      </c>
      <c r="L421" s="241" t="e">
        <f t="shared" ca="1" si="195"/>
        <v>#REF!</v>
      </c>
      <c r="M421" s="243" t="e">
        <f ca="1">IF(AND(INDEX(FlowCalConstA,MATCH(J413,FlowCalNumber,0),1,1)*L421^INDEX(FlowCalConstB,MATCH(J413,FlowCalNumber,0),1,1)&gt;INDEX(FlowCalLowSetting,MATCH(J413,FlowCalNumber,0),1,1), (INDEX(FlowCalConstA,MATCH(J413,FlowCalNumber,0),1,1)*L421^INDEX(FlowCalConstB,MATCH(J413,FlowCalNumber,0),1,1)&lt;INDEX(FlowCalHighSetting,MATCH(J413,FlowCalNumber,0),1,1))),INDEX(FlowCalConstA,MATCH(J413,FlowCalNumber,0),1,1)*L421^INDEX(FlowCalConstB,MATCH(J413,FlowCalNumber,0),1,1)," ")</f>
        <v>#REF!</v>
      </c>
      <c r="N421" s="33"/>
      <c r="O421" s="242">
        <f t="shared" si="196"/>
        <v>1</v>
      </c>
      <c r="P421" s="241" t="e">
        <f t="shared" ca="1" si="197"/>
        <v>#REF!</v>
      </c>
      <c r="Q421" s="243" t="e">
        <f ca="1">IF(AND(INDEX(FlowCalConstA,MATCH(N413,FlowCalNumber,0),1,1)*P421^INDEX(FlowCalConstB,MATCH(N413,FlowCalNumber,0),1,1)&gt;INDEX(FlowCalLowSetting,MATCH(N413,FlowCalNumber,0),1,1), (INDEX(FlowCalConstA,MATCH(N413,FlowCalNumber,0),1,1)*P421^INDEX(FlowCalConstB,MATCH(N413,FlowCalNumber,0),1,1)&lt;INDEX(FlowCalHighSetting,MATCH(N413,FlowCalNumber,0),1,1))),INDEX(FlowCalConstA,MATCH(N413,FlowCalNumber,0),1,1)*P421^INDEX(FlowCalConstB,MATCH(N413,FlowCalNumber,0),1,1)," ")</f>
        <v>#REF!</v>
      </c>
      <c r="R421" s="33"/>
      <c r="S421" s="242">
        <f t="shared" si="198"/>
        <v>1</v>
      </c>
      <c r="T421" s="241" t="e">
        <f t="shared" ca="1" si="199"/>
        <v>#REF!</v>
      </c>
      <c r="U421" s="243" t="e">
        <f ca="1">IF(AND(INDEX(FlowCalConstA,MATCH(R413,FlowCalNumber,0),1,1)*T421^INDEX(FlowCalConstB,MATCH(R413,FlowCalNumber,0),1,1)&gt;INDEX(FlowCalLowSetting,MATCH(R413,FlowCalNumber,0),1,1), (INDEX(FlowCalConstA,MATCH(R413,FlowCalNumber,0),1,1)*T421^INDEX(FlowCalConstB,MATCH(R413,FlowCalNumber,0),1,1)&lt;INDEX(FlowCalHighSetting,MATCH(R413,FlowCalNumber,0),1,1))),INDEX(FlowCalConstA,MATCH(R413,FlowCalNumber,0),1,1)*T421^INDEX(FlowCalConstB,MATCH(R413,FlowCalNumber,0),1,1)," ")</f>
        <v>#REF!</v>
      </c>
      <c r="V421" s="33"/>
      <c r="W421" s="242"/>
      <c r="X421" s="241"/>
      <c r="Y421" s="243"/>
      <c r="Z421" s="33"/>
      <c r="AA421" s="242"/>
      <c r="AB421" s="241"/>
      <c r="AC421" s="243"/>
      <c r="AD421" s="33"/>
      <c r="AE421" s="242"/>
      <c r="AF421" s="241"/>
      <c r="AG421" s="243"/>
      <c r="AH421" s="33"/>
      <c r="AI421" s="242"/>
      <c r="AJ421" s="241"/>
      <c r="AK421" s="244"/>
      <c r="AL421" s="243"/>
      <c r="AM421" s="243"/>
      <c r="AN421" s="243"/>
      <c r="AO421" s="243"/>
      <c r="AP421" s="243"/>
      <c r="AQ421" s="243"/>
      <c r="AR421" s="243"/>
      <c r="AS421" s="243"/>
      <c r="AT421" s="243"/>
      <c r="AU421" s="243"/>
      <c r="AV421" s="243"/>
      <c r="AW421" s="243"/>
      <c r="AX421" s="243"/>
      <c r="AY421" s="243"/>
      <c r="AZ421" s="243"/>
      <c r="BA421" s="243"/>
      <c r="BB421" s="243"/>
      <c r="BC421" s="243"/>
      <c r="BD421" s="243"/>
      <c r="BE421" s="243"/>
      <c r="BF421" s="243"/>
      <c r="BG421" s="243"/>
      <c r="BH421" s="243"/>
      <c r="BI421" s="243"/>
      <c r="BJ421" s="243"/>
      <c r="BK421" s="243"/>
      <c r="BL421" s="243"/>
      <c r="BM421" s="243"/>
      <c r="BN421" s="243"/>
      <c r="BO421" s="243"/>
      <c r="BP421" s="243"/>
      <c r="BQ421" s="243"/>
      <c r="BR421" s="243"/>
      <c r="BS421" s="243"/>
      <c r="BU421" s="242"/>
      <c r="BW421" s="243"/>
      <c r="BY421" s="242"/>
      <c r="CA421" s="243"/>
      <c r="CC421" s="242"/>
      <c r="CE421" s="243"/>
      <c r="CG421" s="242"/>
      <c r="CI421" s="243"/>
    </row>
    <row r="422" spans="1:87" s="1215" customFormat="1">
      <c r="A422" s="1222"/>
      <c r="B422" s="1223" t="str">
        <f t="shared" si="192"/>
        <v/>
      </c>
      <c r="C422" s="1210"/>
      <c r="D422" s="1211">
        <f>'1% Wind'!$M$90</f>
        <v>5.7</v>
      </c>
      <c r="E422" s="1212"/>
      <c r="F422" s="1212"/>
      <c r="G422" s="1213" t="e">
        <f ca="1">IF(I413=0.9743,$G421,MAX(G421/D421*D422,2))</f>
        <v>#REF!</v>
      </c>
      <c r="H422" s="1214" t="e">
        <f t="shared" ca="1" si="193"/>
        <v>#REF!</v>
      </c>
      <c r="J422" s="1224"/>
      <c r="K422" s="1217">
        <f t="shared" si="194"/>
        <v>1</v>
      </c>
      <c r="L422" s="1218" t="e">
        <f t="shared" ca="1" si="195"/>
        <v>#REF!</v>
      </c>
      <c r="M422" s="1219" t="e">
        <f ca="1">IF(AND(INDEX(FlowCalConstA,MATCH(J413,FlowCalNumber,0),1,1)*L422^INDEX(FlowCalConstB,MATCH(J413,FlowCalNumber,0),1,1)&gt;INDEX(FlowCalLowSetting,MATCH(J413,FlowCalNumber,0),1,1), (INDEX(FlowCalConstA,MATCH(J413,FlowCalNumber,0),1,1)*L422^INDEX(FlowCalConstB,MATCH(J413,FlowCalNumber,0),1,1)&lt;INDEX(FlowCalHighSetting,MATCH(J413,FlowCalNumber,0),1,1))),INDEX(FlowCalConstA,MATCH(J413,FlowCalNumber,0),1,1)*L422^INDEX(FlowCalConstB,MATCH(J413,FlowCalNumber,0),1,1)," ")</f>
        <v>#REF!</v>
      </c>
      <c r="N422" s="1224"/>
      <c r="O422" s="1217">
        <f t="shared" si="196"/>
        <v>1</v>
      </c>
      <c r="P422" s="1218" t="e">
        <f t="shared" ca="1" si="197"/>
        <v>#REF!</v>
      </c>
      <c r="Q422" s="1219" t="e">
        <f ca="1">IF(AND(INDEX(FlowCalConstA,MATCH(N413,FlowCalNumber,0),1,1)*P422^INDEX(FlowCalConstB,MATCH(N413,FlowCalNumber,0),1,1)&gt;INDEX(FlowCalLowSetting,MATCH(N413,FlowCalNumber,0),1,1), (INDEX(FlowCalConstA,MATCH(N413,FlowCalNumber,0),1,1)*P422^INDEX(FlowCalConstB,MATCH(N413,FlowCalNumber,0),1,1)&lt;INDEX(FlowCalHighSetting,MATCH(N413,FlowCalNumber,0),1,1))),INDEX(FlowCalConstA,MATCH(N413,FlowCalNumber,0),1,1)*P422^INDEX(FlowCalConstB,MATCH(N413,FlowCalNumber,0),1,1)," ")</f>
        <v>#REF!</v>
      </c>
      <c r="R422" s="1224"/>
      <c r="S422" s="1217">
        <f t="shared" si="198"/>
        <v>1</v>
      </c>
      <c r="T422" s="1218" t="e">
        <f t="shared" ca="1" si="199"/>
        <v>#REF!</v>
      </c>
      <c r="U422" s="1219" t="e">
        <f ca="1">IF(AND(INDEX(FlowCalConstA,MATCH(R413,FlowCalNumber,0),1,1)*T422^INDEX(FlowCalConstB,MATCH(R413,FlowCalNumber,0),1,1)&gt;INDEX(FlowCalLowSetting,MATCH(R413,FlowCalNumber,0),1,1), (INDEX(FlowCalConstA,MATCH(R413,FlowCalNumber,0),1,1)*T422^INDEX(FlowCalConstB,MATCH(R413,FlowCalNumber,0),1,1)&lt;INDEX(FlowCalHighSetting,MATCH(R413,FlowCalNumber,0),1,1))),INDEX(FlowCalConstA,MATCH(R413,FlowCalNumber,0),1,1)*T422^INDEX(FlowCalConstB,MATCH(R413,FlowCalNumber,0),1,1)," ")</f>
        <v>#REF!</v>
      </c>
      <c r="V422" s="1224"/>
      <c r="W422" s="1217"/>
      <c r="X422" s="1218"/>
      <c r="Y422" s="1219"/>
      <c r="Z422" s="1224"/>
      <c r="AA422" s="1217"/>
      <c r="AB422" s="1218"/>
      <c r="AC422" s="1219"/>
      <c r="AD422" s="1224"/>
      <c r="AE422" s="1217"/>
      <c r="AF422" s="1218"/>
      <c r="AG422" s="1219"/>
      <c r="AH422" s="1224"/>
      <c r="AI422" s="1217"/>
      <c r="AJ422" s="1218"/>
      <c r="AK422" s="1220"/>
      <c r="AL422" s="1219"/>
      <c r="AM422" s="1219"/>
      <c r="AN422" s="1219"/>
      <c r="AO422" s="1219"/>
      <c r="AP422" s="1219"/>
      <c r="AQ422" s="1219"/>
      <c r="AR422" s="1219"/>
      <c r="AS422" s="1219"/>
      <c r="AT422" s="1219"/>
      <c r="AU422" s="1219"/>
      <c r="AV422" s="1219"/>
      <c r="AW422" s="1219"/>
      <c r="AX422" s="1219"/>
      <c r="AY422" s="1219"/>
      <c r="AZ422" s="1219"/>
      <c r="BA422" s="1219"/>
      <c r="BB422" s="1219"/>
      <c r="BC422" s="1219"/>
      <c r="BD422" s="1219"/>
      <c r="BE422" s="1219"/>
      <c r="BF422" s="1219"/>
      <c r="BG422" s="1219"/>
      <c r="BH422" s="1219"/>
      <c r="BI422" s="1219"/>
      <c r="BJ422" s="1219"/>
      <c r="BK422" s="1219"/>
      <c r="BL422" s="1219"/>
      <c r="BM422" s="1219"/>
      <c r="BN422" s="1219"/>
      <c r="BO422" s="1219"/>
      <c r="BP422" s="1219"/>
      <c r="BQ422" s="1219"/>
      <c r="BR422" s="1219"/>
      <c r="BS422" s="1219"/>
      <c r="BU422" s="1217"/>
      <c r="BW422" s="1219"/>
      <c r="BY422" s="1217"/>
      <c r="CA422" s="1219"/>
      <c r="CC422" s="1217"/>
      <c r="CE422" s="1219"/>
      <c r="CG422" s="1217"/>
      <c r="CI422" s="1219"/>
    </row>
    <row r="423" spans="1:87">
      <c r="A423" s="20"/>
      <c r="B423" s="124" t="str">
        <f t="shared" si="192"/>
        <v/>
      </c>
      <c r="C423" s="235"/>
      <c r="D423" s="24">
        <f>'1% Wind'!$M$91</f>
        <v>4.2</v>
      </c>
      <c r="E423" s="90"/>
      <c r="F423" s="90"/>
      <c r="G423" s="79" t="e">
        <f ca="1">IF(I413=0.9743,$G422,MAX(G422/D422*D423,2))</f>
        <v>#REF!</v>
      </c>
      <c r="H423" s="121" t="e">
        <f t="shared" ca="1" si="193"/>
        <v>#REF!</v>
      </c>
      <c r="J423" s="33"/>
      <c r="K423" s="242">
        <f t="shared" si="194"/>
        <v>1</v>
      </c>
      <c r="L423" s="241" t="e">
        <f t="shared" ca="1" si="195"/>
        <v>#REF!</v>
      </c>
      <c r="M423" s="243" t="e">
        <f ca="1">IF(AND(INDEX(FlowCalConstA,MATCH(J413,FlowCalNumber,0),1,1)*L423^INDEX(FlowCalConstB,MATCH(J413,FlowCalNumber,0),1,1)&gt;INDEX(FlowCalLowSetting,MATCH(J413,FlowCalNumber,0),1,1), (INDEX(FlowCalConstA,MATCH(J413,FlowCalNumber,0),1,1)*L423^INDEX(FlowCalConstB,MATCH(J413,FlowCalNumber,0),1,1)&lt;INDEX(FlowCalHighSetting,MATCH(J413,FlowCalNumber,0),1,1))),INDEX(FlowCalConstA,MATCH(J413,FlowCalNumber,0),1,1)*L423^INDEX(FlowCalConstB,MATCH(J413,FlowCalNumber,0),1,1)," ")</f>
        <v>#REF!</v>
      </c>
      <c r="N423" s="33"/>
      <c r="O423" s="242">
        <f t="shared" si="196"/>
        <v>1</v>
      </c>
      <c r="P423" s="241" t="e">
        <f t="shared" ca="1" si="197"/>
        <v>#REF!</v>
      </c>
      <c r="Q423" s="243" t="e">
        <f ca="1">IF(AND(INDEX(FlowCalConstA,MATCH(N413,FlowCalNumber,0),1,1)*P423^INDEX(FlowCalConstB,MATCH(N413,FlowCalNumber,0),1,1)&gt;INDEX(FlowCalLowSetting,MATCH(N413,FlowCalNumber,0),1,1), (INDEX(FlowCalConstA,MATCH(N413,FlowCalNumber,0),1,1)*P423^INDEX(FlowCalConstB,MATCH(N413,FlowCalNumber,0),1,1)&lt;INDEX(FlowCalHighSetting,MATCH(N413,FlowCalNumber,0),1,1))),INDEX(FlowCalConstA,MATCH(N413,FlowCalNumber,0),1,1)*P423^INDEX(FlowCalConstB,MATCH(N413,FlowCalNumber,0),1,1)," ")</f>
        <v>#REF!</v>
      </c>
      <c r="R423" s="33"/>
      <c r="S423" s="242">
        <f t="shared" si="198"/>
        <v>1</v>
      </c>
      <c r="T423" s="241" t="e">
        <f t="shared" ca="1" si="199"/>
        <v>#REF!</v>
      </c>
      <c r="U423" s="243" t="e">
        <f ca="1">IF(AND(INDEX(FlowCalConstA,MATCH(R413,FlowCalNumber,0),1,1)*T423^INDEX(FlowCalConstB,MATCH(R413,FlowCalNumber,0),1,1)&gt;INDEX(FlowCalLowSetting,MATCH(R413,FlowCalNumber,0),1,1), (INDEX(FlowCalConstA,MATCH(R413,FlowCalNumber,0),1,1)*T423^INDEX(FlowCalConstB,MATCH(R413,FlowCalNumber,0),1,1)&lt;INDEX(FlowCalHighSetting,MATCH(R413,FlowCalNumber,0),1,1))),INDEX(FlowCalConstA,MATCH(R413,FlowCalNumber,0),1,1)*T423^INDEX(FlowCalConstB,MATCH(R413,FlowCalNumber,0),1,1)," ")</f>
        <v>#REF!</v>
      </c>
      <c r="V423" s="33"/>
      <c r="W423" s="242"/>
      <c r="X423" s="241"/>
      <c r="Y423" s="243"/>
      <c r="Z423" s="33"/>
      <c r="AA423" s="242"/>
      <c r="AB423" s="241"/>
      <c r="AC423" s="243"/>
      <c r="AD423" s="33"/>
      <c r="AE423" s="242"/>
      <c r="AF423" s="241"/>
      <c r="AG423" s="243"/>
      <c r="AH423" s="33"/>
      <c r="AI423" s="242"/>
      <c r="AJ423" s="241"/>
      <c r="AK423" s="244"/>
      <c r="AL423" s="243"/>
      <c r="AM423" s="243"/>
      <c r="AN423" s="243"/>
      <c r="AO423" s="243"/>
      <c r="AP423" s="243"/>
      <c r="AQ423" s="243"/>
      <c r="AR423" s="243"/>
      <c r="AS423" s="243"/>
      <c r="AT423" s="243"/>
      <c r="AU423" s="243"/>
      <c r="AV423" s="243"/>
      <c r="AW423" s="243"/>
      <c r="AX423" s="243"/>
      <c r="AY423" s="243"/>
      <c r="AZ423" s="243"/>
      <c r="BA423" s="243"/>
      <c r="BB423" s="243"/>
      <c r="BC423" s="243"/>
      <c r="BD423" s="243"/>
      <c r="BE423" s="243"/>
      <c r="BF423" s="243"/>
      <c r="BG423" s="243"/>
      <c r="BH423" s="243"/>
      <c r="BI423" s="243"/>
      <c r="BJ423" s="243"/>
      <c r="BK423" s="243"/>
      <c r="BL423" s="243"/>
      <c r="BM423" s="243"/>
      <c r="BN423" s="243"/>
      <c r="BO423" s="243"/>
      <c r="BP423" s="243"/>
      <c r="BQ423" s="243"/>
      <c r="BR423" s="243"/>
      <c r="BS423" s="243"/>
      <c r="BU423" s="242"/>
      <c r="BW423" s="243"/>
      <c r="BY423" s="242"/>
      <c r="CA423" s="243"/>
      <c r="CC423" s="242"/>
      <c r="CE423" s="243"/>
      <c r="CG423" s="242"/>
      <c r="CI423" s="243"/>
    </row>
    <row r="424" spans="1:87" s="1215" customFormat="1">
      <c r="A424" s="1222"/>
      <c r="B424" s="1223" t="str">
        <f t="shared" si="192"/>
        <v/>
      </c>
      <c r="C424" s="1210"/>
      <c r="D424" s="1211">
        <f>'1% Wind'!$M$92</f>
        <v>3.2</v>
      </c>
      <c r="E424" s="1212"/>
      <c r="F424" s="1212"/>
      <c r="G424" s="1213" t="e">
        <f ca="1">IF(I413=0.9743,$G423,MAX(G423/D423*D424,2))</f>
        <v>#REF!</v>
      </c>
      <c r="H424" s="1214" t="e">
        <f t="shared" ca="1" si="193"/>
        <v>#REF!</v>
      </c>
      <c r="J424" s="1224"/>
      <c r="K424" s="1217">
        <f t="shared" si="194"/>
        <v>1</v>
      </c>
      <c r="L424" s="1218" t="e">
        <f t="shared" ca="1" si="195"/>
        <v>#REF!</v>
      </c>
      <c r="M424" s="1219" t="e">
        <f ca="1">IF(AND(INDEX(FlowCalConstA,MATCH(J413,FlowCalNumber,0),1,1)*L424^INDEX(FlowCalConstB,MATCH(J413,FlowCalNumber,0),1,1)&gt;INDEX(FlowCalLowSetting,MATCH(J413,FlowCalNumber,0),1,1), (INDEX(FlowCalConstA,MATCH(J413,FlowCalNumber,0),1,1)*L424^INDEX(FlowCalConstB,MATCH(J413,FlowCalNumber,0),1,1)&lt;INDEX(FlowCalHighSetting,MATCH(J413,FlowCalNumber,0),1,1))),INDEX(FlowCalConstA,MATCH(J413,FlowCalNumber,0),1,1)*L424^INDEX(FlowCalConstB,MATCH(J413,FlowCalNumber,0),1,1)," ")</f>
        <v>#REF!</v>
      </c>
      <c r="N424" s="1224"/>
      <c r="O424" s="1217">
        <f t="shared" si="196"/>
        <v>1</v>
      </c>
      <c r="P424" s="1218" t="e">
        <f t="shared" ca="1" si="197"/>
        <v>#REF!</v>
      </c>
      <c r="Q424" s="1219" t="e">
        <f ca="1">IF(AND(INDEX(FlowCalConstA,MATCH(N413,FlowCalNumber,0),1,1)*P424^INDEX(FlowCalConstB,MATCH(N413,FlowCalNumber,0),1,1)&gt;INDEX(FlowCalLowSetting,MATCH(N413,FlowCalNumber,0),1,1), (INDEX(FlowCalConstA,MATCH(N413,FlowCalNumber,0),1,1)*P424^INDEX(FlowCalConstB,MATCH(N413,FlowCalNumber,0),1,1)&lt;INDEX(FlowCalHighSetting,MATCH(N413,FlowCalNumber,0),1,1))),INDEX(FlowCalConstA,MATCH(N413,FlowCalNumber,0),1,1)*P424^INDEX(FlowCalConstB,MATCH(N413,FlowCalNumber,0),1,1)," ")</f>
        <v>#REF!</v>
      </c>
      <c r="R424" s="1224"/>
      <c r="S424" s="1217">
        <f t="shared" si="198"/>
        <v>1</v>
      </c>
      <c r="T424" s="1218" t="e">
        <f t="shared" ca="1" si="199"/>
        <v>#REF!</v>
      </c>
      <c r="U424" s="1219" t="e">
        <f ca="1">IF(AND(INDEX(FlowCalConstA,MATCH(R413,FlowCalNumber,0),1,1)*T424^INDEX(FlowCalConstB,MATCH(R413,FlowCalNumber,0),1,1)&gt;INDEX(FlowCalLowSetting,MATCH(R413,FlowCalNumber,0),1,1), (INDEX(FlowCalConstA,MATCH(R413,FlowCalNumber,0),1,1)*T424^INDEX(FlowCalConstB,MATCH(R413,FlowCalNumber,0),1,1)&lt;INDEX(FlowCalHighSetting,MATCH(R413,FlowCalNumber,0),1,1))),INDEX(FlowCalConstA,MATCH(R413,FlowCalNumber,0),1,1)*T424^INDEX(FlowCalConstB,MATCH(R413,FlowCalNumber,0),1,1)," ")</f>
        <v>#REF!</v>
      </c>
      <c r="V424" s="1224"/>
      <c r="W424" s="1217"/>
      <c r="X424" s="1218"/>
      <c r="Y424" s="1219"/>
      <c r="Z424" s="1224"/>
      <c r="AA424" s="1217"/>
      <c r="AB424" s="1218"/>
      <c r="AC424" s="1219"/>
      <c r="AD424" s="1224"/>
      <c r="AE424" s="1217"/>
      <c r="AF424" s="1218"/>
      <c r="AG424" s="1219"/>
      <c r="AH424" s="1224"/>
      <c r="AI424" s="1217"/>
      <c r="AJ424" s="1218"/>
      <c r="AK424" s="1220"/>
      <c r="AL424" s="1219"/>
      <c r="AM424" s="1219"/>
      <c r="AN424" s="1219"/>
      <c r="AO424" s="1219"/>
      <c r="AP424" s="1219"/>
      <c r="AQ424" s="1219"/>
      <c r="AR424" s="1219"/>
      <c r="AS424" s="1219"/>
      <c r="AT424" s="1219"/>
      <c r="AU424" s="1219"/>
      <c r="AV424" s="1219"/>
      <c r="AW424" s="1219"/>
      <c r="AX424" s="1219"/>
      <c r="AY424" s="1219"/>
      <c r="AZ424" s="1219"/>
      <c r="BA424" s="1219"/>
      <c r="BB424" s="1219"/>
      <c r="BC424" s="1219"/>
      <c r="BD424" s="1219"/>
      <c r="BE424" s="1219"/>
      <c r="BF424" s="1219"/>
      <c r="BG424" s="1219"/>
      <c r="BH424" s="1219"/>
      <c r="BI424" s="1219"/>
      <c r="BJ424" s="1219"/>
      <c r="BK424" s="1219"/>
      <c r="BL424" s="1219"/>
      <c r="BM424" s="1219"/>
      <c r="BN424" s="1219"/>
      <c r="BO424" s="1219"/>
      <c r="BP424" s="1219"/>
      <c r="BQ424" s="1219"/>
      <c r="BR424" s="1219"/>
      <c r="BS424" s="1219"/>
      <c r="BU424" s="1217"/>
      <c r="BW424" s="1219"/>
      <c r="BY424" s="1217"/>
      <c r="CA424" s="1219"/>
      <c r="CC424" s="1217"/>
      <c r="CE424" s="1219"/>
      <c r="CG424" s="1217"/>
      <c r="CI424" s="1219"/>
    </row>
    <row r="425" spans="1:87">
      <c r="A425" s="20"/>
      <c r="B425" s="124" t="str">
        <f t="shared" si="192"/>
        <v/>
      </c>
      <c r="C425" s="235"/>
      <c r="D425" s="24">
        <f>'1% Wind'!$M$93</f>
        <v>2.4</v>
      </c>
      <c r="E425" s="90"/>
      <c r="F425" s="90"/>
      <c r="G425" s="79" t="e">
        <f ca="1">IF(I413=0.9743,$G424,MAX(G424/D424*D425,2))</f>
        <v>#REF!</v>
      </c>
      <c r="H425" s="121" t="e">
        <f t="shared" ca="1" si="193"/>
        <v>#REF!</v>
      </c>
      <c r="J425" s="33"/>
      <c r="K425" s="242">
        <f t="shared" si="194"/>
        <v>1</v>
      </c>
      <c r="L425" s="241" t="e">
        <f t="shared" ca="1" si="195"/>
        <v>#REF!</v>
      </c>
      <c r="M425" s="243" t="e">
        <f ca="1">IF(AND(INDEX(FlowCalConstA,MATCH(J413,FlowCalNumber,0),1,1)*L425^INDEX(FlowCalConstB,MATCH(J413,FlowCalNumber,0),1,1)&gt;INDEX(FlowCalLowSetting,MATCH(J413,FlowCalNumber,0),1,1), (INDEX(FlowCalConstA,MATCH(J413,FlowCalNumber,0),1,1)*L425^INDEX(FlowCalConstB,MATCH(J413,FlowCalNumber,0),1,1)&lt;INDEX(FlowCalHighSetting,MATCH(J413,FlowCalNumber,0),1,1))),INDEX(FlowCalConstA,MATCH(J413,FlowCalNumber,0),1,1)*L425^INDEX(FlowCalConstB,MATCH(J413,FlowCalNumber,0),1,1)," ")</f>
        <v>#REF!</v>
      </c>
      <c r="N425" s="33"/>
      <c r="O425" s="242">
        <f t="shared" si="196"/>
        <v>1</v>
      </c>
      <c r="P425" s="241" t="e">
        <f t="shared" ca="1" si="197"/>
        <v>#REF!</v>
      </c>
      <c r="Q425" s="243" t="e">
        <f ca="1">IF(AND(INDEX(FlowCalConstA,MATCH(N413,FlowCalNumber,0),1,1)*P425^INDEX(FlowCalConstB,MATCH(N413,FlowCalNumber,0),1,1)&gt;INDEX(FlowCalLowSetting,MATCH(N413,FlowCalNumber,0),1,1), (INDEX(FlowCalConstA,MATCH(N413,FlowCalNumber,0),1,1)*P425^INDEX(FlowCalConstB,MATCH(N413,FlowCalNumber,0),1,1)&lt;INDEX(FlowCalHighSetting,MATCH(N413,FlowCalNumber,0),1,1))),INDEX(FlowCalConstA,MATCH(N413,FlowCalNumber,0),1,1)*P425^INDEX(FlowCalConstB,MATCH(N413,FlowCalNumber,0),1,1)," ")</f>
        <v>#REF!</v>
      </c>
      <c r="R425" s="33"/>
      <c r="S425" s="242">
        <f t="shared" si="198"/>
        <v>1</v>
      </c>
      <c r="T425" s="241" t="e">
        <f t="shared" ca="1" si="199"/>
        <v>#REF!</v>
      </c>
      <c r="U425" s="243" t="e">
        <f ca="1">IF(AND(INDEX(FlowCalConstA,MATCH(R413,FlowCalNumber,0),1,1)*T425^INDEX(FlowCalConstB,MATCH(R413,FlowCalNumber,0),1,1)&gt;INDEX(FlowCalLowSetting,MATCH(R413,FlowCalNumber,0),1,1), (INDEX(FlowCalConstA,MATCH(R413,FlowCalNumber,0),1,1)*T425^INDEX(FlowCalConstB,MATCH(R413,FlowCalNumber,0),1,1)&lt;INDEX(FlowCalHighSetting,MATCH(R413,FlowCalNumber,0),1,1))),INDEX(FlowCalConstA,MATCH(R413,FlowCalNumber,0),1,1)*T425^INDEX(FlowCalConstB,MATCH(R413,FlowCalNumber,0),1,1)," ")</f>
        <v>#REF!</v>
      </c>
      <c r="V425" s="33"/>
      <c r="W425" s="242"/>
      <c r="X425" s="241"/>
      <c r="Y425" s="243"/>
      <c r="Z425" s="33"/>
      <c r="AA425" s="242"/>
      <c r="AB425" s="241"/>
      <c r="AC425" s="243"/>
      <c r="AD425" s="33"/>
      <c r="AE425" s="242"/>
      <c r="AF425" s="241"/>
      <c r="AG425" s="243"/>
      <c r="AH425" s="33"/>
      <c r="AI425" s="242"/>
      <c r="AJ425" s="241"/>
      <c r="AK425" s="244"/>
      <c r="AL425" s="243"/>
      <c r="AM425" s="243"/>
      <c r="AN425" s="243"/>
      <c r="AO425" s="243"/>
      <c r="AP425" s="243"/>
      <c r="AQ425" s="243"/>
      <c r="AR425" s="243"/>
      <c r="AS425" s="243"/>
      <c r="AT425" s="243"/>
      <c r="AU425" s="243"/>
      <c r="AV425" s="243"/>
      <c r="AW425" s="243"/>
      <c r="AX425" s="243"/>
      <c r="AY425" s="243"/>
      <c r="AZ425" s="243"/>
      <c r="BA425" s="243"/>
      <c r="BB425" s="243"/>
      <c r="BC425" s="243"/>
      <c r="BD425" s="243"/>
      <c r="BE425" s="243"/>
      <c r="BF425" s="243"/>
      <c r="BG425" s="243"/>
      <c r="BH425" s="243"/>
      <c r="BI425" s="243"/>
      <c r="BJ425" s="243"/>
      <c r="BK425" s="243"/>
      <c r="BL425" s="243"/>
      <c r="BM425" s="243"/>
      <c r="BN425" s="243"/>
      <c r="BO425" s="243"/>
      <c r="BP425" s="243"/>
      <c r="BQ425" s="243"/>
      <c r="BR425" s="243"/>
      <c r="BS425" s="243"/>
      <c r="BU425" s="242"/>
      <c r="BW425" s="243"/>
      <c r="BY425" s="242"/>
      <c r="CA425" s="243"/>
      <c r="CC425" s="242"/>
      <c r="CE425" s="243"/>
      <c r="CG425" s="242"/>
      <c r="CI425" s="243"/>
    </row>
    <row r="426" spans="1:87" s="1215" customFormat="1">
      <c r="A426" s="1222"/>
      <c r="B426" s="1223" t="str">
        <f t="shared" si="192"/>
        <v/>
      </c>
      <c r="C426" s="1210"/>
      <c r="D426" s="1211">
        <f>'1% Wind'!$M$94</f>
        <v>1.8</v>
      </c>
      <c r="E426" s="1212"/>
      <c r="F426" s="1212"/>
      <c r="G426" s="1213" t="e">
        <f ca="1">IF(I413=0.9743,$G425,MAX(G425/D425*D426,2))</f>
        <v>#REF!</v>
      </c>
      <c r="H426" s="1214" t="e">
        <f t="shared" ca="1" si="193"/>
        <v>#REF!</v>
      </c>
      <c r="J426" s="1224"/>
      <c r="K426" s="1217">
        <f t="shared" si="194"/>
        <v>1</v>
      </c>
      <c r="L426" s="1218" t="e">
        <f t="shared" ca="1" si="195"/>
        <v>#REF!</v>
      </c>
      <c r="M426" s="1219" t="e">
        <f ca="1">IF(AND(INDEX(FlowCalConstA,MATCH(J413,FlowCalNumber,0),1,1)*L426^INDEX(FlowCalConstB,MATCH(J413,FlowCalNumber,0),1,1)&gt;INDEX(FlowCalLowSetting,MATCH(J413,FlowCalNumber,0),1,1), (INDEX(FlowCalConstA,MATCH(J413,FlowCalNumber,0),1,1)*L426^INDEX(FlowCalConstB,MATCH(J413,FlowCalNumber,0),1,1)&lt;INDEX(FlowCalHighSetting,MATCH(J413,FlowCalNumber,0),1,1))),INDEX(FlowCalConstA,MATCH(J413,FlowCalNumber,0),1,1)*L426^INDEX(FlowCalConstB,MATCH(J413,FlowCalNumber,0),1,1)," ")</f>
        <v>#REF!</v>
      </c>
      <c r="N426" s="1224"/>
      <c r="O426" s="1217">
        <f t="shared" si="196"/>
        <v>1</v>
      </c>
      <c r="P426" s="1218" t="e">
        <f t="shared" ca="1" si="197"/>
        <v>#REF!</v>
      </c>
      <c r="Q426" s="1219" t="e">
        <f ca="1">IF(AND(INDEX(FlowCalConstA,MATCH(N413,FlowCalNumber,0),1,1)*P426^INDEX(FlowCalConstB,MATCH(N413,FlowCalNumber,0),1,1)&gt;INDEX(FlowCalLowSetting,MATCH(N413,FlowCalNumber,0),1,1), (INDEX(FlowCalConstA,MATCH(N413,FlowCalNumber,0),1,1)*P426^INDEX(FlowCalConstB,MATCH(N413,FlowCalNumber,0),1,1)&lt;INDEX(FlowCalHighSetting,MATCH(N413,FlowCalNumber,0),1,1))),INDEX(FlowCalConstA,MATCH(N413,FlowCalNumber,0),1,1)*P426^INDEX(FlowCalConstB,MATCH(N413,FlowCalNumber,0),1,1)," ")</f>
        <v>#REF!</v>
      </c>
      <c r="R426" s="1224"/>
      <c r="S426" s="1217">
        <f t="shared" si="198"/>
        <v>1</v>
      </c>
      <c r="T426" s="1218" t="e">
        <f t="shared" ca="1" si="199"/>
        <v>#REF!</v>
      </c>
      <c r="U426" s="1219" t="e">
        <f ca="1">IF(AND(INDEX(FlowCalConstA,MATCH(R413,FlowCalNumber,0),1,1)*T426^INDEX(FlowCalConstB,MATCH(R413,FlowCalNumber,0),1,1)&gt;INDEX(FlowCalLowSetting,MATCH(R413,FlowCalNumber,0),1,1), (INDEX(FlowCalConstA,MATCH(R413,FlowCalNumber,0),1,1)*T426^INDEX(FlowCalConstB,MATCH(R413,FlowCalNumber,0),1,1)&lt;INDEX(FlowCalHighSetting,MATCH(R413,FlowCalNumber,0),1,1))),INDEX(FlowCalConstA,MATCH(R413,FlowCalNumber,0),1,1)*T426^INDEX(FlowCalConstB,MATCH(R413,FlowCalNumber,0),1,1)," ")</f>
        <v>#REF!</v>
      </c>
      <c r="V426" s="1224"/>
      <c r="W426" s="1217"/>
      <c r="X426" s="1218"/>
      <c r="Y426" s="1219"/>
      <c r="Z426" s="1224"/>
      <c r="AA426" s="1217"/>
      <c r="AB426" s="1218"/>
      <c r="AC426" s="1219"/>
      <c r="AD426" s="1224"/>
      <c r="AE426" s="1217"/>
      <c r="AF426" s="1218"/>
      <c r="AG426" s="1219"/>
      <c r="AH426" s="1224"/>
      <c r="AI426" s="1217"/>
      <c r="AJ426" s="1218"/>
      <c r="AK426" s="1220"/>
      <c r="AL426" s="1219"/>
      <c r="AM426" s="1219"/>
      <c r="AN426" s="1219"/>
      <c r="AO426" s="1219"/>
      <c r="AP426" s="1219"/>
      <c r="AQ426" s="1219"/>
      <c r="AR426" s="1219"/>
      <c r="AS426" s="1219"/>
      <c r="AT426" s="1219"/>
      <c r="AU426" s="1219"/>
      <c r="AV426" s="1219"/>
      <c r="AW426" s="1219"/>
      <c r="AX426" s="1219"/>
      <c r="AY426" s="1219"/>
      <c r="AZ426" s="1219"/>
      <c r="BA426" s="1219"/>
      <c r="BB426" s="1219"/>
      <c r="BC426" s="1219"/>
      <c r="BD426" s="1219"/>
      <c r="BE426" s="1219"/>
      <c r="BF426" s="1219"/>
      <c r="BG426" s="1219"/>
      <c r="BH426" s="1219"/>
      <c r="BI426" s="1219"/>
      <c r="BJ426" s="1219"/>
      <c r="BK426" s="1219"/>
      <c r="BL426" s="1219"/>
      <c r="BM426" s="1219"/>
      <c r="BN426" s="1219"/>
      <c r="BO426" s="1219"/>
      <c r="BP426" s="1219"/>
      <c r="BQ426" s="1219"/>
      <c r="BR426" s="1219"/>
      <c r="BS426" s="1219"/>
      <c r="BU426" s="1217"/>
      <c r="BW426" s="1219"/>
      <c r="BY426" s="1217"/>
      <c r="CA426" s="1219"/>
      <c r="CC426" s="1217"/>
      <c r="CE426" s="1219"/>
      <c r="CG426" s="1217"/>
      <c r="CI426" s="1219"/>
    </row>
    <row r="427" spans="1:87">
      <c r="A427" s="20"/>
      <c r="B427" s="124" t="str">
        <f t="shared" si="192"/>
        <v/>
      </c>
      <c r="C427" s="235"/>
      <c r="D427" s="24">
        <f>'1% Wind'!$M$95</f>
        <v>1.3</v>
      </c>
      <c r="E427" s="90"/>
      <c r="F427" s="90"/>
      <c r="G427" s="79" t="e">
        <f ca="1">IF(I413=0.9743,$G426,MAX(G426/D426*D427,2))</f>
        <v>#REF!</v>
      </c>
      <c r="H427" s="121" t="e">
        <f t="shared" ca="1" si="193"/>
        <v>#REF!</v>
      </c>
      <c r="J427" s="33"/>
      <c r="K427" s="242">
        <f t="shared" si="194"/>
        <v>1</v>
      </c>
      <c r="L427" s="241" t="e">
        <f t="shared" ca="1" si="195"/>
        <v>#REF!</v>
      </c>
      <c r="M427" s="243" t="e">
        <f ca="1">IF(AND(INDEX(FlowCalConstA,MATCH(J413,FlowCalNumber,0),1,1)*L427^INDEX(FlowCalConstB,MATCH(J413,FlowCalNumber,0),1,1)&gt;INDEX(FlowCalLowSetting,MATCH(J413,FlowCalNumber,0),1,1), (INDEX(FlowCalConstA,MATCH(J413,FlowCalNumber,0),1,1)*L427^INDEX(FlowCalConstB,MATCH(J413,FlowCalNumber,0),1,1)&lt;INDEX(FlowCalHighSetting,MATCH(J413,FlowCalNumber,0),1,1))),INDEX(FlowCalConstA,MATCH(J413,FlowCalNumber,0),1,1)*L427^INDEX(FlowCalConstB,MATCH(J413,FlowCalNumber,0),1,1)," ")</f>
        <v>#REF!</v>
      </c>
      <c r="N427" s="33"/>
      <c r="O427" s="242">
        <f t="shared" si="196"/>
        <v>1</v>
      </c>
      <c r="P427" s="241" t="e">
        <f t="shared" ca="1" si="197"/>
        <v>#REF!</v>
      </c>
      <c r="Q427" s="243" t="e">
        <f ca="1">IF(AND(INDEX(FlowCalConstA,MATCH(N413,FlowCalNumber,0),1,1)*P427^INDEX(FlowCalConstB,MATCH(N413,FlowCalNumber,0),1,1)&gt;INDEX(FlowCalLowSetting,MATCH(N413,FlowCalNumber,0),1,1), (INDEX(FlowCalConstA,MATCH(N413,FlowCalNumber,0),1,1)*P427^INDEX(FlowCalConstB,MATCH(N413,FlowCalNumber,0),1,1)&lt;INDEX(FlowCalHighSetting,MATCH(N413,FlowCalNumber,0),1,1))),INDEX(FlowCalConstA,MATCH(N413,FlowCalNumber,0),1,1)*P427^INDEX(FlowCalConstB,MATCH(N413,FlowCalNumber,0),1,1)," ")</f>
        <v>#REF!</v>
      </c>
      <c r="R427" s="33"/>
      <c r="S427" s="242">
        <f t="shared" si="198"/>
        <v>1</v>
      </c>
      <c r="T427" s="241" t="e">
        <f t="shared" ca="1" si="199"/>
        <v>#REF!</v>
      </c>
      <c r="U427" s="243" t="e">
        <f ca="1">IF(AND(INDEX(FlowCalConstA,MATCH(R413,FlowCalNumber,0),1,1)*T427^INDEX(FlowCalConstB,MATCH(R413,FlowCalNumber,0),1,1)&gt;INDEX(FlowCalLowSetting,MATCH(R413,FlowCalNumber,0),1,1), (INDEX(FlowCalConstA,MATCH(R413,FlowCalNumber,0),1,1)*T427^INDEX(FlowCalConstB,MATCH(R413,FlowCalNumber,0),1,1)&lt;INDEX(FlowCalHighSetting,MATCH(R413,FlowCalNumber,0),1,1))),INDEX(FlowCalConstA,MATCH(R413,FlowCalNumber,0),1,1)*T427^INDEX(FlowCalConstB,MATCH(R413,FlowCalNumber,0),1,1)," ")</f>
        <v>#REF!</v>
      </c>
      <c r="V427" s="33"/>
      <c r="W427" s="242"/>
      <c r="X427" s="241"/>
      <c r="Y427" s="243"/>
      <c r="Z427" s="33"/>
      <c r="AA427" s="242"/>
      <c r="AB427" s="241"/>
      <c r="AC427" s="243"/>
      <c r="AD427" s="33"/>
      <c r="AE427" s="242"/>
      <c r="AF427" s="241"/>
      <c r="AG427" s="243"/>
      <c r="AH427" s="33"/>
      <c r="AI427" s="242"/>
      <c r="AJ427" s="241"/>
      <c r="AK427" s="244"/>
      <c r="AL427" s="243"/>
      <c r="AM427" s="243"/>
      <c r="AN427" s="243"/>
      <c r="AO427" s="243"/>
      <c r="AP427" s="243"/>
      <c r="AQ427" s="243"/>
      <c r="AR427" s="243"/>
      <c r="AS427" s="243"/>
      <c r="AT427" s="243"/>
      <c r="AU427" s="243"/>
      <c r="AV427" s="243"/>
      <c r="AW427" s="243"/>
      <c r="AX427" s="243"/>
      <c r="AY427" s="243"/>
      <c r="AZ427" s="243"/>
      <c r="BA427" s="243"/>
      <c r="BB427" s="243"/>
      <c r="BC427" s="243"/>
      <c r="BD427" s="243"/>
      <c r="BE427" s="243"/>
      <c r="BF427" s="243"/>
      <c r="BG427" s="243"/>
      <c r="BH427" s="243"/>
      <c r="BI427" s="243"/>
      <c r="BJ427" s="243"/>
      <c r="BK427" s="243"/>
      <c r="BL427" s="243"/>
      <c r="BM427" s="243"/>
      <c r="BN427" s="243"/>
      <c r="BO427" s="243"/>
      <c r="BP427" s="243"/>
      <c r="BQ427" s="243"/>
      <c r="BR427" s="243"/>
      <c r="BS427" s="243"/>
      <c r="BU427" s="242"/>
      <c r="BW427" s="243"/>
      <c r="BY427" s="242"/>
      <c r="CA427" s="243"/>
      <c r="CC427" s="242"/>
      <c r="CE427" s="243"/>
      <c r="CG427" s="242"/>
      <c r="CI427" s="243"/>
    </row>
    <row r="428" spans="1:87" s="1215" customFormat="1">
      <c r="A428" s="1222"/>
      <c r="B428" s="1223" t="str">
        <f t="shared" si="192"/>
        <v/>
      </c>
      <c r="C428" s="1210"/>
      <c r="D428" s="1211">
        <f>'1% Wind'!$M$96</f>
        <v>1</v>
      </c>
      <c r="E428" s="1212"/>
      <c r="F428" s="1212"/>
      <c r="G428" s="1213" t="e">
        <f ca="1">IF(I413=0.9743,$G427,MAX(G427/D427*D428,2))</f>
        <v>#REF!</v>
      </c>
      <c r="H428" s="1214" t="e">
        <f t="shared" ca="1" si="193"/>
        <v>#REF!</v>
      </c>
      <c r="J428" s="1224"/>
      <c r="K428" s="1217">
        <f t="shared" si="194"/>
        <v>1</v>
      </c>
      <c r="L428" s="1218" t="e">
        <f t="shared" ca="1" si="195"/>
        <v>#REF!</v>
      </c>
      <c r="M428" s="1219" t="e">
        <f ca="1">IF(AND(INDEX(FlowCalConstA,MATCH(J413,FlowCalNumber,0),1,1)*L428^INDEX(FlowCalConstB,MATCH(J413,FlowCalNumber,0),1,1)&gt;INDEX(FlowCalLowSetting,MATCH(J413,FlowCalNumber,0),1,1), (INDEX(FlowCalConstA,MATCH(J413,FlowCalNumber,0),1,1)*L428^INDEX(FlowCalConstB,MATCH(J413,FlowCalNumber,0),1,1)&lt;INDEX(FlowCalHighSetting,MATCH(J413,FlowCalNumber,0),1,1))),INDEX(FlowCalConstA,MATCH(J413,FlowCalNumber,0),1,1)*L428^INDEX(FlowCalConstB,MATCH(J413,FlowCalNumber,0),1,1)," ")</f>
        <v>#REF!</v>
      </c>
      <c r="N428" s="1224"/>
      <c r="O428" s="1217">
        <f t="shared" si="196"/>
        <v>1</v>
      </c>
      <c r="P428" s="1218" t="e">
        <f t="shared" ca="1" si="197"/>
        <v>#REF!</v>
      </c>
      <c r="Q428" s="1219" t="e">
        <f ca="1">IF(AND(INDEX(FlowCalConstA,MATCH(N413,FlowCalNumber,0),1,1)*P428^INDEX(FlowCalConstB,MATCH(N413,FlowCalNumber,0),1,1)&gt;INDEX(FlowCalLowSetting,MATCH(N413,FlowCalNumber,0),1,1), (INDEX(FlowCalConstA,MATCH(N413,FlowCalNumber,0),1,1)*P428^INDEX(FlowCalConstB,MATCH(N413,FlowCalNumber,0),1,1)&lt;INDEX(FlowCalHighSetting,MATCH(N413,FlowCalNumber,0),1,1))),INDEX(FlowCalConstA,MATCH(N413,FlowCalNumber,0),1,1)*P428^INDEX(FlowCalConstB,MATCH(N413,FlowCalNumber,0),1,1)," ")</f>
        <v>#REF!</v>
      </c>
      <c r="R428" s="1224"/>
      <c r="S428" s="1217">
        <f t="shared" si="198"/>
        <v>1</v>
      </c>
      <c r="T428" s="1218" t="e">
        <f t="shared" ca="1" si="199"/>
        <v>#REF!</v>
      </c>
      <c r="U428" s="1219" t="e">
        <f ca="1">IF(AND(INDEX(FlowCalConstA,MATCH(R413,FlowCalNumber,0),1,1)*T428^INDEX(FlowCalConstB,MATCH(R413,FlowCalNumber,0),1,1)&gt;INDEX(FlowCalLowSetting,MATCH(R413,FlowCalNumber,0),1,1), (INDEX(FlowCalConstA,MATCH(R413,FlowCalNumber,0),1,1)*T428^INDEX(FlowCalConstB,MATCH(R413,FlowCalNumber,0),1,1)&lt;INDEX(FlowCalHighSetting,MATCH(R413,FlowCalNumber,0),1,1))),INDEX(FlowCalConstA,MATCH(R413,FlowCalNumber,0),1,1)*T428^INDEX(FlowCalConstB,MATCH(R413,FlowCalNumber,0),1,1)," ")</f>
        <v>#REF!</v>
      </c>
      <c r="V428" s="1224"/>
      <c r="W428" s="1217"/>
      <c r="X428" s="1218"/>
      <c r="Y428" s="1219"/>
      <c r="Z428" s="1224"/>
      <c r="AA428" s="1217"/>
      <c r="AB428" s="1218"/>
      <c r="AC428" s="1219"/>
      <c r="AD428" s="1224"/>
      <c r="AE428" s="1217"/>
      <c r="AF428" s="1218"/>
      <c r="AG428" s="1219"/>
      <c r="AH428" s="1224"/>
      <c r="AI428" s="1217"/>
      <c r="AJ428" s="1218"/>
      <c r="AK428" s="1220"/>
      <c r="AL428" s="1219"/>
      <c r="AM428" s="1219"/>
      <c r="AN428" s="1219"/>
      <c r="AO428" s="1219"/>
      <c r="AP428" s="1219"/>
      <c r="AQ428" s="1219"/>
      <c r="AR428" s="1219"/>
      <c r="AS428" s="1219"/>
      <c r="AT428" s="1219"/>
      <c r="AU428" s="1219"/>
      <c r="AV428" s="1219"/>
      <c r="AW428" s="1219"/>
      <c r="AX428" s="1219"/>
      <c r="AY428" s="1219"/>
      <c r="AZ428" s="1219"/>
      <c r="BA428" s="1219"/>
      <c r="BB428" s="1219"/>
      <c r="BC428" s="1219"/>
      <c r="BD428" s="1219"/>
      <c r="BE428" s="1219"/>
      <c r="BF428" s="1219"/>
      <c r="BG428" s="1219"/>
      <c r="BH428" s="1219"/>
      <c r="BI428" s="1219"/>
      <c r="BJ428" s="1219"/>
      <c r="BK428" s="1219"/>
      <c r="BL428" s="1219"/>
      <c r="BM428" s="1219"/>
      <c r="BN428" s="1219"/>
      <c r="BO428" s="1219"/>
      <c r="BP428" s="1219"/>
      <c r="BQ428" s="1219"/>
      <c r="BR428" s="1219"/>
      <c r="BS428" s="1219"/>
      <c r="BU428" s="1217"/>
      <c r="BW428" s="1219"/>
      <c r="BY428" s="1217"/>
      <c r="CA428" s="1219"/>
      <c r="CC428" s="1217"/>
      <c r="CE428" s="1219"/>
      <c r="CG428" s="1217"/>
      <c r="CI428" s="1219"/>
    </row>
    <row r="429" spans="1:87">
      <c r="A429" s="33"/>
      <c r="B429" s="33"/>
      <c r="C429" s="235"/>
      <c r="E429" s="90"/>
      <c r="F429" s="90"/>
      <c r="G429" s="33"/>
      <c r="J429" s="33"/>
      <c r="M429" s="243"/>
      <c r="N429" s="33"/>
      <c r="Q429" s="243"/>
      <c r="R429" s="33"/>
      <c r="U429" s="243"/>
      <c r="V429" s="33"/>
      <c r="Y429" s="243"/>
      <c r="Z429" s="33"/>
      <c r="AC429" s="243"/>
      <c r="AD429" s="33"/>
      <c r="AG429" s="243"/>
      <c r="AH429" s="33"/>
      <c r="AK429" s="244"/>
      <c r="AL429" s="243"/>
      <c r="AM429" s="243"/>
      <c r="AN429" s="243"/>
      <c r="AO429" s="243"/>
      <c r="AP429" s="243"/>
      <c r="AQ429" s="243"/>
      <c r="AR429" s="243"/>
      <c r="AS429" s="243"/>
      <c r="AT429" s="243"/>
      <c r="AU429" s="243"/>
      <c r="AV429" s="243"/>
      <c r="AW429" s="243"/>
      <c r="AX429" s="243"/>
      <c r="AY429" s="243"/>
      <c r="AZ429" s="243"/>
      <c r="BA429" s="243"/>
      <c r="BB429" s="243"/>
      <c r="BC429" s="243"/>
      <c r="BD429" s="243"/>
      <c r="BE429" s="243"/>
      <c r="BF429" s="243"/>
      <c r="BG429" s="243"/>
      <c r="BH429" s="243"/>
      <c r="BI429" s="243"/>
      <c r="BJ429" s="243"/>
      <c r="BK429" s="243"/>
      <c r="BL429" s="243"/>
      <c r="BM429" s="243"/>
      <c r="BN429" s="243"/>
      <c r="BO429" s="243"/>
      <c r="BP429" s="243"/>
      <c r="BQ429" s="243"/>
      <c r="BR429" s="243"/>
      <c r="BS429" s="243"/>
      <c r="BW429" s="243"/>
      <c r="CA429" s="243"/>
      <c r="CE429" s="243"/>
      <c r="CI429" s="243"/>
    </row>
    <row r="430" spans="1:87">
      <c r="A430" s="256" t="str">
        <f>IF((RIGHT(A413,1))&lt;&gt;"Z",CHAR(CODE(A413))&amp;CHAR(CODE(RIGHT(A413,1))+1),CHAR(CODE(A413)+1)&amp;"A")</f>
        <v>AY</v>
      </c>
      <c r="B430" s="270" t="e">
        <f>INDEX(SourceID,MATCH($A430,SourceNumber,0),1,1)</f>
        <v>#N/A</v>
      </c>
      <c r="C430" s="354" t="e">
        <f>INDEX(SourceExitDiameter,MATCH($A430,SourceNumber,0),1,1)*3.28*12</f>
        <v>#N/A</v>
      </c>
      <c r="D430" s="24" t="str">
        <f>UAnem1percent</f>
        <v>1% Wind</v>
      </c>
      <c r="E430" s="350" t="e">
        <f ca="1">INDIRECT(ADDRESS(53,6,1,,CONCATENATE("TA",$A430)))</f>
        <v>#REF!</v>
      </c>
      <c r="F430" s="625" t="e">
        <f ca="1">(ROUND((INDIRECT(ADDRESS(15,7,1,,CONCATENATE("TA",$A430)))*3.28*12*32),0)&amp;"/32")</f>
        <v>#REF!</v>
      </c>
      <c r="G430" s="125" t="e">
        <f ca="1">INDIRECT(ADDRESS(29,7,1,,$A430))</f>
        <v>#REF!</v>
      </c>
      <c r="H430" s="24" t="e">
        <f ca="1">INDIRECT(ADDRESS(19,7,1,,$A430))*100^3</f>
        <v>#REF!</v>
      </c>
      <c r="I430" s="941" t="e">
        <f ca="1">INDIRECT(ADDRESS(53,7,1,,$A430))</f>
        <v>#REF!</v>
      </c>
      <c r="J430" s="20" t="e">
        <f ca="1">IF($I430=$I$6,K$16&amp;$G$6&amp;J$6,IF($I430=$I$7,K$16&amp;$G$7&amp;J$7,"Bad"))</f>
        <v>#REF!</v>
      </c>
      <c r="K430" t="e">
        <f ca="1">INDEX(FlowCalGasMixture,MATCH(J430,FlowCalNumber,0),1,1)</f>
        <v>#REF!</v>
      </c>
      <c r="M430" s="944" t="e">
        <f ca="1">INDEX(FlowCalDevice,MATCH(J430,FlowCalNumber,0),1,1)</f>
        <v>#REF!</v>
      </c>
      <c r="N430" s="20" t="e">
        <f ca="1">IF($I430=$I$6,O$16&amp;$G$6&amp;N$6,IF($I430=$I$7,O$16&amp;$G$7&amp;N$7,"Bad"))</f>
        <v>#REF!</v>
      </c>
      <c r="O430" t="e">
        <f ca="1">INDEX(FlowCalGasMixture,MATCH(N430,FlowCalNumber,0),1,1)</f>
        <v>#REF!</v>
      </c>
      <c r="Q430" s="944" t="e">
        <f ca="1">INDEX(FlowCalDevice,MATCH(N430,FlowCalNumber,0),1,1)</f>
        <v>#REF!</v>
      </c>
      <c r="R430" s="20" t="e">
        <f ca="1">IF($I430=$I$6,S$16&amp;$G$6&amp;R$6,IF($I430=$I$7,S$16&amp;$G$7&amp;R$7,"Bad"))</f>
        <v>#REF!</v>
      </c>
      <c r="S430" t="e">
        <f ca="1">INDEX(FlowCalGasMixture,MATCH(R430,FlowCalNumber,0),1,1)</f>
        <v>#REF!</v>
      </c>
      <c r="U430" s="944" t="e">
        <f ca="1">INDEX(FlowCalDevice,MATCH(R430,FlowCalNumber,0),1,1)</f>
        <v>#REF!</v>
      </c>
      <c r="V430" s="20"/>
      <c r="Y430" s="944"/>
      <c r="Z430" s="946"/>
      <c r="AC430" s="944"/>
      <c r="AD430" s="20"/>
      <c r="AG430" s="944"/>
      <c r="AH430" s="946"/>
      <c r="AK430" s="982"/>
      <c r="AL430" s="355"/>
      <c r="AM430" s="355"/>
      <c r="AN430" s="355"/>
      <c r="AO430" s="355"/>
      <c r="AP430" s="355"/>
      <c r="AQ430" s="355"/>
      <c r="AR430" s="355"/>
      <c r="AS430" s="355"/>
      <c r="AT430" s="355"/>
      <c r="AU430" s="355"/>
      <c r="AV430" s="355"/>
      <c r="AW430" s="355"/>
      <c r="AX430" s="355"/>
      <c r="AY430" s="355"/>
      <c r="AZ430" s="355"/>
      <c r="BA430" s="355"/>
      <c r="BB430" s="355"/>
      <c r="BC430" s="355"/>
      <c r="BD430" s="355"/>
      <c r="BE430" s="355"/>
      <c r="BF430" s="355"/>
      <c r="BG430" s="355"/>
      <c r="BH430" s="355"/>
      <c r="BI430" s="355"/>
      <c r="BJ430" s="355"/>
      <c r="BK430" s="355"/>
      <c r="BL430" s="355"/>
      <c r="BM430" s="355"/>
      <c r="BN430" s="355"/>
      <c r="BO430" s="355"/>
      <c r="BP430" s="355"/>
      <c r="BQ430" s="355"/>
      <c r="BR430" s="355"/>
      <c r="BS430" s="355"/>
      <c r="BT430" s="46"/>
      <c r="BU430" s="16"/>
      <c r="BW430" s="355"/>
      <c r="BX430" s="42"/>
      <c r="BY430" s="16"/>
      <c r="CA430" s="355"/>
      <c r="CB430" s="42"/>
      <c r="CC430" s="16"/>
      <c r="CE430" s="355"/>
      <c r="CF430" s="42"/>
      <c r="CG430" s="16"/>
      <c r="CI430" s="355"/>
    </row>
    <row r="431" spans="1:87" s="1215" customFormat="1">
      <c r="A431" s="1222"/>
      <c r="B431" s="1223" t="str">
        <f t="shared" ref="B431:B445" si="200">IF(D431=UAnem1percent,"1% Wind","")</f>
        <v/>
      </c>
      <c r="C431" s="1210"/>
      <c r="D431" s="1211">
        <f>'1% Wind'!$M$82</f>
        <v>27</v>
      </c>
      <c r="E431" s="1212"/>
      <c r="F431" s="1212"/>
      <c r="G431" s="1364">
        <v>2</v>
      </c>
      <c r="H431" s="1214" t="e">
        <f t="shared" ref="H431:H445" ca="1" si="201">H430*(D430/D431)*(G431/G430)</f>
        <v>#REF!</v>
      </c>
      <c r="J431" s="1224"/>
      <c r="K431" s="1221">
        <f>K$17/100</f>
        <v>1</v>
      </c>
      <c r="L431" s="1218" t="e">
        <f ca="1">K431*$H431</f>
        <v>#REF!</v>
      </c>
      <c r="M431" s="1219" t="e">
        <f ca="1">IF(AND(INDEX(FlowCalConstA,MATCH(J430,FlowCalNumber,0),1,1)*L431^INDEX(FlowCalConstB,MATCH(J430,FlowCalNumber,0),1,1)&gt;INDEX(FlowCalLowSetting,MATCH(J430,FlowCalNumber,0),1,1), (INDEX(FlowCalConstA,MATCH(J430,FlowCalNumber,0),1,1)*L431^INDEX(FlowCalConstB,MATCH(J430,FlowCalNumber,0),1,1)&lt;INDEX(FlowCalHighSetting,MATCH(J430,FlowCalNumber,0),1,1))),INDEX(FlowCalConstA,MATCH(J430,FlowCalNumber,0),1,1)*L431^INDEX(FlowCalConstB,MATCH(J430,FlowCalNumber,0),1,1)," ")</f>
        <v>#REF!</v>
      </c>
      <c r="N431" s="1224"/>
      <c r="O431" s="1221">
        <f>O$17/100</f>
        <v>1</v>
      </c>
      <c r="P431" s="1218" t="e">
        <f ca="1">O431*$H431</f>
        <v>#REF!</v>
      </c>
      <c r="Q431" s="1219" t="e">
        <f ca="1">IF(AND(INDEX(FlowCalConstA,MATCH(N430,FlowCalNumber,0),1,1)*P431^INDEX(FlowCalConstB,MATCH(N430,FlowCalNumber,0),1,1)&gt;INDEX(FlowCalLowSetting,MATCH(N430,FlowCalNumber,0),1,1), (INDEX(FlowCalConstA,MATCH(N430,FlowCalNumber,0),1,1)*P431^INDEX(FlowCalConstB,MATCH(N430,FlowCalNumber,0),1,1)&lt;INDEX(FlowCalHighSetting,MATCH(N430,FlowCalNumber,0),1,1))),INDEX(FlowCalConstA,MATCH(N430,FlowCalNumber,0),1,1)*P431^INDEX(FlowCalConstB,MATCH(N430,FlowCalNumber,0),1,1)," ")</f>
        <v>#REF!</v>
      </c>
      <c r="R431" s="1224"/>
      <c r="S431" s="1221">
        <f>S$17/100</f>
        <v>1</v>
      </c>
      <c r="T431" s="1218" t="e">
        <f ca="1">S431*$H431</f>
        <v>#REF!</v>
      </c>
      <c r="U431" s="1219" t="e">
        <f ca="1">IF(AND(INDEX(FlowCalConstA,MATCH(R430,FlowCalNumber,0),1,1)*T431^INDEX(FlowCalConstB,MATCH(R430,FlowCalNumber,0),1,1)&gt;INDEX(FlowCalLowSetting,MATCH(R430,FlowCalNumber,0),1,1), (INDEX(FlowCalConstA,MATCH(R430,FlowCalNumber,0),1,1)*T431^INDEX(FlowCalConstB,MATCH(R430,FlowCalNumber,0),1,1)&lt;INDEX(FlowCalHighSetting,MATCH(R430,FlowCalNumber,0),1,1))),INDEX(FlowCalConstA,MATCH(R430,FlowCalNumber,0),1,1)*T431^INDEX(FlowCalConstB,MATCH(R430,FlowCalNumber,0),1,1)," ")</f>
        <v>#REF!</v>
      </c>
      <c r="V431" s="1224"/>
      <c r="W431" s="1221"/>
      <c r="X431" s="1218"/>
      <c r="Y431" s="1219"/>
      <c r="Z431" s="1224"/>
      <c r="AA431" s="1221"/>
      <c r="AB431" s="1218"/>
      <c r="AC431" s="1219"/>
      <c r="AD431" s="1224"/>
      <c r="AE431" s="1221"/>
      <c r="AF431" s="1218"/>
      <c r="AG431" s="1219"/>
      <c r="AH431" s="1224"/>
      <c r="AI431" s="1221"/>
      <c r="AJ431" s="1218"/>
      <c r="AK431" s="1220"/>
      <c r="AL431" s="1219"/>
      <c r="AM431" s="1219"/>
      <c r="AN431" s="1219"/>
      <c r="AO431" s="1219"/>
      <c r="AP431" s="1219"/>
      <c r="AQ431" s="1219"/>
      <c r="AR431" s="1219"/>
      <c r="AS431" s="1219"/>
      <c r="AT431" s="1219"/>
      <c r="AU431" s="1219"/>
      <c r="AV431" s="1219"/>
      <c r="AW431" s="1219"/>
      <c r="AX431" s="1219"/>
      <c r="AY431" s="1219"/>
      <c r="AZ431" s="1219"/>
      <c r="BA431" s="1219"/>
      <c r="BB431" s="1219"/>
      <c r="BC431" s="1219"/>
      <c r="BD431" s="1219"/>
      <c r="BE431" s="1219"/>
      <c r="BF431" s="1219"/>
      <c r="BG431" s="1219"/>
      <c r="BH431" s="1219"/>
      <c r="BI431" s="1219"/>
      <c r="BJ431" s="1219"/>
      <c r="BK431" s="1219"/>
      <c r="BL431" s="1219"/>
      <c r="BM431" s="1219"/>
      <c r="BN431" s="1219"/>
      <c r="BO431" s="1219"/>
      <c r="BP431" s="1219"/>
      <c r="BQ431" s="1219"/>
      <c r="BR431" s="1219"/>
      <c r="BS431" s="1219"/>
      <c r="BU431" s="1225"/>
      <c r="BW431" s="1219"/>
      <c r="BY431" s="1225"/>
      <c r="CA431" s="1219"/>
      <c r="CC431" s="1225"/>
      <c r="CE431" s="1219"/>
      <c r="CG431" s="1221"/>
      <c r="CI431" s="1219"/>
    </row>
    <row r="432" spans="1:87">
      <c r="A432" s="20"/>
      <c r="B432" s="124" t="str">
        <f t="shared" si="200"/>
        <v/>
      </c>
      <c r="C432" s="235"/>
      <c r="D432" s="24">
        <f>'1% Wind'!$M$83</f>
        <v>23.5</v>
      </c>
      <c r="E432" s="90"/>
      <c r="F432" s="90"/>
      <c r="G432" s="79" t="e">
        <f ca="1">IF(I430=0.9743,$G431,MAX(G431/D431*D432,2))</f>
        <v>#REF!</v>
      </c>
      <c r="H432" s="121" t="e">
        <f t="shared" ca="1" si="201"/>
        <v>#REF!</v>
      </c>
      <c r="J432" s="33"/>
      <c r="K432" s="242">
        <f t="shared" ref="K432:K445" si="202">K431</f>
        <v>1</v>
      </c>
      <c r="L432" s="241" t="e">
        <f t="shared" ref="L432:L445" ca="1" si="203">K432*$H432</f>
        <v>#REF!</v>
      </c>
      <c r="M432" s="243" t="e">
        <f ca="1">IF(AND(INDEX(FlowCalConstA,MATCH(J430,FlowCalNumber,0),1,1)*L432^INDEX(FlowCalConstB,MATCH(J430,FlowCalNumber,0),1,1)&gt;INDEX(FlowCalLowSetting,MATCH(J430,FlowCalNumber,0),1,1), (INDEX(FlowCalConstA,MATCH(J430,FlowCalNumber,0),1,1)*L432^INDEX(FlowCalConstB,MATCH(J430,FlowCalNumber,0),1,1)&lt;INDEX(FlowCalHighSetting,MATCH(J430,FlowCalNumber,0),1,1))),INDEX(FlowCalConstA,MATCH(J430,FlowCalNumber,0),1,1)*L432^INDEX(FlowCalConstB,MATCH(J430,FlowCalNumber,0),1,1)," ")</f>
        <v>#REF!</v>
      </c>
      <c r="N432" s="33"/>
      <c r="O432" s="242">
        <f t="shared" ref="O432:O445" si="204">O431</f>
        <v>1</v>
      </c>
      <c r="P432" s="241" t="e">
        <f t="shared" ref="P432:P445" ca="1" si="205">O432*$H432</f>
        <v>#REF!</v>
      </c>
      <c r="Q432" s="243" t="e">
        <f ca="1">IF(AND(INDEX(FlowCalConstA,MATCH(N430,FlowCalNumber,0),1,1)*P432^INDEX(FlowCalConstB,MATCH(N430,FlowCalNumber,0),1,1)&gt;INDEX(FlowCalLowSetting,MATCH(N430,FlowCalNumber,0),1,1), (INDEX(FlowCalConstA,MATCH(N430,FlowCalNumber,0),1,1)*P432^INDEX(FlowCalConstB,MATCH(N430,FlowCalNumber,0),1,1)&lt;INDEX(FlowCalHighSetting,MATCH(N430,FlowCalNumber,0),1,1))),INDEX(FlowCalConstA,MATCH(N430,FlowCalNumber,0),1,1)*P432^INDEX(FlowCalConstB,MATCH(N430,FlowCalNumber,0),1,1)," ")</f>
        <v>#REF!</v>
      </c>
      <c r="R432" s="33"/>
      <c r="S432" s="242">
        <f t="shared" ref="S432:S445" si="206">S431</f>
        <v>1</v>
      </c>
      <c r="T432" s="241" t="e">
        <f t="shared" ref="T432:T445" ca="1" si="207">S432*$H432</f>
        <v>#REF!</v>
      </c>
      <c r="U432" s="243" t="e">
        <f ca="1">IF(AND(INDEX(FlowCalConstA,MATCH(R430,FlowCalNumber,0),1,1)*T432^INDEX(FlowCalConstB,MATCH(R430,FlowCalNumber,0),1,1)&gt;INDEX(FlowCalLowSetting,MATCH(R430,FlowCalNumber,0),1,1), (INDEX(FlowCalConstA,MATCH(R430,FlowCalNumber,0),1,1)*T432^INDEX(FlowCalConstB,MATCH(R430,FlowCalNumber,0),1,1)&lt;INDEX(FlowCalHighSetting,MATCH(R430,FlowCalNumber,0),1,1))),INDEX(FlowCalConstA,MATCH(R430,FlowCalNumber,0),1,1)*T432^INDEX(FlowCalConstB,MATCH(R430,FlowCalNumber,0),1,1)," ")</f>
        <v>#REF!</v>
      </c>
      <c r="V432" s="33"/>
      <c r="W432" s="242"/>
      <c r="X432" s="241"/>
      <c r="Y432" s="243"/>
      <c r="Z432" s="33"/>
      <c r="AA432" s="242"/>
      <c r="AB432" s="241"/>
      <c r="AC432" s="243"/>
      <c r="AD432" s="33"/>
      <c r="AE432" s="242"/>
      <c r="AF432" s="241"/>
      <c r="AG432" s="243"/>
      <c r="AH432" s="33"/>
      <c r="AI432" s="242"/>
      <c r="AJ432" s="241"/>
      <c r="AK432" s="244"/>
      <c r="AL432" s="243"/>
      <c r="AM432" s="243"/>
      <c r="AN432" s="243"/>
      <c r="AO432" s="243"/>
      <c r="AP432" s="243"/>
      <c r="AQ432" s="243"/>
      <c r="AR432" s="243"/>
      <c r="AS432" s="243"/>
      <c r="AT432" s="243"/>
      <c r="AU432" s="243"/>
      <c r="AV432" s="243"/>
      <c r="AW432" s="243"/>
      <c r="AX432" s="243"/>
      <c r="AY432" s="243"/>
      <c r="AZ432" s="243"/>
      <c r="BA432" s="243"/>
      <c r="BB432" s="243"/>
      <c r="BC432" s="243"/>
      <c r="BD432" s="243"/>
      <c r="BE432" s="243"/>
      <c r="BF432" s="243"/>
      <c r="BG432" s="243"/>
      <c r="BH432" s="243"/>
      <c r="BI432" s="243"/>
      <c r="BJ432" s="243"/>
      <c r="BK432" s="243"/>
      <c r="BL432" s="243"/>
      <c r="BM432" s="243"/>
      <c r="BN432" s="243"/>
      <c r="BO432" s="243"/>
      <c r="BP432" s="243"/>
      <c r="BQ432" s="243"/>
      <c r="BR432" s="243"/>
      <c r="BS432" s="243"/>
      <c r="BU432" s="242"/>
      <c r="BW432" s="243"/>
      <c r="BY432" s="242"/>
      <c r="CA432" s="243"/>
      <c r="CC432" s="242"/>
      <c r="CE432" s="243"/>
      <c r="CG432" s="242"/>
      <c r="CI432" s="243"/>
    </row>
    <row r="433" spans="1:87" s="1215" customFormat="1">
      <c r="A433" s="1222"/>
      <c r="B433" s="1223" t="str">
        <f t="shared" si="200"/>
        <v/>
      </c>
      <c r="C433" s="1210"/>
      <c r="D433" s="1211">
        <f>'1% Wind'!$M$84</f>
        <v>20.5</v>
      </c>
      <c r="E433" s="1212"/>
      <c r="F433" s="1212"/>
      <c r="G433" s="1213" t="e">
        <f ca="1">IF(I430=0.9743,$G432,MAX(G432/D432*D433,2))</f>
        <v>#REF!</v>
      </c>
      <c r="H433" s="1214" t="e">
        <f t="shared" ca="1" si="201"/>
        <v>#REF!</v>
      </c>
      <c r="J433" s="1224"/>
      <c r="K433" s="1217">
        <f t="shared" si="202"/>
        <v>1</v>
      </c>
      <c r="L433" s="1218" t="e">
        <f t="shared" ca="1" si="203"/>
        <v>#REF!</v>
      </c>
      <c r="M433" s="1219" t="e">
        <f ca="1">IF(AND(INDEX(FlowCalConstA,MATCH(J430,FlowCalNumber,0),1,1)*L433^INDEX(FlowCalConstB,MATCH(J430,FlowCalNumber,0),1,1)&gt;INDEX(FlowCalLowSetting,MATCH(J430,FlowCalNumber,0),1,1), (INDEX(FlowCalConstA,MATCH(J430,FlowCalNumber,0),1,1)*L433^INDEX(FlowCalConstB,MATCH(J430,FlowCalNumber,0),1,1)&lt;INDEX(FlowCalHighSetting,MATCH(J430,FlowCalNumber,0),1,1))),INDEX(FlowCalConstA,MATCH(J430,FlowCalNumber,0),1,1)*L433^INDEX(FlowCalConstB,MATCH(J430,FlowCalNumber,0),1,1)," ")</f>
        <v>#REF!</v>
      </c>
      <c r="N433" s="1224"/>
      <c r="O433" s="1217">
        <f t="shared" si="204"/>
        <v>1</v>
      </c>
      <c r="P433" s="1218" t="e">
        <f t="shared" ca="1" si="205"/>
        <v>#REF!</v>
      </c>
      <c r="Q433" s="1219" t="e">
        <f ca="1">IF(AND(INDEX(FlowCalConstA,MATCH(N430,FlowCalNumber,0),1,1)*P433^INDEX(FlowCalConstB,MATCH(N430,FlowCalNumber,0),1,1)&gt;INDEX(FlowCalLowSetting,MATCH(N430,FlowCalNumber,0),1,1), (INDEX(FlowCalConstA,MATCH(N430,FlowCalNumber,0),1,1)*P433^INDEX(FlowCalConstB,MATCH(N430,FlowCalNumber,0),1,1)&lt;INDEX(FlowCalHighSetting,MATCH(N430,FlowCalNumber,0),1,1))),INDEX(FlowCalConstA,MATCH(N430,FlowCalNumber,0),1,1)*P433^INDEX(FlowCalConstB,MATCH(N430,FlowCalNumber,0),1,1)," ")</f>
        <v>#REF!</v>
      </c>
      <c r="R433" s="1224"/>
      <c r="S433" s="1217">
        <f t="shared" si="206"/>
        <v>1</v>
      </c>
      <c r="T433" s="1218" t="e">
        <f t="shared" ca="1" si="207"/>
        <v>#REF!</v>
      </c>
      <c r="U433" s="1219" t="e">
        <f ca="1">IF(AND(INDEX(FlowCalConstA,MATCH(R430,FlowCalNumber,0),1,1)*T433^INDEX(FlowCalConstB,MATCH(R430,FlowCalNumber,0),1,1)&gt;INDEX(FlowCalLowSetting,MATCH(R430,FlowCalNumber,0),1,1), (INDEX(FlowCalConstA,MATCH(R430,FlowCalNumber,0),1,1)*T433^INDEX(FlowCalConstB,MATCH(R430,FlowCalNumber,0),1,1)&lt;INDEX(FlowCalHighSetting,MATCH(R430,FlowCalNumber,0),1,1))),INDEX(FlowCalConstA,MATCH(R430,FlowCalNumber,0),1,1)*T433^INDEX(FlowCalConstB,MATCH(R430,FlowCalNumber,0),1,1)," ")</f>
        <v>#REF!</v>
      </c>
      <c r="V433" s="1224"/>
      <c r="W433" s="1217"/>
      <c r="X433" s="1218"/>
      <c r="Y433" s="1219"/>
      <c r="Z433" s="1224"/>
      <c r="AA433" s="1217"/>
      <c r="AB433" s="1218"/>
      <c r="AC433" s="1219"/>
      <c r="AD433" s="1224"/>
      <c r="AE433" s="1217"/>
      <c r="AF433" s="1218"/>
      <c r="AG433" s="1219"/>
      <c r="AH433" s="1224"/>
      <c r="AI433" s="1217"/>
      <c r="AJ433" s="1218"/>
      <c r="AK433" s="1220"/>
      <c r="AL433" s="1219"/>
      <c r="AM433" s="1219"/>
      <c r="AN433" s="1219"/>
      <c r="AO433" s="1219"/>
      <c r="AP433" s="1219"/>
      <c r="AQ433" s="1219"/>
      <c r="AR433" s="1219"/>
      <c r="AS433" s="1219"/>
      <c r="AT433" s="1219"/>
      <c r="AU433" s="1219"/>
      <c r="AV433" s="1219"/>
      <c r="AW433" s="1219"/>
      <c r="AX433" s="1219"/>
      <c r="AY433" s="1219"/>
      <c r="AZ433" s="1219"/>
      <c r="BA433" s="1219"/>
      <c r="BB433" s="1219"/>
      <c r="BC433" s="1219"/>
      <c r="BD433" s="1219"/>
      <c r="BE433" s="1219"/>
      <c r="BF433" s="1219"/>
      <c r="BG433" s="1219"/>
      <c r="BH433" s="1219"/>
      <c r="BI433" s="1219"/>
      <c r="BJ433" s="1219"/>
      <c r="BK433" s="1219"/>
      <c r="BL433" s="1219"/>
      <c r="BM433" s="1219"/>
      <c r="BN433" s="1219"/>
      <c r="BO433" s="1219"/>
      <c r="BP433" s="1219"/>
      <c r="BQ433" s="1219"/>
      <c r="BR433" s="1219"/>
      <c r="BS433" s="1219"/>
      <c r="BU433" s="1217"/>
      <c r="BW433" s="1219"/>
      <c r="BY433" s="1217"/>
      <c r="CA433" s="1219"/>
      <c r="CC433" s="1217"/>
      <c r="CE433" s="1219"/>
      <c r="CG433" s="1217"/>
      <c r="CI433" s="1219"/>
    </row>
    <row r="434" spans="1:87">
      <c r="A434" s="20"/>
      <c r="B434" s="124" t="str">
        <f t="shared" si="200"/>
        <v/>
      </c>
      <c r="C434" s="235"/>
      <c r="D434" s="24">
        <f>'1% Wind'!$M$85</f>
        <v>17.8</v>
      </c>
      <c r="E434" s="90"/>
      <c r="F434" s="90"/>
      <c r="G434" s="79" t="e">
        <f ca="1">IF(I430=0.9743,$G433,MAX(G433/D433*D434,2))</f>
        <v>#REF!</v>
      </c>
      <c r="H434" s="121" t="e">
        <f t="shared" ca="1" si="201"/>
        <v>#REF!</v>
      </c>
      <c r="J434" s="33"/>
      <c r="K434" s="242">
        <f t="shared" si="202"/>
        <v>1</v>
      </c>
      <c r="L434" s="241" t="e">
        <f t="shared" ca="1" si="203"/>
        <v>#REF!</v>
      </c>
      <c r="M434" s="243" t="e">
        <f ca="1">IF(AND(INDEX(FlowCalConstA,MATCH(J430,FlowCalNumber,0),1,1)*L434^INDEX(FlowCalConstB,MATCH(J430,FlowCalNumber,0),1,1)&gt;INDEX(FlowCalLowSetting,MATCH(J430,FlowCalNumber,0),1,1), (INDEX(FlowCalConstA,MATCH(J430,FlowCalNumber,0),1,1)*L434^INDEX(FlowCalConstB,MATCH(J430,FlowCalNumber,0),1,1)&lt;INDEX(FlowCalHighSetting,MATCH(J430,FlowCalNumber,0),1,1))),INDEX(FlowCalConstA,MATCH(J430,FlowCalNumber,0),1,1)*L434^INDEX(FlowCalConstB,MATCH(J430,FlowCalNumber,0),1,1)," ")</f>
        <v>#REF!</v>
      </c>
      <c r="N434" s="33"/>
      <c r="O434" s="242">
        <f t="shared" si="204"/>
        <v>1</v>
      </c>
      <c r="P434" s="241" t="e">
        <f t="shared" ca="1" si="205"/>
        <v>#REF!</v>
      </c>
      <c r="Q434" s="243" t="e">
        <f ca="1">IF(AND(INDEX(FlowCalConstA,MATCH(N430,FlowCalNumber,0),1,1)*P434^INDEX(FlowCalConstB,MATCH(N430,FlowCalNumber,0),1,1)&gt;INDEX(FlowCalLowSetting,MATCH(N430,FlowCalNumber,0),1,1), (INDEX(FlowCalConstA,MATCH(N430,FlowCalNumber,0),1,1)*P434^INDEX(FlowCalConstB,MATCH(N430,FlowCalNumber,0),1,1)&lt;INDEX(FlowCalHighSetting,MATCH(N430,FlowCalNumber,0),1,1))),INDEX(FlowCalConstA,MATCH(N430,FlowCalNumber,0),1,1)*P434^INDEX(FlowCalConstB,MATCH(N430,FlowCalNumber,0),1,1)," ")</f>
        <v>#REF!</v>
      </c>
      <c r="R434" s="33"/>
      <c r="S434" s="242">
        <f t="shared" si="206"/>
        <v>1</v>
      </c>
      <c r="T434" s="241" t="e">
        <f t="shared" ca="1" si="207"/>
        <v>#REF!</v>
      </c>
      <c r="U434" s="243" t="e">
        <f ca="1">IF(AND(INDEX(FlowCalConstA,MATCH(R430,FlowCalNumber,0),1,1)*T434^INDEX(FlowCalConstB,MATCH(R430,FlowCalNumber,0),1,1)&gt;INDEX(FlowCalLowSetting,MATCH(R430,FlowCalNumber,0),1,1), (INDEX(FlowCalConstA,MATCH(R430,FlowCalNumber,0),1,1)*T434^INDEX(FlowCalConstB,MATCH(R430,FlowCalNumber,0),1,1)&lt;INDEX(FlowCalHighSetting,MATCH(R430,FlowCalNumber,0),1,1))),INDEX(FlowCalConstA,MATCH(R430,FlowCalNumber,0),1,1)*T434^INDEX(FlowCalConstB,MATCH(R430,FlowCalNumber,0),1,1)," ")</f>
        <v>#REF!</v>
      </c>
      <c r="V434" s="33"/>
      <c r="W434" s="242"/>
      <c r="X434" s="241"/>
      <c r="Y434" s="243"/>
      <c r="Z434" s="33"/>
      <c r="AA434" s="242"/>
      <c r="AB434" s="241"/>
      <c r="AC434" s="243"/>
      <c r="AD434" s="33"/>
      <c r="AE434" s="242"/>
      <c r="AF434" s="241"/>
      <c r="AG434" s="243"/>
      <c r="AH434" s="33"/>
      <c r="AI434" s="242"/>
      <c r="AJ434" s="241"/>
      <c r="AK434" s="244"/>
      <c r="AL434" s="243"/>
      <c r="AM434" s="243"/>
      <c r="AN434" s="243"/>
      <c r="AO434" s="243"/>
      <c r="AP434" s="243"/>
      <c r="AQ434" s="243"/>
      <c r="AR434" s="243"/>
      <c r="AS434" s="243"/>
      <c r="AT434" s="243"/>
      <c r="AU434" s="243"/>
      <c r="AV434" s="243"/>
      <c r="AW434" s="243"/>
      <c r="AX434" s="243"/>
      <c r="AY434" s="243"/>
      <c r="AZ434" s="243"/>
      <c r="BA434" s="243"/>
      <c r="BB434" s="243"/>
      <c r="BC434" s="243"/>
      <c r="BD434" s="243"/>
      <c r="BE434" s="243"/>
      <c r="BF434" s="243"/>
      <c r="BG434" s="243"/>
      <c r="BH434" s="243"/>
      <c r="BI434" s="243"/>
      <c r="BJ434" s="243"/>
      <c r="BK434" s="243"/>
      <c r="BL434" s="243"/>
      <c r="BM434" s="243"/>
      <c r="BN434" s="243"/>
      <c r="BO434" s="243"/>
      <c r="BP434" s="243"/>
      <c r="BQ434" s="243"/>
      <c r="BR434" s="243"/>
      <c r="BS434" s="243"/>
      <c r="BU434" s="242"/>
      <c r="BW434" s="243"/>
      <c r="BY434" s="242"/>
      <c r="CA434" s="243"/>
      <c r="CC434" s="242"/>
      <c r="CE434" s="243"/>
      <c r="CG434" s="242"/>
      <c r="CI434" s="243"/>
    </row>
    <row r="435" spans="1:87" s="1215" customFormat="1">
      <c r="A435" s="1222"/>
      <c r="B435" s="1223" t="str">
        <f t="shared" si="200"/>
        <v/>
      </c>
      <c r="C435" s="1210"/>
      <c r="D435" s="1211">
        <f>'1% Wind'!$M$86</f>
        <v>15.5</v>
      </c>
      <c r="E435" s="1212"/>
      <c r="F435" s="1212"/>
      <c r="G435" s="1213" t="e">
        <f ca="1">IF(I430=0.9743,$G434,MAX(G434/D434*D435,2))</f>
        <v>#REF!</v>
      </c>
      <c r="H435" s="1214" t="e">
        <f t="shared" ca="1" si="201"/>
        <v>#REF!</v>
      </c>
      <c r="J435" s="1224"/>
      <c r="K435" s="1217">
        <f t="shared" si="202"/>
        <v>1</v>
      </c>
      <c r="L435" s="1218" t="e">
        <f t="shared" ca="1" si="203"/>
        <v>#REF!</v>
      </c>
      <c r="M435" s="1219" t="e">
        <f ca="1">IF(AND(INDEX(FlowCalConstA,MATCH(J430,FlowCalNumber,0),1,1)*L435^INDEX(FlowCalConstB,MATCH(J430,FlowCalNumber,0),1,1)&gt;INDEX(FlowCalLowSetting,MATCH(J430,FlowCalNumber,0),1,1), (INDEX(FlowCalConstA,MATCH(J430,FlowCalNumber,0),1,1)*L435^INDEX(FlowCalConstB,MATCH(J430,FlowCalNumber,0),1,1)&lt;INDEX(FlowCalHighSetting,MATCH(J430,FlowCalNumber,0),1,1))),INDEX(FlowCalConstA,MATCH(J430,FlowCalNumber,0),1,1)*L435^INDEX(FlowCalConstB,MATCH(J430,FlowCalNumber,0),1,1)," ")</f>
        <v>#REF!</v>
      </c>
      <c r="N435" s="1224"/>
      <c r="O435" s="1217">
        <f t="shared" si="204"/>
        <v>1</v>
      </c>
      <c r="P435" s="1218" t="e">
        <f t="shared" ca="1" si="205"/>
        <v>#REF!</v>
      </c>
      <c r="Q435" s="1219" t="e">
        <f ca="1">IF(AND(INDEX(FlowCalConstA,MATCH(N430,FlowCalNumber,0),1,1)*P435^INDEX(FlowCalConstB,MATCH(N430,FlowCalNumber,0),1,1)&gt;INDEX(FlowCalLowSetting,MATCH(N430,FlowCalNumber,0),1,1), (INDEX(FlowCalConstA,MATCH(N430,FlowCalNumber,0),1,1)*P435^INDEX(FlowCalConstB,MATCH(N430,FlowCalNumber,0),1,1)&lt;INDEX(FlowCalHighSetting,MATCH(N430,FlowCalNumber,0),1,1))),INDEX(FlowCalConstA,MATCH(N430,FlowCalNumber,0),1,1)*P435^INDEX(FlowCalConstB,MATCH(N430,FlowCalNumber,0),1,1)," ")</f>
        <v>#REF!</v>
      </c>
      <c r="R435" s="1224"/>
      <c r="S435" s="1217">
        <f t="shared" si="206"/>
        <v>1</v>
      </c>
      <c r="T435" s="1218" t="e">
        <f t="shared" ca="1" si="207"/>
        <v>#REF!</v>
      </c>
      <c r="U435" s="1219" t="e">
        <f ca="1">IF(AND(INDEX(FlowCalConstA,MATCH(R430,FlowCalNumber,0),1,1)*T435^INDEX(FlowCalConstB,MATCH(R430,FlowCalNumber,0),1,1)&gt;INDEX(FlowCalLowSetting,MATCH(R430,FlowCalNumber,0),1,1), (INDEX(FlowCalConstA,MATCH(R430,FlowCalNumber,0),1,1)*T435^INDEX(FlowCalConstB,MATCH(R430,FlowCalNumber,0),1,1)&lt;INDEX(FlowCalHighSetting,MATCH(R430,FlowCalNumber,0),1,1))),INDEX(FlowCalConstA,MATCH(R430,FlowCalNumber,0),1,1)*T435^INDEX(FlowCalConstB,MATCH(R430,FlowCalNumber,0),1,1)," ")</f>
        <v>#REF!</v>
      </c>
      <c r="V435" s="1224"/>
      <c r="W435" s="1217"/>
      <c r="X435" s="1218"/>
      <c r="Y435" s="1219"/>
      <c r="Z435" s="1224"/>
      <c r="AA435" s="1217"/>
      <c r="AB435" s="1218"/>
      <c r="AC435" s="1219"/>
      <c r="AD435" s="1224"/>
      <c r="AE435" s="1217"/>
      <c r="AF435" s="1218"/>
      <c r="AG435" s="1219"/>
      <c r="AH435" s="1224"/>
      <c r="AI435" s="1217"/>
      <c r="AJ435" s="1218"/>
      <c r="AK435" s="1220"/>
      <c r="AL435" s="1219"/>
      <c r="AM435" s="1219"/>
      <c r="AN435" s="1219"/>
      <c r="AO435" s="1219"/>
      <c r="AP435" s="1219"/>
      <c r="AQ435" s="1219"/>
      <c r="AR435" s="1219"/>
      <c r="AS435" s="1219"/>
      <c r="AT435" s="1219"/>
      <c r="AU435" s="1219"/>
      <c r="AV435" s="1219"/>
      <c r="AW435" s="1219"/>
      <c r="AX435" s="1219"/>
      <c r="AY435" s="1219"/>
      <c r="AZ435" s="1219"/>
      <c r="BA435" s="1219"/>
      <c r="BB435" s="1219"/>
      <c r="BC435" s="1219"/>
      <c r="BD435" s="1219"/>
      <c r="BE435" s="1219"/>
      <c r="BF435" s="1219"/>
      <c r="BG435" s="1219"/>
      <c r="BH435" s="1219"/>
      <c r="BI435" s="1219"/>
      <c r="BJ435" s="1219"/>
      <c r="BK435" s="1219"/>
      <c r="BL435" s="1219"/>
      <c r="BM435" s="1219"/>
      <c r="BN435" s="1219"/>
      <c r="BO435" s="1219"/>
      <c r="BP435" s="1219"/>
      <c r="BQ435" s="1219"/>
      <c r="BR435" s="1219"/>
      <c r="BS435" s="1219"/>
      <c r="BU435" s="1217"/>
      <c r="BW435" s="1219"/>
      <c r="BY435" s="1217"/>
      <c r="CA435" s="1219"/>
      <c r="CC435" s="1217"/>
      <c r="CE435" s="1219"/>
      <c r="CG435" s="1217"/>
      <c r="CI435" s="1219"/>
    </row>
    <row r="436" spans="1:87">
      <c r="A436" s="20"/>
      <c r="B436" s="124" t="str">
        <f t="shared" si="200"/>
        <v/>
      </c>
      <c r="C436" s="235"/>
      <c r="D436" s="24">
        <f>'1% Wind'!$M$87</f>
        <v>13.5</v>
      </c>
      <c r="E436" s="90"/>
      <c r="F436" s="90"/>
      <c r="G436" s="79" t="e">
        <f ca="1">IF(I430=0.9743,$G435,MAX(G435/D435*D436,2))</f>
        <v>#REF!</v>
      </c>
      <c r="H436" s="121" t="e">
        <f t="shared" ca="1" si="201"/>
        <v>#REF!</v>
      </c>
      <c r="J436" s="33"/>
      <c r="K436" s="242">
        <f t="shared" si="202"/>
        <v>1</v>
      </c>
      <c r="L436" s="241" t="e">
        <f t="shared" ca="1" si="203"/>
        <v>#REF!</v>
      </c>
      <c r="M436" s="243" t="e">
        <f ca="1">IF(AND(INDEX(FlowCalConstA,MATCH(J430,FlowCalNumber,0),1,1)*L436^INDEX(FlowCalConstB,MATCH(J430,FlowCalNumber,0),1,1)&gt;INDEX(FlowCalLowSetting,MATCH(J430,FlowCalNumber,0),1,1), (INDEX(FlowCalConstA,MATCH(J430,FlowCalNumber,0),1,1)*L436^INDEX(FlowCalConstB,MATCH(J430,FlowCalNumber,0),1,1)&lt;INDEX(FlowCalHighSetting,MATCH(J430,FlowCalNumber,0),1,1))),INDEX(FlowCalConstA,MATCH(J430,FlowCalNumber,0),1,1)*L436^INDEX(FlowCalConstB,MATCH(J430,FlowCalNumber,0),1,1)," ")</f>
        <v>#REF!</v>
      </c>
      <c r="N436" s="33"/>
      <c r="O436" s="242">
        <f t="shared" si="204"/>
        <v>1</v>
      </c>
      <c r="P436" s="241" t="e">
        <f t="shared" ca="1" si="205"/>
        <v>#REF!</v>
      </c>
      <c r="Q436" s="243" t="e">
        <f ca="1">IF(AND(INDEX(FlowCalConstA,MATCH(N430,FlowCalNumber,0),1,1)*P436^INDEX(FlowCalConstB,MATCH(N430,FlowCalNumber,0),1,1)&gt;INDEX(FlowCalLowSetting,MATCH(N430,FlowCalNumber,0),1,1), (INDEX(FlowCalConstA,MATCH(N430,FlowCalNumber,0),1,1)*P436^INDEX(FlowCalConstB,MATCH(N430,FlowCalNumber,0),1,1)&lt;INDEX(FlowCalHighSetting,MATCH(N430,FlowCalNumber,0),1,1))),INDEX(FlowCalConstA,MATCH(N430,FlowCalNumber,0),1,1)*P436^INDEX(FlowCalConstB,MATCH(N430,FlowCalNumber,0),1,1)," ")</f>
        <v>#REF!</v>
      </c>
      <c r="R436" s="33"/>
      <c r="S436" s="242">
        <f t="shared" si="206"/>
        <v>1</v>
      </c>
      <c r="T436" s="241" t="e">
        <f t="shared" ca="1" si="207"/>
        <v>#REF!</v>
      </c>
      <c r="U436" s="243" t="e">
        <f ca="1">IF(AND(INDEX(FlowCalConstA,MATCH(R430,FlowCalNumber,0),1,1)*T436^INDEX(FlowCalConstB,MATCH(R430,FlowCalNumber,0),1,1)&gt;INDEX(FlowCalLowSetting,MATCH(R430,FlowCalNumber,0),1,1), (INDEX(FlowCalConstA,MATCH(R430,FlowCalNumber,0),1,1)*T436^INDEX(FlowCalConstB,MATCH(R430,FlowCalNumber,0),1,1)&lt;INDEX(FlowCalHighSetting,MATCH(R430,FlowCalNumber,0),1,1))),INDEX(FlowCalConstA,MATCH(R430,FlowCalNumber,0),1,1)*T436^INDEX(FlowCalConstB,MATCH(R430,FlowCalNumber,0),1,1)," ")</f>
        <v>#REF!</v>
      </c>
      <c r="V436" s="33"/>
      <c r="W436" s="242"/>
      <c r="X436" s="241"/>
      <c r="Y436" s="243"/>
      <c r="Z436" s="33"/>
      <c r="AA436" s="242"/>
      <c r="AB436" s="241"/>
      <c r="AC436" s="243"/>
      <c r="AD436" s="33"/>
      <c r="AE436" s="242"/>
      <c r="AF436" s="241"/>
      <c r="AG436" s="243"/>
      <c r="AH436" s="33"/>
      <c r="AI436" s="242"/>
      <c r="AJ436" s="241"/>
      <c r="AK436" s="244"/>
      <c r="AL436" s="243"/>
      <c r="AM436" s="243"/>
      <c r="AN436" s="243"/>
      <c r="AO436" s="243"/>
      <c r="AP436" s="243"/>
      <c r="AQ436" s="243"/>
      <c r="AR436" s="243"/>
      <c r="AS436" s="243"/>
      <c r="AT436" s="243"/>
      <c r="AU436" s="243"/>
      <c r="AV436" s="243"/>
      <c r="AW436" s="243"/>
      <c r="AX436" s="243"/>
      <c r="AY436" s="243"/>
      <c r="AZ436" s="243"/>
      <c r="BA436" s="243"/>
      <c r="BB436" s="243"/>
      <c r="BC436" s="243"/>
      <c r="BD436" s="243"/>
      <c r="BE436" s="243"/>
      <c r="BF436" s="243"/>
      <c r="BG436" s="243"/>
      <c r="BH436" s="243"/>
      <c r="BI436" s="243"/>
      <c r="BJ436" s="243"/>
      <c r="BK436" s="243"/>
      <c r="BL436" s="243"/>
      <c r="BM436" s="243"/>
      <c r="BN436" s="243"/>
      <c r="BO436" s="243"/>
      <c r="BP436" s="243"/>
      <c r="BQ436" s="243"/>
      <c r="BR436" s="243"/>
      <c r="BS436" s="243"/>
      <c r="BU436" s="242"/>
      <c r="BW436" s="243"/>
      <c r="BY436" s="242"/>
      <c r="CA436" s="243"/>
      <c r="CC436" s="242"/>
      <c r="CE436" s="243"/>
      <c r="CG436" s="242"/>
      <c r="CI436" s="243"/>
    </row>
    <row r="437" spans="1:87" s="1215" customFormat="1">
      <c r="A437" s="1222"/>
      <c r="B437" s="1223" t="str">
        <f t="shared" si="200"/>
        <v/>
      </c>
      <c r="C437" s="1210"/>
      <c r="D437" s="1211">
        <f>'1% Wind'!$M$88</f>
        <v>10.1</v>
      </c>
      <c r="E437" s="1212"/>
      <c r="F437" s="1212"/>
      <c r="G437" s="1213" t="e">
        <f ca="1">IF(I430=0.9743,$G436,MAX(G436/D436*D437,2))</f>
        <v>#REF!</v>
      </c>
      <c r="H437" s="1214" t="e">
        <f t="shared" ca="1" si="201"/>
        <v>#REF!</v>
      </c>
      <c r="J437" s="1224"/>
      <c r="K437" s="1217">
        <f t="shared" si="202"/>
        <v>1</v>
      </c>
      <c r="L437" s="1218" t="e">
        <f t="shared" ca="1" si="203"/>
        <v>#REF!</v>
      </c>
      <c r="M437" s="1219" t="e">
        <f ca="1">IF(AND(INDEX(FlowCalConstA,MATCH(J430,FlowCalNumber,0),1,1)*L437^INDEX(FlowCalConstB,MATCH(J430,FlowCalNumber,0),1,1)&gt;INDEX(FlowCalLowSetting,MATCH(J430,FlowCalNumber,0),1,1), (INDEX(FlowCalConstA,MATCH(J430,FlowCalNumber,0),1,1)*L437^INDEX(FlowCalConstB,MATCH(J430,FlowCalNumber,0),1,1)&lt;INDEX(FlowCalHighSetting,MATCH(J430,FlowCalNumber,0),1,1))),INDEX(FlowCalConstA,MATCH(J430,FlowCalNumber,0),1,1)*L437^INDEX(FlowCalConstB,MATCH(J430,FlowCalNumber,0),1,1)," ")</f>
        <v>#REF!</v>
      </c>
      <c r="N437" s="1224"/>
      <c r="O437" s="1217">
        <f t="shared" si="204"/>
        <v>1</v>
      </c>
      <c r="P437" s="1218" t="e">
        <f t="shared" ca="1" si="205"/>
        <v>#REF!</v>
      </c>
      <c r="Q437" s="1219" t="e">
        <f ca="1">IF(AND(INDEX(FlowCalConstA,MATCH(N430,FlowCalNumber,0),1,1)*P437^INDEX(FlowCalConstB,MATCH(N430,FlowCalNumber,0),1,1)&gt;INDEX(FlowCalLowSetting,MATCH(N430,FlowCalNumber,0),1,1), (INDEX(FlowCalConstA,MATCH(N430,FlowCalNumber,0),1,1)*P437^INDEX(FlowCalConstB,MATCH(N430,FlowCalNumber,0),1,1)&lt;INDEX(FlowCalHighSetting,MATCH(N430,FlowCalNumber,0),1,1))),INDEX(FlowCalConstA,MATCH(N430,FlowCalNumber,0),1,1)*P437^INDEX(FlowCalConstB,MATCH(N430,FlowCalNumber,0),1,1)," ")</f>
        <v>#REF!</v>
      </c>
      <c r="R437" s="1224"/>
      <c r="S437" s="1217">
        <f t="shared" si="206"/>
        <v>1</v>
      </c>
      <c r="T437" s="1218" t="e">
        <f t="shared" ca="1" si="207"/>
        <v>#REF!</v>
      </c>
      <c r="U437" s="1219" t="e">
        <f ca="1">IF(AND(INDEX(FlowCalConstA,MATCH(R430,FlowCalNumber,0),1,1)*T437^INDEX(FlowCalConstB,MATCH(R430,FlowCalNumber,0),1,1)&gt;INDEX(FlowCalLowSetting,MATCH(R430,FlowCalNumber,0),1,1), (INDEX(FlowCalConstA,MATCH(R430,FlowCalNumber,0),1,1)*T437^INDEX(FlowCalConstB,MATCH(R430,FlowCalNumber,0),1,1)&lt;INDEX(FlowCalHighSetting,MATCH(R430,FlowCalNumber,0),1,1))),INDEX(FlowCalConstA,MATCH(R430,FlowCalNumber,0),1,1)*T437^INDEX(FlowCalConstB,MATCH(R430,FlowCalNumber,0),1,1)," ")</f>
        <v>#REF!</v>
      </c>
      <c r="V437" s="1224"/>
      <c r="W437" s="1217"/>
      <c r="X437" s="1218"/>
      <c r="Y437" s="1219"/>
      <c r="Z437" s="1224"/>
      <c r="AA437" s="1217"/>
      <c r="AB437" s="1218"/>
      <c r="AC437" s="1219"/>
      <c r="AD437" s="1224"/>
      <c r="AE437" s="1217"/>
      <c r="AF437" s="1218"/>
      <c r="AG437" s="1219"/>
      <c r="AH437" s="1224"/>
      <c r="AI437" s="1217"/>
      <c r="AJ437" s="1218"/>
      <c r="AK437" s="1220"/>
      <c r="AL437" s="1219"/>
      <c r="AM437" s="1219"/>
      <c r="AN437" s="1219"/>
      <c r="AO437" s="1219"/>
      <c r="AP437" s="1219"/>
      <c r="AQ437" s="1219"/>
      <c r="AR437" s="1219"/>
      <c r="AS437" s="1219"/>
      <c r="AT437" s="1219"/>
      <c r="AU437" s="1219"/>
      <c r="AV437" s="1219"/>
      <c r="AW437" s="1219"/>
      <c r="AX437" s="1219"/>
      <c r="AY437" s="1219"/>
      <c r="AZ437" s="1219"/>
      <c r="BA437" s="1219"/>
      <c r="BB437" s="1219"/>
      <c r="BC437" s="1219"/>
      <c r="BD437" s="1219"/>
      <c r="BE437" s="1219"/>
      <c r="BF437" s="1219"/>
      <c r="BG437" s="1219"/>
      <c r="BH437" s="1219"/>
      <c r="BI437" s="1219"/>
      <c r="BJ437" s="1219"/>
      <c r="BK437" s="1219"/>
      <c r="BL437" s="1219"/>
      <c r="BM437" s="1219"/>
      <c r="BN437" s="1219"/>
      <c r="BO437" s="1219"/>
      <c r="BP437" s="1219"/>
      <c r="BQ437" s="1219"/>
      <c r="BR437" s="1219"/>
      <c r="BS437" s="1219"/>
      <c r="BU437" s="1217"/>
      <c r="BW437" s="1219"/>
      <c r="BY437" s="1217"/>
      <c r="CA437" s="1219"/>
      <c r="CC437" s="1217"/>
      <c r="CE437" s="1219"/>
      <c r="CG437" s="1217"/>
      <c r="CI437" s="1219"/>
    </row>
    <row r="438" spans="1:87">
      <c r="A438" s="20"/>
      <c r="B438" s="124" t="str">
        <f t="shared" si="200"/>
        <v/>
      </c>
      <c r="C438" s="235"/>
      <c r="D438" s="24">
        <f>'1% Wind'!$M$89</f>
        <v>7.6</v>
      </c>
      <c r="E438" s="90"/>
      <c r="F438" s="90"/>
      <c r="G438" s="79" t="e">
        <f ca="1">IF(I430=0.9743,$G437,MAX(G437/D437*D438,2))</f>
        <v>#REF!</v>
      </c>
      <c r="H438" s="121" t="e">
        <f t="shared" ca="1" si="201"/>
        <v>#REF!</v>
      </c>
      <c r="J438" s="33"/>
      <c r="K438" s="242">
        <f t="shared" si="202"/>
        <v>1</v>
      </c>
      <c r="L438" s="241" t="e">
        <f t="shared" ca="1" si="203"/>
        <v>#REF!</v>
      </c>
      <c r="M438" s="243" t="e">
        <f ca="1">IF(AND(INDEX(FlowCalConstA,MATCH(J430,FlowCalNumber,0),1,1)*L438^INDEX(FlowCalConstB,MATCH(J430,FlowCalNumber,0),1,1)&gt;INDEX(FlowCalLowSetting,MATCH(J430,FlowCalNumber,0),1,1), (INDEX(FlowCalConstA,MATCH(J430,FlowCalNumber,0),1,1)*L438^INDEX(FlowCalConstB,MATCH(J430,FlowCalNumber,0),1,1)&lt;INDEX(FlowCalHighSetting,MATCH(J430,FlowCalNumber,0),1,1))),INDEX(FlowCalConstA,MATCH(J430,FlowCalNumber,0),1,1)*L438^INDEX(FlowCalConstB,MATCH(J430,FlowCalNumber,0),1,1)," ")</f>
        <v>#REF!</v>
      </c>
      <c r="N438" s="33"/>
      <c r="O438" s="242">
        <f t="shared" si="204"/>
        <v>1</v>
      </c>
      <c r="P438" s="241" t="e">
        <f t="shared" ca="1" si="205"/>
        <v>#REF!</v>
      </c>
      <c r="Q438" s="243" t="e">
        <f ca="1">IF(AND(INDEX(FlowCalConstA,MATCH(N430,FlowCalNumber,0),1,1)*P438^INDEX(FlowCalConstB,MATCH(N430,FlowCalNumber,0),1,1)&gt;INDEX(FlowCalLowSetting,MATCH(N430,FlowCalNumber,0),1,1), (INDEX(FlowCalConstA,MATCH(N430,FlowCalNumber,0),1,1)*P438^INDEX(FlowCalConstB,MATCH(N430,FlowCalNumber,0),1,1)&lt;INDEX(FlowCalHighSetting,MATCH(N430,FlowCalNumber,0),1,1))),INDEX(FlowCalConstA,MATCH(N430,FlowCalNumber,0),1,1)*P438^INDEX(FlowCalConstB,MATCH(N430,FlowCalNumber,0),1,1)," ")</f>
        <v>#REF!</v>
      </c>
      <c r="R438" s="33"/>
      <c r="S438" s="242">
        <f t="shared" si="206"/>
        <v>1</v>
      </c>
      <c r="T438" s="241" t="e">
        <f t="shared" ca="1" si="207"/>
        <v>#REF!</v>
      </c>
      <c r="U438" s="243" t="e">
        <f ca="1">IF(AND(INDEX(FlowCalConstA,MATCH(R430,FlowCalNumber,0),1,1)*T438^INDEX(FlowCalConstB,MATCH(R430,FlowCalNumber,0),1,1)&gt;INDEX(FlowCalLowSetting,MATCH(R430,FlowCalNumber,0),1,1), (INDEX(FlowCalConstA,MATCH(R430,FlowCalNumber,0),1,1)*T438^INDEX(FlowCalConstB,MATCH(R430,FlowCalNumber,0),1,1)&lt;INDEX(FlowCalHighSetting,MATCH(R430,FlowCalNumber,0),1,1))),INDEX(FlowCalConstA,MATCH(R430,FlowCalNumber,0),1,1)*T438^INDEX(FlowCalConstB,MATCH(R430,FlowCalNumber,0),1,1)," ")</f>
        <v>#REF!</v>
      </c>
      <c r="V438" s="33"/>
      <c r="W438" s="242"/>
      <c r="X438" s="241"/>
      <c r="Y438" s="243"/>
      <c r="Z438" s="33"/>
      <c r="AA438" s="242"/>
      <c r="AB438" s="241"/>
      <c r="AC438" s="243"/>
      <c r="AD438" s="33"/>
      <c r="AE438" s="242"/>
      <c r="AF438" s="241"/>
      <c r="AG438" s="243"/>
      <c r="AH438" s="33"/>
      <c r="AI438" s="242"/>
      <c r="AJ438" s="241"/>
      <c r="AK438" s="244"/>
      <c r="AL438" s="243"/>
      <c r="AM438" s="243"/>
      <c r="AN438" s="243"/>
      <c r="AO438" s="243"/>
      <c r="AP438" s="243"/>
      <c r="AQ438" s="243"/>
      <c r="AR438" s="243"/>
      <c r="AS438" s="243"/>
      <c r="AT438" s="243"/>
      <c r="AU438" s="243"/>
      <c r="AV438" s="243"/>
      <c r="AW438" s="243"/>
      <c r="AX438" s="243"/>
      <c r="AY438" s="243"/>
      <c r="AZ438" s="243"/>
      <c r="BA438" s="243"/>
      <c r="BB438" s="243"/>
      <c r="BC438" s="243"/>
      <c r="BD438" s="243"/>
      <c r="BE438" s="243"/>
      <c r="BF438" s="243"/>
      <c r="BG438" s="243"/>
      <c r="BH438" s="243"/>
      <c r="BI438" s="243"/>
      <c r="BJ438" s="243"/>
      <c r="BK438" s="243"/>
      <c r="BL438" s="243"/>
      <c r="BM438" s="243"/>
      <c r="BN438" s="243"/>
      <c r="BO438" s="243"/>
      <c r="BP438" s="243"/>
      <c r="BQ438" s="243"/>
      <c r="BR438" s="243"/>
      <c r="BS438" s="243"/>
      <c r="BU438" s="242"/>
      <c r="BW438" s="243"/>
      <c r="BY438" s="242"/>
      <c r="CA438" s="243"/>
      <c r="CC438" s="242"/>
      <c r="CE438" s="243"/>
      <c r="CG438" s="242"/>
      <c r="CI438" s="243"/>
    </row>
    <row r="439" spans="1:87" s="1215" customFormat="1">
      <c r="A439" s="1222"/>
      <c r="B439" s="1223" t="str">
        <f t="shared" si="200"/>
        <v/>
      </c>
      <c r="C439" s="1210"/>
      <c r="D439" s="1211">
        <f>'1% Wind'!$M$90</f>
        <v>5.7</v>
      </c>
      <c r="E439" s="1212"/>
      <c r="F439" s="1212"/>
      <c r="G439" s="1213" t="e">
        <f ca="1">IF(I430=0.9743,$G438,MAX(G438/D438*D439,2))</f>
        <v>#REF!</v>
      </c>
      <c r="H439" s="1214" t="e">
        <f t="shared" ca="1" si="201"/>
        <v>#REF!</v>
      </c>
      <c r="J439" s="1224"/>
      <c r="K439" s="1217">
        <f t="shared" si="202"/>
        <v>1</v>
      </c>
      <c r="L439" s="1218" t="e">
        <f t="shared" ca="1" si="203"/>
        <v>#REF!</v>
      </c>
      <c r="M439" s="1219" t="e">
        <f ca="1">IF(AND(INDEX(FlowCalConstA,MATCH(J430,FlowCalNumber,0),1,1)*L439^INDEX(FlowCalConstB,MATCH(J430,FlowCalNumber,0),1,1)&gt;INDEX(FlowCalLowSetting,MATCH(J430,FlowCalNumber,0),1,1), (INDEX(FlowCalConstA,MATCH(J430,FlowCalNumber,0),1,1)*L439^INDEX(FlowCalConstB,MATCH(J430,FlowCalNumber,0),1,1)&lt;INDEX(FlowCalHighSetting,MATCH(J430,FlowCalNumber,0),1,1))),INDEX(FlowCalConstA,MATCH(J430,FlowCalNumber,0),1,1)*L439^INDEX(FlowCalConstB,MATCH(J430,FlowCalNumber,0),1,1)," ")</f>
        <v>#REF!</v>
      </c>
      <c r="N439" s="1224"/>
      <c r="O439" s="1217">
        <f t="shared" si="204"/>
        <v>1</v>
      </c>
      <c r="P439" s="1218" t="e">
        <f t="shared" ca="1" si="205"/>
        <v>#REF!</v>
      </c>
      <c r="Q439" s="1219" t="e">
        <f ca="1">IF(AND(INDEX(FlowCalConstA,MATCH(N430,FlowCalNumber,0),1,1)*P439^INDEX(FlowCalConstB,MATCH(N430,FlowCalNumber,0),1,1)&gt;INDEX(FlowCalLowSetting,MATCH(N430,FlowCalNumber,0),1,1), (INDEX(FlowCalConstA,MATCH(N430,FlowCalNumber,0),1,1)*P439^INDEX(FlowCalConstB,MATCH(N430,FlowCalNumber,0),1,1)&lt;INDEX(FlowCalHighSetting,MATCH(N430,FlowCalNumber,0),1,1))),INDEX(FlowCalConstA,MATCH(N430,FlowCalNumber,0),1,1)*P439^INDEX(FlowCalConstB,MATCH(N430,FlowCalNumber,0),1,1)," ")</f>
        <v>#REF!</v>
      </c>
      <c r="R439" s="1224"/>
      <c r="S439" s="1217">
        <f t="shared" si="206"/>
        <v>1</v>
      </c>
      <c r="T439" s="1218" t="e">
        <f t="shared" ca="1" si="207"/>
        <v>#REF!</v>
      </c>
      <c r="U439" s="1219" t="e">
        <f ca="1">IF(AND(INDEX(FlowCalConstA,MATCH(R430,FlowCalNumber,0),1,1)*T439^INDEX(FlowCalConstB,MATCH(R430,FlowCalNumber,0),1,1)&gt;INDEX(FlowCalLowSetting,MATCH(R430,FlowCalNumber,0),1,1), (INDEX(FlowCalConstA,MATCH(R430,FlowCalNumber,0),1,1)*T439^INDEX(FlowCalConstB,MATCH(R430,FlowCalNumber,0),1,1)&lt;INDEX(FlowCalHighSetting,MATCH(R430,FlowCalNumber,0),1,1))),INDEX(FlowCalConstA,MATCH(R430,FlowCalNumber,0),1,1)*T439^INDEX(FlowCalConstB,MATCH(R430,FlowCalNumber,0),1,1)," ")</f>
        <v>#REF!</v>
      </c>
      <c r="V439" s="1224"/>
      <c r="W439" s="1217"/>
      <c r="X439" s="1218"/>
      <c r="Y439" s="1219"/>
      <c r="Z439" s="1224"/>
      <c r="AA439" s="1217"/>
      <c r="AB439" s="1218"/>
      <c r="AC439" s="1219"/>
      <c r="AD439" s="1224"/>
      <c r="AE439" s="1217"/>
      <c r="AF439" s="1218"/>
      <c r="AG439" s="1219"/>
      <c r="AH439" s="1224"/>
      <c r="AI439" s="1217"/>
      <c r="AJ439" s="1218"/>
      <c r="AK439" s="1220"/>
      <c r="AL439" s="1219"/>
      <c r="AM439" s="1219"/>
      <c r="AN439" s="1219"/>
      <c r="AO439" s="1219"/>
      <c r="AP439" s="1219"/>
      <c r="AQ439" s="1219"/>
      <c r="AR439" s="1219"/>
      <c r="AS439" s="1219"/>
      <c r="AT439" s="1219"/>
      <c r="AU439" s="1219"/>
      <c r="AV439" s="1219"/>
      <c r="AW439" s="1219"/>
      <c r="AX439" s="1219"/>
      <c r="AY439" s="1219"/>
      <c r="AZ439" s="1219"/>
      <c r="BA439" s="1219"/>
      <c r="BB439" s="1219"/>
      <c r="BC439" s="1219"/>
      <c r="BD439" s="1219"/>
      <c r="BE439" s="1219"/>
      <c r="BF439" s="1219"/>
      <c r="BG439" s="1219"/>
      <c r="BH439" s="1219"/>
      <c r="BI439" s="1219"/>
      <c r="BJ439" s="1219"/>
      <c r="BK439" s="1219"/>
      <c r="BL439" s="1219"/>
      <c r="BM439" s="1219"/>
      <c r="BN439" s="1219"/>
      <c r="BO439" s="1219"/>
      <c r="BP439" s="1219"/>
      <c r="BQ439" s="1219"/>
      <c r="BR439" s="1219"/>
      <c r="BS439" s="1219"/>
      <c r="BU439" s="1217"/>
      <c r="BW439" s="1219"/>
      <c r="BY439" s="1217"/>
      <c r="CA439" s="1219"/>
      <c r="CC439" s="1217"/>
      <c r="CE439" s="1219"/>
      <c r="CG439" s="1217"/>
      <c r="CI439" s="1219"/>
    </row>
    <row r="440" spans="1:87">
      <c r="A440" s="20"/>
      <c r="B440" s="124" t="str">
        <f t="shared" si="200"/>
        <v/>
      </c>
      <c r="C440" s="235"/>
      <c r="D440" s="24">
        <f>'1% Wind'!$M$91</f>
        <v>4.2</v>
      </c>
      <c r="E440" s="90"/>
      <c r="F440" s="90"/>
      <c r="G440" s="79" t="e">
        <f ca="1">IF(I430=0.9743,$G439,MAX(G439/D439*D440,2))</f>
        <v>#REF!</v>
      </c>
      <c r="H440" s="121" t="e">
        <f t="shared" ca="1" si="201"/>
        <v>#REF!</v>
      </c>
      <c r="J440" s="33"/>
      <c r="K440" s="242">
        <f t="shared" si="202"/>
        <v>1</v>
      </c>
      <c r="L440" s="241" t="e">
        <f t="shared" ca="1" si="203"/>
        <v>#REF!</v>
      </c>
      <c r="M440" s="243" t="e">
        <f ca="1">IF(AND(INDEX(FlowCalConstA,MATCH(J430,FlowCalNumber,0),1,1)*L440^INDEX(FlowCalConstB,MATCH(J430,FlowCalNumber,0),1,1)&gt;INDEX(FlowCalLowSetting,MATCH(J430,FlowCalNumber,0),1,1), (INDEX(FlowCalConstA,MATCH(J430,FlowCalNumber,0),1,1)*L440^INDEX(FlowCalConstB,MATCH(J430,FlowCalNumber,0),1,1)&lt;INDEX(FlowCalHighSetting,MATCH(J430,FlowCalNumber,0),1,1))),INDEX(FlowCalConstA,MATCH(J430,FlowCalNumber,0),1,1)*L440^INDEX(FlowCalConstB,MATCH(J430,FlowCalNumber,0),1,1)," ")</f>
        <v>#REF!</v>
      </c>
      <c r="N440" s="33"/>
      <c r="O440" s="242">
        <f t="shared" si="204"/>
        <v>1</v>
      </c>
      <c r="P440" s="241" t="e">
        <f t="shared" ca="1" si="205"/>
        <v>#REF!</v>
      </c>
      <c r="Q440" s="243" t="e">
        <f ca="1">IF(AND(INDEX(FlowCalConstA,MATCH(N430,FlowCalNumber,0),1,1)*P440^INDEX(FlowCalConstB,MATCH(N430,FlowCalNumber,0),1,1)&gt;INDEX(FlowCalLowSetting,MATCH(N430,FlowCalNumber,0),1,1), (INDEX(FlowCalConstA,MATCH(N430,FlowCalNumber,0),1,1)*P440^INDEX(FlowCalConstB,MATCH(N430,FlowCalNumber,0),1,1)&lt;INDEX(FlowCalHighSetting,MATCH(N430,FlowCalNumber,0),1,1))),INDEX(FlowCalConstA,MATCH(N430,FlowCalNumber,0),1,1)*P440^INDEX(FlowCalConstB,MATCH(N430,FlowCalNumber,0),1,1)," ")</f>
        <v>#REF!</v>
      </c>
      <c r="R440" s="33"/>
      <c r="S440" s="242">
        <f t="shared" si="206"/>
        <v>1</v>
      </c>
      <c r="T440" s="241" t="e">
        <f t="shared" ca="1" si="207"/>
        <v>#REF!</v>
      </c>
      <c r="U440" s="243" t="e">
        <f ca="1">IF(AND(INDEX(FlowCalConstA,MATCH(R430,FlowCalNumber,0),1,1)*T440^INDEX(FlowCalConstB,MATCH(R430,FlowCalNumber,0),1,1)&gt;INDEX(FlowCalLowSetting,MATCH(R430,FlowCalNumber,0),1,1), (INDEX(FlowCalConstA,MATCH(R430,FlowCalNumber,0),1,1)*T440^INDEX(FlowCalConstB,MATCH(R430,FlowCalNumber,0),1,1)&lt;INDEX(FlowCalHighSetting,MATCH(R430,FlowCalNumber,0),1,1))),INDEX(FlowCalConstA,MATCH(R430,FlowCalNumber,0),1,1)*T440^INDEX(FlowCalConstB,MATCH(R430,FlowCalNumber,0),1,1)," ")</f>
        <v>#REF!</v>
      </c>
      <c r="V440" s="33"/>
      <c r="W440" s="242"/>
      <c r="X440" s="241"/>
      <c r="Y440" s="243"/>
      <c r="Z440" s="33"/>
      <c r="AA440" s="242"/>
      <c r="AB440" s="241"/>
      <c r="AC440" s="243"/>
      <c r="AD440" s="33"/>
      <c r="AE440" s="242"/>
      <c r="AF440" s="241"/>
      <c r="AG440" s="243"/>
      <c r="AH440" s="33"/>
      <c r="AI440" s="242"/>
      <c r="AJ440" s="241"/>
      <c r="AK440" s="244"/>
      <c r="AL440" s="243"/>
      <c r="AM440" s="243"/>
      <c r="AN440" s="243"/>
      <c r="AO440" s="243"/>
      <c r="AP440" s="243"/>
      <c r="AQ440" s="243"/>
      <c r="AR440" s="243"/>
      <c r="AS440" s="243"/>
      <c r="AT440" s="243"/>
      <c r="AU440" s="243"/>
      <c r="AV440" s="243"/>
      <c r="AW440" s="243"/>
      <c r="AX440" s="243"/>
      <c r="AY440" s="243"/>
      <c r="AZ440" s="243"/>
      <c r="BA440" s="243"/>
      <c r="BB440" s="243"/>
      <c r="BC440" s="243"/>
      <c r="BD440" s="243"/>
      <c r="BE440" s="243"/>
      <c r="BF440" s="243"/>
      <c r="BG440" s="243"/>
      <c r="BH440" s="243"/>
      <c r="BI440" s="243"/>
      <c r="BJ440" s="243"/>
      <c r="BK440" s="243"/>
      <c r="BL440" s="243"/>
      <c r="BM440" s="243"/>
      <c r="BN440" s="243"/>
      <c r="BO440" s="243"/>
      <c r="BP440" s="243"/>
      <c r="BQ440" s="243"/>
      <c r="BR440" s="243"/>
      <c r="BS440" s="243"/>
      <c r="BU440" s="242"/>
      <c r="BW440" s="243"/>
      <c r="BY440" s="242"/>
      <c r="CA440" s="243"/>
      <c r="CC440" s="242"/>
      <c r="CE440" s="243"/>
      <c r="CG440" s="242"/>
      <c r="CI440" s="243"/>
    </row>
    <row r="441" spans="1:87" s="1215" customFormat="1">
      <c r="A441" s="1222"/>
      <c r="B441" s="1223" t="str">
        <f t="shared" si="200"/>
        <v/>
      </c>
      <c r="C441" s="1210"/>
      <c r="D441" s="1211">
        <f>'1% Wind'!$M$92</f>
        <v>3.2</v>
      </c>
      <c r="E441" s="1212"/>
      <c r="F441" s="1212"/>
      <c r="G441" s="1213" t="e">
        <f ca="1">IF(I430=0.9743,$G440,MAX(G440/D440*D441,2))</f>
        <v>#REF!</v>
      </c>
      <c r="H441" s="1214" t="e">
        <f t="shared" ca="1" si="201"/>
        <v>#REF!</v>
      </c>
      <c r="J441" s="1224"/>
      <c r="K441" s="1217">
        <f t="shared" si="202"/>
        <v>1</v>
      </c>
      <c r="L441" s="1218" t="e">
        <f t="shared" ca="1" si="203"/>
        <v>#REF!</v>
      </c>
      <c r="M441" s="1219" t="e">
        <f ca="1">IF(AND(INDEX(FlowCalConstA,MATCH(J430,FlowCalNumber,0),1,1)*L441^INDEX(FlowCalConstB,MATCH(J430,FlowCalNumber,0),1,1)&gt;INDEX(FlowCalLowSetting,MATCH(J430,FlowCalNumber,0),1,1), (INDEX(FlowCalConstA,MATCH(J430,FlowCalNumber,0),1,1)*L441^INDEX(FlowCalConstB,MATCH(J430,FlowCalNumber,0),1,1)&lt;INDEX(FlowCalHighSetting,MATCH(J430,FlowCalNumber,0),1,1))),INDEX(FlowCalConstA,MATCH(J430,FlowCalNumber,0),1,1)*L441^INDEX(FlowCalConstB,MATCH(J430,FlowCalNumber,0),1,1)," ")</f>
        <v>#REF!</v>
      </c>
      <c r="N441" s="1224"/>
      <c r="O441" s="1217">
        <f t="shared" si="204"/>
        <v>1</v>
      </c>
      <c r="P441" s="1218" t="e">
        <f t="shared" ca="1" si="205"/>
        <v>#REF!</v>
      </c>
      <c r="Q441" s="1219" t="e">
        <f ca="1">IF(AND(INDEX(FlowCalConstA,MATCH(N430,FlowCalNumber,0),1,1)*P441^INDEX(FlowCalConstB,MATCH(N430,FlowCalNumber,0),1,1)&gt;INDEX(FlowCalLowSetting,MATCH(N430,FlowCalNumber,0),1,1), (INDEX(FlowCalConstA,MATCH(N430,FlowCalNumber,0),1,1)*P441^INDEX(FlowCalConstB,MATCH(N430,FlowCalNumber,0),1,1)&lt;INDEX(FlowCalHighSetting,MATCH(N430,FlowCalNumber,0),1,1))),INDEX(FlowCalConstA,MATCH(N430,FlowCalNumber,0),1,1)*P441^INDEX(FlowCalConstB,MATCH(N430,FlowCalNumber,0),1,1)," ")</f>
        <v>#REF!</v>
      </c>
      <c r="R441" s="1224"/>
      <c r="S441" s="1217">
        <f t="shared" si="206"/>
        <v>1</v>
      </c>
      <c r="T441" s="1218" t="e">
        <f t="shared" ca="1" si="207"/>
        <v>#REF!</v>
      </c>
      <c r="U441" s="1219" t="e">
        <f ca="1">IF(AND(INDEX(FlowCalConstA,MATCH(R430,FlowCalNumber,0),1,1)*T441^INDEX(FlowCalConstB,MATCH(R430,FlowCalNumber,0),1,1)&gt;INDEX(FlowCalLowSetting,MATCH(R430,FlowCalNumber,0),1,1), (INDEX(FlowCalConstA,MATCH(R430,FlowCalNumber,0),1,1)*T441^INDEX(FlowCalConstB,MATCH(R430,FlowCalNumber,0),1,1)&lt;INDEX(FlowCalHighSetting,MATCH(R430,FlowCalNumber,0),1,1))),INDEX(FlowCalConstA,MATCH(R430,FlowCalNumber,0),1,1)*T441^INDEX(FlowCalConstB,MATCH(R430,FlowCalNumber,0),1,1)," ")</f>
        <v>#REF!</v>
      </c>
      <c r="V441" s="1224"/>
      <c r="W441" s="1217"/>
      <c r="X441" s="1218"/>
      <c r="Y441" s="1219"/>
      <c r="Z441" s="1224"/>
      <c r="AA441" s="1217"/>
      <c r="AB441" s="1218"/>
      <c r="AC441" s="1219"/>
      <c r="AD441" s="1224"/>
      <c r="AE441" s="1217"/>
      <c r="AF441" s="1218"/>
      <c r="AG441" s="1219"/>
      <c r="AH441" s="1224"/>
      <c r="AI441" s="1217"/>
      <c r="AJ441" s="1218"/>
      <c r="AK441" s="1220"/>
      <c r="AL441" s="1219"/>
      <c r="AM441" s="1219"/>
      <c r="AN441" s="1219"/>
      <c r="AO441" s="1219"/>
      <c r="AP441" s="1219"/>
      <c r="AQ441" s="1219"/>
      <c r="AR441" s="1219"/>
      <c r="AS441" s="1219"/>
      <c r="AT441" s="1219"/>
      <c r="AU441" s="1219"/>
      <c r="AV441" s="1219"/>
      <c r="AW441" s="1219"/>
      <c r="AX441" s="1219"/>
      <c r="AY441" s="1219"/>
      <c r="AZ441" s="1219"/>
      <c r="BA441" s="1219"/>
      <c r="BB441" s="1219"/>
      <c r="BC441" s="1219"/>
      <c r="BD441" s="1219"/>
      <c r="BE441" s="1219"/>
      <c r="BF441" s="1219"/>
      <c r="BG441" s="1219"/>
      <c r="BH441" s="1219"/>
      <c r="BI441" s="1219"/>
      <c r="BJ441" s="1219"/>
      <c r="BK441" s="1219"/>
      <c r="BL441" s="1219"/>
      <c r="BM441" s="1219"/>
      <c r="BN441" s="1219"/>
      <c r="BO441" s="1219"/>
      <c r="BP441" s="1219"/>
      <c r="BQ441" s="1219"/>
      <c r="BR441" s="1219"/>
      <c r="BS441" s="1219"/>
      <c r="BU441" s="1217"/>
      <c r="BW441" s="1219"/>
      <c r="BY441" s="1217"/>
      <c r="CA441" s="1219"/>
      <c r="CC441" s="1217"/>
      <c r="CE441" s="1219"/>
      <c r="CG441" s="1217"/>
      <c r="CI441" s="1219"/>
    </row>
    <row r="442" spans="1:87">
      <c r="A442" s="20"/>
      <c r="B442" s="124" t="str">
        <f t="shared" si="200"/>
        <v/>
      </c>
      <c r="C442" s="235"/>
      <c r="D442" s="24">
        <f>'1% Wind'!$M$93</f>
        <v>2.4</v>
      </c>
      <c r="E442" s="90"/>
      <c r="F442" s="90"/>
      <c r="G442" s="79" t="e">
        <f ca="1">IF(I430=0.9743,$G441,MAX(G441/D441*D442,2))</f>
        <v>#REF!</v>
      </c>
      <c r="H442" s="121" t="e">
        <f t="shared" ca="1" si="201"/>
        <v>#REF!</v>
      </c>
      <c r="J442" s="33"/>
      <c r="K442" s="242">
        <f t="shared" si="202"/>
        <v>1</v>
      </c>
      <c r="L442" s="241" t="e">
        <f t="shared" ca="1" si="203"/>
        <v>#REF!</v>
      </c>
      <c r="M442" s="243" t="e">
        <f ca="1">IF(AND(INDEX(FlowCalConstA,MATCH(J430,FlowCalNumber,0),1,1)*L442^INDEX(FlowCalConstB,MATCH(J430,FlowCalNumber,0),1,1)&gt;INDEX(FlowCalLowSetting,MATCH(J430,FlowCalNumber,0),1,1), (INDEX(FlowCalConstA,MATCH(J430,FlowCalNumber,0),1,1)*L442^INDEX(FlowCalConstB,MATCH(J430,FlowCalNumber,0),1,1)&lt;INDEX(FlowCalHighSetting,MATCH(J430,FlowCalNumber,0),1,1))),INDEX(FlowCalConstA,MATCH(J430,FlowCalNumber,0),1,1)*L442^INDEX(FlowCalConstB,MATCH(J430,FlowCalNumber,0),1,1)," ")</f>
        <v>#REF!</v>
      </c>
      <c r="N442" s="33"/>
      <c r="O442" s="242">
        <f t="shared" si="204"/>
        <v>1</v>
      </c>
      <c r="P442" s="241" t="e">
        <f t="shared" ca="1" si="205"/>
        <v>#REF!</v>
      </c>
      <c r="Q442" s="243" t="e">
        <f ca="1">IF(AND(INDEX(FlowCalConstA,MATCH(N430,FlowCalNumber,0),1,1)*P442^INDEX(FlowCalConstB,MATCH(N430,FlowCalNumber,0),1,1)&gt;INDEX(FlowCalLowSetting,MATCH(N430,FlowCalNumber,0),1,1), (INDEX(FlowCalConstA,MATCH(N430,FlowCalNumber,0),1,1)*P442^INDEX(FlowCalConstB,MATCH(N430,FlowCalNumber,0),1,1)&lt;INDEX(FlowCalHighSetting,MATCH(N430,FlowCalNumber,0),1,1))),INDEX(FlowCalConstA,MATCH(N430,FlowCalNumber,0),1,1)*P442^INDEX(FlowCalConstB,MATCH(N430,FlowCalNumber,0),1,1)," ")</f>
        <v>#REF!</v>
      </c>
      <c r="R442" s="33"/>
      <c r="S442" s="242">
        <f t="shared" si="206"/>
        <v>1</v>
      </c>
      <c r="T442" s="241" t="e">
        <f t="shared" ca="1" si="207"/>
        <v>#REF!</v>
      </c>
      <c r="U442" s="243" t="e">
        <f ca="1">IF(AND(INDEX(FlowCalConstA,MATCH(R430,FlowCalNumber,0),1,1)*T442^INDEX(FlowCalConstB,MATCH(R430,FlowCalNumber,0),1,1)&gt;INDEX(FlowCalLowSetting,MATCH(R430,FlowCalNumber,0),1,1), (INDEX(FlowCalConstA,MATCH(R430,FlowCalNumber,0),1,1)*T442^INDEX(FlowCalConstB,MATCH(R430,FlowCalNumber,0),1,1)&lt;INDEX(FlowCalHighSetting,MATCH(R430,FlowCalNumber,0),1,1))),INDEX(FlowCalConstA,MATCH(R430,FlowCalNumber,0),1,1)*T442^INDEX(FlowCalConstB,MATCH(R430,FlowCalNumber,0),1,1)," ")</f>
        <v>#REF!</v>
      </c>
      <c r="V442" s="33"/>
      <c r="W442" s="242"/>
      <c r="X442" s="241"/>
      <c r="Y442" s="243"/>
      <c r="Z442" s="33"/>
      <c r="AA442" s="242"/>
      <c r="AB442" s="241"/>
      <c r="AC442" s="243"/>
      <c r="AD442" s="33"/>
      <c r="AE442" s="242"/>
      <c r="AF442" s="241"/>
      <c r="AG442" s="243"/>
      <c r="AH442" s="33"/>
      <c r="AI442" s="242"/>
      <c r="AJ442" s="241"/>
      <c r="AK442" s="244"/>
      <c r="AL442" s="243"/>
      <c r="AM442" s="243"/>
      <c r="AN442" s="243"/>
      <c r="AO442" s="243"/>
      <c r="AP442" s="243"/>
      <c r="AQ442" s="243"/>
      <c r="AR442" s="243"/>
      <c r="AS442" s="243"/>
      <c r="AT442" s="243"/>
      <c r="AU442" s="243"/>
      <c r="AV442" s="243"/>
      <c r="AW442" s="243"/>
      <c r="AX442" s="243"/>
      <c r="AY442" s="243"/>
      <c r="AZ442" s="243"/>
      <c r="BA442" s="243"/>
      <c r="BB442" s="243"/>
      <c r="BC442" s="243"/>
      <c r="BD442" s="243"/>
      <c r="BE442" s="243"/>
      <c r="BF442" s="243"/>
      <c r="BG442" s="243"/>
      <c r="BH442" s="243"/>
      <c r="BI442" s="243"/>
      <c r="BJ442" s="243"/>
      <c r="BK442" s="243"/>
      <c r="BL442" s="243"/>
      <c r="BM442" s="243"/>
      <c r="BN442" s="243"/>
      <c r="BO442" s="243"/>
      <c r="BP442" s="243"/>
      <c r="BQ442" s="243"/>
      <c r="BR442" s="243"/>
      <c r="BS442" s="243"/>
      <c r="BU442" s="242"/>
      <c r="BW442" s="243"/>
      <c r="BY442" s="242"/>
      <c r="CA442" s="243"/>
      <c r="CC442" s="242"/>
      <c r="CE442" s="243"/>
      <c r="CG442" s="242"/>
      <c r="CI442" s="243"/>
    </row>
    <row r="443" spans="1:87" s="1215" customFormat="1">
      <c r="A443" s="1222"/>
      <c r="B443" s="1223" t="str">
        <f t="shared" si="200"/>
        <v/>
      </c>
      <c r="C443" s="1210"/>
      <c r="D443" s="1211">
        <f>'1% Wind'!$M$94</f>
        <v>1.8</v>
      </c>
      <c r="E443" s="1212"/>
      <c r="F443" s="1212"/>
      <c r="G443" s="1213" t="e">
        <f ca="1">IF(I430=0.9743,$G442,MAX(G442/D442*D443,2))</f>
        <v>#REF!</v>
      </c>
      <c r="H443" s="1214" t="e">
        <f t="shared" ca="1" si="201"/>
        <v>#REF!</v>
      </c>
      <c r="J443" s="1224"/>
      <c r="K443" s="1217">
        <f t="shared" si="202"/>
        <v>1</v>
      </c>
      <c r="L443" s="1218" t="e">
        <f t="shared" ca="1" si="203"/>
        <v>#REF!</v>
      </c>
      <c r="M443" s="1219" t="e">
        <f ca="1">IF(AND(INDEX(FlowCalConstA,MATCH(J430,FlowCalNumber,0),1,1)*L443^INDEX(FlowCalConstB,MATCH(J430,FlowCalNumber,0),1,1)&gt;INDEX(FlowCalLowSetting,MATCH(J430,FlowCalNumber,0),1,1), (INDEX(FlowCalConstA,MATCH(J430,FlowCalNumber,0),1,1)*L443^INDEX(FlowCalConstB,MATCH(J430,FlowCalNumber,0),1,1)&lt;INDEX(FlowCalHighSetting,MATCH(J430,FlowCalNumber,0),1,1))),INDEX(FlowCalConstA,MATCH(J430,FlowCalNumber,0),1,1)*L443^INDEX(FlowCalConstB,MATCH(J430,FlowCalNumber,0),1,1)," ")</f>
        <v>#REF!</v>
      </c>
      <c r="N443" s="1224"/>
      <c r="O443" s="1217">
        <f t="shared" si="204"/>
        <v>1</v>
      </c>
      <c r="P443" s="1218" t="e">
        <f t="shared" ca="1" si="205"/>
        <v>#REF!</v>
      </c>
      <c r="Q443" s="1219" t="e">
        <f ca="1">IF(AND(INDEX(FlowCalConstA,MATCH(N430,FlowCalNumber,0),1,1)*P443^INDEX(FlowCalConstB,MATCH(N430,FlowCalNumber,0),1,1)&gt;INDEX(FlowCalLowSetting,MATCH(N430,FlowCalNumber,0),1,1), (INDEX(FlowCalConstA,MATCH(N430,FlowCalNumber,0),1,1)*P443^INDEX(FlowCalConstB,MATCH(N430,FlowCalNumber,0),1,1)&lt;INDEX(FlowCalHighSetting,MATCH(N430,FlowCalNumber,0),1,1))),INDEX(FlowCalConstA,MATCH(N430,FlowCalNumber,0),1,1)*P443^INDEX(FlowCalConstB,MATCH(N430,FlowCalNumber,0),1,1)," ")</f>
        <v>#REF!</v>
      </c>
      <c r="R443" s="1224"/>
      <c r="S443" s="1217">
        <f t="shared" si="206"/>
        <v>1</v>
      </c>
      <c r="T443" s="1218" t="e">
        <f t="shared" ca="1" si="207"/>
        <v>#REF!</v>
      </c>
      <c r="U443" s="1219" t="e">
        <f ca="1">IF(AND(INDEX(FlowCalConstA,MATCH(R430,FlowCalNumber,0),1,1)*T443^INDEX(FlowCalConstB,MATCH(R430,FlowCalNumber,0),1,1)&gt;INDEX(FlowCalLowSetting,MATCH(R430,FlowCalNumber,0),1,1), (INDEX(FlowCalConstA,MATCH(R430,FlowCalNumber,0),1,1)*T443^INDEX(FlowCalConstB,MATCH(R430,FlowCalNumber,0),1,1)&lt;INDEX(FlowCalHighSetting,MATCH(R430,FlowCalNumber,0),1,1))),INDEX(FlowCalConstA,MATCH(R430,FlowCalNumber,0),1,1)*T443^INDEX(FlowCalConstB,MATCH(R430,FlowCalNumber,0),1,1)," ")</f>
        <v>#REF!</v>
      </c>
      <c r="V443" s="1224"/>
      <c r="W443" s="1217"/>
      <c r="X443" s="1218"/>
      <c r="Y443" s="1219"/>
      <c r="Z443" s="1224"/>
      <c r="AA443" s="1217"/>
      <c r="AB443" s="1218"/>
      <c r="AC443" s="1219"/>
      <c r="AD443" s="1224"/>
      <c r="AE443" s="1217"/>
      <c r="AF443" s="1218"/>
      <c r="AG443" s="1219"/>
      <c r="AH443" s="1224"/>
      <c r="AI443" s="1217"/>
      <c r="AJ443" s="1218"/>
      <c r="AK443" s="1220"/>
      <c r="AL443" s="1219"/>
      <c r="AM443" s="1219"/>
      <c r="AN443" s="1219"/>
      <c r="AO443" s="1219"/>
      <c r="AP443" s="1219"/>
      <c r="AQ443" s="1219"/>
      <c r="AR443" s="1219"/>
      <c r="AS443" s="1219"/>
      <c r="AT443" s="1219"/>
      <c r="AU443" s="1219"/>
      <c r="AV443" s="1219"/>
      <c r="AW443" s="1219"/>
      <c r="AX443" s="1219"/>
      <c r="AY443" s="1219"/>
      <c r="AZ443" s="1219"/>
      <c r="BA443" s="1219"/>
      <c r="BB443" s="1219"/>
      <c r="BC443" s="1219"/>
      <c r="BD443" s="1219"/>
      <c r="BE443" s="1219"/>
      <c r="BF443" s="1219"/>
      <c r="BG443" s="1219"/>
      <c r="BH443" s="1219"/>
      <c r="BI443" s="1219"/>
      <c r="BJ443" s="1219"/>
      <c r="BK443" s="1219"/>
      <c r="BL443" s="1219"/>
      <c r="BM443" s="1219"/>
      <c r="BN443" s="1219"/>
      <c r="BO443" s="1219"/>
      <c r="BP443" s="1219"/>
      <c r="BQ443" s="1219"/>
      <c r="BR443" s="1219"/>
      <c r="BS443" s="1219"/>
      <c r="BU443" s="1217"/>
      <c r="BW443" s="1219"/>
      <c r="BY443" s="1217"/>
      <c r="CA443" s="1219"/>
      <c r="CC443" s="1217"/>
      <c r="CE443" s="1219"/>
      <c r="CG443" s="1217"/>
      <c r="CI443" s="1219"/>
    </row>
    <row r="444" spans="1:87">
      <c r="A444" s="20"/>
      <c r="B444" s="124" t="str">
        <f t="shared" si="200"/>
        <v/>
      </c>
      <c r="C444" s="235"/>
      <c r="D444" s="24">
        <f>'1% Wind'!$M$95</f>
        <v>1.3</v>
      </c>
      <c r="E444" s="90"/>
      <c r="F444" s="90"/>
      <c r="G444" s="79" t="e">
        <f ca="1">IF(I430=0.9743,$G443,MAX(G443/D443*D444,2))</f>
        <v>#REF!</v>
      </c>
      <c r="H444" s="121" t="e">
        <f t="shared" ca="1" si="201"/>
        <v>#REF!</v>
      </c>
      <c r="J444" s="33"/>
      <c r="K444" s="242">
        <f t="shared" si="202"/>
        <v>1</v>
      </c>
      <c r="L444" s="241" t="e">
        <f t="shared" ca="1" si="203"/>
        <v>#REF!</v>
      </c>
      <c r="M444" s="243" t="e">
        <f ca="1">IF(AND(INDEX(FlowCalConstA,MATCH(J430,FlowCalNumber,0),1,1)*L444^INDEX(FlowCalConstB,MATCH(J430,FlowCalNumber,0),1,1)&gt;INDEX(FlowCalLowSetting,MATCH(J430,FlowCalNumber,0),1,1), (INDEX(FlowCalConstA,MATCH(J430,FlowCalNumber,0),1,1)*L444^INDEX(FlowCalConstB,MATCH(J430,FlowCalNumber,0),1,1)&lt;INDEX(FlowCalHighSetting,MATCH(J430,FlowCalNumber,0),1,1))),INDEX(FlowCalConstA,MATCH(J430,FlowCalNumber,0),1,1)*L444^INDEX(FlowCalConstB,MATCH(J430,FlowCalNumber,0),1,1)," ")</f>
        <v>#REF!</v>
      </c>
      <c r="N444" s="33"/>
      <c r="O444" s="242">
        <f t="shared" si="204"/>
        <v>1</v>
      </c>
      <c r="P444" s="241" t="e">
        <f t="shared" ca="1" si="205"/>
        <v>#REF!</v>
      </c>
      <c r="Q444" s="243" t="e">
        <f ca="1">IF(AND(INDEX(FlowCalConstA,MATCH(N430,FlowCalNumber,0),1,1)*P444^INDEX(FlowCalConstB,MATCH(N430,FlowCalNumber,0),1,1)&gt;INDEX(FlowCalLowSetting,MATCH(N430,FlowCalNumber,0),1,1), (INDEX(FlowCalConstA,MATCH(N430,FlowCalNumber,0),1,1)*P444^INDEX(FlowCalConstB,MATCH(N430,FlowCalNumber,0),1,1)&lt;INDEX(FlowCalHighSetting,MATCH(N430,FlowCalNumber,0),1,1))),INDEX(FlowCalConstA,MATCH(N430,FlowCalNumber,0),1,1)*P444^INDEX(FlowCalConstB,MATCH(N430,FlowCalNumber,0),1,1)," ")</f>
        <v>#REF!</v>
      </c>
      <c r="R444" s="33"/>
      <c r="S444" s="242">
        <f t="shared" si="206"/>
        <v>1</v>
      </c>
      <c r="T444" s="241" t="e">
        <f t="shared" ca="1" si="207"/>
        <v>#REF!</v>
      </c>
      <c r="U444" s="243" t="e">
        <f ca="1">IF(AND(INDEX(FlowCalConstA,MATCH(R430,FlowCalNumber,0),1,1)*T444^INDEX(FlowCalConstB,MATCH(R430,FlowCalNumber,0),1,1)&gt;INDEX(FlowCalLowSetting,MATCH(R430,FlowCalNumber,0),1,1), (INDEX(FlowCalConstA,MATCH(R430,FlowCalNumber,0),1,1)*T444^INDEX(FlowCalConstB,MATCH(R430,FlowCalNumber,0),1,1)&lt;INDEX(FlowCalHighSetting,MATCH(R430,FlowCalNumber,0),1,1))),INDEX(FlowCalConstA,MATCH(R430,FlowCalNumber,0),1,1)*T444^INDEX(FlowCalConstB,MATCH(R430,FlowCalNumber,0),1,1)," ")</f>
        <v>#REF!</v>
      </c>
      <c r="V444" s="33"/>
      <c r="W444" s="242"/>
      <c r="X444" s="241"/>
      <c r="Y444" s="243"/>
      <c r="Z444" s="33"/>
      <c r="AA444" s="242"/>
      <c r="AB444" s="241"/>
      <c r="AC444" s="243"/>
      <c r="AD444" s="33"/>
      <c r="AE444" s="242"/>
      <c r="AF444" s="241"/>
      <c r="AG444" s="243"/>
      <c r="AH444" s="33"/>
      <c r="AI444" s="242"/>
      <c r="AJ444" s="241"/>
      <c r="AK444" s="244"/>
      <c r="AL444" s="243"/>
      <c r="AM444" s="243"/>
      <c r="AN444" s="243"/>
      <c r="AO444" s="243"/>
      <c r="AP444" s="243"/>
      <c r="AQ444" s="243"/>
      <c r="AR444" s="243"/>
      <c r="AS444" s="243"/>
      <c r="AT444" s="243"/>
      <c r="AU444" s="243"/>
      <c r="AV444" s="243"/>
      <c r="AW444" s="243"/>
      <c r="AX444" s="243"/>
      <c r="AY444" s="243"/>
      <c r="AZ444" s="243"/>
      <c r="BA444" s="243"/>
      <c r="BB444" s="243"/>
      <c r="BC444" s="243"/>
      <c r="BD444" s="243"/>
      <c r="BE444" s="243"/>
      <c r="BF444" s="243"/>
      <c r="BG444" s="243"/>
      <c r="BH444" s="243"/>
      <c r="BI444" s="243"/>
      <c r="BJ444" s="243"/>
      <c r="BK444" s="243"/>
      <c r="BL444" s="243"/>
      <c r="BM444" s="243"/>
      <c r="BN444" s="243"/>
      <c r="BO444" s="243"/>
      <c r="BP444" s="243"/>
      <c r="BQ444" s="243"/>
      <c r="BR444" s="243"/>
      <c r="BS444" s="243"/>
      <c r="BU444" s="242"/>
      <c r="BW444" s="243"/>
      <c r="BY444" s="242"/>
      <c r="CA444" s="243"/>
      <c r="CC444" s="242"/>
      <c r="CE444" s="243"/>
      <c r="CG444" s="242"/>
      <c r="CI444" s="243"/>
    </row>
    <row r="445" spans="1:87" s="1215" customFormat="1">
      <c r="A445" s="1222"/>
      <c r="B445" s="1223" t="str">
        <f t="shared" si="200"/>
        <v/>
      </c>
      <c r="C445" s="1210"/>
      <c r="D445" s="1211">
        <f>'1% Wind'!$M$96</f>
        <v>1</v>
      </c>
      <c r="E445" s="1212"/>
      <c r="F445" s="1212"/>
      <c r="G445" s="1213" t="e">
        <f ca="1">IF(I430=0.9743,$G444,MAX(G444/D444*D445,2))</f>
        <v>#REF!</v>
      </c>
      <c r="H445" s="1214" t="e">
        <f t="shared" ca="1" si="201"/>
        <v>#REF!</v>
      </c>
      <c r="J445" s="1224"/>
      <c r="K445" s="1217">
        <f t="shared" si="202"/>
        <v>1</v>
      </c>
      <c r="L445" s="1218" t="e">
        <f t="shared" ca="1" si="203"/>
        <v>#REF!</v>
      </c>
      <c r="M445" s="1219" t="e">
        <f ca="1">IF(AND(INDEX(FlowCalConstA,MATCH(J430,FlowCalNumber,0),1,1)*L445^INDEX(FlowCalConstB,MATCH(J430,FlowCalNumber,0),1,1)&gt;INDEX(FlowCalLowSetting,MATCH(J430,FlowCalNumber,0),1,1), (INDEX(FlowCalConstA,MATCH(J430,FlowCalNumber,0),1,1)*L445^INDEX(FlowCalConstB,MATCH(J430,FlowCalNumber,0),1,1)&lt;INDEX(FlowCalHighSetting,MATCH(J430,FlowCalNumber,0),1,1))),INDEX(FlowCalConstA,MATCH(J430,FlowCalNumber,0),1,1)*L445^INDEX(FlowCalConstB,MATCH(J430,FlowCalNumber,0),1,1)," ")</f>
        <v>#REF!</v>
      </c>
      <c r="N445" s="1224"/>
      <c r="O445" s="1217">
        <f t="shared" si="204"/>
        <v>1</v>
      </c>
      <c r="P445" s="1218" t="e">
        <f t="shared" ca="1" si="205"/>
        <v>#REF!</v>
      </c>
      <c r="Q445" s="1219" t="e">
        <f ca="1">IF(AND(INDEX(FlowCalConstA,MATCH(N430,FlowCalNumber,0),1,1)*P445^INDEX(FlowCalConstB,MATCH(N430,FlowCalNumber,0),1,1)&gt;INDEX(FlowCalLowSetting,MATCH(N430,FlowCalNumber,0),1,1), (INDEX(FlowCalConstA,MATCH(N430,FlowCalNumber,0),1,1)*P445^INDEX(FlowCalConstB,MATCH(N430,FlowCalNumber,0),1,1)&lt;INDEX(FlowCalHighSetting,MATCH(N430,FlowCalNumber,0),1,1))),INDEX(FlowCalConstA,MATCH(N430,FlowCalNumber,0),1,1)*P445^INDEX(FlowCalConstB,MATCH(N430,FlowCalNumber,0),1,1)," ")</f>
        <v>#REF!</v>
      </c>
      <c r="R445" s="1224"/>
      <c r="S445" s="1217">
        <f t="shared" si="206"/>
        <v>1</v>
      </c>
      <c r="T445" s="1218" t="e">
        <f t="shared" ca="1" si="207"/>
        <v>#REF!</v>
      </c>
      <c r="U445" s="1219" t="e">
        <f ca="1">IF(AND(INDEX(FlowCalConstA,MATCH(R430,FlowCalNumber,0),1,1)*T445^INDEX(FlowCalConstB,MATCH(R430,FlowCalNumber,0),1,1)&gt;INDEX(FlowCalLowSetting,MATCH(R430,FlowCalNumber,0),1,1), (INDEX(FlowCalConstA,MATCH(R430,FlowCalNumber,0),1,1)*T445^INDEX(FlowCalConstB,MATCH(R430,FlowCalNumber,0),1,1)&lt;INDEX(FlowCalHighSetting,MATCH(R430,FlowCalNumber,0),1,1))),INDEX(FlowCalConstA,MATCH(R430,FlowCalNumber,0),1,1)*T445^INDEX(FlowCalConstB,MATCH(R430,FlowCalNumber,0),1,1)," ")</f>
        <v>#REF!</v>
      </c>
      <c r="V445" s="1224"/>
      <c r="W445" s="1217"/>
      <c r="X445" s="1218"/>
      <c r="Y445" s="1219"/>
      <c r="Z445" s="1224"/>
      <c r="AA445" s="1217"/>
      <c r="AB445" s="1218"/>
      <c r="AC445" s="1219"/>
      <c r="AD445" s="1224"/>
      <c r="AE445" s="1217"/>
      <c r="AF445" s="1218"/>
      <c r="AG445" s="1219"/>
      <c r="AH445" s="1224"/>
      <c r="AI445" s="1217"/>
      <c r="AJ445" s="1218"/>
      <c r="AK445" s="1220"/>
      <c r="AL445" s="1219"/>
      <c r="AM445" s="1219"/>
      <c r="AN445" s="1219"/>
      <c r="AO445" s="1219"/>
      <c r="AP445" s="1219"/>
      <c r="AQ445" s="1219"/>
      <c r="AR445" s="1219"/>
      <c r="AS445" s="1219"/>
      <c r="AT445" s="1219"/>
      <c r="AU445" s="1219"/>
      <c r="AV445" s="1219"/>
      <c r="AW445" s="1219"/>
      <c r="AX445" s="1219"/>
      <c r="AY445" s="1219"/>
      <c r="AZ445" s="1219"/>
      <c r="BA445" s="1219"/>
      <c r="BB445" s="1219"/>
      <c r="BC445" s="1219"/>
      <c r="BD445" s="1219"/>
      <c r="BE445" s="1219"/>
      <c r="BF445" s="1219"/>
      <c r="BG445" s="1219"/>
      <c r="BH445" s="1219"/>
      <c r="BI445" s="1219"/>
      <c r="BJ445" s="1219"/>
      <c r="BK445" s="1219"/>
      <c r="BL445" s="1219"/>
      <c r="BM445" s="1219"/>
      <c r="BN445" s="1219"/>
      <c r="BO445" s="1219"/>
      <c r="BP445" s="1219"/>
      <c r="BQ445" s="1219"/>
      <c r="BR445" s="1219"/>
      <c r="BS445" s="1219"/>
      <c r="BU445" s="1217"/>
      <c r="BW445" s="1219"/>
      <c r="BY445" s="1217"/>
      <c r="CA445" s="1219"/>
      <c r="CC445" s="1217"/>
      <c r="CE445" s="1219"/>
      <c r="CG445" s="1217"/>
      <c r="CI445" s="1219"/>
    </row>
    <row r="446" spans="1:87">
      <c r="A446" s="33"/>
      <c r="B446" s="33"/>
      <c r="C446" s="235"/>
      <c r="E446" s="90"/>
      <c r="F446" s="90"/>
      <c r="G446" s="33"/>
      <c r="J446" s="33"/>
      <c r="M446" s="243"/>
      <c r="N446" s="33"/>
      <c r="Q446" s="243"/>
      <c r="R446" s="33"/>
      <c r="U446" s="243"/>
      <c r="V446" s="33"/>
      <c r="Y446" s="243"/>
      <c r="Z446" s="33"/>
      <c r="AC446" s="243"/>
      <c r="AD446" s="33"/>
      <c r="AG446" s="243"/>
      <c r="AH446" s="33"/>
      <c r="AK446" s="244"/>
      <c r="AL446" s="243"/>
      <c r="AM446" s="243"/>
      <c r="AN446" s="243"/>
      <c r="AO446" s="243"/>
      <c r="AP446" s="243"/>
      <c r="AQ446" s="243"/>
      <c r="AR446" s="243"/>
      <c r="AS446" s="243"/>
      <c r="AT446" s="243"/>
      <c r="AU446" s="243"/>
      <c r="AV446" s="243"/>
      <c r="AW446" s="243"/>
      <c r="AX446" s="243"/>
      <c r="AY446" s="243"/>
      <c r="AZ446" s="243"/>
      <c r="BA446" s="243"/>
      <c r="BB446" s="243"/>
      <c r="BC446" s="243"/>
      <c r="BD446" s="243"/>
      <c r="BE446" s="243"/>
      <c r="BF446" s="243"/>
      <c r="BG446" s="243"/>
      <c r="BH446" s="243"/>
      <c r="BI446" s="243"/>
      <c r="BJ446" s="243"/>
      <c r="BK446" s="243"/>
      <c r="BL446" s="243"/>
      <c r="BM446" s="243"/>
      <c r="BN446" s="243"/>
      <c r="BO446" s="243"/>
      <c r="BP446" s="243"/>
      <c r="BQ446" s="243"/>
      <c r="BR446" s="243"/>
      <c r="BS446" s="243"/>
      <c r="BW446" s="243"/>
      <c r="CA446" s="243"/>
      <c r="CE446" s="243"/>
      <c r="CI446" s="243"/>
    </row>
    <row r="447" spans="1:87">
      <c r="A447" s="256" t="str">
        <f>IF((RIGHT(A430,1))&lt;&gt;"Z",CHAR(CODE(A430))&amp;CHAR(CODE(RIGHT(A430,1))+1),CHAR(CODE(A430)+1)&amp;"A")</f>
        <v>AZ</v>
      </c>
      <c r="B447" s="270" t="e">
        <f>INDEX(SourceID,MATCH($A447,SourceNumber,0),1,1)</f>
        <v>#N/A</v>
      </c>
      <c r="C447" s="354" t="e">
        <f>INDEX(SourceExitDiameter,MATCH($A447,SourceNumber,0),1,1)*3.28*12</f>
        <v>#N/A</v>
      </c>
      <c r="D447" s="24" t="str">
        <f>UAnem1percent</f>
        <v>1% Wind</v>
      </c>
      <c r="E447" s="350" t="e">
        <f ca="1">INDIRECT(ADDRESS(53,6,1,,CONCATENATE("TA",$A447)))</f>
        <v>#REF!</v>
      </c>
      <c r="F447" s="625" t="e">
        <f ca="1">(ROUND((INDIRECT(ADDRESS(15,7,1,,CONCATENATE("TA",$A447)))*3.28*12*32),0)&amp;"/32")</f>
        <v>#REF!</v>
      </c>
      <c r="G447" s="125" t="e">
        <f ca="1">INDIRECT(ADDRESS(29,7,1,,$A447))</f>
        <v>#REF!</v>
      </c>
      <c r="H447" s="24" t="e">
        <f ca="1">INDIRECT(ADDRESS(19,7,1,,$A447))*100^3</f>
        <v>#REF!</v>
      </c>
      <c r="I447" s="941" t="e">
        <f ca="1">INDIRECT(ADDRESS(53,7,1,,$A447))</f>
        <v>#REF!</v>
      </c>
      <c r="J447" s="20" t="e">
        <f ca="1">IF($I447=$I$6,K$16&amp;$G$6&amp;J$6,IF($I447=$I$7,K$16&amp;$G$7&amp;J$7,"Bad"))</f>
        <v>#REF!</v>
      </c>
      <c r="K447" t="e">
        <f ca="1">INDEX(FlowCalGasMixture,MATCH(J447,FlowCalNumber,0),1,1)</f>
        <v>#REF!</v>
      </c>
      <c r="M447" s="944" t="e">
        <f ca="1">INDEX(FlowCalDevice,MATCH(J447,FlowCalNumber,0),1,1)</f>
        <v>#REF!</v>
      </c>
      <c r="N447" s="20" t="e">
        <f ca="1">IF($I447=$I$6,O$16&amp;$G$6&amp;N$6,IF($I447=$I$7,O$16&amp;$G$7&amp;N$7,"Bad"))</f>
        <v>#REF!</v>
      </c>
      <c r="O447" t="e">
        <f ca="1">INDEX(FlowCalGasMixture,MATCH(N447,FlowCalNumber,0),1,1)</f>
        <v>#REF!</v>
      </c>
      <c r="Q447" s="944" t="e">
        <f ca="1">INDEX(FlowCalDevice,MATCH(N447,FlowCalNumber,0),1,1)</f>
        <v>#REF!</v>
      </c>
      <c r="R447" s="20" t="e">
        <f ca="1">IF($I447=$I$6,S$16&amp;$G$6&amp;R$6,IF($I447=$I$7,S$16&amp;$G$7&amp;R$7,"Bad"))</f>
        <v>#REF!</v>
      </c>
      <c r="S447" t="e">
        <f ca="1">INDEX(FlowCalGasMixture,MATCH(R447,FlowCalNumber,0),1,1)</f>
        <v>#REF!</v>
      </c>
      <c r="U447" s="944" t="e">
        <f ca="1">INDEX(FlowCalDevice,MATCH(R447,FlowCalNumber,0),1,1)</f>
        <v>#REF!</v>
      </c>
      <c r="V447" s="20"/>
      <c r="Y447" s="944"/>
      <c r="Z447" s="946"/>
      <c r="AC447" s="944"/>
      <c r="AD447" s="20"/>
      <c r="AG447" s="944"/>
      <c r="AH447" s="946"/>
      <c r="AK447" s="982"/>
      <c r="AL447" s="355"/>
      <c r="AM447" s="355"/>
      <c r="AN447" s="355"/>
      <c r="AO447" s="355"/>
      <c r="AP447" s="355"/>
      <c r="AQ447" s="355"/>
      <c r="AR447" s="355"/>
      <c r="AS447" s="355"/>
      <c r="AT447" s="355"/>
      <c r="AU447" s="355"/>
      <c r="AV447" s="355"/>
      <c r="AW447" s="355"/>
      <c r="AX447" s="355"/>
      <c r="AY447" s="355"/>
      <c r="AZ447" s="355"/>
      <c r="BA447" s="355"/>
      <c r="BB447" s="355"/>
      <c r="BC447" s="355"/>
      <c r="BD447" s="355"/>
      <c r="BE447" s="355"/>
      <c r="BF447" s="355"/>
      <c r="BG447" s="355"/>
      <c r="BH447" s="355"/>
      <c r="BI447" s="355"/>
      <c r="BJ447" s="355"/>
      <c r="BK447" s="355"/>
      <c r="BL447" s="355"/>
      <c r="BM447" s="355"/>
      <c r="BN447" s="355"/>
      <c r="BO447" s="355"/>
      <c r="BP447" s="355"/>
      <c r="BQ447" s="355"/>
      <c r="BR447" s="355"/>
      <c r="BS447" s="355"/>
      <c r="BT447" s="46"/>
      <c r="BU447" s="16"/>
      <c r="BW447" s="355"/>
      <c r="BX447" s="42"/>
      <c r="BY447" s="16"/>
      <c r="CA447" s="355"/>
      <c r="CB447" s="42"/>
      <c r="CC447" s="16"/>
      <c r="CE447" s="355"/>
      <c r="CF447" s="42"/>
      <c r="CG447" s="16"/>
      <c r="CI447" s="355"/>
    </row>
    <row r="448" spans="1:87" s="1215" customFormat="1">
      <c r="A448" s="1222"/>
      <c r="B448" s="1223" t="str">
        <f t="shared" ref="B448:B462" si="208">IF(D448=UAnem1percent,"1% Wind","")</f>
        <v/>
      </c>
      <c r="C448" s="1210"/>
      <c r="D448" s="1211">
        <f>'1% Wind'!$M$82</f>
        <v>27</v>
      </c>
      <c r="E448" s="1212"/>
      <c r="F448" s="1212"/>
      <c r="G448" s="1364">
        <v>2</v>
      </c>
      <c r="H448" s="1214" t="e">
        <f t="shared" ref="H448:H462" ca="1" si="209">H447*(D447/D448)*(G448/G447)</f>
        <v>#REF!</v>
      </c>
      <c r="J448" s="1224"/>
      <c r="K448" s="1221">
        <f>K$17/100</f>
        <v>1</v>
      </c>
      <c r="L448" s="1218" t="e">
        <f ca="1">K448*$H448</f>
        <v>#REF!</v>
      </c>
      <c r="M448" s="1219" t="e">
        <f ca="1">IF(AND(INDEX(FlowCalConstA,MATCH(J447,FlowCalNumber,0),1,1)*L448^INDEX(FlowCalConstB,MATCH(J447,FlowCalNumber,0),1,1)&gt;INDEX(FlowCalLowSetting,MATCH(J447,FlowCalNumber,0),1,1), (INDEX(FlowCalConstA,MATCH(J447,FlowCalNumber,0),1,1)*L448^INDEX(FlowCalConstB,MATCH(J447,FlowCalNumber,0),1,1)&lt;INDEX(FlowCalHighSetting,MATCH(J447,FlowCalNumber,0),1,1))),INDEX(FlowCalConstA,MATCH(J447,FlowCalNumber,0),1,1)*L448^INDEX(FlowCalConstB,MATCH(J447,FlowCalNumber,0),1,1)," ")</f>
        <v>#REF!</v>
      </c>
      <c r="N448" s="1224"/>
      <c r="O448" s="1221">
        <f>O$17/100</f>
        <v>1</v>
      </c>
      <c r="P448" s="1218" t="e">
        <f ca="1">O448*$H448</f>
        <v>#REF!</v>
      </c>
      <c r="Q448" s="1219" t="e">
        <f ca="1">IF(AND(INDEX(FlowCalConstA,MATCH(N447,FlowCalNumber,0),1,1)*P448^INDEX(FlowCalConstB,MATCH(N447,FlowCalNumber,0),1,1)&gt;INDEX(FlowCalLowSetting,MATCH(N447,FlowCalNumber,0),1,1), (INDEX(FlowCalConstA,MATCH(N447,FlowCalNumber,0),1,1)*P448^INDEX(FlowCalConstB,MATCH(N447,FlowCalNumber,0),1,1)&lt;INDEX(FlowCalHighSetting,MATCH(N447,FlowCalNumber,0),1,1))),INDEX(FlowCalConstA,MATCH(N447,FlowCalNumber,0),1,1)*P448^INDEX(FlowCalConstB,MATCH(N447,FlowCalNumber,0),1,1)," ")</f>
        <v>#REF!</v>
      </c>
      <c r="R448" s="1224"/>
      <c r="S448" s="1221">
        <f>S$17/100</f>
        <v>1</v>
      </c>
      <c r="T448" s="1218" t="e">
        <f ca="1">S448*$H448</f>
        <v>#REF!</v>
      </c>
      <c r="U448" s="1219" t="e">
        <f ca="1">IF(AND(INDEX(FlowCalConstA,MATCH(R447,FlowCalNumber,0),1,1)*T448^INDEX(FlowCalConstB,MATCH(R447,FlowCalNumber,0),1,1)&gt;INDEX(FlowCalLowSetting,MATCH(R447,FlowCalNumber,0),1,1), (INDEX(FlowCalConstA,MATCH(R447,FlowCalNumber,0),1,1)*T448^INDEX(FlowCalConstB,MATCH(R447,FlowCalNumber,0),1,1)&lt;INDEX(FlowCalHighSetting,MATCH(R447,FlowCalNumber,0),1,1))),INDEX(FlowCalConstA,MATCH(R447,FlowCalNumber,0),1,1)*T448^INDEX(FlowCalConstB,MATCH(R447,FlowCalNumber,0),1,1)," ")</f>
        <v>#REF!</v>
      </c>
      <c r="V448" s="1224"/>
      <c r="W448" s="1221"/>
      <c r="X448" s="1218"/>
      <c r="Y448" s="1219"/>
      <c r="Z448" s="1224"/>
      <c r="AA448" s="1221"/>
      <c r="AB448" s="1218"/>
      <c r="AC448" s="1219"/>
      <c r="AD448" s="1224"/>
      <c r="AE448" s="1221"/>
      <c r="AF448" s="1218"/>
      <c r="AG448" s="1219"/>
      <c r="AH448" s="1224"/>
      <c r="AI448" s="1221"/>
      <c r="AJ448" s="1218"/>
      <c r="AK448" s="1220"/>
      <c r="AL448" s="1219"/>
      <c r="AM448" s="1219"/>
      <c r="AN448" s="1219"/>
      <c r="AO448" s="1219"/>
      <c r="AP448" s="1219"/>
      <c r="AQ448" s="1219"/>
      <c r="AR448" s="1219"/>
      <c r="AS448" s="1219"/>
      <c r="AT448" s="1219"/>
      <c r="AU448" s="1219"/>
      <c r="AV448" s="1219"/>
      <c r="AW448" s="1219"/>
      <c r="AX448" s="1219"/>
      <c r="AY448" s="1219"/>
      <c r="AZ448" s="1219"/>
      <c r="BA448" s="1219"/>
      <c r="BB448" s="1219"/>
      <c r="BC448" s="1219"/>
      <c r="BD448" s="1219"/>
      <c r="BE448" s="1219"/>
      <c r="BF448" s="1219"/>
      <c r="BG448" s="1219"/>
      <c r="BH448" s="1219"/>
      <c r="BI448" s="1219"/>
      <c r="BJ448" s="1219"/>
      <c r="BK448" s="1219"/>
      <c r="BL448" s="1219"/>
      <c r="BM448" s="1219"/>
      <c r="BN448" s="1219"/>
      <c r="BO448" s="1219"/>
      <c r="BP448" s="1219"/>
      <c r="BQ448" s="1219"/>
      <c r="BR448" s="1219"/>
      <c r="BS448" s="1219"/>
      <c r="BU448" s="1225"/>
      <c r="BW448" s="1219"/>
      <c r="BY448" s="1225"/>
      <c r="CA448" s="1219"/>
      <c r="CC448" s="1225"/>
      <c r="CE448" s="1219"/>
      <c r="CG448" s="1221"/>
      <c r="CI448" s="1219"/>
    </row>
    <row r="449" spans="1:87">
      <c r="A449" s="20"/>
      <c r="B449" s="124" t="str">
        <f t="shared" si="208"/>
        <v/>
      </c>
      <c r="C449" s="235"/>
      <c r="D449" s="24">
        <f>'1% Wind'!$M$83</f>
        <v>23.5</v>
      </c>
      <c r="E449" s="90"/>
      <c r="F449" s="90"/>
      <c r="G449" s="79" t="e">
        <f ca="1">IF(I447=0.9743,$G448,MAX(G448/D448*D449,2))</f>
        <v>#REF!</v>
      </c>
      <c r="H449" s="121" t="e">
        <f t="shared" ca="1" si="209"/>
        <v>#REF!</v>
      </c>
      <c r="J449" s="33"/>
      <c r="K449" s="242">
        <f t="shared" ref="K449:K462" si="210">K448</f>
        <v>1</v>
      </c>
      <c r="L449" s="241" t="e">
        <f t="shared" ref="L449:L462" ca="1" si="211">K449*$H449</f>
        <v>#REF!</v>
      </c>
      <c r="M449" s="243" t="e">
        <f ca="1">IF(AND(INDEX(FlowCalConstA,MATCH(J447,FlowCalNumber,0),1,1)*L449^INDEX(FlowCalConstB,MATCH(J447,FlowCalNumber,0),1,1)&gt;INDEX(FlowCalLowSetting,MATCH(J447,FlowCalNumber,0),1,1), (INDEX(FlowCalConstA,MATCH(J447,FlowCalNumber,0),1,1)*L449^INDEX(FlowCalConstB,MATCH(J447,FlowCalNumber,0),1,1)&lt;INDEX(FlowCalHighSetting,MATCH(J447,FlowCalNumber,0),1,1))),INDEX(FlowCalConstA,MATCH(J447,FlowCalNumber,0),1,1)*L449^INDEX(FlowCalConstB,MATCH(J447,FlowCalNumber,0),1,1)," ")</f>
        <v>#REF!</v>
      </c>
      <c r="N449" s="33"/>
      <c r="O449" s="242">
        <f t="shared" ref="O449:O462" si="212">O448</f>
        <v>1</v>
      </c>
      <c r="P449" s="241" t="e">
        <f t="shared" ref="P449:P462" ca="1" si="213">O449*$H449</f>
        <v>#REF!</v>
      </c>
      <c r="Q449" s="243" t="e">
        <f ca="1">IF(AND(INDEX(FlowCalConstA,MATCH(N447,FlowCalNumber,0),1,1)*P449^INDEX(FlowCalConstB,MATCH(N447,FlowCalNumber,0),1,1)&gt;INDEX(FlowCalLowSetting,MATCH(N447,FlowCalNumber,0),1,1), (INDEX(FlowCalConstA,MATCH(N447,FlowCalNumber,0),1,1)*P449^INDEX(FlowCalConstB,MATCH(N447,FlowCalNumber,0),1,1)&lt;INDEX(FlowCalHighSetting,MATCH(N447,FlowCalNumber,0),1,1))),INDEX(FlowCalConstA,MATCH(N447,FlowCalNumber,0),1,1)*P449^INDEX(FlowCalConstB,MATCH(N447,FlowCalNumber,0),1,1)," ")</f>
        <v>#REF!</v>
      </c>
      <c r="R449" s="33"/>
      <c r="S449" s="242">
        <f t="shared" ref="S449:S462" si="214">S448</f>
        <v>1</v>
      </c>
      <c r="T449" s="241" t="e">
        <f t="shared" ref="T449:T462" ca="1" si="215">S449*$H449</f>
        <v>#REF!</v>
      </c>
      <c r="U449" s="243" t="e">
        <f ca="1">IF(AND(INDEX(FlowCalConstA,MATCH(R447,FlowCalNumber,0),1,1)*T449^INDEX(FlowCalConstB,MATCH(R447,FlowCalNumber,0),1,1)&gt;INDEX(FlowCalLowSetting,MATCH(R447,FlowCalNumber,0),1,1), (INDEX(FlowCalConstA,MATCH(R447,FlowCalNumber,0),1,1)*T449^INDEX(FlowCalConstB,MATCH(R447,FlowCalNumber,0),1,1)&lt;INDEX(FlowCalHighSetting,MATCH(R447,FlowCalNumber,0),1,1))),INDEX(FlowCalConstA,MATCH(R447,FlowCalNumber,0),1,1)*T449^INDEX(FlowCalConstB,MATCH(R447,FlowCalNumber,0),1,1)," ")</f>
        <v>#REF!</v>
      </c>
      <c r="V449" s="33"/>
      <c r="W449" s="242"/>
      <c r="X449" s="241"/>
      <c r="Y449" s="243"/>
      <c r="Z449" s="33"/>
      <c r="AA449" s="242"/>
      <c r="AB449" s="241"/>
      <c r="AC449" s="243"/>
      <c r="AD449" s="33"/>
      <c r="AE449" s="242"/>
      <c r="AF449" s="241"/>
      <c r="AG449" s="243"/>
      <c r="AH449" s="33"/>
      <c r="AI449" s="242"/>
      <c r="AJ449" s="241"/>
      <c r="AK449" s="244"/>
      <c r="AL449" s="243"/>
      <c r="AM449" s="243"/>
      <c r="AN449" s="243"/>
      <c r="AO449" s="243"/>
      <c r="AP449" s="243"/>
      <c r="AQ449" s="243"/>
      <c r="AR449" s="243"/>
      <c r="AS449" s="243"/>
      <c r="AT449" s="243"/>
      <c r="AU449" s="243"/>
      <c r="AV449" s="243"/>
      <c r="AW449" s="243"/>
      <c r="AX449" s="243"/>
      <c r="AY449" s="243"/>
      <c r="AZ449" s="243"/>
      <c r="BA449" s="243"/>
      <c r="BB449" s="243"/>
      <c r="BC449" s="243"/>
      <c r="BD449" s="243"/>
      <c r="BE449" s="243"/>
      <c r="BF449" s="243"/>
      <c r="BG449" s="243"/>
      <c r="BH449" s="243"/>
      <c r="BI449" s="243"/>
      <c r="BJ449" s="243"/>
      <c r="BK449" s="243"/>
      <c r="BL449" s="243"/>
      <c r="BM449" s="243"/>
      <c r="BN449" s="243"/>
      <c r="BO449" s="243"/>
      <c r="BP449" s="243"/>
      <c r="BQ449" s="243"/>
      <c r="BR449" s="243"/>
      <c r="BS449" s="243"/>
      <c r="BU449" s="242"/>
      <c r="BW449" s="243"/>
      <c r="BY449" s="242"/>
      <c r="CA449" s="243"/>
      <c r="CC449" s="242"/>
      <c r="CE449" s="243"/>
      <c r="CG449" s="242"/>
      <c r="CI449" s="243"/>
    </row>
    <row r="450" spans="1:87" s="1215" customFormat="1">
      <c r="A450" s="1222"/>
      <c r="B450" s="1223" t="str">
        <f t="shared" si="208"/>
        <v/>
      </c>
      <c r="C450" s="1210"/>
      <c r="D450" s="1211">
        <f>'1% Wind'!$M$84</f>
        <v>20.5</v>
      </c>
      <c r="E450" s="1212"/>
      <c r="F450" s="1212"/>
      <c r="G450" s="1213" t="e">
        <f ca="1">IF(I447=0.9743,$G449,MAX(G449/D449*D450,2))</f>
        <v>#REF!</v>
      </c>
      <c r="H450" s="1214" t="e">
        <f t="shared" ca="1" si="209"/>
        <v>#REF!</v>
      </c>
      <c r="J450" s="1224"/>
      <c r="K450" s="1217">
        <f t="shared" si="210"/>
        <v>1</v>
      </c>
      <c r="L450" s="1218" t="e">
        <f t="shared" ca="1" si="211"/>
        <v>#REF!</v>
      </c>
      <c r="M450" s="1219" t="e">
        <f ca="1">IF(AND(INDEX(FlowCalConstA,MATCH(J447,FlowCalNumber,0),1,1)*L450^INDEX(FlowCalConstB,MATCH(J447,FlowCalNumber,0),1,1)&gt;INDEX(FlowCalLowSetting,MATCH(J447,FlowCalNumber,0),1,1), (INDEX(FlowCalConstA,MATCH(J447,FlowCalNumber,0),1,1)*L450^INDEX(FlowCalConstB,MATCH(J447,FlowCalNumber,0),1,1)&lt;INDEX(FlowCalHighSetting,MATCH(J447,FlowCalNumber,0),1,1))),INDEX(FlowCalConstA,MATCH(J447,FlowCalNumber,0),1,1)*L450^INDEX(FlowCalConstB,MATCH(J447,FlowCalNumber,0),1,1)," ")</f>
        <v>#REF!</v>
      </c>
      <c r="N450" s="1224"/>
      <c r="O450" s="1217">
        <f t="shared" si="212"/>
        <v>1</v>
      </c>
      <c r="P450" s="1218" t="e">
        <f t="shared" ca="1" si="213"/>
        <v>#REF!</v>
      </c>
      <c r="Q450" s="1219" t="e">
        <f ca="1">IF(AND(INDEX(FlowCalConstA,MATCH(N447,FlowCalNumber,0),1,1)*P450^INDEX(FlowCalConstB,MATCH(N447,FlowCalNumber,0),1,1)&gt;INDEX(FlowCalLowSetting,MATCH(N447,FlowCalNumber,0),1,1), (INDEX(FlowCalConstA,MATCH(N447,FlowCalNumber,0),1,1)*P450^INDEX(FlowCalConstB,MATCH(N447,FlowCalNumber,0),1,1)&lt;INDEX(FlowCalHighSetting,MATCH(N447,FlowCalNumber,0),1,1))),INDEX(FlowCalConstA,MATCH(N447,FlowCalNumber,0),1,1)*P450^INDEX(FlowCalConstB,MATCH(N447,FlowCalNumber,0),1,1)," ")</f>
        <v>#REF!</v>
      </c>
      <c r="R450" s="1224"/>
      <c r="S450" s="1217">
        <f t="shared" si="214"/>
        <v>1</v>
      </c>
      <c r="T450" s="1218" t="e">
        <f t="shared" ca="1" si="215"/>
        <v>#REF!</v>
      </c>
      <c r="U450" s="1219" t="e">
        <f ca="1">IF(AND(INDEX(FlowCalConstA,MATCH(R447,FlowCalNumber,0),1,1)*T450^INDEX(FlowCalConstB,MATCH(R447,FlowCalNumber,0),1,1)&gt;INDEX(FlowCalLowSetting,MATCH(R447,FlowCalNumber,0),1,1), (INDEX(FlowCalConstA,MATCH(R447,FlowCalNumber,0),1,1)*T450^INDEX(FlowCalConstB,MATCH(R447,FlowCalNumber,0),1,1)&lt;INDEX(FlowCalHighSetting,MATCH(R447,FlowCalNumber,0),1,1))),INDEX(FlowCalConstA,MATCH(R447,FlowCalNumber,0),1,1)*T450^INDEX(FlowCalConstB,MATCH(R447,FlowCalNumber,0),1,1)," ")</f>
        <v>#REF!</v>
      </c>
      <c r="V450" s="1224"/>
      <c r="W450" s="1217"/>
      <c r="X450" s="1218"/>
      <c r="Y450" s="1219"/>
      <c r="Z450" s="1224"/>
      <c r="AA450" s="1217"/>
      <c r="AB450" s="1218"/>
      <c r="AC450" s="1219"/>
      <c r="AD450" s="1224"/>
      <c r="AE450" s="1217"/>
      <c r="AF450" s="1218"/>
      <c r="AG450" s="1219"/>
      <c r="AH450" s="1224"/>
      <c r="AI450" s="1217"/>
      <c r="AJ450" s="1218"/>
      <c r="AK450" s="1220"/>
      <c r="AL450" s="1219"/>
      <c r="AM450" s="1219"/>
      <c r="AN450" s="1219"/>
      <c r="AO450" s="1219"/>
      <c r="AP450" s="1219"/>
      <c r="AQ450" s="1219"/>
      <c r="AR450" s="1219"/>
      <c r="AS450" s="1219"/>
      <c r="AT450" s="1219"/>
      <c r="AU450" s="1219"/>
      <c r="AV450" s="1219"/>
      <c r="AW450" s="1219"/>
      <c r="AX450" s="1219"/>
      <c r="AY450" s="1219"/>
      <c r="AZ450" s="1219"/>
      <c r="BA450" s="1219"/>
      <c r="BB450" s="1219"/>
      <c r="BC450" s="1219"/>
      <c r="BD450" s="1219"/>
      <c r="BE450" s="1219"/>
      <c r="BF450" s="1219"/>
      <c r="BG450" s="1219"/>
      <c r="BH450" s="1219"/>
      <c r="BI450" s="1219"/>
      <c r="BJ450" s="1219"/>
      <c r="BK450" s="1219"/>
      <c r="BL450" s="1219"/>
      <c r="BM450" s="1219"/>
      <c r="BN450" s="1219"/>
      <c r="BO450" s="1219"/>
      <c r="BP450" s="1219"/>
      <c r="BQ450" s="1219"/>
      <c r="BR450" s="1219"/>
      <c r="BS450" s="1219"/>
      <c r="BU450" s="1217"/>
      <c r="BW450" s="1219"/>
      <c r="BY450" s="1217"/>
      <c r="CA450" s="1219"/>
      <c r="CC450" s="1217"/>
      <c r="CE450" s="1219"/>
      <c r="CG450" s="1217"/>
      <c r="CI450" s="1219"/>
    </row>
    <row r="451" spans="1:87">
      <c r="A451" s="20"/>
      <c r="B451" s="124" t="str">
        <f t="shared" si="208"/>
        <v/>
      </c>
      <c r="C451" s="235"/>
      <c r="D451" s="24">
        <f>'1% Wind'!$M$85</f>
        <v>17.8</v>
      </c>
      <c r="E451" s="90"/>
      <c r="F451" s="90"/>
      <c r="G451" s="79" t="e">
        <f ca="1">IF(I447=0.9743,$G450,MAX(G450/D450*D451,2))</f>
        <v>#REF!</v>
      </c>
      <c r="H451" s="121" t="e">
        <f t="shared" ca="1" si="209"/>
        <v>#REF!</v>
      </c>
      <c r="J451" s="33"/>
      <c r="K451" s="242">
        <f t="shared" si="210"/>
        <v>1</v>
      </c>
      <c r="L451" s="241" t="e">
        <f t="shared" ca="1" si="211"/>
        <v>#REF!</v>
      </c>
      <c r="M451" s="243" t="e">
        <f ca="1">IF(AND(INDEX(FlowCalConstA,MATCH(J447,FlowCalNumber,0),1,1)*L451^INDEX(FlowCalConstB,MATCH(J447,FlowCalNumber,0),1,1)&gt;INDEX(FlowCalLowSetting,MATCH(J447,FlowCalNumber,0),1,1), (INDEX(FlowCalConstA,MATCH(J447,FlowCalNumber,0),1,1)*L451^INDEX(FlowCalConstB,MATCH(J447,FlowCalNumber,0),1,1)&lt;INDEX(FlowCalHighSetting,MATCH(J447,FlowCalNumber,0),1,1))),INDEX(FlowCalConstA,MATCH(J447,FlowCalNumber,0),1,1)*L451^INDEX(FlowCalConstB,MATCH(J447,FlowCalNumber,0),1,1)," ")</f>
        <v>#REF!</v>
      </c>
      <c r="N451" s="33"/>
      <c r="O451" s="242">
        <f t="shared" si="212"/>
        <v>1</v>
      </c>
      <c r="P451" s="241" t="e">
        <f t="shared" ca="1" si="213"/>
        <v>#REF!</v>
      </c>
      <c r="Q451" s="243" t="e">
        <f ca="1">IF(AND(INDEX(FlowCalConstA,MATCH(N447,FlowCalNumber,0),1,1)*P451^INDEX(FlowCalConstB,MATCH(N447,FlowCalNumber,0),1,1)&gt;INDEX(FlowCalLowSetting,MATCH(N447,FlowCalNumber,0),1,1), (INDEX(FlowCalConstA,MATCH(N447,FlowCalNumber,0),1,1)*P451^INDEX(FlowCalConstB,MATCH(N447,FlowCalNumber,0),1,1)&lt;INDEX(FlowCalHighSetting,MATCH(N447,FlowCalNumber,0),1,1))),INDEX(FlowCalConstA,MATCH(N447,FlowCalNumber,0),1,1)*P451^INDEX(FlowCalConstB,MATCH(N447,FlowCalNumber,0),1,1)," ")</f>
        <v>#REF!</v>
      </c>
      <c r="R451" s="33"/>
      <c r="S451" s="242">
        <f t="shared" si="214"/>
        <v>1</v>
      </c>
      <c r="T451" s="241" t="e">
        <f t="shared" ca="1" si="215"/>
        <v>#REF!</v>
      </c>
      <c r="U451" s="243" t="e">
        <f ca="1">IF(AND(INDEX(FlowCalConstA,MATCH(R447,FlowCalNumber,0),1,1)*T451^INDEX(FlowCalConstB,MATCH(R447,FlowCalNumber,0),1,1)&gt;INDEX(FlowCalLowSetting,MATCH(R447,FlowCalNumber,0),1,1), (INDEX(FlowCalConstA,MATCH(R447,FlowCalNumber,0),1,1)*T451^INDEX(FlowCalConstB,MATCH(R447,FlowCalNumber,0),1,1)&lt;INDEX(FlowCalHighSetting,MATCH(R447,FlowCalNumber,0),1,1))),INDEX(FlowCalConstA,MATCH(R447,FlowCalNumber,0),1,1)*T451^INDEX(FlowCalConstB,MATCH(R447,FlowCalNumber,0),1,1)," ")</f>
        <v>#REF!</v>
      </c>
      <c r="V451" s="33"/>
      <c r="W451" s="242"/>
      <c r="X451" s="241"/>
      <c r="Y451" s="243"/>
      <c r="Z451" s="33"/>
      <c r="AA451" s="242"/>
      <c r="AB451" s="241"/>
      <c r="AC451" s="243"/>
      <c r="AD451" s="33"/>
      <c r="AE451" s="242"/>
      <c r="AF451" s="241"/>
      <c r="AG451" s="243"/>
      <c r="AH451" s="33"/>
      <c r="AI451" s="242"/>
      <c r="AJ451" s="241"/>
      <c r="AK451" s="244"/>
      <c r="AL451" s="243"/>
      <c r="AM451" s="243"/>
      <c r="AN451" s="243"/>
      <c r="AO451" s="243"/>
      <c r="AP451" s="243"/>
      <c r="AQ451" s="243"/>
      <c r="AR451" s="243"/>
      <c r="AS451" s="243"/>
      <c r="AT451" s="243"/>
      <c r="AU451" s="243"/>
      <c r="AV451" s="243"/>
      <c r="AW451" s="243"/>
      <c r="AX451" s="243"/>
      <c r="AY451" s="243"/>
      <c r="AZ451" s="243"/>
      <c r="BA451" s="243"/>
      <c r="BB451" s="243"/>
      <c r="BC451" s="243"/>
      <c r="BD451" s="243"/>
      <c r="BE451" s="243"/>
      <c r="BF451" s="243"/>
      <c r="BG451" s="243"/>
      <c r="BH451" s="243"/>
      <c r="BI451" s="243"/>
      <c r="BJ451" s="243"/>
      <c r="BK451" s="243"/>
      <c r="BL451" s="243"/>
      <c r="BM451" s="243"/>
      <c r="BN451" s="243"/>
      <c r="BO451" s="243"/>
      <c r="BP451" s="243"/>
      <c r="BQ451" s="243"/>
      <c r="BR451" s="243"/>
      <c r="BS451" s="243"/>
      <c r="BU451" s="242"/>
      <c r="BW451" s="243"/>
      <c r="BY451" s="242"/>
      <c r="CA451" s="243"/>
      <c r="CC451" s="242"/>
      <c r="CE451" s="243"/>
      <c r="CG451" s="242"/>
      <c r="CI451" s="243"/>
    </row>
    <row r="452" spans="1:87" s="1215" customFormat="1">
      <c r="A452" s="1222"/>
      <c r="B452" s="1223" t="str">
        <f t="shared" si="208"/>
        <v/>
      </c>
      <c r="C452" s="1210"/>
      <c r="D452" s="1211">
        <f>'1% Wind'!$M$86</f>
        <v>15.5</v>
      </c>
      <c r="E452" s="1212"/>
      <c r="F452" s="1212"/>
      <c r="G452" s="1213" t="e">
        <f ca="1">IF(I447=0.9743,$G451,MAX(G451/D451*D452,2))</f>
        <v>#REF!</v>
      </c>
      <c r="H452" s="1214" t="e">
        <f t="shared" ca="1" si="209"/>
        <v>#REF!</v>
      </c>
      <c r="J452" s="1224"/>
      <c r="K452" s="1217">
        <f t="shared" si="210"/>
        <v>1</v>
      </c>
      <c r="L452" s="1218" t="e">
        <f t="shared" ca="1" si="211"/>
        <v>#REF!</v>
      </c>
      <c r="M452" s="1219" t="e">
        <f ca="1">IF(AND(INDEX(FlowCalConstA,MATCH(J447,FlowCalNumber,0),1,1)*L452^INDEX(FlowCalConstB,MATCH(J447,FlowCalNumber,0),1,1)&gt;INDEX(FlowCalLowSetting,MATCH(J447,FlowCalNumber,0),1,1), (INDEX(FlowCalConstA,MATCH(J447,FlowCalNumber,0),1,1)*L452^INDEX(FlowCalConstB,MATCH(J447,FlowCalNumber,0),1,1)&lt;INDEX(FlowCalHighSetting,MATCH(J447,FlowCalNumber,0),1,1))),INDEX(FlowCalConstA,MATCH(J447,FlowCalNumber,0),1,1)*L452^INDEX(FlowCalConstB,MATCH(J447,FlowCalNumber,0),1,1)," ")</f>
        <v>#REF!</v>
      </c>
      <c r="N452" s="1224"/>
      <c r="O452" s="1217">
        <f t="shared" si="212"/>
        <v>1</v>
      </c>
      <c r="P452" s="1218" t="e">
        <f t="shared" ca="1" si="213"/>
        <v>#REF!</v>
      </c>
      <c r="Q452" s="1219" t="e">
        <f ca="1">IF(AND(INDEX(FlowCalConstA,MATCH(N447,FlowCalNumber,0),1,1)*P452^INDEX(FlowCalConstB,MATCH(N447,FlowCalNumber,0),1,1)&gt;INDEX(FlowCalLowSetting,MATCH(N447,FlowCalNumber,0),1,1), (INDEX(FlowCalConstA,MATCH(N447,FlowCalNumber,0),1,1)*P452^INDEX(FlowCalConstB,MATCH(N447,FlowCalNumber,0),1,1)&lt;INDEX(FlowCalHighSetting,MATCH(N447,FlowCalNumber,0),1,1))),INDEX(FlowCalConstA,MATCH(N447,FlowCalNumber,0),1,1)*P452^INDEX(FlowCalConstB,MATCH(N447,FlowCalNumber,0),1,1)," ")</f>
        <v>#REF!</v>
      </c>
      <c r="R452" s="1224"/>
      <c r="S452" s="1217">
        <f t="shared" si="214"/>
        <v>1</v>
      </c>
      <c r="T452" s="1218" t="e">
        <f t="shared" ca="1" si="215"/>
        <v>#REF!</v>
      </c>
      <c r="U452" s="1219" t="e">
        <f ca="1">IF(AND(INDEX(FlowCalConstA,MATCH(R447,FlowCalNumber,0),1,1)*T452^INDEX(FlowCalConstB,MATCH(R447,FlowCalNumber,0),1,1)&gt;INDEX(FlowCalLowSetting,MATCH(R447,FlowCalNumber,0),1,1), (INDEX(FlowCalConstA,MATCH(R447,FlowCalNumber,0),1,1)*T452^INDEX(FlowCalConstB,MATCH(R447,FlowCalNumber,0),1,1)&lt;INDEX(FlowCalHighSetting,MATCH(R447,FlowCalNumber,0),1,1))),INDEX(FlowCalConstA,MATCH(R447,FlowCalNumber,0),1,1)*T452^INDEX(FlowCalConstB,MATCH(R447,FlowCalNumber,0),1,1)," ")</f>
        <v>#REF!</v>
      </c>
      <c r="V452" s="1224"/>
      <c r="W452" s="1217"/>
      <c r="X452" s="1218"/>
      <c r="Y452" s="1219"/>
      <c r="Z452" s="1224"/>
      <c r="AA452" s="1217"/>
      <c r="AB452" s="1218"/>
      <c r="AC452" s="1219"/>
      <c r="AD452" s="1224"/>
      <c r="AE452" s="1217"/>
      <c r="AF452" s="1218"/>
      <c r="AG452" s="1219"/>
      <c r="AH452" s="1224"/>
      <c r="AI452" s="1217"/>
      <c r="AJ452" s="1218"/>
      <c r="AK452" s="1220"/>
      <c r="AL452" s="1219"/>
      <c r="AM452" s="1219"/>
      <c r="AN452" s="1219"/>
      <c r="AO452" s="1219"/>
      <c r="AP452" s="1219"/>
      <c r="AQ452" s="1219"/>
      <c r="AR452" s="1219"/>
      <c r="AS452" s="1219"/>
      <c r="AT452" s="1219"/>
      <c r="AU452" s="1219"/>
      <c r="AV452" s="1219"/>
      <c r="AW452" s="1219"/>
      <c r="AX452" s="1219"/>
      <c r="AY452" s="1219"/>
      <c r="AZ452" s="1219"/>
      <c r="BA452" s="1219"/>
      <c r="BB452" s="1219"/>
      <c r="BC452" s="1219"/>
      <c r="BD452" s="1219"/>
      <c r="BE452" s="1219"/>
      <c r="BF452" s="1219"/>
      <c r="BG452" s="1219"/>
      <c r="BH452" s="1219"/>
      <c r="BI452" s="1219"/>
      <c r="BJ452" s="1219"/>
      <c r="BK452" s="1219"/>
      <c r="BL452" s="1219"/>
      <c r="BM452" s="1219"/>
      <c r="BN452" s="1219"/>
      <c r="BO452" s="1219"/>
      <c r="BP452" s="1219"/>
      <c r="BQ452" s="1219"/>
      <c r="BR452" s="1219"/>
      <c r="BS452" s="1219"/>
      <c r="BU452" s="1217"/>
      <c r="BW452" s="1219"/>
      <c r="BY452" s="1217"/>
      <c r="CA452" s="1219"/>
      <c r="CC452" s="1217"/>
      <c r="CE452" s="1219"/>
      <c r="CG452" s="1217"/>
      <c r="CI452" s="1219"/>
    </row>
    <row r="453" spans="1:87">
      <c r="A453" s="20"/>
      <c r="B453" s="124" t="str">
        <f t="shared" si="208"/>
        <v/>
      </c>
      <c r="C453" s="235"/>
      <c r="D453" s="24">
        <f>'1% Wind'!$M$87</f>
        <v>13.5</v>
      </c>
      <c r="E453" s="90"/>
      <c r="F453" s="90"/>
      <c r="G453" s="79" t="e">
        <f ca="1">IF(I447=0.9743,$G452,MAX(G452/D452*D453,2))</f>
        <v>#REF!</v>
      </c>
      <c r="H453" s="121" t="e">
        <f t="shared" ca="1" si="209"/>
        <v>#REF!</v>
      </c>
      <c r="J453" s="33"/>
      <c r="K453" s="242">
        <f t="shared" si="210"/>
        <v>1</v>
      </c>
      <c r="L453" s="241" t="e">
        <f t="shared" ca="1" si="211"/>
        <v>#REF!</v>
      </c>
      <c r="M453" s="243" t="e">
        <f ca="1">IF(AND(INDEX(FlowCalConstA,MATCH(J447,FlowCalNumber,0),1,1)*L453^INDEX(FlowCalConstB,MATCH(J447,FlowCalNumber,0),1,1)&gt;INDEX(FlowCalLowSetting,MATCH(J447,FlowCalNumber,0),1,1), (INDEX(FlowCalConstA,MATCH(J447,FlowCalNumber,0),1,1)*L453^INDEX(FlowCalConstB,MATCH(J447,FlowCalNumber,0),1,1)&lt;INDEX(FlowCalHighSetting,MATCH(J447,FlowCalNumber,0),1,1))),INDEX(FlowCalConstA,MATCH(J447,FlowCalNumber,0),1,1)*L453^INDEX(FlowCalConstB,MATCH(J447,FlowCalNumber,0),1,1)," ")</f>
        <v>#REF!</v>
      </c>
      <c r="N453" s="33"/>
      <c r="O453" s="242">
        <f t="shared" si="212"/>
        <v>1</v>
      </c>
      <c r="P453" s="241" t="e">
        <f t="shared" ca="1" si="213"/>
        <v>#REF!</v>
      </c>
      <c r="Q453" s="243" t="e">
        <f ca="1">IF(AND(INDEX(FlowCalConstA,MATCH(N447,FlowCalNumber,0),1,1)*P453^INDEX(FlowCalConstB,MATCH(N447,FlowCalNumber,0),1,1)&gt;INDEX(FlowCalLowSetting,MATCH(N447,FlowCalNumber,0),1,1), (INDEX(FlowCalConstA,MATCH(N447,FlowCalNumber,0),1,1)*P453^INDEX(FlowCalConstB,MATCH(N447,FlowCalNumber,0),1,1)&lt;INDEX(FlowCalHighSetting,MATCH(N447,FlowCalNumber,0),1,1))),INDEX(FlowCalConstA,MATCH(N447,FlowCalNumber,0),1,1)*P453^INDEX(FlowCalConstB,MATCH(N447,FlowCalNumber,0),1,1)," ")</f>
        <v>#REF!</v>
      </c>
      <c r="R453" s="33"/>
      <c r="S453" s="242">
        <f t="shared" si="214"/>
        <v>1</v>
      </c>
      <c r="T453" s="241" t="e">
        <f t="shared" ca="1" si="215"/>
        <v>#REF!</v>
      </c>
      <c r="U453" s="243" t="e">
        <f ca="1">IF(AND(INDEX(FlowCalConstA,MATCH(R447,FlowCalNumber,0),1,1)*T453^INDEX(FlowCalConstB,MATCH(R447,FlowCalNumber,0),1,1)&gt;INDEX(FlowCalLowSetting,MATCH(R447,FlowCalNumber,0),1,1), (INDEX(FlowCalConstA,MATCH(R447,FlowCalNumber,0),1,1)*T453^INDEX(FlowCalConstB,MATCH(R447,FlowCalNumber,0),1,1)&lt;INDEX(FlowCalHighSetting,MATCH(R447,FlowCalNumber,0),1,1))),INDEX(FlowCalConstA,MATCH(R447,FlowCalNumber,0),1,1)*T453^INDEX(FlowCalConstB,MATCH(R447,FlowCalNumber,0),1,1)," ")</f>
        <v>#REF!</v>
      </c>
      <c r="V453" s="33"/>
      <c r="W453" s="242"/>
      <c r="X453" s="241"/>
      <c r="Y453" s="243"/>
      <c r="Z453" s="33"/>
      <c r="AA453" s="242"/>
      <c r="AB453" s="241"/>
      <c r="AC453" s="243"/>
      <c r="AD453" s="33"/>
      <c r="AE453" s="242"/>
      <c r="AF453" s="241"/>
      <c r="AG453" s="243"/>
      <c r="AH453" s="33"/>
      <c r="AI453" s="242"/>
      <c r="AJ453" s="241"/>
      <c r="AK453" s="244"/>
      <c r="AL453" s="243"/>
      <c r="AM453" s="243"/>
      <c r="AN453" s="243"/>
      <c r="AO453" s="243"/>
      <c r="AP453" s="243"/>
      <c r="AQ453" s="243"/>
      <c r="AR453" s="243"/>
      <c r="AS453" s="243"/>
      <c r="AT453" s="243"/>
      <c r="AU453" s="243"/>
      <c r="AV453" s="243"/>
      <c r="AW453" s="243"/>
      <c r="AX453" s="243"/>
      <c r="AY453" s="243"/>
      <c r="AZ453" s="243"/>
      <c r="BA453" s="243"/>
      <c r="BB453" s="243"/>
      <c r="BC453" s="243"/>
      <c r="BD453" s="243"/>
      <c r="BE453" s="243"/>
      <c r="BF453" s="243"/>
      <c r="BG453" s="243"/>
      <c r="BH453" s="243"/>
      <c r="BI453" s="243"/>
      <c r="BJ453" s="243"/>
      <c r="BK453" s="243"/>
      <c r="BL453" s="243"/>
      <c r="BM453" s="243"/>
      <c r="BN453" s="243"/>
      <c r="BO453" s="243"/>
      <c r="BP453" s="243"/>
      <c r="BQ453" s="243"/>
      <c r="BR453" s="243"/>
      <c r="BS453" s="243"/>
      <c r="BU453" s="242"/>
      <c r="BW453" s="243"/>
      <c r="BY453" s="242"/>
      <c r="CA453" s="243"/>
      <c r="CC453" s="242"/>
      <c r="CE453" s="243"/>
      <c r="CG453" s="242"/>
      <c r="CI453" s="243"/>
    </row>
    <row r="454" spans="1:87" s="1215" customFormat="1">
      <c r="A454" s="1222"/>
      <c r="B454" s="1223" t="str">
        <f t="shared" si="208"/>
        <v/>
      </c>
      <c r="C454" s="1210"/>
      <c r="D454" s="1211">
        <f>'1% Wind'!$M$88</f>
        <v>10.1</v>
      </c>
      <c r="E454" s="1212"/>
      <c r="F454" s="1212"/>
      <c r="G454" s="1213" t="e">
        <f ca="1">IF(I447=0.9743,$G453,MAX(G453/D453*D454,2))</f>
        <v>#REF!</v>
      </c>
      <c r="H454" s="1214" t="e">
        <f t="shared" ca="1" si="209"/>
        <v>#REF!</v>
      </c>
      <c r="J454" s="1224"/>
      <c r="K454" s="1217">
        <f t="shared" si="210"/>
        <v>1</v>
      </c>
      <c r="L454" s="1218" t="e">
        <f t="shared" ca="1" si="211"/>
        <v>#REF!</v>
      </c>
      <c r="M454" s="1219" t="e">
        <f ca="1">IF(AND(INDEX(FlowCalConstA,MATCH(J447,FlowCalNumber,0),1,1)*L454^INDEX(FlowCalConstB,MATCH(J447,FlowCalNumber,0),1,1)&gt;INDEX(FlowCalLowSetting,MATCH(J447,FlowCalNumber,0),1,1), (INDEX(FlowCalConstA,MATCH(J447,FlowCalNumber,0),1,1)*L454^INDEX(FlowCalConstB,MATCH(J447,FlowCalNumber,0),1,1)&lt;INDEX(FlowCalHighSetting,MATCH(J447,FlowCalNumber,0),1,1))),INDEX(FlowCalConstA,MATCH(J447,FlowCalNumber,0),1,1)*L454^INDEX(FlowCalConstB,MATCH(J447,FlowCalNumber,0),1,1)," ")</f>
        <v>#REF!</v>
      </c>
      <c r="N454" s="1224"/>
      <c r="O454" s="1217">
        <f t="shared" si="212"/>
        <v>1</v>
      </c>
      <c r="P454" s="1218" t="e">
        <f t="shared" ca="1" si="213"/>
        <v>#REF!</v>
      </c>
      <c r="Q454" s="1219" t="e">
        <f ca="1">IF(AND(INDEX(FlowCalConstA,MATCH(N447,FlowCalNumber,0),1,1)*P454^INDEX(FlowCalConstB,MATCH(N447,FlowCalNumber,0),1,1)&gt;INDEX(FlowCalLowSetting,MATCH(N447,FlowCalNumber,0),1,1), (INDEX(FlowCalConstA,MATCH(N447,FlowCalNumber,0),1,1)*P454^INDEX(FlowCalConstB,MATCH(N447,FlowCalNumber,0),1,1)&lt;INDEX(FlowCalHighSetting,MATCH(N447,FlowCalNumber,0),1,1))),INDEX(FlowCalConstA,MATCH(N447,FlowCalNumber,0),1,1)*P454^INDEX(FlowCalConstB,MATCH(N447,FlowCalNumber,0),1,1)," ")</f>
        <v>#REF!</v>
      </c>
      <c r="R454" s="1224"/>
      <c r="S454" s="1217">
        <f t="shared" si="214"/>
        <v>1</v>
      </c>
      <c r="T454" s="1218" t="e">
        <f t="shared" ca="1" si="215"/>
        <v>#REF!</v>
      </c>
      <c r="U454" s="1219" t="e">
        <f ca="1">IF(AND(INDEX(FlowCalConstA,MATCH(R447,FlowCalNumber,0),1,1)*T454^INDEX(FlowCalConstB,MATCH(R447,FlowCalNumber,0),1,1)&gt;INDEX(FlowCalLowSetting,MATCH(R447,FlowCalNumber,0),1,1), (INDEX(FlowCalConstA,MATCH(R447,FlowCalNumber,0),1,1)*T454^INDEX(FlowCalConstB,MATCH(R447,FlowCalNumber,0),1,1)&lt;INDEX(FlowCalHighSetting,MATCH(R447,FlowCalNumber,0),1,1))),INDEX(FlowCalConstA,MATCH(R447,FlowCalNumber,0),1,1)*T454^INDEX(FlowCalConstB,MATCH(R447,FlowCalNumber,0),1,1)," ")</f>
        <v>#REF!</v>
      </c>
      <c r="V454" s="1224"/>
      <c r="W454" s="1217"/>
      <c r="X454" s="1218"/>
      <c r="Y454" s="1219"/>
      <c r="Z454" s="1224"/>
      <c r="AA454" s="1217"/>
      <c r="AB454" s="1218"/>
      <c r="AC454" s="1219"/>
      <c r="AD454" s="1224"/>
      <c r="AE454" s="1217"/>
      <c r="AF454" s="1218"/>
      <c r="AG454" s="1219"/>
      <c r="AH454" s="1224"/>
      <c r="AI454" s="1217"/>
      <c r="AJ454" s="1218"/>
      <c r="AK454" s="1220"/>
      <c r="AL454" s="1219"/>
      <c r="AM454" s="1219"/>
      <c r="AN454" s="1219"/>
      <c r="AO454" s="1219"/>
      <c r="AP454" s="1219"/>
      <c r="AQ454" s="1219"/>
      <c r="AR454" s="1219"/>
      <c r="AS454" s="1219"/>
      <c r="AT454" s="1219"/>
      <c r="AU454" s="1219"/>
      <c r="AV454" s="1219"/>
      <c r="AW454" s="1219"/>
      <c r="AX454" s="1219"/>
      <c r="AY454" s="1219"/>
      <c r="AZ454" s="1219"/>
      <c r="BA454" s="1219"/>
      <c r="BB454" s="1219"/>
      <c r="BC454" s="1219"/>
      <c r="BD454" s="1219"/>
      <c r="BE454" s="1219"/>
      <c r="BF454" s="1219"/>
      <c r="BG454" s="1219"/>
      <c r="BH454" s="1219"/>
      <c r="BI454" s="1219"/>
      <c r="BJ454" s="1219"/>
      <c r="BK454" s="1219"/>
      <c r="BL454" s="1219"/>
      <c r="BM454" s="1219"/>
      <c r="BN454" s="1219"/>
      <c r="BO454" s="1219"/>
      <c r="BP454" s="1219"/>
      <c r="BQ454" s="1219"/>
      <c r="BR454" s="1219"/>
      <c r="BS454" s="1219"/>
      <c r="BU454" s="1217"/>
      <c r="BW454" s="1219"/>
      <c r="BY454" s="1217"/>
      <c r="CA454" s="1219"/>
      <c r="CC454" s="1217"/>
      <c r="CE454" s="1219"/>
      <c r="CG454" s="1217"/>
      <c r="CI454" s="1219"/>
    </row>
    <row r="455" spans="1:87">
      <c r="A455" s="20"/>
      <c r="B455" s="124" t="str">
        <f t="shared" si="208"/>
        <v/>
      </c>
      <c r="C455" s="235"/>
      <c r="D455" s="24">
        <f>'1% Wind'!$M$89</f>
        <v>7.6</v>
      </c>
      <c r="E455" s="90"/>
      <c r="F455" s="90"/>
      <c r="G455" s="79" t="e">
        <f ca="1">IF(I447=0.9743,$G454,MAX(G454/D454*D455,2))</f>
        <v>#REF!</v>
      </c>
      <c r="H455" s="121" t="e">
        <f t="shared" ca="1" si="209"/>
        <v>#REF!</v>
      </c>
      <c r="J455" s="33"/>
      <c r="K455" s="242">
        <f t="shared" si="210"/>
        <v>1</v>
      </c>
      <c r="L455" s="241" t="e">
        <f t="shared" ca="1" si="211"/>
        <v>#REF!</v>
      </c>
      <c r="M455" s="243" t="e">
        <f ca="1">IF(AND(INDEX(FlowCalConstA,MATCH(J447,FlowCalNumber,0),1,1)*L455^INDEX(FlowCalConstB,MATCH(J447,FlowCalNumber,0),1,1)&gt;INDEX(FlowCalLowSetting,MATCH(J447,FlowCalNumber,0),1,1), (INDEX(FlowCalConstA,MATCH(J447,FlowCalNumber,0),1,1)*L455^INDEX(FlowCalConstB,MATCH(J447,FlowCalNumber,0),1,1)&lt;INDEX(FlowCalHighSetting,MATCH(J447,FlowCalNumber,0),1,1))),INDEX(FlowCalConstA,MATCH(J447,FlowCalNumber,0),1,1)*L455^INDEX(FlowCalConstB,MATCH(J447,FlowCalNumber,0),1,1)," ")</f>
        <v>#REF!</v>
      </c>
      <c r="N455" s="33"/>
      <c r="O455" s="242">
        <f t="shared" si="212"/>
        <v>1</v>
      </c>
      <c r="P455" s="241" t="e">
        <f t="shared" ca="1" si="213"/>
        <v>#REF!</v>
      </c>
      <c r="Q455" s="243" t="e">
        <f ca="1">IF(AND(INDEX(FlowCalConstA,MATCH(N447,FlowCalNumber,0),1,1)*P455^INDEX(FlowCalConstB,MATCH(N447,FlowCalNumber,0),1,1)&gt;INDEX(FlowCalLowSetting,MATCH(N447,FlowCalNumber,0),1,1), (INDEX(FlowCalConstA,MATCH(N447,FlowCalNumber,0),1,1)*P455^INDEX(FlowCalConstB,MATCH(N447,FlowCalNumber,0),1,1)&lt;INDEX(FlowCalHighSetting,MATCH(N447,FlowCalNumber,0),1,1))),INDEX(FlowCalConstA,MATCH(N447,FlowCalNumber,0),1,1)*P455^INDEX(FlowCalConstB,MATCH(N447,FlowCalNumber,0),1,1)," ")</f>
        <v>#REF!</v>
      </c>
      <c r="R455" s="33"/>
      <c r="S455" s="242">
        <f t="shared" si="214"/>
        <v>1</v>
      </c>
      <c r="T455" s="241" t="e">
        <f t="shared" ca="1" si="215"/>
        <v>#REF!</v>
      </c>
      <c r="U455" s="243" t="e">
        <f ca="1">IF(AND(INDEX(FlowCalConstA,MATCH(R447,FlowCalNumber,0),1,1)*T455^INDEX(FlowCalConstB,MATCH(R447,FlowCalNumber,0),1,1)&gt;INDEX(FlowCalLowSetting,MATCH(R447,FlowCalNumber,0),1,1), (INDEX(FlowCalConstA,MATCH(R447,FlowCalNumber,0),1,1)*T455^INDEX(FlowCalConstB,MATCH(R447,FlowCalNumber,0),1,1)&lt;INDEX(FlowCalHighSetting,MATCH(R447,FlowCalNumber,0),1,1))),INDEX(FlowCalConstA,MATCH(R447,FlowCalNumber,0),1,1)*T455^INDEX(FlowCalConstB,MATCH(R447,FlowCalNumber,0),1,1)," ")</f>
        <v>#REF!</v>
      </c>
      <c r="V455" s="33"/>
      <c r="W455" s="242"/>
      <c r="X455" s="241"/>
      <c r="Y455" s="243"/>
      <c r="Z455" s="33"/>
      <c r="AA455" s="242"/>
      <c r="AB455" s="241"/>
      <c r="AC455" s="243"/>
      <c r="AD455" s="33"/>
      <c r="AE455" s="242"/>
      <c r="AF455" s="241"/>
      <c r="AG455" s="243"/>
      <c r="AH455" s="33"/>
      <c r="AI455" s="242"/>
      <c r="AJ455" s="241"/>
      <c r="AK455" s="244"/>
      <c r="AL455" s="243"/>
      <c r="AM455" s="243"/>
      <c r="AN455" s="243"/>
      <c r="AO455" s="243"/>
      <c r="AP455" s="243"/>
      <c r="AQ455" s="243"/>
      <c r="AR455" s="243"/>
      <c r="AS455" s="243"/>
      <c r="AT455" s="243"/>
      <c r="AU455" s="243"/>
      <c r="AV455" s="243"/>
      <c r="AW455" s="243"/>
      <c r="AX455" s="243"/>
      <c r="AY455" s="243"/>
      <c r="AZ455" s="243"/>
      <c r="BA455" s="243"/>
      <c r="BB455" s="243"/>
      <c r="BC455" s="243"/>
      <c r="BD455" s="243"/>
      <c r="BE455" s="243"/>
      <c r="BF455" s="243"/>
      <c r="BG455" s="243"/>
      <c r="BH455" s="243"/>
      <c r="BI455" s="243"/>
      <c r="BJ455" s="243"/>
      <c r="BK455" s="243"/>
      <c r="BL455" s="243"/>
      <c r="BM455" s="243"/>
      <c r="BN455" s="243"/>
      <c r="BO455" s="243"/>
      <c r="BP455" s="243"/>
      <c r="BQ455" s="243"/>
      <c r="BR455" s="243"/>
      <c r="BS455" s="243"/>
      <c r="BU455" s="242"/>
      <c r="BW455" s="243"/>
      <c r="BY455" s="242"/>
      <c r="CA455" s="243"/>
      <c r="CC455" s="242"/>
      <c r="CE455" s="243"/>
      <c r="CG455" s="242"/>
      <c r="CI455" s="243"/>
    </row>
    <row r="456" spans="1:87" s="1215" customFormat="1">
      <c r="A456" s="1222"/>
      <c r="B456" s="1223" t="str">
        <f t="shared" si="208"/>
        <v/>
      </c>
      <c r="C456" s="1210"/>
      <c r="D456" s="1211">
        <f>'1% Wind'!$M$90</f>
        <v>5.7</v>
      </c>
      <c r="E456" s="1212"/>
      <c r="F456" s="1212"/>
      <c r="G456" s="1213" t="e">
        <f ca="1">IF(I447=0.9743,$G455,MAX(G455/D455*D456,2))</f>
        <v>#REF!</v>
      </c>
      <c r="H456" s="1214" t="e">
        <f t="shared" ca="1" si="209"/>
        <v>#REF!</v>
      </c>
      <c r="J456" s="1224"/>
      <c r="K456" s="1217">
        <f t="shared" si="210"/>
        <v>1</v>
      </c>
      <c r="L456" s="1218" t="e">
        <f t="shared" ca="1" si="211"/>
        <v>#REF!</v>
      </c>
      <c r="M456" s="1219" t="e">
        <f ca="1">IF(AND(INDEX(FlowCalConstA,MATCH(J447,FlowCalNumber,0),1,1)*L456^INDEX(FlowCalConstB,MATCH(J447,FlowCalNumber,0),1,1)&gt;INDEX(FlowCalLowSetting,MATCH(J447,FlowCalNumber,0),1,1), (INDEX(FlowCalConstA,MATCH(J447,FlowCalNumber,0),1,1)*L456^INDEX(FlowCalConstB,MATCH(J447,FlowCalNumber,0),1,1)&lt;INDEX(FlowCalHighSetting,MATCH(J447,FlowCalNumber,0),1,1))),INDEX(FlowCalConstA,MATCH(J447,FlowCalNumber,0),1,1)*L456^INDEX(FlowCalConstB,MATCH(J447,FlowCalNumber,0),1,1)," ")</f>
        <v>#REF!</v>
      </c>
      <c r="N456" s="1224"/>
      <c r="O456" s="1217">
        <f t="shared" si="212"/>
        <v>1</v>
      </c>
      <c r="P456" s="1218" t="e">
        <f t="shared" ca="1" si="213"/>
        <v>#REF!</v>
      </c>
      <c r="Q456" s="1219" t="e">
        <f ca="1">IF(AND(INDEX(FlowCalConstA,MATCH(N447,FlowCalNumber,0),1,1)*P456^INDEX(FlowCalConstB,MATCH(N447,FlowCalNumber,0),1,1)&gt;INDEX(FlowCalLowSetting,MATCH(N447,FlowCalNumber,0),1,1), (INDEX(FlowCalConstA,MATCH(N447,FlowCalNumber,0),1,1)*P456^INDEX(FlowCalConstB,MATCH(N447,FlowCalNumber,0),1,1)&lt;INDEX(FlowCalHighSetting,MATCH(N447,FlowCalNumber,0),1,1))),INDEX(FlowCalConstA,MATCH(N447,FlowCalNumber,0),1,1)*P456^INDEX(FlowCalConstB,MATCH(N447,FlowCalNumber,0),1,1)," ")</f>
        <v>#REF!</v>
      </c>
      <c r="R456" s="1224"/>
      <c r="S456" s="1217">
        <f t="shared" si="214"/>
        <v>1</v>
      </c>
      <c r="T456" s="1218" t="e">
        <f t="shared" ca="1" si="215"/>
        <v>#REF!</v>
      </c>
      <c r="U456" s="1219" t="e">
        <f ca="1">IF(AND(INDEX(FlowCalConstA,MATCH(R447,FlowCalNumber,0),1,1)*T456^INDEX(FlowCalConstB,MATCH(R447,FlowCalNumber,0),1,1)&gt;INDEX(FlowCalLowSetting,MATCH(R447,FlowCalNumber,0),1,1), (INDEX(FlowCalConstA,MATCH(R447,FlowCalNumber,0),1,1)*T456^INDEX(FlowCalConstB,MATCH(R447,FlowCalNumber,0),1,1)&lt;INDEX(FlowCalHighSetting,MATCH(R447,FlowCalNumber,0),1,1))),INDEX(FlowCalConstA,MATCH(R447,FlowCalNumber,0),1,1)*T456^INDEX(FlowCalConstB,MATCH(R447,FlowCalNumber,0),1,1)," ")</f>
        <v>#REF!</v>
      </c>
      <c r="V456" s="1224"/>
      <c r="W456" s="1217"/>
      <c r="X456" s="1218"/>
      <c r="Y456" s="1219"/>
      <c r="Z456" s="1224"/>
      <c r="AA456" s="1217"/>
      <c r="AB456" s="1218"/>
      <c r="AC456" s="1219"/>
      <c r="AD456" s="1224"/>
      <c r="AE456" s="1217"/>
      <c r="AF456" s="1218"/>
      <c r="AG456" s="1219"/>
      <c r="AH456" s="1224"/>
      <c r="AI456" s="1217"/>
      <c r="AJ456" s="1218"/>
      <c r="AK456" s="1220"/>
      <c r="AL456" s="1219"/>
      <c r="AM456" s="1219"/>
      <c r="AN456" s="1219"/>
      <c r="AO456" s="1219"/>
      <c r="AP456" s="1219"/>
      <c r="AQ456" s="1219"/>
      <c r="AR456" s="1219"/>
      <c r="AS456" s="1219"/>
      <c r="AT456" s="1219"/>
      <c r="AU456" s="1219"/>
      <c r="AV456" s="1219"/>
      <c r="AW456" s="1219"/>
      <c r="AX456" s="1219"/>
      <c r="AY456" s="1219"/>
      <c r="AZ456" s="1219"/>
      <c r="BA456" s="1219"/>
      <c r="BB456" s="1219"/>
      <c r="BC456" s="1219"/>
      <c r="BD456" s="1219"/>
      <c r="BE456" s="1219"/>
      <c r="BF456" s="1219"/>
      <c r="BG456" s="1219"/>
      <c r="BH456" s="1219"/>
      <c r="BI456" s="1219"/>
      <c r="BJ456" s="1219"/>
      <c r="BK456" s="1219"/>
      <c r="BL456" s="1219"/>
      <c r="BM456" s="1219"/>
      <c r="BN456" s="1219"/>
      <c r="BO456" s="1219"/>
      <c r="BP456" s="1219"/>
      <c r="BQ456" s="1219"/>
      <c r="BR456" s="1219"/>
      <c r="BS456" s="1219"/>
      <c r="BU456" s="1217"/>
      <c r="BW456" s="1219"/>
      <c r="BY456" s="1217"/>
      <c r="CA456" s="1219"/>
      <c r="CC456" s="1217"/>
      <c r="CE456" s="1219"/>
      <c r="CG456" s="1217"/>
      <c r="CI456" s="1219"/>
    </row>
    <row r="457" spans="1:87">
      <c r="A457" s="20"/>
      <c r="B457" s="124" t="str">
        <f t="shared" si="208"/>
        <v/>
      </c>
      <c r="C457" s="235"/>
      <c r="D457" s="24">
        <f>'1% Wind'!$M$91</f>
        <v>4.2</v>
      </c>
      <c r="E457" s="90"/>
      <c r="F457" s="90"/>
      <c r="G457" s="79" t="e">
        <f ca="1">IF(I447=0.9743,$G456,MAX(G456/D456*D457,2))</f>
        <v>#REF!</v>
      </c>
      <c r="H457" s="121" t="e">
        <f t="shared" ca="1" si="209"/>
        <v>#REF!</v>
      </c>
      <c r="J457" s="33"/>
      <c r="K457" s="242">
        <f t="shared" si="210"/>
        <v>1</v>
      </c>
      <c r="L457" s="241" t="e">
        <f t="shared" ca="1" si="211"/>
        <v>#REF!</v>
      </c>
      <c r="M457" s="243" t="e">
        <f ca="1">IF(AND(INDEX(FlowCalConstA,MATCH(J447,FlowCalNumber,0),1,1)*L457^INDEX(FlowCalConstB,MATCH(J447,FlowCalNumber,0),1,1)&gt;INDEX(FlowCalLowSetting,MATCH(J447,FlowCalNumber,0),1,1), (INDEX(FlowCalConstA,MATCH(J447,FlowCalNumber,0),1,1)*L457^INDEX(FlowCalConstB,MATCH(J447,FlowCalNumber,0),1,1)&lt;INDEX(FlowCalHighSetting,MATCH(J447,FlowCalNumber,0),1,1))),INDEX(FlowCalConstA,MATCH(J447,FlowCalNumber,0),1,1)*L457^INDEX(FlowCalConstB,MATCH(J447,FlowCalNumber,0),1,1)," ")</f>
        <v>#REF!</v>
      </c>
      <c r="N457" s="33"/>
      <c r="O457" s="242">
        <f t="shared" si="212"/>
        <v>1</v>
      </c>
      <c r="P457" s="241" t="e">
        <f t="shared" ca="1" si="213"/>
        <v>#REF!</v>
      </c>
      <c r="Q457" s="243" t="e">
        <f ca="1">IF(AND(INDEX(FlowCalConstA,MATCH(N447,FlowCalNumber,0),1,1)*P457^INDEX(FlowCalConstB,MATCH(N447,FlowCalNumber,0),1,1)&gt;INDEX(FlowCalLowSetting,MATCH(N447,FlowCalNumber,0),1,1), (INDEX(FlowCalConstA,MATCH(N447,FlowCalNumber,0),1,1)*P457^INDEX(FlowCalConstB,MATCH(N447,FlowCalNumber,0),1,1)&lt;INDEX(FlowCalHighSetting,MATCH(N447,FlowCalNumber,0),1,1))),INDEX(FlowCalConstA,MATCH(N447,FlowCalNumber,0),1,1)*P457^INDEX(FlowCalConstB,MATCH(N447,FlowCalNumber,0),1,1)," ")</f>
        <v>#REF!</v>
      </c>
      <c r="R457" s="33"/>
      <c r="S457" s="242">
        <f t="shared" si="214"/>
        <v>1</v>
      </c>
      <c r="T457" s="241" t="e">
        <f t="shared" ca="1" si="215"/>
        <v>#REF!</v>
      </c>
      <c r="U457" s="243" t="e">
        <f ca="1">IF(AND(INDEX(FlowCalConstA,MATCH(R447,FlowCalNumber,0),1,1)*T457^INDEX(FlowCalConstB,MATCH(R447,FlowCalNumber,0),1,1)&gt;INDEX(FlowCalLowSetting,MATCH(R447,FlowCalNumber,0),1,1), (INDEX(FlowCalConstA,MATCH(R447,FlowCalNumber,0),1,1)*T457^INDEX(FlowCalConstB,MATCH(R447,FlowCalNumber,0),1,1)&lt;INDEX(FlowCalHighSetting,MATCH(R447,FlowCalNumber,0),1,1))),INDEX(FlowCalConstA,MATCH(R447,FlowCalNumber,0),1,1)*T457^INDEX(FlowCalConstB,MATCH(R447,FlowCalNumber,0),1,1)," ")</f>
        <v>#REF!</v>
      </c>
      <c r="V457" s="33"/>
      <c r="W457" s="242"/>
      <c r="X457" s="241"/>
      <c r="Y457" s="243"/>
      <c r="Z457" s="33"/>
      <c r="AA457" s="242"/>
      <c r="AB457" s="241"/>
      <c r="AC457" s="243"/>
      <c r="AD457" s="33"/>
      <c r="AE457" s="242"/>
      <c r="AF457" s="241"/>
      <c r="AG457" s="243"/>
      <c r="AH457" s="33"/>
      <c r="AI457" s="242"/>
      <c r="AJ457" s="241"/>
      <c r="AK457" s="244"/>
      <c r="AL457" s="243"/>
      <c r="AM457" s="243"/>
      <c r="AN457" s="243"/>
      <c r="AO457" s="243"/>
      <c r="AP457" s="243"/>
      <c r="AQ457" s="243"/>
      <c r="AR457" s="243"/>
      <c r="AS457" s="243"/>
      <c r="AT457" s="243"/>
      <c r="AU457" s="243"/>
      <c r="AV457" s="243"/>
      <c r="AW457" s="243"/>
      <c r="AX457" s="243"/>
      <c r="AY457" s="243"/>
      <c r="AZ457" s="243"/>
      <c r="BA457" s="243"/>
      <c r="BB457" s="243"/>
      <c r="BC457" s="243"/>
      <c r="BD457" s="243"/>
      <c r="BE457" s="243"/>
      <c r="BF457" s="243"/>
      <c r="BG457" s="243"/>
      <c r="BH457" s="243"/>
      <c r="BI457" s="243"/>
      <c r="BJ457" s="243"/>
      <c r="BK457" s="243"/>
      <c r="BL457" s="243"/>
      <c r="BM457" s="243"/>
      <c r="BN457" s="243"/>
      <c r="BO457" s="243"/>
      <c r="BP457" s="243"/>
      <c r="BQ457" s="243"/>
      <c r="BR457" s="243"/>
      <c r="BS457" s="243"/>
      <c r="BU457" s="242"/>
      <c r="BW457" s="243"/>
      <c r="BY457" s="242"/>
      <c r="CA457" s="243"/>
      <c r="CC457" s="242"/>
      <c r="CE457" s="243"/>
      <c r="CG457" s="242"/>
      <c r="CI457" s="243"/>
    </row>
    <row r="458" spans="1:87" s="1215" customFormat="1">
      <c r="A458" s="1222"/>
      <c r="B458" s="1223" t="str">
        <f t="shared" si="208"/>
        <v/>
      </c>
      <c r="C458" s="1210"/>
      <c r="D458" s="1211">
        <f>'1% Wind'!$M$92</f>
        <v>3.2</v>
      </c>
      <c r="E458" s="1212"/>
      <c r="F458" s="1212"/>
      <c r="G458" s="1213" t="e">
        <f ca="1">IF(I447=0.9743,$G457,MAX(G457/D457*D458,2))</f>
        <v>#REF!</v>
      </c>
      <c r="H458" s="1214" t="e">
        <f t="shared" ca="1" si="209"/>
        <v>#REF!</v>
      </c>
      <c r="J458" s="1224"/>
      <c r="K458" s="1217">
        <f t="shared" si="210"/>
        <v>1</v>
      </c>
      <c r="L458" s="1218" t="e">
        <f t="shared" ca="1" si="211"/>
        <v>#REF!</v>
      </c>
      <c r="M458" s="1219" t="e">
        <f ca="1">IF(AND(INDEX(FlowCalConstA,MATCH(J447,FlowCalNumber,0),1,1)*L458^INDEX(FlowCalConstB,MATCH(J447,FlowCalNumber,0),1,1)&gt;INDEX(FlowCalLowSetting,MATCH(J447,FlowCalNumber,0),1,1), (INDEX(FlowCalConstA,MATCH(J447,FlowCalNumber,0),1,1)*L458^INDEX(FlowCalConstB,MATCH(J447,FlowCalNumber,0),1,1)&lt;INDEX(FlowCalHighSetting,MATCH(J447,FlowCalNumber,0),1,1))),INDEX(FlowCalConstA,MATCH(J447,FlowCalNumber,0),1,1)*L458^INDEX(FlowCalConstB,MATCH(J447,FlowCalNumber,0),1,1)," ")</f>
        <v>#REF!</v>
      </c>
      <c r="N458" s="1224"/>
      <c r="O458" s="1217">
        <f t="shared" si="212"/>
        <v>1</v>
      </c>
      <c r="P458" s="1218" t="e">
        <f t="shared" ca="1" si="213"/>
        <v>#REF!</v>
      </c>
      <c r="Q458" s="1219" t="e">
        <f ca="1">IF(AND(INDEX(FlowCalConstA,MATCH(N447,FlowCalNumber,0),1,1)*P458^INDEX(FlowCalConstB,MATCH(N447,FlowCalNumber,0),1,1)&gt;INDEX(FlowCalLowSetting,MATCH(N447,FlowCalNumber,0),1,1), (INDEX(FlowCalConstA,MATCH(N447,FlowCalNumber,0),1,1)*P458^INDEX(FlowCalConstB,MATCH(N447,FlowCalNumber,0),1,1)&lt;INDEX(FlowCalHighSetting,MATCH(N447,FlowCalNumber,0),1,1))),INDEX(FlowCalConstA,MATCH(N447,FlowCalNumber,0),1,1)*P458^INDEX(FlowCalConstB,MATCH(N447,FlowCalNumber,0),1,1)," ")</f>
        <v>#REF!</v>
      </c>
      <c r="R458" s="1224"/>
      <c r="S458" s="1217">
        <f t="shared" si="214"/>
        <v>1</v>
      </c>
      <c r="T458" s="1218" t="e">
        <f t="shared" ca="1" si="215"/>
        <v>#REF!</v>
      </c>
      <c r="U458" s="1219" t="e">
        <f ca="1">IF(AND(INDEX(FlowCalConstA,MATCH(R447,FlowCalNumber,0),1,1)*T458^INDEX(FlowCalConstB,MATCH(R447,FlowCalNumber,0),1,1)&gt;INDEX(FlowCalLowSetting,MATCH(R447,FlowCalNumber,0),1,1), (INDEX(FlowCalConstA,MATCH(R447,FlowCalNumber,0),1,1)*T458^INDEX(FlowCalConstB,MATCH(R447,FlowCalNumber,0),1,1)&lt;INDEX(FlowCalHighSetting,MATCH(R447,FlowCalNumber,0),1,1))),INDEX(FlowCalConstA,MATCH(R447,FlowCalNumber,0),1,1)*T458^INDEX(FlowCalConstB,MATCH(R447,FlowCalNumber,0),1,1)," ")</f>
        <v>#REF!</v>
      </c>
      <c r="V458" s="1224"/>
      <c r="W458" s="1217"/>
      <c r="X458" s="1218"/>
      <c r="Y458" s="1219"/>
      <c r="Z458" s="1224"/>
      <c r="AA458" s="1217"/>
      <c r="AB458" s="1218"/>
      <c r="AC458" s="1219"/>
      <c r="AD458" s="1224"/>
      <c r="AE458" s="1217"/>
      <c r="AF458" s="1218"/>
      <c r="AG458" s="1219"/>
      <c r="AH458" s="1224"/>
      <c r="AI458" s="1217"/>
      <c r="AJ458" s="1218"/>
      <c r="AK458" s="1220"/>
      <c r="AL458" s="1219"/>
      <c r="AM458" s="1219"/>
      <c r="AN458" s="1219"/>
      <c r="AO458" s="1219"/>
      <c r="AP458" s="1219"/>
      <c r="AQ458" s="1219"/>
      <c r="AR458" s="1219"/>
      <c r="AS458" s="1219"/>
      <c r="AT458" s="1219"/>
      <c r="AU458" s="1219"/>
      <c r="AV458" s="1219"/>
      <c r="AW458" s="1219"/>
      <c r="AX458" s="1219"/>
      <c r="AY458" s="1219"/>
      <c r="AZ458" s="1219"/>
      <c r="BA458" s="1219"/>
      <c r="BB458" s="1219"/>
      <c r="BC458" s="1219"/>
      <c r="BD458" s="1219"/>
      <c r="BE458" s="1219"/>
      <c r="BF458" s="1219"/>
      <c r="BG458" s="1219"/>
      <c r="BH458" s="1219"/>
      <c r="BI458" s="1219"/>
      <c r="BJ458" s="1219"/>
      <c r="BK458" s="1219"/>
      <c r="BL458" s="1219"/>
      <c r="BM458" s="1219"/>
      <c r="BN458" s="1219"/>
      <c r="BO458" s="1219"/>
      <c r="BP458" s="1219"/>
      <c r="BQ458" s="1219"/>
      <c r="BR458" s="1219"/>
      <c r="BS458" s="1219"/>
      <c r="BU458" s="1217"/>
      <c r="BW458" s="1219"/>
      <c r="BY458" s="1217"/>
      <c r="CA458" s="1219"/>
      <c r="CC458" s="1217"/>
      <c r="CE458" s="1219"/>
      <c r="CG458" s="1217"/>
      <c r="CI458" s="1219"/>
    </row>
    <row r="459" spans="1:87">
      <c r="A459" s="20"/>
      <c r="B459" s="124" t="str">
        <f t="shared" si="208"/>
        <v/>
      </c>
      <c r="C459" s="235"/>
      <c r="D459" s="24">
        <f>'1% Wind'!$M$93</f>
        <v>2.4</v>
      </c>
      <c r="E459" s="90"/>
      <c r="F459" s="90"/>
      <c r="G459" s="79" t="e">
        <f ca="1">IF(I447=0.9743,$G458,MAX(G458/D458*D459,2))</f>
        <v>#REF!</v>
      </c>
      <c r="H459" s="121" t="e">
        <f t="shared" ca="1" si="209"/>
        <v>#REF!</v>
      </c>
      <c r="J459" s="33"/>
      <c r="K459" s="242">
        <f t="shared" si="210"/>
        <v>1</v>
      </c>
      <c r="L459" s="241" t="e">
        <f t="shared" ca="1" si="211"/>
        <v>#REF!</v>
      </c>
      <c r="M459" s="243" t="e">
        <f ca="1">IF(AND(INDEX(FlowCalConstA,MATCH(J447,FlowCalNumber,0),1,1)*L459^INDEX(FlowCalConstB,MATCH(J447,FlowCalNumber,0),1,1)&gt;INDEX(FlowCalLowSetting,MATCH(J447,FlowCalNumber,0),1,1), (INDEX(FlowCalConstA,MATCH(J447,FlowCalNumber,0),1,1)*L459^INDEX(FlowCalConstB,MATCH(J447,FlowCalNumber,0),1,1)&lt;INDEX(FlowCalHighSetting,MATCH(J447,FlowCalNumber,0),1,1))),INDEX(FlowCalConstA,MATCH(J447,FlowCalNumber,0),1,1)*L459^INDEX(FlowCalConstB,MATCH(J447,FlowCalNumber,0),1,1)," ")</f>
        <v>#REF!</v>
      </c>
      <c r="N459" s="33"/>
      <c r="O459" s="242">
        <f t="shared" si="212"/>
        <v>1</v>
      </c>
      <c r="P459" s="241" t="e">
        <f t="shared" ca="1" si="213"/>
        <v>#REF!</v>
      </c>
      <c r="Q459" s="243" t="e">
        <f ca="1">IF(AND(INDEX(FlowCalConstA,MATCH(N447,FlowCalNumber,0),1,1)*P459^INDEX(FlowCalConstB,MATCH(N447,FlowCalNumber,0),1,1)&gt;INDEX(FlowCalLowSetting,MATCH(N447,FlowCalNumber,0),1,1), (INDEX(FlowCalConstA,MATCH(N447,FlowCalNumber,0),1,1)*P459^INDEX(FlowCalConstB,MATCH(N447,FlowCalNumber,0),1,1)&lt;INDEX(FlowCalHighSetting,MATCH(N447,FlowCalNumber,0),1,1))),INDEX(FlowCalConstA,MATCH(N447,FlowCalNumber,0),1,1)*P459^INDEX(FlowCalConstB,MATCH(N447,FlowCalNumber,0),1,1)," ")</f>
        <v>#REF!</v>
      </c>
      <c r="R459" s="33"/>
      <c r="S459" s="242">
        <f t="shared" si="214"/>
        <v>1</v>
      </c>
      <c r="T459" s="241" t="e">
        <f t="shared" ca="1" si="215"/>
        <v>#REF!</v>
      </c>
      <c r="U459" s="243" t="e">
        <f ca="1">IF(AND(INDEX(FlowCalConstA,MATCH(R447,FlowCalNumber,0),1,1)*T459^INDEX(FlowCalConstB,MATCH(R447,FlowCalNumber,0),1,1)&gt;INDEX(FlowCalLowSetting,MATCH(R447,FlowCalNumber,0),1,1), (INDEX(FlowCalConstA,MATCH(R447,FlowCalNumber,0),1,1)*T459^INDEX(FlowCalConstB,MATCH(R447,FlowCalNumber,0),1,1)&lt;INDEX(FlowCalHighSetting,MATCH(R447,FlowCalNumber,0),1,1))),INDEX(FlowCalConstA,MATCH(R447,FlowCalNumber,0),1,1)*T459^INDEX(FlowCalConstB,MATCH(R447,FlowCalNumber,0),1,1)," ")</f>
        <v>#REF!</v>
      </c>
      <c r="V459" s="33"/>
      <c r="W459" s="242"/>
      <c r="X459" s="241"/>
      <c r="Y459" s="243"/>
      <c r="Z459" s="33"/>
      <c r="AA459" s="242"/>
      <c r="AB459" s="241"/>
      <c r="AC459" s="243"/>
      <c r="AD459" s="33"/>
      <c r="AE459" s="242"/>
      <c r="AF459" s="241"/>
      <c r="AG459" s="243"/>
      <c r="AH459" s="33"/>
      <c r="AI459" s="242"/>
      <c r="AJ459" s="241"/>
      <c r="AK459" s="244"/>
      <c r="AL459" s="243"/>
      <c r="AM459" s="243"/>
      <c r="AN459" s="243"/>
      <c r="AO459" s="243"/>
      <c r="AP459" s="243"/>
      <c r="AQ459" s="243"/>
      <c r="AR459" s="243"/>
      <c r="AS459" s="243"/>
      <c r="AT459" s="243"/>
      <c r="AU459" s="243"/>
      <c r="AV459" s="243"/>
      <c r="AW459" s="243"/>
      <c r="AX459" s="243"/>
      <c r="AY459" s="243"/>
      <c r="AZ459" s="243"/>
      <c r="BA459" s="243"/>
      <c r="BB459" s="243"/>
      <c r="BC459" s="243"/>
      <c r="BD459" s="243"/>
      <c r="BE459" s="243"/>
      <c r="BF459" s="243"/>
      <c r="BG459" s="243"/>
      <c r="BH459" s="243"/>
      <c r="BI459" s="243"/>
      <c r="BJ459" s="243"/>
      <c r="BK459" s="243"/>
      <c r="BL459" s="243"/>
      <c r="BM459" s="243"/>
      <c r="BN459" s="243"/>
      <c r="BO459" s="243"/>
      <c r="BP459" s="243"/>
      <c r="BQ459" s="243"/>
      <c r="BR459" s="243"/>
      <c r="BS459" s="243"/>
      <c r="BU459" s="242"/>
      <c r="BW459" s="243"/>
      <c r="BY459" s="242"/>
      <c r="CA459" s="243"/>
      <c r="CC459" s="242"/>
      <c r="CE459" s="243"/>
      <c r="CG459" s="242"/>
      <c r="CI459" s="243"/>
    </row>
    <row r="460" spans="1:87" s="1215" customFormat="1">
      <c r="A460" s="1222"/>
      <c r="B460" s="1223" t="str">
        <f t="shared" si="208"/>
        <v/>
      </c>
      <c r="C460" s="1210"/>
      <c r="D460" s="1211">
        <f>'1% Wind'!$M$94</f>
        <v>1.8</v>
      </c>
      <c r="E460" s="1212"/>
      <c r="F460" s="1212"/>
      <c r="G460" s="1213" t="e">
        <f ca="1">IF(I447=0.9743,$G459,MAX(G459/D459*D460,2))</f>
        <v>#REF!</v>
      </c>
      <c r="H460" s="1214" t="e">
        <f t="shared" ca="1" si="209"/>
        <v>#REF!</v>
      </c>
      <c r="J460" s="1224"/>
      <c r="K460" s="1217">
        <f t="shared" si="210"/>
        <v>1</v>
      </c>
      <c r="L460" s="1218" t="e">
        <f t="shared" ca="1" si="211"/>
        <v>#REF!</v>
      </c>
      <c r="M460" s="1219" t="e">
        <f ca="1">IF(AND(INDEX(FlowCalConstA,MATCH(J447,FlowCalNumber,0),1,1)*L460^INDEX(FlowCalConstB,MATCH(J447,FlowCalNumber,0),1,1)&gt;INDEX(FlowCalLowSetting,MATCH(J447,FlowCalNumber,0),1,1), (INDEX(FlowCalConstA,MATCH(J447,FlowCalNumber,0),1,1)*L460^INDEX(FlowCalConstB,MATCH(J447,FlowCalNumber,0),1,1)&lt;INDEX(FlowCalHighSetting,MATCH(J447,FlowCalNumber,0),1,1))),INDEX(FlowCalConstA,MATCH(J447,FlowCalNumber,0),1,1)*L460^INDEX(FlowCalConstB,MATCH(J447,FlowCalNumber,0),1,1)," ")</f>
        <v>#REF!</v>
      </c>
      <c r="N460" s="1224"/>
      <c r="O460" s="1217">
        <f t="shared" si="212"/>
        <v>1</v>
      </c>
      <c r="P460" s="1218" t="e">
        <f t="shared" ca="1" si="213"/>
        <v>#REF!</v>
      </c>
      <c r="Q460" s="1219" t="e">
        <f ca="1">IF(AND(INDEX(FlowCalConstA,MATCH(N447,FlowCalNumber,0),1,1)*P460^INDEX(FlowCalConstB,MATCH(N447,FlowCalNumber,0),1,1)&gt;INDEX(FlowCalLowSetting,MATCH(N447,FlowCalNumber,0),1,1), (INDEX(FlowCalConstA,MATCH(N447,FlowCalNumber,0),1,1)*P460^INDEX(FlowCalConstB,MATCH(N447,FlowCalNumber,0),1,1)&lt;INDEX(FlowCalHighSetting,MATCH(N447,FlowCalNumber,0),1,1))),INDEX(FlowCalConstA,MATCH(N447,FlowCalNumber,0),1,1)*P460^INDEX(FlowCalConstB,MATCH(N447,FlowCalNumber,0),1,1)," ")</f>
        <v>#REF!</v>
      </c>
      <c r="R460" s="1224"/>
      <c r="S460" s="1217">
        <f t="shared" si="214"/>
        <v>1</v>
      </c>
      <c r="T460" s="1218" t="e">
        <f t="shared" ca="1" si="215"/>
        <v>#REF!</v>
      </c>
      <c r="U460" s="1219" t="e">
        <f ca="1">IF(AND(INDEX(FlowCalConstA,MATCH(R447,FlowCalNumber,0),1,1)*T460^INDEX(FlowCalConstB,MATCH(R447,FlowCalNumber,0),1,1)&gt;INDEX(FlowCalLowSetting,MATCH(R447,FlowCalNumber,0),1,1), (INDEX(FlowCalConstA,MATCH(R447,FlowCalNumber,0),1,1)*T460^INDEX(FlowCalConstB,MATCH(R447,FlowCalNumber,0),1,1)&lt;INDEX(FlowCalHighSetting,MATCH(R447,FlowCalNumber,0),1,1))),INDEX(FlowCalConstA,MATCH(R447,FlowCalNumber,0),1,1)*T460^INDEX(FlowCalConstB,MATCH(R447,FlowCalNumber,0),1,1)," ")</f>
        <v>#REF!</v>
      </c>
      <c r="V460" s="1224"/>
      <c r="W460" s="1217"/>
      <c r="X460" s="1218"/>
      <c r="Y460" s="1219"/>
      <c r="Z460" s="1224"/>
      <c r="AA460" s="1217"/>
      <c r="AB460" s="1218"/>
      <c r="AC460" s="1219"/>
      <c r="AD460" s="1224"/>
      <c r="AE460" s="1217"/>
      <c r="AF460" s="1218"/>
      <c r="AG460" s="1219"/>
      <c r="AH460" s="1224"/>
      <c r="AI460" s="1217"/>
      <c r="AJ460" s="1218"/>
      <c r="AK460" s="1220"/>
      <c r="AL460" s="1219"/>
      <c r="AM460" s="1219"/>
      <c r="AN460" s="1219"/>
      <c r="AO460" s="1219"/>
      <c r="AP460" s="1219"/>
      <c r="AQ460" s="1219"/>
      <c r="AR460" s="1219"/>
      <c r="AS460" s="1219"/>
      <c r="AT460" s="1219"/>
      <c r="AU460" s="1219"/>
      <c r="AV460" s="1219"/>
      <c r="AW460" s="1219"/>
      <c r="AX460" s="1219"/>
      <c r="AY460" s="1219"/>
      <c r="AZ460" s="1219"/>
      <c r="BA460" s="1219"/>
      <c r="BB460" s="1219"/>
      <c r="BC460" s="1219"/>
      <c r="BD460" s="1219"/>
      <c r="BE460" s="1219"/>
      <c r="BF460" s="1219"/>
      <c r="BG460" s="1219"/>
      <c r="BH460" s="1219"/>
      <c r="BI460" s="1219"/>
      <c r="BJ460" s="1219"/>
      <c r="BK460" s="1219"/>
      <c r="BL460" s="1219"/>
      <c r="BM460" s="1219"/>
      <c r="BN460" s="1219"/>
      <c r="BO460" s="1219"/>
      <c r="BP460" s="1219"/>
      <c r="BQ460" s="1219"/>
      <c r="BR460" s="1219"/>
      <c r="BS460" s="1219"/>
      <c r="BU460" s="1217"/>
      <c r="BW460" s="1219"/>
      <c r="BY460" s="1217"/>
      <c r="CA460" s="1219"/>
      <c r="CC460" s="1217"/>
      <c r="CE460" s="1219"/>
      <c r="CG460" s="1217"/>
      <c r="CI460" s="1219"/>
    </row>
    <row r="461" spans="1:87">
      <c r="A461" s="20"/>
      <c r="B461" s="124" t="str">
        <f t="shared" si="208"/>
        <v/>
      </c>
      <c r="C461" s="235"/>
      <c r="D461" s="24">
        <f>'1% Wind'!$M$95</f>
        <v>1.3</v>
      </c>
      <c r="E461" s="90"/>
      <c r="F461" s="90"/>
      <c r="G461" s="79" t="e">
        <f ca="1">IF(I447=0.9743,$G460,MAX(G460/D460*D461,2))</f>
        <v>#REF!</v>
      </c>
      <c r="H461" s="121" t="e">
        <f t="shared" ca="1" si="209"/>
        <v>#REF!</v>
      </c>
      <c r="J461" s="33"/>
      <c r="K461" s="242">
        <f t="shared" si="210"/>
        <v>1</v>
      </c>
      <c r="L461" s="241" t="e">
        <f t="shared" ca="1" si="211"/>
        <v>#REF!</v>
      </c>
      <c r="M461" s="243" t="e">
        <f ca="1">IF(AND(INDEX(FlowCalConstA,MATCH(J447,FlowCalNumber,0),1,1)*L461^INDEX(FlowCalConstB,MATCH(J447,FlowCalNumber,0),1,1)&gt;INDEX(FlowCalLowSetting,MATCH(J447,FlowCalNumber,0),1,1), (INDEX(FlowCalConstA,MATCH(J447,FlowCalNumber,0),1,1)*L461^INDEX(FlowCalConstB,MATCH(J447,FlowCalNumber,0),1,1)&lt;INDEX(FlowCalHighSetting,MATCH(J447,FlowCalNumber,0),1,1))),INDEX(FlowCalConstA,MATCH(J447,FlowCalNumber,0),1,1)*L461^INDEX(FlowCalConstB,MATCH(J447,FlowCalNumber,0),1,1)," ")</f>
        <v>#REF!</v>
      </c>
      <c r="N461" s="33"/>
      <c r="O461" s="242">
        <f t="shared" si="212"/>
        <v>1</v>
      </c>
      <c r="P461" s="241" t="e">
        <f t="shared" ca="1" si="213"/>
        <v>#REF!</v>
      </c>
      <c r="Q461" s="243" t="e">
        <f ca="1">IF(AND(INDEX(FlowCalConstA,MATCH(N447,FlowCalNumber,0),1,1)*P461^INDEX(FlowCalConstB,MATCH(N447,FlowCalNumber,0),1,1)&gt;INDEX(FlowCalLowSetting,MATCH(N447,FlowCalNumber,0),1,1), (INDEX(FlowCalConstA,MATCH(N447,FlowCalNumber,0),1,1)*P461^INDEX(FlowCalConstB,MATCH(N447,FlowCalNumber,0),1,1)&lt;INDEX(FlowCalHighSetting,MATCH(N447,FlowCalNumber,0),1,1))),INDEX(FlowCalConstA,MATCH(N447,FlowCalNumber,0),1,1)*P461^INDEX(FlowCalConstB,MATCH(N447,FlowCalNumber,0),1,1)," ")</f>
        <v>#REF!</v>
      </c>
      <c r="R461" s="33"/>
      <c r="S461" s="242">
        <f t="shared" si="214"/>
        <v>1</v>
      </c>
      <c r="T461" s="241" t="e">
        <f t="shared" ca="1" si="215"/>
        <v>#REF!</v>
      </c>
      <c r="U461" s="243" t="e">
        <f ca="1">IF(AND(INDEX(FlowCalConstA,MATCH(R447,FlowCalNumber,0),1,1)*T461^INDEX(FlowCalConstB,MATCH(R447,FlowCalNumber,0),1,1)&gt;INDEX(FlowCalLowSetting,MATCH(R447,FlowCalNumber,0),1,1), (INDEX(FlowCalConstA,MATCH(R447,FlowCalNumber,0),1,1)*T461^INDEX(FlowCalConstB,MATCH(R447,FlowCalNumber,0),1,1)&lt;INDEX(FlowCalHighSetting,MATCH(R447,FlowCalNumber,0),1,1))),INDEX(FlowCalConstA,MATCH(R447,FlowCalNumber,0),1,1)*T461^INDEX(FlowCalConstB,MATCH(R447,FlowCalNumber,0),1,1)," ")</f>
        <v>#REF!</v>
      </c>
      <c r="V461" s="33"/>
      <c r="W461" s="242"/>
      <c r="X461" s="241"/>
      <c r="Y461" s="243"/>
      <c r="Z461" s="33"/>
      <c r="AA461" s="242"/>
      <c r="AB461" s="241"/>
      <c r="AC461" s="243"/>
      <c r="AD461" s="33"/>
      <c r="AE461" s="242"/>
      <c r="AF461" s="241"/>
      <c r="AG461" s="243"/>
      <c r="AH461" s="33"/>
      <c r="AI461" s="242"/>
      <c r="AJ461" s="241"/>
      <c r="AK461" s="244"/>
      <c r="AL461" s="243"/>
      <c r="AM461" s="243"/>
      <c r="AN461" s="243"/>
      <c r="AO461" s="243"/>
      <c r="AP461" s="243"/>
      <c r="AQ461" s="243"/>
      <c r="AR461" s="243"/>
      <c r="AS461" s="243"/>
      <c r="AT461" s="243"/>
      <c r="AU461" s="243"/>
      <c r="AV461" s="243"/>
      <c r="AW461" s="243"/>
      <c r="AX461" s="243"/>
      <c r="AY461" s="243"/>
      <c r="AZ461" s="243"/>
      <c r="BA461" s="243"/>
      <c r="BB461" s="243"/>
      <c r="BC461" s="243"/>
      <c r="BD461" s="243"/>
      <c r="BE461" s="243"/>
      <c r="BF461" s="243"/>
      <c r="BG461" s="243"/>
      <c r="BH461" s="243"/>
      <c r="BI461" s="243"/>
      <c r="BJ461" s="243"/>
      <c r="BK461" s="243"/>
      <c r="BL461" s="243"/>
      <c r="BM461" s="243"/>
      <c r="BN461" s="243"/>
      <c r="BO461" s="243"/>
      <c r="BP461" s="243"/>
      <c r="BQ461" s="243"/>
      <c r="BR461" s="243"/>
      <c r="BS461" s="243"/>
      <c r="BU461" s="242"/>
      <c r="BW461" s="243"/>
      <c r="BY461" s="242"/>
      <c r="CA461" s="243"/>
      <c r="CC461" s="242"/>
      <c r="CE461" s="243"/>
      <c r="CG461" s="242"/>
      <c r="CI461" s="243"/>
    </row>
    <row r="462" spans="1:87" s="1215" customFormat="1">
      <c r="A462" s="1222"/>
      <c r="B462" s="1223" t="str">
        <f t="shared" si="208"/>
        <v/>
      </c>
      <c r="C462" s="1210"/>
      <c r="D462" s="1211">
        <f>'1% Wind'!$M$96</f>
        <v>1</v>
      </c>
      <c r="E462" s="1212"/>
      <c r="F462" s="1212"/>
      <c r="G462" s="1213" t="e">
        <f ca="1">IF(I447=0.9743,$G461,MAX(G461/D461*D462,2))</f>
        <v>#REF!</v>
      </c>
      <c r="H462" s="1214" t="e">
        <f t="shared" ca="1" si="209"/>
        <v>#REF!</v>
      </c>
      <c r="J462" s="1224"/>
      <c r="K462" s="1217">
        <f t="shared" si="210"/>
        <v>1</v>
      </c>
      <c r="L462" s="1218" t="e">
        <f t="shared" ca="1" si="211"/>
        <v>#REF!</v>
      </c>
      <c r="M462" s="1219" t="e">
        <f ca="1">IF(AND(INDEX(FlowCalConstA,MATCH(J447,FlowCalNumber,0),1,1)*L462^INDEX(FlowCalConstB,MATCH(J447,FlowCalNumber,0),1,1)&gt;INDEX(FlowCalLowSetting,MATCH(J447,FlowCalNumber,0),1,1), (INDEX(FlowCalConstA,MATCH(J447,FlowCalNumber,0),1,1)*L462^INDEX(FlowCalConstB,MATCH(J447,FlowCalNumber,0),1,1)&lt;INDEX(FlowCalHighSetting,MATCH(J447,FlowCalNumber,0),1,1))),INDEX(FlowCalConstA,MATCH(J447,FlowCalNumber,0),1,1)*L462^INDEX(FlowCalConstB,MATCH(J447,FlowCalNumber,0),1,1)," ")</f>
        <v>#REF!</v>
      </c>
      <c r="N462" s="1224"/>
      <c r="O462" s="1217">
        <f t="shared" si="212"/>
        <v>1</v>
      </c>
      <c r="P462" s="1218" t="e">
        <f t="shared" ca="1" si="213"/>
        <v>#REF!</v>
      </c>
      <c r="Q462" s="1219" t="e">
        <f ca="1">IF(AND(INDEX(FlowCalConstA,MATCH(N447,FlowCalNumber,0),1,1)*P462^INDEX(FlowCalConstB,MATCH(N447,FlowCalNumber,0),1,1)&gt;INDEX(FlowCalLowSetting,MATCH(N447,FlowCalNumber,0),1,1), (INDEX(FlowCalConstA,MATCH(N447,FlowCalNumber,0),1,1)*P462^INDEX(FlowCalConstB,MATCH(N447,FlowCalNumber,0),1,1)&lt;INDEX(FlowCalHighSetting,MATCH(N447,FlowCalNumber,0),1,1))),INDEX(FlowCalConstA,MATCH(N447,FlowCalNumber,0),1,1)*P462^INDEX(FlowCalConstB,MATCH(N447,FlowCalNumber,0),1,1)," ")</f>
        <v>#REF!</v>
      </c>
      <c r="R462" s="1224"/>
      <c r="S462" s="1217">
        <f t="shared" si="214"/>
        <v>1</v>
      </c>
      <c r="T462" s="1218" t="e">
        <f t="shared" ca="1" si="215"/>
        <v>#REF!</v>
      </c>
      <c r="U462" s="1219" t="e">
        <f ca="1">IF(AND(INDEX(FlowCalConstA,MATCH(R447,FlowCalNumber,0),1,1)*T462^INDEX(FlowCalConstB,MATCH(R447,FlowCalNumber,0),1,1)&gt;INDEX(FlowCalLowSetting,MATCH(R447,FlowCalNumber,0),1,1), (INDEX(FlowCalConstA,MATCH(R447,FlowCalNumber,0),1,1)*T462^INDEX(FlowCalConstB,MATCH(R447,FlowCalNumber,0),1,1)&lt;INDEX(FlowCalHighSetting,MATCH(R447,FlowCalNumber,0),1,1))),INDEX(FlowCalConstA,MATCH(R447,FlowCalNumber,0),1,1)*T462^INDEX(FlowCalConstB,MATCH(R447,FlowCalNumber,0),1,1)," ")</f>
        <v>#REF!</v>
      </c>
      <c r="V462" s="1224"/>
      <c r="W462" s="1217"/>
      <c r="X462" s="1218"/>
      <c r="Y462" s="1219"/>
      <c r="Z462" s="1224"/>
      <c r="AA462" s="1217"/>
      <c r="AB462" s="1218"/>
      <c r="AC462" s="1219"/>
      <c r="AD462" s="1224"/>
      <c r="AE462" s="1217"/>
      <c r="AF462" s="1218"/>
      <c r="AG462" s="1219"/>
      <c r="AH462" s="1224"/>
      <c r="AI462" s="1217"/>
      <c r="AJ462" s="1218"/>
      <c r="AK462" s="1220"/>
      <c r="AL462" s="1219"/>
      <c r="AM462" s="1219"/>
      <c r="AN462" s="1219"/>
      <c r="AO462" s="1219"/>
      <c r="AP462" s="1219"/>
      <c r="AQ462" s="1219"/>
      <c r="AR462" s="1219"/>
      <c r="AS462" s="1219"/>
      <c r="AT462" s="1219"/>
      <c r="AU462" s="1219"/>
      <c r="AV462" s="1219"/>
      <c r="AW462" s="1219"/>
      <c r="AX462" s="1219"/>
      <c r="AY462" s="1219"/>
      <c r="AZ462" s="1219"/>
      <c r="BA462" s="1219"/>
      <c r="BB462" s="1219"/>
      <c r="BC462" s="1219"/>
      <c r="BD462" s="1219"/>
      <c r="BE462" s="1219"/>
      <c r="BF462" s="1219"/>
      <c r="BG462" s="1219"/>
      <c r="BH462" s="1219"/>
      <c r="BI462" s="1219"/>
      <c r="BJ462" s="1219"/>
      <c r="BK462" s="1219"/>
      <c r="BL462" s="1219"/>
      <c r="BM462" s="1219"/>
      <c r="BN462" s="1219"/>
      <c r="BO462" s="1219"/>
      <c r="BP462" s="1219"/>
      <c r="BQ462" s="1219"/>
      <c r="BR462" s="1219"/>
      <c r="BS462" s="1219"/>
      <c r="BU462" s="1217"/>
      <c r="BW462" s="1219"/>
      <c r="BY462" s="1217"/>
      <c r="CA462" s="1219"/>
      <c r="CC462" s="1217"/>
      <c r="CE462" s="1219"/>
      <c r="CG462" s="1217"/>
      <c r="CI462" s="1219"/>
    </row>
    <row r="463" spans="1:87">
      <c r="A463" s="33"/>
      <c r="B463" s="33"/>
      <c r="C463" s="235"/>
      <c r="E463" s="90"/>
      <c r="F463" s="90"/>
      <c r="G463" s="33"/>
      <c r="J463" s="33"/>
      <c r="M463" s="243"/>
      <c r="N463" s="33"/>
      <c r="Q463" s="243"/>
      <c r="R463" s="33"/>
      <c r="U463" s="243"/>
      <c r="V463" s="33"/>
      <c r="Y463" s="243"/>
      <c r="Z463" s="33"/>
      <c r="AC463" s="243"/>
      <c r="AD463" s="33"/>
      <c r="AG463" s="243"/>
      <c r="AH463" s="33"/>
      <c r="AK463" s="244"/>
      <c r="AL463" s="243"/>
      <c r="AM463" s="243"/>
      <c r="AN463" s="243"/>
      <c r="AO463" s="243"/>
      <c r="AP463" s="243"/>
      <c r="AQ463" s="243"/>
      <c r="AR463" s="243"/>
      <c r="AS463" s="243"/>
      <c r="AT463" s="243"/>
      <c r="AU463" s="243"/>
      <c r="AV463" s="243"/>
      <c r="AW463" s="243"/>
      <c r="AX463" s="243"/>
      <c r="AY463" s="243"/>
      <c r="AZ463" s="243"/>
      <c r="BA463" s="243"/>
      <c r="BB463" s="243"/>
      <c r="BC463" s="243"/>
      <c r="BD463" s="243"/>
      <c r="BE463" s="243"/>
      <c r="BF463" s="243"/>
      <c r="BG463" s="243"/>
      <c r="BH463" s="243"/>
      <c r="BI463" s="243"/>
      <c r="BJ463" s="243"/>
      <c r="BK463" s="243"/>
      <c r="BL463" s="243"/>
      <c r="BM463" s="243"/>
      <c r="BN463" s="243"/>
      <c r="BO463" s="243"/>
      <c r="BP463" s="243"/>
      <c r="BQ463" s="243"/>
      <c r="BR463" s="243"/>
      <c r="BS463" s="243"/>
      <c r="BW463" s="243"/>
      <c r="CA463" s="243"/>
      <c r="CE463" s="243"/>
      <c r="CI463" s="243"/>
    </row>
    <row r="464" spans="1:87">
      <c r="A464" s="256" t="str">
        <f>IF((RIGHT(A447,1))&lt;&gt;"Z",CHAR(CODE(A447))&amp;CHAR(CODE(RIGHT(A447,1))+1),CHAR(CODE(A447)+1)&amp;"A")</f>
        <v>BA</v>
      </c>
      <c r="B464" s="270" t="str">
        <f>INDEX(SourceID,MATCH($A464,SourceNumber,0),1,1)</f>
        <v>B2 Gen-1</v>
      </c>
      <c r="C464" s="354">
        <f>INDEX(SourceExitDiameter,MATCH($A464,SourceNumber,0),1,1)*3.28*12</f>
        <v>40.994999999999997</v>
      </c>
      <c r="D464" s="24" t="str">
        <f>UAnem1percent</f>
        <v>1% Wind</v>
      </c>
      <c r="E464" s="350" t="e">
        <f ca="1">INDIRECT(ADDRESS(53,6,1,,CONCATENATE("TA",$A464)))</f>
        <v>#REF!</v>
      </c>
      <c r="F464" s="625" t="e">
        <f ca="1">(ROUND((INDIRECT(ADDRESS(15,7,1,,CONCATENATE("TA",$A464)))*3.28*12*32),0)&amp;"/32")</f>
        <v>#REF!</v>
      </c>
      <c r="G464" s="125">
        <f ca="1">INDIRECT(ADDRESS(29,7,1,,$A464))</f>
        <v>6.001707317073171</v>
      </c>
      <c r="H464" s="24" t="e">
        <f ca="1">INDIRECT(ADDRESS(19,7,1,,$A464))*100^3</f>
        <v>#VALUE!</v>
      </c>
      <c r="I464" s="941">
        <f ca="1">INDIRECT(ADDRESS(53,7,1,,$A464))</f>
        <v>0.97430000000000005</v>
      </c>
      <c r="J464" s="20" t="str">
        <f ca="1">IF($I464=$I$6,K$16&amp;$G$6&amp;J$6,IF($I464=$I$7,K$16&amp;$G$7&amp;J$7,"Bad"))</f>
        <v>100N2Pick a Tunnel</v>
      </c>
      <c r="K464" t="e">
        <f ca="1">INDEX(FlowCalGasMixture,MATCH(J464,FlowCalNumber,0),1,1)</f>
        <v>#N/A</v>
      </c>
      <c r="M464" s="944" t="e">
        <f ca="1">INDEX(FlowCalDevice,MATCH(J464,FlowCalNumber,0),1,1)</f>
        <v>#N/A</v>
      </c>
      <c r="N464" s="20" t="str">
        <f ca="1">IF($I464=$I$6,O$16&amp;$G$6&amp;N$6,IF($I464=$I$7,O$16&amp;$G$7&amp;N$7,"Bad"))</f>
        <v>100N2Pick a Tunnel</v>
      </c>
      <c r="O464" t="e">
        <f ca="1">INDEX(FlowCalGasMixture,MATCH(N464,FlowCalNumber,0),1,1)</f>
        <v>#N/A</v>
      </c>
      <c r="Q464" s="944" t="e">
        <f ca="1">INDEX(FlowCalDevice,MATCH(N464,FlowCalNumber,0),1,1)</f>
        <v>#N/A</v>
      </c>
      <c r="R464" s="20" t="str">
        <f ca="1">IF($I464=$I$6,S$16&amp;$G$6&amp;R$6,IF($I464=$I$7,S$16&amp;$G$7&amp;R$7,"Bad"))</f>
        <v>100N2Pick a Tunnel</v>
      </c>
      <c r="S464" t="e">
        <f ca="1">INDEX(FlowCalGasMixture,MATCH(R464,FlowCalNumber,0),1,1)</f>
        <v>#N/A</v>
      </c>
      <c r="U464" s="944" t="e">
        <f ca="1">INDEX(FlowCalDevice,MATCH(R464,FlowCalNumber,0),1,1)</f>
        <v>#N/A</v>
      </c>
      <c r="V464" s="20"/>
      <c r="Y464" s="944"/>
      <c r="Z464" s="946"/>
      <c r="AC464" s="944"/>
      <c r="AD464" s="20"/>
      <c r="AG464" s="944"/>
      <c r="AH464" s="946"/>
      <c r="AK464" s="982"/>
      <c r="AL464" s="355"/>
      <c r="AM464" s="355"/>
      <c r="AN464" s="355"/>
      <c r="AO464" s="355"/>
      <c r="AP464" s="355"/>
      <c r="AQ464" s="355"/>
      <c r="AR464" s="355"/>
      <c r="AS464" s="355"/>
      <c r="AT464" s="355"/>
      <c r="AU464" s="355"/>
      <c r="AV464" s="355"/>
      <c r="AW464" s="355"/>
      <c r="AX464" s="355"/>
      <c r="AY464" s="355"/>
      <c r="AZ464" s="355"/>
      <c r="BA464" s="355"/>
      <c r="BB464" s="355"/>
      <c r="BC464" s="355"/>
      <c r="BD464" s="355"/>
      <c r="BE464" s="355"/>
      <c r="BF464" s="355"/>
      <c r="BG464" s="355"/>
      <c r="BH464" s="355"/>
      <c r="BI464" s="355"/>
      <c r="BJ464" s="355"/>
      <c r="BK464" s="355"/>
      <c r="BL464" s="355"/>
      <c r="BM464" s="355"/>
      <c r="BN464" s="355"/>
      <c r="BO464" s="355"/>
      <c r="BP464" s="355"/>
      <c r="BQ464" s="355"/>
      <c r="BR464" s="355"/>
      <c r="BS464" s="355"/>
      <c r="BT464" s="46"/>
      <c r="BU464" s="16"/>
      <c r="BW464" s="355"/>
      <c r="BX464" s="42"/>
      <c r="BY464" s="16"/>
      <c r="CA464" s="355"/>
      <c r="CB464" s="42"/>
      <c r="CC464" s="16"/>
      <c r="CE464" s="355"/>
      <c r="CF464" s="42"/>
      <c r="CG464" s="16"/>
      <c r="CI464" s="355"/>
    </row>
    <row r="465" spans="1:87" s="1215" customFormat="1">
      <c r="A465" s="1222"/>
      <c r="B465" s="1223" t="str">
        <f t="shared" ref="B465:B479" si="216">IF(D465=UAnem1percent,"1% Wind","")</f>
        <v/>
      </c>
      <c r="C465" s="1210"/>
      <c r="D465" s="1211">
        <f>'1% Wind'!$M$82</f>
        <v>27</v>
      </c>
      <c r="E465" s="1212"/>
      <c r="F465" s="1212"/>
      <c r="G465" s="1364">
        <v>2</v>
      </c>
      <c r="H465" s="1214" t="e">
        <f t="shared" ref="H465:H479" ca="1" si="217">H464*(D464/D465)*(G465/G464)</f>
        <v>#VALUE!</v>
      </c>
      <c r="J465" s="1224"/>
      <c r="K465" s="1221">
        <f>K$17/100</f>
        <v>1</v>
      </c>
      <c r="L465" s="1218" t="e">
        <f ca="1">K465*$H465</f>
        <v>#VALUE!</v>
      </c>
      <c r="M465" s="1219" t="e">
        <f ca="1">IF(AND(INDEX(FlowCalConstA,MATCH(J464,FlowCalNumber,0),1,1)*L465^INDEX(FlowCalConstB,MATCH(J464,FlowCalNumber,0),1,1)&gt;INDEX(FlowCalLowSetting,MATCH(J464,FlowCalNumber,0),1,1), (INDEX(FlowCalConstA,MATCH(J464,FlowCalNumber,0),1,1)*L465^INDEX(FlowCalConstB,MATCH(J464,FlowCalNumber,0),1,1)&lt;INDEX(FlowCalHighSetting,MATCH(J464,FlowCalNumber,0),1,1))),INDEX(FlowCalConstA,MATCH(J464,FlowCalNumber,0),1,1)*L465^INDEX(FlowCalConstB,MATCH(J464,FlowCalNumber,0),1,1)," ")</f>
        <v>#N/A</v>
      </c>
      <c r="N465" s="1224"/>
      <c r="O465" s="1221">
        <f>O$17/100</f>
        <v>1</v>
      </c>
      <c r="P465" s="1218" t="e">
        <f ca="1">O465*$H465</f>
        <v>#VALUE!</v>
      </c>
      <c r="Q465" s="1219" t="e">
        <f ca="1">IF(AND(INDEX(FlowCalConstA,MATCH(N464,FlowCalNumber,0),1,1)*P465^INDEX(FlowCalConstB,MATCH(N464,FlowCalNumber,0),1,1)&gt;INDEX(FlowCalLowSetting,MATCH(N464,FlowCalNumber,0),1,1), (INDEX(FlowCalConstA,MATCH(N464,FlowCalNumber,0),1,1)*P465^INDEX(FlowCalConstB,MATCH(N464,FlowCalNumber,0),1,1)&lt;INDEX(FlowCalHighSetting,MATCH(N464,FlowCalNumber,0),1,1))),INDEX(FlowCalConstA,MATCH(N464,FlowCalNumber,0),1,1)*P465^INDEX(FlowCalConstB,MATCH(N464,FlowCalNumber,0),1,1)," ")</f>
        <v>#N/A</v>
      </c>
      <c r="R465" s="1224"/>
      <c r="S465" s="1221">
        <f>S$17/100</f>
        <v>1</v>
      </c>
      <c r="T465" s="1218" t="e">
        <f ca="1">S465*$H465</f>
        <v>#VALUE!</v>
      </c>
      <c r="U465" s="1219" t="e">
        <f ca="1">IF(AND(INDEX(FlowCalConstA,MATCH(R464,FlowCalNumber,0),1,1)*T465^INDEX(FlowCalConstB,MATCH(R464,FlowCalNumber,0),1,1)&gt;INDEX(FlowCalLowSetting,MATCH(R464,FlowCalNumber,0),1,1), (INDEX(FlowCalConstA,MATCH(R464,FlowCalNumber,0),1,1)*T465^INDEX(FlowCalConstB,MATCH(R464,FlowCalNumber,0),1,1)&lt;INDEX(FlowCalHighSetting,MATCH(R464,FlowCalNumber,0),1,1))),INDEX(FlowCalConstA,MATCH(R464,FlowCalNumber,0),1,1)*T465^INDEX(FlowCalConstB,MATCH(R464,FlowCalNumber,0),1,1)," ")</f>
        <v>#N/A</v>
      </c>
      <c r="V465" s="1224"/>
      <c r="W465" s="1221"/>
      <c r="X465" s="1218"/>
      <c r="Y465" s="1219"/>
      <c r="Z465" s="1224"/>
      <c r="AA465" s="1221"/>
      <c r="AB465" s="1218"/>
      <c r="AC465" s="1219"/>
      <c r="AD465" s="1224"/>
      <c r="AE465" s="1221"/>
      <c r="AF465" s="1218"/>
      <c r="AG465" s="1219"/>
      <c r="AH465" s="1224"/>
      <c r="AI465" s="1221"/>
      <c r="AJ465" s="1218"/>
      <c r="AK465" s="1220"/>
      <c r="AL465" s="1219"/>
      <c r="AM465" s="1219"/>
      <c r="AN465" s="1219"/>
      <c r="AO465" s="1219"/>
      <c r="AP465" s="1219"/>
      <c r="AQ465" s="1219"/>
      <c r="AR465" s="1219"/>
      <c r="AS465" s="1219"/>
      <c r="AT465" s="1219"/>
      <c r="AU465" s="1219"/>
      <c r="AV465" s="1219"/>
      <c r="AW465" s="1219"/>
      <c r="AX465" s="1219"/>
      <c r="AY465" s="1219"/>
      <c r="AZ465" s="1219"/>
      <c r="BA465" s="1219"/>
      <c r="BB465" s="1219"/>
      <c r="BC465" s="1219"/>
      <c r="BD465" s="1219"/>
      <c r="BE465" s="1219"/>
      <c r="BF465" s="1219"/>
      <c r="BG465" s="1219"/>
      <c r="BH465" s="1219"/>
      <c r="BI465" s="1219"/>
      <c r="BJ465" s="1219"/>
      <c r="BK465" s="1219"/>
      <c r="BL465" s="1219"/>
      <c r="BM465" s="1219"/>
      <c r="BN465" s="1219"/>
      <c r="BO465" s="1219"/>
      <c r="BP465" s="1219"/>
      <c r="BQ465" s="1219"/>
      <c r="BR465" s="1219"/>
      <c r="BS465" s="1219"/>
      <c r="BU465" s="1225"/>
      <c r="BW465" s="1219"/>
      <c r="BY465" s="1225"/>
      <c r="CA465" s="1219"/>
      <c r="CC465" s="1225"/>
      <c r="CE465" s="1219"/>
      <c r="CG465" s="1221"/>
      <c r="CI465" s="1219"/>
    </row>
    <row r="466" spans="1:87">
      <c r="A466" s="20"/>
      <c r="B466" s="124" t="str">
        <f t="shared" si="216"/>
        <v/>
      </c>
      <c r="C466" s="235"/>
      <c r="D466" s="24">
        <f>'1% Wind'!$M$83</f>
        <v>23.5</v>
      </c>
      <c r="E466" s="90"/>
      <c r="F466" s="90"/>
      <c r="G466" s="79">
        <f ca="1">IF(I464=0.9743,$G465,MAX(G465/D465*D466,2))</f>
        <v>2</v>
      </c>
      <c r="H466" s="121" t="e">
        <f t="shared" ca="1" si="217"/>
        <v>#VALUE!</v>
      </c>
      <c r="J466" s="33"/>
      <c r="K466" s="242">
        <f t="shared" ref="K466:K479" si="218">K465</f>
        <v>1</v>
      </c>
      <c r="L466" s="241" t="e">
        <f t="shared" ref="L466:L479" ca="1" si="219">K466*$H466</f>
        <v>#VALUE!</v>
      </c>
      <c r="M466" s="243" t="e">
        <f ca="1">IF(AND(INDEX(FlowCalConstA,MATCH(J464,FlowCalNumber,0),1,1)*L466^INDEX(FlowCalConstB,MATCH(J464,FlowCalNumber,0),1,1)&gt;INDEX(FlowCalLowSetting,MATCH(J464,FlowCalNumber,0),1,1), (INDEX(FlowCalConstA,MATCH(J464,FlowCalNumber,0),1,1)*L466^INDEX(FlowCalConstB,MATCH(J464,FlowCalNumber,0),1,1)&lt;INDEX(FlowCalHighSetting,MATCH(J464,FlowCalNumber,0),1,1))),INDEX(FlowCalConstA,MATCH(J464,FlowCalNumber,0),1,1)*L466^INDEX(FlowCalConstB,MATCH(J464,FlowCalNumber,0),1,1)," ")</f>
        <v>#N/A</v>
      </c>
      <c r="N466" s="33"/>
      <c r="O466" s="242">
        <f t="shared" ref="O466:O479" si="220">O465</f>
        <v>1</v>
      </c>
      <c r="P466" s="241" t="e">
        <f t="shared" ref="P466:P479" ca="1" si="221">O466*$H466</f>
        <v>#VALUE!</v>
      </c>
      <c r="Q466" s="243" t="e">
        <f ca="1">IF(AND(INDEX(FlowCalConstA,MATCH(N464,FlowCalNumber,0),1,1)*P466^INDEX(FlowCalConstB,MATCH(N464,FlowCalNumber,0),1,1)&gt;INDEX(FlowCalLowSetting,MATCH(N464,FlowCalNumber,0),1,1), (INDEX(FlowCalConstA,MATCH(N464,FlowCalNumber,0),1,1)*P466^INDEX(FlowCalConstB,MATCH(N464,FlowCalNumber,0),1,1)&lt;INDEX(FlowCalHighSetting,MATCH(N464,FlowCalNumber,0),1,1))),INDEX(FlowCalConstA,MATCH(N464,FlowCalNumber,0),1,1)*P466^INDEX(FlowCalConstB,MATCH(N464,FlowCalNumber,0),1,1)," ")</f>
        <v>#N/A</v>
      </c>
      <c r="R466" s="33"/>
      <c r="S466" s="242">
        <f t="shared" ref="S466:S479" si="222">S465</f>
        <v>1</v>
      </c>
      <c r="T466" s="241" t="e">
        <f t="shared" ref="T466:T479" ca="1" si="223">S466*$H466</f>
        <v>#VALUE!</v>
      </c>
      <c r="U466" s="243" t="e">
        <f ca="1">IF(AND(INDEX(FlowCalConstA,MATCH(R464,FlowCalNumber,0),1,1)*T466^INDEX(FlowCalConstB,MATCH(R464,FlowCalNumber,0),1,1)&gt;INDEX(FlowCalLowSetting,MATCH(R464,FlowCalNumber,0),1,1), (INDEX(FlowCalConstA,MATCH(R464,FlowCalNumber,0),1,1)*T466^INDEX(FlowCalConstB,MATCH(R464,FlowCalNumber,0),1,1)&lt;INDEX(FlowCalHighSetting,MATCH(R464,FlowCalNumber,0),1,1))),INDEX(FlowCalConstA,MATCH(R464,FlowCalNumber,0),1,1)*T466^INDEX(FlowCalConstB,MATCH(R464,FlowCalNumber,0),1,1)," ")</f>
        <v>#N/A</v>
      </c>
      <c r="V466" s="33"/>
      <c r="W466" s="242"/>
      <c r="X466" s="241"/>
      <c r="Y466" s="243"/>
      <c r="Z466" s="33"/>
      <c r="AA466" s="242"/>
      <c r="AB466" s="241"/>
      <c r="AC466" s="243"/>
      <c r="AD466" s="33"/>
      <c r="AE466" s="242"/>
      <c r="AF466" s="241"/>
      <c r="AG466" s="243"/>
      <c r="AH466" s="33"/>
      <c r="AI466" s="242"/>
      <c r="AJ466" s="241"/>
      <c r="AK466" s="244"/>
      <c r="AL466" s="243"/>
      <c r="AM466" s="243"/>
      <c r="AN466" s="243"/>
      <c r="AO466" s="243"/>
      <c r="AP466" s="243"/>
      <c r="AQ466" s="243"/>
      <c r="AR466" s="243"/>
      <c r="AS466" s="243"/>
      <c r="AT466" s="243"/>
      <c r="AU466" s="243"/>
      <c r="AV466" s="243"/>
      <c r="AW466" s="243"/>
      <c r="AX466" s="243"/>
      <c r="AY466" s="243"/>
      <c r="AZ466" s="243"/>
      <c r="BA466" s="243"/>
      <c r="BB466" s="243"/>
      <c r="BC466" s="243"/>
      <c r="BD466" s="243"/>
      <c r="BE466" s="243"/>
      <c r="BF466" s="243"/>
      <c r="BG466" s="243"/>
      <c r="BH466" s="243"/>
      <c r="BI466" s="243"/>
      <c r="BJ466" s="243"/>
      <c r="BK466" s="243"/>
      <c r="BL466" s="243"/>
      <c r="BM466" s="243"/>
      <c r="BN466" s="243"/>
      <c r="BO466" s="243"/>
      <c r="BP466" s="243"/>
      <c r="BQ466" s="243"/>
      <c r="BR466" s="243"/>
      <c r="BS466" s="243"/>
      <c r="BU466" s="242"/>
      <c r="BW466" s="243"/>
      <c r="BY466" s="242"/>
      <c r="CA466" s="243"/>
      <c r="CC466" s="242"/>
      <c r="CE466" s="243"/>
      <c r="CG466" s="242"/>
      <c r="CI466" s="243"/>
    </row>
    <row r="467" spans="1:87" s="1215" customFormat="1">
      <c r="A467" s="1222"/>
      <c r="B467" s="1223" t="str">
        <f t="shared" si="216"/>
        <v/>
      </c>
      <c r="C467" s="1210"/>
      <c r="D467" s="1211">
        <f>'1% Wind'!$M$84</f>
        <v>20.5</v>
      </c>
      <c r="E467" s="1212"/>
      <c r="F467" s="1212"/>
      <c r="G467" s="1213">
        <f ca="1">IF(I464=0.9743,$G466,MAX(G466/D466*D467,2))</f>
        <v>2</v>
      </c>
      <c r="H467" s="1214" t="e">
        <f t="shared" ca="1" si="217"/>
        <v>#VALUE!</v>
      </c>
      <c r="J467" s="1224"/>
      <c r="K467" s="1217">
        <f t="shared" si="218"/>
        <v>1</v>
      </c>
      <c r="L467" s="1218" t="e">
        <f t="shared" ca="1" si="219"/>
        <v>#VALUE!</v>
      </c>
      <c r="M467" s="1219" t="e">
        <f ca="1">IF(AND(INDEX(FlowCalConstA,MATCH(J464,FlowCalNumber,0),1,1)*L467^INDEX(FlowCalConstB,MATCH(J464,FlowCalNumber,0),1,1)&gt;INDEX(FlowCalLowSetting,MATCH(J464,FlowCalNumber,0),1,1), (INDEX(FlowCalConstA,MATCH(J464,FlowCalNumber,0),1,1)*L467^INDEX(FlowCalConstB,MATCH(J464,FlowCalNumber,0),1,1)&lt;INDEX(FlowCalHighSetting,MATCH(J464,FlowCalNumber,0),1,1))),INDEX(FlowCalConstA,MATCH(J464,FlowCalNumber,0),1,1)*L467^INDEX(FlowCalConstB,MATCH(J464,FlowCalNumber,0),1,1)," ")</f>
        <v>#N/A</v>
      </c>
      <c r="N467" s="1224"/>
      <c r="O467" s="1217">
        <f t="shared" si="220"/>
        <v>1</v>
      </c>
      <c r="P467" s="1218" t="e">
        <f t="shared" ca="1" si="221"/>
        <v>#VALUE!</v>
      </c>
      <c r="Q467" s="1219" t="e">
        <f ca="1">IF(AND(INDEX(FlowCalConstA,MATCH(N464,FlowCalNumber,0),1,1)*P467^INDEX(FlowCalConstB,MATCH(N464,FlowCalNumber,0),1,1)&gt;INDEX(FlowCalLowSetting,MATCH(N464,FlowCalNumber,0),1,1), (INDEX(FlowCalConstA,MATCH(N464,FlowCalNumber,0),1,1)*P467^INDEX(FlowCalConstB,MATCH(N464,FlowCalNumber,0),1,1)&lt;INDEX(FlowCalHighSetting,MATCH(N464,FlowCalNumber,0),1,1))),INDEX(FlowCalConstA,MATCH(N464,FlowCalNumber,0),1,1)*P467^INDEX(FlowCalConstB,MATCH(N464,FlowCalNumber,0),1,1)," ")</f>
        <v>#N/A</v>
      </c>
      <c r="R467" s="1224"/>
      <c r="S467" s="1217">
        <f t="shared" si="222"/>
        <v>1</v>
      </c>
      <c r="T467" s="1218" t="e">
        <f t="shared" ca="1" si="223"/>
        <v>#VALUE!</v>
      </c>
      <c r="U467" s="1219" t="e">
        <f ca="1">IF(AND(INDEX(FlowCalConstA,MATCH(R464,FlowCalNumber,0),1,1)*T467^INDEX(FlowCalConstB,MATCH(R464,FlowCalNumber,0),1,1)&gt;INDEX(FlowCalLowSetting,MATCH(R464,FlowCalNumber,0),1,1), (INDEX(FlowCalConstA,MATCH(R464,FlowCalNumber,0),1,1)*T467^INDEX(FlowCalConstB,MATCH(R464,FlowCalNumber,0),1,1)&lt;INDEX(FlowCalHighSetting,MATCH(R464,FlowCalNumber,0),1,1))),INDEX(FlowCalConstA,MATCH(R464,FlowCalNumber,0),1,1)*T467^INDEX(FlowCalConstB,MATCH(R464,FlowCalNumber,0),1,1)," ")</f>
        <v>#N/A</v>
      </c>
      <c r="V467" s="1224"/>
      <c r="W467" s="1217"/>
      <c r="X467" s="1218"/>
      <c r="Y467" s="1219"/>
      <c r="Z467" s="1224"/>
      <c r="AA467" s="1217"/>
      <c r="AB467" s="1218"/>
      <c r="AC467" s="1219"/>
      <c r="AD467" s="1224"/>
      <c r="AE467" s="1217"/>
      <c r="AF467" s="1218"/>
      <c r="AG467" s="1219"/>
      <c r="AH467" s="1224"/>
      <c r="AI467" s="1217"/>
      <c r="AJ467" s="1218"/>
      <c r="AK467" s="1220"/>
      <c r="AL467" s="1219"/>
      <c r="AM467" s="1219"/>
      <c r="AN467" s="1219"/>
      <c r="AO467" s="1219"/>
      <c r="AP467" s="1219"/>
      <c r="AQ467" s="1219"/>
      <c r="AR467" s="1219"/>
      <c r="AS467" s="1219"/>
      <c r="AT467" s="1219"/>
      <c r="AU467" s="1219"/>
      <c r="AV467" s="1219"/>
      <c r="AW467" s="1219"/>
      <c r="AX467" s="1219"/>
      <c r="AY467" s="1219"/>
      <c r="AZ467" s="1219"/>
      <c r="BA467" s="1219"/>
      <c r="BB467" s="1219"/>
      <c r="BC467" s="1219"/>
      <c r="BD467" s="1219"/>
      <c r="BE467" s="1219"/>
      <c r="BF467" s="1219"/>
      <c r="BG467" s="1219"/>
      <c r="BH467" s="1219"/>
      <c r="BI467" s="1219"/>
      <c r="BJ467" s="1219"/>
      <c r="BK467" s="1219"/>
      <c r="BL467" s="1219"/>
      <c r="BM467" s="1219"/>
      <c r="BN467" s="1219"/>
      <c r="BO467" s="1219"/>
      <c r="BP467" s="1219"/>
      <c r="BQ467" s="1219"/>
      <c r="BR467" s="1219"/>
      <c r="BS467" s="1219"/>
      <c r="BU467" s="1217"/>
      <c r="BW467" s="1219"/>
      <c r="BY467" s="1217"/>
      <c r="CA467" s="1219"/>
      <c r="CC467" s="1217"/>
      <c r="CE467" s="1219"/>
      <c r="CG467" s="1217"/>
      <c r="CI467" s="1219"/>
    </row>
    <row r="468" spans="1:87">
      <c r="A468" s="20"/>
      <c r="B468" s="124" t="str">
        <f t="shared" si="216"/>
        <v/>
      </c>
      <c r="C468" s="235"/>
      <c r="D468" s="24">
        <f>'1% Wind'!$M$85</f>
        <v>17.8</v>
      </c>
      <c r="E468" s="90"/>
      <c r="F468" s="90"/>
      <c r="G468" s="79">
        <f ca="1">IF(I464=0.9743,$G467,MAX(G467/D467*D468,2))</f>
        <v>2</v>
      </c>
      <c r="H468" s="121" t="e">
        <f t="shared" ca="1" si="217"/>
        <v>#VALUE!</v>
      </c>
      <c r="J468" s="33"/>
      <c r="K468" s="242">
        <f t="shared" si="218"/>
        <v>1</v>
      </c>
      <c r="L468" s="241" t="e">
        <f t="shared" ca="1" si="219"/>
        <v>#VALUE!</v>
      </c>
      <c r="M468" s="243" t="e">
        <f ca="1">IF(AND(INDEX(FlowCalConstA,MATCH(J464,FlowCalNumber,0),1,1)*L468^INDEX(FlowCalConstB,MATCH(J464,FlowCalNumber,0),1,1)&gt;INDEX(FlowCalLowSetting,MATCH(J464,FlowCalNumber,0),1,1), (INDEX(FlowCalConstA,MATCH(J464,FlowCalNumber,0),1,1)*L468^INDEX(FlowCalConstB,MATCH(J464,FlowCalNumber,0),1,1)&lt;INDEX(FlowCalHighSetting,MATCH(J464,FlowCalNumber,0),1,1))),INDEX(FlowCalConstA,MATCH(J464,FlowCalNumber,0),1,1)*L468^INDEX(FlowCalConstB,MATCH(J464,FlowCalNumber,0),1,1)," ")</f>
        <v>#N/A</v>
      </c>
      <c r="N468" s="33"/>
      <c r="O468" s="242">
        <f t="shared" si="220"/>
        <v>1</v>
      </c>
      <c r="P468" s="241" t="e">
        <f t="shared" ca="1" si="221"/>
        <v>#VALUE!</v>
      </c>
      <c r="Q468" s="243" t="e">
        <f ca="1">IF(AND(INDEX(FlowCalConstA,MATCH(N464,FlowCalNumber,0),1,1)*P468^INDEX(FlowCalConstB,MATCH(N464,FlowCalNumber,0),1,1)&gt;INDEX(FlowCalLowSetting,MATCH(N464,FlowCalNumber,0),1,1), (INDEX(FlowCalConstA,MATCH(N464,FlowCalNumber,0),1,1)*P468^INDEX(FlowCalConstB,MATCH(N464,FlowCalNumber,0),1,1)&lt;INDEX(FlowCalHighSetting,MATCH(N464,FlowCalNumber,0),1,1))),INDEX(FlowCalConstA,MATCH(N464,FlowCalNumber,0),1,1)*P468^INDEX(FlowCalConstB,MATCH(N464,FlowCalNumber,0),1,1)," ")</f>
        <v>#N/A</v>
      </c>
      <c r="R468" s="33"/>
      <c r="S468" s="242">
        <f t="shared" si="222"/>
        <v>1</v>
      </c>
      <c r="T468" s="241" t="e">
        <f t="shared" ca="1" si="223"/>
        <v>#VALUE!</v>
      </c>
      <c r="U468" s="243" t="e">
        <f ca="1">IF(AND(INDEX(FlowCalConstA,MATCH(R464,FlowCalNumber,0),1,1)*T468^INDEX(FlowCalConstB,MATCH(R464,FlowCalNumber,0),1,1)&gt;INDEX(FlowCalLowSetting,MATCH(R464,FlowCalNumber,0),1,1), (INDEX(FlowCalConstA,MATCH(R464,FlowCalNumber,0),1,1)*T468^INDEX(FlowCalConstB,MATCH(R464,FlowCalNumber,0),1,1)&lt;INDEX(FlowCalHighSetting,MATCH(R464,FlowCalNumber,0),1,1))),INDEX(FlowCalConstA,MATCH(R464,FlowCalNumber,0),1,1)*T468^INDEX(FlowCalConstB,MATCH(R464,FlowCalNumber,0),1,1)," ")</f>
        <v>#N/A</v>
      </c>
      <c r="V468" s="33"/>
      <c r="W468" s="242"/>
      <c r="X468" s="241"/>
      <c r="Y468" s="243"/>
      <c r="Z468" s="33"/>
      <c r="AA468" s="242"/>
      <c r="AB468" s="241"/>
      <c r="AC468" s="243"/>
      <c r="AD468" s="33"/>
      <c r="AE468" s="242"/>
      <c r="AF468" s="241"/>
      <c r="AG468" s="243"/>
      <c r="AH468" s="33"/>
      <c r="AI468" s="242"/>
      <c r="AJ468" s="241"/>
      <c r="AK468" s="244"/>
      <c r="AL468" s="243"/>
      <c r="AM468" s="243"/>
      <c r="AN468" s="243"/>
      <c r="AO468" s="243"/>
      <c r="AP468" s="243"/>
      <c r="AQ468" s="243"/>
      <c r="AR468" s="243"/>
      <c r="AS468" s="243"/>
      <c r="AT468" s="243"/>
      <c r="AU468" s="243"/>
      <c r="AV468" s="243"/>
      <c r="AW468" s="243"/>
      <c r="AX468" s="243"/>
      <c r="AY468" s="243"/>
      <c r="AZ468" s="243"/>
      <c r="BA468" s="243"/>
      <c r="BB468" s="243"/>
      <c r="BC468" s="243"/>
      <c r="BD468" s="243"/>
      <c r="BE468" s="243"/>
      <c r="BF468" s="243"/>
      <c r="BG468" s="243"/>
      <c r="BH468" s="243"/>
      <c r="BI468" s="243"/>
      <c r="BJ468" s="243"/>
      <c r="BK468" s="243"/>
      <c r="BL468" s="243"/>
      <c r="BM468" s="243"/>
      <c r="BN468" s="243"/>
      <c r="BO468" s="243"/>
      <c r="BP468" s="243"/>
      <c r="BQ468" s="243"/>
      <c r="BR468" s="243"/>
      <c r="BS468" s="243"/>
      <c r="BU468" s="242"/>
      <c r="BW468" s="243"/>
      <c r="BY468" s="242"/>
      <c r="CA468" s="243"/>
      <c r="CC468" s="242"/>
      <c r="CE468" s="243"/>
      <c r="CG468" s="242"/>
      <c r="CI468" s="243"/>
    </row>
    <row r="469" spans="1:87" s="1215" customFormat="1">
      <c r="A469" s="1222"/>
      <c r="B469" s="1223" t="str">
        <f t="shared" si="216"/>
        <v/>
      </c>
      <c r="C469" s="1210"/>
      <c r="D469" s="1211">
        <f>'1% Wind'!$M$86</f>
        <v>15.5</v>
      </c>
      <c r="E469" s="1212"/>
      <c r="F469" s="1212"/>
      <c r="G469" s="1213">
        <f ca="1">IF(I464=0.9743,$G468,MAX(G468/D468*D469,2))</f>
        <v>2</v>
      </c>
      <c r="H469" s="1214" t="e">
        <f t="shared" ca="1" si="217"/>
        <v>#VALUE!</v>
      </c>
      <c r="J469" s="1224"/>
      <c r="K469" s="1217">
        <f t="shared" si="218"/>
        <v>1</v>
      </c>
      <c r="L469" s="1218" t="e">
        <f t="shared" ca="1" si="219"/>
        <v>#VALUE!</v>
      </c>
      <c r="M469" s="1219" t="e">
        <f ca="1">IF(AND(INDEX(FlowCalConstA,MATCH(J464,FlowCalNumber,0),1,1)*L469^INDEX(FlowCalConstB,MATCH(J464,FlowCalNumber,0),1,1)&gt;INDEX(FlowCalLowSetting,MATCH(J464,FlowCalNumber,0),1,1), (INDEX(FlowCalConstA,MATCH(J464,FlowCalNumber,0),1,1)*L469^INDEX(FlowCalConstB,MATCH(J464,FlowCalNumber,0),1,1)&lt;INDEX(FlowCalHighSetting,MATCH(J464,FlowCalNumber,0),1,1))),INDEX(FlowCalConstA,MATCH(J464,FlowCalNumber,0),1,1)*L469^INDEX(FlowCalConstB,MATCH(J464,FlowCalNumber,0),1,1)," ")</f>
        <v>#N/A</v>
      </c>
      <c r="N469" s="1224"/>
      <c r="O469" s="1217">
        <f t="shared" si="220"/>
        <v>1</v>
      </c>
      <c r="P469" s="1218" t="e">
        <f t="shared" ca="1" si="221"/>
        <v>#VALUE!</v>
      </c>
      <c r="Q469" s="1219" t="e">
        <f ca="1">IF(AND(INDEX(FlowCalConstA,MATCH(N464,FlowCalNumber,0),1,1)*P469^INDEX(FlowCalConstB,MATCH(N464,FlowCalNumber,0),1,1)&gt;INDEX(FlowCalLowSetting,MATCH(N464,FlowCalNumber,0),1,1), (INDEX(FlowCalConstA,MATCH(N464,FlowCalNumber,0),1,1)*P469^INDEX(FlowCalConstB,MATCH(N464,FlowCalNumber,0),1,1)&lt;INDEX(FlowCalHighSetting,MATCH(N464,FlowCalNumber,0),1,1))),INDEX(FlowCalConstA,MATCH(N464,FlowCalNumber,0),1,1)*P469^INDEX(FlowCalConstB,MATCH(N464,FlowCalNumber,0),1,1)," ")</f>
        <v>#N/A</v>
      </c>
      <c r="R469" s="1224"/>
      <c r="S469" s="1217">
        <f t="shared" si="222"/>
        <v>1</v>
      </c>
      <c r="T469" s="1218" t="e">
        <f t="shared" ca="1" si="223"/>
        <v>#VALUE!</v>
      </c>
      <c r="U469" s="1219" t="e">
        <f ca="1">IF(AND(INDEX(FlowCalConstA,MATCH(R464,FlowCalNumber,0),1,1)*T469^INDEX(FlowCalConstB,MATCH(R464,FlowCalNumber,0),1,1)&gt;INDEX(FlowCalLowSetting,MATCH(R464,FlowCalNumber,0),1,1), (INDEX(FlowCalConstA,MATCH(R464,FlowCalNumber,0),1,1)*T469^INDEX(FlowCalConstB,MATCH(R464,FlowCalNumber,0),1,1)&lt;INDEX(FlowCalHighSetting,MATCH(R464,FlowCalNumber,0),1,1))),INDEX(FlowCalConstA,MATCH(R464,FlowCalNumber,0),1,1)*T469^INDEX(FlowCalConstB,MATCH(R464,FlowCalNumber,0),1,1)," ")</f>
        <v>#N/A</v>
      </c>
      <c r="V469" s="1224"/>
      <c r="W469" s="1217"/>
      <c r="X469" s="1218"/>
      <c r="Y469" s="1219"/>
      <c r="Z469" s="1224"/>
      <c r="AA469" s="1217"/>
      <c r="AB469" s="1218"/>
      <c r="AC469" s="1219"/>
      <c r="AD469" s="1224"/>
      <c r="AE469" s="1217"/>
      <c r="AF469" s="1218"/>
      <c r="AG469" s="1219"/>
      <c r="AH469" s="1224"/>
      <c r="AI469" s="1217"/>
      <c r="AJ469" s="1218"/>
      <c r="AK469" s="1220"/>
      <c r="AL469" s="1219"/>
      <c r="AM469" s="1219"/>
      <c r="AN469" s="1219"/>
      <c r="AO469" s="1219"/>
      <c r="AP469" s="1219"/>
      <c r="AQ469" s="1219"/>
      <c r="AR469" s="1219"/>
      <c r="AS469" s="1219"/>
      <c r="AT469" s="1219"/>
      <c r="AU469" s="1219"/>
      <c r="AV469" s="1219"/>
      <c r="AW469" s="1219"/>
      <c r="AX469" s="1219"/>
      <c r="AY469" s="1219"/>
      <c r="AZ469" s="1219"/>
      <c r="BA469" s="1219"/>
      <c r="BB469" s="1219"/>
      <c r="BC469" s="1219"/>
      <c r="BD469" s="1219"/>
      <c r="BE469" s="1219"/>
      <c r="BF469" s="1219"/>
      <c r="BG469" s="1219"/>
      <c r="BH469" s="1219"/>
      <c r="BI469" s="1219"/>
      <c r="BJ469" s="1219"/>
      <c r="BK469" s="1219"/>
      <c r="BL469" s="1219"/>
      <c r="BM469" s="1219"/>
      <c r="BN469" s="1219"/>
      <c r="BO469" s="1219"/>
      <c r="BP469" s="1219"/>
      <c r="BQ469" s="1219"/>
      <c r="BR469" s="1219"/>
      <c r="BS469" s="1219"/>
      <c r="BU469" s="1217"/>
      <c r="BW469" s="1219"/>
      <c r="BY469" s="1217"/>
      <c r="CA469" s="1219"/>
      <c r="CC469" s="1217"/>
      <c r="CE469" s="1219"/>
      <c r="CG469" s="1217"/>
      <c r="CI469" s="1219"/>
    </row>
    <row r="470" spans="1:87">
      <c r="A470" s="20"/>
      <c r="B470" s="124" t="str">
        <f t="shared" si="216"/>
        <v/>
      </c>
      <c r="C470" s="235"/>
      <c r="D470" s="24">
        <f>'1% Wind'!$M$87</f>
        <v>13.5</v>
      </c>
      <c r="E470" s="90"/>
      <c r="F470" s="90"/>
      <c r="G470" s="79">
        <f ca="1">IF(I464=0.9743,$G469,MAX(G469/D469*D470,2))</f>
        <v>2</v>
      </c>
      <c r="H470" s="121" t="e">
        <f t="shared" ca="1" si="217"/>
        <v>#VALUE!</v>
      </c>
      <c r="J470" s="33"/>
      <c r="K470" s="242">
        <f t="shared" si="218"/>
        <v>1</v>
      </c>
      <c r="L470" s="241" t="e">
        <f t="shared" ca="1" si="219"/>
        <v>#VALUE!</v>
      </c>
      <c r="M470" s="243" t="e">
        <f ca="1">IF(AND(INDEX(FlowCalConstA,MATCH(J464,FlowCalNumber,0),1,1)*L470^INDEX(FlowCalConstB,MATCH(J464,FlowCalNumber,0),1,1)&gt;INDEX(FlowCalLowSetting,MATCH(J464,FlowCalNumber,0),1,1), (INDEX(FlowCalConstA,MATCH(J464,FlowCalNumber,0),1,1)*L470^INDEX(FlowCalConstB,MATCH(J464,FlowCalNumber,0),1,1)&lt;INDEX(FlowCalHighSetting,MATCH(J464,FlowCalNumber,0),1,1))),INDEX(FlowCalConstA,MATCH(J464,FlowCalNumber,0),1,1)*L470^INDEX(FlowCalConstB,MATCH(J464,FlowCalNumber,0),1,1)," ")</f>
        <v>#N/A</v>
      </c>
      <c r="N470" s="33"/>
      <c r="O470" s="242">
        <f t="shared" si="220"/>
        <v>1</v>
      </c>
      <c r="P470" s="241" t="e">
        <f t="shared" ca="1" si="221"/>
        <v>#VALUE!</v>
      </c>
      <c r="Q470" s="243" t="e">
        <f ca="1">IF(AND(INDEX(FlowCalConstA,MATCH(N464,FlowCalNumber,0),1,1)*P470^INDEX(FlowCalConstB,MATCH(N464,FlowCalNumber,0),1,1)&gt;INDEX(FlowCalLowSetting,MATCH(N464,FlowCalNumber,0),1,1), (INDEX(FlowCalConstA,MATCH(N464,FlowCalNumber,0),1,1)*P470^INDEX(FlowCalConstB,MATCH(N464,FlowCalNumber,0),1,1)&lt;INDEX(FlowCalHighSetting,MATCH(N464,FlowCalNumber,0),1,1))),INDEX(FlowCalConstA,MATCH(N464,FlowCalNumber,0),1,1)*P470^INDEX(FlowCalConstB,MATCH(N464,FlowCalNumber,0),1,1)," ")</f>
        <v>#N/A</v>
      </c>
      <c r="R470" s="33"/>
      <c r="S470" s="242">
        <f t="shared" si="222"/>
        <v>1</v>
      </c>
      <c r="T470" s="241" t="e">
        <f t="shared" ca="1" si="223"/>
        <v>#VALUE!</v>
      </c>
      <c r="U470" s="243" t="e">
        <f ca="1">IF(AND(INDEX(FlowCalConstA,MATCH(R464,FlowCalNumber,0),1,1)*T470^INDEX(FlowCalConstB,MATCH(R464,FlowCalNumber,0),1,1)&gt;INDEX(FlowCalLowSetting,MATCH(R464,FlowCalNumber,0),1,1), (INDEX(FlowCalConstA,MATCH(R464,FlowCalNumber,0),1,1)*T470^INDEX(FlowCalConstB,MATCH(R464,FlowCalNumber,0),1,1)&lt;INDEX(FlowCalHighSetting,MATCH(R464,FlowCalNumber,0),1,1))),INDEX(FlowCalConstA,MATCH(R464,FlowCalNumber,0),1,1)*T470^INDEX(FlowCalConstB,MATCH(R464,FlowCalNumber,0),1,1)," ")</f>
        <v>#N/A</v>
      </c>
      <c r="V470" s="33"/>
      <c r="W470" s="242"/>
      <c r="X470" s="241"/>
      <c r="Y470" s="243"/>
      <c r="Z470" s="33"/>
      <c r="AA470" s="242"/>
      <c r="AB470" s="241"/>
      <c r="AC470" s="243"/>
      <c r="AD470" s="33"/>
      <c r="AE470" s="242"/>
      <c r="AF470" s="241"/>
      <c r="AG470" s="243"/>
      <c r="AH470" s="33"/>
      <c r="AI470" s="242"/>
      <c r="AJ470" s="241"/>
      <c r="AK470" s="244"/>
      <c r="AL470" s="243"/>
      <c r="AM470" s="243"/>
      <c r="AN470" s="243"/>
      <c r="AO470" s="243"/>
      <c r="AP470" s="243"/>
      <c r="AQ470" s="243"/>
      <c r="AR470" s="243"/>
      <c r="AS470" s="243"/>
      <c r="AT470" s="243"/>
      <c r="AU470" s="243"/>
      <c r="AV470" s="243"/>
      <c r="AW470" s="243"/>
      <c r="AX470" s="243"/>
      <c r="AY470" s="243"/>
      <c r="AZ470" s="243"/>
      <c r="BA470" s="243"/>
      <c r="BB470" s="243"/>
      <c r="BC470" s="243"/>
      <c r="BD470" s="243"/>
      <c r="BE470" s="243"/>
      <c r="BF470" s="243"/>
      <c r="BG470" s="243"/>
      <c r="BH470" s="243"/>
      <c r="BI470" s="243"/>
      <c r="BJ470" s="243"/>
      <c r="BK470" s="243"/>
      <c r="BL470" s="243"/>
      <c r="BM470" s="243"/>
      <c r="BN470" s="243"/>
      <c r="BO470" s="243"/>
      <c r="BP470" s="243"/>
      <c r="BQ470" s="243"/>
      <c r="BR470" s="243"/>
      <c r="BS470" s="243"/>
      <c r="BU470" s="242"/>
      <c r="BW470" s="243"/>
      <c r="BY470" s="242"/>
      <c r="CA470" s="243"/>
      <c r="CC470" s="242"/>
      <c r="CE470" s="243"/>
      <c r="CG470" s="242"/>
      <c r="CI470" s="243"/>
    </row>
    <row r="471" spans="1:87" s="1215" customFormat="1">
      <c r="A471" s="1222"/>
      <c r="B471" s="1223" t="str">
        <f t="shared" si="216"/>
        <v/>
      </c>
      <c r="C471" s="1210"/>
      <c r="D471" s="1211">
        <f>'1% Wind'!$M$88</f>
        <v>10.1</v>
      </c>
      <c r="E471" s="1212"/>
      <c r="F471" s="1212"/>
      <c r="G471" s="1213">
        <f ca="1">IF(I464=0.9743,$G470,MAX(G470/D470*D471,2))</f>
        <v>2</v>
      </c>
      <c r="H471" s="1214" t="e">
        <f t="shared" ca="1" si="217"/>
        <v>#VALUE!</v>
      </c>
      <c r="J471" s="1224"/>
      <c r="K471" s="1217">
        <f t="shared" si="218"/>
        <v>1</v>
      </c>
      <c r="L471" s="1218" t="e">
        <f t="shared" ca="1" si="219"/>
        <v>#VALUE!</v>
      </c>
      <c r="M471" s="1219" t="e">
        <f ca="1">IF(AND(INDEX(FlowCalConstA,MATCH(J464,FlowCalNumber,0),1,1)*L471^INDEX(FlowCalConstB,MATCH(J464,FlowCalNumber,0),1,1)&gt;INDEX(FlowCalLowSetting,MATCH(J464,FlowCalNumber,0),1,1), (INDEX(FlowCalConstA,MATCH(J464,FlowCalNumber,0),1,1)*L471^INDEX(FlowCalConstB,MATCH(J464,FlowCalNumber,0),1,1)&lt;INDEX(FlowCalHighSetting,MATCH(J464,FlowCalNumber,0),1,1))),INDEX(FlowCalConstA,MATCH(J464,FlowCalNumber,0),1,1)*L471^INDEX(FlowCalConstB,MATCH(J464,FlowCalNumber,0),1,1)," ")</f>
        <v>#N/A</v>
      </c>
      <c r="N471" s="1224"/>
      <c r="O471" s="1217">
        <f t="shared" si="220"/>
        <v>1</v>
      </c>
      <c r="P471" s="1218" t="e">
        <f t="shared" ca="1" si="221"/>
        <v>#VALUE!</v>
      </c>
      <c r="Q471" s="1219" t="e">
        <f ca="1">IF(AND(INDEX(FlowCalConstA,MATCH(N464,FlowCalNumber,0),1,1)*P471^INDEX(FlowCalConstB,MATCH(N464,FlowCalNumber,0),1,1)&gt;INDEX(FlowCalLowSetting,MATCH(N464,FlowCalNumber,0),1,1), (INDEX(FlowCalConstA,MATCH(N464,FlowCalNumber,0),1,1)*P471^INDEX(FlowCalConstB,MATCH(N464,FlowCalNumber,0),1,1)&lt;INDEX(FlowCalHighSetting,MATCH(N464,FlowCalNumber,0),1,1))),INDEX(FlowCalConstA,MATCH(N464,FlowCalNumber,0),1,1)*P471^INDEX(FlowCalConstB,MATCH(N464,FlowCalNumber,0),1,1)," ")</f>
        <v>#N/A</v>
      </c>
      <c r="R471" s="1224"/>
      <c r="S471" s="1217">
        <f t="shared" si="222"/>
        <v>1</v>
      </c>
      <c r="T471" s="1218" t="e">
        <f t="shared" ca="1" si="223"/>
        <v>#VALUE!</v>
      </c>
      <c r="U471" s="1219" t="e">
        <f ca="1">IF(AND(INDEX(FlowCalConstA,MATCH(R464,FlowCalNumber,0),1,1)*T471^INDEX(FlowCalConstB,MATCH(R464,FlowCalNumber,0),1,1)&gt;INDEX(FlowCalLowSetting,MATCH(R464,FlowCalNumber,0),1,1), (INDEX(FlowCalConstA,MATCH(R464,FlowCalNumber,0),1,1)*T471^INDEX(FlowCalConstB,MATCH(R464,FlowCalNumber,0),1,1)&lt;INDEX(FlowCalHighSetting,MATCH(R464,FlowCalNumber,0),1,1))),INDEX(FlowCalConstA,MATCH(R464,FlowCalNumber,0),1,1)*T471^INDEX(FlowCalConstB,MATCH(R464,FlowCalNumber,0),1,1)," ")</f>
        <v>#N/A</v>
      </c>
      <c r="V471" s="1224"/>
      <c r="W471" s="1217"/>
      <c r="X471" s="1218"/>
      <c r="Y471" s="1219"/>
      <c r="Z471" s="1224"/>
      <c r="AA471" s="1217"/>
      <c r="AB471" s="1218"/>
      <c r="AC471" s="1219"/>
      <c r="AD471" s="1224"/>
      <c r="AE471" s="1217"/>
      <c r="AF471" s="1218"/>
      <c r="AG471" s="1219"/>
      <c r="AH471" s="1224"/>
      <c r="AI471" s="1217"/>
      <c r="AJ471" s="1218"/>
      <c r="AK471" s="1220"/>
      <c r="AL471" s="1219"/>
      <c r="AM471" s="1219"/>
      <c r="AN471" s="1219"/>
      <c r="AO471" s="1219"/>
      <c r="AP471" s="1219"/>
      <c r="AQ471" s="1219"/>
      <c r="AR471" s="1219"/>
      <c r="AS471" s="1219"/>
      <c r="AT471" s="1219"/>
      <c r="AU471" s="1219"/>
      <c r="AV471" s="1219"/>
      <c r="AW471" s="1219"/>
      <c r="AX471" s="1219"/>
      <c r="AY471" s="1219"/>
      <c r="AZ471" s="1219"/>
      <c r="BA471" s="1219"/>
      <c r="BB471" s="1219"/>
      <c r="BC471" s="1219"/>
      <c r="BD471" s="1219"/>
      <c r="BE471" s="1219"/>
      <c r="BF471" s="1219"/>
      <c r="BG471" s="1219"/>
      <c r="BH471" s="1219"/>
      <c r="BI471" s="1219"/>
      <c r="BJ471" s="1219"/>
      <c r="BK471" s="1219"/>
      <c r="BL471" s="1219"/>
      <c r="BM471" s="1219"/>
      <c r="BN471" s="1219"/>
      <c r="BO471" s="1219"/>
      <c r="BP471" s="1219"/>
      <c r="BQ471" s="1219"/>
      <c r="BR471" s="1219"/>
      <c r="BS471" s="1219"/>
      <c r="BU471" s="1217"/>
      <c r="BW471" s="1219"/>
      <c r="BY471" s="1217"/>
      <c r="CA471" s="1219"/>
      <c r="CC471" s="1217"/>
      <c r="CE471" s="1219"/>
      <c r="CG471" s="1217"/>
      <c r="CI471" s="1219"/>
    </row>
    <row r="472" spans="1:87">
      <c r="A472" s="20"/>
      <c r="B472" s="124" t="str">
        <f t="shared" si="216"/>
        <v/>
      </c>
      <c r="C472" s="235"/>
      <c r="D472" s="24">
        <f>'1% Wind'!$M$89</f>
        <v>7.6</v>
      </c>
      <c r="E472" s="90"/>
      <c r="F472" s="90"/>
      <c r="G472" s="79">
        <f ca="1">IF(I464=0.9743,$G471,MAX(G471/D471*D472,2))</f>
        <v>2</v>
      </c>
      <c r="H472" s="121" t="e">
        <f t="shared" ca="1" si="217"/>
        <v>#VALUE!</v>
      </c>
      <c r="J472" s="33"/>
      <c r="K472" s="242">
        <f t="shared" si="218"/>
        <v>1</v>
      </c>
      <c r="L472" s="241" t="e">
        <f t="shared" ca="1" si="219"/>
        <v>#VALUE!</v>
      </c>
      <c r="M472" s="243" t="e">
        <f ca="1">IF(AND(INDEX(FlowCalConstA,MATCH(J464,FlowCalNumber,0),1,1)*L472^INDEX(FlowCalConstB,MATCH(J464,FlowCalNumber,0),1,1)&gt;INDEX(FlowCalLowSetting,MATCH(J464,FlowCalNumber,0),1,1), (INDEX(FlowCalConstA,MATCH(J464,FlowCalNumber,0),1,1)*L472^INDEX(FlowCalConstB,MATCH(J464,FlowCalNumber,0),1,1)&lt;INDEX(FlowCalHighSetting,MATCH(J464,FlowCalNumber,0),1,1))),INDEX(FlowCalConstA,MATCH(J464,FlowCalNumber,0),1,1)*L472^INDEX(FlowCalConstB,MATCH(J464,FlowCalNumber,0),1,1)," ")</f>
        <v>#N/A</v>
      </c>
      <c r="N472" s="33"/>
      <c r="O472" s="242">
        <f t="shared" si="220"/>
        <v>1</v>
      </c>
      <c r="P472" s="241" t="e">
        <f t="shared" ca="1" si="221"/>
        <v>#VALUE!</v>
      </c>
      <c r="Q472" s="243" t="e">
        <f ca="1">IF(AND(INDEX(FlowCalConstA,MATCH(N464,FlowCalNumber,0),1,1)*P472^INDEX(FlowCalConstB,MATCH(N464,FlowCalNumber,0),1,1)&gt;INDEX(FlowCalLowSetting,MATCH(N464,FlowCalNumber,0),1,1), (INDEX(FlowCalConstA,MATCH(N464,FlowCalNumber,0),1,1)*P472^INDEX(FlowCalConstB,MATCH(N464,FlowCalNumber,0),1,1)&lt;INDEX(FlowCalHighSetting,MATCH(N464,FlowCalNumber,0),1,1))),INDEX(FlowCalConstA,MATCH(N464,FlowCalNumber,0),1,1)*P472^INDEX(FlowCalConstB,MATCH(N464,FlowCalNumber,0),1,1)," ")</f>
        <v>#N/A</v>
      </c>
      <c r="R472" s="33"/>
      <c r="S472" s="242">
        <f t="shared" si="222"/>
        <v>1</v>
      </c>
      <c r="T472" s="241" t="e">
        <f t="shared" ca="1" si="223"/>
        <v>#VALUE!</v>
      </c>
      <c r="U472" s="243" t="e">
        <f ca="1">IF(AND(INDEX(FlowCalConstA,MATCH(R464,FlowCalNumber,0),1,1)*T472^INDEX(FlowCalConstB,MATCH(R464,FlowCalNumber,0),1,1)&gt;INDEX(FlowCalLowSetting,MATCH(R464,FlowCalNumber,0),1,1), (INDEX(FlowCalConstA,MATCH(R464,FlowCalNumber,0),1,1)*T472^INDEX(FlowCalConstB,MATCH(R464,FlowCalNumber,0),1,1)&lt;INDEX(FlowCalHighSetting,MATCH(R464,FlowCalNumber,0),1,1))),INDEX(FlowCalConstA,MATCH(R464,FlowCalNumber,0),1,1)*T472^INDEX(FlowCalConstB,MATCH(R464,FlowCalNumber,0),1,1)," ")</f>
        <v>#N/A</v>
      </c>
      <c r="V472" s="33"/>
      <c r="W472" s="242"/>
      <c r="X472" s="241"/>
      <c r="Y472" s="243"/>
      <c r="Z472" s="33"/>
      <c r="AA472" s="242"/>
      <c r="AB472" s="241"/>
      <c r="AC472" s="243"/>
      <c r="AD472" s="33"/>
      <c r="AE472" s="242"/>
      <c r="AF472" s="241"/>
      <c r="AG472" s="243"/>
      <c r="AH472" s="33"/>
      <c r="AI472" s="242"/>
      <c r="AJ472" s="241"/>
      <c r="AK472" s="244"/>
      <c r="AL472" s="243"/>
      <c r="AM472" s="243"/>
      <c r="AN472" s="243"/>
      <c r="AO472" s="243"/>
      <c r="AP472" s="243"/>
      <c r="AQ472" s="243"/>
      <c r="AR472" s="243"/>
      <c r="AS472" s="243"/>
      <c r="AT472" s="243"/>
      <c r="AU472" s="243"/>
      <c r="AV472" s="243"/>
      <c r="AW472" s="243"/>
      <c r="AX472" s="243"/>
      <c r="AY472" s="243"/>
      <c r="AZ472" s="243"/>
      <c r="BA472" s="243"/>
      <c r="BB472" s="243"/>
      <c r="BC472" s="243"/>
      <c r="BD472" s="243"/>
      <c r="BE472" s="243"/>
      <c r="BF472" s="243"/>
      <c r="BG472" s="243"/>
      <c r="BH472" s="243"/>
      <c r="BI472" s="243"/>
      <c r="BJ472" s="243"/>
      <c r="BK472" s="243"/>
      <c r="BL472" s="243"/>
      <c r="BM472" s="243"/>
      <c r="BN472" s="243"/>
      <c r="BO472" s="243"/>
      <c r="BP472" s="243"/>
      <c r="BQ472" s="243"/>
      <c r="BR472" s="243"/>
      <c r="BS472" s="243"/>
      <c r="BU472" s="242"/>
      <c r="BW472" s="243"/>
      <c r="BY472" s="242"/>
      <c r="CA472" s="243"/>
      <c r="CC472" s="242"/>
      <c r="CE472" s="243"/>
      <c r="CG472" s="242"/>
      <c r="CI472" s="243"/>
    </row>
    <row r="473" spans="1:87" s="1215" customFormat="1">
      <c r="A473" s="1222"/>
      <c r="B473" s="1223" t="str">
        <f t="shared" si="216"/>
        <v/>
      </c>
      <c r="C473" s="1210"/>
      <c r="D473" s="1211">
        <f>'1% Wind'!$M$90</f>
        <v>5.7</v>
      </c>
      <c r="E473" s="1212"/>
      <c r="F473" s="1212"/>
      <c r="G473" s="1213">
        <f ca="1">IF(I464=0.9743,$G472,MAX(G472/D472*D473,2))</f>
        <v>2</v>
      </c>
      <c r="H473" s="1214" t="e">
        <f t="shared" ca="1" si="217"/>
        <v>#VALUE!</v>
      </c>
      <c r="J473" s="1224"/>
      <c r="K473" s="1217">
        <f t="shared" si="218"/>
        <v>1</v>
      </c>
      <c r="L473" s="1218" t="e">
        <f t="shared" ca="1" si="219"/>
        <v>#VALUE!</v>
      </c>
      <c r="M473" s="1219" t="e">
        <f ca="1">IF(AND(INDEX(FlowCalConstA,MATCH(J464,FlowCalNumber,0),1,1)*L473^INDEX(FlowCalConstB,MATCH(J464,FlowCalNumber,0),1,1)&gt;INDEX(FlowCalLowSetting,MATCH(J464,FlowCalNumber,0),1,1), (INDEX(FlowCalConstA,MATCH(J464,FlowCalNumber,0),1,1)*L473^INDEX(FlowCalConstB,MATCH(J464,FlowCalNumber,0),1,1)&lt;INDEX(FlowCalHighSetting,MATCH(J464,FlowCalNumber,0),1,1))),INDEX(FlowCalConstA,MATCH(J464,FlowCalNumber,0),1,1)*L473^INDEX(FlowCalConstB,MATCH(J464,FlowCalNumber,0),1,1)," ")</f>
        <v>#N/A</v>
      </c>
      <c r="N473" s="1224"/>
      <c r="O473" s="1217">
        <f t="shared" si="220"/>
        <v>1</v>
      </c>
      <c r="P473" s="1218" t="e">
        <f t="shared" ca="1" si="221"/>
        <v>#VALUE!</v>
      </c>
      <c r="Q473" s="1219" t="e">
        <f ca="1">IF(AND(INDEX(FlowCalConstA,MATCH(N464,FlowCalNumber,0),1,1)*P473^INDEX(FlowCalConstB,MATCH(N464,FlowCalNumber,0),1,1)&gt;INDEX(FlowCalLowSetting,MATCH(N464,FlowCalNumber,0),1,1), (INDEX(FlowCalConstA,MATCH(N464,FlowCalNumber,0),1,1)*P473^INDEX(FlowCalConstB,MATCH(N464,FlowCalNumber,0),1,1)&lt;INDEX(FlowCalHighSetting,MATCH(N464,FlowCalNumber,0),1,1))),INDEX(FlowCalConstA,MATCH(N464,FlowCalNumber,0),1,1)*P473^INDEX(FlowCalConstB,MATCH(N464,FlowCalNumber,0),1,1)," ")</f>
        <v>#N/A</v>
      </c>
      <c r="R473" s="1224"/>
      <c r="S473" s="1217">
        <f t="shared" si="222"/>
        <v>1</v>
      </c>
      <c r="T473" s="1218" t="e">
        <f t="shared" ca="1" si="223"/>
        <v>#VALUE!</v>
      </c>
      <c r="U473" s="1219" t="e">
        <f ca="1">IF(AND(INDEX(FlowCalConstA,MATCH(R464,FlowCalNumber,0),1,1)*T473^INDEX(FlowCalConstB,MATCH(R464,FlowCalNumber,0),1,1)&gt;INDEX(FlowCalLowSetting,MATCH(R464,FlowCalNumber,0),1,1), (INDEX(FlowCalConstA,MATCH(R464,FlowCalNumber,0),1,1)*T473^INDEX(FlowCalConstB,MATCH(R464,FlowCalNumber,0),1,1)&lt;INDEX(FlowCalHighSetting,MATCH(R464,FlowCalNumber,0),1,1))),INDEX(FlowCalConstA,MATCH(R464,FlowCalNumber,0),1,1)*T473^INDEX(FlowCalConstB,MATCH(R464,FlowCalNumber,0),1,1)," ")</f>
        <v>#N/A</v>
      </c>
      <c r="V473" s="1224"/>
      <c r="W473" s="1217"/>
      <c r="X473" s="1218"/>
      <c r="Y473" s="1219"/>
      <c r="Z473" s="1224"/>
      <c r="AA473" s="1217"/>
      <c r="AB473" s="1218"/>
      <c r="AC473" s="1219"/>
      <c r="AD473" s="1224"/>
      <c r="AE473" s="1217"/>
      <c r="AF473" s="1218"/>
      <c r="AG473" s="1219"/>
      <c r="AH473" s="1224"/>
      <c r="AI473" s="1217"/>
      <c r="AJ473" s="1218"/>
      <c r="AK473" s="1220"/>
      <c r="AL473" s="1219"/>
      <c r="AM473" s="1219"/>
      <c r="AN473" s="1219"/>
      <c r="AO473" s="1219"/>
      <c r="AP473" s="1219"/>
      <c r="AQ473" s="1219"/>
      <c r="AR473" s="1219"/>
      <c r="AS473" s="1219"/>
      <c r="AT473" s="1219"/>
      <c r="AU473" s="1219"/>
      <c r="AV473" s="1219"/>
      <c r="AW473" s="1219"/>
      <c r="AX473" s="1219"/>
      <c r="AY473" s="1219"/>
      <c r="AZ473" s="1219"/>
      <c r="BA473" s="1219"/>
      <c r="BB473" s="1219"/>
      <c r="BC473" s="1219"/>
      <c r="BD473" s="1219"/>
      <c r="BE473" s="1219"/>
      <c r="BF473" s="1219"/>
      <c r="BG473" s="1219"/>
      <c r="BH473" s="1219"/>
      <c r="BI473" s="1219"/>
      <c r="BJ473" s="1219"/>
      <c r="BK473" s="1219"/>
      <c r="BL473" s="1219"/>
      <c r="BM473" s="1219"/>
      <c r="BN473" s="1219"/>
      <c r="BO473" s="1219"/>
      <c r="BP473" s="1219"/>
      <c r="BQ473" s="1219"/>
      <c r="BR473" s="1219"/>
      <c r="BS473" s="1219"/>
      <c r="BU473" s="1217"/>
      <c r="BW473" s="1219"/>
      <c r="BY473" s="1217"/>
      <c r="CA473" s="1219"/>
      <c r="CC473" s="1217"/>
      <c r="CE473" s="1219"/>
      <c r="CG473" s="1217"/>
      <c r="CI473" s="1219"/>
    </row>
    <row r="474" spans="1:87">
      <c r="A474" s="20"/>
      <c r="B474" s="124" t="str">
        <f t="shared" si="216"/>
        <v/>
      </c>
      <c r="C474" s="235"/>
      <c r="D474" s="24">
        <f>'1% Wind'!$M$91</f>
        <v>4.2</v>
      </c>
      <c r="E474" s="90"/>
      <c r="F474" s="90"/>
      <c r="G474" s="79">
        <f ca="1">IF(I464=0.9743,$G473,MAX(G473/D473*D474,2))</f>
        <v>2</v>
      </c>
      <c r="H474" s="121" t="e">
        <f t="shared" ca="1" si="217"/>
        <v>#VALUE!</v>
      </c>
      <c r="J474" s="33"/>
      <c r="K474" s="242">
        <f t="shared" si="218"/>
        <v>1</v>
      </c>
      <c r="L474" s="241" t="e">
        <f t="shared" ca="1" si="219"/>
        <v>#VALUE!</v>
      </c>
      <c r="M474" s="243" t="e">
        <f ca="1">IF(AND(INDEX(FlowCalConstA,MATCH(J464,FlowCalNumber,0),1,1)*L474^INDEX(FlowCalConstB,MATCH(J464,FlowCalNumber,0),1,1)&gt;INDEX(FlowCalLowSetting,MATCH(J464,FlowCalNumber,0),1,1), (INDEX(FlowCalConstA,MATCH(J464,FlowCalNumber,0),1,1)*L474^INDEX(FlowCalConstB,MATCH(J464,FlowCalNumber,0),1,1)&lt;INDEX(FlowCalHighSetting,MATCH(J464,FlowCalNumber,0),1,1))),INDEX(FlowCalConstA,MATCH(J464,FlowCalNumber,0),1,1)*L474^INDEX(FlowCalConstB,MATCH(J464,FlowCalNumber,0),1,1)," ")</f>
        <v>#N/A</v>
      </c>
      <c r="N474" s="33"/>
      <c r="O474" s="242">
        <f t="shared" si="220"/>
        <v>1</v>
      </c>
      <c r="P474" s="241" t="e">
        <f t="shared" ca="1" si="221"/>
        <v>#VALUE!</v>
      </c>
      <c r="Q474" s="243" t="e">
        <f ca="1">IF(AND(INDEX(FlowCalConstA,MATCH(N464,FlowCalNumber,0),1,1)*P474^INDEX(FlowCalConstB,MATCH(N464,FlowCalNumber,0),1,1)&gt;INDEX(FlowCalLowSetting,MATCH(N464,FlowCalNumber,0),1,1), (INDEX(FlowCalConstA,MATCH(N464,FlowCalNumber,0),1,1)*P474^INDEX(FlowCalConstB,MATCH(N464,FlowCalNumber,0),1,1)&lt;INDEX(FlowCalHighSetting,MATCH(N464,FlowCalNumber,0),1,1))),INDEX(FlowCalConstA,MATCH(N464,FlowCalNumber,0),1,1)*P474^INDEX(FlowCalConstB,MATCH(N464,FlowCalNumber,0),1,1)," ")</f>
        <v>#N/A</v>
      </c>
      <c r="R474" s="33"/>
      <c r="S474" s="242">
        <f t="shared" si="222"/>
        <v>1</v>
      </c>
      <c r="T474" s="241" t="e">
        <f t="shared" ca="1" si="223"/>
        <v>#VALUE!</v>
      </c>
      <c r="U474" s="243" t="e">
        <f ca="1">IF(AND(INDEX(FlowCalConstA,MATCH(R464,FlowCalNumber,0),1,1)*T474^INDEX(FlowCalConstB,MATCH(R464,FlowCalNumber,0),1,1)&gt;INDEX(FlowCalLowSetting,MATCH(R464,FlowCalNumber,0),1,1), (INDEX(FlowCalConstA,MATCH(R464,FlowCalNumber,0),1,1)*T474^INDEX(FlowCalConstB,MATCH(R464,FlowCalNumber,0),1,1)&lt;INDEX(FlowCalHighSetting,MATCH(R464,FlowCalNumber,0),1,1))),INDEX(FlowCalConstA,MATCH(R464,FlowCalNumber,0),1,1)*T474^INDEX(FlowCalConstB,MATCH(R464,FlowCalNumber,0),1,1)," ")</f>
        <v>#N/A</v>
      </c>
      <c r="V474" s="33"/>
      <c r="W474" s="242"/>
      <c r="X474" s="241"/>
      <c r="Y474" s="243"/>
      <c r="Z474" s="33"/>
      <c r="AA474" s="242"/>
      <c r="AB474" s="241"/>
      <c r="AC474" s="243"/>
      <c r="AD474" s="33"/>
      <c r="AE474" s="242"/>
      <c r="AF474" s="241"/>
      <c r="AG474" s="243"/>
      <c r="AH474" s="33"/>
      <c r="AI474" s="242"/>
      <c r="AJ474" s="241"/>
      <c r="AK474" s="244"/>
      <c r="AL474" s="243"/>
      <c r="AM474" s="243"/>
      <c r="AN474" s="243"/>
      <c r="AO474" s="243"/>
      <c r="AP474" s="243"/>
      <c r="AQ474" s="243"/>
      <c r="AR474" s="243"/>
      <c r="AS474" s="243"/>
      <c r="AT474" s="243"/>
      <c r="AU474" s="243"/>
      <c r="AV474" s="243"/>
      <c r="AW474" s="243"/>
      <c r="AX474" s="243"/>
      <c r="AY474" s="243"/>
      <c r="AZ474" s="243"/>
      <c r="BA474" s="243"/>
      <c r="BB474" s="243"/>
      <c r="BC474" s="243"/>
      <c r="BD474" s="243"/>
      <c r="BE474" s="243"/>
      <c r="BF474" s="243"/>
      <c r="BG474" s="243"/>
      <c r="BH474" s="243"/>
      <c r="BI474" s="243"/>
      <c r="BJ474" s="243"/>
      <c r="BK474" s="243"/>
      <c r="BL474" s="243"/>
      <c r="BM474" s="243"/>
      <c r="BN474" s="243"/>
      <c r="BO474" s="243"/>
      <c r="BP474" s="243"/>
      <c r="BQ474" s="243"/>
      <c r="BR474" s="243"/>
      <c r="BS474" s="243"/>
      <c r="BU474" s="242"/>
      <c r="BW474" s="243"/>
      <c r="BY474" s="242"/>
      <c r="CA474" s="243"/>
      <c r="CC474" s="242"/>
      <c r="CE474" s="243"/>
      <c r="CG474" s="242"/>
      <c r="CI474" s="243"/>
    </row>
    <row r="475" spans="1:87" s="1215" customFormat="1">
      <c r="A475" s="1222"/>
      <c r="B475" s="1223" t="str">
        <f t="shared" si="216"/>
        <v/>
      </c>
      <c r="C475" s="1210"/>
      <c r="D475" s="1211">
        <f>'1% Wind'!$M$92</f>
        <v>3.2</v>
      </c>
      <c r="E475" s="1212"/>
      <c r="F475" s="1212"/>
      <c r="G475" s="1213">
        <f ca="1">IF(I464=0.9743,$G474,MAX(G474/D474*D475,2))</f>
        <v>2</v>
      </c>
      <c r="H475" s="1214" t="e">
        <f t="shared" ca="1" si="217"/>
        <v>#VALUE!</v>
      </c>
      <c r="J475" s="1224"/>
      <c r="K475" s="1217">
        <f t="shared" si="218"/>
        <v>1</v>
      </c>
      <c r="L475" s="1218" t="e">
        <f t="shared" ca="1" si="219"/>
        <v>#VALUE!</v>
      </c>
      <c r="M475" s="1219" t="e">
        <f ca="1">IF(AND(INDEX(FlowCalConstA,MATCH(J464,FlowCalNumber,0),1,1)*L475^INDEX(FlowCalConstB,MATCH(J464,FlowCalNumber,0),1,1)&gt;INDEX(FlowCalLowSetting,MATCH(J464,FlowCalNumber,0),1,1), (INDEX(FlowCalConstA,MATCH(J464,FlowCalNumber,0),1,1)*L475^INDEX(FlowCalConstB,MATCH(J464,FlowCalNumber,0),1,1)&lt;INDEX(FlowCalHighSetting,MATCH(J464,FlowCalNumber,0),1,1))),INDEX(FlowCalConstA,MATCH(J464,FlowCalNumber,0),1,1)*L475^INDEX(FlowCalConstB,MATCH(J464,FlowCalNumber,0),1,1)," ")</f>
        <v>#N/A</v>
      </c>
      <c r="N475" s="1224"/>
      <c r="O475" s="1217">
        <f t="shared" si="220"/>
        <v>1</v>
      </c>
      <c r="P475" s="1218" t="e">
        <f t="shared" ca="1" si="221"/>
        <v>#VALUE!</v>
      </c>
      <c r="Q475" s="1219" t="e">
        <f ca="1">IF(AND(INDEX(FlowCalConstA,MATCH(N464,FlowCalNumber,0),1,1)*P475^INDEX(FlowCalConstB,MATCH(N464,FlowCalNumber,0),1,1)&gt;INDEX(FlowCalLowSetting,MATCH(N464,FlowCalNumber,0),1,1), (INDEX(FlowCalConstA,MATCH(N464,FlowCalNumber,0),1,1)*P475^INDEX(FlowCalConstB,MATCH(N464,FlowCalNumber,0),1,1)&lt;INDEX(FlowCalHighSetting,MATCH(N464,FlowCalNumber,0),1,1))),INDEX(FlowCalConstA,MATCH(N464,FlowCalNumber,0),1,1)*P475^INDEX(FlowCalConstB,MATCH(N464,FlowCalNumber,0),1,1)," ")</f>
        <v>#N/A</v>
      </c>
      <c r="R475" s="1224"/>
      <c r="S475" s="1217">
        <f t="shared" si="222"/>
        <v>1</v>
      </c>
      <c r="T475" s="1218" t="e">
        <f t="shared" ca="1" si="223"/>
        <v>#VALUE!</v>
      </c>
      <c r="U475" s="1219" t="e">
        <f ca="1">IF(AND(INDEX(FlowCalConstA,MATCH(R464,FlowCalNumber,0),1,1)*T475^INDEX(FlowCalConstB,MATCH(R464,FlowCalNumber,0),1,1)&gt;INDEX(FlowCalLowSetting,MATCH(R464,FlowCalNumber,0),1,1), (INDEX(FlowCalConstA,MATCH(R464,FlowCalNumber,0),1,1)*T475^INDEX(FlowCalConstB,MATCH(R464,FlowCalNumber,0),1,1)&lt;INDEX(FlowCalHighSetting,MATCH(R464,FlowCalNumber,0),1,1))),INDEX(FlowCalConstA,MATCH(R464,FlowCalNumber,0),1,1)*T475^INDEX(FlowCalConstB,MATCH(R464,FlowCalNumber,0),1,1)," ")</f>
        <v>#N/A</v>
      </c>
      <c r="V475" s="1224"/>
      <c r="W475" s="1217"/>
      <c r="X475" s="1218"/>
      <c r="Y475" s="1219"/>
      <c r="Z475" s="1224"/>
      <c r="AA475" s="1217"/>
      <c r="AB475" s="1218"/>
      <c r="AC475" s="1219"/>
      <c r="AD475" s="1224"/>
      <c r="AE475" s="1217"/>
      <c r="AF475" s="1218"/>
      <c r="AG475" s="1219"/>
      <c r="AH475" s="1224"/>
      <c r="AI475" s="1217"/>
      <c r="AJ475" s="1218"/>
      <c r="AK475" s="1220"/>
      <c r="AL475" s="1219"/>
      <c r="AM475" s="1219"/>
      <c r="AN475" s="1219"/>
      <c r="AO475" s="1219"/>
      <c r="AP475" s="1219"/>
      <c r="AQ475" s="1219"/>
      <c r="AR475" s="1219"/>
      <c r="AS475" s="1219"/>
      <c r="AT475" s="1219"/>
      <c r="AU475" s="1219"/>
      <c r="AV475" s="1219"/>
      <c r="AW475" s="1219"/>
      <c r="AX475" s="1219"/>
      <c r="AY475" s="1219"/>
      <c r="AZ475" s="1219"/>
      <c r="BA475" s="1219"/>
      <c r="BB475" s="1219"/>
      <c r="BC475" s="1219"/>
      <c r="BD475" s="1219"/>
      <c r="BE475" s="1219"/>
      <c r="BF475" s="1219"/>
      <c r="BG475" s="1219"/>
      <c r="BH475" s="1219"/>
      <c r="BI475" s="1219"/>
      <c r="BJ475" s="1219"/>
      <c r="BK475" s="1219"/>
      <c r="BL475" s="1219"/>
      <c r="BM475" s="1219"/>
      <c r="BN475" s="1219"/>
      <c r="BO475" s="1219"/>
      <c r="BP475" s="1219"/>
      <c r="BQ475" s="1219"/>
      <c r="BR475" s="1219"/>
      <c r="BS475" s="1219"/>
      <c r="BU475" s="1217"/>
      <c r="BW475" s="1219"/>
      <c r="BY475" s="1217"/>
      <c r="CA475" s="1219"/>
      <c r="CC475" s="1217"/>
      <c r="CE475" s="1219"/>
      <c r="CG475" s="1217"/>
      <c r="CI475" s="1219"/>
    </row>
    <row r="476" spans="1:87">
      <c r="A476" s="20"/>
      <c r="B476" s="124" t="str">
        <f t="shared" si="216"/>
        <v/>
      </c>
      <c r="C476" s="235"/>
      <c r="D476" s="24">
        <f>'1% Wind'!$M$93</f>
        <v>2.4</v>
      </c>
      <c r="E476" s="90"/>
      <c r="F476" s="90"/>
      <c r="G476" s="79">
        <f ca="1">IF(I464=0.9743,$G475,MAX(G475/D475*D476,2))</f>
        <v>2</v>
      </c>
      <c r="H476" s="121" t="e">
        <f t="shared" ca="1" si="217"/>
        <v>#VALUE!</v>
      </c>
      <c r="J476" s="33"/>
      <c r="K476" s="242">
        <f t="shared" si="218"/>
        <v>1</v>
      </c>
      <c r="L476" s="241" t="e">
        <f t="shared" ca="1" si="219"/>
        <v>#VALUE!</v>
      </c>
      <c r="M476" s="243" t="e">
        <f ca="1">IF(AND(INDEX(FlowCalConstA,MATCH(J464,FlowCalNumber,0),1,1)*L476^INDEX(FlowCalConstB,MATCH(J464,FlowCalNumber,0),1,1)&gt;INDEX(FlowCalLowSetting,MATCH(J464,FlowCalNumber,0),1,1), (INDEX(FlowCalConstA,MATCH(J464,FlowCalNumber,0),1,1)*L476^INDEX(FlowCalConstB,MATCH(J464,FlowCalNumber,0),1,1)&lt;INDEX(FlowCalHighSetting,MATCH(J464,FlowCalNumber,0),1,1))),INDEX(FlowCalConstA,MATCH(J464,FlowCalNumber,0),1,1)*L476^INDEX(FlowCalConstB,MATCH(J464,FlowCalNumber,0),1,1)," ")</f>
        <v>#N/A</v>
      </c>
      <c r="N476" s="33"/>
      <c r="O476" s="242">
        <f t="shared" si="220"/>
        <v>1</v>
      </c>
      <c r="P476" s="241" t="e">
        <f t="shared" ca="1" si="221"/>
        <v>#VALUE!</v>
      </c>
      <c r="Q476" s="243" t="e">
        <f ca="1">IF(AND(INDEX(FlowCalConstA,MATCH(N464,FlowCalNumber,0),1,1)*P476^INDEX(FlowCalConstB,MATCH(N464,FlowCalNumber,0),1,1)&gt;INDEX(FlowCalLowSetting,MATCH(N464,FlowCalNumber,0),1,1), (INDEX(FlowCalConstA,MATCH(N464,FlowCalNumber,0),1,1)*P476^INDEX(FlowCalConstB,MATCH(N464,FlowCalNumber,0),1,1)&lt;INDEX(FlowCalHighSetting,MATCH(N464,FlowCalNumber,0),1,1))),INDEX(FlowCalConstA,MATCH(N464,FlowCalNumber,0),1,1)*P476^INDEX(FlowCalConstB,MATCH(N464,FlowCalNumber,0),1,1)," ")</f>
        <v>#N/A</v>
      </c>
      <c r="R476" s="33"/>
      <c r="S476" s="242">
        <f t="shared" si="222"/>
        <v>1</v>
      </c>
      <c r="T476" s="241" t="e">
        <f t="shared" ca="1" si="223"/>
        <v>#VALUE!</v>
      </c>
      <c r="U476" s="243" t="e">
        <f ca="1">IF(AND(INDEX(FlowCalConstA,MATCH(R464,FlowCalNumber,0),1,1)*T476^INDEX(FlowCalConstB,MATCH(R464,FlowCalNumber,0),1,1)&gt;INDEX(FlowCalLowSetting,MATCH(R464,FlowCalNumber,0),1,1), (INDEX(FlowCalConstA,MATCH(R464,FlowCalNumber,0),1,1)*T476^INDEX(FlowCalConstB,MATCH(R464,FlowCalNumber,0),1,1)&lt;INDEX(FlowCalHighSetting,MATCH(R464,FlowCalNumber,0),1,1))),INDEX(FlowCalConstA,MATCH(R464,FlowCalNumber,0),1,1)*T476^INDEX(FlowCalConstB,MATCH(R464,FlowCalNumber,0),1,1)," ")</f>
        <v>#N/A</v>
      </c>
      <c r="V476" s="33"/>
      <c r="W476" s="242"/>
      <c r="X476" s="241"/>
      <c r="Y476" s="243"/>
      <c r="Z476" s="33"/>
      <c r="AA476" s="242"/>
      <c r="AB476" s="241"/>
      <c r="AC476" s="243"/>
      <c r="AD476" s="33"/>
      <c r="AE476" s="242"/>
      <c r="AF476" s="241"/>
      <c r="AG476" s="243"/>
      <c r="AH476" s="33"/>
      <c r="AI476" s="242"/>
      <c r="AJ476" s="241"/>
      <c r="AK476" s="244"/>
      <c r="AL476" s="243"/>
      <c r="AM476" s="243"/>
      <c r="AN476" s="243"/>
      <c r="AO476" s="243"/>
      <c r="AP476" s="243"/>
      <c r="AQ476" s="243"/>
      <c r="AR476" s="243"/>
      <c r="AS476" s="243"/>
      <c r="AT476" s="243"/>
      <c r="AU476" s="243"/>
      <c r="AV476" s="243"/>
      <c r="AW476" s="243"/>
      <c r="AX476" s="243"/>
      <c r="AY476" s="243"/>
      <c r="AZ476" s="243"/>
      <c r="BA476" s="243"/>
      <c r="BB476" s="243"/>
      <c r="BC476" s="243"/>
      <c r="BD476" s="243"/>
      <c r="BE476" s="243"/>
      <c r="BF476" s="243"/>
      <c r="BG476" s="243"/>
      <c r="BH476" s="243"/>
      <c r="BI476" s="243"/>
      <c r="BJ476" s="243"/>
      <c r="BK476" s="243"/>
      <c r="BL476" s="243"/>
      <c r="BM476" s="243"/>
      <c r="BN476" s="243"/>
      <c r="BO476" s="243"/>
      <c r="BP476" s="243"/>
      <c r="BQ476" s="243"/>
      <c r="BR476" s="243"/>
      <c r="BS476" s="243"/>
      <c r="BU476" s="242"/>
      <c r="BW476" s="243"/>
      <c r="BY476" s="242"/>
      <c r="CA476" s="243"/>
      <c r="CC476" s="242"/>
      <c r="CE476" s="243"/>
      <c r="CG476" s="242"/>
      <c r="CI476" s="243"/>
    </row>
    <row r="477" spans="1:87" s="1215" customFormat="1">
      <c r="A477" s="1222"/>
      <c r="B477" s="1223" t="str">
        <f t="shared" si="216"/>
        <v/>
      </c>
      <c r="C477" s="1210"/>
      <c r="D477" s="1211">
        <f>'1% Wind'!$M$94</f>
        <v>1.8</v>
      </c>
      <c r="E477" s="1212"/>
      <c r="F477" s="1212"/>
      <c r="G477" s="1213">
        <f ca="1">IF(I464=0.9743,$G476,MAX(G476/D476*D477,2))</f>
        <v>2</v>
      </c>
      <c r="H477" s="1214" t="e">
        <f t="shared" ca="1" si="217"/>
        <v>#VALUE!</v>
      </c>
      <c r="J477" s="1224"/>
      <c r="K477" s="1217">
        <f t="shared" si="218"/>
        <v>1</v>
      </c>
      <c r="L477" s="1218" t="e">
        <f t="shared" ca="1" si="219"/>
        <v>#VALUE!</v>
      </c>
      <c r="M477" s="1219" t="e">
        <f ca="1">IF(AND(INDEX(FlowCalConstA,MATCH(J464,FlowCalNumber,0),1,1)*L477^INDEX(FlowCalConstB,MATCH(J464,FlowCalNumber,0),1,1)&gt;INDEX(FlowCalLowSetting,MATCH(J464,FlowCalNumber,0),1,1), (INDEX(FlowCalConstA,MATCH(J464,FlowCalNumber,0),1,1)*L477^INDEX(FlowCalConstB,MATCH(J464,FlowCalNumber,0),1,1)&lt;INDEX(FlowCalHighSetting,MATCH(J464,FlowCalNumber,0),1,1))),INDEX(FlowCalConstA,MATCH(J464,FlowCalNumber,0),1,1)*L477^INDEX(FlowCalConstB,MATCH(J464,FlowCalNumber,0),1,1)," ")</f>
        <v>#N/A</v>
      </c>
      <c r="N477" s="1224"/>
      <c r="O477" s="1217">
        <f t="shared" si="220"/>
        <v>1</v>
      </c>
      <c r="P477" s="1218" t="e">
        <f t="shared" ca="1" si="221"/>
        <v>#VALUE!</v>
      </c>
      <c r="Q477" s="1219" t="e">
        <f ca="1">IF(AND(INDEX(FlowCalConstA,MATCH(N464,FlowCalNumber,0),1,1)*P477^INDEX(FlowCalConstB,MATCH(N464,FlowCalNumber,0),1,1)&gt;INDEX(FlowCalLowSetting,MATCH(N464,FlowCalNumber,0),1,1), (INDEX(FlowCalConstA,MATCH(N464,FlowCalNumber,0),1,1)*P477^INDEX(FlowCalConstB,MATCH(N464,FlowCalNumber,0),1,1)&lt;INDEX(FlowCalHighSetting,MATCH(N464,FlowCalNumber,0),1,1))),INDEX(FlowCalConstA,MATCH(N464,FlowCalNumber,0),1,1)*P477^INDEX(FlowCalConstB,MATCH(N464,FlowCalNumber,0),1,1)," ")</f>
        <v>#N/A</v>
      </c>
      <c r="R477" s="1224"/>
      <c r="S477" s="1217">
        <f t="shared" si="222"/>
        <v>1</v>
      </c>
      <c r="T477" s="1218" t="e">
        <f t="shared" ca="1" si="223"/>
        <v>#VALUE!</v>
      </c>
      <c r="U477" s="1219" t="e">
        <f ca="1">IF(AND(INDEX(FlowCalConstA,MATCH(R464,FlowCalNumber,0),1,1)*T477^INDEX(FlowCalConstB,MATCH(R464,FlowCalNumber,0),1,1)&gt;INDEX(FlowCalLowSetting,MATCH(R464,FlowCalNumber,0),1,1), (INDEX(FlowCalConstA,MATCH(R464,FlowCalNumber,0),1,1)*T477^INDEX(FlowCalConstB,MATCH(R464,FlowCalNumber,0),1,1)&lt;INDEX(FlowCalHighSetting,MATCH(R464,FlowCalNumber,0),1,1))),INDEX(FlowCalConstA,MATCH(R464,FlowCalNumber,0),1,1)*T477^INDEX(FlowCalConstB,MATCH(R464,FlowCalNumber,0),1,1)," ")</f>
        <v>#N/A</v>
      </c>
      <c r="V477" s="1224"/>
      <c r="W477" s="1217"/>
      <c r="X477" s="1218"/>
      <c r="Y477" s="1219"/>
      <c r="Z477" s="1224"/>
      <c r="AA477" s="1217"/>
      <c r="AB477" s="1218"/>
      <c r="AC477" s="1219"/>
      <c r="AD477" s="1224"/>
      <c r="AE477" s="1217"/>
      <c r="AF477" s="1218"/>
      <c r="AG477" s="1219"/>
      <c r="AH477" s="1224"/>
      <c r="AI477" s="1217"/>
      <c r="AJ477" s="1218"/>
      <c r="AK477" s="1220"/>
      <c r="AL477" s="1219"/>
      <c r="AM477" s="1219"/>
      <c r="AN477" s="1219"/>
      <c r="AO477" s="1219"/>
      <c r="AP477" s="1219"/>
      <c r="AQ477" s="1219"/>
      <c r="AR477" s="1219"/>
      <c r="AS477" s="1219"/>
      <c r="AT477" s="1219"/>
      <c r="AU477" s="1219"/>
      <c r="AV477" s="1219"/>
      <c r="AW477" s="1219"/>
      <c r="AX477" s="1219"/>
      <c r="AY477" s="1219"/>
      <c r="AZ477" s="1219"/>
      <c r="BA477" s="1219"/>
      <c r="BB477" s="1219"/>
      <c r="BC477" s="1219"/>
      <c r="BD477" s="1219"/>
      <c r="BE477" s="1219"/>
      <c r="BF477" s="1219"/>
      <c r="BG477" s="1219"/>
      <c r="BH477" s="1219"/>
      <c r="BI477" s="1219"/>
      <c r="BJ477" s="1219"/>
      <c r="BK477" s="1219"/>
      <c r="BL477" s="1219"/>
      <c r="BM477" s="1219"/>
      <c r="BN477" s="1219"/>
      <c r="BO477" s="1219"/>
      <c r="BP477" s="1219"/>
      <c r="BQ477" s="1219"/>
      <c r="BR477" s="1219"/>
      <c r="BS477" s="1219"/>
      <c r="BU477" s="1217"/>
      <c r="BW477" s="1219"/>
      <c r="BY477" s="1217"/>
      <c r="CA477" s="1219"/>
      <c r="CC477" s="1217"/>
      <c r="CE477" s="1219"/>
      <c r="CG477" s="1217"/>
      <c r="CI477" s="1219"/>
    </row>
    <row r="478" spans="1:87">
      <c r="A478" s="20"/>
      <c r="B478" s="124" t="str">
        <f t="shared" si="216"/>
        <v/>
      </c>
      <c r="C478" s="235"/>
      <c r="D478" s="24">
        <f>'1% Wind'!$M$95</f>
        <v>1.3</v>
      </c>
      <c r="E478" s="90"/>
      <c r="F478" s="90"/>
      <c r="G478" s="79">
        <f ca="1">IF(I464=0.9743,$G477,MAX(G477/D477*D478,2))</f>
        <v>2</v>
      </c>
      <c r="H478" s="121" t="e">
        <f t="shared" ca="1" si="217"/>
        <v>#VALUE!</v>
      </c>
      <c r="J478" s="33"/>
      <c r="K478" s="242">
        <f t="shared" si="218"/>
        <v>1</v>
      </c>
      <c r="L478" s="241" t="e">
        <f t="shared" ca="1" si="219"/>
        <v>#VALUE!</v>
      </c>
      <c r="M478" s="243" t="e">
        <f ca="1">IF(AND(INDEX(FlowCalConstA,MATCH(J464,FlowCalNumber,0),1,1)*L478^INDEX(FlowCalConstB,MATCH(J464,FlowCalNumber,0),1,1)&gt;INDEX(FlowCalLowSetting,MATCH(J464,FlowCalNumber,0),1,1), (INDEX(FlowCalConstA,MATCH(J464,FlowCalNumber,0),1,1)*L478^INDEX(FlowCalConstB,MATCH(J464,FlowCalNumber,0),1,1)&lt;INDEX(FlowCalHighSetting,MATCH(J464,FlowCalNumber,0),1,1))),INDEX(FlowCalConstA,MATCH(J464,FlowCalNumber,0),1,1)*L478^INDEX(FlowCalConstB,MATCH(J464,FlowCalNumber,0),1,1)," ")</f>
        <v>#N/A</v>
      </c>
      <c r="N478" s="33"/>
      <c r="O478" s="242">
        <f t="shared" si="220"/>
        <v>1</v>
      </c>
      <c r="P478" s="241" t="e">
        <f t="shared" ca="1" si="221"/>
        <v>#VALUE!</v>
      </c>
      <c r="Q478" s="243" t="e">
        <f ca="1">IF(AND(INDEX(FlowCalConstA,MATCH(N464,FlowCalNumber,0),1,1)*P478^INDEX(FlowCalConstB,MATCH(N464,FlowCalNumber,0),1,1)&gt;INDEX(FlowCalLowSetting,MATCH(N464,FlowCalNumber,0),1,1), (INDEX(FlowCalConstA,MATCH(N464,FlowCalNumber,0),1,1)*P478^INDEX(FlowCalConstB,MATCH(N464,FlowCalNumber,0),1,1)&lt;INDEX(FlowCalHighSetting,MATCH(N464,FlowCalNumber,0),1,1))),INDEX(FlowCalConstA,MATCH(N464,FlowCalNumber,0),1,1)*P478^INDEX(FlowCalConstB,MATCH(N464,FlowCalNumber,0),1,1)," ")</f>
        <v>#N/A</v>
      </c>
      <c r="R478" s="33"/>
      <c r="S478" s="242">
        <f t="shared" si="222"/>
        <v>1</v>
      </c>
      <c r="T478" s="241" t="e">
        <f t="shared" ca="1" si="223"/>
        <v>#VALUE!</v>
      </c>
      <c r="U478" s="243" t="e">
        <f ca="1">IF(AND(INDEX(FlowCalConstA,MATCH(R464,FlowCalNumber,0),1,1)*T478^INDEX(FlowCalConstB,MATCH(R464,FlowCalNumber,0),1,1)&gt;INDEX(FlowCalLowSetting,MATCH(R464,FlowCalNumber,0),1,1), (INDEX(FlowCalConstA,MATCH(R464,FlowCalNumber,0),1,1)*T478^INDEX(FlowCalConstB,MATCH(R464,FlowCalNumber,0),1,1)&lt;INDEX(FlowCalHighSetting,MATCH(R464,FlowCalNumber,0),1,1))),INDEX(FlowCalConstA,MATCH(R464,FlowCalNumber,0),1,1)*T478^INDEX(FlowCalConstB,MATCH(R464,FlowCalNumber,0),1,1)," ")</f>
        <v>#N/A</v>
      </c>
      <c r="V478" s="33"/>
      <c r="W478" s="242"/>
      <c r="X478" s="241"/>
      <c r="Y478" s="243"/>
      <c r="Z478" s="33"/>
      <c r="AA478" s="242"/>
      <c r="AB478" s="241"/>
      <c r="AC478" s="243"/>
      <c r="AD478" s="33"/>
      <c r="AE478" s="242"/>
      <c r="AF478" s="241"/>
      <c r="AG478" s="243"/>
      <c r="AH478" s="33"/>
      <c r="AI478" s="242"/>
      <c r="AJ478" s="241"/>
      <c r="AK478" s="244"/>
      <c r="AL478" s="243"/>
      <c r="AM478" s="243"/>
      <c r="AN478" s="243"/>
      <c r="AO478" s="243"/>
      <c r="AP478" s="243"/>
      <c r="AQ478" s="243"/>
      <c r="AR478" s="243"/>
      <c r="AS478" s="243"/>
      <c r="AT478" s="243"/>
      <c r="AU478" s="243"/>
      <c r="AV478" s="243"/>
      <c r="AW478" s="243"/>
      <c r="AX478" s="243"/>
      <c r="AY478" s="243"/>
      <c r="AZ478" s="243"/>
      <c r="BA478" s="243"/>
      <c r="BB478" s="243"/>
      <c r="BC478" s="243"/>
      <c r="BD478" s="243"/>
      <c r="BE478" s="243"/>
      <c r="BF478" s="243"/>
      <c r="BG478" s="243"/>
      <c r="BH478" s="243"/>
      <c r="BI478" s="243"/>
      <c r="BJ478" s="243"/>
      <c r="BK478" s="243"/>
      <c r="BL478" s="243"/>
      <c r="BM478" s="243"/>
      <c r="BN478" s="243"/>
      <c r="BO478" s="243"/>
      <c r="BP478" s="243"/>
      <c r="BQ478" s="243"/>
      <c r="BR478" s="243"/>
      <c r="BS478" s="243"/>
      <c r="BU478" s="242"/>
      <c r="BW478" s="243"/>
      <c r="BY478" s="242"/>
      <c r="CA478" s="243"/>
      <c r="CC478" s="242"/>
      <c r="CE478" s="243"/>
      <c r="CG478" s="242"/>
      <c r="CI478" s="243"/>
    </row>
    <row r="479" spans="1:87" s="1215" customFormat="1">
      <c r="A479" s="1222"/>
      <c r="B479" s="1223" t="str">
        <f t="shared" si="216"/>
        <v/>
      </c>
      <c r="C479" s="1210"/>
      <c r="D479" s="1211">
        <f>'1% Wind'!$M$96</f>
        <v>1</v>
      </c>
      <c r="E479" s="1212"/>
      <c r="F479" s="1212"/>
      <c r="G479" s="1213">
        <f ca="1">IF(I464=0.9743,$G478,MAX(G478/D478*D479,2))</f>
        <v>2</v>
      </c>
      <c r="H479" s="1214" t="e">
        <f t="shared" ca="1" si="217"/>
        <v>#VALUE!</v>
      </c>
      <c r="J479" s="1224"/>
      <c r="K479" s="1217">
        <f t="shared" si="218"/>
        <v>1</v>
      </c>
      <c r="L479" s="1218" t="e">
        <f t="shared" ca="1" si="219"/>
        <v>#VALUE!</v>
      </c>
      <c r="M479" s="1219" t="e">
        <f ca="1">IF(AND(INDEX(FlowCalConstA,MATCH(J464,FlowCalNumber,0),1,1)*L479^INDEX(FlowCalConstB,MATCH(J464,FlowCalNumber,0),1,1)&gt;INDEX(FlowCalLowSetting,MATCH(J464,FlowCalNumber,0),1,1), (INDEX(FlowCalConstA,MATCH(J464,FlowCalNumber,0),1,1)*L479^INDEX(FlowCalConstB,MATCH(J464,FlowCalNumber,0),1,1)&lt;INDEX(FlowCalHighSetting,MATCH(J464,FlowCalNumber,0),1,1))),INDEX(FlowCalConstA,MATCH(J464,FlowCalNumber,0),1,1)*L479^INDEX(FlowCalConstB,MATCH(J464,FlowCalNumber,0),1,1)," ")</f>
        <v>#N/A</v>
      </c>
      <c r="N479" s="1224"/>
      <c r="O479" s="1217">
        <f t="shared" si="220"/>
        <v>1</v>
      </c>
      <c r="P479" s="1218" t="e">
        <f t="shared" ca="1" si="221"/>
        <v>#VALUE!</v>
      </c>
      <c r="Q479" s="1219" t="e">
        <f ca="1">IF(AND(INDEX(FlowCalConstA,MATCH(N464,FlowCalNumber,0),1,1)*P479^INDEX(FlowCalConstB,MATCH(N464,FlowCalNumber,0),1,1)&gt;INDEX(FlowCalLowSetting,MATCH(N464,FlowCalNumber,0),1,1), (INDEX(FlowCalConstA,MATCH(N464,FlowCalNumber,0),1,1)*P479^INDEX(FlowCalConstB,MATCH(N464,FlowCalNumber,0),1,1)&lt;INDEX(FlowCalHighSetting,MATCH(N464,FlowCalNumber,0),1,1))),INDEX(FlowCalConstA,MATCH(N464,FlowCalNumber,0),1,1)*P479^INDEX(FlowCalConstB,MATCH(N464,FlowCalNumber,0),1,1)," ")</f>
        <v>#N/A</v>
      </c>
      <c r="R479" s="1224"/>
      <c r="S479" s="1217">
        <f t="shared" si="222"/>
        <v>1</v>
      </c>
      <c r="T479" s="1218" t="e">
        <f t="shared" ca="1" si="223"/>
        <v>#VALUE!</v>
      </c>
      <c r="U479" s="1219" t="e">
        <f ca="1">IF(AND(INDEX(FlowCalConstA,MATCH(R464,FlowCalNumber,0),1,1)*T479^INDEX(FlowCalConstB,MATCH(R464,FlowCalNumber,0),1,1)&gt;INDEX(FlowCalLowSetting,MATCH(R464,FlowCalNumber,0),1,1), (INDEX(FlowCalConstA,MATCH(R464,FlowCalNumber,0),1,1)*T479^INDEX(FlowCalConstB,MATCH(R464,FlowCalNumber,0),1,1)&lt;INDEX(FlowCalHighSetting,MATCH(R464,FlowCalNumber,0),1,1))),INDEX(FlowCalConstA,MATCH(R464,FlowCalNumber,0),1,1)*T479^INDEX(FlowCalConstB,MATCH(R464,FlowCalNumber,0),1,1)," ")</f>
        <v>#N/A</v>
      </c>
      <c r="V479" s="1224"/>
      <c r="W479" s="1217"/>
      <c r="X479" s="1218"/>
      <c r="Y479" s="1219"/>
      <c r="Z479" s="1224"/>
      <c r="AA479" s="1217"/>
      <c r="AB479" s="1218"/>
      <c r="AC479" s="1219"/>
      <c r="AD479" s="1224"/>
      <c r="AE479" s="1217"/>
      <c r="AF479" s="1218"/>
      <c r="AG479" s="1219"/>
      <c r="AH479" s="1224"/>
      <c r="AI479" s="1217"/>
      <c r="AJ479" s="1218"/>
      <c r="AK479" s="1220"/>
      <c r="AL479" s="1219"/>
      <c r="AM479" s="1219"/>
      <c r="AN479" s="1219"/>
      <c r="AO479" s="1219"/>
      <c r="AP479" s="1219"/>
      <c r="AQ479" s="1219"/>
      <c r="AR479" s="1219"/>
      <c r="AS479" s="1219"/>
      <c r="AT479" s="1219"/>
      <c r="AU479" s="1219"/>
      <c r="AV479" s="1219"/>
      <c r="AW479" s="1219"/>
      <c r="AX479" s="1219"/>
      <c r="AY479" s="1219"/>
      <c r="AZ479" s="1219"/>
      <c r="BA479" s="1219"/>
      <c r="BB479" s="1219"/>
      <c r="BC479" s="1219"/>
      <c r="BD479" s="1219"/>
      <c r="BE479" s="1219"/>
      <c r="BF479" s="1219"/>
      <c r="BG479" s="1219"/>
      <c r="BH479" s="1219"/>
      <c r="BI479" s="1219"/>
      <c r="BJ479" s="1219"/>
      <c r="BK479" s="1219"/>
      <c r="BL479" s="1219"/>
      <c r="BM479" s="1219"/>
      <c r="BN479" s="1219"/>
      <c r="BO479" s="1219"/>
      <c r="BP479" s="1219"/>
      <c r="BQ479" s="1219"/>
      <c r="BR479" s="1219"/>
      <c r="BS479" s="1219"/>
      <c r="BU479" s="1217"/>
      <c r="BW479" s="1219"/>
      <c r="BY479" s="1217"/>
      <c r="CA479" s="1219"/>
      <c r="CC479" s="1217"/>
      <c r="CE479" s="1219"/>
      <c r="CG479" s="1217"/>
      <c r="CI479" s="1219"/>
    </row>
    <row r="480" spans="1:87">
      <c r="A480" s="33"/>
      <c r="B480" s="33"/>
      <c r="C480" s="235"/>
      <c r="E480" s="90"/>
      <c r="F480" s="90"/>
      <c r="G480" s="33"/>
      <c r="J480" s="33"/>
      <c r="M480" s="243"/>
      <c r="N480" s="33"/>
      <c r="Q480" s="243"/>
      <c r="R480" s="33"/>
      <c r="U480" s="243"/>
      <c r="V480" s="33"/>
      <c r="Y480" s="243"/>
      <c r="Z480" s="33"/>
      <c r="AC480" s="243"/>
      <c r="AD480" s="33"/>
      <c r="AG480" s="243"/>
      <c r="AH480" s="33"/>
      <c r="AK480" s="244"/>
      <c r="AL480" s="243"/>
      <c r="AM480" s="243"/>
      <c r="AN480" s="243"/>
      <c r="AO480" s="243"/>
      <c r="AP480" s="243"/>
      <c r="AQ480" s="243"/>
      <c r="AR480" s="243"/>
      <c r="AS480" s="243"/>
      <c r="AT480" s="243"/>
      <c r="AU480" s="243"/>
      <c r="AV480" s="243"/>
      <c r="AW480" s="243"/>
      <c r="AX480" s="243"/>
      <c r="AY480" s="243"/>
      <c r="AZ480" s="243"/>
      <c r="BA480" s="243"/>
      <c r="BB480" s="243"/>
      <c r="BC480" s="243"/>
      <c r="BD480" s="243"/>
      <c r="BE480" s="243"/>
      <c r="BF480" s="243"/>
      <c r="BG480" s="243"/>
      <c r="BH480" s="243"/>
      <c r="BI480" s="243"/>
      <c r="BJ480" s="243"/>
      <c r="BK480" s="243"/>
      <c r="BL480" s="243"/>
      <c r="BM480" s="243"/>
      <c r="BN480" s="243"/>
      <c r="BO480" s="243"/>
      <c r="BP480" s="243"/>
      <c r="BQ480" s="243"/>
      <c r="BR480" s="243"/>
      <c r="BS480" s="243"/>
      <c r="BW480" s="243"/>
      <c r="CA480" s="243"/>
      <c r="CE480" s="243"/>
      <c r="CI480" s="243"/>
    </row>
    <row r="481" spans="1:87">
      <c r="A481" s="256" t="str">
        <f>IF((RIGHT(A464,1))&lt;&gt;"Z",CHAR(CODE(A464))&amp;CHAR(CODE(RIGHT(A464,1))+1),CHAR(CODE(A464)+1)&amp;"A")</f>
        <v>BB</v>
      </c>
      <c r="B481" s="270" t="str">
        <f>INDEX(SourceID,MATCH($A481,SourceNumber,0),1,1)</f>
        <v>B2 Gen-2</v>
      </c>
      <c r="C481" s="354">
        <f>INDEX(SourceExitDiameter,MATCH($A481,SourceNumber,0),1,1)*3.28*12</f>
        <v>40.994999999999997</v>
      </c>
      <c r="D481" s="24" t="str">
        <f>UAnem1percent</f>
        <v>1% Wind</v>
      </c>
      <c r="E481" s="350" t="e">
        <f ca="1">INDIRECT(ADDRESS(53,6,1,,CONCATENATE("TA",$A481)))</f>
        <v>#REF!</v>
      </c>
      <c r="F481" s="625" t="e">
        <f ca="1">(ROUND((INDIRECT(ADDRESS(15,7,1,,CONCATENATE("TA",$A481)))*3.28*12*32),0)&amp;"/32")</f>
        <v>#REF!</v>
      </c>
      <c r="G481" s="125">
        <f ca="1">INDIRECT(ADDRESS(29,7,1,,$A481))</f>
        <v>6.001707317073171</v>
      </c>
      <c r="H481" s="24" t="e">
        <f ca="1">INDIRECT(ADDRESS(19,7,1,,$A481))*100^3</f>
        <v>#VALUE!</v>
      </c>
      <c r="I481" s="941">
        <f ca="1">INDIRECT(ADDRESS(53,7,1,,$A481))</f>
        <v>0.97430000000000005</v>
      </c>
      <c r="J481" s="20" t="str">
        <f ca="1">IF($I481=$I$6,K$16&amp;$G$6&amp;J$6,IF($I481=$I$7,K$16&amp;$G$7&amp;J$7,"Bad"))</f>
        <v>100N2Pick a Tunnel</v>
      </c>
      <c r="K481" t="e">
        <f ca="1">INDEX(FlowCalGasMixture,MATCH(J481,FlowCalNumber,0),1,1)</f>
        <v>#N/A</v>
      </c>
      <c r="M481" s="944" t="e">
        <f ca="1">INDEX(FlowCalDevice,MATCH(J481,FlowCalNumber,0),1,1)</f>
        <v>#N/A</v>
      </c>
      <c r="N481" s="20" t="str">
        <f ca="1">IF($I481=$I$6,O$16&amp;$G$6&amp;N$6,IF($I481=$I$7,O$16&amp;$G$7&amp;N$7,"Bad"))</f>
        <v>100N2Pick a Tunnel</v>
      </c>
      <c r="O481" t="e">
        <f ca="1">INDEX(FlowCalGasMixture,MATCH(N481,FlowCalNumber,0),1,1)</f>
        <v>#N/A</v>
      </c>
      <c r="Q481" s="944" t="e">
        <f ca="1">INDEX(FlowCalDevice,MATCH(N481,FlowCalNumber,0),1,1)</f>
        <v>#N/A</v>
      </c>
      <c r="R481" s="20" t="str">
        <f ca="1">IF($I481=$I$6,S$16&amp;$G$6&amp;R$6,IF($I481=$I$7,S$16&amp;$G$7&amp;R$7,"Bad"))</f>
        <v>100N2Pick a Tunnel</v>
      </c>
      <c r="S481" t="e">
        <f ca="1">INDEX(FlowCalGasMixture,MATCH(R481,FlowCalNumber,0),1,1)</f>
        <v>#N/A</v>
      </c>
      <c r="U481" s="944" t="e">
        <f ca="1">INDEX(FlowCalDevice,MATCH(R481,FlowCalNumber,0),1,1)</f>
        <v>#N/A</v>
      </c>
      <c r="V481" s="20"/>
      <c r="Y481" s="944"/>
      <c r="Z481" s="946"/>
      <c r="AC481" s="944"/>
      <c r="AD481" s="20"/>
      <c r="AG481" s="944"/>
      <c r="AH481" s="946"/>
      <c r="AK481" s="982"/>
      <c r="AL481" s="355"/>
      <c r="AM481" s="355"/>
      <c r="AN481" s="355"/>
      <c r="AO481" s="355"/>
      <c r="AP481" s="355"/>
      <c r="AQ481" s="355"/>
      <c r="AR481" s="355"/>
      <c r="AS481" s="355"/>
      <c r="AT481" s="355"/>
      <c r="AU481" s="355"/>
      <c r="AV481" s="355"/>
      <c r="AW481" s="355"/>
      <c r="AX481" s="355"/>
      <c r="AY481" s="355"/>
      <c r="AZ481" s="355"/>
      <c r="BA481" s="355"/>
      <c r="BB481" s="355"/>
      <c r="BC481" s="355"/>
      <c r="BD481" s="355"/>
      <c r="BE481" s="355"/>
      <c r="BF481" s="355"/>
      <c r="BG481" s="355"/>
      <c r="BH481" s="355"/>
      <c r="BI481" s="355"/>
      <c r="BJ481" s="355"/>
      <c r="BK481" s="355"/>
      <c r="BL481" s="355"/>
      <c r="BM481" s="355"/>
      <c r="BN481" s="355"/>
      <c r="BO481" s="355"/>
      <c r="BP481" s="355"/>
      <c r="BQ481" s="355"/>
      <c r="BR481" s="355"/>
      <c r="BS481" s="355"/>
      <c r="BT481" s="46"/>
      <c r="BU481" s="16"/>
      <c r="BW481" s="355"/>
      <c r="BX481" s="42"/>
      <c r="BY481" s="16"/>
      <c r="CA481" s="355"/>
      <c r="CB481" s="42"/>
      <c r="CC481" s="16"/>
      <c r="CE481" s="355"/>
      <c r="CF481" s="42"/>
      <c r="CG481" s="16"/>
      <c r="CI481" s="355"/>
    </row>
    <row r="482" spans="1:87" s="1215" customFormat="1">
      <c r="A482" s="1222"/>
      <c r="B482" s="1223" t="str">
        <f t="shared" ref="B482:B496" si="224">IF(D482=UAnem1percent,"1% Wind","")</f>
        <v/>
      </c>
      <c r="C482" s="1210"/>
      <c r="D482" s="1211">
        <f>'1% Wind'!$M$82</f>
        <v>27</v>
      </c>
      <c r="E482" s="1212"/>
      <c r="F482" s="1212"/>
      <c r="G482" s="1364">
        <v>2</v>
      </c>
      <c r="H482" s="1214" t="e">
        <f t="shared" ref="H482:H496" ca="1" si="225">H481*(D481/D482)*(G482/G481)</f>
        <v>#VALUE!</v>
      </c>
      <c r="J482" s="1224"/>
      <c r="K482" s="1221">
        <f>K$17/100</f>
        <v>1</v>
      </c>
      <c r="L482" s="1218" t="e">
        <f ca="1">K482*$H482</f>
        <v>#VALUE!</v>
      </c>
      <c r="M482" s="1219" t="e">
        <f ca="1">IF(AND(INDEX(FlowCalConstA,MATCH(J481,FlowCalNumber,0),1,1)*L482^INDEX(FlowCalConstB,MATCH(J481,FlowCalNumber,0),1,1)&gt;INDEX(FlowCalLowSetting,MATCH(J481,FlowCalNumber,0),1,1), (INDEX(FlowCalConstA,MATCH(J481,FlowCalNumber,0),1,1)*L482^INDEX(FlowCalConstB,MATCH(J481,FlowCalNumber,0),1,1)&lt;INDEX(FlowCalHighSetting,MATCH(J481,FlowCalNumber,0),1,1))),INDEX(FlowCalConstA,MATCH(J481,FlowCalNumber,0),1,1)*L482^INDEX(FlowCalConstB,MATCH(J481,FlowCalNumber,0),1,1)," ")</f>
        <v>#N/A</v>
      </c>
      <c r="N482" s="1224"/>
      <c r="O482" s="1221">
        <f>O$17/100</f>
        <v>1</v>
      </c>
      <c r="P482" s="1218" t="e">
        <f ca="1">O482*$H482</f>
        <v>#VALUE!</v>
      </c>
      <c r="Q482" s="1219" t="e">
        <f ca="1">IF(AND(INDEX(FlowCalConstA,MATCH(N481,FlowCalNumber,0),1,1)*P482^INDEX(FlowCalConstB,MATCH(N481,FlowCalNumber,0),1,1)&gt;INDEX(FlowCalLowSetting,MATCH(N481,FlowCalNumber,0),1,1), (INDEX(FlowCalConstA,MATCH(N481,FlowCalNumber,0),1,1)*P482^INDEX(FlowCalConstB,MATCH(N481,FlowCalNumber,0),1,1)&lt;INDEX(FlowCalHighSetting,MATCH(N481,FlowCalNumber,0),1,1))),INDEX(FlowCalConstA,MATCH(N481,FlowCalNumber,0),1,1)*P482^INDEX(FlowCalConstB,MATCH(N481,FlowCalNumber,0),1,1)," ")</f>
        <v>#N/A</v>
      </c>
      <c r="R482" s="1224"/>
      <c r="S482" s="1221">
        <f>S$17/100</f>
        <v>1</v>
      </c>
      <c r="T482" s="1218" t="e">
        <f ca="1">S482*$H482</f>
        <v>#VALUE!</v>
      </c>
      <c r="U482" s="1219" t="e">
        <f ca="1">IF(AND(INDEX(FlowCalConstA,MATCH(R481,FlowCalNumber,0),1,1)*T482^INDEX(FlowCalConstB,MATCH(R481,FlowCalNumber,0),1,1)&gt;INDEX(FlowCalLowSetting,MATCH(R481,FlowCalNumber,0),1,1), (INDEX(FlowCalConstA,MATCH(R481,FlowCalNumber,0),1,1)*T482^INDEX(FlowCalConstB,MATCH(R481,FlowCalNumber,0),1,1)&lt;INDEX(FlowCalHighSetting,MATCH(R481,FlowCalNumber,0),1,1))),INDEX(FlowCalConstA,MATCH(R481,FlowCalNumber,0),1,1)*T482^INDEX(FlowCalConstB,MATCH(R481,FlowCalNumber,0),1,1)," ")</f>
        <v>#N/A</v>
      </c>
      <c r="V482" s="1224"/>
      <c r="W482" s="1221"/>
      <c r="X482" s="1218"/>
      <c r="Y482" s="1219"/>
      <c r="Z482" s="1224"/>
      <c r="AA482" s="1221"/>
      <c r="AB482" s="1218"/>
      <c r="AC482" s="1219"/>
      <c r="AD482" s="1224"/>
      <c r="AE482" s="1221"/>
      <c r="AF482" s="1218"/>
      <c r="AG482" s="1219"/>
      <c r="AH482" s="1224"/>
      <c r="AI482" s="1221"/>
      <c r="AJ482" s="1218"/>
      <c r="AK482" s="1220"/>
      <c r="AL482" s="1219"/>
      <c r="AM482" s="1219"/>
      <c r="AN482" s="1219"/>
      <c r="AO482" s="1219"/>
      <c r="AP482" s="1219"/>
      <c r="AQ482" s="1219"/>
      <c r="AR482" s="1219"/>
      <c r="AS482" s="1219"/>
      <c r="AT482" s="1219"/>
      <c r="AU482" s="1219"/>
      <c r="AV482" s="1219"/>
      <c r="AW482" s="1219"/>
      <c r="AX482" s="1219"/>
      <c r="AY482" s="1219"/>
      <c r="AZ482" s="1219"/>
      <c r="BA482" s="1219"/>
      <c r="BB482" s="1219"/>
      <c r="BC482" s="1219"/>
      <c r="BD482" s="1219"/>
      <c r="BE482" s="1219"/>
      <c r="BF482" s="1219"/>
      <c r="BG482" s="1219"/>
      <c r="BH482" s="1219"/>
      <c r="BI482" s="1219"/>
      <c r="BJ482" s="1219"/>
      <c r="BK482" s="1219"/>
      <c r="BL482" s="1219"/>
      <c r="BM482" s="1219"/>
      <c r="BN482" s="1219"/>
      <c r="BO482" s="1219"/>
      <c r="BP482" s="1219"/>
      <c r="BQ482" s="1219"/>
      <c r="BR482" s="1219"/>
      <c r="BS482" s="1219"/>
      <c r="BU482" s="1225"/>
      <c r="BW482" s="1219"/>
      <c r="BY482" s="1225"/>
      <c r="CA482" s="1219"/>
      <c r="CC482" s="1225"/>
      <c r="CE482" s="1219"/>
      <c r="CG482" s="1221"/>
      <c r="CI482" s="1219"/>
    </row>
    <row r="483" spans="1:87">
      <c r="A483" s="20"/>
      <c r="B483" s="124" t="str">
        <f t="shared" si="224"/>
        <v/>
      </c>
      <c r="C483" s="235"/>
      <c r="D483" s="24">
        <f>'1% Wind'!$M$83</f>
        <v>23.5</v>
      </c>
      <c r="E483" s="90"/>
      <c r="F483" s="90"/>
      <c r="G483" s="79">
        <f ca="1">IF(I481=0.9743,$G482,MAX(G482/D482*D483,2))</f>
        <v>2</v>
      </c>
      <c r="H483" s="121" t="e">
        <f t="shared" ca="1" si="225"/>
        <v>#VALUE!</v>
      </c>
      <c r="J483" s="33"/>
      <c r="K483" s="242">
        <f t="shared" ref="K483:K496" si="226">K482</f>
        <v>1</v>
      </c>
      <c r="L483" s="241" t="e">
        <f t="shared" ref="L483:L496" ca="1" si="227">K483*$H483</f>
        <v>#VALUE!</v>
      </c>
      <c r="M483" s="243" t="e">
        <f ca="1">IF(AND(INDEX(FlowCalConstA,MATCH(J481,FlowCalNumber,0),1,1)*L483^INDEX(FlowCalConstB,MATCH(J481,FlowCalNumber,0),1,1)&gt;INDEX(FlowCalLowSetting,MATCH(J481,FlowCalNumber,0),1,1), (INDEX(FlowCalConstA,MATCH(J481,FlowCalNumber,0),1,1)*L483^INDEX(FlowCalConstB,MATCH(J481,FlowCalNumber,0),1,1)&lt;INDEX(FlowCalHighSetting,MATCH(J481,FlowCalNumber,0),1,1))),INDEX(FlowCalConstA,MATCH(J481,FlowCalNumber,0),1,1)*L483^INDEX(FlowCalConstB,MATCH(J481,FlowCalNumber,0),1,1)," ")</f>
        <v>#N/A</v>
      </c>
      <c r="N483" s="33"/>
      <c r="O483" s="242">
        <f t="shared" ref="O483:O496" si="228">O482</f>
        <v>1</v>
      </c>
      <c r="P483" s="241" t="e">
        <f t="shared" ref="P483:P496" ca="1" si="229">O483*$H483</f>
        <v>#VALUE!</v>
      </c>
      <c r="Q483" s="243" t="e">
        <f ca="1">IF(AND(INDEX(FlowCalConstA,MATCH(N481,FlowCalNumber,0),1,1)*P483^INDEX(FlowCalConstB,MATCH(N481,FlowCalNumber,0),1,1)&gt;INDEX(FlowCalLowSetting,MATCH(N481,FlowCalNumber,0),1,1), (INDEX(FlowCalConstA,MATCH(N481,FlowCalNumber,0),1,1)*P483^INDEX(FlowCalConstB,MATCH(N481,FlowCalNumber,0),1,1)&lt;INDEX(FlowCalHighSetting,MATCH(N481,FlowCalNumber,0),1,1))),INDEX(FlowCalConstA,MATCH(N481,FlowCalNumber,0),1,1)*P483^INDEX(FlowCalConstB,MATCH(N481,FlowCalNumber,0),1,1)," ")</f>
        <v>#N/A</v>
      </c>
      <c r="R483" s="33"/>
      <c r="S483" s="242">
        <f t="shared" ref="S483:S496" si="230">S482</f>
        <v>1</v>
      </c>
      <c r="T483" s="241" t="e">
        <f t="shared" ref="T483:T496" ca="1" si="231">S483*$H483</f>
        <v>#VALUE!</v>
      </c>
      <c r="U483" s="243" t="e">
        <f ca="1">IF(AND(INDEX(FlowCalConstA,MATCH(R481,FlowCalNumber,0),1,1)*T483^INDEX(FlowCalConstB,MATCH(R481,FlowCalNumber,0),1,1)&gt;INDEX(FlowCalLowSetting,MATCH(R481,FlowCalNumber,0),1,1), (INDEX(FlowCalConstA,MATCH(R481,FlowCalNumber,0),1,1)*T483^INDEX(FlowCalConstB,MATCH(R481,FlowCalNumber,0),1,1)&lt;INDEX(FlowCalHighSetting,MATCH(R481,FlowCalNumber,0),1,1))),INDEX(FlowCalConstA,MATCH(R481,FlowCalNumber,0),1,1)*T483^INDEX(FlowCalConstB,MATCH(R481,FlowCalNumber,0),1,1)," ")</f>
        <v>#N/A</v>
      </c>
      <c r="V483" s="33"/>
      <c r="W483" s="242"/>
      <c r="X483" s="241"/>
      <c r="Y483" s="243"/>
      <c r="Z483" s="33"/>
      <c r="AA483" s="242"/>
      <c r="AB483" s="241"/>
      <c r="AC483" s="243"/>
      <c r="AD483" s="33"/>
      <c r="AE483" s="242"/>
      <c r="AF483" s="241"/>
      <c r="AG483" s="243"/>
      <c r="AH483" s="33"/>
      <c r="AI483" s="242"/>
      <c r="AJ483" s="241"/>
      <c r="AK483" s="244"/>
      <c r="AL483" s="243"/>
      <c r="AM483" s="243"/>
      <c r="AN483" s="243"/>
      <c r="AO483" s="243"/>
      <c r="AP483" s="243"/>
      <c r="AQ483" s="243"/>
      <c r="AR483" s="243"/>
      <c r="AS483" s="243"/>
      <c r="AT483" s="243"/>
      <c r="AU483" s="243"/>
      <c r="AV483" s="243"/>
      <c r="AW483" s="243"/>
      <c r="AX483" s="243"/>
      <c r="AY483" s="243"/>
      <c r="AZ483" s="243"/>
      <c r="BA483" s="243"/>
      <c r="BB483" s="243"/>
      <c r="BC483" s="243"/>
      <c r="BD483" s="243"/>
      <c r="BE483" s="243"/>
      <c r="BF483" s="243"/>
      <c r="BG483" s="243"/>
      <c r="BH483" s="243"/>
      <c r="BI483" s="243"/>
      <c r="BJ483" s="243"/>
      <c r="BK483" s="243"/>
      <c r="BL483" s="243"/>
      <c r="BM483" s="243"/>
      <c r="BN483" s="243"/>
      <c r="BO483" s="243"/>
      <c r="BP483" s="243"/>
      <c r="BQ483" s="243"/>
      <c r="BR483" s="243"/>
      <c r="BS483" s="243"/>
      <c r="BU483" s="242"/>
      <c r="BW483" s="243"/>
      <c r="BY483" s="242"/>
      <c r="CA483" s="243"/>
      <c r="CC483" s="242"/>
      <c r="CE483" s="243"/>
      <c r="CG483" s="242"/>
      <c r="CI483" s="243"/>
    </row>
    <row r="484" spans="1:87" s="1215" customFormat="1">
      <c r="A484" s="1222"/>
      <c r="B484" s="1223" t="str">
        <f t="shared" si="224"/>
        <v/>
      </c>
      <c r="C484" s="1210"/>
      <c r="D484" s="1211">
        <f>'1% Wind'!$M$84</f>
        <v>20.5</v>
      </c>
      <c r="E484" s="1212"/>
      <c r="F484" s="1212"/>
      <c r="G484" s="1213">
        <f ca="1">IF(I481=0.9743,$G483,MAX(G483/D483*D484,2))</f>
        <v>2</v>
      </c>
      <c r="H484" s="1214" t="e">
        <f t="shared" ca="1" si="225"/>
        <v>#VALUE!</v>
      </c>
      <c r="J484" s="1224"/>
      <c r="K484" s="1217">
        <f t="shared" si="226"/>
        <v>1</v>
      </c>
      <c r="L484" s="1218" t="e">
        <f t="shared" ca="1" si="227"/>
        <v>#VALUE!</v>
      </c>
      <c r="M484" s="1219" t="e">
        <f ca="1">IF(AND(INDEX(FlowCalConstA,MATCH(J481,FlowCalNumber,0),1,1)*L484^INDEX(FlowCalConstB,MATCH(J481,FlowCalNumber,0),1,1)&gt;INDEX(FlowCalLowSetting,MATCH(J481,FlowCalNumber,0),1,1), (INDEX(FlowCalConstA,MATCH(J481,FlowCalNumber,0),1,1)*L484^INDEX(FlowCalConstB,MATCH(J481,FlowCalNumber,0),1,1)&lt;INDEX(FlowCalHighSetting,MATCH(J481,FlowCalNumber,0),1,1))),INDEX(FlowCalConstA,MATCH(J481,FlowCalNumber,0),1,1)*L484^INDEX(FlowCalConstB,MATCH(J481,FlowCalNumber,0),1,1)," ")</f>
        <v>#N/A</v>
      </c>
      <c r="N484" s="1224"/>
      <c r="O484" s="1217">
        <f t="shared" si="228"/>
        <v>1</v>
      </c>
      <c r="P484" s="1218" t="e">
        <f t="shared" ca="1" si="229"/>
        <v>#VALUE!</v>
      </c>
      <c r="Q484" s="1219" t="e">
        <f ca="1">IF(AND(INDEX(FlowCalConstA,MATCH(N481,FlowCalNumber,0),1,1)*P484^INDEX(FlowCalConstB,MATCH(N481,FlowCalNumber,0),1,1)&gt;INDEX(FlowCalLowSetting,MATCH(N481,FlowCalNumber,0),1,1), (INDEX(FlowCalConstA,MATCH(N481,FlowCalNumber,0),1,1)*P484^INDEX(FlowCalConstB,MATCH(N481,FlowCalNumber,0),1,1)&lt;INDEX(FlowCalHighSetting,MATCH(N481,FlowCalNumber,0),1,1))),INDEX(FlowCalConstA,MATCH(N481,FlowCalNumber,0),1,1)*P484^INDEX(FlowCalConstB,MATCH(N481,FlowCalNumber,0),1,1)," ")</f>
        <v>#N/A</v>
      </c>
      <c r="R484" s="1224"/>
      <c r="S484" s="1217">
        <f t="shared" si="230"/>
        <v>1</v>
      </c>
      <c r="T484" s="1218" t="e">
        <f t="shared" ca="1" si="231"/>
        <v>#VALUE!</v>
      </c>
      <c r="U484" s="1219" t="e">
        <f ca="1">IF(AND(INDEX(FlowCalConstA,MATCH(R481,FlowCalNumber,0),1,1)*T484^INDEX(FlowCalConstB,MATCH(R481,FlowCalNumber,0),1,1)&gt;INDEX(FlowCalLowSetting,MATCH(R481,FlowCalNumber,0),1,1), (INDEX(FlowCalConstA,MATCH(R481,FlowCalNumber,0),1,1)*T484^INDEX(FlowCalConstB,MATCH(R481,FlowCalNumber,0),1,1)&lt;INDEX(FlowCalHighSetting,MATCH(R481,FlowCalNumber,0),1,1))),INDEX(FlowCalConstA,MATCH(R481,FlowCalNumber,0),1,1)*T484^INDEX(FlowCalConstB,MATCH(R481,FlowCalNumber,0),1,1)," ")</f>
        <v>#N/A</v>
      </c>
      <c r="V484" s="1224"/>
      <c r="W484" s="1217"/>
      <c r="X484" s="1218"/>
      <c r="Y484" s="1219"/>
      <c r="Z484" s="1224"/>
      <c r="AA484" s="1217"/>
      <c r="AB484" s="1218"/>
      <c r="AC484" s="1219"/>
      <c r="AD484" s="1224"/>
      <c r="AE484" s="1217"/>
      <c r="AF484" s="1218"/>
      <c r="AG484" s="1219"/>
      <c r="AH484" s="1224"/>
      <c r="AI484" s="1217"/>
      <c r="AJ484" s="1218"/>
      <c r="AK484" s="1220"/>
      <c r="AL484" s="1219"/>
      <c r="AM484" s="1219"/>
      <c r="AN484" s="1219"/>
      <c r="AO484" s="1219"/>
      <c r="AP484" s="1219"/>
      <c r="AQ484" s="1219"/>
      <c r="AR484" s="1219"/>
      <c r="AS484" s="1219"/>
      <c r="AT484" s="1219"/>
      <c r="AU484" s="1219"/>
      <c r="AV484" s="1219"/>
      <c r="AW484" s="1219"/>
      <c r="AX484" s="1219"/>
      <c r="AY484" s="1219"/>
      <c r="AZ484" s="1219"/>
      <c r="BA484" s="1219"/>
      <c r="BB484" s="1219"/>
      <c r="BC484" s="1219"/>
      <c r="BD484" s="1219"/>
      <c r="BE484" s="1219"/>
      <c r="BF484" s="1219"/>
      <c r="BG484" s="1219"/>
      <c r="BH484" s="1219"/>
      <c r="BI484" s="1219"/>
      <c r="BJ484" s="1219"/>
      <c r="BK484" s="1219"/>
      <c r="BL484" s="1219"/>
      <c r="BM484" s="1219"/>
      <c r="BN484" s="1219"/>
      <c r="BO484" s="1219"/>
      <c r="BP484" s="1219"/>
      <c r="BQ484" s="1219"/>
      <c r="BR484" s="1219"/>
      <c r="BS484" s="1219"/>
      <c r="BU484" s="1217"/>
      <c r="BW484" s="1219"/>
      <c r="BY484" s="1217"/>
      <c r="CA484" s="1219"/>
      <c r="CC484" s="1217"/>
      <c r="CE484" s="1219"/>
      <c r="CG484" s="1217"/>
      <c r="CI484" s="1219"/>
    </row>
    <row r="485" spans="1:87">
      <c r="A485" s="20"/>
      <c r="B485" s="124" t="str">
        <f t="shared" si="224"/>
        <v/>
      </c>
      <c r="C485" s="235"/>
      <c r="D485" s="24">
        <f>'1% Wind'!$M$85</f>
        <v>17.8</v>
      </c>
      <c r="E485" s="90"/>
      <c r="F485" s="90"/>
      <c r="G485" s="79">
        <f ca="1">IF(I481=0.9743,$G484,MAX(G484/D484*D485,2))</f>
        <v>2</v>
      </c>
      <c r="H485" s="121" t="e">
        <f t="shared" ca="1" si="225"/>
        <v>#VALUE!</v>
      </c>
      <c r="J485" s="33"/>
      <c r="K485" s="242">
        <f t="shared" si="226"/>
        <v>1</v>
      </c>
      <c r="L485" s="241" t="e">
        <f t="shared" ca="1" si="227"/>
        <v>#VALUE!</v>
      </c>
      <c r="M485" s="243" t="e">
        <f ca="1">IF(AND(INDEX(FlowCalConstA,MATCH(J481,FlowCalNumber,0),1,1)*L485^INDEX(FlowCalConstB,MATCH(J481,FlowCalNumber,0),1,1)&gt;INDEX(FlowCalLowSetting,MATCH(J481,FlowCalNumber,0),1,1), (INDEX(FlowCalConstA,MATCH(J481,FlowCalNumber,0),1,1)*L485^INDEX(FlowCalConstB,MATCH(J481,FlowCalNumber,0),1,1)&lt;INDEX(FlowCalHighSetting,MATCH(J481,FlowCalNumber,0),1,1))),INDEX(FlowCalConstA,MATCH(J481,FlowCalNumber,0),1,1)*L485^INDEX(FlowCalConstB,MATCH(J481,FlowCalNumber,0),1,1)," ")</f>
        <v>#N/A</v>
      </c>
      <c r="N485" s="33"/>
      <c r="O485" s="242">
        <f t="shared" si="228"/>
        <v>1</v>
      </c>
      <c r="P485" s="241" t="e">
        <f t="shared" ca="1" si="229"/>
        <v>#VALUE!</v>
      </c>
      <c r="Q485" s="243" t="e">
        <f ca="1">IF(AND(INDEX(FlowCalConstA,MATCH(N481,FlowCalNumber,0),1,1)*P485^INDEX(FlowCalConstB,MATCH(N481,FlowCalNumber,0),1,1)&gt;INDEX(FlowCalLowSetting,MATCH(N481,FlowCalNumber,0),1,1), (INDEX(FlowCalConstA,MATCH(N481,FlowCalNumber,0),1,1)*P485^INDEX(FlowCalConstB,MATCH(N481,FlowCalNumber,0),1,1)&lt;INDEX(FlowCalHighSetting,MATCH(N481,FlowCalNumber,0),1,1))),INDEX(FlowCalConstA,MATCH(N481,FlowCalNumber,0),1,1)*P485^INDEX(FlowCalConstB,MATCH(N481,FlowCalNumber,0),1,1)," ")</f>
        <v>#N/A</v>
      </c>
      <c r="R485" s="33"/>
      <c r="S485" s="242">
        <f t="shared" si="230"/>
        <v>1</v>
      </c>
      <c r="T485" s="241" t="e">
        <f t="shared" ca="1" si="231"/>
        <v>#VALUE!</v>
      </c>
      <c r="U485" s="243" t="e">
        <f ca="1">IF(AND(INDEX(FlowCalConstA,MATCH(R481,FlowCalNumber,0),1,1)*T485^INDEX(FlowCalConstB,MATCH(R481,FlowCalNumber,0),1,1)&gt;INDEX(FlowCalLowSetting,MATCH(R481,FlowCalNumber,0),1,1), (INDEX(FlowCalConstA,MATCH(R481,FlowCalNumber,0),1,1)*T485^INDEX(FlowCalConstB,MATCH(R481,FlowCalNumber,0),1,1)&lt;INDEX(FlowCalHighSetting,MATCH(R481,FlowCalNumber,0),1,1))),INDEX(FlowCalConstA,MATCH(R481,FlowCalNumber,0),1,1)*T485^INDEX(FlowCalConstB,MATCH(R481,FlowCalNumber,0),1,1)," ")</f>
        <v>#N/A</v>
      </c>
      <c r="V485" s="33"/>
      <c r="W485" s="242"/>
      <c r="X485" s="241"/>
      <c r="Y485" s="243"/>
      <c r="Z485" s="33"/>
      <c r="AA485" s="242"/>
      <c r="AB485" s="241"/>
      <c r="AC485" s="243"/>
      <c r="AD485" s="33"/>
      <c r="AE485" s="242"/>
      <c r="AF485" s="241"/>
      <c r="AG485" s="243"/>
      <c r="AH485" s="33"/>
      <c r="AI485" s="242"/>
      <c r="AJ485" s="241"/>
      <c r="AK485" s="244"/>
      <c r="AL485" s="243"/>
      <c r="AM485" s="243"/>
      <c r="AN485" s="243"/>
      <c r="AO485" s="243"/>
      <c r="AP485" s="243"/>
      <c r="AQ485" s="243"/>
      <c r="AR485" s="243"/>
      <c r="AS485" s="243"/>
      <c r="AT485" s="243"/>
      <c r="AU485" s="243"/>
      <c r="AV485" s="243"/>
      <c r="AW485" s="243"/>
      <c r="AX485" s="243"/>
      <c r="AY485" s="243"/>
      <c r="AZ485" s="243"/>
      <c r="BA485" s="243"/>
      <c r="BB485" s="243"/>
      <c r="BC485" s="243"/>
      <c r="BD485" s="243"/>
      <c r="BE485" s="243"/>
      <c r="BF485" s="243"/>
      <c r="BG485" s="243"/>
      <c r="BH485" s="243"/>
      <c r="BI485" s="243"/>
      <c r="BJ485" s="243"/>
      <c r="BK485" s="243"/>
      <c r="BL485" s="243"/>
      <c r="BM485" s="243"/>
      <c r="BN485" s="243"/>
      <c r="BO485" s="243"/>
      <c r="BP485" s="243"/>
      <c r="BQ485" s="243"/>
      <c r="BR485" s="243"/>
      <c r="BS485" s="243"/>
      <c r="BU485" s="242"/>
      <c r="BW485" s="243"/>
      <c r="BY485" s="242"/>
      <c r="CA485" s="243"/>
      <c r="CC485" s="242"/>
      <c r="CE485" s="243"/>
      <c r="CG485" s="242"/>
      <c r="CI485" s="243"/>
    </row>
    <row r="486" spans="1:87" s="1215" customFormat="1">
      <c r="A486" s="1222"/>
      <c r="B486" s="1223" t="str">
        <f t="shared" si="224"/>
        <v/>
      </c>
      <c r="C486" s="1210"/>
      <c r="D486" s="1211">
        <f>'1% Wind'!$M$86</f>
        <v>15.5</v>
      </c>
      <c r="E486" s="1212"/>
      <c r="F486" s="1212"/>
      <c r="G486" s="1213">
        <f ca="1">IF(I481=0.9743,$G485,MAX(G485/D485*D486,2))</f>
        <v>2</v>
      </c>
      <c r="H486" s="1214" t="e">
        <f t="shared" ca="1" si="225"/>
        <v>#VALUE!</v>
      </c>
      <c r="J486" s="1224"/>
      <c r="K486" s="1217">
        <f t="shared" si="226"/>
        <v>1</v>
      </c>
      <c r="L486" s="1218" t="e">
        <f t="shared" ca="1" si="227"/>
        <v>#VALUE!</v>
      </c>
      <c r="M486" s="1219" t="e">
        <f ca="1">IF(AND(INDEX(FlowCalConstA,MATCH(J481,FlowCalNumber,0),1,1)*L486^INDEX(FlowCalConstB,MATCH(J481,FlowCalNumber,0),1,1)&gt;INDEX(FlowCalLowSetting,MATCH(J481,FlowCalNumber,0),1,1), (INDEX(FlowCalConstA,MATCH(J481,FlowCalNumber,0),1,1)*L486^INDEX(FlowCalConstB,MATCH(J481,FlowCalNumber,0),1,1)&lt;INDEX(FlowCalHighSetting,MATCH(J481,FlowCalNumber,0),1,1))),INDEX(FlowCalConstA,MATCH(J481,FlowCalNumber,0),1,1)*L486^INDEX(FlowCalConstB,MATCH(J481,FlowCalNumber,0),1,1)," ")</f>
        <v>#N/A</v>
      </c>
      <c r="N486" s="1224"/>
      <c r="O486" s="1217">
        <f t="shared" si="228"/>
        <v>1</v>
      </c>
      <c r="P486" s="1218" t="e">
        <f t="shared" ca="1" si="229"/>
        <v>#VALUE!</v>
      </c>
      <c r="Q486" s="1219" t="e">
        <f ca="1">IF(AND(INDEX(FlowCalConstA,MATCH(N481,FlowCalNumber,0),1,1)*P486^INDEX(FlowCalConstB,MATCH(N481,FlowCalNumber,0),1,1)&gt;INDEX(FlowCalLowSetting,MATCH(N481,FlowCalNumber,0),1,1), (INDEX(FlowCalConstA,MATCH(N481,FlowCalNumber,0),1,1)*P486^INDEX(FlowCalConstB,MATCH(N481,FlowCalNumber,0),1,1)&lt;INDEX(FlowCalHighSetting,MATCH(N481,FlowCalNumber,0),1,1))),INDEX(FlowCalConstA,MATCH(N481,FlowCalNumber,0),1,1)*P486^INDEX(FlowCalConstB,MATCH(N481,FlowCalNumber,0),1,1)," ")</f>
        <v>#N/A</v>
      </c>
      <c r="R486" s="1224"/>
      <c r="S486" s="1217">
        <f t="shared" si="230"/>
        <v>1</v>
      </c>
      <c r="T486" s="1218" t="e">
        <f t="shared" ca="1" si="231"/>
        <v>#VALUE!</v>
      </c>
      <c r="U486" s="1219" t="e">
        <f ca="1">IF(AND(INDEX(FlowCalConstA,MATCH(R481,FlowCalNumber,0),1,1)*T486^INDEX(FlowCalConstB,MATCH(R481,FlowCalNumber,0),1,1)&gt;INDEX(FlowCalLowSetting,MATCH(R481,FlowCalNumber,0),1,1), (INDEX(FlowCalConstA,MATCH(R481,FlowCalNumber,0),1,1)*T486^INDEX(FlowCalConstB,MATCH(R481,FlowCalNumber,0),1,1)&lt;INDEX(FlowCalHighSetting,MATCH(R481,FlowCalNumber,0),1,1))),INDEX(FlowCalConstA,MATCH(R481,FlowCalNumber,0),1,1)*T486^INDEX(FlowCalConstB,MATCH(R481,FlowCalNumber,0),1,1)," ")</f>
        <v>#N/A</v>
      </c>
      <c r="V486" s="1224"/>
      <c r="W486" s="1217"/>
      <c r="X486" s="1218"/>
      <c r="Y486" s="1219"/>
      <c r="Z486" s="1224"/>
      <c r="AA486" s="1217"/>
      <c r="AB486" s="1218"/>
      <c r="AC486" s="1219"/>
      <c r="AD486" s="1224"/>
      <c r="AE486" s="1217"/>
      <c r="AF486" s="1218"/>
      <c r="AG486" s="1219"/>
      <c r="AH486" s="1224"/>
      <c r="AI486" s="1217"/>
      <c r="AJ486" s="1218"/>
      <c r="AK486" s="1220"/>
      <c r="AL486" s="1219"/>
      <c r="AM486" s="1219"/>
      <c r="AN486" s="1219"/>
      <c r="AO486" s="1219"/>
      <c r="AP486" s="1219"/>
      <c r="AQ486" s="1219"/>
      <c r="AR486" s="1219"/>
      <c r="AS486" s="1219"/>
      <c r="AT486" s="1219"/>
      <c r="AU486" s="1219"/>
      <c r="AV486" s="1219"/>
      <c r="AW486" s="1219"/>
      <c r="AX486" s="1219"/>
      <c r="AY486" s="1219"/>
      <c r="AZ486" s="1219"/>
      <c r="BA486" s="1219"/>
      <c r="BB486" s="1219"/>
      <c r="BC486" s="1219"/>
      <c r="BD486" s="1219"/>
      <c r="BE486" s="1219"/>
      <c r="BF486" s="1219"/>
      <c r="BG486" s="1219"/>
      <c r="BH486" s="1219"/>
      <c r="BI486" s="1219"/>
      <c r="BJ486" s="1219"/>
      <c r="BK486" s="1219"/>
      <c r="BL486" s="1219"/>
      <c r="BM486" s="1219"/>
      <c r="BN486" s="1219"/>
      <c r="BO486" s="1219"/>
      <c r="BP486" s="1219"/>
      <c r="BQ486" s="1219"/>
      <c r="BR486" s="1219"/>
      <c r="BS486" s="1219"/>
      <c r="BU486" s="1217"/>
      <c r="BW486" s="1219"/>
      <c r="BY486" s="1217"/>
      <c r="CA486" s="1219"/>
      <c r="CC486" s="1217"/>
      <c r="CE486" s="1219"/>
      <c r="CG486" s="1217"/>
      <c r="CI486" s="1219"/>
    </row>
    <row r="487" spans="1:87">
      <c r="A487" s="20"/>
      <c r="B487" s="124" t="str">
        <f t="shared" si="224"/>
        <v/>
      </c>
      <c r="C487" s="235"/>
      <c r="D487" s="24">
        <f>'1% Wind'!$M$87</f>
        <v>13.5</v>
      </c>
      <c r="E487" s="90"/>
      <c r="F487" s="90"/>
      <c r="G487" s="79">
        <f ca="1">IF(I481=0.9743,$G486,MAX(G486/D486*D487,2))</f>
        <v>2</v>
      </c>
      <c r="H487" s="121" t="e">
        <f t="shared" ca="1" si="225"/>
        <v>#VALUE!</v>
      </c>
      <c r="J487" s="33"/>
      <c r="K487" s="242">
        <f t="shared" si="226"/>
        <v>1</v>
      </c>
      <c r="L487" s="241" t="e">
        <f t="shared" ca="1" si="227"/>
        <v>#VALUE!</v>
      </c>
      <c r="M487" s="243" t="e">
        <f ca="1">IF(AND(INDEX(FlowCalConstA,MATCH(J481,FlowCalNumber,0),1,1)*L487^INDEX(FlowCalConstB,MATCH(J481,FlowCalNumber,0),1,1)&gt;INDEX(FlowCalLowSetting,MATCH(J481,FlowCalNumber,0),1,1), (INDEX(FlowCalConstA,MATCH(J481,FlowCalNumber,0),1,1)*L487^INDEX(FlowCalConstB,MATCH(J481,FlowCalNumber,0),1,1)&lt;INDEX(FlowCalHighSetting,MATCH(J481,FlowCalNumber,0),1,1))),INDEX(FlowCalConstA,MATCH(J481,FlowCalNumber,0),1,1)*L487^INDEX(FlowCalConstB,MATCH(J481,FlowCalNumber,0),1,1)," ")</f>
        <v>#N/A</v>
      </c>
      <c r="N487" s="33"/>
      <c r="O487" s="242">
        <f t="shared" si="228"/>
        <v>1</v>
      </c>
      <c r="P487" s="241" t="e">
        <f t="shared" ca="1" si="229"/>
        <v>#VALUE!</v>
      </c>
      <c r="Q487" s="243" t="e">
        <f ca="1">IF(AND(INDEX(FlowCalConstA,MATCH(N481,FlowCalNumber,0),1,1)*P487^INDEX(FlowCalConstB,MATCH(N481,FlowCalNumber,0),1,1)&gt;INDEX(FlowCalLowSetting,MATCH(N481,FlowCalNumber,0),1,1), (INDEX(FlowCalConstA,MATCH(N481,FlowCalNumber,0),1,1)*P487^INDEX(FlowCalConstB,MATCH(N481,FlowCalNumber,0),1,1)&lt;INDEX(FlowCalHighSetting,MATCH(N481,FlowCalNumber,0),1,1))),INDEX(FlowCalConstA,MATCH(N481,FlowCalNumber,0),1,1)*P487^INDEX(FlowCalConstB,MATCH(N481,FlowCalNumber,0),1,1)," ")</f>
        <v>#N/A</v>
      </c>
      <c r="R487" s="33"/>
      <c r="S487" s="242">
        <f t="shared" si="230"/>
        <v>1</v>
      </c>
      <c r="T487" s="241" t="e">
        <f t="shared" ca="1" si="231"/>
        <v>#VALUE!</v>
      </c>
      <c r="U487" s="243" t="e">
        <f ca="1">IF(AND(INDEX(FlowCalConstA,MATCH(R481,FlowCalNumber,0),1,1)*T487^INDEX(FlowCalConstB,MATCH(R481,FlowCalNumber,0),1,1)&gt;INDEX(FlowCalLowSetting,MATCH(R481,FlowCalNumber,0),1,1), (INDEX(FlowCalConstA,MATCH(R481,FlowCalNumber,0),1,1)*T487^INDEX(FlowCalConstB,MATCH(R481,FlowCalNumber,0),1,1)&lt;INDEX(FlowCalHighSetting,MATCH(R481,FlowCalNumber,0),1,1))),INDEX(FlowCalConstA,MATCH(R481,FlowCalNumber,0),1,1)*T487^INDEX(FlowCalConstB,MATCH(R481,FlowCalNumber,0),1,1)," ")</f>
        <v>#N/A</v>
      </c>
      <c r="V487" s="33"/>
      <c r="W487" s="242"/>
      <c r="X487" s="241"/>
      <c r="Y487" s="243"/>
      <c r="Z487" s="33"/>
      <c r="AA487" s="242"/>
      <c r="AB487" s="241"/>
      <c r="AC487" s="243"/>
      <c r="AD487" s="33"/>
      <c r="AE487" s="242"/>
      <c r="AF487" s="241"/>
      <c r="AG487" s="243"/>
      <c r="AH487" s="33"/>
      <c r="AI487" s="242"/>
      <c r="AJ487" s="241"/>
      <c r="AK487" s="244"/>
      <c r="AL487" s="243"/>
      <c r="AM487" s="243"/>
      <c r="AN487" s="243"/>
      <c r="AO487" s="243"/>
      <c r="AP487" s="243"/>
      <c r="AQ487" s="243"/>
      <c r="AR487" s="243"/>
      <c r="AS487" s="243"/>
      <c r="AT487" s="243"/>
      <c r="AU487" s="243"/>
      <c r="AV487" s="243"/>
      <c r="AW487" s="243"/>
      <c r="AX487" s="243"/>
      <c r="AY487" s="243"/>
      <c r="AZ487" s="243"/>
      <c r="BA487" s="243"/>
      <c r="BB487" s="243"/>
      <c r="BC487" s="243"/>
      <c r="BD487" s="243"/>
      <c r="BE487" s="243"/>
      <c r="BF487" s="243"/>
      <c r="BG487" s="243"/>
      <c r="BH487" s="243"/>
      <c r="BI487" s="243"/>
      <c r="BJ487" s="243"/>
      <c r="BK487" s="243"/>
      <c r="BL487" s="243"/>
      <c r="BM487" s="243"/>
      <c r="BN487" s="243"/>
      <c r="BO487" s="243"/>
      <c r="BP487" s="243"/>
      <c r="BQ487" s="243"/>
      <c r="BR487" s="243"/>
      <c r="BS487" s="243"/>
      <c r="BU487" s="242"/>
      <c r="BW487" s="243"/>
      <c r="BY487" s="242"/>
      <c r="CA487" s="243"/>
      <c r="CC487" s="242"/>
      <c r="CE487" s="243"/>
      <c r="CG487" s="242"/>
      <c r="CI487" s="243"/>
    </row>
    <row r="488" spans="1:87" s="1215" customFormat="1">
      <c r="A488" s="1222"/>
      <c r="B488" s="1223" t="str">
        <f t="shared" si="224"/>
        <v/>
      </c>
      <c r="C488" s="1210"/>
      <c r="D488" s="1211">
        <f>'1% Wind'!$M$88</f>
        <v>10.1</v>
      </c>
      <c r="E488" s="1212"/>
      <c r="F488" s="1212"/>
      <c r="G488" s="1213">
        <f ca="1">IF(I481=0.9743,$G487,MAX(G487/D487*D488,2))</f>
        <v>2</v>
      </c>
      <c r="H488" s="1214" t="e">
        <f t="shared" ca="1" si="225"/>
        <v>#VALUE!</v>
      </c>
      <c r="J488" s="1224"/>
      <c r="K488" s="1217">
        <f t="shared" si="226"/>
        <v>1</v>
      </c>
      <c r="L488" s="1218" t="e">
        <f t="shared" ca="1" si="227"/>
        <v>#VALUE!</v>
      </c>
      <c r="M488" s="1219" t="e">
        <f ca="1">IF(AND(INDEX(FlowCalConstA,MATCH(J481,FlowCalNumber,0),1,1)*L488^INDEX(FlowCalConstB,MATCH(J481,FlowCalNumber,0),1,1)&gt;INDEX(FlowCalLowSetting,MATCH(J481,FlowCalNumber,0),1,1), (INDEX(FlowCalConstA,MATCH(J481,FlowCalNumber,0),1,1)*L488^INDEX(FlowCalConstB,MATCH(J481,FlowCalNumber,0),1,1)&lt;INDEX(FlowCalHighSetting,MATCH(J481,FlowCalNumber,0),1,1))),INDEX(FlowCalConstA,MATCH(J481,FlowCalNumber,0),1,1)*L488^INDEX(FlowCalConstB,MATCH(J481,FlowCalNumber,0),1,1)," ")</f>
        <v>#N/A</v>
      </c>
      <c r="N488" s="1224"/>
      <c r="O488" s="1217">
        <f t="shared" si="228"/>
        <v>1</v>
      </c>
      <c r="P488" s="1218" t="e">
        <f t="shared" ca="1" si="229"/>
        <v>#VALUE!</v>
      </c>
      <c r="Q488" s="1219" t="e">
        <f ca="1">IF(AND(INDEX(FlowCalConstA,MATCH(N481,FlowCalNumber,0),1,1)*P488^INDEX(FlowCalConstB,MATCH(N481,FlowCalNumber,0),1,1)&gt;INDEX(FlowCalLowSetting,MATCH(N481,FlowCalNumber,0),1,1), (INDEX(FlowCalConstA,MATCH(N481,FlowCalNumber,0),1,1)*P488^INDEX(FlowCalConstB,MATCH(N481,FlowCalNumber,0),1,1)&lt;INDEX(FlowCalHighSetting,MATCH(N481,FlowCalNumber,0),1,1))),INDEX(FlowCalConstA,MATCH(N481,FlowCalNumber,0),1,1)*P488^INDEX(FlowCalConstB,MATCH(N481,FlowCalNumber,0),1,1)," ")</f>
        <v>#N/A</v>
      </c>
      <c r="R488" s="1224"/>
      <c r="S488" s="1217">
        <f t="shared" si="230"/>
        <v>1</v>
      </c>
      <c r="T488" s="1218" t="e">
        <f t="shared" ca="1" si="231"/>
        <v>#VALUE!</v>
      </c>
      <c r="U488" s="1219" t="e">
        <f ca="1">IF(AND(INDEX(FlowCalConstA,MATCH(R481,FlowCalNumber,0),1,1)*T488^INDEX(FlowCalConstB,MATCH(R481,FlowCalNumber,0),1,1)&gt;INDEX(FlowCalLowSetting,MATCH(R481,FlowCalNumber,0),1,1), (INDEX(FlowCalConstA,MATCH(R481,FlowCalNumber,0),1,1)*T488^INDEX(FlowCalConstB,MATCH(R481,FlowCalNumber,0),1,1)&lt;INDEX(FlowCalHighSetting,MATCH(R481,FlowCalNumber,0),1,1))),INDEX(FlowCalConstA,MATCH(R481,FlowCalNumber,0),1,1)*T488^INDEX(FlowCalConstB,MATCH(R481,FlowCalNumber,0),1,1)," ")</f>
        <v>#N/A</v>
      </c>
      <c r="V488" s="1224"/>
      <c r="W488" s="1217"/>
      <c r="X488" s="1218"/>
      <c r="Y488" s="1219"/>
      <c r="Z488" s="1224"/>
      <c r="AA488" s="1217"/>
      <c r="AB488" s="1218"/>
      <c r="AC488" s="1219"/>
      <c r="AD488" s="1224"/>
      <c r="AE488" s="1217"/>
      <c r="AF488" s="1218"/>
      <c r="AG488" s="1219"/>
      <c r="AH488" s="1224"/>
      <c r="AI488" s="1217"/>
      <c r="AJ488" s="1218"/>
      <c r="AK488" s="1220"/>
      <c r="AL488" s="1219"/>
      <c r="AM488" s="1219"/>
      <c r="AN488" s="1219"/>
      <c r="AO488" s="1219"/>
      <c r="AP488" s="1219"/>
      <c r="AQ488" s="1219"/>
      <c r="AR488" s="1219"/>
      <c r="AS488" s="1219"/>
      <c r="AT488" s="1219"/>
      <c r="AU488" s="1219"/>
      <c r="AV488" s="1219"/>
      <c r="AW488" s="1219"/>
      <c r="AX488" s="1219"/>
      <c r="AY488" s="1219"/>
      <c r="AZ488" s="1219"/>
      <c r="BA488" s="1219"/>
      <c r="BB488" s="1219"/>
      <c r="BC488" s="1219"/>
      <c r="BD488" s="1219"/>
      <c r="BE488" s="1219"/>
      <c r="BF488" s="1219"/>
      <c r="BG488" s="1219"/>
      <c r="BH488" s="1219"/>
      <c r="BI488" s="1219"/>
      <c r="BJ488" s="1219"/>
      <c r="BK488" s="1219"/>
      <c r="BL488" s="1219"/>
      <c r="BM488" s="1219"/>
      <c r="BN488" s="1219"/>
      <c r="BO488" s="1219"/>
      <c r="BP488" s="1219"/>
      <c r="BQ488" s="1219"/>
      <c r="BR488" s="1219"/>
      <c r="BS488" s="1219"/>
      <c r="BU488" s="1217"/>
      <c r="BW488" s="1219"/>
      <c r="BY488" s="1217"/>
      <c r="CA488" s="1219"/>
      <c r="CC488" s="1217"/>
      <c r="CE488" s="1219"/>
      <c r="CG488" s="1217"/>
      <c r="CI488" s="1219"/>
    </row>
    <row r="489" spans="1:87">
      <c r="A489" s="20"/>
      <c r="B489" s="124" t="str">
        <f t="shared" si="224"/>
        <v/>
      </c>
      <c r="C489" s="235"/>
      <c r="D489" s="24">
        <f>'1% Wind'!$M$89</f>
        <v>7.6</v>
      </c>
      <c r="E489" s="90"/>
      <c r="F489" s="90"/>
      <c r="G489" s="79">
        <f ca="1">IF(I481=0.9743,$G488,MAX(G488/D488*D489,2))</f>
        <v>2</v>
      </c>
      <c r="H489" s="121" t="e">
        <f t="shared" ca="1" si="225"/>
        <v>#VALUE!</v>
      </c>
      <c r="J489" s="33"/>
      <c r="K489" s="242">
        <f t="shared" si="226"/>
        <v>1</v>
      </c>
      <c r="L489" s="241" t="e">
        <f t="shared" ca="1" si="227"/>
        <v>#VALUE!</v>
      </c>
      <c r="M489" s="243" t="e">
        <f ca="1">IF(AND(INDEX(FlowCalConstA,MATCH(J481,FlowCalNumber,0),1,1)*L489^INDEX(FlowCalConstB,MATCH(J481,FlowCalNumber,0),1,1)&gt;INDEX(FlowCalLowSetting,MATCH(J481,FlowCalNumber,0),1,1), (INDEX(FlowCalConstA,MATCH(J481,FlowCalNumber,0),1,1)*L489^INDEX(FlowCalConstB,MATCH(J481,FlowCalNumber,0),1,1)&lt;INDEX(FlowCalHighSetting,MATCH(J481,FlowCalNumber,0),1,1))),INDEX(FlowCalConstA,MATCH(J481,FlowCalNumber,0),1,1)*L489^INDEX(FlowCalConstB,MATCH(J481,FlowCalNumber,0),1,1)," ")</f>
        <v>#N/A</v>
      </c>
      <c r="N489" s="33"/>
      <c r="O489" s="242">
        <f t="shared" si="228"/>
        <v>1</v>
      </c>
      <c r="P489" s="241" t="e">
        <f t="shared" ca="1" si="229"/>
        <v>#VALUE!</v>
      </c>
      <c r="Q489" s="243" t="e">
        <f ca="1">IF(AND(INDEX(FlowCalConstA,MATCH(N481,FlowCalNumber,0),1,1)*P489^INDEX(FlowCalConstB,MATCH(N481,FlowCalNumber,0),1,1)&gt;INDEX(FlowCalLowSetting,MATCH(N481,FlowCalNumber,0),1,1), (INDEX(FlowCalConstA,MATCH(N481,FlowCalNumber,0),1,1)*P489^INDEX(FlowCalConstB,MATCH(N481,FlowCalNumber,0),1,1)&lt;INDEX(FlowCalHighSetting,MATCH(N481,FlowCalNumber,0),1,1))),INDEX(FlowCalConstA,MATCH(N481,FlowCalNumber,0),1,1)*P489^INDEX(FlowCalConstB,MATCH(N481,FlowCalNumber,0),1,1)," ")</f>
        <v>#N/A</v>
      </c>
      <c r="R489" s="33"/>
      <c r="S489" s="242">
        <f t="shared" si="230"/>
        <v>1</v>
      </c>
      <c r="T489" s="241" t="e">
        <f t="shared" ca="1" si="231"/>
        <v>#VALUE!</v>
      </c>
      <c r="U489" s="243" t="e">
        <f ca="1">IF(AND(INDEX(FlowCalConstA,MATCH(R481,FlowCalNumber,0),1,1)*T489^INDEX(FlowCalConstB,MATCH(R481,FlowCalNumber,0),1,1)&gt;INDEX(FlowCalLowSetting,MATCH(R481,FlowCalNumber,0),1,1), (INDEX(FlowCalConstA,MATCH(R481,FlowCalNumber,0),1,1)*T489^INDEX(FlowCalConstB,MATCH(R481,FlowCalNumber,0),1,1)&lt;INDEX(FlowCalHighSetting,MATCH(R481,FlowCalNumber,0),1,1))),INDEX(FlowCalConstA,MATCH(R481,FlowCalNumber,0),1,1)*T489^INDEX(FlowCalConstB,MATCH(R481,FlowCalNumber,0),1,1)," ")</f>
        <v>#N/A</v>
      </c>
      <c r="V489" s="33"/>
      <c r="W489" s="242"/>
      <c r="X489" s="241"/>
      <c r="Y489" s="243"/>
      <c r="Z489" s="33"/>
      <c r="AA489" s="242"/>
      <c r="AB489" s="241"/>
      <c r="AC489" s="243"/>
      <c r="AD489" s="33"/>
      <c r="AE489" s="242"/>
      <c r="AF489" s="241"/>
      <c r="AG489" s="243"/>
      <c r="AH489" s="33"/>
      <c r="AI489" s="242"/>
      <c r="AJ489" s="241"/>
      <c r="AK489" s="244"/>
      <c r="AL489" s="243"/>
      <c r="AM489" s="243"/>
      <c r="AN489" s="243"/>
      <c r="AO489" s="243"/>
      <c r="AP489" s="243"/>
      <c r="AQ489" s="243"/>
      <c r="AR489" s="243"/>
      <c r="AS489" s="243"/>
      <c r="AT489" s="243"/>
      <c r="AU489" s="243"/>
      <c r="AV489" s="243"/>
      <c r="AW489" s="243"/>
      <c r="AX489" s="243"/>
      <c r="AY489" s="243"/>
      <c r="AZ489" s="243"/>
      <c r="BA489" s="243"/>
      <c r="BB489" s="243"/>
      <c r="BC489" s="243"/>
      <c r="BD489" s="243"/>
      <c r="BE489" s="243"/>
      <c r="BF489" s="243"/>
      <c r="BG489" s="243"/>
      <c r="BH489" s="243"/>
      <c r="BI489" s="243"/>
      <c r="BJ489" s="243"/>
      <c r="BK489" s="243"/>
      <c r="BL489" s="243"/>
      <c r="BM489" s="243"/>
      <c r="BN489" s="243"/>
      <c r="BO489" s="243"/>
      <c r="BP489" s="243"/>
      <c r="BQ489" s="243"/>
      <c r="BR489" s="243"/>
      <c r="BS489" s="243"/>
      <c r="BU489" s="242"/>
      <c r="BW489" s="243"/>
      <c r="BY489" s="242"/>
      <c r="CA489" s="243"/>
      <c r="CC489" s="242"/>
      <c r="CE489" s="243"/>
      <c r="CG489" s="242"/>
      <c r="CI489" s="243"/>
    </row>
    <row r="490" spans="1:87" s="1215" customFormat="1">
      <c r="A490" s="1222"/>
      <c r="B490" s="1223" t="str">
        <f t="shared" si="224"/>
        <v/>
      </c>
      <c r="C490" s="1210"/>
      <c r="D490" s="1211">
        <f>'1% Wind'!$M$90</f>
        <v>5.7</v>
      </c>
      <c r="E490" s="1212"/>
      <c r="F490" s="1212"/>
      <c r="G490" s="1213">
        <f ca="1">IF(I481=0.9743,$G489,MAX(G489/D489*D490,2))</f>
        <v>2</v>
      </c>
      <c r="H490" s="1214" t="e">
        <f t="shared" ca="1" si="225"/>
        <v>#VALUE!</v>
      </c>
      <c r="J490" s="1224"/>
      <c r="K490" s="1217">
        <f t="shared" si="226"/>
        <v>1</v>
      </c>
      <c r="L490" s="1218" t="e">
        <f t="shared" ca="1" si="227"/>
        <v>#VALUE!</v>
      </c>
      <c r="M490" s="1219" t="e">
        <f ca="1">IF(AND(INDEX(FlowCalConstA,MATCH(J481,FlowCalNumber,0),1,1)*L490^INDEX(FlowCalConstB,MATCH(J481,FlowCalNumber,0),1,1)&gt;INDEX(FlowCalLowSetting,MATCH(J481,FlowCalNumber,0),1,1), (INDEX(FlowCalConstA,MATCH(J481,FlowCalNumber,0),1,1)*L490^INDEX(FlowCalConstB,MATCH(J481,FlowCalNumber,0),1,1)&lt;INDEX(FlowCalHighSetting,MATCH(J481,FlowCalNumber,0),1,1))),INDEX(FlowCalConstA,MATCH(J481,FlowCalNumber,0),1,1)*L490^INDEX(FlowCalConstB,MATCH(J481,FlowCalNumber,0),1,1)," ")</f>
        <v>#N/A</v>
      </c>
      <c r="N490" s="1224"/>
      <c r="O490" s="1217">
        <f t="shared" si="228"/>
        <v>1</v>
      </c>
      <c r="P490" s="1218" t="e">
        <f t="shared" ca="1" si="229"/>
        <v>#VALUE!</v>
      </c>
      <c r="Q490" s="1219" t="e">
        <f ca="1">IF(AND(INDEX(FlowCalConstA,MATCH(N481,FlowCalNumber,0),1,1)*P490^INDEX(FlowCalConstB,MATCH(N481,FlowCalNumber,0),1,1)&gt;INDEX(FlowCalLowSetting,MATCH(N481,FlowCalNumber,0),1,1), (INDEX(FlowCalConstA,MATCH(N481,FlowCalNumber,0),1,1)*P490^INDEX(FlowCalConstB,MATCH(N481,FlowCalNumber,0),1,1)&lt;INDEX(FlowCalHighSetting,MATCH(N481,FlowCalNumber,0),1,1))),INDEX(FlowCalConstA,MATCH(N481,FlowCalNumber,0),1,1)*P490^INDEX(FlowCalConstB,MATCH(N481,FlowCalNumber,0),1,1)," ")</f>
        <v>#N/A</v>
      </c>
      <c r="R490" s="1224"/>
      <c r="S490" s="1217">
        <f t="shared" si="230"/>
        <v>1</v>
      </c>
      <c r="T490" s="1218" t="e">
        <f t="shared" ca="1" si="231"/>
        <v>#VALUE!</v>
      </c>
      <c r="U490" s="1219" t="e">
        <f ca="1">IF(AND(INDEX(FlowCalConstA,MATCH(R481,FlowCalNumber,0),1,1)*T490^INDEX(FlowCalConstB,MATCH(R481,FlowCalNumber,0),1,1)&gt;INDEX(FlowCalLowSetting,MATCH(R481,FlowCalNumber,0),1,1), (INDEX(FlowCalConstA,MATCH(R481,FlowCalNumber,0),1,1)*T490^INDEX(FlowCalConstB,MATCH(R481,FlowCalNumber,0),1,1)&lt;INDEX(FlowCalHighSetting,MATCH(R481,FlowCalNumber,0),1,1))),INDEX(FlowCalConstA,MATCH(R481,FlowCalNumber,0),1,1)*T490^INDEX(FlowCalConstB,MATCH(R481,FlowCalNumber,0),1,1)," ")</f>
        <v>#N/A</v>
      </c>
      <c r="V490" s="1224"/>
      <c r="W490" s="1217"/>
      <c r="X490" s="1218"/>
      <c r="Y490" s="1219"/>
      <c r="Z490" s="1224"/>
      <c r="AA490" s="1217"/>
      <c r="AB490" s="1218"/>
      <c r="AC490" s="1219"/>
      <c r="AD490" s="1224"/>
      <c r="AE490" s="1217"/>
      <c r="AF490" s="1218"/>
      <c r="AG490" s="1219"/>
      <c r="AH490" s="1224"/>
      <c r="AI490" s="1217"/>
      <c r="AJ490" s="1218"/>
      <c r="AK490" s="1220"/>
      <c r="AL490" s="1219"/>
      <c r="AM490" s="1219"/>
      <c r="AN490" s="1219"/>
      <c r="AO490" s="1219"/>
      <c r="AP490" s="1219"/>
      <c r="AQ490" s="1219"/>
      <c r="AR490" s="1219"/>
      <c r="AS490" s="1219"/>
      <c r="AT490" s="1219"/>
      <c r="AU490" s="1219"/>
      <c r="AV490" s="1219"/>
      <c r="AW490" s="1219"/>
      <c r="AX490" s="1219"/>
      <c r="AY490" s="1219"/>
      <c r="AZ490" s="1219"/>
      <c r="BA490" s="1219"/>
      <c r="BB490" s="1219"/>
      <c r="BC490" s="1219"/>
      <c r="BD490" s="1219"/>
      <c r="BE490" s="1219"/>
      <c r="BF490" s="1219"/>
      <c r="BG490" s="1219"/>
      <c r="BH490" s="1219"/>
      <c r="BI490" s="1219"/>
      <c r="BJ490" s="1219"/>
      <c r="BK490" s="1219"/>
      <c r="BL490" s="1219"/>
      <c r="BM490" s="1219"/>
      <c r="BN490" s="1219"/>
      <c r="BO490" s="1219"/>
      <c r="BP490" s="1219"/>
      <c r="BQ490" s="1219"/>
      <c r="BR490" s="1219"/>
      <c r="BS490" s="1219"/>
      <c r="BU490" s="1217"/>
      <c r="BW490" s="1219"/>
      <c r="BY490" s="1217"/>
      <c r="CA490" s="1219"/>
      <c r="CC490" s="1217"/>
      <c r="CE490" s="1219"/>
      <c r="CG490" s="1217"/>
      <c r="CI490" s="1219"/>
    </row>
    <row r="491" spans="1:87">
      <c r="A491" s="20"/>
      <c r="B491" s="124" t="str">
        <f t="shared" si="224"/>
        <v/>
      </c>
      <c r="C491" s="235"/>
      <c r="D491" s="24">
        <f>'1% Wind'!$M$91</f>
        <v>4.2</v>
      </c>
      <c r="E491" s="90"/>
      <c r="F491" s="90"/>
      <c r="G491" s="79">
        <f ca="1">IF(I481=0.9743,$G490,MAX(G490/D490*D491,2))</f>
        <v>2</v>
      </c>
      <c r="H491" s="121" t="e">
        <f t="shared" ca="1" si="225"/>
        <v>#VALUE!</v>
      </c>
      <c r="J491" s="33"/>
      <c r="K491" s="242">
        <f t="shared" si="226"/>
        <v>1</v>
      </c>
      <c r="L491" s="241" t="e">
        <f t="shared" ca="1" si="227"/>
        <v>#VALUE!</v>
      </c>
      <c r="M491" s="243" t="e">
        <f ca="1">IF(AND(INDEX(FlowCalConstA,MATCH(J481,FlowCalNumber,0),1,1)*L491^INDEX(FlowCalConstB,MATCH(J481,FlowCalNumber,0),1,1)&gt;INDEX(FlowCalLowSetting,MATCH(J481,FlowCalNumber,0),1,1), (INDEX(FlowCalConstA,MATCH(J481,FlowCalNumber,0),1,1)*L491^INDEX(FlowCalConstB,MATCH(J481,FlowCalNumber,0),1,1)&lt;INDEX(FlowCalHighSetting,MATCH(J481,FlowCalNumber,0),1,1))),INDEX(FlowCalConstA,MATCH(J481,FlowCalNumber,0),1,1)*L491^INDEX(FlowCalConstB,MATCH(J481,FlowCalNumber,0),1,1)," ")</f>
        <v>#N/A</v>
      </c>
      <c r="N491" s="33"/>
      <c r="O491" s="242">
        <f t="shared" si="228"/>
        <v>1</v>
      </c>
      <c r="P491" s="241" t="e">
        <f t="shared" ca="1" si="229"/>
        <v>#VALUE!</v>
      </c>
      <c r="Q491" s="243" t="e">
        <f ca="1">IF(AND(INDEX(FlowCalConstA,MATCH(N481,FlowCalNumber,0),1,1)*P491^INDEX(FlowCalConstB,MATCH(N481,FlowCalNumber,0),1,1)&gt;INDEX(FlowCalLowSetting,MATCH(N481,FlowCalNumber,0),1,1), (INDEX(FlowCalConstA,MATCH(N481,FlowCalNumber,0),1,1)*P491^INDEX(FlowCalConstB,MATCH(N481,FlowCalNumber,0),1,1)&lt;INDEX(FlowCalHighSetting,MATCH(N481,FlowCalNumber,0),1,1))),INDEX(FlowCalConstA,MATCH(N481,FlowCalNumber,0),1,1)*P491^INDEX(FlowCalConstB,MATCH(N481,FlowCalNumber,0),1,1)," ")</f>
        <v>#N/A</v>
      </c>
      <c r="R491" s="33"/>
      <c r="S491" s="242">
        <f t="shared" si="230"/>
        <v>1</v>
      </c>
      <c r="T491" s="241" t="e">
        <f t="shared" ca="1" si="231"/>
        <v>#VALUE!</v>
      </c>
      <c r="U491" s="243" t="e">
        <f ca="1">IF(AND(INDEX(FlowCalConstA,MATCH(R481,FlowCalNumber,0),1,1)*T491^INDEX(FlowCalConstB,MATCH(R481,FlowCalNumber,0),1,1)&gt;INDEX(FlowCalLowSetting,MATCH(R481,FlowCalNumber,0),1,1), (INDEX(FlowCalConstA,MATCH(R481,FlowCalNumber,0),1,1)*T491^INDEX(FlowCalConstB,MATCH(R481,FlowCalNumber,0),1,1)&lt;INDEX(FlowCalHighSetting,MATCH(R481,FlowCalNumber,0),1,1))),INDEX(FlowCalConstA,MATCH(R481,FlowCalNumber,0),1,1)*T491^INDEX(FlowCalConstB,MATCH(R481,FlowCalNumber,0),1,1)," ")</f>
        <v>#N/A</v>
      </c>
      <c r="V491" s="33"/>
      <c r="W491" s="242"/>
      <c r="X491" s="241"/>
      <c r="Y491" s="243"/>
      <c r="Z491" s="33"/>
      <c r="AA491" s="242"/>
      <c r="AB491" s="241"/>
      <c r="AC491" s="243"/>
      <c r="AD491" s="33"/>
      <c r="AE491" s="242"/>
      <c r="AF491" s="241"/>
      <c r="AG491" s="243"/>
      <c r="AH491" s="33"/>
      <c r="AI491" s="242"/>
      <c r="AJ491" s="241"/>
      <c r="AK491" s="244"/>
      <c r="AL491" s="243"/>
      <c r="AM491" s="243"/>
      <c r="AN491" s="243"/>
      <c r="AO491" s="243"/>
      <c r="AP491" s="243"/>
      <c r="AQ491" s="243"/>
      <c r="AR491" s="243"/>
      <c r="AS491" s="243"/>
      <c r="AT491" s="243"/>
      <c r="AU491" s="243"/>
      <c r="AV491" s="243"/>
      <c r="AW491" s="243"/>
      <c r="AX491" s="243"/>
      <c r="AY491" s="243"/>
      <c r="AZ491" s="243"/>
      <c r="BA491" s="243"/>
      <c r="BB491" s="243"/>
      <c r="BC491" s="243"/>
      <c r="BD491" s="243"/>
      <c r="BE491" s="243"/>
      <c r="BF491" s="243"/>
      <c r="BG491" s="243"/>
      <c r="BH491" s="243"/>
      <c r="BI491" s="243"/>
      <c r="BJ491" s="243"/>
      <c r="BK491" s="243"/>
      <c r="BL491" s="243"/>
      <c r="BM491" s="243"/>
      <c r="BN491" s="243"/>
      <c r="BO491" s="243"/>
      <c r="BP491" s="243"/>
      <c r="BQ491" s="243"/>
      <c r="BR491" s="243"/>
      <c r="BS491" s="243"/>
      <c r="BU491" s="242"/>
      <c r="BW491" s="243"/>
      <c r="BY491" s="242"/>
      <c r="CA491" s="243"/>
      <c r="CC491" s="242"/>
      <c r="CE491" s="243"/>
      <c r="CG491" s="242"/>
      <c r="CI491" s="243"/>
    </row>
    <row r="492" spans="1:87" s="1215" customFormat="1">
      <c r="A492" s="1222"/>
      <c r="B492" s="1223" t="str">
        <f t="shared" si="224"/>
        <v/>
      </c>
      <c r="C492" s="1210"/>
      <c r="D492" s="1211">
        <f>'1% Wind'!$M$92</f>
        <v>3.2</v>
      </c>
      <c r="E492" s="1212"/>
      <c r="F492" s="1212"/>
      <c r="G492" s="1213">
        <f ca="1">IF(I481=0.9743,$G491,MAX(G491/D491*D492,2))</f>
        <v>2</v>
      </c>
      <c r="H492" s="1214" t="e">
        <f t="shared" ca="1" si="225"/>
        <v>#VALUE!</v>
      </c>
      <c r="J492" s="1224"/>
      <c r="K492" s="1217">
        <f t="shared" si="226"/>
        <v>1</v>
      </c>
      <c r="L492" s="1218" t="e">
        <f t="shared" ca="1" si="227"/>
        <v>#VALUE!</v>
      </c>
      <c r="M492" s="1219" t="e">
        <f ca="1">IF(AND(INDEX(FlowCalConstA,MATCH(J481,FlowCalNumber,0),1,1)*L492^INDEX(FlowCalConstB,MATCH(J481,FlowCalNumber,0),1,1)&gt;INDEX(FlowCalLowSetting,MATCH(J481,FlowCalNumber,0),1,1), (INDEX(FlowCalConstA,MATCH(J481,FlowCalNumber,0),1,1)*L492^INDEX(FlowCalConstB,MATCH(J481,FlowCalNumber,0),1,1)&lt;INDEX(FlowCalHighSetting,MATCH(J481,FlowCalNumber,0),1,1))),INDEX(FlowCalConstA,MATCH(J481,FlowCalNumber,0),1,1)*L492^INDEX(FlowCalConstB,MATCH(J481,FlowCalNumber,0),1,1)," ")</f>
        <v>#N/A</v>
      </c>
      <c r="N492" s="1224"/>
      <c r="O492" s="1217">
        <f t="shared" si="228"/>
        <v>1</v>
      </c>
      <c r="P492" s="1218" t="e">
        <f t="shared" ca="1" si="229"/>
        <v>#VALUE!</v>
      </c>
      <c r="Q492" s="1219" t="e">
        <f ca="1">IF(AND(INDEX(FlowCalConstA,MATCH(N481,FlowCalNumber,0),1,1)*P492^INDEX(FlowCalConstB,MATCH(N481,FlowCalNumber,0),1,1)&gt;INDEX(FlowCalLowSetting,MATCH(N481,FlowCalNumber,0),1,1), (INDEX(FlowCalConstA,MATCH(N481,FlowCalNumber,0),1,1)*P492^INDEX(FlowCalConstB,MATCH(N481,FlowCalNumber,0),1,1)&lt;INDEX(FlowCalHighSetting,MATCH(N481,FlowCalNumber,0),1,1))),INDEX(FlowCalConstA,MATCH(N481,FlowCalNumber,0),1,1)*P492^INDEX(FlowCalConstB,MATCH(N481,FlowCalNumber,0),1,1)," ")</f>
        <v>#N/A</v>
      </c>
      <c r="R492" s="1224"/>
      <c r="S492" s="1217">
        <f t="shared" si="230"/>
        <v>1</v>
      </c>
      <c r="T492" s="1218" t="e">
        <f t="shared" ca="1" si="231"/>
        <v>#VALUE!</v>
      </c>
      <c r="U492" s="1219" t="e">
        <f ca="1">IF(AND(INDEX(FlowCalConstA,MATCH(R481,FlowCalNumber,0),1,1)*T492^INDEX(FlowCalConstB,MATCH(R481,FlowCalNumber,0),1,1)&gt;INDEX(FlowCalLowSetting,MATCH(R481,FlowCalNumber,0),1,1), (INDEX(FlowCalConstA,MATCH(R481,FlowCalNumber,0),1,1)*T492^INDEX(FlowCalConstB,MATCH(R481,FlowCalNumber,0),1,1)&lt;INDEX(FlowCalHighSetting,MATCH(R481,FlowCalNumber,0),1,1))),INDEX(FlowCalConstA,MATCH(R481,FlowCalNumber,0),1,1)*T492^INDEX(FlowCalConstB,MATCH(R481,FlowCalNumber,0),1,1)," ")</f>
        <v>#N/A</v>
      </c>
      <c r="V492" s="1224"/>
      <c r="W492" s="1217"/>
      <c r="X492" s="1218"/>
      <c r="Y492" s="1219"/>
      <c r="Z492" s="1224"/>
      <c r="AA492" s="1217"/>
      <c r="AB492" s="1218"/>
      <c r="AC492" s="1219"/>
      <c r="AD492" s="1224"/>
      <c r="AE492" s="1217"/>
      <c r="AF492" s="1218"/>
      <c r="AG492" s="1219"/>
      <c r="AH492" s="1224"/>
      <c r="AI492" s="1217"/>
      <c r="AJ492" s="1218"/>
      <c r="AK492" s="1220"/>
      <c r="AL492" s="1219"/>
      <c r="AM492" s="1219"/>
      <c r="AN492" s="1219"/>
      <c r="AO492" s="1219"/>
      <c r="AP492" s="1219"/>
      <c r="AQ492" s="1219"/>
      <c r="AR492" s="1219"/>
      <c r="AS492" s="1219"/>
      <c r="AT492" s="1219"/>
      <c r="AU492" s="1219"/>
      <c r="AV492" s="1219"/>
      <c r="AW492" s="1219"/>
      <c r="AX492" s="1219"/>
      <c r="AY492" s="1219"/>
      <c r="AZ492" s="1219"/>
      <c r="BA492" s="1219"/>
      <c r="BB492" s="1219"/>
      <c r="BC492" s="1219"/>
      <c r="BD492" s="1219"/>
      <c r="BE492" s="1219"/>
      <c r="BF492" s="1219"/>
      <c r="BG492" s="1219"/>
      <c r="BH492" s="1219"/>
      <c r="BI492" s="1219"/>
      <c r="BJ492" s="1219"/>
      <c r="BK492" s="1219"/>
      <c r="BL492" s="1219"/>
      <c r="BM492" s="1219"/>
      <c r="BN492" s="1219"/>
      <c r="BO492" s="1219"/>
      <c r="BP492" s="1219"/>
      <c r="BQ492" s="1219"/>
      <c r="BR492" s="1219"/>
      <c r="BS492" s="1219"/>
      <c r="BU492" s="1217"/>
      <c r="BW492" s="1219"/>
      <c r="BY492" s="1217"/>
      <c r="CA492" s="1219"/>
      <c r="CC492" s="1217"/>
      <c r="CE492" s="1219"/>
      <c r="CG492" s="1217"/>
      <c r="CI492" s="1219"/>
    </row>
    <row r="493" spans="1:87">
      <c r="A493" s="20"/>
      <c r="B493" s="124" t="str">
        <f t="shared" si="224"/>
        <v/>
      </c>
      <c r="C493" s="235"/>
      <c r="D493" s="24">
        <f>'1% Wind'!$M$93</f>
        <v>2.4</v>
      </c>
      <c r="E493" s="90"/>
      <c r="F493" s="90"/>
      <c r="G493" s="79">
        <f ca="1">IF(I481=0.9743,$G492,MAX(G492/D492*D493,2))</f>
        <v>2</v>
      </c>
      <c r="H493" s="121" t="e">
        <f t="shared" ca="1" si="225"/>
        <v>#VALUE!</v>
      </c>
      <c r="J493" s="33"/>
      <c r="K493" s="242">
        <f t="shared" si="226"/>
        <v>1</v>
      </c>
      <c r="L493" s="241" t="e">
        <f t="shared" ca="1" si="227"/>
        <v>#VALUE!</v>
      </c>
      <c r="M493" s="243" t="e">
        <f ca="1">IF(AND(INDEX(FlowCalConstA,MATCH(J481,FlowCalNumber,0),1,1)*L493^INDEX(FlowCalConstB,MATCH(J481,FlowCalNumber,0),1,1)&gt;INDEX(FlowCalLowSetting,MATCH(J481,FlowCalNumber,0),1,1), (INDEX(FlowCalConstA,MATCH(J481,FlowCalNumber,0),1,1)*L493^INDEX(FlowCalConstB,MATCH(J481,FlowCalNumber,0),1,1)&lt;INDEX(FlowCalHighSetting,MATCH(J481,FlowCalNumber,0),1,1))),INDEX(FlowCalConstA,MATCH(J481,FlowCalNumber,0),1,1)*L493^INDEX(FlowCalConstB,MATCH(J481,FlowCalNumber,0),1,1)," ")</f>
        <v>#N/A</v>
      </c>
      <c r="N493" s="33"/>
      <c r="O493" s="242">
        <f t="shared" si="228"/>
        <v>1</v>
      </c>
      <c r="P493" s="241" t="e">
        <f t="shared" ca="1" si="229"/>
        <v>#VALUE!</v>
      </c>
      <c r="Q493" s="243" t="e">
        <f ca="1">IF(AND(INDEX(FlowCalConstA,MATCH(N481,FlowCalNumber,0),1,1)*P493^INDEX(FlowCalConstB,MATCH(N481,FlowCalNumber,0),1,1)&gt;INDEX(FlowCalLowSetting,MATCH(N481,FlowCalNumber,0),1,1), (INDEX(FlowCalConstA,MATCH(N481,FlowCalNumber,0),1,1)*P493^INDEX(FlowCalConstB,MATCH(N481,FlowCalNumber,0),1,1)&lt;INDEX(FlowCalHighSetting,MATCH(N481,FlowCalNumber,0),1,1))),INDEX(FlowCalConstA,MATCH(N481,FlowCalNumber,0),1,1)*P493^INDEX(FlowCalConstB,MATCH(N481,FlowCalNumber,0),1,1)," ")</f>
        <v>#N/A</v>
      </c>
      <c r="R493" s="33"/>
      <c r="S493" s="242">
        <f t="shared" si="230"/>
        <v>1</v>
      </c>
      <c r="T493" s="241" t="e">
        <f t="shared" ca="1" si="231"/>
        <v>#VALUE!</v>
      </c>
      <c r="U493" s="243" t="e">
        <f ca="1">IF(AND(INDEX(FlowCalConstA,MATCH(R481,FlowCalNumber,0),1,1)*T493^INDEX(FlowCalConstB,MATCH(R481,FlowCalNumber,0),1,1)&gt;INDEX(FlowCalLowSetting,MATCH(R481,FlowCalNumber,0),1,1), (INDEX(FlowCalConstA,MATCH(R481,FlowCalNumber,0),1,1)*T493^INDEX(FlowCalConstB,MATCH(R481,FlowCalNumber,0),1,1)&lt;INDEX(FlowCalHighSetting,MATCH(R481,FlowCalNumber,0),1,1))),INDEX(FlowCalConstA,MATCH(R481,FlowCalNumber,0),1,1)*T493^INDEX(FlowCalConstB,MATCH(R481,FlowCalNumber,0),1,1)," ")</f>
        <v>#N/A</v>
      </c>
      <c r="V493" s="33"/>
      <c r="W493" s="242"/>
      <c r="X493" s="241"/>
      <c r="Y493" s="243"/>
      <c r="Z493" s="33"/>
      <c r="AA493" s="242"/>
      <c r="AB493" s="241"/>
      <c r="AC493" s="243"/>
      <c r="AD493" s="33"/>
      <c r="AE493" s="242"/>
      <c r="AF493" s="241"/>
      <c r="AG493" s="243"/>
      <c r="AH493" s="33"/>
      <c r="AI493" s="242"/>
      <c r="AJ493" s="241"/>
      <c r="AK493" s="244"/>
      <c r="AL493" s="243"/>
      <c r="AM493" s="243"/>
      <c r="AN493" s="243"/>
      <c r="AO493" s="243"/>
      <c r="AP493" s="243"/>
      <c r="AQ493" s="243"/>
      <c r="AR493" s="243"/>
      <c r="AS493" s="243"/>
      <c r="AT493" s="243"/>
      <c r="AU493" s="243"/>
      <c r="AV493" s="243"/>
      <c r="AW493" s="243"/>
      <c r="AX493" s="243"/>
      <c r="AY493" s="243"/>
      <c r="AZ493" s="243"/>
      <c r="BA493" s="243"/>
      <c r="BB493" s="243"/>
      <c r="BC493" s="243"/>
      <c r="BD493" s="243"/>
      <c r="BE493" s="243"/>
      <c r="BF493" s="243"/>
      <c r="BG493" s="243"/>
      <c r="BH493" s="243"/>
      <c r="BI493" s="243"/>
      <c r="BJ493" s="243"/>
      <c r="BK493" s="243"/>
      <c r="BL493" s="243"/>
      <c r="BM493" s="243"/>
      <c r="BN493" s="243"/>
      <c r="BO493" s="243"/>
      <c r="BP493" s="243"/>
      <c r="BQ493" s="243"/>
      <c r="BR493" s="243"/>
      <c r="BS493" s="243"/>
      <c r="BU493" s="242"/>
      <c r="BW493" s="243"/>
      <c r="BY493" s="242"/>
      <c r="CA493" s="243"/>
      <c r="CC493" s="242"/>
      <c r="CE493" s="243"/>
      <c r="CG493" s="242"/>
      <c r="CI493" s="243"/>
    </row>
    <row r="494" spans="1:87" s="1215" customFormat="1">
      <c r="A494" s="1222"/>
      <c r="B494" s="1223" t="str">
        <f t="shared" si="224"/>
        <v/>
      </c>
      <c r="C494" s="1210"/>
      <c r="D494" s="1211">
        <f>'1% Wind'!$M$94</f>
        <v>1.8</v>
      </c>
      <c r="E494" s="1212"/>
      <c r="F494" s="1212"/>
      <c r="G494" s="1213">
        <f ca="1">IF(I481=0.9743,$G493,MAX(G493/D493*D494,2))</f>
        <v>2</v>
      </c>
      <c r="H494" s="1214" t="e">
        <f t="shared" ca="1" si="225"/>
        <v>#VALUE!</v>
      </c>
      <c r="J494" s="1224"/>
      <c r="K494" s="1217">
        <f t="shared" si="226"/>
        <v>1</v>
      </c>
      <c r="L494" s="1218" t="e">
        <f t="shared" ca="1" si="227"/>
        <v>#VALUE!</v>
      </c>
      <c r="M494" s="1219" t="e">
        <f ca="1">IF(AND(INDEX(FlowCalConstA,MATCH(J481,FlowCalNumber,0),1,1)*L494^INDEX(FlowCalConstB,MATCH(J481,FlowCalNumber,0),1,1)&gt;INDEX(FlowCalLowSetting,MATCH(J481,FlowCalNumber,0),1,1), (INDEX(FlowCalConstA,MATCH(J481,FlowCalNumber,0),1,1)*L494^INDEX(FlowCalConstB,MATCH(J481,FlowCalNumber,0),1,1)&lt;INDEX(FlowCalHighSetting,MATCH(J481,FlowCalNumber,0),1,1))),INDEX(FlowCalConstA,MATCH(J481,FlowCalNumber,0),1,1)*L494^INDEX(FlowCalConstB,MATCH(J481,FlowCalNumber,0),1,1)," ")</f>
        <v>#N/A</v>
      </c>
      <c r="N494" s="1224"/>
      <c r="O494" s="1217">
        <f t="shared" si="228"/>
        <v>1</v>
      </c>
      <c r="P494" s="1218" t="e">
        <f t="shared" ca="1" si="229"/>
        <v>#VALUE!</v>
      </c>
      <c r="Q494" s="1219" t="e">
        <f ca="1">IF(AND(INDEX(FlowCalConstA,MATCH(N481,FlowCalNumber,0),1,1)*P494^INDEX(FlowCalConstB,MATCH(N481,FlowCalNumber,0),1,1)&gt;INDEX(FlowCalLowSetting,MATCH(N481,FlowCalNumber,0),1,1), (INDEX(FlowCalConstA,MATCH(N481,FlowCalNumber,0),1,1)*P494^INDEX(FlowCalConstB,MATCH(N481,FlowCalNumber,0),1,1)&lt;INDEX(FlowCalHighSetting,MATCH(N481,FlowCalNumber,0),1,1))),INDEX(FlowCalConstA,MATCH(N481,FlowCalNumber,0),1,1)*P494^INDEX(FlowCalConstB,MATCH(N481,FlowCalNumber,0),1,1)," ")</f>
        <v>#N/A</v>
      </c>
      <c r="R494" s="1224"/>
      <c r="S494" s="1217">
        <f t="shared" si="230"/>
        <v>1</v>
      </c>
      <c r="T494" s="1218" t="e">
        <f t="shared" ca="1" si="231"/>
        <v>#VALUE!</v>
      </c>
      <c r="U494" s="1219" t="e">
        <f ca="1">IF(AND(INDEX(FlowCalConstA,MATCH(R481,FlowCalNumber,0),1,1)*T494^INDEX(FlowCalConstB,MATCH(R481,FlowCalNumber,0),1,1)&gt;INDEX(FlowCalLowSetting,MATCH(R481,FlowCalNumber,0),1,1), (INDEX(FlowCalConstA,MATCH(R481,FlowCalNumber,0),1,1)*T494^INDEX(FlowCalConstB,MATCH(R481,FlowCalNumber,0),1,1)&lt;INDEX(FlowCalHighSetting,MATCH(R481,FlowCalNumber,0),1,1))),INDEX(FlowCalConstA,MATCH(R481,FlowCalNumber,0),1,1)*T494^INDEX(FlowCalConstB,MATCH(R481,FlowCalNumber,0),1,1)," ")</f>
        <v>#N/A</v>
      </c>
      <c r="V494" s="1224"/>
      <c r="W494" s="1217"/>
      <c r="X494" s="1218"/>
      <c r="Y494" s="1219"/>
      <c r="Z494" s="1224"/>
      <c r="AA494" s="1217"/>
      <c r="AB494" s="1218"/>
      <c r="AC494" s="1219"/>
      <c r="AD494" s="1224"/>
      <c r="AE494" s="1217"/>
      <c r="AF494" s="1218"/>
      <c r="AG494" s="1219"/>
      <c r="AH494" s="1224"/>
      <c r="AI494" s="1217"/>
      <c r="AJ494" s="1218"/>
      <c r="AK494" s="1220"/>
      <c r="AL494" s="1219"/>
      <c r="AM494" s="1219"/>
      <c r="AN494" s="1219"/>
      <c r="AO494" s="1219"/>
      <c r="AP494" s="1219"/>
      <c r="AQ494" s="1219"/>
      <c r="AR494" s="1219"/>
      <c r="AS494" s="1219"/>
      <c r="AT494" s="1219"/>
      <c r="AU494" s="1219"/>
      <c r="AV494" s="1219"/>
      <c r="AW494" s="1219"/>
      <c r="AX494" s="1219"/>
      <c r="AY494" s="1219"/>
      <c r="AZ494" s="1219"/>
      <c r="BA494" s="1219"/>
      <c r="BB494" s="1219"/>
      <c r="BC494" s="1219"/>
      <c r="BD494" s="1219"/>
      <c r="BE494" s="1219"/>
      <c r="BF494" s="1219"/>
      <c r="BG494" s="1219"/>
      <c r="BH494" s="1219"/>
      <c r="BI494" s="1219"/>
      <c r="BJ494" s="1219"/>
      <c r="BK494" s="1219"/>
      <c r="BL494" s="1219"/>
      <c r="BM494" s="1219"/>
      <c r="BN494" s="1219"/>
      <c r="BO494" s="1219"/>
      <c r="BP494" s="1219"/>
      <c r="BQ494" s="1219"/>
      <c r="BR494" s="1219"/>
      <c r="BS494" s="1219"/>
      <c r="BU494" s="1217"/>
      <c r="BW494" s="1219"/>
      <c r="BY494" s="1217"/>
      <c r="CA494" s="1219"/>
      <c r="CC494" s="1217"/>
      <c r="CE494" s="1219"/>
      <c r="CG494" s="1217"/>
      <c r="CI494" s="1219"/>
    </row>
    <row r="495" spans="1:87">
      <c r="A495" s="20"/>
      <c r="B495" s="124" t="str">
        <f t="shared" si="224"/>
        <v/>
      </c>
      <c r="C495" s="235"/>
      <c r="D495" s="24">
        <f>'1% Wind'!$M$95</f>
        <v>1.3</v>
      </c>
      <c r="E495" s="90"/>
      <c r="F495" s="90"/>
      <c r="G495" s="79">
        <f ca="1">IF(I481=0.9743,$G494,MAX(G494/D494*D495,2))</f>
        <v>2</v>
      </c>
      <c r="H495" s="121" t="e">
        <f t="shared" ca="1" si="225"/>
        <v>#VALUE!</v>
      </c>
      <c r="J495" s="33"/>
      <c r="K495" s="242">
        <f t="shared" si="226"/>
        <v>1</v>
      </c>
      <c r="L495" s="241" t="e">
        <f t="shared" ca="1" si="227"/>
        <v>#VALUE!</v>
      </c>
      <c r="M495" s="243" t="e">
        <f ca="1">IF(AND(INDEX(FlowCalConstA,MATCH(J481,FlowCalNumber,0),1,1)*L495^INDEX(FlowCalConstB,MATCH(J481,FlowCalNumber,0),1,1)&gt;INDEX(FlowCalLowSetting,MATCH(J481,FlowCalNumber,0),1,1), (INDEX(FlowCalConstA,MATCH(J481,FlowCalNumber,0),1,1)*L495^INDEX(FlowCalConstB,MATCH(J481,FlowCalNumber,0),1,1)&lt;INDEX(FlowCalHighSetting,MATCH(J481,FlowCalNumber,0),1,1))),INDEX(FlowCalConstA,MATCH(J481,FlowCalNumber,0),1,1)*L495^INDEX(FlowCalConstB,MATCH(J481,FlowCalNumber,0),1,1)," ")</f>
        <v>#N/A</v>
      </c>
      <c r="N495" s="33"/>
      <c r="O495" s="242">
        <f t="shared" si="228"/>
        <v>1</v>
      </c>
      <c r="P495" s="241" t="e">
        <f t="shared" ca="1" si="229"/>
        <v>#VALUE!</v>
      </c>
      <c r="Q495" s="243" t="e">
        <f ca="1">IF(AND(INDEX(FlowCalConstA,MATCH(N481,FlowCalNumber,0),1,1)*P495^INDEX(FlowCalConstB,MATCH(N481,FlowCalNumber,0),1,1)&gt;INDEX(FlowCalLowSetting,MATCH(N481,FlowCalNumber,0),1,1), (INDEX(FlowCalConstA,MATCH(N481,FlowCalNumber,0),1,1)*P495^INDEX(FlowCalConstB,MATCH(N481,FlowCalNumber,0),1,1)&lt;INDEX(FlowCalHighSetting,MATCH(N481,FlowCalNumber,0),1,1))),INDEX(FlowCalConstA,MATCH(N481,FlowCalNumber,0),1,1)*P495^INDEX(FlowCalConstB,MATCH(N481,FlowCalNumber,0),1,1)," ")</f>
        <v>#N/A</v>
      </c>
      <c r="R495" s="33"/>
      <c r="S495" s="242">
        <f t="shared" si="230"/>
        <v>1</v>
      </c>
      <c r="T495" s="241" t="e">
        <f t="shared" ca="1" si="231"/>
        <v>#VALUE!</v>
      </c>
      <c r="U495" s="243" t="e">
        <f ca="1">IF(AND(INDEX(FlowCalConstA,MATCH(R481,FlowCalNumber,0),1,1)*T495^INDEX(FlowCalConstB,MATCH(R481,FlowCalNumber,0),1,1)&gt;INDEX(FlowCalLowSetting,MATCH(R481,FlowCalNumber,0),1,1), (INDEX(FlowCalConstA,MATCH(R481,FlowCalNumber,0),1,1)*T495^INDEX(FlowCalConstB,MATCH(R481,FlowCalNumber,0),1,1)&lt;INDEX(FlowCalHighSetting,MATCH(R481,FlowCalNumber,0),1,1))),INDEX(FlowCalConstA,MATCH(R481,FlowCalNumber,0),1,1)*T495^INDEX(FlowCalConstB,MATCH(R481,FlowCalNumber,0),1,1)," ")</f>
        <v>#N/A</v>
      </c>
      <c r="V495" s="33"/>
      <c r="W495" s="242"/>
      <c r="X495" s="241"/>
      <c r="Y495" s="243"/>
      <c r="Z495" s="33"/>
      <c r="AA495" s="242"/>
      <c r="AB495" s="241"/>
      <c r="AC495" s="243"/>
      <c r="AD495" s="33"/>
      <c r="AE495" s="242"/>
      <c r="AF495" s="241"/>
      <c r="AG495" s="243"/>
      <c r="AH495" s="33"/>
      <c r="AI495" s="242"/>
      <c r="AJ495" s="241"/>
      <c r="AK495" s="244"/>
      <c r="AL495" s="243"/>
      <c r="AM495" s="243"/>
      <c r="AN495" s="243"/>
      <c r="AO495" s="243"/>
      <c r="AP495" s="243"/>
      <c r="AQ495" s="243"/>
      <c r="AR495" s="243"/>
      <c r="AS495" s="243"/>
      <c r="AT495" s="243"/>
      <c r="AU495" s="243"/>
      <c r="AV495" s="243"/>
      <c r="AW495" s="243"/>
      <c r="AX495" s="243"/>
      <c r="AY495" s="243"/>
      <c r="AZ495" s="243"/>
      <c r="BA495" s="243"/>
      <c r="BB495" s="243"/>
      <c r="BC495" s="243"/>
      <c r="BD495" s="243"/>
      <c r="BE495" s="243"/>
      <c r="BF495" s="243"/>
      <c r="BG495" s="243"/>
      <c r="BH495" s="243"/>
      <c r="BI495" s="243"/>
      <c r="BJ495" s="243"/>
      <c r="BK495" s="243"/>
      <c r="BL495" s="243"/>
      <c r="BM495" s="243"/>
      <c r="BN495" s="243"/>
      <c r="BO495" s="243"/>
      <c r="BP495" s="243"/>
      <c r="BQ495" s="243"/>
      <c r="BR495" s="243"/>
      <c r="BS495" s="243"/>
      <c r="BU495" s="242"/>
      <c r="BW495" s="243"/>
      <c r="BY495" s="242"/>
      <c r="CA495" s="243"/>
      <c r="CC495" s="242"/>
      <c r="CE495" s="243"/>
      <c r="CG495" s="242"/>
      <c r="CI495" s="243"/>
    </row>
    <row r="496" spans="1:87" s="1215" customFormat="1">
      <c r="A496" s="1222"/>
      <c r="B496" s="1223" t="str">
        <f t="shared" si="224"/>
        <v/>
      </c>
      <c r="C496" s="1210"/>
      <c r="D496" s="1211">
        <f>'1% Wind'!$M$96</f>
        <v>1</v>
      </c>
      <c r="E496" s="1212"/>
      <c r="F496" s="1212"/>
      <c r="G496" s="1213">
        <f ca="1">IF(I481=0.9743,$G495,MAX(G495/D495*D496,2))</f>
        <v>2</v>
      </c>
      <c r="H496" s="1214" t="e">
        <f t="shared" ca="1" si="225"/>
        <v>#VALUE!</v>
      </c>
      <c r="J496" s="1224"/>
      <c r="K496" s="1217">
        <f t="shared" si="226"/>
        <v>1</v>
      </c>
      <c r="L496" s="1218" t="e">
        <f t="shared" ca="1" si="227"/>
        <v>#VALUE!</v>
      </c>
      <c r="M496" s="1219" t="e">
        <f ca="1">IF(AND(INDEX(FlowCalConstA,MATCH(J481,FlowCalNumber,0),1,1)*L496^INDEX(FlowCalConstB,MATCH(J481,FlowCalNumber,0),1,1)&gt;INDEX(FlowCalLowSetting,MATCH(J481,FlowCalNumber,0),1,1), (INDEX(FlowCalConstA,MATCH(J481,FlowCalNumber,0),1,1)*L496^INDEX(FlowCalConstB,MATCH(J481,FlowCalNumber,0),1,1)&lt;INDEX(FlowCalHighSetting,MATCH(J481,FlowCalNumber,0),1,1))),INDEX(FlowCalConstA,MATCH(J481,FlowCalNumber,0),1,1)*L496^INDEX(FlowCalConstB,MATCH(J481,FlowCalNumber,0),1,1)," ")</f>
        <v>#N/A</v>
      </c>
      <c r="N496" s="1224"/>
      <c r="O496" s="1217">
        <f t="shared" si="228"/>
        <v>1</v>
      </c>
      <c r="P496" s="1218" t="e">
        <f t="shared" ca="1" si="229"/>
        <v>#VALUE!</v>
      </c>
      <c r="Q496" s="1219" t="e">
        <f ca="1">IF(AND(INDEX(FlowCalConstA,MATCH(N481,FlowCalNumber,0),1,1)*P496^INDEX(FlowCalConstB,MATCH(N481,FlowCalNumber,0),1,1)&gt;INDEX(FlowCalLowSetting,MATCH(N481,FlowCalNumber,0),1,1), (INDEX(FlowCalConstA,MATCH(N481,FlowCalNumber,0),1,1)*P496^INDEX(FlowCalConstB,MATCH(N481,FlowCalNumber,0),1,1)&lt;INDEX(FlowCalHighSetting,MATCH(N481,FlowCalNumber,0),1,1))),INDEX(FlowCalConstA,MATCH(N481,FlowCalNumber,0),1,1)*P496^INDEX(FlowCalConstB,MATCH(N481,FlowCalNumber,0),1,1)," ")</f>
        <v>#N/A</v>
      </c>
      <c r="R496" s="1224"/>
      <c r="S496" s="1217">
        <f t="shared" si="230"/>
        <v>1</v>
      </c>
      <c r="T496" s="1218" t="e">
        <f t="shared" ca="1" si="231"/>
        <v>#VALUE!</v>
      </c>
      <c r="U496" s="1219" t="e">
        <f ca="1">IF(AND(INDEX(FlowCalConstA,MATCH(R481,FlowCalNumber,0),1,1)*T496^INDEX(FlowCalConstB,MATCH(R481,FlowCalNumber,0),1,1)&gt;INDEX(FlowCalLowSetting,MATCH(R481,FlowCalNumber,0),1,1), (INDEX(FlowCalConstA,MATCH(R481,FlowCalNumber,0),1,1)*T496^INDEX(FlowCalConstB,MATCH(R481,FlowCalNumber,0),1,1)&lt;INDEX(FlowCalHighSetting,MATCH(R481,FlowCalNumber,0),1,1))),INDEX(FlowCalConstA,MATCH(R481,FlowCalNumber,0),1,1)*T496^INDEX(FlowCalConstB,MATCH(R481,FlowCalNumber,0),1,1)," ")</f>
        <v>#N/A</v>
      </c>
      <c r="V496" s="1224"/>
      <c r="W496" s="1217"/>
      <c r="X496" s="1218"/>
      <c r="Y496" s="1219"/>
      <c r="Z496" s="1224"/>
      <c r="AA496" s="1217"/>
      <c r="AB496" s="1218"/>
      <c r="AC496" s="1219"/>
      <c r="AD496" s="1224"/>
      <c r="AE496" s="1217"/>
      <c r="AF496" s="1218"/>
      <c r="AG496" s="1219"/>
      <c r="AH496" s="1224"/>
      <c r="AI496" s="1217"/>
      <c r="AJ496" s="1218"/>
      <c r="AK496" s="1220"/>
      <c r="AL496" s="1219"/>
      <c r="AM496" s="1219"/>
      <c r="AN496" s="1219"/>
      <c r="AO496" s="1219"/>
      <c r="AP496" s="1219"/>
      <c r="AQ496" s="1219"/>
      <c r="AR496" s="1219"/>
      <c r="AS496" s="1219"/>
      <c r="AT496" s="1219"/>
      <c r="AU496" s="1219"/>
      <c r="AV496" s="1219"/>
      <c r="AW496" s="1219"/>
      <c r="AX496" s="1219"/>
      <c r="AY496" s="1219"/>
      <c r="AZ496" s="1219"/>
      <c r="BA496" s="1219"/>
      <c r="BB496" s="1219"/>
      <c r="BC496" s="1219"/>
      <c r="BD496" s="1219"/>
      <c r="BE496" s="1219"/>
      <c r="BF496" s="1219"/>
      <c r="BG496" s="1219"/>
      <c r="BH496" s="1219"/>
      <c r="BI496" s="1219"/>
      <c r="BJ496" s="1219"/>
      <c r="BK496" s="1219"/>
      <c r="BL496" s="1219"/>
      <c r="BM496" s="1219"/>
      <c r="BN496" s="1219"/>
      <c r="BO496" s="1219"/>
      <c r="BP496" s="1219"/>
      <c r="BQ496" s="1219"/>
      <c r="BR496" s="1219"/>
      <c r="BS496" s="1219"/>
      <c r="BU496" s="1217"/>
      <c r="BW496" s="1219"/>
      <c r="BY496" s="1217"/>
      <c r="CA496" s="1219"/>
      <c r="CC496" s="1217"/>
      <c r="CE496" s="1219"/>
      <c r="CG496" s="1217"/>
      <c r="CI496" s="1219"/>
    </row>
    <row r="497" spans="1:87">
      <c r="A497" s="33"/>
      <c r="B497" s="33"/>
      <c r="C497" s="235"/>
      <c r="E497" s="90"/>
      <c r="F497" s="90"/>
      <c r="G497" s="33"/>
      <c r="J497" s="33"/>
      <c r="M497" s="243"/>
      <c r="N497" s="33"/>
      <c r="Q497" s="243"/>
      <c r="R497" s="33"/>
      <c r="U497" s="243"/>
      <c r="V497" s="33"/>
      <c r="Y497" s="243"/>
      <c r="Z497" s="33"/>
      <c r="AC497" s="243"/>
      <c r="AD497" s="33"/>
      <c r="AG497" s="243"/>
      <c r="AH497" s="33"/>
      <c r="AK497" s="244"/>
      <c r="AL497" s="243"/>
      <c r="AM497" s="243"/>
      <c r="AN497" s="243"/>
      <c r="AO497" s="243"/>
      <c r="AP497" s="243"/>
      <c r="AQ497" s="243"/>
      <c r="AR497" s="243"/>
      <c r="AS497" s="243"/>
      <c r="AT497" s="243"/>
      <c r="AU497" s="243"/>
      <c r="AV497" s="243"/>
      <c r="AW497" s="243"/>
      <c r="AX497" s="243"/>
      <c r="AY497" s="243"/>
      <c r="AZ497" s="243"/>
      <c r="BA497" s="243"/>
      <c r="BB497" s="243"/>
      <c r="BC497" s="243"/>
      <c r="BD497" s="243"/>
      <c r="BE497" s="243"/>
      <c r="BF497" s="243"/>
      <c r="BG497" s="243"/>
      <c r="BH497" s="243"/>
      <c r="BI497" s="243"/>
      <c r="BJ497" s="243"/>
      <c r="BK497" s="243"/>
      <c r="BL497" s="243"/>
      <c r="BM497" s="243"/>
      <c r="BN497" s="243"/>
      <c r="BO497" s="243"/>
      <c r="BP497" s="243"/>
      <c r="BQ497" s="243"/>
      <c r="BR497" s="243"/>
      <c r="BS497" s="243"/>
      <c r="BW497" s="243"/>
      <c r="CA497" s="243"/>
      <c r="CE497" s="243"/>
      <c r="CI497" s="243"/>
    </row>
    <row r="498" spans="1:87">
      <c r="A498" s="256" t="str">
        <f>IF((RIGHT(A481,1))&lt;&gt;"Z",CHAR(CODE(A481))&amp;CHAR(CODE(RIGHT(A481,1))+1),CHAR(CODE(A481)+1)&amp;"A")</f>
        <v>BC</v>
      </c>
      <c r="B498" s="270" t="str">
        <f>INDEX(SourceID,MATCH($A498,SourceNumber,0),1,1)</f>
        <v>B2 FE-1</v>
      </c>
      <c r="C498" s="354">
        <f>INDEX(SourceExitDiameter,MATCH($A498,SourceNumber,0),1,1)*3.28*12</f>
        <v>30.28</v>
      </c>
      <c r="D498" s="24" t="str">
        <f>UAnem1percent</f>
        <v>1% Wind</v>
      </c>
      <c r="E498" s="350" t="e">
        <f ca="1">INDIRECT(ADDRESS(53,6,1,,CONCATENATE("TA",$A498)))</f>
        <v>#REF!</v>
      </c>
      <c r="F498" s="625" t="e">
        <f ca="1">(ROUND((INDIRECT(ADDRESS(15,7,1,,CONCATENATE("TA",$A498)))*3.28*12*32),0)&amp;"/32")</f>
        <v>#REF!</v>
      </c>
      <c r="G498" s="125">
        <f ca="1">INDIRECT(ADDRESS(29,7,1,,$A498))</f>
        <v>6.001707317073171</v>
      </c>
      <c r="H498" s="24" t="e">
        <f ca="1">INDIRECT(ADDRESS(19,7,1,,$A498))*100^3</f>
        <v>#VALUE!</v>
      </c>
      <c r="I498" s="941">
        <f ca="1">INDIRECT(ADDRESS(53,7,1,,$A498))</f>
        <v>0.97430000000000005</v>
      </c>
      <c r="J498" s="20" t="str">
        <f ca="1">IF($I498=$I$6,K$16&amp;$G$6&amp;J$6,IF($I498=$I$7,K$16&amp;$G$7&amp;J$7,"Bad"))</f>
        <v>100N2Pick a Tunnel</v>
      </c>
      <c r="K498" t="e">
        <f ca="1">INDEX(FlowCalGasMixture,MATCH(J498,FlowCalNumber,0),1,1)</f>
        <v>#N/A</v>
      </c>
      <c r="M498" s="944" t="e">
        <f ca="1">INDEX(FlowCalDevice,MATCH(J498,FlowCalNumber,0),1,1)</f>
        <v>#N/A</v>
      </c>
      <c r="N498" s="20" t="str">
        <f ca="1">IF($I498=$I$6,O$16&amp;$G$6&amp;N$6,IF($I498=$I$7,O$16&amp;$G$7&amp;N$7,"Bad"))</f>
        <v>100N2Pick a Tunnel</v>
      </c>
      <c r="O498" t="e">
        <f ca="1">INDEX(FlowCalGasMixture,MATCH(N498,FlowCalNumber,0),1,1)</f>
        <v>#N/A</v>
      </c>
      <c r="Q498" s="944" t="e">
        <f ca="1">INDEX(FlowCalDevice,MATCH(N498,FlowCalNumber,0),1,1)</f>
        <v>#N/A</v>
      </c>
      <c r="R498" s="20" t="str">
        <f ca="1">IF($I498=$I$6,S$16&amp;$G$6&amp;R$6,IF($I498=$I$7,S$16&amp;$G$7&amp;R$7,"Bad"))</f>
        <v>100N2Pick a Tunnel</v>
      </c>
      <c r="S498" t="e">
        <f ca="1">INDEX(FlowCalGasMixture,MATCH(R498,FlowCalNumber,0),1,1)</f>
        <v>#N/A</v>
      </c>
      <c r="U498" s="944" t="e">
        <f ca="1">INDEX(FlowCalDevice,MATCH(R498,FlowCalNumber,0),1,1)</f>
        <v>#N/A</v>
      </c>
      <c r="V498" s="20"/>
      <c r="Y498" s="944"/>
      <c r="Z498" s="946"/>
      <c r="AC498" s="944"/>
      <c r="AD498" s="20"/>
      <c r="AG498" s="944"/>
      <c r="AH498" s="946"/>
      <c r="AK498" s="982"/>
      <c r="AL498" s="355"/>
      <c r="AM498" s="355"/>
      <c r="AN498" s="355"/>
      <c r="AO498" s="355"/>
      <c r="AP498" s="355"/>
      <c r="AQ498" s="355"/>
      <c r="AR498" s="355"/>
      <c r="AS498" s="355"/>
      <c r="AT498" s="355"/>
      <c r="AU498" s="355"/>
      <c r="AV498" s="355"/>
      <c r="AW498" s="355"/>
      <c r="AX498" s="355"/>
      <c r="AY498" s="355"/>
      <c r="AZ498" s="355"/>
      <c r="BA498" s="355"/>
      <c r="BB498" s="355"/>
      <c r="BC498" s="355"/>
      <c r="BD498" s="355"/>
      <c r="BE498" s="355"/>
      <c r="BF498" s="355"/>
      <c r="BG498" s="355"/>
      <c r="BH498" s="355"/>
      <c r="BI498" s="355"/>
      <c r="BJ498" s="355"/>
      <c r="BK498" s="355"/>
      <c r="BL498" s="355"/>
      <c r="BM498" s="355"/>
      <c r="BN498" s="355"/>
      <c r="BO498" s="355"/>
      <c r="BP498" s="355"/>
      <c r="BQ498" s="355"/>
      <c r="BR498" s="355"/>
      <c r="BS498" s="355"/>
      <c r="BT498" s="46"/>
      <c r="BU498" s="16"/>
      <c r="BW498" s="355"/>
      <c r="BX498" s="42"/>
      <c r="BY498" s="16"/>
      <c r="CA498" s="355"/>
      <c r="CB498" s="42"/>
      <c r="CC498" s="16"/>
      <c r="CE498" s="355"/>
      <c r="CF498" s="42"/>
      <c r="CG498" s="16"/>
      <c r="CI498" s="355"/>
    </row>
    <row r="499" spans="1:87" s="1215" customFormat="1">
      <c r="A499" s="1222"/>
      <c r="B499" s="1223" t="str">
        <f t="shared" ref="B499:B513" si="232">IF(D499=UAnem1percent,"1% Wind","")</f>
        <v/>
      </c>
      <c r="C499" s="1210"/>
      <c r="D499" s="1211">
        <f>'1% Wind'!$M$82</f>
        <v>27</v>
      </c>
      <c r="E499" s="1212"/>
      <c r="F499" s="1212"/>
      <c r="G499" s="1364">
        <v>2</v>
      </c>
      <c r="H499" s="1214" t="e">
        <f t="shared" ref="H499:H513" ca="1" si="233">H498*(D498/D499)*(G499/G498)</f>
        <v>#VALUE!</v>
      </c>
      <c r="J499" s="1224"/>
      <c r="K499" s="1221">
        <f>K$17/100</f>
        <v>1</v>
      </c>
      <c r="L499" s="1218" t="e">
        <f ca="1">K499*$H499</f>
        <v>#VALUE!</v>
      </c>
      <c r="M499" s="1219" t="e">
        <f ca="1">IF(AND(INDEX(FlowCalConstA,MATCH(J498,FlowCalNumber,0),1,1)*L499^INDEX(FlowCalConstB,MATCH(J498,FlowCalNumber,0),1,1)&gt;INDEX(FlowCalLowSetting,MATCH(J498,FlowCalNumber,0),1,1), (INDEX(FlowCalConstA,MATCH(J498,FlowCalNumber,0),1,1)*L499^INDEX(FlowCalConstB,MATCH(J498,FlowCalNumber,0),1,1)&lt;INDEX(FlowCalHighSetting,MATCH(J498,FlowCalNumber,0),1,1))),INDEX(FlowCalConstA,MATCH(J498,FlowCalNumber,0),1,1)*L499^INDEX(FlowCalConstB,MATCH(J498,FlowCalNumber,0),1,1)," ")</f>
        <v>#N/A</v>
      </c>
      <c r="N499" s="1224"/>
      <c r="O499" s="1221">
        <f>O$17/100</f>
        <v>1</v>
      </c>
      <c r="P499" s="1218" t="e">
        <f ca="1">O499*$H499</f>
        <v>#VALUE!</v>
      </c>
      <c r="Q499" s="1219" t="e">
        <f ca="1">IF(AND(INDEX(FlowCalConstA,MATCH(N498,FlowCalNumber,0),1,1)*P499^INDEX(FlowCalConstB,MATCH(N498,FlowCalNumber,0),1,1)&gt;INDEX(FlowCalLowSetting,MATCH(N498,FlowCalNumber,0),1,1), (INDEX(FlowCalConstA,MATCH(N498,FlowCalNumber,0),1,1)*P499^INDEX(FlowCalConstB,MATCH(N498,FlowCalNumber,0),1,1)&lt;INDEX(FlowCalHighSetting,MATCH(N498,FlowCalNumber,0),1,1))),INDEX(FlowCalConstA,MATCH(N498,FlowCalNumber,0),1,1)*P499^INDEX(FlowCalConstB,MATCH(N498,FlowCalNumber,0),1,1)," ")</f>
        <v>#N/A</v>
      </c>
      <c r="R499" s="1224"/>
      <c r="S499" s="1221">
        <f>S$17/100</f>
        <v>1</v>
      </c>
      <c r="T499" s="1218" t="e">
        <f ca="1">S499*$H499</f>
        <v>#VALUE!</v>
      </c>
      <c r="U499" s="1219" t="e">
        <f ca="1">IF(AND(INDEX(FlowCalConstA,MATCH(R498,FlowCalNumber,0),1,1)*T499^INDEX(FlowCalConstB,MATCH(R498,FlowCalNumber,0),1,1)&gt;INDEX(FlowCalLowSetting,MATCH(R498,FlowCalNumber,0),1,1), (INDEX(FlowCalConstA,MATCH(R498,FlowCalNumber,0),1,1)*T499^INDEX(FlowCalConstB,MATCH(R498,FlowCalNumber,0),1,1)&lt;INDEX(FlowCalHighSetting,MATCH(R498,FlowCalNumber,0),1,1))),INDEX(FlowCalConstA,MATCH(R498,FlowCalNumber,0),1,1)*T499^INDEX(FlowCalConstB,MATCH(R498,FlowCalNumber,0),1,1)," ")</f>
        <v>#N/A</v>
      </c>
      <c r="V499" s="1224"/>
      <c r="W499" s="1221"/>
      <c r="X499" s="1218"/>
      <c r="Y499" s="1219"/>
      <c r="Z499" s="1224"/>
      <c r="AA499" s="1221"/>
      <c r="AB499" s="1218"/>
      <c r="AC499" s="1219"/>
      <c r="AD499" s="1224"/>
      <c r="AE499" s="1221"/>
      <c r="AF499" s="1218"/>
      <c r="AG499" s="1219"/>
      <c r="AH499" s="1224"/>
      <c r="AI499" s="1221"/>
      <c r="AJ499" s="1218"/>
      <c r="AK499" s="1220"/>
      <c r="AL499" s="1219"/>
      <c r="AM499" s="1219"/>
      <c r="AN499" s="1219"/>
      <c r="AO499" s="1219"/>
      <c r="AP499" s="1219"/>
      <c r="AQ499" s="1219"/>
      <c r="AR499" s="1219"/>
      <c r="AS499" s="1219"/>
      <c r="AT499" s="1219"/>
      <c r="AU499" s="1219"/>
      <c r="AV499" s="1219"/>
      <c r="AW499" s="1219"/>
      <c r="AX499" s="1219"/>
      <c r="AY499" s="1219"/>
      <c r="AZ499" s="1219"/>
      <c r="BA499" s="1219"/>
      <c r="BB499" s="1219"/>
      <c r="BC499" s="1219"/>
      <c r="BD499" s="1219"/>
      <c r="BE499" s="1219"/>
      <c r="BF499" s="1219"/>
      <c r="BG499" s="1219"/>
      <c r="BH499" s="1219"/>
      <c r="BI499" s="1219"/>
      <c r="BJ499" s="1219"/>
      <c r="BK499" s="1219"/>
      <c r="BL499" s="1219"/>
      <c r="BM499" s="1219"/>
      <c r="BN499" s="1219"/>
      <c r="BO499" s="1219"/>
      <c r="BP499" s="1219"/>
      <c r="BQ499" s="1219"/>
      <c r="BR499" s="1219"/>
      <c r="BS499" s="1219"/>
      <c r="BU499" s="1225"/>
      <c r="BW499" s="1219"/>
      <c r="BY499" s="1225"/>
      <c r="CA499" s="1219"/>
      <c r="CC499" s="1225"/>
      <c r="CE499" s="1219"/>
      <c r="CG499" s="1221"/>
      <c r="CI499" s="1219"/>
    </row>
    <row r="500" spans="1:87">
      <c r="A500" s="20"/>
      <c r="B500" s="124" t="str">
        <f t="shared" si="232"/>
        <v/>
      </c>
      <c r="C500" s="235"/>
      <c r="D500" s="24">
        <f>'1% Wind'!$M$83</f>
        <v>23.5</v>
      </c>
      <c r="E500" s="90"/>
      <c r="F500" s="90"/>
      <c r="G500" s="79">
        <f ca="1">IF(I498=0.9743,$G499,MAX(G499/D499*D500,2))</f>
        <v>2</v>
      </c>
      <c r="H500" s="121" t="e">
        <f t="shared" ca="1" si="233"/>
        <v>#VALUE!</v>
      </c>
      <c r="J500" s="33"/>
      <c r="K500" s="242">
        <f t="shared" ref="K500:K513" si="234">K499</f>
        <v>1</v>
      </c>
      <c r="L500" s="241" t="e">
        <f t="shared" ref="L500:L513" ca="1" si="235">K500*$H500</f>
        <v>#VALUE!</v>
      </c>
      <c r="M500" s="243" t="e">
        <f ca="1">IF(AND(INDEX(FlowCalConstA,MATCH(J498,FlowCalNumber,0),1,1)*L500^INDEX(FlowCalConstB,MATCH(J498,FlowCalNumber,0),1,1)&gt;INDEX(FlowCalLowSetting,MATCH(J498,FlowCalNumber,0),1,1), (INDEX(FlowCalConstA,MATCH(J498,FlowCalNumber,0),1,1)*L500^INDEX(FlowCalConstB,MATCH(J498,FlowCalNumber,0),1,1)&lt;INDEX(FlowCalHighSetting,MATCH(J498,FlowCalNumber,0),1,1))),INDEX(FlowCalConstA,MATCH(J498,FlowCalNumber,0),1,1)*L500^INDEX(FlowCalConstB,MATCH(J498,FlowCalNumber,0),1,1)," ")</f>
        <v>#N/A</v>
      </c>
      <c r="N500" s="33"/>
      <c r="O500" s="242">
        <f t="shared" ref="O500:O513" si="236">O499</f>
        <v>1</v>
      </c>
      <c r="P500" s="241" t="e">
        <f t="shared" ref="P500:P513" ca="1" si="237">O500*$H500</f>
        <v>#VALUE!</v>
      </c>
      <c r="Q500" s="243" t="e">
        <f ca="1">IF(AND(INDEX(FlowCalConstA,MATCH(N498,FlowCalNumber,0),1,1)*P500^INDEX(FlowCalConstB,MATCH(N498,FlowCalNumber,0),1,1)&gt;INDEX(FlowCalLowSetting,MATCH(N498,FlowCalNumber,0),1,1), (INDEX(FlowCalConstA,MATCH(N498,FlowCalNumber,0),1,1)*P500^INDEX(FlowCalConstB,MATCH(N498,FlowCalNumber,0),1,1)&lt;INDEX(FlowCalHighSetting,MATCH(N498,FlowCalNumber,0),1,1))),INDEX(FlowCalConstA,MATCH(N498,FlowCalNumber,0),1,1)*P500^INDEX(FlowCalConstB,MATCH(N498,FlowCalNumber,0),1,1)," ")</f>
        <v>#N/A</v>
      </c>
      <c r="R500" s="33"/>
      <c r="S500" s="242">
        <f t="shared" ref="S500:S513" si="238">S499</f>
        <v>1</v>
      </c>
      <c r="T500" s="241" t="e">
        <f t="shared" ref="T500:T513" ca="1" si="239">S500*$H500</f>
        <v>#VALUE!</v>
      </c>
      <c r="U500" s="243" t="e">
        <f ca="1">IF(AND(INDEX(FlowCalConstA,MATCH(R498,FlowCalNumber,0),1,1)*T500^INDEX(FlowCalConstB,MATCH(R498,FlowCalNumber,0),1,1)&gt;INDEX(FlowCalLowSetting,MATCH(R498,FlowCalNumber,0),1,1), (INDEX(FlowCalConstA,MATCH(R498,FlowCalNumber,0),1,1)*T500^INDEX(FlowCalConstB,MATCH(R498,FlowCalNumber,0),1,1)&lt;INDEX(FlowCalHighSetting,MATCH(R498,FlowCalNumber,0),1,1))),INDEX(FlowCalConstA,MATCH(R498,FlowCalNumber,0),1,1)*T500^INDEX(FlowCalConstB,MATCH(R498,FlowCalNumber,0),1,1)," ")</f>
        <v>#N/A</v>
      </c>
      <c r="V500" s="33"/>
      <c r="W500" s="242"/>
      <c r="X500" s="241"/>
      <c r="Y500" s="243"/>
      <c r="Z500" s="33"/>
      <c r="AA500" s="242"/>
      <c r="AB500" s="241"/>
      <c r="AC500" s="243"/>
      <c r="AD500" s="33"/>
      <c r="AE500" s="242"/>
      <c r="AF500" s="241"/>
      <c r="AG500" s="243"/>
      <c r="AH500" s="33"/>
      <c r="AI500" s="242"/>
      <c r="AJ500" s="241"/>
      <c r="AK500" s="244"/>
      <c r="AL500" s="243"/>
      <c r="AM500" s="243"/>
      <c r="AN500" s="243"/>
      <c r="AO500" s="243"/>
      <c r="AP500" s="243"/>
      <c r="AQ500" s="243"/>
      <c r="AR500" s="243"/>
      <c r="AS500" s="243"/>
      <c r="AT500" s="243"/>
      <c r="AU500" s="243"/>
      <c r="AV500" s="243"/>
      <c r="AW500" s="243"/>
      <c r="AX500" s="243"/>
      <c r="AY500" s="243"/>
      <c r="AZ500" s="243"/>
      <c r="BA500" s="243"/>
      <c r="BB500" s="243"/>
      <c r="BC500" s="243"/>
      <c r="BD500" s="243"/>
      <c r="BE500" s="243"/>
      <c r="BF500" s="243"/>
      <c r="BG500" s="243"/>
      <c r="BH500" s="243"/>
      <c r="BI500" s="243"/>
      <c r="BJ500" s="243"/>
      <c r="BK500" s="243"/>
      <c r="BL500" s="243"/>
      <c r="BM500" s="243"/>
      <c r="BN500" s="243"/>
      <c r="BO500" s="243"/>
      <c r="BP500" s="243"/>
      <c r="BQ500" s="243"/>
      <c r="BR500" s="243"/>
      <c r="BS500" s="243"/>
      <c r="BU500" s="242"/>
      <c r="BW500" s="243"/>
      <c r="BY500" s="242"/>
      <c r="CA500" s="243"/>
      <c r="CC500" s="242"/>
      <c r="CE500" s="243"/>
      <c r="CG500" s="242"/>
      <c r="CI500" s="243"/>
    </row>
    <row r="501" spans="1:87" s="1215" customFormat="1">
      <c r="A501" s="1222"/>
      <c r="B501" s="1223" t="str">
        <f t="shared" si="232"/>
        <v/>
      </c>
      <c r="C501" s="1210"/>
      <c r="D501" s="1211">
        <f>'1% Wind'!$M$84</f>
        <v>20.5</v>
      </c>
      <c r="E501" s="1212"/>
      <c r="F501" s="1212"/>
      <c r="G501" s="1213">
        <f ca="1">IF(I498=0.9743,$G500,MAX(G500/D500*D501,2))</f>
        <v>2</v>
      </c>
      <c r="H501" s="1214" t="e">
        <f t="shared" ca="1" si="233"/>
        <v>#VALUE!</v>
      </c>
      <c r="J501" s="1224"/>
      <c r="K501" s="1217">
        <f t="shared" si="234"/>
        <v>1</v>
      </c>
      <c r="L501" s="1218" t="e">
        <f t="shared" ca="1" si="235"/>
        <v>#VALUE!</v>
      </c>
      <c r="M501" s="1219" t="e">
        <f ca="1">IF(AND(INDEX(FlowCalConstA,MATCH(J498,FlowCalNumber,0),1,1)*L501^INDEX(FlowCalConstB,MATCH(J498,FlowCalNumber,0),1,1)&gt;INDEX(FlowCalLowSetting,MATCH(J498,FlowCalNumber,0),1,1), (INDEX(FlowCalConstA,MATCH(J498,FlowCalNumber,0),1,1)*L501^INDEX(FlowCalConstB,MATCH(J498,FlowCalNumber,0),1,1)&lt;INDEX(FlowCalHighSetting,MATCH(J498,FlowCalNumber,0),1,1))),INDEX(FlowCalConstA,MATCH(J498,FlowCalNumber,0),1,1)*L501^INDEX(FlowCalConstB,MATCH(J498,FlowCalNumber,0),1,1)," ")</f>
        <v>#N/A</v>
      </c>
      <c r="N501" s="1224"/>
      <c r="O501" s="1217">
        <f t="shared" si="236"/>
        <v>1</v>
      </c>
      <c r="P501" s="1218" t="e">
        <f t="shared" ca="1" si="237"/>
        <v>#VALUE!</v>
      </c>
      <c r="Q501" s="1219" t="e">
        <f ca="1">IF(AND(INDEX(FlowCalConstA,MATCH(N498,FlowCalNumber,0),1,1)*P501^INDEX(FlowCalConstB,MATCH(N498,FlowCalNumber,0),1,1)&gt;INDEX(FlowCalLowSetting,MATCH(N498,FlowCalNumber,0),1,1), (INDEX(FlowCalConstA,MATCH(N498,FlowCalNumber,0),1,1)*P501^INDEX(FlowCalConstB,MATCH(N498,FlowCalNumber,0),1,1)&lt;INDEX(FlowCalHighSetting,MATCH(N498,FlowCalNumber,0),1,1))),INDEX(FlowCalConstA,MATCH(N498,FlowCalNumber,0),1,1)*P501^INDEX(FlowCalConstB,MATCH(N498,FlowCalNumber,0),1,1)," ")</f>
        <v>#N/A</v>
      </c>
      <c r="R501" s="1224"/>
      <c r="S501" s="1217">
        <f t="shared" si="238"/>
        <v>1</v>
      </c>
      <c r="T501" s="1218" t="e">
        <f t="shared" ca="1" si="239"/>
        <v>#VALUE!</v>
      </c>
      <c r="U501" s="1219" t="e">
        <f ca="1">IF(AND(INDEX(FlowCalConstA,MATCH(R498,FlowCalNumber,0),1,1)*T501^INDEX(FlowCalConstB,MATCH(R498,FlowCalNumber,0),1,1)&gt;INDEX(FlowCalLowSetting,MATCH(R498,FlowCalNumber,0),1,1), (INDEX(FlowCalConstA,MATCH(R498,FlowCalNumber,0),1,1)*T501^INDEX(FlowCalConstB,MATCH(R498,FlowCalNumber,0),1,1)&lt;INDEX(FlowCalHighSetting,MATCH(R498,FlowCalNumber,0),1,1))),INDEX(FlowCalConstA,MATCH(R498,FlowCalNumber,0),1,1)*T501^INDEX(FlowCalConstB,MATCH(R498,FlowCalNumber,0),1,1)," ")</f>
        <v>#N/A</v>
      </c>
      <c r="V501" s="1224"/>
      <c r="W501" s="1217"/>
      <c r="X501" s="1218"/>
      <c r="Y501" s="1219"/>
      <c r="Z501" s="1224"/>
      <c r="AA501" s="1217"/>
      <c r="AB501" s="1218"/>
      <c r="AC501" s="1219"/>
      <c r="AD501" s="1224"/>
      <c r="AE501" s="1217"/>
      <c r="AF501" s="1218"/>
      <c r="AG501" s="1219"/>
      <c r="AH501" s="1224"/>
      <c r="AI501" s="1217"/>
      <c r="AJ501" s="1218"/>
      <c r="AK501" s="1220"/>
      <c r="AL501" s="1219"/>
      <c r="AM501" s="1219"/>
      <c r="AN501" s="1219"/>
      <c r="AO501" s="1219"/>
      <c r="AP501" s="1219"/>
      <c r="AQ501" s="1219"/>
      <c r="AR501" s="1219"/>
      <c r="AS501" s="1219"/>
      <c r="AT501" s="1219"/>
      <c r="AU501" s="1219"/>
      <c r="AV501" s="1219"/>
      <c r="AW501" s="1219"/>
      <c r="AX501" s="1219"/>
      <c r="AY501" s="1219"/>
      <c r="AZ501" s="1219"/>
      <c r="BA501" s="1219"/>
      <c r="BB501" s="1219"/>
      <c r="BC501" s="1219"/>
      <c r="BD501" s="1219"/>
      <c r="BE501" s="1219"/>
      <c r="BF501" s="1219"/>
      <c r="BG501" s="1219"/>
      <c r="BH501" s="1219"/>
      <c r="BI501" s="1219"/>
      <c r="BJ501" s="1219"/>
      <c r="BK501" s="1219"/>
      <c r="BL501" s="1219"/>
      <c r="BM501" s="1219"/>
      <c r="BN501" s="1219"/>
      <c r="BO501" s="1219"/>
      <c r="BP501" s="1219"/>
      <c r="BQ501" s="1219"/>
      <c r="BR501" s="1219"/>
      <c r="BS501" s="1219"/>
      <c r="BU501" s="1217"/>
      <c r="BW501" s="1219"/>
      <c r="BY501" s="1217"/>
      <c r="CA501" s="1219"/>
      <c r="CC501" s="1217"/>
      <c r="CE501" s="1219"/>
      <c r="CG501" s="1217"/>
      <c r="CI501" s="1219"/>
    </row>
    <row r="502" spans="1:87">
      <c r="A502" s="20"/>
      <c r="B502" s="124" t="str">
        <f t="shared" si="232"/>
        <v/>
      </c>
      <c r="C502" s="235"/>
      <c r="D502" s="24">
        <f>'1% Wind'!$M$85</f>
        <v>17.8</v>
      </c>
      <c r="E502" s="90"/>
      <c r="F502" s="90"/>
      <c r="G502" s="79">
        <f ca="1">IF(I498=0.9743,$G501,MAX(G501/D501*D502,2))</f>
        <v>2</v>
      </c>
      <c r="H502" s="121" t="e">
        <f t="shared" ca="1" si="233"/>
        <v>#VALUE!</v>
      </c>
      <c r="J502" s="33"/>
      <c r="K502" s="242">
        <f t="shared" si="234"/>
        <v>1</v>
      </c>
      <c r="L502" s="241" t="e">
        <f t="shared" ca="1" si="235"/>
        <v>#VALUE!</v>
      </c>
      <c r="M502" s="243" t="e">
        <f ca="1">IF(AND(INDEX(FlowCalConstA,MATCH(J498,FlowCalNumber,0),1,1)*L502^INDEX(FlowCalConstB,MATCH(J498,FlowCalNumber,0),1,1)&gt;INDEX(FlowCalLowSetting,MATCH(J498,FlowCalNumber,0),1,1), (INDEX(FlowCalConstA,MATCH(J498,FlowCalNumber,0),1,1)*L502^INDEX(FlowCalConstB,MATCH(J498,FlowCalNumber,0),1,1)&lt;INDEX(FlowCalHighSetting,MATCH(J498,FlowCalNumber,0),1,1))),INDEX(FlowCalConstA,MATCH(J498,FlowCalNumber,0),1,1)*L502^INDEX(FlowCalConstB,MATCH(J498,FlowCalNumber,0),1,1)," ")</f>
        <v>#N/A</v>
      </c>
      <c r="N502" s="33"/>
      <c r="O502" s="242">
        <f t="shared" si="236"/>
        <v>1</v>
      </c>
      <c r="P502" s="241" t="e">
        <f t="shared" ca="1" si="237"/>
        <v>#VALUE!</v>
      </c>
      <c r="Q502" s="243" t="e">
        <f ca="1">IF(AND(INDEX(FlowCalConstA,MATCH(N498,FlowCalNumber,0),1,1)*P502^INDEX(FlowCalConstB,MATCH(N498,FlowCalNumber,0),1,1)&gt;INDEX(FlowCalLowSetting,MATCH(N498,FlowCalNumber,0),1,1), (INDEX(FlowCalConstA,MATCH(N498,FlowCalNumber,0),1,1)*P502^INDEX(FlowCalConstB,MATCH(N498,FlowCalNumber,0),1,1)&lt;INDEX(FlowCalHighSetting,MATCH(N498,FlowCalNumber,0),1,1))),INDEX(FlowCalConstA,MATCH(N498,FlowCalNumber,0),1,1)*P502^INDEX(FlowCalConstB,MATCH(N498,FlowCalNumber,0),1,1)," ")</f>
        <v>#N/A</v>
      </c>
      <c r="R502" s="33"/>
      <c r="S502" s="242">
        <f t="shared" si="238"/>
        <v>1</v>
      </c>
      <c r="T502" s="241" t="e">
        <f t="shared" ca="1" si="239"/>
        <v>#VALUE!</v>
      </c>
      <c r="U502" s="243" t="e">
        <f ca="1">IF(AND(INDEX(FlowCalConstA,MATCH(R498,FlowCalNumber,0),1,1)*T502^INDEX(FlowCalConstB,MATCH(R498,FlowCalNumber,0),1,1)&gt;INDEX(FlowCalLowSetting,MATCH(R498,FlowCalNumber,0),1,1), (INDEX(FlowCalConstA,MATCH(R498,FlowCalNumber,0),1,1)*T502^INDEX(FlowCalConstB,MATCH(R498,FlowCalNumber,0),1,1)&lt;INDEX(FlowCalHighSetting,MATCH(R498,FlowCalNumber,0),1,1))),INDEX(FlowCalConstA,MATCH(R498,FlowCalNumber,0),1,1)*T502^INDEX(FlowCalConstB,MATCH(R498,FlowCalNumber,0),1,1)," ")</f>
        <v>#N/A</v>
      </c>
      <c r="V502" s="33"/>
      <c r="W502" s="242"/>
      <c r="X502" s="241"/>
      <c r="Y502" s="243"/>
      <c r="Z502" s="33"/>
      <c r="AA502" s="242"/>
      <c r="AB502" s="241"/>
      <c r="AC502" s="243"/>
      <c r="AD502" s="33"/>
      <c r="AE502" s="242"/>
      <c r="AF502" s="241"/>
      <c r="AG502" s="243"/>
      <c r="AH502" s="33"/>
      <c r="AI502" s="242"/>
      <c r="AJ502" s="241"/>
      <c r="AK502" s="244"/>
      <c r="AL502" s="243"/>
      <c r="AM502" s="243"/>
      <c r="AN502" s="243"/>
      <c r="AO502" s="243"/>
      <c r="AP502" s="243"/>
      <c r="AQ502" s="243"/>
      <c r="AR502" s="243"/>
      <c r="AS502" s="243"/>
      <c r="AT502" s="243"/>
      <c r="AU502" s="243"/>
      <c r="AV502" s="243"/>
      <c r="AW502" s="243"/>
      <c r="AX502" s="243"/>
      <c r="AY502" s="243"/>
      <c r="AZ502" s="243"/>
      <c r="BA502" s="243"/>
      <c r="BB502" s="243"/>
      <c r="BC502" s="243"/>
      <c r="BD502" s="243"/>
      <c r="BE502" s="243"/>
      <c r="BF502" s="243"/>
      <c r="BG502" s="243"/>
      <c r="BH502" s="243"/>
      <c r="BI502" s="243"/>
      <c r="BJ502" s="243"/>
      <c r="BK502" s="243"/>
      <c r="BL502" s="243"/>
      <c r="BM502" s="243"/>
      <c r="BN502" s="243"/>
      <c r="BO502" s="243"/>
      <c r="BP502" s="243"/>
      <c r="BQ502" s="243"/>
      <c r="BR502" s="243"/>
      <c r="BS502" s="243"/>
      <c r="BU502" s="242"/>
      <c r="BW502" s="243"/>
      <c r="BY502" s="242"/>
      <c r="CA502" s="243"/>
      <c r="CC502" s="242"/>
      <c r="CE502" s="243"/>
      <c r="CG502" s="242"/>
      <c r="CI502" s="243"/>
    </row>
    <row r="503" spans="1:87" s="1215" customFormat="1">
      <c r="A503" s="1222"/>
      <c r="B503" s="1223" t="str">
        <f t="shared" si="232"/>
        <v/>
      </c>
      <c r="C503" s="1210"/>
      <c r="D503" s="1211">
        <f>'1% Wind'!$M$86</f>
        <v>15.5</v>
      </c>
      <c r="E503" s="1212"/>
      <c r="F503" s="1212"/>
      <c r="G503" s="1213">
        <f ca="1">IF(I498=0.9743,$G502,MAX(G502/D502*D503,2))</f>
        <v>2</v>
      </c>
      <c r="H503" s="1214" t="e">
        <f t="shared" ca="1" si="233"/>
        <v>#VALUE!</v>
      </c>
      <c r="J503" s="1224"/>
      <c r="K503" s="1217">
        <f t="shared" si="234"/>
        <v>1</v>
      </c>
      <c r="L503" s="1218" t="e">
        <f t="shared" ca="1" si="235"/>
        <v>#VALUE!</v>
      </c>
      <c r="M503" s="1219" t="e">
        <f ca="1">IF(AND(INDEX(FlowCalConstA,MATCH(J498,FlowCalNumber,0),1,1)*L503^INDEX(FlowCalConstB,MATCH(J498,FlowCalNumber,0),1,1)&gt;INDEX(FlowCalLowSetting,MATCH(J498,FlowCalNumber,0),1,1), (INDEX(FlowCalConstA,MATCH(J498,FlowCalNumber,0),1,1)*L503^INDEX(FlowCalConstB,MATCH(J498,FlowCalNumber,0),1,1)&lt;INDEX(FlowCalHighSetting,MATCH(J498,FlowCalNumber,0),1,1))),INDEX(FlowCalConstA,MATCH(J498,FlowCalNumber,0),1,1)*L503^INDEX(FlowCalConstB,MATCH(J498,FlowCalNumber,0),1,1)," ")</f>
        <v>#N/A</v>
      </c>
      <c r="N503" s="1224"/>
      <c r="O503" s="1217">
        <f t="shared" si="236"/>
        <v>1</v>
      </c>
      <c r="P503" s="1218" t="e">
        <f t="shared" ca="1" si="237"/>
        <v>#VALUE!</v>
      </c>
      <c r="Q503" s="1219" t="e">
        <f ca="1">IF(AND(INDEX(FlowCalConstA,MATCH(N498,FlowCalNumber,0),1,1)*P503^INDEX(FlowCalConstB,MATCH(N498,FlowCalNumber,0),1,1)&gt;INDEX(FlowCalLowSetting,MATCH(N498,FlowCalNumber,0),1,1), (INDEX(FlowCalConstA,MATCH(N498,FlowCalNumber,0),1,1)*P503^INDEX(FlowCalConstB,MATCH(N498,FlowCalNumber,0),1,1)&lt;INDEX(FlowCalHighSetting,MATCH(N498,FlowCalNumber,0),1,1))),INDEX(FlowCalConstA,MATCH(N498,FlowCalNumber,0),1,1)*P503^INDEX(FlowCalConstB,MATCH(N498,FlowCalNumber,0),1,1)," ")</f>
        <v>#N/A</v>
      </c>
      <c r="R503" s="1224"/>
      <c r="S503" s="1217">
        <f t="shared" si="238"/>
        <v>1</v>
      </c>
      <c r="T503" s="1218" t="e">
        <f t="shared" ca="1" si="239"/>
        <v>#VALUE!</v>
      </c>
      <c r="U503" s="1219" t="e">
        <f ca="1">IF(AND(INDEX(FlowCalConstA,MATCH(R498,FlowCalNumber,0),1,1)*T503^INDEX(FlowCalConstB,MATCH(R498,FlowCalNumber,0),1,1)&gt;INDEX(FlowCalLowSetting,MATCH(R498,FlowCalNumber,0),1,1), (INDEX(FlowCalConstA,MATCH(R498,FlowCalNumber,0),1,1)*T503^INDEX(FlowCalConstB,MATCH(R498,FlowCalNumber,0),1,1)&lt;INDEX(FlowCalHighSetting,MATCH(R498,FlowCalNumber,0),1,1))),INDEX(FlowCalConstA,MATCH(R498,FlowCalNumber,0),1,1)*T503^INDEX(FlowCalConstB,MATCH(R498,FlowCalNumber,0),1,1)," ")</f>
        <v>#N/A</v>
      </c>
      <c r="V503" s="1224"/>
      <c r="W503" s="1217"/>
      <c r="X503" s="1218"/>
      <c r="Y503" s="1219"/>
      <c r="Z503" s="1224"/>
      <c r="AA503" s="1217"/>
      <c r="AB503" s="1218"/>
      <c r="AC503" s="1219"/>
      <c r="AD503" s="1224"/>
      <c r="AE503" s="1217"/>
      <c r="AF503" s="1218"/>
      <c r="AG503" s="1219"/>
      <c r="AH503" s="1224"/>
      <c r="AI503" s="1217"/>
      <c r="AJ503" s="1218"/>
      <c r="AK503" s="1220"/>
      <c r="AL503" s="1219"/>
      <c r="AM503" s="1219"/>
      <c r="AN503" s="1219"/>
      <c r="AO503" s="1219"/>
      <c r="AP503" s="1219"/>
      <c r="AQ503" s="1219"/>
      <c r="AR503" s="1219"/>
      <c r="AS503" s="1219"/>
      <c r="AT503" s="1219"/>
      <c r="AU503" s="1219"/>
      <c r="AV503" s="1219"/>
      <c r="AW503" s="1219"/>
      <c r="AX503" s="1219"/>
      <c r="AY503" s="1219"/>
      <c r="AZ503" s="1219"/>
      <c r="BA503" s="1219"/>
      <c r="BB503" s="1219"/>
      <c r="BC503" s="1219"/>
      <c r="BD503" s="1219"/>
      <c r="BE503" s="1219"/>
      <c r="BF503" s="1219"/>
      <c r="BG503" s="1219"/>
      <c r="BH503" s="1219"/>
      <c r="BI503" s="1219"/>
      <c r="BJ503" s="1219"/>
      <c r="BK503" s="1219"/>
      <c r="BL503" s="1219"/>
      <c r="BM503" s="1219"/>
      <c r="BN503" s="1219"/>
      <c r="BO503" s="1219"/>
      <c r="BP503" s="1219"/>
      <c r="BQ503" s="1219"/>
      <c r="BR503" s="1219"/>
      <c r="BS503" s="1219"/>
      <c r="BU503" s="1217"/>
      <c r="BW503" s="1219"/>
      <c r="BY503" s="1217"/>
      <c r="CA503" s="1219"/>
      <c r="CC503" s="1217"/>
      <c r="CE503" s="1219"/>
      <c r="CG503" s="1217"/>
      <c r="CI503" s="1219"/>
    </row>
    <row r="504" spans="1:87">
      <c r="A504" s="20"/>
      <c r="B504" s="124" t="str">
        <f t="shared" si="232"/>
        <v/>
      </c>
      <c r="C504" s="235"/>
      <c r="D504" s="24">
        <f>'1% Wind'!$M$87</f>
        <v>13.5</v>
      </c>
      <c r="E504" s="90"/>
      <c r="F504" s="90"/>
      <c r="G504" s="79">
        <f ca="1">IF(I498=0.9743,$G503,MAX(G503/D503*D504,2))</f>
        <v>2</v>
      </c>
      <c r="H504" s="121" t="e">
        <f t="shared" ca="1" si="233"/>
        <v>#VALUE!</v>
      </c>
      <c r="J504" s="33"/>
      <c r="K504" s="242">
        <f t="shared" si="234"/>
        <v>1</v>
      </c>
      <c r="L504" s="241" t="e">
        <f t="shared" ca="1" si="235"/>
        <v>#VALUE!</v>
      </c>
      <c r="M504" s="243" t="e">
        <f ca="1">IF(AND(INDEX(FlowCalConstA,MATCH(J498,FlowCalNumber,0),1,1)*L504^INDEX(FlowCalConstB,MATCH(J498,FlowCalNumber,0),1,1)&gt;INDEX(FlowCalLowSetting,MATCH(J498,FlowCalNumber,0),1,1), (INDEX(FlowCalConstA,MATCH(J498,FlowCalNumber,0),1,1)*L504^INDEX(FlowCalConstB,MATCH(J498,FlowCalNumber,0),1,1)&lt;INDEX(FlowCalHighSetting,MATCH(J498,FlowCalNumber,0),1,1))),INDEX(FlowCalConstA,MATCH(J498,FlowCalNumber,0),1,1)*L504^INDEX(FlowCalConstB,MATCH(J498,FlowCalNumber,0),1,1)," ")</f>
        <v>#N/A</v>
      </c>
      <c r="N504" s="33"/>
      <c r="O504" s="242">
        <f t="shared" si="236"/>
        <v>1</v>
      </c>
      <c r="P504" s="241" t="e">
        <f t="shared" ca="1" si="237"/>
        <v>#VALUE!</v>
      </c>
      <c r="Q504" s="243" t="e">
        <f ca="1">IF(AND(INDEX(FlowCalConstA,MATCH(N498,FlowCalNumber,0),1,1)*P504^INDEX(FlowCalConstB,MATCH(N498,FlowCalNumber,0),1,1)&gt;INDEX(FlowCalLowSetting,MATCH(N498,FlowCalNumber,0),1,1), (INDEX(FlowCalConstA,MATCH(N498,FlowCalNumber,0),1,1)*P504^INDEX(FlowCalConstB,MATCH(N498,FlowCalNumber,0),1,1)&lt;INDEX(FlowCalHighSetting,MATCH(N498,FlowCalNumber,0),1,1))),INDEX(FlowCalConstA,MATCH(N498,FlowCalNumber,0),1,1)*P504^INDEX(FlowCalConstB,MATCH(N498,FlowCalNumber,0),1,1)," ")</f>
        <v>#N/A</v>
      </c>
      <c r="R504" s="33"/>
      <c r="S504" s="242">
        <f t="shared" si="238"/>
        <v>1</v>
      </c>
      <c r="T504" s="241" t="e">
        <f t="shared" ca="1" si="239"/>
        <v>#VALUE!</v>
      </c>
      <c r="U504" s="243" t="e">
        <f ca="1">IF(AND(INDEX(FlowCalConstA,MATCH(R498,FlowCalNumber,0),1,1)*T504^INDEX(FlowCalConstB,MATCH(R498,FlowCalNumber,0),1,1)&gt;INDEX(FlowCalLowSetting,MATCH(R498,FlowCalNumber,0),1,1), (INDEX(FlowCalConstA,MATCH(R498,FlowCalNumber,0),1,1)*T504^INDEX(FlowCalConstB,MATCH(R498,FlowCalNumber,0),1,1)&lt;INDEX(FlowCalHighSetting,MATCH(R498,FlowCalNumber,0),1,1))),INDEX(FlowCalConstA,MATCH(R498,FlowCalNumber,0),1,1)*T504^INDEX(FlowCalConstB,MATCH(R498,FlowCalNumber,0),1,1)," ")</f>
        <v>#N/A</v>
      </c>
      <c r="V504" s="33"/>
      <c r="W504" s="242"/>
      <c r="X504" s="241"/>
      <c r="Y504" s="243"/>
      <c r="Z504" s="33"/>
      <c r="AA504" s="242"/>
      <c r="AB504" s="241"/>
      <c r="AC504" s="243"/>
      <c r="AD504" s="33"/>
      <c r="AE504" s="242"/>
      <c r="AF504" s="241"/>
      <c r="AG504" s="243"/>
      <c r="AH504" s="33"/>
      <c r="AI504" s="242"/>
      <c r="AJ504" s="241"/>
      <c r="AK504" s="244"/>
      <c r="AL504" s="243"/>
      <c r="AM504" s="243"/>
      <c r="AN504" s="243"/>
      <c r="AO504" s="243"/>
      <c r="AP504" s="243"/>
      <c r="AQ504" s="243"/>
      <c r="AR504" s="243"/>
      <c r="AS504" s="243"/>
      <c r="AT504" s="243"/>
      <c r="AU504" s="243"/>
      <c r="AV504" s="243"/>
      <c r="AW504" s="243"/>
      <c r="AX504" s="243"/>
      <c r="AY504" s="243"/>
      <c r="AZ504" s="243"/>
      <c r="BA504" s="243"/>
      <c r="BB504" s="243"/>
      <c r="BC504" s="243"/>
      <c r="BD504" s="243"/>
      <c r="BE504" s="243"/>
      <c r="BF504" s="243"/>
      <c r="BG504" s="243"/>
      <c r="BH504" s="243"/>
      <c r="BI504" s="243"/>
      <c r="BJ504" s="243"/>
      <c r="BK504" s="243"/>
      <c r="BL504" s="243"/>
      <c r="BM504" s="243"/>
      <c r="BN504" s="243"/>
      <c r="BO504" s="243"/>
      <c r="BP504" s="243"/>
      <c r="BQ504" s="243"/>
      <c r="BR504" s="243"/>
      <c r="BS504" s="243"/>
      <c r="BU504" s="242"/>
      <c r="BW504" s="243"/>
      <c r="BY504" s="242"/>
      <c r="CA504" s="243"/>
      <c r="CC504" s="242"/>
      <c r="CE504" s="243"/>
      <c r="CG504" s="242"/>
      <c r="CI504" s="243"/>
    </row>
    <row r="505" spans="1:87" s="1215" customFormat="1">
      <c r="A505" s="1222"/>
      <c r="B505" s="1223" t="str">
        <f t="shared" si="232"/>
        <v/>
      </c>
      <c r="C505" s="1210"/>
      <c r="D505" s="1211">
        <f>'1% Wind'!$M$88</f>
        <v>10.1</v>
      </c>
      <c r="E505" s="1212"/>
      <c r="F505" s="1212"/>
      <c r="G505" s="1213">
        <f ca="1">IF(I498=0.9743,$G504,MAX(G504/D504*D505,2))</f>
        <v>2</v>
      </c>
      <c r="H505" s="1214" t="e">
        <f t="shared" ca="1" si="233"/>
        <v>#VALUE!</v>
      </c>
      <c r="J505" s="1224"/>
      <c r="K505" s="1217">
        <f t="shared" si="234"/>
        <v>1</v>
      </c>
      <c r="L505" s="1218" t="e">
        <f t="shared" ca="1" si="235"/>
        <v>#VALUE!</v>
      </c>
      <c r="M505" s="1219" t="e">
        <f ca="1">IF(AND(INDEX(FlowCalConstA,MATCH(J498,FlowCalNumber,0),1,1)*L505^INDEX(FlowCalConstB,MATCH(J498,FlowCalNumber,0),1,1)&gt;INDEX(FlowCalLowSetting,MATCH(J498,FlowCalNumber,0),1,1), (INDEX(FlowCalConstA,MATCH(J498,FlowCalNumber,0),1,1)*L505^INDEX(FlowCalConstB,MATCH(J498,FlowCalNumber,0),1,1)&lt;INDEX(FlowCalHighSetting,MATCH(J498,FlowCalNumber,0),1,1))),INDEX(FlowCalConstA,MATCH(J498,FlowCalNumber,0),1,1)*L505^INDEX(FlowCalConstB,MATCH(J498,FlowCalNumber,0),1,1)," ")</f>
        <v>#N/A</v>
      </c>
      <c r="N505" s="1224"/>
      <c r="O505" s="1217">
        <f t="shared" si="236"/>
        <v>1</v>
      </c>
      <c r="P505" s="1218" t="e">
        <f t="shared" ca="1" si="237"/>
        <v>#VALUE!</v>
      </c>
      <c r="Q505" s="1219" t="e">
        <f ca="1">IF(AND(INDEX(FlowCalConstA,MATCH(N498,FlowCalNumber,0),1,1)*P505^INDEX(FlowCalConstB,MATCH(N498,FlowCalNumber,0),1,1)&gt;INDEX(FlowCalLowSetting,MATCH(N498,FlowCalNumber,0),1,1), (INDEX(FlowCalConstA,MATCH(N498,FlowCalNumber,0),1,1)*P505^INDEX(FlowCalConstB,MATCH(N498,FlowCalNumber,0),1,1)&lt;INDEX(FlowCalHighSetting,MATCH(N498,FlowCalNumber,0),1,1))),INDEX(FlowCalConstA,MATCH(N498,FlowCalNumber,0),1,1)*P505^INDEX(FlowCalConstB,MATCH(N498,FlowCalNumber,0),1,1)," ")</f>
        <v>#N/A</v>
      </c>
      <c r="R505" s="1224"/>
      <c r="S505" s="1217">
        <f t="shared" si="238"/>
        <v>1</v>
      </c>
      <c r="T505" s="1218" t="e">
        <f t="shared" ca="1" si="239"/>
        <v>#VALUE!</v>
      </c>
      <c r="U505" s="1219" t="e">
        <f ca="1">IF(AND(INDEX(FlowCalConstA,MATCH(R498,FlowCalNumber,0),1,1)*T505^INDEX(FlowCalConstB,MATCH(R498,FlowCalNumber,0),1,1)&gt;INDEX(FlowCalLowSetting,MATCH(R498,FlowCalNumber,0),1,1), (INDEX(FlowCalConstA,MATCH(R498,FlowCalNumber,0),1,1)*T505^INDEX(FlowCalConstB,MATCH(R498,FlowCalNumber,0),1,1)&lt;INDEX(FlowCalHighSetting,MATCH(R498,FlowCalNumber,0),1,1))),INDEX(FlowCalConstA,MATCH(R498,FlowCalNumber,0),1,1)*T505^INDEX(FlowCalConstB,MATCH(R498,FlowCalNumber,0),1,1)," ")</f>
        <v>#N/A</v>
      </c>
      <c r="V505" s="1224"/>
      <c r="W505" s="1217"/>
      <c r="X505" s="1218"/>
      <c r="Y505" s="1219"/>
      <c r="Z505" s="1224"/>
      <c r="AA505" s="1217"/>
      <c r="AB505" s="1218"/>
      <c r="AC505" s="1219"/>
      <c r="AD505" s="1224"/>
      <c r="AE505" s="1217"/>
      <c r="AF505" s="1218"/>
      <c r="AG505" s="1219"/>
      <c r="AH505" s="1224"/>
      <c r="AI505" s="1217"/>
      <c r="AJ505" s="1218"/>
      <c r="AK505" s="1220"/>
      <c r="AL505" s="1219"/>
      <c r="AM505" s="1219"/>
      <c r="AN505" s="1219"/>
      <c r="AO505" s="1219"/>
      <c r="AP505" s="1219"/>
      <c r="AQ505" s="1219"/>
      <c r="AR505" s="1219"/>
      <c r="AS505" s="1219"/>
      <c r="AT505" s="1219"/>
      <c r="AU505" s="1219"/>
      <c r="AV505" s="1219"/>
      <c r="AW505" s="1219"/>
      <c r="AX505" s="1219"/>
      <c r="AY505" s="1219"/>
      <c r="AZ505" s="1219"/>
      <c r="BA505" s="1219"/>
      <c r="BB505" s="1219"/>
      <c r="BC505" s="1219"/>
      <c r="BD505" s="1219"/>
      <c r="BE505" s="1219"/>
      <c r="BF505" s="1219"/>
      <c r="BG505" s="1219"/>
      <c r="BH505" s="1219"/>
      <c r="BI505" s="1219"/>
      <c r="BJ505" s="1219"/>
      <c r="BK505" s="1219"/>
      <c r="BL505" s="1219"/>
      <c r="BM505" s="1219"/>
      <c r="BN505" s="1219"/>
      <c r="BO505" s="1219"/>
      <c r="BP505" s="1219"/>
      <c r="BQ505" s="1219"/>
      <c r="BR505" s="1219"/>
      <c r="BS505" s="1219"/>
      <c r="BU505" s="1217"/>
      <c r="BW505" s="1219"/>
      <c r="BY505" s="1217"/>
      <c r="CA505" s="1219"/>
      <c r="CC505" s="1217"/>
      <c r="CE505" s="1219"/>
      <c r="CG505" s="1217"/>
      <c r="CI505" s="1219"/>
    </row>
    <row r="506" spans="1:87">
      <c r="A506" s="20"/>
      <c r="B506" s="124" t="str">
        <f t="shared" si="232"/>
        <v/>
      </c>
      <c r="C506" s="235"/>
      <c r="D506" s="24">
        <f>'1% Wind'!$M$89</f>
        <v>7.6</v>
      </c>
      <c r="E506" s="90"/>
      <c r="F506" s="90"/>
      <c r="G506" s="79">
        <f ca="1">IF(I498=0.9743,$G505,MAX(G505/D505*D506,2))</f>
        <v>2</v>
      </c>
      <c r="H506" s="121" t="e">
        <f t="shared" ca="1" si="233"/>
        <v>#VALUE!</v>
      </c>
      <c r="J506" s="33"/>
      <c r="K506" s="242">
        <f t="shared" si="234"/>
        <v>1</v>
      </c>
      <c r="L506" s="241" t="e">
        <f t="shared" ca="1" si="235"/>
        <v>#VALUE!</v>
      </c>
      <c r="M506" s="243" t="e">
        <f ca="1">IF(AND(INDEX(FlowCalConstA,MATCH(J498,FlowCalNumber,0),1,1)*L506^INDEX(FlowCalConstB,MATCH(J498,FlowCalNumber,0),1,1)&gt;INDEX(FlowCalLowSetting,MATCH(J498,FlowCalNumber,0),1,1), (INDEX(FlowCalConstA,MATCH(J498,FlowCalNumber,0),1,1)*L506^INDEX(FlowCalConstB,MATCH(J498,FlowCalNumber,0),1,1)&lt;INDEX(FlowCalHighSetting,MATCH(J498,FlowCalNumber,0),1,1))),INDEX(FlowCalConstA,MATCH(J498,FlowCalNumber,0),1,1)*L506^INDEX(FlowCalConstB,MATCH(J498,FlowCalNumber,0),1,1)," ")</f>
        <v>#N/A</v>
      </c>
      <c r="N506" s="33"/>
      <c r="O506" s="242">
        <f t="shared" si="236"/>
        <v>1</v>
      </c>
      <c r="P506" s="241" t="e">
        <f t="shared" ca="1" si="237"/>
        <v>#VALUE!</v>
      </c>
      <c r="Q506" s="243" t="e">
        <f ca="1">IF(AND(INDEX(FlowCalConstA,MATCH(N498,FlowCalNumber,0),1,1)*P506^INDEX(FlowCalConstB,MATCH(N498,FlowCalNumber,0),1,1)&gt;INDEX(FlowCalLowSetting,MATCH(N498,FlowCalNumber,0),1,1), (INDEX(FlowCalConstA,MATCH(N498,FlowCalNumber,0),1,1)*P506^INDEX(FlowCalConstB,MATCH(N498,FlowCalNumber,0),1,1)&lt;INDEX(FlowCalHighSetting,MATCH(N498,FlowCalNumber,0),1,1))),INDEX(FlowCalConstA,MATCH(N498,FlowCalNumber,0),1,1)*P506^INDEX(FlowCalConstB,MATCH(N498,FlowCalNumber,0),1,1)," ")</f>
        <v>#N/A</v>
      </c>
      <c r="R506" s="33"/>
      <c r="S506" s="242">
        <f t="shared" si="238"/>
        <v>1</v>
      </c>
      <c r="T506" s="241" t="e">
        <f t="shared" ca="1" si="239"/>
        <v>#VALUE!</v>
      </c>
      <c r="U506" s="243" t="e">
        <f ca="1">IF(AND(INDEX(FlowCalConstA,MATCH(R498,FlowCalNumber,0),1,1)*T506^INDEX(FlowCalConstB,MATCH(R498,FlowCalNumber,0),1,1)&gt;INDEX(FlowCalLowSetting,MATCH(R498,FlowCalNumber,0),1,1), (INDEX(FlowCalConstA,MATCH(R498,FlowCalNumber,0),1,1)*T506^INDEX(FlowCalConstB,MATCH(R498,FlowCalNumber,0),1,1)&lt;INDEX(FlowCalHighSetting,MATCH(R498,FlowCalNumber,0),1,1))),INDEX(FlowCalConstA,MATCH(R498,FlowCalNumber,0),1,1)*T506^INDEX(FlowCalConstB,MATCH(R498,FlowCalNumber,0),1,1)," ")</f>
        <v>#N/A</v>
      </c>
      <c r="V506" s="33"/>
      <c r="W506" s="242"/>
      <c r="X506" s="241"/>
      <c r="Y506" s="243"/>
      <c r="Z506" s="33"/>
      <c r="AA506" s="242"/>
      <c r="AB506" s="241"/>
      <c r="AC506" s="243"/>
      <c r="AD506" s="33"/>
      <c r="AE506" s="242"/>
      <c r="AF506" s="241"/>
      <c r="AG506" s="243"/>
      <c r="AH506" s="33"/>
      <c r="AI506" s="242"/>
      <c r="AJ506" s="241"/>
      <c r="AK506" s="244"/>
      <c r="AL506" s="243"/>
      <c r="AM506" s="243"/>
      <c r="AN506" s="243"/>
      <c r="AO506" s="243"/>
      <c r="AP506" s="243"/>
      <c r="AQ506" s="243"/>
      <c r="AR506" s="243"/>
      <c r="AS506" s="243"/>
      <c r="AT506" s="243"/>
      <c r="AU506" s="243"/>
      <c r="AV506" s="243"/>
      <c r="AW506" s="243"/>
      <c r="AX506" s="243"/>
      <c r="AY506" s="243"/>
      <c r="AZ506" s="243"/>
      <c r="BA506" s="243"/>
      <c r="BB506" s="243"/>
      <c r="BC506" s="243"/>
      <c r="BD506" s="243"/>
      <c r="BE506" s="243"/>
      <c r="BF506" s="243"/>
      <c r="BG506" s="243"/>
      <c r="BH506" s="243"/>
      <c r="BI506" s="243"/>
      <c r="BJ506" s="243"/>
      <c r="BK506" s="243"/>
      <c r="BL506" s="243"/>
      <c r="BM506" s="243"/>
      <c r="BN506" s="243"/>
      <c r="BO506" s="243"/>
      <c r="BP506" s="243"/>
      <c r="BQ506" s="243"/>
      <c r="BR506" s="243"/>
      <c r="BS506" s="243"/>
      <c r="BU506" s="242"/>
      <c r="BW506" s="243"/>
      <c r="BY506" s="242"/>
      <c r="CA506" s="243"/>
      <c r="CC506" s="242"/>
      <c r="CE506" s="243"/>
      <c r="CG506" s="242"/>
      <c r="CI506" s="243"/>
    </row>
    <row r="507" spans="1:87" s="1215" customFormat="1">
      <c r="A507" s="1222"/>
      <c r="B507" s="1223" t="str">
        <f t="shared" si="232"/>
        <v/>
      </c>
      <c r="C507" s="1210"/>
      <c r="D507" s="1211">
        <f>'1% Wind'!$M$90</f>
        <v>5.7</v>
      </c>
      <c r="E507" s="1212"/>
      <c r="F507" s="1212"/>
      <c r="G507" s="1213">
        <f ca="1">IF(I498=0.9743,$G506,MAX(G506/D506*D507,2))</f>
        <v>2</v>
      </c>
      <c r="H507" s="1214" t="e">
        <f t="shared" ca="1" si="233"/>
        <v>#VALUE!</v>
      </c>
      <c r="J507" s="1224"/>
      <c r="K507" s="1217">
        <f t="shared" si="234"/>
        <v>1</v>
      </c>
      <c r="L507" s="1218" t="e">
        <f t="shared" ca="1" si="235"/>
        <v>#VALUE!</v>
      </c>
      <c r="M507" s="1219" t="e">
        <f ca="1">IF(AND(INDEX(FlowCalConstA,MATCH(J498,FlowCalNumber,0),1,1)*L507^INDEX(FlowCalConstB,MATCH(J498,FlowCalNumber,0),1,1)&gt;INDEX(FlowCalLowSetting,MATCH(J498,FlowCalNumber,0),1,1), (INDEX(FlowCalConstA,MATCH(J498,FlowCalNumber,0),1,1)*L507^INDEX(FlowCalConstB,MATCH(J498,FlowCalNumber,0),1,1)&lt;INDEX(FlowCalHighSetting,MATCH(J498,FlowCalNumber,0),1,1))),INDEX(FlowCalConstA,MATCH(J498,FlowCalNumber,0),1,1)*L507^INDEX(FlowCalConstB,MATCH(J498,FlowCalNumber,0),1,1)," ")</f>
        <v>#N/A</v>
      </c>
      <c r="N507" s="1224"/>
      <c r="O507" s="1217">
        <f t="shared" si="236"/>
        <v>1</v>
      </c>
      <c r="P507" s="1218" t="e">
        <f t="shared" ca="1" si="237"/>
        <v>#VALUE!</v>
      </c>
      <c r="Q507" s="1219" t="e">
        <f ca="1">IF(AND(INDEX(FlowCalConstA,MATCH(N498,FlowCalNumber,0),1,1)*P507^INDEX(FlowCalConstB,MATCH(N498,FlowCalNumber,0),1,1)&gt;INDEX(FlowCalLowSetting,MATCH(N498,FlowCalNumber,0),1,1), (INDEX(FlowCalConstA,MATCH(N498,FlowCalNumber,0),1,1)*P507^INDEX(FlowCalConstB,MATCH(N498,FlowCalNumber,0),1,1)&lt;INDEX(FlowCalHighSetting,MATCH(N498,FlowCalNumber,0),1,1))),INDEX(FlowCalConstA,MATCH(N498,FlowCalNumber,0),1,1)*P507^INDEX(FlowCalConstB,MATCH(N498,FlowCalNumber,0),1,1)," ")</f>
        <v>#N/A</v>
      </c>
      <c r="R507" s="1224"/>
      <c r="S507" s="1217">
        <f t="shared" si="238"/>
        <v>1</v>
      </c>
      <c r="T507" s="1218" t="e">
        <f t="shared" ca="1" si="239"/>
        <v>#VALUE!</v>
      </c>
      <c r="U507" s="1219" t="e">
        <f ca="1">IF(AND(INDEX(FlowCalConstA,MATCH(R498,FlowCalNumber,0),1,1)*T507^INDEX(FlowCalConstB,MATCH(R498,FlowCalNumber,0),1,1)&gt;INDEX(FlowCalLowSetting,MATCH(R498,FlowCalNumber,0),1,1), (INDEX(FlowCalConstA,MATCH(R498,FlowCalNumber,0),1,1)*T507^INDEX(FlowCalConstB,MATCH(R498,FlowCalNumber,0),1,1)&lt;INDEX(FlowCalHighSetting,MATCH(R498,FlowCalNumber,0),1,1))),INDEX(FlowCalConstA,MATCH(R498,FlowCalNumber,0),1,1)*T507^INDEX(FlowCalConstB,MATCH(R498,FlowCalNumber,0),1,1)," ")</f>
        <v>#N/A</v>
      </c>
      <c r="V507" s="1224"/>
      <c r="W507" s="1217"/>
      <c r="X507" s="1218"/>
      <c r="Y507" s="1219"/>
      <c r="Z507" s="1224"/>
      <c r="AA507" s="1217"/>
      <c r="AB507" s="1218"/>
      <c r="AC507" s="1219"/>
      <c r="AD507" s="1224"/>
      <c r="AE507" s="1217"/>
      <c r="AF507" s="1218"/>
      <c r="AG507" s="1219"/>
      <c r="AH507" s="1224"/>
      <c r="AI507" s="1217"/>
      <c r="AJ507" s="1218"/>
      <c r="AK507" s="1220"/>
      <c r="AL507" s="1219"/>
      <c r="AM507" s="1219"/>
      <c r="AN507" s="1219"/>
      <c r="AO507" s="1219"/>
      <c r="AP507" s="1219"/>
      <c r="AQ507" s="1219"/>
      <c r="AR507" s="1219"/>
      <c r="AS507" s="1219"/>
      <c r="AT507" s="1219"/>
      <c r="AU507" s="1219"/>
      <c r="AV507" s="1219"/>
      <c r="AW507" s="1219"/>
      <c r="AX507" s="1219"/>
      <c r="AY507" s="1219"/>
      <c r="AZ507" s="1219"/>
      <c r="BA507" s="1219"/>
      <c r="BB507" s="1219"/>
      <c r="BC507" s="1219"/>
      <c r="BD507" s="1219"/>
      <c r="BE507" s="1219"/>
      <c r="BF507" s="1219"/>
      <c r="BG507" s="1219"/>
      <c r="BH507" s="1219"/>
      <c r="BI507" s="1219"/>
      <c r="BJ507" s="1219"/>
      <c r="BK507" s="1219"/>
      <c r="BL507" s="1219"/>
      <c r="BM507" s="1219"/>
      <c r="BN507" s="1219"/>
      <c r="BO507" s="1219"/>
      <c r="BP507" s="1219"/>
      <c r="BQ507" s="1219"/>
      <c r="BR507" s="1219"/>
      <c r="BS507" s="1219"/>
      <c r="BU507" s="1217"/>
      <c r="BW507" s="1219"/>
      <c r="BY507" s="1217"/>
      <c r="CA507" s="1219"/>
      <c r="CC507" s="1217"/>
      <c r="CE507" s="1219"/>
      <c r="CG507" s="1217"/>
      <c r="CI507" s="1219"/>
    </row>
    <row r="508" spans="1:87">
      <c r="A508" s="20"/>
      <c r="B508" s="124" t="str">
        <f t="shared" si="232"/>
        <v/>
      </c>
      <c r="C508" s="235"/>
      <c r="D508" s="24">
        <f>'1% Wind'!$M$91</f>
        <v>4.2</v>
      </c>
      <c r="E508" s="90"/>
      <c r="F508" s="90"/>
      <c r="G508" s="79">
        <f ca="1">IF(I498=0.9743,$G507,MAX(G507/D507*D508,2))</f>
        <v>2</v>
      </c>
      <c r="H508" s="121" t="e">
        <f t="shared" ca="1" si="233"/>
        <v>#VALUE!</v>
      </c>
      <c r="J508" s="33"/>
      <c r="K508" s="242">
        <f t="shared" si="234"/>
        <v>1</v>
      </c>
      <c r="L508" s="241" t="e">
        <f t="shared" ca="1" si="235"/>
        <v>#VALUE!</v>
      </c>
      <c r="M508" s="243" t="e">
        <f ca="1">IF(AND(INDEX(FlowCalConstA,MATCH(J498,FlowCalNumber,0),1,1)*L508^INDEX(FlowCalConstB,MATCH(J498,FlowCalNumber,0),1,1)&gt;INDEX(FlowCalLowSetting,MATCH(J498,FlowCalNumber,0),1,1), (INDEX(FlowCalConstA,MATCH(J498,FlowCalNumber,0),1,1)*L508^INDEX(FlowCalConstB,MATCH(J498,FlowCalNumber,0),1,1)&lt;INDEX(FlowCalHighSetting,MATCH(J498,FlowCalNumber,0),1,1))),INDEX(FlowCalConstA,MATCH(J498,FlowCalNumber,0),1,1)*L508^INDEX(FlowCalConstB,MATCH(J498,FlowCalNumber,0),1,1)," ")</f>
        <v>#N/A</v>
      </c>
      <c r="N508" s="33"/>
      <c r="O508" s="242">
        <f t="shared" si="236"/>
        <v>1</v>
      </c>
      <c r="P508" s="241" t="e">
        <f t="shared" ca="1" si="237"/>
        <v>#VALUE!</v>
      </c>
      <c r="Q508" s="243" t="e">
        <f ca="1">IF(AND(INDEX(FlowCalConstA,MATCH(N498,FlowCalNumber,0),1,1)*P508^INDEX(FlowCalConstB,MATCH(N498,FlowCalNumber,0),1,1)&gt;INDEX(FlowCalLowSetting,MATCH(N498,FlowCalNumber,0),1,1), (INDEX(FlowCalConstA,MATCH(N498,FlowCalNumber,0),1,1)*P508^INDEX(FlowCalConstB,MATCH(N498,FlowCalNumber,0),1,1)&lt;INDEX(FlowCalHighSetting,MATCH(N498,FlowCalNumber,0),1,1))),INDEX(FlowCalConstA,MATCH(N498,FlowCalNumber,0),1,1)*P508^INDEX(FlowCalConstB,MATCH(N498,FlowCalNumber,0),1,1)," ")</f>
        <v>#N/A</v>
      </c>
      <c r="R508" s="33"/>
      <c r="S508" s="242">
        <f t="shared" si="238"/>
        <v>1</v>
      </c>
      <c r="T508" s="241" t="e">
        <f t="shared" ca="1" si="239"/>
        <v>#VALUE!</v>
      </c>
      <c r="U508" s="243" t="e">
        <f ca="1">IF(AND(INDEX(FlowCalConstA,MATCH(R498,FlowCalNumber,0),1,1)*T508^INDEX(FlowCalConstB,MATCH(R498,FlowCalNumber,0),1,1)&gt;INDEX(FlowCalLowSetting,MATCH(R498,FlowCalNumber,0),1,1), (INDEX(FlowCalConstA,MATCH(R498,FlowCalNumber,0),1,1)*T508^INDEX(FlowCalConstB,MATCH(R498,FlowCalNumber,0),1,1)&lt;INDEX(FlowCalHighSetting,MATCH(R498,FlowCalNumber,0),1,1))),INDEX(FlowCalConstA,MATCH(R498,FlowCalNumber,0),1,1)*T508^INDEX(FlowCalConstB,MATCH(R498,FlowCalNumber,0),1,1)," ")</f>
        <v>#N/A</v>
      </c>
      <c r="V508" s="33"/>
      <c r="W508" s="242"/>
      <c r="X508" s="241"/>
      <c r="Y508" s="243"/>
      <c r="Z508" s="33"/>
      <c r="AA508" s="242"/>
      <c r="AB508" s="241"/>
      <c r="AC508" s="243"/>
      <c r="AD508" s="33"/>
      <c r="AE508" s="242"/>
      <c r="AF508" s="241"/>
      <c r="AG508" s="243"/>
      <c r="AH508" s="33"/>
      <c r="AI508" s="242"/>
      <c r="AJ508" s="241"/>
      <c r="AK508" s="244"/>
      <c r="AL508" s="243"/>
      <c r="AM508" s="243"/>
      <c r="AN508" s="243"/>
      <c r="AO508" s="243"/>
      <c r="AP508" s="243"/>
      <c r="AQ508" s="243"/>
      <c r="AR508" s="243"/>
      <c r="AS508" s="243"/>
      <c r="AT508" s="243"/>
      <c r="AU508" s="243"/>
      <c r="AV508" s="243"/>
      <c r="AW508" s="243"/>
      <c r="AX508" s="243"/>
      <c r="AY508" s="243"/>
      <c r="AZ508" s="243"/>
      <c r="BA508" s="243"/>
      <c r="BB508" s="243"/>
      <c r="BC508" s="243"/>
      <c r="BD508" s="243"/>
      <c r="BE508" s="243"/>
      <c r="BF508" s="243"/>
      <c r="BG508" s="243"/>
      <c r="BH508" s="243"/>
      <c r="BI508" s="243"/>
      <c r="BJ508" s="243"/>
      <c r="BK508" s="243"/>
      <c r="BL508" s="243"/>
      <c r="BM508" s="243"/>
      <c r="BN508" s="243"/>
      <c r="BO508" s="243"/>
      <c r="BP508" s="243"/>
      <c r="BQ508" s="243"/>
      <c r="BR508" s="243"/>
      <c r="BS508" s="243"/>
      <c r="BU508" s="242"/>
      <c r="BW508" s="243"/>
      <c r="BY508" s="242"/>
      <c r="CA508" s="243"/>
      <c r="CC508" s="242"/>
      <c r="CE508" s="243"/>
      <c r="CG508" s="242"/>
      <c r="CI508" s="243"/>
    </row>
    <row r="509" spans="1:87" s="1215" customFormat="1">
      <c r="A509" s="1222"/>
      <c r="B509" s="1223" t="str">
        <f t="shared" si="232"/>
        <v/>
      </c>
      <c r="C509" s="1210"/>
      <c r="D509" s="1211">
        <f>'1% Wind'!$M$92</f>
        <v>3.2</v>
      </c>
      <c r="E509" s="1212"/>
      <c r="F509" s="1212"/>
      <c r="G509" s="1213">
        <f ca="1">IF(I498=0.9743,$G508,MAX(G508/D508*D509,2))</f>
        <v>2</v>
      </c>
      <c r="H509" s="1214" t="e">
        <f t="shared" ca="1" si="233"/>
        <v>#VALUE!</v>
      </c>
      <c r="J509" s="1224"/>
      <c r="K509" s="1217">
        <f t="shared" si="234"/>
        <v>1</v>
      </c>
      <c r="L509" s="1218" t="e">
        <f t="shared" ca="1" si="235"/>
        <v>#VALUE!</v>
      </c>
      <c r="M509" s="1219" t="e">
        <f ca="1">IF(AND(INDEX(FlowCalConstA,MATCH(J498,FlowCalNumber,0),1,1)*L509^INDEX(FlowCalConstB,MATCH(J498,FlowCalNumber,0),1,1)&gt;INDEX(FlowCalLowSetting,MATCH(J498,FlowCalNumber,0),1,1), (INDEX(FlowCalConstA,MATCH(J498,FlowCalNumber,0),1,1)*L509^INDEX(FlowCalConstB,MATCH(J498,FlowCalNumber,0),1,1)&lt;INDEX(FlowCalHighSetting,MATCH(J498,FlowCalNumber,0),1,1))),INDEX(FlowCalConstA,MATCH(J498,FlowCalNumber,0),1,1)*L509^INDEX(FlowCalConstB,MATCH(J498,FlowCalNumber,0),1,1)," ")</f>
        <v>#N/A</v>
      </c>
      <c r="N509" s="1224"/>
      <c r="O509" s="1217">
        <f t="shared" si="236"/>
        <v>1</v>
      </c>
      <c r="P509" s="1218" t="e">
        <f t="shared" ca="1" si="237"/>
        <v>#VALUE!</v>
      </c>
      <c r="Q509" s="1219" t="e">
        <f ca="1">IF(AND(INDEX(FlowCalConstA,MATCH(N498,FlowCalNumber,0),1,1)*P509^INDEX(FlowCalConstB,MATCH(N498,FlowCalNumber,0),1,1)&gt;INDEX(FlowCalLowSetting,MATCH(N498,FlowCalNumber,0),1,1), (INDEX(FlowCalConstA,MATCH(N498,FlowCalNumber,0),1,1)*P509^INDEX(FlowCalConstB,MATCH(N498,FlowCalNumber,0),1,1)&lt;INDEX(FlowCalHighSetting,MATCH(N498,FlowCalNumber,0),1,1))),INDEX(FlowCalConstA,MATCH(N498,FlowCalNumber,0),1,1)*P509^INDEX(FlowCalConstB,MATCH(N498,FlowCalNumber,0),1,1)," ")</f>
        <v>#N/A</v>
      </c>
      <c r="R509" s="1224"/>
      <c r="S509" s="1217">
        <f t="shared" si="238"/>
        <v>1</v>
      </c>
      <c r="T509" s="1218" t="e">
        <f t="shared" ca="1" si="239"/>
        <v>#VALUE!</v>
      </c>
      <c r="U509" s="1219" t="e">
        <f ca="1">IF(AND(INDEX(FlowCalConstA,MATCH(R498,FlowCalNumber,0),1,1)*T509^INDEX(FlowCalConstB,MATCH(R498,FlowCalNumber,0),1,1)&gt;INDEX(FlowCalLowSetting,MATCH(R498,FlowCalNumber,0),1,1), (INDEX(FlowCalConstA,MATCH(R498,FlowCalNumber,0),1,1)*T509^INDEX(FlowCalConstB,MATCH(R498,FlowCalNumber,0),1,1)&lt;INDEX(FlowCalHighSetting,MATCH(R498,FlowCalNumber,0),1,1))),INDEX(FlowCalConstA,MATCH(R498,FlowCalNumber,0),1,1)*T509^INDEX(FlowCalConstB,MATCH(R498,FlowCalNumber,0),1,1)," ")</f>
        <v>#N/A</v>
      </c>
      <c r="V509" s="1224"/>
      <c r="W509" s="1217"/>
      <c r="X509" s="1218"/>
      <c r="Y509" s="1219"/>
      <c r="Z509" s="1224"/>
      <c r="AA509" s="1217"/>
      <c r="AB509" s="1218"/>
      <c r="AC509" s="1219"/>
      <c r="AD509" s="1224"/>
      <c r="AE509" s="1217"/>
      <c r="AF509" s="1218"/>
      <c r="AG509" s="1219"/>
      <c r="AH509" s="1224"/>
      <c r="AI509" s="1217"/>
      <c r="AJ509" s="1218"/>
      <c r="AK509" s="1220"/>
      <c r="AL509" s="1219"/>
      <c r="AM509" s="1219"/>
      <c r="AN509" s="1219"/>
      <c r="AO509" s="1219"/>
      <c r="AP509" s="1219"/>
      <c r="AQ509" s="1219"/>
      <c r="AR509" s="1219"/>
      <c r="AS509" s="1219"/>
      <c r="AT509" s="1219"/>
      <c r="AU509" s="1219"/>
      <c r="AV509" s="1219"/>
      <c r="AW509" s="1219"/>
      <c r="AX509" s="1219"/>
      <c r="AY509" s="1219"/>
      <c r="AZ509" s="1219"/>
      <c r="BA509" s="1219"/>
      <c r="BB509" s="1219"/>
      <c r="BC509" s="1219"/>
      <c r="BD509" s="1219"/>
      <c r="BE509" s="1219"/>
      <c r="BF509" s="1219"/>
      <c r="BG509" s="1219"/>
      <c r="BH509" s="1219"/>
      <c r="BI509" s="1219"/>
      <c r="BJ509" s="1219"/>
      <c r="BK509" s="1219"/>
      <c r="BL509" s="1219"/>
      <c r="BM509" s="1219"/>
      <c r="BN509" s="1219"/>
      <c r="BO509" s="1219"/>
      <c r="BP509" s="1219"/>
      <c r="BQ509" s="1219"/>
      <c r="BR509" s="1219"/>
      <c r="BS509" s="1219"/>
      <c r="BU509" s="1217"/>
      <c r="BW509" s="1219"/>
      <c r="BY509" s="1217"/>
      <c r="CA509" s="1219"/>
      <c r="CC509" s="1217"/>
      <c r="CE509" s="1219"/>
      <c r="CG509" s="1217"/>
      <c r="CI509" s="1219"/>
    </row>
    <row r="510" spans="1:87">
      <c r="A510" s="20"/>
      <c r="B510" s="124" t="str">
        <f t="shared" si="232"/>
        <v/>
      </c>
      <c r="C510" s="235"/>
      <c r="D510" s="24">
        <f>'1% Wind'!$M$93</f>
        <v>2.4</v>
      </c>
      <c r="E510" s="90"/>
      <c r="F510" s="90"/>
      <c r="G510" s="79">
        <f ca="1">IF(I498=0.9743,$G509,MAX(G509/D509*D510,2))</f>
        <v>2</v>
      </c>
      <c r="H510" s="121" t="e">
        <f t="shared" ca="1" si="233"/>
        <v>#VALUE!</v>
      </c>
      <c r="J510" s="33"/>
      <c r="K510" s="242">
        <f t="shared" si="234"/>
        <v>1</v>
      </c>
      <c r="L510" s="241" t="e">
        <f t="shared" ca="1" si="235"/>
        <v>#VALUE!</v>
      </c>
      <c r="M510" s="243" t="e">
        <f ca="1">IF(AND(INDEX(FlowCalConstA,MATCH(J498,FlowCalNumber,0),1,1)*L510^INDEX(FlowCalConstB,MATCH(J498,FlowCalNumber,0),1,1)&gt;INDEX(FlowCalLowSetting,MATCH(J498,FlowCalNumber,0),1,1), (INDEX(FlowCalConstA,MATCH(J498,FlowCalNumber,0),1,1)*L510^INDEX(FlowCalConstB,MATCH(J498,FlowCalNumber,0),1,1)&lt;INDEX(FlowCalHighSetting,MATCH(J498,FlowCalNumber,0),1,1))),INDEX(FlowCalConstA,MATCH(J498,FlowCalNumber,0),1,1)*L510^INDEX(FlowCalConstB,MATCH(J498,FlowCalNumber,0),1,1)," ")</f>
        <v>#N/A</v>
      </c>
      <c r="N510" s="33"/>
      <c r="O510" s="242">
        <f t="shared" si="236"/>
        <v>1</v>
      </c>
      <c r="P510" s="241" t="e">
        <f t="shared" ca="1" si="237"/>
        <v>#VALUE!</v>
      </c>
      <c r="Q510" s="243" t="e">
        <f ca="1">IF(AND(INDEX(FlowCalConstA,MATCH(N498,FlowCalNumber,0),1,1)*P510^INDEX(FlowCalConstB,MATCH(N498,FlowCalNumber,0),1,1)&gt;INDEX(FlowCalLowSetting,MATCH(N498,FlowCalNumber,0),1,1), (INDEX(FlowCalConstA,MATCH(N498,FlowCalNumber,0),1,1)*P510^INDEX(FlowCalConstB,MATCH(N498,FlowCalNumber,0),1,1)&lt;INDEX(FlowCalHighSetting,MATCH(N498,FlowCalNumber,0),1,1))),INDEX(FlowCalConstA,MATCH(N498,FlowCalNumber,0),1,1)*P510^INDEX(FlowCalConstB,MATCH(N498,FlowCalNumber,0),1,1)," ")</f>
        <v>#N/A</v>
      </c>
      <c r="R510" s="33"/>
      <c r="S510" s="242">
        <f t="shared" si="238"/>
        <v>1</v>
      </c>
      <c r="T510" s="241" t="e">
        <f t="shared" ca="1" si="239"/>
        <v>#VALUE!</v>
      </c>
      <c r="U510" s="243" t="e">
        <f ca="1">IF(AND(INDEX(FlowCalConstA,MATCH(R498,FlowCalNumber,0),1,1)*T510^INDEX(FlowCalConstB,MATCH(R498,FlowCalNumber,0),1,1)&gt;INDEX(FlowCalLowSetting,MATCH(R498,FlowCalNumber,0),1,1), (INDEX(FlowCalConstA,MATCH(R498,FlowCalNumber,0),1,1)*T510^INDEX(FlowCalConstB,MATCH(R498,FlowCalNumber,0),1,1)&lt;INDEX(FlowCalHighSetting,MATCH(R498,FlowCalNumber,0),1,1))),INDEX(FlowCalConstA,MATCH(R498,FlowCalNumber,0),1,1)*T510^INDEX(FlowCalConstB,MATCH(R498,FlowCalNumber,0),1,1)," ")</f>
        <v>#N/A</v>
      </c>
      <c r="V510" s="33"/>
      <c r="W510" s="242"/>
      <c r="X510" s="241"/>
      <c r="Y510" s="243"/>
      <c r="Z510" s="33"/>
      <c r="AA510" s="242"/>
      <c r="AB510" s="241"/>
      <c r="AC510" s="243"/>
      <c r="AD510" s="33"/>
      <c r="AE510" s="242"/>
      <c r="AF510" s="241"/>
      <c r="AG510" s="243"/>
      <c r="AH510" s="33"/>
      <c r="AI510" s="242"/>
      <c r="AJ510" s="241"/>
      <c r="AK510" s="244"/>
      <c r="AL510" s="243"/>
      <c r="AM510" s="243"/>
      <c r="AN510" s="243"/>
      <c r="AO510" s="243"/>
      <c r="AP510" s="243"/>
      <c r="AQ510" s="243"/>
      <c r="AR510" s="243"/>
      <c r="AS510" s="243"/>
      <c r="AT510" s="243"/>
      <c r="AU510" s="243"/>
      <c r="AV510" s="243"/>
      <c r="AW510" s="243"/>
      <c r="AX510" s="243"/>
      <c r="AY510" s="243"/>
      <c r="AZ510" s="243"/>
      <c r="BA510" s="243"/>
      <c r="BB510" s="243"/>
      <c r="BC510" s="243"/>
      <c r="BD510" s="243"/>
      <c r="BE510" s="243"/>
      <c r="BF510" s="243"/>
      <c r="BG510" s="243"/>
      <c r="BH510" s="243"/>
      <c r="BI510" s="243"/>
      <c r="BJ510" s="243"/>
      <c r="BK510" s="243"/>
      <c r="BL510" s="243"/>
      <c r="BM510" s="243"/>
      <c r="BN510" s="243"/>
      <c r="BO510" s="243"/>
      <c r="BP510" s="243"/>
      <c r="BQ510" s="243"/>
      <c r="BR510" s="243"/>
      <c r="BS510" s="243"/>
      <c r="BU510" s="242"/>
      <c r="BW510" s="243"/>
      <c r="BY510" s="242"/>
      <c r="CA510" s="243"/>
      <c r="CC510" s="242"/>
      <c r="CE510" s="243"/>
      <c r="CG510" s="242"/>
      <c r="CI510" s="243"/>
    </row>
    <row r="511" spans="1:87" s="1215" customFormat="1">
      <c r="A511" s="1222"/>
      <c r="B511" s="1223" t="str">
        <f t="shared" si="232"/>
        <v/>
      </c>
      <c r="C511" s="1210"/>
      <c r="D511" s="1211">
        <f>'1% Wind'!$M$94</f>
        <v>1.8</v>
      </c>
      <c r="E511" s="1212"/>
      <c r="F511" s="1212"/>
      <c r="G511" s="1213">
        <f ca="1">IF(I498=0.9743,$G510,MAX(G510/D510*D511,2))</f>
        <v>2</v>
      </c>
      <c r="H511" s="1214" t="e">
        <f t="shared" ca="1" si="233"/>
        <v>#VALUE!</v>
      </c>
      <c r="J511" s="1224"/>
      <c r="K511" s="1217">
        <f t="shared" si="234"/>
        <v>1</v>
      </c>
      <c r="L511" s="1218" t="e">
        <f t="shared" ca="1" si="235"/>
        <v>#VALUE!</v>
      </c>
      <c r="M511" s="1219" t="e">
        <f ca="1">IF(AND(INDEX(FlowCalConstA,MATCH(J498,FlowCalNumber,0),1,1)*L511^INDEX(FlowCalConstB,MATCH(J498,FlowCalNumber,0),1,1)&gt;INDEX(FlowCalLowSetting,MATCH(J498,FlowCalNumber,0),1,1), (INDEX(FlowCalConstA,MATCH(J498,FlowCalNumber,0),1,1)*L511^INDEX(FlowCalConstB,MATCH(J498,FlowCalNumber,0),1,1)&lt;INDEX(FlowCalHighSetting,MATCH(J498,FlowCalNumber,0),1,1))),INDEX(FlowCalConstA,MATCH(J498,FlowCalNumber,0),1,1)*L511^INDEX(FlowCalConstB,MATCH(J498,FlowCalNumber,0),1,1)," ")</f>
        <v>#N/A</v>
      </c>
      <c r="N511" s="1224"/>
      <c r="O511" s="1217">
        <f t="shared" si="236"/>
        <v>1</v>
      </c>
      <c r="P511" s="1218" t="e">
        <f t="shared" ca="1" si="237"/>
        <v>#VALUE!</v>
      </c>
      <c r="Q511" s="1219" t="e">
        <f ca="1">IF(AND(INDEX(FlowCalConstA,MATCH(N498,FlowCalNumber,0),1,1)*P511^INDEX(FlowCalConstB,MATCH(N498,FlowCalNumber,0),1,1)&gt;INDEX(FlowCalLowSetting,MATCH(N498,FlowCalNumber,0),1,1), (INDEX(FlowCalConstA,MATCH(N498,FlowCalNumber,0),1,1)*P511^INDEX(FlowCalConstB,MATCH(N498,FlowCalNumber,0),1,1)&lt;INDEX(FlowCalHighSetting,MATCH(N498,FlowCalNumber,0),1,1))),INDEX(FlowCalConstA,MATCH(N498,FlowCalNumber,0),1,1)*P511^INDEX(FlowCalConstB,MATCH(N498,FlowCalNumber,0),1,1)," ")</f>
        <v>#N/A</v>
      </c>
      <c r="R511" s="1224"/>
      <c r="S511" s="1217">
        <f t="shared" si="238"/>
        <v>1</v>
      </c>
      <c r="T511" s="1218" t="e">
        <f t="shared" ca="1" si="239"/>
        <v>#VALUE!</v>
      </c>
      <c r="U511" s="1219" t="e">
        <f ca="1">IF(AND(INDEX(FlowCalConstA,MATCH(R498,FlowCalNumber,0),1,1)*T511^INDEX(FlowCalConstB,MATCH(R498,FlowCalNumber,0),1,1)&gt;INDEX(FlowCalLowSetting,MATCH(R498,FlowCalNumber,0),1,1), (INDEX(FlowCalConstA,MATCH(R498,FlowCalNumber,0),1,1)*T511^INDEX(FlowCalConstB,MATCH(R498,FlowCalNumber,0),1,1)&lt;INDEX(FlowCalHighSetting,MATCH(R498,FlowCalNumber,0),1,1))),INDEX(FlowCalConstA,MATCH(R498,FlowCalNumber,0),1,1)*T511^INDEX(FlowCalConstB,MATCH(R498,FlowCalNumber,0),1,1)," ")</f>
        <v>#N/A</v>
      </c>
      <c r="V511" s="1224"/>
      <c r="W511" s="1217"/>
      <c r="X511" s="1218"/>
      <c r="Y511" s="1219"/>
      <c r="Z511" s="1224"/>
      <c r="AA511" s="1217"/>
      <c r="AB511" s="1218"/>
      <c r="AC511" s="1219"/>
      <c r="AD511" s="1224"/>
      <c r="AE511" s="1217"/>
      <c r="AF511" s="1218"/>
      <c r="AG511" s="1219"/>
      <c r="AH511" s="1224"/>
      <c r="AI511" s="1217"/>
      <c r="AJ511" s="1218"/>
      <c r="AK511" s="1220"/>
      <c r="AL511" s="1219"/>
      <c r="AM511" s="1219"/>
      <c r="AN511" s="1219"/>
      <c r="AO511" s="1219"/>
      <c r="AP511" s="1219"/>
      <c r="AQ511" s="1219"/>
      <c r="AR511" s="1219"/>
      <c r="AS511" s="1219"/>
      <c r="AT511" s="1219"/>
      <c r="AU511" s="1219"/>
      <c r="AV511" s="1219"/>
      <c r="AW511" s="1219"/>
      <c r="AX511" s="1219"/>
      <c r="AY511" s="1219"/>
      <c r="AZ511" s="1219"/>
      <c r="BA511" s="1219"/>
      <c r="BB511" s="1219"/>
      <c r="BC511" s="1219"/>
      <c r="BD511" s="1219"/>
      <c r="BE511" s="1219"/>
      <c r="BF511" s="1219"/>
      <c r="BG511" s="1219"/>
      <c r="BH511" s="1219"/>
      <c r="BI511" s="1219"/>
      <c r="BJ511" s="1219"/>
      <c r="BK511" s="1219"/>
      <c r="BL511" s="1219"/>
      <c r="BM511" s="1219"/>
      <c r="BN511" s="1219"/>
      <c r="BO511" s="1219"/>
      <c r="BP511" s="1219"/>
      <c r="BQ511" s="1219"/>
      <c r="BR511" s="1219"/>
      <c r="BS511" s="1219"/>
      <c r="BU511" s="1217"/>
      <c r="BW511" s="1219"/>
      <c r="BY511" s="1217"/>
      <c r="CA511" s="1219"/>
      <c r="CC511" s="1217"/>
      <c r="CE511" s="1219"/>
      <c r="CG511" s="1217"/>
      <c r="CI511" s="1219"/>
    </row>
    <row r="512" spans="1:87">
      <c r="A512" s="20"/>
      <c r="B512" s="124" t="str">
        <f t="shared" si="232"/>
        <v/>
      </c>
      <c r="C512" s="235"/>
      <c r="D512" s="24">
        <f>'1% Wind'!$M$95</f>
        <v>1.3</v>
      </c>
      <c r="E512" s="90"/>
      <c r="F512" s="90"/>
      <c r="G512" s="79">
        <f ca="1">IF(I498=0.9743,$G511,MAX(G511/D511*D512,2))</f>
        <v>2</v>
      </c>
      <c r="H512" s="121" t="e">
        <f t="shared" ca="1" si="233"/>
        <v>#VALUE!</v>
      </c>
      <c r="J512" s="33"/>
      <c r="K512" s="242">
        <f t="shared" si="234"/>
        <v>1</v>
      </c>
      <c r="L512" s="241" t="e">
        <f t="shared" ca="1" si="235"/>
        <v>#VALUE!</v>
      </c>
      <c r="M512" s="243" t="e">
        <f ca="1">IF(AND(INDEX(FlowCalConstA,MATCH(J498,FlowCalNumber,0),1,1)*L512^INDEX(FlowCalConstB,MATCH(J498,FlowCalNumber,0),1,1)&gt;INDEX(FlowCalLowSetting,MATCH(J498,FlowCalNumber,0),1,1), (INDEX(FlowCalConstA,MATCH(J498,FlowCalNumber,0),1,1)*L512^INDEX(FlowCalConstB,MATCH(J498,FlowCalNumber,0),1,1)&lt;INDEX(FlowCalHighSetting,MATCH(J498,FlowCalNumber,0),1,1))),INDEX(FlowCalConstA,MATCH(J498,FlowCalNumber,0),1,1)*L512^INDEX(FlowCalConstB,MATCH(J498,FlowCalNumber,0),1,1)," ")</f>
        <v>#N/A</v>
      </c>
      <c r="N512" s="33"/>
      <c r="O512" s="242">
        <f t="shared" si="236"/>
        <v>1</v>
      </c>
      <c r="P512" s="241" t="e">
        <f t="shared" ca="1" si="237"/>
        <v>#VALUE!</v>
      </c>
      <c r="Q512" s="243" t="e">
        <f ca="1">IF(AND(INDEX(FlowCalConstA,MATCH(N498,FlowCalNumber,0),1,1)*P512^INDEX(FlowCalConstB,MATCH(N498,FlowCalNumber,0),1,1)&gt;INDEX(FlowCalLowSetting,MATCH(N498,FlowCalNumber,0),1,1), (INDEX(FlowCalConstA,MATCH(N498,FlowCalNumber,0),1,1)*P512^INDEX(FlowCalConstB,MATCH(N498,FlowCalNumber,0),1,1)&lt;INDEX(FlowCalHighSetting,MATCH(N498,FlowCalNumber,0),1,1))),INDEX(FlowCalConstA,MATCH(N498,FlowCalNumber,0),1,1)*P512^INDEX(FlowCalConstB,MATCH(N498,FlowCalNumber,0),1,1)," ")</f>
        <v>#N/A</v>
      </c>
      <c r="R512" s="33"/>
      <c r="S512" s="242">
        <f t="shared" si="238"/>
        <v>1</v>
      </c>
      <c r="T512" s="241" t="e">
        <f t="shared" ca="1" si="239"/>
        <v>#VALUE!</v>
      </c>
      <c r="U512" s="243" t="e">
        <f ca="1">IF(AND(INDEX(FlowCalConstA,MATCH(R498,FlowCalNumber,0),1,1)*T512^INDEX(FlowCalConstB,MATCH(R498,FlowCalNumber,0),1,1)&gt;INDEX(FlowCalLowSetting,MATCH(R498,FlowCalNumber,0),1,1), (INDEX(FlowCalConstA,MATCH(R498,FlowCalNumber,0),1,1)*T512^INDEX(FlowCalConstB,MATCH(R498,FlowCalNumber,0),1,1)&lt;INDEX(FlowCalHighSetting,MATCH(R498,FlowCalNumber,0),1,1))),INDEX(FlowCalConstA,MATCH(R498,FlowCalNumber,0),1,1)*T512^INDEX(FlowCalConstB,MATCH(R498,FlowCalNumber,0),1,1)," ")</f>
        <v>#N/A</v>
      </c>
      <c r="V512" s="33"/>
      <c r="W512" s="242"/>
      <c r="X512" s="241"/>
      <c r="Y512" s="243"/>
      <c r="Z512" s="33"/>
      <c r="AA512" s="242"/>
      <c r="AB512" s="241"/>
      <c r="AC512" s="243"/>
      <c r="AD512" s="33"/>
      <c r="AE512" s="242"/>
      <c r="AF512" s="241"/>
      <c r="AG512" s="243"/>
      <c r="AH512" s="33"/>
      <c r="AI512" s="242"/>
      <c r="AJ512" s="241"/>
      <c r="AK512" s="244"/>
      <c r="AL512" s="243"/>
      <c r="AM512" s="243"/>
      <c r="AN512" s="243"/>
      <c r="AO512" s="243"/>
      <c r="AP512" s="243"/>
      <c r="AQ512" s="243"/>
      <c r="AR512" s="243"/>
      <c r="AS512" s="243"/>
      <c r="AT512" s="243"/>
      <c r="AU512" s="243"/>
      <c r="AV512" s="243"/>
      <c r="AW512" s="243"/>
      <c r="AX512" s="243"/>
      <c r="AY512" s="243"/>
      <c r="AZ512" s="243"/>
      <c r="BA512" s="243"/>
      <c r="BB512" s="243"/>
      <c r="BC512" s="243"/>
      <c r="BD512" s="243"/>
      <c r="BE512" s="243"/>
      <c r="BF512" s="243"/>
      <c r="BG512" s="243"/>
      <c r="BH512" s="243"/>
      <c r="BI512" s="243"/>
      <c r="BJ512" s="243"/>
      <c r="BK512" s="243"/>
      <c r="BL512" s="243"/>
      <c r="BM512" s="243"/>
      <c r="BN512" s="243"/>
      <c r="BO512" s="243"/>
      <c r="BP512" s="243"/>
      <c r="BQ512" s="243"/>
      <c r="BR512" s="243"/>
      <c r="BS512" s="243"/>
      <c r="BU512" s="242"/>
      <c r="BW512" s="243"/>
      <c r="BY512" s="242"/>
      <c r="CA512" s="243"/>
      <c r="CC512" s="242"/>
      <c r="CE512" s="243"/>
      <c r="CG512" s="242"/>
      <c r="CI512" s="243"/>
    </row>
    <row r="513" spans="1:87" s="1215" customFormat="1">
      <c r="A513" s="1222"/>
      <c r="B513" s="1223" t="str">
        <f t="shared" si="232"/>
        <v/>
      </c>
      <c r="C513" s="1210"/>
      <c r="D513" s="1211">
        <f>'1% Wind'!$M$96</f>
        <v>1</v>
      </c>
      <c r="E513" s="1212"/>
      <c r="F513" s="1212"/>
      <c r="G513" s="1213">
        <f ca="1">IF(I498=0.9743,$G512,MAX(G512/D512*D513,2))</f>
        <v>2</v>
      </c>
      <c r="H513" s="1214" t="e">
        <f t="shared" ca="1" si="233"/>
        <v>#VALUE!</v>
      </c>
      <c r="J513" s="1224"/>
      <c r="K513" s="1217">
        <f t="shared" si="234"/>
        <v>1</v>
      </c>
      <c r="L513" s="1218" t="e">
        <f t="shared" ca="1" si="235"/>
        <v>#VALUE!</v>
      </c>
      <c r="M513" s="1219" t="e">
        <f ca="1">IF(AND(INDEX(FlowCalConstA,MATCH(J498,FlowCalNumber,0),1,1)*L513^INDEX(FlowCalConstB,MATCH(J498,FlowCalNumber,0),1,1)&gt;INDEX(FlowCalLowSetting,MATCH(J498,FlowCalNumber,0),1,1), (INDEX(FlowCalConstA,MATCH(J498,FlowCalNumber,0),1,1)*L513^INDEX(FlowCalConstB,MATCH(J498,FlowCalNumber,0),1,1)&lt;INDEX(FlowCalHighSetting,MATCH(J498,FlowCalNumber,0),1,1))),INDEX(FlowCalConstA,MATCH(J498,FlowCalNumber,0),1,1)*L513^INDEX(FlowCalConstB,MATCH(J498,FlowCalNumber,0),1,1)," ")</f>
        <v>#N/A</v>
      </c>
      <c r="N513" s="1224"/>
      <c r="O513" s="1217">
        <f t="shared" si="236"/>
        <v>1</v>
      </c>
      <c r="P513" s="1218" t="e">
        <f t="shared" ca="1" si="237"/>
        <v>#VALUE!</v>
      </c>
      <c r="Q513" s="1219" t="e">
        <f ca="1">IF(AND(INDEX(FlowCalConstA,MATCH(N498,FlowCalNumber,0),1,1)*P513^INDEX(FlowCalConstB,MATCH(N498,FlowCalNumber,0),1,1)&gt;INDEX(FlowCalLowSetting,MATCH(N498,FlowCalNumber,0),1,1), (INDEX(FlowCalConstA,MATCH(N498,FlowCalNumber,0),1,1)*P513^INDEX(FlowCalConstB,MATCH(N498,FlowCalNumber,0),1,1)&lt;INDEX(FlowCalHighSetting,MATCH(N498,FlowCalNumber,0),1,1))),INDEX(FlowCalConstA,MATCH(N498,FlowCalNumber,0),1,1)*P513^INDEX(FlowCalConstB,MATCH(N498,FlowCalNumber,0),1,1)," ")</f>
        <v>#N/A</v>
      </c>
      <c r="R513" s="1224"/>
      <c r="S513" s="1217">
        <f t="shared" si="238"/>
        <v>1</v>
      </c>
      <c r="T513" s="1218" t="e">
        <f t="shared" ca="1" si="239"/>
        <v>#VALUE!</v>
      </c>
      <c r="U513" s="1219" t="e">
        <f ca="1">IF(AND(INDEX(FlowCalConstA,MATCH(R498,FlowCalNumber,0),1,1)*T513^INDEX(FlowCalConstB,MATCH(R498,FlowCalNumber,0),1,1)&gt;INDEX(FlowCalLowSetting,MATCH(R498,FlowCalNumber,0),1,1), (INDEX(FlowCalConstA,MATCH(R498,FlowCalNumber,0),1,1)*T513^INDEX(FlowCalConstB,MATCH(R498,FlowCalNumber,0),1,1)&lt;INDEX(FlowCalHighSetting,MATCH(R498,FlowCalNumber,0),1,1))),INDEX(FlowCalConstA,MATCH(R498,FlowCalNumber,0),1,1)*T513^INDEX(FlowCalConstB,MATCH(R498,FlowCalNumber,0),1,1)," ")</f>
        <v>#N/A</v>
      </c>
      <c r="V513" s="1224"/>
      <c r="W513" s="1217"/>
      <c r="X513" s="1218"/>
      <c r="Y513" s="1219"/>
      <c r="Z513" s="1224"/>
      <c r="AA513" s="1217"/>
      <c r="AB513" s="1218"/>
      <c r="AC513" s="1219"/>
      <c r="AD513" s="1224"/>
      <c r="AE513" s="1217"/>
      <c r="AF513" s="1218"/>
      <c r="AG513" s="1219"/>
      <c r="AH513" s="1224"/>
      <c r="AI513" s="1217"/>
      <c r="AJ513" s="1218"/>
      <c r="AK513" s="1220"/>
      <c r="AL513" s="1219"/>
      <c r="AM513" s="1219"/>
      <c r="AN513" s="1219"/>
      <c r="AO513" s="1219"/>
      <c r="AP513" s="1219"/>
      <c r="AQ513" s="1219"/>
      <c r="AR513" s="1219"/>
      <c r="AS513" s="1219"/>
      <c r="AT513" s="1219"/>
      <c r="AU513" s="1219"/>
      <c r="AV513" s="1219"/>
      <c r="AW513" s="1219"/>
      <c r="AX513" s="1219"/>
      <c r="AY513" s="1219"/>
      <c r="AZ513" s="1219"/>
      <c r="BA513" s="1219"/>
      <c r="BB513" s="1219"/>
      <c r="BC513" s="1219"/>
      <c r="BD513" s="1219"/>
      <c r="BE513" s="1219"/>
      <c r="BF513" s="1219"/>
      <c r="BG513" s="1219"/>
      <c r="BH513" s="1219"/>
      <c r="BI513" s="1219"/>
      <c r="BJ513" s="1219"/>
      <c r="BK513" s="1219"/>
      <c r="BL513" s="1219"/>
      <c r="BM513" s="1219"/>
      <c r="BN513" s="1219"/>
      <c r="BO513" s="1219"/>
      <c r="BP513" s="1219"/>
      <c r="BQ513" s="1219"/>
      <c r="BR513" s="1219"/>
      <c r="BS513" s="1219"/>
      <c r="BU513" s="1217"/>
      <c r="BW513" s="1219"/>
      <c r="BY513" s="1217"/>
      <c r="CA513" s="1219"/>
      <c r="CC513" s="1217"/>
      <c r="CE513" s="1219"/>
      <c r="CG513" s="1217"/>
      <c r="CI513" s="1219"/>
    </row>
    <row r="514" spans="1:87">
      <c r="A514" s="33"/>
      <c r="B514" s="33"/>
      <c r="C514" s="235"/>
      <c r="E514" s="90"/>
      <c r="F514" s="90"/>
      <c r="G514" s="33"/>
      <c r="J514" s="33"/>
      <c r="M514" s="243"/>
      <c r="N514" s="33"/>
      <c r="Q514" s="243"/>
      <c r="R514" s="33"/>
      <c r="U514" s="243"/>
      <c r="V514" s="33"/>
      <c r="Y514" s="243"/>
      <c r="Z514" s="33"/>
      <c r="AC514" s="243"/>
      <c r="AD514" s="33"/>
      <c r="AG514" s="243"/>
      <c r="AH514" s="33"/>
      <c r="AK514" s="244"/>
      <c r="AL514" s="243"/>
      <c r="AM514" s="243"/>
      <c r="AN514" s="243"/>
      <c r="AO514" s="243"/>
      <c r="AP514" s="243"/>
      <c r="AQ514" s="243"/>
      <c r="AR514" s="243"/>
      <c r="AS514" s="243"/>
      <c r="AT514" s="243"/>
      <c r="AU514" s="243"/>
      <c r="AV514" s="243"/>
      <c r="AW514" s="243"/>
      <c r="AX514" s="243"/>
      <c r="AY514" s="243"/>
      <c r="AZ514" s="243"/>
      <c r="BA514" s="243"/>
      <c r="BB514" s="243"/>
      <c r="BC514" s="243"/>
      <c r="BD514" s="243"/>
      <c r="BE514" s="243"/>
      <c r="BF514" s="243"/>
      <c r="BG514" s="243"/>
      <c r="BH514" s="243"/>
      <c r="BI514" s="243"/>
      <c r="BJ514" s="243"/>
      <c r="BK514" s="243"/>
      <c r="BL514" s="243"/>
      <c r="BM514" s="243"/>
      <c r="BN514" s="243"/>
      <c r="BO514" s="243"/>
      <c r="BP514" s="243"/>
      <c r="BQ514" s="243"/>
      <c r="BR514" s="243"/>
      <c r="BS514" s="243"/>
      <c r="BW514" s="243"/>
      <c r="CA514" s="243"/>
      <c r="CE514" s="243"/>
      <c r="CI514" s="243"/>
    </row>
    <row r="515" spans="1:87">
      <c r="A515" s="256" t="str">
        <f>IF((RIGHT(A498,1))&lt;&gt;"Z",CHAR(CODE(A498))&amp;CHAR(CODE(RIGHT(A498,1))+1),CHAR(CODE(A498)+1)&amp;"A")</f>
        <v>BD</v>
      </c>
      <c r="B515" s="270" t="str">
        <f>INDEX(SourceID,MATCH($A515,SourceNumber,0),1,1)</f>
        <v>B2 FE-2</v>
      </c>
      <c r="C515" s="354">
        <f>INDEX(SourceExitDiameter,MATCH($A515,SourceNumber,0),1,1)*3.28*12</f>
        <v>30.28</v>
      </c>
      <c r="D515" s="24" t="str">
        <f>UAnem1percent</f>
        <v>1% Wind</v>
      </c>
      <c r="E515" s="350" t="e">
        <f ca="1">INDIRECT(ADDRESS(53,6,1,,CONCATENATE("TA",$A515)))</f>
        <v>#REF!</v>
      </c>
      <c r="F515" s="625" t="e">
        <f ca="1">(ROUND((INDIRECT(ADDRESS(15,7,1,,CONCATENATE("TA",$A515)))*3.28*12*32),0)&amp;"/32")</f>
        <v>#REF!</v>
      </c>
      <c r="G515" s="125">
        <f ca="1">INDIRECT(ADDRESS(29,7,1,,$A515))</f>
        <v>6.001707317073171</v>
      </c>
      <c r="H515" s="24" t="e">
        <f ca="1">INDIRECT(ADDRESS(19,7,1,,$A515))*100^3</f>
        <v>#VALUE!</v>
      </c>
      <c r="I515" s="941">
        <f ca="1">INDIRECT(ADDRESS(53,7,1,,$A515))</f>
        <v>0.97430000000000005</v>
      </c>
      <c r="J515" s="20" t="str">
        <f ca="1">IF($I515=$I$6,K$16&amp;$G$6&amp;J$6,IF($I515=$I$7,K$16&amp;$G$7&amp;J$7,"Bad"))</f>
        <v>100N2Pick a Tunnel</v>
      </c>
      <c r="K515" t="e">
        <f ca="1">INDEX(FlowCalGasMixture,MATCH(J515,FlowCalNumber,0),1,1)</f>
        <v>#N/A</v>
      </c>
      <c r="M515" s="944" t="e">
        <f ca="1">INDEX(FlowCalDevice,MATCH(J515,FlowCalNumber,0),1,1)</f>
        <v>#N/A</v>
      </c>
      <c r="N515" s="20" t="str">
        <f ca="1">IF($I515=$I$6,O$16&amp;$G$6&amp;N$6,IF($I515=$I$7,O$16&amp;$G$7&amp;N$7,"Bad"))</f>
        <v>100N2Pick a Tunnel</v>
      </c>
      <c r="O515" t="e">
        <f ca="1">INDEX(FlowCalGasMixture,MATCH(N515,FlowCalNumber,0),1,1)</f>
        <v>#N/A</v>
      </c>
      <c r="Q515" s="944" t="e">
        <f ca="1">INDEX(FlowCalDevice,MATCH(N515,FlowCalNumber,0),1,1)</f>
        <v>#N/A</v>
      </c>
      <c r="R515" s="20" t="str">
        <f ca="1">IF($I515=$I$6,S$16&amp;$G$6&amp;R$6,IF($I515=$I$7,S$16&amp;$G$7&amp;R$7,"Bad"))</f>
        <v>100N2Pick a Tunnel</v>
      </c>
      <c r="S515" t="e">
        <f ca="1">INDEX(FlowCalGasMixture,MATCH(R515,FlowCalNumber,0),1,1)</f>
        <v>#N/A</v>
      </c>
      <c r="U515" s="944" t="e">
        <f ca="1">INDEX(FlowCalDevice,MATCH(R515,FlowCalNumber,0),1,1)</f>
        <v>#N/A</v>
      </c>
      <c r="V515" s="20"/>
      <c r="Y515" s="944"/>
      <c r="Z515" s="946"/>
      <c r="AC515" s="944"/>
      <c r="AD515" s="20"/>
      <c r="AG515" s="944"/>
      <c r="AH515" s="946"/>
      <c r="AK515" s="982"/>
      <c r="AL515" s="355"/>
      <c r="AM515" s="355"/>
      <c r="AN515" s="355"/>
      <c r="AO515" s="355"/>
      <c r="AP515" s="355"/>
      <c r="AQ515" s="355"/>
      <c r="AR515" s="355"/>
      <c r="AS515" s="355"/>
      <c r="AT515" s="355"/>
      <c r="AU515" s="355"/>
      <c r="AV515" s="355"/>
      <c r="AW515" s="355"/>
      <c r="AX515" s="355"/>
      <c r="AY515" s="355"/>
      <c r="AZ515" s="355"/>
      <c r="BA515" s="355"/>
      <c r="BB515" s="355"/>
      <c r="BC515" s="355"/>
      <c r="BD515" s="355"/>
      <c r="BE515" s="355"/>
      <c r="BF515" s="355"/>
      <c r="BG515" s="355"/>
      <c r="BH515" s="355"/>
      <c r="BI515" s="355"/>
      <c r="BJ515" s="355"/>
      <c r="BK515" s="355"/>
      <c r="BL515" s="355"/>
      <c r="BM515" s="355"/>
      <c r="BN515" s="355"/>
      <c r="BO515" s="355"/>
      <c r="BP515" s="355"/>
      <c r="BQ515" s="355"/>
      <c r="BR515" s="355"/>
      <c r="BS515" s="355"/>
      <c r="BT515" s="46"/>
      <c r="BU515" s="16"/>
      <c r="BW515" s="355"/>
      <c r="BX515" s="42"/>
      <c r="BY515" s="16"/>
      <c r="CA515" s="355"/>
      <c r="CB515" s="42"/>
      <c r="CC515" s="16"/>
      <c r="CE515" s="355"/>
      <c r="CF515" s="42"/>
      <c r="CG515" s="16"/>
      <c r="CI515" s="355"/>
    </row>
    <row r="516" spans="1:87" s="1215" customFormat="1">
      <c r="A516" s="1222"/>
      <c r="B516" s="1223" t="str">
        <f t="shared" ref="B516:B530" si="240">IF(D516=UAnem1percent,"1% Wind","")</f>
        <v/>
      </c>
      <c r="C516" s="1210"/>
      <c r="D516" s="1211">
        <f>'1% Wind'!$M$82</f>
        <v>27</v>
      </c>
      <c r="E516" s="1212"/>
      <c r="F516" s="1212"/>
      <c r="G516" s="1364">
        <v>2</v>
      </c>
      <c r="H516" s="1214" t="e">
        <f t="shared" ref="H516:H530" ca="1" si="241">H515*(D515/D516)*(G516/G515)</f>
        <v>#VALUE!</v>
      </c>
      <c r="J516" s="1224"/>
      <c r="K516" s="1221">
        <f>K$17/100</f>
        <v>1</v>
      </c>
      <c r="L516" s="1218" t="e">
        <f ca="1">K516*$H516</f>
        <v>#VALUE!</v>
      </c>
      <c r="M516" s="1219" t="e">
        <f ca="1">IF(AND(INDEX(FlowCalConstA,MATCH(J515,FlowCalNumber,0),1,1)*L516^INDEX(FlowCalConstB,MATCH(J515,FlowCalNumber,0),1,1)&gt;INDEX(FlowCalLowSetting,MATCH(J515,FlowCalNumber,0),1,1), (INDEX(FlowCalConstA,MATCH(J515,FlowCalNumber,0),1,1)*L516^INDEX(FlowCalConstB,MATCH(J515,FlowCalNumber,0),1,1)&lt;INDEX(FlowCalHighSetting,MATCH(J515,FlowCalNumber,0),1,1))),INDEX(FlowCalConstA,MATCH(J515,FlowCalNumber,0),1,1)*L516^INDEX(FlowCalConstB,MATCH(J515,FlowCalNumber,0),1,1)," ")</f>
        <v>#N/A</v>
      </c>
      <c r="N516" s="1224"/>
      <c r="O516" s="1221">
        <f>O$17/100</f>
        <v>1</v>
      </c>
      <c r="P516" s="1218" t="e">
        <f ca="1">O516*$H516</f>
        <v>#VALUE!</v>
      </c>
      <c r="Q516" s="1219" t="e">
        <f ca="1">IF(AND(INDEX(FlowCalConstA,MATCH(N515,FlowCalNumber,0),1,1)*P516^INDEX(FlowCalConstB,MATCH(N515,FlowCalNumber,0),1,1)&gt;INDEX(FlowCalLowSetting,MATCH(N515,FlowCalNumber,0),1,1), (INDEX(FlowCalConstA,MATCH(N515,FlowCalNumber,0),1,1)*P516^INDEX(FlowCalConstB,MATCH(N515,FlowCalNumber,0),1,1)&lt;INDEX(FlowCalHighSetting,MATCH(N515,FlowCalNumber,0),1,1))),INDEX(FlowCalConstA,MATCH(N515,FlowCalNumber,0),1,1)*P516^INDEX(FlowCalConstB,MATCH(N515,FlowCalNumber,0),1,1)," ")</f>
        <v>#N/A</v>
      </c>
      <c r="R516" s="1224"/>
      <c r="S516" s="1221">
        <f>S$17/100</f>
        <v>1</v>
      </c>
      <c r="T516" s="1218" t="e">
        <f ca="1">S516*$H516</f>
        <v>#VALUE!</v>
      </c>
      <c r="U516" s="1219" t="e">
        <f ca="1">IF(AND(INDEX(FlowCalConstA,MATCH(R515,FlowCalNumber,0),1,1)*T516^INDEX(FlowCalConstB,MATCH(R515,FlowCalNumber,0),1,1)&gt;INDEX(FlowCalLowSetting,MATCH(R515,FlowCalNumber,0),1,1), (INDEX(FlowCalConstA,MATCH(R515,FlowCalNumber,0),1,1)*T516^INDEX(FlowCalConstB,MATCH(R515,FlowCalNumber,0),1,1)&lt;INDEX(FlowCalHighSetting,MATCH(R515,FlowCalNumber,0),1,1))),INDEX(FlowCalConstA,MATCH(R515,FlowCalNumber,0),1,1)*T516^INDEX(FlowCalConstB,MATCH(R515,FlowCalNumber,0),1,1)," ")</f>
        <v>#N/A</v>
      </c>
      <c r="V516" s="1224"/>
      <c r="W516" s="1221"/>
      <c r="X516" s="1218"/>
      <c r="Y516" s="1219"/>
      <c r="Z516" s="1224"/>
      <c r="AA516" s="1221"/>
      <c r="AB516" s="1218"/>
      <c r="AC516" s="1219"/>
      <c r="AD516" s="1224"/>
      <c r="AE516" s="1221"/>
      <c r="AF516" s="1218"/>
      <c r="AG516" s="1219"/>
      <c r="AH516" s="1224"/>
      <c r="AI516" s="1221"/>
      <c r="AJ516" s="1218"/>
      <c r="AK516" s="1220"/>
      <c r="AL516" s="1219"/>
      <c r="AM516" s="1219"/>
      <c r="AN516" s="1219"/>
      <c r="AO516" s="1219"/>
      <c r="AP516" s="1219"/>
      <c r="AQ516" s="1219"/>
      <c r="AR516" s="1219"/>
      <c r="AS516" s="1219"/>
      <c r="AT516" s="1219"/>
      <c r="AU516" s="1219"/>
      <c r="AV516" s="1219"/>
      <c r="AW516" s="1219"/>
      <c r="AX516" s="1219"/>
      <c r="AY516" s="1219"/>
      <c r="AZ516" s="1219"/>
      <c r="BA516" s="1219"/>
      <c r="BB516" s="1219"/>
      <c r="BC516" s="1219"/>
      <c r="BD516" s="1219"/>
      <c r="BE516" s="1219"/>
      <c r="BF516" s="1219"/>
      <c r="BG516" s="1219"/>
      <c r="BH516" s="1219"/>
      <c r="BI516" s="1219"/>
      <c r="BJ516" s="1219"/>
      <c r="BK516" s="1219"/>
      <c r="BL516" s="1219"/>
      <c r="BM516" s="1219"/>
      <c r="BN516" s="1219"/>
      <c r="BO516" s="1219"/>
      <c r="BP516" s="1219"/>
      <c r="BQ516" s="1219"/>
      <c r="BR516" s="1219"/>
      <c r="BS516" s="1219"/>
      <c r="BU516" s="1225"/>
      <c r="BW516" s="1219"/>
      <c r="BY516" s="1225"/>
      <c r="CA516" s="1219"/>
      <c r="CC516" s="1225"/>
      <c r="CE516" s="1219"/>
      <c r="CG516" s="1221"/>
      <c r="CI516" s="1219"/>
    </row>
    <row r="517" spans="1:87">
      <c r="A517" s="20"/>
      <c r="B517" s="124" t="str">
        <f t="shared" si="240"/>
        <v/>
      </c>
      <c r="C517" s="235"/>
      <c r="D517" s="24">
        <f>'1% Wind'!$M$83</f>
        <v>23.5</v>
      </c>
      <c r="E517" s="90"/>
      <c r="F517" s="90"/>
      <c r="G517" s="79">
        <f ca="1">IF(I515=0.9743,$G516,MAX(G516/D516*D517,2))</f>
        <v>2</v>
      </c>
      <c r="H517" s="121" t="e">
        <f t="shared" ca="1" si="241"/>
        <v>#VALUE!</v>
      </c>
      <c r="J517" s="33"/>
      <c r="K517" s="242">
        <f t="shared" ref="K517:K530" si="242">K516</f>
        <v>1</v>
      </c>
      <c r="L517" s="241" t="e">
        <f t="shared" ref="L517:L530" ca="1" si="243">K517*$H517</f>
        <v>#VALUE!</v>
      </c>
      <c r="M517" s="243" t="e">
        <f ca="1">IF(AND(INDEX(FlowCalConstA,MATCH(J515,FlowCalNumber,0),1,1)*L517^INDEX(FlowCalConstB,MATCH(J515,FlowCalNumber,0),1,1)&gt;INDEX(FlowCalLowSetting,MATCH(J515,FlowCalNumber,0),1,1), (INDEX(FlowCalConstA,MATCH(J515,FlowCalNumber,0),1,1)*L517^INDEX(FlowCalConstB,MATCH(J515,FlowCalNumber,0),1,1)&lt;INDEX(FlowCalHighSetting,MATCH(J515,FlowCalNumber,0),1,1))),INDEX(FlowCalConstA,MATCH(J515,FlowCalNumber,0),1,1)*L517^INDEX(FlowCalConstB,MATCH(J515,FlowCalNumber,0),1,1)," ")</f>
        <v>#N/A</v>
      </c>
      <c r="N517" s="33"/>
      <c r="O517" s="242">
        <f t="shared" ref="O517:O530" si="244">O516</f>
        <v>1</v>
      </c>
      <c r="P517" s="241" t="e">
        <f t="shared" ref="P517:P530" ca="1" si="245">O517*$H517</f>
        <v>#VALUE!</v>
      </c>
      <c r="Q517" s="243" t="e">
        <f ca="1">IF(AND(INDEX(FlowCalConstA,MATCH(N515,FlowCalNumber,0),1,1)*P517^INDEX(FlowCalConstB,MATCH(N515,FlowCalNumber,0),1,1)&gt;INDEX(FlowCalLowSetting,MATCH(N515,FlowCalNumber,0),1,1), (INDEX(FlowCalConstA,MATCH(N515,FlowCalNumber,0),1,1)*P517^INDEX(FlowCalConstB,MATCH(N515,FlowCalNumber,0),1,1)&lt;INDEX(FlowCalHighSetting,MATCH(N515,FlowCalNumber,0),1,1))),INDEX(FlowCalConstA,MATCH(N515,FlowCalNumber,0),1,1)*P517^INDEX(FlowCalConstB,MATCH(N515,FlowCalNumber,0),1,1)," ")</f>
        <v>#N/A</v>
      </c>
      <c r="R517" s="33"/>
      <c r="S517" s="242">
        <f t="shared" ref="S517:S530" si="246">S516</f>
        <v>1</v>
      </c>
      <c r="T517" s="241" t="e">
        <f t="shared" ref="T517:T530" ca="1" si="247">S517*$H517</f>
        <v>#VALUE!</v>
      </c>
      <c r="U517" s="243" t="e">
        <f ca="1">IF(AND(INDEX(FlowCalConstA,MATCH(R515,FlowCalNumber,0),1,1)*T517^INDEX(FlowCalConstB,MATCH(R515,FlowCalNumber,0),1,1)&gt;INDEX(FlowCalLowSetting,MATCH(R515,FlowCalNumber,0),1,1), (INDEX(FlowCalConstA,MATCH(R515,FlowCalNumber,0),1,1)*T517^INDEX(FlowCalConstB,MATCH(R515,FlowCalNumber,0),1,1)&lt;INDEX(FlowCalHighSetting,MATCH(R515,FlowCalNumber,0),1,1))),INDEX(FlowCalConstA,MATCH(R515,FlowCalNumber,0),1,1)*T517^INDEX(FlowCalConstB,MATCH(R515,FlowCalNumber,0),1,1)," ")</f>
        <v>#N/A</v>
      </c>
      <c r="V517" s="33"/>
      <c r="W517" s="242"/>
      <c r="X517" s="241"/>
      <c r="Y517" s="243"/>
      <c r="Z517" s="33"/>
      <c r="AA517" s="242"/>
      <c r="AB517" s="241"/>
      <c r="AC517" s="243"/>
      <c r="AD517" s="33"/>
      <c r="AE517" s="242"/>
      <c r="AF517" s="241"/>
      <c r="AG517" s="243"/>
      <c r="AH517" s="33"/>
      <c r="AI517" s="242"/>
      <c r="AJ517" s="241"/>
      <c r="AK517" s="244"/>
      <c r="AL517" s="243"/>
      <c r="AM517" s="243"/>
      <c r="AN517" s="243"/>
      <c r="AO517" s="243"/>
      <c r="AP517" s="243"/>
      <c r="AQ517" s="243"/>
      <c r="AR517" s="243"/>
      <c r="AS517" s="243"/>
      <c r="AT517" s="243"/>
      <c r="AU517" s="243"/>
      <c r="AV517" s="243"/>
      <c r="AW517" s="243"/>
      <c r="AX517" s="243"/>
      <c r="AY517" s="243"/>
      <c r="AZ517" s="243"/>
      <c r="BA517" s="243"/>
      <c r="BB517" s="243"/>
      <c r="BC517" s="243"/>
      <c r="BD517" s="243"/>
      <c r="BE517" s="243"/>
      <c r="BF517" s="243"/>
      <c r="BG517" s="243"/>
      <c r="BH517" s="243"/>
      <c r="BI517" s="243"/>
      <c r="BJ517" s="243"/>
      <c r="BK517" s="243"/>
      <c r="BL517" s="243"/>
      <c r="BM517" s="243"/>
      <c r="BN517" s="243"/>
      <c r="BO517" s="243"/>
      <c r="BP517" s="243"/>
      <c r="BQ517" s="243"/>
      <c r="BR517" s="243"/>
      <c r="BS517" s="243"/>
      <c r="BU517" s="242"/>
      <c r="BW517" s="243"/>
      <c r="BY517" s="242"/>
      <c r="CA517" s="243"/>
      <c r="CC517" s="242"/>
      <c r="CE517" s="243"/>
      <c r="CG517" s="242"/>
      <c r="CI517" s="243"/>
    </row>
    <row r="518" spans="1:87" s="1215" customFormat="1">
      <c r="A518" s="1222"/>
      <c r="B518" s="1223" t="str">
        <f t="shared" si="240"/>
        <v/>
      </c>
      <c r="C518" s="1210"/>
      <c r="D518" s="1211">
        <f>'1% Wind'!$M$84</f>
        <v>20.5</v>
      </c>
      <c r="E518" s="1212"/>
      <c r="F518" s="1212"/>
      <c r="G518" s="1213">
        <f ca="1">IF(I515=0.9743,$G517,MAX(G517/D517*D518,2))</f>
        <v>2</v>
      </c>
      <c r="H518" s="1214" t="e">
        <f t="shared" ca="1" si="241"/>
        <v>#VALUE!</v>
      </c>
      <c r="J518" s="1224"/>
      <c r="K518" s="1217">
        <f t="shared" si="242"/>
        <v>1</v>
      </c>
      <c r="L518" s="1218" t="e">
        <f t="shared" ca="1" si="243"/>
        <v>#VALUE!</v>
      </c>
      <c r="M518" s="1219" t="e">
        <f ca="1">IF(AND(INDEX(FlowCalConstA,MATCH(J515,FlowCalNumber,0),1,1)*L518^INDEX(FlowCalConstB,MATCH(J515,FlowCalNumber,0),1,1)&gt;INDEX(FlowCalLowSetting,MATCH(J515,FlowCalNumber,0),1,1), (INDEX(FlowCalConstA,MATCH(J515,FlowCalNumber,0),1,1)*L518^INDEX(FlowCalConstB,MATCH(J515,FlowCalNumber,0),1,1)&lt;INDEX(FlowCalHighSetting,MATCH(J515,FlowCalNumber,0),1,1))),INDEX(FlowCalConstA,MATCH(J515,FlowCalNumber,0),1,1)*L518^INDEX(FlowCalConstB,MATCH(J515,FlowCalNumber,0),1,1)," ")</f>
        <v>#N/A</v>
      </c>
      <c r="N518" s="1224"/>
      <c r="O518" s="1217">
        <f t="shared" si="244"/>
        <v>1</v>
      </c>
      <c r="P518" s="1218" t="e">
        <f t="shared" ca="1" si="245"/>
        <v>#VALUE!</v>
      </c>
      <c r="Q518" s="1219" t="e">
        <f ca="1">IF(AND(INDEX(FlowCalConstA,MATCH(N515,FlowCalNumber,0),1,1)*P518^INDEX(FlowCalConstB,MATCH(N515,FlowCalNumber,0),1,1)&gt;INDEX(FlowCalLowSetting,MATCH(N515,FlowCalNumber,0),1,1), (INDEX(FlowCalConstA,MATCH(N515,FlowCalNumber,0),1,1)*P518^INDEX(FlowCalConstB,MATCH(N515,FlowCalNumber,0),1,1)&lt;INDEX(FlowCalHighSetting,MATCH(N515,FlowCalNumber,0),1,1))),INDEX(FlowCalConstA,MATCH(N515,FlowCalNumber,0),1,1)*P518^INDEX(FlowCalConstB,MATCH(N515,FlowCalNumber,0),1,1)," ")</f>
        <v>#N/A</v>
      </c>
      <c r="R518" s="1224"/>
      <c r="S518" s="1217">
        <f t="shared" si="246"/>
        <v>1</v>
      </c>
      <c r="T518" s="1218" t="e">
        <f t="shared" ca="1" si="247"/>
        <v>#VALUE!</v>
      </c>
      <c r="U518" s="1219" t="e">
        <f ca="1">IF(AND(INDEX(FlowCalConstA,MATCH(R515,FlowCalNumber,0),1,1)*T518^INDEX(FlowCalConstB,MATCH(R515,FlowCalNumber,0),1,1)&gt;INDEX(FlowCalLowSetting,MATCH(R515,FlowCalNumber,0),1,1), (INDEX(FlowCalConstA,MATCH(R515,FlowCalNumber,0),1,1)*T518^INDEX(FlowCalConstB,MATCH(R515,FlowCalNumber,0),1,1)&lt;INDEX(FlowCalHighSetting,MATCH(R515,FlowCalNumber,0),1,1))),INDEX(FlowCalConstA,MATCH(R515,FlowCalNumber,0),1,1)*T518^INDEX(FlowCalConstB,MATCH(R515,FlowCalNumber,0),1,1)," ")</f>
        <v>#N/A</v>
      </c>
      <c r="V518" s="1224"/>
      <c r="W518" s="1217"/>
      <c r="X518" s="1218"/>
      <c r="Y518" s="1219"/>
      <c r="Z518" s="1224"/>
      <c r="AA518" s="1217"/>
      <c r="AB518" s="1218"/>
      <c r="AC518" s="1219"/>
      <c r="AD518" s="1224"/>
      <c r="AE518" s="1217"/>
      <c r="AF518" s="1218"/>
      <c r="AG518" s="1219"/>
      <c r="AH518" s="1224"/>
      <c r="AI518" s="1217"/>
      <c r="AJ518" s="1218"/>
      <c r="AK518" s="1220"/>
      <c r="AL518" s="1219"/>
      <c r="AM518" s="1219"/>
      <c r="AN518" s="1219"/>
      <c r="AO518" s="1219"/>
      <c r="AP518" s="1219"/>
      <c r="AQ518" s="1219"/>
      <c r="AR518" s="1219"/>
      <c r="AS518" s="1219"/>
      <c r="AT518" s="1219"/>
      <c r="AU518" s="1219"/>
      <c r="AV518" s="1219"/>
      <c r="AW518" s="1219"/>
      <c r="AX518" s="1219"/>
      <c r="AY518" s="1219"/>
      <c r="AZ518" s="1219"/>
      <c r="BA518" s="1219"/>
      <c r="BB518" s="1219"/>
      <c r="BC518" s="1219"/>
      <c r="BD518" s="1219"/>
      <c r="BE518" s="1219"/>
      <c r="BF518" s="1219"/>
      <c r="BG518" s="1219"/>
      <c r="BH518" s="1219"/>
      <c r="BI518" s="1219"/>
      <c r="BJ518" s="1219"/>
      <c r="BK518" s="1219"/>
      <c r="BL518" s="1219"/>
      <c r="BM518" s="1219"/>
      <c r="BN518" s="1219"/>
      <c r="BO518" s="1219"/>
      <c r="BP518" s="1219"/>
      <c r="BQ518" s="1219"/>
      <c r="BR518" s="1219"/>
      <c r="BS518" s="1219"/>
      <c r="BU518" s="1217"/>
      <c r="BW518" s="1219"/>
      <c r="BY518" s="1217"/>
      <c r="CA518" s="1219"/>
      <c r="CC518" s="1217"/>
      <c r="CE518" s="1219"/>
      <c r="CG518" s="1217"/>
      <c r="CI518" s="1219"/>
    </row>
    <row r="519" spans="1:87">
      <c r="A519" s="20"/>
      <c r="B519" s="124" t="str">
        <f t="shared" si="240"/>
        <v/>
      </c>
      <c r="C519" s="235"/>
      <c r="D519" s="24">
        <f>'1% Wind'!$M$85</f>
        <v>17.8</v>
      </c>
      <c r="E519" s="90"/>
      <c r="F519" s="90"/>
      <c r="G519" s="79">
        <f ca="1">IF(I515=0.9743,$G518,MAX(G518/D518*D519,2))</f>
        <v>2</v>
      </c>
      <c r="H519" s="121" t="e">
        <f t="shared" ca="1" si="241"/>
        <v>#VALUE!</v>
      </c>
      <c r="J519" s="33"/>
      <c r="K519" s="242">
        <f t="shared" si="242"/>
        <v>1</v>
      </c>
      <c r="L519" s="241" t="e">
        <f t="shared" ca="1" si="243"/>
        <v>#VALUE!</v>
      </c>
      <c r="M519" s="243" t="e">
        <f ca="1">IF(AND(INDEX(FlowCalConstA,MATCH(J515,FlowCalNumber,0),1,1)*L519^INDEX(FlowCalConstB,MATCH(J515,FlowCalNumber,0),1,1)&gt;INDEX(FlowCalLowSetting,MATCH(J515,FlowCalNumber,0),1,1), (INDEX(FlowCalConstA,MATCH(J515,FlowCalNumber,0),1,1)*L519^INDEX(FlowCalConstB,MATCH(J515,FlowCalNumber,0),1,1)&lt;INDEX(FlowCalHighSetting,MATCH(J515,FlowCalNumber,0),1,1))),INDEX(FlowCalConstA,MATCH(J515,FlowCalNumber,0),1,1)*L519^INDEX(FlowCalConstB,MATCH(J515,FlowCalNumber,0),1,1)," ")</f>
        <v>#N/A</v>
      </c>
      <c r="N519" s="33"/>
      <c r="O519" s="242">
        <f t="shared" si="244"/>
        <v>1</v>
      </c>
      <c r="P519" s="241" t="e">
        <f t="shared" ca="1" si="245"/>
        <v>#VALUE!</v>
      </c>
      <c r="Q519" s="243" t="e">
        <f ca="1">IF(AND(INDEX(FlowCalConstA,MATCH(N515,FlowCalNumber,0),1,1)*P519^INDEX(FlowCalConstB,MATCH(N515,FlowCalNumber,0),1,1)&gt;INDEX(FlowCalLowSetting,MATCH(N515,FlowCalNumber,0),1,1), (INDEX(FlowCalConstA,MATCH(N515,FlowCalNumber,0),1,1)*P519^INDEX(FlowCalConstB,MATCH(N515,FlowCalNumber,0),1,1)&lt;INDEX(FlowCalHighSetting,MATCH(N515,FlowCalNumber,0),1,1))),INDEX(FlowCalConstA,MATCH(N515,FlowCalNumber,0),1,1)*P519^INDEX(FlowCalConstB,MATCH(N515,FlowCalNumber,0),1,1)," ")</f>
        <v>#N/A</v>
      </c>
      <c r="R519" s="33"/>
      <c r="S519" s="242">
        <f t="shared" si="246"/>
        <v>1</v>
      </c>
      <c r="T519" s="241" t="e">
        <f t="shared" ca="1" si="247"/>
        <v>#VALUE!</v>
      </c>
      <c r="U519" s="243" t="e">
        <f ca="1">IF(AND(INDEX(FlowCalConstA,MATCH(R515,FlowCalNumber,0),1,1)*T519^INDEX(FlowCalConstB,MATCH(R515,FlowCalNumber,0),1,1)&gt;INDEX(FlowCalLowSetting,MATCH(R515,FlowCalNumber,0),1,1), (INDEX(FlowCalConstA,MATCH(R515,FlowCalNumber,0),1,1)*T519^INDEX(FlowCalConstB,MATCH(R515,FlowCalNumber,0),1,1)&lt;INDEX(FlowCalHighSetting,MATCH(R515,FlowCalNumber,0),1,1))),INDEX(FlowCalConstA,MATCH(R515,FlowCalNumber,0),1,1)*T519^INDEX(FlowCalConstB,MATCH(R515,FlowCalNumber,0),1,1)," ")</f>
        <v>#N/A</v>
      </c>
      <c r="V519" s="33"/>
      <c r="W519" s="242"/>
      <c r="X519" s="241"/>
      <c r="Y519" s="243"/>
      <c r="Z519" s="33"/>
      <c r="AA519" s="242"/>
      <c r="AB519" s="241"/>
      <c r="AC519" s="243"/>
      <c r="AD519" s="33"/>
      <c r="AE519" s="242"/>
      <c r="AF519" s="241"/>
      <c r="AG519" s="243"/>
      <c r="AH519" s="33"/>
      <c r="AI519" s="242"/>
      <c r="AJ519" s="241"/>
      <c r="AK519" s="244"/>
      <c r="AL519" s="243"/>
      <c r="AM519" s="243"/>
      <c r="AN519" s="243"/>
      <c r="AO519" s="243"/>
      <c r="AP519" s="243"/>
      <c r="AQ519" s="243"/>
      <c r="AR519" s="243"/>
      <c r="AS519" s="243"/>
      <c r="AT519" s="243"/>
      <c r="AU519" s="243"/>
      <c r="AV519" s="243"/>
      <c r="AW519" s="243"/>
      <c r="AX519" s="243"/>
      <c r="AY519" s="243"/>
      <c r="AZ519" s="243"/>
      <c r="BA519" s="243"/>
      <c r="BB519" s="243"/>
      <c r="BC519" s="243"/>
      <c r="BD519" s="243"/>
      <c r="BE519" s="243"/>
      <c r="BF519" s="243"/>
      <c r="BG519" s="243"/>
      <c r="BH519" s="243"/>
      <c r="BI519" s="243"/>
      <c r="BJ519" s="243"/>
      <c r="BK519" s="243"/>
      <c r="BL519" s="243"/>
      <c r="BM519" s="243"/>
      <c r="BN519" s="243"/>
      <c r="BO519" s="243"/>
      <c r="BP519" s="243"/>
      <c r="BQ519" s="243"/>
      <c r="BR519" s="243"/>
      <c r="BS519" s="243"/>
      <c r="BU519" s="242"/>
      <c r="BW519" s="243"/>
      <c r="BY519" s="242"/>
      <c r="CA519" s="243"/>
      <c r="CC519" s="242"/>
      <c r="CE519" s="243"/>
      <c r="CG519" s="242"/>
      <c r="CI519" s="243"/>
    </row>
    <row r="520" spans="1:87" s="1215" customFormat="1">
      <c r="A520" s="1222"/>
      <c r="B520" s="1223" t="str">
        <f t="shared" si="240"/>
        <v/>
      </c>
      <c r="C520" s="1210"/>
      <c r="D520" s="1211">
        <f>'1% Wind'!$M$86</f>
        <v>15.5</v>
      </c>
      <c r="E520" s="1212"/>
      <c r="F520" s="1212"/>
      <c r="G520" s="1213">
        <f ca="1">IF(I515=0.9743,$G519,MAX(G519/D519*D520,2))</f>
        <v>2</v>
      </c>
      <c r="H520" s="1214" t="e">
        <f t="shared" ca="1" si="241"/>
        <v>#VALUE!</v>
      </c>
      <c r="J520" s="1224"/>
      <c r="K520" s="1217">
        <f t="shared" si="242"/>
        <v>1</v>
      </c>
      <c r="L520" s="1218" t="e">
        <f t="shared" ca="1" si="243"/>
        <v>#VALUE!</v>
      </c>
      <c r="M520" s="1219" t="e">
        <f ca="1">IF(AND(INDEX(FlowCalConstA,MATCH(J515,FlowCalNumber,0),1,1)*L520^INDEX(FlowCalConstB,MATCH(J515,FlowCalNumber,0),1,1)&gt;INDEX(FlowCalLowSetting,MATCH(J515,FlowCalNumber,0),1,1), (INDEX(FlowCalConstA,MATCH(J515,FlowCalNumber,0),1,1)*L520^INDEX(FlowCalConstB,MATCH(J515,FlowCalNumber,0),1,1)&lt;INDEX(FlowCalHighSetting,MATCH(J515,FlowCalNumber,0),1,1))),INDEX(FlowCalConstA,MATCH(J515,FlowCalNumber,0),1,1)*L520^INDEX(FlowCalConstB,MATCH(J515,FlowCalNumber,0),1,1)," ")</f>
        <v>#N/A</v>
      </c>
      <c r="N520" s="1224"/>
      <c r="O520" s="1217">
        <f t="shared" si="244"/>
        <v>1</v>
      </c>
      <c r="P520" s="1218" t="e">
        <f t="shared" ca="1" si="245"/>
        <v>#VALUE!</v>
      </c>
      <c r="Q520" s="1219" t="e">
        <f ca="1">IF(AND(INDEX(FlowCalConstA,MATCH(N515,FlowCalNumber,0),1,1)*P520^INDEX(FlowCalConstB,MATCH(N515,FlowCalNumber,0),1,1)&gt;INDEX(FlowCalLowSetting,MATCH(N515,FlowCalNumber,0),1,1), (INDEX(FlowCalConstA,MATCH(N515,FlowCalNumber,0),1,1)*P520^INDEX(FlowCalConstB,MATCH(N515,FlowCalNumber,0),1,1)&lt;INDEX(FlowCalHighSetting,MATCH(N515,FlowCalNumber,0),1,1))),INDEX(FlowCalConstA,MATCH(N515,FlowCalNumber,0),1,1)*P520^INDEX(FlowCalConstB,MATCH(N515,FlowCalNumber,0),1,1)," ")</f>
        <v>#N/A</v>
      </c>
      <c r="R520" s="1224"/>
      <c r="S520" s="1217">
        <f t="shared" si="246"/>
        <v>1</v>
      </c>
      <c r="T520" s="1218" t="e">
        <f t="shared" ca="1" si="247"/>
        <v>#VALUE!</v>
      </c>
      <c r="U520" s="1219" t="e">
        <f ca="1">IF(AND(INDEX(FlowCalConstA,MATCH(R515,FlowCalNumber,0),1,1)*T520^INDEX(FlowCalConstB,MATCH(R515,FlowCalNumber,0),1,1)&gt;INDEX(FlowCalLowSetting,MATCH(R515,FlowCalNumber,0),1,1), (INDEX(FlowCalConstA,MATCH(R515,FlowCalNumber,0),1,1)*T520^INDEX(FlowCalConstB,MATCH(R515,FlowCalNumber,0),1,1)&lt;INDEX(FlowCalHighSetting,MATCH(R515,FlowCalNumber,0),1,1))),INDEX(FlowCalConstA,MATCH(R515,FlowCalNumber,0),1,1)*T520^INDEX(FlowCalConstB,MATCH(R515,FlowCalNumber,0),1,1)," ")</f>
        <v>#N/A</v>
      </c>
      <c r="V520" s="1224"/>
      <c r="W520" s="1217"/>
      <c r="X520" s="1218"/>
      <c r="Y520" s="1219"/>
      <c r="Z520" s="1224"/>
      <c r="AA520" s="1217"/>
      <c r="AB520" s="1218"/>
      <c r="AC520" s="1219"/>
      <c r="AD520" s="1224"/>
      <c r="AE520" s="1217"/>
      <c r="AF520" s="1218"/>
      <c r="AG520" s="1219"/>
      <c r="AH520" s="1224"/>
      <c r="AI520" s="1217"/>
      <c r="AJ520" s="1218"/>
      <c r="AK520" s="1220"/>
      <c r="AL520" s="1219"/>
      <c r="AM520" s="1219"/>
      <c r="AN520" s="1219"/>
      <c r="AO520" s="1219"/>
      <c r="AP520" s="1219"/>
      <c r="AQ520" s="1219"/>
      <c r="AR520" s="1219"/>
      <c r="AS520" s="1219"/>
      <c r="AT520" s="1219"/>
      <c r="AU520" s="1219"/>
      <c r="AV520" s="1219"/>
      <c r="AW520" s="1219"/>
      <c r="AX520" s="1219"/>
      <c r="AY520" s="1219"/>
      <c r="AZ520" s="1219"/>
      <c r="BA520" s="1219"/>
      <c r="BB520" s="1219"/>
      <c r="BC520" s="1219"/>
      <c r="BD520" s="1219"/>
      <c r="BE520" s="1219"/>
      <c r="BF520" s="1219"/>
      <c r="BG520" s="1219"/>
      <c r="BH520" s="1219"/>
      <c r="BI520" s="1219"/>
      <c r="BJ520" s="1219"/>
      <c r="BK520" s="1219"/>
      <c r="BL520" s="1219"/>
      <c r="BM520" s="1219"/>
      <c r="BN520" s="1219"/>
      <c r="BO520" s="1219"/>
      <c r="BP520" s="1219"/>
      <c r="BQ520" s="1219"/>
      <c r="BR520" s="1219"/>
      <c r="BS520" s="1219"/>
      <c r="BU520" s="1217"/>
      <c r="BW520" s="1219"/>
      <c r="BY520" s="1217"/>
      <c r="CA520" s="1219"/>
      <c r="CC520" s="1217"/>
      <c r="CE520" s="1219"/>
      <c r="CG520" s="1217"/>
      <c r="CI520" s="1219"/>
    </row>
    <row r="521" spans="1:87">
      <c r="A521" s="20"/>
      <c r="B521" s="124" t="str">
        <f t="shared" si="240"/>
        <v/>
      </c>
      <c r="C521" s="235"/>
      <c r="D521" s="24">
        <f>'1% Wind'!$M$87</f>
        <v>13.5</v>
      </c>
      <c r="E521" s="90"/>
      <c r="F521" s="90"/>
      <c r="G521" s="79">
        <f ca="1">IF(I515=0.9743,$G520,MAX(G520/D520*D521,2))</f>
        <v>2</v>
      </c>
      <c r="H521" s="121" t="e">
        <f t="shared" ca="1" si="241"/>
        <v>#VALUE!</v>
      </c>
      <c r="J521" s="33"/>
      <c r="K521" s="242">
        <f t="shared" si="242"/>
        <v>1</v>
      </c>
      <c r="L521" s="241" t="e">
        <f t="shared" ca="1" si="243"/>
        <v>#VALUE!</v>
      </c>
      <c r="M521" s="243" t="e">
        <f ca="1">IF(AND(INDEX(FlowCalConstA,MATCH(J515,FlowCalNumber,0),1,1)*L521^INDEX(FlowCalConstB,MATCH(J515,FlowCalNumber,0),1,1)&gt;INDEX(FlowCalLowSetting,MATCH(J515,FlowCalNumber,0),1,1), (INDEX(FlowCalConstA,MATCH(J515,FlowCalNumber,0),1,1)*L521^INDEX(FlowCalConstB,MATCH(J515,FlowCalNumber,0),1,1)&lt;INDEX(FlowCalHighSetting,MATCH(J515,FlowCalNumber,0),1,1))),INDEX(FlowCalConstA,MATCH(J515,FlowCalNumber,0),1,1)*L521^INDEX(FlowCalConstB,MATCH(J515,FlowCalNumber,0),1,1)," ")</f>
        <v>#N/A</v>
      </c>
      <c r="N521" s="33"/>
      <c r="O521" s="242">
        <f t="shared" si="244"/>
        <v>1</v>
      </c>
      <c r="P521" s="241" t="e">
        <f t="shared" ca="1" si="245"/>
        <v>#VALUE!</v>
      </c>
      <c r="Q521" s="243" t="e">
        <f ca="1">IF(AND(INDEX(FlowCalConstA,MATCH(N515,FlowCalNumber,0),1,1)*P521^INDEX(FlowCalConstB,MATCH(N515,FlowCalNumber,0),1,1)&gt;INDEX(FlowCalLowSetting,MATCH(N515,FlowCalNumber,0),1,1), (INDEX(FlowCalConstA,MATCH(N515,FlowCalNumber,0),1,1)*P521^INDEX(FlowCalConstB,MATCH(N515,FlowCalNumber,0),1,1)&lt;INDEX(FlowCalHighSetting,MATCH(N515,FlowCalNumber,0),1,1))),INDEX(FlowCalConstA,MATCH(N515,FlowCalNumber,0),1,1)*P521^INDEX(FlowCalConstB,MATCH(N515,FlowCalNumber,0),1,1)," ")</f>
        <v>#N/A</v>
      </c>
      <c r="R521" s="33"/>
      <c r="S521" s="242">
        <f t="shared" si="246"/>
        <v>1</v>
      </c>
      <c r="T521" s="241" t="e">
        <f t="shared" ca="1" si="247"/>
        <v>#VALUE!</v>
      </c>
      <c r="U521" s="243" t="e">
        <f ca="1">IF(AND(INDEX(FlowCalConstA,MATCH(R515,FlowCalNumber,0),1,1)*T521^INDEX(FlowCalConstB,MATCH(R515,FlowCalNumber,0),1,1)&gt;INDEX(FlowCalLowSetting,MATCH(R515,FlowCalNumber,0),1,1), (INDEX(FlowCalConstA,MATCH(R515,FlowCalNumber,0),1,1)*T521^INDEX(FlowCalConstB,MATCH(R515,FlowCalNumber,0),1,1)&lt;INDEX(FlowCalHighSetting,MATCH(R515,FlowCalNumber,0),1,1))),INDEX(FlowCalConstA,MATCH(R515,FlowCalNumber,0),1,1)*T521^INDEX(FlowCalConstB,MATCH(R515,FlowCalNumber,0),1,1)," ")</f>
        <v>#N/A</v>
      </c>
      <c r="V521" s="33"/>
      <c r="W521" s="242"/>
      <c r="X521" s="241"/>
      <c r="Y521" s="243"/>
      <c r="Z521" s="33"/>
      <c r="AA521" s="242"/>
      <c r="AB521" s="241"/>
      <c r="AC521" s="243"/>
      <c r="AD521" s="33"/>
      <c r="AE521" s="242"/>
      <c r="AF521" s="241"/>
      <c r="AG521" s="243"/>
      <c r="AH521" s="33"/>
      <c r="AI521" s="242"/>
      <c r="AJ521" s="241"/>
      <c r="AK521" s="244"/>
      <c r="AL521" s="243"/>
      <c r="AM521" s="243"/>
      <c r="AN521" s="243"/>
      <c r="AO521" s="243"/>
      <c r="AP521" s="243"/>
      <c r="AQ521" s="243"/>
      <c r="AR521" s="243"/>
      <c r="AS521" s="243"/>
      <c r="AT521" s="243"/>
      <c r="AU521" s="243"/>
      <c r="AV521" s="243"/>
      <c r="AW521" s="243"/>
      <c r="AX521" s="243"/>
      <c r="AY521" s="243"/>
      <c r="AZ521" s="243"/>
      <c r="BA521" s="243"/>
      <c r="BB521" s="243"/>
      <c r="BC521" s="243"/>
      <c r="BD521" s="243"/>
      <c r="BE521" s="243"/>
      <c r="BF521" s="243"/>
      <c r="BG521" s="243"/>
      <c r="BH521" s="243"/>
      <c r="BI521" s="243"/>
      <c r="BJ521" s="243"/>
      <c r="BK521" s="243"/>
      <c r="BL521" s="243"/>
      <c r="BM521" s="243"/>
      <c r="BN521" s="243"/>
      <c r="BO521" s="243"/>
      <c r="BP521" s="243"/>
      <c r="BQ521" s="243"/>
      <c r="BR521" s="243"/>
      <c r="BS521" s="243"/>
      <c r="BU521" s="242"/>
      <c r="BW521" s="243"/>
      <c r="BY521" s="242"/>
      <c r="CA521" s="243"/>
      <c r="CC521" s="242"/>
      <c r="CE521" s="243"/>
      <c r="CG521" s="242"/>
      <c r="CI521" s="243"/>
    </row>
    <row r="522" spans="1:87" s="1215" customFormat="1">
      <c r="A522" s="1222"/>
      <c r="B522" s="1223" t="str">
        <f t="shared" si="240"/>
        <v/>
      </c>
      <c r="C522" s="1210"/>
      <c r="D522" s="1211">
        <f>'1% Wind'!$M$88</f>
        <v>10.1</v>
      </c>
      <c r="E522" s="1212"/>
      <c r="F522" s="1212"/>
      <c r="G522" s="1213">
        <f ca="1">IF(I515=0.9743,$G521,MAX(G521/D521*D522,2))</f>
        <v>2</v>
      </c>
      <c r="H522" s="1214" t="e">
        <f t="shared" ca="1" si="241"/>
        <v>#VALUE!</v>
      </c>
      <c r="J522" s="1224"/>
      <c r="K522" s="1217">
        <f t="shared" si="242"/>
        <v>1</v>
      </c>
      <c r="L522" s="1218" t="e">
        <f t="shared" ca="1" si="243"/>
        <v>#VALUE!</v>
      </c>
      <c r="M522" s="1219" t="e">
        <f ca="1">IF(AND(INDEX(FlowCalConstA,MATCH(J515,FlowCalNumber,0),1,1)*L522^INDEX(FlowCalConstB,MATCH(J515,FlowCalNumber,0),1,1)&gt;INDEX(FlowCalLowSetting,MATCH(J515,FlowCalNumber,0),1,1), (INDEX(FlowCalConstA,MATCH(J515,FlowCalNumber,0),1,1)*L522^INDEX(FlowCalConstB,MATCH(J515,FlowCalNumber,0),1,1)&lt;INDEX(FlowCalHighSetting,MATCH(J515,FlowCalNumber,0),1,1))),INDEX(FlowCalConstA,MATCH(J515,FlowCalNumber,0),1,1)*L522^INDEX(FlowCalConstB,MATCH(J515,FlowCalNumber,0),1,1)," ")</f>
        <v>#N/A</v>
      </c>
      <c r="N522" s="1224"/>
      <c r="O522" s="1217">
        <f t="shared" si="244"/>
        <v>1</v>
      </c>
      <c r="P522" s="1218" t="e">
        <f t="shared" ca="1" si="245"/>
        <v>#VALUE!</v>
      </c>
      <c r="Q522" s="1219" t="e">
        <f ca="1">IF(AND(INDEX(FlowCalConstA,MATCH(N515,FlowCalNumber,0),1,1)*P522^INDEX(FlowCalConstB,MATCH(N515,FlowCalNumber,0),1,1)&gt;INDEX(FlowCalLowSetting,MATCH(N515,FlowCalNumber,0),1,1), (INDEX(FlowCalConstA,MATCH(N515,FlowCalNumber,0),1,1)*P522^INDEX(FlowCalConstB,MATCH(N515,FlowCalNumber,0),1,1)&lt;INDEX(FlowCalHighSetting,MATCH(N515,FlowCalNumber,0),1,1))),INDEX(FlowCalConstA,MATCH(N515,FlowCalNumber,0),1,1)*P522^INDEX(FlowCalConstB,MATCH(N515,FlowCalNumber,0),1,1)," ")</f>
        <v>#N/A</v>
      </c>
      <c r="R522" s="1224"/>
      <c r="S522" s="1217">
        <f t="shared" si="246"/>
        <v>1</v>
      </c>
      <c r="T522" s="1218" t="e">
        <f t="shared" ca="1" si="247"/>
        <v>#VALUE!</v>
      </c>
      <c r="U522" s="1219" t="e">
        <f ca="1">IF(AND(INDEX(FlowCalConstA,MATCH(R515,FlowCalNumber,0),1,1)*T522^INDEX(FlowCalConstB,MATCH(R515,FlowCalNumber,0),1,1)&gt;INDEX(FlowCalLowSetting,MATCH(R515,FlowCalNumber,0),1,1), (INDEX(FlowCalConstA,MATCH(R515,FlowCalNumber,0),1,1)*T522^INDEX(FlowCalConstB,MATCH(R515,FlowCalNumber,0),1,1)&lt;INDEX(FlowCalHighSetting,MATCH(R515,FlowCalNumber,0),1,1))),INDEX(FlowCalConstA,MATCH(R515,FlowCalNumber,0),1,1)*T522^INDEX(FlowCalConstB,MATCH(R515,FlowCalNumber,0),1,1)," ")</f>
        <v>#N/A</v>
      </c>
      <c r="V522" s="1224"/>
      <c r="W522" s="1217"/>
      <c r="X522" s="1218"/>
      <c r="Y522" s="1219"/>
      <c r="Z522" s="1224"/>
      <c r="AA522" s="1217"/>
      <c r="AB522" s="1218"/>
      <c r="AC522" s="1219"/>
      <c r="AD522" s="1224"/>
      <c r="AE522" s="1217"/>
      <c r="AF522" s="1218"/>
      <c r="AG522" s="1219"/>
      <c r="AH522" s="1224"/>
      <c r="AI522" s="1217"/>
      <c r="AJ522" s="1218"/>
      <c r="AK522" s="1220"/>
      <c r="AL522" s="1219"/>
      <c r="AM522" s="1219"/>
      <c r="AN522" s="1219"/>
      <c r="AO522" s="1219"/>
      <c r="AP522" s="1219"/>
      <c r="AQ522" s="1219"/>
      <c r="AR522" s="1219"/>
      <c r="AS522" s="1219"/>
      <c r="AT522" s="1219"/>
      <c r="AU522" s="1219"/>
      <c r="AV522" s="1219"/>
      <c r="AW522" s="1219"/>
      <c r="AX522" s="1219"/>
      <c r="AY522" s="1219"/>
      <c r="AZ522" s="1219"/>
      <c r="BA522" s="1219"/>
      <c r="BB522" s="1219"/>
      <c r="BC522" s="1219"/>
      <c r="BD522" s="1219"/>
      <c r="BE522" s="1219"/>
      <c r="BF522" s="1219"/>
      <c r="BG522" s="1219"/>
      <c r="BH522" s="1219"/>
      <c r="BI522" s="1219"/>
      <c r="BJ522" s="1219"/>
      <c r="BK522" s="1219"/>
      <c r="BL522" s="1219"/>
      <c r="BM522" s="1219"/>
      <c r="BN522" s="1219"/>
      <c r="BO522" s="1219"/>
      <c r="BP522" s="1219"/>
      <c r="BQ522" s="1219"/>
      <c r="BR522" s="1219"/>
      <c r="BS522" s="1219"/>
      <c r="BU522" s="1217"/>
      <c r="BW522" s="1219"/>
      <c r="BY522" s="1217"/>
      <c r="CA522" s="1219"/>
      <c r="CC522" s="1217"/>
      <c r="CE522" s="1219"/>
      <c r="CG522" s="1217"/>
      <c r="CI522" s="1219"/>
    </row>
    <row r="523" spans="1:87">
      <c r="A523" s="20"/>
      <c r="B523" s="124" t="str">
        <f t="shared" si="240"/>
        <v/>
      </c>
      <c r="C523" s="235"/>
      <c r="D523" s="24">
        <f>'1% Wind'!$M$89</f>
        <v>7.6</v>
      </c>
      <c r="E523" s="90"/>
      <c r="F523" s="90"/>
      <c r="G523" s="79">
        <f ca="1">IF(I515=0.9743,$G522,MAX(G522/D522*D523,2))</f>
        <v>2</v>
      </c>
      <c r="H523" s="121" t="e">
        <f t="shared" ca="1" si="241"/>
        <v>#VALUE!</v>
      </c>
      <c r="J523" s="33"/>
      <c r="K523" s="242">
        <f t="shared" si="242"/>
        <v>1</v>
      </c>
      <c r="L523" s="241" t="e">
        <f t="shared" ca="1" si="243"/>
        <v>#VALUE!</v>
      </c>
      <c r="M523" s="243" t="e">
        <f ca="1">IF(AND(INDEX(FlowCalConstA,MATCH(J515,FlowCalNumber,0),1,1)*L523^INDEX(FlowCalConstB,MATCH(J515,FlowCalNumber,0),1,1)&gt;INDEX(FlowCalLowSetting,MATCH(J515,FlowCalNumber,0),1,1), (INDEX(FlowCalConstA,MATCH(J515,FlowCalNumber,0),1,1)*L523^INDEX(FlowCalConstB,MATCH(J515,FlowCalNumber,0),1,1)&lt;INDEX(FlowCalHighSetting,MATCH(J515,FlowCalNumber,0),1,1))),INDEX(FlowCalConstA,MATCH(J515,FlowCalNumber,0),1,1)*L523^INDEX(FlowCalConstB,MATCH(J515,FlowCalNumber,0),1,1)," ")</f>
        <v>#N/A</v>
      </c>
      <c r="N523" s="33"/>
      <c r="O523" s="242">
        <f t="shared" si="244"/>
        <v>1</v>
      </c>
      <c r="P523" s="241" t="e">
        <f t="shared" ca="1" si="245"/>
        <v>#VALUE!</v>
      </c>
      <c r="Q523" s="243" t="e">
        <f ca="1">IF(AND(INDEX(FlowCalConstA,MATCH(N515,FlowCalNumber,0),1,1)*P523^INDEX(FlowCalConstB,MATCH(N515,FlowCalNumber,0),1,1)&gt;INDEX(FlowCalLowSetting,MATCH(N515,FlowCalNumber,0),1,1), (INDEX(FlowCalConstA,MATCH(N515,FlowCalNumber,0),1,1)*P523^INDEX(FlowCalConstB,MATCH(N515,FlowCalNumber,0),1,1)&lt;INDEX(FlowCalHighSetting,MATCH(N515,FlowCalNumber,0),1,1))),INDEX(FlowCalConstA,MATCH(N515,FlowCalNumber,0),1,1)*P523^INDEX(FlowCalConstB,MATCH(N515,FlowCalNumber,0),1,1)," ")</f>
        <v>#N/A</v>
      </c>
      <c r="R523" s="33"/>
      <c r="S523" s="242">
        <f t="shared" si="246"/>
        <v>1</v>
      </c>
      <c r="T523" s="241" t="e">
        <f t="shared" ca="1" si="247"/>
        <v>#VALUE!</v>
      </c>
      <c r="U523" s="243" t="e">
        <f ca="1">IF(AND(INDEX(FlowCalConstA,MATCH(R515,FlowCalNumber,0),1,1)*T523^INDEX(FlowCalConstB,MATCH(R515,FlowCalNumber,0),1,1)&gt;INDEX(FlowCalLowSetting,MATCH(R515,FlowCalNumber,0),1,1), (INDEX(FlowCalConstA,MATCH(R515,FlowCalNumber,0),1,1)*T523^INDEX(FlowCalConstB,MATCH(R515,FlowCalNumber,0),1,1)&lt;INDEX(FlowCalHighSetting,MATCH(R515,FlowCalNumber,0),1,1))),INDEX(FlowCalConstA,MATCH(R515,FlowCalNumber,0),1,1)*T523^INDEX(FlowCalConstB,MATCH(R515,FlowCalNumber,0),1,1)," ")</f>
        <v>#N/A</v>
      </c>
      <c r="V523" s="33"/>
      <c r="W523" s="242"/>
      <c r="X523" s="241"/>
      <c r="Y523" s="243"/>
      <c r="Z523" s="33"/>
      <c r="AA523" s="242"/>
      <c r="AB523" s="241"/>
      <c r="AC523" s="243"/>
      <c r="AD523" s="33"/>
      <c r="AE523" s="242"/>
      <c r="AF523" s="241"/>
      <c r="AG523" s="243"/>
      <c r="AH523" s="33"/>
      <c r="AI523" s="242"/>
      <c r="AJ523" s="241"/>
      <c r="AK523" s="244"/>
      <c r="AL523" s="243"/>
      <c r="AM523" s="243"/>
      <c r="AN523" s="243"/>
      <c r="AO523" s="243"/>
      <c r="AP523" s="243"/>
      <c r="AQ523" s="243"/>
      <c r="AR523" s="243"/>
      <c r="AS523" s="243"/>
      <c r="AT523" s="243"/>
      <c r="AU523" s="243"/>
      <c r="AV523" s="243"/>
      <c r="AW523" s="243"/>
      <c r="AX523" s="243"/>
      <c r="AY523" s="243"/>
      <c r="AZ523" s="243"/>
      <c r="BA523" s="243"/>
      <c r="BB523" s="243"/>
      <c r="BC523" s="243"/>
      <c r="BD523" s="243"/>
      <c r="BE523" s="243"/>
      <c r="BF523" s="243"/>
      <c r="BG523" s="243"/>
      <c r="BH523" s="243"/>
      <c r="BI523" s="243"/>
      <c r="BJ523" s="243"/>
      <c r="BK523" s="243"/>
      <c r="BL523" s="243"/>
      <c r="BM523" s="243"/>
      <c r="BN523" s="243"/>
      <c r="BO523" s="243"/>
      <c r="BP523" s="243"/>
      <c r="BQ523" s="243"/>
      <c r="BR523" s="243"/>
      <c r="BS523" s="243"/>
      <c r="BU523" s="242"/>
      <c r="BW523" s="243"/>
      <c r="BY523" s="242"/>
      <c r="CA523" s="243"/>
      <c r="CC523" s="242"/>
      <c r="CE523" s="243"/>
      <c r="CG523" s="242"/>
      <c r="CI523" s="243"/>
    </row>
    <row r="524" spans="1:87" s="1215" customFormat="1">
      <c r="A524" s="1222"/>
      <c r="B524" s="1223" t="str">
        <f t="shared" si="240"/>
        <v/>
      </c>
      <c r="C524" s="1210"/>
      <c r="D524" s="1211">
        <f>'1% Wind'!$M$90</f>
        <v>5.7</v>
      </c>
      <c r="E524" s="1212"/>
      <c r="F524" s="1212"/>
      <c r="G524" s="1213">
        <f ca="1">IF(I515=0.9743,$G523,MAX(G523/D523*D524,2))</f>
        <v>2</v>
      </c>
      <c r="H524" s="1214" t="e">
        <f t="shared" ca="1" si="241"/>
        <v>#VALUE!</v>
      </c>
      <c r="J524" s="1224"/>
      <c r="K524" s="1217">
        <f t="shared" si="242"/>
        <v>1</v>
      </c>
      <c r="L524" s="1218" t="e">
        <f t="shared" ca="1" si="243"/>
        <v>#VALUE!</v>
      </c>
      <c r="M524" s="1219" t="e">
        <f ca="1">IF(AND(INDEX(FlowCalConstA,MATCH(J515,FlowCalNumber,0),1,1)*L524^INDEX(FlowCalConstB,MATCH(J515,FlowCalNumber,0),1,1)&gt;INDEX(FlowCalLowSetting,MATCH(J515,FlowCalNumber,0),1,1), (INDEX(FlowCalConstA,MATCH(J515,FlowCalNumber,0),1,1)*L524^INDEX(FlowCalConstB,MATCH(J515,FlowCalNumber,0),1,1)&lt;INDEX(FlowCalHighSetting,MATCH(J515,FlowCalNumber,0),1,1))),INDEX(FlowCalConstA,MATCH(J515,FlowCalNumber,0),1,1)*L524^INDEX(FlowCalConstB,MATCH(J515,FlowCalNumber,0),1,1)," ")</f>
        <v>#N/A</v>
      </c>
      <c r="N524" s="1224"/>
      <c r="O524" s="1217">
        <f t="shared" si="244"/>
        <v>1</v>
      </c>
      <c r="P524" s="1218" t="e">
        <f t="shared" ca="1" si="245"/>
        <v>#VALUE!</v>
      </c>
      <c r="Q524" s="1219" t="e">
        <f ca="1">IF(AND(INDEX(FlowCalConstA,MATCH(N515,FlowCalNumber,0),1,1)*P524^INDEX(FlowCalConstB,MATCH(N515,FlowCalNumber,0),1,1)&gt;INDEX(FlowCalLowSetting,MATCH(N515,FlowCalNumber,0),1,1), (INDEX(FlowCalConstA,MATCH(N515,FlowCalNumber,0),1,1)*P524^INDEX(FlowCalConstB,MATCH(N515,FlowCalNumber,0),1,1)&lt;INDEX(FlowCalHighSetting,MATCH(N515,FlowCalNumber,0),1,1))),INDEX(FlowCalConstA,MATCH(N515,FlowCalNumber,0),1,1)*P524^INDEX(FlowCalConstB,MATCH(N515,FlowCalNumber,0),1,1)," ")</f>
        <v>#N/A</v>
      </c>
      <c r="R524" s="1224"/>
      <c r="S524" s="1217">
        <f t="shared" si="246"/>
        <v>1</v>
      </c>
      <c r="T524" s="1218" t="e">
        <f t="shared" ca="1" si="247"/>
        <v>#VALUE!</v>
      </c>
      <c r="U524" s="1219" t="e">
        <f ca="1">IF(AND(INDEX(FlowCalConstA,MATCH(R515,FlowCalNumber,0),1,1)*T524^INDEX(FlowCalConstB,MATCH(R515,FlowCalNumber,0),1,1)&gt;INDEX(FlowCalLowSetting,MATCH(R515,FlowCalNumber,0),1,1), (INDEX(FlowCalConstA,MATCH(R515,FlowCalNumber,0),1,1)*T524^INDEX(FlowCalConstB,MATCH(R515,FlowCalNumber,0),1,1)&lt;INDEX(FlowCalHighSetting,MATCH(R515,FlowCalNumber,0),1,1))),INDEX(FlowCalConstA,MATCH(R515,FlowCalNumber,0),1,1)*T524^INDEX(FlowCalConstB,MATCH(R515,FlowCalNumber,0),1,1)," ")</f>
        <v>#N/A</v>
      </c>
      <c r="V524" s="1224"/>
      <c r="W524" s="1217"/>
      <c r="X524" s="1218"/>
      <c r="Y524" s="1219"/>
      <c r="Z524" s="1224"/>
      <c r="AA524" s="1217"/>
      <c r="AB524" s="1218"/>
      <c r="AC524" s="1219"/>
      <c r="AD524" s="1224"/>
      <c r="AE524" s="1217"/>
      <c r="AF524" s="1218"/>
      <c r="AG524" s="1219"/>
      <c r="AH524" s="1224"/>
      <c r="AI524" s="1217"/>
      <c r="AJ524" s="1218"/>
      <c r="AK524" s="1220"/>
      <c r="AL524" s="1219"/>
      <c r="AM524" s="1219"/>
      <c r="AN524" s="1219"/>
      <c r="AO524" s="1219"/>
      <c r="AP524" s="1219"/>
      <c r="AQ524" s="1219"/>
      <c r="AR524" s="1219"/>
      <c r="AS524" s="1219"/>
      <c r="AT524" s="1219"/>
      <c r="AU524" s="1219"/>
      <c r="AV524" s="1219"/>
      <c r="AW524" s="1219"/>
      <c r="AX524" s="1219"/>
      <c r="AY524" s="1219"/>
      <c r="AZ524" s="1219"/>
      <c r="BA524" s="1219"/>
      <c r="BB524" s="1219"/>
      <c r="BC524" s="1219"/>
      <c r="BD524" s="1219"/>
      <c r="BE524" s="1219"/>
      <c r="BF524" s="1219"/>
      <c r="BG524" s="1219"/>
      <c r="BH524" s="1219"/>
      <c r="BI524" s="1219"/>
      <c r="BJ524" s="1219"/>
      <c r="BK524" s="1219"/>
      <c r="BL524" s="1219"/>
      <c r="BM524" s="1219"/>
      <c r="BN524" s="1219"/>
      <c r="BO524" s="1219"/>
      <c r="BP524" s="1219"/>
      <c r="BQ524" s="1219"/>
      <c r="BR524" s="1219"/>
      <c r="BS524" s="1219"/>
      <c r="BU524" s="1217"/>
      <c r="BW524" s="1219"/>
      <c r="BY524" s="1217"/>
      <c r="CA524" s="1219"/>
      <c r="CC524" s="1217"/>
      <c r="CE524" s="1219"/>
      <c r="CG524" s="1217"/>
      <c r="CI524" s="1219"/>
    </row>
    <row r="525" spans="1:87">
      <c r="A525" s="20"/>
      <c r="B525" s="124" t="str">
        <f t="shared" si="240"/>
        <v/>
      </c>
      <c r="C525" s="235"/>
      <c r="D525" s="24">
        <f>'1% Wind'!$M$91</f>
        <v>4.2</v>
      </c>
      <c r="E525" s="90"/>
      <c r="F525" s="90"/>
      <c r="G525" s="79">
        <f ca="1">IF(I515=0.9743,$G524,MAX(G524/D524*D525,2))</f>
        <v>2</v>
      </c>
      <c r="H525" s="121" t="e">
        <f t="shared" ca="1" si="241"/>
        <v>#VALUE!</v>
      </c>
      <c r="J525" s="33"/>
      <c r="K525" s="242">
        <f t="shared" si="242"/>
        <v>1</v>
      </c>
      <c r="L525" s="241" t="e">
        <f t="shared" ca="1" si="243"/>
        <v>#VALUE!</v>
      </c>
      <c r="M525" s="243" t="e">
        <f ca="1">IF(AND(INDEX(FlowCalConstA,MATCH(J515,FlowCalNumber,0),1,1)*L525^INDEX(FlowCalConstB,MATCH(J515,FlowCalNumber,0),1,1)&gt;INDEX(FlowCalLowSetting,MATCH(J515,FlowCalNumber,0),1,1), (INDEX(FlowCalConstA,MATCH(J515,FlowCalNumber,0),1,1)*L525^INDEX(FlowCalConstB,MATCH(J515,FlowCalNumber,0),1,1)&lt;INDEX(FlowCalHighSetting,MATCH(J515,FlowCalNumber,0),1,1))),INDEX(FlowCalConstA,MATCH(J515,FlowCalNumber,0),1,1)*L525^INDEX(FlowCalConstB,MATCH(J515,FlowCalNumber,0),1,1)," ")</f>
        <v>#N/A</v>
      </c>
      <c r="N525" s="33"/>
      <c r="O525" s="242">
        <f t="shared" si="244"/>
        <v>1</v>
      </c>
      <c r="P525" s="241" t="e">
        <f t="shared" ca="1" si="245"/>
        <v>#VALUE!</v>
      </c>
      <c r="Q525" s="243" t="e">
        <f ca="1">IF(AND(INDEX(FlowCalConstA,MATCH(N515,FlowCalNumber,0),1,1)*P525^INDEX(FlowCalConstB,MATCH(N515,FlowCalNumber,0),1,1)&gt;INDEX(FlowCalLowSetting,MATCH(N515,FlowCalNumber,0),1,1), (INDEX(FlowCalConstA,MATCH(N515,FlowCalNumber,0),1,1)*P525^INDEX(FlowCalConstB,MATCH(N515,FlowCalNumber,0),1,1)&lt;INDEX(FlowCalHighSetting,MATCH(N515,FlowCalNumber,0),1,1))),INDEX(FlowCalConstA,MATCH(N515,FlowCalNumber,0),1,1)*P525^INDEX(FlowCalConstB,MATCH(N515,FlowCalNumber,0),1,1)," ")</f>
        <v>#N/A</v>
      </c>
      <c r="R525" s="33"/>
      <c r="S525" s="242">
        <f t="shared" si="246"/>
        <v>1</v>
      </c>
      <c r="T525" s="241" t="e">
        <f t="shared" ca="1" si="247"/>
        <v>#VALUE!</v>
      </c>
      <c r="U525" s="243" t="e">
        <f ca="1">IF(AND(INDEX(FlowCalConstA,MATCH(R515,FlowCalNumber,0),1,1)*T525^INDEX(FlowCalConstB,MATCH(R515,FlowCalNumber,0),1,1)&gt;INDEX(FlowCalLowSetting,MATCH(R515,FlowCalNumber,0),1,1), (INDEX(FlowCalConstA,MATCH(R515,FlowCalNumber,0),1,1)*T525^INDEX(FlowCalConstB,MATCH(R515,FlowCalNumber,0),1,1)&lt;INDEX(FlowCalHighSetting,MATCH(R515,FlowCalNumber,0),1,1))),INDEX(FlowCalConstA,MATCH(R515,FlowCalNumber,0),1,1)*T525^INDEX(FlowCalConstB,MATCH(R515,FlowCalNumber,0),1,1)," ")</f>
        <v>#N/A</v>
      </c>
      <c r="V525" s="33"/>
      <c r="W525" s="242"/>
      <c r="X525" s="241"/>
      <c r="Y525" s="243"/>
      <c r="Z525" s="33"/>
      <c r="AA525" s="242"/>
      <c r="AB525" s="241"/>
      <c r="AC525" s="243"/>
      <c r="AD525" s="33"/>
      <c r="AE525" s="242"/>
      <c r="AF525" s="241"/>
      <c r="AG525" s="243"/>
      <c r="AH525" s="33"/>
      <c r="AI525" s="242"/>
      <c r="AJ525" s="241"/>
      <c r="AK525" s="244"/>
      <c r="AL525" s="243"/>
      <c r="AM525" s="243"/>
      <c r="AN525" s="243"/>
      <c r="AO525" s="243"/>
      <c r="AP525" s="243"/>
      <c r="AQ525" s="243"/>
      <c r="AR525" s="243"/>
      <c r="AS525" s="243"/>
      <c r="AT525" s="243"/>
      <c r="AU525" s="243"/>
      <c r="AV525" s="243"/>
      <c r="AW525" s="243"/>
      <c r="AX525" s="243"/>
      <c r="AY525" s="243"/>
      <c r="AZ525" s="243"/>
      <c r="BA525" s="243"/>
      <c r="BB525" s="243"/>
      <c r="BC525" s="243"/>
      <c r="BD525" s="243"/>
      <c r="BE525" s="243"/>
      <c r="BF525" s="243"/>
      <c r="BG525" s="243"/>
      <c r="BH525" s="243"/>
      <c r="BI525" s="243"/>
      <c r="BJ525" s="243"/>
      <c r="BK525" s="243"/>
      <c r="BL525" s="243"/>
      <c r="BM525" s="243"/>
      <c r="BN525" s="243"/>
      <c r="BO525" s="243"/>
      <c r="BP525" s="243"/>
      <c r="BQ525" s="243"/>
      <c r="BR525" s="243"/>
      <c r="BS525" s="243"/>
      <c r="BU525" s="242"/>
      <c r="BW525" s="243"/>
      <c r="BY525" s="242"/>
      <c r="CA525" s="243"/>
      <c r="CC525" s="242"/>
      <c r="CE525" s="243"/>
      <c r="CG525" s="242"/>
      <c r="CI525" s="243"/>
    </row>
    <row r="526" spans="1:87" s="1215" customFormat="1">
      <c r="A526" s="1222"/>
      <c r="B526" s="1223" t="str">
        <f t="shared" si="240"/>
        <v/>
      </c>
      <c r="C526" s="1210"/>
      <c r="D526" s="1211">
        <f>'1% Wind'!$M$92</f>
        <v>3.2</v>
      </c>
      <c r="E526" s="1212"/>
      <c r="F526" s="1212"/>
      <c r="G526" s="1213">
        <f ca="1">IF(I515=0.9743,$G525,MAX(G525/D525*D526,2))</f>
        <v>2</v>
      </c>
      <c r="H526" s="1214" t="e">
        <f t="shared" ca="1" si="241"/>
        <v>#VALUE!</v>
      </c>
      <c r="J526" s="1224"/>
      <c r="K526" s="1217">
        <f t="shared" si="242"/>
        <v>1</v>
      </c>
      <c r="L526" s="1218" t="e">
        <f t="shared" ca="1" si="243"/>
        <v>#VALUE!</v>
      </c>
      <c r="M526" s="1219" t="e">
        <f ca="1">IF(AND(INDEX(FlowCalConstA,MATCH(J515,FlowCalNumber,0),1,1)*L526^INDEX(FlowCalConstB,MATCH(J515,FlowCalNumber,0),1,1)&gt;INDEX(FlowCalLowSetting,MATCH(J515,FlowCalNumber,0),1,1), (INDEX(FlowCalConstA,MATCH(J515,FlowCalNumber,0),1,1)*L526^INDEX(FlowCalConstB,MATCH(J515,FlowCalNumber,0),1,1)&lt;INDEX(FlowCalHighSetting,MATCH(J515,FlowCalNumber,0),1,1))),INDEX(FlowCalConstA,MATCH(J515,FlowCalNumber,0),1,1)*L526^INDEX(FlowCalConstB,MATCH(J515,FlowCalNumber,0),1,1)," ")</f>
        <v>#N/A</v>
      </c>
      <c r="N526" s="1224"/>
      <c r="O526" s="1217">
        <f t="shared" si="244"/>
        <v>1</v>
      </c>
      <c r="P526" s="1218" t="e">
        <f t="shared" ca="1" si="245"/>
        <v>#VALUE!</v>
      </c>
      <c r="Q526" s="1219" t="e">
        <f ca="1">IF(AND(INDEX(FlowCalConstA,MATCH(N515,FlowCalNumber,0),1,1)*P526^INDEX(FlowCalConstB,MATCH(N515,FlowCalNumber,0),1,1)&gt;INDEX(FlowCalLowSetting,MATCH(N515,FlowCalNumber,0),1,1), (INDEX(FlowCalConstA,MATCH(N515,FlowCalNumber,0),1,1)*P526^INDEX(FlowCalConstB,MATCH(N515,FlowCalNumber,0),1,1)&lt;INDEX(FlowCalHighSetting,MATCH(N515,FlowCalNumber,0),1,1))),INDEX(FlowCalConstA,MATCH(N515,FlowCalNumber,0),1,1)*P526^INDEX(FlowCalConstB,MATCH(N515,FlowCalNumber,0),1,1)," ")</f>
        <v>#N/A</v>
      </c>
      <c r="R526" s="1224"/>
      <c r="S526" s="1217">
        <f t="shared" si="246"/>
        <v>1</v>
      </c>
      <c r="T526" s="1218" t="e">
        <f t="shared" ca="1" si="247"/>
        <v>#VALUE!</v>
      </c>
      <c r="U526" s="1219" t="e">
        <f ca="1">IF(AND(INDEX(FlowCalConstA,MATCH(R515,FlowCalNumber,0),1,1)*T526^INDEX(FlowCalConstB,MATCH(R515,FlowCalNumber,0),1,1)&gt;INDEX(FlowCalLowSetting,MATCH(R515,FlowCalNumber,0),1,1), (INDEX(FlowCalConstA,MATCH(R515,FlowCalNumber,0),1,1)*T526^INDEX(FlowCalConstB,MATCH(R515,FlowCalNumber,0),1,1)&lt;INDEX(FlowCalHighSetting,MATCH(R515,FlowCalNumber,0),1,1))),INDEX(FlowCalConstA,MATCH(R515,FlowCalNumber,0),1,1)*T526^INDEX(FlowCalConstB,MATCH(R515,FlowCalNumber,0),1,1)," ")</f>
        <v>#N/A</v>
      </c>
      <c r="V526" s="1224"/>
      <c r="W526" s="1217"/>
      <c r="X526" s="1218"/>
      <c r="Y526" s="1219"/>
      <c r="Z526" s="1224"/>
      <c r="AA526" s="1217"/>
      <c r="AB526" s="1218"/>
      <c r="AC526" s="1219"/>
      <c r="AD526" s="1224"/>
      <c r="AE526" s="1217"/>
      <c r="AF526" s="1218"/>
      <c r="AG526" s="1219"/>
      <c r="AH526" s="1224"/>
      <c r="AI526" s="1217"/>
      <c r="AJ526" s="1218"/>
      <c r="AK526" s="1220"/>
      <c r="AL526" s="1219"/>
      <c r="AM526" s="1219"/>
      <c r="AN526" s="1219"/>
      <c r="AO526" s="1219"/>
      <c r="AP526" s="1219"/>
      <c r="AQ526" s="1219"/>
      <c r="AR526" s="1219"/>
      <c r="AS526" s="1219"/>
      <c r="AT526" s="1219"/>
      <c r="AU526" s="1219"/>
      <c r="AV526" s="1219"/>
      <c r="AW526" s="1219"/>
      <c r="AX526" s="1219"/>
      <c r="AY526" s="1219"/>
      <c r="AZ526" s="1219"/>
      <c r="BA526" s="1219"/>
      <c r="BB526" s="1219"/>
      <c r="BC526" s="1219"/>
      <c r="BD526" s="1219"/>
      <c r="BE526" s="1219"/>
      <c r="BF526" s="1219"/>
      <c r="BG526" s="1219"/>
      <c r="BH526" s="1219"/>
      <c r="BI526" s="1219"/>
      <c r="BJ526" s="1219"/>
      <c r="BK526" s="1219"/>
      <c r="BL526" s="1219"/>
      <c r="BM526" s="1219"/>
      <c r="BN526" s="1219"/>
      <c r="BO526" s="1219"/>
      <c r="BP526" s="1219"/>
      <c r="BQ526" s="1219"/>
      <c r="BR526" s="1219"/>
      <c r="BS526" s="1219"/>
      <c r="BU526" s="1217"/>
      <c r="BW526" s="1219"/>
      <c r="BY526" s="1217"/>
      <c r="CA526" s="1219"/>
      <c r="CC526" s="1217"/>
      <c r="CE526" s="1219"/>
      <c r="CG526" s="1217"/>
      <c r="CI526" s="1219"/>
    </row>
    <row r="527" spans="1:87">
      <c r="A527" s="20"/>
      <c r="B527" s="124" t="str">
        <f t="shared" si="240"/>
        <v/>
      </c>
      <c r="C527" s="235"/>
      <c r="D527" s="24">
        <f>'1% Wind'!$M$93</f>
        <v>2.4</v>
      </c>
      <c r="E527" s="90"/>
      <c r="F527" s="90"/>
      <c r="G527" s="79">
        <f ca="1">IF(I515=0.9743,$G526,MAX(G526/D526*D527,2))</f>
        <v>2</v>
      </c>
      <c r="H527" s="121" t="e">
        <f t="shared" ca="1" si="241"/>
        <v>#VALUE!</v>
      </c>
      <c r="J527" s="33"/>
      <c r="K527" s="242">
        <f t="shared" si="242"/>
        <v>1</v>
      </c>
      <c r="L527" s="241" t="e">
        <f t="shared" ca="1" si="243"/>
        <v>#VALUE!</v>
      </c>
      <c r="M527" s="243" t="e">
        <f ca="1">IF(AND(INDEX(FlowCalConstA,MATCH(J515,FlowCalNumber,0),1,1)*L527^INDEX(FlowCalConstB,MATCH(J515,FlowCalNumber,0),1,1)&gt;INDEX(FlowCalLowSetting,MATCH(J515,FlowCalNumber,0),1,1), (INDEX(FlowCalConstA,MATCH(J515,FlowCalNumber,0),1,1)*L527^INDEX(FlowCalConstB,MATCH(J515,FlowCalNumber,0),1,1)&lt;INDEX(FlowCalHighSetting,MATCH(J515,FlowCalNumber,0),1,1))),INDEX(FlowCalConstA,MATCH(J515,FlowCalNumber,0),1,1)*L527^INDEX(FlowCalConstB,MATCH(J515,FlowCalNumber,0),1,1)," ")</f>
        <v>#N/A</v>
      </c>
      <c r="N527" s="33"/>
      <c r="O527" s="242">
        <f t="shared" si="244"/>
        <v>1</v>
      </c>
      <c r="P527" s="241" t="e">
        <f t="shared" ca="1" si="245"/>
        <v>#VALUE!</v>
      </c>
      <c r="Q527" s="243" t="e">
        <f ca="1">IF(AND(INDEX(FlowCalConstA,MATCH(N515,FlowCalNumber,0),1,1)*P527^INDEX(FlowCalConstB,MATCH(N515,FlowCalNumber,0),1,1)&gt;INDEX(FlowCalLowSetting,MATCH(N515,FlowCalNumber,0),1,1), (INDEX(FlowCalConstA,MATCH(N515,FlowCalNumber,0),1,1)*P527^INDEX(FlowCalConstB,MATCH(N515,FlowCalNumber,0),1,1)&lt;INDEX(FlowCalHighSetting,MATCH(N515,FlowCalNumber,0),1,1))),INDEX(FlowCalConstA,MATCH(N515,FlowCalNumber,0),1,1)*P527^INDEX(FlowCalConstB,MATCH(N515,FlowCalNumber,0),1,1)," ")</f>
        <v>#N/A</v>
      </c>
      <c r="R527" s="33"/>
      <c r="S527" s="242">
        <f t="shared" si="246"/>
        <v>1</v>
      </c>
      <c r="T527" s="241" t="e">
        <f t="shared" ca="1" si="247"/>
        <v>#VALUE!</v>
      </c>
      <c r="U527" s="243" t="e">
        <f ca="1">IF(AND(INDEX(FlowCalConstA,MATCH(R515,FlowCalNumber,0),1,1)*T527^INDEX(FlowCalConstB,MATCH(R515,FlowCalNumber,0),1,1)&gt;INDEX(FlowCalLowSetting,MATCH(R515,FlowCalNumber,0),1,1), (INDEX(FlowCalConstA,MATCH(R515,FlowCalNumber,0),1,1)*T527^INDEX(FlowCalConstB,MATCH(R515,FlowCalNumber,0),1,1)&lt;INDEX(FlowCalHighSetting,MATCH(R515,FlowCalNumber,0),1,1))),INDEX(FlowCalConstA,MATCH(R515,FlowCalNumber,0),1,1)*T527^INDEX(FlowCalConstB,MATCH(R515,FlowCalNumber,0),1,1)," ")</f>
        <v>#N/A</v>
      </c>
      <c r="V527" s="33"/>
      <c r="W527" s="242"/>
      <c r="X527" s="241"/>
      <c r="Y527" s="243"/>
      <c r="Z527" s="33"/>
      <c r="AA527" s="242"/>
      <c r="AB527" s="241"/>
      <c r="AC527" s="243"/>
      <c r="AD527" s="33"/>
      <c r="AE527" s="242"/>
      <c r="AF527" s="241"/>
      <c r="AG527" s="243"/>
      <c r="AH527" s="33"/>
      <c r="AI527" s="242"/>
      <c r="AJ527" s="241"/>
      <c r="AK527" s="244"/>
      <c r="AL527" s="243"/>
      <c r="AM527" s="243"/>
      <c r="AN527" s="243"/>
      <c r="AO527" s="243"/>
      <c r="AP527" s="243"/>
      <c r="AQ527" s="243"/>
      <c r="AR527" s="243"/>
      <c r="AS527" s="243"/>
      <c r="AT527" s="243"/>
      <c r="AU527" s="243"/>
      <c r="AV527" s="243"/>
      <c r="AW527" s="243"/>
      <c r="AX527" s="243"/>
      <c r="AY527" s="243"/>
      <c r="AZ527" s="243"/>
      <c r="BA527" s="243"/>
      <c r="BB527" s="243"/>
      <c r="BC527" s="243"/>
      <c r="BD527" s="243"/>
      <c r="BE527" s="243"/>
      <c r="BF527" s="243"/>
      <c r="BG527" s="243"/>
      <c r="BH527" s="243"/>
      <c r="BI527" s="243"/>
      <c r="BJ527" s="243"/>
      <c r="BK527" s="243"/>
      <c r="BL527" s="243"/>
      <c r="BM527" s="243"/>
      <c r="BN527" s="243"/>
      <c r="BO527" s="243"/>
      <c r="BP527" s="243"/>
      <c r="BQ527" s="243"/>
      <c r="BR527" s="243"/>
      <c r="BS527" s="243"/>
      <c r="BU527" s="242"/>
      <c r="BW527" s="243"/>
      <c r="BY527" s="242"/>
      <c r="CA527" s="243"/>
      <c r="CC527" s="242"/>
      <c r="CE527" s="243"/>
      <c r="CG527" s="242"/>
      <c r="CI527" s="243"/>
    </row>
    <row r="528" spans="1:87" s="1215" customFormat="1">
      <c r="A528" s="1222"/>
      <c r="B528" s="1223" t="str">
        <f t="shared" si="240"/>
        <v/>
      </c>
      <c r="C528" s="1210"/>
      <c r="D528" s="1211">
        <f>'1% Wind'!$M$94</f>
        <v>1.8</v>
      </c>
      <c r="E528" s="1212"/>
      <c r="F528" s="1212"/>
      <c r="G528" s="1213">
        <f ca="1">IF(I515=0.9743,$G527,MAX(G527/D527*D528,2))</f>
        <v>2</v>
      </c>
      <c r="H528" s="1214" t="e">
        <f t="shared" ca="1" si="241"/>
        <v>#VALUE!</v>
      </c>
      <c r="J528" s="1224"/>
      <c r="K528" s="1217">
        <f t="shared" si="242"/>
        <v>1</v>
      </c>
      <c r="L528" s="1218" t="e">
        <f t="shared" ca="1" si="243"/>
        <v>#VALUE!</v>
      </c>
      <c r="M528" s="1219" t="e">
        <f ca="1">IF(AND(INDEX(FlowCalConstA,MATCH(J515,FlowCalNumber,0),1,1)*L528^INDEX(FlowCalConstB,MATCH(J515,FlowCalNumber,0),1,1)&gt;INDEX(FlowCalLowSetting,MATCH(J515,FlowCalNumber,0),1,1), (INDEX(FlowCalConstA,MATCH(J515,FlowCalNumber,0),1,1)*L528^INDEX(FlowCalConstB,MATCH(J515,FlowCalNumber,0),1,1)&lt;INDEX(FlowCalHighSetting,MATCH(J515,FlowCalNumber,0),1,1))),INDEX(FlowCalConstA,MATCH(J515,FlowCalNumber,0),1,1)*L528^INDEX(FlowCalConstB,MATCH(J515,FlowCalNumber,0),1,1)," ")</f>
        <v>#N/A</v>
      </c>
      <c r="N528" s="1224"/>
      <c r="O528" s="1217">
        <f t="shared" si="244"/>
        <v>1</v>
      </c>
      <c r="P528" s="1218" t="e">
        <f t="shared" ca="1" si="245"/>
        <v>#VALUE!</v>
      </c>
      <c r="Q528" s="1219" t="e">
        <f ca="1">IF(AND(INDEX(FlowCalConstA,MATCH(N515,FlowCalNumber,0),1,1)*P528^INDEX(FlowCalConstB,MATCH(N515,FlowCalNumber,0),1,1)&gt;INDEX(FlowCalLowSetting,MATCH(N515,FlowCalNumber,0),1,1), (INDEX(FlowCalConstA,MATCH(N515,FlowCalNumber,0),1,1)*P528^INDEX(FlowCalConstB,MATCH(N515,FlowCalNumber,0),1,1)&lt;INDEX(FlowCalHighSetting,MATCH(N515,FlowCalNumber,0),1,1))),INDEX(FlowCalConstA,MATCH(N515,FlowCalNumber,0),1,1)*P528^INDEX(FlowCalConstB,MATCH(N515,FlowCalNumber,0),1,1)," ")</f>
        <v>#N/A</v>
      </c>
      <c r="R528" s="1224"/>
      <c r="S528" s="1217">
        <f t="shared" si="246"/>
        <v>1</v>
      </c>
      <c r="T528" s="1218" t="e">
        <f t="shared" ca="1" si="247"/>
        <v>#VALUE!</v>
      </c>
      <c r="U528" s="1219" t="e">
        <f ca="1">IF(AND(INDEX(FlowCalConstA,MATCH(R515,FlowCalNumber,0),1,1)*T528^INDEX(FlowCalConstB,MATCH(R515,FlowCalNumber,0),1,1)&gt;INDEX(FlowCalLowSetting,MATCH(R515,FlowCalNumber,0),1,1), (INDEX(FlowCalConstA,MATCH(R515,FlowCalNumber,0),1,1)*T528^INDEX(FlowCalConstB,MATCH(R515,FlowCalNumber,0),1,1)&lt;INDEX(FlowCalHighSetting,MATCH(R515,FlowCalNumber,0),1,1))),INDEX(FlowCalConstA,MATCH(R515,FlowCalNumber,0),1,1)*T528^INDEX(FlowCalConstB,MATCH(R515,FlowCalNumber,0),1,1)," ")</f>
        <v>#N/A</v>
      </c>
      <c r="V528" s="1224"/>
      <c r="W528" s="1217"/>
      <c r="X528" s="1218"/>
      <c r="Y528" s="1219"/>
      <c r="Z528" s="1224"/>
      <c r="AA528" s="1217"/>
      <c r="AB528" s="1218"/>
      <c r="AC528" s="1219"/>
      <c r="AD528" s="1224"/>
      <c r="AE528" s="1217"/>
      <c r="AF528" s="1218"/>
      <c r="AG528" s="1219"/>
      <c r="AH528" s="1224"/>
      <c r="AI528" s="1217"/>
      <c r="AJ528" s="1218"/>
      <c r="AK528" s="1220"/>
      <c r="AL528" s="1219"/>
      <c r="AM528" s="1219"/>
      <c r="AN528" s="1219"/>
      <c r="AO528" s="1219"/>
      <c r="AP528" s="1219"/>
      <c r="AQ528" s="1219"/>
      <c r="AR528" s="1219"/>
      <c r="AS528" s="1219"/>
      <c r="AT528" s="1219"/>
      <c r="AU528" s="1219"/>
      <c r="AV528" s="1219"/>
      <c r="AW528" s="1219"/>
      <c r="AX528" s="1219"/>
      <c r="AY528" s="1219"/>
      <c r="AZ528" s="1219"/>
      <c r="BA528" s="1219"/>
      <c r="BB528" s="1219"/>
      <c r="BC528" s="1219"/>
      <c r="BD528" s="1219"/>
      <c r="BE528" s="1219"/>
      <c r="BF528" s="1219"/>
      <c r="BG528" s="1219"/>
      <c r="BH528" s="1219"/>
      <c r="BI528" s="1219"/>
      <c r="BJ528" s="1219"/>
      <c r="BK528" s="1219"/>
      <c r="BL528" s="1219"/>
      <c r="BM528" s="1219"/>
      <c r="BN528" s="1219"/>
      <c r="BO528" s="1219"/>
      <c r="BP528" s="1219"/>
      <c r="BQ528" s="1219"/>
      <c r="BR528" s="1219"/>
      <c r="BS528" s="1219"/>
      <c r="BU528" s="1217"/>
      <c r="BW528" s="1219"/>
      <c r="BY528" s="1217"/>
      <c r="CA528" s="1219"/>
      <c r="CC528" s="1217"/>
      <c r="CE528" s="1219"/>
      <c r="CG528" s="1217"/>
      <c r="CI528" s="1219"/>
    </row>
    <row r="529" spans="1:87">
      <c r="A529" s="20"/>
      <c r="B529" s="124" t="str">
        <f t="shared" si="240"/>
        <v/>
      </c>
      <c r="C529" s="235"/>
      <c r="D529" s="24">
        <f>'1% Wind'!$M$95</f>
        <v>1.3</v>
      </c>
      <c r="E529" s="90"/>
      <c r="F529" s="90"/>
      <c r="G529" s="79">
        <f ca="1">IF(I515=0.9743,$G528,MAX(G528/D528*D529,2))</f>
        <v>2</v>
      </c>
      <c r="H529" s="121" t="e">
        <f t="shared" ca="1" si="241"/>
        <v>#VALUE!</v>
      </c>
      <c r="J529" s="33"/>
      <c r="K529" s="242">
        <f t="shared" si="242"/>
        <v>1</v>
      </c>
      <c r="L529" s="241" t="e">
        <f t="shared" ca="1" si="243"/>
        <v>#VALUE!</v>
      </c>
      <c r="M529" s="243" t="e">
        <f ca="1">IF(AND(INDEX(FlowCalConstA,MATCH(J515,FlowCalNumber,0),1,1)*L529^INDEX(FlowCalConstB,MATCH(J515,FlowCalNumber,0),1,1)&gt;INDEX(FlowCalLowSetting,MATCH(J515,FlowCalNumber,0),1,1), (INDEX(FlowCalConstA,MATCH(J515,FlowCalNumber,0),1,1)*L529^INDEX(FlowCalConstB,MATCH(J515,FlowCalNumber,0),1,1)&lt;INDEX(FlowCalHighSetting,MATCH(J515,FlowCalNumber,0),1,1))),INDEX(FlowCalConstA,MATCH(J515,FlowCalNumber,0),1,1)*L529^INDEX(FlowCalConstB,MATCH(J515,FlowCalNumber,0),1,1)," ")</f>
        <v>#N/A</v>
      </c>
      <c r="N529" s="33"/>
      <c r="O529" s="242">
        <f t="shared" si="244"/>
        <v>1</v>
      </c>
      <c r="P529" s="241" t="e">
        <f t="shared" ca="1" si="245"/>
        <v>#VALUE!</v>
      </c>
      <c r="Q529" s="243" t="e">
        <f ca="1">IF(AND(INDEX(FlowCalConstA,MATCH(N515,FlowCalNumber,0),1,1)*P529^INDEX(FlowCalConstB,MATCH(N515,FlowCalNumber,0),1,1)&gt;INDEX(FlowCalLowSetting,MATCH(N515,FlowCalNumber,0),1,1), (INDEX(FlowCalConstA,MATCH(N515,FlowCalNumber,0),1,1)*P529^INDEX(FlowCalConstB,MATCH(N515,FlowCalNumber,0),1,1)&lt;INDEX(FlowCalHighSetting,MATCH(N515,FlowCalNumber,0),1,1))),INDEX(FlowCalConstA,MATCH(N515,FlowCalNumber,0),1,1)*P529^INDEX(FlowCalConstB,MATCH(N515,FlowCalNumber,0),1,1)," ")</f>
        <v>#N/A</v>
      </c>
      <c r="R529" s="33"/>
      <c r="S529" s="242">
        <f t="shared" si="246"/>
        <v>1</v>
      </c>
      <c r="T529" s="241" t="e">
        <f t="shared" ca="1" si="247"/>
        <v>#VALUE!</v>
      </c>
      <c r="U529" s="243" t="e">
        <f ca="1">IF(AND(INDEX(FlowCalConstA,MATCH(R515,FlowCalNumber,0),1,1)*T529^INDEX(FlowCalConstB,MATCH(R515,FlowCalNumber,0),1,1)&gt;INDEX(FlowCalLowSetting,MATCH(R515,FlowCalNumber,0),1,1), (INDEX(FlowCalConstA,MATCH(R515,FlowCalNumber,0),1,1)*T529^INDEX(FlowCalConstB,MATCH(R515,FlowCalNumber,0),1,1)&lt;INDEX(FlowCalHighSetting,MATCH(R515,FlowCalNumber,0),1,1))),INDEX(FlowCalConstA,MATCH(R515,FlowCalNumber,0),1,1)*T529^INDEX(FlowCalConstB,MATCH(R515,FlowCalNumber,0),1,1)," ")</f>
        <v>#N/A</v>
      </c>
      <c r="V529" s="33"/>
      <c r="W529" s="242"/>
      <c r="X529" s="241"/>
      <c r="Y529" s="243"/>
      <c r="Z529" s="33"/>
      <c r="AA529" s="242"/>
      <c r="AB529" s="241"/>
      <c r="AC529" s="243"/>
      <c r="AD529" s="33"/>
      <c r="AE529" s="242"/>
      <c r="AF529" s="241"/>
      <c r="AG529" s="243"/>
      <c r="AH529" s="33"/>
      <c r="AI529" s="242"/>
      <c r="AJ529" s="241"/>
      <c r="AK529" s="244"/>
      <c r="AL529" s="243"/>
      <c r="AM529" s="243"/>
      <c r="AN529" s="243"/>
      <c r="AO529" s="243"/>
      <c r="AP529" s="243"/>
      <c r="AQ529" s="243"/>
      <c r="AR529" s="243"/>
      <c r="AS529" s="243"/>
      <c r="AT529" s="243"/>
      <c r="AU529" s="243"/>
      <c r="AV529" s="243"/>
      <c r="AW529" s="243"/>
      <c r="AX529" s="243"/>
      <c r="AY529" s="243"/>
      <c r="AZ529" s="243"/>
      <c r="BA529" s="243"/>
      <c r="BB529" s="243"/>
      <c r="BC529" s="243"/>
      <c r="BD529" s="243"/>
      <c r="BE529" s="243"/>
      <c r="BF529" s="243"/>
      <c r="BG529" s="243"/>
      <c r="BH529" s="243"/>
      <c r="BI529" s="243"/>
      <c r="BJ529" s="243"/>
      <c r="BK529" s="243"/>
      <c r="BL529" s="243"/>
      <c r="BM529" s="243"/>
      <c r="BN529" s="243"/>
      <c r="BO529" s="243"/>
      <c r="BP529" s="243"/>
      <c r="BQ529" s="243"/>
      <c r="BR529" s="243"/>
      <c r="BS529" s="243"/>
      <c r="BU529" s="242"/>
      <c r="BW529" s="243"/>
      <c r="BY529" s="242"/>
      <c r="CA529" s="243"/>
      <c r="CC529" s="242"/>
      <c r="CE529" s="243"/>
      <c r="CG529" s="242"/>
      <c r="CI529" s="243"/>
    </row>
    <row r="530" spans="1:87" s="1215" customFormat="1">
      <c r="A530" s="1222"/>
      <c r="B530" s="1223" t="str">
        <f t="shared" si="240"/>
        <v/>
      </c>
      <c r="C530" s="1210"/>
      <c r="D530" s="1211">
        <f>'1% Wind'!$M$96</f>
        <v>1</v>
      </c>
      <c r="E530" s="1212"/>
      <c r="F530" s="1212"/>
      <c r="G530" s="1213">
        <f ca="1">IF(I515=0.9743,$G529,MAX(G529/D529*D530,2))</f>
        <v>2</v>
      </c>
      <c r="H530" s="1214" t="e">
        <f t="shared" ca="1" si="241"/>
        <v>#VALUE!</v>
      </c>
      <c r="J530" s="1224"/>
      <c r="K530" s="1217">
        <f t="shared" si="242"/>
        <v>1</v>
      </c>
      <c r="L530" s="1218" t="e">
        <f t="shared" ca="1" si="243"/>
        <v>#VALUE!</v>
      </c>
      <c r="M530" s="1219" t="e">
        <f ca="1">IF(AND(INDEX(FlowCalConstA,MATCH(J515,FlowCalNumber,0),1,1)*L530^INDEX(FlowCalConstB,MATCH(J515,FlowCalNumber,0),1,1)&gt;INDEX(FlowCalLowSetting,MATCH(J515,FlowCalNumber,0),1,1), (INDEX(FlowCalConstA,MATCH(J515,FlowCalNumber,0),1,1)*L530^INDEX(FlowCalConstB,MATCH(J515,FlowCalNumber,0),1,1)&lt;INDEX(FlowCalHighSetting,MATCH(J515,FlowCalNumber,0),1,1))),INDEX(FlowCalConstA,MATCH(J515,FlowCalNumber,0),1,1)*L530^INDEX(FlowCalConstB,MATCH(J515,FlowCalNumber,0),1,1)," ")</f>
        <v>#N/A</v>
      </c>
      <c r="N530" s="1224"/>
      <c r="O530" s="1217">
        <f t="shared" si="244"/>
        <v>1</v>
      </c>
      <c r="P530" s="1218" t="e">
        <f t="shared" ca="1" si="245"/>
        <v>#VALUE!</v>
      </c>
      <c r="Q530" s="1219" t="e">
        <f ca="1">IF(AND(INDEX(FlowCalConstA,MATCH(N515,FlowCalNumber,0),1,1)*P530^INDEX(FlowCalConstB,MATCH(N515,FlowCalNumber,0),1,1)&gt;INDEX(FlowCalLowSetting,MATCH(N515,FlowCalNumber,0),1,1), (INDEX(FlowCalConstA,MATCH(N515,FlowCalNumber,0),1,1)*P530^INDEX(FlowCalConstB,MATCH(N515,FlowCalNumber,0),1,1)&lt;INDEX(FlowCalHighSetting,MATCH(N515,FlowCalNumber,0),1,1))),INDEX(FlowCalConstA,MATCH(N515,FlowCalNumber,0),1,1)*P530^INDEX(FlowCalConstB,MATCH(N515,FlowCalNumber,0),1,1)," ")</f>
        <v>#N/A</v>
      </c>
      <c r="R530" s="1224"/>
      <c r="S530" s="1217">
        <f t="shared" si="246"/>
        <v>1</v>
      </c>
      <c r="T530" s="1218" t="e">
        <f t="shared" ca="1" si="247"/>
        <v>#VALUE!</v>
      </c>
      <c r="U530" s="1219" t="e">
        <f ca="1">IF(AND(INDEX(FlowCalConstA,MATCH(R515,FlowCalNumber,0),1,1)*T530^INDEX(FlowCalConstB,MATCH(R515,FlowCalNumber,0),1,1)&gt;INDEX(FlowCalLowSetting,MATCH(R515,FlowCalNumber,0),1,1), (INDEX(FlowCalConstA,MATCH(R515,FlowCalNumber,0),1,1)*T530^INDEX(FlowCalConstB,MATCH(R515,FlowCalNumber,0),1,1)&lt;INDEX(FlowCalHighSetting,MATCH(R515,FlowCalNumber,0),1,1))),INDEX(FlowCalConstA,MATCH(R515,FlowCalNumber,0),1,1)*T530^INDEX(FlowCalConstB,MATCH(R515,FlowCalNumber,0),1,1)," ")</f>
        <v>#N/A</v>
      </c>
      <c r="V530" s="1224"/>
      <c r="W530" s="1217"/>
      <c r="X530" s="1218"/>
      <c r="Y530" s="1219"/>
      <c r="Z530" s="1224"/>
      <c r="AA530" s="1217"/>
      <c r="AB530" s="1218"/>
      <c r="AC530" s="1219"/>
      <c r="AD530" s="1224"/>
      <c r="AE530" s="1217"/>
      <c r="AF530" s="1218"/>
      <c r="AG530" s="1219"/>
      <c r="AH530" s="1224"/>
      <c r="AI530" s="1217"/>
      <c r="AJ530" s="1218"/>
      <c r="AK530" s="1220"/>
      <c r="AL530" s="1219"/>
      <c r="AM530" s="1219"/>
      <c r="AN530" s="1219"/>
      <c r="AO530" s="1219"/>
      <c r="AP530" s="1219"/>
      <c r="AQ530" s="1219"/>
      <c r="AR530" s="1219"/>
      <c r="AS530" s="1219"/>
      <c r="AT530" s="1219"/>
      <c r="AU530" s="1219"/>
      <c r="AV530" s="1219"/>
      <c r="AW530" s="1219"/>
      <c r="AX530" s="1219"/>
      <c r="AY530" s="1219"/>
      <c r="AZ530" s="1219"/>
      <c r="BA530" s="1219"/>
      <c r="BB530" s="1219"/>
      <c r="BC530" s="1219"/>
      <c r="BD530" s="1219"/>
      <c r="BE530" s="1219"/>
      <c r="BF530" s="1219"/>
      <c r="BG530" s="1219"/>
      <c r="BH530" s="1219"/>
      <c r="BI530" s="1219"/>
      <c r="BJ530" s="1219"/>
      <c r="BK530" s="1219"/>
      <c r="BL530" s="1219"/>
      <c r="BM530" s="1219"/>
      <c r="BN530" s="1219"/>
      <c r="BO530" s="1219"/>
      <c r="BP530" s="1219"/>
      <c r="BQ530" s="1219"/>
      <c r="BR530" s="1219"/>
      <c r="BS530" s="1219"/>
      <c r="BU530" s="1217"/>
      <c r="BW530" s="1219"/>
      <c r="BY530" s="1217"/>
      <c r="CA530" s="1219"/>
      <c r="CC530" s="1217"/>
      <c r="CE530" s="1219"/>
      <c r="CG530" s="1217"/>
      <c r="CI530" s="1219"/>
    </row>
    <row r="531" spans="1:87">
      <c r="A531" s="33"/>
      <c r="B531" s="33"/>
      <c r="C531" s="235"/>
      <c r="E531" s="90"/>
      <c r="F531" s="90"/>
      <c r="G531" s="33"/>
      <c r="J531" s="33"/>
      <c r="M531" s="243"/>
      <c r="N531" s="33"/>
      <c r="Q531" s="243"/>
      <c r="R531" s="33"/>
      <c r="U531" s="243"/>
      <c r="V531" s="33"/>
      <c r="Y531" s="243"/>
      <c r="Z531" s="33"/>
      <c r="AC531" s="243"/>
      <c r="AD531" s="33"/>
      <c r="AG531" s="243"/>
      <c r="AH531" s="33"/>
      <c r="AK531" s="244"/>
      <c r="AL531" s="243"/>
      <c r="AM531" s="243"/>
      <c r="AN531" s="243"/>
      <c r="AO531" s="243"/>
      <c r="AP531" s="243"/>
      <c r="AQ531" s="243"/>
      <c r="AR531" s="243"/>
      <c r="AS531" s="243"/>
      <c r="AT531" s="243"/>
      <c r="AU531" s="243"/>
      <c r="AV531" s="243"/>
      <c r="AW531" s="243"/>
      <c r="AX531" s="243"/>
      <c r="AY531" s="243"/>
      <c r="AZ531" s="243"/>
      <c r="BA531" s="243"/>
      <c r="BB531" s="243"/>
      <c r="BC531" s="243"/>
      <c r="BD531" s="243"/>
      <c r="BE531" s="243"/>
      <c r="BF531" s="243"/>
      <c r="BG531" s="243"/>
      <c r="BH531" s="243"/>
      <c r="BI531" s="243"/>
      <c r="BJ531" s="243"/>
      <c r="BK531" s="243"/>
      <c r="BL531" s="243"/>
      <c r="BM531" s="243"/>
      <c r="BN531" s="243"/>
      <c r="BO531" s="243"/>
      <c r="BP531" s="243"/>
      <c r="BQ531" s="243"/>
      <c r="BR531" s="243"/>
      <c r="BS531" s="243"/>
      <c r="BW531" s="243"/>
      <c r="CA531" s="243"/>
      <c r="CE531" s="243"/>
      <c r="CI531" s="243"/>
    </row>
    <row r="532" spans="1:87">
      <c r="A532" s="256" t="str">
        <f>IF((RIGHT(A515,1))&lt;&gt;"Z",CHAR(CODE(A515))&amp;CHAR(CODE(RIGHT(A515,1))+1),CHAR(CODE(A515)+1)&amp;"A")</f>
        <v>BE</v>
      </c>
      <c r="B532" s="270" t="str">
        <f>INDEX(SourceID,MATCH($A532,SourceNumber,0),1,1)</f>
        <v>B2 FE-3</v>
      </c>
      <c r="C532" s="354">
        <f>INDEX(SourceExitDiameter,MATCH($A532,SourceNumber,0),1,1)*3.28*12</f>
        <v>24.72</v>
      </c>
      <c r="D532" s="24" t="str">
        <f>UAnem1percent</f>
        <v>1% Wind</v>
      </c>
      <c r="E532" s="350" t="e">
        <f ca="1">INDIRECT(ADDRESS(53,6,1,,CONCATENATE("TA",$A532)))</f>
        <v>#REF!</v>
      </c>
      <c r="F532" s="625" t="e">
        <f ca="1">(ROUND((INDIRECT(ADDRESS(15,7,1,,CONCATENATE("TA",$A532)))*3.28*12*32),0)&amp;"/32")</f>
        <v>#REF!</v>
      </c>
      <c r="G532" s="125">
        <f ca="1">INDIRECT(ADDRESS(29,7,1,,$A532))</f>
        <v>6.001707317073171</v>
      </c>
      <c r="H532" s="24" t="e">
        <f ca="1">INDIRECT(ADDRESS(19,7,1,,$A532))*100^3</f>
        <v>#VALUE!</v>
      </c>
      <c r="I532" s="941">
        <f ca="1">INDIRECT(ADDRESS(53,7,1,,$A532))</f>
        <v>0.97430000000000005</v>
      </c>
      <c r="J532" s="20" t="str">
        <f ca="1">IF($I532=$I$6,K$16&amp;$G$6&amp;J$6,IF($I532=$I$7,K$16&amp;$G$7&amp;J$7,"Bad"))</f>
        <v>100N2Pick a Tunnel</v>
      </c>
      <c r="K532" t="e">
        <f ca="1">INDEX(FlowCalGasMixture,MATCH(J532,FlowCalNumber,0),1,1)</f>
        <v>#N/A</v>
      </c>
      <c r="M532" s="944" t="e">
        <f ca="1">INDEX(FlowCalDevice,MATCH(J532,FlowCalNumber,0),1,1)</f>
        <v>#N/A</v>
      </c>
      <c r="N532" s="20" t="str">
        <f ca="1">IF($I532=$I$6,O$16&amp;$G$6&amp;N$6,IF($I532=$I$7,O$16&amp;$G$7&amp;N$7,"Bad"))</f>
        <v>100N2Pick a Tunnel</v>
      </c>
      <c r="O532" t="e">
        <f ca="1">INDEX(FlowCalGasMixture,MATCH(N532,FlowCalNumber,0),1,1)</f>
        <v>#N/A</v>
      </c>
      <c r="Q532" s="944" t="e">
        <f ca="1">INDEX(FlowCalDevice,MATCH(N532,FlowCalNumber,0),1,1)</f>
        <v>#N/A</v>
      </c>
      <c r="R532" s="20" t="str">
        <f ca="1">IF($I532=$I$6,S$16&amp;$G$6&amp;R$6,IF($I532=$I$7,S$16&amp;$G$7&amp;R$7,"Bad"))</f>
        <v>100N2Pick a Tunnel</v>
      </c>
      <c r="S532" t="e">
        <f ca="1">INDEX(FlowCalGasMixture,MATCH(R532,FlowCalNumber,0),1,1)</f>
        <v>#N/A</v>
      </c>
      <c r="U532" s="944" t="e">
        <f ca="1">INDEX(FlowCalDevice,MATCH(R532,FlowCalNumber,0),1,1)</f>
        <v>#N/A</v>
      </c>
      <c r="V532" s="20"/>
      <c r="Y532" s="944"/>
      <c r="Z532" s="946"/>
      <c r="AC532" s="944"/>
      <c r="AD532" s="20"/>
      <c r="AG532" s="944"/>
      <c r="AH532" s="946"/>
      <c r="AK532" s="982"/>
      <c r="AL532" s="355"/>
      <c r="AM532" s="355"/>
      <c r="AN532" s="355"/>
      <c r="AO532" s="355"/>
      <c r="AP532" s="355"/>
      <c r="AQ532" s="355"/>
      <c r="AR532" s="355"/>
      <c r="AS532" s="355"/>
      <c r="AT532" s="355"/>
      <c r="AU532" s="355"/>
      <c r="AV532" s="355"/>
      <c r="AW532" s="355"/>
      <c r="AX532" s="355"/>
      <c r="AY532" s="355"/>
      <c r="AZ532" s="355"/>
      <c r="BA532" s="355"/>
      <c r="BB532" s="355"/>
      <c r="BC532" s="355"/>
      <c r="BD532" s="355"/>
      <c r="BE532" s="355"/>
      <c r="BF532" s="355"/>
      <c r="BG532" s="355"/>
      <c r="BH532" s="355"/>
      <c r="BI532" s="355"/>
      <c r="BJ532" s="355"/>
      <c r="BK532" s="355"/>
      <c r="BL532" s="355"/>
      <c r="BM532" s="355"/>
      <c r="BN532" s="355"/>
      <c r="BO532" s="355"/>
      <c r="BP532" s="355"/>
      <c r="BQ532" s="355"/>
      <c r="BR532" s="355"/>
      <c r="BS532" s="355"/>
      <c r="BT532" s="46"/>
      <c r="BU532" s="16"/>
      <c r="BW532" s="355"/>
      <c r="BX532" s="42"/>
      <c r="BY532" s="16"/>
      <c r="CA532" s="355"/>
      <c r="CB532" s="42"/>
      <c r="CC532" s="16"/>
      <c r="CE532" s="355"/>
      <c r="CF532" s="42"/>
      <c r="CG532" s="16"/>
      <c r="CI532" s="355"/>
    </row>
    <row r="533" spans="1:87" s="1215" customFormat="1">
      <c r="A533" s="1222"/>
      <c r="B533" s="1223" t="str">
        <f t="shared" ref="B533:B547" si="248">IF(D533=UAnem1percent,"1% Wind","")</f>
        <v/>
      </c>
      <c r="C533" s="1210"/>
      <c r="D533" s="1211">
        <f>'1% Wind'!$M$82</f>
        <v>27</v>
      </c>
      <c r="E533" s="1212"/>
      <c r="F533" s="1212"/>
      <c r="G533" s="1364">
        <v>2</v>
      </c>
      <c r="H533" s="1214" t="e">
        <f t="shared" ref="H533:H547" ca="1" si="249">H532*(D532/D533)*(G533/G532)</f>
        <v>#VALUE!</v>
      </c>
      <c r="J533" s="1224"/>
      <c r="K533" s="1221">
        <f>K$17/100</f>
        <v>1</v>
      </c>
      <c r="L533" s="1218" t="e">
        <f ca="1">K533*$H533</f>
        <v>#VALUE!</v>
      </c>
      <c r="M533" s="1219" t="e">
        <f ca="1">IF(AND(INDEX(FlowCalConstA,MATCH(J532,FlowCalNumber,0),1,1)*L533^INDEX(FlowCalConstB,MATCH(J532,FlowCalNumber,0),1,1)&gt;INDEX(FlowCalLowSetting,MATCH(J532,FlowCalNumber,0),1,1), (INDEX(FlowCalConstA,MATCH(J532,FlowCalNumber,0),1,1)*L533^INDEX(FlowCalConstB,MATCH(J532,FlowCalNumber,0),1,1)&lt;INDEX(FlowCalHighSetting,MATCH(J532,FlowCalNumber,0),1,1))),INDEX(FlowCalConstA,MATCH(J532,FlowCalNumber,0),1,1)*L533^INDEX(FlowCalConstB,MATCH(J532,FlowCalNumber,0),1,1)," ")</f>
        <v>#N/A</v>
      </c>
      <c r="N533" s="1224"/>
      <c r="O533" s="1221">
        <f>O$17/100</f>
        <v>1</v>
      </c>
      <c r="P533" s="1218" t="e">
        <f ca="1">O533*$H533</f>
        <v>#VALUE!</v>
      </c>
      <c r="Q533" s="1219" t="e">
        <f ca="1">IF(AND(INDEX(FlowCalConstA,MATCH(N532,FlowCalNumber,0),1,1)*P533^INDEX(FlowCalConstB,MATCH(N532,FlowCalNumber,0),1,1)&gt;INDEX(FlowCalLowSetting,MATCH(N532,FlowCalNumber,0),1,1), (INDEX(FlowCalConstA,MATCH(N532,FlowCalNumber,0),1,1)*P533^INDEX(FlowCalConstB,MATCH(N532,FlowCalNumber,0),1,1)&lt;INDEX(FlowCalHighSetting,MATCH(N532,FlowCalNumber,0),1,1))),INDEX(FlowCalConstA,MATCH(N532,FlowCalNumber,0),1,1)*P533^INDEX(FlowCalConstB,MATCH(N532,FlowCalNumber,0),1,1)," ")</f>
        <v>#N/A</v>
      </c>
      <c r="R533" s="1224"/>
      <c r="S533" s="1221">
        <f>S$17/100</f>
        <v>1</v>
      </c>
      <c r="T533" s="1218" t="e">
        <f ca="1">S533*$H533</f>
        <v>#VALUE!</v>
      </c>
      <c r="U533" s="1219" t="e">
        <f ca="1">IF(AND(INDEX(FlowCalConstA,MATCH(R532,FlowCalNumber,0),1,1)*T533^INDEX(FlowCalConstB,MATCH(R532,FlowCalNumber,0),1,1)&gt;INDEX(FlowCalLowSetting,MATCH(R532,FlowCalNumber,0),1,1), (INDEX(FlowCalConstA,MATCH(R532,FlowCalNumber,0),1,1)*T533^INDEX(FlowCalConstB,MATCH(R532,FlowCalNumber,0),1,1)&lt;INDEX(FlowCalHighSetting,MATCH(R532,FlowCalNumber,0),1,1))),INDEX(FlowCalConstA,MATCH(R532,FlowCalNumber,0),1,1)*T533^INDEX(FlowCalConstB,MATCH(R532,FlowCalNumber,0),1,1)," ")</f>
        <v>#N/A</v>
      </c>
      <c r="V533" s="1224"/>
      <c r="W533" s="1221"/>
      <c r="X533" s="1218"/>
      <c r="Y533" s="1219"/>
      <c r="Z533" s="1224"/>
      <c r="AA533" s="1221"/>
      <c r="AB533" s="1218"/>
      <c r="AC533" s="1219"/>
      <c r="AD533" s="1224"/>
      <c r="AE533" s="1221"/>
      <c r="AF533" s="1218"/>
      <c r="AG533" s="1219"/>
      <c r="AH533" s="1224"/>
      <c r="AI533" s="1221"/>
      <c r="AJ533" s="1218"/>
      <c r="AK533" s="1220"/>
      <c r="AL533" s="1219"/>
      <c r="AM533" s="1219"/>
      <c r="AN533" s="1219"/>
      <c r="AO533" s="1219"/>
      <c r="AP533" s="1219"/>
      <c r="AQ533" s="1219"/>
      <c r="AR533" s="1219"/>
      <c r="AS533" s="1219"/>
      <c r="AT533" s="1219"/>
      <c r="AU533" s="1219"/>
      <c r="AV533" s="1219"/>
      <c r="AW533" s="1219"/>
      <c r="AX533" s="1219"/>
      <c r="AY533" s="1219"/>
      <c r="AZ533" s="1219"/>
      <c r="BA533" s="1219"/>
      <c r="BB533" s="1219"/>
      <c r="BC533" s="1219"/>
      <c r="BD533" s="1219"/>
      <c r="BE533" s="1219"/>
      <c r="BF533" s="1219"/>
      <c r="BG533" s="1219"/>
      <c r="BH533" s="1219"/>
      <c r="BI533" s="1219"/>
      <c r="BJ533" s="1219"/>
      <c r="BK533" s="1219"/>
      <c r="BL533" s="1219"/>
      <c r="BM533" s="1219"/>
      <c r="BN533" s="1219"/>
      <c r="BO533" s="1219"/>
      <c r="BP533" s="1219"/>
      <c r="BQ533" s="1219"/>
      <c r="BR533" s="1219"/>
      <c r="BS533" s="1219"/>
      <c r="BU533" s="1225"/>
      <c r="BW533" s="1219"/>
      <c r="BY533" s="1225"/>
      <c r="CA533" s="1219"/>
      <c r="CC533" s="1225"/>
      <c r="CE533" s="1219"/>
      <c r="CG533" s="1221"/>
      <c r="CI533" s="1219"/>
    </row>
    <row r="534" spans="1:87">
      <c r="A534" s="20"/>
      <c r="B534" s="124" t="str">
        <f t="shared" si="248"/>
        <v/>
      </c>
      <c r="C534" s="235"/>
      <c r="D534" s="24">
        <f>'1% Wind'!$M$83</f>
        <v>23.5</v>
      </c>
      <c r="E534" s="90"/>
      <c r="F534" s="90"/>
      <c r="G534" s="79">
        <f ca="1">IF(I532=0.9743,$G533,MAX(G533/D533*D534,2))</f>
        <v>2</v>
      </c>
      <c r="H534" s="121" t="e">
        <f t="shared" ca="1" si="249"/>
        <v>#VALUE!</v>
      </c>
      <c r="J534" s="33"/>
      <c r="K534" s="242">
        <f t="shared" ref="K534:K547" si="250">K533</f>
        <v>1</v>
      </c>
      <c r="L534" s="241" t="e">
        <f t="shared" ref="L534:L547" ca="1" si="251">K534*$H534</f>
        <v>#VALUE!</v>
      </c>
      <c r="M534" s="243" t="e">
        <f ca="1">IF(AND(INDEX(FlowCalConstA,MATCH(J532,FlowCalNumber,0),1,1)*L534^INDEX(FlowCalConstB,MATCH(J532,FlowCalNumber,0),1,1)&gt;INDEX(FlowCalLowSetting,MATCH(J532,FlowCalNumber,0),1,1), (INDEX(FlowCalConstA,MATCH(J532,FlowCalNumber,0),1,1)*L534^INDEX(FlowCalConstB,MATCH(J532,FlowCalNumber,0),1,1)&lt;INDEX(FlowCalHighSetting,MATCH(J532,FlowCalNumber,0),1,1))),INDEX(FlowCalConstA,MATCH(J532,FlowCalNumber,0),1,1)*L534^INDEX(FlowCalConstB,MATCH(J532,FlowCalNumber,0),1,1)," ")</f>
        <v>#N/A</v>
      </c>
      <c r="N534" s="33"/>
      <c r="O534" s="242">
        <f t="shared" ref="O534:O547" si="252">O533</f>
        <v>1</v>
      </c>
      <c r="P534" s="241" t="e">
        <f t="shared" ref="P534:P547" ca="1" si="253">O534*$H534</f>
        <v>#VALUE!</v>
      </c>
      <c r="Q534" s="243" t="e">
        <f ca="1">IF(AND(INDEX(FlowCalConstA,MATCH(N532,FlowCalNumber,0),1,1)*P534^INDEX(FlowCalConstB,MATCH(N532,FlowCalNumber,0),1,1)&gt;INDEX(FlowCalLowSetting,MATCH(N532,FlowCalNumber,0),1,1), (INDEX(FlowCalConstA,MATCH(N532,FlowCalNumber,0),1,1)*P534^INDEX(FlowCalConstB,MATCH(N532,FlowCalNumber,0),1,1)&lt;INDEX(FlowCalHighSetting,MATCH(N532,FlowCalNumber,0),1,1))),INDEX(FlowCalConstA,MATCH(N532,FlowCalNumber,0),1,1)*P534^INDEX(FlowCalConstB,MATCH(N532,FlowCalNumber,0),1,1)," ")</f>
        <v>#N/A</v>
      </c>
      <c r="R534" s="33"/>
      <c r="S534" s="242">
        <f t="shared" ref="S534:S547" si="254">S533</f>
        <v>1</v>
      </c>
      <c r="T534" s="241" t="e">
        <f t="shared" ref="T534:T547" ca="1" si="255">S534*$H534</f>
        <v>#VALUE!</v>
      </c>
      <c r="U534" s="243" t="e">
        <f ca="1">IF(AND(INDEX(FlowCalConstA,MATCH(R532,FlowCalNumber,0),1,1)*T534^INDEX(FlowCalConstB,MATCH(R532,FlowCalNumber,0),1,1)&gt;INDEX(FlowCalLowSetting,MATCH(R532,FlowCalNumber,0),1,1), (INDEX(FlowCalConstA,MATCH(R532,FlowCalNumber,0),1,1)*T534^INDEX(FlowCalConstB,MATCH(R532,FlowCalNumber,0),1,1)&lt;INDEX(FlowCalHighSetting,MATCH(R532,FlowCalNumber,0),1,1))),INDEX(FlowCalConstA,MATCH(R532,FlowCalNumber,0),1,1)*T534^INDEX(FlowCalConstB,MATCH(R532,FlowCalNumber,0),1,1)," ")</f>
        <v>#N/A</v>
      </c>
      <c r="V534" s="33"/>
      <c r="W534" s="242"/>
      <c r="X534" s="241"/>
      <c r="Y534" s="243"/>
      <c r="Z534" s="33"/>
      <c r="AA534" s="242"/>
      <c r="AB534" s="241"/>
      <c r="AC534" s="243"/>
      <c r="AD534" s="33"/>
      <c r="AE534" s="242"/>
      <c r="AF534" s="241"/>
      <c r="AG534" s="243"/>
      <c r="AH534" s="33"/>
      <c r="AI534" s="242"/>
      <c r="AJ534" s="241"/>
      <c r="AK534" s="244"/>
      <c r="AL534" s="243"/>
      <c r="AM534" s="243"/>
      <c r="AN534" s="243"/>
      <c r="AO534" s="243"/>
      <c r="AP534" s="243"/>
      <c r="AQ534" s="243"/>
      <c r="AR534" s="243"/>
      <c r="AS534" s="243"/>
      <c r="AT534" s="243"/>
      <c r="AU534" s="243"/>
      <c r="AV534" s="243"/>
      <c r="AW534" s="243"/>
      <c r="AX534" s="243"/>
      <c r="AY534" s="243"/>
      <c r="AZ534" s="243"/>
      <c r="BA534" s="243"/>
      <c r="BB534" s="243"/>
      <c r="BC534" s="243"/>
      <c r="BD534" s="243"/>
      <c r="BE534" s="243"/>
      <c r="BF534" s="243"/>
      <c r="BG534" s="243"/>
      <c r="BH534" s="243"/>
      <c r="BI534" s="243"/>
      <c r="BJ534" s="243"/>
      <c r="BK534" s="243"/>
      <c r="BL534" s="243"/>
      <c r="BM534" s="243"/>
      <c r="BN534" s="243"/>
      <c r="BO534" s="243"/>
      <c r="BP534" s="243"/>
      <c r="BQ534" s="243"/>
      <c r="BR534" s="243"/>
      <c r="BS534" s="243"/>
      <c r="BU534" s="242"/>
      <c r="BW534" s="243"/>
      <c r="BY534" s="242"/>
      <c r="CA534" s="243"/>
      <c r="CC534" s="242"/>
      <c r="CE534" s="243"/>
      <c r="CG534" s="242"/>
      <c r="CI534" s="243"/>
    </row>
    <row r="535" spans="1:87" s="1215" customFormat="1">
      <c r="A535" s="1222"/>
      <c r="B535" s="1223" t="str">
        <f t="shared" si="248"/>
        <v/>
      </c>
      <c r="C535" s="1210"/>
      <c r="D535" s="1211">
        <f>'1% Wind'!$M$84</f>
        <v>20.5</v>
      </c>
      <c r="E535" s="1212"/>
      <c r="F535" s="1212"/>
      <c r="G535" s="1213">
        <f ca="1">IF(I532=0.9743,$G534,MAX(G534/D534*D535,2))</f>
        <v>2</v>
      </c>
      <c r="H535" s="1214" t="e">
        <f t="shared" ca="1" si="249"/>
        <v>#VALUE!</v>
      </c>
      <c r="J535" s="1224"/>
      <c r="K535" s="1217">
        <f t="shared" si="250"/>
        <v>1</v>
      </c>
      <c r="L535" s="1218" t="e">
        <f t="shared" ca="1" si="251"/>
        <v>#VALUE!</v>
      </c>
      <c r="M535" s="1219" t="e">
        <f ca="1">IF(AND(INDEX(FlowCalConstA,MATCH(J532,FlowCalNumber,0),1,1)*L535^INDEX(FlowCalConstB,MATCH(J532,FlowCalNumber,0),1,1)&gt;INDEX(FlowCalLowSetting,MATCH(J532,FlowCalNumber,0),1,1), (INDEX(FlowCalConstA,MATCH(J532,FlowCalNumber,0),1,1)*L535^INDEX(FlowCalConstB,MATCH(J532,FlowCalNumber,0),1,1)&lt;INDEX(FlowCalHighSetting,MATCH(J532,FlowCalNumber,0),1,1))),INDEX(FlowCalConstA,MATCH(J532,FlowCalNumber,0),1,1)*L535^INDEX(FlowCalConstB,MATCH(J532,FlowCalNumber,0),1,1)," ")</f>
        <v>#N/A</v>
      </c>
      <c r="N535" s="1224"/>
      <c r="O535" s="1217">
        <f t="shared" si="252"/>
        <v>1</v>
      </c>
      <c r="P535" s="1218" t="e">
        <f t="shared" ca="1" si="253"/>
        <v>#VALUE!</v>
      </c>
      <c r="Q535" s="1219" t="e">
        <f ca="1">IF(AND(INDEX(FlowCalConstA,MATCH(N532,FlowCalNumber,0),1,1)*P535^INDEX(FlowCalConstB,MATCH(N532,FlowCalNumber,0),1,1)&gt;INDEX(FlowCalLowSetting,MATCH(N532,FlowCalNumber,0),1,1), (INDEX(FlowCalConstA,MATCH(N532,FlowCalNumber,0),1,1)*P535^INDEX(FlowCalConstB,MATCH(N532,FlowCalNumber,0),1,1)&lt;INDEX(FlowCalHighSetting,MATCH(N532,FlowCalNumber,0),1,1))),INDEX(FlowCalConstA,MATCH(N532,FlowCalNumber,0),1,1)*P535^INDEX(FlowCalConstB,MATCH(N532,FlowCalNumber,0),1,1)," ")</f>
        <v>#N/A</v>
      </c>
      <c r="R535" s="1224"/>
      <c r="S535" s="1217">
        <f t="shared" si="254"/>
        <v>1</v>
      </c>
      <c r="T535" s="1218" t="e">
        <f t="shared" ca="1" si="255"/>
        <v>#VALUE!</v>
      </c>
      <c r="U535" s="1219" t="e">
        <f ca="1">IF(AND(INDEX(FlowCalConstA,MATCH(R532,FlowCalNumber,0),1,1)*T535^INDEX(FlowCalConstB,MATCH(R532,FlowCalNumber,0),1,1)&gt;INDEX(FlowCalLowSetting,MATCH(R532,FlowCalNumber,0),1,1), (INDEX(FlowCalConstA,MATCH(R532,FlowCalNumber,0),1,1)*T535^INDEX(FlowCalConstB,MATCH(R532,FlowCalNumber,0),1,1)&lt;INDEX(FlowCalHighSetting,MATCH(R532,FlowCalNumber,0),1,1))),INDEX(FlowCalConstA,MATCH(R532,FlowCalNumber,0),1,1)*T535^INDEX(FlowCalConstB,MATCH(R532,FlowCalNumber,0),1,1)," ")</f>
        <v>#N/A</v>
      </c>
      <c r="V535" s="1224"/>
      <c r="W535" s="1217"/>
      <c r="X535" s="1218"/>
      <c r="Y535" s="1219"/>
      <c r="Z535" s="1224"/>
      <c r="AA535" s="1217"/>
      <c r="AB535" s="1218"/>
      <c r="AC535" s="1219"/>
      <c r="AD535" s="1224"/>
      <c r="AE535" s="1217"/>
      <c r="AF535" s="1218"/>
      <c r="AG535" s="1219"/>
      <c r="AH535" s="1224"/>
      <c r="AI535" s="1217"/>
      <c r="AJ535" s="1218"/>
      <c r="AK535" s="1220"/>
      <c r="AL535" s="1219"/>
      <c r="AM535" s="1219"/>
      <c r="AN535" s="1219"/>
      <c r="AO535" s="1219"/>
      <c r="AP535" s="1219"/>
      <c r="AQ535" s="1219"/>
      <c r="AR535" s="1219"/>
      <c r="AS535" s="1219"/>
      <c r="AT535" s="1219"/>
      <c r="AU535" s="1219"/>
      <c r="AV535" s="1219"/>
      <c r="AW535" s="1219"/>
      <c r="AX535" s="1219"/>
      <c r="AY535" s="1219"/>
      <c r="AZ535" s="1219"/>
      <c r="BA535" s="1219"/>
      <c r="BB535" s="1219"/>
      <c r="BC535" s="1219"/>
      <c r="BD535" s="1219"/>
      <c r="BE535" s="1219"/>
      <c r="BF535" s="1219"/>
      <c r="BG535" s="1219"/>
      <c r="BH535" s="1219"/>
      <c r="BI535" s="1219"/>
      <c r="BJ535" s="1219"/>
      <c r="BK535" s="1219"/>
      <c r="BL535" s="1219"/>
      <c r="BM535" s="1219"/>
      <c r="BN535" s="1219"/>
      <c r="BO535" s="1219"/>
      <c r="BP535" s="1219"/>
      <c r="BQ535" s="1219"/>
      <c r="BR535" s="1219"/>
      <c r="BS535" s="1219"/>
      <c r="BU535" s="1217"/>
      <c r="BW535" s="1219"/>
      <c r="BY535" s="1217"/>
      <c r="CA535" s="1219"/>
      <c r="CC535" s="1217"/>
      <c r="CE535" s="1219"/>
      <c r="CG535" s="1217"/>
      <c r="CI535" s="1219"/>
    </row>
    <row r="536" spans="1:87">
      <c r="A536" s="20"/>
      <c r="B536" s="124" t="str">
        <f t="shared" si="248"/>
        <v/>
      </c>
      <c r="C536" s="235"/>
      <c r="D536" s="24">
        <f>'1% Wind'!$M$85</f>
        <v>17.8</v>
      </c>
      <c r="E536" s="90"/>
      <c r="F536" s="90"/>
      <c r="G536" s="79">
        <f ca="1">IF(I532=0.9743,$G535,MAX(G535/D535*D536,2))</f>
        <v>2</v>
      </c>
      <c r="H536" s="121" t="e">
        <f t="shared" ca="1" si="249"/>
        <v>#VALUE!</v>
      </c>
      <c r="J536" s="33"/>
      <c r="K536" s="242">
        <f t="shared" si="250"/>
        <v>1</v>
      </c>
      <c r="L536" s="241" t="e">
        <f t="shared" ca="1" si="251"/>
        <v>#VALUE!</v>
      </c>
      <c r="M536" s="243" t="e">
        <f ca="1">IF(AND(INDEX(FlowCalConstA,MATCH(J532,FlowCalNumber,0),1,1)*L536^INDEX(FlowCalConstB,MATCH(J532,FlowCalNumber,0),1,1)&gt;INDEX(FlowCalLowSetting,MATCH(J532,FlowCalNumber,0),1,1), (INDEX(FlowCalConstA,MATCH(J532,FlowCalNumber,0),1,1)*L536^INDEX(FlowCalConstB,MATCH(J532,FlowCalNumber,0),1,1)&lt;INDEX(FlowCalHighSetting,MATCH(J532,FlowCalNumber,0),1,1))),INDEX(FlowCalConstA,MATCH(J532,FlowCalNumber,0),1,1)*L536^INDEX(FlowCalConstB,MATCH(J532,FlowCalNumber,0),1,1)," ")</f>
        <v>#N/A</v>
      </c>
      <c r="N536" s="33"/>
      <c r="O536" s="242">
        <f t="shared" si="252"/>
        <v>1</v>
      </c>
      <c r="P536" s="241" t="e">
        <f t="shared" ca="1" si="253"/>
        <v>#VALUE!</v>
      </c>
      <c r="Q536" s="243" t="e">
        <f ca="1">IF(AND(INDEX(FlowCalConstA,MATCH(N532,FlowCalNumber,0),1,1)*P536^INDEX(FlowCalConstB,MATCH(N532,FlowCalNumber,0),1,1)&gt;INDEX(FlowCalLowSetting,MATCH(N532,FlowCalNumber,0),1,1), (INDEX(FlowCalConstA,MATCH(N532,FlowCalNumber,0),1,1)*P536^INDEX(FlowCalConstB,MATCH(N532,FlowCalNumber,0),1,1)&lt;INDEX(FlowCalHighSetting,MATCH(N532,FlowCalNumber,0),1,1))),INDEX(FlowCalConstA,MATCH(N532,FlowCalNumber,0),1,1)*P536^INDEX(FlowCalConstB,MATCH(N532,FlowCalNumber,0),1,1)," ")</f>
        <v>#N/A</v>
      </c>
      <c r="R536" s="33"/>
      <c r="S536" s="242">
        <f t="shared" si="254"/>
        <v>1</v>
      </c>
      <c r="T536" s="241" t="e">
        <f t="shared" ca="1" si="255"/>
        <v>#VALUE!</v>
      </c>
      <c r="U536" s="243" t="e">
        <f ca="1">IF(AND(INDEX(FlowCalConstA,MATCH(R532,FlowCalNumber,0),1,1)*T536^INDEX(FlowCalConstB,MATCH(R532,FlowCalNumber,0),1,1)&gt;INDEX(FlowCalLowSetting,MATCH(R532,FlowCalNumber,0),1,1), (INDEX(FlowCalConstA,MATCH(R532,FlowCalNumber,0),1,1)*T536^INDEX(FlowCalConstB,MATCH(R532,FlowCalNumber,0),1,1)&lt;INDEX(FlowCalHighSetting,MATCH(R532,FlowCalNumber,0),1,1))),INDEX(FlowCalConstA,MATCH(R532,FlowCalNumber,0),1,1)*T536^INDEX(FlowCalConstB,MATCH(R532,FlowCalNumber,0),1,1)," ")</f>
        <v>#N/A</v>
      </c>
      <c r="V536" s="33"/>
      <c r="W536" s="242"/>
      <c r="X536" s="241"/>
      <c r="Y536" s="243"/>
      <c r="Z536" s="33"/>
      <c r="AA536" s="242"/>
      <c r="AB536" s="241"/>
      <c r="AC536" s="243"/>
      <c r="AD536" s="33"/>
      <c r="AE536" s="242"/>
      <c r="AF536" s="241"/>
      <c r="AG536" s="243"/>
      <c r="AH536" s="33"/>
      <c r="AI536" s="242"/>
      <c r="AJ536" s="241"/>
      <c r="AK536" s="244"/>
      <c r="AL536" s="243"/>
      <c r="AM536" s="243"/>
      <c r="AN536" s="243"/>
      <c r="AO536" s="243"/>
      <c r="AP536" s="243"/>
      <c r="AQ536" s="243"/>
      <c r="AR536" s="243"/>
      <c r="AS536" s="243"/>
      <c r="AT536" s="243"/>
      <c r="AU536" s="243"/>
      <c r="AV536" s="243"/>
      <c r="AW536" s="243"/>
      <c r="AX536" s="243"/>
      <c r="AY536" s="243"/>
      <c r="AZ536" s="243"/>
      <c r="BA536" s="243"/>
      <c r="BB536" s="243"/>
      <c r="BC536" s="243"/>
      <c r="BD536" s="243"/>
      <c r="BE536" s="243"/>
      <c r="BF536" s="243"/>
      <c r="BG536" s="243"/>
      <c r="BH536" s="243"/>
      <c r="BI536" s="243"/>
      <c r="BJ536" s="243"/>
      <c r="BK536" s="243"/>
      <c r="BL536" s="243"/>
      <c r="BM536" s="243"/>
      <c r="BN536" s="243"/>
      <c r="BO536" s="243"/>
      <c r="BP536" s="243"/>
      <c r="BQ536" s="243"/>
      <c r="BR536" s="243"/>
      <c r="BS536" s="243"/>
      <c r="BU536" s="242"/>
      <c r="BW536" s="243"/>
      <c r="BY536" s="242"/>
      <c r="CA536" s="243"/>
      <c r="CC536" s="242"/>
      <c r="CE536" s="243"/>
      <c r="CG536" s="242"/>
      <c r="CI536" s="243"/>
    </row>
    <row r="537" spans="1:87" s="1215" customFormat="1">
      <c r="A537" s="1222"/>
      <c r="B537" s="1223" t="str">
        <f t="shared" si="248"/>
        <v/>
      </c>
      <c r="C537" s="1210"/>
      <c r="D537" s="1211">
        <f>'1% Wind'!$M$86</f>
        <v>15.5</v>
      </c>
      <c r="E537" s="1212"/>
      <c r="F537" s="1212"/>
      <c r="G537" s="1213">
        <f ca="1">IF(I532=0.9743,$G536,MAX(G536/D536*D537,2))</f>
        <v>2</v>
      </c>
      <c r="H537" s="1214" t="e">
        <f t="shared" ca="1" si="249"/>
        <v>#VALUE!</v>
      </c>
      <c r="J537" s="1224"/>
      <c r="K537" s="1217">
        <f t="shared" si="250"/>
        <v>1</v>
      </c>
      <c r="L537" s="1218" t="e">
        <f t="shared" ca="1" si="251"/>
        <v>#VALUE!</v>
      </c>
      <c r="M537" s="1219" t="e">
        <f ca="1">IF(AND(INDEX(FlowCalConstA,MATCH(J532,FlowCalNumber,0),1,1)*L537^INDEX(FlowCalConstB,MATCH(J532,FlowCalNumber,0),1,1)&gt;INDEX(FlowCalLowSetting,MATCH(J532,FlowCalNumber,0),1,1), (INDEX(FlowCalConstA,MATCH(J532,FlowCalNumber,0),1,1)*L537^INDEX(FlowCalConstB,MATCH(J532,FlowCalNumber,0),1,1)&lt;INDEX(FlowCalHighSetting,MATCH(J532,FlowCalNumber,0),1,1))),INDEX(FlowCalConstA,MATCH(J532,FlowCalNumber,0),1,1)*L537^INDEX(FlowCalConstB,MATCH(J532,FlowCalNumber,0),1,1)," ")</f>
        <v>#N/A</v>
      </c>
      <c r="N537" s="1224"/>
      <c r="O537" s="1217">
        <f t="shared" si="252"/>
        <v>1</v>
      </c>
      <c r="P537" s="1218" t="e">
        <f t="shared" ca="1" si="253"/>
        <v>#VALUE!</v>
      </c>
      <c r="Q537" s="1219" t="e">
        <f ca="1">IF(AND(INDEX(FlowCalConstA,MATCH(N532,FlowCalNumber,0),1,1)*P537^INDEX(FlowCalConstB,MATCH(N532,FlowCalNumber,0),1,1)&gt;INDEX(FlowCalLowSetting,MATCH(N532,FlowCalNumber,0),1,1), (INDEX(FlowCalConstA,MATCH(N532,FlowCalNumber,0),1,1)*P537^INDEX(FlowCalConstB,MATCH(N532,FlowCalNumber,0),1,1)&lt;INDEX(FlowCalHighSetting,MATCH(N532,FlowCalNumber,0),1,1))),INDEX(FlowCalConstA,MATCH(N532,FlowCalNumber,0),1,1)*P537^INDEX(FlowCalConstB,MATCH(N532,FlowCalNumber,0),1,1)," ")</f>
        <v>#N/A</v>
      </c>
      <c r="R537" s="1224"/>
      <c r="S537" s="1217">
        <f t="shared" si="254"/>
        <v>1</v>
      </c>
      <c r="T537" s="1218" t="e">
        <f t="shared" ca="1" si="255"/>
        <v>#VALUE!</v>
      </c>
      <c r="U537" s="1219" t="e">
        <f ca="1">IF(AND(INDEX(FlowCalConstA,MATCH(R532,FlowCalNumber,0),1,1)*T537^INDEX(FlowCalConstB,MATCH(R532,FlowCalNumber,0),1,1)&gt;INDEX(FlowCalLowSetting,MATCH(R532,FlowCalNumber,0),1,1), (INDEX(FlowCalConstA,MATCH(R532,FlowCalNumber,0),1,1)*T537^INDEX(FlowCalConstB,MATCH(R532,FlowCalNumber,0),1,1)&lt;INDEX(FlowCalHighSetting,MATCH(R532,FlowCalNumber,0),1,1))),INDEX(FlowCalConstA,MATCH(R532,FlowCalNumber,0),1,1)*T537^INDEX(FlowCalConstB,MATCH(R532,FlowCalNumber,0),1,1)," ")</f>
        <v>#N/A</v>
      </c>
      <c r="V537" s="1224"/>
      <c r="W537" s="1217"/>
      <c r="X537" s="1218"/>
      <c r="Y537" s="1219"/>
      <c r="Z537" s="1224"/>
      <c r="AA537" s="1217"/>
      <c r="AB537" s="1218"/>
      <c r="AC537" s="1219"/>
      <c r="AD537" s="1224"/>
      <c r="AE537" s="1217"/>
      <c r="AF537" s="1218"/>
      <c r="AG537" s="1219"/>
      <c r="AH537" s="1224"/>
      <c r="AI537" s="1217"/>
      <c r="AJ537" s="1218"/>
      <c r="AK537" s="1220"/>
      <c r="AL537" s="1219"/>
      <c r="AM537" s="1219"/>
      <c r="AN537" s="1219"/>
      <c r="AO537" s="1219"/>
      <c r="AP537" s="1219"/>
      <c r="AQ537" s="1219"/>
      <c r="AR537" s="1219"/>
      <c r="AS537" s="1219"/>
      <c r="AT537" s="1219"/>
      <c r="AU537" s="1219"/>
      <c r="AV537" s="1219"/>
      <c r="AW537" s="1219"/>
      <c r="AX537" s="1219"/>
      <c r="AY537" s="1219"/>
      <c r="AZ537" s="1219"/>
      <c r="BA537" s="1219"/>
      <c r="BB537" s="1219"/>
      <c r="BC537" s="1219"/>
      <c r="BD537" s="1219"/>
      <c r="BE537" s="1219"/>
      <c r="BF537" s="1219"/>
      <c r="BG537" s="1219"/>
      <c r="BH537" s="1219"/>
      <c r="BI537" s="1219"/>
      <c r="BJ537" s="1219"/>
      <c r="BK537" s="1219"/>
      <c r="BL537" s="1219"/>
      <c r="BM537" s="1219"/>
      <c r="BN537" s="1219"/>
      <c r="BO537" s="1219"/>
      <c r="BP537" s="1219"/>
      <c r="BQ537" s="1219"/>
      <c r="BR537" s="1219"/>
      <c r="BS537" s="1219"/>
      <c r="BU537" s="1217"/>
      <c r="BW537" s="1219"/>
      <c r="BY537" s="1217"/>
      <c r="CA537" s="1219"/>
      <c r="CC537" s="1217"/>
      <c r="CE537" s="1219"/>
      <c r="CG537" s="1217"/>
      <c r="CI537" s="1219"/>
    </row>
    <row r="538" spans="1:87">
      <c r="A538" s="20"/>
      <c r="B538" s="124" t="str">
        <f t="shared" si="248"/>
        <v/>
      </c>
      <c r="C538" s="235"/>
      <c r="D538" s="24">
        <f>'1% Wind'!$M$87</f>
        <v>13.5</v>
      </c>
      <c r="E538" s="90"/>
      <c r="F538" s="90"/>
      <c r="G538" s="79">
        <f ca="1">IF(I532=0.9743,$G537,MAX(G537/D537*D538,2))</f>
        <v>2</v>
      </c>
      <c r="H538" s="121" t="e">
        <f t="shared" ca="1" si="249"/>
        <v>#VALUE!</v>
      </c>
      <c r="J538" s="33"/>
      <c r="K538" s="242">
        <f t="shared" si="250"/>
        <v>1</v>
      </c>
      <c r="L538" s="241" t="e">
        <f t="shared" ca="1" si="251"/>
        <v>#VALUE!</v>
      </c>
      <c r="M538" s="243" t="e">
        <f ca="1">IF(AND(INDEX(FlowCalConstA,MATCH(J532,FlowCalNumber,0),1,1)*L538^INDEX(FlowCalConstB,MATCH(J532,FlowCalNumber,0),1,1)&gt;INDEX(FlowCalLowSetting,MATCH(J532,FlowCalNumber,0),1,1), (INDEX(FlowCalConstA,MATCH(J532,FlowCalNumber,0),1,1)*L538^INDEX(FlowCalConstB,MATCH(J532,FlowCalNumber,0),1,1)&lt;INDEX(FlowCalHighSetting,MATCH(J532,FlowCalNumber,0),1,1))),INDEX(FlowCalConstA,MATCH(J532,FlowCalNumber,0),1,1)*L538^INDEX(FlowCalConstB,MATCH(J532,FlowCalNumber,0),1,1)," ")</f>
        <v>#N/A</v>
      </c>
      <c r="N538" s="33"/>
      <c r="O538" s="242">
        <f t="shared" si="252"/>
        <v>1</v>
      </c>
      <c r="P538" s="241" t="e">
        <f t="shared" ca="1" si="253"/>
        <v>#VALUE!</v>
      </c>
      <c r="Q538" s="243" t="e">
        <f ca="1">IF(AND(INDEX(FlowCalConstA,MATCH(N532,FlowCalNumber,0),1,1)*P538^INDEX(FlowCalConstB,MATCH(N532,FlowCalNumber,0),1,1)&gt;INDEX(FlowCalLowSetting,MATCH(N532,FlowCalNumber,0),1,1), (INDEX(FlowCalConstA,MATCH(N532,FlowCalNumber,0),1,1)*P538^INDEX(FlowCalConstB,MATCH(N532,FlowCalNumber,0),1,1)&lt;INDEX(FlowCalHighSetting,MATCH(N532,FlowCalNumber,0),1,1))),INDEX(FlowCalConstA,MATCH(N532,FlowCalNumber,0),1,1)*P538^INDEX(FlowCalConstB,MATCH(N532,FlowCalNumber,0),1,1)," ")</f>
        <v>#N/A</v>
      </c>
      <c r="R538" s="33"/>
      <c r="S538" s="242">
        <f t="shared" si="254"/>
        <v>1</v>
      </c>
      <c r="T538" s="241" t="e">
        <f t="shared" ca="1" si="255"/>
        <v>#VALUE!</v>
      </c>
      <c r="U538" s="243" t="e">
        <f ca="1">IF(AND(INDEX(FlowCalConstA,MATCH(R532,FlowCalNumber,0),1,1)*T538^INDEX(FlowCalConstB,MATCH(R532,FlowCalNumber,0),1,1)&gt;INDEX(FlowCalLowSetting,MATCH(R532,FlowCalNumber,0),1,1), (INDEX(FlowCalConstA,MATCH(R532,FlowCalNumber,0),1,1)*T538^INDEX(FlowCalConstB,MATCH(R532,FlowCalNumber,0),1,1)&lt;INDEX(FlowCalHighSetting,MATCH(R532,FlowCalNumber,0),1,1))),INDEX(FlowCalConstA,MATCH(R532,FlowCalNumber,0),1,1)*T538^INDEX(FlowCalConstB,MATCH(R532,FlowCalNumber,0),1,1)," ")</f>
        <v>#N/A</v>
      </c>
      <c r="V538" s="33"/>
      <c r="W538" s="242"/>
      <c r="X538" s="241"/>
      <c r="Y538" s="243"/>
      <c r="Z538" s="33"/>
      <c r="AA538" s="242"/>
      <c r="AB538" s="241"/>
      <c r="AC538" s="243"/>
      <c r="AD538" s="33"/>
      <c r="AE538" s="242"/>
      <c r="AF538" s="241"/>
      <c r="AG538" s="243"/>
      <c r="AH538" s="33"/>
      <c r="AI538" s="242"/>
      <c r="AJ538" s="241"/>
      <c r="AK538" s="244"/>
      <c r="AL538" s="243"/>
      <c r="AM538" s="243"/>
      <c r="AN538" s="243"/>
      <c r="AO538" s="243"/>
      <c r="AP538" s="243"/>
      <c r="AQ538" s="243"/>
      <c r="AR538" s="243"/>
      <c r="AS538" s="243"/>
      <c r="AT538" s="243"/>
      <c r="AU538" s="243"/>
      <c r="AV538" s="243"/>
      <c r="AW538" s="243"/>
      <c r="AX538" s="243"/>
      <c r="AY538" s="243"/>
      <c r="AZ538" s="243"/>
      <c r="BA538" s="243"/>
      <c r="BB538" s="243"/>
      <c r="BC538" s="243"/>
      <c r="BD538" s="243"/>
      <c r="BE538" s="243"/>
      <c r="BF538" s="243"/>
      <c r="BG538" s="243"/>
      <c r="BH538" s="243"/>
      <c r="BI538" s="243"/>
      <c r="BJ538" s="243"/>
      <c r="BK538" s="243"/>
      <c r="BL538" s="243"/>
      <c r="BM538" s="243"/>
      <c r="BN538" s="243"/>
      <c r="BO538" s="243"/>
      <c r="BP538" s="243"/>
      <c r="BQ538" s="243"/>
      <c r="BR538" s="243"/>
      <c r="BS538" s="243"/>
      <c r="BU538" s="242"/>
      <c r="BW538" s="243"/>
      <c r="BY538" s="242"/>
      <c r="CA538" s="243"/>
      <c r="CC538" s="242"/>
      <c r="CE538" s="243"/>
      <c r="CG538" s="242"/>
      <c r="CI538" s="243"/>
    </row>
    <row r="539" spans="1:87" s="1215" customFormat="1">
      <c r="A539" s="1222"/>
      <c r="B539" s="1223" t="str">
        <f t="shared" si="248"/>
        <v/>
      </c>
      <c r="C539" s="1210"/>
      <c r="D539" s="1211">
        <f>'1% Wind'!$M$88</f>
        <v>10.1</v>
      </c>
      <c r="E539" s="1212"/>
      <c r="F539" s="1212"/>
      <c r="G539" s="1213">
        <f ca="1">IF(I532=0.9743,$G538,MAX(G538/D538*D539,2))</f>
        <v>2</v>
      </c>
      <c r="H539" s="1214" t="e">
        <f t="shared" ca="1" si="249"/>
        <v>#VALUE!</v>
      </c>
      <c r="J539" s="1224"/>
      <c r="K539" s="1217">
        <f t="shared" si="250"/>
        <v>1</v>
      </c>
      <c r="L539" s="1218" t="e">
        <f t="shared" ca="1" si="251"/>
        <v>#VALUE!</v>
      </c>
      <c r="M539" s="1219" t="e">
        <f ca="1">IF(AND(INDEX(FlowCalConstA,MATCH(J532,FlowCalNumber,0),1,1)*L539^INDEX(FlowCalConstB,MATCH(J532,FlowCalNumber,0),1,1)&gt;INDEX(FlowCalLowSetting,MATCH(J532,FlowCalNumber,0),1,1), (INDEX(FlowCalConstA,MATCH(J532,FlowCalNumber,0),1,1)*L539^INDEX(FlowCalConstB,MATCH(J532,FlowCalNumber,0),1,1)&lt;INDEX(FlowCalHighSetting,MATCH(J532,FlowCalNumber,0),1,1))),INDEX(FlowCalConstA,MATCH(J532,FlowCalNumber,0),1,1)*L539^INDEX(FlowCalConstB,MATCH(J532,FlowCalNumber,0),1,1)," ")</f>
        <v>#N/A</v>
      </c>
      <c r="N539" s="1224"/>
      <c r="O539" s="1217">
        <f t="shared" si="252"/>
        <v>1</v>
      </c>
      <c r="P539" s="1218" t="e">
        <f t="shared" ca="1" si="253"/>
        <v>#VALUE!</v>
      </c>
      <c r="Q539" s="1219" t="e">
        <f ca="1">IF(AND(INDEX(FlowCalConstA,MATCH(N532,FlowCalNumber,0),1,1)*P539^INDEX(FlowCalConstB,MATCH(N532,FlowCalNumber,0),1,1)&gt;INDEX(FlowCalLowSetting,MATCH(N532,FlowCalNumber,0),1,1), (INDEX(FlowCalConstA,MATCH(N532,FlowCalNumber,0),1,1)*P539^INDEX(FlowCalConstB,MATCH(N532,FlowCalNumber,0),1,1)&lt;INDEX(FlowCalHighSetting,MATCH(N532,FlowCalNumber,0),1,1))),INDEX(FlowCalConstA,MATCH(N532,FlowCalNumber,0),1,1)*P539^INDEX(FlowCalConstB,MATCH(N532,FlowCalNumber,0),1,1)," ")</f>
        <v>#N/A</v>
      </c>
      <c r="R539" s="1224"/>
      <c r="S539" s="1217">
        <f t="shared" si="254"/>
        <v>1</v>
      </c>
      <c r="T539" s="1218" t="e">
        <f t="shared" ca="1" si="255"/>
        <v>#VALUE!</v>
      </c>
      <c r="U539" s="1219" t="e">
        <f ca="1">IF(AND(INDEX(FlowCalConstA,MATCH(R532,FlowCalNumber,0),1,1)*T539^INDEX(FlowCalConstB,MATCH(R532,FlowCalNumber,0),1,1)&gt;INDEX(FlowCalLowSetting,MATCH(R532,FlowCalNumber,0),1,1), (INDEX(FlowCalConstA,MATCH(R532,FlowCalNumber,0),1,1)*T539^INDEX(FlowCalConstB,MATCH(R532,FlowCalNumber,0),1,1)&lt;INDEX(FlowCalHighSetting,MATCH(R532,FlowCalNumber,0),1,1))),INDEX(FlowCalConstA,MATCH(R532,FlowCalNumber,0),1,1)*T539^INDEX(FlowCalConstB,MATCH(R532,FlowCalNumber,0),1,1)," ")</f>
        <v>#N/A</v>
      </c>
      <c r="V539" s="1224"/>
      <c r="W539" s="1217"/>
      <c r="X539" s="1218"/>
      <c r="Y539" s="1219"/>
      <c r="Z539" s="1224"/>
      <c r="AA539" s="1217"/>
      <c r="AB539" s="1218"/>
      <c r="AC539" s="1219"/>
      <c r="AD539" s="1224"/>
      <c r="AE539" s="1217"/>
      <c r="AF539" s="1218"/>
      <c r="AG539" s="1219"/>
      <c r="AH539" s="1224"/>
      <c r="AI539" s="1217"/>
      <c r="AJ539" s="1218"/>
      <c r="AK539" s="1220"/>
      <c r="AL539" s="1219"/>
      <c r="AM539" s="1219"/>
      <c r="AN539" s="1219"/>
      <c r="AO539" s="1219"/>
      <c r="AP539" s="1219"/>
      <c r="AQ539" s="1219"/>
      <c r="AR539" s="1219"/>
      <c r="AS539" s="1219"/>
      <c r="AT539" s="1219"/>
      <c r="AU539" s="1219"/>
      <c r="AV539" s="1219"/>
      <c r="AW539" s="1219"/>
      <c r="AX539" s="1219"/>
      <c r="AY539" s="1219"/>
      <c r="AZ539" s="1219"/>
      <c r="BA539" s="1219"/>
      <c r="BB539" s="1219"/>
      <c r="BC539" s="1219"/>
      <c r="BD539" s="1219"/>
      <c r="BE539" s="1219"/>
      <c r="BF539" s="1219"/>
      <c r="BG539" s="1219"/>
      <c r="BH539" s="1219"/>
      <c r="BI539" s="1219"/>
      <c r="BJ539" s="1219"/>
      <c r="BK539" s="1219"/>
      <c r="BL539" s="1219"/>
      <c r="BM539" s="1219"/>
      <c r="BN539" s="1219"/>
      <c r="BO539" s="1219"/>
      <c r="BP539" s="1219"/>
      <c r="BQ539" s="1219"/>
      <c r="BR539" s="1219"/>
      <c r="BS539" s="1219"/>
      <c r="BU539" s="1217"/>
      <c r="BW539" s="1219"/>
      <c r="BY539" s="1217"/>
      <c r="CA539" s="1219"/>
      <c r="CC539" s="1217"/>
      <c r="CE539" s="1219"/>
      <c r="CG539" s="1217"/>
      <c r="CI539" s="1219"/>
    </row>
    <row r="540" spans="1:87">
      <c r="A540" s="20"/>
      <c r="B540" s="124" t="str">
        <f t="shared" si="248"/>
        <v/>
      </c>
      <c r="C540" s="235"/>
      <c r="D540" s="24">
        <f>'1% Wind'!$M$89</f>
        <v>7.6</v>
      </c>
      <c r="E540" s="90"/>
      <c r="F540" s="90"/>
      <c r="G540" s="79">
        <f ca="1">IF(I532=0.9743,$G539,MAX(G539/D539*D540,2))</f>
        <v>2</v>
      </c>
      <c r="H540" s="121" t="e">
        <f t="shared" ca="1" si="249"/>
        <v>#VALUE!</v>
      </c>
      <c r="J540" s="33"/>
      <c r="K540" s="242">
        <f t="shared" si="250"/>
        <v>1</v>
      </c>
      <c r="L540" s="241" t="e">
        <f t="shared" ca="1" si="251"/>
        <v>#VALUE!</v>
      </c>
      <c r="M540" s="243" t="e">
        <f ca="1">IF(AND(INDEX(FlowCalConstA,MATCH(J532,FlowCalNumber,0),1,1)*L540^INDEX(FlowCalConstB,MATCH(J532,FlowCalNumber,0),1,1)&gt;INDEX(FlowCalLowSetting,MATCH(J532,FlowCalNumber,0),1,1), (INDEX(FlowCalConstA,MATCH(J532,FlowCalNumber,0),1,1)*L540^INDEX(FlowCalConstB,MATCH(J532,FlowCalNumber,0),1,1)&lt;INDEX(FlowCalHighSetting,MATCH(J532,FlowCalNumber,0),1,1))),INDEX(FlowCalConstA,MATCH(J532,FlowCalNumber,0),1,1)*L540^INDEX(FlowCalConstB,MATCH(J532,FlowCalNumber,0),1,1)," ")</f>
        <v>#N/A</v>
      </c>
      <c r="N540" s="33"/>
      <c r="O540" s="242">
        <f t="shared" si="252"/>
        <v>1</v>
      </c>
      <c r="P540" s="241" t="e">
        <f t="shared" ca="1" si="253"/>
        <v>#VALUE!</v>
      </c>
      <c r="Q540" s="243" t="e">
        <f ca="1">IF(AND(INDEX(FlowCalConstA,MATCH(N532,FlowCalNumber,0),1,1)*P540^INDEX(FlowCalConstB,MATCH(N532,FlowCalNumber,0),1,1)&gt;INDEX(FlowCalLowSetting,MATCH(N532,FlowCalNumber,0),1,1), (INDEX(FlowCalConstA,MATCH(N532,FlowCalNumber,0),1,1)*P540^INDEX(FlowCalConstB,MATCH(N532,FlowCalNumber,0),1,1)&lt;INDEX(FlowCalHighSetting,MATCH(N532,FlowCalNumber,0),1,1))),INDEX(FlowCalConstA,MATCH(N532,FlowCalNumber,0),1,1)*P540^INDEX(FlowCalConstB,MATCH(N532,FlowCalNumber,0),1,1)," ")</f>
        <v>#N/A</v>
      </c>
      <c r="R540" s="33"/>
      <c r="S540" s="242">
        <f t="shared" si="254"/>
        <v>1</v>
      </c>
      <c r="T540" s="241" t="e">
        <f t="shared" ca="1" si="255"/>
        <v>#VALUE!</v>
      </c>
      <c r="U540" s="243" t="e">
        <f ca="1">IF(AND(INDEX(FlowCalConstA,MATCH(R532,FlowCalNumber,0),1,1)*T540^INDEX(FlowCalConstB,MATCH(R532,FlowCalNumber,0),1,1)&gt;INDEX(FlowCalLowSetting,MATCH(R532,FlowCalNumber,0),1,1), (INDEX(FlowCalConstA,MATCH(R532,FlowCalNumber,0),1,1)*T540^INDEX(FlowCalConstB,MATCH(R532,FlowCalNumber,0),1,1)&lt;INDEX(FlowCalHighSetting,MATCH(R532,FlowCalNumber,0),1,1))),INDEX(FlowCalConstA,MATCH(R532,FlowCalNumber,0),1,1)*T540^INDEX(FlowCalConstB,MATCH(R532,FlowCalNumber,0),1,1)," ")</f>
        <v>#N/A</v>
      </c>
      <c r="V540" s="33"/>
      <c r="W540" s="242"/>
      <c r="X540" s="241"/>
      <c r="Y540" s="243"/>
      <c r="Z540" s="33"/>
      <c r="AA540" s="242"/>
      <c r="AB540" s="241"/>
      <c r="AC540" s="243"/>
      <c r="AD540" s="33"/>
      <c r="AE540" s="242"/>
      <c r="AF540" s="241"/>
      <c r="AG540" s="243"/>
      <c r="AH540" s="33"/>
      <c r="AI540" s="242"/>
      <c r="AJ540" s="241"/>
      <c r="AK540" s="244"/>
      <c r="AL540" s="243"/>
      <c r="AM540" s="243"/>
      <c r="AN540" s="243"/>
      <c r="AO540" s="243"/>
      <c r="AP540" s="243"/>
      <c r="AQ540" s="243"/>
      <c r="AR540" s="243"/>
      <c r="AS540" s="243"/>
      <c r="AT540" s="243"/>
      <c r="AU540" s="243"/>
      <c r="AV540" s="243"/>
      <c r="AW540" s="243"/>
      <c r="AX540" s="243"/>
      <c r="AY540" s="243"/>
      <c r="AZ540" s="243"/>
      <c r="BA540" s="243"/>
      <c r="BB540" s="243"/>
      <c r="BC540" s="243"/>
      <c r="BD540" s="243"/>
      <c r="BE540" s="243"/>
      <c r="BF540" s="243"/>
      <c r="BG540" s="243"/>
      <c r="BH540" s="243"/>
      <c r="BI540" s="243"/>
      <c r="BJ540" s="243"/>
      <c r="BK540" s="243"/>
      <c r="BL540" s="243"/>
      <c r="BM540" s="243"/>
      <c r="BN540" s="243"/>
      <c r="BO540" s="243"/>
      <c r="BP540" s="243"/>
      <c r="BQ540" s="243"/>
      <c r="BR540" s="243"/>
      <c r="BS540" s="243"/>
      <c r="BU540" s="242"/>
      <c r="BW540" s="243"/>
      <c r="BY540" s="242"/>
      <c r="CA540" s="243"/>
      <c r="CC540" s="242"/>
      <c r="CE540" s="243"/>
      <c r="CG540" s="242"/>
      <c r="CI540" s="243"/>
    </row>
    <row r="541" spans="1:87" s="1215" customFormat="1">
      <c r="A541" s="1222"/>
      <c r="B541" s="1223" t="str">
        <f t="shared" si="248"/>
        <v/>
      </c>
      <c r="C541" s="1210"/>
      <c r="D541" s="1211">
        <f>'1% Wind'!$M$90</f>
        <v>5.7</v>
      </c>
      <c r="E541" s="1212"/>
      <c r="F541" s="1212"/>
      <c r="G541" s="1213">
        <f ca="1">IF(I532=0.9743,$G540,MAX(G540/D540*D541,2))</f>
        <v>2</v>
      </c>
      <c r="H541" s="1214" t="e">
        <f t="shared" ca="1" si="249"/>
        <v>#VALUE!</v>
      </c>
      <c r="J541" s="1224"/>
      <c r="K541" s="1217">
        <f t="shared" si="250"/>
        <v>1</v>
      </c>
      <c r="L541" s="1218" t="e">
        <f t="shared" ca="1" si="251"/>
        <v>#VALUE!</v>
      </c>
      <c r="M541" s="1219" t="e">
        <f ca="1">IF(AND(INDEX(FlowCalConstA,MATCH(J532,FlowCalNumber,0),1,1)*L541^INDEX(FlowCalConstB,MATCH(J532,FlowCalNumber,0),1,1)&gt;INDEX(FlowCalLowSetting,MATCH(J532,FlowCalNumber,0),1,1), (INDEX(FlowCalConstA,MATCH(J532,FlowCalNumber,0),1,1)*L541^INDEX(FlowCalConstB,MATCH(J532,FlowCalNumber,0),1,1)&lt;INDEX(FlowCalHighSetting,MATCH(J532,FlowCalNumber,0),1,1))),INDEX(FlowCalConstA,MATCH(J532,FlowCalNumber,0),1,1)*L541^INDEX(FlowCalConstB,MATCH(J532,FlowCalNumber,0),1,1)," ")</f>
        <v>#N/A</v>
      </c>
      <c r="N541" s="1224"/>
      <c r="O541" s="1217">
        <f t="shared" si="252"/>
        <v>1</v>
      </c>
      <c r="P541" s="1218" t="e">
        <f t="shared" ca="1" si="253"/>
        <v>#VALUE!</v>
      </c>
      <c r="Q541" s="1219" t="e">
        <f ca="1">IF(AND(INDEX(FlowCalConstA,MATCH(N532,FlowCalNumber,0),1,1)*P541^INDEX(FlowCalConstB,MATCH(N532,FlowCalNumber,0),1,1)&gt;INDEX(FlowCalLowSetting,MATCH(N532,FlowCalNumber,0),1,1), (INDEX(FlowCalConstA,MATCH(N532,FlowCalNumber,0),1,1)*P541^INDEX(FlowCalConstB,MATCH(N532,FlowCalNumber,0),1,1)&lt;INDEX(FlowCalHighSetting,MATCH(N532,FlowCalNumber,0),1,1))),INDEX(FlowCalConstA,MATCH(N532,FlowCalNumber,0),1,1)*P541^INDEX(FlowCalConstB,MATCH(N532,FlowCalNumber,0),1,1)," ")</f>
        <v>#N/A</v>
      </c>
      <c r="R541" s="1224"/>
      <c r="S541" s="1217">
        <f t="shared" si="254"/>
        <v>1</v>
      </c>
      <c r="T541" s="1218" t="e">
        <f t="shared" ca="1" si="255"/>
        <v>#VALUE!</v>
      </c>
      <c r="U541" s="1219" t="e">
        <f ca="1">IF(AND(INDEX(FlowCalConstA,MATCH(R532,FlowCalNumber,0),1,1)*T541^INDEX(FlowCalConstB,MATCH(R532,FlowCalNumber,0),1,1)&gt;INDEX(FlowCalLowSetting,MATCH(R532,FlowCalNumber,0),1,1), (INDEX(FlowCalConstA,MATCH(R532,FlowCalNumber,0),1,1)*T541^INDEX(FlowCalConstB,MATCH(R532,FlowCalNumber,0),1,1)&lt;INDEX(FlowCalHighSetting,MATCH(R532,FlowCalNumber,0),1,1))),INDEX(FlowCalConstA,MATCH(R532,FlowCalNumber,0),1,1)*T541^INDEX(FlowCalConstB,MATCH(R532,FlowCalNumber,0),1,1)," ")</f>
        <v>#N/A</v>
      </c>
      <c r="V541" s="1224"/>
      <c r="W541" s="1217"/>
      <c r="X541" s="1218"/>
      <c r="Y541" s="1219"/>
      <c r="Z541" s="1224"/>
      <c r="AA541" s="1217"/>
      <c r="AB541" s="1218"/>
      <c r="AC541" s="1219"/>
      <c r="AD541" s="1224"/>
      <c r="AE541" s="1217"/>
      <c r="AF541" s="1218"/>
      <c r="AG541" s="1219"/>
      <c r="AH541" s="1224"/>
      <c r="AI541" s="1217"/>
      <c r="AJ541" s="1218"/>
      <c r="AK541" s="1220"/>
      <c r="AL541" s="1219"/>
      <c r="AM541" s="1219"/>
      <c r="AN541" s="1219"/>
      <c r="AO541" s="1219"/>
      <c r="AP541" s="1219"/>
      <c r="AQ541" s="1219"/>
      <c r="AR541" s="1219"/>
      <c r="AS541" s="1219"/>
      <c r="AT541" s="1219"/>
      <c r="AU541" s="1219"/>
      <c r="AV541" s="1219"/>
      <c r="AW541" s="1219"/>
      <c r="AX541" s="1219"/>
      <c r="AY541" s="1219"/>
      <c r="AZ541" s="1219"/>
      <c r="BA541" s="1219"/>
      <c r="BB541" s="1219"/>
      <c r="BC541" s="1219"/>
      <c r="BD541" s="1219"/>
      <c r="BE541" s="1219"/>
      <c r="BF541" s="1219"/>
      <c r="BG541" s="1219"/>
      <c r="BH541" s="1219"/>
      <c r="BI541" s="1219"/>
      <c r="BJ541" s="1219"/>
      <c r="BK541" s="1219"/>
      <c r="BL541" s="1219"/>
      <c r="BM541" s="1219"/>
      <c r="BN541" s="1219"/>
      <c r="BO541" s="1219"/>
      <c r="BP541" s="1219"/>
      <c r="BQ541" s="1219"/>
      <c r="BR541" s="1219"/>
      <c r="BS541" s="1219"/>
      <c r="BU541" s="1217"/>
      <c r="BW541" s="1219"/>
      <c r="BY541" s="1217"/>
      <c r="CA541" s="1219"/>
      <c r="CC541" s="1217"/>
      <c r="CE541" s="1219"/>
      <c r="CG541" s="1217"/>
      <c r="CI541" s="1219"/>
    </row>
    <row r="542" spans="1:87">
      <c r="A542" s="20"/>
      <c r="B542" s="124" t="str">
        <f t="shared" si="248"/>
        <v/>
      </c>
      <c r="C542" s="235"/>
      <c r="D542" s="24">
        <f>'1% Wind'!$M$91</f>
        <v>4.2</v>
      </c>
      <c r="E542" s="90"/>
      <c r="F542" s="90"/>
      <c r="G542" s="79">
        <f ca="1">IF(I532=0.9743,$G541,MAX(G541/D541*D542,2))</f>
        <v>2</v>
      </c>
      <c r="H542" s="121" t="e">
        <f t="shared" ca="1" si="249"/>
        <v>#VALUE!</v>
      </c>
      <c r="J542" s="33"/>
      <c r="K542" s="242">
        <f t="shared" si="250"/>
        <v>1</v>
      </c>
      <c r="L542" s="241" t="e">
        <f t="shared" ca="1" si="251"/>
        <v>#VALUE!</v>
      </c>
      <c r="M542" s="243" t="e">
        <f ca="1">IF(AND(INDEX(FlowCalConstA,MATCH(J532,FlowCalNumber,0),1,1)*L542^INDEX(FlowCalConstB,MATCH(J532,FlowCalNumber,0),1,1)&gt;INDEX(FlowCalLowSetting,MATCH(J532,FlowCalNumber,0),1,1), (INDEX(FlowCalConstA,MATCH(J532,FlowCalNumber,0),1,1)*L542^INDEX(FlowCalConstB,MATCH(J532,FlowCalNumber,0),1,1)&lt;INDEX(FlowCalHighSetting,MATCH(J532,FlowCalNumber,0),1,1))),INDEX(FlowCalConstA,MATCH(J532,FlowCalNumber,0),1,1)*L542^INDEX(FlowCalConstB,MATCH(J532,FlowCalNumber,0),1,1)," ")</f>
        <v>#N/A</v>
      </c>
      <c r="N542" s="33"/>
      <c r="O542" s="242">
        <f t="shared" si="252"/>
        <v>1</v>
      </c>
      <c r="P542" s="241" t="e">
        <f t="shared" ca="1" si="253"/>
        <v>#VALUE!</v>
      </c>
      <c r="Q542" s="243" t="e">
        <f ca="1">IF(AND(INDEX(FlowCalConstA,MATCH(N532,FlowCalNumber,0),1,1)*P542^INDEX(FlowCalConstB,MATCH(N532,FlowCalNumber,0),1,1)&gt;INDEX(FlowCalLowSetting,MATCH(N532,FlowCalNumber,0),1,1), (INDEX(FlowCalConstA,MATCH(N532,FlowCalNumber,0),1,1)*P542^INDEX(FlowCalConstB,MATCH(N532,FlowCalNumber,0),1,1)&lt;INDEX(FlowCalHighSetting,MATCH(N532,FlowCalNumber,0),1,1))),INDEX(FlowCalConstA,MATCH(N532,FlowCalNumber,0),1,1)*P542^INDEX(FlowCalConstB,MATCH(N532,FlowCalNumber,0),1,1)," ")</f>
        <v>#N/A</v>
      </c>
      <c r="R542" s="33"/>
      <c r="S542" s="242">
        <f t="shared" si="254"/>
        <v>1</v>
      </c>
      <c r="T542" s="241" t="e">
        <f t="shared" ca="1" si="255"/>
        <v>#VALUE!</v>
      </c>
      <c r="U542" s="243" t="e">
        <f ca="1">IF(AND(INDEX(FlowCalConstA,MATCH(R532,FlowCalNumber,0),1,1)*T542^INDEX(FlowCalConstB,MATCH(R532,FlowCalNumber,0),1,1)&gt;INDEX(FlowCalLowSetting,MATCH(R532,FlowCalNumber,0),1,1), (INDEX(FlowCalConstA,MATCH(R532,FlowCalNumber,0),1,1)*T542^INDEX(FlowCalConstB,MATCH(R532,FlowCalNumber,0),1,1)&lt;INDEX(FlowCalHighSetting,MATCH(R532,FlowCalNumber,0),1,1))),INDEX(FlowCalConstA,MATCH(R532,FlowCalNumber,0),1,1)*T542^INDEX(FlowCalConstB,MATCH(R532,FlowCalNumber,0),1,1)," ")</f>
        <v>#N/A</v>
      </c>
      <c r="V542" s="33"/>
      <c r="W542" s="242"/>
      <c r="X542" s="241"/>
      <c r="Y542" s="243"/>
      <c r="Z542" s="33"/>
      <c r="AA542" s="242"/>
      <c r="AB542" s="241"/>
      <c r="AC542" s="243"/>
      <c r="AD542" s="33"/>
      <c r="AE542" s="242"/>
      <c r="AF542" s="241"/>
      <c r="AG542" s="243"/>
      <c r="AH542" s="33"/>
      <c r="AI542" s="242"/>
      <c r="AJ542" s="241"/>
      <c r="AK542" s="244"/>
      <c r="AL542" s="243"/>
      <c r="AM542" s="243"/>
      <c r="AN542" s="243"/>
      <c r="AO542" s="243"/>
      <c r="AP542" s="243"/>
      <c r="AQ542" s="243"/>
      <c r="AR542" s="243"/>
      <c r="AS542" s="243"/>
      <c r="AT542" s="243"/>
      <c r="AU542" s="243"/>
      <c r="AV542" s="243"/>
      <c r="AW542" s="243"/>
      <c r="AX542" s="243"/>
      <c r="AY542" s="243"/>
      <c r="AZ542" s="243"/>
      <c r="BA542" s="243"/>
      <c r="BB542" s="243"/>
      <c r="BC542" s="243"/>
      <c r="BD542" s="243"/>
      <c r="BE542" s="243"/>
      <c r="BF542" s="243"/>
      <c r="BG542" s="243"/>
      <c r="BH542" s="243"/>
      <c r="BI542" s="243"/>
      <c r="BJ542" s="243"/>
      <c r="BK542" s="243"/>
      <c r="BL542" s="243"/>
      <c r="BM542" s="243"/>
      <c r="BN542" s="243"/>
      <c r="BO542" s="243"/>
      <c r="BP542" s="243"/>
      <c r="BQ542" s="243"/>
      <c r="BR542" s="243"/>
      <c r="BS542" s="243"/>
      <c r="BU542" s="242"/>
      <c r="BW542" s="243"/>
      <c r="BY542" s="242"/>
      <c r="CA542" s="243"/>
      <c r="CC542" s="242"/>
      <c r="CE542" s="243"/>
      <c r="CG542" s="242"/>
      <c r="CI542" s="243"/>
    </row>
    <row r="543" spans="1:87" s="1215" customFormat="1">
      <c r="A543" s="1222"/>
      <c r="B543" s="1223" t="str">
        <f t="shared" si="248"/>
        <v/>
      </c>
      <c r="C543" s="1210"/>
      <c r="D543" s="1211">
        <f>'1% Wind'!$M$92</f>
        <v>3.2</v>
      </c>
      <c r="E543" s="1212"/>
      <c r="F543" s="1212"/>
      <c r="G543" s="1213">
        <f ca="1">IF(I532=0.9743,$G542,MAX(G542/D542*D543,2))</f>
        <v>2</v>
      </c>
      <c r="H543" s="1214" t="e">
        <f t="shared" ca="1" si="249"/>
        <v>#VALUE!</v>
      </c>
      <c r="J543" s="1224"/>
      <c r="K543" s="1217">
        <f t="shared" si="250"/>
        <v>1</v>
      </c>
      <c r="L543" s="1218" t="e">
        <f t="shared" ca="1" si="251"/>
        <v>#VALUE!</v>
      </c>
      <c r="M543" s="1219" t="e">
        <f ca="1">IF(AND(INDEX(FlowCalConstA,MATCH(J532,FlowCalNumber,0),1,1)*L543^INDEX(FlowCalConstB,MATCH(J532,FlowCalNumber,0),1,1)&gt;INDEX(FlowCalLowSetting,MATCH(J532,FlowCalNumber,0),1,1), (INDEX(FlowCalConstA,MATCH(J532,FlowCalNumber,0),1,1)*L543^INDEX(FlowCalConstB,MATCH(J532,FlowCalNumber,0),1,1)&lt;INDEX(FlowCalHighSetting,MATCH(J532,FlowCalNumber,0),1,1))),INDEX(FlowCalConstA,MATCH(J532,FlowCalNumber,0),1,1)*L543^INDEX(FlowCalConstB,MATCH(J532,FlowCalNumber,0),1,1)," ")</f>
        <v>#N/A</v>
      </c>
      <c r="N543" s="1224"/>
      <c r="O543" s="1217">
        <f t="shared" si="252"/>
        <v>1</v>
      </c>
      <c r="P543" s="1218" t="e">
        <f t="shared" ca="1" si="253"/>
        <v>#VALUE!</v>
      </c>
      <c r="Q543" s="1219" t="e">
        <f ca="1">IF(AND(INDEX(FlowCalConstA,MATCH(N532,FlowCalNumber,0),1,1)*P543^INDEX(FlowCalConstB,MATCH(N532,FlowCalNumber,0),1,1)&gt;INDEX(FlowCalLowSetting,MATCH(N532,FlowCalNumber,0),1,1), (INDEX(FlowCalConstA,MATCH(N532,FlowCalNumber,0),1,1)*P543^INDEX(FlowCalConstB,MATCH(N532,FlowCalNumber,0),1,1)&lt;INDEX(FlowCalHighSetting,MATCH(N532,FlowCalNumber,0),1,1))),INDEX(FlowCalConstA,MATCH(N532,FlowCalNumber,0),1,1)*P543^INDEX(FlowCalConstB,MATCH(N532,FlowCalNumber,0),1,1)," ")</f>
        <v>#N/A</v>
      </c>
      <c r="R543" s="1224"/>
      <c r="S543" s="1217">
        <f t="shared" si="254"/>
        <v>1</v>
      </c>
      <c r="T543" s="1218" t="e">
        <f t="shared" ca="1" si="255"/>
        <v>#VALUE!</v>
      </c>
      <c r="U543" s="1219" t="e">
        <f ca="1">IF(AND(INDEX(FlowCalConstA,MATCH(R532,FlowCalNumber,0),1,1)*T543^INDEX(FlowCalConstB,MATCH(R532,FlowCalNumber,0),1,1)&gt;INDEX(FlowCalLowSetting,MATCH(R532,FlowCalNumber,0),1,1), (INDEX(FlowCalConstA,MATCH(R532,FlowCalNumber,0),1,1)*T543^INDEX(FlowCalConstB,MATCH(R532,FlowCalNumber,0),1,1)&lt;INDEX(FlowCalHighSetting,MATCH(R532,FlowCalNumber,0),1,1))),INDEX(FlowCalConstA,MATCH(R532,FlowCalNumber,0),1,1)*T543^INDEX(FlowCalConstB,MATCH(R532,FlowCalNumber,0),1,1)," ")</f>
        <v>#N/A</v>
      </c>
      <c r="V543" s="1224"/>
      <c r="W543" s="1217"/>
      <c r="X543" s="1218"/>
      <c r="Y543" s="1219"/>
      <c r="Z543" s="1224"/>
      <c r="AA543" s="1217"/>
      <c r="AB543" s="1218"/>
      <c r="AC543" s="1219"/>
      <c r="AD543" s="1224"/>
      <c r="AE543" s="1217"/>
      <c r="AF543" s="1218"/>
      <c r="AG543" s="1219"/>
      <c r="AH543" s="1224"/>
      <c r="AI543" s="1217"/>
      <c r="AJ543" s="1218"/>
      <c r="AK543" s="1220"/>
      <c r="AL543" s="1219"/>
      <c r="AM543" s="1219"/>
      <c r="AN543" s="1219"/>
      <c r="AO543" s="1219"/>
      <c r="AP543" s="1219"/>
      <c r="AQ543" s="1219"/>
      <c r="AR543" s="1219"/>
      <c r="AS543" s="1219"/>
      <c r="AT543" s="1219"/>
      <c r="AU543" s="1219"/>
      <c r="AV543" s="1219"/>
      <c r="AW543" s="1219"/>
      <c r="AX543" s="1219"/>
      <c r="AY543" s="1219"/>
      <c r="AZ543" s="1219"/>
      <c r="BA543" s="1219"/>
      <c r="BB543" s="1219"/>
      <c r="BC543" s="1219"/>
      <c r="BD543" s="1219"/>
      <c r="BE543" s="1219"/>
      <c r="BF543" s="1219"/>
      <c r="BG543" s="1219"/>
      <c r="BH543" s="1219"/>
      <c r="BI543" s="1219"/>
      <c r="BJ543" s="1219"/>
      <c r="BK543" s="1219"/>
      <c r="BL543" s="1219"/>
      <c r="BM543" s="1219"/>
      <c r="BN543" s="1219"/>
      <c r="BO543" s="1219"/>
      <c r="BP543" s="1219"/>
      <c r="BQ543" s="1219"/>
      <c r="BR543" s="1219"/>
      <c r="BS543" s="1219"/>
      <c r="BU543" s="1217"/>
      <c r="BW543" s="1219"/>
      <c r="BY543" s="1217"/>
      <c r="CA543" s="1219"/>
      <c r="CC543" s="1217"/>
      <c r="CE543" s="1219"/>
      <c r="CG543" s="1217"/>
      <c r="CI543" s="1219"/>
    </row>
    <row r="544" spans="1:87">
      <c r="A544" s="20"/>
      <c r="B544" s="124" t="str">
        <f t="shared" si="248"/>
        <v/>
      </c>
      <c r="C544" s="235"/>
      <c r="D544" s="24">
        <f>'1% Wind'!$M$93</f>
        <v>2.4</v>
      </c>
      <c r="E544" s="90"/>
      <c r="F544" s="90"/>
      <c r="G544" s="79">
        <f ca="1">IF(I532=0.9743,$G543,MAX(G543/D543*D544,2))</f>
        <v>2</v>
      </c>
      <c r="H544" s="121" t="e">
        <f t="shared" ca="1" si="249"/>
        <v>#VALUE!</v>
      </c>
      <c r="J544" s="33"/>
      <c r="K544" s="242">
        <f t="shared" si="250"/>
        <v>1</v>
      </c>
      <c r="L544" s="241" t="e">
        <f t="shared" ca="1" si="251"/>
        <v>#VALUE!</v>
      </c>
      <c r="M544" s="243" t="e">
        <f ca="1">IF(AND(INDEX(FlowCalConstA,MATCH(J532,FlowCalNumber,0),1,1)*L544^INDEX(FlowCalConstB,MATCH(J532,FlowCalNumber,0),1,1)&gt;INDEX(FlowCalLowSetting,MATCH(J532,FlowCalNumber,0),1,1), (INDEX(FlowCalConstA,MATCH(J532,FlowCalNumber,0),1,1)*L544^INDEX(FlowCalConstB,MATCH(J532,FlowCalNumber,0),1,1)&lt;INDEX(FlowCalHighSetting,MATCH(J532,FlowCalNumber,0),1,1))),INDEX(FlowCalConstA,MATCH(J532,FlowCalNumber,0),1,1)*L544^INDEX(FlowCalConstB,MATCH(J532,FlowCalNumber,0),1,1)," ")</f>
        <v>#N/A</v>
      </c>
      <c r="N544" s="33"/>
      <c r="O544" s="242">
        <f t="shared" si="252"/>
        <v>1</v>
      </c>
      <c r="P544" s="241" t="e">
        <f t="shared" ca="1" si="253"/>
        <v>#VALUE!</v>
      </c>
      <c r="Q544" s="243" t="e">
        <f ca="1">IF(AND(INDEX(FlowCalConstA,MATCH(N532,FlowCalNumber,0),1,1)*P544^INDEX(FlowCalConstB,MATCH(N532,FlowCalNumber,0),1,1)&gt;INDEX(FlowCalLowSetting,MATCH(N532,FlowCalNumber,0),1,1), (INDEX(FlowCalConstA,MATCH(N532,FlowCalNumber,0),1,1)*P544^INDEX(FlowCalConstB,MATCH(N532,FlowCalNumber,0),1,1)&lt;INDEX(FlowCalHighSetting,MATCH(N532,FlowCalNumber,0),1,1))),INDEX(FlowCalConstA,MATCH(N532,FlowCalNumber,0),1,1)*P544^INDEX(FlowCalConstB,MATCH(N532,FlowCalNumber,0),1,1)," ")</f>
        <v>#N/A</v>
      </c>
      <c r="R544" s="33"/>
      <c r="S544" s="242">
        <f t="shared" si="254"/>
        <v>1</v>
      </c>
      <c r="T544" s="241" t="e">
        <f t="shared" ca="1" si="255"/>
        <v>#VALUE!</v>
      </c>
      <c r="U544" s="243" t="e">
        <f ca="1">IF(AND(INDEX(FlowCalConstA,MATCH(R532,FlowCalNumber,0),1,1)*T544^INDEX(FlowCalConstB,MATCH(R532,FlowCalNumber,0),1,1)&gt;INDEX(FlowCalLowSetting,MATCH(R532,FlowCalNumber,0),1,1), (INDEX(FlowCalConstA,MATCH(R532,FlowCalNumber,0),1,1)*T544^INDEX(FlowCalConstB,MATCH(R532,FlowCalNumber,0),1,1)&lt;INDEX(FlowCalHighSetting,MATCH(R532,FlowCalNumber,0),1,1))),INDEX(FlowCalConstA,MATCH(R532,FlowCalNumber,0),1,1)*T544^INDEX(FlowCalConstB,MATCH(R532,FlowCalNumber,0),1,1)," ")</f>
        <v>#N/A</v>
      </c>
      <c r="V544" s="33"/>
      <c r="W544" s="242"/>
      <c r="X544" s="241"/>
      <c r="Y544" s="243"/>
      <c r="Z544" s="33"/>
      <c r="AA544" s="242"/>
      <c r="AB544" s="241"/>
      <c r="AC544" s="243"/>
      <c r="AD544" s="33"/>
      <c r="AE544" s="242"/>
      <c r="AF544" s="241"/>
      <c r="AG544" s="243"/>
      <c r="AH544" s="33"/>
      <c r="AI544" s="242"/>
      <c r="AJ544" s="241"/>
      <c r="AK544" s="244"/>
      <c r="AL544" s="243"/>
      <c r="AM544" s="243"/>
      <c r="AN544" s="243"/>
      <c r="AO544" s="243"/>
      <c r="AP544" s="243"/>
      <c r="AQ544" s="243"/>
      <c r="AR544" s="243"/>
      <c r="AS544" s="243"/>
      <c r="AT544" s="243"/>
      <c r="AU544" s="243"/>
      <c r="AV544" s="243"/>
      <c r="AW544" s="243"/>
      <c r="AX544" s="243"/>
      <c r="AY544" s="243"/>
      <c r="AZ544" s="243"/>
      <c r="BA544" s="243"/>
      <c r="BB544" s="243"/>
      <c r="BC544" s="243"/>
      <c r="BD544" s="243"/>
      <c r="BE544" s="243"/>
      <c r="BF544" s="243"/>
      <c r="BG544" s="243"/>
      <c r="BH544" s="243"/>
      <c r="BI544" s="243"/>
      <c r="BJ544" s="243"/>
      <c r="BK544" s="243"/>
      <c r="BL544" s="243"/>
      <c r="BM544" s="243"/>
      <c r="BN544" s="243"/>
      <c r="BO544" s="243"/>
      <c r="BP544" s="243"/>
      <c r="BQ544" s="243"/>
      <c r="BR544" s="243"/>
      <c r="BS544" s="243"/>
      <c r="BU544" s="242"/>
      <c r="BW544" s="243"/>
      <c r="BY544" s="242"/>
      <c r="CA544" s="243"/>
      <c r="CC544" s="242"/>
      <c r="CE544" s="243"/>
      <c r="CG544" s="242"/>
      <c r="CI544" s="243"/>
    </row>
    <row r="545" spans="1:87" s="1215" customFormat="1">
      <c r="A545" s="1222"/>
      <c r="B545" s="1223" t="str">
        <f t="shared" si="248"/>
        <v/>
      </c>
      <c r="C545" s="1210"/>
      <c r="D545" s="1211">
        <f>'1% Wind'!$M$94</f>
        <v>1.8</v>
      </c>
      <c r="E545" s="1212"/>
      <c r="F545" s="1212"/>
      <c r="G545" s="1213">
        <f ca="1">IF(I532=0.9743,$G544,MAX(G544/D544*D545,2))</f>
        <v>2</v>
      </c>
      <c r="H545" s="1214" t="e">
        <f t="shared" ca="1" si="249"/>
        <v>#VALUE!</v>
      </c>
      <c r="J545" s="1224"/>
      <c r="K545" s="1217">
        <f t="shared" si="250"/>
        <v>1</v>
      </c>
      <c r="L545" s="1218" t="e">
        <f t="shared" ca="1" si="251"/>
        <v>#VALUE!</v>
      </c>
      <c r="M545" s="1219" t="e">
        <f ca="1">IF(AND(INDEX(FlowCalConstA,MATCH(J532,FlowCalNumber,0),1,1)*L545^INDEX(FlowCalConstB,MATCH(J532,FlowCalNumber,0),1,1)&gt;INDEX(FlowCalLowSetting,MATCH(J532,FlowCalNumber,0),1,1), (INDEX(FlowCalConstA,MATCH(J532,FlowCalNumber,0),1,1)*L545^INDEX(FlowCalConstB,MATCH(J532,FlowCalNumber,0),1,1)&lt;INDEX(FlowCalHighSetting,MATCH(J532,FlowCalNumber,0),1,1))),INDEX(FlowCalConstA,MATCH(J532,FlowCalNumber,0),1,1)*L545^INDEX(FlowCalConstB,MATCH(J532,FlowCalNumber,0),1,1)," ")</f>
        <v>#N/A</v>
      </c>
      <c r="N545" s="1224"/>
      <c r="O545" s="1217">
        <f t="shared" si="252"/>
        <v>1</v>
      </c>
      <c r="P545" s="1218" t="e">
        <f t="shared" ca="1" si="253"/>
        <v>#VALUE!</v>
      </c>
      <c r="Q545" s="1219" t="e">
        <f ca="1">IF(AND(INDEX(FlowCalConstA,MATCH(N532,FlowCalNumber,0),1,1)*P545^INDEX(FlowCalConstB,MATCH(N532,FlowCalNumber,0),1,1)&gt;INDEX(FlowCalLowSetting,MATCH(N532,FlowCalNumber,0),1,1), (INDEX(FlowCalConstA,MATCH(N532,FlowCalNumber,0),1,1)*P545^INDEX(FlowCalConstB,MATCH(N532,FlowCalNumber,0),1,1)&lt;INDEX(FlowCalHighSetting,MATCH(N532,FlowCalNumber,0),1,1))),INDEX(FlowCalConstA,MATCH(N532,FlowCalNumber,0),1,1)*P545^INDEX(FlowCalConstB,MATCH(N532,FlowCalNumber,0),1,1)," ")</f>
        <v>#N/A</v>
      </c>
      <c r="R545" s="1224"/>
      <c r="S545" s="1217">
        <f t="shared" si="254"/>
        <v>1</v>
      </c>
      <c r="T545" s="1218" t="e">
        <f t="shared" ca="1" si="255"/>
        <v>#VALUE!</v>
      </c>
      <c r="U545" s="1219" t="e">
        <f ca="1">IF(AND(INDEX(FlowCalConstA,MATCH(R532,FlowCalNumber,0),1,1)*T545^INDEX(FlowCalConstB,MATCH(R532,FlowCalNumber,0),1,1)&gt;INDEX(FlowCalLowSetting,MATCH(R532,FlowCalNumber,0),1,1), (INDEX(FlowCalConstA,MATCH(R532,FlowCalNumber,0),1,1)*T545^INDEX(FlowCalConstB,MATCH(R532,FlowCalNumber,0),1,1)&lt;INDEX(FlowCalHighSetting,MATCH(R532,FlowCalNumber,0),1,1))),INDEX(FlowCalConstA,MATCH(R532,FlowCalNumber,0),1,1)*T545^INDEX(FlowCalConstB,MATCH(R532,FlowCalNumber,0),1,1)," ")</f>
        <v>#N/A</v>
      </c>
      <c r="V545" s="1224"/>
      <c r="W545" s="1217"/>
      <c r="X545" s="1218"/>
      <c r="Y545" s="1219"/>
      <c r="Z545" s="1224"/>
      <c r="AA545" s="1217"/>
      <c r="AB545" s="1218"/>
      <c r="AC545" s="1219"/>
      <c r="AD545" s="1224"/>
      <c r="AE545" s="1217"/>
      <c r="AF545" s="1218"/>
      <c r="AG545" s="1219"/>
      <c r="AH545" s="1224"/>
      <c r="AI545" s="1217"/>
      <c r="AJ545" s="1218"/>
      <c r="AK545" s="1220"/>
      <c r="AL545" s="1219"/>
      <c r="AM545" s="1219"/>
      <c r="AN545" s="1219"/>
      <c r="AO545" s="1219"/>
      <c r="AP545" s="1219"/>
      <c r="AQ545" s="1219"/>
      <c r="AR545" s="1219"/>
      <c r="AS545" s="1219"/>
      <c r="AT545" s="1219"/>
      <c r="AU545" s="1219"/>
      <c r="AV545" s="1219"/>
      <c r="AW545" s="1219"/>
      <c r="AX545" s="1219"/>
      <c r="AY545" s="1219"/>
      <c r="AZ545" s="1219"/>
      <c r="BA545" s="1219"/>
      <c r="BB545" s="1219"/>
      <c r="BC545" s="1219"/>
      <c r="BD545" s="1219"/>
      <c r="BE545" s="1219"/>
      <c r="BF545" s="1219"/>
      <c r="BG545" s="1219"/>
      <c r="BH545" s="1219"/>
      <c r="BI545" s="1219"/>
      <c r="BJ545" s="1219"/>
      <c r="BK545" s="1219"/>
      <c r="BL545" s="1219"/>
      <c r="BM545" s="1219"/>
      <c r="BN545" s="1219"/>
      <c r="BO545" s="1219"/>
      <c r="BP545" s="1219"/>
      <c r="BQ545" s="1219"/>
      <c r="BR545" s="1219"/>
      <c r="BS545" s="1219"/>
      <c r="BU545" s="1217"/>
      <c r="BW545" s="1219"/>
      <c r="BY545" s="1217"/>
      <c r="CA545" s="1219"/>
      <c r="CC545" s="1217"/>
      <c r="CE545" s="1219"/>
      <c r="CG545" s="1217"/>
      <c r="CI545" s="1219"/>
    </row>
    <row r="546" spans="1:87">
      <c r="A546" s="20"/>
      <c r="B546" s="124" t="str">
        <f t="shared" si="248"/>
        <v/>
      </c>
      <c r="C546" s="235"/>
      <c r="D546" s="24">
        <f>'1% Wind'!$M$95</f>
        <v>1.3</v>
      </c>
      <c r="E546" s="90"/>
      <c r="F546" s="90"/>
      <c r="G546" s="79">
        <f ca="1">IF(I532=0.9743,$G545,MAX(G545/D545*D546,2))</f>
        <v>2</v>
      </c>
      <c r="H546" s="121" t="e">
        <f t="shared" ca="1" si="249"/>
        <v>#VALUE!</v>
      </c>
      <c r="J546" s="33"/>
      <c r="K546" s="242">
        <f t="shared" si="250"/>
        <v>1</v>
      </c>
      <c r="L546" s="241" t="e">
        <f t="shared" ca="1" si="251"/>
        <v>#VALUE!</v>
      </c>
      <c r="M546" s="243" t="e">
        <f ca="1">IF(AND(INDEX(FlowCalConstA,MATCH(J532,FlowCalNumber,0),1,1)*L546^INDEX(FlowCalConstB,MATCH(J532,FlowCalNumber,0),1,1)&gt;INDEX(FlowCalLowSetting,MATCH(J532,FlowCalNumber,0),1,1), (INDEX(FlowCalConstA,MATCH(J532,FlowCalNumber,0),1,1)*L546^INDEX(FlowCalConstB,MATCH(J532,FlowCalNumber,0),1,1)&lt;INDEX(FlowCalHighSetting,MATCH(J532,FlowCalNumber,0),1,1))),INDEX(FlowCalConstA,MATCH(J532,FlowCalNumber,0),1,1)*L546^INDEX(FlowCalConstB,MATCH(J532,FlowCalNumber,0),1,1)," ")</f>
        <v>#N/A</v>
      </c>
      <c r="N546" s="33"/>
      <c r="O546" s="242">
        <f t="shared" si="252"/>
        <v>1</v>
      </c>
      <c r="P546" s="241" t="e">
        <f t="shared" ca="1" si="253"/>
        <v>#VALUE!</v>
      </c>
      <c r="Q546" s="243" t="e">
        <f ca="1">IF(AND(INDEX(FlowCalConstA,MATCH(N532,FlowCalNumber,0),1,1)*P546^INDEX(FlowCalConstB,MATCH(N532,FlowCalNumber,0),1,1)&gt;INDEX(FlowCalLowSetting,MATCH(N532,FlowCalNumber,0),1,1), (INDEX(FlowCalConstA,MATCH(N532,FlowCalNumber,0),1,1)*P546^INDEX(FlowCalConstB,MATCH(N532,FlowCalNumber,0),1,1)&lt;INDEX(FlowCalHighSetting,MATCH(N532,FlowCalNumber,0),1,1))),INDEX(FlowCalConstA,MATCH(N532,FlowCalNumber,0),1,1)*P546^INDEX(FlowCalConstB,MATCH(N532,FlowCalNumber,0),1,1)," ")</f>
        <v>#N/A</v>
      </c>
      <c r="R546" s="33"/>
      <c r="S546" s="242">
        <f t="shared" si="254"/>
        <v>1</v>
      </c>
      <c r="T546" s="241" t="e">
        <f t="shared" ca="1" si="255"/>
        <v>#VALUE!</v>
      </c>
      <c r="U546" s="243" t="e">
        <f ca="1">IF(AND(INDEX(FlowCalConstA,MATCH(R532,FlowCalNumber,0),1,1)*T546^INDEX(FlowCalConstB,MATCH(R532,FlowCalNumber,0),1,1)&gt;INDEX(FlowCalLowSetting,MATCH(R532,FlowCalNumber,0),1,1), (INDEX(FlowCalConstA,MATCH(R532,FlowCalNumber,0),1,1)*T546^INDEX(FlowCalConstB,MATCH(R532,FlowCalNumber,0),1,1)&lt;INDEX(FlowCalHighSetting,MATCH(R532,FlowCalNumber,0),1,1))),INDEX(FlowCalConstA,MATCH(R532,FlowCalNumber,0),1,1)*T546^INDEX(FlowCalConstB,MATCH(R532,FlowCalNumber,0),1,1)," ")</f>
        <v>#N/A</v>
      </c>
      <c r="V546" s="33"/>
      <c r="W546" s="242"/>
      <c r="X546" s="241"/>
      <c r="Y546" s="243"/>
      <c r="Z546" s="33"/>
      <c r="AA546" s="242"/>
      <c r="AB546" s="241"/>
      <c r="AC546" s="243"/>
      <c r="AD546" s="33"/>
      <c r="AE546" s="242"/>
      <c r="AF546" s="241"/>
      <c r="AG546" s="243"/>
      <c r="AH546" s="33"/>
      <c r="AI546" s="242"/>
      <c r="AJ546" s="241"/>
      <c r="AK546" s="244"/>
      <c r="AL546" s="243"/>
      <c r="AM546" s="243"/>
      <c r="AN546" s="243"/>
      <c r="AO546" s="243"/>
      <c r="AP546" s="243"/>
      <c r="AQ546" s="243"/>
      <c r="AR546" s="243"/>
      <c r="AS546" s="243"/>
      <c r="AT546" s="243"/>
      <c r="AU546" s="243"/>
      <c r="AV546" s="243"/>
      <c r="AW546" s="243"/>
      <c r="AX546" s="243"/>
      <c r="AY546" s="243"/>
      <c r="AZ546" s="243"/>
      <c r="BA546" s="243"/>
      <c r="BB546" s="243"/>
      <c r="BC546" s="243"/>
      <c r="BD546" s="243"/>
      <c r="BE546" s="243"/>
      <c r="BF546" s="243"/>
      <c r="BG546" s="243"/>
      <c r="BH546" s="243"/>
      <c r="BI546" s="243"/>
      <c r="BJ546" s="243"/>
      <c r="BK546" s="243"/>
      <c r="BL546" s="243"/>
      <c r="BM546" s="243"/>
      <c r="BN546" s="243"/>
      <c r="BO546" s="243"/>
      <c r="BP546" s="243"/>
      <c r="BQ546" s="243"/>
      <c r="BR546" s="243"/>
      <c r="BS546" s="243"/>
      <c r="BU546" s="242"/>
      <c r="BW546" s="243"/>
      <c r="BY546" s="242"/>
      <c r="CA546" s="243"/>
      <c r="CC546" s="242"/>
      <c r="CE546" s="243"/>
      <c r="CG546" s="242"/>
      <c r="CI546" s="243"/>
    </row>
    <row r="547" spans="1:87" s="1215" customFormat="1">
      <c r="A547" s="1222"/>
      <c r="B547" s="1223" t="str">
        <f t="shared" si="248"/>
        <v/>
      </c>
      <c r="C547" s="1210"/>
      <c r="D547" s="1211">
        <f>'1% Wind'!$M$96</f>
        <v>1</v>
      </c>
      <c r="E547" s="1212"/>
      <c r="F547" s="1212"/>
      <c r="G547" s="1213">
        <f ca="1">IF(I532=0.9743,$G546,MAX(G546/D546*D547,2))</f>
        <v>2</v>
      </c>
      <c r="H547" s="1214" t="e">
        <f t="shared" ca="1" si="249"/>
        <v>#VALUE!</v>
      </c>
      <c r="J547" s="1224"/>
      <c r="K547" s="1217">
        <f t="shared" si="250"/>
        <v>1</v>
      </c>
      <c r="L547" s="1218" t="e">
        <f t="shared" ca="1" si="251"/>
        <v>#VALUE!</v>
      </c>
      <c r="M547" s="1219" t="e">
        <f ca="1">IF(AND(INDEX(FlowCalConstA,MATCH(J532,FlowCalNumber,0),1,1)*L547^INDEX(FlowCalConstB,MATCH(J532,FlowCalNumber,0),1,1)&gt;INDEX(FlowCalLowSetting,MATCH(J532,FlowCalNumber,0),1,1), (INDEX(FlowCalConstA,MATCH(J532,FlowCalNumber,0),1,1)*L547^INDEX(FlowCalConstB,MATCH(J532,FlowCalNumber,0),1,1)&lt;INDEX(FlowCalHighSetting,MATCH(J532,FlowCalNumber,0),1,1))),INDEX(FlowCalConstA,MATCH(J532,FlowCalNumber,0),1,1)*L547^INDEX(FlowCalConstB,MATCH(J532,FlowCalNumber,0),1,1)," ")</f>
        <v>#N/A</v>
      </c>
      <c r="N547" s="1224"/>
      <c r="O547" s="1217">
        <f t="shared" si="252"/>
        <v>1</v>
      </c>
      <c r="P547" s="1218" t="e">
        <f t="shared" ca="1" si="253"/>
        <v>#VALUE!</v>
      </c>
      <c r="Q547" s="1219" t="e">
        <f ca="1">IF(AND(INDEX(FlowCalConstA,MATCH(N532,FlowCalNumber,0),1,1)*P547^INDEX(FlowCalConstB,MATCH(N532,FlowCalNumber,0),1,1)&gt;INDEX(FlowCalLowSetting,MATCH(N532,FlowCalNumber,0),1,1), (INDEX(FlowCalConstA,MATCH(N532,FlowCalNumber,0),1,1)*P547^INDEX(FlowCalConstB,MATCH(N532,FlowCalNumber,0),1,1)&lt;INDEX(FlowCalHighSetting,MATCH(N532,FlowCalNumber,0),1,1))),INDEX(FlowCalConstA,MATCH(N532,FlowCalNumber,0),1,1)*P547^INDEX(FlowCalConstB,MATCH(N532,FlowCalNumber,0),1,1)," ")</f>
        <v>#N/A</v>
      </c>
      <c r="R547" s="1224"/>
      <c r="S547" s="1217">
        <f t="shared" si="254"/>
        <v>1</v>
      </c>
      <c r="T547" s="1218" t="e">
        <f t="shared" ca="1" si="255"/>
        <v>#VALUE!</v>
      </c>
      <c r="U547" s="1219" t="e">
        <f ca="1">IF(AND(INDEX(FlowCalConstA,MATCH(R532,FlowCalNumber,0),1,1)*T547^INDEX(FlowCalConstB,MATCH(R532,FlowCalNumber,0),1,1)&gt;INDEX(FlowCalLowSetting,MATCH(R532,FlowCalNumber,0),1,1), (INDEX(FlowCalConstA,MATCH(R532,FlowCalNumber,0),1,1)*T547^INDEX(FlowCalConstB,MATCH(R532,FlowCalNumber,0),1,1)&lt;INDEX(FlowCalHighSetting,MATCH(R532,FlowCalNumber,0),1,1))),INDEX(FlowCalConstA,MATCH(R532,FlowCalNumber,0),1,1)*T547^INDEX(FlowCalConstB,MATCH(R532,FlowCalNumber,0),1,1)," ")</f>
        <v>#N/A</v>
      </c>
      <c r="V547" s="1224"/>
      <c r="W547" s="1217"/>
      <c r="X547" s="1218"/>
      <c r="Y547" s="1219"/>
      <c r="Z547" s="1224"/>
      <c r="AA547" s="1217"/>
      <c r="AB547" s="1218"/>
      <c r="AC547" s="1219"/>
      <c r="AD547" s="1224"/>
      <c r="AE547" s="1217"/>
      <c r="AF547" s="1218"/>
      <c r="AG547" s="1219"/>
      <c r="AH547" s="1224"/>
      <c r="AI547" s="1217"/>
      <c r="AJ547" s="1218"/>
      <c r="AK547" s="1220"/>
      <c r="AL547" s="1219"/>
      <c r="AM547" s="1219"/>
      <c r="AN547" s="1219"/>
      <c r="AO547" s="1219"/>
      <c r="AP547" s="1219"/>
      <c r="AQ547" s="1219"/>
      <c r="AR547" s="1219"/>
      <c r="AS547" s="1219"/>
      <c r="AT547" s="1219"/>
      <c r="AU547" s="1219"/>
      <c r="AV547" s="1219"/>
      <c r="AW547" s="1219"/>
      <c r="AX547" s="1219"/>
      <c r="AY547" s="1219"/>
      <c r="AZ547" s="1219"/>
      <c r="BA547" s="1219"/>
      <c r="BB547" s="1219"/>
      <c r="BC547" s="1219"/>
      <c r="BD547" s="1219"/>
      <c r="BE547" s="1219"/>
      <c r="BF547" s="1219"/>
      <c r="BG547" s="1219"/>
      <c r="BH547" s="1219"/>
      <c r="BI547" s="1219"/>
      <c r="BJ547" s="1219"/>
      <c r="BK547" s="1219"/>
      <c r="BL547" s="1219"/>
      <c r="BM547" s="1219"/>
      <c r="BN547" s="1219"/>
      <c r="BO547" s="1219"/>
      <c r="BP547" s="1219"/>
      <c r="BQ547" s="1219"/>
      <c r="BR547" s="1219"/>
      <c r="BS547" s="1219"/>
      <c r="BU547" s="1217"/>
      <c r="BW547" s="1219"/>
      <c r="BY547" s="1217"/>
      <c r="CA547" s="1219"/>
      <c r="CC547" s="1217"/>
      <c r="CE547" s="1219"/>
      <c r="CG547" s="1217"/>
      <c r="CI547" s="1219"/>
    </row>
    <row r="548" spans="1:87">
      <c r="A548" s="33"/>
      <c r="B548" s="33"/>
      <c r="C548" s="235"/>
      <c r="E548" s="90"/>
      <c r="F548" s="90"/>
      <c r="G548" s="33"/>
      <c r="J548" s="33"/>
      <c r="M548" s="243"/>
      <c r="N548" s="33"/>
      <c r="Q548" s="243"/>
      <c r="R548" s="33"/>
      <c r="U548" s="243"/>
      <c r="V548" s="33"/>
      <c r="Y548" s="243"/>
      <c r="Z548" s="33"/>
      <c r="AC548" s="243"/>
      <c r="AD548" s="33"/>
      <c r="AG548" s="243"/>
      <c r="AH548" s="33"/>
      <c r="AK548" s="244"/>
      <c r="AL548" s="243"/>
      <c r="AM548" s="243"/>
      <c r="AN548" s="243"/>
      <c r="AO548" s="243"/>
      <c r="AP548" s="243"/>
      <c r="AQ548" s="243"/>
      <c r="AR548" s="243"/>
      <c r="AS548" s="243"/>
      <c r="AT548" s="243"/>
      <c r="AU548" s="243"/>
      <c r="AV548" s="243"/>
      <c r="AW548" s="243"/>
      <c r="AX548" s="243"/>
      <c r="AY548" s="243"/>
      <c r="AZ548" s="243"/>
      <c r="BA548" s="243"/>
      <c r="BB548" s="243"/>
      <c r="BC548" s="243"/>
      <c r="BD548" s="243"/>
      <c r="BE548" s="243"/>
      <c r="BF548" s="243"/>
      <c r="BG548" s="243"/>
      <c r="BH548" s="243"/>
      <c r="BI548" s="243"/>
      <c r="BJ548" s="243"/>
      <c r="BK548" s="243"/>
      <c r="BL548" s="243"/>
      <c r="BM548" s="243"/>
      <c r="BN548" s="243"/>
      <c r="BO548" s="243"/>
      <c r="BP548" s="243"/>
      <c r="BQ548" s="243"/>
      <c r="BR548" s="243"/>
      <c r="BS548" s="243"/>
      <c r="BW548" s="243"/>
      <c r="CA548" s="243"/>
      <c r="CE548" s="243"/>
      <c r="CI548" s="243"/>
    </row>
    <row r="549" spans="1:87">
      <c r="A549" s="256" t="str">
        <f>IF((RIGHT(A532,1))&lt;&gt;"Z",CHAR(CODE(A532))&amp;CHAR(CODE(RIGHT(A532,1))+1),CHAR(CODE(A532)+1)&amp;"A")</f>
        <v>BF</v>
      </c>
      <c r="B549" s="270" t="str">
        <f>INDEX(SourceID,MATCH($A549,SourceNumber,0),1,1)</f>
        <v>B2 Viv-1</v>
      </c>
      <c r="C549" s="354">
        <f>INDEX(SourceExitDiameter,MATCH($A549,SourceNumber,0),1,1)*3.28*12</f>
        <v>57.974999999999994</v>
      </c>
      <c r="D549" s="24" t="str">
        <f>UAnem1percent</f>
        <v>1% Wind</v>
      </c>
      <c r="E549" s="350" t="e">
        <f ca="1">INDIRECT(ADDRESS(53,6,1,,CONCATENATE("TA",$A549)))</f>
        <v>#REF!</v>
      </c>
      <c r="F549" s="625" t="e">
        <f ca="1">(ROUND((INDIRECT(ADDRESS(15,7,1,,CONCATENATE("TA",$A549)))*3.28*12*32),0)&amp;"/32")</f>
        <v>#REF!</v>
      </c>
      <c r="G549" s="125">
        <f ca="1">INDIRECT(ADDRESS(29,7,1,,$A549))</f>
        <v>6.001707317073171</v>
      </c>
      <c r="H549" s="24" t="e">
        <f ca="1">INDIRECT(ADDRESS(19,7,1,,$A549))*100^3</f>
        <v>#VALUE!</v>
      </c>
      <c r="I549" s="941">
        <f ca="1">INDIRECT(ADDRESS(53,7,1,,$A549))</f>
        <v>0.97430000000000005</v>
      </c>
      <c r="J549" s="20" t="str">
        <f ca="1">IF($I549=$I$6,K$16&amp;$G$6&amp;J$6,IF($I549=$I$7,K$16&amp;$G$7&amp;J$7,"Bad"))</f>
        <v>100N2Pick a Tunnel</v>
      </c>
      <c r="K549" t="e">
        <f ca="1">INDEX(FlowCalGasMixture,MATCH(J549,FlowCalNumber,0),1,1)</f>
        <v>#N/A</v>
      </c>
      <c r="M549" s="944" t="e">
        <f ca="1">INDEX(FlowCalDevice,MATCH(J549,FlowCalNumber,0),1,1)</f>
        <v>#N/A</v>
      </c>
      <c r="N549" s="20" t="str">
        <f ca="1">IF($I549=$I$6,O$16&amp;$G$6&amp;N$6,IF($I549=$I$7,O$16&amp;$G$7&amp;N$7,"Bad"))</f>
        <v>100N2Pick a Tunnel</v>
      </c>
      <c r="O549" t="e">
        <f ca="1">INDEX(FlowCalGasMixture,MATCH(N549,FlowCalNumber,0),1,1)</f>
        <v>#N/A</v>
      </c>
      <c r="Q549" s="944" t="e">
        <f ca="1">INDEX(FlowCalDevice,MATCH(N549,FlowCalNumber,0),1,1)</f>
        <v>#N/A</v>
      </c>
      <c r="R549" s="20" t="str">
        <f ca="1">IF($I549=$I$6,S$16&amp;$G$6&amp;R$6,IF($I549=$I$7,S$16&amp;$G$7&amp;R$7,"Bad"))</f>
        <v>100N2Pick a Tunnel</v>
      </c>
      <c r="S549" t="e">
        <f ca="1">INDEX(FlowCalGasMixture,MATCH(R549,FlowCalNumber,0),1,1)</f>
        <v>#N/A</v>
      </c>
      <c r="U549" s="944" t="e">
        <f ca="1">INDEX(FlowCalDevice,MATCH(R549,FlowCalNumber,0),1,1)</f>
        <v>#N/A</v>
      </c>
      <c r="V549" s="20"/>
      <c r="Y549" s="944"/>
      <c r="Z549" s="946"/>
      <c r="AC549" s="944"/>
      <c r="AD549" s="20"/>
      <c r="AG549" s="944"/>
      <c r="AH549" s="946"/>
      <c r="AK549" s="982"/>
      <c r="AL549" s="355"/>
      <c r="AM549" s="355"/>
      <c r="AN549" s="355"/>
      <c r="AO549" s="355"/>
      <c r="AP549" s="355"/>
      <c r="AQ549" s="355"/>
      <c r="AR549" s="355"/>
      <c r="AS549" s="355"/>
      <c r="AT549" s="355"/>
      <c r="AU549" s="355"/>
      <c r="AV549" s="355"/>
      <c r="AW549" s="355"/>
      <c r="AX549" s="355"/>
      <c r="AY549" s="355"/>
      <c r="AZ549" s="355"/>
      <c r="BA549" s="355"/>
      <c r="BB549" s="355"/>
      <c r="BC549" s="355"/>
      <c r="BD549" s="355"/>
      <c r="BE549" s="355"/>
      <c r="BF549" s="355"/>
      <c r="BG549" s="355"/>
      <c r="BH549" s="355"/>
      <c r="BI549" s="355"/>
      <c r="BJ549" s="355"/>
      <c r="BK549" s="355"/>
      <c r="BL549" s="355"/>
      <c r="BM549" s="355"/>
      <c r="BN549" s="355"/>
      <c r="BO549" s="355"/>
      <c r="BP549" s="355"/>
      <c r="BQ549" s="355"/>
      <c r="BR549" s="355"/>
      <c r="BS549" s="355"/>
      <c r="BT549" s="46"/>
      <c r="BU549" s="16"/>
      <c r="BW549" s="355"/>
      <c r="BX549" s="42"/>
      <c r="BY549" s="16"/>
      <c r="CA549" s="355"/>
      <c r="CB549" s="42"/>
      <c r="CC549" s="16"/>
      <c r="CE549" s="355"/>
      <c r="CF549" s="42"/>
      <c r="CG549" s="16"/>
      <c r="CI549" s="355"/>
    </row>
    <row r="550" spans="1:87" s="1215" customFormat="1">
      <c r="A550" s="1222"/>
      <c r="B550" s="1223" t="str">
        <f t="shared" ref="B550:B564" si="256">IF(D550=UAnem1percent,"1% Wind","")</f>
        <v/>
      </c>
      <c r="C550" s="1210"/>
      <c r="D550" s="1211">
        <f>'1% Wind'!$M$82</f>
        <v>27</v>
      </c>
      <c r="E550" s="1212"/>
      <c r="F550" s="1212"/>
      <c r="G550" s="1364">
        <v>2</v>
      </c>
      <c r="H550" s="1214" t="e">
        <f t="shared" ref="H550:H564" ca="1" si="257">H549*(D549/D550)*(G550/G549)</f>
        <v>#VALUE!</v>
      </c>
      <c r="J550" s="1224"/>
      <c r="K550" s="1221">
        <f>K$17/100</f>
        <v>1</v>
      </c>
      <c r="L550" s="1218" t="e">
        <f ca="1">K550*$H550</f>
        <v>#VALUE!</v>
      </c>
      <c r="M550" s="1219" t="e">
        <f ca="1">IF(AND(INDEX(FlowCalConstA,MATCH(J549,FlowCalNumber,0),1,1)*L550^INDEX(FlowCalConstB,MATCH(J549,FlowCalNumber,0),1,1)&gt;INDEX(FlowCalLowSetting,MATCH(J549,FlowCalNumber,0),1,1), (INDEX(FlowCalConstA,MATCH(J549,FlowCalNumber,0),1,1)*L550^INDEX(FlowCalConstB,MATCH(J549,FlowCalNumber,0),1,1)&lt;INDEX(FlowCalHighSetting,MATCH(J549,FlowCalNumber,0),1,1))),INDEX(FlowCalConstA,MATCH(J549,FlowCalNumber,0),1,1)*L550^INDEX(FlowCalConstB,MATCH(J549,FlowCalNumber,0),1,1)," ")</f>
        <v>#N/A</v>
      </c>
      <c r="N550" s="1224"/>
      <c r="O550" s="1221">
        <f>O$17/100</f>
        <v>1</v>
      </c>
      <c r="P550" s="1218" t="e">
        <f ca="1">O550*$H550</f>
        <v>#VALUE!</v>
      </c>
      <c r="Q550" s="1219" t="e">
        <f ca="1">IF(AND(INDEX(FlowCalConstA,MATCH(N549,FlowCalNumber,0),1,1)*P550^INDEX(FlowCalConstB,MATCH(N549,FlowCalNumber,0),1,1)&gt;INDEX(FlowCalLowSetting,MATCH(N549,FlowCalNumber,0),1,1), (INDEX(FlowCalConstA,MATCH(N549,FlowCalNumber,0),1,1)*P550^INDEX(FlowCalConstB,MATCH(N549,FlowCalNumber,0),1,1)&lt;INDEX(FlowCalHighSetting,MATCH(N549,FlowCalNumber,0),1,1))),INDEX(FlowCalConstA,MATCH(N549,FlowCalNumber,0),1,1)*P550^INDEX(FlowCalConstB,MATCH(N549,FlowCalNumber,0),1,1)," ")</f>
        <v>#N/A</v>
      </c>
      <c r="R550" s="1224"/>
      <c r="S550" s="1221">
        <f>S$17/100</f>
        <v>1</v>
      </c>
      <c r="T550" s="1218" t="e">
        <f ca="1">S550*$H550</f>
        <v>#VALUE!</v>
      </c>
      <c r="U550" s="1219" t="e">
        <f ca="1">IF(AND(INDEX(FlowCalConstA,MATCH(R549,FlowCalNumber,0),1,1)*T550^INDEX(FlowCalConstB,MATCH(R549,FlowCalNumber,0),1,1)&gt;INDEX(FlowCalLowSetting,MATCH(R549,FlowCalNumber,0),1,1), (INDEX(FlowCalConstA,MATCH(R549,FlowCalNumber,0),1,1)*T550^INDEX(FlowCalConstB,MATCH(R549,FlowCalNumber,0),1,1)&lt;INDEX(FlowCalHighSetting,MATCH(R549,FlowCalNumber,0),1,1))),INDEX(FlowCalConstA,MATCH(R549,FlowCalNumber,0),1,1)*T550^INDEX(FlowCalConstB,MATCH(R549,FlowCalNumber,0),1,1)," ")</f>
        <v>#N/A</v>
      </c>
      <c r="V550" s="1224"/>
      <c r="W550" s="1221"/>
      <c r="X550" s="1218"/>
      <c r="Y550" s="1219"/>
      <c r="Z550" s="1224"/>
      <c r="AA550" s="1221"/>
      <c r="AB550" s="1218"/>
      <c r="AC550" s="1219"/>
      <c r="AD550" s="1224"/>
      <c r="AE550" s="1221"/>
      <c r="AF550" s="1218"/>
      <c r="AG550" s="1219"/>
      <c r="AH550" s="1224"/>
      <c r="AI550" s="1221"/>
      <c r="AJ550" s="1218"/>
      <c r="AK550" s="1220"/>
      <c r="AL550" s="1219"/>
      <c r="AM550" s="1219"/>
      <c r="AN550" s="1219"/>
      <c r="AO550" s="1219"/>
      <c r="AP550" s="1219"/>
      <c r="AQ550" s="1219"/>
      <c r="AR550" s="1219"/>
      <c r="AS550" s="1219"/>
      <c r="AT550" s="1219"/>
      <c r="AU550" s="1219"/>
      <c r="AV550" s="1219"/>
      <c r="AW550" s="1219"/>
      <c r="AX550" s="1219"/>
      <c r="AY550" s="1219"/>
      <c r="AZ550" s="1219"/>
      <c r="BA550" s="1219"/>
      <c r="BB550" s="1219"/>
      <c r="BC550" s="1219"/>
      <c r="BD550" s="1219"/>
      <c r="BE550" s="1219"/>
      <c r="BF550" s="1219"/>
      <c r="BG550" s="1219"/>
      <c r="BH550" s="1219"/>
      <c r="BI550" s="1219"/>
      <c r="BJ550" s="1219"/>
      <c r="BK550" s="1219"/>
      <c r="BL550" s="1219"/>
      <c r="BM550" s="1219"/>
      <c r="BN550" s="1219"/>
      <c r="BO550" s="1219"/>
      <c r="BP550" s="1219"/>
      <c r="BQ550" s="1219"/>
      <c r="BR550" s="1219"/>
      <c r="BS550" s="1219"/>
      <c r="BU550" s="1225"/>
      <c r="BW550" s="1219"/>
      <c r="BY550" s="1225"/>
      <c r="CA550" s="1219"/>
      <c r="CC550" s="1225"/>
      <c r="CE550" s="1219"/>
      <c r="CG550" s="1221"/>
      <c r="CI550" s="1219"/>
    </row>
    <row r="551" spans="1:87">
      <c r="A551" s="20"/>
      <c r="B551" s="124" t="str">
        <f t="shared" si="256"/>
        <v/>
      </c>
      <c r="C551" s="235"/>
      <c r="D551" s="24">
        <f>'1% Wind'!$M$83</f>
        <v>23.5</v>
      </c>
      <c r="E551" s="90"/>
      <c r="F551" s="90"/>
      <c r="G551" s="79">
        <f ca="1">IF(I549=0.9743,$G550,MAX(G550/D550*D551,2))</f>
        <v>2</v>
      </c>
      <c r="H551" s="121" t="e">
        <f t="shared" ca="1" si="257"/>
        <v>#VALUE!</v>
      </c>
      <c r="J551" s="33"/>
      <c r="K551" s="242">
        <f t="shared" ref="K551:K564" si="258">K550</f>
        <v>1</v>
      </c>
      <c r="L551" s="241" t="e">
        <f t="shared" ref="L551:L564" ca="1" si="259">K551*$H551</f>
        <v>#VALUE!</v>
      </c>
      <c r="M551" s="243" t="e">
        <f ca="1">IF(AND(INDEX(FlowCalConstA,MATCH(J549,FlowCalNumber,0),1,1)*L551^INDEX(FlowCalConstB,MATCH(J549,FlowCalNumber,0),1,1)&gt;INDEX(FlowCalLowSetting,MATCH(J549,FlowCalNumber,0),1,1), (INDEX(FlowCalConstA,MATCH(J549,FlowCalNumber,0),1,1)*L551^INDEX(FlowCalConstB,MATCH(J549,FlowCalNumber,0),1,1)&lt;INDEX(FlowCalHighSetting,MATCH(J549,FlowCalNumber,0),1,1))),INDEX(FlowCalConstA,MATCH(J549,FlowCalNumber,0),1,1)*L551^INDEX(FlowCalConstB,MATCH(J549,FlowCalNumber,0),1,1)," ")</f>
        <v>#N/A</v>
      </c>
      <c r="N551" s="33"/>
      <c r="O551" s="242">
        <f t="shared" ref="O551:O564" si="260">O550</f>
        <v>1</v>
      </c>
      <c r="P551" s="241" t="e">
        <f t="shared" ref="P551:P564" ca="1" si="261">O551*$H551</f>
        <v>#VALUE!</v>
      </c>
      <c r="Q551" s="243" t="e">
        <f ca="1">IF(AND(INDEX(FlowCalConstA,MATCH(N549,FlowCalNumber,0),1,1)*P551^INDEX(FlowCalConstB,MATCH(N549,FlowCalNumber,0),1,1)&gt;INDEX(FlowCalLowSetting,MATCH(N549,FlowCalNumber,0),1,1), (INDEX(FlowCalConstA,MATCH(N549,FlowCalNumber,0),1,1)*P551^INDEX(FlowCalConstB,MATCH(N549,FlowCalNumber,0),1,1)&lt;INDEX(FlowCalHighSetting,MATCH(N549,FlowCalNumber,0),1,1))),INDEX(FlowCalConstA,MATCH(N549,FlowCalNumber,0),1,1)*P551^INDEX(FlowCalConstB,MATCH(N549,FlowCalNumber,0),1,1)," ")</f>
        <v>#N/A</v>
      </c>
      <c r="R551" s="33"/>
      <c r="S551" s="242">
        <f t="shared" ref="S551:S564" si="262">S550</f>
        <v>1</v>
      </c>
      <c r="T551" s="241" t="e">
        <f t="shared" ref="T551:T564" ca="1" si="263">S551*$H551</f>
        <v>#VALUE!</v>
      </c>
      <c r="U551" s="243" t="e">
        <f ca="1">IF(AND(INDEX(FlowCalConstA,MATCH(R549,FlowCalNumber,0),1,1)*T551^INDEX(FlowCalConstB,MATCH(R549,FlowCalNumber,0),1,1)&gt;INDEX(FlowCalLowSetting,MATCH(R549,FlowCalNumber,0),1,1), (INDEX(FlowCalConstA,MATCH(R549,FlowCalNumber,0),1,1)*T551^INDEX(FlowCalConstB,MATCH(R549,FlowCalNumber,0),1,1)&lt;INDEX(FlowCalHighSetting,MATCH(R549,FlowCalNumber,0),1,1))),INDEX(FlowCalConstA,MATCH(R549,FlowCalNumber,0),1,1)*T551^INDEX(FlowCalConstB,MATCH(R549,FlowCalNumber,0),1,1)," ")</f>
        <v>#N/A</v>
      </c>
      <c r="V551" s="33"/>
      <c r="W551" s="242"/>
      <c r="X551" s="241"/>
      <c r="Y551" s="243"/>
      <c r="Z551" s="33"/>
      <c r="AA551" s="242"/>
      <c r="AB551" s="241"/>
      <c r="AC551" s="243"/>
      <c r="AD551" s="33"/>
      <c r="AE551" s="242"/>
      <c r="AF551" s="241"/>
      <c r="AG551" s="243"/>
      <c r="AH551" s="33"/>
      <c r="AI551" s="242"/>
      <c r="AJ551" s="241"/>
      <c r="AK551" s="244"/>
      <c r="AL551" s="243"/>
      <c r="AM551" s="243"/>
      <c r="AN551" s="243"/>
      <c r="AO551" s="243"/>
      <c r="AP551" s="243"/>
      <c r="AQ551" s="243"/>
      <c r="AR551" s="243"/>
      <c r="AS551" s="243"/>
      <c r="AT551" s="243"/>
      <c r="AU551" s="243"/>
      <c r="AV551" s="243"/>
      <c r="AW551" s="243"/>
      <c r="AX551" s="243"/>
      <c r="AY551" s="243"/>
      <c r="AZ551" s="243"/>
      <c r="BA551" s="243"/>
      <c r="BB551" s="243"/>
      <c r="BC551" s="243"/>
      <c r="BD551" s="243"/>
      <c r="BE551" s="243"/>
      <c r="BF551" s="243"/>
      <c r="BG551" s="243"/>
      <c r="BH551" s="243"/>
      <c r="BI551" s="243"/>
      <c r="BJ551" s="243"/>
      <c r="BK551" s="243"/>
      <c r="BL551" s="243"/>
      <c r="BM551" s="243"/>
      <c r="BN551" s="243"/>
      <c r="BO551" s="243"/>
      <c r="BP551" s="243"/>
      <c r="BQ551" s="243"/>
      <c r="BR551" s="243"/>
      <c r="BS551" s="243"/>
      <c r="BU551" s="242"/>
      <c r="BW551" s="243"/>
      <c r="BY551" s="242"/>
      <c r="CA551" s="243"/>
      <c r="CC551" s="242"/>
      <c r="CE551" s="243"/>
      <c r="CG551" s="242"/>
      <c r="CI551" s="243"/>
    </row>
    <row r="552" spans="1:87" s="1215" customFormat="1">
      <c r="A552" s="1222"/>
      <c r="B552" s="1223" t="str">
        <f t="shared" si="256"/>
        <v/>
      </c>
      <c r="C552" s="1210"/>
      <c r="D552" s="1211">
        <f>'1% Wind'!$M$84</f>
        <v>20.5</v>
      </c>
      <c r="E552" s="1212"/>
      <c r="F552" s="1212"/>
      <c r="G552" s="1213">
        <f ca="1">IF(I549=0.9743,$G551,MAX(G551/D551*D552,2))</f>
        <v>2</v>
      </c>
      <c r="H552" s="1214" t="e">
        <f t="shared" ca="1" si="257"/>
        <v>#VALUE!</v>
      </c>
      <c r="J552" s="1224"/>
      <c r="K552" s="1217">
        <f t="shared" si="258"/>
        <v>1</v>
      </c>
      <c r="L552" s="1218" t="e">
        <f t="shared" ca="1" si="259"/>
        <v>#VALUE!</v>
      </c>
      <c r="M552" s="1219" t="e">
        <f ca="1">IF(AND(INDEX(FlowCalConstA,MATCH(J549,FlowCalNumber,0),1,1)*L552^INDEX(FlowCalConstB,MATCH(J549,FlowCalNumber,0),1,1)&gt;INDEX(FlowCalLowSetting,MATCH(J549,FlowCalNumber,0),1,1), (INDEX(FlowCalConstA,MATCH(J549,FlowCalNumber,0),1,1)*L552^INDEX(FlowCalConstB,MATCH(J549,FlowCalNumber,0),1,1)&lt;INDEX(FlowCalHighSetting,MATCH(J549,FlowCalNumber,0),1,1))),INDEX(FlowCalConstA,MATCH(J549,FlowCalNumber,0),1,1)*L552^INDEX(FlowCalConstB,MATCH(J549,FlowCalNumber,0),1,1)," ")</f>
        <v>#N/A</v>
      </c>
      <c r="N552" s="1224"/>
      <c r="O552" s="1217">
        <f t="shared" si="260"/>
        <v>1</v>
      </c>
      <c r="P552" s="1218" t="e">
        <f t="shared" ca="1" si="261"/>
        <v>#VALUE!</v>
      </c>
      <c r="Q552" s="1219" t="e">
        <f ca="1">IF(AND(INDEX(FlowCalConstA,MATCH(N549,FlowCalNumber,0),1,1)*P552^INDEX(FlowCalConstB,MATCH(N549,FlowCalNumber,0),1,1)&gt;INDEX(FlowCalLowSetting,MATCH(N549,FlowCalNumber,0),1,1), (INDEX(FlowCalConstA,MATCH(N549,FlowCalNumber,0),1,1)*P552^INDEX(FlowCalConstB,MATCH(N549,FlowCalNumber,0),1,1)&lt;INDEX(FlowCalHighSetting,MATCH(N549,FlowCalNumber,0),1,1))),INDEX(FlowCalConstA,MATCH(N549,FlowCalNumber,0),1,1)*P552^INDEX(FlowCalConstB,MATCH(N549,FlowCalNumber,0),1,1)," ")</f>
        <v>#N/A</v>
      </c>
      <c r="R552" s="1224"/>
      <c r="S552" s="1217">
        <f t="shared" si="262"/>
        <v>1</v>
      </c>
      <c r="T552" s="1218" t="e">
        <f t="shared" ca="1" si="263"/>
        <v>#VALUE!</v>
      </c>
      <c r="U552" s="1219" t="e">
        <f ca="1">IF(AND(INDEX(FlowCalConstA,MATCH(R549,FlowCalNumber,0),1,1)*T552^INDEX(FlowCalConstB,MATCH(R549,FlowCalNumber,0),1,1)&gt;INDEX(FlowCalLowSetting,MATCH(R549,FlowCalNumber,0),1,1), (INDEX(FlowCalConstA,MATCH(R549,FlowCalNumber,0),1,1)*T552^INDEX(FlowCalConstB,MATCH(R549,FlowCalNumber,0),1,1)&lt;INDEX(FlowCalHighSetting,MATCH(R549,FlowCalNumber,0),1,1))),INDEX(FlowCalConstA,MATCH(R549,FlowCalNumber,0),1,1)*T552^INDEX(FlowCalConstB,MATCH(R549,FlowCalNumber,0),1,1)," ")</f>
        <v>#N/A</v>
      </c>
      <c r="V552" s="1224"/>
      <c r="W552" s="1217"/>
      <c r="X552" s="1218"/>
      <c r="Y552" s="1219"/>
      <c r="Z552" s="1224"/>
      <c r="AA552" s="1217"/>
      <c r="AB552" s="1218"/>
      <c r="AC552" s="1219"/>
      <c r="AD552" s="1224"/>
      <c r="AE552" s="1217"/>
      <c r="AF552" s="1218"/>
      <c r="AG552" s="1219"/>
      <c r="AH552" s="1224"/>
      <c r="AI552" s="1217"/>
      <c r="AJ552" s="1218"/>
      <c r="AK552" s="1220"/>
      <c r="AL552" s="1219"/>
      <c r="AM552" s="1219"/>
      <c r="AN552" s="1219"/>
      <c r="AO552" s="1219"/>
      <c r="AP552" s="1219"/>
      <c r="AQ552" s="1219"/>
      <c r="AR552" s="1219"/>
      <c r="AS552" s="1219"/>
      <c r="AT552" s="1219"/>
      <c r="AU552" s="1219"/>
      <c r="AV552" s="1219"/>
      <c r="AW552" s="1219"/>
      <c r="AX552" s="1219"/>
      <c r="AY552" s="1219"/>
      <c r="AZ552" s="1219"/>
      <c r="BA552" s="1219"/>
      <c r="BB552" s="1219"/>
      <c r="BC552" s="1219"/>
      <c r="BD552" s="1219"/>
      <c r="BE552" s="1219"/>
      <c r="BF552" s="1219"/>
      <c r="BG552" s="1219"/>
      <c r="BH552" s="1219"/>
      <c r="BI552" s="1219"/>
      <c r="BJ552" s="1219"/>
      <c r="BK552" s="1219"/>
      <c r="BL552" s="1219"/>
      <c r="BM552" s="1219"/>
      <c r="BN552" s="1219"/>
      <c r="BO552" s="1219"/>
      <c r="BP552" s="1219"/>
      <c r="BQ552" s="1219"/>
      <c r="BR552" s="1219"/>
      <c r="BS552" s="1219"/>
      <c r="BU552" s="1217"/>
      <c r="BW552" s="1219"/>
      <c r="BY552" s="1217"/>
      <c r="CA552" s="1219"/>
      <c r="CC552" s="1217"/>
      <c r="CE552" s="1219"/>
      <c r="CG552" s="1217"/>
      <c r="CI552" s="1219"/>
    </row>
    <row r="553" spans="1:87">
      <c r="A553" s="20"/>
      <c r="B553" s="124" t="str">
        <f t="shared" si="256"/>
        <v/>
      </c>
      <c r="C553" s="235"/>
      <c r="D553" s="24">
        <f>'1% Wind'!$M$85</f>
        <v>17.8</v>
      </c>
      <c r="E553" s="90"/>
      <c r="F553" s="90"/>
      <c r="G553" s="79">
        <f ca="1">IF(I549=0.9743,$G552,MAX(G552/D552*D553,2))</f>
        <v>2</v>
      </c>
      <c r="H553" s="121" t="e">
        <f t="shared" ca="1" si="257"/>
        <v>#VALUE!</v>
      </c>
      <c r="J553" s="33"/>
      <c r="K553" s="242">
        <f t="shared" si="258"/>
        <v>1</v>
      </c>
      <c r="L553" s="241" t="e">
        <f t="shared" ca="1" si="259"/>
        <v>#VALUE!</v>
      </c>
      <c r="M553" s="243" t="e">
        <f ca="1">IF(AND(INDEX(FlowCalConstA,MATCH(J549,FlowCalNumber,0),1,1)*L553^INDEX(FlowCalConstB,MATCH(J549,FlowCalNumber,0),1,1)&gt;INDEX(FlowCalLowSetting,MATCH(J549,FlowCalNumber,0),1,1), (INDEX(FlowCalConstA,MATCH(J549,FlowCalNumber,0),1,1)*L553^INDEX(FlowCalConstB,MATCH(J549,FlowCalNumber,0),1,1)&lt;INDEX(FlowCalHighSetting,MATCH(J549,FlowCalNumber,0),1,1))),INDEX(FlowCalConstA,MATCH(J549,FlowCalNumber,0),1,1)*L553^INDEX(FlowCalConstB,MATCH(J549,FlowCalNumber,0),1,1)," ")</f>
        <v>#N/A</v>
      </c>
      <c r="N553" s="33"/>
      <c r="O553" s="242">
        <f t="shared" si="260"/>
        <v>1</v>
      </c>
      <c r="P553" s="241" t="e">
        <f t="shared" ca="1" si="261"/>
        <v>#VALUE!</v>
      </c>
      <c r="Q553" s="243" t="e">
        <f ca="1">IF(AND(INDEX(FlowCalConstA,MATCH(N549,FlowCalNumber,0),1,1)*P553^INDEX(FlowCalConstB,MATCH(N549,FlowCalNumber,0),1,1)&gt;INDEX(FlowCalLowSetting,MATCH(N549,FlowCalNumber,0),1,1), (INDEX(FlowCalConstA,MATCH(N549,FlowCalNumber,0),1,1)*P553^INDEX(FlowCalConstB,MATCH(N549,FlowCalNumber,0),1,1)&lt;INDEX(FlowCalHighSetting,MATCH(N549,FlowCalNumber,0),1,1))),INDEX(FlowCalConstA,MATCH(N549,FlowCalNumber,0),1,1)*P553^INDEX(FlowCalConstB,MATCH(N549,FlowCalNumber,0),1,1)," ")</f>
        <v>#N/A</v>
      </c>
      <c r="R553" s="33"/>
      <c r="S553" s="242">
        <f t="shared" si="262"/>
        <v>1</v>
      </c>
      <c r="T553" s="241" t="e">
        <f t="shared" ca="1" si="263"/>
        <v>#VALUE!</v>
      </c>
      <c r="U553" s="243" t="e">
        <f ca="1">IF(AND(INDEX(FlowCalConstA,MATCH(R549,FlowCalNumber,0),1,1)*T553^INDEX(FlowCalConstB,MATCH(R549,FlowCalNumber,0),1,1)&gt;INDEX(FlowCalLowSetting,MATCH(R549,FlowCalNumber,0),1,1), (INDEX(FlowCalConstA,MATCH(R549,FlowCalNumber,0),1,1)*T553^INDEX(FlowCalConstB,MATCH(R549,FlowCalNumber,0),1,1)&lt;INDEX(FlowCalHighSetting,MATCH(R549,FlowCalNumber,0),1,1))),INDEX(FlowCalConstA,MATCH(R549,FlowCalNumber,0),1,1)*T553^INDEX(FlowCalConstB,MATCH(R549,FlowCalNumber,0),1,1)," ")</f>
        <v>#N/A</v>
      </c>
      <c r="V553" s="33"/>
      <c r="W553" s="242"/>
      <c r="X553" s="241"/>
      <c r="Y553" s="243"/>
      <c r="Z553" s="33"/>
      <c r="AA553" s="242"/>
      <c r="AB553" s="241"/>
      <c r="AC553" s="243"/>
      <c r="AD553" s="33"/>
      <c r="AE553" s="242"/>
      <c r="AF553" s="241"/>
      <c r="AG553" s="243"/>
      <c r="AH553" s="33"/>
      <c r="AI553" s="242"/>
      <c r="AJ553" s="241"/>
      <c r="AK553" s="244"/>
      <c r="AL553" s="243"/>
      <c r="AM553" s="243"/>
      <c r="AN553" s="243"/>
      <c r="AO553" s="243"/>
      <c r="AP553" s="243"/>
      <c r="AQ553" s="243"/>
      <c r="AR553" s="243"/>
      <c r="AS553" s="243"/>
      <c r="AT553" s="243"/>
      <c r="AU553" s="243"/>
      <c r="AV553" s="243"/>
      <c r="AW553" s="243"/>
      <c r="AX553" s="243"/>
      <c r="AY553" s="243"/>
      <c r="AZ553" s="243"/>
      <c r="BA553" s="243"/>
      <c r="BB553" s="243"/>
      <c r="BC553" s="243"/>
      <c r="BD553" s="243"/>
      <c r="BE553" s="243"/>
      <c r="BF553" s="243"/>
      <c r="BG553" s="243"/>
      <c r="BH553" s="243"/>
      <c r="BI553" s="243"/>
      <c r="BJ553" s="243"/>
      <c r="BK553" s="243"/>
      <c r="BL553" s="243"/>
      <c r="BM553" s="243"/>
      <c r="BN553" s="243"/>
      <c r="BO553" s="243"/>
      <c r="BP553" s="243"/>
      <c r="BQ553" s="243"/>
      <c r="BR553" s="243"/>
      <c r="BS553" s="243"/>
      <c r="BU553" s="242"/>
      <c r="BW553" s="243"/>
      <c r="BY553" s="242"/>
      <c r="CA553" s="243"/>
      <c r="CC553" s="242"/>
      <c r="CE553" s="243"/>
      <c r="CG553" s="242"/>
      <c r="CI553" s="243"/>
    </row>
    <row r="554" spans="1:87" s="1215" customFormat="1">
      <c r="A554" s="1222"/>
      <c r="B554" s="1223" t="str">
        <f t="shared" si="256"/>
        <v/>
      </c>
      <c r="C554" s="1210"/>
      <c r="D554" s="1211">
        <f>'1% Wind'!$M$86</f>
        <v>15.5</v>
      </c>
      <c r="E554" s="1212"/>
      <c r="F554" s="1212"/>
      <c r="G554" s="1213">
        <f ca="1">IF(I549=0.9743,$G553,MAX(G553/D553*D554,2))</f>
        <v>2</v>
      </c>
      <c r="H554" s="1214" t="e">
        <f t="shared" ca="1" si="257"/>
        <v>#VALUE!</v>
      </c>
      <c r="J554" s="1224"/>
      <c r="K554" s="1217">
        <f t="shared" si="258"/>
        <v>1</v>
      </c>
      <c r="L554" s="1218" t="e">
        <f t="shared" ca="1" si="259"/>
        <v>#VALUE!</v>
      </c>
      <c r="M554" s="1219" t="e">
        <f ca="1">IF(AND(INDEX(FlowCalConstA,MATCH(J549,FlowCalNumber,0),1,1)*L554^INDEX(FlowCalConstB,MATCH(J549,FlowCalNumber,0),1,1)&gt;INDEX(FlowCalLowSetting,MATCH(J549,FlowCalNumber,0),1,1), (INDEX(FlowCalConstA,MATCH(J549,FlowCalNumber,0),1,1)*L554^INDEX(FlowCalConstB,MATCH(J549,FlowCalNumber,0),1,1)&lt;INDEX(FlowCalHighSetting,MATCH(J549,FlowCalNumber,0),1,1))),INDEX(FlowCalConstA,MATCH(J549,FlowCalNumber,0),1,1)*L554^INDEX(FlowCalConstB,MATCH(J549,FlowCalNumber,0),1,1)," ")</f>
        <v>#N/A</v>
      </c>
      <c r="N554" s="1224"/>
      <c r="O554" s="1217">
        <f t="shared" si="260"/>
        <v>1</v>
      </c>
      <c r="P554" s="1218" t="e">
        <f t="shared" ca="1" si="261"/>
        <v>#VALUE!</v>
      </c>
      <c r="Q554" s="1219" t="e">
        <f ca="1">IF(AND(INDEX(FlowCalConstA,MATCH(N549,FlowCalNumber,0),1,1)*P554^INDEX(FlowCalConstB,MATCH(N549,FlowCalNumber,0),1,1)&gt;INDEX(FlowCalLowSetting,MATCH(N549,FlowCalNumber,0),1,1), (INDEX(FlowCalConstA,MATCH(N549,FlowCalNumber,0),1,1)*P554^INDEX(FlowCalConstB,MATCH(N549,FlowCalNumber,0),1,1)&lt;INDEX(FlowCalHighSetting,MATCH(N549,FlowCalNumber,0),1,1))),INDEX(FlowCalConstA,MATCH(N549,FlowCalNumber,0),1,1)*P554^INDEX(FlowCalConstB,MATCH(N549,FlowCalNumber,0),1,1)," ")</f>
        <v>#N/A</v>
      </c>
      <c r="R554" s="1224"/>
      <c r="S554" s="1217">
        <f t="shared" si="262"/>
        <v>1</v>
      </c>
      <c r="T554" s="1218" t="e">
        <f t="shared" ca="1" si="263"/>
        <v>#VALUE!</v>
      </c>
      <c r="U554" s="1219" t="e">
        <f ca="1">IF(AND(INDEX(FlowCalConstA,MATCH(R549,FlowCalNumber,0),1,1)*T554^INDEX(FlowCalConstB,MATCH(R549,FlowCalNumber,0),1,1)&gt;INDEX(FlowCalLowSetting,MATCH(R549,FlowCalNumber,0),1,1), (INDEX(FlowCalConstA,MATCH(R549,FlowCalNumber,0),1,1)*T554^INDEX(FlowCalConstB,MATCH(R549,FlowCalNumber,0),1,1)&lt;INDEX(FlowCalHighSetting,MATCH(R549,FlowCalNumber,0),1,1))),INDEX(FlowCalConstA,MATCH(R549,FlowCalNumber,0),1,1)*T554^INDEX(FlowCalConstB,MATCH(R549,FlowCalNumber,0),1,1)," ")</f>
        <v>#N/A</v>
      </c>
      <c r="V554" s="1224"/>
      <c r="W554" s="1217"/>
      <c r="X554" s="1218"/>
      <c r="Y554" s="1219"/>
      <c r="Z554" s="1224"/>
      <c r="AA554" s="1217"/>
      <c r="AB554" s="1218"/>
      <c r="AC554" s="1219"/>
      <c r="AD554" s="1224"/>
      <c r="AE554" s="1217"/>
      <c r="AF554" s="1218"/>
      <c r="AG554" s="1219"/>
      <c r="AH554" s="1224"/>
      <c r="AI554" s="1217"/>
      <c r="AJ554" s="1218"/>
      <c r="AK554" s="1220"/>
      <c r="AL554" s="1219"/>
      <c r="AM554" s="1219"/>
      <c r="AN554" s="1219"/>
      <c r="AO554" s="1219"/>
      <c r="AP554" s="1219"/>
      <c r="AQ554" s="1219"/>
      <c r="AR554" s="1219"/>
      <c r="AS554" s="1219"/>
      <c r="AT554" s="1219"/>
      <c r="AU554" s="1219"/>
      <c r="AV554" s="1219"/>
      <c r="AW554" s="1219"/>
      <c r="AX554" s="1219"/>
      <c r="AY554" s="1219"/>
      <c r="AZ554" s="1219"/>
      <c r="BA554" s="1219"/>
      <c r="BB554" s="1219"/>
      <c r="BC554" s="1219"/>
      <c r="BD554" s="1219"/>
      <c r="BE554" s="1219"/>
      <c r="BF554" s="1219"/>
      <c r="BG554" s="1219"/>
      <c r="BH554" s="1219"/>
      <c r="BI554" s="1219"/>
      <c r="BJ554" s="1219"/>
      <c r="BK554" s="1219"/>
      <c r="BL554" s="1219"/>
      <c r="BM554" s="1219"/>
      <c r="BN554" s="1219"/>
      <c r="BO554" s="1219"/>
      <c r="BP554" s="1219"/>
      <c r="BQ554" s="1219"/>
      <c r="BR554" s="1219"/>
      <c r="BS554" s="1219"/>
      <c r="BU554" s="1217"/>
      <c r="BW554" s="1219"/>
      <c r="BY554" s="1217"/>
      <c r="CA554" s="1219"/>
      <c r="CC554" s="1217"/>
      <c r="CE554" s="1219"/>
      <c r="CG554" s="1217"/>
      <c r="CI554" s="1219"/>
    </row>
    <row r="555" spans="1:87">
      <c r="A555" s="20"/>
      <c r="B555" s="124" t="str">
        <f t="shared" si="256"/>
        <v/>
      </c>
      <c r="C555" s="235"/>
      <c r="D555" s="24">
        <f>'1% Wind'!$M$87</f>
        <v>13.5</v>
      </c>
      <c r="E555" s="90"/>
      <c r="F555" s="90"/>
      <c r="G555" s="79">
        <f ca="1">IF(I549=0.9743,$G554,MAX(G554/D554*D555,2))</f>
        <v>2</v>
      </c>
      <c r="H555" s="121" t="e">
        <f t="shared" ca="1" si="257"/>
        <v>#VALUE!</v>
      </c>
      <c r="J555" s="33"/>
      <c r="K555" s="242">
        <f t="shared" si="258"/>
        <v>1</v>
      </c>
      <c r="L555" s="241" t="e">
        <f t="shared" ca="1" si="259"/>
        <v>#VALUE!</v>
      </c>
      <c r="M555" s="243" t="e">
        <f ca="1">IF(AND(INDEX(FlowCalConstA,MATCH(J549,FlowCalNumber,0),1,1)*L555^INDEX(FlowCalConstB,MATCH(J549,FlowCalNumber,0),1,1)&gt;INDEX(FlowCalLowSetting,MATCH(J549,FlowCalNumber,0),1,1), (INDEX(FlowCalConstA,MATCH(J549,FlowCalNumber,0),1,1)*L555^INDEX(FlowCalConstB,MATCH(J549,FlowCalNumber,0),1,1)&lt;INDEX(FlowCalHighSetting,MATCH(J549,FlowCalNumber,0),1,1))),INDEX(FlowCalConstA,MATCH(J549,FlowCalNumber,0),1,1)*L555^INDEX(FlowCalConstB,MATCH(J549,FlowCalNumber,0),1,1)," ")</f>
        <v>#N/A</v>
      </c>
      <c r="N555" s="33"/>
      <c r="O555" s="242">
        <f t="shared" si="260"/>
        <v>1</v>
      </c>
      <c r="P555" s="241" t="e">
        <f t="shared" ca="1" si="261"/>
        <v>#VALUE!</v>
      </c>
      <c r="Q555" s="243" t="e">
        <f ca="1">IF(AND(INDEX(FlowCalConstA,MATCH(N549,FlowCalNumber,0),1,1)*P555^INDEX(FlowCalConstB,MATCH(N549,FlowCalNumber,0),1,1)&gt;INDEX(FlowCalLowSetting,MATCH(N549,FlowCalNumber,0),1,1), (INDEX(FlowCalConstA,MATCH(N549,FlowCalNumber,0),1,1)*P555^INDEX(FlowCalConstB,MATCH(N549,FlowCalNumber,0),1,1)&lt;INDEX(FlowCalHighSetting,MATCH(N549,FlowCalNumber,0),1,1))),INDEX(FlowCalConstA,MATCH(N549,FlowCalNumber,0),1,1)*P555^INDEX(FlowCalConstB,MATCH(N549,FlowCalNumber,0),1,1)," ")</f>
        <v>#N/A</v>
      </c>
      <c r="R555" s="33"/>
      <c r="S555" s="242">
        <f t="shared" si="262"/>
        <v>1</v>
      </c>
      <c r="T555" s="241" t="e">
        <f t="shared" ca="1" si="263"/>
        <v>#VALUE!</v>
      </c>
      <c r="U555" s="243" t="e">
        <f ca="1">IF(AND(INDEX(FlowCalConstA,MATCH(R549,FlowCalNumber,0),1,1)*T555^INDEX(FlowCalConstB,MATCH(R549,FlowCalNumber,0),1,1)&gt;INDEX(FlowCalLowSetting,MATCH(R549,FlowCalNumber,0),1,1), (INDEX(FlowCalConstA,MATCH(R549,FlowCalNumber,0),1,1)*T555^INDEX(FlowCalConstB,MATCH(R549,FlowCalNumber,0),1,1)&lt;INDEX(FlowCalHighSetting,MATCH(R549,FlowCalNumber,0),1,1))),INDEX(FlowCalConstA,MATCH(R549,FlowCalNumber,0),1,1)*T555^INDEX(FlowCalConstB,MATCH(R549,FlowCalNumber,0),1,1)," ")</f>
        <v>#N/A</v>
      </c>
      <c r="V555" s="33"/>
      <c r="W555" s="242"/>
      <c r="X555" s="241"/>
      <c r="Y555" s="243"/>
      <c r="Z555" s="33"/>
      <c r="AA555" s="242"/>
      <c r="AB555" s="241"/>
      <c r="AC555" s="243"/>
      <c r="AD555" s="33"/>
      <c r="AE555" s="242"/>
      <c r="AF555" s="241"/>
      <c r="AG555" s="243"/>
      <c r="AH555" s="33"/>
      <c r="AI555" s="242"/>
      <c r="AJ555" s="241"/>
      <c r="AK555" s="244"/>
      <c r="AL555" s="243"/>
      <c r="AM555" s="243"/>
      <c r="AN555" s="243"/>
      <c r="AO555" s="243"/>
      <c r="AP555" s="243"/>
      <c r="AQ555" s="243"/>
      <c r="AR555" s="243"/>
      <c r="AS555" s="243"/>
      <c r="AT555" s="243"/>
      <c r="AU555" s="243"/>
      <c r="AV555" s="243"/>
      <c r="AW555" s="243"/>
      <c r="AX555" s="243"/>
      <c r="AY555" s="243"/>
      <c r="AZ555" s="243"/>
      <c r="BA555" s="243"/>
      <c r="BB555" s="243"/>
      <c r="BC555" s="243"/>
      <c r="BD555" s="243"/>
      <c r="BE555" s="243"/>
      <c r="BF555" s="243"/>
      <c r="BG555" s="243"/>
      <c r="BH555" s="243"/>
      <c r="BI555" s="243"/>
      <c r="BJ555" s="243"/>
      <c r="BK555" s="243"/>
      <c r="BL555" s="243"/>
      <c r="BM555" s="243"/>
      <c r="BN555" s="243"/>
      <c r="BO555" s="243"/>
      <c r="BP555" s="243"/>
      <c r="BQ555" s="243"/>
      <c r="BR555" s="243"/>
      <c r="BS555" s="243"/>
      <c r="BU555" s="242"/>
      <c r="BW555" s="243"/>
      <c r="BY555" s="242"/>
      <c r="CA555" s="243"/>
      <c r="CC555" s="242"/>
      <c r="CE555" s="243"/>
      <c r="CG555" s="242"/>
      <c r="CI555" s="243"/>
    </row>
    <row r="556" spans="1:87" s="1215" customFormat="1">
      <c r="A556" s="1222"/>
      <c r="B556" s="1223" t="str">
        <f t="shared" si="256"/>
        <v/>
      </c>
      <c r="C556" s="1210"/>
      <c r="D556" s="1211">
        <f>'1% Wind'!$M$88</f>
        <v>10.1</v>
      </c>
      <c r="E556" s="1212"/>
      <c r="F556" s="1212"/>
      <c r="G556" s="1213">
        <f ca="1">IF(I549=0.9743,$G555,MAX(G555/D555*D556,2))</f>
        <v>2</v>
      </c>
      <c r="H556" s="1214" t="e">
        <f t="shared" ca="1" si="257"/>
        <v>#VALUE!</v>
      </c>
      <c r="J556" s="1224"/>
      <c r="K556" s="1217">
        <f t="shared" si="258"/>
        <v>1</v>
      </c>
      <c r="L556" s="1218" t="e">
        <f t="shared" ca="1" si="259"/>
        <v>#VALUE!</v>
      </c>
      <c r="M556" s="1219" t="e">
        <f ca="1">IF(AND(INDEX(FlowCalConstA,MATCH(J549,FlowCalNumber,0),1,1)*L556^INDEX(FlowCalConstB,MATCH(J549,FlowCalNumber,0),1,1)&gt;INDEX(FlowCalLowSetting,MATCH(J549,FlowCalNumber,0),1,1), (INDEX(FlowCalConstA,MATCH(J549,FlowCalNumber,0),1,1)*L556^INDEX(FlowCalConstB,MATCH(J549,FlowCalNumber,0),1,1)&lt;INDEX(FlowCalHighSetting,MATCH(J549,FlowCalNumber,0),1,1))),INDEX(FlowCalConstA,MATCH(J549,FlowCalNumber,0),1,1)*L556^INDEX(FlowCalConstB,MATCH(J549,FlowCalNumber,0),1,1)," ")</f>
        <v>#N/A</v>
      </c>
      <c r="N556" s="1224"/>
      <c r="O556" s="1217">
        <f t="shared" si="260"/>
        <v>1</v>
      </c>
      <c r="P556" s="1218" t="e">
        <f t="shared" ca="1" si="261"/>
        <v>#VALUE!</v>
      </c>
      <c r="Q556" s="1219" t="e">
        <f ca="1">IF(AND(INDEX(FlowCalConstA,MATCH(N549,FlowCalNumber,0),1,1)*P556^INDEX(FlowCalConstB,MATCH(N549,FlowCalNumber,0),1,1)&gt;INDEX(FlowCalLowSetting,MATCH(N549,FlowCalNumber,0),1,1), (INDEX(FlowCalConstA,MATCH(N549,FlowCalNumber,0),1,1)*P556^INDEX(FlowCalConstB,MATCH(N549,FlowCalNumber,0),1,1)&lt;INDEX(FlowCalHighSetting,MATCH(N549,FlowCalNumber,0),1,1))),INDEX(FlowCalConstA,MATCH(N549,FlowCalNumber,0),1,1)*P556^INDEX(FlowCalConstB,MATCH(N549,FlowCalNumber,0),1,1)," ")</f>
        <v>#N/A</v>
      </c>
      <c r="R556" s="1224"/>
      <c r="S556" s="1217">
        <f t="shared" si="262"/>
        <v>1</v>
      </c>
      <c r="T556" s="1218" t="e">
        <f t="shared" ca="1" si="263"/>
        <v>#VALUE!</v>
      </c>
      <c r="U556" s="1219" t="e">
        <f ca="1">IF(AND(INDEX(FlowCalConstA,MATCH(R549,FlowCalNumber,0),1,1)*T556^INDEX(FlowCalConstB,MATCH(R549,FlowCalNumber,0),1,1)&gt;INDEX(FlowCalLowSetting,MATCH(R549,FlowCalNumber,0),1,1), (INDEX(FlowCalConstA,MATCH(R549,FlowCalNumber,0),1,1)*T556^INDEX(FlowCalConstB,MATCH(R549,FlowCalNumber,0),1,1)&lt;INDEX(FlowCalHighSetting,MATCH(R549,FlowCalNumber,0),1,1))),INDEX(FlowCalConstA,MATCH(R549,FlowCalNumber,0),1,1)*T556^INDEX(FlowCalConstB,MATCH(R549,FlowCalNumber,0),1,1)," ")</f>
        <v>#N/A</v>
      </c>
      <c r="V556" s="1224"/>
      <c r="W556" s="1217"/>
      <c r="X556" s="1218"/>
      <c r="Y556" s="1219"/>
      <c r="Z556" s="1224"/>
      <c r="AA556" s="1217"/>
      <c r="AB556" s="1218"/>
      <c r="AC556" s="1219"/>
      <c r="AD556" s="1224"/>
      <c r="AE556" s="1217"/>
      <c r="AF556" s="1218"/>
      <c r="AG556" s="1219"/>
      <c r="AH556" s="1224"/>
      <c r="AI556" s="1217"/>
      <c r="AJ556" s="1218"/>
      <c r="AK556" s="1220"/>
      <c r="AL556" s="1219"/>
      <c r="AM556" s="1219"/>
      <c r="AN556" s="1219"/>
      <c r="AO556" s="1219"/>
      <c r="AP556" s="1219"/>
      <c r="AQ556" s="1219"/>
      <c r="AR556" s="1219"/>
      <c r="AS556" s="1219"/>
      <c r="AT556" s="1219"/>
      <c r="AU556" s="1219"/>
      <c r="AV556" s="1219"/>
      <c r="AW556" s="1219"/>
      <c r="AX556" s="1219"/>
      <c r="AY556" s="1219"/>
      <c r="AZ556" s="1219"/>
      <c r="BA556" s="1219"/>
      <c r="BB556" s="1219"/>
      <c r="BC556" s="1219"/>
      <c r="BD556" s="1219"/>
      <c r="BE556" s="1219"/>
      <c r="BF556" s="1219"/>
      <c r="BG556" s="1219"/>
      <c r="BH556" s="1219"/>
      <c r="BI556" s="1219"/>
      <c r="BJ556" s="1219"/>
      <c r="BK556" s="1219"/>
      <c r="BL556" s="1219"/>
      <c r="BM556" s="1219"/>
      <c r="BN556" s="1219"/>
      <c r="BO556" s="1219"/>
      <c r="BP556" s="1219"/>
      <c r="BQ556" s="1219"/>
      <c r="BR556" s="1219"/>
      <c r="BS556" s="1219"/>
      <c r="BU556" s="1217"/>
      <c r="BW556" s="1219"/>
      <c r="BY556" s="1217"/>
      <c r="CA556" s="1219"/>
      <c r="CC556" s="1217"/>
      <c r="CE556" s="1219"/>
      <c r="CG556" s="1217"/>
      <c r="CI556" s="1219"/>
    </row>
    <row r="557" spans="1:87">
      <c r="A557" s="20"/>
      <c r="B557" s="124" t="str">
        <f t="shared" si="256"/>
        <v/>
      </c>
      <c r="C557" s="235"/>
      <c r="D557" s="24">
        <f>'1% Wind'!$M$89</f>
        <v>7.6</v>
      </c>
      <c r="E557" s="90"/>
      <c r="F557" s="90"/>
      <c r="G557" s="79">
        <f ca="1">IF(I549=0.9743,$G556,MAX(G556/D556*D557,2))</f>
        <v>2</v>
      </c>
      <c r="H557" s="121" t="e">
        <f t="shared" ca="1" si="257"/>
        <v>#VALUE!</v>
      </c>
      <c r="J557" s="33"/>
      <c r="K557" s="242">
        <f t="shared" si="258"/>
        <v>1</v>
      </c>
      <c r="L557" s="241" t="e">
        <f t="shared" ca="1" si="259"/>
        <v>#VALUE!</v>
      </c>
      <c r="M557" s="243" t="e">
        <f ca="1">IF(AND(INDEX(FlowCalConstA,MATCH(J549,FlowCalNumber,0),1,1)*L557^INDEX(FlowCalConstB,MATCH(J549,FlowCalNumber,0),1,1)&gt;INDEX(FlowCalLowSetting,MATCH(J549,FlowCalNumber,0),1,1), (INDEX(FlowCalConstA,MATCH(J549,FlowCalNumber,0),1,1)*L557^INDEX(FlowCalConstB,MATCH(J549,FlowCalNumber,0),1,1)&lt;INDEX(FlowCalHighSetting,MATCH(J549,FlowCalNumber,0),1,1))),INDEX(FlowCalConstA,MATCH(J549,FlowCalNumber,0),1,1)*L557^INDEX(FlowCalConstB,MATCH(J549,FlowCalNumber,0),1,1)," ")</f>
        <v>#N/A</v>
      </c>
      <c r="N557" s="33"/>
      <c r="O557" s="242">
        <f t="shared" si="260"/>
        <v>1</v>
      </c>
      <c r="P557" s="241" t="e">
        <f t="shared" ca="1" si="261"/>
        <v>#VALUE!</v>
      </c>
      <c r="Q557" s="243" t="e">
        <f ca="1">IF(AND(INDEX(FlowCalConstA,MATCH(N549,FlowCalNumber,0),1,1)*P557^INDEX(FlowCalConstB,MATCH(N549,FlowCalNumber,0),1,1)&gt;INDEX(FlowCalLowSetting,MATCH(N549,FlowCalNumber,0),1,1), (INDEX(FlowCalConstA,MATCH(N549,FlowCalNumber,0),1,1)*P557^INDEX(FlowCalConstB,MATCH(N549,FlowCalNumber,0),1,1)&lt;INDEX(FlowCalHighSetting,MATCH(N549,FlowCalNumber,0),1,1))),INDEX(FlowCalConstA,MATCH(N549,FlowCalNumber,0),1,1)*P557^INDEX(FlowCalConstB,MATCH(N549,FlowCalNumber,0),1,1)," ")</f>
        <v>#N/A</v>
      </c>
      <c r="R557" s="33"/>
      <c r="S557" s="242">
        <f t="shared" si="262"/>
        <v>1</v>
      </c>
      <c r="T557" s="241" t="e">
        <f t="shared" ca="1" si="263"/>
        <v>#VALUE!</v>
      </c>
      <c r="U557" s="243" t="e">
        <f ca="1">IF(AND(INDEX(FlowCalConstA,MATCH(R549,FlowCalNumber,0),1,1)*T557^INDEX(FlowCalConstB,MATCH(R549,FlowCalNumber,0),1,1)&gt;INDEX(FlowCalLowSetting,MATCH(R549,FlowCalNumber,0),1,1), (INDEX(FlowCalConstA,MATCH(R549,FlowCalNumber,0),1,1)*T557^INDEX(FlowCalConstB,MATCH(R549,FlowCalNumber,0),1,1)&lt;INDEX(FlowCalHighSetting,MATCH(R549,FlowCalNumber,0),1,1))),INDEX(FlowCalConstA,MATCH(R549,FlowCalNumber,0),1,1)*T557^INDEX(FlowCalConstB,MATCH(R549,FlowCalNumber,0),1,1)," ")</f>
        <v>#N/A</v>
      </c>
      <c r="V557" s="33"/>
      <c r="W557" s="242"/>
      <c r="X557" s="241"/>
      <c r="Y557" s="243"/>
      <c r="Z557" s="33"/>
      <c r="AA557" s="242"/>
      <c r="AB557" s="241"/>
      <c r="AC557" s="243"/>
      <c r="AD557" s="33"/>
      <c r="AE557" s="242"/>
      <c r="AF557" s="241"/>
      <c r="AG557" s="243"/>
      <c r="AH557" s="33"/>
      <c r="AI557" s="242"/>
      <c r="AJ557" s="241"/>
      <c r="AK557" s="244"/>
      <c r="AL557" s="243"/>
      <c r="AM557" s="243"/>
      <c r="AN557" s="243"/>
      <c r="AO557" s="243"/>
      <c r="AP557" s="243"/>
      <c r="AQ557" s="243"/>
      <c r="AR557" s="243"/>
      <c r="AS557" s="243"/>
      <c r="AT557" s="243"/>
      <c r="AU557" s="243"/>
      <c r="AV557" s="243"/>
      <c r="AW557" s="243"/>
      <c r="AX557" s="243"/>
      <c r="AY557" s="243"/>
      <c r="AZ557" s="243"/>
      <c r="BA557" s="243"/>
      <c r="BB557" s="243"/>
      <c r="BC557" s="243"/>
      <c r="BD557" s="243"/>
      <c r="BE557" s="243"/>
      <c r="BF557" s="243"/>
      <c r="BG557" s="243"/>
      <c r="BH557" s="243"/>
      <c r="BI557" s="243"/>
      <c r="BJ557" s="243"/>
      <c r="BK557" s="243"/>
      <c r="BL557" s="243"/>
      <c r="BM557" s="243"/>
      <c r="BN557" s="243"/>
      <c r="BO557" s="243"/>
      <c r="BP557" s="243"/>
      <c r="BQ557" s="243"/>
      <c r="BR557" s="243"/>
      <c r="BS557" s="243"/>
      <c r="BU557" s="242"/>
      <c r="BW557" s="243"/>
      <c r="BY557" s="242"/>
      <c r="CA557" s="243"/>
      <c r="CC557" s="242"/>
      <c r="CE557" s="243"/>
      <c r="CG557" s="242"/>
      <c r="CI557" s="243"/>
    </row>
    <row r="558" spans="1:87" s="1215" customFormat="1">
      <c r="A558" s="1222"/>
      <c r="B558" s="1223" t="str">
        <f t="shared" si="256"/>
        <v/>
      </c>
      <c r="C558" s="1210"/>
      <c r="D558" s="1211">
        <f>'1% Wind'!$M$90</f>
        <v>5.7</v>
      </c>
      <c r="E558" s="1212"/>
      <c r="F558" s="1212"/>
      <c r="G558" s="1213">
        <f ca="1">IF(I549=0.9743,$G557,MAX(G557/D557*D558,2))</f>
        <v>2</v>
      </c>
      <c r="H558" s="1214" t="e">
        <f t="shared" ca="1" si="257"/>
        <v>#VALUE!</v>
      </c>
      <c r="J558" s="1224"/>
      <c r="K558" s="1217">
        <f t="shared" si="258"/>
        <v>1</v>
      </c>
      <c r="L558" s="1218" t="e">
        <f t="shared" ca="1" si="259"/>
        <v>#VALUE!</v>
      </c>
      <c r="M558" s="1219" t="e">
        <f ca="1">IF(AND(INDEX(FlowCalConstA,MATCH(J549,FlowCalNumber,0),1,1)*L558^INDEX(FlowCalConstB,MATCH(J549,FlowCalNumber,0),1,1)&gt;INDEX(FlowCalLowSetting,MATCH(J549,FlowCalNumber,0),1,1), (INDEX(FlowCalConstA,MATCH(J549,FlowCalNumber,0),1,1)*L558^INDEX(FlowCalConstB,MATCH(J549,FlowCalNumber,0),1,1)&lt;INDEX(FlowCalHighSetting,MATCH(J549,FlowCalNumber,0),1,1))),INDEX(FlowCalConstA,MATCH(J549,FlowCalNumber,0),1,1)*L558^INDEX(FlowCalConstB,MATCH(J549,FlowCalNumber,0),1,1)," ")</f>
        <v>#N/A</v>
      </c>
      <c r="N558" s="1224"/>
      <c r="O558" s="1217">
        <f t="shared" si="260"/>
        <v>1</v>
      </c>
      <c r="P558" s="1218" t="e">
        <f t="shared" ca="1" si="261"/>
        <v>#VALUE!</v>
      </c>
      <c r="Q558" s="1219" t="e">
        <f ca="1">IF(AND(INDEX(FlowCalConstA,MATCH(N549,FlowCalNumber,0),1,1)*P558^INDEX(FlowCalConstB,MATCH(N549,FlowCalNumber,0),1,1)&gt;INDEX(FlowCalLowSetting,MATCH(N549,FlowCalNumber,0),1,1), (INDEX(FlowCalConstA,MATCH(N549,FlowCalNumber,0),1,1)*P558^INDEX(FlowCalConstB,MATCH(N549,FlowCalNumber,0),1,1)&lt;INDEX(FlowCalHighSetting,MATCH(N549,FlowCalNumber,0),1,1))),INDEX(FlowCalConstA,MATCH(N549,FlowCalNumber,0),1,1)*P558^INDEX(FlowCalConstB,MATCH(N549,FlowCalNumber,0),1,1)," ")</f>
        <v>#N/A</v>
      </c>
      <c r="R558" s="1224"/>
      <c r="S558" s="1217">
        <f t="shared" si="262"/>
        <v>1</v>
      </c>
      <c r="T558" s="1218" t="e">
        <f t="shared" ca="1" si="263"/>
        <v>#VALUE!</v>
      </c>
      <c r="U558" s="1219" t="e">
        <f ca="1">IF(AND(INDEX(FlowCalConstA,MATCH(R549,FlowCalNumber,0),1,1)*T558^INDEX(FlowCalConstB,MATCH(R549,FlowCalNumber,0),1,1)&gt;INDEX(FlowCalLowSetting,MATCH(R549,FlowCalNumber,0),1,1), (INDEX(FlowCalConstA,MATCH(R549,FlowCalNumber,0),1,1)*T558^INDEX(FlowCalConstB,MATCH(R549,FlowCalNumber,0),1,1)&lt;INDEX(FlowCalHighSetting,MATCH(R549,FlowCalNumber,0),1,1))),INDEX(FlowCalConstA,MATCH(R549,FlowCalNumber,0),1,1)*T558^INDEX(FlowCalConstB,MATCH(R549,FlowCalNumber,0),1,1)," ")</f>
        <v>#N/A</v>
      </c>
      <c r="V558" s="1224"/>
      <c r="W558" s="1217"/>
      <c r="X558" s="1218"/>
      <c r="Y558" s="1219"/>
      <c r="Z558" s="1224"/>
      <c r="AA558" s="1217"/>
      <c r="AB558" s="1218"/>
      <c r="AC558" s="1219"/>
      <c r="AD558" s="1224"/>
      <c r="AE558" s="1217"/>
      <c r="AF558" s="1218"/>
      <c r="AG558" s="1219"/>
      <c r="AH558" s="1224"/>
      <c r="AI558" s="1217"/>
      <c r="AJ558" s="1218"/>
      <c r="AK558" s="1220"/>
      <c r="AL558" s="1219"/>
      <c r="AM558" s="1219"/>
      <c r="AN558" s="1219"/>
      <c r="AO558" s="1219"/>
      <c r="AP558" s="1219"/>
      <c r="AQ558" s="1219"/>
      <c r="AR558" s="1219"/>
      <c r="AS558" s="1219"/>
      <c r="AT558" s="1219"/>
      <c r="AU558" s="1219"/>
      <c r="AV558" s="1219"/>
      <c r="AW558" s="1219"/>
      <c r="AX558" s="1219"/>
      <c r="AY558" s="1219"/>
      <c r="AZ558" s="1219"/>
      <c r="BA558" s="1219"/>
      <c r="BB558" s="1219"/>
      <c r="BC558" s="1219"/>
      <c r="BD558" s="1219"/>
      <c r="BE558" s="1219"/>
      <c r="BF558" s="1219"/>
      <c r="BG558" s="1219"/>
      <c r="BH558" s="1219"/>
      <c r="BI558" s="1219"/>
      <c r="BJ558" s="1219"/>
      <c r="BK558" s="1219"/>
      <c r="BL558" s="1219"/>
      <c r="BM558" s="1219"/>
      <c r="BN558" s="1219"/>
      <c r="BO558" s="1219"/>
      <c r="BP558" s="1219"/>
      <c r="BQ558" s="1219"/>
      <c r="BR558" s="1219"/>
      <c r="BS558" s="1219"/>
      <c r="BU558" s="1217"/>
      <c r="BW558" s="1219"/>
      <c r="BY558" s="1217"/>
      <c r="CA558" s="1219"/>
      <c r="CC558" s="1217"/>
      <c r="CE558" s="1219"/>
      <c r="CG558" s="1217"/>
      <c r="CI558" s="1219"/>
    </row>
    <row r="559" spans="1:87">
      <c r="A559" s="20"/>
      <c r="B559" s="124" t="str">
        <f t="shared" si="256"/>
        <v/>
      </c>
      <c r="C559" s="235"/>
      <c r="D559" s="24">
        <f>'1% Wind'!$M$91</f>
        <v>4.2</v>
      </c>
      <c r="E559" s="90"/>
      <c r="F559" s="90"/>
      <c r="G559" s="79">
        <f ca="1">IF(I549=0.9743,$G558,MAX(G558/D558*D559,2))</f>
        <v>2</v>
      </c>
      <c r="H559" s="121" t="e">
        <f t="shared" ca="1" si="257"/>
        <v>#VALUE!</v>
      </c>
      <c r="J559" s="33"/>
      <c r="K559" s="242">
        <f t="shared" si="258"/>
        <v>1</v>
      </c>
      <c r="L559" s="241" t="e">
        <f t="shared" ca="1" si="259"/>
        <v>#VALUE!</v>
      </c>
      <c r="M559" s="243" t="e">
        <f ca="1">IF(AND(INDEX(FlowCalConstA,MATCH(J549,FlowCalNumber,0),1,1)*L559^INDEX(FlowCalConstB,MATCH(J549,FlowCalNumber,0),1,1)&gt;INDEX(FlowCalLowSetting,MATCH(J549,FlowCalNumber,0),1,1), (INDEX(FlowCalConstA,MATCH(J549,FlowCalNumber,0),1,1)*L559^INDEX(FlowCalConstB,MATCH(J549,FlowCalNumber,0),1,1)&lt;INDEX(FlowCalHighSetting,MATCH(J549,FlowCalNumber,0),1,1))),INDEX(FlowCalConstA,MATCH(J549,FlowCalNumber,0),1,1)*L559^INDEX(FlowCalConstB,MATCH(J549,FlowCalNumber,0),1,1)," ")</f>
        <v>#N/A</v>
      </c>
      <c r="N559" s="33"/>
      <c r="O559" s="242">
        <f t="shared" si="260"/>
        <v>1</v>
      </c>
      <c r="P559" s="241" t="e">
        <f t="shared" ca="1" si="261"/>
        <v>#VALUE!</v>
      </c>
      <c r="Q559" s="243" t="e">
        <f ca="1">IF(AND(INDEX(FlowCalConstA,MATCH(N549,FlowCalNumber,0),1,1)*P559^INDEX(FlowCalConstB,MATCH(N549,FlowCalNumber,0),1,1)&gt;INDEX(FlowCalLowSetting,MATCH(N549,FlowCalNumber,0),1,1), (INDEX(FlowCalConstA,MATCH(N549,FlowCalNumber,0),1,1)*P559^INDEX(FlowCalConstB,MATCH(N549,FlowCalNumber,0),1,1)&lt;INDEX(FlowCalHighSetting,MATCH(N549,FlowCalNumber,0),1,1))),INDEX(FlowCalConstA,MATCH(N549,FlowCalNumber,0),1,1)*P559^INDEX(FlowCalConstB,MATCH(N549,FlowCalNumber,0),1,1)," ")</f>
        <v>#N/A</v>
      </c>
      <c r="R559" s="33"/>
      <c r="S559" s="242">
        <f t="shared" si="262"/>
        <v>1</v>
      </c>
      <c r="T559" s="241" t="e">
        <f t="shared" ca="1" si="263"/>
        <v>#VALUE!</v>
      </c>
      <c r="U559" s="243" t="e">
        <f ca="1">IF(AND(INDEX(FlowCalConstA,MATCH(R549,FlowCalNumber,0),1,1)*T559^INDEX(FlowCalConstB,MATCH(R549,FlowCalNumber,0),1,1)&gt;INDEX(FlowCalLowSetting,MATCH(R549,FlowCalNumber,0),1,1), (INDEX(FlowCalConstA,MATCH(R549,FlowCalNumber,0),1,1)*T559^INDEX(FlowCalConstB,MATCH(R549,FlowCalNumber,0),1,1)&lt;INDEX(FlowCalHighSetting,MATCH(R549,FlowCalNumber,0),1,1))),INDEX(FlowCalConstA,MATCH(R549,FlowCalNumber,0),1,1)*T559^INDEX(FlowCalConstB,MATCH(R549,FlowCalNumber,0),1,1)," ")</f>
        <v>#N/A</v>
      </c>
      <c r="V559" s="33"/>
      <c r="W559" s="242"/>
      <c r="X559" s="241"/>
      <c r="Y559" s="243"/>
      <c r="Z559" s="33"/>
      <c r="AA559" s="242"/>
      <c r="AB559" s="241"/>
      <c r="AC559" s="243"/>
      <c r="AD559" s="33"/>
      <c r="AE559" s="242"/>
      <c r="AF559" s="241"/>
      <c r="AG559" s="243"/>
      <c r="AH559" s="33"/>
      <c r="AI559" s="242"/>
      <c r="AJ559" s="241"/>
      <c r="AK559" s="244"/>
      <c r="AL559" s="243"/>
      <c r="AM559" s="243"/>
      <c r="AN559" s="243"/>
      <c r="AO559" s="243"/>
      <c r="AP559" s="243"/>
      <c r="AQ559" s="243"/>
      <c r="AR559" s="243"/>
      <c r="AS559" s="243"/>
      <c r="AT559" s="243"/>
      <c r="AU559" s="243"/>
      <c r="AV559" s="243"/>
      <c r="AW559" s="243"/>
      <c r="AX559" s="243"/>
      <c r="AY559" s="243"/>
      <c r="AZ559" s="243"/>
      <c r="BA559" s="243"/>
      <c r="BB559" s="243"/>
      <c r="BC559" s="243"/>
      <c r="BD559" s="243"/>
      <c r="BE559" s="243"/>
      <c r="BF559" s="243"/>
      <c r="BG559" s="243"/>
      <c r="BH559" s="243"/>
      <c r="BI559" s="243"/>
      <c r="BJ559" s="243"/>
      <c r="BK559" s="243"/>
      <c r="BL559" s="243"/>
      <c r="BM559" s="243"/>
      <c r="BN559" s="243"/>
      <c r="BO559" s="243"/>
      <c r="BP559" s="243"/>
      <c r="BQ559" s="243"/>
      <c r="BR559" s="243"/>
      <c r="BS559" s="243"/>
      <c r="BU559" s="242"/>
      <c r="BW559" s="243"/>
      <c r="BY559" s="242"/>
      <c r="CA559" s="243"/>
      <c r="CC559" s="242"/>
      <c r="CE559" s="243"/>
      <c r="CG559" s="242"/>
      <c r="CI559" s="243"/>
    </row>
    <row r="560" spans="1:87" s="1215" customFormat="1">
      <c r="A560" s="1222"/>
      <c r="B560" s="1223" t="str">
        <f t="shared" si="256"/>
        <v/>
      </c>
      <c r="C560" s="1210"/>
      <c r="D560" s="1211">
        <f>'1% Wind'!$M$92</f>
        <v>3.2</v>
      </c>
      <c r="E560" s="1212"/>
      <c r="F560" s="1212"/>
      <c r="G560" s="1213">
        <f ca="1">IF(I549=0.9743,$G559,MAX(G559/D559*D560,2))</f>
        <v>2</v>
      </c>
      <c r="H560" s="1214" t="e">
        <f t="shared" ca="1" si="257"/>
        <v>#VALUE!</v>
      </c>
      <c r="J560" s="1224"/>
      <c r="K560" s="1217">
        <f t="shared" si="258"/>
        <v>1</v>
      </c>
      <c r="L560" s="1218" t="e">
        <f t="shared" ca="1" si="259"/>
        <v>#VALUE!</v>
      </c>
      <c r="M560" s="1219" t="e">
        <f ca="1">IF(AND(INDEX(FlowCalConstA,MATCH(J549,FlowCalNumber,0),1,1)*L560^INDEX(FlowCalConstB,MATCH(J549,FlowCalNumber,0),1,1)&gt;INDEX(FlowCalLowSetting,MATCH(J549,FlowCalNumber,0),1,1), (INDEX(FlowCalConstA,MATCH(J549,FlowCalNumber,0),1,1)*L560^INDEX(FlowCalConstB,MATCH(J549,FlowCalNumber,0),1,1)&lt;INDEX(FlowCalHighSetting,MATCH(J549,FlowCalNumber,0),1,1))),INDEX(FlowCalConstA,MATCH(J549,FlowCalNumber,0),1,1)*L560^INDEX(FlowCalConstB,MATCH(J549,FlowCalNumber,0),1,1)," ")</f>
        <v>#N/A</v>
      </c>
      <c r="N560" s="1224"/>
      <c r="O560" s="1217">
        <f t="shared" si="260"/>
        <v>1</v>
      </c>
      <c r="P560" s="1218" t="e">
        <f t="shared" ca="1" si="261"/>
        <v>#VALUE!</v>
      </c>
      <c r="Q560" s="1219" t="e">
        <f ca="1">IF(AND(INDEX(FlowCalConstA,MATCH(N549,FlowCalNumber,0),1,1)*P560^INDEX(FlowCalConstB,MATCH(N549,FlowCalNumber,0),1,1)&gt;INDEX(FlowCalLowSetting,MATCH(N549,FlowCalNumber,0),1,1), (INDEX(FlowCalConstA,MATCH(N549,FlowCalNumber,0),1,1)*P560^INDEX(FlowCalConstB,MATCH(N549,FlowCalNumber,0),1,1)&lt;INDEX(FlowCalHighSetting,MATCH(N549,FlowCalNumber,0),1,1))),INDEX(FlowCalConstA,MATCH(N549,FlowCalNumber,0),1,1)*P560^INDEX(FlowCalConstB,MATCH(N549,FlowCalNumber,0),1,1)," ")</f>
        <v>#N/A</v>
      </c>
      <c r="R560" s="1224"/>
      <c r="S560" s="1217">
        <f t="shared" si="262"/>
        <v>1</v>
      </c>
      <c r="T560" s="1218" t="e">
        <f t="shared" ca="1" si="263"/>
        <v>#VALUE!</v>
      </c>
      <c r="U560" s="1219" t="e">
        <f ca="1">IF(AND(INDEX(FlowCalConstA,MATCH(R549,FlowCalNumber,0),1,1)*T560^INDEX(FlowCalConstB,MATCH(R549,FlowCalNumber,0),1,1)&gt;INDEX(FlowCalLowSetting,MATCH(R549,FlowCalNumber,0),1,1), (INDEX(FlowCalConstA,MATCH(R549,FlowCalNumber,0),1,1)*T560^INDEX(FlowCalConstB,MATCH(R549,FlowCalNumber,0),1,1)&lt;INDEX(FlowCalHighSetting,MATCH(R549,FlowCalNumber,0),1,1))),INDEX(FlowCalConstA,MATCH(R549,FlowCalNumber,0),1,1)*T560^INDEX(FlowCalConstB,MATCH(R549,FlowCalNumber,0),1,1)," ")</f>
        <v>#N/A</v>
      </c>
      <c r="V560" s="1224"/>
      <c r="W560" s="1217"/>
      <c r="X560" s="1218"/>
      <c r="Y560" s="1219"/>
      <c r="Z560" s="1224"/>
      <c r="AA560" s="1217"/>
      <c r="AB560" s="1218"/>
      <c r="AC560" s="1219"/>
      <c r="AD560" s="1224"/>
      <c r="AE560" s="1217"/>
      <c r="AF560" s="1218"/>
      <c r="AG560" s="1219"/>
      <c r="AH560" s="1224"/>
      <c r="AI560" s="1217"/>
      <c r="AJ560" s="1218"/>
      <c r="AK560" s="1220"/>
      <c r="AL560" s="1219"/>
      <c r="AM560" s="1219"/>
      <c r="AN560" s="1219"/>
      <c r="AO560" s="1219"/>
      <c r="AP560" s="1219"/>
      <c r="AQ560" s="1219"/>
      <c r="AR560" s="1219"/>
      <c r="AS560" s="1219"/>
      <c r="AT560" s="1219"/>
      <c r="AU560" s="1219"/>
      <c r="AV560" s="1219"/>
      <c r="AW560" s="1219"/>
      <c r="AX560" s="1219"/>
      <c r="AY560" s="1219"/>
      <c r="AZ560" s="1219"/>
      <c r="BA560" s="1219"/>
      <c r="BB560" s="1219"/>
      <c r="BC560" s="1219"/>
      <c r="BD560" s="1219"/>
      <c r="BE560" s="1219"/>
      <c r="BF560" s="1219"/>
      <c r="BG560" s="1219"/>
      <c r="BH560" s="1219"/>
      <c r="BI560" s="1219"/>
      <c r="BJ560" s="1219"/>
      <c r="BK560" s="1219"/>
      <c r="BL560" s="1219"/>
      <c r="BM560" s="1219"/>
      <c r="BN560" s="1219"/>
      <c r="BO560" s="1219"/>
      <c r="BP560" s="1219"/>
      <c r="BQ560" s="1219"/>
      <c r="BR560" s="1219"/>
      <c r="BS560" s="1219"/>
      <c r="BU560" s="1217"/>
      <c r="BW560" s="1219"/>
      <c r="BY560" s="1217"/>
      <c r="CA560" s="1219"/>
      <c r="CC560" s="1217"/>
      <c r="CE560" s="1219"/>
      <c r="CG560" s="1217"/>
      <c r="CI560" s="1219"/>
    </row>
    <row r="561" spans="1:87">
      <c r="A561" s="20"/>
      <c r="B561" s="124" t="str">
        <f t="shared" si="256"/>
        <v/>
      </c>
      <c r="C561" s="235"/>
      <c r="D561" s="24">
        <f>'1% Wind'!$M$93</f>
        <v>2.4</v>
      </c>
      <c r="E561" s="90"/>
      <c r="F561" s="90"/>
      <c r="G561" s="79">
        <f ca="1">IF(I549=0.9743,$G560,MAX(G560/D560*D561,2))</f>
        <v>2</v>
      </c>
      <c r="H561" s="121" t="e">
        <f t="shared" ca="1" si="257"/>
        <v>#VALUE!</v>
      </c>
      <c r="J561" s="33"/>
      <c r="K561" s="242">
        <f t="shared" si="258"/>
        <v>1</v>
      </c>
      <c r="L561" s="241" t="e">
        <f t="shared" ca="1" si="259"/>
        <v>#VALUE!</v>
      </c>
      <c r="M561" s="243" t="e">
        <f ca="1">IF(AND(INDEX(FlowCalConstA,MATCH(J549,FlowCalNumber,0),1,1)*L561^INDEX(FlowCalConstB,MATCH(J549,FlowCalNumber,0),1,1)&gt;INDEX(FlowCalLowSetting,MATCH(J549,FlowCalNumber,0),1,1), (INDEX(FlowCalConstA,MATCH(J549,FlowCalNumber,0),1,1)*L561^INDEX(FlowCalConstB,MATCH(J549,FlowCalNumber,0),1,1)&lt;INDEX(FlowCalHighSetting,MATCH(J549,FlowCalNumber,0),1,1))),INDEX(FlowCalConstA,MATCH(J549,FlowCalNumber,0),1,1)*L561^INDEX(FlowCalConstB,MATCH(J549,FlowCalNumber,0),1,1)," ")</f>
        <v>#N/A</v>
      </c>
      <c r="N561" s="33"/>
      <c r="O561" s="242">
        <f t="shared" si="260"/>
        <v>1</v>
      </c>
      <c r="P561" s="241" t="e">
        <f t="shared" ca="1" si="261"/>
        <v>#VALUE!</v>
      </c>
      <c r="Q561" s="243" t="e">
        <f ca="1">IF(AND(INDEX(FlowCalConstA,MATCH(N549,FlowCalNumber,0),1,1)*P561^INDEX(FlowCalConstB,MATCH(N549,FlowCalNumber,0),1,1)&gt;INDEX(FlowCalLowSetting,MATCH(N549,FlowCalNumber,0),1,1), (INDEX(FlowCalConstA,MATCH(N549,FlowCalNumber,0),1,1)*P561^INDEX(FlowCalConstB,MATCH(N549,FlowCalNumber,0),1,1)&lt;INDEX(FlowCalHighSetting,MATCH(N549,FlowCalNumber,0),1,1))),INDEX(FlowCalConstA,MATCH(N549,FlowCalNumber,0),1,1)*P561^INDEX(FlowCalConstB,MATCH(N549,FlowCalNumber,0),1,1)," ")</f>
        <v>#N/A</v>
      </c>
      <c r="R561" s="33"/>
      <c r="S561" s="242">
        <f t="shared" si="262"/>
        <v>1</v>
      </c>
      <c r="T561" s="241" t="e">
        <f t="shared" ca="1" si="263"/>
        <v>#VALUE!</v>
      </c>
      <c r="U561" s="243" t="e">
        <f ca="1">IF(AND(INDEX(FlowCalConstA,MATCH(R549,FlowCalNumber,0),1,1)*T561^INDEX(FlowCalConstB,MATCH(R549,FlowCalNumber,0),1,1)&gt;INDEX(FlowCalLowSetting,MATCH(R549,FlowCalNumber,0),1,1), (INDEX(FlowCalConstA,MATCH(R549,FlowCalNumber,0),1,1)*T561^INDEX(FlowCalConstB,MATCH(R549,FlowCalNumber,0),1,1)&lt;INDEX(FlowCalHighSetting,MATCH(R549,FlowCalNumber,0),1,1))),INDEX(FlowCalConstA,MATCH(R549,FlowCalNumber,0),1,1)*T561^INDEX(FlowCalConstB,MATCH(R549,FlowCalNumber,0),1,1)," ")</f>
        <v>#N/A</v>
      </c>
      <c r="V561" s="33"/>
      <c r="W561" s="242"/>
      <c r="X561" s="241"/>
      <c r="Y561" s="243"/>
      <c r="Z561" s="33"/>
      <c r="AA561" s="242"/>
      <c r="AB561" s="241"/>
      <c r="AC561" s="243"/>
      <c r="AD561" s="33"/>
      <c r="AE561" s="242"/>
      <c r="AF561" s="241"/>
      <c r="AG561" s="243"/>
      <c r="AH561" s="33"/>
      <c r="AI561" s="242"/>
      <c r="AJ561" s="241"/>
      <c r="AK561" s="244"/>
      <c r="AL561" s="243"/>
      <c r="AM561" s="243"/>
      <c r="AN561" s="243"/>
      <c r="AO561" s="243"/>
      <c r="AP561" s="243"/>
      <c r="AQ561" s="243"/>
      <c r="AR561" s="243"/>
      <c r="AS561" s="243"/>
      <c r="AT561" s="243"/>
      <c r="AU561" s="243"/>
      <c r="AV561" s="243"/>
      <c r="AW561" s="243"/>
      <c r="AX561" s="243"/>
      <c r="AY561" s="243"/>
      <c r="AZ561" s="243"/>
      <c r="BA561" s="243"/>
      <c r="BB561" s="243"/>
      <c r="BC561" s="243"/>
      <c r="BD561" s="243"/>
      <c r="BE561" s="243"/>
      <c r="BF561" s="243"/>
      <c r="BG561" s="243"/>
      <c r="BH561" s="243"/>
      <c r="BI561" s="243"/>
      <c r="BJ561" s="243"/>
      <c r="BK561" s="243"/>
      <c r="BL561" s="243"/>
      <c r="BM561" s="243"/>
      <c r="BN561" s="243"/>
      <c r="BO561" s="243"/>
      <c r="BP561" s="243"/>
      <c r="BQ561" s="243"/>
      <c r="BR561" s="243"/>
      <c r="BS561" s="243"/>
      <c r="BU561" s="242"/>
      <c r="BW561" s="243"/>
      <c r="BY561" s="242"/>
      <c r="CA561" s="243"/>
      <c r="CC561" s="242"/>
      <c r="CE561" s="243"/>
      <c r="CG561" s="242"/>
      <c r="CI561" s="243"/>
    </row>
    <row r="562" spans="1:87" s="1215" customFormat="1">
      <c r="A562" s="1222"/>
      <c r="B562" s="1223" t="str">
        <f t="shared" si="256"/>
        <v/>
      </c>
      <c r="C562" s="1210"/>
      <c r="D562" s="1211">
        <f>'1% Wind'!$M$94</f>
        <v>1.8</v>
      </c>
      <c r="E562" s="1212"/>
      <c r="F562" s="1212"/>
      <c r="G562" s="1213">
        <f ca="1">IF(I549=0.9743,$G561,MAX(G561/D561*D562,2))</f>
        <v>2</v>
      </c>
      <c r="H562" s="1214" t="e">
        <f t="shared" ca="1" si="257"/>
        <v>#VALUE!</v>
      </c>
      <c r="J562" s="1224"/>
      <c r="K562" s="1217">
        <f t="shared" si="258"/>
        <v>1</v>
      </c>
      <c r="L562" s="1218" t="e">
        <f t="shared" ca="1" si="259"/>
        <v>#VALUE!</v>
      </c>
      <c r="M562" s="1219" t="e">
        <f ca="1">IF(AND(INDEX(FlowCalConstA,MATCH(J549,FlowCalNumber,0),1,1)*L562^INDEX(FlowCalConstB,MATCH(J549,FlowCalNumber,0),1,1)&gt;INDEX(FlowCalLowSetting,MATCH(J549,FlowCalNumber,0),1,1), (INDEX(FlowCalConstA,MATCH(J549,FlowCalNumber,0),1,1)*L562^INDEX(FlowCalConstB,MATCH(J549,FlowCalNumber,0),1,1)&lt;INDEX(FlowCalHighSetting,MATCH(J549,FlowCalNumber,0),1,1))),INDEX(FlowCalConstA,MATCH(J549,FlowCalNumber,0),1,1)*L562^INDEX(FlowCalConstB,MATCH(J549,FlowCalNumber,0),1,1)," ")</f>
        <v>#N/A</v>
      </c>
      <c r="N562" s="1224"/>
      <c r="O562" s="1217">
        <f t="shared" si="260"/>
        <v>1</v>
      </c>
      <c r="P562" s="1218" t="e">
        <f t="shared" ca="1" si="261"/>
        <v>#VALUE!</v>
      </c>
      <c r="Q562" s="1219" t="e">
        <f ca="1">IF(AND(INDEX(FlowCalConstA,MATCH(N549,FlowCalNumber,0),1,1)*P562^INDEX(FlowCalConstB,MATCH(N549,FlowCalNumber,0),1,1)&gt;INDEX(FlowCalLowSetting,MATCH(N549,FlowCalNumber,0),1,1), (INDEX(FlowCalConstA,MATCH(N549,FlowCalNumber,0),1,1)*P562^INDEX(FlowCalConstB,MATCH(N549,FlowCalNumber,0),1,1)&lt;INDEX(FlowCalHighSetting,MATCH(N549,FlowCalNumber,0),1,1))),INDEX(FlowCalConstA,MATCH(N549,FlowCalNumber,0),1,1)*P562^INDEX(FlowCalConstB,MATCH(N549,FlowCalNumber,0),1,1)," ")</f>
        <v>#N/A</v>
      </c>
      <c r="R562" s="1224"/>
      <c r="S562" s="1217">
        <f t="shared" si="262"/>
        <v>1</v>
      </c>
      <c r="T562" s="1218" t="e">
        <f t="shared" ca="1" si="263"/>
        <v>#VALUE!</v>
      </c>
      <c r="U562" s="1219" t="e">
        <f ca="1">IF(AND(INDEX(FlowCalConstA,MATCH(R549,FlowCalNumber,0),1,1)*T562^INDEX(FlowCalConstB,MATCH(R549,FlowCalNumber,0),1,1)&gt;INDEX(FlowCalLowSetting,MATCH(R549,FlowCalNumber,0),1,1), (INDEX(FlowCalConstA,MATCH(R549,FlowCalNumber,0),1,1)*T562^INDEX(FlowCalConstB,MATCH(R549,FlowCalNumber,0),1,1)&lt;INDEX(FlowCalHighSetting,MATCH(R549,FlowCalNumber,0),1,1))),INDEX(FlowCalConstA,MATCH(R549,FlowCalNumber,0),1,1)*T562^INDEX(FlowCalConstB,MATCH(R549,FlowCalNumber,0),1,1)," ")</f>
        <v>#N/A</v>
      </c>
      <c r="V562" s="1224"/>
      <c r="W562" s="1217"/>
      <c r="X562" s="1218"/>
      <c r="Y562" s="1219"/>
      <c r="Z562" s="1224"/>
      <c r="AA562" s="1217"/>
      <c r="AB562" s="1218"/>
      <c r="AC562" s="1219"/>
      <c r="AD562" s="1224"/>
      <c r="AE562" s="1217"/>
      <c r="AF562" s="1218"/>
      <c r="AG562" s="1219"/>
      <c r="AH562" s="1224"/>
      <c r="AI562" s="1217"/>
      <c r="AJ562" s="1218"/>
      <c r="AK562" s="1220"/>
      <c r="AL562" s="1219"/>
      <c r="AM562" s="1219"/>
      <c r="AN562" s="1219"/>
      <c r="AO562" s="1219"/>
      <c r="AP562" s="1219"/>
      <c r="AQ562" s="1219"/>
      <c r="AR562" s="1219"/>
      <c r="AS562" s="1219"/>
      <c r="AT562" s="1219"/>
      <c r="AU562" s="1219"/>
      <c r="AV562" s="1219"/>
      <c r="AW562" s="1219"/>
      <c r="AX562" s="1219"/>
      <c r="AY562" s="1219"/>
      <c r="AZ562" s="1219"/>
      <c r="BA562" s="1219"/>
      <c r="BB562" s="1219"/>
      <c r="BC562" s="1219"/>
      <c r="BD562" s="1219"/>
      <c r="BE562" s="1219"/>
      <c r="BF562" s="1219"/>
      <c r="BG562" s="1219"/>
      <c r="BH562" s="1219"/>
      <c r="BI562" s="1219"/>
      <c r="BJ562" s="1219"/>
      <c r="BK562" s="1219"/>
      <c r="BL562" s="1219"/>
      <c r="BM562" s="1219"/>
      <c r="BN562" s="1219"/>
      <c r="BO562" s="1219"/>
      <c r="BP562" s="1219"/>
      <c r="BQ562" s="1219"/>
      <c r="BR562" s="1219"/>
      <c r="BS562" s="1219"/>
      <c r="BU562" s="1217"/>
      <c r="BW562" s="1219"/>
      <c r="BY562" s="1217"/>
      <c r="CA562" s="1219"/>
      <c r="CC562" s="1217"/>
      <c r="CE562" s="1219"/>
      <c r="CG562" s="1217"/>
      <c r="CI562" s="1219"/>
    </row>
    <row r="563" spans="1:87">
      <c r="A563" s="20"/>
      <c r="B563" s="124" t="str">
        <f t="shared" si="256"/>
        <v/>
      </c>
      <c r="C563" s="235"/>
      <c r="D563" s="24">
        <f>'1% Wind'!$M$95</f>
        <v>1.3</v>
      </c>
      <c r="E563" s="90"/>
      <c r="F563" s="90"/>
      <c r="G563" s="79">
        <f ca="1">IF(I549=0.9743,$G562,MAX(G562/D562*D563,2))</f>
        <v>2</v>
      </c>
      <c r="H563" s="121" t="e">
        <f t="shared" ca="1" si="257"/>
        <v>#VALUE!</v>
      </c>
      <c r="J563" s="33"/>
      <c r="K563" s="242">
        <f t="shared" si="258"/>
        <v>1</v>
      </c>
      <c r="L563" s="241" t="e">
        <f t="shared" ca="1" si="259"/>
        <v>#VALUE!</v>
      </c>
      <c r="M563" s="243" t="e">
        <f ca="1">IF(AND(INDEX(FlowCalConstA,MATCH(J549,FlowCalNumber,0),1,1)*L563^INDEX(FlowCalConstB,MATCH(J549,FlowCalNumber,0),1,1)&gt;INDEX(FlowCalLowSetting,MATCH(J549,FlowCalNumber,0),1,1), (INDEX(FlowCalConstA,MATCH(J549,FlowCalNumber,0),1,1)*L563^INDEX(FlowCalConstB,MATCH(J549,FlowCalNumber,0),1,1)&lt;INDEX(FlowCalHighSetting,MATCH(J549,FlowCalNumber,0),1,1))),INDEX(FlowCalConstA,MATCH(J549,FlowCalNumber,0),1,1)*L563^INDEX(FlowCalConstB,MATCH(J549,FlowCalNumber,0),1,1)," ")</f>
        <v>#N/A</v>
      </c>
      <c r="N563" s="33"/>
      <c r="O563" s="242">
        <f t="shared" si="260"/>
        <v>1</v>
      </c>
      <c r="P563" s="241" t="e">
        <f t="shared" ca="1" si="261"/>
        <v>#VALUE!</v>
      </c>
      <c r="Q563" s="243" t="e">
        <f ca="1">IF(AND(INDEX(FlowCalConstA,MATCH(N549,FlowCalNumber,0),1,1)*P563^INDEX(FlowCalConstB,MATCH(N549,FlowCalNumber,0),1,1)&gt;INDEX(FlowCalLowSetting,MATCH(N549,FlowCalNumber,0),1,1), (INDEX(FlowCalConstA,MATCH(N549,FlowCalNumber,0),1,1)*P563^INDEX(FlowCalConstB,MATCH(N549,FlowCalNumber,0),1,1)&lt;INDEX(FlowCalHighSetting,MATCH(N549,FlowCalNumber,0),1,1))),INDEX(FlowCalConstA,MATCH(N549,FlowCalNumber,0),1,1)*P563^INDEX(FlowCalConstB,MATCH(N549,FlowCalNumber,0),1,1)," ")</f>
        <v>#N/A</v>
      </c>
      <c r="R563" s="33"/>
      <c r="S563" s="242">
        <f t="shared" si="262"/>
        <v>1</v>
      </c>
      <c r="T563" s="241" t="e">
        <f t="shared" ca="1" si="263"/>
        <v>#VALUE!</v>
      </c>
      <c r="U563" s="243" t="e">
        <f ca="1">IF(AND(INDEX(FlowCalConstA,MATCH(R549,FlowCalNumber,0),1,1)*T563^INDEX(FlowCalConstB,MATCH(R549,FlowCalNumber,0),1,1)&gt;INDEX(FlowCalLowSetting,MATCH(R549,FlowCalNumber,0),1,1), (INDEX(FlowCalConstA,MATCH(R549,FlowCalNumber,0),1,1)*T563^INDEX(FlowCalConstB,MATCH(R549,FlowCalNumber,0),1,1)&lt;INDEX(FlowCalHighSetting,MATCH(R549,FlowCalNumber,0),1,1))),INDEX(FlowCalConstA,MATCH(R549,FlowCalNumber,0),1,1)*T563^INDEX(FlowCalConstB,MATCH(R549,FlowCalNumber,0),1,1)," ")</f>
        <v>#N/A</v>
      </c>
      <c r="V563" s="33"/>
      <c r="W563" s="242"/>
      <c r="X563" s="241"/>
      <c r="Y563" s="243"/>
      <c r="Z563" s="33"/>
      <c r="AA563" s="242"/>
      <c r="AB563" s="241"/>
      <c r="AC563" s="243"/>
      <c r="AD563" s="33"/>
      <c r="AE563" s="242"/>
      <c r="AF563" s="241"/>
      <c r="AG563" s="243"/>
      <c r="AH563" s="33"/>
      <c r="AI563" s="242"/>
      <c r="AJ563" s="241"/>
      <c r="AK563" s="244"/>
      <c r="AL563" s="243"/>
      <c r="AM563" s="243"/>
      <c r="AN563" s="243"/>
      <c r="AO563" s="243"/>
      <c r="AP563" s="243"/>
      <c r="AQ563" s="243"/>
      <c r="AR563" s="243"/>
      <c r="AS563" s="243"/>
      <c r="AT563" s="243"/>
      <c r="AU563" s="243"/>
      <c r="AV563" s="243"/>
      <c r="AW563" s="243"/>
      <c r="AX563" s="243"/>
      <c r="AY563" s="243"/>
      <c r="AZ563" s="243"/>
      <c r="BA563" s="243"/>
      <c r="BB563" s="243"/>
      <c r="BC563" s="243"/>
      <c r="BD563" s="243"/>
      <c r="BE563" s="243"/>
      <c r="BF563" s="243"/>
      <c r="BG563" s="243"/>
      <c r="BH563" s="243"/>
      <c r="BI563" s="243"/>
      <c r="BJ563" s="243"/>
      <c r="BK563" s="243"/>
      <c r="BL563" s="243"/>
      <c r="BM563" s="243"/>
      <c r="BN563" s="243"/>
      <c r="BO563" s="243"/>
      <c r="BP563" s="243"/>
      <c r="BQ563" s="243"/>
      <c r="BR563" s="243"/>
      <c r="BS563" s="243"/>
      <c r="BU563" s="242"/>
      <c r="BW563" s="243"/>
      <c r="BY563" s="242"/>
      <c r="CA563" s="243"/>
      <c r="CC563" s="242"/>
      <c r="CE563" s="243"/>
      <c r="CG563" s="242"/>
      <c r="CI563" s="243"/>
    </row>
    <row r="564" spans="1:87" s="1215" customFormat="1">
      <c r="A564" s="1222"/>
      <c r="B564" s="1223" t="str">
        <f t="shared" si="256"/>
        <v/>
      </c>
      <c r="C564" s="1210"/>
      <c r="D564" s="1211">
        <f>'1% Wind'!$M$96</f>
        <v>1</v>
      </c>
      <c r="E564" s="1212"/>
      <c r="F564" s="1212"/>
      <c r="G564" s="1213">
        <f ca="1">IF(I549=0.9743,$G563,MAX(G563/D563*D564,2))</f>
        <v>2</v>
      </c>
      <c r="H564" s="1214" t="e">
        <f t="shared" ca="1" si="257"/>
        <v>#VALUE!</v>
      </c>
      <c r="J564" s="1224"/>
      <c r="K564" s="1217">
        <f t="shared" si="258"/>
        <v>1</v>
      </c>
      <c r="L564" s="1218" t="e">
        <f t="shared" ca="1" si="259"/>
        <v>#VALUE!</v>
      </c>
      <c r="M564" s="1219" t="e">
        <f ca="1">IF(AND(INDEX(FlowCalConstA,MATCH(J549,FlowCalNumber,0),1,1)*L564^INDEX(FlowCalConstB,MATCH(J549,FlowCalNumber,0),1,1)&gt;INDEX(FlowCalLowSetting,MATCH(J549,FlowCalNumber,0),1,1), (INDEX(FlowCalConstA,MATCH(J549,FlowCalNumber,0),1,1)*L564^INDEX(FlowCalConstB,MATCH(J549,FlowCalNumber,0),1,1)&lt;INDEX(FlowCalHighSetting,MATCH(J549,FlowCalNumber,0),1,1))),INDEX(FlowCalConstA,MATCH(J549,FlowCalNumber,0),1,1)*L564^INDEX(FlowCalConstB,MATCH(J549,FlowCalNumber,0),1,1)," ")</f>
        <v>#N/A</v>
      </c>
      <c r="N564" s="1224"/>
      <c r="O564" s="1217">
        <f t="shared" si="260"/>
        <v>1</v>
      </c>
      <c r="P564" s="1218" t="e">
        <f t="shared" ca="1" si="261"/>
        <v>#VALUE!</v>
      </c>
      <c r="Q564" s="1219" t="e">
        <f ca="1">IF(AND(INDEX(FlowCalConstA,MATCH(N549,FlowCalNumber,0),1,1)*P564^INDEX(FlowCalConstB,MATCH(N549,FlowCalNumber,0),1,1)&gt;INDEX(FlowCalLowSetting,MATCH(N549,FlowCalNumber,0),1,1), (INDEX(FlowCalConstA,MATCH(N549,FlowCalNumber,0),1,1)*P564^INDEX(FlowCalConstB,MATCH(N549,FlowCalNumber,0),1,1)&lt;INDEX(FlowCalHighSetting,MATCH(N549,FlowCalNumber,0),1,1))),INDEX(FlowCalConstA,MATCH(N549,FlowCalNumber,0),1,1)*P564^INDEX(FlowCalConstB,MATCH(N549,FlowCalNumber,0),1,1)," ")</f>
        <v>#N/A</v>
      </c>
      <c r="R564" s="1224"/>
      <c r="S564" s="1217">
        <f t="shared" si="262"/>
        <v>1</v>
      </c>
      <c r="T564" s="1218" t="e">
        <f t="shared" ca="1" si="263"/>
        <v>#VALUE!</v>
      </c>
      <c r="U564" s="1219" t="e">
        <f ca="1">IF(AND(INDEX(FlowCalConstA,MATCH(R549,FlowCalNumber,0),1,1)*T564^INDEX(FlowCalConstB,MATCH(R549,FlowCalNumber,0),1,1)&gt;INDEX(FlowCalLowSetting,MATCH(R549,FlowCalNumber,0),1,1), (INDEX(FlowCalConstA,MATCH(R549,FlowCalNumber,0),1,1)*T564^INDEX(FlowCalConstB,MATCH(R549,FlowCalNumber,0),1,1)&lt;INDEX(FlowCalHighSetting,MATCH(R549,FlowCalNumber,0),1,1))),INDEX(FlowCalConstA,MATCH(R549,FlowCalNumber,0),1,1)*T564^INDEX(FlowCalConstB,MATCH(R549,FlowCalNumber,0),1,1)," ")</f>
        <v>#N/A</v>
      </c>
      <c r="V564" s="1224"/>
      <c r="W564" s="1217"/>
      <c r="X564" s="1218"/>
      <c r="Y564" s="1219"/>
      <c r="Z564" s="1224"/>
      <c r="AA564" s="1217"/>
      <c r="AB564" s="1218"/>
      <c r="AC564" s="1219"/>
      <c r="AD564" s="1224"/>
      <c r="AE564" s="1217"/>
      <c r="AF564" s="1218"/>
      <c r="AG564" s="1219"/>
      <c r="AH564" s="1224"/>
      <c r="AI564" s="1217"/>
      <c r="AJ564" s="1218"/>
      <c r="AK564" s="1220"/>
      <c r="AL564" s="1219"/>
      <c r="AM564" s="1219"/>
      <c r="AN564" s="1219"/>
      <c r="AO564" s="1219"/>
      <c r="AP564" s="1219"/>
      <c r="AQ564" s="1219"/>
      <c r="AR564" s="1219"/>
      <c r="AS564" s="1219"/>
      <c r="AT564" s="1219"/>
      <c r="AU564" s="1219"/>
      <c r="AV564" s="1219"/>
      <c r="AW564" s="1219"/>
      <c r="AX564" s="1219"/>
      <c r="AY564" s="1219"/>
      <c r="AZ564" s="1219"/>
      <c r="BA564" s="1219"/>
      <c r="BB564" s="1219"/>
      <c r="BC564" s="1219"/>
      <c r="BD564" s="1219"/>
      <c r="BE564" s="1219"/>
      <c r="BF564" s="1219"/>
      <c r="BG564" s="1219"/>
      <c r="BH564" s="1219"/>
      <c r="BI564" s="1219"/>
      <c r="BJ564" s="1219"/>
      <c r="BK564" s="1219"/>
      <c r="BL564" s="1219"/>
      <c r="BM564" s="1219"/>
      <c r="BN564" s="1219"/>
      <c r="BO564" s="1219"/>
      <c r="BP564" s="1219"/>
      <c r="BQ564" s="1219"/>
      <c r="BR564" s="1219"/>
      <c r="BS564" s="1219"/>
      <c r="BU564" s="1217"/>
      <c r="BW564" s="1219"/>
      <c r="BY564" s="1217"/>
      <c r="CA564" s="1219"/>
      <c r="CC564" s="1217"/>
      <c r="CE564" s="1219"/>
      <c r="CG564" s="1217"/>
      <c r="CI564" s="1219"/>
    </row>
    <row r="565" spans="1:87">
      <c r="A565" s="33"/>
      <c r="B565" s="33"/>
      <c r="C565" s="235"/>
      <c r="E565" s="90"/>
      <c r="F565" s="90"/>
      <c r="G565" s="33"/>
      <c r="J565" s="33"/>
      <c r="M565" s="243"/>
      <c r="N565" s="33"/>
      <c r="Q565" s="243"/>
      <c r="R565" s="33"/>
      <c r="U565" s="243"/>
      <c r="V565" s="33"/>
      <c r="Y565" s="243"/>
      <c r="Z565" s="33"/>
      <c r="AC565" s="243"/>
      <c r="AD565" s="33"/>
      <c r="AG565" s="243"/>
      <c r="AH565" s="33"/>
      <c r="AK565" s="244"/>
      <c r="AL565" s="243"/>
      <c r="AM565" s="243"/>
      <c r="AN565" s="243"/>
      <c r="AO565" s="243"/>
      <c r="AP565" s="243"/>
      <c r="AQ565" s="243"/>
      <c r="AR565" s="243"/>
      <c r="AS565" s="243"/>
      <c r="AT565" s="243"/>
      <c r="AU565" s="243"/>
      <c r="AV565" s="243"/>
      <c r="AW565" s="243"/>
      <c r="AX565" s="243"/>
      <c r="AY565" s="243"/>
      <c r="AZ565" s="243"/>
      <c r="BA565" s="243"/>
      <c r="BB565" s="243"/>
      <c r="BC565" s="243"/>
      <c r="BD565" s="243"/>
      <c r="BE565" s="243"/>
      <c r="BF565" s="243"/>
      <c r="BG565" s="243"/>
      <c r="BH565" s="243"/>
      <c r="BI565" s="243"/>
      <c r="BJ565" s="243"/>
      <c r="BK565" s="243"/>
      <c r="BL565" s="243"/>
      <c r="BM565" s="243"/>
      <c r="BN565" s="243"/>
      <c r="BO565" s="243"/>
      <c r="BP565" s="243"/>
      <c r="BQ565" s="243"/>
      <c r="BR565" s="243"/>
      <c r="BS565" s="243"/>
      <c r="BW565" s="243"/>
      <c r="CA565" s="243"/>
      <c r="CE565" s="243"/>
      <c r="CI565" s="243"/>
    </row>
    <row r="566" spans="1:87">
      <c r="A566" s="256" t="str">
        <f>IF((RIGHT(A549,1))&lt;&gt;"Z",CHAR(CODE(A549))&amp;CHAR(CODE(RIGHT(A549,1))+1),CHAR(CODE(A549)+1)&amp;"A")</f>
        <v>BG</v>
      </c>
      <c r="B566" s="270" t="str">
        <f>INDEX(SourceID,MATCH($A566,SourceNumber,0),1,1)</f>
        <v>B2 Viv-2</v>
      </c>
      <c r="C566" s="354">
        <f>INDEX(SourceExitDiameter,MATCH($A566,SourceNumber,0),1,1)*3.28*12</f>
        <v>57.974999999999994</v>
      </c>
      <c r="D566" s="24" t="str">
        <f>UAnem1percent</f>
        <v>1% Wind</v>
      </c>
      <c r="E566" s="350" t="e">
        <f ca="1">INDIRECT(ADDRESS(53,6,1,,CONCATENATE("TA",$A566)))</f>
        <v>#REF!</v>
      </c>
      <c r="F566" s="625" t="e">
        <f ca="1">(ROUND((INDIRECT(ADDRESS(15,7,1,,CONCATENATE("TA",$A566)))*3.28*12*32),0)&amp;"/32")</f>
        <v>#REF!</v>
      </c>
      <c r="G566" s="125">
        <f ca="1">INDIRECT(ADDRESS(29,7,1,,$A566))</f>
        <v>6.001707317073171</v>
      </c>
      <c r="H566" s="24" t="e">
        <f ca="1">INDIRECT(ADDRESS(19,7,1,,$A566))*100^3</f>
        <v>#VALUE!</v>
      </c>
      <c r="I566" s="941">
        <f ca="1">INDIRECT(ADDRESS(53,7,1,,$A566))</f>
        <v>0.97430000000000005</v>
      </c>
      <c r="J566" s="20" t="str">
        <f ca="1">IF($I566=$I$6,K$16&amp;$G$6&amp;J$6,IF($I566=$I$7,K$16&amp;$G$7&amp;J$7,"Bad"))</f>
        <v>100N2Pick a Tunnel</v>
      </c>
      <c r="K566" t="e">
        <f ca="1">INDEX(FlowCalGasMixture,MATCH(J566,FlowCalNumber,0),1,1)</f>
        <v>#N/A</v>
      </c>
      <c r="M566" s="944" t="e">
        <f ca="1">INDEX(FlowCalDevice,MATCH(J566,FlowCalNumber,0),1,1)</f>
        <v>#N/A</v>
      </c>
      <c r="N566" s="20" t="str">
        <f ca="1">IF($I566=$I$6,O$16&amp;$G$6&amp;N$6,IF($I566=$I$7,O$16&amp;$G$7&amp;N$7,"Bad"))</f>
        <v>100N2Pick a Tunnel</v>
      </c>
      <c r="O566" t="e">
        <f ca="1">INDEX(FlowCalGasMixture,MATCH(N566,FlowCalNumber,0),1,1)</f>
        <v>#N/A</v>
      </c>
      <c r="Q566" s="944" t="e">
        <f ca="1">INDEX(FlowCalDevice,MATCH(N566,FlowCalNumber,0),1,1)</f>
        <v>#N/A</v>
      </c>
      <c r="R566" s="20" t="str">
        <f ca="1">IF($I566=$I$6,S$16&amp;$G$6&amp;R$6,IF($I566=$I$7,S$16&amp;$G$7&amp;R$7,"Bad"))</f>
        <v>100N2Pick a Tunnel</v>
      </c>
      <c r="S566" t="e">
        <f ca="1">INDEX(FlowCalGasMixture,MATCH(R566,FlowCalNumber,0),1,1)</f>
        <v>#N/A</v>
      </c>
      <c r="U566" s="944" t="e">
        <f ca="1">INDEX(FlowCalDevice,MATCH(R566,FlowCalNumber,0),1,1)</f>
        <v>#N/A</v>
      </c>
      <c r="V566" s="20"/>
      <c r="Y566" s="944"/>
      <c r="Z566" s="946"/>
      <c r="AC566" s="944"/>
      <c r="AD566" s="20"/>
      <c r="AG566" s="944"/>
      <c r="AH566" s="946"/>
      <c r="AK566" s="982"/>
      <c r="AL566" s="355"/>
      <c r="AM566" s="355"/>
      <c r="AN566" s="355"/>
      <c r="AO566" s="355"/>
      <c r="AP566" s="355"/>
      <c r="AQ566" s="355"/>
      <c r="AR566" s="355"/>
      <c r="AS566" s="355"/>
      <c r="AT566" s="355"/>
      <c r="AU566" s="355"/>
      <c r="AV566" s="355"/>
      <c r="AW566" s="355"/>
      <c r="AX566" s="355"/>
      <c r="AY566" s="355"/>
      <c r="AZ566" s="355"/>
      <c r="BA566" s="355"/>
      <c r="BB566" s="355"/>
      <c r="BC566" s="355"/>
      <c r="BD566" s="355"/>
      <c r="BE566" s="355"/>
      <c r="BF566" s="355"/>
      <c r="BG566" s="355"/>
      <c r="BH566" s="355"/>
      <c r="BI566" s="355"/>
      <c r="BJ566" s="355"/>
      <c r="BK566" s="355"/>
      <c r="BL566" s="355"/>
      <c r="BM566" s="355"/>
      <c r="BN566" s="355"/>
      <c r="BO566" s="355"/>
      <c r="BP566" s="355"/>
      <c r="BQ566" s="355"/>
      <c r="BR566" s="355"/>
      <c r="BS566" s="355"/>
      <c r="BT566" s="46"/>
      <c r="BU566" s="16"/>
      <c r="BW566" s="355"/>
      <c r="BX566" s="42"/>
      <c r="BY566" s="16"/>
      <c r="CA566" s="355"/>
      <c r="CB566" s="42"/>
      <c r="CC566" s="16"/>
      <c r="CE566" s="355"/>
      <c r="CF566" s="42"/>
      <c r="CG566" s="16"/>
      <c r="CI566" s="355"/>
    </row>
    <row r="567" spans="1:87" s="1215" customFormat="1">
      <c r="A567" s="1222"/>
      <c r="B567" s="1223" t="str">
        <f t="shared" ref="B567:B581" si="264">IF(D567=UAnem1percent,"1% Wind","")</f>
        <v/>
      </c>
      <c r="C567" s="1210"/>
      <c r="D567" s="1211">
        <f>'1% Wind'!$M$82</f>
        <v>27</v>
      </c>
      <c r="E567" s="1212"/>
      <c r="F567" s="1212"/>
      <c r="G567" s="1364">
        <v>2</v>
      </c>
      <c r="H567" s="1214" t="e">
        <f t="shared" ref="H567:H581" ca="1" si="265">H566*(D566/D567)*(G567/G566)</f>
        <v>#VALUE!</v>
      </c>
      <c r="J567" s="1224"/>
      <c r="K567" s="1221">
        <f>K$17/100</f>
        <v>1</v>
      </c>
      <c r="L567" s="1218" t="e">
        <f ca="1">K567*$H567</f>
        <v>#VALUE!</v>
      </c>
      <c r="M567" s="1219" t="e">
        <f ca="1">IF(AND(INDEX(FlowCalConstA,MATCH(J566,FlowCalNumber,0),1,1)*L567^INDEX(FlowCalConstB,MATCH(J566,FlowCalNumber,0),1,1)&gt;INDEX(FlowCalLowSetting,MATCH(J566,FlowCalNumber,0),1,1), (INDEX(FlowCalConstA,MATCH(J566,FlowCalNumber,0),1,1)*L567^INDEX(FlowCalConstB,MATCH(J566,FlowCalNumber,0),1,1)&lt;INDEX(FlowCalHighSetting,MATCH(J566,FlowCalNumber,0),1,1))),INDEX(FlowCalConstA,MATCH(J566,FlowCalNumber,0),1,1)*L567^INDEX(FlowCalConstB,MATCH(J566,FlowCalNumber,0),1,1)," ")</f>
        <v>#N/A</v>
      </c>
      <c r="N567" s="1224"/>
      <c r="O567" s="1221">
        <f>O$17/100</f>
        <v>1</v>
      </c>
      <c r="P567" s="1218" t="e">
        <f ca="1">O567*$H567</f>
        <v>#VALUE!</v>
      </c>
      <c r="Q567" s="1219" t="e">
        <f ca="1">IF(AND(INDEX(FlowCalConstA,MATCH(N566,FlowCalNumber,0),1,1)*P567^INDEX(FlowCalConstB,MATCH(N566,FlowCalNumber,0),1,1)&gt;INDEX(FlowCalLowSetting,MATCH(N566,FlowCalNumber,0),1,1), (INDEX(FlowCalConstA,MATCH(N566,FlowCalNumber,0),1,1)*P567^INDEX(FlowCalConstB,MATCH(N566,FlowCalNumber,0),1,1)&lt;INDEX(FlowCalHighSetting,MATCH(N566,FlowCalNumber,0),1,1))),INDEX(FlowCalConstA,MATCH(N566,FlowCalNumber,0),1,1)*P567^INDEX(FlowCalConstB,MATCH(N566,FlowCalNumber,0),1,1)," ")</f>
        <v>#N/A</v>
      </c>
      <c r="R567" s="1224"/>
      <c r="S567" s="1221">
        <f>S$17/100</f>
        <v>1</v>
      </c>
      <c r="T567" s="1218" t="e">
        <f ca="1">S567*$H567</f>
        <v>#VALUE!</v>
      </c>
      <c r="U567" s="1219" t="e">
        <f ca="1">IF(AND(INDEX(FlowCalConstA,MATCH(R566,FlowCalNumber,0),1,1)*T567^INDEX(FlowCalConstB,MATCH(R566,FlowCalNumber,0),1,1)&gt;INDEX(FlowCalLowSetting,MATCH(R566,FlowCalNumber,0),1,1), (INDEX(FlowCalConstA,MATCH(R566,FlowCalNumber,0),1,1)*T567^INDEX(FlowCalConstB,MATCH(R566,FlowCalNumber,0),1,1)&lt;INDEX(FlowCalHighSetting,MATCH(R566,FlowCalNumber,0),1,1))),INDEX(FlowCalConstA,MATCH(R566,FlowCalNumber,0),1,1)*T567^INDEX(FlowCalConstB,MATCH(R566,FlowCalNumber,0),1,1)," ")</f>
        <v>#N/A</v>
      </c>
      <c r="V567" s="1224"/>
      <c r="W567" s="1221"/>
      <c r="X567" s="1218"/>
      <c r="Y567" s="1219"/>
      <c r="Z567" s="1224"/>
      <c r="AA567" s="1221"/>
      <c r="AB567" s="1218"/>
      <c r="AC567" s="1219"/>
      <c r="AD567" s="1224"/>
      <c r="AE567" s="1221"/>
      <c r="AF567" s="1218"/>
      <c r="AG567" s="1219"/>
      <c r="AH567" s="1224"/>
      <c r="AI567" s="1221"/>
      <c r="AJ567" s="1218"/>
      <c r="AK567" s="1220"/>
      <c r="AL567" s="1219"/>
      <c r="AM567" s="1219"/>
      <c r="AN567" s="1219"/>
      <c r="AO567" s="1219"/>
      <c r="AP567" s="1219"/>
      <c r="AQ567" s="1219"/>
      <c r="AR567" s="1219"/>
      <c r="AS567" s="1219"/>
      <c r="AT567" s="1219"/>
      <c r="AU567" s="1219"/>
      <c r="AV567" s="1219"/>
      <c r="AW567" s="1219"/>
      <c r="AX567" s="1219"/>
      <c r="AY567" s="1219"/>
      <c r="AZ567" s="1219"/>
      <c r="BA567" s="1219"/>
      <c r="BB567" s="1219"/>
      <c r="BC567" s="1219"/>
      <c r="BD567" s="1219"/>
      <c r="BE567" s="1219"/>
      <c r="BF567" s="1219"/>
      <c r="BG567" s="1219"/>
      <c r="BH567" s="1219"/>
      <c r="BI567" s="1219"/>
      <c r="BJ567" s="1219"/>
      <c r="BK567" s="1219"/>
      <c r="BL567" s="1219"/>
      <c r="BM567" s="1219"/>
      <c r="BN567" s="1219"/>
      <c r="BO567" s="1219"/>
      <c r="BP567" s="1219"/>
      <c r="BQ567" s="1219"/>
      <c r="BR567" s="1219"/>
      <c r="BS567" s="1219"/>
      <c r="BU567" s="1225"/>
      <c r="BW567" s="1219"/>
      <c r="BY567" s="1225"/>
      <c r="CA567" s="1219"/>
      <c r="CC567" s="1225"/>
      <c r="CE567" s="1219"/>
      <c r="CG567" s="1221"/>
      <c r="CI567" s="1219"/>
    </row>
    <row r="568" spans="1:87">
      <c r="A568" s="20"/>
      <c r="B568" s="124" t="str">
        <f t="shared" si="264"/>
        <v/>
      </c>
      <c r="C568" s="235"/>
      <c r="D568" s="24">
        <f>'1% Wind'!$M$83</f>
        <v>23.5</v>
      </c>
      <c r="E568" s="90"/>
      <c r="F568" s="90"/>
      <c r="G568" s="79">
        <f ca="1">IF(I566=0.9743,$G567,MAX(G567/D567*D568,2))</f>
        <v>2</v>
      </c>
      <c r="H568" s="121" t="e">
        <f t="shared" ca="1" si="265"/>
        <v>#VALUE!</v>
      </c>
      <c r="J568" s="33"/>
      <c r="K568" s="242">
        <f t="shared" ref="K568:K581" si="266">K567</f>
        <v>1</v>
      </c>
      <c r="L568" s="241" t="e">
        <f t="shared" ref="L568:L581" ca="1" si="267">K568*$H568</f>
        <v>#VALUE!</v>
      </c>
      <c r="M568" s="243" t="e">
        <f ca="1">IF(AND(INDEX(FlowCalConstA,MATCH(J566,FlowCalNumber,0),1,1)*L568^INDEX(FlowCalConstB,MATCH(J566,FlowCalNumber,0),1,1)&gt;INDEX(FlowCalLowSetting,MATCH(J566,FlowCalNumber,0),1,1), (INDEX(FlowCalConstA,MATCH(J566,FlowCalNumber,0),1,1)*L568^INDEX(FlowCalConstB,MATCH(J566,FlowCalNumber,0),1,1)&lt;INDEX(FlowCalHighSetting,MATCH(J566,FlowCalNumber,0),1,1))),INDEX(FlowCalConstA,MATCH(J566,FlowCalNumber,0),1,1)*L568^INDEX(FlowCalConstB,MATCH(J566,FlowCalNumber,0),1,1)," ")</f>
        <v>#N/A</v>
      </c>
      <c r="N568" s="33"/>
      <c r="O568" s="242">
        <f t="shared" ref="O568:O581" si="268">O567</f>
        <v>1</v>
      </c>
      <c r="P568" s="241" t="e">
        <f t="shared" ref="P568:P581" ca="1" si="269">O568*$H568</f>
        <v>#VALUE!</v>
      </c>
      <c r="Q568" s="243" t="e">
        <f ca="1">IF(AND(INDEX(FlowCalConstA,MATCH(N566,FlowCalNumber,0),1,1)*P568^INDEX(FlowCalConstB,MATCH(N566,FlowCalNumber,0),1,1)&gt;INDEX(FlowCalLowSetting,MATCH(N566,FlowCalNumber,0),1,1), (INDEX(FlowCalConstA,MATCH(N566,FlowCalNumber,0),1,1)*P568^INDEX(FlowCalConstB,MATCH(N566,FlowCalNumber,0),1,1)&lt;INDEX(FlowCalHighSetting,MATCH(N566,FlowCalNumber,0),1,1))),INDEX(FlowCalConstA,MATCH(N566,FlowCalNumber,0),1,1)*P568^INDEX(FlowCalConstB,MATCH(N566,FlowCalNumber,0),1,1)," ")</f>
        <v>#N/A</v>
      </c>
      <c r="R568" s="33"/>
      <c r="S568" s="242">
        <f t="shared" ref="S568:S581" si="270">S567</f>
        <v>1</v>
      </c>
      <c r="T568" s="241" t="e">
        <f t="shared" ref="T568:T581" ca="1" si="271">S568*$H568</f>
        <v>#VALUE!</v>
      </c>
      <c r="U568" s="243" t="e">
        <f ca="1">IF(AND(INDEX(FlowCalConstA,MATCH(R566,FlowCalNumber,0),1,1)*T568^INDEX(FlowCalConstB,MATCH(R566,FlowCalNumber,0),1,1)&gt;INDEX(FlowCalLowSetting,MATCH(R566,FlowCalNumber,0),1,1), (INDEX(FlowCalConstA,MATCH(R566,FlowCalNumber,0),1,1)*T568^INDEX(FlowCalConstB,MATCH(R566,FlowCalNumber,0),1,1)&lt;INDEX(FlowCalHighSetting,MATCH(R566,FlowCalNumber,0),1,1))),INDEX(FlowCalConstA,MATCH(R566,FlowCalNumber,0),1,1)*T568^INDEX(FlowCalConstB,MATCH(R566,FlowCalNumber,0),1,1)," ")</f>
        <v>#N/A</v>
      </c>
      <c r="V568" s="33"/>
      <c r="W568" s="242"/>
      <c r="X568" s="241"/>
      <c r="Y568" s="243"/>
      <c r="Z568" s="33"/>
      <c r="AA568" s="242"/>
      <c r="AB568" s="241"/>
      <c r="AC568" s="243"/>
      <c r="AD568" s="33"/>
      <c r="AE568" s="242"/>
      <c r="AF568" s="241"/>
      <c r="AG568" s="243"/>
      <c r="AH568" s="33"/>
      <c r="AI568" s="242"/>
      <c r="AJ568" s="241"/>
      <c r="AK568" s="244"/>
      <c r="AL568" s="243"/>
      <c r="AM568" s="243"/>
      <c r="AN568" s="243"/>
      <c r="AO568" s="243"/>
      <c r="AP568" s="243"/>
      <c r="AQ568" s="243"/>
      <c r="AR568" s="243"/>
      <c r="AS568" s="243"/>
      <c r="AT568" s="243"/>
      <c r="AU568" s="243"/>
      <c r="AV568" s="243"/>
      <c r="AW568" s="243"/>
      <c r="AX568" s="243"/>
      <c r="AY568" s="243"/>
      <c r="AZ568" s="243"/>
      <c r="BA568" s="243"/>
      <c r="BB568" s="243"/>
      <c r="BC568" s="243"/>
      <c r="BD568" s="243"/>
      <c r="BE568" s="243"/>
      <c r="BF568" s="243"/>
      <c r="BG568" s="243"/>
      <c r="BH568" s="243"/>
      <c r="BI568" s="243"/>
      <c r="BJ568" s="243"/>
      <c r="BK568" s="243"/>
      <c r="BL568" s="243"/>
      <c r="BM568" s="243"/>
      <c r="BN568" s="243"/>
      <c r="BO568" s="243"/>
      <c r="BP568" s="243"/>
      <c r="BQ568" s="243"/>
      <c r="BR568" s="243"/>
      <c r="BS568" s="243"/>
      <c r="BU568" s="242"/>
      <c r="BW568" s="243"/>
      <c r="BY568" s="242"/>
      <c r="CA568" s="243"/>
      <c r="CC568" s="242"/>
      <c r="CE568" s="243"/>
      <c r="CG568" s="242"/>
      <c r="CI568" s="243"/>
    </row>
    <row r="569" spans="1:87" s="1215" customFormat="1">
      <c r="A569" s="1222"/>
      <c r="B569" s="1223" t="str">
        <f t="shared" si="264"/>
        <v/>
      </c>
      <c r="C569" s="1210"/>
      <c r="D569" s="1211">
        <f>'1% Wind'!$M$84</f>
        <v>20.5</v>
      </c>
      <c r="E569" s="1212"/>
      <c r="F569" s="1212"/>
      <c r="G569" s="1213">
        <f ca="1">IF(I566=0.9743,$G568,MAX(G568/D568*D569,2))</f>
        <v>2</v>
      </c>
      <c r="H569" s="1214" t="e">
        <f t="shared" ca="1" si="265"/>
        <v>#VALUE!</v>
      </c>
      <c r="J569" s="1224"/>
      <c r="K569" s="1217">
        <f t="shared" si="266"/>
        <v>1</v>
      </c>
      <c r="L569" s="1218" t="e">
        <f t="shared" ca="1" si="267"/>
        <v>#VALUE!</v>
      </c>
      <c r="M569" s="1219" t="e">
        <f ca="1">IF(AND(INDEX(FlowCalConstA,MATCH(J566,FlowCalNumber,0),1,1)*L569^INDEX(FlowCalConstB,MATCH(J566,FlowCalNumber,0),1,1)&gt;INDEX(FlowCalLowSetting,MATCH(J566,FlowCalNumber,0),1,1), (INDEX(FlowCalConstA,MATCH(J566,FlowCalNumber,0),1,1)*L569^INDEX(FlowCalConstB,MATCH(J566,FlowCalNumber,0),1,1)&lt;INDEX(FlowCalHighSetting,MATCH(J566,FlowCalNumber,0),1,1))),INDEX(FlowCalConstA,MATCH(J566,FlowCalNumber,0),1,1)*L569^INDEX(FlowCalConstB,MATCH(J566,FlowCalNumber,0),1,1)," ")</f>
        <v>#N/A</v>
      </c>
      <c r="N569" s="1224"/>
      <c r="O569" s="1217">
        <f t="shared" si="268"/>
        <v>1</v>
      </c>
      <c r="P569" s="1218" t="e">
        <f t="shared" ca="1" si="269"/>
        <v>#VALUE!</v>
      </c>
      <c r="Q569" s="1219" t="e">
        <f ca="1">IF(AND(INDEX(FlowCalConstA,MATCH(N566,FlowCalNumber,0),1,1)*P569^INDEX(FlowCalConstB,MATCH(N566,FlowCalNumber,0),1,1)&gt;INDEX(FlowCalLowSetting,MATCH(N566,FlowCalNumber,0),1,1), (INDEX(FlowCalConstA,MATCH(N566,FlowCalNumber,0),1,1)*P569^INDEX(FlowCalConstB,MATCH(N566,FlowCalNumber,0),1,1)&lt;INDEX(FlowCalHighSetting,MATCH(N566,FlowCalNumber,0),1,1))),INDEX(FlowCalConstA,MATCH(N566,FlowCalNumber,0),1,1)*P569^INDEX(FlowCalConstB,MATCH(N566,FlowCalNumber,0),1,1)," ")</f>
        <v>#N/A</v>
      </c>
      <c r="R569" s="1224"/>
      <c r="S569" s="1217">
        <f t="shared" si="270"/>
        <v>1</v>
      </c>
      <c r="T569" s="1218" t="e">
        <f t="shared" ca="1" si="271"/>
        <v>#VALUE!</v>
      </c>
      <c r="U569" s="1219" t="e">
        <f ca="1">IF(AND(INDEX(FlowCalConstA,MATCH(R566,FlowCalNumber,0),1,1)*T569^INDEX(FlowCalConstB,MATCH(R566,FlowCalNumber,0),1,1)&gt;INDEX(FlowCalLowSetting,MATCH(R566,FlowCalNumber,0),1,1), (INDEX(FlowCalConstA,MATCH(R566,FlowCalNumber,0),1,1)*T569^INDEX(FlowCalConstB,MATCH(R566,FlowCalNumber,0),1,1)&lt;INDEX(FlowCalHighSetting,MATCH(R566,FlowCalNumber,0),1,1))),INDEX(FlowCalConstA,MATCH(R566,FlowCalNumber,0),1,1)*T569^INDEX(FlowCalConstB,MATCH(R566,FlowCalNumber,0),1,1)," ")</f>
        <v>#N/A</v>
      </c>
      <c r="V569" s="1224"/>
      <c r="W569" s="1217"/>
      <c r="X569" s="1218"/>
      <c r="Y569" s="1219"/>
      <c r="Z569" s="1224"/>
      <c r="AA569" s="1217"/>
      <c r="AB569" s="1218"/>
      <c r="AC569" s="1219"/>
      <c r="AD569" s="1224"/>
      <c r="AE569" s="1217"/>
      <c r="AF569" s="1218"/>
      <c r="AG569" s="1219"/>
      <c r="AH569" s="1224"/>
      <c r="AI569" s="1217"/>
      <c r="AJ569" s="1218"/>
      <c r="AK569" s="1220"/>
      <c r="AL569" s="1219"/>
      <c r="AM569" s="1219"/>
      <c r="AN569" s="1219"/>
      <c r="AO569" s="1219"/>
      <c r="AP569" s="1219"/>
      <c r="AQ569" s="1219"/>
      <c r="AR569" s="1219"/>
      <c r="AS569" s="1219"/>
      <c r="AT569" s="1219"/>
      <c r="AU569" s="1219"/>
      <c r="AV569" s="1219"/>
      <c r="AW569" s="1219"/>
      <c r="AX569" s="1219"/>
      <c r="AY569" s="1219"/>
      <c r="AZ569" s="1219"/>
      <c r="BA569" s="1219"/>
      <c r="BB569" s="1219"/>
      <c r="BC569" s="1219"/>
      <c r="BD569" s="1219"/>
      <c r="BE569" s="1219"/>
      <c r="BF569" s="1219"/>
      <c r="BG569" s="1219"/>
      <c r="BH569" s="1219"/>
      <c r="BI569" s="1219"/>
      <c r="BJ569" s="1219"/>
      <c r="BK569" s="1219"/>
      <c r="BL569" s="1219"/>
      <c r="BM569" s="1219"/>
      <c r="BN569" s="1219"/>
      <c r="BO569" s="1219"/>
      <c r="BP569" s="1219"/>
      <c r="BQ569" s="1219"/>
      <c r="BR569" s="1219"/>
      <c r="BS569" s="1219"/>
      <c r="BU569" s="1217"/>
      <c r="BW569" s="1219"/>
      <c r="BY569" s="1217"/>
      <c r="CA569" s="1219"/>
      <c r="CC569" s="1217"/>
      <c r="CE569" s="1219"/>
      <c r="CG569" s="1217"/>
      <c r="CI569" s="1219"/>
    </row>
    <row r="570" spans="1:87">
      <c r="A570" s="20"/>
      <c r="B570" s="124" t="str">
        <f t="shared" si="264"/>
        <v/>
      </c>
      <c r="C570" s="235"/>
      <c r="D570" s="24">
        <f>'1% Wind'!$M$85</f>
        <v>17.8</v>
      </c>
      <c r="E570" s="90"/>
      <c r="F570" s="90"/>
      <c r="G570" s="79">
        <f ca="1">IF(I566=0.9743,$G569,MAX(G569/D569*D570,2))</f>
        <v>2</v>
      </c>
      <c r="H570" s="121" t="e">
        <f t="shared" ca="1" si="265"/>
        <v>#VALUE!</v>
      </c>
      <c r="J570" s="33"/>
      <c r="K570" s="242">
        <f t="shared" si="266"/>
        <v>1</v>
      </c>
      <c r="L570" s="241" t="e">
        <f t="shared" ca="1" si="267"/>
        <v>#VALUE!</v>
      </c>
      <c r="M570" s="243" t="e">
        <f ca="1">IF(AND(INDEX(FlowCalConstA,MATCH(J566,FlowCalNumber,0),1,1)*L570^INDEX(FlowCalConstB,MATCH(J566,FlowCalNumber,0),1,1)&gt;INDEX(FlowCalLowSetting,MATCH(J566,FlowCalNumber,0),1,1), (INDEX(FlowCalConstA,MATCH(J566,FlowCalNumber,0),1,1)*L570^INDEX(FlowCalConstB,MATCH(J566,FlowCalNumber,0),1,1)&lt;INDEX(FlowCalHighSetting,MATCH(J566,FlowCalNumber,0),1,1))),INDEX(FlowCalConstA,MATCH(J566,FlowCalNumber,0),1,1)*L570^INDEX(FlowCalConstB,MATCH(J566,FlowCalNumber,0),1,1)," ")</f>
        <v>#N/A</v>
      </c>
      <c r="N570" s="33"/>
      <c r="O570" s="242">
        <f t="shared" si="268"/>
        <v>1</v>
      </c>
      <c r="P570" s="241" t="e">
        <f t="shared" ca="1" si="269"/>
        <v>#VALUE!</v>
      </c>
      <c r="Q570" s="243" t="e">
        <f ca="1">IF(AND(INDEX(FlowCalConstA,MATCH(N566,FlowCalNumber,0),1,1)*P570^INDEX(FlowCalConstB,MATCH(N566,FlowCalNumber,0),1,1)&gt;INDEX(FlowCalLowSetting,MATCH(N566,FlowCalNumber,0),1,1), (INDEX(FlowCalConstA,MATCH(N566,FlowCalNumber,0),1,1)*P570^INDEX(FlowCalConstB,MATCH(N566,FlowCalNumber,0),1,1)&lt;INDEX(FlowCalHighSetting,MATCH(N566,FlowCalNumber,0),1,1))),INDEX(FlowCalConstA,MATCH(N566,FlowCalNumber,0),1,1)*P570^INDEX(FlowCalConstB,MATCH(N566,FlowCalNumber,0),1,1)," ")</f>
        <v>#N/A</v>
      </c>
      <c r="R570" s="33"/>
      <c r="S570" s="242">
        <f t="shared" si="270"/>
        <v>1</v>
      </c>
      <c r="T570" s="241" t="e">
        <f t="shared" ca="1" si="271"/>
        <v>#VALUE!</v>
      </c>
      <c r="U570" s="243" t="e">
        <f ca="1">IF(AND(INDEX(FlowCalConstA,MATCH(R566,FlowCalNumber,0),1,1)*T570^INDEX(FlowCalConstB,MATCH(R566,FlowCalNumber,0),1,1)&gt;INDEX(FlowCalLowSetting,MATCH(R566,FlowCalNumber,0),1,1), (INDEX(FlowCalConstA,MATCH(R566,FlowCalNumber,0),1,1)*T570^INDEX(FlowCalConstB,MATCH(R566,FlowCalNumber,0),1,1)&lt;INDEX(FlowCalHighSetting,MATCH(R566,FlowCalNumber,0),1,1))),INDEX(FlowCalConstA,MATCH(R566,FlowCalNumber,0),1,1)*T570^INDEX(FlowCalConstB,MATCH(R566,FlowCalNumber,0),1,1)," ")</f>
        <v>#N/A</v>
      </c>
      <c r="V570" s="33"/>
      <c r="W570" s="242"/>
      <c r="X570" s="241"/>
      <c r="Y570" s="243"/>
      <c r="Z570" s="33"/>
      <c r="AA570" s="242"/>
      <c r="AB570" s="241"/>
      <c r="AC570" s="243"/>
      <c r="AD570" s="33"/>
      <c r="AE570" s="242"/>
      <c r="AF570" s="241"/>
      <c r="AG570" s="243"/>
      <c r="AH570" s="33"/>
      <c r="AI570" s="242"/>
      <c r="AJ570" s="241"/>
      <c r="AK570" s="244"/>
      <c r="AL570" s="243"/>
      <c r="AM570" s="243"/>
      <c r="AN570" s="243"/>
      <c r="AO570" s="243"/>
      <c r="AP570" s="243"/>
      <c r="AQ570" s="243"/>
      <c r="AR570" s="243"/>
      <c r="AS570" s="243"/>
      <c r="AT570" s="243"/>
      <c r="AU570" s="243"/>
      <c r="AV570" s="243"/>
      <c r="AW570" s="243"/>
      <c r="AX570" s="243"/>
      <c r="AY570" s="243"/>
      <c r="AZ570" s="243"/>
      <c r="BA570" s="243"/>
      <c r="BB570" s="243"/>
      <c r="BC570" s="243"/>
      <c r="BD570" s="243"/>
      <c r="BE570" s="243"/>
      <c r="BF570" s="243"/>
      <c r="BG570" s="243"/>
      <c r="BH570" s="243"/>
      <c r="BI570" s="243"/>
      <c r="BJ570" s="243"/>
      <c r="BK570" s="243"/>
      <c r="BL570" s="243"/>
      <c r="BM570" s="243"/>
      <c r="BN570" s="243"/>
      <c r="BO570" s="243"/>
      <c r="BP570" s="243"/>
      <c r="BQ570" s="243"/>
      <c r="BR570" s="243"/>
      <c r="BS570" s="243"/>
      <c r="BU570" s="242"/>
      <c r="BW570" s="243"/>
      <c r="BY570" s="242"/>
      <c r="CA570" s="243"/>
      <c r="CC570" s="242"/>
      <c r="CE570" s="243"/>
      <c r="CG570" s="242"/>
      <c r="CI570" s="243"/>
    </row>
    <row r="571" spans="1:87" s="1215" customFormat="1">
      <c r="A571" s="1222"/>
      <c r="B571" s="1223" t="str">
        <f t="shared" si="264"/>
        <v/>
      </c>
      <c r="C571" s="1210"/>
      <c r="D571" s="1211">
        <f>'1% Wind'!$M$86</f>
        <v>15.5</v>
      </c>
      <c r="E571" s="1212"/>
      <c r="F571" s="1212"/>
      <c r="G571" s="1213">
        <f ca="1">IF(I566=0.9743,$G570,MAX(G570/D570*D571,2))</f>
        <v>2</v>
      </c>
      <c r="H571" s="1214" t="e">
        <f t="shared" ca="1" si="265"/>
        <v>#VALUE!</v>
      </c>
      <c r="J571" s="1224"/>
      <c r="K571" s="1217">
        <f t="shared" si="266"/>
        <v>1</v>
      </c>
      <c r="L571" s="1218" t="e">
        <f t="shared" ca="1" si="267"/>
        <v>#VALUE!</v>
      </c>
      <c r="M571" s="1219" t="e">
        <f ca="1">IF(AND(INDEX(FlowCalConstA,MATCH(J566,FlowCalNumber,0),1,1)*L571^INDEX(FlowCalConstB,MATCH(J566,FlowCalNumber,0),1,1)&gt;INDEX(FlowCalLowSetting,MATCH(J566,FlowCalNumber,0),1,1), (INDEX(FlowCalConstA,MATCH(J566,FlowCalNumber,0),1,1)*L571^INDEX(FlowCalConstB,MATCH(J566,FlowCalNumber,0),1,1)&lt;INDEX(FlowCalHighSetting,MATCH(J566,FlowCalNumber,0),1,1))),INDEX(FlowCalConstA,MATCH(J566,FlowCalNumber,0),1,1)*L571^INDEX(FlowCalConstB,MATCH(J566,FlowCalNumber,0),1,1)," ")</f>
        <v>#N/A</v>
      </c>
      <c r="N571" s="1224"/>
      <c r="O571" s="1217">
        <f t="shared" si="268"/>
        <v>1</v>
      </c>
      <c r="P571" s="1218" t="e">
        <f t="shared" ca="1" si="269"/>
        <v>#VALUE!</v>
      </c>
      <c r="Q571" s="1219" t="e">
        <f ca="1">IF(AND(INDEX(FlowCalConstA,MATCH(N566,FlowCalNumber,0),1,1)*P571^INDEX(FlowCalConstB,MATCH(N566,FlowCalNumber,0),1,1)&gt;INDEX(FlowCalLowSetting,MATCH(N566,FlowCalNumber,0),1,1), (INDEX(FlowCalConstA,MATCH(N566,FlowCalNumber,0),1,1)*P571^INDEX(FlowCalConstB,MATCH(N566,FlowCalNumber,0),1,1)&lt;INDEX(FlowCalHighSetting,MATCH(N566,FlowCalNumber,0),1,1))),INDEX(FlowCalConstA,MATCH(N566,FlowCalNumber,0),1,1)*P571^INDEX(FlowCalConstB,MATCH(N566,FlowCalNumber,0),1,1)," ")</f>
        <v>#N/A</v>
      </c>
      <c r="R571" s="1224"/>
      <c r="S571" s="1217">
        <f t="shared" si="270"/>
        <v>1</v>
      </c>
      <c r="T571" s="1218" t="e">
        <f t="shared" ca="1" si="271"/>
        <v>#VALUE!</v>
      </c>
      <c r="U571" s="1219" t="e">
        <f ca="1">IF(AND(INDEX(FlowCalConstA,MATCH(R566,FlowCalNumber,0),1,1)*T571^INDEX(FlowCalConstB,MATCH(R566,FlowCalNumber,0),1,1)&gt;INDEX(FlowCalLowSetting,MATCH(R566,FlowCalNumber,0),1,1), (INDEX(FlowCalConstA,MATCH(R566,FlowCalNumber,0),1,1)*T571^INDEX(FlowCalConstB,MATCH(R566,FlowCalNumber,0),1,1)&lt;INDEX(FlowCalHighSetting,MATCH(R566,FlowCalNumber,0),1,1))),INDEX(FlowCalConstA,MATCH(R566,FlowCalNumber,0),1,1)*T571^INDEX(FlowCalConstB,MATCH(R566,FlowCalNumber,0),1,1)," ")</f>
        <v>#N/A</v>
      </c>
      <c r="V571" s="1224"/>
      <c r="W571" s="1217"/>
      <c r="X571" s="1218"/>
      <c r="Y571" s="1219"/>
      <c r="Z571" s="1224"/>
      <c r="AA571" s="1217"/>
      <c r="AB571" s="1218"/>
      <c r="AC571" s="1219"/>
      <c r="AD571" s="1224"/>
      <c r="AE571" s="1217"/>
      <c r="AF571" s="1218"/>
      <c r="AG571" s="1219"/>
      <c r="AH571" s="1224"/>
      <c r="AI571" s="1217"/>
      <c r="AJ571" s="1218"/>
      <c r="AK571" s="1220"/>
      <c r="AL571" s="1219"/>
      <c r="AM571" s="1219"/>
      <c r="AN571" s="1219"/>
      <c r="AO571" s="1219"/>
      <c r="AP571" s="1219"/>
      <c r="AQ571" s="1219"/>
      <c r="AR571" s="1219"/>
      <c r="AS571" s="1219"/>
      <c r="AT571" s="1219"/>
      <c r="AU571" s="1219"/>
      <c r="AV571" s="1219"/>
      <c r="AW571" s="1219"/>
      <c r="AX571" s="1219"/>
      <c r="AY571" s="1219"/>
      <c r="AZ571" s="1219"/>
      <c r="BA571" s="1219"/>
      <c r="BB571" s="1219"/>
      <c r="BC571" s="1219"/>
      <c r="BD571" s="1219"/>
      <c r="BE571" s="1219"/>
      <c r="BF571" s="1219"/>
      <c r="BG571" s="1219"/>
      <c r="BH571" s="1219"/>
      <c r="BI571" s="1219"/>
      <c r="BJ571" s="1219"/>
      <c r="BK571" s="1219"/>
      <c r="BL571" s="1219"/>
      <c r="BM571" s="1219"/>
      <c r="BN571" s="1219"/>
      <c r="BO571" s="1219"/>
      <c r="BP571" s="1219"/>
      <c r="BQ571" s="1219"/>
      <c r="BR571" s="1219"/>
      <c r="BS571" s="1219"/>
      <c r="BU571" s="1217"/>
      <c r="BW571" s="1219"/>
      <c r="BY571" s="1217"/>
      <c r="CA571" s="1219"/>
      <c r="CC571" s="1217"/>
      <c r="CE571" s="1219"/>
      <c r="CG571" s="1217"/>
      <c r="CI571" s="1219"/>
    </row>
    <row r="572" spans="1:87">
      <c r="A572" s="20"/>
      <c r="B572" s="124" t="str">
        <f t="shared" si="264"/>
        <v/>
      </c>
      <c r="C572" s="235"/>
      <c r="D572" s="24">
        <f>'1% Wind'!$M$87</f>
        <v>13.5</v>
      </c>
      <c r="E572" s="90"/>
      <c r="F572" s="90"/>
      <c r="G572" s="79">
        <f ca="1">IF(I566=0.9743,$G571,MAX(G571/D571*D572,2))</f>
        <v>2</v>
      </c>
      <c r="H572" s="121" t="e">
        <f t="shared" ca="1" si="265"/>
        <v>#VALUE!</v>
      </c>
      <c r="J572" s="33"/>
      <c r="K572" s="242">
        <f t="shared" si="266"/>
        <v>1</v>
      </c>
      <c r="L572" s="241" t="e">
        <f t="shared" ca="1" si="267"/>
        <v>#VALUE!</v>
      </c>
      <c r="M572" s="243" t="e">
        <f ca="1">IF(AND(INDEX(FlowCalConstA,MATCH(J566,FlowCalNumber,0),1,1)*L572^INDEX(FlowCalConstB,MATCH(J566,FlowCalNumber,0),1,1)&gt;INDEX(FlowCalLowSetting,MATCH(J566,FlowCalNumber,0),1,1), (INDEX(FlowCalConstA,MATCH(J566,FlowCalNumber,0),1,1)*L572^INDEX(FlowCalConstB,MATCH(J566,FlowCalNumber,0),1,1)&lt;INDEX(FlowCalHighSetting,MATCH(J566,FlowCalNumber,0),1,1))),INDEX(FlowCalConstA,MATCH(J566,FlowCalNumber,0),1,1)*L572^INDEX(FlowCalConstB,MATCH(J566,FlowCalNumber,0),1,1)," ")</f>
        <v>#N/A</v>
      </c>
      <c r="N572" s="33"/>
      <c r="O572" s="242">
        <f t="shared" si="268"/>
        <v>1</v>
      </c>
      <c r="P572" s="241" t="e">
        <f t="shared" ca="1" si="269"/>
        <v>#VALUE!</v>
      </c>
      <c r="Q572" s="243" t="e">
        <f ca="1">IF(AND(INDEX(FlowCalConstA,MATCH(N566,FlowCalNumber,0),1,1)*P572^INDEX(FlowCalConstB,MATCH(N566,FlowCalNumber,0),1,1)&gt;INDEX(FlowCalLowSetting,MATCH(N566,FlowCalNumber,0),1,1), (INDEX(FlowCalConstA,MATCH(N566,FlowCalNumber,0),1,1)*P572^INDEX(FlowCalConstB,MATCH(N566,FlowCalNumber,0),1,1)&lt;INDEX(FlowCalHighSetting,MATCH(N566,FlowCalNumber,0),1,1))),INDEX(FlowCalConstA,MATCH(N566,FlowCalNumber,0),1,1)*P572^INDEX(FlowCalConstB,MATCH(N566,FlowCalNumber,0),1,1)," ")</f>
        <v>#N/A</v>
      </c>
      <c r="R572" s="33"/>
      <c r="S572" s="242">
        <f t="shared" si="270"/>
        <v>1</v>
      </c>
      <c r="T572" s="241" t="e">
        <f t="shared" ca="1" si="271"/>
        <v>#VALUE!</v>
      </c>
      <c r="U572" s="243" t="e">
        <f ca="1">IF(AND(INDEX(FlowCalConstA,MATCH(R566,FlowCalNumber,0),1,1)*T572^INDEX(FlowCalConstB,MATCH(R566,FlowCalNumber,0),1,1)&gt;INDEX(FlowCalLowSetting,MATCH(R566,FlowCalNumber,0),1,1), (INDEX(FlowCalConstA,MATCH(R566,FlowCalNumber,0),1,1)*T572^INDEX(FlowCalConstB,MATCH(R566,FlowCalNumber,0),1,1)&lt;INDEX(FlowCalHighSetting,MATCH(R566,FlowCalNumber,0),1,1))),INDEX(FlowCalConstA,MATCH(R566,FlowCalNumber,0),1,1)*T572^INDEX(FlowCalConstB,MATCH(R566,FlowCalNumber,0),1,1)," ")</f>
        <v>#N/A</v>
      </c>
      <c r="V572" s="33"/>
      <c r="W572" s="242"/>
      <c r="X572" s="241"/>
      <c r="Y572" s="243"/>
      <c r="Z572" s="33"/>
      <c r="AA572" s="242"/>
      <c r="AB572" s="241"/>
      <c r="AC572" s="243"/>
      <c r="AD572" s="33"/>
      <c r="AE572" s="242"/>
      <c r="AF572" s="241"/>
      <c r="AG572" s="243"/>
      <c r="AH572" s="33"/>
      <c r="AI572" s="242"/>
      <c r="AJ572" s="241"/>
      <c r="AK572" s="244"/>
      <c r="AL572" s="243"/>
      <c r="AM572" s="243"/>
      <c r="AN572" s="243"/>
      <c r="AO572" s="243"/>
      <c r="AP572" s="243"/>
      <c r="AQ572" s="243"/>
      <c r="AR572" s="243"/>
      <c r="AS572" s="243"/>
      <c r="AT572" s="243"/>
      <c r="AU572" s="243"/>
      <c r="AV572" s="243"/>
      <c r="AW572" s="243"/>
      <c r="AX572" s="243"/>
      <c r="AY572" s="243"/>
      <c r="AZ572" s="243"/>
      <c r="BA572" s="243"/>
      <c r="BB572" s="243"/>
      <c r="BC572" s="243"/>
      <c r="BD572" s="243"/>
      <c r="BE572" s="243"/>
      <c r="BF572" s="243"/>
      <c r="BG572" s="243"/>
      <c r="BH572" s="243"/>
      <c r="BI572" s="243"/>
      <c r="BJ572" s="243"/>
      <c r="BK572" s="243"/>
      <c r="BL572" s="243"/>
      <c r="BM572" s="243"/>
      <c r="BN572" s="243"/>
      <c r="BO572" s="243"/>
      <c r="BP572" s="243"/>
      <c r="BQ572" s="243"/>
      <c r="BR572" s="243"/>
      <c r="BS572" s="243"/>
      <c r="BU572" s="242"/>
      <c r="BW572" s="243"/>
      <c r="BY572" s="242"/>
      <c r="CA572" s="243"/>
      <c r="CC572" s="242"/>
      <c r="CE572" s="243"/>
      <c r="CG572" s="242"/>
      <c r="CI572" s="243"/>
    </row>
    <row r="573" spans="1:87" s="1215" customFormat="1">
      <c r="A573" s="1222"/>
      <c r="B573" s="1223" t="str">
        <f t="shared" si="264"/>
        <v/>
      </c>
      <c r="C573" s="1210"/>
      <c r="D573" s="1211">
        <f>'1% Wind'!$M$88</f>
        <v>10.1</v>
      </c>
      <c r="E573" s="1212"/>
      <c r="F573" s="1212"/>
      <c r="G573" s="1213">
        <f ca="1">IF(I566=0.9743,$G572,MAX(G572/D572*D573,2))</f>
        <v>2</v>
      </c>
      <c r="H573" s="1214" t="e">
        <f t="shared" ca="1" si="265"/>
        <v>#VALUE!</v>
      </c>
      <c r="J573" s="1224"/>
      <c r="K573" s="1217">
        <f t="shared" si="266"/>
        <v>1</v>
      </c>
      <c r="L573" s="1218" t="e">
        <f t="shared" ca="1" si="267"/>
        <v>#VALUE!</v>
      </c>
      <c r="M573" s="1219" t="e">
        <f ca="1">IF(AND(INDEX(FlowCalConstA,MATCH(J566,FlowCalNumber,0),1,1)*L573^INDEX(FlowCalConstB,MATCH(J566,FlowCalNumber,0),1,1)&gt;INDEX(FlowCalLowSetting,MATCH(J566,FlowCalNumber,0),1,1), (INDEX(FlowCalConstA,MATCH(J566,FlowCalNumber,0),1,1)*L573^INDEX(FlowCalConstB,MATCH(J566,FlowCalNumber,0),1,1)&lt;INDEX(FlowCalHighSetting,MATCH(J566,FlowCalNumber,0),1,1))),INDEX(FlowCalConstA,MATCH(J566,FlowCalNumber,0),1,1)*L573^INDEX(FlowCalConstB,MATCH(J566,FlowCalNumber,0),1,1)," ")</f>
        <v>#N/A</v>
      </c>
      <c r="N573" s="1224"/>
      <c r="O573" s="1217">
        <f t="shared" si="268"/>
        <v>1</v>
      </c>
      <c r="P573" s="1218" t="e">
        <f t="shared" ca="1" si="269"/>
        <v>#VALUE!</v>
      </c>
      <c r="Q573" s="1219" t="e">
        <f ca="1">IF(AND(INDEX(FlowCalConstA,MATCH(N566,FlowCalNumber,0),1,1)*P573^INDEX(FlowCalConstB,MATCH(N566,FlowCalNumber,0),1,1)&gt;INDEX(FlowCalLowSetting,MATCH(N566,FlowCalNumber,0),1,1), (INDEX(FlowCalConstA,MATCH(N566,FlowCalNumber,0),1,1)*P573^INDEX(FlowCalConstB,MATCH(N566,FlowCalNumber,0),1,1)&lt;INDEX(FlowCalHighSetting,MATCH(N566,FlowCalNumber,0),1,1))),INDEX(FlowCalConstA,MATCH(N566,FlowCalNumber,0),1,1)*P573^INDEX(FlowCalConstB,MATCH(N566,FlowCalNumber,0),1,1)," ")</f>
        <v>#N/A</v>
      </c>
      <c r="R573" s="1224"/>
      <c r="S573" s="1217">
        <f t="shared" si="270"/>
        <v>1</v>
      </c>
      <c r="T573" s="1218" t="e">
        <f t="shared" ca="1" si="271"/>
        <v>#VALUE!</v>
      </c>
      <c r="U573" s="1219" t="e">
        <f ca="1">IF(AND(INDEX(FlowCalConstA,MATCH(R566,FlowCalNumber,0),1,1)*T573^INDEX(FlowCalConstB,MATCH(R566,FlowCalNumber,0),1,1)&gt;INDEX(FlowCalLowSetting,MATCH(R566,FlowCalNumber,0),1,1), (INDEX(FlowCalConstA,MATCH(R566,FlowCalNumber,0),1,1)*T573^INDEX(FlowCalConstB,MATCH(R566,FlowCalNumber,0),1,1)&lt;INDEX(FlowCalHighSetting,MATCH(R566,FlowCalNumber,0),1,1))),INDEX(FlowCalConstA,MATCH(R566,FlowCalNumber,0),1,1)*T573^INDEX(FlowCalConstB,MATCH(R566,FlowCalNumber,0),1,1)," ")</f>
        <v>#N/A</v>
      </c>
      <c r="V573" s="1224"/>
      <c r="W573" s="1217"/>
      <c r="X573" s="1218"/>
      <c r="Y573" s="1219"/>
      <c r="Z573" s="1224"/>
      <c r="AA573" s="1217"/>
      <c r="AB573" s="1218"/>
      <c r="AC573" s="1219"/>
      <c r="AD573" s="1224"/>
      <c r="AE573" s="1217"/>
      <c r="AF573" s="1218"/>
      <c r="AG573" s="1219"/>
      <c r="AH573" s="1224"/>
      <c r="AI573" s="1217"/>
      <c r="AJ573" s="1218"/>
      <c r="AK573" s="1220"/>
      <c r="AL573" s="1219"/>
      <c r="AM573" s="1219"/>
      <c r="AN573" s="1219"/>
      <c r="AO573" s="1219"/>
      <c r="AP573" s="1219"/>
      <c r="AQ573" s="1219"/>
      <c r="AR573" s="1219"/>
      <c r="AS573" s="1219"/>
      <c r="AT573" s="1219"/>
      <c r="AU573" s="1219"/>
      <c r="AV573" s="1219"/>
      <c r="AW573" s="1219"/>
      <c r="AX573" s="1219"/>
      <c r="AY573" s="1219"/>
      <c r="AZ573" s="1219"/>
      <c r="BA573" s="1219"/>
      <c r="BB573" s="1219"/>
      <c r="BC573" s="1219"/>
      <c r="BD573" s="1219"/>
      <c r="BE573" s="1219"/>
      <c r="BF573" s="1219"/>
      <c r="BG573" s="1219"/>
      <c r="BH573" s="1219"/>
      <c r="BI573" s="1219"/>
      <c r="BJ573" s="1219"/>
      <c r="BK573" s="1219"/>
      <c r="BL573" s="1219"/>
      <c r="BM573" s="1219"/>
      <c r="BN573" s="1219"/>
      <c r="BO573" s="1219"/>
      <c r="BP573" s="1219"/>
      <c r="BQ573" s="1219"/>
      <c r="BR573" s="1219"/>
      <c r="BS573" s="1219"/>
      <c r="BU573" s="1217"/>
      <c r="BW573" s="1219"/>
      <c r="BY573" s="1217"/>
      <c r="CA573" s="1219"/>
      <c r="CC573" s="1217"/>
      <c r="CE573" s="1219"/>
      <c r="CG573" s="1217"/>
      <c r="CI573" s="1219"/>
    </row>
    <row r="574" spans="1:87">
      <c r="A574" s="20"/>
      <c r="B574" s="124" t="str">
        <f t="shared" si="264"/>
        <v/>
      </c>
      <c r="C574" s="235"/>
      <c r="D574" s="24">
        <f>'1% Wind'!$M$89</f>
        <v>7.6</v>
      </c>
      <c r="E574" s="90"/>
      <c r="F574" s="90"/>
      <c r="G574" s="79">
        <f ca="1">IF(I566=0.9743,$G573,MAX(G573/D573*D574,2))</f>
        <v>2</v>
      </c>
      <c r="H574" s="121" t="e">
        <f t="shared" ca="1" si="265"/>
        <v>#VALUE!</v>
      </c>
      <c r="J574" s="33"/>
      <c r="K574" s="242">
        <f t="shared" si="266"/>
        <v>1</v>
      </c>
      <c r="L574" s="241" t="e">
        <f t="shared" ca="1" si="267"/>
        <v>#VALUE!</v>
      </c>
      <c r="M574" s="243" t="e">
        <f ca="1">IF(AND(INDEX(FlowCalConstA,MATCH(J566,FlowCalNumber,0),1,1)*L574^INDEX(FlowCalConstB,MATCH(J566,FlowCalNumber,0),1,1)&gt;INDEX(FlowCalLowSetting,MATCH(J566,FlowCalNumber,0),1,1), (INDEX(FlowCalConstA,MATCH(J566,FlowCalNumber,0),1,1)*L574^INDEX(FlowCalConstB,MATCH(J566,FlowCalNumber,0),1,1)&lt;INDEX(FlowCalHighSetting,MATCH(J566,FlowCalNumber,0),1,1))),INDEX(FlowCalConstA,MATCH(J566,FlowCalNumber,0),1,1)*L574^INDEX(FlowCalConstB,MATCH(J566,FlowCalNumber,0),1,1)," ")</f>
        <v>#N/A</v>
      </c>
      <c r="N574" s="33"/>
      <c r="O574" s="242">
        <f t="shared" si="268"/>
        <v>1</v>
      </c>
      <c r="P574" s="241" t="e">
        <f t="shared" ca="1" si="269"/>
        <v>#VALUE!</v>
      </c>
      <c r="Q574" s="243" t="e">
        <f ca="1">IF(AND(INDEX(FlowCalConstA,MATCH(N566,FlowCalNumber,0),1,1)*P574^INDEX(FlowCalConstB,MATCH(N566,FlowCalNumber,0),1,1)&gt;INDEX(FlowCalLowSetting,MATCH(N566,FlowCalNumber,0),1,1), (INDEX(FlowCalConstA,MATCH(N566,FlowCalNumber,0),1,1)*P574^INDEX(FlowCalConstB,MATCH(N566,FlowCalNumber,0),1,1)&lt;INDEX(FlowCalHighSetting,MATCH(N566,FlowCalNumber,0),1,1))),INDEX(FlowCalConstA,MATCH(N566,FlowCalNumber,0),1,1)*P574^INDEX(FlowCalConstB,MATCH(N566,FlowCalNumber,0),1,1)," ")</f>
        <v>#N/A</v>
      </c>
      <c r="R574" s="33"/>
      <c r="S574" s="242">
        <f t="shared" si="270"/>
        <v>1</v>
      </c>
      <c r="T574" s="241" t="e">
        <f t="shared" ca="1" si="271"/>
        <v>#VALUE!</v>
      </c>
      <c r="U574" s="243" t="e">
        <f ca="1">IF(AND(INDEX(FlowCalConstA,MATCH(R566,FlowCalNumber,0),1,1)*T574^INDEX(FlowCalConstB,MATCH(R566,FlowCalNumber,0),1,1)&gt;INDEX(FlowCalLowSetting,MATCH(R566,FlowCalNumber,0),1,1), (INDEX(FlowCalConstA,MATCH(R566,FlowCalNumber,0),1,1)*T574^INDEX(FlowCalConstB,MATCH(R566,FlowCalNumber,0),1,1)&lt;INDEX(FlowCalHighSetting,MATCH(R566,FlowCalNumber,0),1,1))),INDEX(FlowCalConstA,MATCH(R566,FlowCalNumber,0),1,1)*T574^INDEX(FlowCalConstB,MATCH(R566,FlowCalNumber,0),1,1)," ")</f>
        <v>#N/A</v>
      </c>
      <c r="V574" s="33"/>
      <c r="W574" s="242"/>
      <c r="X574" s="241"/>
      <c r="Y574" s="243"/>
      <c r="Z574" s="33"/>
      <c r="AA574" s="242"/>
      <c r="AB574" s="241"/>
      <c r="AC574" s="243"/>
      <c r="AD574" s="33"/>
      <c r="AE574" s="242"/>
      <c r="AF574" s="241"/>
      <c r="AG574" s="243"/>
      <c r="AH574" s="33"/>
      <c r="AI574" s="242"/>
      <c r="AJ574" s="241"/>
      <c r="AK574" s="244"/>
      <c r="AL574" s="243"/>
      <c r="AM574" s="243"/>
      <c r="AN574" s="243"/>
      <c r="AO574" s="243"/>
      <c r="AP574" s="243"/>
      <c r="AQ574" s="243"/>
      <c r="AR574" s="243"/>
      <c r="AS574" s="243"/>
      <c r="AT574" s="243"/>
      <c r="AU574" s="243"/>
      <c r="AV574" s="243"/>
      <c r="AW574" s="243"/>
      <c r="AX574" s="243"/>
      <c r="AY574" s="243"/>
      <c r="AZ574" s="243"/>
      <c r="BA574" s="243"/>
      <c r="BB574" s="243"/>
      <c r="BC574" s="243"/>
      <c r="BD574" s="243"/>
      <c r="BE574" s="243"/>
      <c r="BF574" s="243"/>
      <c r="BG574" s="243"/>
      <c r="BH574" s="243"/>
      <c r="BI574" s="243"/>
      <c r="BJ574" s="243"/>
      <c r="BK574" s="243"/>
      <c r="BL574" s="243"/>
      <c r="BM574" s="243"/>
      <c r="BN574" s="243"/>
      <c r="BO574" s="243"/>
      <c r="BP574" s="243"/>
      <c r="BQ574" s="243"/>
      <c r="BR574" s="243"/>
      <c r="BS574" s="243"/>
      <c r="BU574" s="242"/>
      <c r="BW574" s="243"/>
      <c r="BY574" s="242"/>
      <c r="CA574" s="243"/>
      <c r="CC574" s="242"/>
      <c r="CE574" s="243"/>
      <c r="CG574" s="242"/>
      <c r="CI574" s="243"/>
    </row>
    <row r="575" spans="1:87" s="1215" customFormat="1">
      <c r="A575" s="1222"/>
      <c r="B575" s="1223" t="str">
        <f t="shared" si="264"/>
        <v/>
      </c>
      <c r="C575" s="1210"/>
      <c r="D575" s="1211">
        <f>'1% Wind'!$M$90</f>
        <v>5.7</v>
      </c>
      <c r="E575" s="1212"/>
      <c r="F575" s="1212"/>
      <c r="G575" s="1213">
        <f ca="1">IF(I566=0.9743,$G574,MAX(G574/D574*D575,2))</f>
        <v>2</v>
      </c>
      <c r="H575" s="1214" t="e">
        <f t="shared" ca="1" si="265"/>
        <v>#VALUE!</v>
      </c>
      <c r="J575" s="1224"/>
      <c r="K575" s="1217">
        <f t="shared" si="266"/>
        <v>1</v>
      </c>
      <c r="L575" s="1218" t="e">
        <f t="shared" ca="1" si="267"/>
        <v>#VALUE!</v>
      </c>
      <c r="M575" s="1219" t="e">
        <f ca="1">IF(AND(INDEX(FlowCalConstA,MATCH(J566,FlowCalNumber,0),1,1)*L575^INDEX(FlowCalConstB,MATCH(J566,FlowCalNumber,0),1,1)&gt;INDEX(FlowCalLowSetting,MATCH(J566,FlowCalNumber,0),1,1), (INDEX(FlowCalConstA,MATCH(J566,FlowCalNumber,0),1,1)*L575^INDEX(FlowCalConstB,MATCH(J566,FlowCalNumber,0),1,1)&lt;INDEX(FlowCalHighSetting,MATCH(J566,FlowCalNumber,0),1,1))),INDEX(FlowCalConstA,MATCH(J566,FlowCalNumber,0),1,1)*L575^INDEX(FlowCalConstB,MATCH(J566,FlowCalNumber,0),1,1)," ")</f>
        <v>#N/A</v>
      </c>
      <c r="N575" s="1224"/>
      <c r="O575" s="1217">
        <f t="shared" si="268"/>
        <v>1</v>
      </c>
      <c r="P575" s="1218" t="e">
        <f t="shared" ca="1" si="269"/>
        <v>#VALUE!</v>
      </c>
      <c r="Q575" s="1219" t="e">
        <f ca="1">IF(AND(INDEX(FlowCalConstA,MATCH(N566,FlowCalNumber,0),1,1)*P575^INDEX(FlowCalConstB,MATCH(N566,FlowCalNumber,0),1,1)&gt;INDEX(FlowCalLowSetting,MATCH(N566,FlowCalNumber,0),1,1), (INDEX(FlowCalConstA,MATCH(N566,FlowCalNumber,0),1,1)*P575^INDEX(FlowCalConstB,MATCH(N566,FlowCalNumber,0),1,1)&lt;INDEX(FlowCalHighSetting,MATCH(N566,FlowCalNumber,0),1,1))),INDEX(FlowCalConstA,MATCH(N566,FlowCalNumber,0),1,1)*P575^INDEX(FlowCalConstB,MATCH(N566,FlowCalNumber,0),1,1)," ")</f>
        <v>#N/A</v>
      </c>
      <c r="R575" s="1224"/>
      <c r="S575" s="1217">
        <f t="shared" si="270"/>
        <v>1</v>
      </c>
      <c r="T575" s="1218" t="e">
        <f t="shared" ca="1" si="271"/>
        <v>#VALUE!</v>
      </c>
      <c r="U575" s="1219" t="e">
        <f ca="1">IF(AND(INDEX(FlowCalConstA,MATCH(R566,FlowCalNumber,0),1,1)*T575^INDEX(FlowCalConstB,MATCH(R566,FlowCalNumber,0),1,1)&gt;INDEX(FlowCalLowSetting,MATCH(R566,FlowCalNumber,0),1,1), (INDEX(FlowCalConstA,MATCH(R566,FlowCalNumber,0),1,1)*T575^INDEX(FlowCalConstB,MATCH(R566,FlowCalNumber,0),1,1)&lt;INDEX(FlowCalHighSetting,MATCH(R566,FlowCalNumber,0),1,1))),INDEX(FlowCalConstA,MATCH(R566,FlowCalNumber,0),1,1)*T575^INDEX(FlowCalConstB,MATCH(R566,FlowCalNumber,0),1,1)," ")</f>
        <v>#N/A</v>
      </c>
      <c r="V575" s="1224"/>
      <c r="W575" s="1217"/>
      <c r="X575" s="1218"/>
      <c r="Y575" s="1219"/>
      <c r="Z575" s="1224"/>
      <c r="AA575" s="1217"/>
      <c r="AB575" s="1218"/>
      <c r="AC575" s="1219"/>
      <c r="AD575" s="1224"/>
      <c r="AE575" s="1217"/>
      <c r="AF575" s="1218"/>
      <c r="AG575" s="1219"/>
      <c r="AH575" s="1224"/>
      <c r="AI575" s="1217"/>
      <c r="AJ575" s="1218"/>
      <c r="AK575" s="1220"/>
      <c r="AL575" s="1219"/>
      <c r="AM575" s="1219"/>
      <c r="AN575" s="1219"/>
      <c r="AO575" s="1219"/>
      <c r="AP575" s="1219"/>
      <c r="AQ575" s="1219"/>
      <c r="AR575" s="1219"/>
      <c r="AS575" s="1219"/>
      <c r="AT575" s="1219"/>
      <c r="AU575" s="1219"/>
      <c r="AV575" s="1219"/>
      <c r="AW575" s="1219"/>
      <c r="AX575" s="1219"/>
      <c r="AY575" s="1219"/>
      <c r="AZ575" s="1219"/>
      <c r="BA575" s="1219"/>
      <c r="BB575" s="1219"/>
      <c r="BC575" s="1219"/>
      <c r="BD575" s="1219"/>
      <c r="BE575" s="1219"/>
      <c r="BF575" s="1219"/>
      <c r="BG575" s="1219"/>
      <c r="BH575" s="1219"/>
      <c r="BI575" s="1219"/>
      <c r="BJ575" s="1219"/>
      <c r="BK575" s="1219"/>
      <c r="BL575" s="1219"/>
      <c r="BM575" s="1219"/>
      <c r="BN575" s="1219"/>
      <c r="BO575" s="1219"/>
      <c r="BP575" s="1219"/>
      <c r="BQ575" s="1219"/>
      <c r="BR575" s="1219"/>
      <c r="BS575" s="1219"/>
      <c r="BU575" s="1217"/>
      <c r="BW575" s="1219"/>
      <c r="BY575" s="1217"/>
      <c r="CA575" s="1219"/>
      <c r="CC575" s="1217"/>
      <c r="CE575" s="1219"/>
      <c r="CG575" s="1217"/>
      <c r="CI575" s="1219"/>
    </row>
    <row r="576" spans="1:87">
      <c r="A576" s="20"/>
      <c r="B576" s="124" t="str">
        <f t="shared" si="264"/>
        <v/>
      </c>
      <c r="C576" s="235"/>
      <c r="D576" s="24">
        <f>'1% Wind'!$M$91</f>
        <v>4.2</v>
      </c>
      <c r="E576" s="90"/>
      <c r="F576" s="90"/>
      <c r="G576" s="79">
        <f ca="1">IF(I566=0.9743,$G575,MAX(G575/D575*D576,2))</f>
        <v>2</v>
      </c>
      <c r="H576" s="121" t="e">
        <f t="shared" ca="1" si="265"/>
        <v>#VALUE!</v>
      </c>
      <c r="J576" s="33"/>
      <c r="K576" s="242">
        <f t="shared" si="266"/>
        <v>1</v>
      </c>
      <c r="L576" s="241" t="e">
        <f t="shared" ca="1" si="267"/>
        <v>#VALUE!</v>
      </c>
      <c r="M576" s="243" t="e">
        <f ca="1">IF(AND(INDEX(FlowCalConstA,MATCH(J566,FlowCalNumber,0),1,1)*L576^INDEX(FlowCalConstB,MATCH(J566,FlowCalNumber,0),1,1)&gt;INDEX(FlowCalLowSetting,MATCH(J566,FlowCalNumber,0),1,1), (INDEX(FlowCalConstA,MATCH(J566,FlowCalNumber,0),1,1)*L576^INDEX(FlowCalConstB,MATCH(J566,FlowCalNumber,0),1,1)&lt;INDEX(FlowCalHighSetting,MATCH(J566,FlowCalNumber,0),1,1))),INDEX(FlowCalConstA,MATCH(J566,FlowCalNumber,0),1,1)*L576^INDEX(FlowCalConstB,MATCH(J566,FlowCalNumber,0),1,1)," ")</f>
        <v>#N/A</v>
      </c>
      <c r="N576" s="33"/>
      <c r="O576" s="242">
        <f t="shared" si="268"/>
        <v>1</v>
      </c>
      <c r="P576" s="241" t="e">
        <f t="shared" ca="1" si="269"/>
        <v>#VALUE!</v>
      </c>
      <c r="Q576" s="243" t="e">
        <f ca="1">IF(AND(INDEX(FlowCalConstA,MATCH(N566,FlowCalNumber,0),1,1)*P576^INDEX(FlowCalConstB,MATCH(N566,FlowCalNumber,0),1,1)&gt;INDEX(FlowCalLowSetting,MATCH(N566,FlowCalNumber,0),1,1), (INDEX(FlowCalConstA,MATCH(N566,FlowCalNumber,0),1,1)*P576^INDEX(FlowCalConstB,MATCH(N566,FlowCalNumber,0),1,1)&lt;INDEX(FlowCalHighSetting,MATCH(N566,FlowCalNumber,0),1,1))),INDEX(FlowCalConstA,MATCH(N566,FlowCalNumber,0),1,1)*P576^INDEX(FlowCalConstB,MATCH(N566,FlowCalNumber,0),1,1)," ")</f>
        <v>#N/A</v>
      </c>
      <c r="R576" s="33"/>
      <c r="S576" s="242">
        <f t="shared" si="270"/>
        <v>1</v>
      </c>
      <c r="T576" s="241" t="e">
        <f t="shared" ca="1" si="271"/>
        <v>#VALUE!</v>
      </c>
      <c r="U576" s="243" t="e">
        <f ca="1">IF(AND(INDEX(FlowCalConstA,MATCH(R566,FlowCalNumber,0),1,1)*T576^INDEX(FlowCalConstB,MATCH(R566,FlowCalNumber,0),1,1)&gt;INDEX(FlowCalLowSetting,MATCH(R566,FlowCalNumber,0),1,1), (INDEX(FlowCalConstA,MATCH(R566,FlowCalNumber,0),1,1)*T576^INDEX(FlowCalConstB,MATCH(R566,FlowCalNumber,0),1,1)&lt;INDEX(FlowCalHighSetting,MATCH(R566,FlowCalNumber,0),1,1))),INDEX(FlowCalConstA,MATCH(R566,FlowCalNumber,0),1,1)*T576^INDEX(FlowCalConstB,MATCH(R566,FlowCalNumber,0),1,1)," ")</f>
        <v>#N/A</v>
      </c>
      <c r="V576" s="33"/>
      <c r="W576" s="242"/>
      <c r="X576" s="241"/>
      <c r="Y576" s="243"/>
      <c r="Z576" s="33"/>
      <c r="AA576" s="242"/>
      <c r="AB576" s="241"/>
      <c r="AC576" s="243"/>
      <c r="AD576" s="33"/>
      <c r="AE576" s="242"/>
      <c r="AF576" s="241"/>
      <c r="AG576" s="243"/>
      <c r="AH576" s="33"/>
      <c r="AI576" s="242"/>
      <c r="AJ576" s="241"/>
      <c r="AK576" s="244"/>
      <c r="AL576" s="243"/>
      <c r="AM576" s="243"/>
      <c r="AN576" s="243"/>
      <c r="AO576" s="243"/>
      <c r="AP576" s="243"/>
      <c r="AQ576" s="243"/>
      <c r="AR576" s="243"/>
      <c r="AS576" s="243"/>
      <c r="AT576" s="243"/>
      <c r="AU576" s="243"/>
      <c r="AV576" s="243"/>
      <c r="AW576" s="243"/>
      <c r="AX576" s="243"/>
      <c r="AY576" s="243"/>
      <c r="AZ576" s="243"/>
      <c r="BA576" s="243"/>
      <c r="BB576" s="243"/>
      <c r="BC576" s="243"/>
      <c r="BD576" s="243"/>
      <c r="BE576" s="243"/>
      <c r="BF576" s="243"/>
      <c r="BG576" s="243"/>
      <c r="BH576" s="243"/>
      <c r="BI576" s="243"/>
      <c r="BJ576" s="243"/>
      <c r="BK576" s="243"/>
      <c r="BL576" s="243"/>
      <c r="BM576" s="243"/>
      <c r="BN576" s="243"/>
      <c r="BO576" s="243"/>
      <c r="BP576" s="243"/>
      <c r="BQ576" s="243"/>
      <c r="BR576" s="243"/>
      <c r="BS576" s="243"/>
      <c r="BU576" s="242"/>
      <c r="BW576" s="243"/>
      <c r="BY576" s="242"/>
      <c r="CA576" s="243"/>
      <c r="CC576" s="242"/>
      <c r="CE576" s="243"/>
      <c r="CG576" s="242"/>
      <c r="CI576" s="243"/>
    </row>
    <row r="577" spans="1:87" s="1215" customFormat="1">
      <c r="A577" s="1222"/>
      <c r="B577" s="1223" t="str">
        <f t="shared" si="264"/>
        <v/>
      </c>
      <c r="C577" s="1210"/>
      <c r="D577" s="1211">
        <f>'1% Wind'!$M$92</f>
        <v>3.2</v>
      </c>
      <c r="E577" s="1212"/>
      <c r="F577" s="1212"/>
      <c r="G577" s="1213">
        <f ca="1">IF(I566=0.9743,$G576,MAX(G576/D576*D577,2))</f>
        <v>2</v>
      </c>
      <c r="H577" s="1214" t="e">
        <f t="shared" ca="1" si="265"/>
        <v>#VALUE!</v>
      </c>
      <c r="J577" s="1224"/>
      <c r="K577" s="1217">
        <f t="shared" si="266"/>
        <v>1</v>
      </c>
      <c r="L577" s="1218" t="e">
        <f t="shared" ca="1" si="267"/>
        <v>#VALUE!</v>
      </c>
      <c r="M577" s="1219" t="e">
        <f ca="1">IF(AND(INDEX(FlowCalConstA,MATCH(J566,FlowCalNumber,0),1,1)*L577^INDEX(FlowCalConstB,MATCH(J566,FlowCalNumber,0),1,1)&gt;INDEX(FlowCalLowSetting,MATCH(J566,FlowCalNumber,0),1,1), (INDEX(FlowCalConstA,MATCH(J566,FlowCalNumber,0),1,1)*L577^INDEX(FlowCalConstB,MATCH(J566,FlowCalNumber,0),1,1)&lt;INDEX(FlowCalHighSetting,MATCH(J566,FlowCalNumber,0),1,1))),INDEX(FlowCalConstA,MATCH(J566,FlowCalNumber,0),1,1)*L577^INDEX(FlowCalConstB,MATCH(J566,FlowCalNumber,0),1,1)," ")</f>
        <v>#N/A</v>
      </c>
      <c r="N577" s="1224"/>
      <c r="O577" s="1217">
        <f t="shared" si="268"/>
        <v>1</v>
      </c>
      <c r="P577" s="1218" t="e">
        <f t="shared" ca="1" si="269"/>
        <v>#VALUE!</v>
      </c>
      <c r="Q577" s="1219" t="e">
        <f ca="1">IF(AND(INDEX(FlowCalConstA,MATCH(N566,FlowCalNumber,0),1,1)*P577^INDEX(FlowCalConstB,MATCH(N566,FlowCalNumber,0),1,1)&gt;INDEX(FlowCalLowSetting,MATCH(N566,FlowCalNumber,0),1,1), (INDEX(FlowCalConstA,MATCH(N566,FlowCalNumber,0),1,1)*P577^INDEX(FlowCalConstB,MATCH(N566,FlowCalNumber,0),1,1)&lt;INDEX(FlowCalHighSetting,MATCH(N566,FlowCalNumber,0),1,1))),INDEX(FlowCalConstA,MATCH(N566,FlowCalNumber,0),1,1)*P577^INDEX(FlowCalConstB,MATCH(N566,FlowCalNumber,0),1,1)," ")</f>
        <v>#N/A</v>
      </c>
      <c r="R577" s="1224"/>
      <c r="S577" s="1217">
        <f t="shared" si="270"/>
        <v>1</v>
      </c>
      <c r="T577" s="1218" t="e">
        <f t="shared" ca="1" si="271"/>
        <v>#VALUE!</v>
      </c>
      <c r="U577" s="1219" t="e">
        <f ca="1">IF(AND(INDEX(FlowCalConstA,MATCH(R566,FlowCalNumber,0),1,1)*T577^INDEX(FlowCalConstB,MATCH(R566,FlowCalNumber,0),1,1)&gt;INDEX(FlowCalLowSetting,MATCH(R566,FlowCalNumber,0),1,1), (INDEX(FlowCalConstA,MATCH(R566,FlowCalNumber,0),1,1)*T577^INDEX(FlowCalConstB,MATCH(R566,FlowCalNumber,0),1,1)&lt;INDEX(FlowCalHighSetting,MATCH(R566,FlowCalNumber,0),1,1))),INDEX(FlowCalConstA,MATCH(R566,FlowCalNumber,0),1,1)*T577^INDEX(FlowCalConstB,MATCH(R566,FlowCalNumber,0),1,1)," ")</f>
        <v>#N/A</v>
      </c>
      <c r="V577" s="1224"/>
      <c r="W577" s="1217"/>
      <c r="X577" s="1218"/>
      <c r="Y577" s="1219"/>
      <c r="Z577" s="1224"/>
      <c r="AA577" s="1217"/>
      <c r="AB577" s="1218"/>
      <c r="AC577" s="1219"/>
      <c r="AD577" s="1224"/>
      <c r="AE577" s="1217"/>
      <c r="AF577" s="1218"/>
      <c r="AG577" s="1219"/>
      <c r="AH577" s="1224"/>
      <c r="AI577" s="1217"/>
      <c r="AJ577" s="1218"/>
      <c r="AK577" s="1220"/>
      <c r="AL577" s="1219"/>
      <c r="AM577" s="1219"/>
      <c r="AN577" s="1219"/>
      <c r="AO577" s="1219"/>
      <c r="AP577" s="1219"/>
      <c r="AQ577" s="1219"/>
      <c r="AR577" s="1219"/>
      <c r="AS577" s="1219"/>
      <c r="AT577" s="1219"/>
      <c r="AU577" s="1219"/>
      <c r="AV577" s="1219"/>
      <c r="AW577" s="1219"/>
      <c r="AX577" s="1219"/>
      <c r="AY577" s="1219"/>
      <c r="AZ577" s="1219"/>
      <c r="BA577" s="1219"/>
      <c r="BB577" s="1219"/>
      <c r="BC577" s="1219"/>
      <c r="BD577" s="1219"/>
      <c r="BE577" s="1219"/>
      <c r="BF577" s="1219"/>
      <c r="BG577" s="1219"/>
      <c r="BH577" s="1219"/>
      <c r="BI577" s="1219"/>
      <c r="BJ577" s="1219"/>
      <c r="BK577" s="1219"/>
      <c r="BL577" s="1219"/>
      <c r="BM577" s="1219"/>
      <c r="BN577" s="1219"/>
      <c r="BO577" s="1219"/>
      <c r="BP577" s="1219"/>
      <c r="BQ577" s="1219"/>
      <c r="BR577" s="1219"/>
      <c r="BS577" s="1219"/>
      <c r="BU577" s="1217"/>
      <c r="BW577" s="1219"/>
      <c r="BY577" s="1217"/>
      <c r="CA577" s="1219"/>
      <c r="CC577" s="1217"/>
      <c r="CE577" s="1219"/>
      <c r="CG577" s="1217"/>
      <c r="CI577" s="1219"/>
    </row>
    <row r="578" spans="1:87">
      <c r="A578" s="20"/>
      <c r="B578" s="124" t="str">
        <f t="shared" si="264"/>
        <v/>
      </c>
      <c r="C578" s="235"/>
      <c r="D578" s="24">
        <f>'1% Wind'!$M$93</f>
        <v>2.4</v>
      </c>
      <c r="E578" s="90"/>
      <c r="F578" s="90"/>
      <c r="G578" s="79">
        <f ca="1">IF(I566=0.9743,$G577,MAX(G577/D577*D578,2))</f>
        <v>2</v>
      </c>
      <c r="H578" s="121" t="e">
        <f t="shared" ca="1" si="265"/>
        <v>#VALUE!</v>
      </c>
      <c r="J578" s="33"/>
      <c r="K578" s="242">
        <f t="shared" si="266"/>
        <v>1</v>
      </c>
      <c r="L578" s="241" t="e">
        <f t="shared" ca="1" si="267"/>
        <v>#VALUE!</v>
      </c>
      <c r="M578" s="243" t="e">
        <f ca="1">IF(AND(INDEX(FlowCalConstA,MATCH(J566,FlowCalNumber,0),1,1)*L578^INDEX(FlowCalConstB,MATCH(J566,FlowCalNumber,0),1,1)&gt;INDEX(FlowCalLowSetting,MATCH(J566,FlowCalNumber,0),1,1), (INDEX(FlowCalConstA,MATCH(J566,FlowCalNumber,0),1,1)*L578^INDEX(FlowCalConstB,MATCH(J566,FlowCalNumber,0),1,1)&lt;INDEX(FlowCalHighSetting,MATCH(J566,FlowCalNumber,0),1,1))),INDEX(FlowCalConstA,MATCH(J566,FlowCalNumber,0),1,1)*L578^INDEX(FlowCalConstB,MATCH(J566,FlowCalNumber,0),1,1)," ")</f>
        <v>#N/A</v>
      </c>
      <c r="N578" s="33"/>
      <c r="O578" s="242">
        <f t="shared" si="268"/>
        <v>1</v>
      </c>
      <c r="P578" s="241" t="e">
        <f t="shared" ca="1" si="269"/>
        <v>#VALUE!</v>
      </c>
      <c r="Q578" s="243" t="e">
        <f ca="1">IF(AND(INDEX(FlowCalConstA,MATCH(N566,FlowCalNumber,0),1,1)*P578^INDEX(FlowCalConstB,MATCH(N566,FlowCalNumber,0),1,1)&gt;INDEX(FlowCalLowSetting,MATCH(N566,FlowCalNumber,0),1,1), (INDEX(FlowCalConstA,MATCH(N566,FlowCalNumber,0),1,1)*P578^INDEX(FlowCalConstB,MATCH(N566,FlowCalNumber,0),1,1)&lt;INDEX(FlowCalHighSetting,MATCH(N566,FlowCalNumber,0),1,1))),INDEX(FlowCalConstA,MATCH(N566,FlowCalNumber,0),1,1)*P578^INDEX(FlowCalConstB,MATCH(N566,FlowCalNumber,0),1,1)," ")</f>
        <v>#N/A</v>
      </c>
      <c r="R578" s="33"/>
      <c r="S578" s="242">
        <f t="shared" si="270"/>
        <v>1</v>
      </c>
      <c r="T578" s="241" t="e">
        <f t="shared" ca="1" si="271"/>
        <v>#VALUE!</v>
      </c>
      <c r="U578" s="243" t="e">
        <f ca="1">IF(AND(INDEX(FlowCalConstA,MATCH(R566,FlowCalNumber,0),1,1)*T578^INDEX(FlowCalConstB,MATCH(R566,FlowCalNumber,0),1,1)&gt;INDEX(FlowCalLowSetting,MATCH(R566,FlowCalNumber,0),1,1), (INDEX(FlowCalConstA,MATCH(R566,FlowCalNumber,0),1,1)*T578^INDEX(FlowCalConstB,MATCH(R566,FlowCalNumber,0),1,1)&lt;INDEX(FlowCalHighSetting,MATCH(R566,FlowCalNumber,0),1,1))),INDEX(FlowCalConstA,MATCH(R566,FlowCalNumber,0),1,1)*T578^INDEX(FlowCalConstB,MATCH(R566,FlowCalNumber,0),1,1)," ")</f>
        <v>#N/A</v>
      </c>
      <c r="V578" s="33"/>
      <c r="W578" s="242"/>
      <c r="X578" s="241"/>
      <c r="Y578" s="243"/>
      <c r="Z578" s="33"/>
      <c r="AA578" s="242"/>
      <c r="AB578" s="241"/>
      <c r="AC578" s="243"/>
      <c r="AD578" s="33"/>
      <c r="AE578" s="242"/>
      <c r="AF578" s="241"/>
      <c r="AG578" s="243"/>
      <c r="AH578" s="33"/>
      <c r="AI578" s="242"/>
      <c r="AJ578" s="241"/>
      <c r="AK578" s="244"/>
      <c r="AL578" s="243"/>
      <c r="AM578" s="243"/>
      <c r="AN578" s="243"/>
      <c r="AO578" s="243"/>
      <c r="AP578" s="243"/>
      <c r="AQ578" s="243"/>
      <c r="AR578" s="243"/>
      <c r="AS578" s="243"/>
      <c r="AT578" s="243"/>
      <c r="AU578" s="243"/>
      <c r="AV578" s="243"/>
      <c r="AW578" s="243"/>
      <c r="AX578" s="243"/>
      <c r="AY578" s="243"/>
      <c r="AZ578" s="243"/>
      <c r="BA578" s="243"/>
      <c r="BB578" s="243"/>
      <c r="BC578" s="243"/>
      <c r="BD578" s="243"/>
      <c r="BE578" s="243"/>
      <c r="BF578" s="243"/>
      <c r="BG578" s="243"/>
      <c r="BH578" s="243"/>
      <c r="BI578" s="243"/>
      <c r="BJ578" s="243"/>
      <c r="BK578" s="243"/>
      <c r="BL578" s="243"/>
      <c r="BM578" s="243"/>
      <c r="BN578" s="243"/>
      <c r="BO578" s="243"/>
      <c r="BP578" s="243"/>
      <c r="BQ578" s="243"/>
      <c r="BR578" s="243"/>
      <c r="BS578" s="243"/>
      <c r="BU578" s="242"/>
      <c r="BW578" s="243"/>
      <c r="BY578" s="242"/>
      <c r="CA578" s="243"/>
      <c r="CC578" s="242"/>
      <c r="CE578" s="243"/>
      <c r="CG578" s="242"/>
      <c r="CI578" s="243"/>
    </row>
    <row r="579" spans="1:87" s="1215" customFormat="1">
      <c r="A579" s="1222"/>
      <c r="B579" s="1223" t="str">
        <f t="shared" si="264"/>
        <v/>
      </c>
      <c r="C579" s="1210"/>
      <c r="D579" s="1211">
        <f>'1% Wind'!$M$94</f>
        <v>1.8</v>
      </c>
      <c r="E579" s="1212"/>
      <c r="F579" s="1212"/>
      <c r="G579" s="1213">
        <f ca="1">IF(I566=0.9743,$G578,MAX(G578/D578*D579,2))</f>
        <v>2</v>
      </c>
      <c r="H579" s="1214" t="e">
        <f t="shared" ca="1" si="265"/>
        <v>#VALUE!</v>
      </c>
      <c r="J579" s="1224"/>
      <c r="K579" s="1217">
        <f t="shared" si="266"/>
        <v>1</v>
      </c>
      <c r="L579" s="1218" t="e">
        <f t="shared" ca="1" si="267"/>
        <v>#VALUE!</v>
      </c>
      <c r="M579" s="1219" t="e">
        <f ca="1">IF(AND(INDEX(FlowCalConstA,MATCH(J566,FlowCalNumber,0),1,1)*L579^INDEX(FlowCalConstB,MATCH(J566,FlowCalNumber,0),1,1)&gt;INDEX(FlowCalLowSetting,MATCH(J566,FlowCalNumber,0),1,1), (INDEX(FlowCalConstA,MATCH(J566,FlowCalNumber,0),1,1)*L579^INDEX(FlowCalConstB,MATCH(J566,FlowCalNumber,0),1,1)&lt;INDEX(FlowCalHighSetting,MATCH(J566,FlowCalNumber,0),1,1))),INDEX(FlowCalConstA,MATCH(J566,FlowCalNumber,0),1,1)*L579^INDEX(FlowCalConstB,MATCH(J566,FlowCalNumber,0),1,1)," ")</f>
        <v>#N/A</v>
      </c>
      <c r="N579" s="1224"/>
      <c r="O579" s="1217">
        <f t="shared" si="268"/>
        <v>1</v>
      </c>
      <c r="P579" s="1218" t="e">
        <f t="shared" ca="1" si="269"/>
        <v>#VALUE!</v>
      </c>
      <c r="Q579" s="1219" t="e">
        <f ca="1">IF(AND(INDEX(FlowCalConstA,MATCH(N566,FlowCalNumber,0),1,1)*P579^INDEX(FlowCalConstB,MATCH(N566,FlowCalNumber,0),1,1)&gt;INDEX(FlowCalLowSetting,MATCH(N566,FlowCalNumber,0),1,1), (INDEX(FlowCalConstA,MATCH(N566,FlowCalNumber,0),1,1)*P579^INDEX(FlowCalConstB,MATCH(N566,FlowCalNumber,0),1,1)&lt;INDEX(FlowCalHighSetting,MATCH(N566,FlowCalNumber,0),1,1))),INDEX(FlowCalConstA,MATCH(N566,FlowCalNumber,0),1,1)*P579^INDEX(FlowCalConstB,MATCH(N566,FlowCalNumber,0),1,1)," ")</f>
        <v>#N/A</v>
      </c>
      <c r="R579" s="1224"/>
      <c r="S579" s="1217">
        <f t="shared" si="270"/>
        <v>1</v>
      </c>
      <c r="T579" s="1218" t="e">
        <f t="shared" ca="1" si="271"/>
        <v>#VALUE!</v>
      </c>
      <c r="U579" s="1219" t="e">
        <f ca="1">IF(AND(INDEX(FlowCalConstA,MATCH(R566,FlowCalNumber,0),1,1)*T579^INDEX(FlowCalConstB,MATCH(R566,FlowCalNumber,0),1,1)&gt;INDEX(FlowCalLowSetting,MATCH(R566,FlowCalNumber,0),1,1), (INDEX(FlowCalConstA,MATCH(R566,FlowCalNumber,0),1,1)*T579^INDEX(FlowCalConstB,MATCH(R566,FlowCalNumber,0),1,1)&lt;INDEX(FlowCalHighSetting,MATCH(R566,FlowCalNumber,0),1,1))),INDEX(FlowCalConstA,MATCH(R566,FlowCalNumber,0),1,1)*T579^INDEX(FlowCalConstB,MATCH(R566,FlowCalNumber,0),1,1)," ")</f>
        <v>#N/A</v>
      </c>
      <c r="V579" s="1224"/>
      <c r="W579" s="1217"/>
      <c r="X579" s="1218"/>
      <c r="Y579" s="1219"/>
      <c r="Z579" s="1224"/>
      <c r="AA579" s="1217"/>
      <c r="AB579" s="1218"/>
      <c r="AC579" s="1219"/>
      <c r="AD579" s="1224"/>
      <c r="AE579" s="1217"/>
      <c r="AF579" s="1218"/>
      <c r="AG579" s="1219"/>
      <c r="AH579" s="1224"/>
      <c r="AI579" s="1217"/>
      <c r="AJ579" s="1218"/>
      <c r="AK579" s="1220"/>
      <c r="AL579" s="1219"/>
      <c r="AM579" s="1219"/>
      <c r="AN579" s="1219"/>
      <c r="AO579" s="1219"/>
      <c r="AP579" s="1219"/>
      <c r="AQ579" s="1219"/>
      <c r="AR579" s="1219"/>
      <c r="AS579" s="1219"/>
      <c r="AT579" s="1219"/>
      <c r="AU579" s="1219"/>
      <c r="AV579" s="1219"/>
      <c r="AW579" s="1219"/>
      <c r="AX579" s="1219"/>
      <c r="AY579" s="1219"/>
      <c r="AZ579" s="1219"/>
      <c r="BA579" s="1219"/>
      <c r="BB579" s="1219"/>
      <c r="BC579" s="1219"/>
      <c r="BD579" s="1219"/>
      <c r="BE579" s="1219"/>
      <c r="BF579" s="1219"/>
      <c r="BG579" s="1219"/>
      <c r="BH579" s="1219"/>
      <c r="BI579" s="1219"/>
      <c r="BJ579" s="1219"/>
      <c r="BK579" s="1219"/>
      <c r="BL579" s="1219"/>
      <c r="BM579" s="1219"/>
      <c r="BN579" s="1219"/>
      <c r="BO579" s="1219"/>
      <c r="BP579" s="1219"/>
      <c r="BQ579" s="1219"/>
      <c r="BR579" s="1219"/>
      <c r="BS579" s="1219"/>
      <c r="BU579" s="1217"/>
      <c r="BW579" s="1219"/>
      <c r="BY579" s="1217"/>
      <c r="CA579" s="1219"/>
      <c r="CC579" s="1217"/>
      <c r="CE579" s="1219"/>
      <c r="CG579" s="1217"/>
      <c r="CI579" s="1219"/>
    </row>
    <row r="580" spans="1:87">
      <c r="A580" s="20"/>
      <c r="B580" s="124" t="str">
        <f t="shared" si="264"/>
        <v/>
      </c>
      <c r="C580" s="235"/>
      <c r="D580" s="24">
        <f>'1% Wind'!$M$95</f>
        <v>1.3</v>
      </c>
      <c r="E580" s="90"/>
      <c r="F580" s="90"/>
      <c r="G580" s="79">
        <f ca="1">IF(I566=0.9743,$G579,MAX(G579/D579*D580,2))</f>
        <v>2</v>
      </c>
      <c r="H580" s="121" t="e">
        <f t="shared" ca="1" si="265"/>
        <v>#VALUE!</v>
      </c>
      <c r="J580" s="33"/>
      <c r="K580" s="242">
        <f t="shared" si="266"/>
        <v>1</v>
      </c>
      <c r="L580" s="241" t="e">
        <f t="shared" ca="1" si="267"/>
        <v>#VALUE!</v>
      </c>
      <c r="M580" s="243" t="e">
        <f ca="1">IF(AND(INDEX(FlowCalConstA,MATCH(J566,FlowCalNumber,0),1,1)*L580^INDEX(FlowCalConstB,MATCH(J566,FlowCalNumber,0),1,1)&gt;INDEX(FlowCalLowSetting,MATCH(J566,FlowCalNumber,0),1,1), (INDEX(FlowCalConstA,MATCH(J566,FlowCalNumber,0),1,1)*L580^INDEX(FlowCalConstB,MATCH(J566,FlowCalNumber,0),1,1)&lt;INDEX(FlowCalHighSetting,MATCH(J566,FlowCalNumber,0),1,1))),INDEX(FlowCalConstA,MATCH(J566,FlowCalNumber,0),1,1)*L580^INDEX(FlowCalConstB,MATCH(J566,FlowCalNumber,0),1,1)," ")</f>
        <v>#N/A</v>
      </c>
      <c r="N580" s="33"/>
      <c r="O580" s="242">
        <f t="shared" si="268"/>
        <v>1</v>
      </c>
      <c r="P580" s="241" t="e">
        <f t="shared" ca="1" si="269"/>
        <v>#VALUE!</v>
      </c>
      <c r="Q580" s="243" t="e">
        <f ca="1">IF(AND(INDEX(FlowCalConstA,MATCH(N566,FlowCalNumber,0),1,1)*P580^INDEX(FlowCalConstB,MATCH(N566,FlowCalNumber,0),1,1)&gt;INDEX(FlowCalLowSetting,MATCH(N566,FlowCalNumber,0),1,1), (INDEX(FlowCalConstA,MATCH(N566,FlowCalNumber,0),1,1)*P580^INDEX(FlowCalConstB,MATCH(N566,FlowCalNumber,0),1,1)&lt;INDEX(FlowCalHighSetting,MATCH(N566,FlowCalNumber,0),1,1))),INDEX(FlowCalConstA,MATCH(N566,FlowCalNumber,0),1,1)*P580^INDEX(FlowCalConstB,MATCH(N566,FlowCalNumber,0),1,1)," ")</f>
        <v>#N/A</v>
      </c>
      <c r="R580" s="33"/>
      <c r="S580" s="242">
        <f t="shared" si="270"/>
        <v>1</v>
      </c>
      <c r="T580" s="241" t="e">
        <f t="shared" ca="1" si="271"/>
        <v>#VALUE!</v>
      </c>
      <c r="U580" s="243" t="e">
        <f ca="1">IF(AND(INDEX(FlowCalConstA,MATCH(R566,FlowCalNumber,0),1,1)*T580^INDEX(FlowCalConstB,MATCH(R566,FlowCalNumber,0),1,1)&gt;INDEX(FlowCalLowSetting,MATCH(R566,FlowCalNumber,0),1,1), (INDEX(FlowCalConstA,MATCH(R566,FlowCalNumber,0),1,1)*T580^INDEX(FlowCalConstB,MATCH(R566,FlowCalNumber,0),1,1)&lt;INDEX(FlowCalHighSetting,MATCH(R566,FlowCalNumber,0),1,1))),INDEX(FlowCalConstA,MATCH(R566,FlowCalNumber,0),1,1)*T580^INDEX(FlowCalConstB,MATCH(R566,FlowCalNumber,0),1,1)," ")</f>
        <v>#N/A</v>
      </c>
      <c r="V580" s="33"/>
      <c r="W580" s="242"/>
      <c r="X580" s="241"/>
      <c r="Y580" s="243"/>
      <c r="Z580" s="33"/>
      <c r="AA580" s="242"/>
      <c r="AB580" s="241"/>
      <c r="AC580" s="243"/>
      <c r="AD580" s="33"/>
      <c r="AE580" s="242"/>
      <c r="AF580" s="241"/>
      <c r="AG580" s="243"/>
      <c r="AH580" s="33"/>
      <c r="AI580" s="242"/>
      <c r="AJ580" s="241"/>
      <c r="AK580" s="244"/>
      <c r="AL580" s="243"/>
      <c r="AM580" s="243"/>
      <c r="AN580" s="243"/>
      <c r="AO580" s="243"/>
      <c r="AP580" s="243"/>
      <c r="AQ580" s="243"/>
      <c r="AR580" s="243"/>
      <c r="AS580" s="243"/>
      <c r="AT580" s="243"/>
      <c r="AU580" s="243"/>
      <c r="AV580" s="243"/>
      <c r="AW580" s="243"/>
      <c r="AX580" s="243"/>
      <c r="AY580" s="243"/>
      <c r="AZ580" s="243"/>
      <c r="BA580" s="243"/>
      <c r="BB580" s="243"/>
      <c r="BC580" s="243"/>
      <c r="BD580" s="243"/>
      <c r="BE580" s="243"/>
      <c r="BF580" s="243"/>
      <c r="BG580" s="243"/>
      <c r="BH580" s="243"/>
      <c r="BI580" s="243"/>
      <c r="BJ580" s="243"/>
      <c r="BK580" s="243"/>
      <c r="BL580" s="243"/>
      <c r="BM580" s="243"/>
      <c r="BN580" s="243"/>
      <c r="BO580" s="243"/>
      <c r="BP580" s="243"/>
      <c r="BQ580" s="243"/>
      <c r="BR580" s="243"/>
      <c r="BS580" s="243"/>
      <c r="BU580" s="242"/>
      <c r="BW580" s="243"/>
      <c r="BY580" s="242"/>
      <c r="CA580" s="243"/>
      <c r="CC580" s="242"/>
      <c r="CE580" s="243"/>
      <c r="CG580" s="242"/>
      <c r="CI580" s="243"/>
    </row>
    <row r="581" spans="1:87" s="1215" customFormat="1">
      <c r="A581" s="1222"/>
      <c r="B581" s="1223" t="str">
        <f t="shared" si="264"/>
        <v/>
      </c>
      <c r="C581" s="1210"/>
      <c r="D581" s="1211">
        <f>'1% Wind'!$M$96</f>
        <v>1</v>
      </c>
      <c r="E581" s="1212"/>
      <c r="F581" s="1212"/>
      <c r="G581" s="1213">
        <f ca="1">IF(I566=0.9743,$G580,MAX(G580/D580*D581,2))</f>
        <v>2</v>
      </c>
      <c r="H581" s="1214" t="e">
        <f t="shared" ca="1" si="265"/>
        <v>#VALUE!</v>
      </c>
      <c r="J581" s="1224"/>
      <c r="K581" s="1217">
        <f t="shared" si="266"/>
        <v>1</v>
      </c>
      <c r="L581" s="1218" t="e">
        <f t="shared" ca="1" si="267"/>
        <v>#VALUE!</v>
      </c>
      <c r="M581" s="1219" t="e">
        <f ca="1">IF(AND(INDEX(FlowCalConstA,MATCH(J566,FlowCalNumber,0),1,1)*L581^INDEX(FlowCalConstB,MATCH(J566,FlowCalNumber,0),1,1)&gt;INDEX(FlowCalLowSetting,MATCH(J566,FlowCalNumber,0),1,1), (INDEX(FlowCalConstA,MATCH(J566,FlowCalNumber,0),1,1)*L581^INDEX(FlowCalConstB,MATCH(J566,FlowCalNumber,0),1,1)&lt;INDEX(FlowCalHighSetting,MATCH(J566,FlowCalNumber,0),1,1))),INDEX(FlowCalConstA,MATCH(J566,FlowCalNumber,0),1,1)*L581^INDEX(FlowCalConstB,MATCH(J566,FlowCalNumber,0),1,1)," ")</f>
        <v>#N/A</v>
      </c>
      <c r="N581" s="1224"/>
      <c r="O581" s="1217">
        <f t="shared" si="268"/>
        <v>1</v>
      </c>
      <c r="P581" s="1218" t="e">
        <f t="shared" ca="1" si="269"/>
        <v>#VALUE!</v>
      </c>
      <c r="Q581" s="1219" t="e">
        <f ca="1">IF(AND(INDEX(FlowCalConstA,MATCH(N566,FlowCalNumber,0),1,1)*P581^INDEX(FlowCalConstB,MATCH(N566,FlowCalNumber,0),1,1)&gt;INDEX(FlowCalLowSetting,MATCH(N566,FlowCalNumber,0),1,1), (INDEX(FlowCalConstA,MATCH(N566,FlowCalNumber,0),1,1)*P581^INDEX(FlowCalConstB,MATCH(N566,FlowCalNumber,0),1,1)&lt;INDEX(FlowCalHighSetting,MATCH(N566,FlowCalNumber,0),1,1))),INDEX(FlowCalConstA,MATCH(N566,FlowCalNumber,0),1,1)*P581^INDEX(FlowCalConstB,MATCH(N566,FlowCalNumber,0),1,1)," ")</f>
        <v>#N/A</v>
      </c>
      <c r="R581" s="1224"/>
      <c r="S581" s="1217">
        <f t="shared" si="270"/>
        <v>1</v>
      </c>
      <c r="T581" s="1218" t="e">
        <f t="shared" ca="1" si="271"/>
        <v>#VALUE!</v>
      </c>
      <c r="U581" s="1219" t="e">
        <f ca="1">IF(AND(INDEX(FlowCalConstA,MATCH(R566,FlowCalNumber,0),1,1)*T581^INDEX(FlowCalConstB,MATCH(R566,FlowCalNumber,0),1,1)&gt;INDEX(FlowCalLowSetting,MATCH(R566,FlowCalNumber,0),1,1), (INDEX(FlowCalConstA,MATCH(R566,FlowCalNumber,0),1,1)*T581^INDEX(FlowCalConstB,MATCH(R566,FlowCalNumber,0),1,1)&lt;INDEX(FlowCalHighSetting,MATCH(R566,FlowCalNumber,0),1,1))),INDEX(FlowCalConstA,MATCH(R566,FlowCalNumber,0),1,1)*T581^INDEX(FlowCalConstB,MATCH(R566,FlowCalNumber,0),1,1)," ")</f>
        <v>#N/A</v>
      </c>
      <c r="V581" s="1224"/>
      <c r="W581" s="1217"/>
      <c r="X581" s="1218"/>
      <c r="Y581" s="1219"/>
      <c r="Z581" s="1224"/>
      <c r="AA581" s="1217"/>
      <c r="AB581" s="1218"/>
      <c r="AC581" s="1219"/>
      <c r="AD581" s="1224"/>
      <c r="AE581" s="1217"/>
      <c r="AF581" s="1218"/>
      <c r="AG581" s="1219"/>
      <c r="AH581" s="1224"/>
      <c r="AI581" s="1217"/>
      <c r="AJ581" s="1218"/>
      <c r="AK581" s="1220"/>
      <c r="AL581" s="1219"/>
      <c r="AM581" s="1219"/>
      <c r="AN581" s="1219"/>
      <c r="AO581" s="1219"/>
      <c r="AP581" s="1219"/>
      <c r="AQ581" s="1219"/>
      <c r="AR581" s="1219"/>
      <c r="AS581" s="1219"/>
      <c r="AT581" s="1219"/>
      <c r="AU581" s="1219"/>
      <c r="AV581" s="1219"/>
      <c r="AW581" s="1219"/>
      <c r="AX581" s="1219"/>
      <c r="AY581" s="1219"/>
      <c r="AZ581" s="1219"/>
      <c r="BA581" s="1219"/>
      <c r="BB581" s="1219"/>
      <c r="BC581" s="1219"/>
      <c r="BD581" s="1219"/>
      <c r="BE581" s="1219"/>
      <c r="BF581" s="1219"/>
      <c r="BG581" s="1219"/>
      <c r="BH581" s="1219"/>
      <c r="BI581" s="1219"/>
      <c r="BJ581" s="1219"/>
      <c r="BK581" s="1219"/>
      <c r="BL581" s="1219"/>
      <c r="BM581" s="1219"/>
      <c r="BN581" s="1219"/>
      <c r="BO581" s="1219"/>
      <c r="BP581" s="1219"/>
      <c r="BQ581" s="1219"/>
      <c r="BR581" s="1219"/>
      <c r="BS581" s="1219"/>
      <c r="BU581" s="1217"/>
      <c r="BW581" s="1219"/>
      <c r="BY581" s="1217"/>
      <c r="CA581" s="1219"/>
      <c r="CC581" s="1217"/>
      <c r="CE581" s="1219"/>
      <c r="CG581" s="1217"/>
      <c r="CI581" s="1219"/>
    </row>
    <row r="582" spans="1:87">
      <c r="A582" s="33"/>
      <c r="B582" s="33"/>
      <c r="C582" s="235"/>
      <c r="E582" s="90"/>
      <c r="F582" s="90"/>
      <c r="G582" s="33"/>
      <c r="J582" s="33"/>
      <c r="M582" s="243"/>
      <c r="N582" s="33"/>
      <c r="Q582" s="243"/>
      <c r="R582" s="33"/>
      <c r="U582" s="243"/>
      <c r="V582" s="33"/>
      <c r="Y582" s="243"/>
      <c r="Z582" s="33"/>
      <c r="AC582" s="243"/>
      <c r="AD582" s="33"/>
      <c r="AG582" s="243"/>
      <c r="AH582" s="33"/>
      <c r="AK582" s="244"/>
      <c r="AL582" s="243"/>
      <c r="AM582" s="243"/>
      <c r="AN582" s="243"/>
      <c r="AO582" s="243"/>
      <c r="AP582" s="243"/>
      <c r="AQ582" s="243"/>
      <c r="AR582" s="243"/>
      <c r="AS582" s="243"/>
      <c r="AT582" s="243"/>
      <c r="AU582" s="243"/>
      <c r="AV582" s="243"/>
      <c r="AW582" s="243"/>
      <c r="AX582" s="243"/>
      <c r="AY582" s="243"/>
      <c r="AZ582" s="243"/>
      <c r="BA582" s="243"/>
      <c r="BB582" s="243"/>
      <c r="BC582" s="243"/>
      <c r="BD582" s="243"/>
      <c r="BE582" s="243"/>
      <c r="BF582" s="243"/>
      <c r="BG582" s="243"/>
      <c r="BH582" s="243"/>
      <c r="BI582" s="243"/>
      <c r="BJ582" s="243"/>
      <c r="BK582" s="243"/>
      <c r="BL582" s="243"/>
      <c r="BM582" s="243"/>
      <c r="BN582" s="243"/>
      <c r="BO582" s="243"/>
      <c r="BP582" s="243"/>
      <c r="BQ582" s="243"/>
      <c r="BR582" s="243"/>
      <c r="BS582" s="243"/>
      <c r="BW582" s="243"/>
      <c r="CA582" s="243"/>
      <c r="CE582" s="243"/>
      <c r="CI582" s="243"/>
    </row>
    <row r="583" spans="1:87">
      <c r="A583" s="256" t="str">
        <f>IF((RIGHT(A566,1))&lt;&gt;"Z",CHAR(CODE(A566))&amp;CHAR(CODE(RIGHT(A566,1))+1),CHAR(CODE(A566)+1)&amp;"A")</f>
        <v>BH</v>
      </c>
      <c r="B583" s="270" t="str">
        <f>INDEX(SourceID,MATCH($A583,SourceNumber,0),1,1)</f>
        <v>B2 Viv-3</v>
      </c>
      <c r="C583" s="354">
        <f>INDEX(SourceExitDiameter,MATCH($A583,SourceNumber,0),1,1)*3.28*12</f>
        <v>57.974999999999994</v>
      </c>
      <c r="D583" s="24" t="str">
        <f>UAnem1percent</f>
        <v>1% Wind</v>
      </c>
      <c r="E583" s="350" t="e">
        <f ca="1">INDIRECT(ADDRESS(53,6,1,,CONCATENATE("TA",$A583)))</f>
        <v>#REF!</v>
      </c>
      <c r="F583" s="625" t="e">
        <f ca="1">(ROUND((INDIRECT(ADDRESS(15,7,1,,CONCATENATE("TA",$A583)))*3.28*12*32),0)&amp;"/32")</f>
        <v>#REF!</v>
      </c>
      <c r="G583" s="125">
        <f ca="1">INDIRECT(ADDRESS(29,7,1,,$A583))</f>
        <v>6.001707317073171</v>
      </c>
      <c r="H583" s="24" t="e">
        <f ca="1">INDIRECT(ADDRESS(19,7,1,,$A583))*100^3</f>
        <v>#VALUE!</v>
      </c>
      <c r="I583" s="941">
        <f ca="1">INDIRECT(ADDRESS(53,7,1,,$A583))</f>
        <v>0.97430000000000005</v>
      </c>
      <c r="J583" s="20" t="str">
        <f ca="1">IF($I583=$I$6,K$16&amp;$G$6&amp;J$6,IF($I583=$I$7,K$16&amp;$G$7&amp;J$7,"Bad"))</f>
        <v>100N2Pick a Tunnel</v>
      </c>
      <c r="K583" t="e">
        <f ca="1">INDEX(FlowCalGasMixture,MATCH(J583,FlowCalNumber,0),1,1)</f>
        <v>#N/A</v>
      </c>
      <c r="M583" s="944" t="e">
        <f ca="1">INDEX(FlowCalDevice,MATCH(J583,FlowCalNumber,0),1,1)</f>
        <v>#N/A</v>
      </c>
      <c r="N583" s="20" t="str">
        <f ca="1">IF($I583=$I$6,O$16&amp;$G$6&amp;N$6,IF($I583=$I$7,O$16&amp;$G$7&amp;N$7,"Bad"))</f>
        <v>100N2Pick a Tunnel</v>
      </c>
      <c r="O583" t="e">
        <f ca="1">INDEX(FlowCalGasMixture,MATCH(N583,FlowCalNumber,0),1,1)</f>
        <v>#N/A</v>
      </c>
      <c r="Q583" s="944" t="e">
        <f ca="1">INDEX(FlowCalDevice,MATCH(N583,FlowCalNumber,0),1,1)</f>
        <v>#N/A</v>
      </c>
      <c r="R583" s="20" t="str">
        <f ca="1">IF($I583=$I$6,S$16&amp;$G$6&amp;R$6,IF($I583=$I$7,S$16&amp;$G$7&amp;R$7,"Bad"))</f>
        <v>100N2Pick a Tunnel</v>
      </c>
      <c r="S583" t="e">
        <f ca="1">INDEX(FlowCalGasMixture,MATCH(R583,FlowCalNumber,0),1,1)</f>
        <v>#N/A</v>
      </c>
      <c r="U583" s="944" t="e">
        <f ca="1">INDEX(FlowCalDevice,MATCH(R583,FlowCalNumber,0),1,1)</f>
        <v>#N/A</v>
      </c>
      <c r="V583" s="20"/>
      <c r="Y583" s="944"/>
      <c r="Z583" s="946"/>
      <c r="AC583" s="944"/>
      <c r="AD583" s="20"/>
      <c r="AG583" s="944"/>
      <c r="AH583" s="946"/>
      <c r="AK583" s="982"/>
      <c r="AL583" s="355"/>
      <c r="AM583" s="355"/>
      <c r="AN583" s="355"/>
      <c r="AO583" s="355"/>
      <c r="AP583" s="355"/>
      <c r="AQ583" s="355"/>
      <c r="AR583" s="355"/>
      <c r="AS583" s="355"/>
      <c r="AT583" s="355"/>
      <c r="AU583" s="355"/>
      <c r="AV583" s="355"/>
      <c r="AW583" s="355"/>
      <c r="AX583" s="355"/>
      <c r="AY583" s="355"/>
      <c r="AZ583" s="355"/>
      <c r="BA583" s="355"/>
      <c r="BB583" s="355"/>
      <c r="BC583" s="355"/>
      <c r="BD583" s="355"/>
      <c r="BE583" s="355"/>
      <c r="BF583" s="355"/>
      <c r="BG583" s="355"/>
      <c r="BH583" s="355"/>
      <c r="BI583" s="355"/>
      <c r="BJ583" s="355"/>
      <c r="BK583" s="355"/>
      <c r="BL583" s="355"/>
      <c r="BM583" s="355"/>
      <c r="BN583" s="355"/>
      <c r="BO583" s="355"/>
      <c r="BP583" s="355"/>
      <c r="BQ583" s="355"/>
      <c r="BR583" s="355"/>
      <c r="BS583" s="355"/>
      <c r="BT583" s="46"/>
      <c r="BU583" s="16"/>
      <c r="BW583" s="355"/>
      <c r="BX583" s="42"/>
      <c r="BY583" s="16"/>
      <c r="CA583" s="355"/>
      <c r="CB583" s="42"/>
      <c r="CC583" s="16"/>
      <c r="CE583" s="355"/>
      <c r="CF583" s="42"/>
      <c r="CG583" s="16"/>
      <c r="CI583" s="355"/>
    </row>
    <row r="584" spans="1:87" s="1215" customFormat="1">
      <c r="A584" s="1222"/>
      <c r="B584" s="1223" t="str">
        <f t="shared" ref="B584:B598" si="272">IF(D584=UAnem1percent,"1% Wind","")</f>
        <v/>
      </c>
      <c r="C584" s="1210"/>
      <c r="D584" s="1211">
        <f>'1% Wind'!$M$82</f>
        <v>27</v>
      </c>
      <c r="E584" s="1212"/>
      <c r="F584" s="1212"/>
      <c r="G584" s="1364">
        <v>2</v>
      </c>
      <c r="H584" s="1214" t="e">
        <f t="shared" ref="H584:H598" ca="1" si="273">H583*(D583/D584)*(G584/G583)</f>
        <v>#VALUE!</v>
      </c>
      <c r="J584" s="1224"/>
      <c r="K584" s="1221">
        <f>K$17/100</f>
        <v>1</v>
      </c>
      <c r="L584" s="1218" t="e">
        <f ca="1">K584*$H584</f>
        <v>#VALUE!</v>
      </c>
      <c r="M584" s="1219" t="e">
        <f ca="1">IF(AND(INDEX(FlowCalConstA,MATCH(J583,FlowCalNumber,0),1,1)*L584^INDEX(FlowCalConstB,MATCH(J583,FlowCalNumber,0),1,1)&gt;INDEX(FlowCalLowSetting,MATCH(J583,FlowCalNumber,0),1,1), (INDEX(FlowCalConstA,MATCH(J583,FlowCalNumber,0),1,1)*L584^INDEX(FlowCalConstB,MATCH(J583,FlowCalNumber,0),1,1)&lt;INDEX(FlowCalHighSetting,MATCH(J583,FlowCalNumber,0),1,1))),INDEX(FlowCalConstA,MATCH(J583,FlowCalNumber,0),1,1)*L584^INDEX(FlowCalConstB,MATCH(J583,FlowCalNumber,0),1,1)," ")</f>
        <v>#N/A</v>
      </c>
      <c r="N584" s="1224"/>
      <c r="O584" s="1221">
        <f>O$17/100</f>
        <v>1</v>
      </c>
      <c r="P584" s="1218" t="e">
        <f ca="1">O584*$H584</f>
        <v>#VALUE!</v>
      </c>
      <c r="Q584" s="1219" t="e">
        <f ca="1">IF(AND(INDEX(FlowCalConstA,MATCH(N583,FlowCalNumber,0),1,1)*P584^INDEX(FlowCalConstB,MATCH(N583,FlowCalNumber,0),1,1)&gt;INDEX(FlowCalLowSetting,MATCH(N583,FlowCalNumber,0),1,1), (INDEX(FlowCalConstA,MATCH(N583,FlowCalNumber,0),1,1)*P584^INDEX(FlowCalConstB,MATCH(N583,FlowCalNumber,0),1,1)&lt;INDEX(FlowCalHighSetting,MATCH(N583,FlowCalNumber,0),1,1))),INDEX(FlowCalConstA,MATCH(N583,FlowCalNumber,0),1,1)*P584^INDEX(FlowCalConstB,MATCH(N583,FlowCalNumber,0),1,1)," ")</f>
        <v>#N/A</v>
      </c>
      <c r="R584" s="1224"/>
      <c r="S584" s="1221">
        <f>S$17/100</f>
        <v>1</v>
      </c>
      <c r="T584" s="1218" t="e">
        <f ca="1">S584*$H584</f>
        <v>#VALUE!</v>
      </c>
      <c r="U584" s="1219" t="e">
        <f ca="1">IF(AND(INDEX(FlowCalConstA,MATCH(R583,FlowCalNumber,0),1,1)*T584^INDEX(FlowCalConstB,MATCH(R583,FlowCalNumber,0),1,1)&gt;INDEX(FlowCalLowSetting,MATCH(R583,FlowCalNumber,0),1,1), (INDEX(FlowCalConstA,MATCH(R583,FlowCalNumber,0),1,1)*T584^INDEX(FlowCalConstB,MATCH(R583,FlowCalNumber,0),1,1)&lt;INDEX(FlowCalHighSetting,MATCH(R583,FlowCalNumber,0),1,1))),INDEX(FlowCalConstA,MATCH(R583,FlowCalNumber,0),1,1)*T584^INDEX(FlowCalConstB,MATCH(R583,FlowCalNumber,0),1,1)," ")</f>
        <v>#N/A</v>
      </c>
      <c r="V584" s="1224"/>
      <c r="W584" s="1221"/>
      <c r="X584" s="1218"/>
      <c r="Y584" s="1219"/>
      <c r="Z584" s="1224"/>
      <c r="AA584" s="1221"/>
      <c r="AB584" s="1218"/>
      <c r="AC584" s="1219"/>
      <c r="AD584" s="1224"/>
      <c r="AE584" s="1221"/>
      <c r="AF584" s="1218"/>
      <c r="AG584" s="1219"/>
      <c r="AH584" s="1224"/>
      <c r="AI584" s="1221"/>
      <c r="AJ584" s="1218"/>
      <c r="AK584" s="1220"/>
      <c r="AL584" s="1219"/>
      <c r="AM584" s="1219"/>
      <c r="AN584" s="1219"/>
      <c r="AO584" s="1219"/>
      <c r="AP584" s="1219"/>
      <c r="AQ584" s="1219"/>
      <c r="AR584" s="1219"/>
      <c r="AS584" s="1219"/>
      <c r="AT584" s="1219"/>
      <c r="AU584" s="1219"/>
      <c r="AV584" s="1219"/>
      <c r="AW584" s="1219"/>
      <c r="AX584" s="1219"/>
      <c r="AY584" s="1219"/>
      <c r="AZ584" s="1219"/>
      <c r="BA584" s="1219"/>
      <c r="BB584" s="1219"/>
      <c r="BC584" s="1219"/>
      <c r="BD584" s="1219"/>
      <c r="BE584" s="1219"/>
      <c r="BF584" s="1219"/>
      <c r="BG584" s="1219"/>
      <c r="BH584" s="1219"/>
      <c r="BI584" s="1219"/>
      <c r="BJ584" s="1219"/>
      <c r="BK584" s="1219"/>
      <c r="BL584" s="1219"/>
      <c r="BM584" s="1219"/>
      <c r="BN584" s="1219"/>
      <c r="BO584" s="1219"/>
      <c r="BP584" s="1219"/>
      <c r="BQ584" s="1219"/>
      <c r="BR584" s="1219"/>
      <c r="BS584" s="1219"/>
      <c r="BU584" s="1225"/>
      <c r="BW584" s="1219"/>
      <c r="BY584" s="1225"/>
      <c r="CA584" s="1219"/>
      <c r="CC584" s="1225"/>
      <c r="CE584" s="1219"/>
      <c r="CG584" s="1221"/>
      <c r="CI584" s="1219"/>
    </row>
    <row r="585" spans="1:87">
      <c r="A585" s="20"/>
      <c r="B585" s="124" t="str">
        <f t="shared" si="272"/>
        <v/>
      </c>
      <c r="C585" s="235"/>
      <c r="D585" s="24">
        <f>'1% Wind'!$M$83</f>
        <v>23.5</v>
      </c>
      <c r="E585" s="90"/>
      <c r="F585" s="90"/>
      <c r="G585" s="79">
        <f ca="1">IF(I583=0.9743,$G584,MAX(G584/D584*D585,2))</f>
        <v>2</v>
      </c>
      <c r="H585" s="121" t="e">
        <f t="shared" ca="1" si="273"/>
        <v>#VALUE!</v>
      </c>
      <c r="J585" s="33"/>
      <c r="K585" s="242">
        <f t="shared" ref="K585:K598" si="274">K584</f>
        <v>1</v>
      </c>
      <c r="L585" s="241" t="e">
        <f t="shared" ref="L585:L598" ca="1" si="275">K585*$H585</f>
        <v>#VALUE!</v>
      </c>
      <c r="M585" s="243" t="e">
        <f ca="1">IF(AND(INDEX(FlowCalConstA,MATCH(J583,FlowCalNumber,0),1,1)*L585^INDEX(FlowCalConstB,MATCH(J583,FlowCalNumber,0),1,1)&gt;INDEX(FlowCalLowSetting,MATCH(J583,FlowCalNumber,0),1,1), (INDEX(FlowCalConstA,MATCH(J583,FlowCalNumber,0),1,1)*L585^INDEX(FlowCalConstB,MATCH(J583,FlowCalNumber,0),1,1)&lt;INDEX(FlowCalHighSetting,MATCH(J583,FlowCalNumber,0),1,1))),INDEX(FlowCalConstA,MATCH(J583,FlowCalNumber,0),1,1)*L585^INDEX(FlowCalConstB,MATCH(J583,FlowCalNumber,0),1,1)," ")</f>
        <v>#N/A</v>
      </c>
      <c r="N585" s="33"/>
      <c r="O585" s="242">
        <f t="shared" ref="O585:O598" si="276">O584</f>
        <v>1</v>
      </c>
      <c r="P585" s="241" t="e">
        <f t="shared" ref="P585:P598" ca="1" si="277">O585*$H585</f>
        <v>#VALUE!</v>
      </c>
      <c r="Q585" s="243" t="e">
        <f ca="1">IF(AND(INDEX(FlowCalConstA,MATCH(N583,FlowCalNumber,0),1,1)*P585^INDEX(FlowCalConstB,MATCH(N583,FlowCalNumber,0),1,1)&gt;INDEX(FlowCalLowSetting,MATCH(N583,FlowCalNumber,0),1,1), (INDEX(FlowCalConstA,MATCH(N583,FlowCalNumber,0),1,1)*P585^INDEX(FlowCalConstB,MATCH(N583,FlowCalNumber,0),1,1)&lt;INDEX(FlowCalHighSetting,MATCH(N583,FlowCalNumber,0),1,1))),INDEX(FlowCalConstA,MATCH(N583,FlowCalNumber,0),1,1)*P585^INDEX(FlowCalConstB,MATCH(N583,FlowCalNumber,0),1,1)," ")</f>
        <v>#N/A</v>
      </c>
      <c r="R585" s="33"/>
      <c r="S585" s="242">
        <f t="shared" ref="S585:S598" si="278">S584</f>
        <v>1</v>
      </c>
      <c r="T585" s="241" t="e">
        <f t="shared" ref="T585:T598" ca="1" si="279">S585*$H585</f>
        <v>#VALUE!</v>
      </c>
      <c r="U585" s="243" t="e">
        <f ca="1">IF(AND(INDEX(FlowCalConstA,MATCH(R583,FlowCalNumber,0),1,1)*T585^INDEX(FlowCalConstB,MATCH(R583,FlowCalNumber,0),1,1)&gt;INDEX(FlowCalLowSetting,MATCH(R583,FlowCalNumber,0),1,1), (INDEX(FlowCalConstA,MATCH(R583,FlowCalNumber,0),1,1)*T585^INDEX(FlowCalConstB,MATCH(R583,FlowCalNumber,0),1,1)&lt;INDEX(FlowCalHighSetting,MATCH(R583,FlowCalNumber,0),1,1))),INDEX(FlowCalConstA,MATCH(R583,FlowCalNumber,0),1,1)*T585^INDEX(FlowCalConstB,MATCH(R583,FlowCalNumber,0),1,1)," ")</f>
        <v>#N/A</v>
      </c>
      <c r="V585" s="33"/>
      <c r="W585" s="242"/>
      <c r="X585" s="241"/>
      <c r="Y585" s="243"/>
      <c r="Z585" s="33"/>
      <c r="AA585" s="242"/>
      <c r="AB585" s="241"/>
      <c r="AC585" s="243"/>
      <c r="AD585" s="33"/>
      <c r="AE585" s="242"/>
      <c r="AF585" s="241"/>
      <c r="AG585" s="243"/>
      <c r="AH585" s="33"/>
      <c r="AI585" s="242"/>
      <c r="AJ585" s="241"/>
      <c r="AK585" s="244"/>
      <c r="AL585" s="243"/>
      <c r="AM585" s="243"/>
      <c r="AN585" s="243"/>
      <c r="AO585" s="243"/>
      <c r="AP585" s="243"/>
      <c r="AQ585" s="243"/>
      <c r="AR585" s="243"/>
      <c r="AS585" s="243"/>
      <c r="AT585" s="243"/>
      <c r="AU585" s="243"/>
      <c r="AV585" s="243"/>
      <c r="AW585" s="243"/>
      <c r="AX585" s="243"/>
      <c r="AY585" s="243"/>
      <c r="AZ585" s="243"/>
      <c r="BA585" s="243"/>
      <c r="BB585" s="243"/>
      <c r="BC585" s="243"/>
      <c r="BD585" s="243"/>
      <c r="BE585" s="243"/>
      <c r="BF585" s="243"/>
      <c r="BG585" s="243"/>
      <c r="BH585" s="243"/>
      <c r="BI585" s="243"/>
      <c r="BJ585" s="243"/>
      <c r="BK585" s="243"/>
      <c r="BL585" s="243"/>
      <c r="BM585" s="243"/>
      <c r="BN585" s="243"/>
      <c r="BO585" s="243"/>
      <c r="BP585" s="243"/>
      <c r="BQ585" s="243"/>
      <c r="BR585" s="243"/>
      <c r="BS585" s="243"/>
      <c r="BU585" s="242"/>
      <c r="BW585" s="243"/>
      <c r="BY585" s="242"/>
      <c r="CA585" s="243"/>
      <c r="CC585" s="242"/>
      <c r="CE585" s="243"/>
      <c r="CG585" s="242"/>
      <c r="CI585" s="243"/>
    </row>
    <row r="586" spans="1:87" s="1215" customFormat="1">
      <c r="A586" s="1222"/>
      <c r="B586" s="1223" t="str">
        <f t="shared" si="272"/>
        <v/>
      </c>
      <c r="C586" s="1210"/>
      <c r="D586" s="1211">
        <f>'1% Wind'!$M$84</f>
        <v>20.5</v>
      </c>
      <c r="E586" s="1212"/>
      <c r="F586" s="1212"/>
      <c r="G586" s="1213">
        <f ca="1">IF(I583=0.9743,$G585,MAX(G585/D585*D586,2))</f>
        <v>2</v>
      </c>
      <c r="H586" s="1214" t="e">
        <f t="shared" ca="1" si="273"/>
        <v>#VALUE!</v>
      </c>
      <c r="J586" s="1224"/>
      <c r="K586" s="1217">
        <f t="shared" si="274"/>
        <v>1</v>
      </c>
      <c r="L586" s="1218" t="e">
        <f t="shared" ca="1" si="275"/>
        <v>#VALUE!</v>
      </c>
      <c r="M586" s="1219" t="e">
        <f ca="1">IF(AND(INDEX(FlowCalConstA,MATCH(J583,FlowCalNumber,0),1,1)*L586^INDEX(FlowCalConstB,MATCH(J583,FlowCalNumber,0),1,1)&gt;INDEX(FlowCalLowSetting,MATCH(J583,FlowCalNumber,0),1,1), (INDEX(FlowCalConstA,MATCH(J583,FlowCalNumber,0),1,1)*L586^INDEX(FlowCalConstB,MATCH(J583,FlowCalNumber,0),1,1)&lt;INDEX(FlowCalHighSetting,MATCH(J583,FlowCalNumber,0),1,1))),INDEX(FlowCalConstA,MATCH(J583,FlowCalNumber,0),1,1)*L586^INDEX(FlowCalConstB,MATCH(J583,FlowCalNumber,0),1,1)," ")</f>
        <v>#N/A</v>
      </c>
      <c r="N586" s="1224"/>
      <c r="O586" s="1217">
        <f t="shared" si="276"/>
        <v>1</v>
      </c>
      <c r="P586" s="1218" t="e">
        <f t="shared" ca="1" si="277"/>
        <v>#VALUE!</v>
      </c>
      <c r="Q586" s="1219" t="e">
        <f ca="1">IF(AND(INDEX(FlowCalConstA,MATCH(N583,FlowCalNumber,0),1,1)*P586^INDEX(FlowCalConstB,MATCH(N583,FlowCalNumber,0),1,1)&gt;INDEX(FlowCalLowSetting,MATCH(N583,FlowCalNumber,0),1,1), (INDEX(FlowCalConstA,MATCH(N583,FlowCalNumber,0),1,1)*P586^INDEX(FlowCalConstB,MATCH(N583,FlowCalNumber,0),1,1)&lt;INDEX(FlowCalHighSetting,MATCH(N583,FlowCalNumber,0),1,1))),INDEX(FlowCalConstA,MATCH(N583,FlowCalNumber,0),1,1)*P586^INDEX(FlowCalConstB,MATCH(N583,FlowCalNumber,0),1,1)," ")</f>
        <v>#N/A</v>
      </c>
      <c r="R586" s="1224"/>
      <c r="S586" s="1217">
        <f t="shared" si="278"/>
        <v>1</v>
      </c>
      <c r="T586" s="1218" t="e">
        <f t="shared" ca="1" si="279"/>
        <v>#VALUE!</v>
      </c>
      <c r="U586" s="1219" t="e">
        <f ca="1">IF(AND(INDEX(FlowCalConstA,MATCH(R583,FlowCalNumber,0),1,1)*T586^INDEX(FlowCalConstB,MATCH(R583,FlowCalNumber,0),1,1)&gt;INDEX(FlowCalLowSetting,MATCH(R583,FlowCalNumber,0),1,1), (INDEX(FlowCalConstA,MATCH(R583,FlowCalNumber,0),1,1)*T586^INDEX(FlowCalConstB,MATCH(R583,FlowCalNumber,0),1,1)&lt;INDEX(FlowCalHighSetting,MATCH(R583,FlowCalNumber,0),1,1))),INDEX(FlowCalConstA,MATCH(R583,FlowCalNumber,0),1,1)*T586^INDEX(FlowCalConstB,MATCH(R583,FlowCalNumber,0),1,1)," ")</f>
        <v>#N/A</v>
      </c>
      <c r="V586" s="1224"/>
      <c r="W586" s="1217"/>
      <c r="X586" s="1218"/>
      <c r="Y586" s="1219"/>
      <c r="Z586" s="1224"/>
      <c r="AA586" s="1217"/>
      <c r="AB586" s="1218"/>
      <c r="AC586" s="1219"/>
      <c r="AD586" s="1224"/>
      <c r="AE586" s="1217"/>
      <c r="AF586" s="1218"/>
      <c r="AG586" s="1219"/>
      <c r="AH586" s="1224"/>
      <c r="AI586" s="1217"/>
      <c r="AJ586" s="1218"/>
      <c r="AK586" s="1220"/>
      <c r="AL586" s="1219"/>
      <c r="AM586" s="1219"/>
      <c r="AN586" s="1219"/>
      <c r="AO586" s="1219"/>
      <c r="AP586" s="1219"/>
      <c r="AQ586" s="1219"/>
      <c r="AR586" s="1219"/>
      <c r="AS586" s="1219"/>
      <c r="AT586" s="1219"/>
      <c r="AU586" s="1219"/>
      <c r="AV586" s="1219"/>
      <c r="AW586" s="1219"/>
      <c r="AX586" s="1219"/>
      <c r="AY586" s="1219"/>
      <c r="AZ586" s="1219"/>
      <c r="BA586" s="1219"/>
      <c r="BB586" s="1219"/>
      <c r="BC586" s="1219"/>
      <c r="BD586" s="1219"/>
      <c r="BE586" s="1219"/>
      <c r="BF586" s="1219"/>
      <c r="BG586" s="1219"/>
      <c r="BH586" s="1219"/>
      <c r="BI586" s="1219"/>
      <c r="BJ586" s="1219"/>
      <c r="BK586" s="1219"/>
      <c r="BL586" s="1219"/>
      <c r="BM586" s="1219"/>
      <c r="BN586" s="1219"/>
      <c r="BO586" s="1219"/>
      <c r="BP586" s="1219"/>
      <c r="BQ586" s="1219"/>
      <c r="BR586" s="1219"/>
      <c r="BS586" s="1219"/>
      <c r="BU586" s="1217"/>
      <c r="BW586" s="1219"/>
      <c r="BY586" s="1217"/>
      <c r="CA586" s="1219"/>
      <c r="CC586" s="1217"/>
      <c r="CE586" s="1219"/>
      <c r="CG586" s="1217"/>
      <c r="CI586" s="1219"/>
    </row>
    <row r="587" spans="1:87">
      <c r="A587" s="20"/>
      <c r="B587" s="124" t="str">
        <f t="shared" si="272"/>
        <v/>
      </c>
      <c r="C587" s="235"/>
      <c r="D587" s="24">
        <f>'1% Wind'!$M$85</f>
        <v>17.8</v>
      </c>
      <c r="E587" s="90"/>
      <c r="F587" s="90"/>
      <c r="G587" s="79">
        <f ca="1">IF(I583=0.9743,$G586,MAX(G586/D586*D587,2))</f>
        <v>2</v>
      </c>
      <c r="H587" s="121" t="e">
        <f t="shared" ca="1" si="273"/>
        <v>#VALUE!</v>
      </c>
      <c r="J587" s="33"/>
      <c r="K587" s="242">
        <f t="shared" si="274"/>
        <v>1</v>
      </c>
      <c r="L587" s="241" t="e">
        <f t="shared" ca="1" si="275"/>
        <v>#VALUE!</v>
      </c>
      <c r="M587" s="243" t="e">
        <f ca="1">IF(AND(INDEX(FlowCalConstA,MATCH(J583,FlowCalNumber,0),1,1)*L587^INDEX(FlowCalConstB,MATCH(J583,FlowCalNumber,0),1,1)&gt;INDEX(FlowCalLowSetting,MATCH(J583,FlowCalNumber,0),1,1), (INDEX(FlowCalConstA,MATCH(J583,FlowCalNumber,0),1,1)*L587^INDEX(FlowCalConstB,MATCH(J583,FlowCalNumber,0),1,1)&lt;INDEX(FlowCalHighSetting,MATCH(J583,FlowCalNumber,0),1,1))),INDEX(FlowCalConstA,MATCH(J583,FlowCalNumber,0),1,1)*L587^INDEX(FlowCalConstB,MATCH(J583,FlowCalNumber,0),1,1)," ")</f>
        <v>#N/A</v>
      </c>
      <c r="N587" s="33"/>
      <c r="O587" s="242">
        <f t="shared" si="276"/>
        <v>1</v>
      </c>
      <c r="P587" s="241" t="e">
        <f t="shared" ca="1" si="277"/>
        <v>#VALUE!</v>
      </c>
      <c r="Q587" s="243" t="e">
        <f ca="1">IF(AND(INDEX(FlowCalConstA,MATCH(N583,FlowCalNumber,0),1,1)*P587^INDEX(FlowCalConstB,MATCH(N583,FlowCalNumber,0),1,1)&gt;INDEX(FlowCalLowSetting,MATCH(N583,FlowCalNumber,0),1,1), (INDEX(FlowCalConstA,MATCH(N583,FlowCalNumber,0),1,1)*P587^INDEX(FlowCalConstB,MATCH(N583,FlowCalNumber,0),1,1)&lt;INDEX(FlowCalHighSetting,MATCH(N583,FlowCalNumber,0),1,1))),INDEX(FlowCalConstA,MATCH(N583,FlowCalNumber,0),1,1)*P587^INDEX(FlowCalConstB,MATCH(N583,FlowCalNumber,0),1,1)," ")</f>
        <v>#N/A</v>
      </c>
      <c r="R587" s="33"/>
      <c r="S587" s="242">
        <f t="shared" si="278"/>
        <v>1</v>
      </c>
      <c r="T587" s="241" t="e">
        <f t="shared" ca="1" si="279"/>
        <v>#VALUE!</v>
      </c>
      <c r="U587" s="243" t="e">
        <f ca="1">IF(AND(INDEX(FlowCalConstA,MATCH(R583,FlowCalNumber,0),1,1)*T587^INDEX(FlowCalConstB,MATCH(R583,FlowCalNumber,0),1,1)&gt;INDEX(FlowCalLowSetting,MATCH(R583,FlowCalNumber,0),1,1), (INDEX(FlowCalConstA,MATCH(R583,FlowCalNumber,0),1,1)*T587^INDEX(FlowCalConstB,MATCH(R583,FlowCalNumber,0),1,1)&lt;INDEX(FlowCalHighSetting,MATCH(R583,FlowCalNumber,0),1,1))),INDEX(FlowCalConstA,MATCH(R583,FlowCalNumber,0),1,1)*T587^INDEX(FlowCalConstB,MATCH(R583,FlowCalNumber,0),1,1)," ")</f>
        <v>#N/A</v>
      </c>
      <c r="V587" s="33"/>
      <c r="W587" s="242"/>
      <c r="X587" s="241"/>
      <c r="Y587" s="243"/>
      <c r="Z587" s="33"/>
      <c r="AA587" s="242"/>
      <c r="AB587" s="241"/>
      <c r="AC587" s="243"/>
      <c r="AD587" s="33"/>
      <c r="AE587" s="242"/>
      <c r="AF587" s="241"/>
      <c r="AG587" s="243"/>
      <c r="AH587" s="33"/>
      <c r="AI587" s="242"/>
      <c r="AJ587" s="241"/>
      <c r="AK587" s="244"/>
      <c r="AL587" s="243"/>
      <c r="AM587" s="243"/>
      <c r="AN587" s="243"/>
      <c r="AO587" s="243"/>
      <c r="AP587" s="243"/>
      <c r="AQ587" s="243"/>
      <c r="AR587" s="243"/>
      <c r="AS587" s="243"/>
      <c r="AT587" s="243"/>
      <c r="AU587" s="243"/>
      <c r="AV587" s="243"/>
      <c r="AW587" s="243"/>
      <c r="AX587" s="243"/>
      <c r="AY587" s="243"/>
      <c r="AZ587" s="243"/>
      <c r="BA587" s="243"/>
      <c r="BB587" s="243"/>
      <c r="BC587" s="243"/>
      <c r="BD587" s="243"/>
      <c r="BE587" s="243"/>
      <c r="BF587" s="243"/>
      <c r="BG587" s="243"/>
      <c r="BH587" s="243"/>
      <c r="BI587" s="243"/>
      <c r="BJ587" s="243"/>
      <c r="BK587" s="243"/>
      <c r="BL587" s="243"/>
      <c r="BM587" s="243"/>
      <c r="BN587" s="243"/>
      <c r="BO587" s="243"/>
      <c r="BP587" s="243"/>
      <c r="BQ587" s="243"/>
      <c r="BR587" s="243"/>
      <c r="BS587" s="243"/>
      <c r="BU587" s="242"/>
      <c r="BW587" s="243"/>
      <c r="BY587" s="242"/>
      <c r="CA587" s="243"/>
      <c r="CC587" s="242"/>
      <c r="CE587" s="243"/>
      <c r="CG587" s="242"/>
      <c r="CI587" s="243"/>
    </row>
    <row r="588" spans="1:87" s="1215" customFormat="1">
      <c r="A588" s="1222"/>
      <c r="B588" s="1223" t="str">
        <f t="shared" si="272"/>
        <v/>
      </c>
      <c r="C588" s="1210"/>
      <c r="D588" s="1211">
        <f>'1% Wind'!$M$86</f>
        <v>15.5</v>
      </c>
      <c r="E588" s="1212"/>
      <c r="F588" s="1212"/>
      <c r="G588" s="1213">
        <f ca="1">IF(I583=0.9743,$G587,MAX(G587/D587*D588,2))</f>
        <v>2</v>
      </c>
      <c r="H588" s="1214" t="e">
        <f t="shared" ca="1" si="273"/>
        <v>#VALUE!</v>
      </c>
      <c r="J588" s="1224"/>
      <c r="K588" s="1217">
        <f t="shared" si="274"/>
        <v>1</v>
      </c>
      <c r="L588" s="1218" t="e">
        <f t="shared" ca="1" si="275"/>
        <v>#VALUE!</v>
      </c>
      <c r="M588" s="1219" t="e">
        <f ca="1">IF(AND(INDEX(FlowCalConstA,MATCH(J583,FlowCalNumber,0),1,1)*L588^INDEX(FlowCalConstB,MATCH(J583,FlowCalNumber,0),1,1)&gt;INDEX(FlowCalLowSetting,MATCH(J583,FlowCalNumber,0),1,1), (INDEX(FlowCalConstA,MATCH(J583,FlowCalNumber,0),1,1)*L588^INDEX(FlowCalConstB,MATCH(J583,FlowCalNumber,0),1,1)&lt;INDEX(FlowCalHighSetting,MATCH(J583,FlowCalNumber,0),1,1))),INDEX(FlowCalConstA,MATCH(J583,FlowCalNumber,0),1,1)*L588^INDEX(FlowCalConstB,MATCH(J583,FlowCalNumber,0),1,1)," ")</f>
        <v>#N/A</v>
      </c>
      <c r="N588" s="1224"/>
      <c r="O588" s="1217">
        <f t="shared" si="276"/>
        <v>1</v>
      </c>
      <c r="P588" s="1218" t="e">
        <f t="shared" ca="1" si="277"/>
        <v>#VALUE!</v>
      </c>
      <c r="Q588" s="1219" t="e">
        <f ca="1">IF(AND(INDEX(FlowCalConstA,MATCH(N583,FlowCalNumber,0),1,1)*P588^INDEX(FlowCalConstB,MATCH(N583,FlowCalNumber,0),1,1)&gt;INDEX(FlowCalLowSetting,MATCH(N583,FlowCalNumber,0),1,1), (INDEX(FlowCalConstA,MATCH(N583,FlowCalNumber,0),1,1)*P588^INDEX(FlowCalConstB,MATCH(N583,FlowCalNumber,0),1,1)&lt;INDEX(FlowCalHighSetting,MATCH(N583,FlowCalNumber,0),1,1))),INDEX(FlowCalConstA,MATCH(N583,FlowCalNumber,0),1,1)*P588^INDEX(FlowCalConstB,MATCH(N583,FlowCalNumber,0),1,1)," ")</f>
        <v>#N/A</v>
      </c>
      <c r="R588" s="1224"/>
      <c r="S588" s="1217">
        <f t="shared" si="278"/>
        <v>1</v>
      </c>
      <c r="T588" s="1218" t="e">
        <f t="shared" ca="1" si="279"/>
        <v>#VALUE!</v>
      </c>
      <c r="U588" s="1219" t="e">
        <f ca="1">IF(AND(INDEX(FlowCalConstA,MATCH(R583,FlowCalNumber,0),1,1)*T588^INDEX(FlowCalConstB,MATCH(R583,FlowCalNumber,0),1,1)&gt;INDEX(FlowCalLowSetting,MATCH(R583,FlowCalNumber,0),1,1), (INDEX(FlowCalConstA,MATCH(R583,FlowCalNumber,0),1,1)*T588^INDEX(FlowCalConstB,MATCH(R583,FlowCalNumber,0),1,1)&lt;INDEX(FlowCalHighSetting,MATCH(R583,FlowCalNumber,0),1,1))),INDEX(FlowCalConstA,MATCH(R583,FlowCalNumber,0),1,1)*T588^INDEX(FlowCalConstB,MATCH(R583,FlowCalNumber,0),1,1)," ")</f>
        <v>#N/A</v>
      </c>
      <c r="V588" s="1224"/>
      <c r="W588" s="1217"/>
      <c r="X588" s="1218"/>
      <c r="Y588" s="1219"/>
      <c r="Z588" s="1224"/>
      <c r="AA588" s="1217"/>
      <c r="AB588" s="1218"/>
      <c r="AC588" s="1219"/>
      <c r="AD588" s="1224"/>
      <c r="AE588" s="1217"/>
      <c r="AF588" s="1218"/>
      <c r="AG588" s="1219"/>
      <c r="AH588" s="1224"/>
      <c r="AI588" s="1217"/>
      <c r="AJ588" s="1218"/>
      <c r="AK588" s="1220"/>
      <c r="AL588" s="1219"/>
      <c r="AM588" s="1219"/>
      <c r="AN588" s="1219"/>
      <c r="AO588" s="1219"/>
      <c r="AP588" s="1219"/>
      <c r="AQ588" s="1219"/>
      <c r="AR588" s="1219"/>
      <c r="AS588" s="1219"/>
      <c r="AT588" s="1219"/>
      <c r="AU588" s="1219"/>
      <c r="AV588" s="1219"/>
      <c r="AW588" s="1219"/>
      <c r="AX588" s="1219"/>
      <c r="AY588" s="1219"/>
      <c r="AZ588" s="1219"/>
      <c r="BA588" s="1219"/>
      <c r="BB588" s="1219"/>
      <c r="BC588" s="1219"/>
      <c r="BD588" s="1219"/>
      <c r="BE588" s="1219"/>
      <c r="BF588" s="1219"/>
      <c r="BG588" s="1219"/>
      <c r="BH588" s="1219"/>
      <c r="BI588" s="1219"/>
      <c r="BJ588" s="1219"/>
      <c r="BK588" s="1219"/>
      <c r="BL588" s="1219"/>
      <c r="BM588" s="1219"/>
      <c r="BN588" s="1219"/>
      <c r="BO588" s="1219"/>
      <c r="BP588" s="1219"/>
      <c r="BQ588" s="1219"/>
      <c r="BR588" s="1219"/>
      <c r="BS588" s="1219"/>
      <c r="BU588" s="1217"/>
      <c r="BW588" s="1219"/>
      <c r="BY588" s="1217"/>
      <c r="CA588" s="1219"/>
      <c r="CC588" s="1217"/>
      <c r="CE588" s="1219"/>
      <c r="CG588" s="1217"/>
      <c r="CI588" s="1219"/>
    </row>
    <row r="589" spans="1:87">
      <c r="A589" s="20"/>
      <c r="B589" s="124" t="str">
        <f t="shared" si="272"/>
        <v/>
      </c>
      <c r="C589" s="235"/>
      <c r="D589" s="24">
        <f>'1% Wind'!$M$87</f>
        <v>13.5</v>
      </c>
      <c r="E589" s="90"/>
      <c r="F589" s="90"/>
      <c r="G589" s="79">
        <f ca="1">IF(I583=0.9743,$G588,MAX(G588/D588*D589,2))</f>
        <v>2</v>
      </c>
      <c r="H589" s="121" t="e">
        <f t="shared" ca="1" si="273"/>
        <v>#VALUE!</v>
      </c>
      <c r="J589" s="33"/>
      <c r="K589" s="242">
        <f t="shared" si="274"/>
        <v>1</v>
      </c>
      <c r="L589" s="241" t="e">
        <f t="shared" ca="1" si="275"/>
        <v>#VALUE!</v>
      </c>
      <c r="M589" s="243" t="e">
        <f ca="1">IF(AND(INDEX(FlowCalConstA,MATCH(J583,FlowCalNumber,0),1,1)*L589^INDEX(FlowCalConstB,MATCH(J583,FlowCalNumber,0),1,1)&gt;INDEX(FlowCalLowSetting,MATCH(J583,FlowCalNumber,0),1,1), (INDEX(FlowCalConstA,MATCH(J583,FlowCalNumber,0),1,1)*L589^INDEX(FlowCalConstB,MATCH(J583,FlowCalNumber,0),1,1)&lt;INDEX(FlowCalHighSetting,MATCH(J583,FlowCalNumber,0),1,1))),INDEX(FlowCalConstA,MATCH(J583,FlowCalNumber,0),1,1)*L589^INDEX(FlowCalConstB,MATCH(J583,FlowCalNumber,0),1,1)," ")</f>
        <v>#N/A</v>
      </c>
      <c r="N589" s="33"/>
      <c r="O589" s="242">
        <f t="shared" si="276"/>
        <v>1</v>
      </c>
      <c r="P589" s="241" t="e">
        <f t="shared" ca="1" si="277"/>
        <v>#VALUE!</v>
      </c>
      <c r="Q589" s="243" t="e">
        <f ca="1">IF(AND(INDEX(FlowCalConstA,MATCH(N583,FlowCalNumber,0),1,1)*P589^INDEX(FlowCalConstB,MATCH(N583,FlowCalNumber,0),1,1)&gt;INDEX(FlowCalLowSetting,MATCH(N583,FlowCalNumber,0),1,1), (INDEX(FlowCalConstA,MATCH(N583,FlowCalNumber,0),1,1)*P589^INDEX(FlowCalConstB,MATCH(N583,FlowCalNumber,0),1,1)&lt;INDEX(FlowCalHighSetting,MATCH(N583,FlowCalNumber,0),1,1))),INDEX(FlowCalConstA,MATCH(N583,FlowCalNumber,0),1,1)*P589^INDEX(FlowCalConstB,MATCH(N583,FlowCalNumber,0),1,1)," ")</f>
        <v>#N/A</v>
      </c>
      <c r="R589" s="33"/>
      <c r="S589" s="242">
        <f t="shared" si="278"/>
        <v>1</v>
      </c>
      <c r="T589" s="241" t="e">
        <f t="shared" ca="1" si="279"/>
        <v>#VALUE!</v>
      </c>
      <c r="U589" s="243" t="e">
        <f ca="1">IF(AND(INDEX(FlowCalConstA,MATCH(R583,FlowCalNumber,0),1,1)*T589^INDEX(FlowCalConstB,MATCH(R583,FlowCalNumber,0),1,1)&gt;INDEX(FlowCalLowSetting,MATCH(R583,FlowCalNumber,0),1,1), (INDEX(FlowCalConstA,MATCH(R583,FlowCalNumber,0),1,1)*T589^INDEX(FlowCalConstB,MATCH(R583,FlowCalNumber,0),1,1)&lt;INDEX(FlowCalHighSetting,MATCH(R583,FlowCalNumber,0),1,1))),INDEX(FlowCalConstA,MATCH(R583,FlowCalNumber,0),1,1)*T589^INDEX(FlowCalConstB,MATCH(R583,FlowCalNumber,0),1,1)," ")</f>
        <v>#N/A</v>
      </c>
      <c r="V589" s="33"/>
      <c r="W589" s="242"/>
      <c r="X589" s="241"/>
      <c r="Y589" s="243"/>
      <c r="Z589" s="33"/>
      <c r="AA589" s="242"/>
      <c r="AB589" s="241"/>
      <c r="AC589" s="243"/>
      <c r="AD589" s="33"/>
      <c r="AE589" s="242"/>
      <c r="AF589" s="241"/>
      <c r="AG589" s="243"/>
      <c r="AH589" s="33"/>
      <c r="AI589" s="242"/>
      <c r="AJ589" s="241"/>
      <c r="AK589" s="244"/>
      <c r="AL589" s="243"/>
      <c r="AM589" s="243"/>
      <c r="AN589" s="243"/>
      <c r="AO589" s="243"/>
      <c r="AP589" s="243"/>
      <c r="AQ589" s="243"/>
      <c r="AR589" s="243"/>
      <c r="AS589" s="243"/>
      <c r="AT589" s="243"/>
      <c r="AU589" s="243"/>
      <c r="AV589" s="243"/>
      <c r="AW589" s="243"/>
      <c r="AX589" s="243"/>
      <c r="AY589" s="243"/>
      <c r="AZ589" s="243"/>
      <c r="BA589" s="243"/>
      <c r="BB589" s="243"/>
      <c r="BC589" s="243"/>
      <c r="BD589" s="243"/>
      <c r="BE589" s="243"/>
      <c r="BF589" s="243"/>
      <c r="BG589" s="243"/>
      <c r="BH589" s="243"/>
      <c r="BI589" s="243"/>
      <c r="BJ589" s="243"/>
      <c r="BK589" s="243"/>
      <c r="BL589" s="243"/>
      <c r="BM589" s="243"/>
      <c r="BN589" s="243"/>
      <c r="BO589" s="243"/>
      <c r="BP589" s="243"/>
      <c r="BQ589" s="243"/>
      <c r="BR589" s="243"/>
      <c r="BS589" s="243"/>
      <c r="BU589" s="242"/>
      <c r="BW589" s="243"/>
      <c r="BY589" s="242"/>
      <c r="CA589" s="243"/>
      <c r="CC589" s="242"/>
      <c r="CE589" s="243"/>
      <c r="CG589" s="242"/>
      <c r="CI589" s="243"/>
    </row>
    <row r="590" spans="1:87" s="1215" customFormat="1">
      <c r="A590" s="1222"/>
      <c r="B590" s="1223" t="str">
        <f t="shared" si="272"/>
        <v/>
      </c>
      <c r="C590" s="1210"/>
      <c r="D590" s="1211">
        <f>'1% Wind'!$M$88</f>
        <v>10.1</v>
      </c>
      <c r="E590" s="1212"/>
      <c r="F590" s="1212"/>
      <c r="G590" s="1213">
        <f ca="1">IF(I583=0.9743,$G589,MAX(G589/D589*D590,2))</f>
        <v>2</v>
      </c>
      <c r="H590" s="1214" t="e">
        <f t="shared" ca="1" si="273"/>
        <v>#VALUE!</v>
      </c>
      <c r="J590" s="1224"/>
      <c r="K590" s="1217">
        <f t="shared" si="274"/>
        <v>1</v>
      </c>
      <c r="L590" s="1218" t="e">
        <f t="shared" ca="1" si="275"/>
        <v>#VALUE!</v>
      </c>
      <c r="M590" s="1219" t="e">
        <f ca="1">IF(AND(INDEX(FlowCalConstA,MATCH(J583,FlowCalNumber,0),1,1)*L590^INDEX(FlowCalConstB,MATCH(J583,FlowCalNumber,0),1,1)&gt;INDEX(FlowCalLowSetting,MATCH(J583,FlowCalNumber,0),1,1), (INDEX(FlowCalConstA,MATCH(J583,FlowCalNumber,0),1,1)*L590^INDEX(FlowCalConstB,MATCH(J583,FlowCalNumber,0),1,1)&lt;INDEX(FlowCalHighSetting,MATCH(J583,FlowCalNumber,0),1,1))),INDEX(FlowCalConstA,MATCH(J583,FlowCalNumber,0),1,1)*L590^INDEX(FlowCalConstB,MATCH(J583,FlowCalNumber,0),1,1)," ")</f>
        <v>#N/A</v>
      </c>
      <c r="N590" s="1224"/>
      <c r="O590" s="1217">
        <f t="shared" si="276"/>
        <v>1</v>
      </c>
      <c r="P590" s="1218" t="e">
        <f t="shared" ca="1" si="277"/>
        <v>#VALUE!</v>
      </c>
      <c r="Q590" s="1219" t="e">
        <f ca="1">IF(AND(INDEX(FlowCalConstA,MATCH(N583,FlowCalNumber,0),1,1)*P590^INDEX(FlowCalConstB,MATCH(N583,FlowCalNumber,0),1,1)&gt;INDEX(FlowCalLowSetting,MATCH(N583,FlowCalNumber,0),1,1), (INDEX(FlowCalConstA,MATCH(N583,FlowCalNumber,0),1,1)*P590^INDEX(FlowCalConstB,MATCH(N583,FlowCalNumber,0),1,1)&lt;INDEX(FlowCalHighSetting,MATCH(N583,FlowCalNumber,0),1,1))),INDEX(FlowCalConstA,MATCH(N583,FlowCalNumber,0),1,1)*P590^INDEX(FlowCalConstB,MATCH(N583,FlowCalNumber,0),1,1)," ")</f>
        <v>#N/A</v>
      </c>
      <c r="R590" s="1224"/>
      <c r="S590" s="1217">
        <f t="shared" si="278"/>
        <v>1</v>
      </c>
      <c r="T590" s="1218" t="e">
        <f t="shared" ca="1" si="279"/>
        <v>#VALUE!</v>
      </c>
      <c r="U590" s="1219" t="e">
        <f ca="1">IF(AND(INDEX(FlowCalConstA,MATCH(R583,FlowCalNumber,0),1,1)*T590^INDEX(FlowCalConstB,MATCH(R583,FlowCalNumber,0),1,1)&gt;INDEX(FlowCalLowSetting,MATCH(R583,FlowCalNumber,0),1,1), (INDEX(FlowCalConstA,MATCH(R583,FlowCalNumber,0),1,1)*T590^INDEX(FlowCalConstB,MATCH(R583,FlowCalNumber,0),1,1)&lt;INDEX(FlowCalHighSetting,MATCH(R583,FlowCalNumber,0),1,1))),INDEX(FlowCalConstA,MATCH(R583,FlowCalNumber,0),1,1)*T590^INDEX(FlowCalConstB,MATCH(R583,FlowCalNumber,0),1,1)," ")</f>
        <v>#N/A</v>
      </c>
      <c r="V590" s="1224"/>
      <c r="W590" s="1217"/>
      <c r="X590" s="1218"/>
      <c r="Y590" s="1219"/>
      <c r="Z590" s="1224"/>
      <c r="AA590" s="1217"/>
      <c r="AB590" s="1218"/>
      <c r="AC590" s="1219"/>
      <c r="AD590" s="1224"/>
      <c r="AE590" s="1217"/>
      <c r="AF590" s="1218"/>
      <c r="AG590" s="1219"/>
      <c r="AH590" s="1224"/>
      <c r="AI590" s="1217"/>
      <c r="AJ590" s="1218"/>
      <c r="AK590" s="1220"/>
      <c r="AL590" s="1219"/>
      <c r="AM590" s="1219"/>
      <c r="AN590" s="1219"/>
      <c r="AO590" s="1219"/>
      <c r="AP590" s="1219"/>
      <c r="AQ590" s="1219"/>
      <c r="AR590" s="1219"/>
      <c r="AS590" s="1219"/>
      <c r="AT590" s="1219"/>
      <c r="AU590" s="1219"/>
      <c r="AV590" s="1219"/>
      <c r="AW590" s="1219"/>
      <c r="AX590" s="1219"/>
      <c r="AY590" s="1219"/>
      <c r="AZ590" s="1219"/>
      <c r="BA590" s="1219"/>
      <c r="BB590" s="1219"/>
      <c r="BC590" s="1219"/>
      <c r="BD590" s="1219"/>
      <c r="BE590" s="1219"/>
      <c r="BF590" s="1219"/>
      <c r="BG590" s="1219"/>
      <c r="BH590" s="1219"/>
      <c r="BI590" s="1219"/>
      <c r="BJ590" s="1219"/>
      <c r="BK590" s="1219"/>
      <c r="BL590" s="1219"/>
      <c r="BM590" s="1219"/>
      <c r="BN590" s="1219"/>
      <c r="BO590" s="1219"/>
      <c r="BP590" s="1219"/>
      <c r="BQ590" s="1219"/>
      <c r="BR590" s="1219"/>
      <c r="BS590" s="1219"/>
      <c r="BU590" s="1217"/>
      <c r="BW590" s="1219"/>
      <c r="BY590" s="1217"/>
      <c r="CA590" s="1219"/>
      <c r="CC590" s="1217"/>
      <c r="CE590" s="1219"/>
      <c r="CG590" s="1217"/>
      <c r="CI590" s="1219"/>
    </row>
    <row r="591" spans="1:87">
      <c r="A591" s="20"/>
      <c r="B591" s="124" t="str">
        <f t="shared" si="272"/>
        <v/>
      </c>
      <c r="C591" s="235"/>
      <c r="D591" s="24">
        <f>'1% Wind'!$M$89</f>
        <v>7.6</v>
      </c>
      <c r="E591" s="90"/>
      <c r="F591" s="90"/>
      <c r="G591" s="79">
        <f ca="1">IF(I583=0.9743,$G590,MAX(G590/D590*D591,2))</f>
        <v>2</v>
      </c>
      <c r="H591" s="121" t="e">
        <f t="shared" ca="1" si="273"/>
        <v>#VALUE!</v>
      </c>
      <c r="J591" s="33"/>
      <c r="K591" s="242">
        <f t="shared" si="274"/>
        <v>1</v>
      </c>
      <c r="L591" s="241" t="e">
        <f t="shared" ca="1" si="275"/>
        <v>#VALUE!</v>
      </c>
      <c r="M591" s="243" t="e">
        <f ca="1">IF(AND(INDEX(FlowCalConstA,MATCH(J583,FlowCalNumber,0),1,1)*L591^INDEX(FlowCalConstB,MATCH(J583,FlowCalNumber,0),1,1)&gt;INDEX(FlowCalLowSetting,MATCH(J583,FlowCalNumber,0),1,1), (INDEX(FlowCalConstA,MATCH(J583,FlowCalNumber,0),1,1)*L591^INDEX(FlowCalConstB,MATCH(J583,FlowCalNumber,0),1,1)&lt;INDEX(FlowCalHighSetting,MATCH(J583,FlowCalNumber,0),1,1))),INDEX(FlowCalConstA,MATCH(J583,FlowCalNumber,0),1,1)*L591^INDEX(FlowCalConstB,MATCH(J583,FlowCalNumber,0),1,1)," ")</f>
        <v>#N/A</v>
      </c>
      <c r="N591" s="33"/>
      <c r="O591" s="242">
        <f t="shared" si="276"/>
        <v>1</v>
      </c>
      <c r="P591" s="241" t="e">
        <f t="shared" ca="1" si="277"/>
        <v>#VALUE!</v>
      </c>
      <c r="Q591" s="243" t="e">
        <f ca="1">IF(AND(INDEX(FlowCalConstA,MATCH(N583,FlowCalNumber,0),1,1)*P591^INDEX(FlowCalConstB,MATCH(N583,FlowCalNumber,0),1,1)&gt;INDEX(FlowCalLowSetting,MATCH(N583,FlowCalNumber,0),1,1), (INDEX(FlowCalConstA,MATCH(N583,FlowCalNumber,0),1,1)*P591^INDEX(FlowCalConstB,MATCH(N583,FlowCalNumber,0),1,1)&lt;INDEX(FlowCalHighSetting,MATCH(N583,FlowCalNumber,0),1,1))),INDEX(FlowCalConstA,MATCH(N583,FlowCalNumber,0),1,1)*P591^INDEX(FlowCalConstB,MATCH(N583,FlowCalNumber,0),1,1)," ")</f>
        <v>#N/A</v>
      </c>
      <c r="R591" s="33"/>
      <c r="S591" s="242">
        <f t="shared" si="278"/>
        <v>1</v>
      </c>
      <c r="T591" s="241" t="e">
        <f t="shared" ca="1" si="279"/>
        <v>#VALUE!</v>
      </c>
      <c r="U591" s="243" t="e">
        <f ca="1">IF(AND(INDEX(FlowCalConstA,MATCH(R583,FlowCalNumber,0),1,1)*T591^INDEX(FlowCalConstB,MATCH(R583,FlowCalNumber,0),1,1)&gt;INDEX(FlowCalLowSetting,MATCH(R583,FlowCalNumber,0),1,1), (INDEX(FlowCalConstA,MATCH(R583,FlowCalNumber,0),1,1)*T591^INDEX(FlowCalConstB,MATCH(R583,FlowCalNumber,0),1,1)&lt;INDEX(FlowCalHighSetting,MATCH(R583,FlowCalNumber,0),1,1))),INDEX(FlowCalConstA,MATCH(R583,FlowCalNumber,0),1,1)*T591^INDEX(FlowCalConstB,MATCH(R583,FlowCalNumber,0),1,1)," ")</f>
        <v>#N/A</v>
      </c>
      <c r="V591" s="33"/>
      <c r="W591" s="242"/>
      <c r="X591" s="241"/>
      <c r="Y591" s="243"/>
      <c r="Z591" s="33"/>
      <c r="AA591" s="242"/>
      <c r="AB591" s="241"/>
      <c r="AC591" s="243"/>
      <c r="AD591" s="33"/>
      <c r="AE591" s="242"/>
      <c r="AF591" s="241"/>
      <c r="AG591" s="243"/>
      <c r="AH591" s="33"/>
      <c r="AI591" s="242"/>
      <c r="AJ591" s="241"/>
      <c r="AK591" s="244"/>
      <c r="AL591" s="243"/>
      <c r="AM591" s="243"/>
      <c r="AN591" s="243"/>
      <c r="AO591" s="243"/>
      <c r="AP591" s="243"/>
      <c r="AQ591" s="243"/>
      <c r="AR591" s="243"/>
      <c r="AS591" s="243"/>
      <c r="AT591" s="243"/>
      <c r="AU591" s="243"/>
      <c r="AV591" s="243"/>
      <c r="AW591" s="243"/>
      <c r="AX591" s="243"/>
      <c r="AY591" s="243"/>
      <c r="AZ591" s="243"/>
      <c r="BA591" s="243"/>
      <c r="BB591" s="243"/>
      <c r="BC591" s="243"/>
      <c r="BD591" s="243"/>
      <c r="BE591" s="243"/>
      <c r="BF591" s="243"/>
      <c r="BG591" s="243"/>
      <c r="BH591" s="243"/>
      <c r="BI591" s="243"/>
      <c r="BJ591" s="243"/>
      <c r="BK591" s="243"/>
      <c r="BL591" s="243"/>
      <c r="BM591" s="243"/>
      <c r="BN591" s="243"/>
      <c r="BO591" s="243"/>
      <c r="BP591" s="243"/>
      <c r="BQ591" s="243"/>
      <c r="BR591" s="243"/>
      <c r="BS591" s="243"/>
      <c r="BU591" s="242"/>
      <c r="BW591" s="243"/>
      <c r="BY591" s="242"/>
      <c r="CA591" s="243"/>
      <c r="CC591" s="242"/>
      <c r="CE591" s="243"/>
      <c r="CG591" s="242"/>
      <c r="CI591" s="243"/>
    </row>
    <row r="592" spans="1:87" s="1215" customFormat="1">
      <c r="A592" s="1222"/>
      <c r="B592" s="1223" t="str">
        <f t="shared" si="272"/>
        <v/>
      </c>
      <c r="C592" s="1210"/>
      <c r="D592" s="1211">
        <f>'1% Wind'!$M$90</f>
        <v>5.7</v>
      </c>
      <c r="E592" s="1212"/>
      <c r="F592" s="1212"/>
      <c r="G592" s="1213">
        <f ca="1">IF(I583=0.9743,$G591,MAX(G591/D591*D592,2))</f>
        <v>2</v>
      </c>
      <c r="H592" s="1214" t="e">
        <f t="shared" ca="1" si="273"/>
        <v>#VALUE!</v>
      </c>
      <c r="J592" s="1224"/>
      <c r="K592" s="1217">
        <f t="shared" si="274"/>
        <v>1</v>
      </c>
      <c r="L592" s="1218" t="e">
        <f t="shared" ca="1" si="275"/>
        <v>#VALUE!</v>
      </c>
      <c r="M592" s="1219" t="e">
        <f ca="1">IF(AND(INDEX(FlowCalConstA,MATCH(J583,FlowCalNumber,0),1,1)*L592^INDEX(FlowCalConstB,MATCH(J583,FlowCalNumber,0),1,1)&gt;INDEX(FlowCalLowSetting,MATCH(J583,FlowCalNumber,0),1,1), (INDEX(FlowCalConstA,MATCH(J583,FlowCalNumber,0),1,1)*L592^INDEX(FlowCalConstB,MATCH(J583,FlowCalNumber,0),1,1)&lt;INDEX(FlowCalHighSetting,MATCH(J583,FlowCalNumber,0),1,1))),INDEX(FlowCalConstA,MATCH(J583,FlowCalNumber,0),1,1)*L592^INDEX(FlowCalConstB,MATCH(J583,FlowCalNumber,0),1,1)," ")</f>
        <v>#N/A</v>
      </c>
      <c r="N592" s="1224"/>
      <c r="O592" s="1217">
        <f t="shared" si="276"/>
        <v>1</v>
      </c>
      <c r="P592" s="1218" t="e">
        <f t="shared" ca="1" si="277"/>
        <v>#VALUE!</v>
      </c>
      <c r="Q592" s="1219" t="e">
        <f ca="1">IF(AND(INDEX(FlowCalConstA,MATCH(N583,FlowCalNumber,0),1,1)*P592^INDEX(FlowCalConstB,MATCH(N583,FlowCalNumber,0),1,1)&gt;INDEX(FlowCalLowSetting,MATCH(N583,FlowCalNumber,0),1,1), (INDEX(FlowCalConstA,MATCH(N583,FlowCalNumber,0),1,1)*P592^INDEX(FlowCalConstB,MATCH(N583,FlowCalNumber,0),1,1)&lt;INDEX(FlowCalHighSetting,MATCH(N583,FlowCalNumber,0),1,1))),INDEX(FlowCalConstA,MATCH(N583,FlowCalNumber,0),1,1)*P592^INDEX(FlowCalConstB,MATCH(N583,FlowCalNumber,0),1,1)," ")</f>
        <v>#N/A</v>
      </c>
      <c r="R592" s="1224"/>
      <c r="S592" s="1217">
        <f t="shared" si="278"/>
        <v>1</v>
      </c>
      <c r="T592" s="1218" t="e">
        <f t="shared" ca="1" si="279"/>
        <v>#VALUE!</v>
      </c>
      <c r="U592" s="1219" t="e">
        <f ca="1">IF(AND(INDEX(FlowCalConstA,MATCH(R583,FlowCalNumber,0),1,1)*T592^INDEX(FlowCalConstB,MATCH(R583,FlowCalNumber,0),1,1)&gt;INDEX(FlowCalLowSetting,MATCH(R583,FlowCalNumber,0),1,1), (INDEX(FlowCalConstA,MATCH(R583,FlowCalNumber,0),1,1)*T592^INDEX(FlowCalConstB,MATCH(R583,FlowCalNumber,0),1,1)&lt;INDEX(FlowCalHighSetting,MATCH(R583,FlowCalNumber,0),1,1))),INDEX(FlowCalConstA,MATCH(R583,FlowCalNumber,0),1,1)*T592^INDEX(FlowCalConstB,MATCH(R583,FlowCalNumber,0),1,1)," ")</f>
        <v>#N/A</v>
      </c>
      <c r="V592" s="1224"/>
      <c r="W592" s="1217"/>
      <c r="X592" s="1218"/>
      <c r="Y592" s="1219"/>
      <c r="Z592" s="1224"/>
      <c r="AA592" s="1217"/>
      <c r="AB592" s="1218"/>
      <c r="AC592" s="1219"/>
      <c r="AD592" s="1224"/>
      <c r="AE592" s="1217"/>
      <c r="AF592" s="1218"/>
      <c r="AG592" s="1219"/>
      <c r="AH592" s="1224"/>
      <c r="AI592" s="1217"/>
      <c r="AJ592" s="1218"/>
      <c r="AK592" s="1220"/>
      <c r="AL592" s="1219"/>
      <c r="AM592" s="1219"/>
      <c r="AN592" s="1219"/>
      <c r="AO592" s="1219"/>
      <c r="AP592" s="1219"/>
      <c r="AQ592" s="1219"/>
      <c r="AR592" s="1219"/>
      <c r="AS592" s="1219"/>
      <c r="AT592" s="1219"/>
      <c r="AU592" s="1219"/>
      <c r="AV592" s="1219"/>
      <c r="AW592" s="1219"/>
      <c r="AX592" s="1219"/>
      <c r="AY592" s="1219"/>
      <c r="AZ592" s="1219"/>
      <c r="BA592" s="1219"/>
      <c r="BB592" s="1219"/>
      <c r="BC592" s="1219"/>
      <c r="BD592" s="1219"/>
      <c r="BE592" s="1219"/>
      <c r="BF592" s="1219"/>
      <c r="BG592" s="1219"/>
      <c r="BH592" s="1219"/>
      <c r="BI592" s="1219"/>
      <c r="BJ592" s="1219"/>
      <c r="BK592" s="1219"/>
      <c r="BL592" s="1219"/>
      <c r="BM592" s="1219"/>
      <c r="BN592" s="1219"/>
      <c r="BO592" s="1219"/>
      <c r="BP592" s="1219"/>
      <c r="BQ592" s="1219"/>
      <c r="BR592" s="1219"/>
      <c r="BS592" s="1219"/>
      <c r="BU592" s="1217"/>
      <c r="BW592" s="1219"/>
      <c r="BY592" s="1217"/>
      <c r="CA592" s="1219"/>
      <c r="CC592" s="1217"/>
      <c r="CE592" s="1219"/>
      <c r="CG592" s="1217"/>
      <c r="CI592" s="1219"/>
    </row>
    <row r="593" spans="1:87">
      <c r="A593" s="20"/>
      <c r="B593" s="124" t="str">
        <f t="shared" si="272"/>
        <v/>
      </c>
      <c r="C593" s="235"/>
      <c r="D593" s="24">
        <f>'1% Wind'!$M$91</f>
        <v>4.2</v>
      </c>
      <c r="E593" s="90"/>
      <c r="F593" s="90"/>
      <c r="G593" s="79">
        <f ca="1">IF(I583=0.9743,$G592,MAX(G592/D592*D593,2))</f>
        <v>2</v>
      </c>
      <c r="H593" s="121" t="e">
        <f t="shared" ca="1" si="273"/>
        <v>#VALUE!</v>
      </c>
      <c r="J593" s="33"/>
      <c r="K593" s="242">
        <f t="shared" si="274"/>
        <v>1</v>
      </c>
      <c r="L593" s="241" t="e">
        <f t="shared" ca="1" si="275"/>
        <v>#VALUE!</v>
      </c>
      <c r="M593" s="243" t="e">
        <f ca="1">IF(AND(INDEX(FlowCalConstA,MATCH(J583,FlowCalNumber,0),1,1)*L593^INDEX(FlowCalConstB,MATCH(J583,FlowCalNumber,0),1,1)&gt;INDEX(FlowCalLowSetting,MATCH(J583,FlowCalNumber,0),1,1), (INDEX(FlowCalConstA,MATCH(J583,FlowCalNumber,0),1,1)*L593^INDEX(FlowCalConstB,MATCH(J583,FlowCalNumber,0),1,1)&lt;INDEX(FlowCalHighSetting,MATCH(J583,FlowCalNumber,0),1,1))),INDEX(FlowCalConstA,MATCH(J583,FlowCalNumber,0),1,1)*L593^INDEX(FlowCalConstB,MATCH(J583,FlowCalNumber,0),1,1)," ")</f>
        <v>#N/A</v>
      </c>
      <c r="N593" s="33"/>
      <c r="O593" s="242">
        <f t="shared" si="276"/>
        <v>1</v>
      </c>
      <c r="P593" s="241" t="e">
        <f t="shared" ca="1" si="277"/>
        <v>#VALUE!</v>
      </c>
      <c r="Q593" s="243" t="e">
        <f ca="1">IF(AND(INDEX(FlowCalConstA,MATCH(N583,FlowCalNumber,0),1,1)*P593^INDEX(FlowCalConstB,MATCH(N583,FlowCalNumber,0),1,1)&gt;INDEX(FlowCalLowSetting,MATCH(N583,FlowCalNumber,0),1,1), (INDEX(FlowCalConstA,MATCH(N583,FlowCalNumber,0),1,1)*P593^INDEX(FlowCalConstB,MATCH(N583,FlowCalNumber,0),1,1)&lt;INDEX(FlowCalHighSetting,MATCH(N583,FlowCalNumber,0),1,1))),INDEX(FlowCalConstA,MATCH(N583,FlowCalNumber,0),1,1)*P593^INDEX(FlowCalConstB,MATCH(N583,FlowCalNumber,0),1,1)," ")</f>
        <v>#N/A</v>
      </c>
      <c r="R593" s="33"/>
      <c r="S593" s="242">
        <f t="shared" si="278"/>
        <v>1</v>
      </c>
      <c r="T593" s="241" t="e">
        <f t="shared" ca="1" si="279"/>
        <v>#VALUE!</v>
      </c>
      <c r="U593" s="243" t="e">
        <f ca="1">IF(AND(INDEX(FlowCalConstA,MATCH(R583,FlowCalNumber,0),1,1)*T593^INDEX(FlowCalConstB,MATCH(R583,FlowCalNumber,0),1,1)&gt;INDEX(FlowCalLowSetting,MATCH(R583,FlowCalNumber,0),1,1), (INDEX(FlowCalConstA,MATCH(R583,FlowCalNumber,0),1,1)*T593^INDEX(FlowCalConstB,MATCH(R583,FlowCalNumber,0),1,1)&lt;INDEX(FlowCalHighSetting,MATCH(R583,FlowCalNumber,0),1,1))),INDEX(FlowCalConstA,MATCH(R583,FlowCalNumber,0),1,1)*T593^INDEX(FlowCalConstB,MATCH(R583,FlowCalNumber,0),1,1)," ")</f>
        <v>#N/A</v>
      </c>
      <c r="V593" s="33"/>
      <c r="W593" s="242"/>
      <c r="X593" s="241"/>
      <c r="Y593" s="243"/>
      <c r="Z593" s="33"/>
      <c r="AA593" s="242"/>
      <c r="AB593" s="241"/>
      <c r="AC593" s="243"/>
      <c r="AD593" s="33"/>
      <c r="AE593" s="242"/>
      <c r="AF593" s="241"/>
      <c r="AG593" s="243"/>
      <c r="AH593" s="33"/>
      <c r="AI593" s="242"/>
      <c r="AJ593" s="241"/>
      <c r="AK593" s="244"/>
      <c r="AL593" s="243"/>
      <c r="AM593" s="243"/>
      <c r="AN593" s="243"/>
      <c r="AO593" s="243"/>
      <c r="AP593" s="243"/>
      <c r="AQ593" s="243"/>
      <c r="AR593" s="243"/>
      <c r="AS593" s="243"/>
      <c r="AT593" s="243"/>
      <c r="AU593" s="243"/>
      <c r="AV593" s="243"/>
      <c r="AW593" s="243"/>
      <c r="AX593" s="243"/>
      <c r="AY593" s="243"/>
      <c r="AZ593" s="243"/>
      <c r="BA593" s="243"/>
      <c r="BB593" s="243"/>
      <c r="BC593" s="243"/>
      <c r="BD593" s="243"/>
      <c r="BE593" s="243"/>
      <c r="BF593" s="243"/>
      <c r="BG593" s="243"/>
      <c r="BH593" s="243"/>
      <c r="BI593" s="243"/>
      <c r="BJ593" s="243"/>
      <c r="BK593" s="243"/>
      <c r="BL593" s="243"/>
      <c r="BM593" s="243"/>
      <c r="BN593" s="243"/>
      <c r="BO593" s="243"/>
      <c r="BP593" s="243"/>
      <c r="BQ593" s="243"/>
      <c r="BR593" s="243"/>
      <c r="BS593" s="243"/>
      <c r="BU593" s="242"/>
      <c r="BW593" s="243"/>
      <c r="BY593" s="242"/>
      <c r="CA593" s="243"/>
      <c r="CC593" s="242"/>
      <c r="CE593" s="243"/>
      <c r="CG593" s="242"/>
      <c r="CI593" s="243"/>
    </row>
    <row r="594" spans="1:87" s="1215" customFormat="1">
      <c r="A594" s="1222"/>
      <c r="B594" s="1223" t="str">
        <f t="shared" si="272"/>
        <v/>
      </c>
      <c r="C594" s="1210"/>
      <c r="D594" s="1211">
        <f>'1% Wind'!$M$92</f>
        <v>3.2</v>
      </c>
      <c r="E594" s="1212"/>
      <c r="F594" s="1212"/>
      <c r="G594" s="1213">
        <f ca="1">IF(I583=0.9743,$G593,MAX(G593/D593*D594,2))</f>
        <v>2</v>
      </c>
      <c r="H594" s="1214" t="e">
        <f t="shared" ca="1" si="273"/>
        <v>#VALUE!</v>
      </c>
      <c r="J594" s="1224"/>
      <c r="K594" s="1217">
        <f t="shared" si="274"/>
        <v>1</v>
      </c>
      <c r="L594" s="1218" t="e">
        <f t="shared" ca="1" si="275"/>
        <v>#VALUE!</v>
      </c>
      <c r="M594" s="1219" t="e">
        <f ca="1">IF(AND(INDEX(FlowCalConstA,MATCH(J583,FlowCalNumber,0),1,1)*L594^INDEX(FlowCalConstB,MATCH(J583,FlowCalNumber,0),1,1)&gt;INDEX(FlowCalLowSetting,MATCH(J583,FlowCalNumber,0),1,1), (INDEX(FlowCalConstA,MATCH(J583,FlowCalNumber,0),1,1)*L594^INDEX(FlowCalConstB,MATCH(J583,FlowCalNumber,0),1,1)&lt;INDEX(FlowCalHighSetting,MATCH(J583,FlowCalNumber,0),1,1))),INDEX(FlowCalConstA,MATCH(J583,FlowCalNumber,0),1,1)*L594^INDEX(FlowCalConstB,MATCH(J583,FlowCalNumber,0),1,1)," ")</f>
        <v>#N/A</v>
      </c>
      <c r="N594" s="1224"/>
      <c r="O594" s="1217">
        <f t="shared" si="276"/>
        <v>1</v>
      </c>
      <c r="P594" s="1218" t="e">
        <f t="shared" ca="1" si="277"/>
        <v>#VALUE!</v>
      </c>
      <c r="Q594" s="1219" t="e">
        <f ca="1">IF(AND(INDEX(FlowCalConstA,MATCH(N583,FlowCalNumber,0),1,1)*P594^INDEX(FlowCalConstB,MATCH(N583,FlowCalNumber,0),1,1)&gt;INDEX(FlowCalLowSetting,MATCH(N583,FlowCalNumber,0),1,1), (INDEX(FlowCalConstA,MATCH(N583,FlowCalNumber,0),1,1)*P594^INDEX(FlowCalConstB,MATCH(N583,FlowCalNumber,0),1,1)&lt;INDEX(FlowCalHighSetting,MATCH(N583,FlowCalNumber,0),1,1))),INDEX(FlowCalConstA,MATCH(N583,FlowCalNumber,0),1,1)*P594^INDEX(FlowCalConstB,MATCH(N583,FlowCalNumber,0),1,1)," ")</f>
        <v>#N/A</v>
      </c>
      <c r="R594" s="1224"/>
      <c r="S594" s="1217">
        <f t="shared" si="278"/>
        <v>1</v>
      </c>
      <c r="T594" s="1218" t="e">
        <f t="shared" ca="1" si="279"/>
        <v>#VALUE!</v>
      </c>
      <c r="U594" s="1219" t="e">
        <f ca="1">IF(AND(INDEX(FlowCalConstA,MATCH(R583,FlowCalNumber,0),1,1)*T594^INDEX(FlowCalConstB,MATCH(R583,FlowCalNumber,0),1,1)&gt;INDEX(FlowCalLowSetting,MATCH(R583,FlowCalNumber,0),1,1), (INDEX(FlowCalConstA,MATCH(R583,FlowCalNumber,0),1,1)*T594^INDEX(FlowCalConstB,MATCH(R583,FlowCalNumber,0),1,1)&lt;INDEX(FlowCalHighSetting,MATCH(R583,FlowCalNumber,0),1,1))),INDEX(FlowCalConstA,MATCH(R583,FlowCalNumber,0),1,1)*T594^INDEX(FlowCalConstB,MATCH(R583,FlowCalNumber,0),1,1)," ")</f>
        <v>#N/A</v>
      </c>
      <c r="V594" s="1224"/>
      <c r="W594" s="1217"/>
      <c r="X594" s="1218"/>
      <c r="Y594" s="1219"/>
      <c r="Z594" s="1224"/>
      <c r="AA594" s="1217"/>
      <c r="AB594" s="1218"/>
      <c r="AC594" s="1219"/>
      <c r="AD594" s="1224"/>
      <c r="AE594" s="1217"/>
      <c r="AF594" s="1218"/>
      <c r="AG594" s="1219"/>
      <c r="AH594" s="1224"/>
      <c r="AI594" s="1217"/>
      <c r="AJ594" s="1218"/>
      <c r="AK594" s="1220"/>
      <c r="AL594" s="1219"/>
      <c r="AM594" s="1219"/>
      <c r="AN594" s="1219"/>
      <c r="AO594" s="1219"/>
      <c r="AP594" s="1219"/>
      <c r="AQ594" s="1219"/>
      <c r="AR594" s="1219"/>
      <c r="AS594" s="1219"/>
      <c r="AT594" s="1219"/>
      <c r="AU594" s="1219"/>
      <c r="AV594" s="1219"/>
      <c r="AW594" s="1219"/>
      <c r="AX594" s="1219"/>
      <c r="AY594" s="1219"/>
      <c r="AZ594" s="1219"/>
      <c r="BA594" s="1219"/>
      <c r="BB594" s="1219"/>
      <c r="BC594" s="1219"/>
      <c r="BD594" s="1219"/>
      <c r="BE594" s="1219"/>
      <c r="BF594" s="1219"/>
      <c r="BG594" s="1219"/>
      <c r="BH594" s="1219"/>
      <c r="BI594" s="1219"/>
      <c r="BJ594" s="1219"/>
      <c r="BK594" s="1219"/>
      <c r="BL594" s="1219"/>
      <c r="BM594" s="1219"/>
      <c r="BN594" s="1219"/>
      <c r="BO594" s="1219"/>
      <c r="BP594" s="1219"/>
      <c r="BQ594" s="1219"/>
      <c r="BR594" s="1219"/>
      <c r="BS594" s="1219"/>
      <c r="BU594" s="1217"/>
      <c r="BW594" s="1219"/>
      <c r="BY594" s="1217"/>
      <c r="CA594" s="1219"/>
      <c r="CC594" s="1217"/>
      <c r="CE594" s="1219"/>
      <c r="CG594" s="1217"/>
      <c r="CI594" s="1219"/>
    </row>
    <row r="595" spans="1:87">
      <c r="A595" s="20"/>
      <c r="B595" s="124" t="str">
        <f t="shared" si="272"/>
        <v/>
      </c>
      <c r="C595" s="235"/>
      <c r="D595" s="24">
        <f>'1% Wind'!$M$93</f>
        <v>2.4</v>
      </c>
      <c r="E595" s="90"/>
      <c r="F595" s="90"/>
      <c r="G595" s="79">
        <f ca="1">IF(I583=0.9743,$G594,MAX(G594/D594*D595,2))</f>
        <v>2</v>
      </c>
      <c r="H595" s="121" t="e">
        <f t="shared" ca="1" si="273"/>
        <v>#VALUE!</v>
      </c>
      <c r="J595" s="33"/>
      <c r="K595" s="242">
        <f t="shared" si="274"/>
        <v>1</v>
      </c>
      <c r="L595" s="241" t="e">
        <f t="shared" ca="1" si="275"/>
        <v>#VALUE!</v>
      </c>
      <c r="M595" s="243" t="e">
        <f ca="1">IF(AND(INDEX(FlowCalConstA,MATCH(J583,FlowCalNumber,0),1,1)*L595^INDEX(FlowCalConstB,MATCH(J583,FlowCalNumber,0),1,1)&gt;INDEX(FlowCalLowSetting,MATCH(J583,FlowCalNumber,0),1,1), (INDEX(FlowCalConstA,MATCH(J583,FlowCalNumber,0),1,1)*L595^INDEX(FlowCalConstB,MATCH(J583,FlowCalNumber,0),1,1)&lt;INDEX(FlowCalHighSetting,MATCH(J583,FlowCalNumber,0),1,1))),INDEX(FlowCalConstA,MATCH(J583,FlowCalNumber,0),1,1)*L595^INDEX(FlowCalConstB,MATCH(J583,FlowCalNumber,0),1,1)," ")</f>
        <v>#N/A</v>
      </c>
      <c r="N595" s="33"/>
      <c r="O595" s="242">
        <f t="shared" si="276"/>
        <v>1</v>
      </c>
      <c r="P595" s="241" t="e">
        <f t="shared" ca="1" si="277"/>
        <v>#VALUE!</v>
      </c>
      <c r="Q595" s="243" t="e">
        <f ca="1">IF(AND(INDEX(FlowCalConstA,MATCH(N583,FlowCalNumber,0),1,1)*P595^INDEX(FlowCalConstB,MATCH(N583,FlowCalNumber,0),1,1)&gt;INDEX(FlowCalLowSetting,MATCH(N583,FlowCalNumber,0),1,1), (INDEX(FlowCalConstA,MATCH(N583,FlowCalNumber,0),1,1)*P595^INDEX(FlowCalConstB,MATCH(N583,FlowCalNumber,0),1,1)&lt;INDEX(FlowCalHighSetting,MATCH(N583,FlowCalNumber,0),1,1))),INDEX(FlowCalConstA,MATCH(N583,FlowCalNumber,0),1,1)*P595^INDEX(FlowCalConstB,MATCH(N583,FlowCalNumber,0),1,1)," ")</f>
        <v>#N/A</v>
      </c>
      <c r="R595" s="33"/>
      <c r="S595" s="242">
        <f t="shared" si="278"/>
        <v>1</v>
      </c>
      <c r="T595" s="241" t="e">
        <f t="shared" ca="1" si="279"/>
        <v>#VALUE!</v>
      </c>
      <c r="U595" s="243" t="e">
        <f ca="1">IF(AND(INDEX(FlowCalConstA,MATCH(R583,FlowCalNumber,0),1,1)*T595^INDEX(FlowCalConstB,MATCH(R583,FlowCalNumber,0),1,1)&gt;INDEX(FlowCalLowSetting,MATCH(R583,FlowCalNumber,0),1,1), (INDEX(FlowCalConstA,MATCH(R583,FlowCalNumber,0),1,1)*T595^INDEX(FlowCalConstB,MATCH(R583,FlowCalNumber,0),1,1)&lt;INDEX(FlowCalHighSetting,MATCH(R583,FlowCalNumber,0),1,1))),INDEX(FlowCalConstA,MATCH(R583,FlowCalNumber,0),1,1)*T595^INDEX(FlowCalConstB,MATCH(R583,FlowCalNumber,0),1,1)," ")</f>
        <v>#N/A</v>
      </c>
      <c r="V595" s="33"/>
      <c r="W595" s="242"/>
      <c r="X595" s="241"/>
      <c r="Y595" s="243"/>
      <c r="Z595" s="33"/>
      <c r="AA595" s="242"/>
      <c r="AB595" s="241"/>
      <c r="AC595" s="243"/>
      <c r="AD595" s="33"/>
      <c r="AE595" s="242"/>
      <c r="AF595" s="241"/>
      <c r="AG595" s="243"/>
      <c r="AH595" s="33"/>
      <c r="AI595" s="242"/>
      <c r="AJ595" s="241"/>
      <c r="AK595" s="244"/>
      <c r="AL595" s="243"/>
      <c r="AM595" s="243"/>
      <c r="AN595" s="243"/>
      <c r="AO595" s="243"/>
      <c r="AP595" s="243"/>
      <c r="AQ595" s="243"/>
      <c r="AR595" s="243"/>
      <c r="AS595" s="243"/>
      <c r="AT595" s="243"/>
      <c r="AU595" s="243"/>
      <c r="AV595" s="243"/>
      <c r="AW595" s="243"/>
      <c r="AX595" s="243"/>
      <c r="AY595" s="243"/>
      <c r="AZ595" s="243"/>
      <c r="BA595" s="243"/>
      <c r="BB595" s="243"/>
      <c r="BC595" s="243"/>
      <c r="BD595" s="243"/>
      <c r="BE595" s="243"/>
      <c r="BF595" s="243"/>
      <c r="BG595" s="243"/>
      <c r="BH595" s="243"/>
      <c r="BI595" s="243"/>
      <c r="BJ595" s="243"/>
      <c r="BK595" s="243"/>
      <c r="BL595" s="243"/>
      <c r="BM595" s="243"/>
      <c r="BN595" s="243"/>
      <c r="BO595" s="243"/>
      <c r="BP595" s="243"/>
      <c r="BQ595" s="243"/>
      <c r="BR595" s="243"/>
      <c r="BS595" s="243"/>
      <c r="BU595" s="242"/>
      <c r="BW595" s="243"/>
      <c r="BY595" s="242"/>
      <c r="CA595" s="243"/>
      <c r="CC595" s="242"/>
      <c r="CE595" s="243"/>
      <c r="CG595" s="242"/>
      <c r="CI595" s="243"/>
    </row>
    <row r="596" spans="1:87" s="1215" customFormat="1">
      <c r="A596" s="1222"/>
      <c r="B596" s="1223" t="str">
        <f t="shared" si="272"/>
        <v/>
      </c>
      <c r="C596" s="1210"/>
      <c r="D596" s="1211">
        <f>'1% Wind'!$M$94</f>
        <v>1.8</v>
      </c>
      <c r="E596" s="1212"/>
      <c r="F596" s="1212"/>
      <c r="G596" s="1213">
        <f ca="1">IF(I583=0.9743,$G595,MAX(G595/D595*D596,2))</f>
        <v>2</v>
      </c>
      <c r="H596" s="1214" t="e">
        <f t="shared" ca="1" si="273"/>
        <v>#VALUE!</v>
      </c>
      <c r="J596" s="1224"/>
      <c r="K596" s="1217">
        <f t="shared" si="274"/>
        <v>1</v>
      </c>
      <c r="L596" s="1218" t="e">
        <f t="shared" ca="1" si="275"/>
        <v>#VALUE!</v>
      </c>
      <c r="M596" s="1219" t="e">
        <f ca="1">IF(AND(INDEX(FlowCalConstA,MATCH(J583,FlowCalNumber,0),1,1)*L596^INDEX(FlowCalConstB,MATCH(J583,FlowCalNumber,0),1,1)&gt;INDEX(FlowCalLowSetting,MATCH(J583,FlowCalNumber,0),1,1), (INDEX(FlowCalConstA,MATCH(J583,FlowCalNumber,0),1,1)*L596^INDEX(FlowCalConstB,MATCH(J583,FlowCalNumber,0),1,1)&lt;INDEX(FlowCalHighSetting,MATCH(J583,FlowCalNumber,0),1,1))),INDEX(FlowCalConstA,MATCH(J583,FlowCalNumber,0),1,1)*L596^INDEX(FlowCalConstB,MATCH(J583,FlowCalNumber,0),1,1)," ")</f>
        <v>#N/A</v>
      </c>
      <c r="N596" s="1224"/>
      <c r="O596" s="1217">
        <f t="shared" si="276"/>
        <v>1</v>
      </c>
      <c r="P596" s="1218" t="e">
        <f t="shared" ca="1" si="277"/>
        <v>#VALUE!</v>
      </c>
      <c r="Q596" s="1219" t="e">
        <f ca="1">IF(AND(INDEX(FlowCalConstA,MATCH(N583,FlowCalNumber,0),1,1)*P596^INDEX(FlowCalConstB,MATCH(N583,FlowCalNumber,0),1,1)&gt;INDEX(FlowCalLowSetting,MATCH(N583,FlowCalNumber,0),1,1), (INDEX(FlowCalConstA,MATCH(N583,FlowCalNumber,0),1,1)*P596^INDEX(FlowCalConstB,MATCH(N583,FlowCalNumber,0),1,1)&lt;INDEX(FlowCalHighSetting,MATCH(N583,FlowCalNumber,0),1,1))),INDEX(FlowCalConstA,MATCH(N583,FlowCalNumber,0),1,1)*P596^INDEX(FlowCalConstB,MATCH(N583,FlowCalNumber,0),1,1)," ")</f>
        <v>#N/A</v>
      </c>
      <c r="R596" s="1224"/>
      <c r="S596" s="1217">
        <f t="shared" si="278"/>
        <v>1</v>
      </c>
      <c r="T596" s="1218" t="e">
        <f t="shared" ca="1" si="279"/>
        <v>#VALUE!</v>
      </c>
      <c r="U596" s="1219" t="e">
        <f ca="1">IF(AND(INDEX(FlowCalConstA,MATCH(R583,FlowCalNumber,0),1,1)*T596^INDEX(FlowCalConstB,MATCH(R583,FlowCalNumber,0),1,1)&gt;INDEX(FlowCalLowSetting,MATCH(R583,FlowCalNumber,0),1,1), (INDEX(FlowCalConstA,MATCH(R583,FlowCalNumber,0),1,1)*T596^INDEX(FlowCalConstB,MATCH(R583,FlowCalNumber,0),1,1)&lt;INDEX(FlowCalHighSetting,MATCH(R583,FlowCalNumber,0),1,1))),INDEX(FlowCalConstA,MATCH(R583,FlowCalNumber,0),1,1)*T596^INDEX(FlowCalConstB,MATCH(R583,FlowCalNumber,0),1,1)," ")</f>
        <v>#N/A</v>
      </c>
      <c r="V596" s="1224"/>
      <c r="W596" s="1217"/>
      <c r="X596" s="1218"/>
      <c r="Y596" s="1219"/>
      <c r="Z596" s="1224"/>
      <c r="AA596" s="1217"/>
      <c r="AB596" s="1218"/>
      <c r="AC596" s="1219"/>
      <c r="AD596" s="1224"/>
      <c r="AE596" s="1217"/>
      <c r="AF596" s="1218"/>
      <c r="AG596" s="1219"/>
      <c r="AH596" s="1224"/>
      <c r="AI596" s="1217"/>
      <c r="AJ596" s="1218"/>
      <c r="AK596" s="1220"/>
      <c r="AL596" s="1219"/>
      <c r="AM596" s="1219"/>
      <c r="AN596" s="1219"/>
      <c r="AO596" s="1219"/>
      <c r="AP596" s="1219"/>
      <c r="AQ596" s="1219"/>
      <c r="AR596" s="1219"/>
      <c r="AS596" s="1219"/>
      <c r="AT596" s="1219"/>
      <c r="AU596" s="1219"/>
      <c r="AV596" s="1219"/>
      <c r="AW596" s="1219"/>
      <c r="AX596" s="1219"/>
      <c r="AY596" s="1219"/>
      <c r="AZ596" s="1219"/>
      <c r="BA596" s="1219"/>
      <c r="BB596" s="1219"/>
      <c r="BC596" s="1219"/>
      <c r="BD596" s="1219"/>
      <c r="BE596" s="1219"/>
      <c r="BF596" s="1219"/>
      <c r="BG596" s="1219"/>
      <c r="BH596" s="1219"/>
      <c r="BI596" s="1219"/>
      <c r="BJ596" s="1219"/>
      <c r="BK596" s="1219"/>
      <c r="BL596" s="1219"/>
      <c r="BM596" s="1219"/>
      <c r="BN596" s="1219"/>
      <c r="BO596" s="1219"/>
      <c r="BP596" s="1219"/>
      <c r="BQ596" s="1219"/>
      <c r="BR596" s="1219"/>
      <c r="BS596" s="1219"/>
      <c r="BU596" s="1217"/>
      <c r="BW596" s="1219"/>
      <c r="BY596" s="1217"/>
      <c r="CA596" s="1219"/>
      <c r="CC596" s="1217"/>
      <c r="CE596" s="1219"/>
      <c r="CG596" s="1217"/>
      <c r="CI596" s="1219"/>
    </row>
    <row r="597" spans="1:87">
      <c r="A597" s="20"/>
      <c r="B597" s="124" t="str">
        <f t="shared" si="272"/>
        <v/>
      </c>
      <c r="C597" s="235"/>
      <c r="D597" s="24">
        <f>'1% Wind'!$M$95</f>
        <v>1.3</v>
      </c>
      <c r="E597" s="90"/>
      <c r="F597" s="90"/>
      <c r="G597" s="79">
        <f ca="1">IF(I583=0.9743,$G596,MAX(G596/D596*D597,2))</f>
        <v>2</v>
      </c>
      <c r="H597" s="121" t="e">
        <f t="shared" ca="1" si="273"/>
        <v>#VALUE!</v>
      </c>
      <c r="J597" s="33"/>
      <c r="K597" s="242">
        <f t="shared" si="274"/>
        <v>1</v>
      </c>
      <c r="L597" s="241" t="e">
        <f t="shared" ca="1" si="275"/>
        <v>#VALUE!</v>
      </c>
      <c r="M597" s="243" t="e">
        <f ca="1">IF(AND(INDEX(FlowCalConstA,MATCH(J583,FlowCalNumber,0),1,1)*L597^INDEX(FlowCalConstB,MATCH(J583,FlowCalNumber,0),1,1)&gt;INDEX(FlowCalLowSetting,MATCH(J583,FlowCalNumber,0),1,1), (INDEX(FlowCalConstA,MATCH(J583,FlowCalNumber,0),1,1)*L597^INDEX(FlowCalConstB,MATCH(J583,FlowCalNumber,0),1,1)&lt;INDEX(FlowCalHighSetting,MATCH(J583,FlowCalNumber,0),1,1))),INDEX(FlowCalConstA,MATCH(J583,FlowCalNumber,0),1,1)*L597^INDEX(FlowCalConstB,MATCH(J583,FlowCalNumber,0),1,1)," ")</f>
        <v>#N/A</v>
      </c>
      <c r="N597" s="33"/>
      <c r="O597" s="242">
        <f t="shared" si="276"/>
        <v>1</v>
      </c>
      <c r="P597" s="241" t="e">
        <f t="shared" ca="1" si="277"/>
        <v>#VALUE!</v>
      </c>
      <c r="Q597" s="243" t="e">
        <f ca="1">IF(AND(INDEX(FlowCalConstA,MATCH(N583,FlowCalNumber,0),1,1)*P597^INDEX(FlowCalConstB,MATCH(N583,FlowCalNumber,0),1,1)&gt;INDEX(FlowCalLowSetting,MATCH(N583,FlowCalNumber,0),1,1), (INDEX(FlowCalConstA,MATCH(N583,FlowCalNumber,0),1,1)*P597^INDEX(FlowCalConstB,MATCH(N583,FlowCalNumber,0),1,1)&lt;INDEX(FlowCalHighSetting,MATCH(N583,FlowCalNumber,0),1,1))),INDEX(FlowCalConstA,MATCH(N583,FlowCalNumber,0),1,1)*P597^INDEX(FlowCalConstB,MATCH(N583,FlowCalNumber,0),1,1)," ")</f>
        <v>#N/A</v>
      </c>
      <c r="R597" s="33"/>
      <c r="S597" s="242">
        <f t="shared" si="278"/>
        <v>1</v>
      </c>
      <c r="T597" s="241" t="e">
        <f t="shared" ca="1" si="279"/>
        <v>#VALUE!</v>
      </c>
      <c r="U597" s="243" t="e">
        <f ca="1">IF(AND(INDEX(FlowCalConstA,MATCH(R583,FlowCalNumber,0),1,1)*T597^INDEX(FlowCalConstB,MATCH(R583,FlowCalNumber,0),1,1)&gt;INDEX(FlowCalLowSetting,MATCH(R583,FlowCalNumber,0),1,1), (INDEX(FlowCalConstA,MATCH(R583,FlowCalNumber,0),1,1)*T597^INDEX(FlowCalConstB,MATCH(R583,FlowCalNumber,0),1,1)&lt;INDEX(FlowCalHighSetting,MATCH(R583,FlowCalNumber,0),1,1))),INDEX(FlowCalConstA,MATCH(R583,FlowCalNumber,0),1,1)*T597^INDEX(FlowCalConstB,MATCH(R583,FlowCalNumber,0),1,1)," ")</f>
        <v>#N/A</v>
      </c>
      <c r="V597" s="33"/>
      <c r="W597" s="242"/>
      <c r="X597" s="241"/>
      <c r="Y597" s="243"/>
      <c r="Z597" s="33"/>
      <c r="AA597" s="242"/>
      <c r="AB597" s="241"/>
      <c r="AC597" s="243"/>
      <c r="AD597" s="33"/>
      <c r="AE597" s="242"/>
      <c r="AF597" s="241"/>
      <c r="AG597" s="243"/>
      <c r="AH597" s="33"/>
      <c r="AI597" s="242"/>
      <c r="AJ597" s="241"/>
      <c r="AK597" s="244"/>
      <c r="AL597" s="243"/>
      <c r="AM597" s="243"/>
      <c r="AN597" s="243"/>
      <c r="AO597" s="243"/>
      <c r="AP597" s="243"/>
      <c r="AQ597" s="243"/>
      <c r="AR597" s="243"/>
      <c r="AS597" s="243"/>
      <c r="AT597" s="243"/>
      <c r="AU597" s="243"/>
      <c r="AV597" s="243"/>
      <c r="AW597" s="243"/>
      <c r="AX597" s="243"/>
      <c r="AY597" s="243"/>
      <c r="AZ597" s="243"/>
      <c r="BA597" s="243"/>
      <c r="BB597" s="243"/>
      <c r="BC597" s="243"/>
      <c r="BD597" s="243"/>
      <c r="BE597" s="243"/>
      <c r="BF597" s="243"/>
      <c r="BG597" s="243"/>
      <c r="BH597" s="243"/>
      <c r="BI597" s="243"/>
      <c r="BJ597" s="243"/>
      <c r="BK597" s="243"/>
      <c r="BL597" s="243"/>
      <c r="BM597" s="243"/>
      <c r="BN597" s="243"/>
      <c r="BO597" s="243"/>
      <c r="BP597" s="243"/>
      <c r="BQ597" s="243"/>
      <c r="BR597" s="243"/>
      <c r="BS597" s="243"/>
      <c r="BU597" s="242"/>
      <c r="BW597" s="243"/>
      <c r="BY597" s="242"/>
      <c r="CA597" s="243"/>
      <c r="CC597" s="242"/>
      <c r="CE597" s="243"/>
      <c r="CG597" s="242"/>
      <c r="CI597" s="243"/>
    </row>
    <row r="598" spans="1:87" s="1215" customFormat="1">
      <c r="A598" s="1222"/>
      <c r="B598" s="1223" t="str">
        <f t="shared" si="272"/>
        <v/>
      </c>
      <c r="C598" s="1210"/>
      <c r="D598" s="1211">
        <f>'1% Wind'!$M$96</f>
        <v>1</v>
      </c>
      <c r="E598" s="1212"/>
      <c r="F598" s="1212"/>
      <c r="G598" s="1213">
        <f ca="1">IF(I583=0.9743,$G597,MAX(G597/D597*D598,2))</f>
        <v>2</v>
      </c>
      <c r="H598" s="1214" t="e">
        <f t="shared" ca="1" si="273"/>
        <v>#VALUE!</v>
      </c>
      <c r="J598" s="1224"/>
      <c r="K598" s="1217">
        <f t="shared" si="274"/>
        <v>1</v>
      </c>
      <c r="L598" s="1218" t="e">
        <f t="shared" ca="1" si="275"/>
        <v>#VALUE!</v>
      </c>
      <c r="M598" s="1219" t="e">
        <f ca="1">IF(AND(INDEX(FlowCalConstA,MATCH(J583,FlowCalNumber,0),1,1)*L598^INDEX(FlowCalConstB,MATCH(J583,FlowCalNumber,0),1,1)&gt;INDEX(FlowCalLowSetting,MATCH(J583,FlowCalNumber,0),1,1), (INDEX(FlowCalConstA,MATCH(J583,FlowCalNumber,0),1,1)*L598^INDEX(FlowCalConstB,MATCH(J583,FlowCalNumber,0),1,1)&lt;INDEX(FlowCalHighSetting,MATCH(J583,FlowCalNumber,0),1,1))),INDEX(FlowCalConstA,MATCH(J583,FlowCalNumber,0),1,1)*L598^INDEX(FlowCalConstB,MATCH(J583,FlowCalNumber,0),1,1)," ")</f>
        <v>#N/A</v>
      </c>
      <c r="N598" s="1224"/>
      <c r="O598" s="1217">
        <f t="shared" si="276"/>
        <v>1</v>
      </c>
      <c r="P598" s="1218" t="e">
        <f t="shared" ca="1" si="277"/>
        <v>#VALUE!</v>
      </c>
      <c r="Q598" s="1219" t="e">
        <f ca="1">IF(AND(INDEX(FlowCalConstA,MATCH(N583,FlowCalNumber,0),1,1)*P598^INDEX(FlowCalConstB,MATCH(N583,FlowCalNumber,0),1,1)&gt;INDEX(FlowCalLowSetting,MATCH(N583,FlowCalNumber,0),1,1), (INDEX(FlowCalConstA,MATCH(N583,FlowCalNumber,0),1,1)*P598^INDEX(FlowCalConstB,MATCH(N583,FlowCalNumber,0),1,1)&lt;INDEX(FlowCalHighSetting,MATCH(N583,FlowCalNumber,0),1,1))),INDEX(FlowCalConstA,MATCH(N583,FlowCalNumber,0),1,1)*P598^INDEX(FlowCalConstB,MATCH(N583,FlowCalNumber,0),1,1)," ")</f>
        <v>#N/A</v>
      </c>
      <c r="R598" s="1224"/>
      <c r="S598" s="1217">
        <f t="shared" si="278"/>
        <v>1</v>
      </c>
      <c r="T598" s="1218" t="e">
        <f t="shared" ca="1" si="279"/>
        <v>#VALUE!</v>
      </c>
      <c r="U598" s="1219" t="e">
        <f ca="1">IF(AND(INDEX(FlowCalConstA,MATCH(R583,FlowCalNumber,0),1,1)*T598^INDEX(FlowCalConstB,MATCH(R583,FlowCalNumber,0),1,1)&gt;INDEX(FlowCalLowSetting,MATCH(R583,FlowCalNumber,0),1,1), (INDEX(FlowCalConstA,MATCH(R583,FlowCalNumber,0),1,1)*T598^INDEX(FlowCalConstB,MATCH(R583,FlowCalNumber,0),1,1)&lt;INDEX(FlowCalHighSetting,MATCH(R583,FlowCalNumber,0),1,1))),INDEX(FlowCalConstA,MATCH(R583,FlowCalNumber,0),1,1)*T598^INDEX(FlowCalConstB,MATCH(R583,FlowCalNumber,0),1,1)," ")</f>
        <v>#N/A</v>
      </c>
      <c r="V598" s="1224"/>
      <c r="W598" s="1217"/>
      <c r="X598" s="1218"/>
      <c r="Y598" s="1219"/>
      <c r="Z598" s="1224"/>
      <c r="AA598" s="1217"/>
      <c r="AB598" s="1218"/>
      <c r="AC598" s="1219"/>
      <c r="AD598" s="1224"/>
      <c r="AE598" s="1217"/>
      <c r="AF598" s="1218"/>
      <c r="AG598" s="1219"/>
      <c r="AH598" s="1224"/>
      <c r="AI598" s="1217"/>
      <c r="AJ598" s="1218"/>
      <c r="AK598" s="1220"/>
      <c r="AL598" s="1219"/>
      <c r="AM598" s="1219"/>
      <c r="AN598" s="1219"/>
      <c r="AO598" s="1219"/>
      <c r="AP598" s="1219"/>
      <c r="AQ598" s="1219"/>
      <c r="AR598" s="1219"/>
      <c r="AS598" s="1219"/>
      <c r="AT598" s="1219"/>
      <c r="AU598" s="1219"/>
      <c r="AV598" s="1219"/>
      <c r="AW598" s="1219"/>
      <c r="AX598" s="1219"/>
      <c r="AY598" s="1219"/>
      <c r="AZ598" s="1219"/>
      <c r="BA598" s="1219"/>
      <c r="BB598" s="1219"/>
      <c r="BC598" s="1219"/>
      <c r="BD598" s="1219"/>
      <c r="BE598" s="1219"/>
      <c r="BF598" s="1219"/>
      <c r="BG598" s="1219"/>
      <c r="BH598" s="1219"/>
      <c r="BI598" s="1219"/>
      <c r="BJ598" s="1219"/>
      <c r="BK598" s="1219"/>
      <c r="BL598" s="1219"/>
      <c r="BM598" s="1219"/>
      <c r="BN598" s="1219"/>
      <c r="BO598" s="1219"/>
      <c r="BP598" s="1219"/>
      <c r="BQ598" s="1219"/>
      <c r="BR598" s="1219"/>
      <c r="BS598" s="1219"/>
      <c r="BU598" s="1217"/>
      <c r="BW598" s="1219"/>
      <c r="BY598" s="1217"/>
      <c r="CA598" s="1219"/>
      <c r="CC598" s="1217"/>
      <c r="CE598" s="1219"/>
      <c r="CG598" s="1217"/>
      <c r="CI598" s="1219"/>
    </row>
    <row r="599" spans="1:87">
      <c r="A599" s="33"/>
      <c r="B599" s="33"/>
      <c r="C599" s="235"/>
      <c r="E599" s="90"/>
      <c r="F599" s="90"/>
      <c r="G599" s="33"/>
      <c r="J599" s="33"/>
      <c r="M599" s="243"/>
      <c r="N599" s="33"/>
      <c r="Q599" s="243"/>
      <c r="R599" s="33"/>
      <c r="U599" s="243"/>
      <c r="V599" s="33"/>
      <c r="Y599" s="243"/>
      <c r="Z599" s="33"/>
      <c r="AC599" s="243"/>
      <c r="AD599" s="33"/>
      <c r="AG599" s="243"/>
      <c r="AH599" s="33"/>
      <c r="AK599" s="244"/>
      <c r="AL599" s="243"/>
      <c r="AM599" s="243"/>
      <c r="AN599" s="243"/>
      <c r="AO599" s="243"/>
      <c r="AP599" s="243"/>
      <c r="AQ599" s="243"/>
      <c r="AR599" s="243"/>
      <c r="AS599" s="243"/>
      <c r="AT599" s="243"/>
      <c r="AU599" s="243"/>
      <c r="AV599" s="243"/>
      <c r="AW599" s="243"/>
      <c r="AX599" s="243"/>
      <c r="AY599" s="243"/>
      <c r="AZ599" s="243"/>
      <c r="BA599" s="243"/>
      <c r="BB599" s="243"/>
      <c r="BC599" s="243"/>
      <c r="BD599" s="243"/>
      <c r="BE599" s="243"/>
      <c r="BF599" s="243"/>
      <c r="BG599" s="243"/>
      <c r="BH599" s="243"/>
      <c r="BI599" s="243"/>
      <c r="BJ599" s="243"/>
      <c r="BK599" s="243"/>
      <c r="BL599" s="243"/>
      <c r="BM599" s="243"/>
      <c r="BN599" s="243"/>
      <c r="BO599" s="243"/>
      <c r="BP599" s="243"/>
      <c r="BQ599" s="243"/>
      <c r="BR599" s="243"/>
      <c r="BS599" s="243"/>
      <c r="BW599" s="243"/>
      <c r="CA599" s="243"/>
      <c r="CE599" s="243"/>
      <c r="CI599" s="243"/>
    </row>
    <row r="600" spans="1:87">
      <c r="A600" s="256" t="str">
        <f>IF((RIGHT(A583,1))&lt;&gt;"Z",CHAR(CODE(A583))&amp;CHAR(CODE(RIGHT(A583,1))+1),CHAR(CODE(A583)+1)&amp;"A")</f>
        <v>BI</v>
      </c>
      <c r="B600" s="270" t="str">
        <f>INDEX(SourceID,MATCH($A600,SourceNumber,0),1,1)</f>
        <v>B2 Kit-1</v>
      </c>
      <c r="C600" s="354">
        <f>INDEX(SourceExitDiameter,MATCH($A600,SourceNumber,0),1,1)*3.28*12</f>
        <v>39.084999999999994</v>
      </c>
      <c r="D600" s="24" t="str">
        <f>UAnem1percent</f>
        <v>1% Wind</v>
      </c>
      <c r="E600" s="350" t="e">
        <f ca="1">INDIRECT(ADDRESS(53,6,1,,CONCATENATE("TA",$A600)))</f>
        <v>#REF!</v>
      </c>
      <c r="F600" s="625" t="e">
        <f ca="1">(ROUND((INDIRECT(ADDRESS(15,7,1,,CONCATENATE("TA",$A600)))*3.28*12*32),0)&amp;"/32")</f>
        <v>#REF!</v>
      </c>
      <c r="G600" s="125">
        <f ca="1">INDIRECT(ADDRESS(29,7,1,,$A600))</f>
        <v>6.001707317073171</v>
      </c>
      <c r="H600" s="24" t="e">
        <f ca="1">INDIRECT(ADDRESS(19,7,1,,$A600))*100^3</f>
        <v>#VALUE!</v>
      </c>
      <c r="I600" s="941">
        <f ca="1">INDIRECT(ADDRESS(53,7,1,,$A600))</f>
        <v>0.97430000000000005</v>
      </c>
      <c r="J600" s="20" t="str">
        <f ca="1">IF($I600=$I$6,K$16&amp;$G$6&amp;J$6,IF($I600=$I$7,K$16&amp;$G$7&amp;J$7,"Bad"))</f>
        <v>100N2Pick a Tunnel</v>
      </c>
      <c r="K600" t="e">
        <f ca="1">INDEX(FlowCalGasMixture,MATCH(J600,FlowCalNumber,0),1,1)</f>
        <v>#N/A</v>
      </c>
      <c r="M600" s="944" t="e">
        <f ca="1">INDEX(FlowCalDevice,MATCH(J600,FlowCalNumber,0),1,1)</f>
        <v>#N/A</v>
      </c>
      <c r="N600" s="20" t="str">
        <f ca="1">IF($I600=$I$6,O$16&amp;$G$6&amp;N$6,IF($I600=$I$7,O$16&amp;$G$7&amp;N$7,"Bad"))</f>
        <v>100N2Pick a Tunnel</v>
      </c>
      <c r="O600" t="e">
        <f ca="1">INDEX(FlowCalGasMixture,MATCH(N600,FlowCalNumber,0),1,1)</f>
        <v>#N/A</v>
      </c>
      <c r="Q600" s="944" t="e">
        <f ca="1">INDEX(FlowCalDevice,MATCH(N600,FlowCalNumber,0),1,1)</f>
        <v>#N/A</v>
      </c>
      <c r="R600" s="20" t="str">
        <f ca="1">IF($I600=$I$6,S$16&amp;$G$6&amp;R$6,IF($I600=$I$7,S$16&amp;$G$7&amp;R$7,"Bad"))</f>
        <v>100N2Pick a Tunnel</v>
      </c>
      <c r="S600" t="e">
        <f ca="1">INDEX(FlowCalGasMixture,MATCH(R600,FlowCalNumber,0),1,1)</f>
        <v>#N/A</v>
      </c>
      <c r="U600" s="944" t="e">
        <f ca="1">INDEX(FlowCalDevice,MATCH(R600,FlowCalNumber,0),1,1)</f>
        <v>#N/A</v>
      </c>
      <c r="V600" s="20"/>
      <c r="Y600" s="944"/>
      <c r="Z600" s="946"/>
      <c r="AC600" s="944"/>
      <c r="AD600" s="20"/>
      <c r="AG600" s="944"/>
      <c r="AH600" s="946"/>
      <c r="AK600" s="982"/>
      <c r="AL600" s="355"/>
      <c r="AM600" s="355"/>
      <c r="AN600" s="355"/>
      <c r="AO600" s="355"/>
      <c r="AP600" s="355"/>
      <c r="AQ600" s="355"/>
      <c r="AR600" s="355"/>
      <c r="AS600" s="355"/>
      <c r="AT600" s="355"/>
      <c r="AU600" s="355"/>
      <c r="AV600" s="355"/>
      <c r="AW600" s="355"/>
      <c r="AX600" s="355"/>
      <c r="AY600" s="355"/>
      <c r="AZ600" s="355"/>
      <c r="BA600" s="355"/>
      <c r="BB600" s="355"/>
      <c r="BC600" s="355"/>
      <c r="BD600" s="355"/>
      <c r="BE600" s="355"/>
      <c r="BF600" s="355"/>
      <c r="BG600" s="355"/>
      <c r="BH600" s="355"/>
      <c r="BI600" s="355"/>
      <c r="BJ600" s="355"/>
      <c r="BK600" s="355"/>
      <c r="BL600" s="355"/>
      <c r="BM600" s="355"/>
      <c r="BN600" s="355"/>
      <c r="BO600" s="355"/>
      <c r="BP600" s="355"/>
      <c r="BQ600" s="355"/>
      <c r="BR600" s="355"/>
      <c r="BS600" s="355"/>
      <c r="BT600" s="46"/>
      <c r="BU600" s="16"/>
      <c r="BW600" s="355"/>
      <c r="BX600" s="42"/>
      <c r="BY600" s="16"/>
      <c r="CA600" s="355"/>
      <c r="CB600" s="42"/>
      <c r="CC600" s="16"/>
      <c r="CE600" s="355"/>
      <c r="CF600" s="42"/>
      <c r="CG600" s="16"/>
      <c r="CI600" s="355"/>
    </row>
    <row r="601" spans="1:87" s="1215" customFormat="1">
      <c r="A601" s="1222"/>
      <c r="B601" s="1223" t="str">
        <f t="shared" ref="B601:B615" si="280">IF(D601=UAnem1percent,"1% Wind","")</f>
        <v/>
      </c>
      <c r="C601" s="1210"/>
      <c r="D601" s="1211">
        <f>'1% Wind'!$M$82</f>
        <v>27</v>
      </c>
      <c r="E601" s="1212"/>
      <c r="F601" s="1212"/>
      <c r="G601" s="1364">
        <v>2</v>
      </c>
      <c r="H601" s="1214" t="e">
        <f t="shared" ref="H601:H615" ca="1" si="281">H600*(D600/D601)*(G601/G600)</f>
        <v>#VALUE!</v>
      </c>
      <c r="J601" s="1224"/>
      <c r="K601" s="1221">
        <f>K$17/100</f>
        <v>1</v>
      </c>
      <c r="L601" s="1218" t="e">
        <f ca="1">K601*$H601</f>
        <v>#VALUE!</v>
      </c>
      <c r="M601" s="1219" t="e">
        <f ca="1">IF(AND(INDEX(FlowCalConstA,MATCH(J600,FlowCalNumber,0),1,1)*L601^INDEX(FlowCalConstB,MATCH(J600,FlowCalNumber,0),1,1)&gt;INDEX(FlowCalLowSetting,MATCH(J600,FlowCalNumber,0),1,1), (INDEX(FlowCalConstA,MATCH(J600,FlowCalNumber,0),1,1)*L601^INDEX(FlowCalConstB,MATCH(J600,FlowCalNumber,0),1,1)&lt;INDEX(FlowCalHighSetting,MATCH(J600,FlowCalNumber,0),1,1))),INDEX(FlowCalConstA,MATCH(J600,FlowCalNumber,0),1,1)*L601^INDEX(FlowCalConstB,MATCH(J600,FlowCalNumber,0),1,1)," ")</f>
        <v>#N/A</v>
      </c>
      <c r="N601" s="1224"/>
      <c r="O601" s="1221">
        <f>O$17/100</f>
        <v>1</v>
      </c>
      <c r="P601" s="1218" t="e">
        <f ca="1">O601*$H601</f>
        <v>#VALUE!</v>
      </c>
      <c r="Q601" s="1219" t="e">
        <f ca="1">IF(AND(INDEX(FlowCalConstA,MATCH(N600,FlowCalNumber,0),1,1)*P601^INDEX(FlowCalConstB,MATCH(N600,FlowCalNumber,0),1,1)&gt;INDEX(FlowCalLowSetting,MATCH(N600,FlowCalNumber,0),1,1), (INDEX(FlowCalConstA,MATCH(N600,FlowCalNumber,0),1,1)*P601^INDEX(FlowCalConstB,MATCH(N600,FlowCalNumber,0),1,1)&lt;INDEX(FlowCalHighSetting,MATCH(N600,FlowCalNumber,0),1,1))),INDEX(FlowCalConstA,MATCH(N600,FlowCalNumber,0),1,1)*P601^INDEX(FlowCalConstB,MATCH(N600,FlowCalNumber,0),1,1)," ")</f>
        <v>#N/A</v>
      </c>
      <c r="R601" s="1224"/>
      <c r="S601" s="1221">
        <f>S$17/100</f>
        <v>1</v>
      </c>
      <c r="T601" s="1218" t="e">
        <f ca="1">S601*$H601</f>
        <v>#VALUE!</v>
      </c>
      <c r="U601" s="1219" t="e">
        <f ca="1">IF(AND(INDEX(FlowCalConstA,MATCH(R600,FlowCalNumber,0),1,1)*T601^INDEX(FlowCalConstB,MATCH(R600,FlowCalNumber,0),1,1)&gt;INDEX(FlowCalLowSetting,MATCH(R600,FlowCalNumber,0),1,1), (INDEX(FlowCalConstA,MATCH(R600,FlowCalNumber,0),1,1)*T601^INDEX(FlowCalConstB,MATCH(R600,FlowCalNumber,0),1,1)&lt;INDEX(FlowCalHighSetting,MATCH(R600,FlowCalNumber,0),1,1))),INDEX(FlowCalConstA,MATCH(R600,FlowCalNumber,0),1,1)*T601^INDEX(FlowCalConstB,MATCH(R600,FlowCalNumber,0),1,1)," ")</f>
        <v>#N/A</v>
      </c>
      <c r="V601" s="1224"/>
      <c r="W601" s="1221"/>
      <c r="X601" s="1218"/>
      <c r="Y601" s="1219"/>
      <c r="Z601" s="1224"/>
      <c r="AA601" s="1221"/>
      <c r="AB601" s="1218"/>
      <c r="AC601" s="1219"/>
      <c r="AD601" s="1224"/>
      <c r="AE601" s="1221"/>
      <c r="AF601" s="1218"/>
      <c r="AG601" s="1219"/>
      <c r="AH601" s="1224"/>
      <c r="AI601" s="1221"/>
      <c r="AJ601" s="1218"/>
      <c r="AK601" s="1220"/>
      <c r="AL601" s="1219"/>
      <c r="AM601" s="1219"/>
      <c r="AN601" s="1219"/>
      <c r="AO601" s="1219"/>
      <c r="AP601" s="1219"/>
      <c r="AQ601" s="1219"/>
      <c r="AR601" s="1219"/>
      <c r="AS601" s="1219"/>
      <c r="AT601" s="1219"/>
      <c r="AU601" s="1219"/>
      <c r="AV601" s="1219"/>
      <c r="AW601" s="1219"/>
      <c r="AX601" s="1219"/>
      <c r="AY601" s="1219"/>
      <c r="AZ601" s="1219"/>
      <c r="BA601" s="1219"/>
      <c r="BB601" s="1219"/>
      <c r="BC601" s="1219"/>
      <c r="BD601" s="1219"/>
      <c r="BE601" s="1219"/>
      <c r="BF601" s="1219"/>
      <c r="BG601" s="1219"/>
      <c r="BH601" s="1219"/>
      <c r="BI601" s="1219"/>
      <c r="BJ601" s="1219"/>
      <c r="BK601" s="1219"/>
      <c r="BL601" s="1219"/>
      <c r="BM601" s="1219"/>
      <c r="BN601" s="1219"/>
      <c r="BO601" s="1219"/>
      <c r="BP601" s="1219"/>
      <c r="BQ601" s="1219"/>
      <c r="BR601" s="1219"/>
      <c r="BS601" s="1219"/>
      <c r="BU601" s="1225"/>
      <c r="BW601" s="1219"/>
      <c r="BY601" s="1225"/>
      <c r="CA601" s="1219"/>
      <c r="CC601" s="1225"/>
      <c r="CE601" s="1219"/>
      <c r="CG601" s="1221"/>
      <c r="CI601" s="1219"/>
    </row>
    <row r="602" spans="1:87">
      <c r="A602" s="20"/>
      <c r="B602" s="124" t="str">
        <f t="shared" si="280"/>
        <v/>
      </c>
      <c r="C602" s="235"/>
      <c r="D602" s="24">
        <f>'1% Wind'!$M$83</f>
        <v>23.5</v>
      </c>
      <c r="E602" s="90"/>
      <c r="F602" s="90"/>
      <c r="G602" s="79">
        <f ca="1">IF(I600=0.9743,$G601,MAX(G601/D601*D602,2))</f>
        <v>2</v>
      </c>
      <c r="H602" s="121" t="e">
        <f t="shared" ca="1" si="281"/>
        <v>#VALUE!</v>
      </c>
      <c r="J602" s="33"/>
      <c r="K602" s="242">
        <f t="shared" ref="K602:K615" si="282">K601</f>
        <v>1</v>
      </c>
      <c r="L602" s="241" t="e">
        <f t="shared" ref="L602:L615" ca="1" si="283">K602*$H602</f>
        <v>#VALUE!</v>
      </c>
      <c r="M602" s="243" t="e">
        <f ca="1">IF(AND(INDEX(FlowCalConstA,MATCH(J600,FlowCalNumber,0),1,1)*L602^INDEX(FlowCalConstB,MATCH(J600,FlowCalNumber,0),1,1)&gt;INDEX(FlowCalLowSetting,MATCH(J600,FlowCalNumber,0),1,1), (INDEX(FlowCalConstA,MATCH(J600,FlowCalNumber,0),1,1)*L602^INDEX(FlowCalConstB,MATCH(J600,FlowCalNumber,0),1,1)&lt;INDEX(FlowCalHighSetting,MATCH(J600,FlowCalNumber,0),1,1))),INDEX(FlowCalConstA,MATCH(J600,FlowCalNumber,0),1,1)*L602^INDEX(FlowCalConstB,MATCH(J600,FlowCalNumber,0),1,1)," ")</f>
        <v>#N/A</v>
      </c>
      <c r="N602" s="33"/>
      <c r="O602" s="242">
        <f t="shared" ref="O602:O615" si="284">O601</f>
        <v>1</v>
      </c>
      <c r="P602" s="241" t="e">
        <f t="shared" ref="P602:P615" ca="1" si="285">O602*$H602</f>
        <v>#VALUE!</v>
      </c>
      <c r="Q602" s="243" t="e">
        <f ca="1">IF(AND(INDEX(FlowCalConstA,MATCH(N600,FlowCalNumber,0),1,1)*P602^INDEX(FlowCalConstB,MATCH(N600,FlowCalNumber,0),1,1)&gt;INDEX(FlowCalLowSetting,MATCH(N600,FlowCalNumber,0),1,1), (INDEX(FlowCalConstA,MATCH(N600,FlowCalNumber,0),1,1)*P602^INDEX(FlowCalConstB,MATCH(N600,FlowCalNumber,0),1,1)&lt;INDEX(FlowCalHighSetting,MATCH(N600,FlowCalNumber,0),1,1))),INDEX(FlowCalConstA,MATCH(N600,FlowCalNumber,0),1,1)*P602^INDEX(FlowCalConstB,MATCH(N600,FlowCalNumber,0),1,1)," ")</f>
        <v>#N/A</v>
      </c>
      <c r="R602" s="33"/>
      <c r="S602" s="242">
        <f t="shared" ref="S602:S615" si="286">S601</f>
        <v>1</v>
      </c>
      <c r="T602" s="241" t="e">
        <f t="shared" ref="T602:T615" ca="1" si="287">S602*$H602</f>
        <v>#VALUE!</v>
      </c>
      <c r="U602" s="243" t="e">
        <f ca="1">IF(AND(INDEX(FlowCalConstA,MATCH(R600,FlowCalNumber,0),1,1)*T602^INDEX(FlowCalConstB,MATCH(R600,FlowCalNumber,0),1,1)&gt;INDEX(FlowCalLowSetting,MATCH(R600,FlowCalNumber,0),1,1), (INDEX(FlowCalConstA,MATCH(R600,FlowCalNumber,0),1,1)*T602^INDEX(FlowCalConstB,MATCH(R600,FlowCalNumber,0),1,1)&lt;INDEX(FlowCalHighSetting,MATCH(R600,FlowCalNumber,0),1,1))),INDEX(FlowCalConstA,MATCH(R600,FlowCalNumber,0),1,1)*T602^INDEX(FlowCalConstB,MATCH(R600,FlowCalNumber,0),1,1)," ")</f>
        <v>#N/A</v>
      </c>
      <c r="V602" s="33"/>
      <c r="W602" s="242"/>
      <c r="X602" s="241"/>
      <c r="Y602" s="243"/>
      <c r="Z602" s="33"/>
      <c r="AA602" s="242"/>
      <c r="AB602" s="241"/>
      <c r="AC602" s="243"/>
      <c r="AD602" s="33"/>
      <c r="AE602" s="242"/>
      <c r="AF602" s="241"/>
      <c r="AG602" s="243"/>
      <c r="AH602" s="33"/>
      <c r="AI602" s="242"/>
      <c r="AJ602" s="241"/>
      <c r="AK602" s="244"/>
      <c r="AL602" s="243"/>
      <c r="AM602" s="243"/>
      <c r="AN602" s="243"/>
      <c r="AO602" s="243"/>
      <c r="AP602" s="243"/>
      <c r="AQ602" s="243"/>
      <c r="AR602" s="243"/>
      <c r="AS602" s="243"/>
      <c r="AT602" s="243"/>
      <c r="AU602" s="243"/>
      <c r="AV602" s="243"/>
      <c r="AW602" s="243"/>
      <c r="AX602" s="243"/>
      <c r="AY602" s="243"/>
      <c r="AZ602" s="243"/>
      <c r="BA602" s="243"/>
      <c r="BB602" s="243"/>
      <c r="BC602" s="243"/>
      <c r="BD602" s="243"/>
      <c r="BE602" s="243"/>
      <c r="BF602" s="243"/>
      <c r="BG602" s="243"/>
      <c r="BH602" s="243"/>
      <c r="BI602" s="243"/>
      <c r="BJ602" s="243"/>
      <c r="BK602" s="243"/>
      <c r="BL602" s="243"/>
      <c r="BM602" s="243"/>
      <c r="BN602" s="243"/>
      <c r="BO602" s="243"/>
      <c r="BP602" s="243"/>
      <c r="BQ602" s="243"/>
      <c r="BR602" s="243"/>
      <c r="BS602" s="243"/>
      <c r="BU602" s="242"/>
      <c r="BW602" s="243"/>
      <c r="BY602" s="242"/>
      <c r="CA602" s="243"/>
      <c r="CC602" s="242"/>
      <c r="CE602" s="243"/>
      <c r="CG602" s="242"/>
      <c r="CI602" s="243"/>
    </row>
    <row r="603" spans="1:87" s="1215" customFormat="1">
      <c r="A603" s="1222"/>
      <c r="B603" s="1223" t="str">
        <f t="shared" si="280"/>
        <v/>
      </c>
      <c r="C603" s="1210"/>
      <c r="D603" s="1211">
        <f>'1% Wind'!$M$84</f>
        <v>20.5</v>
      </c>
      <c r="E603" s="1212"/>
      <c r="F603" s="1212"/>
      <c r="G603" s="1213">
        <f ca="1">IF(I600=0.9743,$G602,MAX(G602/D602*D603,2))</f>
        <v>2</v>
      </c>
      <c r="H603" s="1214" t="e">
        <f t="shared" ca="1" si="281"/>
        <v>#VALUE!</v>
      </c>
      <c r="J603" s="1224"/>
      <c r="K603" s="1217">
        <f t="shared" si="282"/>
        <v>1</v>
      </c>
      <c r="L603" s="1218" t="e">
        <f t="shared" ca="1" si="283"/>
        <v>#VALUE!</v>
      </c>
      <c r="M603" s="1219" t="e">
        <f ca="1">IF(AND(INDEX(FlowCalConstA,MATCH(J600,FlowCalNumber,0),1,1)*L603^INDEX(FlowCalConstB,MATCH(J600,FlowCalNumber,0),1,1)&gt;INDEX(FlowCalLowSetting,MATCH(J600,FlowCalNumber,0),1,1), (INDEX(FlowCalConstA,MATCH(J600,FlowCalNumber,0),1,1)*L603^INDEX(FlowCalConstB,MATCH(J600,FlowCalNumber,0),1,1)&lt;INDEX(FlowCalHighSetting,MATCH(J600,FlowCalNumber,0),1,1))),INDEX(FlowCalConstA,MATCH(J600,FlowCalNumber,0),1,1)*L603^INDEX(FlowCalConstB,MATCH(J600,FlowCalNumber,0),1,1)," ")</f>
        <v>#N/A</v>
      </c>
      <c r="N603" s="1224"/>
      <c r="O603" s="1217">
        <f t="shared" si="284"/>
        <v>1</v>
      </c>
      <c r="P603" s="1218" t="e">
        <f t="shared" ca="1" si="285"/>
        <v>#VALUE!</v>
      </c>
      <c r="Q603" s="1219" t="e">
        <f ca="1">IF(AND(INDEX(FlowCalConstA,MATCH(N600,FlowCalNumber,0),1,1)*P603^INDEX(FlowCalConstB,MATCH(N600,FlowCalNumber,0),1,1)&gt;INDEX(FlowCalLowSetting,MATCH(N600,FlowCalNumber,0),1,1), (INDEX(FlowCalConstA,MATCH(N600,FlowCalNumber,0),1,1)*P603^INDEX(FlowCalConstB,MATCH(N600,FlowCalNumber,0),1,1)&lt;INDEX(FlowCalHighSetting,MATCH(N600,FlowCalNumber,0),1,1))),INDEX(FlowCalConstA,MATCH(N600,FlowCalNumber,0),1,1)*P603^INDEX(FlowCalConstB,MATCH(N600,FlowCalNumber,0),1,1)," ")</f>
        <v>#N/A</v>
      </c>
      <c r="R603" s="1224"/>
      <c r="S603" s="1217">
        <f t="shared" si="286"/>
        <v>1</v>
      </c>
      <c r="T603" s="1218" t="e">
        <f t="shared" ca="1" si="287"/>
        <v>#VALUE!</v>
      </c>
      <c r="U603" s="1219" t="e">
        <f ca="1">IF(AND(INDEX(FlowCalConstA,MATCH(R600,FlowCalNumber,0),1,1)*T603^INDEX(FlowCalConstB,MATCH(R600,FlowCalNumber,0),1,1)&gt;INDEX(FlowCalLowSetting,MATCH(R600,FlowCalNumber,0),1,1), (INDEX(FlowCalConstA,MATCH(R600,FlowCalNumber,0),1,1)*T603^INDEX(FlowCalConstB,MATCH(R600,FlowCalNumber,0),1,1)&lt;INDEX(FlowCalHighSetting,MATCH(R600,FlowCalNumber,0),1,1))),INDEX(FlowCalConstA,MATCH(R600,FlowCalNumber,0),1,1)*T603^INDEX(FlowCalConstB,MATCH(R600,FlowCalNumber,0),1,1)," ")</f>
        <v>#N/A</v>
      </c>
      <c r="V603" s="1224"/>
      <c r="W603" s="1217"/>
      <c r="X603" s="1218"/>
      <c r="Y603" s="1219"/>
      <c r="Z603" s="1224"/>
      <c r="AA603" s="1217"/>
      <c r="AB603" s="1218"/>
      <c r="AC603" s="1219"/>
      <c r="AD603" s="1224"/>
      <c r="AE603" s="1217"/>
      <c r="AF603" s="1218"/>
      <c r="AG603" s="1219"/>
      <c r="AH603" s="1224"/>
      <c r="AI603" s="1217"/>
      <c r="AJ603" s="1218"/>
      <c r="AK603" s="1220"/>
      <c r="AL603" s="1219"/>
      <c r="AM603" s="1219"/>
      <c r="AN603" s="1219"/>
      <c r="AO603" s="1219"/>
      <c r="AP603" s="1219"/>
      <c r="AQ603" s="1219"/>
      <c r="AR603" s="1219"/>
      <c r="AS603" s="1219"/>
      <c r="AT603" s="1219"/>
      <c r="AU603" s="1219"/>
      <c r="AV603" s="1219"/>
      <c r="AW603" s="1219"/>
      <c r="AX603" s="1219"/>
      <c r="AY603" s="1219"/>
      <c r="AZ603" s="1219"/>
      <c r="BA603" s="1219"/>
      <c r="BB603" s="1219"/>
      <c r="BC603" s="1219"/>
      <c r="BD603" s="1219"/>
      <c r="BE603" s="1219"/>
      <c r="BF603" s="1219"/>
      <c r="BG603" s="1219"/>
      <c r="BH603" s="1219"/>
      <c r="BI603" s="1219"/>
      <c r="BJ603" s="1219"/>
      <c r="BK603" s="1219"/>
      <c r="BL603" s="1219"/>
      <c r="BM603" s="1219"/>
      <c r="BN603" s="1219"/>
      <c r="BO603" s="1219"/>
      <c r="BP603" s="1219"/>
      <c r="BQ603" s="1219"/>
      <c r="BR603" s="1219"/>
      <c r="BS603" s="1219"/>
      <c r="BU603" s="1217"/>
      <c r="BW603" s="1219"/>
      <c r="BY603" s="1217"/>
      <c r="CA603" s="1219"/>
      <c r="CC603" s="1217"/>
      <c r="CE603" s="1219"/>
      <c r="CG603" s="1217"/>
      <c r="CI603" s="1219"/>
    </row>
    <row r="604" spans="1:87">
      <c r="A604" s="20"/>
      <c r="B604" s="124" t="str">
        <f t="shared" si="280"/>
        <v/>
      </c>
      <c r="C604" s="235"/>
      <c r="D604" s="24">
        <f>'1% Wind'!$M$85</f>
        <v>17.8</v>
      </c>
      <c r="E604" s="90"/>
      <c r="F604" s="90"/>
      <c r="G604" s="79">
        <f ca="1">IF(I600=0.9743,$G603,MAX(G603/D603*D604,2))</f>
        <v>2</v>
      </c>
      <c r="H604" s="121" t="e">
        <f t="shared" ca="1" si="281"/>
        <v>#VALUE!</v>
      </c>
      <c r="J604" s="33"/>
      <c r="K604" s="242">
        <f t="shared" si="282"/>
        <v>1</v>
      </c>
      <c r="L604" s="241" t="e">
        <f t="shared" ca="1" si="283"/>
        <v>#VALUE!</v>
      </c>
      <c r="M604" s="243" t="e">
        <f ca="1">IF(AND(INDEX(FlowCalConstA,MATCH(J600,FlowCalNumber,0),1,1)*L604^INDEX(FlowCalConstB,MATCH(J600,FlowCalNumber,0),1,1)&gt;INDEX(FlowCalLowSetting,MATCH(J600,FlowCalNumber,0),1,1), (INDEX(FlowCalConstA,MATCH(J600,FlowCalNumber,0),1,1)*L604^INDEX(FlowCalConstB,MATCH(J600,FlowCalNumber,0),1,1)&lt;INDEX(FlowCalHighSetting,MATCH(J600,FlowCalNumber,0),1,1))),INDEX(FlowCalConstA,MATCH(J600,FlowCalNumber,0),1,1)*L604^INDEX(FlowCalConstB,MATCH(J600,FlowCalNumber,0),1,1)," ")</f>
        <v>#N/A</v>
      </c>
      <c r="N604" s="33"/>
      <c r="O604" s="242">
        <f t="shared" si="284"/>
        <v>1</v>
      </c>
      <c r="P604" s="241" t="e">
        <f t="shared" ca="1" si="285"/>
        <v>#VALUE!</v>
      </c>
      <c r="Q604" s="243" t="e">
        <f ca="1">IF(AND(INDEX(FlowCalConstA,MATCH(N600,FlowCalNumber,0),1,1)*P604^INDEX(FlowCalConstB,MATCH(N600,FlowCalNumber,0),1,1)&gt;INDEX(FlowCalLowSetting,MATCH(N600,FlowCalNumber,0),1,1), (INDEX(FlowCalConstA,MATCH(N600,FlowCalNumber,0),1,1)*P604^INDEX(FlowCalConstB,MATCH(N600,FlowCalNumber,0),1,1)&lt;INDEX(FlowCalHighSetting,MATCH(N600,FlowCalNumber,0),1,1))),INDEX(FlowCalConstA,MATCH(N600,FlowCalNumber,0),1,1)*P604^INDEX(FlowCalConstB,MATCH(N600,FlowCalNumber,0),1,1)," ")</f>
        <v>#N/A</v>
      </c>
      <c r="R604" s="33"/>
      <c r="S604" s="242">
        <f t="shared" si="286"/>
        <v>1</v>
      </c>
      <c r="T604" s="241" t="e">
        <f t="shared" ca="1" si="287"/>
        <v>#VALUE!</v>
      </c>
      <c r="U604" s="243" t="e">
        <f ca="1">IF(AND(INDEX(FlowCalConstA,MATCH(R600,FlowCalNumber,0),1,1)*T604^INDEX(FlowCalConstB,MATCH(R600,FlowCalNumber,0),1,1)&gt;INDEX(FlowCalLowSetting,MATCH(R600,FlowCalNumber,0),1,1), (INDEX(FlowCalConstA,MATCH(R600,FlowCalNumber,0),1,1)*T604^INDEX(FlowCalConstB,MATCH(R600,FlowCalNumber,0),1,1)&lt;INDEX(FlowCalHighSetting,MATCH(R600,FlowCalNumber,0),1,1))),INDEX(FlowCalConstA,MATCH(R600,FlowCalNumber,0),1,1)*T604^INDEX(FlowCalConstB,MATCH(R600,FlowCalNumber,0),1,1)," ")</f>
        <v>#N/A</v>
      </c>
      <c r="V604" s="33"/>
      <c r="W604" s="242"/>
      <c r="X604" s="241"/>
      <c r="Y604" s="243"/>
      <c r="Z604" s="33"/>
      <c r="AA604" s="242"/>
      <c r="AB604" s="241"/>
      <c r="AC604" s="243"/>
      <c r="AD604" s="33"/>
      <c r="AE604" s="242"/>
      <c r="AF604" s="241"/>
      <c r="AG604" s="243"/>
      <c r="AH604" s="33"/>
      <c r="AI604" s="242"/>
      <c r="AJ604" s="241"/>
      <c r="AK604" s="244"/>
      <c r="AL604" s="243"/>
      <c r="AM604" s="243"/>
      <c r="AN604" s="243"/>
      <c r="AO604" s="243"/>
      <c r="AP604" s="243"/>
      <c r="AQ604" s="243"/>
      <c r="AR604" s="243"/>
      <c r="AS604" s="243"/>
      <c r="AT604" s="243"/>
      <c r="AU604" s="243"/>
      <c r="AV604" s="243"/>
      <c r="AW604" s="243"/>
      <c r="AX604" s="243"/>
      <c r="AY604" s="243"/>
      <c r="AZ604" s="243"/>
      <c r="BA604" s="243"/>
      <c r="BB604" s="243"/>
      <c r="BC604" s="243"/>
      <c r="BD604" s="243"/>
      <c r="BE604" s="243"/>
      <c r="BF604" s="243"/>
      <c r="BG604" s="243"/>
      <c r="BH604" s="243"/>
      <c r="BI604" s="243"/>
      <c r="BJ604" s="243"/>
      <c r="BK604" s="243"/>
      <c r="BL604" s="243"/>
      <c r="BM604" s="243"/>
      <c r="BN604" s="243"/>
      <c r="BO604" s="243"/>
      <c r="BP604" s="243"/>
      <c r="BQ604" s="243"/>
      <c r="BR604" s="243"/>
      <c r="BS604" s="243"/>
      <c r="BU604" s="242"/>
      <c r="BW604" s="243"/>
      <c r="BY604" s="242"/>
      <c r="CA604" s="243"/>
      <c r="CC604" s="242"/>
      <c r="CE604" s="243"/>
      <c r="CG604" s="242"/>
      <c r="CI604" s="243"/>
    </row>
    <row r="605" spans="1:87" s="1215" customFormat="1">
      <c r="A605" s="1222"/>
      <c r="B605" s="1223" t="str">
        <f t="shared" si="280"/>
        <v/>
      </c>
      <c r="C605" s="1210"/>
      <c r="D605" s="1211">
        <f>'1% Wind'!$M$86</f>
        <v>15.5</v>
      </c>
      <c r="E605" s="1212"/>
      <c r="F605" s="1212"/>
      <c r="G605" s="1213">
        <f ca="1">IF(I600=0.9743,$G604,MAX(G604/D604*D605,2))</f>
        <v>2</v>
      </c>
      <c r="H605" s="1214" t="e">
        <f t="shared" ca="1" si="281"/>
        <v>#VALUE!</v>
      </c>
      <c r="J605" s="1224"/>
      <c r="K605" s="1217">
        <f t="shared" si="282"/>
        <v>1</v>
      </c>
      <c r="L605" s="1218" t="e">
        <f t="shared" ca="1" si="283"/>
        <v>#VALUE!</v>
      </c>
      <c r="M605" s="1219" t="e">
        <f ca="1">IF(AND(INDEX(FlowCalConstA,MATCH(J600,FlowCalNumber,0),1,1)*L605^INDEX(FlowCalConstB,MATCH(J600,FlowCalNumber,0),1,1)&gt;INDEX(FlowCalLowSetting,MATCH(J600,FlowCalNumber,0),1,1), (INDEX(FlowCalConstA,MATCH(J600,FlowCalNumber,0),1,1)*L605^INDEX(FlowCalConstB,MATCH(J600,FlowCalNumber,0),1,1)&lt;INDEX(FlowCalHighSetting,MATCH(J600,FlowCalNumber,0),1,1))),INDEX(FlowCalConstA,MATCH(J600,FlowCalNumber,0),1,1)*L605^INDEX(FlowCalConstB,MATCH(J600,FlowCalNumber,0),1,1)," ")</f>
        <v>#N/A</v>
      </c>
      <c r="N605" s="1224"/>
      <c r="O605" s="1217">
        <f t="shared" si="284"/>
        <v>1</v>
      </c>
      <c r="P605" s="1218" t="e">
        <f t="shared" ca="1" si="285"/>
        <v>#VALUE!</v>
      </c>
      <c r="Q605" s="1219" t="e">
        <f ca="1">IF(AND(INDEX(FlowCalConstA,MATCH(N600,FlowCalNumber,0),1,1)*P605^INDEX(FlowCalConstB,MATCH(N600,FlowCalNumber,0),1,1)&gt;INDEX(FlowCalLowSetting,MATCH(N600,FlowCalNumber,0),1,1), (INDEX(FlowCalConstA,MATCH(N600,FlowCalNumber,0),1,1)*P605^INDEX(FlowCalConstB,MATCH(N600,FlowCalNumber,0),1,1)&lt;INDEX(FlowCalHighSetting,MATCH(N600,FlowCalNumber,0),1,1))),INDEX(FlowCalConstA,MATCH(N600,FlowCalNumber,0),1,1)*P605^INDEX(FlowCalConstB,MATCH(N600,FlowCalNumber,0),1,1)," ")</f>
        <v>#N/A</v>
      </c>
      <c r="R605" s="1224"/>
      <c r="S605" s="1217">
        <f t="shared" si="286"/>
        <v>1</v>
      </c>
      <c r="T605" s="1218" t="e">
        <f t="shared" ca="1" si="287"/>
        <v>#VALUE!</v>
      </c>
      <c r="U605" s="1219" t="e">
        <f ca="1">IF(AND(INDEX(FlowCalConstA,MATCH(R600,FlowCalNumber,0),1,1)*T605^INDEX(FlowCalConstB,MATCH(R600,FlowCalNumber,0),1,1)&gt;INDEX(FlowCalLowSetting,MATCH(R600,FlowCalNumber,0),1,1), (INDEX(FlowCalConstA,MATCH(R600,FlowCalNumber,0),1,1)*T605^INDEX(FlowCalConstB,MATCH(R600,FlowCalNumber,0),1,1)&lt;INDEX(FlowCalHighSetting,MATCH(R600,FlowCalNumber,0),1,1))),INDEX(FlowCalConstA,MATCH(R600,FlowCalNumber,0),1,1)*T605^INDEX(FlowCalConstB,MATCH(R600,FlowCalNumber,0),1,1)," ")</f>
        <v>#N/A</v>
      </c>
      <c r="V605" s="1224"/>
      <c r="W605" s="1217"/>
      <c r="X605" s="1218"/>
      <c r="Y605" s="1219"/>
      <c r="Z605" s="1224"/>
      <c r="AA605" s="1217"/>
      <c r="AB605" s="1218"/>
      <c r="AC605" s="1219"/>
      <c r="AD605" s="1224"/>
      <c r="AE605" s="1217"/>
      <c r="AF605" s="1218"/>
      <c r="AG605" s="1219"/>
      <c r="AH605" s="1224"/>
      <c r="AI605" s="1217"/>
      <c r="AJ605" s="1218"/>
      <c r="AK605" s="1220"/>
      <c r="AL605" s="1219"/>
      <c r="AM605" s="1219"/>
      <c r="AN605" s="1219"/>
      <c r="AO605" s="1219"/>
      <c r="AP605" s="1219"/>
      <c r="AQ605" s="1219"/>
      <c r="AR605" s="1219"/>
      <c r="AS605" s="1219"/>
      <c r="AT605" s="1219"/>
      <c r="AU605" s="1219"/>
      <c r="AV605" s="1219"/>
      <c r="AW605" s="1219"/>
      <c r="AX605" s="1219"/>
      <c r="AY605" s="1219"/>
      <c r="AZ605" s="1219"/>
      <c r="BA605" s="1219"/>
      <c r="BB605" s="1219"/>
      <c r="BC605" s="1219"/>
      <c r="BD605" s="1219"/>
      <c r="BE605" s="1219"/>
      <c r="BF605" s="1219"/>
      <c r="BG605" s="1219"/>
      <c r="BH605" s="1219"/>
      <c r="BI605" s="1219"/>
      <c r="BJ605" s="1219"/>
      <c r="BK605" s="1219"/>
      <c r="BL605" s="1219"/>
      <c r="BM605" s="1219"/>
      <c r="BN605" s="1219"/>
      <c r="BO605" s="1219"/>
      <c r="BP605" s="1219"/>
      <c r="BQ605" s="1219"/>
      <c r="BR605" s="1219"/>
      <c r="BS605" s="1219"/>
      <c r="BU605" s="1217"/>
      <c r="BW605" s="1219"/>
      <c r="BY605" s="1217"/>
      <c r="CA605" s="1219"/>
      <c r="CC605" s="1217"/>
      <c r="CE605" s="1219"/>
      <c r="CG605" s="1217"/>
      <c r="CI605" s="1219"/>
    </row>
    <row r="606" spans="1:87">
      <c r="A606" s="20"/>
      <c r="B606" s="124" t="str">
        <f t="shared" si="280"/>
        <v/>
      </c>
      <c r="C606" s="235"/>
      <c r="D606" s="24">
        <f>'1% Wind'!$M$87</f>
        <v>13.5</v>
      </c>
      <c r="E606" s="90"/>
      <c r="F606" s="90"/>
      <c r="G606" s="79">
        <f ca="1">IF(I600=0.9743,$G605,MAX(G605/D605*D606,2))</f>
        <v>2</v>
      </c>
      <c r="H606" s="121" t="e">
        <f t="shared" ca="1" si="281"/>
        <v>#VALUE!</v>
      </c>
      <c r="J606" s="33"/>
      <c r="K606" s="242">
        <f t="shared" si="282"/>
        <v>1</v>
      </c>
      <c r="L606" s="241" t="e">
        <f t="shared" ca="1" si="283"/>
        <v>#VALUE!</v>
      </c>
      <c r="M606" s="243" t="e">
        <f ca="1">IF(AND(INDEX(FlowCalConstA,MATCH(J600,FlowCalNumber,0),1,1)*L606^INDEX(FlowCalConstB,MATCH(J600,FlowCalNumber,0),1,1)&gt;INDEX(FlowCalLowSetting,MATCH(J600,FlowCalNumber,0),1,1), (INDEX(FlowCalConstA,MATCH(J600,FlowCalNumber,0),1,1)*L606^INDEX(FlowCalConstB,MATCH(J600,FlowCalNumber,0),1,1)&lt;INDEX(FlowCalHighSetting,MATCH(J600,FlowCalNumber,0),1,1))),INDEX(FlowCalConstA,MATCH(J600,FlowCalNumber,0),1,1)*L606^INDEX(FlowCalConstB,MATCH(J600,FlowCalNumber,0),1,1)," ")</f>
        <v>#N/A</v>
      </c>
      <c r="N606" s="33"/>
      <c r="O606" s="242">
        <f t="shared" si="284"/>
        <v>1</v>
      </c>
      <c r="P606" s="241" t="e">
        <f t="shared" ca="1" si="285"/>
        <v>#VALUE!</v>
      </c>
      <c r="Q606" s="243" t="e">
        <f ca="1">IF(AND(INDEX(FlowCalConstA,MATCH(N600,FlowCalNumber,0),1,1)*P606^INDEX(FlowCalConstB,MATCH(N600,FlowCalNumber,0),1,1)&gt;INDEX(FlowCalLowSetting,MATCH(N600,FlowCalNumber,0),1,1), (INDEX(FlowCalConstA,MATCH(N600,FlowCalNumber,0),1,1)*P606^INDEX(FlowCalConstB,MATCH(N600,FlowCalNumber,0),1,1)&lt;INDEX(FlowCalHighSetting,MATCH(N600,FlowCalNumber,0),1,1))),INDEX(FlowCalConstA,MATCH(N600,FlowCalNumber,0),1,1)*P606^INDEX(FlowCalConstB,MATCH(N600,FlowCalNumber,0),1,1)," ")</f>
        <v>#N/A</v>
      </c>
      <c r="R606" s="33"/>
      <c r="S606" s="242">
        <f t="shared" si="286"/>
        <v>1</v>
      </c>
      <c r="T606" s="241" t="e">
        <f t="shared" ca="1" si="287"/>
        <v>#VALUE!</v>
      </c>
      <c r="U606" s="243" t="e">
        <f ca="1">IF(AND(INDEX(FlowCalConstA,MATCH(R600,FlowCalNumber,0),1,1)*T606^INDEX(FlowCalConstB,MATCH(R600,FlowCalNumber,0),1,1)&gt;INDEX(FlowCalLowSetting,MATCH(R600,FlowCalNumber,0),1,1), (INDEX(FlowCalConstA,MATCH(R600,FlowCalNumber,0),1,1)*T606^INDEX(FlowCalConstB,MATCH(R600,FlowCalNumber,0),1,1)&lt;INDEX(FlowCalHighSetting,MATCH(R600,FlowCalNumber,0),1,1))),INDEX(FlowCalConstA,MATCH(R600,FlowCalNumber,0),1,1)*T606^INDEX(FlowCalConstB,MATCH(R600,FlowCalNumber,0),1,1)," ")</f>
        <v>#N/A</v>
      </c>
      <c r="V606" s="33"/>
      <c r="W606" s="242"/>
      <c r="X606" s="241"/>
      <c r="Y606" s="243"/>
      <c r="Z606" s="33"/>
      <c r="AA606" s="242"/>
      <c r="AB606" s="241"/>
      <c r="AC606" s="243"/>
      <c r="AD606" s="33"/>
      <c r="AE606" s="242"/>
      <c r="AF606" s="241"/>
      <c r="AG606" s="243"/>
      <c r="AH606" s="33"/>
      <c r="AI606" s="242"/>
      <c r="AJ606" s="241"/>
      <c r="AK606" s="244"/>
      <c r="AL606" s="243"/>
      <c r="AM606" s="243"/>
      <c r="AN606" s="243"/>
      <c r="AO606" s="243"/>
      <c r="AP606" s="243"/>
      <c r="AQ606" s="243"/>
      <c r="AR606" s="243"/>
      <c r="AS606" s="243"/>
      <c r="AT606" s="243"/>
      <c r="AU606" s="243"/>
      <c r="AV606" s="243"/>
      <c r="AW606" s="243"/>
      <c r="AX606" s="243"/>
      <c r="AY606" s="243"/>
      <c r="AZ606" s="243"/>
      <c r="BA606" s="243"/>
      <c r="BB606" s="243"/>
      <c r="BC606" s="243"/>
      <c r="BD606" s="243"/>
      <c r="BE606" s="243"/>
      <c r="BF606" s="243"/>
      <c r="BG606" s="243"/>
      <c r="BH606" s="243"/>
      <c r="BI606" s="243"/>
      <c r="BJ606" s="243"/>
      <c r="BK606" s="243"/>
      <c r="BL606" s="243"/>
      <c r="BM606" s="243"/>
      <c r="BN606" s="243"/>
      <c r="BO606" s="243"/>
      <c r="BP606" s="243"/>
      <c r="BQ606" s="243"/>
      <c r="BR606" s="243"/>
      <c r="BS606" s="243"/>
      <c r="BU606" s="242"/>
      <c r="BW606" s="243"/>
      <c r="BY606" s="242"/>
      <c r="CA606" s="243"/>
      <c r="CC606" s="242"/>
      <c r="CE606" s="243"/>
      <c r="CG606" s="242"/>
      <c r="CI606" s="243"/>
    </row>
    <row r="607" spans="1:87" s="1215" customFormat="1">
      <c r="A607" s="1222"/>
      <c r="B607" s="1223" t="str">
        <f t="shared" si="280"/>
        <v/>
      </c>
      <c r="C607" s="1210"/>
      <c r="D607" s="1211">
        <f>'1% Wind'!$M$88</f>
        <v>10.1</v>
      </c>
      <c r="E607" s="1212"/>
      <c r="F607" s="1212"/>
      <c r="G607" s="1213">
        <f ca="1">IF(I600=0.9743,$G606,MAX(G606/D606*D607,2))</f>
        <v>2</v>
      </c>
      <c r="H607" s="1214" t="e">
        <f t="shared" ca="1" si="281"/>
        <v>#VALUE!</v>
      </c>
      <c r="J607" s="1224"/>
      <c r="K607" s="1217">
        <f t="shared" si="282"/>
        <v>1</v>
      </c>
      <c r="L607" s="1218" t="e">
        <f t="shared" ca="1" si="283"/>
        <v>#VALUE!</v>
      </c>
      <c r="M607" s="1219" t="e">
        <f ca="1">IF(AND(INDEX(FlowCalConstA,MATCH(J600,FlowCalNumber,0),1,1)*L607^INDEX(FlowCalConstB,MATCH(J600,FlowCalNumber,0),1,1)&gt;INDEX(FlowCalLowSetting,MATCH(J600,FlowCalNumber,0),1,1), (INDEX(FlowCalConstA,MATCH(J600,FlowCalNumber,0),1,1)*L607^INDEX(FlowCalConstB,MATCH(J600,FlowCalNumber,0),1,1)&lt;INDEX(FlowCalHighSetting,MATCH(J600,FlowCalNumber,0),1,1))),INDEX(FlowCalConstA,MATCH(J600,FlowCalNumber,0),1,1)*L607^INDEX(FlowCalConstB,MATCH(J600,FlowCalNumber,0),1,1)," ")</f>
        <v>#N/A</v>
      </c>
      <c r="N607" s="1224"/>
      <c r="O607" s="1217">
        <f t="shared" si="284"/>
        <v>1</v>
      </c>
      <c r="P607" s="1218" t="e">
        <f t="shared" ca="1" si="285"/>
        <v>#VALUE!</v>
      </c>
      <c r="Q607" s="1219" t="e">
        <f ca="1">IF(AND(INDEX(FlowCalConstA,MATCH(N600,FlowCalNumber,0),1,1)*P607^INDEX(FlowCalConstB,MATCH(N600,FlowCalNumber,0),1,1)&gt;INDEX(FlowCalLowSetting,MATCH(N600,FlowCalNumber,0),1,1), (INDEX(FlowCalConstA,MATCH(N600,FlowCalNumber,0),1,1)*P607^INDEX(FlowCalConstB,MATCH(N600,FlowCalNumber,0),1,1)&lt;INDEX(FlowCalHighSetting,MATCH(N600,FlowCalNumber,0),1,1))),INDEX(FlowCalConstA,MATCH(N600,FlowCalNumber,0),1,1)*P607^INDEX(FlowCalConstB,MATCH(N600,FlowCalNumber,0),1,1)," ")</f>
        <v>#N/A</v>
      </c>
      <c r="R607" s="1224"/>
      <c r="S607" s="1217">
        <f t="shared" si="286"/>
        <v>1</v>
      </c>
      <c r="T607" s="1218" t="e">
        <f t="shared" ca="1" si="287"/>
        <v>#VALUE!</v>
      </c>
      <c r="U607" s="1219" t="e">
        <f ca="1">IF(AND(INDEX(FlowCalConstA,MATCH(R600,FlowCalNumber,0),1,1)*T607^INDEX(FlowCalConstB,MATCH(R600,FlowCalNumber,0),1,1)&gt;INDEX(FlowCalLowSetting,MATCH(R600,FlowCalNumber,0),1,1), (INDEX(FlowCalConstA,MATCH(R600,FlowCalNumber,0),1,1)*T607^INDEX(FlowCalConstB,MATCH(R600,FlowCalNumber,0),1,1)&lt;INDEX(FlowCalHighSetting,MATCH(R600,FlowCalNumber,0),1,1))),INDEX(FlowCalConstA,MATCH(R600,FlowCalNumber,0),1,1)*T607^INDEX(FlowCalConstB,MATCH(R600,FlowCalNumber,0),1,1)," ")</f>
        <v>#N/A</v>
      </c>
      <c r="V607" s="1224"/>
      <c r="W607" s="1217"/>
      <c r="X607" s="1218"/>
      <c r="Y607" s="1219"/>
      <c r="Z607" s="1224"/>
      <c r="AA607" s="1217"/>
      <c r="AB607" s="1218"/>
      <c r="AC607" s="1219"/>
      <c r="AD607" s="1224"/>
      <c r="AE607" s="1217"/>
      <c r="AF607" s="1218"/>
      <c r="AG607" s="1219"/>
      <c r="AH607" s="1224"/>
      <c r="AI607" s="1217"/>
      <c r="AJ607" s="1218"/>
      <c r="AK607" s="1220"/>
      <c r="AL607" s="1219"/>
      <c r="AM607" s="1219"/>
      <c r="AN607" s="1219"/>
      <c r="AO607" s="1219"/>
      <c r="AP607" s="1219"/>
      <c r="AQ607" s="1219"/>
      <c r="AR607" s="1219"/>
      <c r="AS607" s="1219"/>
      <c r="AT607" s="1219"/>
      <c r="AU607" s="1219"/>
      <c r="AV607" s="1219"/>
      <c r="AW607" s="1219"/>
      <c r="AX607" s="1219"/>
      <c r="AY607" s="1219"/>
      <c r="AZ607" s="1219"/>
      <c r="BA607" s="1219"/>
      <c r="BB607" s="1219"/>
      <c r="BC607" s="1219"/>
      <c r="BD607" s="1219"/>
      <c r="BE607" s="1219"/>
      <c r="BF607" s="1219"/>
      <c r="BG607" s="1219"/>
      <c r="BH607" s="1219"/>
      <c r="BI607" s="1219"/>
      <c r="BJ607" s="1219"/>
      <c r="BK607" s="1219"/>
      <c r="BL607" s="1219"/>
      <c r="BM607" s="1219"/>
      <c r="BN607" s="1219"/>
      <c r="BO607" s="1219"/>
      <c r="BP607" s="1219"/>
      <c r="BQ607" s="1219"/>
      <c r="BR607" s="1219"/>
      <c r="BS607" s="1219"/>
      <c r="BU607" s="1217"/>
      <c r="BW607" s="1219"/>
      <c r="BY607" s="1217"/>
      <c r="CA607" s="1219"/>
      <c r="CC607" s="1217"/>
      <c r="CE607" s="1219"/>
      <c r="CG607" s="1217"/>
      <c r="CI607" s="1219"/>
    </row>
    <row r="608" spans="1:87">
      <c r="A608" s="20"/>
      <c r="B608" s="124" t="str">
        <f t="shared" si="280"/>
        <v/>
      </c>
      <c r="C608" s="235"/>
      <c r="D608" s="24">
        <f>'1% Wind'!$M$89</f>
        <v>7.6</v>
      </c>
      <c r="E608" s="90"/>
      <c r="F608" s="90"/>
      <c r="G608" s="79">
        <f ca="1">IF(I600=0.9743,$G607,MAX(G607/D607*D608,2))</f>
        <v>2</v>
      </c>
      <c r="H608" s="121" t="e">
        <f t="shared" ca="1" si="281"/>
        <v>#VALUE!</v>
      </c>
      <c r="J608" s="33"/>
      <c r="K608" s="242">
        <f t="shared" si="282"/>
        <v>1</v>
      </c>
      <c r="L608" s="241" t="e">
        <f t="shared" ca="1" si="283"/>
        <v>#VALUE!</v>
      </c>
      <c r="M608" s="243" t="e">
        <f ca="1">IF(AND(INDEX(FlowCalConstA,MATCH(J600,FlowCalNumber,0),1,1)*L608^INDEX(FlowCalConstB,MATCH(J600,FlowCalNumber,0),1,1)&gt;INDEX(FlowCalLowSetting,MATCH(J600,FlowCalNumber,0),1,1), (INDEX(FlowCalConstA,MATCH(J600,FlowCalNumber,0),1,1)*L608^INDEX(FlowCalConstB,MATCH(J600,FlowCalNumber,0),1,1)&lt;INDEX(FlowCalHighSetting,MATCH(J600,FlowCalNumber,0),1,1))),INDEX(FlowCalConstA,MATCH(J600,FlowCalNumber,0),1,1)*L608^INDEX(FlowCalConstB,MATCH(J600,FlowCalNumber,0),1,1)," ")</f>
        <v>#N/A</v>
      </c>
      <c r="N608" s="33"/>
      <c r="O608" s="242">
        <f t="shared" si="284"/>
        <v>1</v>
      </c>
      <c r="P608" s="241" t="e">
        <f t="shared" ca="1" si="285"/>
        <v>#VALUE!</v>
      </c>
      <c r="Q608" s="243" t="e">
        <f ca="1">IF(AND(INDEX(FlowCalConstA,MATCH(N600,FlowCalNumber,0),1,1)*P608^INDEX(FlowCalConstB,MATCH(N600,FlowCalNumber,0),1,1)&gt;INDEX(FlowCalLowSetting,MATCH(N600,FlowCalNumber,0),1,1), (INDEX(FlowCalConstA,MATCH(N600,FlowCalNumber,0),1,1)*P608^INDEX(FlowCalConstB,MATCH(N600,FlowCalNumber,0),1,1)&lt;INDEX(FlowCalHighSetting,MATCH(N600,FlowCalNumber,0),1,1))),INDEX(FlowCalConstA,MATCH(N600,FlowCalNumber,0),1,1)*P608^INDEX(FlowCalConstB,MATCH(N600,FlowCalNumber,0),1,1)," ")</f>
        <v>#N/A</v>
      </c>
      <c r="R608" s="33"/>
      <c r="S608" s="242">
        <f t="shared" si="286"/>
        <v>1</v>
      </c>
      <c r="T608" s="241" t="e">
        <f t="shared" ca="1" si="287"/>
        <v>#VALUE!</v>
      </c>
      <c r="U608" s="243" t="e">
        <f ca="1">IF(AND(INDEX(FlowCalConstA,MATCH(R600,FlowCalNumber,0),1,1)*T608^INDEX(FlowCalConstB,MATCH(R600,FlowCalNumber,0),1,1)&gt;INDEX(FlowCalLowSetting,MATCH(R600,FlowCalNumber,0),1,1), (INDEX(FlowCalConstA,MATCH(R600,FlowCalNumber,0),1,1)*T608^INDEX(FlowCalConstB,MATCH(R600,FlowCalNumber,0),1,1)&lt;INDEX(FlowCalHighSetting,MATCH(R600,FlowCalNumber,0),1,1))),INDEX(FlowCalConstA,MATCH(R600,FlowCalNumber,0),1,1)*T608^INDEX(FlowCalConstB,MATCH(R600,FlowCalNumber,0),1,1)," ")</f>
        <v>#N/A</v>
      </c>
      <c r="V608" s="33"/>
      <c r="W608" s="242"/>
      <c r="X608" s="241"/>
      <c r="Y608" s="243"/>
      <c r="Z608" s="33"/>
      <c r="AA608" s="242"/>
      <c r="AB608" s="241"/>
      <c r="AC608" s="243"/>
      <c r="AD608" s="33"/>
      <c r="AE608" s="242"/>
      <c r="AF608" s="241"/>
      <c r="AG608" s="243"/>
      <c r="AH608" s="33"/>
      <c r="AI608" s="242"/>
      <c r="AJ608" s="241"/>
      <c r="AK608" s="244"/>
      <c r="AL608" s="243"/>
      <c r="AM608" s="243"/>
      <c r="AN608" s="243"/>
      <c r="AO608" s="243"/>
      <c r="AP608" s="243"/>
      <c r="AQ608" s="243"/>
      <c r="AR608" s="243"/>
      <c r="AS608" s="243"/>
      <c r="AT608" s="243"/>
      <c r="AU608" s="243"/>
      <c r="AV608" s="243"/>
      <c r="AW608" s="243"/>
      <c r="AX608" s="243"/>
      <c r="AY608" s="243"/>
      <c r="AZ608" s="243"/>
      <c r="BA608" s="243"/>
      <c r="BB608" s="243"/>
      <c r="BC608" s="243"/>
      <c r="BD608" s="243"/>
      <c r="BE608" s="243"/>
      <c r="BF608" s="243"/>
      <c r="BG608" s="243"/>
      <c r="BH608" s="243"/>
      <c r="BI608" s="243"/>
      <c r="BJ608" s="243"/>
      <c r="BK608" s="243"/>
      <c r="BL608" s="243"/>
      <c r="BM608" s="243"/>
      <c r="BN608" s="243"/>
      <c r="BO608" s="243"/>
      <c r="BP608" s="243"/>
      <c r="BQ608" s="243"/>
      <c r="BR608" s="243"/>
      <c r="BS608" s="243"/>
      <c r="BU608" s="242"/>
      <c r="BW608" s="243"/>
      <c r="BY608" s="242"/>
      <c r="CA608" s="243"/>
      <c r="CC608" s="242"/>
      <c r="CE608" s="243"/>
      <c r="CG608" s="242"/>
      <c r="CI608" s="243"/>
    </row>
    <row r="609" spans="1:87" s="1215" customFormat="1">
      <c r="A609" s="1222"/>
      <c r="B609" s="1223" t="str">
        <f t="shared" si="280"/>
        <v/>
      </c>
      <c r="C609" s="1210"/>
      <c r="D609" s="1211">
        <f>'1% Wind'!$M$90</f>
        <v>5.7</v>
      </c>
      <c r="E609" s="1212"/>
      <c r="F609" s="1212"/>
      <c r="G609" s="1213">
        <f ca="1">IF(I600=0.9743,$G608,MAX(G608/D608*D609,2))</f>
        <v>2</v>
      </c>
      <c r="H609" s="1214" t="e">
        <f t="shared" ca="1" si="281"/>
        <v>#VALUE!</v>
      </c>
      <c r="J609" s="1224"/>
      <c r="K609" s="1217">
        <f t="shared" si="282"/>
        <v>1</v>
      </c>
      <c r="L609" s="1218" t="e">
        <f t="shared" ca="1" si="283"/>
        <v>#VALUE!</v>
      </c>
      <c r="M609" s="1219" t="e">
        <f ca="1">IF(AND(INDEX(FlowCalConstA,MATCH(J600,FlowCalNumber,0),1,1)*L609^INDEX(FlowCalConstB,MATCH(J600,FlowCalNumber,0),1,1)&gt;INDEX(FlowCalLowSetting,MATCH(J600,FlowCalNumber,0),1,1), (INDEX(FlowCalConstA,MATCH(J600,FlowCalNumber,0),1,1)*L609^INDEX(FlowCalConstB,MATCH(J600,FlowCalNumber,0),1,1)&lt;INDEX(FlowCalHighSetting,MATCH(J600,FlowCalNumber,0),1,1))),INDEX(FlowCalConstA,MATCH(J600,FlowCalNumber,0),1,1)*L609^INDEX(FlowCalConstB,MATCH(J600,FlowCalNumber,0),1,1)," ")</f>
        <v>#N/A</v>
      </c>
      <c r="N609" s="1224"/>
      <c r="O609" s="1217">
        <f t="shared" si="284"/>
        <v>1</v>
      </c>
      <c r="P609" s="1218" t="e">
        <f t="shared" ca="1" si="285"/>
        <v>#VALUE!</v>
      </c>
      <c r="Q609" s="1219" t="e">
        <f ca="1">IF(AND(INDEX(FlowCalConstA,MATCH(N600,FlowCalNumber,0),1,1)*P609^INDEX(FlowCalConstB,MATCH(N600,FlowCalNumber,0),1,1)&gt;INDEX(FlowCalLowSetting,MATCH(N600,FlowCalNumber,0),1,1), (INDEX(FlowCalConstA,MATCH(N600,FlowCalNumber,0),1,1)*P609^INDEX(FlowCalConstB,MATCH(N600,FlowCalNumber,0),1,1)&lt;INDEX(FlowCalHighSetting,MATCH(N600,FlowCalNumber,0),1,1))),INDEX(FlowCalConstA,MATCH(N600,FlowCalNumber,0),1,1)*P609^INDEX(FlowCalConstB,MATCH(N600,FlowCalNumber,0),1,1)," ")</f>
        <v>#N/A</v>
      </c>
      <c r="R609" s="1224"/>
      <c r="S609" s="1217">
        <f t="shared" si="286"/>
        <v>1</v>
      </c>
      <c r="T609" s="1218" t="e">
        <f t="shared" ca="1" si="287"/>
        <v>#VALUE!</v>
      </c>
      <c r="U609" s="1219" t="e">
        <f ca="1">IF(AND(INDEX(FlowCalConstA,MATCH(R600,FlowCalNumber,0),1,1)*T609^INDEX(FlowCalConstB,MATCH(R600,FlowCalNumber,0),1,1)&gt;INDEX(FlowCalLowSetting,MATCH(R600,FlowCalNumber,0),1,1), (INDEX(FlowCalConstA,MATCH(R600,FlowCalNumber,0),1,1)*T609^INDEX(FlowCalConstB,MATCH(R600,FlowCalNumber,0),1,1)&lt;INDEX(FlowCalHighSetting,MATCH(R600,FlowCalNumber,0),1,1))),INDEX(FlowCalConstA,MATCH(R600,FlowCalNumber,0),1,1)*T609^INDEX(FlowCalConstB,MATCH(R600,FlowCalNumber,0),1,1)," ")</f>
        <v>#N/A</v>
      </c>
      <c r="V609" s="1224"/>
      <c r="W609" s="1217"/>
      <c r="X609" s="1218"/>
      <c r="Y609" s="1219"/>
      <c r="Z609" s="1224"/>
      <c r="AA609" s="1217"/>
      <c r="AB609" s="1218"/>
      <c r="AC609" s="1219"/>
      <c r="AD609" s="1224"/>
      <c r="AE609" s="1217"/>
      <c r="AF609" s="1218"/>
      <c r="AG609" s="1219"/>
      <c r="AH609" s="1224"/>
      <c r="AI609" s="1217"/>
      <c r="AJ609" s="1218"/>
      <c r="AK609" s="1220"/>
      <c r="AL609" s="1219"/>
      <c r="AM609" s="1219"/>
      <c r="AN609" s="1219"/>
      <c r="AO609" s="1219"/>
      <c r="AP609" s="1219"/>
      <c r="AQ609" s="1219"/>
      <c r="AR609" s="1219"/>
      <c r="AS609" s="1219"/>
      <c r="AT609" s="1219"/>
      <c r="AU609" s="1219"/>
      <c r="AV609" s="1219"/>
      <c r="AW609" s="1219"/>
      <c r="AX609" s="1219"/>
      <c r="AY609" s="1219"/>
      <c r="AZ609" s="1219"/>
      <c r="BA609" s="1219"/>
      <c r="BB609" s="1219"/>
      <c r="BC609" s="1219"/>
      <c r="BD609" s="1219"/>
      <c r="BE609" s="1219"/>
      <c r="BF609" s="1219"/>
      <c r="BG609" s="1219"/>
      <c r="BH609" s="1219"/>
      <c r="BI609" s="1219"/>
      <c r="BJ609" s="1219"/>
      <c r="BK609" s="1219"/>
      <c r="BL609" s="1219"/>
      <c r="BM609" s="1219"/>
      <c r="BN609" s="1219"/>
      <c r="BO609" s="1219"/>
      <c r="BP609" s="1219"/>
      <c r="BQ609" s="1219"/>
      <c r="BR609" s="1219"/>
      <c r="BS609" s="1219"/>
      <c r="BU609" s="1217"/>
      <c r="BW609" s="1219"/>
      <c r="BY609" s="1217"/>
      <c r="CA609" s="1219"/>
      <c r="CC609" s="1217"/>
      <c r="CE609" s="1219"/>
      <c r="CG609" s="1217"/>
      <c r="CI609" s="1219"/>
    </row>
    <row r="610" spans="1:87">
      <c r="A610" s="20"/>
      <c r="B610" s="124" t="str">
        <f t="shared" si="280"/>
        <v/>
      </c>
      <c r="C610" s="235"/>
      <c r="D610" s="24">
        <f>'1% Wind'!$M$91</f>
        <v>4.2</v>
      </c>
      <c r="E610" s="90"/>
      <c r="F610" s="90"/>
      <c r="G610" s="79">
        <f ca="1">IF(I600=0.9743,$G609,MAX(G609/D609*D610,2))</f>
        <v>2</v>
      </c>
      <c r="H610" s="121" t="e">
        <f t="shared" ca="1" si="281"/>
        <v>#VALUE!</v>
      </c>
      <c r="J610" s="33"/>
      <c r="K610" s="242">
        <f t="shared" si="282"/>
        <v>1</v>
      </c>
      <c r="L610" s="241" t="e">
        <f t="shared" ca="1" si="283"/>
        <v>#VALUE!</v>
      </c>
      <c r="M610" s="243" t="e">
        <f ca="1">IF(AND(INDEX(FlowCalConstA,MATCH(J600,FlowCalNumber,0),1,1)*L610^INDEX(FlowCalConstB,MATCH(J600,FlowCalNumber,0),1,1)&gt;INDEX(FlowCalLowSetting,MATCH(J600,FlowCalNumber,0),1,1), (INDEX(FlowCalConstA,MATCH(J600,FlowCalNumber,0),1,1)*L610^INDEX(FlowCalConstB,MATCH(J600,FlowCalNumber,0),1,1)&lt;INDEX(FlowCalHighSetting,MATCH(J600,FlowCalNumber,0),1,1))),INDEX(FlowCalConstA,MATCH(J600,FlowCalNumber,0),1,1)*L610^INDEX(FlowCalConstB,MATCH(J600,FlowCalNumber,0),1,1)," ")</f>
        <v>#N/A</v>
      </c>
      <c r="N610" s="33"/>
      <c r="O610" s="242">
        <f t="shared" si="284"/>
        <v>1</v>
      </c>
      <c r="P610" s="241" t="e">
        <f t="shared" ca="1" si="285"/>
        <v>#VALUE!</v>
      </c>
      <c r="Q610" s="243" t="e">
        <f ca="1">IF(AND(INDEX(FlowCalConstA,MATCH(N600,FlowCalNumber,0),1,1)*P610^INDEX(FlowCalConstB,MATCH(N600,FlowCalNumber,0),1,1)&gt;INDEX(FlowCalLowSetting,MATCH(N600,FlowCalNumber,0),1,1), (INDEX(FlowCalConstA,MATCH(N600,FlowCalNumber,0),1,1)*P610^INDEX(FlowCalConstB,MATCH(N600,FlowCalNumber,0),1,1)&lt;INDEX(FlowCalHighSetting,MATCH(N600,FlowCalNumber,0),1,1))),INDEX(FlowCalConstA,MATCH(N600,FlowCalNumber,0),1,1)*P610^INDEX(FlowCalConstB,MATCH(N600,FlowCalNumber,0),1,1)," ")</f>
        <v>#N/A</v>
      </c>
      <c r="R610" s="33"/>
      <c r="S610" s="242">
        <f t="shared" si="286"/>
        <v>1</v>
      </c>
      <c r="T610" s="241" t="e">
        <f t="shared" ca="1" si="287"/>
        <v>#VALUE!</v>
      </c>
      <c r="U610" s="243" t="e">
        <f ca="1">IF(AND(INDEX(FlowCalConstA,MATCH(R600,FlowCalNumber,0),1,1)*T610^INDEX(FlowCalConstB,MATCH(R600,FlowCalNumber,0),1,1)&gt;INDEX(FlowCalLowSetting,MATCH(R600,FlowCalNumber,0),1,1), (INDEX(FlowCalConstA,MATCH(R600,FlowCalNumber,0),1,1)*T610^INDEX(FlowCalConstB,MATCH(R600,FlowCalNumber,0),1,1)&lt;INDEX(FlowCalHighSetting,MATCH(R600,FlowCalNumber,0),1,1))),INDEX(FlowCalConstA,MATCH(R600,FlowCalNumber,0),1,1)*T610^INDEX(FlowCalConstB,MATCH(R600,FlowCalNumber,0),1,1)," ")</f>
        <v>#N/A</v>
      </c>
      <c r="V610" s="33"/>
      <c r="W610" s="242"/>
      <c r="X610" s="241"/>
      <c r="Y610" s="243"/>
      <c r="Z610" s="33"/>
      <c r="AA610" s="242"/>
      <c r="AB610" s="241"/>
      <c r="AC610" s="243"/>
      <c r="AD610" s="33"/>
      <c r="AE610" s="242"/>
      <c r="AF610" s="241"/>
      <c r="AG610" s="243"/>
      <c r="AH610" s="33"/>
      <c r="AI610" s="242"/>
      <c r="AJ610" s="241"/>
      <c r="AK610" s="244"/>
      <c r="AL610" s="243"/>
      <c r="AM610" s="243"/>
      <c r="AN610" s="243"/>
      <c r="AO610" s="243"/>
      <c r="AP610" s="243"/>
      <c r="AQ610" s="243"/>
      <c r="AR610" s="243"/>
      <c r="AS610" s="243"/>
      <c r="AT610" s="243"/>
      <c r="AU610" s="243"/>
      <c r="AV610" s="243"/>
      <c r="AW610" s="243"/>
      <c r="AX610" s="243"/>
      <c r="AY610" s="243"/>
      <c r="AZ610" s="243"/>
      <c r="BA610" s="243"/>
      <c r="BB610" s="243"/>
      <c r="BC610" s="243"/>
      <c r="BD610" s="243"/>
      <c r="BE610" s="243"/>
      <c r="BF610" s="243"/>
      <c r="BG610" s="243"/>
      <c r="BH610" s="243"/>
      <c r="BI610" s="243"/>
      <c r="BJ610" s="243"/>
      <c r="BK610" s="243"/>
      <c r="BL610" s="243"/>
      <c r="BM610" s="243"/>
      <c r="BN610" s="243"/>
      <c r="BO610" s="243"/>
      <c r="BP610" s="243"/>
      <c r="BQ610" s="243"/>
      <c r="BR610" s="243"/>
      <c r="BS610" s="243"/>
      <c r="BU610" s="242"/>
      <c r="BW610" s="243"/>
      <c r="BY610" s="242"/>
      <c r="CA610" s="243"/>
      <c r="CC610" s="242"/>
      <c r="CE610" s="243"/>
      <c r="CG610" s="242"/>
      <c r="CI610" s="243"/>
    </row>
    <row r="611" spans="1:87" s="1215" customFormat="1">
      <c r="A611" s="1222"/>
      <c r="B611" s="1223" t="str">
        <f t="shared" si="280"/>
        <v/>
      </c>
      <c r="C611" s="1210"/>
      <c r="D611" s="1211">
        <f>'1% Wind'!$M$92</f>
        <v>3.2</v>
      </c>
      <c r="E611" s="1212"/>
      <c r="F611" s="1212"/>
      <c r="G611" s="1213">
        <f ca="1">IF(I600=0.9743,$G610,MAX(G610/D610*D611,2))</f>
        <v>2</v>
      </c>
      <c r="H611" s="1214" t="e">
        <f t="shared" ca="1" si="281"/>
        <v>#VALUE!</v>
      </c>
      <c r="J611" s="1224"/>
      <c r="K611" s="1217">
        <f t="shared" si="282"/>
        <v>1</v>
      </c>
      <c r="L611" s="1218" t="e">
        <f t="shared" ca="1" si="283"/>
        <v>#VALUE!</v>
      </c>
      <c r="M611" s="1219" t="e">
        <f ca="1">IF(AND(INDEX(FlowCalConstA,MATCH(J600,FlowCalNumber,0),1,1)*L611^INDEX(FlowCalConstB,MATCH(J600,FlowCalNumber,0),1,1)&gt;INDEX(FlowCalLowSetting,MATCH(J600,FlowCalNumber,0),1,1), (INDEX(FlowCalConstA,MATCH(J600,FlowCalNumber,0),1,1)*L611^INDEX(FlowCalConstB,MATCH(J600,FlowCalNumber,0),1,1)&lt;INDEX(FlowCalHighSetting,MATCH(J600,FlowCalNumber,0),1,1))),INDEX(FlowCalConstA,MATCH(J600,FlowCalNumber,0),1,1)*L611^INDEX(FlowCalConstB,MATCH(J600,FlowCalNumber,0),1,1)," ")</f>
        <v>#N/A</v>
      </c>
      <c r="N611" s="1224"/>
      <c r="O611" s="1217">
        <f t="shared" si="284"/>
        <v>1</v>
      </c>
      <c r="P611" s="1218" t="e">
        <f t="shared" ca="1" si="285"/>
        <v>#VALUE!</v>
      </c>
      <c r="Q611" s="1219" t="e">
        <f ca="1">IF(AND(INDEX(FlowCalConstA,MATCH(N600,FlowCalNumber,0),1,1)*P611^INDEX(FlowCalConstB,MATCH(N600,FlowCalNumber,0),1,1)&gt;INDEX(FlowCalLowSetting,MATCH(N600,FlowCalNumber,0),1,1), (INDEX(FlowCalConstA,MATCH(N600,FlowCalNumber,0),1,1)*P611^INDEX(FlowCalConstB,MATCH(N600,FlowCalNumber,0),1,1)&lt;INDEX(FlowCalHighSetting,MATCH(N600,FlowCalNumber,0),1,1))),INDEX(FlowCalConstA,MATCH(N600,FlowCalNumber,0),1,1)*P611^INDEX(FlowCalConstB,MATCH(N600,FlowCalNumber,0),1,1)," ")</f>
        <v>#N/A</v>
      </c>
      <c r="R611" s="1224"/>
      <c r="S611" s="1217">
        <f t="shared" si="286"/>
        <v>1</v>
      </c>
      <c r="T611" s="1218" t="e">
        <f t="shared" ca="1" si="287"/>
        <v>#VALUE!</v>
      </c>
      <c r="U611" s="1219" t="e">
        <f ca="1">IF(AND(INDEX(FlowCalConstA,MATCH(R600,FlowCalNumber,0),1,1)*T611^INDEX(FlowCalConstB,MATCH(R600,FlowCalNumber,0),1,1)&gt;INDEX(FlowCalLowSetting,MATCH(R600,FlowCalNumber,0),1,1), (INDEX(FlowCalConstA,MATCH(R600,FlowCalNumber,0),1,1)*T611^INDEX(FlowCalConstB,MATCH(R600,FlowCalNumber,0),1,1)&lt;INDEX(FlowCalHighSetting,MATCH(R600,FlowCalNumber,0),1,1))),INDEX(FlowCalConstA,MATCH(R600,FlowCalNumber,0),1,1)*T611^INDEX(FlowCalConstB,MATCH(R600,FlowCalNumber,0),1,1)," ")</f>
        <v>#N/A</v>
      </c>
      <c r="V611" s="1224"/>
      <c r="W611" s="1217"/>
      <c r="X611" s="1218"/>
      <c r="Y611" s="1219"/>
      <c r="Z611" s="1224"/>
      <c r="AA611" s="1217"/>
      <c r="AB611" s="1218"/>
      <c r="AC611" s="1219"/>
      <c r="AD611" s="1224"/>
      <c r="AE611" s="1217"/>
      <c r="AF611" s="1218"/>
      <c r="AG611" s="1219"/>
      <c r="AH611" s="1224"/>
      <c r="AI611" s="1217"/>
      <c r="AJ611" s="1218"/>
      <c r="AK611" s="1220"/>
      <c r="AL611" s="1219"/>
      <c r="AM611" s="1219"/>
      <c r="AN611" s="1219"/>
      <c r="AO611" s="1219"/>
      <c r="AP611" s="1219"/>
      <c r="AQ611" s="1219"/>
      <c r="AR611" s="1219"/>
      <c r="AS611" s="1219"/>
      <c r="AT611" s="1219"/>
      <c r="AU611" s="1219"/>
      <c r="AV611" s="1219"/>
      <c r="AW611" s="1219"/>
      <c r="AX611" s="1219"/>
      <c r="AY611" s="1219"/>
      <c r="AZ611" s="1219"/>
      <c r="BA611" s="1219"/>
      <c r="BB611" s="1219"/>
      <c r="BC611" s="1219"/>
      <c r="BD611" s="1219"/>
      <c r="BE611" s="1219"/>
      <c r="BF611" s="1219"/>
      <c r="BG611" s="1219"/>
      <c r="BH611" s="1219"/>
      <c r="BI611" s="1219"/>
      <c r="BJ611" s="1219"/>
      <c r="BK611" s="1219"/>
      <c r="BL611" s="1219"/>
      <c r="BM611" s="1219"/>
      <c r="BN611" s="1219"/>
      <c r="BO611" s="1219"/>
      <c r="BP611" s="1219"/>
      <c r="BQ611" s="1219"/>
      <c r="BR611" s="1219"/>
      <c r="BS611" s="1219"/>
      <c r="BU611" s="1217"/>
      <c r="BW611" s="1219"/>
      <c r="BY611" s="1217"/>
      <c r="CA611" s="1219"/>
      <c r="CC611" s="1217"/>
      <c r="CE611" s="1219"/>
      <c r="CG611" s="1217"/>
      <c r="CI611" s="1219"/>
    </row>
    <row r="612" spans="1:87">
      <c r="A612" s="20"/>
      <c r="B612" s="124" t="str">
        <f t="shared" si="280"/>
        <v/>
      </c>
      <c r="C612" s="235"/>
      <c r="D612" s="24">
        <f>'1% Wind'!$M$93</f>
        <v>2.4</v>
      </c>
      <c r="E612" s="90"/>
      <c r="F612" s="90"/>
      <c r="G612" s="79">
        <f ca="1">IF(I600=0.9743,$G611,MAX(G611/D611*D612,2))</f>
        <v>2</v>
      </c>
      <c r="H612" s="121" t="e">
        <f t="shared" ca="1" si="281"/>
        <v>#VALUE!</v>
      </c>
      <c r="J612" s="33"/>
      <c r="K612" s="242">
        <f t="shared" si="282"/>
        <v>1</v>
      </c>
      <c r="L612" s="241" t="e">
        <f t="shared" ca="1" si="283"/>
        <v>#VALUE!</v>
      </c>
      <c r="M612" s="243" t="e">
        <f ca="1">IF(AND(INDEX(FlowCalConstA,MATCH(J600,FlowCalNumber,0),1,1)*L612^INDEX(FlowCalConstB,MATCH(J600,FlowCalNumber,0),1,1)&gt;INDEX(FlowCalLowSetting,MATCH(J600,FlowCalNumber,0),1,1), (INDEX(FlowCalConstA,MATCH(J600,FlowCalNumber,0),1,1)*L612^INDEX(FlowCalConstB,MATCH(J600,FlowCalNumber,0),1,1)&lt;INDEX(FlowCalHighSetting,MATCH(J600,FlowCalNumber,0),1,1))),INDEX(FlowCalConstA,MATCH(J600,FlowCalNumber,0),1,1)*L612^INDEX(FlowCalConstB,MATCH(J600,FlowCalNumber,0),1,1)," ")</f>
        <v>#N/A</v>
      </c>
      <c r="N612" s="33"/>
      <c r="O612" s="242">
        <f t="shared" si="284"/>
        <v>1</v>
      </c>
      <c r="P612" s="241" t="e">
        <f t="shared" ca="1" si="285"/>
        <v>#VALUE!</v>
      </c>
      <c r="Q612" s="243" t="e">
        <f ca="1">IF(AND(INDEX(FlowCalConstA,MATCH(N600,FlowCalNumber,0),1,1)*P612^INDEX(FlowCalConstB,MATCH(N600,FlowCalNumber,0),1,1)&gt;INDEX(FlowCalLowSetting,MATCH(N600,FlowCalNumber,0),1,1), (INDEX(FlowCalConstA,MATCH(N600,FlowCalNumber,0),1,1)*P612^INDEX(FlowCalConstB,MATCH(N600,FlowCalNumber,0),1,1)&lt;INDEX(FlowCalHighSetting,MATCH(N600,FlowCalNumber,0),1,1))),INDEX(FlowCalConstA,MATCH(N600,FlowCalNumber,0),1,1)*P612^INDEX(FlowCalConstB,MATCH(N600,FlowCalNumber,0),1,1)," ")</f>
        <v>#N/A</v>
      </c>
      <c r="R612" s="33"/>
      <c r="S612" s="242">
        <f t="shared" si="286"/>
        <v>1</v>
      </c>
      <c r="T612" s="241" t="e">
        <f t="shared" ca="1" si="287"/>
        <v>#VALUE!</v>
      </c>
      <c r="U612" s="243" t="e">
        <f ca="1">IF(AND(INDEX(FlowCalConstA,MATCH(R600,FlowCalNumber,0),1,1)*T612^INDEX(FlowCalConstB,MATCH(R600,FlowCalNumber,0),1,1)&gt;INDEX(FlowCalLowSetting,MATCH(R600,FlowCalNumber,0),1,1), (INDEX(FlowCalConstA,MATCH(R600,FlowCalNumber,0),1,1)*T612^INDEX(FlowCalConstB,MATCH(R600,FlowCalNumber,0),1,1)&lt;INDEX(FlowCalHighSetting,MATCH(R600,FlowCalNumber,0),1,1))),INDEX(FlowCalConstA,MATCH(R600,FlowCalNumber,0),1,1)*T612^INDEX(FlowCalConstB,MATCH(R600,FlowCalNumber,0),1,1)," ")</f>
        <v>#N/A</v>
      </c>
      <c r="V612" s="33"/>
      <c r="W612" s="242"/>
      <c r="X612" s="241"/>
      <c r="Y612" s="243"/>
      <c r="Z612" s="33"/>
      <c r="AA612" s="242"/>
      <c r="AB612" s="241"/>
      <c r="AC612" s="243"/>
      <c r="AD612" s="33"/>
      <c r="AE612" s="242"/>
      <c r="AF612" s="241"/>
      <c r="AG612" s="243"/>
      <c r="AH612" s="33"/>
      <c r="AI612" s="242"/>
      <c r="AJ612" s="241"/>
      <c r="AK612" s="244"/>
      <c r="AL612" s="243"/>
      <c r="AM612" s="243"/>
      <c r="AN612" s="243"/>
      <c r="AO612" s="243"/>
      <c r="AP612" s="243"/>
      <c r="AQ612" s="243"/>
      <c r="AR612" s="243"/>
      <c r="AS612" s="243"/>
      <c r="AT612" s="243"/>
      <c r="AU612" s="243"/>
      <c r="AV612" s="243"/>
      <c r="AW612" s="243"/>
      <c r="AX612" s="243"/>
      <c r="AY612" s="243"/>
      <c r="AZ612" s="243"/>
      <c r="BA612" s="243"/>
      <c r="BB612" s="243"/>
      <c r="BC612" s="243"/>
      <c r="BD612" s="243"/>
      <c r="BE612" s="243"/>
      <c r="BF612" s="243"/>
      <c r="BG612" s="243"/>
      <c r="BH612" s="243"/>
      <c r="BI612" s="243"/>
      <c r="BJ612" s="243"/>
      <c r="BK612" s="243"/>
      <c r="BL612" s="243"/>
      <c r="BM612" s="243"/>
      <c r="BN612" s="243"/>
      <c r="BO612" s="243"/>
      <c r="BP612" s="243"/>
      <c r="BQ612" s="243"/>
      <c r="BR612" s="243"/>
      <c r="BS612" s="243"/>
      <c r="BU612" s="242"/>
      <c r="BW612" s="243"/>
      <c r="BY612" s="242"/>
      <c r="CA612" s="243"/>
      <c r="CC612" s="242"/>
      <c r="CE612" s="243"/>
      <c r="CG612" s="242"/>
      <c r="CI612" s="243"/>
    </row>
    <row r="613" spans="1:87" s="1215" customFormat="1">
      <c r="A613" s="1222"/>
      <c r="B613" s="1223" t="str">
        <f t="shared" si="280"/>
        <v/>
      </c>
      <c r="C613" s="1210"/>
      <c r="D613" s="1211">
        <f>'1% Wind'!$M$94</f>
        <v>1.8</v>
      </c>
      <c r="E613" s="1212"/>
      <c r="F613" s="1212"/>
      <c r="G613" s="1213">
        <f ca="1">IF(I600=0.9743,$G612,MAX(G612/D612*D613,2))</f>
        <v>2</v>
      </c>
      <c r="H613" s="1214" t="e">
        <f t="shared" ca="1" si="281"/>
        <v>#VALUE!</v>
      </c>
      <c r="J613" s="1224"/>
      <c r="K613" s="1217">
        <f t="shared" si="282"/>
        <v>1</v>
      </c>
      <c r="L613" s="1218" t="e">
        <f t="shared" ca="1" si="283"/>
        <v>#VALUE!</v>
      </c>
      <c r="M613" s="1219" t="e">
        <f ca="1">IF(AND(INDEX(FlowCalConstA,MATCH(J600,FlowCalNumber,0),1,1)*L613^INDEX(FlowCalConstB,MATCH(J600,FlowCalNumber,0),1,1)&gt;INDEX(FlowCalLowSetting,MATCH(J600,FlowCalNumber,0),1,1), (INDEX(FlowCalConstA,MATCH(J600,FlowCalNumber,0),1,1)*L613^INDEX(FlowCalConstB,MATCH(J600,FlowCalNumber,0),1,1)&lt;INDEX(FlowCalHighSetting,MATCH(J600,FlowCalNumber,0),1,1))),INDEX(FlowCalConstA,MATCH(J600,FlowCalNumber,0),1,1)*L613^INDEX(FlowCalConstB,MATCH(J600,FlowCalNumber,0),1,1)," ")</f>
        <v>#N/A</v>
      </c>
      <c r="N613" s="1224"/>
      <c r="O613" s="1217">
        <f t="shared" si="284"/>
        <v>1</v>
      </c>
      <c r="P613" s="1218" t="e">
        <f t="shared" ca="1" si="285"/>
        <v>#VALUE!</v>
      </c>
      <c r="Q613" s="1219" t="e">
        <f ca="1">IF(AND(INDEX(FlowCalConstA,MATCH(N600,FlowCalNumber,0),1,1)*P613^INDEX(FlowCalConstB,MATCH(N600,FlowCalNumber,0),1,1)&gt;INDEX(FlowCalLowSetting,MATCH(N600,FlowCalNumber,0),1,1), (INDEX(FlowCalConstA,MATCH(N600,FlowCalNumber,0),1,1)*P613^INDEX(FlowCalConstB,MATCH(N600,FlowCalNumber,0),1,1)&lt;INDEX(FlowCalHighSetting,MATCH(N600,FlowCalNumber,0),1,1))),INDEX(FlowCalConstA,MATCH(N600,FlowCalNumber,0),1,1)*P613^INDEX(FlowCalConstB,MATCH(N600,FlowCalNumber,0),1,1)," ")</f>
        <v>#N/A</v>
      </c>
      <c r="R613" s="1224"/>
      <c r="S613" s="1217">
        <f t="shared" si="286"/>
        <v>1</v>
      </c>
      <c r="T613" s="1218" t="e">
        <f t="shared" ca="1" si="287"/>
        <v>#VALUE!</v>
      </c>
      <c r="U613" s="1219" t="e">
        <f ca="1">IF(AND(INDEX(FlowCalConstA,MATCH(R600,FlowCalNumber,0),1,1)*T613^INDEX(FlowCalConstB,MATCH(R600,FlowCalNumber,0),1,1)&gt;INDEX(FlowCalLowSetting,MATCH(R600,FlowCalNumber,0),1,1), (INDEX(FlowCalConstA,MATCH(R600,FlowCalNumber,0),1,1)*T613^INDEX(FlowCalConstB,MATCH(R600,FlowCalNumber,0),1,1)&lt;INDEX(FlowCalHighSetting,MATCH(R600,FlowCalNumber,0),1,1))),INDEX(FlowCalConstA,MATCH(R600,FlowCalNumber,0),1,1)*T613^INDEX(FlowCalConstB,MATCH(R600,FlowCalNumber,0),1,1)," ")</f>
        <v>#N/A</v>
      </c>
      <c r="V613" s="1224"/>
      <c r="W613" s="1217"/>
      <c r="X613" s="1218"/>
      <c r="Y613" s="1219"/>
      <c r="Z613" s="1224"/>
      <c r="AA613" s="1217"/>
      <c r="AB613" s="1218"/>
      <c r="AC613" s="1219"/>
      <c r="AD613" s="1224"/>
      <c r="AE613" s="1217"/>
      <c r="AF613" s="1218"/>
      <c r="AG613" s="1219"/>
      <c r="AH613" s="1224"/>
      <c r="AI613" s="1217"/>
      <c r="AJ613" s="1218"/>
      <c r="AK613" s="1220"/>
      <c r="AL613" s="1219"/>
      <c r="AM613" s="1219"/>
      <c r="AN613" s="1219"/>
      <c r="AO613" s="1219"/>
      <c r="AP613" s="1219"/>
      <c r="AQ613" s="1219"/>
      <c r="AR613" s="1219"/>
      <c r="AS613" s="1219"/>
      <c r="AT613" s="1219"/>
      <c r="AU613" s="1219"/>
      <c r="AV613" s="1219"/>
      <c r="AW613" s="1219"/>
      <c r="AX613" s="1219"/>
      <c r="AY613" s="1219"/>
      <c r="AZ613" s="1219"/>
      <c r="BA613" s="1219"/>
      <c r="BB613" s="1219"/>
      <c r="BC613" s="1219"/>
      <c r="BD613" s="1219"/>
      <c r="BE613" s="1219"/>
      <c r="BF613" s="1219"/>
      <c r="BG613" s="1219"/>
      <c r="BH613" s="1219"/>
      <c r="BI613" s="1219"/>
      <c r="BJ613" s="1219"/>
      <c r="BK613" s="1219"/>
      <c r="BL613" s="1219"/>
      <c r="BM613" s="1219"/>
      <c r="BN613" s="1219"/>
      <c r="BO613" s="1219"/>
      <c r="BP613" s="1219"/>
      <c r="BQ613" s="1219"/>
      <c r="BR613" s="1219"/>
      <c r="BS613" s="1219"/>
      <c r="BU613" s="1217"/>
      <c r="BW613" s="1219"/>
      <c r="BY613" s="1217"/>
      <c r="CA613" s="1219"/>
      <c r="CC613" s="1217"/>
      <c r="CE613" s="1219"/>
      <c r="CG613" s="1217"/>
      <c r="CI613" s="1219"/>
    </row>
    <row r="614" spans="1:87">
      <c r="A614" s="20"/>
      <c r="B614" s="124" t="str">
        <f t="shared" si="280"/>
        <v/>
      </c>
      <c r="C614" s="235"/>
      <c r="D614" s="24">
        <f>'1% Wind'!$M$95</f>
        <v>1.3</v>
      </c>
      <c r="E614" s="90"/>
      <c r="F614" s="90"/>
      <c r="G614" s="79">
        <f ca="1">IF(I600=0.9743,$G613,MAX(G613/D613*D614,2))</f>
        <v>2</v>
      </c>
      <c r="H614" s="121" t="e">
        <f t="shared" ca="1" si="281"/>
        <v>#VALUE!</v>
      </c>
      <c r="J614" s="33"/>
      <c r="K614" s="242">
        <f t="shared" si="282"/>
        <v>1</v>
      </c>
      <c r="L614" s="241" t="e">
        <f t="shared" ca="1" si="283"/>
        <v>#VALUE!</v>
      </c>
      <c r="M614" s="243" t="e">
        <f ca="1">IF(AND(INDEX(FlowCalConstA,MATCH(J600,FlowCalNumber,0),1,1)*L614^INDEX(FlowCalConstB,MATCH(J600,FlowCalNumber,0),1,1)&gt;INDEX(FlowCalLowSetting,MATCH(J600,FlowCalNumber,0),1,1), (INDEX(FlowCalConstA,MATCH(J600,FlowCalNumber,0),1,1)*L614^INDEX(FlowCalConstB,MATCH(J600,FlowCalNumber,0),1,1)&lt;INDEX(FlowCalHighSetting,MATCH(J600,FlowCalNumber,0),1,1))),INDEX(FlowCalConstA,MATCH(J600,FlowCalNumber,0),1,1)*L614^INDEX(FlowCalConstB,MATCH(J600,FlowCalNumber,0),1,1)," ")</f>
        <v>#N/A</v>
      </c>
      <c r="N614" s="33"/>
      <c r="O614" s="242">
        <f t="shared" si="284"/>
        <v>1</v>
      </c>
      <c r="P614" s="241" t="e">
        <f t="shared" ca="1" si="285"/>
        <v>#VALUE!</v>
      </c>
      <c r="Q614" s="243" t="e">
        <f ca="1">IF(AND(INDEX(FlowCalConstA,MATCH(N600,FlowCalNumber,0),1,1)*P614^INDEX(FlowCalConstB,MATCH(N600,FlowCalNumber,0),1,1)&gt;INDEX(FlowCalLowSetting,MATCH(N600,FlowCalNumber,0),1,1), (INDEX(FlowCalConstA,MATCH(N600,FlowCalNumber,0),1,1)*P614^INDEX(FlowCalConstB,MATCH(N600,FlowCalNumber,0),1,1)&lt;INDEX(FlowCalHighSetting,MATCH(N600,FlowCalNumber,0),1,1))),INDEX(FlowCalConstA,MATCH(N600,FlowCalNumber,0),1,1)*P614^INDEX(FlowCalConstB,MATCH(N600,FlowCalNumber,0),1,1)," ")</f>
        <v>#N/A</v>
      </c>
      <c r="R614" s="33"/>
      <c r="S614" s="242">
        <f t="shared" si="286"/>
        <v>1</v>
      </c>
      <c r="T614" s="241" t="e">
        <f t="shared" ca="1" si="287"/>
        <v>#VALUE!</v>
      </c>
      <c r="U614" s="243" t="e">
        <f ca="1">IF(AND(INDEX(FlowCalConstA,MATCH(R600,FlowCalNumber,0),1,1)*T614^INDEX(FlowCalConstB,MATCH(R600,FlowCalNumber,0),1,1)&gt;INDEX(FlowCalLowSetting,MATCH(R600,FlowCalNumber,0),1,1), (INDEX(FlowCalConstA,MATCH(R600,FlowCalNumber,0),1,1)*T614^INDEX(FlowCalConstB,MATCH(R600,FlowCalNumber,0),1,1)&lt;INDEX(FlowCalHighSetting,MATCH(R600,FlowCalNumber,0),1,1))),INDEX(FlowCalConstA,MATCH(R600,FlowCalNumber,0),1,1)*T614^INDEX(FlowCalConstB,MATCH(R600,FlowCalNumber,0),1,1)," ")</f>
        <v>#N/A</v>
      </c>
      <c r="V614" s="33"/>
      <c r="W614" s="242"/>
      <c r="X614" s="241"/>
      <c r="Y614" s="243"/>
      <c r="Z614" s="33"/>
      <c r="AA614" s="242"/>
      <c r="AB614" s="241"/>
      <c r="AC614" s="243"/>
      <c r="AD614" s="33"/>
      <c r="AE614" s="242"/>
      <c r="AF614" s="241"/>
      <c r="AG614" s="243"/>
      <c r="AH614" s="33"/>
      <c r="AI614" s="242"/>
      <c r="AJ614" s="241"/>
      <c r="AK614" s="244"/>
      <c r="AL614" s="243"/>
      <c r="AM614" s="243"/>
      <c r="AN614" s="243"/>
      <c r="AO614" s="243"/>
      <c r="AP614" s="243"/>
      <c r="AQ614" s="243"/>
      <c r="AR614" s="243"/>
      <c r="AS614" s="243"/>
      <c r="AT614" s="243"/>
      <c r="AU614" s="243"/>
      <c r="AV614" s="243"/>
      <c r="AW614" s="243"/>
      <c r="AX614" s="243"/>
      <c r="AY614" s="243"/>
      <c r="AZ614" s="243"/>
      <c r="BA614" s="243"/>
      <c r="BB614" s="243"/>
      <c r="BC614" s="243"/>
      <c r="BD614" s="243"/>
      <c r="BE614" s="243"/>
      <c r="BF614" s="243"/>
      <c r="BG614" s="243"/>
      <c r="BH614" s="243"/>
      <c r="BI614" s="243"/>
      <c r="BJ614" s="243"/>
      <c r="BK614" s="243"/>
      <c r="BL614" s="243"/>
      <c r="BM614" s="243"/>
      <c r="BN614" s="243"/>
      <c r="BO614" s="243"/>
      <c r="BP614" s="243"/>
      <c r="BQ614" s="243"/>
      <c r="BR614" s="243"/>
      <c r="BS614" s="243"/>
      <c r="BU614" s="242"/>
      <c r="BW614" s="243"/>
      <c r="BY614" s="242"/>
      <c r="CA614" s="243"/>
      <c r="CC614" s="242"/>
      <c r="CE614" s="243"/>
      <c r="CG614" s="242"/>
      <c r="CI614" s="243"/>
    </row>
    <row r="615" spans="1:87" s="1215" customFormat="1">
      <c r="A615" s="1222"/>
      <c r="B615" s="1223" t="str">
        <f t="shared" si="280"/>
        <v/>
      </c>
      <c r="C615" s="1210"/>
      <c r="D615" s="1211">
        <f>'1% Wind'!$M$96</f>
        <v>1</v>
      </c>
      <c r="E615" s="1212"/>
      <c r="F615" s="1212"/>
      <c r="G615" s="1213">
        <f ca="1">IF(I600=0.9743,$G614,MAX(G614/D614*D615,2))</f>
        <v>2</v>
      </c>
      <c r="H615" s="1214" t="e">
        <f t="shared" ca="1" si="281"/>
        <v>#VALUE!</v>
      </c>
      <c r="J615" s="1224"/>
      <c r="K615" s="1217">
        <f t="shared" si="282"/>
        <v>1</v>
      </c>
      <c r="L615" s="1218" t="e">
        <f t="shared" ca="1" si="283"/>
        <v>#VALUE!</v>
      </c>
      <c r="M615" s="1219" t="e">
        <f ca="1">IF(AND(INDEX(FlowCalConstA,MATCH(J600,FlowCalNumber,0),1,1)*L615^INDEX(FlowCalConstB,MATCH(J600,FlowCalNumber,0),1,1)&gt;INDEX(FlowCalLowSetting,MATCH(J600,FlowCalNumber,0),1,1), (INDEX(FlowCalConstA,MATCH(J600,FlowCalNumber,0),1,1)*L615^INDEX(FlowCalConstB,MATCH(J600,FlowCalNumber,0),1,1)&lt;INDEX(FlowCalHighSetting,MATCH(J600,FlowCalNumber,0),1,1))),INDEX(FlowCalConstA,MATCH(J600,FlowCalNumber,0),1,1)*L615^INDEX(FlowCalConstB,MATCH(J600,FlowCalNumber,0),1,1)," ")</f>
        <v>#N/A</v>
      </c>
      <c r="N615" s="1224"/>
      <c r="O615" s="1217">
        <f t="shared" si="284"/>
        <v>1</v>
      </c>
      <c r="P615" s="1218" t="e">
        <f t="shared" ca="1" si="285"/>
        <v>#VALUE!</v>
      </c>
      <c r="Q615" s="1219" t="e">
        <f ca="1">IF(AND(INDEX(FlowCalConstA,MATCH(N600,FlowCalNumber,0),1,1)*P615^INDEX(FlowCalConstB,MATCH(N600,FlowCalNumber,0),1,1)&gt;INDEX(FlowCalLowSetting,MATCH(N600,FlowCalNumber,0),1,1), (INDEX(FlowCalConstA,MATCH(N600,FlowCalNumber,0),1,1)*P615^INDEX(FlowCalConstB,MATCH(N600,FlowCalNumber,0),1,1)&lt;INDEX(FlowCalHighSetting,MATCH(N600,FlowCalNumber,0),1,1))),INDEX(FlowCalConstA,MATCH(N600,FlowCalNumber,0),1,1)*P615^INDEX(FlowCalConstB,MATCH(N600,FlowCalNumber,0),1,1)," ")</f>
        <v>#N/A</v>
      </c>
      <c r="R615" s="1224"/>
      <c r="S615" s="1217">
        <f t="shared" si="286"/>
        <v>1</v>
      </c>
      <c r="T615" s="1218" t="e">
        <f t="shared" ca="1" si="287"/>
        <v>#VALUE!</v>
      </c>
      <c r="U615" s="1219" t="e">
        <f ca="1">IF(AND(INDEX(FlowCalConstA,MATCH(R600,FlowCalNumber,0),1,1)*T615^INDEX(FlowCalConstB,MATCH(R600,FlowCalNumber,0),1,1)&gt;INDEX(FlowCalLowSetting,MATCH(R600,FlowCalNumber,0),1,1), (INDEX(FlowCalConstA,MATCH(R600,FlowCalNumber,0),1,1)*T615^INDEX(FlowCalConstB,MATCH(R600,FlowCalNumber,0),1,1)&lt;INDEX(FlowCalHighSetting,MATCH(R600,FlowCalNumber,0),1,1))),INDEX(FlowCalConstA,MATCH(R600,FlowCalNumber,0),1,1)*T615^INDEX(FlowCalConstB,MATCH(R600,FlowCalNumber,0),1,1)," ")</f>
        <v>#N/A</v>
      </c>
      <c r="V615" s="1224"/>
      <c r="W615" s="1217"/>
      <c r="X615" s="1218"/>
      <c r="Y615" s="1219"/>
      <c r="Z615" s="1224"/>
      <c r="AA615" s="1217"/>
      <c r="AB615" s="1218"/>
      <c r="AC615" s="1219"/>
      <c r="AD615" s="1224"/>
      <c r="AE615" s="1217"/>
      <c r="AF615" s="1218"/>
      <c r="AG615" s="1219"/>
      <c r="AH615" s="1224"/>
      <c r="AI615" s="1217"/>
      <c r="AJ615" s="1218"/>
      <c r="AK615" s="1220"/>
      <c r="AL615" s="1219"/>
      <c r="AM615" s="1219"/>
      <c r="AN615" s="1219"/>
      <c r="AO615" s="1219"/>
      <c r="AP615" s="1219"/>
      <c r="AQ615" s="1219"/>
      <c r="AR615" s="1219"/>
      <c r="AS615" s="1219"/>
      <c r="AT615" s="1219"/>
      <c r="AU615" s="1219"/>
      <c r="AV615" s="1219"/>
      <c r="AW615" s="1219"/>
      <c r="AX615" s="1219"/>
      <c r="AY615" s="1219"/>
      <c r="AZ615" s="1219"/>
      <c r="BA615" s="1219"/>
      <c r="BB615" s="1219"/>
      <c r="BC615" s="1219"/>
      <c r="BD615" s="1219"/>
      <c r="BE615" s="1219"/>
      <c r="BF615" s="1219"/>
      <c r="BG615" s="1219"/>
      <c r="BH615" s="1219"/>
      <c r="BI615" s="1219"/>
      <c r="BJ615" s="1219"/>
      <c r="BK615" s="1219"/>
      <c r="BL615" s="1219"/>
      <c r="BM615" s="1219"/>
      <c r="BN615" s="1219"/>
      <c r="BO615" s="1219"/>
      <c r="BP615" s="1219"/>
      <c r="BQ615" s="1219"/>
      <c r="BR615" s="1219"/>
      <c r="BS615" s="1219"/>
      <c r="BU615" s="1217"/>
      <c r="BW615" s="1219"/>
      <c r="BY615" s="1217"/>
      <c r="CA615" s="1219"/>
      <c r="CC615" s="1217"/>
      <c r="CE615" s="1219"/>
      <c r="CG615" s="1217"/>
      <c r="CI615" s="1219"/>
    </row>
    <row r="616" spans="1:87">
      <c r="A616" s="33"/>
      <c r="B616" s="33"/>
      <c r="C616" s="235"/>
      <c r="E616" s="90"/>
      <c r="F616" s="90"/>
      <c r="G616" s="33"/>
      <c r="J616" s="33"/>
      <c r="M616" s="243"/>
      <c r="N616" s="33"/>
      <c r="Q616" s="243"/>
      <c r="R616" s="33"/>
      <c r="U616" s="243"/>
      <c r="V616" s="33"/>
      <c r="Y616" s="243"/>
      <c r="Z616" s="33"/>
      <c r="AC616" s="243"/>
      <c r="AD616" s="33"/>
      <c r="AG616" s="243"/>
      <c r="AH616" s="33"/>
      <c r="AK616" s="244"/>
      <c r="AL616" s="243"/>
      <c r="AM616" s="243"/>
      <c r="AN616" s="243"/>
      <c r="AO616" s="243"/>
      <c r="AP616" s="243"/>
      <c r="AQ616" s="243"/>
      <c r="AR616" s="243"/>
      <c r="AS616" s="243"/>
      <c r="AT616" s="243"/>
      <c r="AU616" s="243"/>
      <c r="AV616" s="243"/>
      <c r="AW616" s="243"/>
      <c r="AX616" s="243"/>
      <c r="AY616" s="243"/>
      <c r="AZ616" s="243"/>
      <c r="BA616" s="243"/>
      <c r="BB616" s="243"/>
      <c r="BC616" s="243"/>
      <c r="BD616" s="243"/>
      <c r="BE616" s="243"/>
      <c r="BF616" s="243"/>
      <c r="BG616" s="243"/>
      <c r="BH616" s="243"/>
      <c r="BI616" s="243"/>
      <c r="BJ616" s="243"/>
      <c r="BK616" s="243"/>
      <c r="BL616" s="243"/>
      <c r="BM616" s="243"/>
      <c r="BN616" s="243"/>
      <c r="BO616" s="243"/>
      <c r="BP616" s="243"/>
      <c r="BQ616" s="243"/>
      <c r="BR616" s="243"/>
      <c r="BS616" s="243"/>
      <c r="BW616" s="243"/>
      <c r="CA616" s="243"/>
      <c r="CE616" s="243"/>
      <c r="CI616" s="243"/>
    </row>
    <row r="617" spans="1:87">
      <c r="A617" s="256" t="str">
        <f>IF((RIGHT(A600,1))&lt;&gt;"Z",CHAR(CODE(A600))&amp;CHAR(CODE(RIGHT(A600,1))+1),CHAR(CODE(A600)+1)&amp;"A")</f>
        <v>BJ</v>
      </c>
      <c r="B617" s="270" t="str">
        <f>INDEX(SourceID,MATCH($A617,SourceNumber,0),1,1)</f>
        <v>B2 Kit-2</v>
      </c>
      <c r="C617" s="354">
        <f>INDEX(SourceExitDiameter,MATCH($A617,SourceNumber,0),1,1)*3.28*12</f>
        <v>39.084999999999994</v>
      </c>
      <c r="D617" s="24" t="str">
        <f>UAnem1percent</f>
        <v>1% Wind</v>
      </c>
      <c r="E617" s="350" t="e">
        <f ca="1">INDIRECT(ADDRESS(53,6,1,,CONCATENATE("TA",$A617)))</f>
        <v>#REF!</v>
      </c>
      <c r="F617" s="625" t="e">
        <f ca="1">(ROUND((INDIRECT(ADDRESS(15,7,1,,CONCATENATE("TA",$A617)))*3.28*12*32),0)&amp;"/32")</f>
        <v>#REF!</v>
      </c>
      <c r="G617" s="125">
        <f ca="1">INDIRECT(ADDRESS(29,7,1,,$A617))</f>
        <v>6.001707317073171</v>
      </c>
      <c r="H617" s="24" t="e">
        <f ca="1">INDIRECT(ADDRESS(19,7,1,,$A617))*100^3</f>
        <v>#VALUE!</v>
      </c>
      <c r="I617" s="941">
        <f ca="1">INDIRECT(ADDRESS(53,7,1,,$A617))</f>
        <v>0.97430000000000005</v>
      </c>
      <c r="J617" s="20" t="str">
        <f ca="1">IF($I617=$I$6,K$16&amp;$G$6&amp;J$6,IF($I617=$I$7,K$16&amp;$G$7&amp;J$7,"Bad"))</f>
        <v>100N2Pick a Tunnel</v>
      </c>
      <c r="K617" t="e">
        <f ca="1">INDEX(FlowCalGasMixture,MATCH(J617,FlowCalNumber,0),1,1)</f>
        <v>#N/A</v>
      </c>
      <c r="M617" s="944" t="e">
        <f ca="1">INDEX(FlowCalDevice,MATCH(J617,FlowCalNumber,0),1,1)</f>
        <v>#N/A</v>
      </c>
      <c r="N617" s="20" t="str">
        <f ca="1">IF($I617=$I$6,O$16&amp;$G$6&amp;N$6,IF($I617=$I$7,O$16&amp;$G$7&amp;N$7,"Bad"))</f>
        <v>100N2Pick a Tunnel</v>
      </c>
      <c r="O617" t="e">
        <f ca="1">INDEX(FlowCalGasMixture,MATCH(N617,FlowCalNumber,0),1,1)</f>
        <v>#N/A</v>
      </c>
      <c r="Q617" s="944" t="e">
        <f ca="1">INDEX(FlowCalDevice,MATCH(N617,FlowCalNumber,0),1,1)</f>
        <v>#N/A</v>
      </c>
      <c r="R617" s="20" t="str">
        <f ca="1">IF($I617=$I$6,S$16&amp;$G$6&amp;R$6,IF($I617=$I$7,S$16&amp;$G$7&amp;R$7,"Bad"))</f>
        <v>100N2Pick a Tunnel</v>
      </c>
      <c r="S617" t="e">
        <f ca="1">INDEX(FlowCalGasMixture,MATCH(R617,FlowCalNumber,0),1,1)</f>
        <v>#N/A</v>
      </c>
      <c r="U617" s="944" t="e">
        <f ca="1">INDEX(FlowCalDevice,MATCH(R617,FlowCalNumber,0),1,1)</f>
        <v>#N/A</v>
      </c>
      <c r="V617" s="20"/>
      <c r="Y617" s="944"/>
      <c r="Z617" s="946"/>
      <c r="AC617" s="944"/>
      <c r="AD617" s="20"/>
      <c r="AG617" s="944"/>
      <c r="AH617" s="946"/>
      <c r="AK617" s="982"/>
      <c r="AL617" s="355"/>
      <c r="AM617" s="355"/>
      <c r="AN617" s="355"/>
      <c r="AO617" s="355"/>
      <c r="AP617" s="355"/>
      <c r="AQ617" s="355"/>
      <c r="AR617" s="355"/>
      <c r="AS617" s="355"/>
      <c r="AT617" s="355"/>
      <c r="AU617" s="355"/>
      <c r="AV617" s="355"/>
      <c r="AW617" s="355"/>
      <c r="AX617" s="355"/>
      <c r="AY617" s="355"/>
      <c r="AZ617" s="355"/>
      <c r="BA617" s="355"/>
      <c r="BB617" s="355"/>
      <c r="BC617" s="355"/>
      <c r="BD617" s="355"/>
      <c r="BE617" s="355"/>
      <c r="BF617" s="355"/>
      <c r="BG617" s="355"/>
      <c r="BH617" s="355"/>
      <c r="BI617" s="355"/>
      <c r="BJ617" s="355"/>
      <c r="BK617" s="355"/>
      <c r="BL617" s="355"/>
      <c r="BM617" s="355"/>
      <c r="BN617" s="355"/>
      <c r="BO617" s="355"/>
      <c r="BP617" s="355"/>
      <c r="BQ617" s="355"/>
      <c r="BR617" s="355"/>
      <c r="BS617" s="355"/>
      <c r="BT617" s="46"/>
      <c r="BU617" s="16"/>
      <c r="BW617" s="355"/>
      <c r="BX617" s="42"/>
      <c r="BY617" s="16"/>
      <c r="CA617" s="355"/>
      <c r="CB617" s="42"/>
      <c r="CC617" s="16"/>
      <c r="CE617" s="355"/>
      <c r="CF617" s="42"/>
      <c r="CG617" s="16"/>
      <c r="CI617" s="355"/>
    </row>
    <row r="618" spans="1:87" s="1215" customFormat="1">
      <c r="A618" s="1222"/>
      <c r="B618" s="1223" t="str">
        <f t="shared" ref="B618:B632" si="288">IF(D618=UAnem1percent,"1% Wind","")</f>
        <v/>
      </c>
      <c r="C618" s="1210"/>
      <c r="D618" s="1211">
        <f>'1% Wind'!$M$82</f>
        <v>27</v>
      </c>
      <c r="E618" s="1212"/>
      <c r="F618" s="1212"/>
      <c r="G618" s="1364">
        <v>2</v>
      </c>
      <c r="H618" s="1214" t="e">
        <f t="shared" ref="H618:H632" ca="1" si="289">H617*(D617/D618)*(G618/G617)</f>
        <v>#VALUE!</v>
      </c>
      <c r="J618" s="1224"/>
      <c r="K618" s="1221">
        <f>K$17/100</f>
        <v>1</v>
      </c>
      <c r="L618" s="1218" t="e">
        <f ca="1">K618*$H618</f>
        <v>#VALUE!</v>
      </c>
      <c r="M618" s="1219" t="e">
        <f ca="1">IF(AND(INDEX(FlowCalConstA,MATCH(J617,FlowCalNumber,0),1,1)*L618^INDEX(FlowCalConstB,MATCH(J617,FlowCalNumber,0),1,1)&gt;INDEX(FlowCalLowSetting,MATCH(J617,FlowCalNumber,0),1,1), (INDEX(FlowCalConstA,MATCH(J617,FlowCalNumber,0),1,1)*L618^INDEX(FlowCalConstB,MATCH(J617,FlowCalNumber,0),1,1)&lt;INDEX(FlowCalHighSetting,MATCH(J617,FlowCalNumber,0),1,1))),INDEX(FlowCalConstA,MATCH(J617,FlowCalNumber,0),1,1)*L618^INDEX(FlowCalConstB,MATCH(J617,FlowCalNumber,0),1,1)," ")</f>
        <v>#N/A</v>
      </c>
      <c r="N618" s="1224"/>
      <c r="O618" s="1221">
        <f>O$17/100</f>
        <v>1</v>
      </c>
      <c r="P618" s="1218" t="e">
        <f ca="1">O618*$H618</f>
        <v>#VALUE!</v>
      </c>
      <c r="Q618" s="1219" t="e">
        <f ca="1">IF(AND(INDEX(FlowCalConstA,MATCH(N617,FlowCalNumber,0),1,1)*P618^INDEX(FlowCalConstB,MATCH(N617,FlowCalNumber,0),1,1)&gt;INDEX(FlowCalLowSetting,MATCH(N617,FlowCalNumber,0),1,1), (INDEX(FlowCalConstA,MATCH(N617,FlowCalNumber,0),1,1)*P618^INDEX(FlowCalConstB,MATCH(N617,FlowCalNumber,0),1,1)&lt;INDEX(FlowCalHighSetting,MATCH(N617,FlowCalNumber,0),1,1))),INDEX(FlowCalConstA,MATCH(N617,FlowCalNumber,0),1,1)*P618^INDEX(FlowCalConstB,MATCH(N617,FlowCalNumber,0),1,1)," ")</f>
        <v>#N/A</v>
      </c>
      <c r="R618" s="1224"/>
      <c r="S618" s="1221">
        <f>S$17/100</f>
        <v>1</v>
      </c>
      <c r="T618" s="1218" t="e">
        <f ca="1">S618*$H618</f>
        <v>#VALUE!</v>
      </c>
      <c r="U618" s="1219" t="e">
        <f ca="1">IF(AND(INDEX(FlowCalConstA,MATCH(R617,FlowCalNumber,0),1,1)*T618^INDEX(FlowCalConstB,MATCH(R617,FlowCalNumber,0),1,1)&gt;INDEX(FlowCalLowSetting,MATCH(R617,FlowCalNumber,0),1,1), (INDEX(FlowCalConstA,MATCH(R617,FlowCalNumber,0),1,1)*T618^INDEX(FlowCalConstB,MATCH(R617,FlowCalNumber,0),1,1)&lt;INDEX(FlowCalHighSetting,MATCH(R617,FlowCalNumber,0),1,1))),INDEX(FlowCalConstA,MATCH(R617,FlowCalNumber,0),1,1)*T618^INDEX(FlowCalConstB,MATCH(R617,FlowCalNumber,0),1,1)," ")</f>
        <v>#N/A</v>
      </c>
      <c r="V618" s="1224"/>
      <c r="W618" s="1221"/>
      <c r="X618" s="1218"/>
      <c r="Y618" s="1219"/>
      <c r="Z618" s="1224"/>
      <c r="AA618" s="1221"/>
      <c r="AB618" s="1218"/>
      <c r="AC618" s="1219"/>
      <c r="AD618" s="1224"/>
      <c r="AE618" s="1221"/>
      <c r="AF618" s="1218"/>
      <c r="AG618" s="1219"/>
      <c r="AH618" s="1224"/>
      <c r="AI618" s="1221"/>
      <c r="AJ618" s="1218"/>
      <c r="AK618" s="1220"/>
      <c r="AL618" s="1219"/>
      <c r="AM618" s="1219"/>
      <c r="AN618" s="1219"/>
      <c r="AO618" s="1219"/>
      <c r="AP618" s="1219"/>
      <c r="AQ618" s="1219"/>
      <c r="AR618" s="1219"/>
      <c r="AS618" s="1219"/>
      <c r="AT618" s="1219"/>
      <c r="AU618" s="1219"/>
      <c r="AV618" s="1219"/>
      <c r="AW618" s="1219"/>
      <c r="AX618" s="1219"/>
      <c r="AY618" s="1219"/>
      <c r="AZ618" s="1219"/>
      <c r="BA618" s="1219"/>
      <c r="BB618" s="1219"/>
      <c r="BC618" s="1219"/>
      <c r="BD618" s="1219"/>
      <c r="BE618" s="1219"/>
      <c r="BF618" s="1219"/>
      <c r="BG618" s="1219"/>
      <c r="BH618" s="1219"/>
      <c r="BI618" s="1219"/>
      <c r="BJ618" s="1219"/>
      <c r="BK618" s="1219"/>
      <c r="BL618" s="1219"/>
      <c r="BM618" s="1219"/>
      <c r="BN618" s="1219"/>
      <c r="BO618" s="1219"/>
      <c r="BP618" s="1219"/>
      <c r="BQ618" s="1219"/>
      <c r="BR618" s="1219"/>
      <c r="BS618" s="1219"/>
      <c r="BU618" s="1225"/>
      <c r="BW618" s="1219"/>
      <c r="BY618" s="1225"/>
      <c r="CA618" s="1219"/>
      <c r="CC618" s="1225"/>
      <c r="CE618" s="1219"/>
      <c r="CG618" s="1221"/>
      <c r="CI618" s="1219"/>
    </row>
    <row r="619" spans="1:87">
      <c r="A619" s="20"/>
      <c r="B619" s="124" t="str">
        <f t="shared" si="288"/>
        <v/>
      </c>
      <c r="C619" s="235"/>
      <c r="D619" s="24">
        <f>'1% Wind'!$M$83</f>
        <v>23.5</v>
      </c>
      <c r="E619" s="90"/>
      <c r="F619" s="90"/>
      <c r="G619" s="79">
        <f ca="1">IF(I617=0.9743,$G618,MAX(G618/D618*D619,2))</f>
        <v>2</v>
      </c>
      <c r="H619" s="121" t="e">
        <f t="shared" ca="1" si="289"/>
        <v>#VALUE!</v>
      </c>
      <c r="J619" s="33"/>
      <c r="K619" s="242">
        <f t="shared" ref="K619:K632" si="290">K618</f>
        <v>1</v>
      </c>
      <c r="L619" s="241" t="e">
        <f t="shared" ref="L619:L632" ca="1" si="291">K619*$H619</f>
        <v>#VALUE!</v>
      </c>
      <c r="M619" s="243" t="e">
        <f ca="1">IF(AND(INDEX(FlowCalConstA,MATCH(J617,FlowCalNumber,0),1,1)*L619^INDEX(FlowCalConstB,MATCH(J617,FlowCalNumber,0),1,1)&gt;INDEX(FlowCalLowSetting,MATCH(J617,FlowCalNumber,0),1,1), (INDEX(FlowCalConstA,MATCH(J617,FlowCalNumber,0),1,1)*L619^INDEX(FlowCalConstB,MATCH(J617,FlowCalNumber,0),1,1)&lt;INDEX(FlowCalHighSetting,MATCH(J617,FlowCalNumber,0),1,1))),INDEX(FlowCalConstA,MATCH(J617,FlowCalNumber,0),1,1)*L619^INDEX(FlowCalConstB,MATCH(J617,FlowCalNumber,0),1,1)," ")</f>
        <v>#N/A</v>
      </c>
      <c r="N619" s="33"/>
      <c r="O619" s="242">
        <f t="shared" ref="O619:O632" si="292">O618</f>
        <v>1</v>
      </c>
      <c r="P619" s="241" t="e">
        <f t="shared" ref="P619:P632" ca="1" si="293">O619*$H619</f>
        <v>#VALUE!</v>
      </c>
      <c r="Q619" s="243" t="e">
        <f ca="1">IF(AND(INDEX(FlowCalConstA,MATCH(N617,FlowCalNumber,0),1,1)*P619^INDEX(FlowCalConstB,MATCH(N617,FlowCalNumber,0),1,1)&gt;INDEX(FlowCalLowSetting,MATCH(N617,FlowCalNumber,0),1,1), (INDEX(FlowCalConstA,MATCH(N617,FlowCalNumber,0),1,1)*P619^INDEX(FlowCalConstB,MATCH(N617,FlowCalNumber,0),1,1)&lt;INDEX(FlowCalHighSetting,MATCH(N617,FlowCalNumber,0),1,1))),INDEX(FlowCalConstA,MATCH(N617,FlowCalNumber,0),1,1)*P619^INDEX(FlowCalConstB,MATCH(N617,FlowCalNumber,0),1,1)," ")</f>
        <v>#N/A</v>
      </c>
      <c r="R619" s="33"/>
      <c r="S619" s="242">
        <f t="shared" ref="S619:S632" si="294">S618</f>
        <v>1</v>
      </c>
      <c r="T619" s="241" t="e">
        <f t="shared" ref="T619:T632" ca="1" si="295">S619*$H619</f>
        <v>#VALUE!</v>
      </c>
      <c r="U619" s="243" t="e">
        <f ca="1">IF(AND(INDEX(FlowCalConstA,MATCH(R617,FlowCalNumber,0),1,1)*T619^INDEX(FlowCalConstB,MATCH(R617,FlowCalNumber,0),1,1)&gt;INDEX(FlowCalLowSetting,MATCH(R617,FlowCalNumber,0),1,1), (INDEX(FlowCalConstA,MATCH(R617,FlowCalNumber,0),1,1)*T619^INDEX(FlowCalConstB,MATCH(R617,FlowCalNumber,0),1,1)&lt;INDEX(FlowCalHighSetting,MATCH(R617,FlowCalNumber,0),1,1))),INDEX(FlowCalConstA,MATCH(R617,FlowCalNumber,0),1,1)*T619^INDEX(FlowCalConstB,MATCH(R617,FlowCalNumber,0),1,1)," ")</f>
        <v>#N/A</v>
      </c>
      <c r="V619" s="33"/>
      <c r="W619" s="242"/>
      <c r="X619" s="241"/>
      <c r="Y619" s="243"/>
      <c r="Z619" s="33"/>
      <c r="AA619" s="242"/>
      <c r="AB619" s="241"/>
      <c r="AC619" s="243"/>
      <c r="AD619" s="33"/>
      <c r="AE619" s="242"/>
      <c r="AF619" s="241"/>
      <c r="AG619" s="243"/>
      <c r="AH619" s="33"/>
      <c r="AI619" s="242"/>
      <c r="AJ619" s="241"/>
      <c r="AK619" s="244"/>
      <c r="AL619" s="243"/>
      <c r="AM619" s="243"/>
      <c r="AN619" s="243"/>
      <c r="AO619" s="243"/>
      <c r="AP619" s="243"/>
      <c r="AQ619" s="243"/>
      <c r="AR619" s="243"/>
      <c r="AS619" s="243"/>
      <c r="AT619" s="243"/>
      <c r="AU619" s="243"/>
      <c r="AV619" s="243"/>
      <c r="AW619" s="243"/>
      <c r="AX619" s="243"/>
      <c r="AY619" s="243"/>
      <c r="AZ619" s="243"/>
      <c r="BA619" s="243"/>
      <c r="BB619" s="243"/>
      <c r="BC619" s="243"/>
      <c r="BD619" s="243"/>
      <c r="BE619" s="243"/>
      <c r="BF619" s="243"/>
      <c r="BG619" s="243"/>
      <c r="BH619" s="243"/>
      <c r="BI619" s="243"/>
      <c r="BJ619" s="243"/>
      <c r="BK619" s="243"/>
      <c r="BL619" s="243"/>
      <c r="BM619" s="243"/>
      <c r="BN619" s="243"/>
      <c r="BO619" s="243"/>
      <c r="BP619" s="243"/>
      <c r="BQ619" s="243"/>
      <c r="BR619" s="243"/>
      <c r="BS619" s="243"/>
      <c r="BU619" s="242"/>
      <c r="BW619" s="243"/>
      <c r="BY619" s="242"/>
      <c r="CA619" s="243"/>
      <c r="CC619" s="242"/>
      <c r="CE619" s="243"/>
      <c r="CG619" s="242"/>
      <c r="CI619" s="243"/>
    </row>
    <row r="620" spans="1:87" s="1215" customFormat="1">
      <c r="A620" s="1222"/>
      <c r="B620" s="1223" t="str">
        <f t="shared" si="288"/>
        <v/>
      </c>
      <c r="C620" s="1210"/>
      <c r="D620" s="1211">
        <f>'1% Wind'!$M$84</f>
        <v>20.5</v>
      </c>
      <c r="E620" s="1212"/>
      <c r="F620" s="1212"/>
      <c r="G620" s="1213">
        <f ca="1">IF(I617=0.9743,$G619,MAX(G619/D619*D620,2))</f>
        <v>2</v>
      </c>
      <c r="H620" s="1214" t="e">
        <f t="shared" ca="1" si="289"/>
        <v>#VALUE!</v>
      </c>
      <c r="J620" s="1224"/>
      <c r="K620" s="1217">
        <f t="shared" si="290"/>
        <v>1</v>
      </c>
      <c r="L620" s="1218" t="e">
        <f t="shared" ca="1" si="291"/>
        <v>#VALUE!</v>
      </c>
      <c r="M620" s="1219" t="e">
        <f ca="1">IF(AND(INDEX(FlowCalConstA,MATCH(J617,FlowCalNumber,0),1,1)*L620^INDEX(FlowCalConstB,MATCH(J617,FlowCalNumber,0),1,1)&gt;INDEX(FlowCalLowSetting,MATCH(J617,FlowCalNumber,0),1,1), (INDEX(FlowCalConstA,MATCH(J617,FlowCalNumber,0),1,1)*L620^INDEX(FlowCalConstB,MATCH(J617,FlowCalNumber,0),1,1)&lt;INDEX(FlowCalHighSetting,MATCH(J617,FlowCalNumber,0),1,1))),INDEX(FlowCalConstA,MATCH(J617,FlowCalNumber,0),1,1)*L620^INDEX(FlowCalConstB,MATCH(J617,FlowCalNumber,0),1,1)," ")</f>
        <v>#N/A</v>
      </c>
      <c r="N620" s="1224"/>
      <c r="O620" s="1217">
        <f t="shared" si="292"/>
        <v>1</v>
      </c>
      <c r="P620" s="1218" t="e">
        <f t="shared" ca="1" si="293"/>
        <v>#VALUE!</v>
      </c>
      <c r="Q620" s="1219" t="e">
        <f ca="1">IF(AND(INDEX(FlowCalConstA,MATCH(N617,FlowCalNumber,0),1,1)*P620^INDEX(FlowCalConstB,MATCH(N617,FlowCalNumber,0),1,1)&gt;INDEX(FlowCalLowSetting,MATCH(N617,FlowCalNumber,0),1,1), (INDEX(FlowCalConstA,MATCH(N617,FlowCalNumber,0),1,1)*P620^INDEX(FlowCalConstB,MATCH(N617,FlowCalNumber,0),1,1)&lt;INDEX(FlowCalHighSetting,MATCH(N617,FlowCalNumber,0),1,1))),INDEX(FlowCalConstA,MATCH(N617,FlowCalNumber,0),1,1)*P620^INDEX(FlowCalConstB,MATCH(N617,FlowCalNumber,0),1,1)," ")</f>
        <v>#N/A</v>
      </c>
      <c r="R620" s="1224"/>
      <c r="S620" s="1217">
        <f t="shared" si="294"/>
        <v>1</v>
      </c>
      <c r="T620" s="1218" t="e">
        <f t="shared" ca="1" si="295"/>
        <v>#VALUE!</v>
      </c>
      <c r="U620" s="1219" t="e">
        <f ca="1">IF(AND(INDEX(FlowCalConstA,MATCH(R617,FlowCalNumber,0),1,1)*T620^INDEX(FlowCalConstB,MATCH(R617,FlowCalNumber,0),1,1)&gt;INDEX(FlowCalLowSetting,MATCH(R617,FlowCalNumber,0),1,1), (INDEX(FlowCalConstA,MATCH(R617,FlowCalNumber,0),1,1)*T620^INDEX(FlowCalConstB,MATCH(R617,FlowCalNumber,0),1,1)&lt;INDEX(FlowCalHighSetting,MATCH(R617,FlowCalNumber,0),1,1))),INDEX(FlowCalConstA,MATCH(R617,FlowCalNumber,0),1,1)*T620^INDEX(FlowCalConstB,MATCH(R617,FlowCalNumber,0),1,1)," ")</f>
        <v>#N/A</v>
      </c>
      <c r="V620" s="1224"/>
      <c r="W620" s="1217"/>
      <c r="X620" s="1218"/>
      <c r="Y620" s="1219"/>
      <c r="Z620" s="1224"/>
      <c r="AA620" s="1217"/>
      <c r="AB620" s="1218"/>
      <c r="AC620" s="1219"/>
      <c r="AD620" s="1224"/>
      <c r="AE620" s="1217"/>
      <c r="AF620" s="1218"/>
      <c r="AG620" s="1219"/>
      <c r="AH620" s="1224"/>
      <c r="AI620" s="1217"/>
      <c r="AJ620" s="1218"/>
      <c r="AK620" s="1220"/>
      <c r="AL620" s="1219"/>
      <c r="AM620" s="1219"/>
      <c r="AN620" s="1219"/>
      <c r="AO620" s="1219"/>
      <c r="AP620" s="1219"/>
      <c r="AQ620" s="1219"/>
      <c r="AR620" s="1219"/>
      <c r="AS620" s="1219"/>
      <c r="AT620" s="1219"/>
      <c r="AU620" s="1219"/>
      <c r="AV620" s="1219"/>
      <c r="AW620" s="1219"/>
      <c r="AX620" s="1219"/>
      <c r="AY620" s="1219"/>
      <c r="AZ620" s="1219"/>
      <c r="BA620" s="1219"/>
      <c r="BB620" s="1219"/>
      <c r="BC620" s="1219"/>
      <c r="BD620" s="1219"/>
      <c r="BE620" s="1219"/>
      <c r="BF620" s="1219"/>
      <c r="BG620" s="1219"/>
      <c r="BH620" s="1219"/>
      <c r="BI620" s="1219"/>
      <c r="BJ620" s="1219"/>
      <c r="BK620" s="1219"/>
      <c r="BL620" s="1219"/>
      <c r="BM620" s="1219"/>
      <c r="BN620" s="1219"/>
      <c r="BO620" s="1219"/>
      <c r="BP620" s="1219"/>
      <c r="BQ620" s="1219"/>
      <c r="BR620" s="1219"/>
      <c r="BS620" s="1219"/>
      <c r="BU620" s="1217"/>
      <c r="BW620" s="1219"/>
      <c r="BY620" s="1217"/>
      <c r="CA620" s="1219"/>
      <c r="CC620" s="1217"/>
      <c r="CE620" s="1219"/>
      <c r="CG620" s="1217"/>
      <c r="CI620" s="1219"/>
    </row>
    <row r="621" spans="1:87">
      <c r="A621" s="20"/>
      <c r="B621" s="124" t="str">
        <f t="shared" si="288"/>
        <v/>
      </c>
      <c r="C621" s="235"/>
      <c r="D621" s="24">
        <f>'1% Wind'!$M$85</f>
        <v>17.8</v>
      </c>
      <c r="E621" s="90"/>
      <c r="F621" s="90"/>
      <c r="G621" s="79">
        <f ca="1">IF(I617=0.9743,$G620,MAX(G620/D620*D621,2))</f>
        <v>2</v>
      </c>
      <c r="H621" s="121" t="e">
        <f t="shared" ca="1" si="289"/>
        <v>#VALUE!</v>
      </c>
      <c r="J621" s="33"/>
      <c r="K621" s="242">
        <f t="shared" si="290"/>
        <v>1</v>
      </c>
      <c r="L621" s="241" t="e">
        <f t="shared" ca="1" si="291"/>
        <v>#VALUE!</v>
      </c>
      <c r="M621" s="243" t="e">
        <f ca="1">IF(AND(INDEX(FlowCalConstA,MATCH(J617,FlowCalNumber,0),1,1)*L621^INDEX(FlowCalConstB,MATCH(J617,FlowCalNumber,0),1,1)&gt;INDEX(FlowCalLowSetting,MATCH(J617,FlowCalNumber,0),1,1), (INDEX(FlowCalConstA,MATCH(J617,FlowCalNumber,0),1,1)*L621^INDEX(FlowCalConstB,MATCH(J617,FlowCalNumber,0),1,1)&lt;INDEX(FlowCalHighSetting,MATCH(J617,FlowCalNumber,0),1,1))),INDEX(FlowCalConstA,MATCH(J617,FlowCalNumber,0),1,1)*L621^INDEX(FlowCalConstB,MATCH(J617,FlowCalNumber,0),1,1)," ")</f>
        <v>#N/A</v>
      </c>
      <c r="N621" s="33"/>
      <c r="O621" s="242">
        <f t="shared" si="292"/>
        <v>1</v>
      </c>
      <c r="P621" s="241" t="e">
        <f t="shared" ca="1" si="293"/>
        <v>#VALUE!</v>
      </c>
      <c r="Q621" s="243" t="e">
        <f ca="1">IF(AND(INDEX(FlowCalConstA,MATCH(N617,FlowCalNumber,0),1,1)*P621^INDEX(FlowCalConstB,MATCH(N617,FlowCalNumber,0),1,1)&gt;INDEX(FlowCalLowSetting,MATCH(N617,FlowCalNumber,0),1,1), (INDEX(FlowCalConstA,MATCH(N617,FlowCalNumber,0),1,1)*P621^INDEX(FlowCalConstB,MATCH(N617,FlowCalNumber,0),1,1)&lt;INDEX(FlowCalHighSetting,MATCH(N617,FlowCalNumber,0),1,1))),INDEX(FlowCalConstA,MATCH(N617,FlowCalNumber,0),1,1)*P621^INDEX(FlowCalConstB,MATCH(N617,FlowCalNumber,0),1,1)," ")</f>
        <v>#N/A</v>
      </c>
      <c r="R621" s="33"/>
      <c r="S621" s="242">
        <f t="shared" si="294"/>
        <v>1</v>
      </c>
      <c r="T621" s="241" t="e">
        <f t="shared" ca="1" si="295"/>
        <v>#VALUE!</v>
      </c>
      <c r="U621" s="243" t="e">
        <f ca="1">IF(AND(INDEX(FlowCalConstA,MATCH(R617,FlowCalNumber,0),1,1)*T621^INDEX(FlowCalConstB,MATCH(R617,FlowCalNumber,0),1,1)&gt;INDEX(FlowCalLowSetting,MATCH(R617,FlowCalNumber,0),1,1), (INDEX(FlowCalConstA,MATCH(R617,FlowCalNumber,0),1,1)*T621^INDEX(FlowCalConstB,MATCH(R617,FlowCalNumber,0),1,1)&lt;INDEX(FlowCalHighSetting,MATCH(R617,FlowCalNumber,0),1,1))),INDEX(FlowCalConstA,MATCH(R617,FlowCalNumber,0),1,1)*T621^INDEX(FlowCalConstB,MATCH(R617,FlowCalNumber,0),1,1)," ")</f>
        <v>#N/A</v>
      </c>
      <c r="V621" s="33"/>
      <c r="W621" s="242"/>
      <c r="X621" s="241"/>
      <c r="Y621" s="243"/>
      <c r="Z621" s="33"/>
      <c r="AA621" s="242"/>
      <c r="AB621" s="241"/>
      <c r="AC621" s="243"/>
      <c r="AD621" s="33"/>
      <c r="AE621" s="242"/>
      <c r="AF621" s="241"/>
      <c r="AG621" s="243"/>
      <c r="AH621" s="33"/>
      <c r="AI621" s="242"/>
      <c r="AJ621" s="241"/>
      <c r="AK621" s="244"/>
      <c r="AL621" s="243"/>
      <c r="AM621" s="243"/>
      <c r="AN621" s="243"/>
      <c r="AO621" s="243"/>
      <c r="AP621" s="243"/>
      <c r="AQ621" s="243"/>
      <c r="AR621" s="243"/>
      <c r="AS621" s="243"/>
      <c r="AT621" s="243"/>
      <c r="AU621" s="243"/>
      <c r="AV621" s="243"/>
      <c r="AW621" s="243"/>
      <c r="AX621" s="243"/>
      <c r="AY621" s="243"/>
      <c r="AZ621" s="243"/>
      <c r="BA621" s="243"/>
      <c r="BB621" s="243"/>
      <c r="BC621" s="243"/>
      <c r="BD621" s="243"/>
      <c r="BE621" s="243"/>
      <c r="BF621" s="243"/>
      <c r="BG621" s="243"/>
      <c r="BH621" s="243"/>
      <c r="BI621" s="243"/>
      <c r="BJ621" s="243"/>
      <c r="BK621" s="243"/>
      <c r="BL621" s="243"/>
      <c r="BM621" s="243"/>
      <c r="BN621" s="243"/>
      <c r="BO621" s="243"/>
      <c r="BP621" s="243"/>
      <c r="BQ621" s="243"/>
      <c r="BR621" s="243"/>
      <c r="BS621" s="243"/>
      <c r="BU621" s="242"/>
      <c r="BW621" s="243"/>
      <c r="BY621" s="242"/>
      <c r="CA621" s="243"/>
      <c r="CC621" s="242"/>
      <c r="CE621" s="243"/>
      <c r="CG621" s="242"/>
      <c r="CI621" s="243"/>
    </row>
    <row r="622" spans="1:87" s="1215" customFormat="1">
      <c r="A622" s="1222"/>
      <c r="B622" s="1223" t="str">
        <f t="shared" si="288"/>
        <v/>
      </c>
      <c r="C622" s="1210"/>
      <c r="D622" s="1211">
        <f>'1% Wind'!$M$86</f>
        <v>15.5</v>
      </c>
      <c r="E622" s="1212"/>
      <c r="F622" s="1212"/>
      <c r="G622" s="1213">
        <f ca="1">IF(I617=0.9743,$G621,MAX(G621/D621*D622,2))</f>
        <v>2</v>
      </c>
      <c r="H622" s="1214" t="e">
        <f t="shared" ca="1" si="289"/>
        <v>#VALUE!</v>
      </c>
      <c r="J622" s="1224"/>
      <c r="K622" s="1217">
        <f t="shared" si="290"/>
        <v>1</v>
      </c>
      <c r="L622" s="1218" t="e">
        <f t="shared" ca="1" si="291"/>
        <v>#VALUE!</v>
      </c>
      <c r="M622" s="1219" t="e">
        <f ca="1">IF(AND(INDEX(FlowCalConstA,MATCH(J617,FlowCalNumber,0),1,1)*L622^INDEX(FlowCalConstB,MATCH(J617,FlowCalNumber,0),1,1)&gt;INDEX(FlowCalLowSetting,MATCH(J617,FlowCalNumber,0),1,1), (INDEX(FlowCalConstA,MATCH(J617,FlowCalNumber,0),1,1)*L622^INDEX(FlowCalConstB,MATCH(J617,FlowCalNumber,0),1,1)&lt;INDEX(FlowCalHighSetting,MATCH(J617,FlowCalNumber,0),1,1))),INDEX(FlowCalConstA,MATCH(J617,FlowCalNumber,0),1,1)*L622^INDEX(FlowCalConstB,MATCH(J617,FlowCalNumber,0),1,1)," ")</f>
        <v>#N/A</v>
      </c>
      <c r="N622" s="1224"/>
      <c r="O622" s="1217">
        <f t="shared" si="292"/>
        <v>1</v>
      </c>
      <c r="P622" s="1218" t="e">
        <f t="shared" ca="1" si="293"/>
        <v>#VALUE!</v>
      </c>
      <c r="Q622" s="1219" t="e">
        <f ca="1">IF(AND(INDEX(FlowCalConstA,MATCH(N617,FlowCalNumber,0),1,1)*P622^INDEX(FlowCalConstB,MATCH(N617,FlowCalNumber,0),1,1)&gt;INDEX(FlowCalLowSetting,MATCH(N617,FlowCalNumber,0),1,1), (INDEX(FlowCalConstA,MATCH(N617,FlowCalNumber,0),1,1)*P622^INDEX(FlowCalConstB,MATCH(N617,FlowCalNumber,0),1,1)&lt;INDEX(FlowCalHighSetting,MATCH(N617,FlowCalNumber,0),1,1))),INDEX(FlowCalConstA,MATCH(N617,FlowCalNumber,0),1,1)*P622^INDEX(FlowCalConstB,MATCH(N617,FlowCalNumber,0),1,1)," ")</f>
        <v>#N/A</v>
      </c>
      <c r="R622" s="1224"/>
      <c r="S622" s="1217">
        <f t="shared" si="294"/>
        <v>1</v>
      </c>
      <c r="T622" s="1218" t="e">
        <f t="shared" ca="1" si="295"/>
        <v>#VALUE!</v>
      </c>
      <c r="U622" s="1219" t="e">
        <f ca="1">IF(AND(INDEX(FlowCalConstA,MATCH(R617,FlowCalNumber,0),1,1)*T622^INDEX(FlowCalConstB,MATCH(R617,FlowCalNumber,0),1,1)&gt;INDEX(FlowCalLowSetting,MATCH(R617,FlowCalNumber,0),1,1), (INDEX(FlowCalConstA,MATCH(R617,FlowCalNumber,0),1,1)*T622^INDEX(FlowCalConstB,MATCH(R617,FlowCalNumber,0),1,1)&lt;INDEX(FlowCalHighSetting,MATCH(R617,FlowCalNumber,0),1,1))),INDEX(FlowCalConstA,MATCH(R617,FlowCalNumber,0),1,1)*T622^INDEX(FlowCalConstB,MATCH(R617,FlowCalNumber,0),1,1)," ")</f>
        <v>#N/A</v>
      </c>
      <c r="V622" s="1224"/>
      <c r="W622" s="1217"/>
      <c r="X622" s="1218"/>
      <c r="Y622" s="1219"/>
      <c r="Z622" s="1224"/>
      <c r="AA622" s="1217"/>
      <c r="AB622" s="1218"/>
      <c r="AC622" s="1219"/>
      <c r="AD622" s="1224"/>
      <c r="AE622" s="1217"/>
      <c r="AF622" s="1218"/>
      <c r="AG622" s="1219"/>
      <c r="AH622" s="1224"/>
      <c r="AI622" s="1217"/>
      <c r="AJ622" s="1218"/>
      <c r="AK622" s="1220"/>
      <c r="AL622" s="1219"/>
      <c r="AM622" s="1219"/>
      <c r="AN622" s="1219"/>
      <c r="AO622" s="1219"/>
      <c r="AP622" s="1219"/>
      <c r="AQ622" s="1219"/>
      <c r="AR622" s="1219"/>
      <c r="AS622" s="1219"/>
      <c r="AT622" s="1219"/>
      <c r="AU622" s="1219"/>
      <c r="AV622" s="1219"/>
      <c r="AW622" s="1219"/>
      <c r="AX622" s="1219"/>
      <c r="AY622" s="1219"/>
      <c r="AZ622" s="1219"/>
      <c r="BA622" s="1219"/>
      <c r="BB622" s="1219"/>
      <c r="BC622" s="1219"/>
      <c r="BD622" s="1219"/>
      <c r="BE622" s="1219"/>
      <c r="BF622" s="1219"/>
      <c r="BG622" s="1219"/>
      <c r="BH622" s="1219"/>
      <c r="BI622" s="1219"/>
      <c r="BJ622" s="1219"/>
      <c r="BK622" s="1219"/>
      <c r="BL622" s="1219"/>
      <c r="BM622" s="1219"/>
      <c r="BN622" s="1219"/>
      <c r="BO622" s="1219"/>
      <c r="BP622" s="1219"/>
      <c r="BQ622" s="1219"/>
      <c r="BR622" s="1219"/>
      <c r="BS622" s="1219"/>
      <c r="BU622" s="1217"/>
      <c r="BW622" s="1219"/>
      <c r="BY622" s="1217"/>
      <c r="CA622" s="1219"/>
      <c r="CC622" s="1217"/>
      <c r="CE622" s="1219"/>
      <c r="CG622" s="1217"/>
      <c r="CI622" s="1219"/>
    </row>
    <row r="623" spans="1:87">
      <c r="A623" s="20"/>
      <c r="B623" s="124" t="str">
        <f t="shared" si="288"/>
        <v/>
      </c>
      <c r="C623" s="235"/>
      <c r="D623" s="24">
        <f>'1% Wind'!$M$87</f>
        <v>13.5</v>
      </c>
      <c r="E623" s="90"/>
      <c r="F623" s="90"/>
      <c r="G623" s="79">
        <f ca="1">IF(I617=0.9743,$G622,MAX(G622/D622*D623,2))</f>
        <v>2</v>
      </c>
      <c r="H623" s="121" t="e">
        <f t="shared" ca="1" si="289"/>
        <v>#VALUE!</v>
      </c>
      <c r="J623" s="33"/>
      <c r="K623" s="242">
        <f t="shared" si="290"/>
        <v>1</v>
      </c>
      <c r="L623" s="241" t="e">
        <f t="shared" ca="1" si="291"/>
        <v>#VALUE!</v>
      </c>
      <c r="M623" s="243" t="e">
        <f ca="1">IF(AND(INDEX(FlowCalConstA,MATCH(J617,FlowCalNumber,0),1,1)*L623^INDEX(FlowCalConstB,MATCH(J617,FlowCalNumber,0),1,1)&gt;INDEX(FlowCalLowSetting,MATCH(J617,FlowCalNumber,0),1,1), (INDEX(FlowCalConstA,MATCH(J617,FlowCalNumber,0),1,1)*L623^INDEX(FlowCalConstB,MATCH(J617,FlowCalNumber,0),1,1)&lt;INDEX(FlowCalHighSetting,MATCH(J617,FlowCalNumber,0),1,1))),INDEX(FlowCalConstA,MATCH(J617,FlowCalNumber,0),1,1)*L623^INDEX(FlowCalConstB,MATCH(J617,FlowCalNumber,0),1,1)," ")</f>
        <v>#N/A</v>
      </c>
      <c r="N623" s="33"/>
      <c r="O623" s="242">
        <f t="shared" si="292"/>
        <v>1</v>
      </c>
      <c r="P623" s="241" t="e">
        <f t="shared" ca="1" si="293"/>
        <v>#VALUE!</v>
      </c>
      <c r="Q623" s="243" t="e">
        <f ca="1">IF(AND(INDEX(FlowCalConstA,MATCH(N617,FlowCalNumber,0),1,1)*P623^INDEX(FlowCalConstB,MATCH(N617,FlowCalNumber,0),1,1)&gt;INDEX(FlowCalLowSetting,MATCH(N617,FlowCalNumber,0),1,1), (INDEX(FlowCalConstA,MATCH(N617,FlowCalNumber,0),1,1)*P623^INDEX(FlowCalConstB,MATCH(N617,FlowCalNumber,0),1,1)&lt;INDEX(FlowCalHighSetting,MATCH(N617,FlowCalNumber,0),1,1))),INDEX(FlowCalConstA,MATCH(N617,FlowCalNumber,0),1,1)*P623^INDEX(FlowCalConstB,MATCH(N617,FlowCalNumber,0),1,1)," ")</f>
        <v>#N/A</v>
      </c>
      <c r="R623" s="33"/>
      <c r="S623" s="242">
        <f t="shared" si="294"/>
        <v>1</v>
      </c>
      <c r="T623" s="241" t="e">
        <f t="shared" ca="1" si="295"/>
        <v>#VALUE!</v>
      </c>
      <c r="U623" s="243" t="e">
        <f ca="1">IF(AND(INDEX(FlowCalConstA,MATCH(R617,FlowCalNumber,0),1,1)*T623^INDEX(FlowCalConstB,MATCH(R617,FlowCalNumber,0),1,1)&gt;INDEX(FlowCalLowSetting,MATCH(R617,FlowCalNumber,0),1,1), (INDEX(FlowCalConstA,MATCH(R617,FlowCalNumber,0),1,1)*T623^INDEX(FlowCalConstB,MATCH(R617,FlowCalNumber,0),1,1)&lt;INDEX(FlowCalHighSetting,MATCH(R617,FlowCalNumber,0),1,1))),INDEX(FlowCalConstA,MATCH(R617,FlowCalNumber,0),1,1)*T623^INDEX(FlowCalConstB,MATCH(R617,FlowCalNumber,0),1,1)," ")</f>
        <v>#N/A</v>
      </c>
      <c r="V623" s="33"/>
      <c r="W623" s="242"/>
      <c r="X623" s="241"/>
      <c r="Y623" s="243"/>
      <c r="Z623" s="33"/>
      <c r="AA623" s="242"/>
      <c r="AB623" s="241"/>
      <c r="AC623" s="243"/>
      <c r="AD623" s="33"/>
      <c r="AE623" s="242"/>
      <c r="AF623" s="241"/>
      <c r="AG623" s="243"/>
      <c r="AH623" s="33"/>
      <c r="AI623" s="242"/>
      <c r="AJ623" s="241"/>
      <c r="AK623" s="244"/>
      <c r="AL623" s="243"/>
      <c r="AM623" s="243"/>
      <c r="AN623" s="243"/>
      <c r="AO623" s="243"/>
      <c r="AP623" s="243"/>
      <c r="AQ623" s="243"/>
      <c r="AR623" s="243"/>
      <c r="AS623" s="243"/>
      <c r="AT623" s="243"/>
      <c r="AU623" s="243"/>
      <c r="AV623" s="243"/>
      <c r="AW623" s="243"/>
      <c r="AX623" s="243"/>
      <c r="AY623" s="243"/>
      <c r="AZ623" s="243"/>
      <c r="BA623" s="243"/>
      <c r="BB623" s="243"/>
      <c r="BC623" s="243"/>
      <c r="BD623" s="243"/>
      <c r="BE623" s="243"/>
      <c r="BF623" s="243"/>
      <c r="BG623" s="243"/>
      <c r="BH623" s="243"/>
      <c r="BI623" s="243"/>
      <c r="BJ623" s="243"/>
      <c r="BK623" s="243"/>
      <c r="BL623" s="243"/>
      <c r="BM623" s="243"/>
      <c r="BN623" s="243"/>
      <c r="BO623" s="243"/>
      <c r="BP623" s="243"/>
      <c r="BQ623" s="243"/>
      <c r="BR623" s="243"/>
      <c r="BS623" s="243"/>
      <c r="BU623" s="242"/>
      <c r="BW623" s="243"/>
      <c r="BY623" s="242"/>
      <c r="CA623" s="243"/>
      <c r="CC623" s="242"/>
      <c r="CE623" s="243"/>
      <c r="CG623" s="242"/>
      <c r="CI623" s="243"/>
    </row>
    <row r="624" spans="1:87" s="1215" customFormat="1">
      <c r="A624" s="1222"/>
      <c r="B624" s="1223" t="str">
        <f t="shared" si="288"/>
        <v/>
      </c>
      <c r="C624" s="1210"/>
      <c r="D624" s="1211">
        <f>'1% Wind'!$M$88</f>
        <v>10.1</v>
      </c>
      <c r="E624" s="1212"/>
      <c r="F624" s="1212"/>
      <c r="G624" s="1213">
        <f ca="1">IF(I617=0.9743,$G623,MAX(G623/D623*D624,2))</f>
        <v>2</v>
      </c>
      <c r="H624" s="1214" t="e">
        <f t="shared" ca="1" si="289"/>
        <v>#VALUE!</v>
      </c>
      <c r="J624" s="1224"/>
      <c r="K624" s="1217">
        <f t="shared" si="290"/>
        <v>1</v>
      </c>
      <c r="L624" s="1218" t="e">
        <f t="shared" ca="1" si="291"/>
        <v>#VALUE!</v>
      </c>
      <c r="M624" s="1219" t="e">
        <f ca="1">IF(AND(INDEX(FlowCalConstA,MATCH(J617,FlowCalNumber,0),1,1)*L624^INDEX(FlowCalConstB,MATCH(J617,FlowCalNumber,0),1,1)&gt;INDEX(FlowCalLowSetting,MATCH(J617,FlowCalNumber,0),1,1), (INDEX(FlowCalConstA,MATCH(J617,FlowCalNumber,0),1,1)*L624^INDEX(FlowCalConstB,MATCH(J617,FlowCalNumber,0),1,1)&lt;INDEX(FlowCalHighSetting,MATCH(J617,FlowCalNumber,0),1,1))),INDEX(FlowCalConstA,MATCH(J617,FlowCalNumber,0),1,1)*L624^INDEX(FlowCalConstB,MATCH(J617,FlowCalNumber,0),1,1)," ")</f>
        <v>#N/A</v>
      </c>
      <c r="N624" s="1224"/>
      <c r="O624" s="1217">
        <f t="shared" si="292"/>
        <v>1</v>
      </c>
      <c r="P624" s="1218" t="e">
        <f t="shared" ca="1" si="293"/>
        <v>#VALUE!</v>
      </c>
      <c r="Q624" s="1219" t="e">
        <f ca="1">IF(AND(INDEX(FlowCalConstA,MATCH(N617,FlowCalNumber,0),1,1)*P624^INDEX(FlowCalConstB,MATCH(N617,FlowCalNumber,0),1,1)&gt;INDEX(FlowCalLowSetting,MATCH(N617,FlowCalNumber,0),1,1), (INDEX(FlowCalConstA,MATCH(N617,FlowCalNumber,0),1,1)*P624^INDEX(FlowCalConstB,MATCH(N617,FlowCalNumber,0),1,1)&lt;INDEX(FlowCalHighSetting,MATCH(N617,FlowCalNumber,0),1,1))),INDEX(FlowCalConstA,MATCH(N617,FlowCalNumber,0),1,1)*P624^INDEX(FlowCalConstB,MATCH(N617,FlowCalNumber,0),1,1)," ")</f>
        <v>#N/A</v>
      </c>
      <c r="R624" s="1224"/>
      <c r="S624" s="1217">
        <f t="shared" si="294"/>
        <v>1</v>
      </c>
      <c r="T624" s="1218" t="e">
        <f t="shared" ca="1" si="295"/>
        <v>#VALUE!</v>
      </c>
      <c r="U624" s="1219" t="e">
        <f ca="1">IF(AND(INDEX(FlowCalConstA,MATCH(R617,FlowCalNumber,0),1,1)*T624^INDEX(FlowCalConstB,MATCH(R617,FlowCalNumber,0),1,1)&gt;INDEX(FlowCalLowSetting,MATCH(R617,FlowCalNumber,0),1,1), (INDEX(FlowCalConstA,MATCH(R617,FlowCalNumber,0),1,1)*T624^INDEX(FlowCalConstB,MATCH(R617,FlowCalNumber,0),1,1)&lt;INDEX(FlowCalHighSetting,MATCH(R617,FlowCalNumber,0),1,1))),INDEX(FlowCalConstA,MATCH(R617,FlowCalNumber,0),1,1)*T624^INDEX(FlowCalConstB,MATCH(R617,FlowCalNumber,0),1,1)," ")</f>
        <v>#N/A</v>
      </c>
      <c r="V624" s="1224"/>
      <c r="W624" s="1217"/>
      <c r="X624" s="1218"/>
      <c r="Y624" s="1219"/>
      <c r="Z624" s="1224"/>
      <c r="AA624" s="1217"/>
      <c r="AB624" s="1218"/>
      <c r="AC624" s="1219"/>
      <c r="AD624" s="1224"/>
      <c r="AE624" s="1217"/>
      <c r="AF624" s="1218"/>
      <c r="AG624" s="1219"/>
      <c r="AH624" s="1224"/>
      <c r="AI624" s="1217"/>
      <c r="AJ624" s="1218"/>
      <c r="AK624" s="1220"/>
      <c r="AL624" s="1219"/>
      <c r="AM624" s="1219"/>
      <c r="AN624" s="1219"/>
      <c r="AO624" s="1219"/>
      <c r="AP624" s="1219"/>
      <c r="AQ624" s="1219"/>
      <c r="AR624" s="1219"/>
      <c r="AS624" s="1219"/>
      <c r="AT624" s="1219"/>
      <c r="AU624" s="1219"/>
      <c r="AV624" s="1219"/>
      <c r="AW624" s="1219"/>
      <c r="AX624" s="1219"/>
      <c r="AY624" s="1219"/>
      <c r="AZ624" s="1219"/>
      <c r="BA624" s="1219"/>
      <c r="BB624" s="1219"/>
      <c r="BC624" s="1219"/>
      <c r="BD624" s="1219"/>
      <c r="BE624" s="1219"/>
      <c r="BF624" s="1219"/>
      <c r="BG624" s="1219"/>
      <c r="BH624" s="1219"/>
      <c r="BI624" s="1219"/>
      <c r="BJ624" s="1219"/>
      <c r="BK624" s="1219"/>
      <c r="BL624" s="1219"/>
      <c r="BM624" s="1219"/>
      <c r="BN624" s="1219"/>
      <c r="BO624" s="1219"/>
      <c r="BP624" s="1219"/>
      <c r="BQ624" s="1219"/>
      <c r="BR624" s="1219"/>
      <c r="BS624" s="1219"/>
      <c r="BU624" s="1217"/>
      <c r="BW624" s="1219"/>
      <c r="BY624" s="1217"/>
      <c r="CA624" s="1219"/>
      <c r="CC624" s="1217"/>
      <c r="CE624" s="1219"/>
      <c r="CG624" s="1217"/>
      <c r="CI624" s="1219"/>
    </row>
    <row r="625" spans="1:87">
      <c r="A625" s="20"/>
      <c r="B625" s="124" t="str">
        <f t="shared" si="288"/>
        <v/>
      </c>
      <c r="C625" s="235"/>
      <c r="D625" s="24">
        <f>'1% Wind'!$M$89</f>
        <v>7.6</v>
      </c>
      <c r="E625" s="90"/>
      <c r="F625" s="90"/>
      <c r="G625" s="79">
        <f ca="1">IF(I617=0.9743,$G624,MAX(G624/D624*D625,2))</f>
        <v>2</v>
      </c>
      <c r="H625" s="121" t="e">
        <f t="shared" ca="1" si="289"/>
        <v>#VALUE!</v>
      </c>
      <c r="J625" s="33"/>
      <c r="K625" s="242">
        <f t="shared" si="290"/>
        <v>1</v>
      </c>
      <c r="L625" s="241" t="e">
        <f t="shared" ca="1" si="291"/>
        <v>#VALUE!</v>
      </c>
      <c r="M625" s="243" t="e">
        <f ca="1">IF(AND(INDEX(FlowCalConstA,MATCH(J617,FlowCalNumber,0),1,1)*L625^INDEX(FlowCalConstB,MATCH(J617,FlowCalNumber,0),1,1)&gt;INDEX(FlowCalLowSetting,MATCH(J617,FlowCalNumber,0),1,1), (INDEX(FlowCalConstA,MATCH(J617,FlowCalNumber,0),1,1)*L625^INDEX(FlowCalConstB,MATCH(J617,FlowCalNumber,0),1,1)&lt;INDEX(FlowCalHighSetting,MATCH(J617,FlowCalNumber,0),1,1))),INDEX(FlowCalConstA,MATCH(J617,FlowCalNumber,0),1,1)*L625^INDEX(FlowCalConstB,MATCH(J617,FlowCalNumber,0),1,1)," ")</f>
        <v>#N/A</v>
      </c>
      <c r="N625" s="33"/>
      <c r="O625" s="242">
        <f t="shared" si="292"/>
        <v>1</v>
      </c>
      <c r="P625" s="241" t="e">
        <f t="shared" ca="1" si="293"/>
        <v>#VALUE!</v>
      </c>
      <c r="Q625" s="243" t="e">
        <f ca="1">IF(AND(INDEX(FlowCalConstA,MATCH(N617,FlowCalNumber,0),1,1)*P625^INDEX(FlowCalConstB,MATCH(N617,FlowCalNumber,0),1,1)&gt;INDEX(FlowCalLowSetting,MATCH(N617,FlowCalNumber,0),1,1), (INDEX(FlowCalConstA,MATCH(N617,FlowCalNumber,0),1,1)*P625^INDEX(FlowCalConstB,MATCH(N617,FlowCalNumber,0),1,1)&lt;INDEX(FlowCalHighSetting,MATCH(N617,FlowCalNumber,0),1,1))),INDEX(FlowCalConstA,MATCH(N617,FlowCalNumber,0),1,1)*P625^INDEX(FlowCalConstB,MATCH(N617,FlowCalNumber,0),1,1)," ")</f>
        <v>#N/A</v>
      </c>
      <c r="R625" s="33"/>
      <c r="S625" s="242">
        <f t="shared" si="294"/>
        <v>1</v>
      </c>
      <c r="T625" s="241" t="e">
        <f t="shared" ca="1" si="295"/>
        <v>#VALUE!</v>
      </c>
      <c r="U625" s="243" t="e">
        <f ca="1">IF(AND(INDEX(FlowCalConstA,MATCH(R617,FlowCalNumber,0),1,1)*T625^INDEX(FlowCalConstB,MATCH(R617,FlowCalNumber,0),1,1)&gt;INDEX(FlowCalLowSetting,MATCH(R617,FlowCalNumber,0),1,1), (INDEX(FlowCalConstA,MATCH(R617,FlowCalNumber,0),1,1)*T625^INDEX(FlowCalConstB,MATCH(R617,FlowCalNumber,0),1,1)&lt;INDEX(FlowCalHighSetting,MATCH(R617,FlowCalNumber,0),1,1))),INDEX(FlowCalConstA,MATCH(R617,FlowCalNumber,0),1,1)*T625^INDEX(FlowCalConstB,MATCH(R617,FlowCalNumber,0),1,1)," ")</f>
        <v>#N/A</v>
      </c>
      <c r="V625" s="33"/>
      <c r="W625" s="242"/>
      <c r="X625" s="241"/>
      <c r="Y625" s="243"/>
      <c r="Z625" s="33"/>
      <c r="AA625" s="242"/>
      <c r="AB625" s="241"/>
      <c r="AC625" s="243"/>
      <c r="AD625" s="33"/>
      <c r="AE625" s="242"/>
      <c r="AF625" s="241"/>
      <c r="AG625" s="243"/>
      <c r="AH625" s="33"/>
      <c r="AI625" s="242"/>
      <c r="AJ625" s="241"/>
      <c r="AK625" s="244"/>
      <c r="AL625" s="243"/>
      <c r="AM625" s="243"/>
      <c r="AN625" s="243"/>
      <c r="AO625" s="243"/>
      <c r="AP625" s="243"/>
      <c r="AQ625" s="243"/>
      <c r="AR625" s="243"/>
      <c r="AS625" s="243"/>
      <c r="AT625" s="243"/>
      <c r="AU625" s="243"/>
      <c r="AV625" s="243"/>
      <c r="AW625" s="243"/>
      <c r="AX625" s="243"/>
      <c r="AY625" s="243"/>
      <c r="AZ625" s="243"/>
      <c r="BA625" s="243"/>
      <c r="BB625" s="243"/>
      <c r="BC625" s="243"/>
      <c r="BD625" s="243"/>
      <c r="BE625" s="243"/>
      <c r="BF625" s="243"/>
      <c r="BG625" s="243"/>
      <c r="BH625" s="243"/>
      <c r="BI625" s="243"/>
      <c r="BJ625" s="243"/>
      <c r="BK625" s="243"/>
      <c r="BL625" s="243"/>
      <c r="BM625" s="243"/>
      <c r="BN625" s="243"/>
      <c r="BO625" s="243"/>
      <c r="BP625" s="243"/>
      <c r="BQ625" s="243"/>
      <c r="BR625" s="243"/>
      <c r="BS625" s="243"/>
      <c r="BU625" s="242"/>
      <c r="BW625" s="243"/>
      <c r="BY625" s="242"/>
      <c r="CA625" s="243"/>
      <c r="CC625" s="242"/>
      <c r="CE625" s="243"/>
      <c r="CG625" s="242"/>
      <c r="CI625" s="243"/>
    </row>
    <row r="626" spans="1:87" s="1215" customFormat="1">
      <c r="A626" s="1222"/>
      <c r="B626" s="1223" t="str">
        <f t="shared" si="288"/>
        <v/>
      </c>
      <c r="C626" s="1210"/>
      <c r="D626" s="1211">
        <f>'1% Wind'!$M$90</f>
        <v>5.7</v>
      </c>
      <c r="E626" s="1212"/>
      <c r="F626" s="1212"/>
      <c r="G626" s="1213">
        <f ca="1">IF(I617=0.9743,$G625,MAX(G625/D625*D626,2))</f>
        <v>2</v>
      </c>
      <c r="H626" s="1214" t="e">
        <f t="shared" ca="1" si="289"/>
        <v>#VALUE!</v>
      </c>
      <c r="J626" s="1224"/>
      <c r="K626" s="1217">
        <f t="shared" si="290"/>
        <v>1</v>
      </c>
      <c r="L626" s="1218" t="e">
        <f t="shared" ca="1" si="291"/>
        <v>#VALUE!</v>
      </c>
      <c r="M626" s="1219" t="e">
        <f ca="1">IF(AND(INDEX(FlowCalConstA,MATCH(J617,FlowCalNumber,0),1,1)*L626^INDEX(FlowCalConstB,MATCH(J617,FlowCalNumber,0),1,1)&gt;INDEX(FlowCalLowSetting,MATCH(J617,FlowCalNumber,0),1,1), (INDEX(FlowCalConstA,MATCH(J617,FlowCalNumber,0),1,1)*L626^INDEX(FlowCalConstB,MATCH(J617,FlowCalNumber,0),1,1)&lt;INDEX(FlowCalHighSetting,MATCH(J617,FlowCalNumber,0),1,1))),INDEX(FlowCalConstA,MATCH(J617,FlowCalNumber,0),1,1)*L626^INDEX(FlowCalConstB,MATCH(J617,FlowCalNumber,0),1,1)," ")</f>
        <v>#N/A</v>
      </c>
      <c r="N626" s="1224"/>
      <c r="O626" s="1217">
        <f t="shared" si="292"/>
        <v>1</v>
      </c>
      <c r="P626" s="1218" t="e">
        <f t="shared" ca="1" si="293"/>
        <v>#VALUE!</v>
      </c>
      <c r="Q626" s="1219" t="e">
        <f ca="1">IF(AND(INDEX(FlowCalConstA,MATCH(N617,FlowCalNumber,0),1,1)*P626^INDEX(FlowCalConstB,MATCH(N617,FlowCalNumber,0),1,1)&gt;INDEX(FlowCalLowSetting,MATCH(N617,FlowCalNumber,0),1,1), (INDEX(FlowCalConstA,MATCH(N617,FlowCalNumber,0),1,1)*P626^INDEX(FlowCalConstB,MATCH(N617,FlowCalNumber,0),1,1)&lt;INDEX(FlowCalHighSetting,MATCH(N617,FlowCalNumber,0),1,1))),INDEX(FlowCalConstA,MATCH(N617,FlowCalNumber,0),1,1)*P626^INDEX(FlowCalConstB,MATCH(N617,FlowCalNumber,0),1,1)," ")</f>
        <v>#N/A</v>
      </c>
      <c r="R626" s="1224"/>
      <c r="S626" s="1217">
        <f t="shared" si="294"/>
        <v>1</v>
      </c>
      <c r="T626" s="1218" t="e">
        <f t="shared" ca="1" si="295"/>
        <v>#VALUE!</v>
      </c>
      <c r="U626" s="1219" t="e">
        <f ca="1">IF(AND(INDEX(FlowCalConstA,MATCH(R617,FlowCalNumber,0),1,1)*T626^INDEX(FlowCalConstB,MATCH(R617,FlowCalNumber,0),1,1)&gt;INDEX(FlowCalLowSetting,MATCH(R617,FlowCalNumber,0),1,1), (INDEX(FlowCalConstA,MATCH(R617,FlowCalNumber,0),1,1)*T626^INDEX(FlowCalConstB,MATCH(R617,FlowCalNumber,0),1,1)&lt;INDEX(FlowCalHighSetting,MATCH(R617,FlowCalNumber,0),1,1))),INDEX(FlowCalConstA,MATCH(R617,FlowCalNumber,0),1,1)*T626^INDEX(FlowCalConstB,MATCH(R617,FlowCalNumber,0),1,1)," ")</f>
        <v>#N/A</v>
      </c>
      <c r="V626" s="1224"/>
      <c r="W626" s="1217"/>
      <c r="X626" s="1218"/>
      <c r="Y626" s="1219"/>
      <c r="Z626" s="1224"/>
      <c r="AA626" s="1217"/>
      <c r="AB626" s="1218"/>
      <c r="AC626" s="1219"/>
      <c r="AD626" s="1224"/>
      <c r="AE626" s="1217"/>
      <c r="AF626" s="1218"/>
      <c r="AG626" s="1219"/>
      <c r="AH626" s="1224"/>
      <c r="AI626" s="1217"/>
      <c r="AJ626" s="1218"/>
      <c r="AK626" s="1220"/>
      <c r="AL626" s="1219"/>
      <c r="AM626" s="1219"/>
      <c r="AN626" s="1219"/>
      <c r="AO626" s="1219"/>
      <c r="AP626" s="1219"/>
      <c r="AQ626" s="1219"/>
      <c r="AR626" s="1219"/>
      <c r="AS626" s="1219"/>
      <c r="AT626" s="1219"/>
      <c r="AU626" s="1219"/>
      <c r="AV626" s="1219"/>
      <c r="AW626" s="1219"/>
      <c r="AX626" s="1219"/>
      <c r="AY626" s="1219"/>
      <c r="AZ626" s="1219"/>
      <c r="BA626" s="1219"/>
      <c r="BB626" s="1219"/>
      <c r="BC626" s="1219"/>
      <c r="BD626" s="1219"/>
      <c r="BE626" s="1219"/>
      <c r="BF626" s="1219"/>
      <c r="BG626" s="1219"/>
      <c r="BH626" s="1219"/>
      <c r="BI626" s="1219"/>
      <c r="BJ626" s="1219"/>
      <c r="BK626" s="1219"/>
      <c r="BL626" s="1219"/>
      <c r="BM626" s="1219"/>
      <c r="BN626" s="1219"/>
      <c r="BO626" s="1219"/>
      <c r="BP626" s="1219"/>
      <c r="BQ626" s="1219"/>
      <c r="BR626" s="1219"/>
      <c r="BS626" s="1219"/>
      <c r="BU626" s="1217"/>
      <c r="BW626" s="1219"/>
      <c r="BY626" s="1217"/>
      <c r="CA626" s="1219"/>
      <c r="CC626" s="1217"/>
      <c r="CE626" s="1219"/>
      <c r="CG626" s="1217"/>
      <c r="CI626" s="1219"/>
    </row>
    <row r="627" spans="1:87">
      <c r="A627" s="20"/>
      <c r="B627" s="124" t="str">
        <f t="shared" si="288"/>
        <v/>
      </c>
      <c r="C627" s="235"/>
      <c r="D627" s="24">
        <f>'1% Wind'!$M$91</f>
        <v>4.2</v>
      </c>
      <c r="E627" s="90"/>
      <c r="F627" s="90"/>
      <c r="G627" s="79">
        <f ca="1">IF(I617=0.9743,$G626,MAX(G626/D626*D627,2))</f>
        <v>2</v>
      </c>
      <c r="H627" s="121" t="e">
        <f t="shared" ca="1" si="289"/>
        <v>#VALUE!</v>
      </c>
      <c r="J627" s="33"/>
      <c r="K627" s="242">
        <f t="shared" si="290"/>
        <v>1</v>
      </c>
      <c r="L627" s="241" t="e">
        <f t="shared" ca="1" si="291"/>
        <v>#VALUE!</v>
      </c>
      <c r="M627" s="243" t="e">
        <f ca="1">IF(AND(INDEX(FlowCalConstA,MATCH(J617,FlowCalNumber,0),1,1)*L627^INDEX(FlowCalConstB,MATCH(J617,FlowCalNumber,0),1,1)&gt;INDEX(FlowCalLowSetting,MATCH(J617,FlowCalNumber,0),1,1), (INDEX(FlowCalConstA,MATCH(J617,FlowCalNumber,0),1,1)*L627^INDEX(FlowCalConstB,MATCH(J617,FlowCalNumber,0),1,1)&lt;INDEX(FlowCalHighSetting,MATCH(J617,FlowCalNumber,0),1,1))),INDEX(FlowCalConstA,MATCH(J617,FlowCalNumber,0),1,1)*L627^INDEX(FlowCalConstB,MATCH(J617,FlowCalNumber,0),1,1)," ")</f>
        <v>#N/A</v>
      </c>
      <c r="N627" s="33"/>
      <c r="O627" s="242">
        <f t="shared" si="292"/>
        <v>1</v>
      </c>
      <c r="P627" s="241" t="e">
        <f t="shared" ca="1" si="293"/>
        <v>#VALUE!</v>
      </c>
      <c r="Q627" s="243" t="e">
        <f ca="1">IF(AND(INDEX(FlowCalConstA,MATCH(N617,FlowCalNumber,0),1,1)*P627^INDEX(FlowCalConstB,MATCH(N617,FlowCalNumber,0),1,1)&gt;INDEX(FlowCalLowSetting,MATCH(N617,FlowCalNumber,0),1,1), (INDEX(FlowCalConstA,MATCH(N617,FlowCalNumber,0),1,1)*P627^INDEX(FlowCalConstB,MATCH(N617,FlowCalNumber,0),1,1)&lt;INDEX(FlowCalHighSetting,MATCH(N617,FlowCalNumber,0),1,1))),INDEX(FlowCalConstA,MATCH(N617,FlowCalNumber,0),1,1)*P627^INDEX(FlowCalConstB,MATCH(N617,FlowCalNumber,0),1,1)," ")</f>
        <v>#N/A</v>
      </c>
      <c r="R627" s="33"/>
      <c r="S627" s="242">
        <f t="shared" si="294"/>
        <v>1</v>
      </c>
      <c r="T627" s="241" t="e">
        <f t="shared" ca="1" si="295"/>
        <v>#VALUE!</v>
      </c>
      <c r="U627" s="243" t="e">
        <f ca="1">IF(AND(INDEX(FlowCalConstA,MATCH(R617,FlowCalNumber,0),1,1)*T627^INDEX(FlowCalConstB,MATCH(R617,FlowCalNumber,0),1,1)&gt;INDEX(FlowCalLowSetting,MATCH(R617,FlowCalNumber,0),1,1), (INDEX(FlowCalConstA,MATCH(R617,FlowCalNumber,0),1,1)*T627^INDEX(FlowCalConstB,MATCH(R617,FlowCalNumber,0),1,1)&lt;INDEX(FlowCalHighSetting,MATCH(R617,FlowCalNumber,0),1,1))),INDEX(FlowCalConstA,MATCH(R617,FlowCalNumber,0),1,1)*T627^INDEX(FlowCalConstB,MATCH(R617,FlowCalNumber,0),1,1)," ")</f>
        <v>#N/A</v>
      </c>
      <c r="V627" s="33"/>
      <c r="W627" s="242"/>
      <c r="X627" s="241"/>
      <c r="Y627" s="243"/>
      <c r="Z627" s="33"/>
      <c r="AA627" s="242"/>
      <c r="AB627" s="241"/>
      <c r="AC627" s="243"/>
      <c r="AD627" s="33"/>
      <c r="AE627" s="242"/>
      <c r="AF627" s="241"/>
      <c r="AG627" s="243"/>
      <c r="AH627" s="33"/>
      <c r="AI627" s="242"/>
      <c r="AJ627" s="241"/>
      <c r="AK627" s="244"/>
      <c r="AL627" s="243"/>
      <c r="AM627" s="243"/>
      <c r="AN627" s="243"/>
      <c r="AO627" s="243"/>
      <c r="AP627" s="243"/>
      <c r="AQ627" s="243"/>
      <c r="AR627" s="243"/>
      <c r="AS627" s="243"/>
      <c r="AT627" s="243"/>
      <c r="AU627" s="243"/>
      <c r="AV627" s="243"/>
      <c r="AW627" s="243"/>
      <c r="AX627" s="243"/>
      <c r="AY627" s="243"/>
      <c r="AZ627" s="243"/>
      <c r="BA627" s="243"/>
      <c r="BB627" s="243"/>
      <c r="BC627" s="243"/>
      <c r="BD627" s="243"/>
      <c r="BE627" s="243"/>
      <c r="BF627" s="243"/>
      <c r="BG627" s="243"/>
      <c r="BH627" s="243"/>
      <c r="BI627" s="243"/>
      <c r="BJ627" s="243"/>
      <c r="BK627" s="243"/>
      <c r="BL627" s="243"/>
      <c r="BM627" s="243"/>
      <c r="BN627" s="243"/>
      <c r="BO627" s="243"/>
      <c r="BP627" s="243"/>
      <c r="BQ627" s="243"/>
      <c r="BR627" s="243"/>
      <c r="BS627" s="243"/>
      <c r="BU627" s="242"/>
      <c r="BW627" s="243"/>
      <c r="BY627" s="242"/>
      <c r="CA627" s="243"/>
      <c r="CC627" s="242"/>
      <c r="CE627" s="243"/>
      <c r="CG627" s="242"/>
      <c r="CI627" s="243"/>
    </row>
    <row r="628" spans="1:87" s="1215" customFormat="1">
      <c r="A628" s="1222"/>
      <c r="B628" s="1223" t="str">
        <f t="shared" si="288"/>
        <v/>
      </c>
      <c r="C628" s="1210"/>
      <c r="D628" s="1211">
        <f>'1% Wind'!$M$92</f>
        <v>3.2</v>
      </c>
      <c r="E628" s="1212"/>
      <c r="F628" s="1212"/>
      <c r="G628" s="1213">
        <f ca="1">IF(I617=0.9743,$G627,MAX(G627/D627*D628,2))</f>
        <v>2</v>
      </c>
      <c r="H628" s="1214" t="e">
        <f t="shared" ca="1" si="289"/>
        <v>#VALUE!</v>
      </c>
      <c r="J628" s="1224"/>
      <c r="K628" s="1217">
        <f t="shared" si="290"/>
        <v>1</v>
      </c>
      <c r="L628" s="1218" t="e">
        <f t="shared" ca="1" si="291"/>
        <v>#VALUE!</v>
      </c>
      <c r="M628" s="1219" t="e">
        <f ca="1">IF(AND(INDEX(FlowCalConstA,MATCH(J617,FlowCalNumber,0),1,1)*L628^INDEX(FlowCalConstB,MATCH(J617,FlowCalNumber,0),1,1)&gt;INDEX(FlowCalLowSetting,MATCH(J617,FlowCalNumber,0),1,1), (INDEX(FlowCalConstA,MATCH(J617,FlowCalNumber,0),1,1)*L628^INDEX(FlowCalConstB,MATCH(J617,FlowCalNumber,0),1,1)&lt;INDEX(FlowCalHighSetting,MATCH(J617,FlowCalNumber,0),1,1))),INDEX(FlowCalConstA,MATCH(J617,FlowCalNumber,0),1,1)*L628^INDEX(FlowCalConstB,MATCH(J617,FlowCalNumber,0),1,1)," ")</f>
        <v>#N/A</v>
      </c>
      <c r="N628" s="1224"/>
      <c r="O628" s="1217">
        <f t="shared" si="292"/>
        <v>1</v>
      </c>
      <c r="P628" s="1218" t="e">
        <f t="shared" ca="1" si="293"/>
        <v>#VALUE!</v>
      </c>
      <c r="Q628" s="1219" t="e">
        <f ca="1">IF(AND(INDEX(FlowCalConstA,MATCH(N617,FlowCalNumber,0),1,1)*P628^INDEX(FlowCalConstB,MATCH(N617,FlowCalNumber,0),1,1)&gt;INDEX(FlowCalLowSetting,MATCH(N617,FlowCalNumber,0),1,1), (INDEX(FlowCalConstA,MATCH(N617,FlowCalNumber,0),1,1)*P628^INDEX(FlowCalConstB,MATCH(N617,FlowCalNumber,0),1,1)&lt;INDEX(FlowCalHighSetting,MATCH(N617,FlowCalNumber,0),1,1))),INDEX(FlowCalConstA,MATCH(N617,FlowCalNumber,0),1,1)*P628^INDEX(FlowCalConstB,MATCH(N617,FlowCalNumber,0),1,1)," ")</f>
        <v>#N/A</v>
      </c>
      <c r="R628" s="1224"/>
      <c r="S628" s="1217">
        <f t="shared" si="294"/>
        <v>1</v>
      </c>
      <c r="T628" s="1218" t="e">
        <f t="shared" ca="1" si="295"/>
        <v>#VALUE!</v>
      </c>
      <c r="U628" s="1219" t="e">
        <f ca="1">IF(AND(INDEX(FlowCalConstA,MATCH(R617,FlowCalNumber,0),1,1)*T628^INDEX(FlowCalConstB,MATCH(R617,FlowCalNumber,0),1,1)&gt;INDEX(FlowCalLowSetting,MATCH(R617,FlowCalNumber,0),1,1), (INDEX(FlowCalConstA,MATCH(R617,FlowCalNumber,0),1,1)*T628^INDEX(FlowCalConstB,MATCH(R617,FlowCalNumber,0),1,1)&lt;INDEX(FlowCalHighSetting,MATCH(R617,FlowCalNumber,0),1,1))),INDEX(FlowCalConstA,MATCH(R617,FlowCalNumber,0),1,1)*T628^INDEX(FlowCalConstB,MATCH(R617,FlowCalNumber,0),1,1)," ")</f>
        <v>#N/A</v>
      </c>
      <c r="V628" s="1224"/>
      <c r="W628" s="1217"/>
      <c r="X628" s="1218"/>
      <c r="Y628" s="1219"/>
      <c r="Z628" s="1224"/>
      <c r="AA628" s="1217"/>
      <c r="AB628" s="1218"/>
      <c r="AC628" s="1219"/>
      <c r="AD628" s="1224"/>
      <c r="AE628" s="1217"/>
      <c r="AF628" s="1218"/>
      <c r="AG628" s="1219"/>
      <c r="AH628" s="1224"/>
      <c r="AI628" s="1217"/>
      <c r="AJ628" s="1218"/>
      <c r="AK628" s="1220"/>
      <c r="AL628" s="1219"/>
      <c r="AM628" s="1219"/>
      <c r="AN628" s="1219"/>
      <c r="AO628" s="1219"/>
      <c r="AP628" s="1219"/>
      <c r="AQ628" s="1219"/>
      <c r="AR628" s="1219"/>
      <c r="AS628" s="1219"/>
      <c r="AT628" s="1219"/>
      <c r="AU628" s="1219"/>
      <c r="AV628" s="1219"/>
      <c r="AW628" s="1219"/>
      <c r="AX628" s="1219"/>
      <c r="AY628" s="1219"/>
      <c r="AZ628" s="1219"/>
      <c r="BA628" s="1219"/>
      <c r="BB628" s="1219"/>
      <c r="BC628" s="1219"/>
      <c r="BD628" s="1219"/>
      <c r="BE628" s="1219"/>
      <c r="BF628" s="1219"/>
      <c r="BG628" s="1219"/>
      <c r="BH628" s="1219"/>
      <c r="BI628" s="1219"/>
      <c r="BJ628" s="1219"/>
      <c r="BK628" s="1219"/>
      <c r="BL628" s="1219"/>
      <c r="BM628" s="1219"/>
      <c r="BN628" s="1219"/>
      <c r="BO628" s="1219"/>
      <c r="BP628" s="1219"/>
      <c r="BQ628" s="1219"/>
      <c r="BR628" s="1219"/>
      <c r="BS628" s="1219"/>
      <c r="BU628" s="1217"/>
      <c r="BW628" s="1219"/>
      <c r="BY628" s="1217"/>
      <c r="CA628" s="1219"/>
      <c r="CC628" s="1217"/>
      <c r="CE628" s="1219"/>
      <c r="CG628" s="1217"/>
      <c r="CI628" s="1219"/>
    </row>
    <row r="629" spans="1:87">
      <c r="A629" s="20"/>
      <c r="B629" s="124" t="str">
        <f t="shared" si="288"/>
        <v/>
      </c>
      <c r="C629" s="235"/>
      <c r="D629" s="24">
        <f>'1% Wind'!$M$93</f>
        <v>2.4</v>
      </c>
      <c r="E629" s="90"/>
      <c r="F629" s="90"/>
      <c r="G629" s="79">
        <f ca="1">IF(I617=0.9743,$G628,MAX(G628/D628*D629,2))</f>
        <v>2</v>
      </c>
      <c r="H629" s="121" t="e">
        <f t="shared" ca="1" si="289"/>
        <v>#VALUE!</v>
      </c>
      <c r="J629" s="33"/>
      <c r="K629" s="242">
        <f t="shared" si="290"/>
        <v>1</v>
      </c>
      <c r="L629" s="241" t="e">
        <f t="shared" ca="1" si="291"/>
        <v>#VALUE!</v>
      </c>
      <c r="M629" s="243" t="e">
        <f ca="1">IF(AND(INDEX(FlowCalConstA,MATCH(J617,FlowCalNumber,0),1,1)*L629^INDEX(FlowCalConstB,MATCH(J617,FlowCalNumber,0),1,1)&gt;INDEX(FlowCalLowSetting,MATCH(J617,FlowCalNumber,0),1,1), (INDEX(FlowCalConstA,MATCH(J617,FlowCalNumber,0),1,1)*L629^INDEX(FlowCalConstB,MATCH(J617,FlowCalNumber,0),1,1)&lt;INDEX(FlowCalHighSetting,MATCH(J617,FlowCalNumber,0),1,1))),INDEX(FlowCalConstA,MATCH(J617,FlowCalNumber,0),1,1)*L629^INDEX(FlowCalConstB,MATCH(J617,FlowCalNumber,0),1,1)," ")</f>
        <v>#N/A</v>
      </c>
      <c r="N629" s="33"/>
      <c r="O629" s="242">
        <f t="shared" si="292"/>
        <v>1</v>
      </c>
      <c r="P629" s="241" t="e">
        <f t="shared" ca="1" si="293"/>
        <v>#VALUE!</v>
      </c>
      <c r="Q629" s="243" t="e">
        <f ca="1">IF(AND(INDEX(FlowCalConstA,MATCH(N617,FlowCalNumber,0),1,1)*P629^INDEX(FlowCalConstB,MATCH(N617,FlowCalNumber,0),1,1)&gt;INDEX(FlowCalLowSetting,MATCH(N617,FlowCalNumber,0),1,1), (INDEX(FlowCalConstA,MATCH(N617,FlowCalNumber,0),1,1)*P629^INDEX(FlowCalConstB,MATCH(N617,FlowCalNumber,0),1,1)&lt;INDEX(FlowCalHighSetting,MATCH(N617,FlowCalNumber,0),1,1))),INDEX(FlowCalConstA,MATCH(N617,FlowCalNumber,0),1,1)*P629^INDEX(FlowCalConstB,MATCH(N617,FlowCalNumber,0),1,1)," ")</f>
        <v>#N/A</v>
      </c>
      <c r="R629" s="33"/>
      <c r="S629" s="242">
        <f t="shared" si="294"/>
        <v>1</v>
      </c>
      <c r="T629" s="241" t="e">
        <f t="shared" ca="1" si="295"/>
        <v>#VALUE!</v>
      </c>
      <c r="U629" s="243" t="e">
        <f ca="1">IF(AND(INDEX(FlowCalConstA,MATCH(R617,FlowCalNumber,0),1,1)*T629^INDEX(FlowCalConstB,MATCH(R617,FlowCalNumber,0),1,1)&gt;INDEX(FlowCalLowSetting,MATCH(R617,FlowCalNumber,0),1,1), (INDEX(FlowCalConstA,MATCH(R617,FlowCalNumber,0),1,1)*T629^INDEX(FlowCalConstB,MATCH(R617,FlowCalNumber,0),1,1)&lt;INDEX(FlowCalHighSetting,MATCH(R617,FlowCalNumber,0),1,1))),INDEX(FlowCalConstA,MATCH(R617,FlowCalNumber,0),1,1)*T629^INDEX(FlowCalConstB,MATCH(R617,FlowCalNumber,0),1,1)," ")</f>
        <v>#N/A</v>
      </c>
      <c r="V629" s="33"/>
      <c r="W629" s="242"/>
      <c r="X629" s="241"/>
      <c r="Y629" s="243"/>
      <c r="Z629" s="33"/>
      <c r="AA629" s="242"/>
      <c r="AB629" s="241"/>
      <c r="AC629" s="243"/>
      <c r="AD629" s="33"/>
      <c r="AE629" s="242"/>
      <c r="AF629" s="241"/>
      <c r="AG629" s="243"/>
      <c r="AH629" s="33"/>
      <c r="AI629" s="242"/>
      <c r="AJ629" s="241"/>
      <c r="AK629" s="244"/>
      <c r="AL629" s="243"/>
      <c r="AM629" s="243"/>
      <c r="AN629" s="243"/>
      <c r="AO629" s="243"/>
      <c r="AP629" s="243"/>
      <c r="AQ629" s="243"/>
      <c r="AR629" s="243"/>
      <c r="AS629" s="243"/>
      <c r="AT629" s="243"/>
      <c r="AU629" s="243"/>
      <c r="AV629" s="243"/>
      <c r="AW629" s="243"/>
      <c r="AX629" s="243"/>
      <c r="AY629" s="243"/>
      <c r="AZ629" s="243"/>
      <c r="BA629" s="243"/>
      <c r="BB629" s="243"/>
      <c r="BC629" s="243"/>
      <c r="BD629" s="243"/>
      <c r="BE629" s="243"/>
      <c r="BF629" s="243"/>
      <c r="BG629" s="243"/>
      <c r="BH629" s="243"/>
      <c r="BI629" s="243"/>
      <c r="BJ629" s="243"/>
      <c r="BK629" s="243"/>
      <c r="BL629" s="243"/>
      <c r="BM629" s="243"/>
      <c r="BN629" s="243"/>
      <c r="BO629" s="243"/>
      <c r="BP629" s="243"/>
      <c r="BQ629" s="243"/>
      <c r="BR629" s="243"/>
      <c r="BS629" s="243"/>
      <c r="BU629" s="242"/>
      <c r="BW629" s="243"/>
      <c r="BY629" s="242"/>
      <c r="CA629" s="243"/>
      <c r="CC629" s="242"/>
      <c r="CE629" s="243"/>
      <c r="CG629" s="242"/>
      <c r="CI629" s="243"/>
    </row>
    <row r="630" spans="1:87" s="1215" customFormat="1">
      <c r="A630" s="1222"/>
      <c r="B630" s="1223" t="str">
        <f t="shared" si="288"/>
        <v/>
      </c>
      <c r="C630" s="1210"/>
      <c r="D630" s="1211">
        <f>'1% Wind'!$M$94</f>
        <v>1.8</v>
      </c>
      <c r="E630" s="1212"/>
      <c r="F630" s="1212"/>
      <c r="G630" s="1213">
        <f ca="1">IF(I617=0.9743,$G629,MAX(G629/D629*D630,2))</f>
        <v>2</v>
      </c>
      <c r="H630" s="1214" t="e">
        <f t="shared" ca="1" si="289"/>
        <v>#VALUE!</v>
      </c>
      <c r="J630" s="1224"/>
      <c r="K630" s="1217">
        <f t="shared" si="290"/>
        <v>1</v>
      </c>
      <c r="L630" s="1218" t="e">
        <f t="shared" ca="1" si="291"/>
        <v>#VALUE!</v>
      </c>
      <c r="M630" s="1219" t="e">
        <f ca="1">IF(AND(INDEX(FlowCalConstA,MATCH(J617,FlowCalNumber,0),1,1)*L630^INDEX(FlowCalConstB,MATCH(J617,FlowCalNumber,0),1,1)&gt;INDEX(FlowCalLowSetting,MATCH(J617,FlowCalNumber,0),1,1), (INDEX(FlowCalConstA,MATCH(J617,FlowCalNumber,0),1,1)*L630^INDEX(FlowCalConstB,MATCH(J617,FlowCalNumber,0),1,1)&lt;INDEX(FlowCalHighSetting,MATCH(J617,FlowCalNumber,0),1,1))),INDEX(FlowCalConstA,MATCH(J617,FlowCalNumber,0),1,1)*L630^INDEX(FlowCalConstB,MATCH(J617,FlowCalNumber,0),1,1)," ")</f>
        <v>#N/A</v>
      </c>
      <c r="N630" s="1224"/>
      <c r="O630" s="1217">
        <f t="shared" si="292"/>
        <v>1</v>
      </c>
      <c r="P630" s="1218" t="e">
        <f t="shared" ca="1" si="293"/>
        <v>#VALUE!</v>
      </c>
      <c r="Q630" s="1219" t="e">
        <f ca="1">IF(AND(INDEX(FlowCalConstA,MATCH(N617,FlowCalNumber,0),1,1)*P630^INDEX(FlowCalConstB,MATCH(N617,FlowCalNumber,0),1,1)&gt;INDEX(FlowCalLowSetting,MATCH(N617,FlowCalNumber,0),1,1), (INDEX(FlowCalConstA,MATCH(N617,FlowCalNumber,0),1,1)*P630^INDEX(FlowCalConstB,MATCH(N617,FlowCalNumber,0),1,1)&lt;INDEX(FlowCalHighSetting,MATCH(N617,FlowCalNumber,0),1,1))),INDEX(FlowCalConstA,MATCH(N617,FlowCalNumber,0),1,1)*P630^INDEX(FlowCalConstB,MATCH(N617,FlowCalNumber,0),1,1)," ")</f>
        <v>#N/A</v>
      </c>
      <c r="R630" s="1224"/>
      <c r="S630" s="1217">
        <f t="shared" si="294"/>
        <v>1</v>
      </c>
      <c r="T630" s="1218" t="e">
        <f t="shared" ca="1" si="295"/>
        <v>#VALUE!</v>
      </c>
      <c r="U630" s="1219" t="e">
        <f ca="1">IF(AND(INDEX(FlowCalConstA,MATCH(R617,FlowCalNumber,0),1,1)*T630^INDEX(FlowCalConstB,MATCH(R617,FlowCalNumber,0),1,1)&gt;INDEX(FlowCalLowSetting,MATCH(R617,FlowCalNumber,0),1,1), (INDEX(FlowCalConstA,MATCH(R617,FlowCalNumber,0),1,1)*T630^INDEX(FlowCalConstB,MATCH(R617,FlowCalNumber,0),1,1)&lt;INDEX(FlowCalHighSetting,MATCH(R617,FlowCalNumber,0),1,1))),INDEX(FlowCalConstA,MATCH(R617,FlowCalNumber,0),1,1)*T630^INDEX(FlowCalConstB,MATCH(R617,FlowCalNumber,0),1,1)," ")</f>
        <v>#N/A</v>
      </c>
      <c r="V630" s="1224"/>
      <c r="W630" s="1217"/>
      <c r="X630" s="1218"/>
      <c r="Y630" s="1219"/>
      <c r="Z630" s="1224"/>
      <c r="AA630" s="1217"/>
      <c r="AB630" s="1218"/>
      <c r="AC630" s="1219"/>
      <c r="AD630" s="1224"/>
      <c r="AE630" s="1217"/>
      <c r="AF630" s="1218"/>
      <c r="AG630" s="1219"/>
      <c r="AH630" s="1224"/>
      <c r="AI630" s="1217"/>
      <c r="AJ630" s="1218"/>
      <c r="AK630" s="1220"/>
      <c r="AL630" s="1219"/>
      <c r="AM630" s="1219"/>
      <c r="AN630" s="1219"/>
      <c r="AO630" s="1219"/>
      <c r="AP630" s="1219"/>
      <c r="AQ630" s="1219"/>
      <c r="AR630" s="1219"/>
      <c r="AS630" s="1219"/>
      <c r="AT630" s="1219"/>
      <c r="AU630" s="1219"/>
      <c r="AV630" s="1219"/>
      <c r="AW630" s="1219"/>
      <c r="AX630" s="1219"/>
      <c r="AY630" s="1219"/>
      <c r="AZ630" s="1219"/>
      <c r="BA630" s="1219"/>
      <c r="BB630" s="1219"/>
      <c r="BC630" s="1219"/>
      <c r="BD630" s="1219"/>
      <c r="BE630" s="1219"/>
      <c r="BF630" s="1219"/>
      <c r="BG630" s="1219"/>
      <c r="BH630" s="1219"/>
      <c r="BI630" s="1219"/>
      <c r="BJ630" s="1219"/>
      <c r="BK630" s="1219"/>
      <c r="BL630" s="1219"/>
      <c r="BM630" s="1219"/>
      <c r="BN630" s="1219"/>
      <c r="BO630" s="1219"/>
      <c r="BP630" s="1219"/>
      <c r="BQ630" s="1219"/>
      <c r="BR630" s="1219"/>
      <c r="BS630" s="1219"/>
      <c r="BU630" s="1217"/>
      <c r="BW630" s="1219"/>
      <c r="BY630" s="1217"/>
      <c r="CA630" s="1219"/>
      <c r="CC630" s="1217"/>
      <c r="CE630" s="1219"/>
      <c r="CG630" s="1217"/>
      <c r="CI630" s="1219"/>
    </row>
    <row r="631" spans="1:87">
      <c r="A631" s="20"/>
      <c r="B631" s="124" t="str">
        <f t="shared" si="288"/>
        <v/>
      </c>
      <c r="C631" s="235"/>
      <c r="D631" s="24">
        <f>'1% Wind'!$M$95</f>
        <v>1.3</v>
      </c>
      <c r="E631" s="90"/>
      <c r="F631" s="90"/>
      <c r="G631" s="79">
        <f ca="1">IF(I617=0.9743,$G630,MAX(G630/D630*D631,2))</f>
        <v>2</v>
      </c>
      <c r="H631" s="121" t="e">
        <f t="shared" ca="1" si="289"/>
        <v>#VALUE!</v>
      </c>
      <c r="J631" s="33"/>
      <c r="K631" s="242">
        <f t="shared" si="290"/>
        <v>1</v>
      </c>
      <c r="L631" s="241" t="e">
        <f t="shared" ca="1" si="291"/>
        <v>#VALUE!</v>
      </c>
      <c r="M631" s="243" t="e">
        <f ca="1">IF(AND(INDEX(FlowCalConstA,MATCH(J617,FlowCalNumber,0),1,1)*L631^INDEX(FlowCalConstB,MATCH(J617,FlowCalNumber,0),1,1)&gt;INDEX(FlowCalLowSetting,MATCH(J617,FlowCalNumber,0),1,1), (INDEX(FlowCalConstA,MATCH(J617,FlowCalNumber,0),1,1)*L631^INDEX(FlowCalConstB,MATCH(J617,FlowCalNumber,0),1,1)&lt;INDEX(FlowCalHighSetting,MATCH(J617,FlowCalNumber,0),1,1))),INDEX(FlowCalConstA,MATCH(J617,FlowCalNumber,0),1,1)*L631^INDEX(FlowCalConstB,MATCH(J617,FlowCalNumber,0),1,1)," ")</f>
        <v>#N/A</v>
      </c>
      <c r="N631" s="33"/>
      <c r="O631" s="242">
        <f t="shared" si="292"/>
        <v>1</v>
      </c>
      <c r="P631" s="241" t="e">
        <f t="shared" ca="1" si="293"/>
        <v>#VALUE!</v>
      </c>
      <c r="Q631" s="243" t="e">
        <f ca="1">IF(AND(INDEX(FlowCalConstA,MATCH(N617,FlowCalNumber,0),1,1)*P631^INDEX(FlowCalConstB,MATCH(N617,FlowCalNumber,0),1,1)&gt;INDEX(FlowCalLowSetting,MATCH(N617,FlowCalNumber,0),1,1), (INDEX(FlowCalConstA,MATCH(N617,FlowCalNumber,0),1,1)*P631^INDEX(FlowCalConstB,MATCH(N617,FlowCalNumber,0),1,1)&lt;INDEX(FlowCalHighSetting,MATCH(N617,FlowCalNumber,0),1,1))),INDEX(FlowCalConstA,MATCH(N617,FlowCalNumber,0),1,1)*P631^INDEX(FlowCalConstB,MATCH(N617,FlowCalNumber,0),1,1)," ")</f>
        <v>#N/A</v>
      </c>
      <c r="R631" s="33"/>
      <c r="S631" s="242">
        <f t="shared" si="294"/>
        <v>1</v>
      </c>
      <c r="T631" s="241" t="e">
        <f t="shared" ca="1" si="295"/>
        <v>#VALUE!</v>
      </c>
      <c r="U631" s="243" t="e">
        <f ca="1">IF(AND(INDEX(FlowCalConstA,MATCH(R617,FlowCalNumber,0),1,1)*T631^INDEX(FlowCalConstB,MATCH(R617,FlowCalNumber,0),1,1)&gt;INDEX(FlowCalLowSetting,MATCH(R617,FlowCalNumber,0),1,1), (INDEX(FlowCalConstA,MATCH(R617,FlowCalNumber,0),1,1)*T631^INDEX(FlowCalConstB,MATCH(R617,FlowCalNumber,0),1,1)&lt;INDEX(FlowCalHighSetting,MATCH(R617,FlowCalNumber,0),1,1))),INDEX(FlowCalConstA,MATCH(R617,FlowCalNumber,0),1,1)*T631^INDEX(FlowCalConstB,MATCH(R617,FlowCalNumber,0),1,1)," ")</f>
        <v>#N/A</v>
      </c>
      <c r="V631" s="33"/>
      <c r="W631" s="242"/>
      <c r="X631" s="241"/>
      <c r="Y631" s="243"/>
      <c r="Z631" s="33"/>
      <c r="AA631" s="242"/>
      <c r="AB631" s="241"/>
      <c r="AC631" s="243"/>
      <c r="AD631" s="33"/>
      <c r="AE631" s="242"/>
      <c r="AF631" s="241"/>
      <c r="AG631" s="243"/>
      <c r="AH631" s="33"/>
      <c r="AI631" s="242"/>
      <c r="AJ631" s="241"/>
      <c r="AK631" s="244"/>
      <c r="AL631" s="243"/>
      <c r="AM631" s="243"/>
      <c r="AN631" s="243"/>
      <c r="AO631" s="243"/>
      <c r="AP631" s="243"/>
      <c r="AQ631" s="243"/>
      <c r="AR631" s="243"/>
      <c r="AS631" s="243"/>
      <c r="AT631" s="243"/>
      <c r="AU631" s="243"/>
      <c r="AV631" s="243"/>
      <c r="AW631" s="243"/>
      <c r="AX631" s="243"/>
      <c r="AY631" s="243"/>
      <c r="AZ631" s="243"/>
      <c r="BA631" s="243"/>
      <c r="BB631" s="243"/>
      <c r="BC631" s="243"/>
      <c r="BD631" s="243"/>
      <c r="BE631" s="243"/>
      <c r="BF631" s="243"/>
      <c r="BG631" s="243"/>
      <c r="BH631" s="243"/>
      <c r="BI631" s="243"/>
      <c r="BJ631" s="243"/>
      <c r="BK631" s="243"/>
      <c r="BL631" s="243"/>
      <c r="BM631" s="243"/>
      <c r="BN631" s="243"/>
      <c r="BO631" s="243"/>
      <c r="BP631" s="243"/>
      <c r="BQ631" s="243"/>
      <c r="BR631" s="243"/>
      <c r="BS631" s="243"/>
      <c r="BU631" s="242"/>
      <c r="BW631" s="243"/>
      <c r="BY631" s="242"/>
      <c r="CA631" s="243"/>
      <c r="CC631" s="242"/>
      <c r="CE631" s="243"/>
      <c r="CG631" s="242"/>
      <c r="CI631" s="243"/>
    </row>
    <row r="632" spans="1:87" s="1215" customFormat="1">
      <c r="A632" s="1222"/>
      <c r="B632" s="1223" t="str">
        <f t="shared" si="288"/>
        <v/>
      </c>
      <c r="C632" s="1210"/>
      <c r="D632" s="1211">
        <f>'1% Wind'!$M$96</f>
        <v>1</v>
      </c>
      <c r="E632" s="1212"/>
      <c r="F632" s="1212"/>
      <c r="G632" s="1213">
        <f ca="1">IF(I617=0.9743,$G631,MAX(G631/D631*D632,2))</f>
        <v>2</v>
      </c>
      <c r="H632" s="1214" t="e">
        <f t="shared" ca="1" si="289"/>
        <v>#VALUE!</v>
      </c>
      <c r="J632" s="1224"/>
      <c r="K632" s="1217">
        <f t="shared" si="290"/>
        <v>1</v>
      </c>
      <c r="L632" s="1218" t="e">
        <f t="shared" ca="1" si="291"/>
        <v>#VALUE!</v>
      </c>
      <c r="M632" s="1219" t="e">
        <f ca="1">IF(AND(INDEX(FlowCalConstA,MATCH(J617,FlowCalNumber,0),1,1)*L632^INDEX(FlowCalConstB,MATCH(J617,FlowCalNumber,0),1,1)&gt;INDEX(FlowCalLowSetting,MATCH(J617,FlowCalNumber,0),1,1), (INDEX(FlowCalConstA,MATCH(J617,FlowCalNumber,0),1,1)*L632^INDEX(FlowCalConstB,MATCH(J617,FlowCalNumber,0),1,1)&lt;INDEX(FlowCalHighSetting,MATCH(J617,FlowCalNumber,0),1,1))),INDEX(FlowCalConstA,MATCH(J617,FlowCalNumber,0),1,1)*L632^INDEX(FlowCalConstB,MATCH(J617,FlowCalNumber,0),1,1)," ")</f>
        <v>#N/A</v>
      </c>
      <c r="N632" s="1224"/>
      <c r="O632" s="1217">
        <f t="shared" si="292"/>
        <v>1</v>
      </c>
      <c r="P632" s="1218" t="e">
        <f t="shared" ca="1" si="293"/>
        <v>#VALUE!</v>
      </c>
      <c r="Q632" s="1219" t="e">
        <f ca="1">IF(AND(INDEX(FlowCalConstA,MATCH(N617,FlowCalNumber,0),1,1)*P632^INDEX(FlowCalConstB,MATCH(N617,FlowCalNumber,0),1,1)&gt;INDEX(FlowCalLowSetting,MATCH(N617,FlowCalNumber,0),1,1), (INDEX(FlowCalConstA,MATCH(N617,FlowCalNumber,0),1,1)*P632^INDEX(FlowCalConstB,MATCH(N617,FlowCalNumber,0),1,1)&lt;INDEX(FlowCalHighSetting,MATCH(N617,FlowCalNumber,0),1,1))),INDEX(FlowCalConstA,MATCH(N617,FlowCalNumber,0),1,1)*P632^INDEX(FlowCalConstB,MATCH(N617,FlowCalNumber,0),1,1)," ")</f>
        <v>#N/A</v>
      </c>
      <c r="R632" s="1224"/>
      <c r="S632" s="1217">
        <f t="shared" si="294"/>
        <v>1</v>
      </c>
      <c r="T632" s="1218" t="e">
        <f t="shared" ca="1" si="295"/>
        <v>#VALUE!</v>
      </c>
      <c r="U632" s="1219" t="e">
        <f ca="1">IF(AND(INDEX(FlowCalConstA,MATCH(R617,FlowCalNumber,0),1,1)*T632^INDEX(FlowCalConstB,MATCH(R617,FlowCalNumber,0),1,1)&gt;INDEX(FlowCalLowSetting,MATCH(R617,FlowCalNumber,0),1,1), (INDEX(FlowCalConstA,MATCH(R617,FlowCalNumber,0),1,1)*T632^INDEX(FlowCalConstB,MATCH(R617,FlowCalNumber,0),1,1)&lt;INDEX(FlowCalHighSetting,MATCH(R617,FlowCalNumber,0),1,1))),INDEX(FlowCalConstA,MATCH(R617,FlowCalNumber,0),1,1)*T632^INDEX(FlowCalConstB,MATCH(R617,FlowCalNumber,0),1,1)," ")</f>
        <v>#N/A</v>
      </c>
      <c r="V632" s="1224"/>
      <c r="W632" s="1217"/>
      <c r="X632" s="1218"/>
      <c r="Y632" s="1219"/>
      <c r="Z632" s="1224"/>
      <c r="AA632" s="1217"/>
      <c r="AB632" s="1218"/>
      <c r="AC632" s="1219"/>
      <c r="AD632" s="1224"/>
      <c r="AE632" s="1217"/>
      <c r="AF632" s="1218"/>
      <c r="AG632" s="1219"/>
      <c r="AH632" s="1224"/>
      <c r="AI632" s="1217"/>
      <c r="AJ632" s="1218"/>
      <c r="AK632" s="1220"/>
      <c r="AL632" s="1219"/>
      <c r="AM632" s="1219"/>
      <c r="AN632" s="1219"/>
      <c r="AO632" s="1219"/>
      <c r="AP632" s="1219"/>
      <c r="AQ632" s="1219"/>
      <c r="AR632" s="1219"/>
      <c r="AS632" s="1219"/>
      <c r="AT632" s="1219"/>
      <c r="AU632" s="1219"/>
      <c r="AV632" s="1219"/>
      <c r="AW632" s="1219"/>
      <c r="AX632" s="1219"/>
      <c r="AY632" s="1219"/>
      <c r="AZ632" s="1219"/>
      <c r="BA632" s="1219"/>
      <c r="BB632" s="1219"/>
      <c r="BC632" s="1219"/>
      <c r="BD632" s="1219"/>
      <c r="BE632" s="1219"/>
      <c r="BF632" s="1219"/>
      <c r="BG632" s="1219"/>
      <c r="BH632" s="1219"/>
      <c r="BI632" s="1219"/>
      <c r="BJ632" s="1219"/>
      <c r="BK632" s="1219"/>
      <c r="BL632" s="1219"/>
      <c r="BM632" s="1219"/>
      <c r="BN632" s="1219"/>
      <c r="BO632" s="1219"/>
      <c r="BP632" s="1219"/>
      <c r="BQ632" s="1219"/>
      <c r="BR632" s="1219"/>
      <c r="BS632" s="1219"/>
      <c r="BU632" s="1217"/>
      <c r="BW632" s="1219"/>
      <c r="BY632" s="1217"/>
      <c r="CA632" s="1219"/>
      <c r="CC632" s="1217"/>
      <c r="CE632" s="1219"/>
      <c r="CG632" s="1217"/>
      <c r="CI632" s="1219"/>
    </row>
    <row r="633" spans="1:87">
      <c r="A633" s="33"/>
      <c r="B633" s="33"/>
      <c r="C633" s="235"/>
      <c r="E633" s="90"/>
      <c r="F633" s="90"/>
      <c r="G633" s="33"/>
      <c r="J633" s="33"/>
      <c r="M633" s="243"/>
      <c r="N633" s="33"/>
      <c r="Q633" s="243"/>
      <c r="R633" s="33"/>
      <c r="U633" s="243"/>
      <c r="V633" s="33"/>
      <c r="Y633" s="243"/>
      <c r="Z633" s="33"/>
      <c r="AC633" s="243"/>
      <c r="AD633" s="33"/>
      <c r="AG633" s="243"/>
      <c r="AH633" s="33"/>
      <c r="AK633" s="244"/>
      <c r="AL633" s="243"/>
      <c r="AM633" s="243"/>
      <c r="AN633" s="243"/>
      <c r="AO633" s="243"/>
      <c r="AP633" s="243"/>
      <c r="AQ633" s="243"/>
      <c r="AR633" s="243"/>
      <c r="AS633" s="243"/>
      <c r="AT633" s="243"/>
      <c r="AU633" s="243"/>
      <c r="AV633" s="243"/>
      <c r="AW633" s="243"/>
      <c r="AX633" s="243"/>
      <c r="AY633" s="243"/>
      <c r="AZ633" s="243"/>
      <c r="BA633" s="243"/>
      <c r="BB633" s="243"/>
      <c r="BC633" s="243"/>
      <c r="BD633" s="243"/>
      <c r="BE633" s="243"/>
      <c r="BF633" s="243"/>
      <c r="BG633" s="243"/>
      <c r="BH633" s="243"/>
      <c r="BI633" s="243"/>
      <c r="BJ633" s="243"/>
      <c r="BK633" s="243"/>
      <c r="BL633" s="243"/>
      <c r="BM633" s="243"/>
      <c r="BN633" s="243"/>
      <c r="BO633" s="243"/>
      <c r="BP633" s="243"/>
      <c r="BQ633" s="243"/>
      <c r="BR633" s="243"/>
      <c r="BS633" s="243"/>
      <c r="BW633" s="243"/>
      <c r="CA633" s="243"/>
      <c r="CE633" s="243"/>
      <c r="CI633" s="243"/>
    </row>
    <row r="634" spans="1:87">
      <c r="A634" s="256" t="str">
        <f>IF((RIGHT(A617,1))&lt;&gt;"Z",CHAR(CODE(A617))&amp;CHAR(CODE(RIGHT(A617,1))+1),CHAR(CODE(A617)+1)&amp;"A")</f>
        <v>BK</v>
      </c>
      <c r="B634" s="270" t="str">
        <f>INDEX(SourceID,MATCH($A634,SourceNumber,0),1,1)</f>
        <v>B2 BSL3-1</v>
      </c>
      <c r="C634" s="354">
        <f>INDEX(SourceExitDiameter,MATCH($A634,SourceNumber,0),1,1)*3.28*12</f>
        <v>24.72</v>
      </c>
      <c r="D634" s="24" t="str">
        <f>UAnem1percent</f>
        <v>1% Wind</v>
      </c>
      <c r="E634" s="350" t="e">
        <f ca="1">INDIRECT(ADDRESS(53,6,1,,CONCATENATE("TA",$A634)))</f>
        <v>#REF!</v>
      </c>
      <c r="F634" s="625" t="e">
        <f ca="1">(ROUND((INDIRECT(ADDRESS(15,7,1,,CONCATENATE("TA",$A634)))*3.28*12*32),0)&amp;"/32")</f>
        <v>#REF!</v>
      </c>
      <c r="G634" s="125">
        <f ca="1">INDIRECT(ADDRESS(29,7,1,,$A634))</f>
        <v>6.001707317073171</v>
      </c>
      <c r="H634" s="24" t="e">
        <f ca="1">INDIRECT(ADDRESS(19,7,1,,$A634))*100^3</f>
        <v>#VALUE!</v>
      </c>
      <c r="I634" s="941">
        <f ca="1">INDIRECT(ADDRESS(53,7,1,,$A634))</f>
        <v>0.97430000000000005</v>
      </c>
      <c r="J634" s="20" t="str">
        <f ca="1">IF($I634=$I$6,K$16&amp;$G$6&amp;J$6,IF($I634=$I$7,K$16&amp;$G$7&amp;J$7,"Bad"))</f>
        <v>100N2Pick a Tunnel</v>
      </c>
      <c r="K634" t="e">
        <f ca="1">INDEX(FlowCalGasMixture,MATCH(J634,FlowCalNumber,0),1,1)</f>
        <v>#N/A</v>
      </c>
      <c r="M634" s="944" t="e">
        <f ca="1">INDEX(FlowCalDevice,MATCH(J634,FlowCalNumber,0),1,1)</f>
        <v>#N/A</v>
      </c>
      <c r="N634" s="20" t="str">
        <f ca="1">IF($I634=$I$6,O$16&amp;$G$6&amp;N$6,IF($I634=$I$7,O$16&amp;$G$7&amp;N$7,"Bad"))</f>
        <v>100N2Pick a Tunnel</v>
      </c>
      <c r="O634" t="e">
        <f ca="1">INDEX(FlowCalGasMixture,MATCH(N634,FlowCalNumber,0),1,1)</f>
        <v>#N/A</v>
      </c>
      <c r="Q634" s="944" t="e">
        <f ca="1">INDEX(FlowCalDevice,MATCH(N634,FlowCalNumber,0),1,1)</f>
        <v>#N/A</v>
      </c>
      <c r="R634" s="20" t="str">
        <f ca="1">IF($I634=$I$6,S$16&amp;$G$6&amp;R$6,IF($I634=$I$7,S$16&amp;$G$7&amp;R$7,"Bad"))</f>
        <v>100N2Pick a Tunnel</v>
      </c>
      <c r="S634" t="e">
        <f ca="1">INDEX(FlowCalGasMixture,MATCH(R634,FlowCalNumber,0),1,1)</f>
        <v>#N/A</v>
      </c>
      <c r="U634" s="944" t="e">
        <f ca="1">INDEX(FlowCalDevice,MATCH(R634,FlowCalNumber,0),1,1)</f>
        <v>#N/A</v>
      </c>
      <c r="V634" s="20"/>
      <c r="Y634" s="944"/>
      <c r="Z634" s="946"/>
      <c r="AC634" s="944"/>
      <c r="AD634" s="20"/>
      <c r="AG634" s="944"/>
      <c r="AH634" s="946"/>
      <c r="AK634" s="982"/>
      <c r="AL634" s="355"/>
      <c r="AM634" s="355"/>
      <c r="AN634" s="355"/>
      <c r="AO634" s="355"/>
      <c r="AP634" s="355"/>
      <c r="AQ634" s="355"/>
      <c r="AR634" s="355"/>
      <c r="AS634" s="355"/>
      <c r="AT634" s="355"/>
      <c r="AU634" s="355"/>
      <c r="AV634" s="355"/>
      <c r="AW634" s="355"/>
      <c r="AX634" s="355"/>
      <c r="AY634" s="355"/>
      <c r="AZ634" s="355"/>
      <c r="BA634" s="355"/>
      <c r="BB634" s="355"/>
      <c r="BC634" s="355"/>
      <c r="BD634" s="355"/>
      <c r="BE634" s="355"/>
      <c r="BF634" s="355"/>
      <c r="BG634" s="355"/>
      <c r="BH634" s="355"/>
      <c r="BI634" s="355"/>
      <c r="BJ634" s="355"/>
      <c r="BK634" s="355"/>
      <c r="BL634" s="355"/>
      <c r="BM634" s="355"/>
      <c r="BN634" s="355"/>
      <c r="BO634" s="355"/>
      <c r="BP634" s="355"/>
      <c r="BQ634" s="355"/>
      <c r="BR634" s="355"/>
      <c r="BS634" s="355"/>
      <c r="BT634" s="46"/>
      <c r="BU634" s="16"/>
      <c r="BW634" s="355"/>
      <c r="BX634" s="42"/>
      <c r="BY634" s="16"/>
      <c r="CA634" s="355"/>
      <c r="CB634" s="42"/>
      <c r="CC634" s="16"/>
      <c r="CE634" s="355"/>
      <c r="CF634" s="42"/>
      <c r="CG634" s="16"/>
      <c r="CI634" s="355"/>
    </row>
    <row r="635" spans="1:87" s="1215" customFormat="1">
      <c r="A635" s="1222"/>
      <c r="B635" s="1223" t="str">
        <f t="shared" ref="B635:B649" si="296">IF(D635=UAnem1percent,"1% Wind","")</f>
        <v/>
      </c>
      <c r="C635" s="1210"/>
      <c r="D635" s="1211">
        <f>'1% Wind'!$M$82</f>
        <v>27</v>
      </c>
      <c r="E635" s="1212"/>
      <c r="F635" s="1212"/>
      <c r="G635" s="1364">
        <v>2</v>
      </c>
      <c r="H635" s="1214" t="e">
        <f t="shared" ref="H635:H649" ca="1" si="297">H634*(D634/D635)*(G635/G634)</f>
        <v>#VALUE!</v>
      </c>
      <c r="J635" s="1224"/>
      <c r="K635" s="1221">
        <f>K$17/100</f>
        <v>1</v>
      </c>
      <c r="L635" s="1218" t="e">
        <f ca="1">K635*$H635</f>
        <v>#VALUE!</v>
      </c>
      <c r="M635" s="1219" t="e">
        <f ca="1">IF(AND(INDEX(FlowCalConstA,MATCH(J634,FlowCalNumber,0),1,1)*L635^INDEX(FlowCalConstB,MATCH(J634,FlowCalNumber,0),1,1)&gt;INDEX(FlowCalLowSetting,MATCH(J634,FlowCalNumber,0),1,1), (INDEX(FlowCalConstA,MATCH(J634,FlowCalNumber,0),1,1)*L635^INDEX(FlowCalConstB,MATCH(J634,FlowCalNumber,0),1,1)&lt;INDEX(FlowCalHighSetting,MATCH(J634,FlowCalNumber,0),1,1))),INDEX(FlowCalConstA,MATCH(J634,FlowCalNumber,0),1,1)*L635^INDEX(FlowCalConstB,MATCH(J634,FlowCalNumber,0),1,1)," ")</f>
        <v>#N/A</v>
      </c>
      <c r="N635" s="1224"/>
      <c r="O635" s="1221">
        <f>O$17/100</f>
        <v>1</v>
      </c>
      <c r="P635" s="1218" t="e">
        <f ca="1">O635*$H635</f>
        <v>#VALUE!</v>
      </c>
      <c r="Q635" s="1219" t="e">
        <f ca="1">IF(AND(INDEX(FlowCalConstA,MATCH(N634,FlowCalNumber,0),1,1)*P635^INDEX(FlowCalConstB,MATCH(N634,FlowCalNumber,0),1,1)&gt;INDEX(FlowCalLowSetting,MATCH(N634,FlowCalNumber,0),1,1), (INDEX(FlowCalConstA,MATCH(N634,FlowCalNumber,0),1,1)*P635^INDEX(FlowCalConstB,MATCH(N634,FlowCalNumber,0),1,1)&lt;INDEX(FlowCalHighSetting,MATCH(N634,FlowCalNumber,0),1,1))),INDEX(FlowCalConstA,MATCH(N634,FlowCalNumber,0),1,1)*P635^INDEX(FlowCalConstB,MATCH(N634,FlowCalNumber,0),1,1)," ")</f>
        <v>#N/A</v>
      </c>
      <c r="R635" s="1224"/>
      <c r="S635" s="1221">
        <f>S$17/100</f>
        <v>1</v>
      </c>
      <c r="T635" s="1218" t="e">
        <f ca="1">S635*$H635</f>
        <v>#VALUE!</v>
      </c>
      <c r="U635" s="1219" t="e">
        <f ca="1">IF(AND(INDEX(FlowCalConstA,MATCH(R634,FlowCalNumber,0),1,1)*T635^INDEX(FlowCalConstB,MATCH(R634,FlowCalNumber,0),1,1)&gt;INDEX(FlowCalLowSetting,MATCH(R634,FlowCalNumber,0),1,1), (INDEX(FlowCalConstA,MATCH(R634,FlowCalNumber,0),1,1)*T635^INDEX(FlowCalConstB,MATCH(R634,FlowCalNumber,0),1,1)&lt;INDEX(FlowCalHighSetting,MATCH(R634,FlowCalNumber,0),1,1))),INDEX(FlowCalConstA,MATCH(R634,FlowCalNumber,0),1,1)*T635^INDEX(FlowCalConstB,MATCH(R634,FlowCalNumber,0),1,1)," ")</f>
        <v>#N/A</v>
      </c>
      <c r="V635" s="1224"/>
      <c r="W635" s="1221"/>
      <c r="X635" s="1218"/>
      <c r="Y635" s="1219"/>
      <c r="Z635" s="1224"/>
      <c r="AA635" s="1221"/>
      <c r="AB635" s="1218"/>
      <c r="AC635" s="1219"/>
      <c r="AD635" s="1224"/>
      <c r="AE635" s="1221"/>
      <c r="AF635" s="1218"/>
      <c r="AG635" s="1219"/>
      <c r="AH635" s="1224"/>
      <c r="AI635" s="1221"/>
      <c r="AJ635" s="1218"/>
      <c r="AK635" s="1220"/>
      <c r="AL635" s="1219"/>
      <c r="AM635" s="1219"/>
      <c r="AN635" s="1219"/>
      <c r="AO635" s="1219"/>
      <c r="AP635" s="1219"/>
      <c r="AQ635" s="1219"/>
      <c r="AR635" s="1219"/>
      <c r="AS635" s="1219"/>
      <c r="AT635" s="1219"/>
      <c r="AU635" s="1219"/>
      <c r="AV635" s="1219"/>
      <c r="AW635" s="1219"/>
      <c r="AX635" s="1219"/>
      <c r="AY635" s="1219"/>
      <c r="AZ635" s="1219"/>
      <c r="BA635" s="1219"/>
      <c r="BB635" s="1219"/>
      <c r="BC635" s="1219"/>
      <c r="BD635" s="1219"/>
      <c r="BE635" s="1219"/>
      <c r="BF635" s="1219"/>
      <c r="BG635" s="1219"/>
      <c r="BH635" s="1219"/>
      <c r="BI635" s="1219"/>
      <c r="BJ635" s="1219"/>
      <c r="BK635" s="1219"/>
      <c r="BL635" s="1219"/>
      <c r="BM635" s="1219"/>
      <c r="BN635" s="1219"/>
      <c r="BO635" s="1219"/>
      <c r="BP635" s="1219"/>
      <c r="BQ635" s="1219"/>
      <c r="BR635" s="1219"/>
      <c r="BS635" s="1219"/>
      <c r="BU635" s="1225"/>
      <c r="BW635" s="1219"/>
      <c r="BY635" s="1225"/>
      <c r="CA635" s="1219"/>
      <c r="CC635" s="1225"/>
      <c r="CE635" s="1219"/>
      <c r="CG635" s="1221"/>
      <c r="CI635" s="1219"/>
    </row>
    <row r="636" spans="1:87">
      <c r="A636" s="20"/>
      <c r="B636" s="124" t="str">
        <f t="shared" si="296"/>
        <v/>
      </c>
      <c r="C636" s="235"/>
      <c r="D636" s="24">
        <f>'1% Wind'!$M$83</f>
        <v>23.5</v>
      </c>
      <c r="E636" s="90"/>
      <c r="F636" s="90"/>
      <c r="G636" s="79">
        <f ca="1">IF(I634=0.9743,$G635,MAX(G635/D635*D636,2))</f>
        <v>2</v>
      </c>
      <c r="H636" s="121" t="e">
        <f t="shared" ca="1" si="297"/>
        <v>#VALUE!</v>
      </c>
      <c r="J636" s="33"/>
      <c r="K636" s="242">
        <f t="shared" ref="K636:K649" si="298">K635</f>
        <v>1</v>
      </c>
      <c r="L636" s="241" t="e">
        <f t="shared" ref="L636:L649" ca="1" si="299">K636*$H636</f>
        <v>#VALUE!</v>
      </c>
      <c r="M636" s="243" t="e">
        <f ca="1">IF(AND(INDEX(FlowCalConstA,MATCH(J634,FlowCalNumber,0),1,1)*L636^INDEX(FlowCalConstB,MATCH(J634,FlowCalNumber,0),1,1)&gt;INDEX(FlowCalLowSetting,MATCH(J634,FlowCalNumber,0),1,1), (INDEX(FlowCalConstA,MATCH(J634,FlowCalNumber,0),1,1)*L636^INDEX(FlowCalConstB,MATCH(J634,FlowCalNumber,0),1,1)&lt;INDEX(FlowCalHighSetting,MATCH(J634,FlowCalNumber,0),1,1))),INDEX(FlowCalConstA,MATCH(J634,FlowCalNumber,0),1,1)*L636^INDEX(FlowCalConstB,MATCH(J634,FlowCalNumber,0),1,1)," ")</f>
        <v>#N/A</v>
      </c>
      <c r="N636" s="33"/>
      <c r="O636" s="242">
        <f t="shared" ref="O636:O649" si="300">O635</f>
        <v>1</v>
      </c>
      <c r="P636" s="241" t="e">
        <f t="shared" ref="P636:P649" ca="1" si="301">O636*$H636</f>
        <v>#VALUE!</v>
      </c>
      <c r="Q636" s="243" t="e">
        <f ca="1">IF(AND(INDEX(FlowCalConstA,MATCH(N634,FlowCalNumber,0),1,1)*P636^INDEX(FlowCalConstB,MATCH(N634,FlowCalNumber,0),1,1)&gt;INDEX(FlowCalLowSetting,MATCH(N634,FlowCalNumber,0),1,1), (INDEX(FlowCalConstA,MATCH(N634,FlowCalNumber,0),1,1)*P636^INDEX(FlowCalConstB,MATCH(N634,FlowCalNumber,0),1,1)&lt;INDEX(FlowCalHighSetting,MATCH(N634,FlowCalNumber,0),1,1))),INDEX(FlowCalConstA,MATCH(N634,FlowCalNumber,0),1,1)*P636^INDEX(FlowCalConstB,MATCH(N634,FlowCalNumber,0),1,1)," ")</f>
        <v>#N/A</v>
      </c>
      <c r="R636" s="33"/>
      <c r="S636" s="242">
        <f t="shared" ref="S636:S649" si="302">S635</f>
        <v>1</v>
      </c>
      <c r="T636" s="241" t="e">
        <f t="shared" ref="T636:T649" ca="1" si="303">S636*$H636</f>
        <v>#VALUE!</v>
      </c>
      <c r="U636" s="243" t="e">
        <f ca="1">IF(AND(INDEX(FlowCalConstA,MATCH(R634,FlowCalNumber,0),1,1)*T636^INDEX(FlowCalConstB,MATCH(R634,FlowCalNumber,0),1,1)&gt;INDEX(FlowCalLowSetting,MATCH(R634,FlowCalNumber,0),1,1), (INDEX(FlowCalConstA,MATCH(R634,FlowCalNumber,0),1,1)*T636^INDEX(FlowCalConstB,MATCH(R634,FlowCalNumber,0),1,1)&lt;INDEX(FlowCalHighSetting,MATCH(R634,FlowCalNumber,0),1,1))),INDEX(FlowCalConstA,MATCH(R634,FlowCalNumber,0),1,1)*T636^INDEX(FlowCalConstB,MATCH(R634,FlowCalNumber,0),1,1)," ")</f>
        <v>#N/A</v>
      </c>
      <c r="V636" s="33"/>
      <c r="W636" s="242"/>
      <c r="X636" s="241"/>
      <c r="Y636" s="243"/>
      <c r="Z636" s="33"/>
      <c r="AA636" s="242"/>
      <c r="AB636" s="241"/>
      <c r="AC636" s="243"/>
      <c r="AD636" s="33"/>
      <c r="AE636" s="242"/>
      <c r="AF636" s="241"/>
      <c r="AG636" s="243"/>
      <c r="AH636" s="33"/>
      <c r="AI636" s="242"/>
      <c r="AJ636" s="241"/>
      <c r="AK636" s="244"/>
      <c r="AL636" s="243"/>
      <c r="AM636" s="243"/>
      <c r="AN636" s="243"/>
      <c r="AO636" s="243"/>
      <c r="AP636" s="243"/>
      <c r="AQ636" s="243"/>
      <c r="AR636" s="243"/>
      <c r="AS636" s="243"/>
      <c r="AT636" s="243"/>
      <c r="AU636" s="243"/>
      <c r="AV636" s="243"/>
      <c r="AW636" s="243"/>
      <c r="AX636" s="243"/>
      <c r="AY636" s="243"/>
      <c r="AZ636" s="243"/>
      <c r="BA636" s="243"/>
      <c r="BB636" s="243"/>
      <c r="BC636" s="243"/>
      <c r="BD636" s="243"/>
      <c r="BE636" s="243"/>
      <c r="BF636" s="243"/>
      <c r="BG636" s="243"/>
      <c r="BH636" s="243"/>
      <c r="BI636" s="243"/>
      <c r="BJ636" s="243"/>
      <c r="BK636" s="243"/>
      <c r="BL636" s="243"/>
      <c r="BM636" s="243"/>
      <c r="BN636" s="243"/>
      <c r="BO636" s="243"/>
      <c r="BP636" s="243"/>
      <c r="BQ636" s="243"/>
      <c r="BR636" s="243"/>
      <c r="BS636" s="243"/>
      <c r="BU636" s="242"/>
      <c r="BW636" s="243"/>
      <c r="BY636" s="242"/>
      <c r="CA636" s="243"/>
      <c r="CC636" s="242"/>
      <c r="CE636" s="243"/>
      <c r="CG636" s="242"/>
      <c r="CI636" s="243"/>
    </row>
    <row r="637" spans="1:87" s="1215" customFormat="1">
      <c r="A637" s="1222"/>
      <c r="B637" s="1223" t="str">
        <f t="shared" si="296"/>
        <v/>
      </c>
      <c r="C637" s="1210"/>
      <c r="D637" s="1211">
        <f>'1% Wind'!$M$84</f>
        <v>20.5</v>
      </c>
      <c r="E637" s="1212"/>
      <c r="F637" s="1212"/>
      <c r="G637" s="1213">
        <f ca="1">IF(I634=0.9743,$G636,MAX(G636/D636*D637,2))</f>
        <v>2</v>
      </c>
      <c r="H637" s="1214" t="e">
        <f t="shared" ca="1" si="297"/>
        <v>#VALUE!</v>
      </c>
      <c r="J637" s="1224"/>
      <c r="K637" s="1217">
        <f t="shared" si="298"/>
        <v>1</v>
      </c>
      <c r="L637" s="1218" t="e">
        <f t="shared" ca="1" si="299"/>
        <v>#VALUE!</v>
      </c>
      <c r="M637" s="1219" t="e">
        <f ca="1">IF(AND(INDEX(FlowCalConstA,MATCH(J634,FlowCalNumber,0),1,1)*L637^INDEX(FlowCalConstB,MATCH(J634,FlowCalNumber,0),1,1)&gt;INDEX(FlowCalLowSetting,MATCH(J634,FlowCalNumber,0),1,1), (INDEX(FlowCalConstA,MATCH(J634,FlowCalNumber,0),1,1)*L637^INDEX(FlowCalConstB,MATCH(J634,FlowCalNumber,0),1,1)&lt;INDEX(FlowCalHighSetting,MATCH(J634,FlowCalNumber,0),1,1))),INDEX(FlowCalConstA,MATCH(J634,FlowCalNumber,0),1,1)*L637^INDEX(FlowCalConstB,MATCH(J634,FlowCalNumber,0),1,1)," ")</f>
        <v>#N/A</v>
      </c>
      <c r="N637" s="1224"/>
      <c r="O637" s="1217">
        <f t="shared" si="300"/>
        <v>1</v>
      </c>
      <c r="P637" s="1218" t="e">
        <f t="shared" ca="1" si="301"/>
        <v>#VALUE!</v>
      </c>
      <c r="Q637" s="1219" t="e">
        <f ca="1">IF(AND(INDEX(FlowCalConstA,MATCH(N634,FlowCalNumber,0),1,1)*P637^INDEX(FlowCalConstB,MATCH(N634,FlowCalNumber,0),1,1)&gt;INDEX(FlowCalLowSetting,MATCH(N634,FlowCalNumber,0),1,1), (INDEX(FlowCalConstA,MATCH(N634,FlowCalNumber,0),1,1)*P637^INDEX(FlowCalConstB,MATCH(N634,FlowCalNumber,0),1,1)&lt;INDEX(FlowCalHighSetting,MATCH(N634,FlowCalNumber,0),1,1))),INDEX(FlowCalConstA,MATCH(N634,FlowCalNumber,0),1,1)*P637^INDEX(FlowCalConstB,MATCH(N634,FlowCalNumber,0),1,1)," ")</f>
        <v>#N/A</v>
      </c>
      <c r="R637" s="1224"/>
      <c r="S637" s="1217">
        <f t="shared" si="302"/>
        <v>1</v>
      </c>
      <c r="T637" s="1218" t="e">
        <f t="shared" ca="1" si="303"/>
        <v>#VALUE!</v>
      </c>
      <c r="U637" s="1219" t="e">
        <f ca="1">IF(AND(INDEX(FlowCalConstA,MATCH(R634,FlowCalNumber,0),1,1)*T637^INDEX(FlowCalConstB,MATCH(R634,FlowCalNumber,0),1,1)&gt;INDEX(FlowCalLowSetting,MATCH(R634,FlowCalNumber,0),1,1), (INDEX(FlowCalConstA,MATCH(R634,FlowCalNumber,0),1,1)*T637^INDEX(FlowCalConstB,MATCH(R634,FlowCalNumber,0),1,1)&lt;INDEX(FlowCalHighSetting,MATCH(R634,FlowCalNumber,0),1,1))),INDEX(FlowCalConstA,MATCH(R634,FlowCalNumber,0),1,1)*T637^INDEX(FlowCalConstB,MATCH(R634,FlowCalNumber,0),1,1)," ")</f>
        <v>#N/A</v>
      </c>
      <c r="V637" s="1224"/>
      <c r="W637" s="1217"/>
      <c r="X637" s="1218"/>
      <c r="Y637" s="1219"/>
      <c r="Z637" s="1224"/>
      <c r="AA637" s="1217"/>
      <c r="AB637" s="1218"/>
      <c r="AC637" s="1219"/>
      <c r="AD637" s="1224"/>
      <c r="AE637" s="1217"/>
      <c r="AF637" s="1218"/>
      <c r="AG637" s="1219"/>
      <c r="AH637" s="1224"/>
      <c r="AI637" s="1217"/>
      <c r="AJ637" s="1218"/>
      <c r="AK637" s="1220"/>
      <c r="AL637" s="1219"/>
      <c r="AM637" s="1219"/>
      <c r="AN637" s="1219"/>
      <c r="AO637" s="1219"/>
      <c r="AP637" s="1219"/>
      <c r="AQ637" s="1219"/>
      <c r="AR637" s="1219"/>
      <c r="AS637" s="1219"/>
      <c r="AT637" s="1219"/>
      <c r="AU637" s="1219"/>
      <c r="AV637" s="1219"/>
      <c r="AW637" s="1219"/>
      <c r="AX637" s="1219"/>
      <c r="AY637" s="1219"/>
      <c r="AZ637" s="1219"/>
      <c r="BA637" s="1219"/>
      <c r="BB637" s="1219"/>
      <c r="BC637" s="1219"/>
      <c r="BD637" s="1219"/>
      <c r="BE637" s="1219"/>
      <c r="BF637" s="1219"/>
      <c r="BG637" s="1219"/>
      <c r="BH637" s="1219"/>
      <c r="BI637" s="1219"/>
      <c r="BJ637" s="1219"/>
      <c r="BK637" s="1219"/>
      <c r="BL637" s="1219"/>
      <c r="BM637" s="1219"/>
      <c r="BN637" s="1219"/>
      <c r="BO637" s="1219"/>
      <c r="BP637" s="1219"/>
      <c r="BQ637" s="1219"/>
      <c r="BR637" s="1219"/>
      <c r="BS637" s="1219"/>
      <c r="BU637" s="1217"/>
      <c r="BW637" s="1219"/>
      <c r="BY637" s="1217"/>
      <c r="CA637" s="1219"/>
      <c r="CC637" s="1217"/>
      <c r="CE637" s="1219"/>
      <c r="CG637" s="1217"/>
      <c r="CI637" s="1219"/>
    </row>
    <row r="638" spans="1:87">
      <c r="A638" s="20"/>
      <c r="B638" s="124" t="str">
        <f t="shared" si="296"/>
        <v/>
      </c>
      <c r="C638" s="235"/>
      <c r="D638" s="24">
        <f>'1% Wind'!$M$85</f>
        <v>17.8</v>
      </c>
      <c r="E638" s="90"/>
      <c r="F638" s="90"/>
      <c r="G638" s="79">
        <f ca="1">IF(I634=0.9743,$G637,MAX(G637/D637*D638,2))</f>
        <v>2</v>
      </c>
      <c r="H638" s="121" t="e">
        <f t="shared" ca="1" si="297"/>
        <v>#VALUE!</v>
      </c>
      <c r="J638" s="33"/>
      <c r="K638" s="242">
        <f t="shared" si="298"/>
        <v>1</v>
      </c>
      <c r="L638" s="241" t="e">
        <f t="shared" ca="1" si="299"/>
        <v>#VALUE!</v>
      </c>
      <c r="M638" s="243" t="e">
        <f ca="1">IF(AND(INDEX(FlowCalConstA,MATCH(J634,FlowCalNumber,0),1,1)*L638^INDEX(FlowCalConstB,MATCH(J634,FlowCalNumber,0),1,1)&gt;INDEX(FlowCalLowSetting,MATCH(J634,FlowCalNumber,0),1,1), (INDEX(FlowCalConstA,MATCH(J634,FlowCalNumber,0),1,1)*L638^INDEX(FlowCalConstB,MATCH(J634,FlowCalNumber,0),1,1)&lt;INDEX(FlowCalHighSetting,MATCH(J634,FlowCalNumber,0),1,1))),INDEX(FlowCalConstA,MATCH(J634,FlowCalNumber,0),1,1)*L638^INDEX(FlowCalConstB,MATCH(J634,FlowCalNumber,0),1,1)," ")</f>
        <v>#N/A</v>
      </c>
      <c r="N638" s="33"/>
      <c r="O638" s="242">
        <f t="shared" si="300"/>
        <v>1</v>
      </c>
      <c r="P638" s="241" t="e">
        <f t="shared" ca="1" si="301"/>
        <v>#VALUE!</v>
      </c>
      <c r="Q638" s="243" t="e">
        <f ca="1">IF(AND(INDEX(FlowCalConstA,MATCH(N634,FlowCalNumber,0),1,1)*P638^INDEX(FlowCalConstB,MATCH(N634,FlowCalNumber,0),1,1)&gt;INDEX(FlowCalLowSetting,MATCH(N634,FlowCalNumber,0),1,1), (INDEX(FlowCalConstA,MATCH(N634,FlowCalNumber,0),1,1)*P638^INDEX(FlowCalConstB,MATCH(N634,FlowCalNumber,0),1,1)&lt;INDEX(FlowCalHighSetting,MATCH(N634,FlowCalNumber,0),1,1))),INDEX(FlowCalConstA,MATCH(N634,FlowCalNumber,0),1,1)*P638^INDEX(FlowCalConstB,MATCH(N634,FlowCalNumber,0),1,1)," ")</f>
        <v>#N/A</v>
      </c>
      <c r="R638" s="33"/>
      <c r="S638" s="242">
        <f t="shared" si="302"/>
        <v>1</v>
      </c>
      <c r="T638" s="241" t="e">
        <f t="shared" ca="1" si="303"/>
        <v>#VALUE!</v>
      </c>
      <c r="U638" s="243" t="e">
        <f ca="1">IF(AND(INDEX(FlowCalConstA,MATCH(R634,FlowCalNumber,0),1,1)*T638^INDEX(FlowCalConstB,MATCH(R634,FlowCalNumber,0),1,1)&gt;INDEX(FlowCalLowSetting,MATCH(R634,FlowCalNumber,0),1,1), (INDEX(FlowCalConstA,MATCH(R634,FlowCalNumber,0),1,1)*T638^INDEX(FlowCalConstB,MATCH(R634,FlowCalNumber,0),1,1)&lt;INDEX(FlowCalHighSetting,MATCH(R634,FlowCalNumber,0),1,1))),INDEX(FlowCalConstA,MATCH(R634,FlowCalNumber,0),1,1)*T638^INDEX(FlowCalConstB,MATCH(R634,FlowCalNumber,0),1,1)," ")</f>
        <v>#N/A</v>
      </c>
      <c r="V638" s="33"/>
      <c r="W638" s="242"/>
      <c r="X638" s="241"/>
      <c r="Y638" s="243"/>
      <c r="Z638" s="33"/>
      <c r="AA638" s="242"/>
      <c r="AB638" s="241"/>
      <c r="AC638" s="243"/>
      <c r="AD638" s="33"/>
      <c r="AE638" s="242"/>
      <c r="AF638" s="241"/>
      <c r="AG638" s="243"/>
      <c r="AH638" s="33"/>
      <c r="AI638" s="242"/>
      <c r="AJ638" s="241"/>
      <c r="AK638" s="244"/>
      <c r="AL638" s="243"/>
      <c r="AM638" s="243"/>
      <c r="AN638" s="243"/>
      <c r="AO638" s="243"/>
      <c r="AP638" s="243"/>
      <c r="AQ638" s="243"/>
      <c r="AR638" s="243"/>
      <c r="AS638" s="243"/>
      <c r="AT638" s="243"/>
      <c r="AU638" s="243"/>
      <c r="AV638" s="243"/>
      <c r="AW638" s="243"/>
      <c r="AX638" s="243"/>
      <c r="AY638" s="243"/>
      <c r="AZ638" s="243"/>
      <c r="BA638" s="243"/>
      <c r="BB638" s="243"/>
      <c r="BC638" s="243"/>
      <c r="BD638" s="243"/>
      <c r="BE638" s="243"/>
      <c r="BF638" s="243"/>
      <c r="BG638" s="243"/>
      <c r="BH638" s="243"/>
      <c r="BI638" s="243"/>
      <c r="BJ638" s="243"/>
      <c r="BK638" s="243"/>
      <c r="BL638" s="243"/>
      <c r="BM638" s="243"/>
      <c r="BN638" s="243"/>
      <c r="BO638" s="243"/>
      <c r="BP638" s="243"/>
      <c r="BQ638" s="243"/>
      <c r="BR638" s="243"/>
      <c r="BS638" s="243"/>
      <c r="BU638" s="242"/>
      <c r="BW638" s="243"/>
      <c r="BY638" s="242"/>
      <c r="CA638" s="243"/>
      <c r="CC638" s="242"/>
      <c r="CE638" s="243"/>
      <c r="CG638" s="242"/>
      <c r="CI638" s="243"/>
    </row>
    <row r="639" spans="1:87" s="1215" customFormat="1">
      <c r="A639" s="1222"/>
      <c r="B639" s="1223" t="str">
        <f t="shared" si="296"/>
        <v/>
      </c>
      <c r="C639" s="1210"/>
      <c r="D639" s="1211">
        <f>'1% Wind'!$M$86</f>
        <v>15.5</v>
      </c>
      <c r="E639" s="1212"/>
      <c r="F639" s="1212"/>
      <c r="G639" s="1213">
        <f ca="1">IF(I634=0.9743,$G638,MAX(G638/D638*D639,2))</f>
        <v>2</v>
      </c>
      <c r="H639" s="1214" t="e">
        <f t="shared" ca="1" si="297"/>
        <v>#VALUE!</v>
      </c>
      <c r="J639" s="1224"/>
      <c r="K639" s="1217">
        <f t="shared" si="298"/>
        <v>1</v>
      </c>
      <c r="L639" s="1218" t="e">
        <f t="shared" ca="1" si="299"/>
        <v>#VALUE!</v>
      </c>
      <c r="M639" s="1219" t="e">
        <f ca="1">IF(AND(INDEX(FlowCalConstA,MATCH(J634,FlowCalNumber,0),1,1)*L639^INDEX(FlowCalConstB,MATCH(J634,FlowCalNumber,0),1,1)&gt;INDEX(FlowCalLowSetting,MATCH(J634,FlowCalNumber,0),1,1), (INDEX(FlowCalConstA,MATCH(J634,FlowCalNumber,0),1,1)*L639^INDEX(FlowCalConstB,MATCH(J634,FlowCalNumber,0),1,1)&lt;INDEX(FlowCalHighSetting,MATCH(J634,FlowCalNumber,0),1,1))),INDEX(FlowCalConstA,MATCH(J634,FlowCalNumber,0),1,1)*L639^INDEX(FlowCalConstB,MATCH(J634,FlowCalNumber,0),1,1)," ")</f>
        <v>#N/A</v>
      </c>
      <c r="N639" s="1224"/>
      <c r="O639" s="1217">
        <f t="shared" si="300"/>
        <v>1</v>
      </c>
      <c r="P639" s="1218" t="e">
        <f t="shared" ca="1" si="301"/>
        <v>#VALUE!</v>
      </c>
      <c r="Q639" s="1219" t="e">
        <f ca="1">IF(AND(INDEX(FlowCalConstA,MATCH(N634,FlowCalNumber,0),1,1)*P639^INDEX(FlowCalConstB,MATCH(N634,FlowCalNumber,0),1,1)&gt;INDEX(FlowCalLowSetting,MATCH(N634,FlowCalNumber,0),1,1), (INDEX(FlowCalConstA,MATCH(N634,FlowCalNumber,0),1,1)*P639^INDEX(FlowCalConstB,MATCH(N634,FlowCalNumber,0),1,1)&lt;INDEX(FlowCalHighSetting,MATCH(N634,FlowCalNumber,0),1,1))),INDEX(FlowCalConstA,MATCH(N634,FlowCalNumber,0),1,1)*P639^INDEX(FlowCalConstB,MATCH(N634,FlowCalNumber,0),1,1)," ")</f>
        <v>#N/A</v>
      </c>
      <c r="R639" s="1224"/>
      <c r="S639" s="1217">
        <f t="shared" si="302"/>
        <v>1</v>
      </c>
      <c r="T639" s="1218" t="e">
        <f t="shared" ca="1" si="303"/>
        <v>#VALUE!</v>
      </c>
      <c r="U639" s="1219" t="e">
        <f ca="1">IF(AND(INDEX(FlowCalConstA,MATCH(R634,FlowCalNumber,0),1,1)*T639^INDEX(FlowCalConstB,MATCH(R634,FlowCalNumber,0),1,1)&gt;INDEX(FlowCalLowSetting,MATCH(R634,FlowCalNumber,0),1,1), (INDEX(FlowCalConstA,MATCH(R634,FlowCalNumber,0),1,1)*T639^INDEX(FlowCalConstB,MATCH(R634,FlowCalNumber,0),1,1)&lt;INDEX(FlowCalHighSetting,MATCH(R634,FlowCalNumber,0),1,1))),INDEX(FlowCalConstA,MATCH(R634,FlowCalNumber,0),1,1)*T639^INDEX(FlowCalConstB,MATCH(R634,FlowCalNumber,0),1,1)," ")</f>
        <v>#N/A</v>
      </c>
      <c r="V639" s="1224"/>
      <c r="W639" s="1217"/>
      <c r="X639" s="1218"/>
      <c r="Y639" s="1219"/>
      <c r="Z639" s="1224"/>
      <c r="AA639" s="1217"/>
      <c r="AB639" s="1218"/>
      <c r="AC639" s="1219"/>
      <c r="AD639" s="1224"/>
      <c r="AE639" s="1217"/>
      <c r="AF639" s="1218"/>
      <c r="AG639" s="1219"/>
      <c r="AH639" s="1224"/>
      <c r="AI639" s="1217"/>
      <c r="AJ639" s="1218"/>
      <c r="AK639" s="1220"/>
      <c r="AL639" s="1219"/>
      <c r="AM639" s="1219"/>
      <c r="AN639" s="1219"/>
      <c r="AO639" s="1219"/>
      <c r="AP639" s="1219"/>
      <c r="AQ639" s="1219"/>
      <c r="AR639" s="1219"/>
      <c r="AS639" s="1219"/>
      <c r="AT639" s="1219"/>
      <c r="AU639" s="1219"/>
      <c r="AV639" s="1219"/>
      <c r="AW639" s="1219"/>
      <c r="AX639" s="1219"/>
      <c r="AY639" s="1219"/>
      <c r="AZ639" s="1219"/>
      <c r="BA639" s="1219"/>
      <c r="BB639" s="1219"/>
      <c r="BC639" s="1219"/>
      <c r="BD639" s="1219"/>
      <c r="BE639" s="1219"/>
      <c r="BF639" s="1219"/>
      <c r="BG639" s="1219"/>
      <c r="BH639" s="1219"/>
      <c r="BI639" s="1219"/>
      <c r="BJ639" s="1219"/>
      <c r="BK639" s="1219"/>
      <c r="BL639" s="1219"/>
      <c r="BM639" s="1219"/>
      <c r="BN639" s="1219"/>
      <c r="BO639" s="1219"/>
      <c r="BP639" s="1219"/>
      <c r="BQ639" s="1219"/>
      <c r="BR639" s="1219"/>
      <c r="BS639" s="1219"/>
      <c r="BU639" s="1217"/>
      <c r="BW639" s="1219"/>
      <c r="BY639" s="1217"/>
      <c r="CA639" s="1219"/>
      <c r="CC639" s="1217"/>
      <c r="CE639" s="1219"/>
      <c r="CG639" s="1217"/>
      <c r="CI639" s="1219"/>
    </row>
    <row r="640" spans="1:87">
      <c r="A640" s="20"/>
      <c r="B640" s="124" t="str">
        <f t="shared" si="296"/>
        <v/>
      </c>
      <c r="C640" s="235"/>
      <c r="D640" s="24">
        <f>'1% Wind'!$M$87</f>
        <v>13.5</v>
      </c>
      <c r="E640" s="90"/>
      <c r="F640" s="90"/>
      <c r="G640" s="79">
        <f ca="1">IF(I634=0.9743,$G639,MAX(G639/D639*D640,2))</f>
        <v>2</v>
      </c>
      <c r="H640" s="121" t="e">
        <f t="shared" ca="1" si="297"/>
        <v>#VALUE!</v>
      </c>
      <c r="J640" s="33"/>
      <c r="K640" s="242">
        <f t="shared" si="298"/>
        <v>1</v>
      </c>
      <c r="L640" s="241" t="e">
        <f t="shared" ca="1" si="299"/>
        <v>#VALUE!</v>
      </c>
      <c r="M640" s="243" t="e">
        <f ca="1">IF(AND(INDEX(FlowCalConstA,MATCH(J634,FlowCalNumber,0),1,1)*L640^INDEX(FlowCalConstB,MATCH(J634,FlowCalNumber,0),1,1)&gt;INDEX(FlowCalLowSetting,MATCH(J634,FlowCalNumber,0),1,1), (INDEX(FlowCalConstA,MATCH(J634,FlowCalNumber,0),1,1)*L640^INDEX(FlowCalConstB,MATCH(J634,FlowCalNumber,0),1,1)&lt;INDEX(FlowCalHighSetting,MATCH(J634,FlowCalNumber,0),1,1))),INDEX(FlowCalConstA,MATCH(J634,FlowCalNumber,0),1,1)*L640^INDEX(FlowCalConstB,MATCH(J634,FlowCalNumber,0),1,1)," ")</f>
        <v>#N/A</v>
      </c>
      <c r="N640" s="33"/>
      <c r="O640" s="242">
        <f t="shared" si="300"/>
        <v>1</v>
      </c>
      <c r="P640" s="241" t="e">
        <f t="shared" ca="1" si="301"/>
        <v>#VALUE!</v>
      </c>
      <c r="Q640" s="243" t="e">
        <f ca="1">IF(AND(INDEX(FlowCalConstA,MATCH(N634,FlowCalNumber,0),1,1)*P640^INDEX(FlowCalConstB,MATCH(N634,FlowCalNumber,0),1,1)&gt;INDEX(FlowCalLowSetting,MATCH(N634,FlowCalNumber,0),1,1), (INDEX(FlowCalConstA,MATCH(N634,FlowCalNumber,0),1,1)*P640^INDEX(FlowCalConstB,MATCH(N634,FlowCalNumber,0),1,1)&lt;INDEX(FlowCalHighSetting,MATCH(N634,FlowCalNumber,0),1,1))),INDEX(FlowCalConstA,MATCH(N634,FlowCalNumber,0),1,1)*P640^INDEX(FlowCalConstB,MATCH(N634,FlowCalNumber,0),1,1)," ")</f>
        <v>#N/A</v>
      </c>
      <c r="R640" s="33"/>
      <c r="S640" s="242">
        <f t="shared" si="302"/>
        <v>1</v>
      </c>
      <c r="T640" s="241" t="e">
        <f t="shared" ca="1" si="303"/>
        <v>#VALUE!</v>
      </c>
      <c r="U640" s="243" t="e">
        <f ca="1">IF(AND(INDEX(FlowCalConstA,MATCH(R634,FlowCalNumber,0),1,1)*T640^INDEX(FlowCalConstB,MATCH(R634,FlowCalNumber,0),1,1)&gt;INDEX(FlowCalLowSetting,MATCH(R634,FlowCalNumber,0),1,1), (INDEX(FlowCalConstA,MATCH(R634,FlowCalNumber,0),1,1)*T640^INDEX(FlowCalConstB,MATCH(R634,FlowCalNumber,0),1,1)&lt;INDEX(FlowCalHighSetting,MATCH(R634,FlowCalNumber,0),1,1))),INDEX(FlowCalConstA,MATCH(R634,FlowCalNumber,0),1,1)*T640^INDEX(FlowCalConstB,MATCH(R634,FlowCalNumber,0),1,1)," ")</f>
        <v>#N/A</v>
      </c>
      <c r="V640" s="33"/>
      <c r="W640" s="242"/>
      <c r="X640" s="241"/>
      <c r="Y640" s="243"/>
      <c r="Z640" s="33"/>
      <c r="AA640" s="242"/>
      <c r="AB640" s="241"/>
      <c r="AC640" s="243"/>
      <c r="AD640" s="33"/>
      <c r="AE640" s="242"/>
      <c r="AF640" s="241"/>
      <c r="AG640" s="243"/>
      <c r="AH640" s="33"/>
      <c r="AI640" s="242"/>
      <c r="AJ640" s="241"/>
      <c r="AK640" s="244"/>
      <c r="AL640" s="243"/>
      <c r="AM640" s="243"/>
      <c r="AN640" s="243"/>
      <c r="AO640" s="243"/>
      <c r="AP640" s="243"/>
      <c r="AQ640" s="243"/>
      <c r="AR640" s="243"/>
      <c r="AS640" s="243"/>
      <c r="AT640" s="243"/>
      <c r="AU640" s="243"/>
      <c r="AV640" s="243"/>
      <c r="AW640" s="243"/>
      <c r="AX640" s="243"/>
      <c r="AY640" s="243"/>
      <c r="AZ640" s="243"/>
      <c r="BA640" s="243"/>
      <c r="BB640" s="243"/>
      <c r="BC640" s="243"/>
      <c r="BD640" s="243"/>
      <c r="BE640" s="243"/>
      <c r="BF640" s="243"/>
      <c r="BG640" s="243"/>
      <c r="BH640" s="243"/>
      <c r="BI640" s="243"/>
      <c r="BJ640" s="243"/>
      <c r="BK640" s="243"/>
      <c r="BL640" s="243"/>
      <c r="BM640" s="243"/>
      <c r="BN640" s="243"/>
      <c r="BO640" s="243"/>
      <c r="BP640" s="243"/>
      <c r="BQ640" s="243"/>
      <c r="BR640" s="243"/>
      <c r="BS640" s="243"/>
      <c r="BU640" s="242"/>
      <c r="BW640" s="243"/>
      <c r="BY640" s="242"/>
      <c r="CA640" s="243"/>
      <c r="CC640" s="242"/>
      <c r="CE640" s="243"/>
      <c r="CG640" s="242"/>
      <c r="CI640" s="243"/>
    </row>
    <row r="641" spans="1:87" s="1215" customFormat="1">
      <c r="A641" s="1222"/>
      <c r="B641" s="1223" t="str">
        <f t="shared" si="296"/>
        <v/>
      </c>
      <c r="C641" s="1210"/>
      <c r="D641" s="1211">
        <f>'1% Wind'!$M$88</f>
        <v>10.1</v>
      </c>
      <c r="E641" s="1212"/>
      <c r="F641" s="1212"/>
      <c r="G641" s="1213">
        <f ca="1">IF(I634=0.9743,$G640,MAX(G640/D640*D641,2))</f>
        <v>2</v>
      </c>
      <c r="H641" s="1214" t="e">
        <f t="shared" ca="1" si="297"/>
        <v>#VALUE!</v>
      </c>
      <c r="J641" s="1224"/>
      <c r="K641" s="1217">
        <f t="shared" si="298"/>
        <v>1</v>
      </c>
      <c r="L641" s="1218" t="e">
        <f t="shared" ca="1" si="299"/>
        <v>#VALUE!</v>
      </c>
      <c r="M641" s="1219" t="e">
        <f ca="1">IF(AND(INDEX(FlowCalConstA,MATCH(J634,FlowCalNumber,0),1,1)*L641^INDEX(FlowCalConstB,MATCH(J634,FlowCalNumber,0),1,1)&gt;INDEX(FlowCalLowSetting,MATCH(J634,FlowCalNumber,0),1,1), (INDEX(FlowCalConstA,MATCH(J634,FlowCalNumber,0),1,1)*L641^INDEX(FlowCalConstB,MATCH(J634,FlowCalNumber,0),1,1)&lt;INDEX(FlowCalHighSetting,MATCH(J634,FlowCalNumber,0),1,1))),INDEX(FlowCalConstA,MATCH(J634,FlowCalNumber,0),1,1)*L641^INDEX(FlowCalConstB,MATCH(J634,FlowCalNumber,0),1,1)," ")</f>
        <v>#N/A</v>
      </c>
      <c r="N641" s="1224"/>
      <c r="O641" s="1217">
        <f t="shared" si="300"/>
        <v>1</v>
      </c>
      <c r="P641" s="1218" t="e">
        <f t="shared" ca="1" si="301"/>
        <v>#VALUE!</v>
      </c>
      <c r="Q641" s="1219" t="e">
        <f ca="1">IF(AND(INDEX(FlowCalConstA,MATCH(N634,FlowCalNumber,0),1,1)*P641^INDEX(FlowCalConstB,MATCH(N634,FlowCalNumber,0),1,1)&gt;INDEX(FlowCalLowSetting,MATCH(N634,FlowCalNumber,0),1,1), (INDEX(FlowCalConstA,MATCH(N634,FlowCalNumber,0),1,1)*P641^INDEX(FlowCalConstB,MATCH(N634,FlowCalNumber,0),1,1)&lt;INDEX(FlowCalHighSetting,MATCH(N634,FlowCalNumber,0),1,1))),INDEX(FlowCalConstA,MATCH(N634,FlowCalNumber,0),1,1)*P641^INDEX(FlowCalConstB,MATCH(N634,FlowCalNumber,0),1,1)," ")</f>
        <v>#N/A</v>
      </c>
      <c r="R641" s="1224"/>
      <c r="S641" s="1217">
        <f t="shared" si="302"/>
        <v>1</v>
      </c>
      <c r="T641" s="1218" t="e">
        <f t="shared" ca="1" si="303"/>
        <v>#VALUE!</v>
      </c>
      <c r="U641" s="1219" t="e">
        <f ca="1">IF(AND(INDEX(FlowCalConstA,MATCH(R634,FlowCalNumber,0),1,1)*T641^INDEX(FlowCalConstB,MATCH(R634,FlowCalNumber,0),1,1)&gt;INDEX(FlowCalLowSetting,MATCH(R634,FlowCalNumber,0),1,1), (INDEX(FlowCalConstA,MATCH(R634,FlowCalNumber,0),1,1)*T641^INDEX(FlowCalConstB,MATCH(R634,FlowCalNumber,0),1,1)&lt;INDEX(FlowCalHighSetting,MATCH(R634,FlowCalNumber,0),1,1))),INDEX(FlowCalConstA,MATCH(R634,FlowCalNumber,0),1,1)*T641^INDEX(FlowCalConstB,MATCH(R634,FlowCalNumber,0),1,1)," ")</f>
        <v>#N/A</v>
      </c>
      <c r="V641" s="1224"/>
      <c r="W641" s="1217"/>
      <c r="X641" s="1218"/>
      <c r="Y641" s="1219"/>
      <c r="Z641" s="1224"/>
      <c r="AA641" s="1217"/>
      <c r="AB641" s="1218"/>
      <c r="AC641" s="1219"/>
      <c r="AD641" s="1224"/>
      <c r="AE641" s="1217"/>
      <c r="AF641" s="1218"/>
      <c r="AG641" s="1219"/>
      <c r="AH641" s="1224"/>
      <c r="AI641" s="1217"/>
      <c r="AJ641" s="1218"/>
      <c r="AK641" s="1220"/>
      <c r="AL641" s="1219"/>
      <c r="AM641" s="1219"/>
      <c r="AN641" s="1219"/>
      <c r="AO641" s="1219"/>
      <c r="AP641" s="1219"/>
      <c r="AQ641" s="1219"/>
      <c r="AR641" s="1219"/>
      <c r="AS641" s="1219"/>
      <c r="AT641" s="1219"/>
      <c r="AU641" s="1219"/>
      <c r="AV641" s="1219"/>
      <c r="AW641" s="1219"/>
      <c r="AX641" s="1219"/>
      <c r="AY641" s="1219"/>
      <c r="AZ641" s="1219"/>
      <c r="BA641" s="1219"/>
      <c r="BB641" s="1219"/>
      <c r="BC641" s="1219"/>
      <c r="BD641" s="1219"/>
      <c r="BE641" s="1219"/>
      <c r="BF641" s="1219"/>
      <c r="BG641" s="1219"/>
      <c r="BH641" s="1219"/>
      <c r="BI641" s="1219"/>
      <c r="BJ641" s="1219"/>
      <c r="BK641" s="1219"/>
      <c r="BL641" s="1219"/>
      <c r="BM641" s="1219"/>
      <c r="BN641" s="1219"/>
      <c r="BO641" s="1219"/>
      <c r="BP641" s="1219"/>
      <c r="BQ641" s="1219"/>
      <c r="BR641" s="1219"/>
      <c r="BS641" s="1219"/>
      <c r="BU641" s="1217"/>
      <c r="BW641" s="1219"/>
      <c r="BY641" s="1217"/>
      <c r="CA641" s="1219"/>
      <c r="CC641" s="1217"/>
      <c r="CE641" s="1219"/>
      <c r="CG641" s="1217"/>
      <c r="CI641" s="1219"/>
    </row>
    <row r="642" spans="1:87">
      <c r="A642" s="20"/>
      <c r="B642" s="124" t="str">
        <f t="shared" si="296"/>
        <v/>
      </c>
      <c r="C642" s="235"/>
      <c r="D642" s="24">
        <f>'1% Wind'!$M$89</f>
        <v>7.6</v>
      </c>
      <c r="E642" s="90"/>
      <c r="F642" s="90"/>
      <c r="G642" s="79">
        <f ca="1">IF(I634=0.9743,$G641,MAX(G641/D641*D642,2))</f>
        <v>2</v>
      </c>
      <c r="H642" s="121" t="e">
        <f t="shared" ca="1" si="297"/>
        <v>#VALUE!</v>
      </c>
      <c r="J642" s="33"/>
      <c r="K642" s="242">
        <f t="shared" si="298"/>
        <v>1</v>
      </c>
      <c r="L642" s="241" t="e">
        <f t="shared" ca="1" si="299"/>
        <v>#VALUE!</v>
      </c>
      <c r="M642" s="243" t="e">
        <f ca="1">IF(AND(INDEX(FlowCalConstA,MATCH(J634,FlowCalNumber,0),1,1)*L642^INDEX(FlowCalConstB,MATCH(J634,FlowCalNumber,0),1,1)&gt;INDEX(FlowCalLowSetting,MATCH(J634,FlowCalNumber,0),1,1), (INDEX(FlowCalConstA,MATCH(J634,FlowCalNumber,0),1,1)*L642^INDEX(FlowCalConstB,MATCH(J634,FlowCalNumber,0),1,1)&lt;INDEX(FlowCalHighSetting,MATCH(J634,FlowCalNumber,0),1,1))),INDEX(FlowCalConstA,MATCH(J634,FlowCalNumber,0),1,1)*L642^INDEX(FlowCalConstB,MATCH(J634,FlowCalNumber,0),1,1)," ")</f>
        <v>#N/A</v>
      </c>
      <c r="N642" s="33"/>
      <c r="O642" s="242">
        <f t="shared" si="300"/>
        <v>1</v>
      </c>
      <c r="P642" s="241" t="e">
        <f t="shared" ca="1" si="301"/>
        <v>#VALUE!</v>
      </c>
      <c r="Q642" s="243" t="e">
        <f ca="1">IF(AND(INDEX(FlowCalConstA,MATCH(N634,FlowCalNumber,0),1,1)*P642^INDEX(FlowCalConstB,MATCH(N634,FlowCalNumber,0),1,1)&gt;INDEX(FlowCalLowSetting,MATCH(N634,FlowCalNumber,0),1,1), (INDEX(FlowCalConstA,MATCH(N634,FlowCalNumber,0),1,1)*P642^INDEX(FlowCalConstB,MATCH(N634,FlowCalNumber,0),1,1)&lt;INDEX(FlowCalHighSetting,MATCH(N634,FlowCalNumber,0),1,1))),INDEX(FlowCalConstA,MATCH(N634,FlowCalNumber,0),1,1)*P642^INDEX(FlowCalConstB,MATCH(N634,FlowCalNumber,0),1,1)," ")</f>
        <v>#N/A</v>
      </c>
      <c r="R642" s="33"/>
      <c r="S642" s="242">
        <f t="shared" si="302"/>
        <v>1</v>
      </c>
      <c r="T642" s="241" t="e">
        <f t="shared" ca="1" si="303"/>
        <v>#VALUE!</v>
      </c>
      <c r="U642" s="243" t="e">
        <f ca="1">IF(AND(INDEX(FlowCalConstA,MATCH(R634,FlowCalNumber,0),1,1)*T642^INDEX(FlowCalConstB,MATCH(R634,FlowCalNumber,0),1,1)&gt;INDEX(FlowCalLowSetting,MATCH(R634,FlowCalNumber,0),1,1), (INDEX(FlowCalConstA,MATCH(R634,FlowCalNumber,0),1,1)*T642^INDEX(FlowCalConstB,MATCH(R634,FlowCalNumber,0),1,1)&lt;INDEX(FlowCalHighSetting,MATCH(R634,FlowCalNumber,0),1,1))),INDEX(FlowCalConstA,MATCH(R634,FlowCalNumber,0),1,1)*T642^INDEX(FlowCalConstB,MATCH(R634,FlowCalNumber,0),1,1)," ")</f>
        <v>#N/A</v>
      </c>
      <c r="V642" s="33"/>
      <c r="W642" s="242"/>
      <c r="X642" s="241"/>
      <c r="Y642" s="243"/>
      <c r="Z642" s="33"/>
      <c r="AA642" s="242"/>
      <c r="AB642" s="241"/>
      <c r="AC642" s="243"/>
      <c r="AD642" s="33"/>
      <c r="AE642" s="242"/>
      <c r="AF642" s="241"/>
      <c r="AG642" s="243"/>
      <c r="AH642" s="33"/>
      <c r="AI642" s="242"/>
      <c r="AJ642" s="241"/>
      <c r="AK642" s="244"/>
      <c r="AL642" s="243"/>
      <c r="AM642" s="243"/>
      <c r="AN642" s="243"/>
      <c r="AO642" s="243"/>
      <c r="AP642" s="243"/>
      <c r="AQ642" s="243"/>
      <c r="AR642" s="243"/>
      <c r="AS642" s="243"/>
      <c r="AT642" s="243"/>
      <c r="AU642" s="243"/>
      <c r="AV642" s="243"/>
      <c r="AW642" s="243"/>
      <c r="AX642" s="243"/>
      <c r="AY642" s="243"/>
      <c r="AZ642" s="243"/>
      <c r="BA642" s="243"/>
      <c r="BB642" s="243"/>
      <c r="BC642" s="243"/>
      <c r="BD642" s="243"/>
      <c r="BE642" s="243"/>
      <c r="BF642" s="243"/>
      <c r="BG642" s="243"/>
      <c r="BH642" s="243"/>
      <c r="BI642" s="243"/>
      <c r="BJ642" s="243"/>
      <c r="BK642" s="243"/>
      <c r="BL642" s="243"/>
      <c r="BM642" s="243"/>
      <c r="BN642" s="243"/>
      <c r="BO642" s="243"/>
      <c r="BP642" s="243"/>
      <c r="BQ642" s="243"/>
      <c r="BR642" s="243"/>
      <c r="BS642" s="243"/>
      <c r="BU642" s="242"/>
      <c r="BW642" s="243"/>
      <c r="BY642" s="242"/>
      <c r="CA642" s="243"/>
      <c r="CC642" s="242"/>
      <c r="CE642" s="243"/>
      <c r="CG642" s="242"/>
      <c r="CI642" s="243"/>
    </row>
    <row r="643" spans="1:87" s="1215" customFormat="1">
      <c r="A643" s="1222"/>
      <c r="B643" s="1223" t="str">
        <f t="shared" si="296"/>
        <v/>
      </c>
      <c r="C643" s="1210"/>
      <c r="D643" s="1211">
        <f>'1% Wind'!$M$90</f>
        <v>5.7</v>
      </c>
      <c r="E643" s="1212"/>
      <c r="F643" s="1212"/>
      <c r="G643" s="1213">
        <f ca="1">IF(I634=0.9743,$G642,MAX(G642/D642*D643,2))</f>
        <v>2</v>
      </c>
      <c r="H643" s="1214" t="e">
        <f t="shared" ca="1" si="297"/>
        <v>#VALUE!</v>
      </c>
      <c r="J643" s="1224"/>
      <c r="K643" s="1217">
        <f t="shared" si="298"/>
        <v>1</v>
      </c>
      <c r="L643" s="1218" t="e">
        <f t="shared" ca="1" si="299"/>
        <v>#VALUE!</v>
      </c>
      <c r="M643" s="1219" t="e">
        <f ca="1">IF(AND(INDEX(FlowCalConstA,MATCH(J634,FlowCalNumber,0),1,1)*L643^INDEX(FlowCalConstB,MATCH(J634,FlowCalNumber,0),1,1)&gt;INDEX(FlowCalLowSetting,MATCH(J634,FlowCalNumber,0),1,1), (INDEX(FlowCalConstA,MATCH(J634,FlowCalNumber,0),1,1)*L643^INDEX(FlowCalConstB,MATCH(J634,FlowCalNumber,0),1,1)&lt;INDEX(FlowCalHighSetting,MATCH(J634,FlowCalNumber,0),1,1))),INDEX(FlowCalConstA,MATCH(J634,FlowCalNumber,0),1,1)*L643^INDEX(FlowCalConstB,MATCH(J634,FlowCalNumber,0),1,1)," ")</f>
        <v>#N/A</v>
      </c>
      <c r="N643" s="1224"/>
      <c r="O643" s="1217">
        <f t="shared" si="300"/>
        <v>1</v>
      </c>
      <c r="P643" s="1218" t="e">
        <f t="shared" ca="1" si="301"/>
        <v>#VALUE!</v>
      </c>
      <c r="Q643" s="1219" t="e">
        <f ca="1">IF(AND(INDEX(FlowCalConstA,MATCH(N634,FlowCalNumber,0),1,1)*P643^INDEX(FlowCalConstB,MATCH(N634,FlowCalNumber,0),1,1)&gt;INDEX(FlowCalLowSetting,MATCH(N634,FlowCalNumber,0),1,1), (INDEX(FlowCalConstA,MATCH(N634,FlowCalNumber,0),1,1)*P643^INDEX(FlowCalConstB,MATCH(N634,FlowCalNumber,0),1,1)&lt;INDEX(FlowCalHighSetting,MATCH(N634,FlowCalNumber,0),1,1))),INDEX(FlowCalConstA,MATCH(N634,FlowCalNumber,0),1,1)*P643^INDEX(FlowCalConstB,MATCH(N634,FlowCalNumber,0),1,1)," ")</f>
        <v>#N/A</v>
      </c>
      <c r="R643" s="1224"/>
      <c r="S643" s="1217">
        <f t="shared" si="302"/>
        <v>1</v>
      </c>
      <c r="T643" s="1218" t="e">
        <f t="shared" ca="1" si="303"/>
        <v>#VALUE!</v>
      </c>
      <c r="U643" s="1219" t="e">
        <f ca="1">IF(AND(INDEX(FlowCalConstA,MATCH(R634,FlowCalNumber,0),1,1)*T643^INDEX(FlowCalConstB,MATCH(R634,FlowCalNumber,0),1,1)&gt;INDEX(FlowCalLowSetting,MATCH(R634,FlowCalNumber,0),1,1), (INDEX(FlowCalConstA,MATCH(R634,FlowCalNumber,0),1,1)*T643^INDEX(FlowCalConstB,MATCH(R634,FlowCalNumber,0),1,1)&lt;INDEX(FlowCalHighSetting,MATCH(R634,FlowCalNumber,0),1,1))),INDEX(FlowCalConstA,MATCH(R634,FlowCalNumber,0),1,1)*T643^INDEX(FlowCalConstB,MATCH(R634,FlowCalNumber,0),1,1)," ")</f>
        <v>#N/A</v>
      </c>
      <c r="V643" s="1224"/>
      <c r="W643" s="1217"/>
      <c r="X643" s="1218"/>
      <c r="Y643" s="1219"/>
      <c r="Z643" s="1224"/>
      <c r="AA643" s="1217"/>
      <c r="AB643" s="1218"/>
      <c r="AC643" s="1219"/>
      <c r="AD643" s="1224"/>
      <c r="AE643" s="1217"/>
      <c r="AF643" s="1218"/>
      <c r="AG643" s="1219"/>
      <c r="AH643" s="1224"/>
      <c r="AI643" s="1217"/>
      <c r="AJ643" s="1218"/>
      <c r="AK643" s="1220"/>
      <c r="AL643" s="1219"/>
      <c r="AM643" s="1219"/>
      <c r="AN643" s="1219"/>
      <c r="AO643" s="1219"/>
      <c r="AP643" s="1219"/>
      <c r="AQ643" s="1219"/>
      <c r="AR643" s="1219"/>
      <c r="AS643" s="1219"/>
      <c r="AT643" s="1219"/>
      <c r="AU643" s="1219"/>
      <c r="AV643" s="1219"/>
      <c r="AW643" s="1219"/>
      <c r="AX643" s="1219"/>
      <c r="AY643" s="1219"/>
      <c r="AZ643" s="1219"/>
      <c r="BA643" s="1219"/>
      <c r="BB643" s="1219"/>
      <c r="BC643" s="1219"/>
      <c r="BD643" s="1219"/>
      <c r="BE643" s="1219"/>
      <c r="BF643" s="1219"/>
      <c r="BG643" s="1219"/>
      <c r="BH643" s="1219"/>
      <c r="BI643" s="1219"/>
      <c r="BJ643" s="1219"/>
      <c r="BK643" s="1219"/>
      <c r="BL643" s="1219"/>
      <c r="BM643" s="1219"/>
      <c r="BN643" s="1219"/>
      <c r="BO643" s="1219"/>
      <c r="BP643" s="1219"/>
      <c r="BQ643" s="1219"/>
      <c r="BR643" s="1219"/>
      <c r="BS643" s="1219"/>
      <c r="BU643" s="1217"/>
      <c r="BW643" s="1219"/>
      <c r="BY643" s="1217"/>
      <c r="CA643" s="1219"/>
      <c r="CC643" s="1217"/>
      <c r="CE643" s="1219"/>
      <c r="CG643" s="1217"/>
      <c r="CI643" s="1219"/>
    </row>
    <row r="644" spans="1:87">
      <c r="A644" s="20"/>
      <c r="B644" s="124" t="str">
        <f t="shared" si="296"/>
        <v/>
      </c>
      <c r="C644" s="235"/>
      <c r="D644" s="24">
        <f>'1% Wind'!$M$91</f>
        <v>4.2</v>
      </c>
      <c r="E644" s="90"/>
      <c r="F644" s="90"/>
      <c r="G644" s="79">
        <f ca="1">IF(I634=0.9743,$G643,MAX(G643/D643*D644,2))</f>
        <v>2</v>
      </c>
      <c r="H644" s="121" t="e">
        <f t="shared" ca="1" si="297"/>
        <v>#VALUE!</v>
      </c>
      <c r="J644" s="33"/>
      <c r="K644" s="242">
        <f t="shared" si="298"/>
        <v>1</v>
      </c>
      <c r="L644" s="241" t="e">
        <f t="shared" ca="1" si="299"/>
        <v>#VALUE!</v>
      </c>
      <c r="M644" s="243" t="e">
        <f ca="1">IF(AND(INDEX(FlowCalConstA,MATCH(J634,FlowCalNumber,0),1,1)*L644^INDEX(FlowCalConstB,MATCH(J634,FlowCalNumber,0),1,1)&gt;INDEX(FlowCalLowSetting,MATCH(J634,FlowCalNumber,0),1,1), (INDEX(FlowCalConstA,MATCH(J634,FlowCalNumber,0),1,1)*L644^INDEX(FlowCalConstB,MATCH(J634,FlowCalNumber,0),1,1)&lt;INDEX(FlowCalHighSetting,MATCH(J634,FlowCalNumber,0),1,1))),INDEX(FlowCalConstA,MATCH(J634,FlowCalNumber,0),1,1)*L644^INDEX(FlowCalConstB,MATCH(J634,FlowCalNumber,0),1,1)," ")</f>
        <v>#N/A</v>
      </c>
      <c r="N644" s="33"/>
      <c r="O644" s="242">
        <f t="shared" si="300"/>
        <v>1</v>
      </c>
      <c r="P644" s="241" t="e">
        <f t="shared" ca="1" si="301"/>
        <v>#VALUE!</v>
      </c>
      <c r="Q644" s="243" t="e">
        <f ca="1">IF(AND(INDEX(FlowCalConstA,MATCH(N634,FlowCalNumber,0),1,1)*P644^INDEX(FlowCalConstB,MATCH(N634,FlowCalNumber,0),1,1)&gt;INDEX(FlowCalLowSetting,MATCH(N634,FlowCalNumber,0),1,1), (INDEX(FlowCalConstA,MATCH(N634,FlowCalNumber,0),1,1)*P644^INDEX(FlowCalConstB,MATCH(N634,FlowCalNumber,0),1,1)&lt;INDEX(FlowCalHighSetting,MATCH(N634,FlowCalNumber,0),1,1))),INDEX(FlowCalConstA,MATCH(N634,FlowCalNumber,0),1,1)*P644^INDEX(FlowCalConstB,MATCH(N634,FlowCalNumber,0),1,1)," ")</f>
        <v>#N/A</v>
      </c>
      <c r="R644" s="33"/>
      <c r="S644" s="242">
        <f t="shared" si="302"/>
        <v>1</v>
      </c>
      <c r="T644" s="241" t="e">
        <f t="shared" ca="1" si="303"/>
        <v>#VALUE!</v>
      </c>
      <c r="U644" s="243" t="e">
        <f ca="1">IF(AND(INDEX(FlowCalConstA,MATCH(R634,FlowCalNumber,0),1,1)*T644^INDEX(FlowCalConstB,MATCH(R634,FlowCalNumber,0),1,1)&gt;INDEX(FlowCalLowSetting,MATCH(R634,FlowCalNumber,0),1,1), (INDEX(FlowCalConstA,MATCH(R634,FlowCalNumber,0),1,1)*T644^INDEX(FlowCalConstB,MATCH(R634,FlowCalNumber,0),1,1)&lt;INDEX(FlowCalHighSetting,MATCH(R634,FlowCalNumber,0),1,1))),INDEX(FlowCalConstA,MATCH(R634,FlowCalNumber,0),1,1)*T644^INDEX(FlowCalConstB,MATCH(R634,FlowCalNumber,0),1,1)," ")</f>
        <v>#N/A</v>
      </c>
      <c r="V644" s="33"/>
      <c r="W644" s="242"/>
      <c r="X644" s="241"/>
      <c r="Y644" s="243"/>
      <c r="Z644" s="33"/>
      <c r="AA644" s="242"/>
      <c r="AB644" s="241"/>
      <c r="AC644" s="243"/>
      <c r="AD644" s="33"/>
      <c r="AE644" s="242"/>
      <c r="AF644" s="241"/>
      <c r="AG644" s="243"/>
      <c r="AH644" s="33"/>
      <c r="AI644" s="242"/>
      <c r="AJ644" s="241"/>
      <c r="AK644" s="244"/>
      <c r="AL644" s="243"/>
      <c r="AM644" s="243"/>
      <c r="AN644" s="243"/>
      <c r="AO644" s="243"/>
      <c r="AP644" s="243"/>
      <c r="AQ644" s="243"/>
      <c r="AR644" s="243"/>
      <c r="AS644" s="243"/>
      <c r="AT644" s="243"/>
      <c r="AU644" s="243"/>
      <c r="AV644" s="243"/>
      <c r="AW644" s="243"/>
      <c r="AX644" s="243"/>
      <c r="AY644" s="243"/>
      <c r="AZ644" s="243"/>
      <c r="BA644" s="243"/>
      <c r="BB644" s="243"/>
      <c r="BC644" s="243"/>
      <c r="BD644" s="243"/>
      <c r="BE644" s="243"/>
      <c r="BF644" s="243"/>
      <c r="BG644" s="243"/>
      <c r="BH644" s="243"/>
      <c r="BI644" s="243"/>
      <c r="BJ644" s="243"/>
      <c r="BK644" s="243"/>
      <c r="BL644" s="243"/>
      <c r="BM644" s="243"/>
      <c r="BN644" s="243"/>
      <c r="BO644" s="243"/>
      <c r="BP644" s="243"/>
      <c r="BQ644" s="243"/>
      <c r="BR644" s="243"/>
      <c r="BS644" s="243"/>
      <c r="BU644" s="242"/>
      <c r="BW644" s="243"/>
      <c r="BY644" s="242"/>
      <c r="CA644" s="243"/>
      <c r="CC644" s="242"/>
      <c r="CE644" s="243"/>
      <c r="CG644" s="242"/>
      <c r="CI644" s="243"/>
    </row>
    <row r="645" spans="1:87" s="1215" customFormat="1">
      <c r="A645" s="1222"/>
      <c r="B645" s="1223" t="str">
        <f t="shared" si="296"/>
        <v/>
      </c>
      <c r="C645" s="1210"/>
      <c r="D645" s="1211">
        <f>'1% Wind'!$M$92</f>
        <v>3.2</v>
      </c>
      <c r="E645" s="1212"/>
      <c r="F645" s="1212"/>
      <c r="G645" s="1213">
        <f ca="1">IF(I634=0.9743,$G644,MAX(G644/D644*D645,2))</f>
        <v>2</v>
      </c>
      <c r="H645" s="1214" t="e">
        <f t="shared" ca="1" si="297"/>
        <v>#VALUE!</v>
      </c>
      <c r="J645" s="1224"/>
      <c r="K645" s="1217">
        <f t="shared" si="298"/>
        <v>1</v>
      </c>
      <c r="L645" s="1218" t="e">
        <f t="shared" ca="1" si="299"/>
        <v>#VALUE!</v>
      </c>
      <c r="M645" s="1219" t="e">
        <f ca="1">IF(AND(INDEX(FlowCalConstA,MATCH(J634,FlowCalNumber,0),1,1)*L645^INDEX(FlowCalConstB,MATCH(J634,FlowCalNumber,0),1,1)&gt;INDEX(FlowCalLowSetting,MATCH(J634,FlowCalNumber,0),1,1), (INDEX(FlowCalConstA,MATCH(J634,FlowCalNumber,0),1,1)*L645^INDEX(FlowCalConstB,MATCH(J634,FlowCalNumber,0),1,1)&lt;INDEX(FlowCalHighSetting,MATCH(J634,FlowCalNumber,0),1,1))),INDEX(FlowCalConstA,MATCH(J634,FlowCalNumber,0),1,1)*L645^INDEX(FlowCalConstB,MATCH(J634,FlowCalNumber,0),1,1)," ")</f>
        <v>#N/A</v>
      </c>
      <c r="N645" s="1224"/>
      <c r="O645" s="1217">
        <f t="shared" si="300"/>
        <v>1</v>
      </c>
      <c r="P645" s="1218" t="e">
        <f t="shared" ca="1" si="301"/>
        <v>#VALUE!</v>
      </c>
      <c r="Q645" s="1219" t="e">
        <f ca="1">IF(AND(INDEX(FlowCalConstA,MATCH(N634,FlowCalNumber,0),1,1)*P645^INDEX(FlowCalConstB,MATCH(N634,FlowCalNumber,0),1,1)&gt;INDEX(FlowCalLowSetting,MATCH(N634,FlowCalNumber,0),1,1), (INDEX(FlowCalConstA,MATCH(N634,FlowCalNumber,0),1,1)*P645^INDEX(FlowCalConstB,MATCH(N634,FlowCalNumber,0),1,1)&lt;INDEX(FlowCalHighSetting,MATCH(N634,FlowCalNumber,0),1,1))),INDEX(FlowCalConstA,MATCH(N634,FlowCalNumber,0),1,1)*P645^INDEX(FlowCalConstB,MATCH(N634,FlowCalNumber,0),1,1)," ")</f>
        <v>#N/A</v>
      </c>
      <c r="R645" s="1224"/>
      <c r="S645" s="1217">
        <f t="shared" si="302"/>
        <v>1</v>
      </c>
      <c r="T645" s="1218" t="e">
        <f t="shared" ca="1" si="303"/>
        <v>#VALUE!</v>
      </c>
      <c r="U645" s="1219" t="e">
        <f ca="1">IF(AND(INDEX(FlowCalConstA,MATCH(R634,FlowCalNumber,0),1,1)*T645^INDEX(FlowCalConstB,MATCH(R634,FlowCalNumber,0),1,1)&gt;INDEX(FlowCalLowSetting,MATCH(R634,FlowCalNumber,0),1,1), (INDEX(FlowCalConstA,MATCH(R634,FlowCalNumber,0),1,1)*T645^INDEX(FlowCalConstB,MATCH(R634,FlowCalNumber,0),1,1)&lt;INDEX(FlowCalHighSetting,MATCH(R634,FlowCalNumber,0),1,1))),INDEX(FlowCalConstA,MATCH(R634,FlowCalNumber,0),1,1)*T645^INDEX(FlowCalConstB,MATCH(R634,FlowCalNumber,0),1,1)," ")</f>
        <v>#N/A</v>
      </c>
      <c r="V645" s="1224"/>
      <c r="W645" s="1217"/>
      <c r="X645" s="1218"/>
      <c r="Y645" s="1219"/>
      <c r="Z645" s="1224"/>
      <c r="AA645" s="1217"/>
      <c r="AB645" s="1218"/>
      <c r="AC645" s="1219"/>
      <c r="AD645" s="1224"/>
      <c r="AE645" s="1217"/>
      <c r="AF645" s="1218"/>
      <c r="AG645" s="1219"/>
      <c r="AH645" s="1224"/>
      <c r="AI645" s="1217"/>
      <c r="AJ645" s="1218"/>
      <c r="AK645" s="1220"/>
      <c r="AL645" s="1219"/>
      <c r="AM645" s="1219"/>
      <c r="AN645" s="1219"/>
      <c r="AO645" s="1219"/>
      <c r="AP645" s="1219"/>
      <c r="AQ645" s="1219"/>
      <c r="AR645" s="1219"/>
      <c r="AS645" s="1219"/>
      <c r="AT645" s="1219"/>
      <c r="AU645" s="1219"/>
      <c r="AV645" s="1219"/>
      <c r="AW645" s="1219"/>
      <c r="AX645" s="1219"/>
      <c r="AY645" s="1219"/>
      <c r="AZ645" s="1219"/>
      <c r="BA645" s="1219"/>
      <c r="BB645" s="1219"/>
      <c r="BC645" s="1219"/>
      <c r="BD645" s="1219"/>
      <c r="BE645" s="1219"/>
      <c r="BF645" s="1219"/>
      <c r="BG645" s="1219"/>
      <c r="BH645" s="1219"/>
      <c r="BI645" s="1219"/>
      <c r="BJ645" s="1219"/>
      <c r="BK645" s="1219"/>
      <c r="BL645" s="1219"/>
      <c r="BM645" s="1219"/>
      <c r="BN645" s="1219"/>
      <c r="BO645" s="1219"/>
      <c r="BP645" s="1219"/>
      <c r="BQ645" s="1219"/>
      <c r="BR645" s="1219"/>
      <c r="BS645" s="1219"/>
      <c r="BU645" s="1217"/>
      <c r="BW645" s="1219"/>
      <c r="BY645" s="1217"/>
      <c r="CA645" s="1219"/>
      <c r="CC645" s="1217"/>
      <c r="CE645" s="1219"/>
      <c r="CG645" s="1217"/>
      <c r="CI645" s="1219"/>
    </row>
    <row r="646" spans="1:87">
      <c r="A646" s="20"/>
      <c r="B646" s="124" t="str">
        <f t="shared" si="296"/>
        <v/>
      </c>
      <c r="C646" s="235"/>
      <c r="D646" s="24">
        <f>'1% Wind'!$M$93</f>
        <v>2.4</v>
      </c>
      <c r="E646" s="90"/>
      <c r="F646" s="90"/>
      <c r="G646" s="79">
        <f ca="1">IF(I634=0.9743,$G645,MAX(G645/D645*D646,2))</f>
        <v>2</v>
      </c>
      <c r="H646" s="121" t="e">
        <f t="shared" ca="1" si="297"/>
        <v>#VALUE!</v>
      </c>
      <c r="J646" s="33"/>
      <c r="K646" s="242">
        <f t="shared" si="298"/>
        <v>1</v>
      </c>
      <c r="L646" s="241" t="e">
        <f t="shared" ca="1" si="299"/>
        <v>#VALUE!</v>
      </c>
      <c r="M646" s="243" t="e">
        <f ca="1">IF(AND(INDEX(FlowCalConstA,MATCH(J634,FlowCalNumber,0),1,1)*L646^INDEX(FlowCalConstB,MATCH(J634,FlowCalNumber,0),1,1)&gt;INDEX(FlowCalLowSetting,MATCH(J634,FlowCalNumber,0),1,1), (INDEX(FlowCalConstA,MATCH(J634,FlowCalNumber,0),1,1)*L646^INDEX(FlowCalConstB,MATCH(J634,FlowCalNumber,0),1,1)&lt;INDEX(FlowCalHighSetting,MATCH(J634,FlowCalNumber,0),1,1))),INDEX(FlowCalConstA,MATCH(J634,FlowCalNumber,0),1,1)*L646^INDEX(FlowCalConstB,MATCH(J634,FlowCalNumber,0),1,1)," ")</f>
        <v>#N/A</v>
      </c>
      <c r="N646" s="33"/>
      <c r="O646" s="242">
        <f t="shared" si="300"/>
        <v>1</v>
      </c>
      <c r="P646" s="241" t="e">
        <f t="shared" ca="1" si="301"/>
        <v>#VALUE!</v>
      </c>
      <c r="Q646" s="243" t="e">
        <f ca="1">IF(AND(INDEX(FlowCalConstA,MATCH(N634,FlowCalNumber,0),1,1)*P646^INDEX(FlowCalConstB,MATCH(N634,FlowCalNumber,0),1,1)&gt;INDEX(FlowCalLowSetting,MATCH(N634,FlowCalNumber,0),1,1), (INDEX(FlowCalConstA,MATCH(N634,FlowCalNumber,0),1,1)*P646^INDEX(FlowCalConstB,MATCH(N634,FlowCalNumber,0),1,1)&lt;INDEX(FlowCalHighSetting,MATCH(N634,FlowCalNumber,0),1,1))),INDEX(FlowCalConstA,MATCH(N634,FlowCalNumber,0),1,1)*P646^INDEX(FlowCalConstB,MATCH(N634,FlowCalNumber,0),1,1)," ")</f>
        <v>#N/A</v>
      </c>
      <c r="R646" s="33"/>
      <c r="S646" s="242">
        <f t="shared" si="302"/>
        <v>1</v>
      </c>
      <c r="T646" s="241" t="e">
        <f t="shared" ca="1" si="303"/>
        <v>#VALUE!</v>
      </c>
      <c r="U646" s="243" t="e">
        <f ca="1">IF(AND(INDEX(FlowCalConstA,MATCH(R634,FlowCalNumber,0),1,1)*T646^INDEX(FlowCalConstB,MATCH(R634,FlowCalNumber,0),1,1)&gt;INDEX(FlowCalLowSetting,MATCH(R634,FlowCalNumber,0),1,1), (INDEX(FlowCalConstA,MATCH(R634,FlowCalNumber,0),1,1)*T646^INDEX(FlowCalConstB,MATCH(R634,FlowCalNumber,0),1,1)&lt;INDEX(FlowCalHighSetting,MATCH(R634,FlowCalNumber,0),1,1))),INDEX(FlowCalConstA,MATCH(R634,FlowCalNumber,0),1,1)*T646^INDEX(FlowCalConstB,MATCH(R634,FlowCalNumber,0),1,1)," ")</f>
        <v>#N/A</v>
      </c>
      <c r="V646" s="33"/>
      <c r="W646" s="242"/>
      <c r="X646" s="241"/>
      <c r="Y646" s="243"/>
      <c r="Z646" s="33"/>
      <c r="AA646" s="242"/>
      <c r="AB646" s="241"/>
      <c r="AC646" s="243"/>
      <c r="AD646" s="33"/>
      <c r="AE646" s="242"/>
      <c r="AF646" s="241"/>
      <c r="AG646" s="243"/>
      <c r="AH646" s="33"/>
      <c r="AI646" s="242"/>
      <c r="AJ646" s="241"/>
      <c r="AK646" s="244"/>
      <c r="AL646" s="243"/>
      <c r="AM646" s="243"/>
      <c r="AN646" s="243"/>
      <c r="AO646" s="243"/>
      <c r="AP646" s="243"/>
      <c r="AQ646" s="243"/>
      <c r="AR646" s="243"/>
      <c r="AS646" s="243"/>
      <c r="AT646" s="243"/>
      <c r="AU646" s="243"/>
      <c r="AV646" s="243"/>
      <c r="AW646" s="243"/>
      <c r="AX646" s="243"/>
      <c r="AY646" s="243"/>
      <c r="AZ646" s="243"/>
      <c r="BA646" s="243"/>
      <c r="BB646" s="243"/>
      <c r="BC646" s="243"/>
      <c r="BD646" s="243"/>
      <c r="BE646" s="243"/>
      <c r="BF646" s="243"/>
      <c r="BG646" s="243"/>
      <c r="BH646" s="243"/>
      <c r="BI646" s="243"/>
      <c r="BJ646" s="243"/>
      <c r="BK646" s="243"/>
      <c r="BL646" s="243"/>
      <c r="BM646" s="243"/>
      <c r="BN646" s="243"/>
      <c r="BO646" s="243"/>
      <c r="BP646" s="243"/>
      <c r="BQ646" s="243"/>
      <c r="BR646" s="243"/>
      <c r="BS646" s="243"/>
      <c r="BU646" s="242"/>
      <c r="BW646" s="243"/>
      <c r="BY646" s="242"/>
      <c r="CA646" s="243"/>
      <c r="CC646" s="242"/>
      <c r="CE646" s="243"/>
      <c r="CG646" s="242"/>
      <c r="CI646" s="243"/>
    </row>
    <row r="647" spans="1:87" s="1215" customFormat="1">
      <c r="A647" s="1222"/>
      <c r="B647" s="1223" t="str">
        <f t="shared" si="296"/>
        <v/>
      </c>
      <c r="C647" s="1210"/>
      <c r="D647" s="1211">
        <f>'1% Wind'!$M$94</f>
        <v>1.8</v>
      </c>
      <c r="E647" s="1212"/>
      <c r="F647" s="1212"/>
      <c r="G647" s="1213">
        <f ca="1">IF(I634=0.9743,$G646,MAX(G646/D646*D647,2))</f>
        <v>2</v>
      </c>
      <c r="H647" s="1214" t="e">
        <f t="shared" ca="1" si="297"/>
        <v>#VALUE!</v>
      </c>
      <c r="J647" s="1224"/>
      <c r="K647" s="1217">
        <f t="shared" si="298"/>
        <v>1</v>
      </c>
      <c r="L647" s="1218" t="e">
        <f t="shared" ca="1" si="299"/>
        <v>#VALUE!</v>
      </c>
      <c r="M647" s="1219" t="e">
        <f ca="1">IF(AND(INDEX(FlowCalConstA,MATCH(J634,FlowCalNumber,0),1,1)*L647^INDEX(FlowCalConstB,MATCH(J634,FlowCalNumber,0),1,1)&gt;INDEX(FlowCalLowSetting,MATCH(J634,FlowCalNumber,0),1,1), (INDEX(FlowCalConstA,MATCH(J634,FlowCalNumber,0),1,1)*L647^INDEX(FlowCalConstB,MATCH(J634,FlowCalNumber,0),1,1)&lt;INDEX(FlowCalHighSetting,MATCH(J634,FlowCalNumber,0),1,1))),INDEX(FlowCalConstA,MATCH(J634,FlowCalNumber,0),1,1)*L647^INDEX(FlowCalConstB,MATCH(J634,FlowCalNumber,0),1,1)," ")</f>
        <v>#N/A</v>
      </c>
      <c r="N647" s="1224"/>
      <c r="O647" s="1217">
        <f t="shared" si="300"/>
        <v>1</v>
      </c>
      <c r="P647" s="1218" t="e">
        <f t="shared" ca="1" si="301"/>
        <v>#VALUE!</v>
      </c>
      <c r="Q647" s="1219" t="e">
        <f ca="1">IF(AND(INDEX(FlowCalConstA,MATCH(N634,FlowCalNumber,0),1,1)*P647^INDEX(FlowCalConstB,MATCH(N634,FlowCalNumber,0),1,1)&gt;INDEX(FlowCalLowSetting,MATCH(N634,FlowCalNumber,0),1,1), (INDEX(FlowCalConstA,MATCH(N634,FlowCalNumber,0),1,1)*P647^INDEX(FlowCalConstB,MATCH(N634,FlowCalNumber,0),1,1)&lt;INDEX(FlowCalHighSetting,MATCH(N634,FlowCalNumber,0),1,1))),INDEX(FlowCalConstA,MATCH(N634,FlowCalNumber,0),1,1)*P647^INDEX(FlowCalConstB,MATCH(N634,FlowCalNumber,0),1,1)," ")</f>
        <v>#N/A</v>
      </c>
      <c r="R647" s="1224"/>
      <c r="S647" s="1217">
        <f t="shared" si="302"/>
        <v>1</v>
      </c>
      <c r="T647" s="1218" t="e">
        <f t="shared" ca="1" si="303"/>
        <v>#VALUE!</v>
      </c>
      <c r="U647" s="1219" t="e">
        <f ca="1">IF(AND(INDEX(FlowCalConstA,MATCH(R634,FlowCalNumber,0),1,1)*T647^INDEX(FlowCalConstB,MATCH(R634,FlowCalNumber,0),1,1)&gt;INDEX(FlowCalLowSetting,MATCH(R634,FlowCalNumber,0),1,1), (INDEX(FlowCalConstA,MATCH(R634,FlowCalNumber,0),1,1)*T647^INDEX(FlowCalConstB,MATCH(R634,FlowCalNumber,0),1,1)&lt;INDEX(FlowCalHighSetting,MATCH(R634,FlowCalNumber,0),1,1))),INDEX(FlowCalConstA,MATCH(R634,FlowCalNumber,0),1,1)*T647^INDEX(FlowCalConstB,MATCH(R634,FlowCalNumber,0),1,1)," ")</f>
        <v>#N/A</v>
      </c>
      <c r="V647" s="1224"/>
      <c r="W647" s="1217"/>
      <c r="X647" s="1218"/>
      <c r="Y647" s="1219"/>
      <c r="Z647" s="1224"/>
      <c r="AA647" s="1217"/>
      <c r="AB647" s="1218"/>
      <c r="AC647" s="1219"/>
      <c r="AD647" s="1224"/>
      <c r="AE647" s="1217"/>
      <c r="AF647" s="1218"/>
      <c r="AG647" s="1219"/>
      <c r="AH647" s="1224"/>
      <c r="AI647" s="1217"/>
      <c r="AJ647" s="1218"/>
      <c r="AK647" s="1220"/>
      <c r="AL647" s="1219"/>
      <c r="AM647" s="1219"/>
      <c r="AN647" s="1219"/>
      <c r="AO647" s="1219"/>
      <c r="AP647" s="1219"/>
      <c r="AQ647" s="1219"/>
      <c r="AR647" s="1219"/>
      <c r="AS647" s="1219"/>
      <c r="AT647" s="1219"/>
      <c r="AU647" s="1219"/>
      <c r="AV647" s="1219"/>
      <c r="AW647" s="1219"/>
      <c r="AX647" s="1219"/>
      <c r="AY647" s="1219"/>
      <c r="AZ647" s="1219"/>
      <c r="BA647" s="1219"/>
      <c r="BB647" s="1219"/>
      <c r="BC647" s="1219"/>
      <c r="BD647" s="1219"/>
      <c r="BE647" s="1219"/>
      <c r="BF647" s="1219"/>
      <c r="BG647" s="1219"/>
      <c r="BH647" s="1219"/>
      <c r="BI647" s="1219"/>
      <c r="BJ647" s="1219"/>
      <c r="BK647" s="1219"/>
      <c r="BL647" s="1219"/>
      <c r="BM647" s="1219"/>
      <c r="BN647" s="1219"/>
      <c r="BO647" s="1219"/>
      <c r="BP647" s="1219"/>
      <c r="BQ647" s="1219"/>
      <c r="BR647" s="1219"/>
      <c r="BS647" s="1219"/>
      <c r="BU647" s="1217"/>
      <c r="BW647" s="1219"/>
      <c r="BY647" s="1217"/>
      <c r="CA647" s="1219"/>
      <c r="CC647" s="1217"/>
      <c r="CE647" s="1219"/>
      <c r="CG647" s="1217"/>
      <c r="CI647" s="1219"/>
    </row>
    <row r="648" spans="1:87">
      <c r="A648" s="20"/>
      <c r="B648" s="124" t="str">
        <f t="shared" si="296"/>
        <v/>
      </c>
      <c r="C648" s="235"/>
      <c r="D648" s="24">
        <f>'1% Wind'!$M$95</f>
        <v>1.3</v>
      </c>
      <c r="E648" s="90"/>
      <c r="F648" s="90"/>
      <c r="G648" s="79">
        <f ca="1">IF(I634=0.9743,$G647,MAX(G647/D647*D648,2))</f>
        <v>2</v>
      </c>
      <c r="H648" s="121" t="e">
        <f t="shared" ca="1" si="297"/>
        <v>#VALUE!</v>
      </c>
      <c r="J648" s="33"/>
      <c r="K648" s="242">
        <f t="shared" si="298"/>
        <v>1</v>
      </c>
      <c r="L648" s="241" t="e">
        <f t="shared" ca="1" si="299"/>
        <v>#VALUE!</v>
      </c>
      <c r="M648" s="243" t="e">
        <f ca="1">IF(AND(INDEX(FlowCalConstA,MATCH(J634,FlowCalNumber,0),1,1)*L648^INDEX(FlowCalConstB,MATCH(J634,FlowCalNumber,0),1,1)&gt;INDEX(FlowCalLowSetting,MATCH(J634,FlowCalNumber,0),1,1), (INDEX(FlowCalConstA,MATCH(J634,FlowCalNumber,0),1,1)*L648^INDEX(FlowCalConstB,MATCH(J634,FlowCalNumber,0),1,1)&lt;INDEX(FlowCalHighSetting,MATCH(J634,FlowCalNumber,0),1,1))),INDEX(FlowCalConstA,MATCH(J634,FlowCalNumber,0),1,1)*L648^INDEX(FlowCalConstB,MATCH(J634,FlowCalNumber,0),1,1)," ")</f>
        <v>#N/A</v>
      </c>
      <c r="N648" s="33"/>
      <c r="O648" s="242">
        <f t="shared" si="300"/>
        <v>1</v>
      </c>
      <c r="P648" s="241" t="e">
        <f t="shared" ca="1" si="301"/>
        <v>#VALUE!</v>
      </c>
      <c r="Q648" s="243" t="e">
        <f ca="1">IF(AND(INDEX(FlowCalConstA,MATCH(N634,FlowCalNumber,0),1,1)*P648^INDEX(FlowCalConstB,MATCH(N634,FlowCalNumber,0),1,1)&gt;INDEX(FlowCalLowSetting,MATCH(N634,FlowCalNumber,0),1,1), (INDEX(FlowCalConstA,MATCH(N634,FlowCalNumber,0),1,1)*P648^INDEX(FlowCalConstB,MATCH(N634,FlowCalNumber,0),1,1)&lt;INDEX(FlowCalHighSetting,MATCH(N634,FlowCalNumber,0),1,1))),INDEX(FlowCalConstA,MATCH(N634,FlowCalNumber,0),1,1)*P648^INDEX(FlowCalConstB,MATCH(N634,FlowCalNumber,0),1,1)," ")</f>
        <v>#N/A</v>
      </c>
      <c r="R648" s="33"/>
      <c r="S648" s="242">
        <f t="shared" si="302"/>
        <v>1</v>
      </c>
      <c r="T648" s="241" t="e">
        <f t="shared" ca="1" si="303"/>
        <v>#VALUE!</v>
      </c>
      <c r="U648" s="243" t="e">
        <f ca="1">IF(AND(INDEX(FlowCalConstA,MATCH(R634,FlowCalNumber,0),1,1)*T648^INDEX(FlowCalConstB,MATCH(R634,FlowCalNumber,0),1,1)&gt;INDEX(FlowCalLowSetting,MATCH(R634,FlowCalNumber,0),1,1), (INDEX(FlowCalConstA,MATCH(R634,FlowCalNumber,0),1,1)*T648^INDEX(FlowCalConstB,MATCH(R634,FlowCalNumber,0),1,1)&lt;INDEX(FlowCalHighSetting,MATCH(R634,FlowCalNumber,0),1,1))),INDEX(FlowCalConstA,MATCH(R634,FlowCalNumber,0),1,1)*T648^INDEX(FlowCalConstB,MATCH(R634,FlowCalNumber,0),1,1)," ")</f>
        <v>#N/A</v>
      </c>
      <c r="V648" s="33"/>
      <c r="W648" s="242"/>
      <c r="X648" s="241"/>
      <c r="Y648" s="243"/>
      <c r="Z648" s="33"/>
      <c r="AA648" s="242"/>
      <c r="AB648" s="241"/>
      <c r="AC648" s="243"/>
      <c r="AD648" s="33"/>
      <c r="AE648" s="242"/>
      <c r="AF648" s="241"/>
      <c r="AG648" s="243"/>
      <c r="AH648" s="33"/>
      <c r="AI648" s="242"/>
      <c r="AJ648" s="241"/>
      <c r="AK648" s="244"/>
      <c r="AL648" s="243"/>
      <c r="AM648" s="243"/>
      <c r="AN648" s="243"/>
      <c r="AO648" s="243"/>
      <c r="AP648" s="243"/>
      <c r="AQ648" s="243"/>
      <c r="AR648" s="243"/>
      <c r="AS648" s="243"/>
      <c r="AT648" s="243"/>
      <c r="AU648" s="243"/>
      <c r="AV648" s="243"/>
      <c r="AW648" s="243"/>
      <c r="AX648" s="243"/>
      <c r="AY648" s="243"/>
      <c r="AZ648" s="243"/>
      <c r="BA648" s="243"/>
      <c r="BB648" s="243"/>
      <c r="BC648" s="243"/>
      <c r="BD648" s="243"/>
      <c r="BE648" s="243"/>
      <c r="BF648" s="243"/>
      <c r="BG648" s="243"/>
      <c r="BH648" s="243"/>
      <c r="BI648" s="243"/>
      <c r="BJ648" s="243"/>
      <c r="BK648" s="243"/>
      <c r="BL648" s="243"/>
      <c r="BM648" s="243"/>
      <c r="BN648" s="243"/>
      <c r="BO648" s="243"/>
      <c r="BP648" s="243"/>
      <c r="BQ648" s="243"/>
      <c r="BR648" s="243"/>
      <c r="BS648" s="243"/>
      <c r="BU648" s="242"/>
      <c r="BW648" s="243"/>
      <c r="BY648" s="242"/>
      <c r="CA648" s="243"/>
      <c r="CC648" s="242"/>
      <c r="CE648" s="243"/>
      <c r="CG648" s="242"/>
      <c r="CI648" s="243"/>
    </row>
    <row r="649" spans="1:87" s="1215" customFormat="1">
      <c r="A649" s="1222"/>
      <c r="B649" s="1223" t="str">
        <f t="shared" si="296"/>
        <v/>
      </c>
      <c r="C649" s="1210"/>
      <c r="D649" s="1211">
        <f>'1% Wind'!$M$96</f>
        <v>1</v>
      </c>
      <c r="E649" s="1212"/>
      <c r="F649" s="1212"/>
      <c r="G649" s="1213">
        <f ca="1">IF(I634=0.9743,$G648,MAX(G648/D648*D649,2))</f>
        <v>2</v>
      </c>
      <c r="H649" s="1214" t="e">
        <f t="shared" ca="1" si="297"/>
        <v>#VALUE!</v>
      </c>
      <c r="J649" s="1224"/>
      <c r="K649" s="1217">
        <f t="shared" si="298"/>
        <v>1</v>
      </c>
      <c r="L649" s="1218" t="e">
        <f t="shared" ca="1" si="299"/>
        <v>#VALUE!</v>
      </c>
      <c r="M649" s="1219" t="e">
        <f ca="1">IF(AND(INDEX(FlowCalConstA,MATCH(J634,FlowCalNumber,0),1,1)*L649^INDEX(FlowCalConstB,MATCH(J634,FlowCalNumber,0),1,1)&gt;INDEX(FlowCalLowSetting,MATCH(J634,FlowCalNumber,0),1,1), (INDEX(FlowCalConstA,MATCH(J634,FlowCalNumber,0),1,1)*L649^INDEX(FlowCalConstB,MATCH(J634,FlowCalNumber,0),1,1)&lt;INDEX(FlowCalHighSetting,MATCH(J634,FlowCalNumber,0),1,1))),INDEX(FlowCalConstA,MATCH(J634,FlowCalNumber,0),1,1)*L649^INDEX(FlowCalConstB,MATCH(J634,FlowCalNumber,0),1,1)," ")</f>
        <v>#N/A</v>
      </c>
      <c r="N649" s="1224"/>
      <c r="O649" s="1217">
        <f t="shared" si="300"/>
        <v>1</v>
      </c>
      <c r="P649" s="1218" t="e">
        <f t="shared" ca="1" si="301"/>
        <v>#VALUE!</v>
      </c>
      <c r="Q649" s="1219" t="e">
        <f ca="1">IF(AND(INDEX(FlowCalConstA,MATCH(N634,FlowCalNumber,0),1,1)*P649^INDEX(FlowCalConstB,MATCH(N634,FlowCalNumber,0),1,1)&gt;INDEX(FlowCalLowSetting,MATCH(N634,FlowCalNumber,0),1,1), (INDEX(FlowCalConstA,MATCH(N634,FlowCalNumber,0),1,1)*P649^INDEX(FlowCalConstB,MATCH(N634,FlowCalNumber,0),1,1)&lt;INDEX(FlowCalHighSetting,MATCH(N634,FlowCalNumber,0),1,1))),INDEX(FlowCalConstA,MATCH(N634,FlowCalNumber,0),1,1)*P649^INDEX(FlowCalConstB,MATCH(N634,FlowCalNumber,0),1,1)," ")</f>
        <v>#N/A</v>
      </c>
      <c r="R649" s="1224"/>
      <c r="S649" s="1217">
        <f t="shared" si="302"/>
        <v>1</v>
      </c>
      <c r="T649" s="1218" t="e">
        <f t="shared" ca="1" si="303"/>
        <v>#VALUE!</v>
      </c>
      <c r="U649" s="1219" t="e">
        <f ca="1">IF(AND(INDEX(FlowCalConstA,MATCH(R634,FlowCalNumber,0),1,1)*T649^INDEX(FlowCalConstB,MATCH(R634,FlowCalNumber,0),1,1)&gt;INDEX(FlowCalLowSetting,MATCH(R634,FlowCalNumber,0),1,1), (INDEX(FlowCalConstA,MATCH(R634,FlowCalNumber,0),1,1)*T649^INDEX(FlowCalConstB,MATCH(R634,FlowCalNumber,0),1,1)&lt;INDEX(FlowCalHighSetting,MATCH(R634,FlowCalNumber,0),1,1))),INDEX(FlowCalConstA,MATCH(R634,FlowCalNumber,0),1,1)*T649^INDEX(FlowCalConstB,MATCH(R634,FlowCalNumber,0),1,1)," ")</f>
        <v>#N/A</v>
      </c>
      <c r="V649" s="1224"/>
      <c r="W649" s="1217"/>
      <c r="X649" s="1218"/>
      <c r="Y649" s="1219"/>
      <c r="Z649" s="1224"/>
      <c r="AA649" s="1217"/>
      <c r="AB649" s="1218"/>
      <c r="AC649" s="1219"/>
      <c r="AD649" s="1224"/>
      <c r="AE649" s="1217"/>
      <c r="AF649" s="1218"/>
      <c r="AG649" s="1219"/>
      <c r="AH649" s="1224"/>
      <c r="AI649" s="1217"/>
      <c r="AJ649" s="1218"/>
      <c r="AK649" s="1220"/>
      <c r="AL649" s="1219"/>
      <c r="AM649" s="1219"/>
      <c r="AN649" s="1219"/>
      <c r="AO649" s="1219"/>
      <c r="AP649" s="1219"/>
      <c r="AQ649" s="1219"/>
      <c r="AR649" s="1219"/>
      <c r="AS649" s="1219"/>
      <c r="AT649" s="1219"/>
      <c r="AU649" s="1219"/>
      <c r="AV649" s="1219"/>
      <c r="AW649" s="1219"/>
      <c r="AX649" s="1219"/>
      <c r="AY649" s="1219"/>
      <c r="AZ649" s="1219"/>
      <c r="BA649" s="1219"/>
      <c r="BB649" s="1219"/>
      <c r="BC649" s="1219"/>
      <c r="BD649" s="1219"/>
      <c r="BE649" s="1219"/>
      <c r="BF649" s="1219"/>
      <c r="BG649" s="1219"/>
      <c r="BH649" s="1219"/>
      <c r="BI649" s="1219"/>
      <c r="BJ649" s="1219"/>
      <c r="BK649" s="1219"/>
      <c r="BL649" s="1219"/>
      <c r="BM649" s="1219"/>
      <c r="BN649" s="1219"/>
      <c r="BO649" s="1219"/>
      <c r="BP649" s="1219"/>
      <c r="BQ649" s="1219"/>
      <c r="BR649" s="1219"/>
      <c r="BS649" s="1219"/>
      <c r="BU649" s="1217"/>
      <c r="BW649" s="1219"/>
      <c r="BY649" s="1217"/>
      <c r="CA649" s="1219"/>
      <c r="CC649" s="1217"/>
      <c r="CE649" s="1219"/>
      <c r="CG649" s="1217"/>
      <c r="CI649" s="1219"/>
    </row>
    <row r="650" spans="1:87">
      <c r="A650" s="33"/>
      <c r="B650" s="33"/>
      <c r="C650" s="235"/>
      <c r="E650" s="90"/>
      <c r="F650" s="90"/>
      <c r="G650" s="33"/>
      <c r="J650" s="33"/>
      <c r="M650" s="243"/>
      <c r="N650" s="33"/>
      <c r="Q650" s="243"/>
      <c r="R650" s="33"/>
      <c r="U650" s="243"/>
      <c r="V650" s="33"/>
      <c r="Y650" s="243"/>
      <c r="Z650" s="33"/>
      <c r="AC650" s="243"/>
      <c r="AD650" s="33"/>
      <c r="AG650" s="243"/>
      <c r="AH650" s="33"/>
      <c r="AK650" s="244"/>
      <c r="AL650" s="243"/>
      <c r="AM650" s="243"/>
      <c r="AN650" s="243"/>
      <c r="AO650" s="243"/>
      <c r="AP650" s="243"/>
      <c r="AQ650" s="243"/>
      <c r="AR650" s="243"/>
      <c r="AS650" s="243"/>
      <c r="AT650" s="243"/>
      <c r="AU650" s="243"/>
      <c r="AV650" s="243"/>
      <c r="AW650" s="243"/>
      <c r="AX650" s="243"/>
      <c r="AY650" s="243"/>
      <c r="AZ650" s="243"/>
      <c r="BA650" s="243"/>
      <c r="BB650" s="243"/>
      <c r="BC650" s="243"/>
      <c r="BD650" s="243"/>
      <c r="BE650" s="243"/>
      <c r="BF650" s="243"/>
      <c r="BG650" s="243"/>
      <c r="BH650" s="243"/>
      <c r="BI650" s="243"/>
      <c r="BJ650" s="243"/>
      <c r="BK650" s="243"/>
      <c r="BL650" s="243"/>
      <c r="BM650" s="243"/>
      <c r="BN650" s="243"/>
      <c r="BO650" s="243"/>
      <c r="BP650" s="243"/>
      <c r="BQ650" s="243"/>
      <c r="BR650" s="243"/>
      <c r="BS650" s="243"/>
      <c r="BW650" s="243"/>
      <c r="CA650" s="243"/>
      <c r="CE650" s="243"/>
      <c r="CI650" s="243"/>
    </row>
    <row r="651" spans="1:87">
      <c r="A651" s="256" t="str">
        <f>IF((RIGHT(A634,1))&lt;&gt;"Z",CHAR(CODE(A634))&amp;CHAR(CODE(RIGHT(A634,1))+1),CHAR(CODE(A634)+1)&amp;"A")</f>
        <v>BL</v>
      </c>
      <c r="B651" s="270" t="str">
        <f>INDEX(SourceID,MATCH($A651,SourceNumber,0),1,1)</f>
        <v>B2 BSL3-2</v>
      </c>
      <c r="C651" s="354">
        <f>INDEX(SourceExitDiameter,MATCH($A651,SourceNumber,0),1,1)*3.28*12</f>
        <v>24.72</v>
      </c>
      <c r="D651" s="24" t="str">
        <f>UAnem1percent</f>
        <v>1% Wind</v>
      </c>
      <c r="E651" s="350" t="e">
        <f ca="1">INDIRECT(ADDRESS(53,6,1,,CONCATENATE("TA",$A651)))</f>
        <v>#REF!</v>
      </c>
      <c r="F651" s="625" t="e">
        <f ca="1">(ROUND((INDIRECT(ADDRESS(15,7,1,,CONCATENATE("TA",$A651)))*3.28*12*32),0)&amp;"/32")</f>
        <v>#REF!</v>
      </c>
      <c r="G651" s="125">
        <f ca="1">INDIRECT(ADDRESS(29,7,1,,$A651))</f>
        <v>6.001707317073171</v>
      </c>
      <c r="H651" s="24" t="e">
        <f ca="1">INDIRECT(ADDRESS(19,7,1,,$A651))*100^3</f>
        <v>#VALUE!</v>
      </c>
      <c r="I651" s="941">
        <f ca="1">INDIRECT(ADDRESS(53,7,1,,$A651))</f>
        <v>0.97430000000000005</v>
      </c>
      <c r="J651" s="20" t="str">
        <f ca="1">IF($I651=$I$6,K$16&amp;$G$6&amp;J$6,IF($I651=$I$7,K$16&amp;$G$7&amp;J$7,"Bad"))</f>
        <v>100N2Pick a Tunnel</v>
      </c>
      <c r="K651" t="e">
        <f ca="1">INDEX(FlowCalGasMixture,MATCH(J651,FlowCalNumber,0),1,1)</f>
        <v>#N/A</v>
      </c>
      <c r="M651" s="944" t="e">
        <f ca="1">INDEX(FlowCalDevice,MATCH(J651,FlowCalNumber,0),1,1)</f>
        <v>#N/A</v>
      </c>
      <c r="N651" s="20" t="str">
        <f ca="1">IF($I651=$I$6,O$16&amp;$G$6&amp;N$6,IF($I651=$I$7,O$16&amp;$G$7&amp;N$7,"Bad"))</f>
        <v>100N2Pick a Tunnel</v>
      </c>
      <c r="O651" t="e">
        <f ca="1">INDEX(FlowCalGasMixture,MATCH(N651,FlowCalNumber,0),1,1)</f>
        <v>#N/A</v>
      </c>
      <c r="Q651" s="944" t="e">
        <f ca="1">INDEX(FlowCalDevice,MATCH(N651,FlowCalNumber,0),1,1)</f>
        <v>#N/A</v>
      </c>
      <c r="R651" s="20" t="str">
        <f ca="1">IF($I651=$I$6,S$16&amp;$G$6&amp;R$6,IF($I651=$I$7,S$16&amp;$G$7&amp;R$7,"Bad"))</f>
        <v>100N2Pick a Tunnel</v>
      </c>
      <c r="S651" t="e">
        <f ca="1">INDEX(FlowCalGasMixture,MATCH(R651,FlowCalNumber,0),1,1)</f>
        <v>#N/A</v>
      </c>
      <c r="U651" s="944" t="e">
        <f ca="1">INDEX(FlowCalDevice,MATCH(R651,FlowCalNumber,0),1,1)</f>
        <v>#N/A</v>
      </c>
      <c r="V651" s="20"/>
      <c r="Y651" s="944"/>
      <c r="Z651" s="946"/>
      <c r="AC651" s="944"/>
      <c r="AD651" s="20"/>
      <c r="AG651" s="944"/>
      <c r="AH651" s="946"/>
      <c r="AK651" s="982"/>
      <c r="AL651" s="355"/>
      <c r="AM651" s="355"/>
      <c r="AN651" s="355"/>
      <c r="AO651" s="355"/>
      <c r="AP651" s="355"/>
      <c r="AQ651" s="355"/>
      <c r="AR651" s="355"/>
      <c r="AS651" s="355"/>
      <c r="AT651" s="355"/>
      <c r="AU651" s="355"/>
      <c r="AV651" s="355"/>
      <c r="AW651" s="355"/>
      <c r="AX651" s="355"/>
      <c r="AY651" s="355"/>
      <c r="AZ651" s="355"/>
      <c r="BA651" s="355"/>
      <c r="BB651" s="355"/>
      <c r="BC651" s="355"/>
      <c r="BD651" s="355"/>
      <c r="BE651" s="355"/>
      <c r="BF651" s="355"/>
      <c r="BG651" s="355"/>
      <c r="BH651" s="355"/>
      <c r="BI651" s="355"/>
      <c r="BJ651" s="355"/>
      <c r="BK651" s="355"/>
      <c r="BL651" s="355"/>
      <c r="BM651" s="355"/>
      <c r="BN651" s="355"/>
      <c r="BO651" s="355"/>
      <c r="BP651" s="355"/>
      <c r="BQ651" s="355"/>
      <c r="BR651" s="355"/>
      <c r="BS651" s="355"/>
      <c r="BT651" s="46"/>
      <c r="BU651" s="16"/>
      <c r="BW651" s="355"/>
      <c r="BX651" s="42"/>
      <c r="BY651" s="16"/>
      <c r="CA651" s="355"/>
      <c r="CB651" s="42"/>
      <c r="CC651" s="16"/>
      <c r="CE651" s="355"/>
      <c r="CF651" s="42"/>
      <c r="CG651" s="16"/>
      <c r="CI651" s="355"/>
    </row>
    <row r="652" spans="1:87" s="1215" customFormat="1">
      <c r="A652" s="1222"/>
      <c r="B652" s="1223" t="str">
        <f t="shared" ref="B652:B666" si="304">IF(D652=UAnem1percent,"1% Wind","")</f>
        <v/>
      </c>
      <c r="C652" s="1210"/>
      <c r="D652" s="1211">
        <f>'1% Wind'!$M$82</f>
        <v>27</v>
      </c>
      <c r="E652" s="1212"/>
      <c r="F652" s="1212"/>
      <c r="G652" s="1364">
        <v>2</v>
      </c>
      <c r="H652" s="1214" t="e">
        <f t="shared" ref="H652:H666" ca="1" si="305">H651*(D651/D652)*(G652/G651)</f>
        <v>#VALUE!</v>
      </c>
      <c r="J652" s="1224"/>
      <c r="K652" s="1221">
        <f>K$17/100</f>
        <v>1</v>
      </c>
      <c r="L652" s="1218" t="e">
        <f ca="1">K652*$H652</f>
        <v>#VALUE!</v>
      </c>
      <c r="M652" s="1219" t="e">
        <f ca="1">IF(AND(INDEX(FlowCalConstA,MATCH(J651,FlowCalNumber,0),1,1)*L652^INDEX(FlowCalConstB,MATCH(J651,FlowCalNumber,0),1,1)&gt;INDEX(FlowCalLowSetting,MATCH(J651,FlowCalNumber,0),1,1), (INDEX(FlowCalConstA,MATCH(J651,FlowCalNumber,0),1,1)*L652^INDEX(FlowCalConstB,MATCH(J651,FlowCalNumber,0),1,1)&lt;INDEX(FlowCalHighSetting,MATCH(J651,FlowCalNumber,0),1,1))),INDEX(FlowCalConstA,MATCH(J651,FlowCalNumber,0),1,1)*L652^INDEX(FlowCalConstB,MATCH(J651,FlowCalNumber,0),1,1)," ")</f>
        <v>#N/A</v>
      </c>
      <c r="N652" s="1224"/>
      <c r="O652" s="1221">
        <f>O$17/100</f>
        <v>1</v>
      </c>
      <c r="P652" s="1218" t="e">
        <f ca="1">O652*$H652</f>
        <v>#VALUE!</v>
      </c>
      <c r="Q652" s="1219" t="e">
        <f ca="1">IF(AND(INDEX(FlowCalConstA,MATCH(N651,FlowCalNumber,0),1,1)*P652^INDEX(FlowCalConstB,MATCH(N651,FlowCalNumber,0),1,1)&gt;INDEX(FlowCalLowSetting,MATCH(N651,FlowCalNumber,0),1,1), (INDEX(FlowCalConstA,MATCH(N651,FlowCalNumber,0),1,1)*P652^INDEX(FlowCalConstB,MATCH(N651,FlowCalNumber,0),1,1)&lt;INDEX(FlowCalHighSetting,MATCH(N651,FlowCalNumber,0),1,1))),INDEX(FlowCalConstA,MATCH(N651,FlowCalNumber,0),1,1)*P652^INDEX(FlowCalConstB,MATCH(N651,FlowCalNumber,0),1,1)," ")</f>
        <v>#N/A</v>
      </c>
      <c r="R652" s="1224"/>
      <c r="S652" s="1221">
        <f>S$17/100</f>
        <v>1</v>
      </c>
      <c r="T652" s="1218" t="e">
        <f ca="1">S652*$H652</f>
        <v>#VALUE!</v>
      </c>
      <c r="U652" s="1219" t="e">
        <f ca="1">IF(AND(INDEX(FlowCalConstA,MATCH(R651,FlowCalNumber,0),1,1)*T652^INDEX(FlowCalConstB,MATCH(R651,FlowCalNumber,0),1,1)&gt;INDEX(FlowCalLowSetting,MATCH(R651,FlowCalNumber,0),1,1), (INDEX(FlowCalConstA,MATCH(R651,FlowCalNumber,0),1,1)*T652^INDEX(FlowCalConstB,MATCH(R651,FlowCalNumber,0),1,1)&lt;INDEX(FlowCalHighSetting,MATCH(R651,FlowCalNumber,0),1,1))),INDEX(FlowCalConstA,MATCH(R651,FlowCalNumber,0),1,1)*T652^INDEX(FlowCalConstB,MATCH(R651,FlowCalNumber,0),1,1)," ")</f>
        <v>#N/A</v>
      </c>
      <c r="V652" s="1224"/>
      <c r="W652" s="1221"/>
      <c r="X652" s="1218"/>
      <c r="Y652" s="1219"/>
      <c r="Z652" s="1224"/>
      <c r="AA652" s="1221"/>
      <c r="AB652" s="1218"/>
      <c r="AC652" s="1219"/>
      <c r="AD652" s="1224"/>
      <c r="AE652" s="1221"/>
      <c r="AF652" s="1218"/>
      <c r="AG652" s="1219"/>
      <c r="AH652" s="1224"/>
      <c r="AI652" s="1221"/>
      <c r="AJ652" s="1218"/>
      <c r="AK652" s="1220"/>
      <c r="AL652" s="1219"/>
      <c r="AM652" s="1219"/>
      <c r="AN652" s="1219"/>
      <c r="AO652" s="1219"/>
      <c r="AP652" s="1219"/>
      <c r="AQ652" s="1219"/>
      <c r="AR652" s="1219"/>
      <c r="AS652" s="1219"/>
      <c r="AT652" s="1219"/>
      <c r="AU652" s="1219"/>
      <c r="AV652" s="1219"/>
      <c r="AW652" s="1219"/>
      <c r="AX652" s="1219"/>
      <c r="AY652" s="1219"/>
      <c r="AZ652" s="1219"/>
      <c r="BA652" s="1219"/>
      <c r="BB652" s="1219"/>
      <c r="BC652" s="1219"/>
      <c r="BD652" s="1219"/>
      <c r="BE652" s="1219"/>
      <c r="BF652" s="1219"/>
      <c r="BG652" s="1219"/>
      <c r="BH652" s="1219"/>
      <c r="BI652" s="1219"/>
      <c r="BJ652" s="1219"/>
      <c r="BK652" s="1219"/>
      <c r="BL652" s="1219"/>
      <c r="BM652" s="1219"/>
      <c r="BN652" s="1219"/>
      <c r="BO652" s="1219"/>
      <c r="BP652" s="1219"/>
      <c r="BQ652" s="1219"/>
      <c r="BR652" s="1219"/>
      <c r="BS652" s="1219"/>
      <c r="BU652" s="1225"/>
      <c r="BW652" s="1219"/>
      <c r="BY652" s="1225"/>
      <c r="CA652" s="1219"/>
      <c r="CC652" s="1225"/>
      <c r="CE652" s="1219"/>
      <c r="CG652" s="1221"/>
      <c r="CI652" s="1219"/>
    </row>
    <row r="653" spans="1:87">
      <c r="A653" s="20"/>
      <c r="B653" s="124" t="str">
        <f t="shared" si="304"/>
        <v/>
      </c>
      <c r="C653" s="235"/>
      <c r="D653" s="24">
        <f>'1% Wind'!$M$83</f>
        <v>23.5</v>
      </c>
      <c r="E653" s="90"/>
      <c r="F653" s="90"/>
      <c r="G653" s="79">
        <f ca="1">IF(I651=0.9743,$G652,MAX(G652/D652*D653,2))</f>
        <v>2</v>
      </c>
      <c r="H653" s="121" t="e">
        <f t="shared" ca="1" si="305"/>
        <v>#VALUE!</v>
      </c>
      <c r="J653" s="33"/>
      <c r="K653" s="242">
        <f t="shared" ref="K653:K666" si="306">K652</f>
        <v>1</v>
      </c>
      <c r="L653" s="241" t="e">
        <f t="shared" ref="L653:L666" ca="1" si="307">K653*$H653</f>
        <v>#VALUE!</v>
      </c>
      <c r="M653" s="243" t="e">
        <f ca="1">IF(AND(INDEX(FlowCalConstA,MATCH(J651,FlowCalNumber,0),1,1)*L653^INDEX(FlowCalConstB,MATCH(J651,FlowCalNumber,0),1,1)&gt;INDEX(FlowCalLowSetting,MATCH(J651,FlowCalNumber,0),1,1), (INDEX(FlowCalConstA,MATCH(J651,FlowCalNumber,0),1,1)*L653^INDEX(FlowCalConstB,MATCH(J651,FlowCalNumber,0),1,1)&lt;INDEX(FlowCalHighSetting,MATCH(J651,FlowCalNumber,0),1,1))),INDEX(FlowCalConstA,MATCH(J651,FlowCalNumber,0),1,1)*L653^INDEX(FlowCalConstB,MATCH(J651,FlowCalNumber,0),1,1)," ")</f>
        <v>#N/A</v>
      </c>
      <c r="N653" s="33"/>
      <c r="O653" s="242">
        <f t="shared" ref="O653:O666" si="308">O652</f>
        <v>1</v>
      </c>
      <c r="P653" s="241" t="e">
        <f t="shared" ref="P653:P666" ca="1" si="309">O653*$H653</f>
        <v>#VALUE!</v>
      </c>
      <c r="Q653" s="243" t="e">
        <f ca="1">IF(AND(INDEX(FlowCalConstA,MATCH(N651,FlowCalNumber,0),1,1)*P653^INDEX(FlowCalConstB,MATCH(N651,FlowCalNumber,0),1,1)&gt;INDEX(FlowCalLowSetting,MATCH(N651,FlowCalNumber,0),1,1), (INDEX(FlowCalConstA,MATCH(N651,FlowCalNumber,0),1,1)*P653^INDEX(FlowCalConstB,MATCH(N651,FlowCalNumber,0),1,1)&lt;INDEX(FlowCalHighSetting,MATCH(N651,FlowCalNumber,0),1,1))),INDEX(FlowCalConstA,MATCH(N651,FlowCalNumber,0),1,1)*P653^INDEX(FlowCalConstB,MATCH(N651,FlowCalNumber,0),1,1)," ")</f>
        <v>#N/A</v>
      </c>
      <c r="R653" s="33"/>
      <c r="S653" s="242">
        <f t="shared" ref="S653:S666" si="310">S652</f>
        <v>1</v>
      </c>
      <c r="T653" s="241" t="e">
        <f t="shared" ref="T653:T666" ca="1" si="311">S653*$H653</f>
        <v>#VALUE!</v>
      </c>
      <c r="U653" s="243" t="e">
        <f ca="1">IF(AND(INDEX(FlowCalConstA,MATCH(R651,FlowCalNumber,0),1,1)*T653^INDEX(FlowCalConstB,MATCH(R651,FlowCalNumber,0),1,1)&gt;INDEX(FlowCalLowSetting,MATCH(R651,FlowCalNumber,0),1,1), (INDEX(FlowCalConstA,MATCH(R651,FlowCalNumber,0),1,1)*T653^INDEX(FlowCalConstB,MATCH(R651,FlowCalNumber,0),1,1)&lt;INDEX(FlowCalHighSetting,MATCH(R651,FlowCalNumber,0),1,1))),INDEX(FlowCalConstA,MATCH(R651,FlowCalNumber,0),1,1)*T653^INDEX(FlowCalConstB,MATCH(R651,FlowCalNumber,0),1,1)," ")</f>
        <v>#N/A</v>
      </c>
      <c r="V653" s="33"/>
      <c r="W653" s="242"/>
      <c r="X653" s="241"/>
      <c r="Y653" s="243"/>
      <c r="Z653" s="33"/>
      <c r="AA653" s="242"/>
      <c r="AB653" s="241"/>
      <c r="AC653" s="243"/>
      <c r="AD653" s="33"/>
      <c r="AE653" s="242"/>
      <c r="AF653" s="241"/>
      <c r="AG653" s="243"/>
      <c r="AH653" s="33"/>
      <c r="AI653" s="242"/>
      <c r="AJ653" s="241"/>
      <c r="AK653" s="244"/>
      <c r="AL653" s="243"/>
      <c r="AM653" s="243"/>
      <c r="AN653" s="243"/>
      <c r="AO653" s="243"/>
      <c r="AP653" s="243"/>
      <c r="AQ653" s="243"/>
      <c r="AR653" s="243"/>
      <c r="AS653" s="243"/>
      <c r="AT653" s="243"/>
      <c r="AU653" s="243"/>
      <c r="AV653" s="243"/>
      <c r="AW653" s="243"/>
      <c r="AX653" s="243"/>
      <c r="AY653" s="243"/>
      <c r="AZ653" s="243"/>
      <c r="BA653" s="243"/>
      <c r="BB653" s="243"/>
      <c r="BC653" s="243"/>
      <c r="BD653" s="243"/>
      <c r="BE653" s="243"/>
      <c r="BF653" s="243"/>
      <c r="BG653" s="243"/>
      <c r="BH653" s="243"/>
      <c r="BI653" s="243"/>
      <c r="BJ653" s="243"/>
      <c r="BK653" s="243"/>
      <c r="BL653" s="243"/>
      <c r="BM653" s="243"/>
      <c r="BN653" s="243"/>
      <c r="BO653" s="243"/>
      <c r="BP653" s="243"/>
      <c r="BQ653" s="243"/>
      <c r="BR653" s="243"/>
      <c r="BS653" s="243"/>
      <c r="BU653" s="242"/>
      <c r="BW653" s="243"/>
      <c r="BY653" s="242"/>
      <c r="CA653" s="243"/>
      <c r="CC653" s="242"/>
      <c r="CE653" s="243"/>
      <c r="CG653" s="242"/>
      <c r="CI653" s="243"/>
    </row>
    <row r="654" spans="1:87" s="1215" customFormat="1">
      <c r="A654" s="1222"/>
      <c r="B654" s="1223" t="str">
        <f t="shared" si="304"/>
        <v/>
      </c>
      <c r="C654" s="1210"/>
      <c r="D654" s="1211">
        <f>'1% Wind'!$M$84</f>
        <v>20.5</v>
      </c>
      <c r="E654" s="1212"/>
      <c r="F654" s="1212"/>
      <c r="G654" s="1213">
        <f ca="1">IF(I651=0.9743,$G653,MAX(G653/D653*D654,2))</f>
        <v>2</v>
      </c>
      <c r="H654" s="1214" t="e">
        <f t="shared" ca="1" si="305"/>
        <v>#VALUE!</v>
      </c>
      <c r="J654" s="1224"/>
      <c r="K654" s="1217">
        <f t="shared" si="306"/>
        <v>1</v>
      </c>
      <c r="L654" s="1218" t="e">
        <f t="shared" ca="1" si="307"/>
        <v>#VALUE!</v>
      </c>
      <c r="M654" s="1219" t="e">
        <f ca="1">IF(AND(INDEX(FlowCalConstA,MATCH(J651,FlowCalNumber,0),1,1)*L654^INDEX(FlowCalConstB,MATCH(J651,FlowCalNumber,0),1,1)&gt;INDEX(FlowCalLowSetting,MATCH(J651,FlowCalNumber,0),1,1), (INDEX(FlowCalConstA,MATCH(J651,FlowCalNumber,0),1,1)*L654^INDEX(FlowCalConstB,MATCH(J651,FlowCalNumber,0),1,1)&lt;INDEX(FlowCalHighSetting,MATCH(J651,FlowCalNumber,0),1,1))),INDEX(FlowCalConstA,MATCH(J651,FlowCalNumber,0),1,1)*L654^INDEX(FlowCalConstB,MATCH(J651,FlowCalNumber,0),1,1)," ")</f>
        <v>#N/A</v>
      </c>
      <c r="N654" s="1224"/>
      <c r="O654" s="1217">
        <f t="shared" si="308"/>
        <v>1</v>
      </c>
      <c r="P654" s="1218" t="e">
        <f t="shared" ca="1" si="309"/>
        <v>#VALUE!</v>
      </c>
      <c r="Q654" s="1219" t="e">
        <f ca="1">IF(AND(INDEX(FlowCalConstA,MATCH(N651,FlowCalNumber,0),1,1)*P654^INDEX(FlowCalConstB,MATCH(N651,FlowCalNumber,0),1,1)&gt;INDEX(FlowCalLowSetting,MATCH(N651,FlowCalNumber,0),1,1), (INDEX(FlowCalConstA,MATCH(N651,FlowCalNumber,0),1,1)*P654^INDEX(FlowCalConstB,MATCH(N651,FlowCalNumber,0),1,1)&lt;INDEX(FlowCalHighSetting,MATCH(N651,FlowCalNumber,0),1,1))),INDEX(FlowCalConstA,MATCH(N651,FlowCalNumber,0),1,1)*P654^INDEX(FlowCalConstB,MATCH(N651,FlowCalNumber,0),1,1)," ")</f>
        <v>#N/A</v>
      </c>
      <c r="R654" s="1224"/>
      <c r="S654" s="1217">
        <f t="shared" si="310"/>
        <v>1</v>
      </c>
      <c r="T654" s="1218" t="e">
        <f t="shared" ca="1" si="311"/>
        <v>#VALUE!</v>
      </c>
      <c r="U654" s="1219" t="e">
        <f ca="1">IF(AND(INDEX(FlowCalConstA,MATCH(R651,FlowCalNumber,0),1,1)*T654^INDEX(FlowCalConstB,MATCH(R651,FlowCalNumber,0),1,1)&gt;INDEX(FlowCalLowSetting,MATCH(R651,FlowCalNumber,0),1,1), (INDEX(FlowCalConstA,MATCH(R651,FlowCalNumber,0),1,1)*T654^INDEX(FlowCalConstB,MATCH(R651,FlowCalNumber,0),1,1)&lt;INDEX(FlowCalHighSetting,MATCH(R651,FlowCalNumber,0),1,1))),INDEX(FlowCalConstA,MATCH(R651,FlowCalNumber,0),1,1)*T654^INDEX(FlowCalConstB,MATCH(R651,FlowCalNumber,0),1,1)," ")</f>
        <v>#N/A</v>
      </c>
      <c r="V654" s="1224"/>
      <c r="W654" s="1217"/>
      <c r="X654" s="1218"/>
      <c r="Y654" s="1219"/>
      <c r="Z654" s="1224"/>
      <c r="AA654" s="1217"/>
      <c r="AB654" s="1218"/>
      <c r="AC654" s="1219"/>
      <c r="AD654" s="1224"/>
      <c r="AE654" s="1217"/>
      <c r="AF654" s="1218"/>
      <c r="AG654" s="1219"/>
      <c r="AH654" s="1224"/>
      <c r="AI654" s="1217"/>
      <c r="AJ654" s="1218"/>
      <c r="AK654" s="1220"/>
      <c r="AL654" s="1219"/>
      <c r="AM654" s="1219"/>
      <c r="AN654" s="1219"/>
      <c r="AO654" s="1219"/>
      <c r="AP654" s="1219"/>
      <c r="AQ654" s="1219"/>
      <c r="AR654" s="1219"/>
      <c r="AS654" s="1219"/>
      <c r="AT654" s="1219"/>
      <c r="AU654" s="1219"/>
      <c r="AV654" s="1219"/>
      <c r="AW654" s="1219"/>
      <c r="AX654" s="1219"/>
      <c r="AY654" s="1219"/>
      <c r="AZ654" s="1219"/>
      <c r="BA654" s="1219"/>
      <c r="BB654" s="1219"/>
      <c r="BC654" s="1219"/>
      <c r="BD654" s="1219"/>
      <c r="BE654" s="1219"/>
      <c r="BF654" s="1219"/>
      <c r="BG654" s="1219"/>
      <c r="BH654" s="1219"/>
      <c r="BI654" s="1219"/>
      <c r="BJ654" s="1219"/>
      <c r="BK654" s="1219"/>
      <c r="BL654" s="1219"/>
      <c r="BM654" s="1219"/>
      <c r="BN654" s="1219"/>
      <c r="BO654" s="1219"/>
      <c r="BP654" s="1219"/>
      <c r="BQ654" s="1219"/>
      <c r="BR654" s="1219"/>
      <c r="BS654" s="1219"/>
      <c r="BU654" s="1217"/>
      <c r="BW654" s="1219"/>
      <c r="BY654" s="1217"/>
      <c r="CA654" s="1219"/>
      <c r="CC654" s="1217"/>
      <c r="CE654" s="1219"/>
      <c r="CG654" s="1217"/>
      <c r="CI654" s="1219"/>
    </row>
    <row r="655" spans="1:87">
      <c r="A655" s="20"/>
      <c r="B655" s="124" t="str">
        <f t="shared" si="304"/>
        <v/>
      </c>
      <c r="C655" s="235"/>
      <c r="D655" s="24">
        <f>'1% Wind'!$M$85</f>
        <v>17.8</v>
      </c>
      <c r="E655" s="90"/>
      <c r="F655" s="90"/>
      <c r="G655" s="79">
        <f ca="1">IF(I651=0.9743,$G654,MAX(G654/D654*D655,2))</f>
        <v>2</v>
      </c>
      <c r="H655" s="121" t="e">
        <f t="shared" ca="1" si="305"/>
        <v>#VALUE!</v>
      </c>
      <c r="J655" s="33"/>
      <c r="K655" s="242">
        <f t="shared" si="306"/>
        <v>1</v>
      </c>
      <c r="L655" s="241" t="e">
        <f t="shared" ca="1" si="307"/>
        <v>#VALUE!</v>
      </c>
      <c r="M655" s="243" t="e">
        <f ca="1">IF(AND(INDEX(FlowCalConstA,MATCH(J651,FlowCalNumber,0),1,1)*L655^INDEX(FlowCalConstB,MATCH(J651,FlowCalNumber,0),1,1)&gt;INDEX(FlowCalLowSetting,MATCH(J651,FlowCalNumber,0),1,1), (INDEX(FlowCalConstA,MATCH(J651,FlowCalNumber,0),1,1)*L655^INDEX(FlowCalConstB,MATCH(J651,FlowCalNumber,0),1,1)&lt;INDEX(FlowCalHighSetting,MATCH(J651,FlowCalNumber,0),1,1))),INDEX(FlowCalConstA,MATCH(J651,FlowCalNumber,0),1,1)*L655^INDEX(FlowCalConstB,MATCH(J651,FlowCalNumber,0),1,1)," ")</f>
        <v>#N/A</v>
      </c>
      <c r="N655" s="33"/>
      <c r="O655" s="242">
        <f t="shared" si="308"/>
        <v>1</v>
      </c>
      <c r="P655" s="241" t="e">
        <f t="shared" ca="1" si="309"/>
        <v>#VALUE!</v>
      </c>
      <c r="Q655" s="243" t="e">
        <f ca="1">IF(AND(INDEX(FlowCalConstA,MATCH(N651,FlowCalNumber,0),1,1)*P655^INDEX(FlowCalConstB,MATCH(N651,FlowCalNumber,0),1,1)&gt;INDEX(FlowCalLowSetting,MATCH(N651,FlowCalNumber,0),1,1), (INDEX(FlowCalConstA,MATCH(N651,FlowCalNumber,0),1,1)*P655^INDEX(FlowCalConstB,MATCH(N651,FlowCalNumber,0),1,1)&lt;INDEX(FlowCalHighSetting,MATCH(N651,FlowCalNumber,0),1,1))),INDEX(FlowCalConstA,MATCH(N651,FlowCalNumber,0),1,1)*P655^INDEX(FlowCalConstB,MATCH(N651,FlowCalNumber,0),1,1)," ")</f>
        <v>#N/A</v>
      </c>
      <c r="R655" s="33"/>
      <c r="S655" s="242">
        <f t="shared" si="310"/>
        <v>1</v>
      </c>
      <c r="T655" s="241" t="e">
        <f t="shared" ca="1" si="311"/>
        <v>#VALUE!</v>
      </c>
      <c r="U655" s="243" t="e">
        <f ca="1">IF(AND(INDEX(FlowCalConstA,MATCH(R651,FlowCalNumber,0),1,1)*T655^INDEX(FlowCalConstB,MATCH(R651,FlowCalNumber,0),1,1)&gt;INDEX(FlowCalLowSetting,MATCH(R651,FlowCalNumber,0),1,1), (INDEX(FlowCalConstA,MATCH(R651,FlowCalNumber,0),1,1)*T655^INDEX(FlowCalConstB,MATCH(R651,FlowCalNumber,0),1,1)&lt;INDEX(FlowCalHighSetting,MATCH(R651,FlowCalNumber,0),1,1))),INDEX(FlowCalConstA,MATCH(R651,FlowCalNumber,0),1,1)*T655^INDEX(FlowCalConstB,MATCH(R651,FlowCalNumber,0),1,1)," ")</f>
        <v>#N/A</v>
      </c>
      <c r="V655" s="33"/>
      <c r="W655" s="242"/>
      <c r="X655" s="241"/>
      <c r="Y655" s="243"/>
      <c r="Z655" s="33"/>
      <c r="AA655" s="242"/>
      <c r="AB655" s="241"/>
      <c r="AC655" s="243"/>
      <c r="AD655" s="33"/>
      <c r="AE655" s="242"/>
      <c r="AF655" s="241"/>
      <c r="AG655" s="243"/>
      <c r="AH655" s="33"/>
      <c r="AI655" s="242"/>
      <c r="AJ655" s="241"/>
      <c r="AK655" s="244"/>
      <c r="AL655" s="243"/>
      <c r="AM655" s="243"/>
      <c r="AN655" s="243"/>
      <c r="AO655" s="243"/>
      <c r="AP655" s="243"/>
      <c r="AQ655" s="243"/>
      <c r="AR655" s="243"/>
      <c r="AS655" s="243"/>
      <c r="AT655" s="243"/>
      <c r="AU655" s="243"/>
      <c r="AV655" s="243"/>
      <c r="AW655" s="243"/>
      <c r="AX655" s="243"/>
      <c r="AY655" s="243"/>
      <c r="AZ655" s="243"/>
      <c r="BA655" s="243"/>
      <c r="BB655" s="243"/>
      <c r="BC655" s="243"/>
      <c r="BD655" s="243"/>
      <c r="BE655" s="243"/>
      <c r="BF655" s="243"/>
      <c r="BG655" s="243"/>
      <c r="BH655" s="243"/>
      <c r="BI655" s="243"/>
      <c r="BJ655" s="243"/>
      <c r="BK655" s="243"/>
      <c r="BL655" s="243"/>
      <c r="BM655" s="243"/>
      <c r="BN655" s="243"/>
      <c r="BO655" s="243"/>
      <c r="BP655" s="243"/>
      <c r="BQ655" s="243"/>
      <c r="BR655" s="243"/>
      <c r="BS655" s="243"/>
      <c r="BU655" s="242"/>
      <c r="BW655" s="243"/>
      <c r="BY655" s="242"/>
      <c r="CA655" s="243"/>
      <c r="CC655" s="242"/>
      <c r="CE655" s="243"/>
      <c r="CG655" s="242"/>
      <c r="CI655" s="243"/>
    </row>
    <row r="656" spans="1:87" s="1215" customFormat="1">
      <c r="A656" s="1222"/>
      <c r="B656" s="1223" t="str">
        <f t="shared" si="304"/>
        <v/>
      </c>
      <c r="C656" s="1210"/>
      <c r="D656" s="1211">
        <f>'1% Wind'!$M$86</f>
        <v>15.5</v>
      </c>
      <c r="E656" s="1212"/>
      <c r="F656" s="1212"/>
      <c r="G656" s="1213">
        <f ca="1">IF(I651=0.9743,$G655,MAX(G655/D655*D656,2))</f>
        <v>2</v>
      </c>
      <c r="H656" s="1214" t="e">
        <f t="shared" ca="1" si="305"/>
        <v>#VALUE!</v>
      </c>
      <c r="J656" s="1224"/>
      <c r="K656" s="1217">
        <f t="shared" si="306"/>
        <v>1</v>
      </c>
      <c r="L656" s="1218" t="e">
        <f t="shared" ca="1" si="307"/>
        <v>#VALUE!</v>
      </c>
      <c r="M656" s="1219" t="e">
        <f ca="1">IF(AND(INDEX(FlowCalConstA,MATCH(J651,FlowCalNumber,0),1,1)*L656^INDEX(FlowCalConstB,MATCH(J651,FlowCalNumber,0),1,1)&gt;INDEX(FlowCalLowSetting,MATCH(J651,FlowCalNumber,0),1,1), (INDEX(FlowCalConstA,MATCH(J651,FlowCalNumber,0),1,1)*L656^INDEX(FlowCalConstB,MATCH(J651,FlowCalNumber,0),1,1)&lt;INDEX(FlowCalHighSetting,MATCH(J651,FlowCalNumber,0),1,1))),INDEX(FlowCalConstA,MATCH(J651,FlowCalNumber,0),1,1)*L656^INDEX(FlowCalConstB,MATCH(J651,FlowCalNumber,0),1,1)," ")</f>
        <v>#N/A</v>
      </c>
      <c r="N656" s="1224"/>
      <c r="O656" s="1217">
        <f t="shared" si="308"/>
        <v>1</v>
      </c>
      <c r="P656" s="1218" t="e">
        <f t="shared" ca="1" si="309"/>
        <v>#VALUE!</v>
      </c>
      <c r="Q656" s="1219" t="e">
        <f ca="1">IF(AND(INDEX(FlowCalConstA,MATCH(N651,FlowCalNumber,0),1,1)*P656^INDEX(FlowCalConstB,MATCH(N651,FlowCalNumber,0),1,1)&gt;INDEX(FlowCalLowSetting,MATCH(N651,FlowCalNumber,0),1,1), (INDEX(FlowCalConstA,MATCH(N651,FlowCalNumber,0),1,1)*P656^INDEX(FlowCalConstB,MATCH(N651,FlowCalNumber,0),1,1)&lt;INDEX(FlowCalHighSetting,MATCH(N651,FlowCalNumber,0),1,1))),INDEX(FlowCalConstA,MATCH(N651,FlowCalNumber,0),1,1)*P656^INDEX(FlowCalConstB,MATCH(N651,FlowCalNumber,0),1,1)," ")</f>
        <v>#N/A</v>
      </c>
      <c r="R656" s="1224"/>
      <c r="S656" s="1217">
        <f t="shared" si="310"/>
        <v>1</v>
      </c>
      <c r="T656" s="1218" t="e">
        <f t="shared" ca="1" si="311"/>
        <v>#VALUE!</v>
      </c>
      <c r="U656" s="1219" t="e">
        <f ca="1">IF(AND(INDEX(FlowCalConstA,MATCH(R651,FlowCalNumber,0),1,1)*T656^INDEX(FlowCalConstB,MATCH(R651,FlowCalNumber,0),1,1)&gt;INDEX(FlowCalLowSetting,MATCH(R651,FlowCalNumber,0),1,1), (INDEX(FlowCalConstA,MATCH(R651,FlowCalNumber,0),1,1)*T656^INDEX(FlowCalConstB,MATCH(R651,FlowCalNumber,0),1,1)&lt;INDEX(FlowCalHighSetting,MATCH(R651,FlowCalNumber,0),1,1))),INDEX(FlowCalConstA,MATCH(R651,FlowCalNumber,0),1,1)*T656^INDEX(FlowCalConstB,MATCH(R651,FlowCalNumber,0),1,1)," ")</f>
        <v>#N/A</v>
      </c>
      <c r="V656" s="1224"/>
      <c r="W656" s="1217"/>
      <c r="X656" s="1218"/>
      <c r="Y656" s="1219"/>
      <c r="Z656" s="1224"/>
      <c r="AA656" s="1217"/>
      <c r="AB656" s="1218"/>
      <c r="AC656" s="1219"/>
      <c r="AD656" s="1224"/>
      <c r="AE656" s="1217"/>
      <c r="AF656" s="1218"/>
      <c r="AG656" s="1219"/>
      <c r="AH656" s="1224"/>
      <c r="AI656" s="1217"/>
      <c r="AJ656" s="1218"/>
      <c r="AK656" s="1220"/>
      <c r="AL656" s="1219"/>
      <c r="AM656" s="1219"/>
      <c r="AN656" s="1219"/>
      <c r="AO656" s="1219"/>
      <c r="AP656" s="1219"/>
      <c r="AQ656" s="1219"/>
      <c r="AR656" s="1219"/>
      <c r="AS656" s="1219"/>
      <c r="AT656" s="1219"/>
      <c r="AU656" s="1219"/>
      <c r="AV656" s="1219"/>
      <c r="AW656" s="1219"/>
      <c r="AX656" s="1219"/>
      <c r="AY656" s="1219"/>
      <c r="AZ656" s="1219"/>
      <c r="BA656" s="1219"/>
      <c r="BB656" s="1219"/>
      <c r="BC656" s="1219"/>
      <c r="BD656" s="1219"/>
      <c r="BE656" s="1219"/>
      <c r="BF656" s="1219"/>
      <c r="BG656" s="1219"/>
      <c r="BH656" s="1219"/>
      <c r="BI656" s="1219"/>
      <c r="BJ656" s="1219"/>
      <c r="BK656" s="1219"/>
      <c r="BL656" s="1219"/>
      <c r="BM656" s="1219"/>
      <c r="BN656" s="1219"/>
      <c r="BO656" s="1219"/>
      <c r="BP656" s="1219"/>
      <c r="BQ656" s="1219"/>
      <c r="BR656" s="1219"/>
      <c r="BS656" s="1219"/>
      <c r="BU656" s="1217"/>
      <c r="BW656" s="1219"/>
      <c r="BY656" s="1217"/>
      <c r="CA656" s="1219"/>
      <c r="CC656" s="1217"/>
      <c r="CE656" s="1219"/>
      <c r="CG656" s="1217"/>
      <c r="CI656" s="1219"/>
    </row>
    <row r="657" spans="1:87">
      <c r="A657" s="20"/>
      <c r="B657" s="124" t="str">
        <f t="shared" si="304"/>
        <v/>
      </c>
      <c r="C657" s="235"/>
      <c r="D657" s="24">
        <f>'1% Wind'!$M$87</f>
        <v>13.5</v>
      </c>
      <c r="E657" s="90"/>
      <c r="F657" s="90"/>
      <c r="G657" s="79">
        <f ca="1">IF(I651=0.9743,$G656,MAX(G656/D656*D657,2))</f>
        <v>2</v>
      </c>
      <c r="H657" s="121" t="e">
        <f t="shared" ca="1" si="305"/>
        <v>#VALUE!</v>
      </c>
      <c r="J657" s="33"/>
      <c r="K657" s="242">
        <f t="shared" si="306"/>
        <v>1</v>
      </c>
      <c r="L657" s="241" t="e">
        <f t="shared" ca="1" si="307"/>
        <v>#VALUE!</v>
      </c>
      <c r="M657" s="243" t="e">
        <f ca="1">IF(AND(INDEX(FlowCalConstA,MATCH(J651,FlowCalNumber,0),1,1)*L657^INDEX(FlowCalConstB,MATCH(J651,FlowCalNumber,0),1,1)&gt;INDEX(FlowCalLowSetting,MATCH(J651,FlowCalNumber,0),1,1), (INDEX(FlowCalConstA,MATCH(J651,FlowCalNumber,0),1,1)*L657^INDEX(FlowCalConstB,MATCH(J651,FlowCalNumber,0),1,1)&lt;INDEX(FlowCalHighSetting,MATCH(J651,FlowCalNumber,0),1,1))),INDEX(FlowCalConstA,MATCH(J651,FlowCalNumber,0),1,1)*L657^INDEX(FlowCalConstB,MATCH(J651,FlowCalNumber,0),1,1)," ")</f>
        <v>#N/A</v>
      </c>
      <c r="N657" s="33"/>
      <c r="O657" s="242">
        <f t="shared" si="308"/>
        <v>1</v>
      </c>
      <c r="P657" s="241" t="e">
        <f t="shared" ca="1" si="309"/>
        <v>#VALUE!</v>
      </c>
      <c r="Q657" s="243" t="e">
        <f ca="1">IF(AND(INDEX(FlowCalConstA,MATCH(N651,FlowCalNumber,0),1,1)*P657^INDEX(FlowCalConstB,MATCH(N651,FlowCalNumber,0),1,1)&gt;INDEX(FlowCalLowSetting,MATCH(N651,FlowCalNumber,0),1,1), (INDEX(FlowCalConstA,MATCH(N651,FlowCalNumber,0),1,1)*P657^INDEX(FlowCalConstB,MATCH(N651,FlowCalNumber,0),1,1)&lt;INDEX(FlowCalHighSetting,MATCH(N651,FlowCalNumber,0),1,1))),INDEX(FlowCalConstA,MATCH(N651,FlowCalNumber,0),1,1)*P657^INDEX(FlowCalConstB,MATCH(N651,FlowCalNumber,0),1,1)," ")</f>
        <v>#N/A</v>
      </c>
      <c r="R657" s="33"/>
      <c r="S657" s="242">
        <f t="shared" si="310"/>
        <v>1</v>
      </c>
      <c r="T657" s="241" t="e">
        <f t="shared" ca="1" si="311"/>
        <v>#VALUE!</v>
      </c>
      <c r="U657" s="243" t="e">
        <f ca="1">IF(AND(INDEX(FlowCalConstA,MATCH(R651,FlowCalNumber,0),1,1)*T657^INDEX(FlowCalConstB,MATCH(R651,FlowCalNumber,0),1,1)&gt;INDEX(FlowCalLowSetting,MATCH(R651,FlowCalNumber,0),1,1), (INDEX(FlowCalConstA,MATCH(R651,FlowCalNumber,0),1,1)*T657^INDEX(FlowCalConstB,MATCH(R651,FlowCalNumber,0),1,1)&lt;INDEX(FlowCalHighSetting,MATCH(R651,FlowCalNumber,0),1,1))),INDEX(FlowCalConstA,MATCH(R651,FlowCalNumber,0),1,1)*T657^INDEX(FlowCalConstB,MATCH(R651,FlowCalNumber,0),1,1)," ")</f>
        <v>#N/A</v>
      </c>
      <c r="V657" s="33"/>
      <c r="W657" s="242"/>
      <c r="X657" s="241"/>
      <c r="Y657" s="243"/>
      <c r="Z657" s="33"/>
      <c r="AA657" s="242"/>
      <c r="AB657" s="241"/>
      <c r="AC657" s="243"/>
      <c r="AD657" s="33"/>
      <c r="AE657" s="242"/>
      <c r="AF657" s="241"/>
      <c r="AG657" s="243"/>
      <c r="AH657" s="33"/>
      <c r="AI657" s="242"/>
      <c r="AJ657" s="241"/>
      <c r="AK657" s="244"/>
      <c r="AL657" s="243"/>
      <c r="AM657" s="243"/>
      <c r="AN657" s="243"/>
      <c r="AO657" s="243"/>
      <c r="AP657" s="243"/>
      <c r="AQ657" s="243"/>
      <c r="AR657" s="243"/>
      <c r="AS657" s="243"/>
      <c r="AT657" s="243"/>
      <c r="AU657" s="243"/>
      <c r="AV657" s="243"/>
      <c r="AW657" s="243"/>
      <c r="AX657" s="243"/>
      <c r="AY657" s="243"/>
      <c r="AZ657" s="243"/>
      <c r="BA657" s="243"/>
      <c r="BB657" s="243"/>
      <c r="BC657" s="243"/>
      <c r="BD657" s="243"/>
      <c r="BE657" s="243"/>
      <c r="BF657" s="243"/>
      <c r="BG657" s="243"/>
      <c r="BH657" s="243"/>
      <c r="BI657" s="243"/>
      <c r="BJ657" s="243"/>
      <c r="BK657" s="243"/>
      <c r="BL657" s="243"/>
      <c r="BM657" s="243"/>
      <c r="BN657" s="243"/>
      <c r="BO657" s="243"/>
      <c r="BP657" s="243"/>
      <c r="BQ657" s="243"/>
      <c r="BR657" s="243"/>
      <c r="BS657" s="243"/>
      <c r="BU657" s="242"/>
      <c r="BW657" s="243"/>
      <c r="BY657" s="242"/>
      <c r="CA657" s="243"/>
      <c r="CC657" s="242"/>
      <c r="CE657" s="243"/>
      <c r="CG657" s="242"/>
      <c r="CI657" s="243"/>
    </row>
    <row r="658" spans="1:87" s="1215" customFormat="1">
      <c r="A658" s="1222"/>
      <c r="B658" s="1223" t="str">
        <f t="shared" si="304"/>
        <v/>
      </c>
      <c r="C658" s="1210"/>
      <c r="D658" s="1211">
        <f>'1% Wind'!$M$88</f>
        <v>10.1</v>
      </c>
      <c r="E658" s="1212"/>
      <c r="F658" s="1212"/>
      <c r="G658" s="1213">
        <f ca="1">IF(I651=0.9743,$G657,MAX(G657/D657*D658,2))</f>
        <v>2</v>
      </c>
      <c r="H658" s="1214" t="e">
        <f t="shared" ca="1" si="305"/>
        <v>#VALUE!</v>
      </c>
      <c r="J658" s="1224"/>
      <c r="K658" s="1217">
        <f t="shared" si="306"/>
        <v>1</v>
      </c>
      <c r="L658" s="1218" t="e">
        <f t="shared" ca="1" si="307"/>
        <v>#VALUE!</v>
      </c>
      <c r="M658" s="1219" t="e">
        <f ca="1">IF(AND(INDEX(FlowCalConstA,MATCH(J651,FlowCalNumber,0),1,1)*L658^INDEX(FlowCalConstB,MATCH(J651,FlowCalNumber,0),1,1)&gt;INDEX(FlowCalLowSetting,MATCH(J651,FlowCalNumber,0),1,1), (INDEX(FlowCalConstA,MATCH(J651,FlowCalNumber,0),1,1)*L658^INDEX(FlowCalConstB,MATCH(J651,FlowCalNumber,0),1,1)&lt;INDEX(FlowCalHighSetting,MATCH(J651,FlowCalNumber,0),1,1))),INDEX(FlowCalConstA,MATCH(J651,FlowCalNumber,0),1,1)*L658^INDEX(FlowCalConstB,MATCH(J651,FlowCalNumber,0),1,1)," ")</f>
        <v>#N/A</v>
      </c>
      <c r="N658" s="1224"/>
      <c r="O658" s="1217">
        <f t="shared" si="308"/>
        <v>1</v>
      </c>
      <c r="P658" s="1218" t="e">
        <f t="shared" ca="1" si="309"/>
        <v>#VALUE!</v>
      </c>
      <c r="Q658" s="1219" t="e">
        <f ca="1">IF(AND(INDEX(FlowCalConstA,MATCH(N651,FlowCalNumber,0),1,1)*P658^INDEX(FlowCalConstB,MATCH(N651,FlowCalNumber,0),1,1)&gt;INDEX(FlowCalLowSetting,MATCH(N651,FlowCalNumber,0),1,1), (INDEX(FlowCalConstA,MATCH(N651,FlowCalNumber,0),1,1)*P658^INDEX(FlowCalConstB,MATCH(N651,FlowCalNumber,0),1,1)&lt;INDEX(FlowCalHighSetting,MATCH(N651,FlowCalNumber,0),1,1))),INDEX(FlowCalConstA,MATCH(N651,FlowCalNumber,0),1,1)*P658^INDEX(FlowCalConstB,MATCH(N651,FlowCalNumber,0),1,1)," ")</f>
        <v>#N/A</v>
      </c>
      <c r="R658" s="1224"/>
      <c r="S658" s="1217">
        <f t="shared" si="310"/>
        <v>1</v>
      </c>
      <c r="T658" s="1218" t="e">
        <f t="shared" ca="1" si="311"/>
        <v>#VALUE!</v>
      </c>
      <c r="U658" s="1219" t="e">
        <f ca="1">IF(AND(INDEX(FlowCalConstA,MATCH(R651,FlowCalNumber,0),1,1)*T658^INDEX(FlowCalConstB,MATCH(R651,FlowCalNumber,0),1,1)&gt;INDEX(FlowCalLowSetting,MATCH(R651,FlowCalNumber,0),1,1), (INDEX(FlowCalConstA,MATCH(R651,FlowCalNumber,0),1,1)*T658^INDEX(FlowCalConstB,MATCH(R651,FlowCalNumber,0),1,1)&lt;INDEX(FlowCalHighSetting,MATCH(R651,FlowCalNumber,0),1,1))),INDEX(FlowCalConstA,MATCH(R651,FlowCalNumber,0),1,1)*T658^INDEX(FlowCalConstB,MATCH(R651,FlowCalNumber,0),1,1)," ")</f>
        <v>#N/A</v>
      </c>
      <c r="V658" s="1224"/>
      <c r="W658" s="1217"/>
      <c r="X658" s="1218"/>
      <c r="Y658" s="1219"/>
      <c r="Z658" s="1224"/>
      <c r="AA658" s="1217"/>
      <c r="AB658" s="1218"/>
      <c r="AC658" s="1219"/>
      <c r="AD658" s="1224"/>
      <c r="AE658" s="1217"/>
      <c r="AF658" s="1218"/>
      <c r="AG658" s="1219"/>
      <c r="AH658" s="1224"/>
      <c r="AI658" s="1217"/>
      <c r="AJ658" s="1218"/>
      <c r="AK658" s="1220"/>
      <c r="AL658" s="1219"/>
      <c r="AM658" s="1219"/>
      <c r="AN658" s="1219"/>
      <c r="AO658" s="1219"/>
      <c r="AP658" s="1219"/>
      <c r="AQ658" s="1219"/>
      <c r="AR658" s="1219"/>
      <c r="AS658" s="1219"/>
      <c r="AT658" s="1219"/>
      <c r="AU658" s="1219"/>
      <c r="AV658" s="1219"/>
      <c r="AW658" s="1219"/>
      <c r="AX658" s="1219"/>
      <c r="AY658" s="1219"/>
      <c r="AZ658" s="1219"/>
      <c r="BA658" s="1219"/>
      <c r="BB658" s="1219"/>
      <c r="BC658" s="1219"/>
      <c r="BD658" s="1219"/>
      <c r="BE658" s="1219"/>
      <c r="BF658" s="1219"/>
      <c r="BG658" s="1219"/>
      <c r="BH658" s="1219"/>
      <c r="BI658" s="1219"/>
      <c r="BJ658" s="1219"/>
      <c r="BK658" s="1219"/>
      <c r="BL658" s="1219"/>
      <c r="BM658" s="1219"/>
      <c r="BN658" s="1219"/>
      <c r="BO658" s="1219"/>
      <c r="BP658" s="1219"/>
      <c r="BQ658" s="1219"/>
      <c r="BR658" s="1219"/>
      <c r="BS658" s="1219"/>
      <c r="BU658" s="1217"/>
      <c r="BW658" s="1219"/>
      <c r="BY658" s="1217"/>
      <c r="CA658" s="1219"/>
      <c r="CC658" s="1217"/>
      <c r="CE658" s="1219"/>
      <c r="CG658" s="1217"/>
      <c r="CI658" s="1219"/>
    </row>
    <row r="659" spans="1:87">
      <c r="A659" s="20"/>
      <c r="B659" s="124" t="str">
        <f t="shared" si="304"/>
        <v/>
      </c>
      <c r="C659" s="235"/>
      <c r="D659" s="24">
        <f>'1% Wind'!$M$89</f>
        <v>7.6</v>
      </c>
      <c r="E659" s="90"/>
      <c r="F659" s="90"/>
      <c r="G659" s="79">
        <f ca="1">IF(I651=0.9743,$G658,MAX(G658/D658*D659,2))</f>
        <v>2</v>
      </c>
      <c r="H659" s="121" t="e">
        <f t="shared" ca="1" si="305"/>
        <v>#VALUE!</v>
      </c>
      <c r="J659" s="33"/>
      <c r="K659" s="242">
        <f t="shared" si="306"/>
        <v>1</v>
      </c>
      <c r="L659" s="241" t="e">
        <f t="shared" ca="1" si="307"/>
        <v>#VALUE!</v>
      </c>
      <c r="M659" s="243" t="e">
        <f ca="1">IF(AND(INDEX(FlowCalConstA,MATCH(J651,FlowCalNumber,0),1,1)*L659^INDEX(FlowCalConstB,MATCH(J651,FlowCalNumber,0),1,1)&gt;INDEX(FlowCalLowSetting,MATCH(J651,FlowCalNumber,0),1,1), (INDEX(FlowCalConstA,MATCH(J651,FlowCalNumber,0),1,1)*L659^INDEX(FlowCalConstB,MATCH(J651,FlowCalNumber,0),1,1)&lt;INDEX(FlowCalHighSetting,MATCH(J651,FlowCalNumber,0),1,1))),INDEX(FlowCalConstA,MATCH(J651,FlowCalNumber,0),1,1)*L659^INDEX(FlowCalConstB,MATCH(J651,FlowCalNumber,0),1,1)," ")</f>
        <v>#N/A</v>
      </c>
      <c r="N659" s="33"/>
      <c r="O659" s="242">
        <f t="shared" si="308"/>
        <v>1</v>
      </c>
      <c r="P659" s="241" t="e">
        <f t="shared" ca="1" si="309"/>
        <v>#VALUE!</v>
      </c>
      <c r="Q659" s="243" t="e">
        <f ca="1">IF(AND(INDEX(FlowCalConstA,MATCH(N651,FlowCalNumber,0),1,1)*P659^INDEX(FlowCalConstB,MATCH(N651,FlowCalNumber,0),1,1)&gt;INDEX(FlowCalLowSetting,MATCH(N651,FlowCalNumber,0),1,1), (INDEX(FlowCalConstA,MATCH(N651,FlowCalNumber,0),1,1)*P659^INDEX(FlowCalConstB,MATCH(N651,FlowCalNumber,0),1,1)&lt;INDEX(FlowCalHighSetting,MATCH(N651,FlowCalNumber,0),1,1))),INDEX(FlowCalConstA,MATCH(N651,FlowCalNumber,0),1,1)*P659^INDEX(FlowCalConstB,MATCH(N651,FlowCalNumber,0),1,1)," ")</f>
        <v>#N/A</v>
      </c>
      <c r="R659" s="33"/>
      <c r="S659" s="242">
        <f t="shared" si="310"/>
        <v>1</v>
      </c>
      <c r="T659" s="241" t="e">
        <f t="shared" ca="1" si="311"/>
        <v>#VALUE!</v>
      </c>
      <c r="U659" s="243" t="e">
        <f ca="1">IF(AND(INDEX(FlowCalConstA,MATCH(R651,FlowCalNumber,0),1,1)*T659^INDEX(FlowCalConstB,MATCH(R651,FlowCalNumber,0),1,1)&gt;INDEX(FlowCalLowSetting,MATCH(R651,FlowCalNumber,0),1,1), (INDEX(FlowCalConstA,MATCH(R651,FlowCalNumber,0),1,1)*T659^INDEX(FlowCalConstB,MATCH(R651,FlowCalNumber,0),1,1)&lt;INDEX(FlowCalHighSetting,MATCH(R651,FlowCalNumber,0),1,1))),INDEX(FlowCalConstA,MATCH(R651,FlowCalNumber,0),1,1)*T659^INDEX(FlowCalConstB,MATCH(R651,FlowCalNumber,0),1,1)," ")</f>
        <v>#N/A</v>
      </c>
      <c r="V659" s="33"/>
      <c r="W659" s="242"/>
      <c r="X659" s="241"/>
      <c r="Y659" s="243"/>
      <c r="Z659" s="33"/>
      <c r="AA659" s="242"/>
      <c r="AB659" s="241"/>
      <c r="AC659" s="243"/>
      <c r="AD659" s="33"/>
      <c r="AE659" s="242"/>
      <c r="AF659" s="241"/>
      <c r="AG659" s="243"/>
      <c r="AH659" s="33"/>
      <c r="AI659" s="242"/>
      <c r="AJ659" s="241"/>
      <c r="AK659" s="244"/>
      <c r="AL659" s="243"/>
      <c r="AM659" s="243"/>
      <c r="AN659" s="243"/>
      <c r="AO659" s="243"/>
      <c r="AP659" s="243"/>
      <c r="AQ659" s="243"/>
      <c r="AR659" s="243"/>
      <c r="AS659" s="243"/>
      <c r="AT659" s="243"/>
      <c r="AU659" s="243"/>
      <c r="AV659" s="243"/>
      <c r="AW659" s="243"/>
      <c r="AX659" s="243"/>
      <c r="AY659" s="243"/>
      <c r="AZ659" s="243"/>
      <c r="BA659" s="243"/>
      <c r="BB659" s="243"/>
      <c r="BC659" s="243"/>
      <c r="BD659" s="243"/>
      <c r="BE659" s="243"/>
      <c r="BF659" s="243"/>
      <c r="BG659" s="243"/>
      <c r="BH659" s="243"/>
      <c r="BI659" s="243"/>
      <c r="BJ659" s="243"/>
      <c r="BK659" s="243"/>
      <c r="BL659" s="243"/>
      <c r="BM659" s="243"/>
      <c r="BN659" s="243"/>
      <c r="BO659" s="243"/>
      <c r="BP659" s="243"/>
      <c r="BQ659" s="243"/>
      <c r="BR659" s="243"/>
      <c r="BS659" s="243"/>
      <c r="BU659" s="242"/>
      <c r="BW659" s="243"/>
      <c r="BY659" s="242"/>
      <c r="CA659" s="243"/>
      <c r="CC659" s="242"/>
      <c r="CE659" s="243"/>
      <c r="CG659" s="242"/>
      <c r="CI659" s="243"/>
    </row>
    <row r="660" spans="1:87" s="1215" customFormat="1">
      <c r="A660" s="1222"/>
      <c r="B660" s="1223" t="str">
        <f t="shared" si="304"/>
        <v/>
      </c>
      <c r="C660" s="1210"/>
      <c r="D660" s="1211">
        <f>'1% Wind'!$M$90</f>
        <v>5.7</v>
      </c>
      <c r="E660" s="1212"/>
      <c r="F660" s="1212"/>
      <c r="G660" s="1213">
        <f ca="1">IF(I651=0.9743,$G659,MAX(G659/D659*D660,2))</f>
        <v>2</v>
      </c>
      <c r="H660" s="1214" t="e">
        <f t="shared" ca="1" si="305"/>
        <v>#VALUE!</v>
      </c>
      <c r="J660" s="1224"/>
      <c r="K660" s="1217">
        <f t="shared" si="306"/>
        <v>1</v>
      </c>
      <c r="L660" s="1218" t="e">
        <f t="shared" ca="1" si="307"/>
        <v>#VALUE!</v>
      </c>
      <c r="M660" s="1219" t="e">
        <f ca="1">IF(AND(INDEX(FlowCalConstA,MATCH(J651,FlowCalNumber,0),1,1)*L660^INDEX(FlowCalConstB,MATCH(J651,FlowCalNumber,0),1,1)&gt;INDEX(FlowCalLowSetting,MATCH(J651,FlowCalNumber,0),1,1), (INDEX(FlowCalConstA,MATCH(J651,FlowCalNumber,0),1,1)*L660^INDEX(FlowCalConstB,MATCH(J651,FlowCalNumber,0),1,1)&lt;INDEX(FlowCalHighSetting,MATCH(J651,FlowCalNumber,0),1,1))),INDEX(FlowCalConstA,MATCH(J651,FlowCalNumber,0),1,1)*L660^INDEX(FlowCalConstB,MATCH(J651,FlowCalNumber,0),1,1)," ")</f>
        <v>#N/A</v>
      </c>
      <c r="N660" s="1224"/>
      <c r="O660" s="1217">
        <f t="shared" si="308"/>
        <v>1</v>
      </c>
      <c r="P660" s="1218" t="e">
        <f t="shared" ca="1" si="309"/>
        <v>#VALUE!</v>
      </c>
      <c r="Q660" s="1219" t="e">
        <f ca="1">IF(AND(INDEX(FlowCalConstA,MATCH(N651,FlowCalNumber,0),1,1)*P660^INDEX(FlowCalConstB,MATCH(N651,FlowCalNumber,0),1,1)&gt;INDEX(FlowCalLowSetting,MATCH(N651,FlowCalNumber,0),1,1), (INDEX(FlowCalConstA,MATCH(N651,FlowCalNumber,0),1,1)*P660^INDEX(FlowCalConstB,MATCH(N651,FlowCalNumber,0),1,1)&lt;INDEX(FlowCalHighSetting,MATCH(N651,FlowCalNumber,0),1,1))),INDEX(FlowCalConstA,MATCH(N651,FlowCalNumber,0),1,1)*P660^INDEX(FlowCalConstB,MATCH(N651,FlowCalNumber,0),1,1)," ")</f>
        <v>#N/A</v>
      </c>
      <c r="R660" s="1224"/>
      <c r="S660" s="1217">
        <f t="shared" si="310"/>
        <v>1</v>
      </c>
      <c r="T660" s="1218" t="e">
        <f t="shared" ca="1" si="311"/>
        <v>#VALUE!</v>
      </c>
      <c r="U660" s="1219" t="e">
        <f ca="1">IF(AND(INDEX(FlowCalConstA,MATCH(R651,FlowCalNumber,0),1,1)*T660^INDEX(FlowCalConstB,MATCH(R651,FlowCalNumber,0),1,1)&gt;INDEX(FlowCalLowSetting,MATCH(R651,FlowCalNumber,0),1,1), (INDEX(FlowCalConstA,MATCH(R651,FlowCalNumber,0),1,1)*T660^INDEX(FlowCalConstB,MATCH(R651,FlowCalNumber,0),1,1)&lt;INDEX(FlowCalHighSetting,MATCH(R651,FlowCalNumber,0),1,1))),INDEX(FlowCalConstA,MATCH(R651,FlowCalNumber,0),1,1)*T660^INDEX(FlowCalConstB,MATCH(R651,FlowCalNumber,0),1,1)," ")</f>
        <v>#N/A</v>
      </c>
      <c r="V660" s="1224"/>
      <c r="W660" s="1217"/>
      <c r="X660" s="1218"/>
      <c r="Y660" s="1219"/>
      <c r="Z660" s="1224"/>
      <c r="AA660" s="1217"/>
      <c r="AB660" s="1218"/>
      <c r="AC660" s="1219"/>
      <c r="AD660" s="1224"/>
      <c r="AE660" s="1217"/>
      <c r="AF660" s="1218"/>
      <c r="AG660" s="1219"/>
      <c r="AH660" s="1224"/>
      <c r="AI660" s="1217"/>
      <c r="AJ660" s="1218"/>
      <c r="AK660" s="1220"/>
      <c r="AL660" s="1219"/>
      <c r="AM660" s="1219"/>
      <c r="AN660" s="1219"/>
      <c r="AO660" s="1219"/>
      <c r="AP660" s="1219"/>
      <c r="AQ660" s="1219"/>
      <c r="AR660" s="1219"/>
      <c r="AS660" s="1219"/>
      <c r="AT660" s="1219"/>
      <c r="AU660" s="1219"/>
      <c r="AV660" s="1219"/>
      <c r="AW660" s="1219"/>
      <c r="AX660" s="1219"/>
      <c r="AY660" s="1219"/>
      <c r="AZ660" s="1219"/>
      <c r="BA660" s="1219"/>
      <c r="BB660" s="1219"/>
      <c r="BC660" s="1219"/>
      <c r="BD660" s="1219"/>
      <c r="BE660" s="1219"/>
      <c r="BF660" s="1219"/>
      <c r="BG660" s="1219"/>
      <c r="BH660" s="1219"/>
      <c r="BI660" s="1219"/>
      <c r="BJ660" s="1219"/>
      <c r="BK660" s="1219"/>
      <c r="BL660" s="1219"/>
      <c r="BM660" s="1219"/>
      <c r="BN660" s="1219"/>
      <c r="BO660" s="1219"/>
      <c r="BP660" s="1219"/>
      <c r="BQ660" s="1219"/>
      <c r="BR660" s="1219"/>
      <c r="BS660" s="1219"/>
      <c r="BU660" s="1217"/>
      <c r="BW660" s="1219"/>
      <c r="BY660" s="1217"/>
      <c r="CA660" s="1219"/>
      <c r="CC660" s="1217"/>
      <c r="CE660" s="1219"/>
      <c r="CG660" s="1217"/>
      <c r="CI660" s="1219"/>
    </row>
    <row r="661" spans="1:87">
      <c r="A661" s="20"/>
      <c r="B661" s="124" t="str">
        <f t="shared" si="304"/>
        <v/>
      </c>
      <c r="C661" s="235"/>
      <c r="D661" s="24">
        <f>'1% Wind'!$M$91</f>
        <v>4.2</v>
      </c>
      <c r="E661" s="90"/>
      <c r="F661" s="90"/>
      <c r="G661" s="79">
        <f ca="1">IF(I651=0.9743,$G660,MAX(G660/D660*D661,2))</f>
        <v>2</v>
      </c>
      <c r="H661" s="121" t="e">
        <f t="shared" ca="1" si="305"/>
        <v>#VALUE!</v>
      </c>
      <c r="J661" s="33"/>
      <c r="K661" s="242">
        <f t="shared" si="306"/>
        <v>1</v>
      </c>
      <c r="L661" s="241" t="e">
        <f t="shared" ca="1" si="307"/>
        <v>#VALUE!</v>
      </c>
      <c r="M661" s="243" t="e">
        <f ca="1">IF(AND(INDEX(FlowCalConstA,MATCH(J651,FlowCalNumber,0),1,1)*L661^INDEX(FlowCalConstB,MATCH(J651,FlowCalNumber,0),1,1)&gt;INDEX(FlowCalLowSetting,MATCH(J651,FlowCalNumber,0),1,1), (INDEX(FlowCalConstA,MATCH(J651,FlowCalNumber,0),1,1)*L661^INDEX(FlowCalConstB,MATCH(J651,FlowCalNumber,0),1,1)&lt;INDEX(FlowCalHighSetting,MATCH(J651,FlowCalNumber,0),1,1))),INDEX(FlowCalConstA,MATCH(J651,FlowCalNumber,0),1,1)*L661^INDEX(FlowCalConstB,MATCH(J651,FlowCalNumber,0),1,1)," ")</f>
        <v>#N/A</v>
      </c>
      <c r="N661" s="33"/>
      <c r="O661" s="242">
        <f t="shared" si="308"/>
        <v>1</v>
      </c>
      <c r="P661" s="241" t="e">
        <f t="shared" ca="1" si="309"/>
        <v>#VALUE!</v>
      </c>
      <c r="Q661" s="243" t="e">
        <f ca="1">IF(AND(INDEX(FlowCalConstA,MATCH(N651,FlowCalNumber,0),1,1)*P661^INDEX(FlowCalConstB,MATCH(N651,FlowCalNumber,0),1,1)&gt;INDEX(FlowCalLowSetting,MATCH(N651,FlowCalNumber,0),1,1), (INDEX(FlowCalConstA,MATCH(N651,FlowCalNumber,0),1,1)*P661^INDEX(FlowCalConstB,MATCH(N651,FlowCalNumber,0),1,1)&lt;INDEX(FlowCalHighSetting,MATCH(N651,FlowCalNumber,0),1,1))),INDEX(FlowCalConstA,MATCH(N651,FlowCalNumber,0),1,1)*P661^INDEX(FlowCalConstB,MATCH(N651,FlowCalNumber,0),1,1)," ")</f>
        <v>#N/A</v>
      </c>
      <c r="R661" s="33"/>
      <c r="S661" s="242">
        <f t="shared" si="310"/>
        <v>1</v>
      </c>
      <c r="T661" s="241" t="e">
        <f t="shared" ca="1" si="311"/>
        <v>#VALUE!</v>
      </c>
      <c r="U661" s="243" t="e">
        <f ca="1">IF(AND(INDEX(FlowCalConstA,MATCH(R651,FlowCalNumber,0),1,1)*T661^INDEX(FlowCalConstB,MATCH(R651,FlowCalNumber,0),1,1)&gt;INDEX(FlowCalLowSetting,MATCH(R651,FlowCalNumber,0),1,1), (INDEX(FlowCalConstA,MATCH(R651,FlowCalNumber,0),1,1)*T661^INDEX(FlowCalConstB,MATCH(R651,FlowCalNumber,0),1,1)&lt;INDEX(FlowCalHighSetting,MATCH(R651,FlowCalNumber,0),1,1))),INDEX(FlowCalConstA,MATCH(R651,FlowCalNumber,0),1,1)*T661^INDEX(FlowCalConstB,MATCH(R651,FlowCalNumber,0),1,1)," ")</f>
        <v>#N/A</v>
      </c>
      <c r="V661" s="33"/>
      <c r="W661" s="242"/>
      <c r="X661" s="241"/>
      <c r="Y661" s="243"/>
      <c r="Z661" s="33"/>
      <c r="AA661" s="242"/>
      <c r="AB661" s="241"/>
      <c r="AC661" s="243"/>
      <c r="AD661" s="33"/>
      <c r="AE661" s="242"/>
      <c r="AF661" s="241"/>
      <c r="AG661" s="243"/>
      <c r="AH661" s="33"/>
      <c r="AI661" s="242"/>
      <c r="AJ661" s="241"/>
      <c r="AK661" s="244"/>
      <c r="AL661" s="243"/>
      <c r="AM661" s="243"/>
      <c r="AN661" s="243"/>
      <c r="AO661" s="243"/>
      <c r="AP661" s="243"/>
      <c r="AQ661" s="243"/>
      <c r="AR661" s="243"/>
      <c r="AS661" s="243"/>
      <c r="AT661" s="243"/>
      <c r="AU661" s="243"/>
      <c r="AV661" s="243"/>
      <c r="AW661" s="243"/>
      <c r="AX661" s="243"/>
      <c r="AY661" s="243"/>
      <c r="AZ661" s="243"/>
      <c r="BA661" s="243"/>
      <c r="BB661" s="243"/>
      <c r="BC661" s="243"/>
      <c r="BD661" s="243"/>
      <c r="BE661" s="243"/>
      <c r="BF661" s="243"/>
      <c r="BG661" s="243"/>
      <c r="BH661" s="243"/>
      <c r="BI661" s="243"/>
      <c r="BJ661" s="243"/>
      <c r="BK661" s="243"/>
      <c r="BL661" s="243"/>
      <c r="BM661" s="243"/>
      <c r="BN661" s="243"/>
      <c r="BO661" s="243"/>
      <c r="BP661" s="243"/>
      <c r="BQ661" s="243"/>
      <c r="BR661" s="243"/>
      <c r="BS661" s="243"/>
      <c r="BU661" s="242"/>
      <c r="BW661" s="243"/>
      <c r="BY661" s="242"/>
      <c r="CA661" s="243"/>
      <c r="CC661" s="242"/>
      <c r="CE661" s="243"/>
      <c r="CG661" s="242"/>
      <c r="CI661" s="243"/>
    </row>
    <row r="662" spans="1:87" s="1215" customFormat="1">
      <c r="A662" s="1222"/>
      <c r="B662" s="1223" t="str">
        <f t="shared" si="304"/>
        <v/>
      </c>
      <c r="C662" s="1210"/>
      <c r="D662" s="1211">
        <f>'1% Wind'!$M$92</f>
        <v>3.2</v>
      </c>
      <c r="E662" s="1212"/>
      <c r="F662" s="1212"/>
      <c r="G662" s="1213">
        <f ca="1">IF(I651=0.9743,$G661,MAX(G661/D661*D662,2))</f>
        <v>2</v>
      </c>
      <c r="H662" s="1214" t="e">
        <f t="shared" ca="1" si="305"/>
        <v>#VALUE!</v>
      </c>
      <c r="J662" s="1224"/>
      <c r="K662" s="1217">
        <f t="shared" si="306"/>
        <v>1</v>
      </c>
      <c r="L662" s="1218" t="e">
        <f t="shared" ca="1" si="307"/>
        <v>#VALUE!</v>
      </c>
      <c r="M662" s="1219" t="e">
        <f ca="1">IF(AND(INDEX(FlowCalConstA,MATCH(J651,FlowCalNumber,0),1,1)*L662^INDEX(FlowCalConstB,MATCH(J651,FlowCalNumber,0),1,1)&gt;INDEX(FlowCalLowSetting,MATCH(J651,FlowCalNumber,0),1,1), (INDEX(FlowCalConstA,MATCH(J651,FlowCalNumber,0),1,1)*L662^INDEX(FlowCalConstB,MATCH(J651,FlowCalNumber,0),1,1)&lt;INDEX(FlowCalHighSetting,MATCH(J651,FlowCalNumber,0),1,1))),INDEX(FlowCalConstA,MATCH(J651,FlowCalNumber,0),1,1)*L662^INDEX(FlowCalConstB,MATCH(J651,FlowCalNumber,0),1,1)," ")</f>
        <v>#N/A</v>
      </c>
      <c r="N662" s="1224"/>
      <c r="O662" s="1217">
        <f t="shared" si="308"/>
        <v>1</v>
      </c>
      <c r="P662" s="1218" t="e">
        <f t="shared" ca="1" si="309"/>
        <v>#VALUE!</v>
      </c>
      <c r="Q662" s="1219" t="e">
        <f ca="1">IF(AND(INDEX(FlowCalConstA,MATCH(N651,FlowCalNumber,0),1,1)*P662^INDEX(FlowCalConstB,MATCH(N651,FlowCalNumber,0),1,1)&gt;INDEX(FlowCalLowSetting,MATCH(N651,FlowCalNumber,0),1,1), (INDEX(FlowCalConstA,MATCH(N651,FlowCalNumber,0),1,1)*P662^INDEX(FlowCalConstB,MATCH(N651,FlowCalNumber,0),1,1)&lt;INDEX(FlowCalHighSetting,MATCH(N651,FlowCalNumber,0),1,1))),INDEX(FlowCalConstA,MATCH(N651,FlowCalNumber,0),1,1)*P662^INDEX(FlowCalConstB,MATCH(N651,FlowCalNumber,0),1,1)," ")</f>
        <v>#N/A</v>
      </c>
      <c r="R662" s="1224"/>
      <c r="S662" s="1217">
        <f t="shared" si="310"/>
        <v>1</v>
      </c>
      <c r="T662" s="1218" t="e">
        <f t="shared" ca="1" si="311"/>
        <v>#VALUE!</v>
      </c>
      <c r="U662" s="1219" t="e">
        <f ca="1">IF(AND(INDEX(FlowCalConstA,MATCH(R651,FlowCalNumber,0),1,1)*T662^INDEX(FlowCalConstB,MATCH(R651,FlowCalNumber,0),1,1)&gt;INDEX(FlowCalLowSetting,MATCH(R651,FlowCalNumber,0),1,1), (INDEX(FlowCalConstA,MATCH(R651,FlowCalNumber,0),1,1)*T662^INDEX(FlowCalConstB,MATCH(R651,FlowCalNumber,0),1,1)&lt;INDEX(FlowCalHighSetting,MATCH(R651,FlowCalNumber,0),1,1))),INDEX(FlowCalConstA,MATCH(R651,FlowCalNumber,0),1,1)*T662^INDEX(FlowCalConstB,MATCH(R651,FlowCalNumber,0),1,1)," ")</f>
        <v>#N/A</v>
      </c>
      <c r="V662" s="1224"/>
      <c r="W662" s="1217"/>
      <c r="X662" s="1218"/>
      <c r="Y662" s="1219"/>
      <c r="Z662" s="1224"/>
      <c r="AA662" s="1217"/>
      <c r="AB662" s="1218"/>
      <c r="AC662" s="1219"/>
      <c r="AD662" s="1224"/>
      <c r="AE662" s="1217"/>
      <c r="AF662" s="1218"/>
      <c r="AG662" s="1219"/>
      <c r="AH662" s="1224"/>
      <c r="AI662" s="1217"/>
      <c r="AJ662" s="1218"/>
      <c r="AK662" s="1220"/>
      <c r="AL662" s="1219"/>
      <c r="AM662" s="1219"/>
      <c r="AN662" s="1219"/>
      <c r="AO662" s="1219"/>
      <c r="AP662" s="1219"/>
      <c r="AQ662" s="1219"/>
      <c r="AR662" s="1219"/>
      <c r="AS662" s="1219"/>
      <c r="AT662" s="1219"/>
      <c r="AU662" s="1219"/>
      <c r="AV662" s="1219"/>
      <c r="AW662" s="1219"/>
      <c r="AX662" s="1219"/>
      <c r="AY662" s="1219"/>
      <c r="AZ662" s="1219"/>
      <c r="BA662" s="1219"/>
      <c r="BB662" s="1219"/>
      <c r="BC662" s="1219"/>
      <c r="BD662" s="1219"/>
      <c r="BE662" s="1219"/>
      <c r="BF662" s="1219"/>
      <c r="BG662" s="1219"/>
      <c r="BH662" s="1219"/>
      <c r="BI662" s="1219"/>
      <c r="BJ662" s="1219"/>
      <c r="BK662" s="1219"/>
      <c r="BL662" s="1219"/>
      <c r="BM662" s="1219"/>
      <c r="BN662" s="1219"/>
      <c r="BO662" s="1219"/>
      <c r="BP662" s="1219"/>
      <c r="BQ662" s="1219"/>
      <c r="BR662" s="1219"/>
      <c r="BS662" s="1219"/>
      <c r="BU662" s="1217"/>
      <c r="BW662" s="1219"/>
      <c r="BY662" s="1217"/>
      <c r="CA662" s="1219"/>
      <c r="CC662" s="1217"/>
      <c r="CE662" s="1219"/>
      <c r="CG662" s="1217"/>
      <c r="CI662" s="1219"/>
    </row>
    <row r="663" spans="1:87">
      <c r="A663" s="20"/>
      <c r="B663" s="124" t="str">
        <f t="shared" si="304"/>
        <v/>
      </c>
      <c r="C663" s="235"/>
      <c r="D663" s="24">
        <f>'1% Wind'!$M$93</f>
        <v>2.4</v>
      </c>
      <c r="E663" s="90"/>
      <c r="F663" s="90"/>
      <c r="G663" s="79">
        <f ca="1">IF(I651=0.9743,$G662,MAX(G662/D662*D663,2))</f>
        <v>2</v>
      </c>
      <c r="H663" s="121" t="e">
        <f t="shared" ca="1" si="305"/>
        <v>#VALUE!</v>
      </c>
      <c r="J663" s="33"/>
      <c r="K663" s="242">
        <f t="shared" si="306"/>
        <v>1</v>
      </c>
      <c r="L663" s="241" t="e">
        <f t="shared" ca="1" si="307"/>
        <v>#VALUE!</v>
      </c>
      <c r="M663" s="243" t="e">
        <f ca="1">IF(AND(INDEX(FlowCalConstA,MATCH(J651,FlowCalNumber,0),1,1)*L663^INDEX(FlowCalConstB,MATCH(J651,FlowCalNumber,0),1,1)&gt;INDEX(FlowCalLowSetting,MATCH(J651,FlowCalNumber,0),1,1), (INDEX(FlowCalConstA,MATCH(J651,FlowCalNumber,0),1,1)*L663^INDEX(FlowCalConstB,MATCH(J651,FlowCalNumber,0),1,1)&lt;INDEX(FlowCalHighSetting,MATCH(J651,FlowCalNumber,0),1,1))),INDEX(FlowCalConstA,MATCH(J651,FlowCalNumber,0),1,1)*L663^INDEX(FlowCalConstB,MATCH(J651,FlowCalNumber,0),1,1)," ")</f>
        <v>#N/A</v>
      </c>
      <c r="N663" s="33"/>
      <c r="O663" s="242">
        <f t="shared" si="308"/>
        <v>1</v>
      </c>
      <c r="P663" s="241" t="e">
        <f t="shared" ca="1" si="309"/>
        <v>#VALUE!</v>
      </c>
      <c r="Q663" s="243" t="e">
        <f ca="1">IF(AND(INDEX(FlowCalConstA,MATCH(N651,FlowCalNumber,0),1,1)*P663^INDEX(FlowCalConstB,MATCH(N651,FlowCalNumber,0),1,1)&gt;INDEX(FlowCalLowSetting,MATCH(N651,FlowCalNumber,0),1,1), (INDEX(FlowCalConstA,MATCH(N651,FlowCalNumber,0),1,1)*P663^INDEX(FlowCalConstB,MATCH(N651,FlowCalNumber,0),1,1)&lt;INDEX(FlowCalHighSetting,MATCH(N651,FlowCalNumber,0),1,1))),INDEX(FlowCalConstA,MATCH(N651,FlowCalNumber,0),1,1)*P663^INDEX(FlowCalConstB,MATCH(N651,FlowCalNumber,0),1,1)," ")</f>
        <v>#N/A</v>
      </c>
      <c r="R663" s="33"/>
      <c r="S663" s="242">
        <f t="shared" si="310"/>
        <v>1</v>
      </c>
      <c r="T663" s="241" t="e">
        <f t="shared" ca="1" si="311"/>
        <v>#VALUE!</v>
      </c>
      <c r="U663" s="243" t="e">
        <f ca="1">IF(AND(INDEX(FlowCalConstA,MATCH(R651,FlowCalNumber,0),1,1)*T663^INDEX(FlowCalConstB,MATCH(R651,FlowCalNumber,0),1,1)&gt;INDEX(FlowCalLowSetting,MATCH(R651,FlowCalNumber,0),1,1), (INDEX(FlowCalConstA,MATCH(R651,FlowCalNumber,0),1,1)*T663^INDEX(FlowCalConstB,MATCH(R651,FlowCalNumber,0),1,1)&lt;INDEX(FlowCalHighSetting,MATCH(R651,FlowCalNumber,0),1,1))),INDEX(FlowCalConstA,MATCH(R651,FlowCalNumber,0),1,1)*T663^INDEX(FlowCalConstB,MATCH(R651,FlowCalNumber,0),1,1)," ")</f>
        <v>#N/A</v>
      </c>
      <c r="V663" s="33"/>
      <c r="W663" s="242"/>
      <c r="X663" s="241"/>
      <c r="Y663" s="243"/>
      <c r="Z663" s="33"/>
      <c r="AA663" s="242"/>
      <c r="AB663" s="241"/>
      <c r="AC663" s="243"/>
      <c r="AD663" s="33"/>
      <c r="AE663" s="242"/>
      <c r="AF663" s="241"/>
      <c r="AG663" s="243"/>
      <c r="AH663" s="33"/>
      <c r="AI663" s="242"/>
      <c r="AJ663" s="241"/>
      <c r="AK663" s="244"/>
      <c r="AL663" s="243"/>
      <c r="AM663" s="243"/>
      <c r="AN663" s="243"/>
      <c r="AO663" s="243"/>
      <c r="AP663" s="243"/>
      <c r="AQ663" s="243"/>
      <c r="AR663" s="243"/>
      <c r="AS663" s="243"/>
      <c r="AT663" s="243"/>
      <c r="AU663" s="243"/>
      <c r="AV663" s="243"/>
      <c r="AW663" s="243"/>
      <c r="AX663" s="243"/>
      <c r="AY663" s="243"/>
      <c r="AZ663" s="243"/>
      <c r="BA663" s="243"/>
      <c r="BB663" s="243"/>
      <c r="BC663" s="243"/>
      <c r="BD663" s="243"/>
      <c r="BE663" s="243"/>
      <c r="BF663" s="243"/>
      <c r="BG663" s="243"/>
      <c r="BH663" s="243"/>
      <c r="BI663" s="243"/>
      <c r="BJ663" s="243"/>
      <c r="BK663" s="243"/>
      <c r="BL663" s="243"/>
      <c r="BM663" s="243"/>
      <c r="BN663" s="243"/>
      <c r="BO663" s="243"/>
      <c r="BP663" s="243"/>
      <c r="BQ663" s="243"/>
      <c r="BR663" s="243"/>
      <c r="BS663" s="243"/>
      <c r="BU663" s="242"/>
      <c r="BW663" s="243"/>
      <c r="BY663" s="242"/>
      <c r="CA663" s="243"/>
      <c r="CC663" s="242"/>
      <c r="CE663" s="243"/>
      <c r="CG663" s="242"/>
      <c r="CI663" s="243"/>
    </row>
    <row r="664" spans="1:87" s="1215" customFormat="1">
      <c r="A664" s="1222"/>
      <c r="B664" s="1223" t="str">
        <f t="shared" si="304"/>
        <v/>
      </c>
      <c r="C664" s="1210"/>
      <c r="D664" s="1211">
        <f>'1% Wind'!$M$94</f>
        <v>1.8</v>
      </c>
      <c r="E664" s="1212"/>
      <c r="F664" s="1212"/>
      <c r="G664" s="1213">
        <f ca="1">IF(I651=0.9743,$G663,MAX(G663/D663*D664,2))</f>
        <v>2</v>
      </c>
      <c r="H664" s="1214" t="e">
        <f t="shared" ca="1" si="305"/>
        <v>#VALUE!</v>
      </c>
      <c r="J664" s="1224"/>
      <c r="K664" s="1217">
        <f t="shared" si="306"/>
        <v>1</v>
      </c>
      <c r="L664" s="1218" t="e">
        <f t="shared" ca="1" si="307"/>
        <v>#VALUE!</v>
      </c>
      <c r="M664" s="1219" t="e">
        <f ca="1">IF(AND(INDEX(FlowCalConstA,MATCH(J651,FlowCalNumber,0),1,1)*L664^INDEX(FlowCalConstB,MATCH(J651,FlowCalNumber,0),1,1)&gt;INDEX(FlowCalLowSetting,MATCH(J651,FlowCalNumber,0),1,1), (INDEX(FlowCalConstA,MATCH(J651,FlowCalNumber,0),1,1)*L664^INDEX(FlowCalConstB,MATCH(J651,FlowCalNumber,0),1,1)&lt;INDEX(FlowCalHighSetting,MATCH(J651,FlowCalNumber,0),1,1))),INDEX(FlowCalConstA,MATCH(J651,FlowCalNumber,0),1,1)*L664^INDEX(FlowCalConstB,MATCH(J651,FlowCalNumber,0),1,1)," ")</f>
        <v>#N/A</v>
      </c>
      <c r="N664" s="1224"/>
      <c r="O664" s="1217">
        <f t="shared" si="308"/>
        <v>1</v>
      </c>
      <c r="P664" s="1218" t="e">
        <f t="shared" ca="1" si="309"/>
        <v>#VALUE!</v>
      </c>
      <c r="Q664" s="1219" t="e">
        <f ca="1">IF(AND(INDEX(FlowCalConstA,MATCH(N651,FlowCalNumber,0),1,1)*P664^INDEX(FlowCalConstB,MATCH(N651,FlowCalNumber,0),1,1)&gt;INDEX(FlowCalLowSetting,MATCH(N651,FlowCalNumber,0),1,1), (INDEX(FlowCalConstA,MATCH(N651,FlowCalNumber,0),1,1)*P664^INDEX(FlowCalConstB,MATCH(N651,FlowCalNumber,0),1,1)&lt;INDEX(FlowCalHighSetting,MATCH(N651,FlowCalNumber,0),1,1))),INDEX(FlowCalConstA,MATCH(N651,FlowCalNumber,0),1,1)*P664^INDEX(FlowCalConstB,MATCH(N651,FlowCalNumber,0),1,1)," ")</f>
        <v>#N/A</v>
      </c>
      <c r="R664" s="1224"/>
      <c r="S664" s="1217">
        <f t="shared" si="310"/>
        <v>1</v>
      </c>
      <c r="T664" s="1218" t="e">
        <f t="shared" ca="1" si="311"/>
        <v>#VALUE!</v>
      </c>
      <c r="U664" s="1219" t="e">
        <f ca="1">IF(AND(INDEX(FlowCalConstA,MATCH(R651,FlowCalNumber,0),1,1)*T664^INDEX(FlowCalConstB,MATCH(R651,FlowCalNumber,0),1,1)&gt;INDEX(FlowCalLowSetting,MATCH(R651,FlowCalNumber,0),1,1), (INDEX(FlowCalConstA,MATCH(R651,FlowCalNumber,0),1,1)*T664^INDEX(FlowCalConstB,MATCH(R651,FlowCalNumber,0),1,1)&lt;INDEX(FlowCalHighSetting,MATCH(R651,FlowCalNumber,0),1,1))),INDEX(FlowCalConstA,MATCH(R651,FlowCalNumber,0),1,1)*T664^INDEX(FlowCalConstB,MATCH(R651,FlowCalNumber,0),1,1)," ")</f>
        <v>#N/A</v>
      </c>
      <c r="V664" s="1224"/>
      <c r="W664" s="1217"/>
      <c r="X664" s="1218"/>
      <c r="Y664" s="1219"/>
      <c r="Z664" s="1224"/>
      <c r="AA664" s="1217"/>
      <c r="AB664" s="1218"/>
      <c r="AC664" s="1219"/>
      <c r="AD664" s="1224"/>
      <c r="AE664" s="1217"/>
      <c r="AF664" s="1218"/>
      <c r="AG664" s="1219"/>
      <c r="AH664" s="1224"/>
      <c r="AI664" s="1217"/>
      <c r="AJ664" s="1218"/>
      <c r="AK664" s="1220"/>
      <c r="AL664" s="1219"/>
      <c r="AM664" s="1219"/>
      <c r="AN664" s="1219"/>
      <c r="AO664" s="1219"/>
      <c r="AP664" s="1219"/>
      <c r="AQ664" s="1219"/>
      <c r="AR664" s="1219"/>
      <c r="AS664" s="1219"/>
      <c r="AT664" s="1219"/>
      <c r="AU664" s="1219"/>
      <c r="AV664" s="1219"/>
      <c r="AW664" s="1219"/>
      <c r="AX664" s="1219"/>
      <c r="AY664" s="1219"/>
      <c r="AZ664" s="1219"/>
      <c r="BA664" s="1219"/>
      <c r="BB664" s="1219"/>
      <c r="BC664" s="1219"/>
      <c r="BD664" s="1219"/>
      <c r="BE664" s="1219"/>
      <c r="BF664" s="1219"/>
      <c r="BG664" s="1219"/>
      <c r="BH664" s="1219"/>
      <c r="BI664" s="1219"/>
      <c r="BJ664" s="1219"/>
      <c r="BK664" s="1219"/>
      <c r="BL664" s="1219"/>
      <c r="BM664" s="1219"/>
      <c r="BN664" s="1219"/>
      <c r="BO664" s="1219"/>
      <c r="BP664" s="1219"/>
      <c r="BQ664" s="1219"/>
      <c r="BR664" s="1219"/>
      <c r="BS664" s="1219"/>
      <c r="BU664" s="1217"/>
      <c r="BW664" s="1219"/>
      <c r="BY664" s="1217"/>
      <c r="CA664" s="1219"/>
      <c r="CC664" s="1217"/>
      <c r="CE664" s="1219"/>
      <c r="CG664" s="1217"/>
      <c r="CI664" s="1219"/>
    </row>
    <row r="665" spans="1:87">
      <c r="A665" s="20"/>
      <c r="B665" s="124" t="str">
        <f t="shared" si="304"/>
        <v/>
      </c>
      <c r="C665" s="235"/>
      <c r="D665" s="24">
        <f>'1% Wind'!$M$95</f>
        <v>1.3</v>
      </c>
      <c r="E665" s="90"/>
      <c r="F665" s="90"/>
      <c r="G665" s="79">
        <f ca="1">IF(I651=0.9743,$G664,MAX(G664/D664*D665,2))</f>
        <v>2</v>
      </c>
      <c r="H665" s="121" t="e">
        <f t="shared" ca="1" si="305"/>
        <v>#VALUE!</v>
      </c>
      <c r="J665" s="33"/>
      <c r="K665" s="242">
        <f t="shared" si="306"/>
        <v>1</v>
      </c>
      <c r="L665" s="241" t="e">
        <f t="shared" ca="1" si="307"/>
        <v>#VALUE!</v>
      </c>
      <c r="M665" s="243" t="e">
        <f ca="1">IF(AND(INDEX(FlowCalConstA,MATCH(J651,FlowCalNumber,0),1,1)*L665^INDEX(FlowCalConstB,MATCH(J651,FlowCalNumber,0),1,1)&gt;INDEX(FlowCalLowSetting,MATCH(J651,FlowCalNumber,0),1,1), (INDEX(FlowCalConstA,MATCH(J651,FlowCalNumber,0),1,1)*L665^INDEX(FlowCalConstB,MATCH(J651,FlowCalNumber,0),1,1)&lt;INDEX(FlowCalHighSetting,MATCH(J651,FlowCalNumber,0),1,1))),INDEX(FlowCalConstA,MATCH(J651,FlowCalNumber,0),1,1)*L665^INDEX(FlowCalConstB,MATCH(J651,FlowCalNumber,0),1,1)," ")</f>
        <v>#N/A</v>
      </c>
      <c r="N665" s="33"/>
      <c r="O665" s="242">
        <f t="shared" si="308"/>
        <v>1</v>
      </c>
      <c r="P665" s="241" t="e">
        <f t="shared" ca="1" si="309"/>
        <v>#VALUE!</v>
      </c>
      <c r="Q665" s="243" t="e">
        <f ca="1">IF(AND(INDEX(FlowCalConstA,MATCH(N651,FlowCalNumber,0),1,1)*P665^INDEX(FlowCalConstB,MATCH(N651,FlowCalNumber,0),1,1)&gt;INDEX(FlowCalLowSetting,MATCH(N651,FlowCalNumber,0),1,1), (INDEX(FlowCalConstA,MATCH(N651,FlowCalNumber,0),1,1)*P665^INDEX(FlowCalConstB,MATCH(N651,FlowCalNumber,0),1,1)&lt;INDEX(FlowCalHighSetting,MATCH(N651,FlowCalNumber,0),1,1))),INDEX(FlowCalConstA,MATCH(N651,FlowCalNumber,0),1,1)*P665^INDEX(FlowCalConstB,MATCH(N651,FlowCalNumber,0),1,1)," ")</f>
        <v>#N/A</v>
      </c>
      <c r="R665" s="33"/>
      <c r="S665" s="242">
        <f t="shared" si="310"/>
        <v>1</v>
      </c>
      <c r="T665" s="241" t="e">
        <f t="shared" ca="1" si="311"/>
        <v>#VALUE!</v>
      </c>
      <c r="U665" s="243" t="e">
        <f ca="1">IF(AND(INDEX(FlowCalConstA,MATCH(R651,FlowCalNumber,0),1,1)*T665^INDEX(FlowCalConstB,MATCH(R651,FlowCalNumber,0),1,1)&gt;INDEX(FlowCalLowSetting,MATCH(R651,FlowCalNumber,0),1,1), (INDEX(FlowCalConstA,MATCH(R651,FlowCalNumber,0),1,1)*T665^INDEX(FlowCalConstB,MATCH(R651,FlowCalNumber,0),1,1)&lt;INDEX(FlowCalHighSetting,MATCH(R651,FlowCalNumber,0),1,1))),INDEX(FlowCalConstA,MATCH(R651,FlowCalNumber,0),1,1)*T665^INDEX(FlowCalConstB,MATCH(R651,FlowCalNumber,0),1,1)," ")</f>
        <v>#N/A</v>
      </c>
      <c r="V665" s="33"/>
      <c r="W665" s="242"/>
      <c r="X665" s="241"/>
      <c r="Y665" s="243"/>
      <c r="Z665" s="33"/>
      <c r="AA665" s="242"/>
      <c r="AB665" s="241"/>
      <c r="AC665" s="243"/>
      <c r="AD665" s="33"/>
      <c r="AE665" s="242"/>
      <c r="AF665" s="241"/>
      <c r="AG665" s="243"/>
      <c r="AH665" s="33"/>
      <c r="AI665" s="242"/>
      <c r="AJ665" s="241"/>
      <c r="AK665" s="244"/>
      <c r="AL665" s="243"/>
      <c r="AM665" s="243"/>
      <c r="AN665" s="243"/>
      <c r="AO665" s="243"/>
      <c r="AP665" s="243"/>
      <c r="AQ665" s="243"/>
      <c r="AR665" s="243"/>
      <c r="AS665" s="243"/>
      <c r="AT665" s="243"/>
      <c r="AU665" s="243"/>
      <c r="AV665" s="243"/>
      <c r="AW665" s="243"/>
      <c r="AX665" s="243"/>
      <c r="AY665" s="243"/>
      <c r="AZ665" s="243"/>
      <c r="BA665" s="243"/>
      <c r="BB665" s="243"/>
      <c r="BC665" s="243"/>
      <c r="BD665" s="243"/>
      <c r="BE665" s="243"/>
      <c r="BF665" s="243"/>
      <c r="BG665" s="243"/>
      <c r="BH665" s="243"/>
      <c r="BI665" s="243"/>
      <c r="BJ665" s="243"/>
      <c r="BK665" s="243"/>
      <c r="BL665" s="243"/>
      <c r="BM665" s="243"/>
      <c r="BN665" s="243"/>
      <c r="BO665" s="243"/>
      <c r="BP665" s="243"/>
      <c r="BQ665" s="243"/>
      <c r="BR665" s="243"/>
      <c r="BS665" s="243"/>
      <c r="BU665" s="242"/>
      <c r="BW665" s="243"/>
      <c r="BY665" s="242"/>
      <c r="CA665" s="243"/>
      <c r="CC665" s="242"/>
      <c r="CE665" s="243"/>
      <c r="CG665" s="242"/>
      <c r="CI665" s="243"/>
    </row>
    <row r="666" spans="1:87" s="1215" customFormat="1">
      <c r="A666" s="1222"/>
      <c r="B666" s="1223" t="str">
        <f t="shared" si="304"/>
        <v/>
      </c>
      <c r="C666" s="1210"/>
      <c r="D666" s="1211">
        <f>'1% Wind'!$M$96</f>
        <v>1</v>
      </c>
      <c r="E666" s="1212"/>
      <c r="F666" s="1212"/>
      <c r="G666" s="1213">
        <f ca="1">IF(I651=0.9743,$G665,MAX(G665/D665*D666,2))</f>
        <v>2</v>
      </c>
      <c r="H666" s="1214" t="e">
        <f t="shared" ca="1" si="305"/>
        <v>#VALUE!</v>
      </c>
      <c r="J666" s="1224"/>
      <c r="K666" s="1217">
        <f t="shared" si="306"/>
        <v>1</v>
      </c>
      <c r="L666" s="1218" t="e">
        <f t="shared" ca="1" si="307"/>
        <v>#VALUE!</v>
      </c>
      <c r="M666" s="1219" t="e">
        <f ca="1">IF(AND(INDEX(FlowCalConstA,MATCH(J651,FlowCalNumber,0),1,1)*L666^INDEX(FlowCalConstB,MATCH(J651,FlowCalNumber,0),1,1)&gt;INDEX(FlowCalLowSetting,MATCH(J651,FlowCalNumber,0),1,1), (INDEX(FlowCalConstA,MATCH(J651,FlowCalNumber,0),1,1)*L666^INDEX(FlowCalConstB,MATCH(J651,FlowCalNumber,0),1,1)&lt;INDEX(FlowCalHighSetting,MATCH(J651,FlowCalNumber,0),1,1))),INDEX(FlowCalConstA,MATCH(J651,FlowCalNumber,0),1,1)*L666^INDEX(FlowCalConstB,MATCH(J651,FlowCalNumber,0),1,1)," ")</f>
        <v>#N/A</v>
      </c>
      <c r="N666" s="1224"/>
      <c r="O666" s="1217">
        <f t="shared" si="308"/>
        <v>1</v>
      </c>
      <c r="P666" s="1218" t="e">
        <f t="shared" ca="1" si="309"/>
        <v>#VALUE!</v>
      </c>
      <c r="Q666" s="1219" t="e">
        <f ca="1">IF(AND(INDEX(FlowCalConstA,MATCH(N651,FlowCalNumber,0),1,1)*P666^INDEX(FlowCalConstB,MATCH(N651,FlowCalNumber,0),1,1)&gt;INDEX(FlowCalLowSetting,MATCH(N651,FlowCalNumber,0),1,1), (INDEX(FlowCalConstA,MATCH(N651,FlowCalNumber,0),1,1)*P666^INDEX(FlowCalConstB,MATCH(N651,FlowCalNumber,0),1,1)&lt;INDEX(FlowCalHighSetting,MATCH(N651,FlowCalNumber,0),1,1))),INDEX(FlowCalConstA,MATCH(N651,FlowCalNumber,0),1,1)*P666^INDEX(FlowCalConstB,MATCH(N651,FlowCalNumber,0),1,1)," ")</f>
        <v>#N/A</v>
      </c>
      <c r="R666" s="1224"/>
      <c r="S666" s="1217">
        <f t="shared" si="310"/>
        <v>1</v>
      </c>
      <c r="T666" s="1218" t="e">
        <f t="shared" ca="1" si="311"/>
        <v>#VALUE!</v>
      </c>
      <c r="U666" s="1219" t="e">
        <f ca="1">IF(AND(INDEX(FlowCalConstA,MATCH(R651,FlowCalNumber,0),1,1)*T666^INDEX(FlowCalConstB,MATCH(R651,FlowCalNumber,0),1,1)&gt;INDEX(FlowCalLowSetting,MATCH(R651,FlowCalNumber,0),1,1), (INDEX(FlowCalConstA,MATCH(R651,FlowCalNumber,0),1,1)*T666^INDEX(FlowCalConstB,MATCH(R651,FlowCalNumber,0),1,1)&lt;INDEX(FlowCalHighSetting,MATCH(R651,FlowCalNumber,0),1,1))),INDEX(FlowCalConstA,MATCH(R651,FlowCalNumber,0),1,1)*T666^INDEX(FlowCalConstB,MATCH(R651,FlowCalNumber,0),1,1)," ")</f>
        <v>#N/A</v>
      </c>
      <c r="V666" s="1224"/>
      <c r="W666" s="1217"/>
      <c r="X666" s="1218"/>
      <c r="Y666" s="1219"/>
      <c r="Z666" s="1224"/>
      <c r="AA666" s="1217"/>
      <c r="AB666" s="1218"/>
      <c r="AC666" s="1219"/>
      <c r="AD666" s="1224"/>
      <c r="AE666" s="1217"/>
      <c r="AF666" s="1218"/>
      <c r="AG666" s="1219"/>
      <c r="AH666" s="1224"/>
      <c r="AI666" s="1217"/>
      <c r="AJ666" s="1218"/>
      <c r="AK666" s="1220"/>
      <c r="AL666" s="1219"/>
      <c r="AM666" s="1219"/>
      <c r="AN666" s="1219"/>
      <c r="AO666" s="1219"/>
      <c r="AP666" s="1219"/>
      <c r="AQ666" s="1219"/>
      <c r="AR666" s="1219"/>
      <c r="AS666" s="1219"/>
      <c r="AT666" s="1219"/>
      <c r="AU666" s="1219"/>
      <c r="AV666" s="1219"/>
      <c r="AW666" s="1219"/>
      <c r="AX666" s="1219"/>
      <c r="AY666" s="1219"/>
      <c r="AZ666" s="1219"/>
      <c r="BA666" s="1219"/>
      <c r="BB666" s="1219"/>
      <c r="BC666" s="1219"/>
      <c r="BD666" s="1219"/>
      <c r="BE666" s="1219"/>
      <c r="BF666" s="1219"/>
      <c r="BG666" s="1219"/>
      <c r="BH666" s="1219"/>
      <c r="BI666" s="1219"/>
      <c r="BJ666" s="1219"/>
      <c r="BK666" s="1219"/>
      <c r="BL666" s="1219"/>
      <c r="BM666" s="1219"/>
      <c r="BN666" s="1219"/>
      <c r="BO666" s="1219"/>
      <c r="BP666" s="1219"/>
      <c r="BQ666" s="1219"/>
      <c r="BR666" s="1219"/>
      <c r="BS666" s="1219"/>
      <c r="BU666" s="1217"/>
      <c r="BW666" s="1219"/>
      <c r="BY666" s="1217"/>
      <c r="CA666" s="1219"/>
      <c r="CC666" s="1217"/>
      <c r="CE666" s="1219"/>
      <c r="CG666" s="1217"/>
      <c r="CI666" s="1219"/>
    </row>
    <row r="667" spans="1:87">
      <c r="A667" s="33"/>
      <c r="B667" s="33"/>
      <c r="C667" s="235"/>
      <c r="E667" s="90"/>
      <c r="F667" s="90"/>
      <c r="G667" s="33"/>
      <c r="J667" s="33"/>
      <c r="M667" s="243"/>
      <c r="N667" s="33"/>
      <c r="Q667" s="243"/>
      <c r="R667" s="33"/>
      <c r="U667" s="243"/>
      <c r="V667" s="33"/>
      <c r="Y667" s="243"/>
      <c r="Z667" s="33"/>
      <c r="AC667" s="243"/>
      <c r="AD667" s="33"/>
      <c r="AG667" s="243"/>
      <c r="AH667" s="33"/>
      <c r="AK667" s="244"/>
      <c r="AL667" s="243"/>
      <c r="AM667" s="243"/>
      <c r="AN667" s="243"/>
      <c r="AO667" s="243"/>
      <c r="AP667" s="243"/>
      <c r="AQ667" s="243"/>
      <c r="AR667" s="243"/>
      <c r="AS667" s="243"/>
      <c r="AT667" s="243"/>
      <c r="AU667" s="243"/>
      <c r="AV667" s="243"/>
      <c r="AW667" s="243"/>
      <c r="AX667" s="243"/>
      <c r="AY667" s="243"/>
      <c r="AZ667" s="243"/>
      <c r="BA667" s="243"/>
      <c r="BB667" s="243"/>
      <c r="BC667" s="243"/>
      <c r="BD667" s="243"/>
      <c r="BE667" s="243"/>
      <c r="BF667" s="243"/>
      <c r="BG667" s="243"/>
      <c r="BH667" s="243"/>
      <c r="BI667" s="243"/>
      <c r="BJ667" s="243"/>
      <c r="BK667" s="243"/>
      <c r="BL667" s="243"/>
      <c r="BM667" s="243"/>
      <c r="BN667" s="243"/>
      <c r="BO667" s="243"/>
      <c r="BP667" s="243"/>
      <c r="BQ667" s="243"/>
      <c r="BR667" s="243"/>
      <c r="BS667" s="243"/>
      <c r="BW667" s="243"/>
      <c r="CA667" s="243"/>
      <c r="CE667" s="243"/>
      <c r="CI667" s="243"/>
    </row>
    <row r="668" spans="1:87">
      <c r="A668" s="256" t="str">
        <f>IF((RIGHT(A651,1))&lt;&gt;"Z",CHAR(CODE(A651))&amp;CHAR(CODE(RIGHT(A651,1))+1),CHAR(CODE(A651)+1)&amp;"A")</f>
        <v>BM</v>
      </c>
      <c r="B668" s="270" t="str">
        <f>INDEX(SourceID,MATCH($A668,SourceNumber,0),1,1)</f>
        <v>B2 DT</v>
      </c>
      <c r="C668" s="354">
        <f>INDEX(SourceExitDiameter,MATCH($A668,SourceNumber,0),1,1)*3.28*12</f>
        <v>5.9999999999999991</v>
      </c>
      <c r="D668" s="24" t="str">
        <f>UAnem1percent</f>
        <v>1% Wind</v>
      </c>
      <c r="E668" s="350" t="e">
        <f ca="1">INDIRECT(ADDRESS(53,6,1,,CONCATENATE("TA",$A668)))</f>
        <v>#REF!</v>
      </c>
      <c r="F668" s="625" t="e">
        <f ca="1">(ROUND((INDIRECT(ADDRESS(15,7,1,,CONCATENATE("TA",$A668)))*3.28*12*32),0)&amp;"/32")</f>
        <v>#REF!</v>
      </c>
      <c r="G668" s="125">
        <f ca="1">INDIRECT(ADDRESS(29,7,1,,$A668))</f>
        <v>6.001707317073171</v>
      </c>
      <c r="H668" s="24" t="e">
        <f ca="1">INDIRECT(ADDRESS(19,7,1,,$A668))*100^3</f>
        <v>#VALUE!</v>
      </c>
      <c r="I668" s="941">
        <f ca="1">INDIRECT(ADDRESS(53,7,1,,$A668))</f>
        <v>0.97430000000000005</v>
      </c>
      <c r="J668" s="20" t="str">
        <f ca="1">IF($I668=$I$6,K$16&amp;$G$6&amp;J$6,IF($I668=$I$7,K$16&amp;$G$7&amp;J$7,"Bad"))</f>
        <v>100N2Pick a Tunnel</v>
      </c>
      <c r="K668" t="e">
        <f ca="1">INDEX(FlowCalGasMixture,MATCH(J668,FlowCalNumber,0),1,1)</f>
        <v>#N/A</v>
      </c>
      <c r="M668" s="944" t="e">
        <f ca="1">INDEX(FlowCalDevice,MATCH(J668,FlowCalNumber,0),1,1)</f>
        <v>#N/A</v>
      </c>
      <c r="N668" s="20" t="str">
        <f ca="1">IF($I668=$I$6,O$16&amp;$G$6&amp;N$6,IF($I668=$I$7,O$16&amp;$G$7&amp;N$7,"Bad"))</f>
        <v>100N2Pick a Tunnel</v>
      </c>
      <c r="O668" t="e">
        <f ca="1">INDEX(FlowCalGasMixture,MATCH(N668,FlowCalNumber,0),1,1)</f>
        <v>#N/A</v>
      </c>
      <c r="Q668" s="944" t="e">
        <f ca="1">INDEX(FlowCalDevice,MATCH(N668,FlowCalNumber,0),1,1)</f>
        <v>#N/A</v>
      </c>
      <c r="R668" s="20" t="str">
        <f ca="1">IF($I668=$I$6,S$16&amp;$G$6&amp;R$6,IF($I668=$I$7,S$16&amp;$G$7&amp;R$7,"Bad"))</f>
        <v>100N2Pick a Tunnel</v>
      </c>
      <c r="S668" t="e">
        <f ca="1">INDEX(FlowCalGasMixture,MATCH(R668,FlowCalNumber,0),1,1)</f>
        <v>#N/A</v>
      </c>
      <c r="U668" s="944" t="e">
        <f ca="1">INDEX(FlowCalDevice,MATCH(R668,FlowCalNumber,0),1,1)</f>
        <v>#N/A</v>
      </c>
      <c r="V668" s="20"/>
      <c r="Y668" s="944"/>
      <c r="Z668" s="946"/>
      <c r="AC668" s="944"/>
      <c r="AD668" s="20"/>
      <c r="AG668" s="944"/>
      <c r="AH668" s="946"/>
      <c r="AK668" s="982"/>
      <c r="AL668" s="355"/>
      <c r="AM668" s="355"/>
      <c r="AN668" s="355"/>
      <c r="AO668" s="355"/>
      <c r="AP668" s="355"/>
      <c r="AQ668" s="355"/>
      <c r="AR668" s="355"/>
      <c r="AS668" s="355"/>
      <c r="AT668" s="355"/>
      <c r="AU668" s="355"/>
      <c r="AV668" s="355"/>
      <c r="AW668" s="355"/>
      <c r="AX668" s="355"/>
      <c r="AY668" s="355"/>
      <c r="AZ668" s="355"/>
      <c r="BA668" s="355"/>
      <c r="BB668" s="355"/>
      <c r="BC668" s="355"/>
      <c r="BD668" s="355"/>
      <c r="BE668" s="355"/>
      <c r="BF668" s="355"/>
      <c r="BG668" s="355"/>
      <c r="BH668" s="355"/>
      <c r="BI668" s="355"/>
      <c r="BJ668" s="355"/>
      <c r="BK668" s="355"/>
      <c r="BL668" s="355"/>
      <c r="BM668" s="355"/>
      <c r="BN668" s="355"/>
      <c r="BO668" s="355"/>
      <c r="BP668" s="355"/>
      <c r="BQ668" s="355"/>
      <c r="BR668" s="355"/>
      <c r="BS668" s="355"/>
      <c r="BT668" s="46"/>
      <c r="BU668" s="16"/>
      <c r="BW668" s="355"/>
      <c r="BX668" s="42"/>
      <c r="BY668" s="16"/>
      <c r="CA668" s="355"/>
      <c r="CB668" s="42"/>
      <c r="CC668" s="16"/>
      <c r="CE668" s="355"/>
      <c r="CF668" s="42"/>
      <c r="CG668" s="16"/>
      <c r="CI668" s="355"/>
    </row>
    <row r="669" spans="1:87" s="1215" customFormat="1">
      <c r="A669" s="1222"/>
      <c r="B669" s="1223" t="str">
        <f t="shared" ref="B669:B683" si="312">IF(D669=UAnem1percent,"1% Wind","")</f>
        <v/>
      </c>
      <c r="C669" s="1210"/>
      <c r="D669" s="1211">
        <f>'1% Wind'!$M$82</f>
        <v>27</v>
      </c>
      <c r="E669" s="1212"/>
      <c r="F669" s="1212"/>
      <c r="G669" s="1364">
        <v>2</v>
      </c>
      <c r="H669" s="1214" t="e">
        <f t="shared" ref="H669:H683" ca="1" si="313">H668*(D668/D669)*(G669/G668)</f>
        <v>#VALUE!</v>
      </c>
      <c r="J669" s="1224"/>
      <c r="K669" s="1221">
        <f>K$17/100</f>
        <v>1</v>
      </c>
      <c r="L669" s="1218" t="e">
        <f ca="1">K669*$H669</f>
        <v>#VALUE!</v>
      </c>
      <c r="M669" s="1219" t="e">
        <f ca="1">IF(AND(INDEX(FlowCalConstA,MATCH(J668,FlowCalNumber,0),1,1)*L669^INDEX(FlowCalConstB,MATCH(J668,FlowCalNumber,0),1,1)&gt;INDEX(FlowCalLowSetting,MATCH(J668,FlowCalNumber,0),1,1), (INDEX(FlowCalConstA,MATCH(J668,FlowCalNumber,0),1,1)*L669^INDEX(FlowCalConstB,MATCH(J668,FlowCalNumber,0),1,1)&lt;INDEX(FlowCalHighSetting,MATCH(J668,FlowCalNumber,0),1,1))),INDEX(FlowCalConstA,MATCH(J668,FlowCalNumber,0),1,1)*L669^INDEX(FlowCalConstB,MATCH(J668,FlowCalNumber,0),1,1)," ")</f>
        <v>#N/A</v>
      </c>
      <c r="N669" s="1224"/>
      <c r="O669" s="1221">
        <f>O$17/100</f>
        <v>1</v>
      </c>
      <c r="P669" s="1218" t="e">
        <f ca="1">O669*$H669</f>
        <v>#VALUE!</v>
      </c>
      <c r="Q669" s="1219" t="e">
        <f ca="1">IF(AND(INDEX(FlowCalConstA,MATCH(N668,FlowCalNumber,0),1,1)*P669^INDEX(FlowCalConstB,MATCH(N668,FlowCalNumber,0),1,1)&gt;INDEX(FlowCalLowSetting,MATCH(N668,FlowCalNumber,0),1,1), (INDEX(FlowCalConstA,MATCH(N668,FlowCalNumber,0),1,1)*P669^INDEX(FlowCalConstB,MATCH(N668,FlowCalNumber,0),1,1)&lt;INDEX(FlowCalHighSetting,MATCH(N668,FlowCalNumber,0),1,1))),INDEX(FlowCalConstA,MATCH(N668,FlowCalNumber,0),1,1)*P669^INDEX(FlowCalConstB,MATCH(N668,FlowCalNumber,0),1,1)," ")</f>
        <v>#N/A</v>
      </c>
      <c r="R669" s="1224"/>
      <c r="S669" s="1221">
        <f>S$17/100</f>
        <v>1</v>
      </c>
      <c r="T669" s="1218" t="e">
        <f ca="1">S669*$H669</f>
        <v>#VALUE!</v>
      </c>
      <c r="U669" s="1219" t="e">
        <f ca="1">IF(AND(INDEX(FlowCalConstA,MATCH(R668,FlowCalNumber,0),1,1)*T669^INDEX(FlowCalConstB,MATCH(R668,FlowCalNumber,0),1,1)&gt;INDEX(FlowCalLowSetting,MATCH(R668,FlowCalNumber,0),1,1), (INDEX(FlowCalConstA,MATCH(R668,FlowCalNumber,0),1,1)*T669^INDEX(FlowCalConstB,MATCH(R668,FlowCalNumber,0),1,1)&lt;INDEX(FlowCalHighSetting,MATCH(R668,FlowCalNumber,0),1,1))),INDEX(FlowCalConstA,MATCH(R668,FlowCalNumber,0),1,1)*T669^INDEX(FlowCalConstB,MATCH(R668,FlowCalNumber,0),1,1)," ")</f>
        <v>#N/A</v>
      </c>
      <c r="V669" s="1224"/>
      <c r="W669" s="1221"/>
      <c r="X669" s="1218"/>
      <c r="Y669" s="1219"/>
      <c r="Z669" s="1224"/>
      <c r="AA669" s="1221"/>
      <c r="AB669" s="1218"/>
      <c r="AC669" s="1219"/>
      <c r="AD669" s="1224"/>
      <c r="AE669" s="1221"/>
      <c r="AF669" s="1218"/>
      <c r="AG669" s="1219"/>
      <c r="AH669" s="1224"/>
      <c r="AI669" s="1221"/>
      <c r="AJ669" s="1218"/>
      <c r="AK669" s="1220"/>
      <c r="AL669" s="1219"/>
      <c r="AM669" s="1219"/>
      <c r="AN669" s="1219"/>
      <c r="AO669" s="1219"/>
      <c r="AP669" s="1219"/>
      <c r="AQ669" s="1219"/>
      <c r="AR669" s="1219"/>
      <c r="AS669" s="1219"/>
      <c r="AT669" s="1219"/>
      <c r="AU669" s="1219"/>
      <c r="AV669" s="1219"/>
      <c r="AW669" s="1219"/>
      <c r="AX669" s="1219"/>
      <c r="AY669" s="1219"/>
      <c r="AZ669" s="1219"/>
      <c r="BA669" s="1219"/>
      <c r="BB669" s="1219"/>
      <c r="BC669" s="1219"/>
      <c r="BD669" s="1219"/>
      <c r="BE669" s="1219"/>
      <c r="BF669" s="1219"/>
      <c r="BG669" s="1219"/>
      <c r="BH669" s="1219"/>
      <c r="BI669" s="1219"/>
      <c r="BJ669" s="1219"/>
      <c r="BK669" s="1219"/>
      <c r="BL669" s="1219"/>
      <c r="BM669" s="1219"/>
      <c r="BN669" s="1219"/>
      <c r="BO669" s="1219"/>
      <c r="BP669" s="1219"/>
      <c r="BQ669" s="1219"/>
      <c r="BR669" s="1219"/>
      <c r="BS669" s="1219"/>
      <c r="BU669" s="1225"/>
      <c r="BW669" s="1219"/>
      <c r="BY669" s="1225"/>
      <c r="CA669" s="1219"/>
      <c r="CC669" s="1225"/>
      <c r="CE669" s="1219"/>
      <c r="CG669" s="1221"/>
      <c r="CI669" s="1219"/>
    </row>
    <row r="670" spans="1:87">
      <c r="A670" s="20"/>
      <c r="B670" s="124" t="str">
        <f t="shared" si="312"/>
        <v/>
      </c>
      <c r="C670" s="235"/>
      <c r="D670" s="24">
        <f>'1% Wind'!$M$83</f>
        <v>23.5</v>
      </c>
      <c r="E670" s="90"/>
      <c r="F670" s="90"/>
      <c r="G670" s="79">
        <f ca="1">IF(I668=0.9743,$G669,MAX(G669/D669*D670,2))</f>
        <v>2</v>
      </c>
      <c r="H670" s="121" t="e">
        <f t="shared" ca="1" si="313"/>
        <v>#VALUE!</v>
      </c>
      <c r="J670" s="33"/>
      <c r="K670" s="242">
        <f t="shared" ref="K670:K683" si="314">K669</f>
        <v>1</v>
      </c>
      <c r="L670" s="241" t="e">
        <f t="shared" ref="L670:L683" ca="1" si="315">K670*$H670</f>
        <v>#VALUE!</v>
      </c>
      <c r="M670" s="243" t="e">
        <f ca="1">IF(AND(INDEX(FlowCalConstA,MATCH(J668,FlowCalNumber,0),1,1)*L670^INDEX(FlowCalConstB,MATCH(J668,FlowCalNumber,0),1,1)&gt;INDEX(FlowCalLowSetting,MATCH(J668,FlowCalNumber,0),1,1), (INDEX(FlowCalConstA,MATCH(J668,FlowCalNumber,0),1,1)*L670^INDEX(FlowCalConstB,MATCH(J668,FlowCalNumber,0),1,1)&lt;INDEX(FlowCalHighSetting,MATCH(J668,FlowCalNumber,0),1,1))),INDEX(FlowCalConstA,MATCH(J668,FlowCalNumber,0),1,1)*L670^INDEX(FlowCalConstB,MATCH(J668,FlowCalNumber,0),1,1)," ")</f>
        <v>#N/A</v>
      </c>
      <c r="N670" s="33"/>
      <c r="O670" s="242">
        <f t="shared" ref="O670:O683" si="316">O669</f>
        <v>1</v>
      </c>
      <c r="P670" s="241" t="e">
        <f t="shared" ref="P670:P683" ca="1" si="317">O670*$H670</f>
        <v>#VALUE!</v>
      </c>
      <c r="Q670" s="243" t="e">
        <f ca="1">IF(AND(INDEX(FlowCalConstA,MATCH(N668,FlowCalNumber,0),1,1)*P670^INDEX(FlowCalConstB,MATCH(N668,FlowCalNumber,0),1,1)&gt;INDEX(FlowCalLowSetting,MATCH(N668,FlowCalNumber,0),1,1), (INDEX(FlowCalConstA,MATCH(N668,FlowCalNumber,0),1,1)*P670^INDEX(FlowCalConstB,MATCH(N668,FlowCalNumber,0),1,1)&lt;INDEX(FlowCalHighSetting,MATCH(N668,FlowCalNumber,0),1,1))),INDEX(FlowCalConstA,MATCH(N668,FlowCalNumber,0),1,1)*P670^INDEX(FlowCalConstB,MATCH(N668,FlowCalNumber,0),1,1)," ")</f>
        <v>#N/A</v>
      </c>
      <c r="R670" s="33"/>
      <c r="S670" s="242">
        <f t="shared" ref="S670:S683" si="318">S669</f>
        <v>1</v>
      </c>
      <c r="T670" s="241" t="e">
        <f t="shared" ref="T670:T683" ca="1" si="319">S670*$H670</f>
        <v>#VALUE!</v>
      </c>
      <c r="U670" s="243" t="e">
        <f ca="1">IF(AND(INDEX(FlowCalConstA,MATCH(R668,FlowCalNumber,0),1,1)*T670^INDEX(FlowCalConstB,MATCH(R668,FlowCalNumber,0),1,1)&gt;INDEX(FlowCalLowSetting,MATCH(R668,FlowCalNumber,0),1,1), (INDEX(FlowCalConstA,MATCH(R668,FlowCalNumber,0),1,1)*T670^INDEX(FlowCalConstB,MATCH(R668,FlowCalNumber,0),1,1)&lt;INDEX(FlowCalHighSetting,MATCH(R668,FlowCalNumber,0),1,1))),INDEX(FlowCalConstA,MATCH(R668,FlowCalNumber,0),1,1)*T670^INDEX(FlowCalConstB,MATCH(R668,FlowCalNumber,0),1,1)," ")</f>
        <v>#N/A</v>
      </c>
      <c r="V670" s="33"/>
      <c r="W670" s="242"/>
      <c r="X670" s="241"/>
      <c r="Y670" s="243"/>
      <c r="Z670" s="33"/>
      <c r="AA670" s="242"/>
      <c r="AB670" s="241"/>
      <c r="AC670" s="243"/>
      <c r="AD670" s="33"/>
      <c r="AE670" s="242"/>
      <c r="AF670" s="241"/>
      <c r="AG670" s="243"/>
      <c r="AH670" s="33"/>
      <c r="AI670" s="242"/>
      <c r="AJ670" s="241"/>
      <c r="AK670" s="244"/>
      <c r="AL670" s="243"/>
      <c r="AM670" s="243"/>
      <c r="AN670" s="243"/>
      <c r="AO670" s="243"/>
      <c r="AP670" s="243"/>
      <c r="AQ670" s="243"/>
      <c r="AR670" s="243"/>
      <c r="AS670" s="243"/>
      <c r="AT670" s="243"/>
      <c r="AU670" s="243"/>
      <c r="AV670" s="243"/>
      <c r="AW670" s="243"/>
      <c r="AX670" s="243"/>
      <c r="AY670" s="243"/>
      <c r="AZ670" s="243"/>
      <c r="BA670" s="243"/>
      <c r="BB670" s="243"/>
      <c r="BC670" s="243"/>
      <c r="BD670" s="243"/>
      <c r="BE670" s="243"/>
      <c r="BF670" s="243"/>
      <c r="BG670" s="243"/>
      <c r="BH670" s="243"/>
      <c r="BI670" s="243"/>
      <c r="BJ670" s="243"/>
      <c r="BK670" s="243"/>
      <c r="BL670" s="243"/>
      <c r="BM670" s="243"/>
      <c r="BN670" s="243"/>
      <c r="BO670" s="243"/>
      <c r="BP670" s="243"/>
      <c r="BQ670" s="243"/>
      <c r="BR670" s="243"/>
      <c r="BS670" s="243"/>
      <c r="BU670" s="242"/>
      <c r="BW670" s="243"/>
      <c r="BY670" s="242"/>
      <c r="CA670" s="243"/>
      <c r="CC670" s="242"/>
      <c r="CE670" s="243"/>
      <c r="CG670" s="242"/>
      <c r="CI670" s="243"/>
    </row>
    <row r="671" spans="1:87" s="1215" customFormat="1">
      <c r="A671" s="1222"/>
      <c r="B671" s="1223" t="str">
        <f t="shared" si="312"/>
        <v/>
      </c>
      <c r="C671" s="1210"/>
      <c r="D671" s="1211">
        <f>'1% Wind'!$M$84</f>
        <v>20.5</v>
      </c>
      <c r="E671" s="1212"/>
      <c r="F671" s="1212"/>
      <c r="G671" s="1213">
        <f ca="1">IF(I668=0.9743,$G670,MAX(G670/D670*D671,2))</f>
        <v>2</v>
      </c>
      <c r="H671" s="1214" t="e">
        <f t="shared" ca="1" si="313"/>
        <v>#VALUE!</v>
      </c>
      <c r="J671" s="1224"/>
      <c r="K671" s="1217">
        <f t="shared" si="314"/>
        <v>1</v>
      </c>
      <c r="L671" s="1218" t="e">
        <f t="shared" ca="1" si="315"/>
        <v>#VALUE!</v>
      </c>
      <c r="M671" s="1219" t="e">
        <f ca="1">IF(AND(INDEX(FlowCalConstA,MATCH(J668,FlowCalNumber,0),1,1)*L671^INDEX(FlowCalConstB,MATCH(J668,FlowCalNumber,0),1,1)&gt;INDEX(FlowCalLowSetting,MATCH(J668,FlowCalNumber,0),1,1), (INDEX(FlowCalConstA,MATCH(J668,FlowCalNumber,0),1,1)*L671^INDEX(FlowCalConstB,MATCH(J668,FlowCalNumber,0),1,1)&lt;INDEX(FlowCalHighSetting,MATCH(J668,FlowCalNumber,0),1,1))),INDEX(FlowCalConstA,MATCH(J668,FlowCalNumber,0),1,1)*L671^INDEX(FlowCalConstB,MATCH(J668,FlowCalNumber,0),1,1)," ")</f>
        <v>#N/A</v>
      </c>
      <c r="N671" s="1224"/>
      <c r="O671" s="1217">
        <f t="shared" si="316"/>
        <v>1</v>
      </c>
      <c r="P671" s="1218" t="e">
        <f t="shared" ca="1" si="317"/>
        <v>#VALUE!</v>
      </c>
      <c r="Q671" s="1219" t="e">
        <f ca="1">IF(AND(INDEX(FlowCalConstA,MATCH(N668,FlowCalNumber,0),1,1)*P671^INDEX(FlowCalConstB,MATCH(N668,FlowCalNumber,0),1,1)&gt;INDEX(FlowCalLowSetting,MATCH(N668,FlowCalNumber,0),1,1), (INDEX(FlowCalConstA,MATCH(N668,FlowCalNumber,0),1,1)*P671^INDEX(FlowCalConstB,MATCH(N668,FlowCalNumber,0),1,1)&lt;INDEX(FlowCalHighSetting,MATCH(N668,FlowCalNumber,0),1,1))),INDEX(FlowCalConstA,MATCH(N668,FlowCalNumber,0),1,1)*P671^INDEX(FlowCalConstB,MATCH(N668,FlowCalNumber,0),1,1)," ")</f>
        <v>#N/A</v>
      </c>
      <c r="R671" s="1224"/>
      <c r="S671" s="1217">
        <f t="shared" si="318"/>
        <v>1</v>
      </c>
      <c r="T671" s="1218" t="e">
        <f t="shared" ca="1" si="319"/>
        <v>#VALUE!</v>
      </c>
      <c r="U671" s="1219" t="e">
        <f ca="1">IF(AND(INDEX(FlowCalConstA,MATCH(R668,FlowCalNumber,0),1,1)*T671^INDEX(FlowCalConstB,MATCH(R668,FlowCalNumber,0),1,1)&gt;INDEX(FlowCalLowSetting,MATCH(R668,FlowCalNumber,0),1,1), (INDEX(FlowCalConstA,MATCH(R668,FlowCalNumber,0),1,1)*T671^INDEX(FlowCalConstB,MATCH(R668,FlowCalNumber,0),1,1)&lt;INDEX(FlowCalHighSetting,MATCH(R668,FlowCalNumber,0),1,1))),INDEX(FlowCalConstA,MATCH(R668,FlowCalNumber,0),1,1)*T671^INDEX(FlowCalConstB,MATCH(R668,FlowCalNumber,0),1,1)," ")</f>
        <v>#N/A</v>
      </c>
      <c r="V671" s="1224"/>
      <c r="W671" s="1217"/>
      <c r="X671" s="1218"/>
      <c r="Y671" s="1219"/>
      <c r="Z671" s="1224"/>
      <c r="AA671" s="1217"/>
      <c r="AB671" s="1218"/>
      <c r="AC671" s="1219"/>
      <c r="AD671" s="1224"/>
      <c r="AE671" s="1217"/>
      <c r="AF671" s="1218"/>
      <c r="AG671" s="1219"/>
      <c r="AH671" s="1224"/>
      <c r="AI671" s="1217"/>
      <c r="AJ671" s="1218"/>
      <c r="AK671" s="1220"/>
      <c r="AL671" s="1219"/>
      <c r="AM671" s="1219"/>
      <c r="AN671" s="1219"/>
      <c r="AO671" s="1219"/>
      <c r="AP671" s="1219"/>
      <c r="AQ671" s="1219"/>
      <c r="AR671" s="1219"/>
      <c r="AS671" s="1219"/>
      <c r="AT671" s="1219"/>
      <c r="AU671" s="1219"/>
      <c r="AV671" s="1219"/>
      <c r="AW671" s="1219"/>
      <c r="AX671" s="1219"/>
      <c r="AY671" s="1219"/>
      <c r="AZ671" s="1219"/>
      <c r="BA671" s="1219"/>
      <c r="BB671" s="1219"/>
      <c r="BC671" s="1219"/>
      <c r="BD671" s="1219"/>
      <c r="BE671" s="1219"/>
      <c r="BF671" s="1219"/>
      <c r="BG671" s="1219"/>
      <c r="BH671" s="1219"/>
      <c r="BI671" s="1219"/>
      <c r="BJ671" s="1219"/>
      <c r="BK671" s="1219"/>
      <c r="BL671" s="1219"/>
      <c r="BM671" s="1219"/>
      <c r="BN671" s="1219"/>
      <c r="BO671" s="1219"/>
      <c r="BP671" s="1219"/>
      <c r="BQ671" s="1219"/>
      <c r="BR671" s="1219"/>
      <c r="BS671" s="1219"/>
      <c r="BU671" s="1217"/>
      <c r="BW671" s="1219"/>
      <c r="BY671" s="1217"/>
      <c r="CA671" s="1219"/>
      <c r="CC671" s="1217"/>
      <c r="CE671" s="1219"/>
      <c r="CG671" s="1217"/>
      <c r="CI671" s="1219"/>
    </row>
    <row r="672" spans="1:87">
      <c r="A672" s="20"/>
      <c r="B672" s="124" t="str">
        <f t="shared" si="312"/>
        <v/>
      </c>
      <c r="C672" s="235"/>
      <c r="D672" s="24">
        <f>'1% Wind'!$M$85</f>
        <v>17.8</v>
      </c>
      <c r="E672" s="90"/>
      <c r="F672" s="90"/>
      <c r="G672" s="79">
        <f ca="1">IF(I668=0.9743,$G671,MAX(G671/D671*D672,2))</f>
        <v>2</v>
      </c>
      <c r="H672" s="121" t="e">
        <f t="shared" ca="1" si="313"/>
        <v>#VALUE!</v>
      </c>
      <c r="J672" s="33"/>
      <c r="K672" s="242">
        <f t="shared" si="314"/>
        <v>1</v>
      </c>
      <c r="L672" s="241" t="e">
        <f t="shared" ca="1" si="315"/>
        <v>#VALUE!</v>
      </c>
      <c r="M672" s="243" t="e">
        <f ca="1">IF(AND(INDEX(FlowCalConstA,MATCH(J668,FlowCalNumber,0),1,1)*L672^INDEX(FlowCalConstB,MATCH(J668,FlowCalNumber,0),1,1)&gt;INDEX(FlowCalLowSetting,MATCH(J668,FlowCalNumber,0),1,1), (INDEX(FlowCalConstA,MATCH(J668,FlowCalNumber,0),1,1)*L672^INDEX(FlowCalConstB,MATCH(J668,FlowCalNumber,0),1,1)&lt;INDEX(FlowCalHighSetting,MATCH(J668,FlowCalNumber,0),1,1))),INDEX(FlowCalConstA,MATCH(J668,FlowCalNumber,0),1,1)*L672^INDEX(FlowCalConstB,MATCH(J668,FlowCalNumber,0),1,1)," ")</f>
        <v>#N/A</v>
      </c>
      <c r="N672" s="33"/>
      <c r="O672" s="242">
        <f t="shared" si="316"/>
        <v>1</v>
      </c>
      <c r="P672" s="241" t="e">
        <f t="shared" ca="1" si="317"/>
        <v>#VALUE!</v>
      </c>
      <c r="Q672" s="243" t="e">
        <f ca="1">IF(AND(INDEX(FlowCalConstA,MATCH(N668,FlowCalNumber,0),1,1)*P672^INDEX(FlowCalConstB,MATCH(N668,FlowCalNumber,0),1,1)&gt;INDEX(FlowCalLowSetting,MATCH(N668,FlowCalNumber,0),1,1), (INDEX(FlowCalConstA,MATCH(N668,FlowCalNumber,0),1,1)*P672^INDEX(FlowCalConstB,MATCH(N668,FlowCalNumber,0),1,1)&lt;INDEX(FlowCalHighSetting,MATCH(N668,FlowCalNumber,0),1,1))),INDEX(FlowCalConstA,MATCH(N668,FlowCalNumber,0),1,1)*P672^INDEX(FlowCalConstB,MATCH(N668,FlowCalNumber,0),1,1)," ")</f>
        <v>#N/A</v>
      </c>
      <c r="R672" s="33"/>
      <c r="S672" s="242">
        <f t="shared" si="318"/>
        <v>1</v>
      </c>
      <c r="T672" s="241" t="e">
        <f t="shared" ca="1" si="319"/>
        <v>#VALUE!</v>
      </c>
      <c r="U672" s="243" t="e">
        <f ca="1">IF(AND(INDEX(FlowCalConstA,MATCH(R668,FlowCalNumber,0),1,1)*T672^INDEX(FlowCalConstB,MATCH(R668,FlowCalNumber,0),1,1)&gt;INDEX(FlowCalLowSetting,MATCH(R668,FlowCalNumber,0),1,1), (INDEX(FlowCalConstA,MATCH(R668,FlowCalNumber,0),1,1)*T672^INDEX(FlowCalConstB,MATCH(R668,FlowCalNumber,0),1,1)&lt;INDEX(FlowCalHighSetting,MATCH(R668,FlowCalNumber,0),1,1))),INDEX(FlowCalConstA,MATCH(R668,FlowCalNumber,0),1,1)*T672^INDEX(FlowCalConstB,MATCH(R668,FlowCalNumber,0),1,1)," ")</f>
        <v>#N/A</v>
      </c>
      <c r="V672" s="33"/>
      <c r="W672" s="242"/>
      <c r="X672" s="241"/>
      <c r="Y672" s="243"/>
      <c r="Z672" s="33"/>
      <c r="AA672" s="242"/>
      <c r="AB672" s="241"/>
      <c r="AC672" s="243"/>
      <c r="AD672" s="33"/>
      <c r="AE672" s="242"/>
      <c r="AF672" s="241"/>
      <c r="AG672" s="243"/>
      <c r="AH672" s="33"/>
      <c r="AI672" s="242"/>
      <c r="AJ672" s="241"/>
      <c r="AK672" s="244"/>
      <c r="AL672" s="243"/>
      <c r="AM672" s="243"/>
      <c r="AN672" s="243"/>
      <c r="AO672" s="243"/>
      <c r="AP672" s="243"/>
      <c r="AQ672" s="243"/>
      <c r="AR672" s="243"/>
      <c r="AS672" s="243"/>
      <c r="AT672" s="243"/>
      <c r="AU672" s="243"/>
      <c r="AV672" s="243"/>
      <c r="AW672" s="243"/>
      <c r="AX672" s="243"/>
      <c r="AY672" s="243"/>
      <c r="AZ672" s="243"/>
      <c r="BA672" s="243"/>
      <c r="BB672" s="243"/>
      <c r="BC672" s="243"/>
      <c r="BD672" s="243"/>
      <c r="BE672" s="243"/>
      <c r="BF672" s="243"/>
      <c r="BG672" s="243"/>
      <c r="BH672" s="243"/>
      <c r="BI672" s="243"/>
      <c r="BJ672" s="243"/>
      <c r="BK672" s="243"/>
      <c r="BL672" s="243"/>
      <c r="BM672" s="243"/>
      <c r="BN672" s="243"/>
      <c r="BO672" s="243"/>
      <c r="BP672" s="243"/>
      <c r="BQ672" s="243"/>
      <c r="BR672" s="243"/>
      <c r="BS672" s="243"/>
      <c r="BU672" s="242"/>
      <c r="BW672" s="243"/>
      <c r="BY672" s="242"/>
      <c r="CA672" s="243"/>
      <c r="CC672" s="242"/>
      <c r="CE672" s="243"/>
      <c r="CG672" s="242"/>
      <c r="CI672" s="243"/>
    </row>
    <row r="673" spans="1:87" s="1215" customFormat="1">
      <c r="A673" s="1222"/>
      <c r="B673" s="1223" t="str">
        <f t="shared" si="312"/>
        <v/>
      </c>
      <c r="C673" s="1210"/>
      <c r="D673" s="1211">
        <f>'1% Wind'!$M$86</f>
        <v>15.5</v>
      </c>
      <c r="E673" s="1212"/>
      <c r="F673" s="1212"/>
      <c r="G673" s="1213">
        <f ca="1">IF(I668=0.9743,$G672,MAX(G672/D672*D673,2))</f>
        <v>2</v>
      </c>
      <c r="H673" s="1214" t="e">
        <f t="shared" ca="1" si="313"/>
        <v>#VALUE!</v>
      </c>
      <c r="J673" s="1224"/>
      <c r="K673" s="1217">
        <f t="shared" si="314"/>
        <v>1</v>
      </c>
      <c r="L673" s="1218" t="e">
        <f t="shared" ca="1" si="315"/>
        <v>#VALUE!</v>
      </c>
      <c r="M673" s="1219" t="e">
        <f ca="1">IF(AND(INDEX(FlowCalConstA,MATCH(J668,FlowCalNumber,0),1,1)*L673^INDEX(FlowCalConstB,MATCH(J668,FlowCalNumber,0),1,1)&gt;INDEX(FlowCalLowSetting,MATCH(J668,FlowCalNumber,0),1,1), (INDEX(FlowCalConstA,MATCH(J668,FlowCalNumber,0),1,1)*L673^INDEX(FlowCalConstB,MATCH(J668,FlowCalNumber,0),1,1)&lt;INDEX(FlowCalHighSetting,MATCH(J668,FlowCalNumber,0),1,1))),INDEX(FlowCalConstA,MATCH(J668,FlowCalNumber,0),1,1)*L673^INDEX(FlowCalConstB,MATCH(J668,FlowCalNumber,0),1,1)," ")</f>
        <v>#N/A</v>
      </c>
      <c r="N673" s="1224"/>
      <c r="O673" s="1217">
        <f t="shared" si="316"/>
        <v>1</v>
      </c>
      <c r="P673" s="1218" t="e">
        <f t="shared" ca="1" si="317"/>
        <v>#VALUE!</v>
      </c>
      <c r="Q673" s="1219" t="e">
        <f ca="1">IF(AND(INDEX(FlowCalConstA,MATCH(N668,FlowCalNumber,0),1,1)*P673^INDEX(FlowCalConstB,MATCH(N668,FlowCalNumber,0),1,1)&gt;INDEX(FlowCalLowSetting,MATCH(N668,FlowCalNumber,0),1,1), (INDEX(FlowCalConstA,MATCH(N668,FlowCalNumber,0),1,1)*P673^INDEX(FlowCalConstB,MATCH(N668,FlowCalNumber,0),1,1)&lt;INDEX(FlowCalHighSetting,MATCH(N668,FlowCalNumber,0),1,1))),INDEX(FlowCalConstA,MATCH(N668,FlowCalNumber,0),1,1)*P673^INDEX(FlowCalConstB,MATCH(N668,FlowCalNumber,0),1,1)," ")</f>
        <v>#N/A</v>
      </c>
      <c r="R673" s="1224"/>
      <c r="S673" s="1217">
        <f t="shared" si="318"/>
        <v>1</v>
      </c>
      <c r="T673" s="1218" t="e">
        <f t="shared" ca="1" si="319"/>
        <v>#VALUE!</v>
      </c>
      <c r="U673" s="1219" t="e">
        <f ca="1">IF(AND(INDEX(FlowCalConstA,MATCH(R668,FlowCalNumber,0),1,1)*T673^INDEX(FlowCalConstB,MATCH(R668,FlowCalNumber,0),1,1)&gt;INDEX(FlowCalLowSetting,MATCH(R668,FlowCalNumber,0),1,1), (INDEX(FlowCalConstA,MATCH(R668,FlowCalNumber,0),1,1)*T673^INDEX(FlowCalConstB,MATCH(R668,FlowCalNumber,0),1,1)&lt;INDEX(FlowCalHighSetting,MATCH(R668,FlowCalNumber,0),1,1))),INDEX(FlowCalConstA,MATCH(R668,FlowCalNumber,0),1,1)*T673^INDEX(FlowCalConstB,MATCH(R668,FlowCalNumber,0),1,1)," ")</f>
        <v>#N/A</v>
      </c>
      <c r="V673" s="1224"/>
      <c r="W673" s="1217"/>
      <c r="X673" s="1218"/>
      <c r="Y673" s="1219"/>
      <c r="Z673" s="1224"/>
      <c r="AA673" s="1217"/>
      <c r="AB673" s="1218"/>
      <c r="AC673" s="1219"/>
      <c r="AD673" s="1224"/>
      <c r="AE673" s="1217"/>
      <c r="AF673" s="1218"/>
      <c r="AG673" s="1219"/>
      <c r="AH673" s="1224"/>
      <c r="AI673" s="1217"/>
      <c r="AJ673" s="1218"/>
      <c r="AK673" s="1220"/>
      <c r="AL673" s="1219"/>
      <c r="AM673" s="1219"/>
      <c r="AN673" s="1219"/>
      <c r="AO673" s="1219"/>
      <c r="AP673" s="1219"/>
      <c r="AQ673" s="1219"/>
      <c r="AR673" s="1219"/>
      <c r="AS673" s="1219"/>
      <c r="AT673" s="1219"/>
      <c r="AU673" s="1219"/>
      <c r="AV673" s="1219"/>
      <c r="AW673" s="1219"/>
      <c r="AX673" s="1219"/>
      <c r="AY673" s="1219"/>
      <c r="AZ673" s="1219"/>
      <c r="BA673" s="1219"/>
      <c r="BB673" s="1219"/>
      <c r="BC673" s="1219"/>
      <c r="BD673" s="1219"/>
      <c r="BE673" s="1219"/>
      <c r="BF673" s="1219"/>
      <c r="BG673" s="1219"/>
      <c r="BH673" s="1219"/>
      <c r="BI673" s="1219"/>
      <c r="BJ673" s="1219"/>
      <c r="BK673" s="1219"/>
      <c r="BL673" s="1219"/>
      <c r="BM673" s="1219"/>
      <c r="BN673" s="1219"/>
      <c r="BO673" s="1219"/>
      <c r="BP673" s="1219"/>
      <c r="BQ673" s="1219"/>
      <c r="BR673" s="1219"/>
      <c r="BS673" s="1219"/>
      <c r="BU673" s="1217"/>
      <c r="BW673" s="1219"/>
      <c r="BY673" s="1217"/>
      <c r="CA673" s="1219"/>
      <c r="CC673" s="1217"/>
      <c r="CE673" s="1219"/>
      <c r="CG673" s="1217"/>
      <c r="CI673" s="1219"/>
    </row>
    <row r="674" spans="1:87">
      <c r="A674" s="20"/>
      <c r="B674" s="124" t="str">
        <f t="shared" si="312"/>
        <v/>
      </c>
      <c r="C674" s="235"/>
      <c r="D674" s="24">
        <f>'1% Wind'!$M$87</f>
        <v>13.5</v>
      </c>
      <c r="E674" s="90"/>
      <c r="F674" s="90"/>
      <c r="G674" s="79">
        <f ca="1">IF(I668=0.9743,$G673,MAX(G673/D673*D674,2))</f>
        <v>2</v>
      </c>
      <c r="H674" s="121" t="e">
        <f t="shared" ca="1" si="313"/>
        <v>#VALUE!</v>
      </c>
      <c r="J674" s="33"/>
      <c r="K674" s="242">
        <f t="shared" si="314"/>
        <v>1</v>
      </c>
      <c r="L674" s="241" t="e">
        <f t="shared" ca="1" si="315"/>
        <v>#VALUE!</v>
      </c>
      <c r="M674" s="243" t="e">
        <f ca="1">IF(AND(INDEX(FlowCalConstA,MATCH(J668,FlowCalNumber,0),1,1)*L674^INDEX(FlowCalConstB,MATCH(J668,FlowCalNumber,0),1,1)&gt;INDEX(FlowCalLowSetting,MATCH(J668,FlowCalNumber,0),1,1), (INDEX(FlowCalConstA,MATCH(J668,FlowCalNumber,0),1,1)*L674^INDEX(FlowCalConstB,MATCH(J668,FlowCalNumber,0),1,1)&lt;INDEX(FlowCalHighSetting,MATCH(J668,FlowCalNumber,0),1,1))),INDEX(FlowCalConstA,MATCH(J668,FlowCalNumber,0),1,1)*L674^INDEX(FlowCalConstB,MATCH(J668,FlowCalNumber,0),1,1)," ")</f>
        <v>#N/A</v>
      </c>
      <c r="N674" s="33"/>
      <c r="O674" s="242">
        <f t="shared" si="316"/>
        <v>1</v>
      </c>
      <c r="P674" s="241" t="e">
        <f t="shared" ca="1" si="317"/>
        <v>#VALUE!</v>
      </c>
      <c r="Q674" s="243" t="e">
        <f ca="1">IF(AND(INDEX(FlowCalConstA,MATCH(N668,FlowCalNumber,0),1,1)*P674^INDEX(FlowCalConstB,MATCH(N668,FlowCalNumber,0),1,1)&gt;INDEX(FlowCalLowSetting,MATCH(N668,FlowCalNumber,0),1,1), (INDEX(FlowCalConstA,MATCH(N668,FlowCalNumber,0),1,1)*P674^INDEX(FlowCalConstB,MATCH(N668,FlowCalNumber,0),1,1)&lt;INDEX(FlowCalHighSetting,MATCH(N668,FlowCalNumber,0),1,1))),INDEX(FlowCalConstA,MATCH(N668,FlowCalNumber,0),1,1)*P674^INDEX(FlowCalConstB,MATCH(N668,FlowCalNumber,0),1,1)," ")</f>
        <v>#N/A</v>
      </c>
      <c r="R674" s="33"/>
      <c r="S674" s="242">
        <f t="shared" si="318"/>
        <v>1</v>
      </c>
      <c r="T674" s="241" t="e">
        <f t="shared" ca="1" si="319"/>
        <v>#VALUE!</v>
      </c>
      <c r="U674" s="243" t="e">
        <f ca="1">IF(AND(INDEX(FlowCalConstA,MATCH(R668,FlowCalNumber,0),1,1)*T674^INDEX(FlowCalConstB,MATCH(R668,FlowCalNumber,0),1,1)&gt;INDEX(FlowCalLowSetting,MATCH(R668,FlowCalNumber,0),1,1), (INDEX(FlowCalConstA,MATCH(R668,FlowCalNumber,0),1,1)*T674^INDEX(FlowCalConstB,MATCH(R668,FlowCalNumber,0),1,1)&lt;INDEX(FlowCalHighSetting,MATCH(R668,FlowCalNumber,0),1,1))),INDEX(FlowCalConstA,MATCH(R668,FlowCalNumber,0),1,1)*T674^INDEX(FlowCalConstB,MATCH(R668,FlowCalNumber,0),1,1)," ")</f>
        <v>#N/A</v>
      </c>
      <c r="V674" s="33"/>
      <c r="W674" s="242"/>
      <c r="X674" s="241"/>
      <c r="Y674" s="243"/>
      <c r="Z674" s="33"/>
      <c r="AA674" s="242"/>
      <c r="AB674" s="241"/>
      <c r="AC674" s="243"/>
      <c r="AD674" s="33"/>
      <c r="AE674" s="242"/>
      <c r="AF674" s="241"/>
      <c r="AG674" s="243"/>
      <c r="AH674" s="33"/>
      <c r="AI674" s="242"/>
      <c r="AJ674" s="241"/>
      <c r="AK674" s="244"/>
      <c r="AL674" s="243"/>
      <c r="AM674" s="243"/>
      <c r="AN674" s="243"/>
      <c r="AO674" s="243"/>
      <c r="AP674" s="243"/>
      <c r="AQ674" s="243"/>
      <c r="AR674" s="243"/>
      <c r="AS674" s="243"/>
      <c r="AT674" s="243"/>
      <c r="AU674" s="243"/>
      <c r="AV674" s="243"/>
      <c r="AW674" s="243"/>
      <c r="AX674" s="243"/>
      <c r="AY674" s="243"/>
      <c r="AZ674" s="243"/>
      <c r="BA674" s="243"/>
      <c r="BB674" s="243"/>
      <c r="BC674" s="243"/>
      <c r="BD674" s="243"/>
      <c r="BE674" s="243"/>
      <c r="BF674" s="243"/>
      <c r="BG674" s="243"/>
      <c r="BH674" s="243"/>
      <c r="BI674" s="243"/>
      <c r="BJ674" s="243"/>
      <c r="BK674" s="243"/>
      <c r="BL674" s="243"/>
      <c r="BM674" s="243"/>
      <c r="BN674" s="243"/>
      <c r="BO674" s="243"/>
      <c r="BP674" s="243"/>
      <c r="BQ674" s="243"/>
      <c r="BR674" s="243"/>
      <c r="BS674" s="243"/>
      <c r="BU674" s="242"/>
      <c r="BW674" s="243"/>
      <c r="BY674" s="242"/>
      <c r="CA674" s="243"/>
      <c r="CC674" s="242"/>
      <c r="CE674" s="243"/>
      <c r="CG674" s="242"/>
      <c r="CI674" s="243"/>
    </row>
    <row r="675" spans="1:87" s="1215" customFormat="1">
      <c r="A675" s="1222"/>
      <c r="B675" s="1223" t="str">
        <f t="shared" si="312"/>
        <v/>
      </c>
      <c r="C675" s="1210"/>
      <c r="D675" s="1211">
        <f>'1% Wind'!$M$88</f>
        <v>10.1</v>
      </c>
      <c r="E675" s="1212"/>
      <c r="F675" s="1212"/>
      <c r="G675" s="1213">
        <f ca="1">IF(I668=0.9743,$G674,MAX(G674/D674*D675,2))</f>
        <v>2</v>
      </c>
      <c r="H675" s="1214" t="e">
        <f t="shared" ca="1" si="313"/>
        <v>#VALUE!</v>
      </c>
      <c r="J675" s="1224"/>
      <c r="K675" s="1217">
        <f t="shared" si="314"/>
        <v>1</v>
      </c>
      <c r="L675" s="1218" t="e">
        <f t="shared" ca="1" si="315"/>
        <v>#VALUE!</v>
      </c>
      <c r="M675" s="1219" t="e">
        <f ca="1">IF(AND(INDEX(FlowCalConstA,MATCH(J668,FlowCalNumber,0),1,1)*L675^INDEX(FlowCalConstB,MATCH(J668,FlowCalNumber,0),1,1)&gt;INDEX(FlowCalLowSetting,MATCH(J668,FlowCalNumber,0),1,1), (INDEX(FlowCalConstA,MATCH(J668,FlowCalNumber,0),1,1)*L675^INDEX(FlowCalConstB,MATCH(J668,FlowCalNumber,0),1,1)&lt;INDEX(FlowCalHighSetting,MATCH(J668,FlowCalNumber,0),1,1))),INDEX(FlowCalConstA,MATCH(J668,FlowCalNumber,0),1,1)*L675^INDEX(FlowCalConstB,MATCH(J668,FlowCalNumber,0),1,1)," ")</f>
        <v>#N/A</v>
      </c>
      <c r="N675" s="1224"/>
      <c r="O675" s="1217">
        <f t="shared" si="316"/>
        <v>1</v>
      </c>
      <c r="P675" s="1218" t="e">
        <f t="shared" ca="1" si="317"/>
        <v>#VALUE!</v>
      </c>
      <c r="Q675" s="1219" t="e">
        <f ca="1">IF(AND(INDEX(FlowCalConstA,MATCH(N668,FlowCalNumber,0),1,1)*P675^INDEX(FlowCalConstB,MATCH(N668,FlowCalNumber,0),1,1)&gt;INDEX(FlowCalLowSetting,MATCH(N668,FlowCalNumber,0),1,1), (INDEX(FlowCalConstA,MATCH(N668,FlowCalNumber,0),1,1)*P675^INDEX(FlowCalConstB,MATCH(N668,FlowCalNumber,0),1,1)&lt;INDEX(FlowCalHighSetting,MATCH(N668,FlowCalNumber,0),1,1))),INDEX(FlowCalConstA,MATCH(N668,FlowCalNumber,0),1,1)*P675^INDEX(FlowCalConstB,MATCH(N668,FlowCalNumber,0),1,1)," ")</f>
        <v>#N/A</v>
      </c>
      <c r="R675" s="1224"/>
      <c r="S675" s="1217">
        <f t="shared" si="318"/>
        <v>1</v>
      </c>
      <c r="T675" s="1218" t="e">
        <f t="shared" ca="1" si="319"/>
        <v>#VALUE!</v>
      </c>
      <c r="U675" s="1219" t="e">
        <f ca="1">IF(AND(INDEX(FlowCalConstA,MATCH(R668,FlowCalNumber,0),1,1)*T675^INDEX(FlowCalConstB,MATCH(R668,FlowCalNumber,0),1,1)&gt;INDEX(FlowCalLowSetting,MATCH(R668,FlowCalNumber,0),1,1), (INDEX(FlowCalConstA,MATCH(R668,FlowCalNumber,0),1,1)*T675^INDEX(FlowCalConstB,MATCH(R668,FlowCalNumber,0),1,1)&lt;INDEX(FlowCalHighSetting,MATCH(R668,FlowCalNumber,0),1,1))),INDEX(FlowCalConstA,MATCH(R668,FlowCalNumber,0),1,1)*T675^INDEX(FlowCalConstB,MATCH(R668,FlowCalNumber,0),1,1)," ")</f>
        <v>#N/A</v>
      </c>
      <c r="V675" s="1224"/>
      <c r="W675" s="1217"/>
      <c r="X675" s="1218"/>
      <c r="Y675" s="1219"/>
      <c r="Z675" s="1224"/>
      <c r="AA675" s="1217"/>
      <c r="AB675" s="1218"/>
      <c r="AC675" s="1219"/>
      <c r="AD675" s="1224"/>
      <c r="AE675" s="1217"/>
      <c r="AF675" s="1218"/>
      <c r="AG675" s="1219"/>
      <c r="AH675" s="1224"/>
      <c r="AI675" s="1217"/>
      <c r="AJ675" s="1218"/>
      <c r="AK675" s="1220"/>
      <c r="AL675" s="1219"/>
      <c r="AM675" s="1219"/>
      <c r="AN675" s="1219"/>
      <c r="AO675" s="1219"/>
      <c r="AP675" s="1219"/>
      <c r="AQ675" s="1219"/>
      <c r="AR675" s="1219"/>
      <c r="AS675" s="1219"/>
      <c r="AT675" s="1219"/>
      <c r="AU675" s="1219"/>
      <c r="AV675" s="1219"/>
      <c r="AW675" s="1219"/>
      <c r="AX675" s="1219"/>
      <c r="AY675" s="1219"/>
      <c r="AZ675" s="1219"/>
      <c r="BA675" s="1219"/>
      <c r="BB675" s="1219"/>
      <c r="BC675" s="1219"/>
      <c r="BD675" s="1219"/>
      <c r="BE675" s="1219"/>
      <c r="BF675" s="1219"/>
      <c r="BG675" s="1219"/>
      <c r="BH675" s="1219"/>
      <c r="BI675" s="1219"/>
      <c r="BJ675" s="1219"/>
      <c r="BK675" s="1219"/>
      <c r="BL675" s="1219"/>
      <c r="BM675" s="1219"/>
      <c r="BN675" s="1219"/>
      <c r="BO675" s="1219"/>
      <c r="BP675" s="1219"/>
      <c r="BQ675" s="1219"/>
      <c r="BR675" s="1219"/>
      <c r="BS675" s="1219"/>
      <c r="BU675" s="1217"/>
      <c r="BW675" s="1219"/>
      <c r="BY675" s="1217"/>
      <c r="CA675" s="1219"/>
      <c r="CC675" s="1217"/>
      <c r="CE675" s="1219"/>
      <c r="CG675" s="1217"/>
      <c r="CI675" s="1219"/>
    </row>
    <row r="676" spans="1:87">
      <c r="A676" s="20"/>
      <c r="B676" s="124" t="str">
        <f t="shared" si="312"/>
        <v/>
      </c>
      <c r="C676" s="235"/>
      <c r="D676" s="24">
        <f>'1% Wind'!$M$89</f>
        <v>7.6</v>
      </c>
      <c r="E676" s="90"/>
      <c r="F676" s="90"/>
      <c r="G676" s="79">
        <f ca="1">IF(I668=0.9743,$G675,MAX(G675/D675*D676,2))</f>
        <v>2</v>
      </c>
      <c r="H676" s="121" t="e">
        <f t="shared" ca="1" si="313"/>
        <v>#VALUE!</v>
      </c>
      <c r="J676" s="33"/>
      <c r="K676" s="242">
        <f t="shared" si="314"/>
        <v>1</v>
      </c>
      <c r="L676" s="241" t="e">
        <f t="shared" ca="1" si="315"/>
        <v>#VALUE!</v>
      </c>
      <c r="M676" s="243" t="e">
        <f ca="1">IF(AND(INDEX(FlowCalConstA,MATCH(J668,FlowCalNumber,0),1,1)*L676^INDEX(FlowCalConstB,MATCH(J668,FlowCalNumber,0),1,1)&gt;INDEX(FlowCalLowSetting,MATCH(J668,FlowCalNumber,0),1,1), (INDEX(FlowCalConstA,MATCH(J668,FlowCalNumber,0),1,1)*L676^INDEX(FlowCalConstB,MATCH(J668,FlowCalNumber,0),1,1)&lt;INDEX(FlowCalHighSetting,MATCH(J668,FlowCalNumber,0),1,1))),INDEX(FlowCalConstA,MATCH(J668,FlowCalNumber,0),1,1)*L676^INDEX(FlowCalConstB,MATCH(J668,FlowCalNumber,0),1,1)," ")</f>
        <v>#N/A</v>
      </c>
      <c r="N676" s="33"/>
      <c r="O676" s="242">
        <f t="shared" si="316"/>
        <v>1</v>
      </c>
      <c r="P676" s="241" t="e">
        <f t="shared" ca="1" si="317"/>
        <v>#VALUE!</v>
      </c>
      <c r="Q676" s="243" t="e">
        <f ca="1">IF(AND(INDEX(FlowCalConstA,MATCH(N668,FlowCalNumber,0),1,1)*P676^INDEX(FlowCalConstB,MATCH(N668,FlowCalNumber,0),1,1)&gt;INDEX(FlowCalLowSetting,MATCH(N668,FlowCalNumber,0),1,1), (INDEX(FlowCalConstA,MATCH(N668,FlowCalNumber,0),1,1)*P676^INDEX(FlowCalConstB,MATCH(N668,FlowCalNumber,0),1,1)&lt;INDEX(FlowCalHighSetting,MATCH(N668,FlowCalNumber,0),1,1))),INDEX(FlowCalConstA,MATCH(N668,FlowCalNumber,0),1,1)*P676^INDEX(FlowCalConstB,MATCH(N668,FlowCalNumber,0),1,1)," ")</f>
        <v>#N/A</v>
      </c>
      <c r="R676" s="33"/>
      <c r="S676" s="242">
        <f t="shared" si="318"/>
        <v>1</v>
      </c>
      <c r="T676" s="241" t="e">
        <f t="shared" ca="1" si="319"/>
        <v>#VALUE!</v>
      </c>
      <c r="U676" s="243" t="e">
        <f ca="1">IF(AND(INDEX(FlowCalConstA,MATCH(R668,FlowCalNumber,0),1,1)*T676^INDEX(FlowCalConstB,MATCH(R668,FlowCalNumber,0),1,1)&gt;INDEX(FlowCalLowSetting,MATCH(R668,FlowCalNumber,0),1,1), (INDEX(FlowCalConstA,MATCH(R668,FlowCalNumber,0),1,1)*T676^INDEX(FlowCalConstB,MATCH(R668,FlowCalNumber,0),1,1)&lt;INDEX(FlowCalHighSetting,MATCH(R668,FlowCalNumber,0),1,1))),INDEX(FlowCalConstA,MATCH(R668,FlowCalNumber,0),1,1)*T676^INDEX(FlowCalConstB,MATCH(R668,FlowCalNumber,0),1,1)," ")</f>
        <v>#N/A</v>
      </c>
      <c r="V676" s="33"/>
      <c r="W676" s="242"/>
      <c r="X676" s="241"/>
      <c r="Y676" s="243"/>
      <c r="Z676" s="33"/>
      <c r="AA676" s="242"/>
      <c r="AB676" s="241"/>
      <c r="AC676" s="243"/>
      <c r="AD676" s="33"/>
      <c r="AE676" s="242"/>
      <c r="AF676" s="241"/>
      <c r="AG676" s="243"/>
      <c r="AH676" s="33"/>
      <c r="AI676" s="242"/>
      <c r="AJ676" s="241"/>
      <c r="AK676" s="244"/>
      <c r="AL676" s="243"/>
      <c r="AM676" s="243"/>
      <c r="AN676" s="243"/>
      <c r="AO676" s="243"/>
      <c r="AP676" s="243"/>
      <c r="AQ676" s="243"/>
      <c r="AR676" s="243"/>
      <c r="AS676" s="243"/>
      <c r="AT676" s="243"/>
      <c r="AU676" s="243"/>
      <c r="AV676" s="243"/>
      <c r="AW676" s="243"/>
      <c r="AX676" s="243"/>
      <c r="AY676" s="243"/>
      <c r="AZ676" s="243"/>
      <c r="BA676" s="243"/>
      <c r="BB676" s="243"/>
      <c r="BC676" s="243"/>
      <c r="BD676" s="243"/>
      <c r="BE676" s="243"/>
      <c r="BF676" s="243"/>
      <c r="BG676" s="243"/>
      <c r="BH676" s="243"/>
      <c r="BI676" s="243"/>
      <c r="BJ676" s="243"/>
      <c r="BK676" s="243"/>
      <c r="BL676" s="243"/>
      <c r="BM676" s="243"/>
      <c r="BN676" s="243"/>
      <c r="BO676" s="243"/>
      <c r="BP676" s="243"/>
      <c r="BQ676" s="243"/>
      <c r="BR676" s="243"/>
      <c r="BS676" s="243"/>
      <c r="BU676" s="242"/>
      <c r="BW676" s="243"/>
      <c r="BY676" s="242"/>
      <c r="CA676" s="243"/>
      <c r="CC676" s="242"/>
      <c r="CE676" s="243"/>
      <c r="CG676" s="242"/>
      <c r="CI676" s="243"/>
    </row>
    <row r="677" spans="1:87" s="1215" customFormat="1">
      <c r="A677" s="1222"/>
      <c r="B677" s="1223" t="str">
        <f t="shared" si="312"/>
        <v/>
      </c>
      <c r="C677" s="1210"/>
      <c r="D677" s="1211">
        <f>'1% Wind'!$M$90</f>
        <v>5.7</v>
      </c>
      <c r="E677" s="1212"/>
      <c r="F677" s="1212"/>
      <c r="G677" s="1213">
        <f ca="1">IF(I668=0.9743,$G676,MAX(G676/D676*D677,2))</f>
        <v>2</v>
      </c>
      <c r="H677" s="1214" t="e">
        <f t="shared" ca="1" si="313"/>
        <v>#VALUE!</v>
      </c>
      <c r="J677" s="1224"/>
      <c r="K677" s="1217">
        <f t="shared" si="314"/>
        <v>1</v>
      </c>
      <c r="L677" s="1218" t="e">
        <f t="shared" ca="1" si="315"/>
        <v>#VALUE!</v>
      </c>
      <c r="M677" s="1219" t="e">
        <f ca="1">IF(AND(INDEX(FlowCalConstA,MATCH(J668,FlowCalNumber,0),1,1)*L677^INDEX(FlowCalConstB,MATCH(J668,FlowCalNumber,0),1,1)&gt;INDEX(FlowCalLowSetting,MATCH(J668,FlowCalNumber,0),1,1), (INDEX(FlowCalConstA,MATCH(J668,FlowCalNumber,0),1,1)*L677^INDEX(FlowCalConstB,MATCH(J668,FlowCalNumber,0),1,1)&lt;INDEX(FlowCalHighSetting,MATCH(J668,FlowCalNumber,0),1,1))),INDEX(FlowCalConstA,MATCH(J668,FlowCalNumber,0),1,1)*L677^INDEX(FlowCalConstB,MATCH(J668,FlowCalNumber,0),1,1)," ")</f>
        <v>#N/A</v>
      </c>
      <c r="N677" s="1224"/>
      <c r="O677" s="1217">
        <f t="shared" si="316"/>
        <v>1</v>
      </c>
      <c r="P677" s="1218" t="e">
        <f t="shared" ca="1" si="317"/>
        <v>#VALUE!</v>
      </c>
      <c r="Q677" s="1219" t="e">
        <f ca="1">IF(AND(INDEX(FlowCalConstA,MATCH(N668,FlowCalNumber,0),1,1)*P677^INDEX(FlowCalConstB,MATCH(N668,FlowCalNumber,0),1,1)&gt;INDEX(FlowCalLowSetting,MATCH(N668,FlowCalNumber,0),1,1), (INDEX(FlowCalConstA,MATCH(N668,FlowCalNumber,0),1,1)*P677^INDEX(FlowCalConstB,MATCH(N668,FlowCalNumber,0),1,1)&lt;INDEX(FlowCalHighSetting,MATCH(N668,FlowCalNumber,0),1,1))),INDEX(FlowCalConstA,MATCH(N668,FlowCalNumber,0),1,1)*P677^INDEX(FlowCalConstB,MATCH(N668,FlowCalNumber,0),1,1)," ")</f>
        <v>#N/A</v>
      </c>
      <c r="R677" s="1224"/>
      <c r="S677" s="1217">
        <f t="shared" si="318"/>
        <v>1</v>
      </c>
      <c r="T677" s="1218" t="e">
        <f t="shared" ca="1" si="319"/>
        <v>#VALUE!</v>
      </c>
      <c r="U677" s="1219" t="e">
        <f ca="1">IF(AND(INDEX(FlowCalConstA,MATCH(R668,FlowCalNumber,0),1,1)*T677^INDEX(FlowCalConstB,MATCH(R668,FlowCalNumber,0),1,1)&gt;INDEX(FlowCalLowSetting,MATCH(R668,FlowCalNumber,0),1,1), (INDEX(FlowCalConstA,MATCH(R668,FlowCalNumber,0),1,1)*T677^INDEX(FlowCalConstB,MATCH(R668,FlowCalNumber,0),1,1)&lt;INDEX(FlowCalHighSetting,MATCH(R668,FlowCalNumber,0),1,1))),INDEX(FlowCalConstA,MATCH(R668,FlowCalNumber,0),1,1)*T677^INDEX(FlowCalConstB,MATCH(R668,FlowCalNumber,0),1,1)," ")</f>
        <v>#N/A</v>
      </c>
      <c r="V677" s="1224"/>
      <c r="W677" s="1217"/>
      <c r="X677" s="1218"/>
      <c r="Y677" s="1219"/>
      <c r="Z677" s="1224"/>
      <c r="AA677" s="1217"/>
      <c r="AB677" s="1218"/>
      <c r="AC677" s="1219"/>
      <c r="AD677" s="1224"/>
      <c r="AE677" s="1217"/>
      <c r="AF677" s="1218"/>
      <c r="AG677" s="1219"/>
      <c r="AH677" s="1224"/>
      <c r="AI677" s="1217"/>
      <c r="AJ677" s="1218"/>
      <c r="AK677" s="1220"/>
      <c r="AL677" s="1219"/>
      <c r="AM677" s="1219"/>
      <c r="AN677" s="1219"/>
      <c r="AO677" s="1219"/>
      <c r="AP677" s="1219"/>
      <c r="AQ677" s="1219"/>
      <c r="AR677" s="1219"/>
      <c r="AS677" s="1219"/>
      <c r="AT677" s="1219"/>
      <c r="AU677" s="1219"/>
      <c r="AV677" s="1219"/>
      <c r="AW677" s="1219"/>
      <c r="AX677" s="1219"/>
      <c r="AY677" s="1219"/>
      <c r="AZ677" s="1219"/>
      <c r="BA677" s="1219"/>
      <c r="BB677" s="1219"/>
      <c r="BC677" s="1219"/>
      <c r="BD677" s="1219"/>
      <c r="BE677" s="1219"/>
      <c r="BF677" s="1219"/>
      <c r="BG677" s="1219"/>
      <c r="BH677" s="1219"/>
      <c r="BI677" s="1219"/>
      <c r="BJ677" s="1219"/>
      <c r="BK677" s="1219"/>
      <c r="BL677" s="1219"/>
      <c r="BM677" s="1219"/>
      <c r="BN677" s="1219"/>
      <c r="BO677" s="1219"/>
      <c r="BP677" s="1219"/>
      <c r="BQ677" s="1219"/>
      <c r="BR677" s="1219"/>
      <c r="BS677" s="1219"/>
      <c r="BU677" s="1217"/>
      <c r="BW677" s="1219"/>
      <c r="BY677" s="1217"/>
      <c r="CA677" s="1219"/>
      <c r="CC677" s="1217"/>
      <c r="CE677" s="1219"/>
      <c r="CG677" s="1217"/>
      <c r="CI677" s="1219"/>
    </row>
    <row r="678" spans="1:87">
      <c r="A678" s="20"/>
      <c r="B678" s="124" t="str">
        <f t="shared" si="312"/>
        <v/>
      </c>
      <c r="C678" s="235"/>
      <c r="D678" s="24">
        <f>'1% Wind'!$M$91</f>
        <v>4.2</v>
      </c>
      <c r="E678" s="90"/>
      <c r="F678" s="90"/>
      <c r="G678" s="79">
        <f ca="1">IF(I668=0.9743,$G677,MAX(G677/D677*D678,2))</f>
        <v>2</v>
      </c>
      <c r="H678" s="121" t="e">
        <f t="shared" ca="1" si="313"/>
        <v>#VALUE!</v>
      </c>
      <c r="J678" s="33"/>
      <c r="K678" s="242">
        <f t="shared" si="314"/>
        <v>1</v>
      </c>
      <c r="L678" s="241" t="e">
        <f t="shared" ca="1" si="315"/>
        <v>#VALUE!</v>
      </c>
      <c r="M678" s="243" t="e">
        <f ca="1">IF(AND(INDEX(FlowCalConstA,MATCH(J668,FlowCalNumber,0),1,1)*L678^INDEX(FlowCalConstB,MATCH(J668,FlowCalNumber,0),1,1)&gt;INDEX(FlowCalLowSetting,MATCH(J668,FlowCalNumber,0),1,1), (INDEX(FlowCalConstA,MATCH(J668,FlowCalNumber,0),1,1)*L678^INDEX(FlowCalConstB,MATCH(J668,FlowCalNumber,0),1,1)&lt;INDEX(FlowCalHighSetting,MATCH(J668,FlowCalNumber,0),1,1))),INDEX(FlowCalConstA,MATCH(J668,FlowCalNumber,0),1,1)*L678^INDEX(FlowCalConstB,MATCH(J668,FlowCalNumber,0),1,1)," ")</f>
        <v>#N/A</v>
      </c>
      <c r="N678" s="33"/>
      <c r="O678" s="242">
        <f t="shared" si="316"/>
        <v>1</v>
      </c>
      <c r="P678" s="241" t="e">
        <f t="shared" ca="1" si="317"/>
        <v>#VALUE!</v>
      </c>
      <c r="Q678" s="243" t="e">
        <f ca="1">IF(AND(INDEX(FlowCalConstA,MATCH(N668,FlowCalNumber,0),1,1)*P678^INDEX(FlowCalConstB,MATCH(N668,FlowCalNumber,0),1,1)&gt;INDEX(FlowCalLowSetting,MATCH(N668,FlowCalNumber,0),1,1), (INDEX(FlowCalConstA,MATCH(N668,FlowCalNumber,0),1,1)*P678^INDEX(FlowCalConstB,MATCH(N668,FlowCalNumber,0),1,1)&lt;INDEX(FlowCalHighSetting,MATCH(N668,FlowCalNumber,0),1,1))),INDEX(FlowCalConstA,MATCH(N668,FlowCalNumber,0),1,1)*P678^INDEX(FlowCalConstB,MATCH(N668,FlowCalNumber,0),1,1)," ")</f>
        <v>#N/A</v>
      </c>
      <c r="R678" s="33"/>
      <c r="S678" s="242">
        <f t="shared" si="318"/>
        <v>1</v>
      </c>
      <c r="T678" s="241" t="e">
        <f t="shared" ca="1" si="319"/>
        <v>#VALUE!</v>
      </c>
      <c r="U678" s="243" t="e">
        <f ca="1">IF(AND(INDEX(FlowCalConstA,MATCH(R668,FlowCalNumber,0),1,1)*T678^INDEX(FlowCalConstB,MATCH(R668,FlowCalNumber,0),1,1)&gt;INDEX(FlowCalLowSetting,MATCH(R668,FlowCalNumber,0),1,1), (INDEX(FlowCalConstA,MATCH(R668,FlowCalNumber,0),1,1)*T678^INDEX(FlowCalConstB,MATCH(R668,FlowCalNumber,0),1,1)&lt;INDEX(FlowCalHighSetting,MATCH(R668,FlowCalNumber,0),1,1))),INDEX(FlowCalConstA,MATCH(R668,FlowCalNumber,0),1,1)*T678^INDEX(FlowCalConstB,MATCH(R668,FlowCalNumber,0),1,1)," ")</f>
        <v>#N/A</v>
      </c>
      <c r="V678" s="33"/>
      <c r="W678" s="242"/>
      <c r="X678" s="241"/>
      <c r="Y678" s="243"/>
      <c r="Z678" s="33"/>
      <c r="AA678" s="242"/>
      <c r="AB678" s="241"/>
      <c r="AC678" s="243"/>
      <c r="AD678" s="33"/>
      <c r="AE678" s="242"/>
      <c r="AF678" s="241"/>
      <c r="AG678" s="243"/>
      <c r="AH678" s="33"/>
      <c r="AI678" s="242"/>
      <c r="AJ678" s="241"/>
      <c r="AK678" s="244"/>
      <c r="AL678" s="243"/>
      <c r="AM678" s="243"/>
      <c r="AN678" s="243"/>
      <c r="AO678" s="243"/>
      <c r="AP678" s="243"/>
      <c r="AQ678" s="243"/>
      <c r="AR678" s="243"/>
      <c r="AS678" s="243"/>
      <c r="AT678" s="243"/>
      <c r="AU678" s="243"/>
      <c r="AV678" s="243"/>
      <c r="AW678" s="243"/>
      <c r="AX678" s="243"/>
      <c r="AY678" s="243"/>
      <c r="AZ678" s="243"/>
      <c r="BA678" s="243"/>
      <c r="BB678" s="243"/>
      <c r="BC678" s="243"/>
      <c r="BD678" s="243"/>
      <c r="BE678" s="243"/>
      <c r="BF678" s="243"/>
      <c r="BG678" s="243"/>
      <c r="BH678" s="243"/>
      <c r="BI678" s="243"/>
      <c r="BJ678" s="243"/>
      <c r="BK678" s="243"/>
      <c r="BL678" s="243"/>
      <c r="BM678" s="243"/>
      <c r="BN678" s="243"/>
      <c r="BO678" s="243"/>
      <c r="BP678" s="243"/>
      <c r="BQ678" s="243"/>
      <c r="BR678" s="243"/>
      <c r="BS678" s="243"/>
      <c r="BU678" s="242"/>
      <c r="BW678" s="243"/>
      <c r="BY678" s="242"/>
      <c r="CA678" s="243"/>
      <c r="CC678" s="242"/>
      <c r="CE678" s="243"/>
      <c r="CG678" s="242"/>
      <c r="CI678" s="243"/>
    </row>
    <row r="679" spans="1:87" s="1215" customFormat="1">
      <c r="A679" s="1222"/>
      <c r="B679" s="1223" t="str">
        <f t="shared" si="312"/>
        <v/>
      </c>
      <c r="C679" s="1210"/>
      <c r="D679" s="1211">
        <f>'1% Wind'!$M$92</f>
        <v>3.2</v>
      </c>
      <c r="E679" s="1212"/>
      <c r="F679" s="1212"/>
      <c r="G679" s="1213">
        <f ca="1">IF(I668=0.9743,$G678,MAX(G678/D678*D679,2))</f>
        <v>2</v>
      </c>
      <c r="H679" s="1214" t="e">
        <f t="shared" ca="1" si="313"/>
        <v>#VALUE!</v>
      </c>
      <c r="J679" s="1224"/>
      <c r="K679" s="1217">
        <f t="shared" si="314"/>
        <v>1</v>
      </c>
      <c r="L679" s="1218" t="e">
        <f t="shared" ca="1" si="315"/>
        <v>#VALUE!</v>
      </c>
      <c r="M679" s="1219" t="e">
        <f ca="1">IF(AND(INDEX(FlowCalConstA,MATCH(J668,FlowCalNumber,0),1,1)*L679^INDEX(FlowCalConstB,MATCH(J668,FlowCalNumber,0),1,1)&gt;INDEX(FlowCalLowSetting,MATCH(J668,FlowCalNumber,0),1,1), (INDEX(FlowCalConstA,MATCH(J668,FlowCalNumber,0),1,1)*L679^INDEX(FlowCalConstB,MATCH(J668,FlowCalNumber,0),1,1)&lt;INDEX(FlowCalHighSetting,MATCH(J668,FlowCalNumber,0),1,1))),INDEX(FlowCalConstA,MATCH(J668,FlowCalNumber,0),1,1)*L679^INDEX(FlowCalConstB,MATCH(J668,FlowCalNumber,0),1,1)," ")</f>
        <v>#N/A</v>
      </c>
      <c r="N679" s="1224"/>
      <c r="O679" s="1217">
        <f t="shared" si="316"/>
        <v>1</v>
      </c>
      <c r="P679" s="1218" t="e">
        <f t="shared" ca="1" si="317"/>
        <v>#VALUE!</v>
      </c>
      <c r="Q679" s="1219" t="e">
        <f ca="1">IF(AND(INDEX(FlowCalConstA,MATCH(N668,FlowCalNumber,0),1,1)*P679^INDEX(FlowCalConstB,MATCH(N668,FlowCalNumber,0),1,1)&gt;INDEX(FlowCalLowSetting,MATCH(N668,FlowCalNumber,0),1,1), (INDEX(FlowCalConstA,MATCH(N668,FlowCalNumber,0),1,1)*P679^INDEX(FlowCalConstB,MATCH(N668,FlowCalNumber,0),1,1)&lt;INDEX(FlowCalHighSetting,MATCH(N668,FlowCalNumber,0),1,1))),INDEX(FlowCalConstA,MATCH(N668,FlowCalNumber,0),1,1)*P679^INDEX(FlowCalConstB,MATCH(N668,FlowCalNumber,0),1,1)," ")</f>
        <v>#N/A</v>
      </c>
      <c r="R679" s="1224"/>
      <c r="S679" s="1217">
        <f t="shared" si="318"/>
        <v>1</v>
      </c>
      <c r="T679" s="1218" t="e">
        <f t="shared" ca="1" si="319"/>
        <v>#VALUE!</v>
      </c>
      <c r="U679" s="1219" t="e">
        <f ca="1">IF(AND(INDEX(FlowCalConstA,MATCH(R668,FlowCalNumber,0),1,1)*T679^INDEX(FlowCalConstB,MATCH(R668,FlowCalNumber,0),1,1)&gt;INDEX(FlowCalLowSetting,MATCH(R668,FlowCalNumber,0),1,1), (INDEX(FlowCalConstA,MATCH(R668,FlowCalNumber,0),1,1)*T679^INDEX(FlowCalConstB,MATCH(R668,FlowCalNumber,0),1,1)&lt;INDEX(FlowCalHighSetting,MATCH(R668,FlowCalNumber,0),1,1))),INDEX(FlowCalConstA,MATCH(R668,FlowCalNumber,0),1,1)*T679^INDEX(FlowCalConstB,MATCH(R668,FlowCalNumber,0),1,1)," ")</f>
        <v>#N/A</v>
      </c>
      <c r="V679" s="1224"/>
      <c r="W679" s="1217"/>
      <c r="X679" s="1218"/>
      <c r="Y679" s="1219"/>
      <c r="Z679" s="1224"/>
      <c r="AA679" s="1217"/>
      <c r="AB679" s="1218"/>
      <c r="AC679" s="1219"/>
      <c r="AD679" s="1224"/>
      <c r="AE679" s="1217"/>
      <c r="AF679" s="1218"/>
      <c r="AG679" s="1219"/>
      <c r="AH679" s="1224"/>
      <c r="AI679" s="1217"/>
      <c r="AJ679" s="1218"/>
      <c r="AK679" s="1220"/>
      <c r="AL679" s="1219"/>
      <c r="AM679" s="1219"/>
      <c r="AN679" s="1219"/>
      <c r="AO679" s="1219"/>
      <c r="AP679" s="1219"/>
      <c r="AQ679" s="1219"/>
      <c r="AR679" s="1219"/>
      <c r="AS679" s="1219"/>
      <c r="AT679" s="1219"/>
      <c r="AU679" s="1219"/>
      <c r="AV679" s="1219"/>
      <c r="AW679" s="1219"/>
      <c r="AX679" s="1219"/>
      <c r="AY679" s="1219"/>
      <c r="AZ679" s="1219"/>
      <c r="BA679" s="1219"/>
      <c r="BB679" s="1219"/>
      <c r="BC679" s="1219"/>
      <c r="BD679" s="1219"/>
      <c r="BE679" s="1219"/>
      <c r="BF679" s="1219"/>
      <c r="BG679" s="1219"/>
      <c r="BH679" s="1219"/>
      <c r="BI679" s="1219"/>
      <c r="BJ679" s="1219"/>
      <c r="BK679" s="1219"/>
      <c r="BL679" s="1219"/>
      <c r="BM679" s="1219"/>
      <c r="BN679" s="1219"/>
      <c r="BO679" s="1219"/>
      <c r="BP679" s="1219"/>
      <c r="BQ679" s="1219"/>
      <c r="BR679" s="1219"/>
      <c r="BS679" s="1219"/>
      <c r="BU679" s="1217"/>
      <c r="BW679" s="1219"/>
      <c r="BY679" s="1217"/>
      <c r="CA679" s="1219"/>
      <c r="CC679" s="1217"/>
      <c r="CE679" s="1219"/>
      <c r="CG679" s="1217"/>
      <c r="CI679" s="1219"/>
    </row>
    <row r="680" spans="1:87">
      <c r="A680" s="20"/>
      <c r="B680" s="124" t="str">
        <f t="shared" si="312"/>
        <v/>
      </c>
      <c r="C680" s="235"/>
      <c r="D680" s="24">
        <f>'1% Wind'!$M$93</f>
        <v>2.4</v>
      </c>
      <c r="E680" s="90"/>
      <c r="F680" s="90"/>
      <c r="G680" s="79">
        <f ca="1">IF(I668=0.9743,$G679,MAX(G679/D679*D680,2))</f>
        <v>2</v>
      </c>
      <c r="H680" s="121" t="e">
        <f t="shared" ca="1" si="313"/>
        <v>#VALUE!</v>
      </c>
      <c r="J680" s="33"/>
      <c r="K680" s="242">
        <f t="shared" si="314"/>
        <v>1</v>
      </c>
      <c r="L680" s="241" t="e">
        <f t="shared" ca="1" si="315"/>
        <v>#VALUE!</v>
      </c>
      <c r="M680" s="243" t="e">
        <f ca="1">IF(AND(INDEX(FlowCalConstA,MATCH(J668,FlowCalNumber,0),1,1)*L680^INDEX(FlowCalConstB,MATCH(J668,FlowCalNumber,0),1,1)&gt;INDEX(FlowCalLowSetting,MATCH(J668,FlowCalNumber,0),1,1), (INDEX(FlowCalConstA,MATCH(J668,FlowCalNumber,0),1,1)*L680^INDEX(FlowCalConstB,MATCH(J668,FlowCalNumber,0),1,1)&lt;INDEX(FlowCalHighSetting,MATCH(J668,FlowCalNumber,0),1,1))),INDEX(FlowCalConstA,MATCH(J668,FlowCalNumber,0),1,1)*L680^INDEX(FlowCalConstB,MATCH(J668,FlowCalNumber,0),1,1)," ")</f>
        <v>#N/A</v>
      </c>
      <c r="N680" s="33"/>
      <c r="O680" s="242">
        <f t="shared" si="316"/>
        <v>1</v>
      </c>
      <c r="P680" s="241" t="e">
        <f t="shared" ca="1" si="317"/>
        <v>#VALUE!</v>
      </c>
      <c r="Q680" s="243" t="e">
        <f ca="1">IF(AND(INDEX(FlowCalConstA,MATCH(N668,FlowCalNumber,0),1,1)*P680^INDEX(FlowCalConstB,MATCH(N668,FlowCalNumber,0),1,1)&gt;INDEX(FlowCalLowSetting,MATCH(N668,FlowCalNumber,0),1,1), (INDEX(FlowCalConstA,MATCH(N668,FlowCalNumber,0),1,1)*P680^INDEX(FlowCalConstB,MATCH(N668,FlowCalNumber,0),1,1)&lt;INDEX(FlowCalHighSetting,MATCH(N668,FlowCalNumber,0),1,1))),INDEX(FlowCalConstA,MATCH(N668,FlowCalNumber,0),1,1)*P680^INDEX(FlowCalConstB,MATCH(N668,FlowCalNumber,0),1,1)," ")</f>
        <v>#N/A</v>
      </c>
      <c r="R680" s="33"/>
      <c r="S680" s="242">
        <f t="shared" si="318"/>
        <v>1</v>
      </c>
      <c r="T680" s="241" t="e">
        <f t="shared" ca="1" si="319"/>
        <v>#VALUE!</v>
      </c>
      <c r="U680" s="243" t="e">
        <f ca="1">IF(AND(INDEX(FlowCalConstA,MATCH(R668,FlowCalNumber,0),1,1)*T680^INDEX(FlowCalConstB,MATCH(R668,FlowCalNumber,0),1,1)&gt;INDEX(FlowCalLowSetting,MATCH(R668,FlowCalNumber,0),1,1), (INDEX(FlowCalConstA,MATCH(R668,FlowCalNumber,0),1,1)*T680^INDEX(FlowCalConstB,MATCH(R668,FlowCalNumber,0),1,1)&lt;INDEX(FlowCalHighSetting,MATCH(R668,FlowCalNumber,0),1,1))),INDEX(FlowCalConstA,MATCH(R668,FlowCalNumber,0),1,1)*T680^INDEX(FlowCalConstB,MATCH(R668,FlowCalNumber,0),1,1)," ")</f>
        <v>#N/A</v>
      </c>
      <c r="V680" s="33"/>
      <c r="W680" s="242"/>
      <c r="X680" s="241"/>
      <c r="Y680" s="243"/>
      <c r="Z680" s="33"/>
      <c r="AA680" s="242"/>
      <c r="AB680" s="241"/>
      <c r="AC680" s="243"/>
      <c r="AD680" s="33"/>
      <c r="AE680" s="242"/>
      <c r="AF680" s="241"/>
      <c r="AG680" s="243"/>
      <c r="AH680" s="33"/>
      <c r="AI680" s="242"/>
      <c r="AJ680" s="241"/>
      <c r="AK680" s="244"/>
      <c r="AL680" s="243"/>
      <c r="AM680" s="243"/>
      <c r="AN680" s="243"/>
      <c r="AO680" s="243"/>
      <c r="AP680" s="243"/>
      <c r="AQ680" s="243"/>
      <c r="AR680" s="243"/>
      <c r="AS680" s="243"/>
      <c r="AT680" s="243"/>
      <c r="AU680" s="243"/>
      <c r="AV680" s="243"/>
      <c r="AW680" s="243"/>
      <c r="AX680" s="243"/>
      <c r="AY680" s="243"/>
      <c r="AZ680" s="243"/>
      <c r="BA680" s="243"/>
      <c r="BB680" s="243"/>
      <c r="BC680" s="243"/>
      <c r="BD680" s="243"/>
      <c r="BE680" s="243"/>
      <c r="BF680" s="243"/>
      <c r="BG680" s="243"/>
      <c r="BH680" s="243"/>
      <c r="BI680" s="243"/>
      <c r="BJ680" s="243"/>
      <c r="BK680" s="243"/>
      <c r="BL680" s="243"/>
      <c r="BM680" s="243"/>
      <c r="BN680" s="243"/>
      <c r="BO680" s="243"/>
      <c r="BP680" s="243"/>
      <c r="BQ680" s="243"/>
      <c r="BR680" s="243"/>
      <c r="BS680" s="243"/>
      <c r="BU680" s="242"/>
      <c r="BW680" s="243"/>
      <c r="BY680" s="242"/>
      <c r="CA680" s="243"/>
      <c r="CC680" s="242"/>
      <c r="CE680" s="243"/>
      <c r="CG680" s="242"/>
      <c r="CI680" s="243"/>
    </row>
    <row r="681" spans="1:87" s="1215" customFormat="1">
      <c r="A681" s="1222"/>
      <c r="B681" s="1223" t="str">
        <f t="shared" si="312"/>
        <v/>
      </c>
      <c r="C681" s="1210"/>
      <c r="D681" s="1211">
        <f>'1% Wind'!$M$94</f>
        <v>1.8</v>
      </c>
      <c r="E681" s="1212"/>
      <c r="F681" s="1212"/>
      <c r="G681" s="1213">
        <f ca="1">IF(I668=0.9743,$G680,MAX(G680/D680*D681,2))</f>
        <v>2</v>
      </c>
      <c r="H681" s="1214" t="e">
        <f t="shared" ca="1" si="313"/>
        <v>#VALUE!</v>
      </c>
      <c r="J681" s="1224"/>
      <c r="K681" s="1217">
        <f t="shared" si="314"/>
        <v>1</v>
      </c>
      <c r="L681" s="1218" t="e">
        <f t="shared" ca="1" si="315"/>
        <v>#VALUE!</v>
      </c>
      <c r="M681" s="1219" t="e">
        <f ca="1">IF(AND(INDEX(FlowCalConstA,MATCH(J668,FlowCalNumber,0),1,1)*L681^INDEX(FlowCalConstB,MATCH(J668,FlowCalNumber,0),1,1)&gt;INDEX(FlowCalLowSetting,MATCH(J668,FlowCalNumber,0),1,1), (INDEX(FlowCalConstA,MATCH(J668,FlowCalNumber,0),1,1)*L681^INDEX(FlowCalConstB,MATCH(J668,FlowCalNumber,0),1,1)&lt;INDEX(FlowCalHighSetting,MATCH(J668,FlowCalNumber,0),1,1))),INDEX(FlowCalConstA,MATCH(J668,FlowCalNumber,0),1,1)*L681^INDEX(FlowCalConstB,MATCH(J668,FlowCalNumber,0),1,1)," ")</f>
        <v>#N/A</v>
      </c>
      <c r="N681" s="1224"/>
      <c r="O681" s="1217">
        <f t="shared" si="316"/>
        <v>1</v>
      </c>
      <c r="P681" s="1218" t="e">
        <f t="shared" ca="1" si="317"/>
        <v>#VALUE!</v>
      </c>
      <c r="Q681" s="1219" t="e">
        <f ca="1">IF(AND(INDEX(FlowCalConstA,MATCH(N668,FlowCalNumber,0),1,1)*P681^INDEX(FlowCalConstB,MATCH(N668,FlowCalNumber,0),1,1)&gt;INDEX(FlowCalLowSetting,MATCH(N668,FlowCalNumber,0),1,1), (INDEX(FlowCalConstA,MATCH(N668,FlowCalNumber,0),1,1)*P681^INDEX(FlowCalConstB,MATCH(N668,FlowCalNumber,0),1,1)&lt;INDEX(FlowCalHighSetting,MATCH(N668,FlowCalNumber,0),1,1))),INDEX(FlowCalConstA,MATCH(N668,FlowCalNumber,0),1,1)*P681^INDEX(FlowCalConstB,MATCH(N668,FlowCalNumber,0),1,1)," ")</f>
        <v>#N/A</v>
      </c>
      <c r="R681" s="1224"/>
      <c r="S681" s="1217">
        <f t="shared" si="318"/>
        <v>1</v>
      </c>
      <c r="T681" s="1218" t="e">
        <f t="shared" ca="1" si="319"/>
        <v>#VALUE!</v>
      </c>
      <c r="U681" s="1219" t="e">
        <f ca="1">IF(AND(INDEX(FlowCalConstA,MATCH(R668,FlowCalNumber,0),1,1)*T681^INDEX(FlowCalConstB,MATCH(R668,FlowCalNumber,0),1,1)&gt;INDEX(FlowCalLowSetting,MATCH(R668,FlowCalNumber,0),1,1), (INDEX(FlowCalConstA,MATCH(R668,FlowCalNumber,0),1,1)*T681^INDEX(FlowCalConstB,MATCH(R668,FlowCalNumber,0),1,1)&lt;INDEX(FlowCalHighSetting,MATCH(R668,FlowCalNumber,0),1,1))),INDEX(FlowCalConstA,MATCH(R668,FlowCalNumber,0),1,1)*T681^INDEX(FlowCalConstB,MATCH(R668,FlowCalNumber,0),1,1)," ")</f>
        <v>#N/A</v>
      </c>
      <c r="V681" s="1224"/>
      <c r="W681" s="1217"/>
      <c r="X681" s="1218"/>
      <c r="Y681" s="1219"/>
      <c r="Z681" s="1224"/>
      <c r="AA681" s="1217"/>
      <c r="AB681" s="1218"/>
      <c r="AC681" s="1219"/>
      <c r="AD681" s="1224"/>
      <c r="AE681" s="1217"/>
      <c r="AF681" s="1218"/>
      <c r="AG681" s="1219"/>
      <c r="AH681" s="1224"/>
      <c r="AI681" s="1217"/>
      <c r="AJ681" s="1218"/>
      <c r="AK681" s="1220"/>
      <c r="AL681" s="1219"/>
      <c r="AM681" s="1219"/>
      <c r="AN681" s="1219"/>
      <c r="AO681" s="1219"/>
      <c r="AP681" s="1219"/>
      <c r="AQ681" s="1219"/>
      <c r="AR681" s="1219"/>
      <c r="AS681" s="1219"/>
      <c r="AT681" s="1219"/>
      <c r="AU681" s="1219"/>
      <c r="AV681" s="1219"/>
      <c r="AW681" s="1219"/>
      <c r="AX681" s="1219"/>
      <c r="AY681" s="1219"/>
      <c r="AZ681" s="1219"/>
      <c r="BA681" s="1219"/>
      <c r="BB681" s="1219"/>
      <c r="BC681" s="1219"/>
      <c r="BD681" s="1219"/>
      <c r="BE681" s="1219"/>
      <c r="BF681" s="1219"/>
      <c r="BG681" s="1219"/>
      <c r="BH681" s="1219"/>
      <c r="BI681" s="1219"/>
      <c r="BJ681" s="1219"/>
      <c r="BK681" s="1219"/>
      <c r="BL681" s="1219"/>
      <c r="BM681" s="1219"/>
      <c r="BN681" s="1219"/>
      <c r="BO681" s="1219"/>
      <c r="BP681" s="1219"/>
      <c r="BQ681" s="1219"/>
      <c r="BR681" s="1219"/>
      <c r="BS681" s="1219"/>
      <c r="BU681" s="1217"/>
      <c r="BW681" s="1219"/>
      <c r="BY681" s="1217"/>
      <c r="CA681" s="1219"/>
      <c r="CC681" s="1217"/>
      <c r="CE681" s="1219"/>
      <c r="CG681" s="1217"/>
      <c r="CI681" s="1219"/>
    </row>
    <row r="682" spans="1:87">
      <c r="A682" s="20"/>
      <c r="B682" s="124" t="str">
        <f t="shared" si="312"/>
        <v/>
      </c>
      <c r="C682" s="235"/>
      <c r="D682" s="24">
        <f>'1% Wind'!$M$95</f>
        <v>1.3</v>
      </c>
      <c r="E682" s="90"/>
      <c r="F682" s="90"/>
      <c r="G682" s="79">
        <f ca="1">IF(I668=0.9743,$G681,MAX(G681/D681*D682,2))</f>
        <v>2</v>
      </c>
      <c r="H682" s="121" t="e">
        <f t="shared" ca="1" si="313"/>
        <v>#VALUE!</v>
      </c>
      <c r="J682" s="33"/>
      <c r="K682" s="242">
        <f t="shared" si="314"/>
        <v>1</v>
      </c>
      <c r="L682" s="241" t="e">
        <f t="shared" ca="1" si="315"/>
        <v>#VALUE!</v>
      </c>
      <c r="M682" s="243" t="e">
        <f ca="1">IF(AND(INDEX(FlowCalConstA,MATCH(J668,FlowCalNumber,0),1,1)*L682^INDEX(FlowCalConstB,MATCH(J668,FlowCalNumber,0),1,1)&gt;INDEX(FlowCalLowSetting,MATCH(J668,FlowCalNumber,0),1,1), (INDEX(FlowCalConstA,MATCH(J668,FlowCalNumber,0),1,1)*L682^INDEX(FlowCalConstB,MATCH(J668,FlowCalNumber,0),1,1)&lt;INDEX(FlowCalHighSetting,MATCH(J668,FlowCalNumber,0),1,1))),INDEX(FlowCalConstA,MATCH(J668,FlowCalNumber,0),1,1)*L682^INDEX(FlowCalConstB,MATCH(J668,FlowCalNumber,0),1,1)," ")</f>
        <v>#N/A</v>
      </c>
      <c r="N682" s="33"/>
      <c r="O682" s="242">
        <f t="shared" si="316"/>
        <v>1</v>
      </c>
      <c r="P682" s="241" t="e">
        <f t="shared" ca="1" si="317"/>
        <v>#VALUE!</v>
      </c>
      <c r="Q682" s="243" t="e">
        <f ca="1">IF(AND(INDEX(FlowCalConstA,MATCH(N668,FlowCalNumber,0),1,1)*P682^INDEX(FlowCalConstB,MATCH(N668,FlowCalNumber,0),1,1)&gt;INDEX(FlowCalLowSetting,MATCH(N668,FlowCalNumber,0),1,1), (INDEX(FlowCalConstA,MATCH(N668,FlowCalNumber,0),1,1)*P682^INDEX(FlowCalConstB,MATCH(N668,FlowCalNumber,0),1,1)&lt;INDEX(FlowCalHighSetting,MATCH(N668,FlowCalNumber,0),1,1))),INDEX(FlowCalConstA,MATCH(N668,FlowCalNumber,0),1,1)*P682^INDEX(FlowCalConstB,MATCH(N668,FlowCalNumber,0),1,1)," ")</f>
        <v>#N/A</v>
      </c>
      <c r="R682" s="33"/>
      <c r="S682" s="242">
        <f t="shared" si="318"/>
        <v>1</v>
      </c>
      <c r="T682" s="241" t="e">
        <f t="shared" ca="1" si="319"/>
        <v>#VALUE!</v>
      </c>
      <c r="U682" s="243" t="e">
        <f ca="1">IF(AND(INDEX(FlowCalConstA,MATCH(R668,FlowCalNumber,0),1,1)*T682^INDEX(FlowCalConstB,MATCH(R668,FlowCalNumber,0),1,1)&gt;INDEX(FlowCalLowSetting,MATCH(R668,FlowCalNumber,0),1,1), (INDEX(FlowCalConstA,MATCH(R668,FlowCalNumber,0),1,1)*T682^INDEX(FlowCalConstB,MATCH(R668,FlowCalNumber,0),1,1)&lt;INDEX(FlowCalHighSetting,MATCH(R668,FlowCalNumber,0),1,1))),INDEX(FlowCalConstA,MATCH(R668,FlowCalNumber,0),1,1)*T682^INDEX(FlowCalConstB,MATCH(R668,FlowCalNumber,0),1,1)," ")</f>
        <v>#N/A</v>
      </c>
      <c r="V682" s="33"/>
      <c r="W682" s="242"/>
      <c r="X682" s="241"/>
      <c r="Y682" s="243"/>
      <c r="Z682" s="33"/>
      <c r="AA682" s="242"/>
      <c r="AB682" s="241"/>
      <c r="AC682" s="243"/>
      <c r="AD682" s="33"/>
      <c r="AE682" s="242"/>
      <c r="AF682" s="241"/>
      <c r="AG682" s="243"/>
      <c r="AH682" s="33"/>
      <c r="AI682" s="242"/>
      <c r="AJ682" s="241"/>
      <c r="AK682" s="244"/>
      <c r="AL682" s="243"/>
      <c r="AM682" s="243"/>
      <c r="AN682" s="243"/>
      <c r="AO682" s="243"/>
      <c r="AP682" s="243"/>
      <c r="AQ682" s="243"/>
      <c r="AR682" s="243"/>
      <c r="AS682" s="243"/>
      <c r="AT682" s="243"/>
      <c r="AU682" s="243"/>
      <c r="AV682" s="243"/>
      <c r="AW682" s="243"/>
      <c r="AX682" s="243"/>
      <c r="AY682" s="243"/>
      <c r="AZ682" s="243"/>
      <c r="BA682" s="243"/>
      <c r="BB682" s="243"/>
      <c r="BC682" s="243"/>
      <c r="BD682" s="243"/>
      <c r="BE682" s="243"/>
      <c r="BF682" s="243"/>
      <c r="BG682" s="243"/>
      <c r="BH682" s="243"/>
      <c r="BI682" s="243"/>
      <c r="BJ682" s="243"/>
      <c r="BK682" s="243"/>
      <c r="BL682" s="243"/>
      <c r="BM682" s="243"/>
      <c r="BN682" s="243"/>
      <c r="BO682" s="243"/>
      <c r="BP682" s="243"/>
      <c r="BQ682" s="243"/>
      <c r="BR682" s="243"/>
      <c r="BS682" s="243"/>
      <c r="BU682" s="242"/>
      <c r="BW682" s="243"/>
      <c r="BY682" s="242"/>
      <c r="CA682" s="243"/>
      <c r="CC682" s="242"/>
      <c r="CE682" s="243"/>
      <c r="CG682" s="242"/>
      <c r="CI682" s="243"/>
    </row>
    <row r="683" spans="1:87" s="1215" customFormat="1">
      <c r="A683" s="1222"/>
      <c r="B683" s="1223" t="str">
        <f t="shared" si="312"/>
        <v/>
      </c>
      <c r="C683" s="1210"/>
      <c r="D683" s="1211">
        <f>'1% Wind'!$M$96</f>
        <v>1</v>
      </c>
      <c r="E683" s="1212"/>
      <c r="F683" s="1212"/>
      <c r="G683" s="1213">
        <f ca="1">IF(I668=0.9743,$G682,MAX(G682/D682*D683,2))</f>
        <v>2</v>
      </c>
      <c r="H683" s="1214" t="e">
        <f t="shared" ca="1" si="313"/>
        <v>#VALUE!</v>
      </c>
      <c r="J683" s="1224"/>
      <c r="K683" s="1217">
        <f t="shared" si="314"/>
        <v>1</v>
      </c>
      <c r="L683" s="1218" t="e">
        <f t="shared" ca="1" si="315"/>
        <v>#VALUE!</v>
      </c>
      <c r="M683" s="1219" t="e">
        <f ca="1">IF(AND(INDEX(FlowCalConstA,MATCH(J668,FlowCalNumber,0),1,1)*L683^INDEX(FlowCalConstB,MATCH(J668,FlowCalNumber,0),1,1)&gt;INDEX(FlowCalLowSetting,MATCH(J668,FlowCalNumber,0),1,1), (INDEX(FlowCalConstA,MATCH(J668,FlowCalNumber,0),1,1)*L683^INDEX(FlowCalConstB,MATCH(J668,FlowCalNumber,0),1,1)&lt;INDEX(FlowCalHighSetting,MATCH(J668,FlowCalNumber,0),1,1))),INDEX(FlowCalConstA,MATCH(J668,FlowCalNumber,0),1,1)*L683^INDEX(FlowCalConstB,MATCH(J668,FlowCalNumber,0),1,1)," ")</f>
        <v>#N/A</v>
      </c>
      <c r="N683" s="1224"/>
      <c r="O683" s="1217">
        <f t="shared" si="316"/>
        <v>1</v>
      </c>
      <c r="P683" s="1218" t="e">
        <f t="shared" ca="1" si="317"/>
        <v>#VALUE!</v>
      </c>
      <c r="Q683" s="1219" t="e">
        <f ca="1">IF(AND(INDEX(FlowCalConstA,MATCH(N668,FlowCalNumber,0),1,1)*P683^INDEX(FlowCalConstB,MATCH(N668,FlowCalNumber,0),1,1)&gt;INDEX(FlowCalLowSetting,MATCH(N668,FlowCalNumber,0),1,1), (INDEX(FlowCalConstA,MATCH(N668,FlowCalNumber,0),1,1)*P683^INDEX(FlowCalConstB,MATCH(N668,FlowCalNumber,0),1,1)&lt;INDEX(FlowCalHighSetting,MATCH(N668,FlowCalNumber,0),1,1))),INDEX(FlowCalConstA,MATCH(N668,FlowCalNumber,0),1,1)*P683^INDEX(FlowCalConstB,MATCH(N668,FlowCalNumber,0),1,1)," ")</f>
        <v>#N/A</v>
      </c>
      <c r="R683" s="1224"/>
      <c r="S683" s="1217">
        <f t="shared" si="318"/>
        <v>1</v>
      </c>
      <c r="T683" s="1218" t="e">
        <f t="shared" ca="1" si="319"/>
        <v>#VALUE!</v>
      </c>
      <c r="U683" s="1219" t="e">
        <f ca="1">IF(AND(INDEX(FlowCalConstA,MATCH(R668,FlowCalNumber,0),1,1)*T683^INDEX(FlowCalConstB,MATCH(R668,FlowCalNumber,0),1,1)&gt;INDEX(FlowCalLowSetting,MATCH(R668,FlowCalNumber,0),1,1), (INDEX(FlowCalConstA,MATCH(R668,FlowCalNumber,0),1,1)*T683^INDEX(FlowCalConstB,MATCH(R668,FlowCalNumber,0),1,1)&lt;INDEX(FlowCalHighSetting,MATCH(R668,FlowCalNumber,0),1,1))),INDEX(FlowCalConstA,MATCH(R668,FlowCalNumber,0),1,1)*T683^INDEX(FlowCalConstB,MATCH(R668,FlowCalNumber,0),1,1)," ")</f>
        <v>#N/A</v>
      </c>
      <c r="V683" s="1224"/>
      <c r="W683" s="1217"/>
      <c r="X683" s="1218"/>
      <c r="Y683" s="1219"/>
      <c r="Z683" s="1224"/>
      <c r="AA683" s="1217"/>
      <c r="AB683" s="1218"/>
      <c r="AC683" s="1219"/>
      <c r="AD683" s="1224"/>
      <c r="AE683" s="1217"/>
      <c r="AF683" s="1218"/>
      <c r="AG683" s="1219"/>
      <c r="AH683" s="1224"/>
      <c r="AI683" s="1217"/>
      <c r="AJ683" s="1218"/>
      <c r="AK683" s="1220"/>
      <c r="AL683" s="1219"/>
      <c r="AM683" s="1219"/>
      <c r="AN683" s="1219"/>
      <c r="AO683" s="1219"/>
      <c r="AP683" s="1219"/>
      <c r="AQ683" s="1219"/>
      <c r="AR683" s="1219"/>
      <c r="AS683" s="1219"/>
      <c r="AT683" s="1219"/>
      <c r="AU683" s="1219"/>
      <c r="AV683" s="1219"/>
      <c r="AW683" s="1219"/>
      <c r="AX683" s="1219"/>
      <c r="AY683" s="1219"/>
      <c r="AZ683" s="1219"/>
      <c r="BA683" s="1219"/>
      <c r="BB683" s="1219"/>
      <c r="BC683" s="1219"/>
      <c r="BD683" s="1219"/>
      <c r="BE683" s="1219"/>
      <c r="BF683" s="1219"/>
      <c r="BG683" s="1219"/>
      <c r="BH683" s="1219"/>
      <c r="BI683" s="1219"/>
      <c r="BJ683" s="1219"/>
      <c r="BK683" s="1219"/>
      <c r="BL683" s="1219"/>
      <c r="BM683" s="1219"/>
      <c r="BN683" s="1219"/>
      <c r="BO683" s="1219"/>
      <c r="BP683" s="1219"/>
      <c r="BQ683" s="1219"/>
      <c r="BR683" s="1219"/>
      <c r="BS683" s="1219"/>
      <c r="BU683" s="1217"/>
      <c r="BW683" s="1219"/>
      <c r="BY683" s="1217"/>
      <c r="CA683" s="1219"/>
      <c r="CC683" s="1217"/>
      <c r="CE683" s="1219"/>
      <c r="CG683" s="1217"/>
      <c r="CI683" s="1219"/>
    </row>
    <row r="684" spans="1:87">
      <c r="A684" s="33"/>
      <c r="B684" s="33"/>
      <c r="C684" s="235"/>
      <c r="E684" s="90"/>
      <c r="F684" s="90"/>
      <c r="G684" s="33"/>
      <c r="J684" s="33"/>
      <c r="M684" s="243"/>
      <c r="N684" s="33"/>
      <c r="Q684" s="243"/>
      <c r="R684" s="33"/>
      <c r="U684" s="243"/>
      <c r="V684" s="33"/>
      <c r="Y684" s="243"/>
      <c r="Z684" s="33"/>
      <c r="AC684" s="243"/>
      <c r="AD684" s="33"/>
      <c r="AG684" s="243"/>
      <c r="AH684" s="33"/>
      <c r="AK684" s="244"/>
      <c r="AL684" s="243"/>
      <c r="AM684" s="243"/>
      <c r="AN684" s="243"/>
      <c r="AO684" s="243"/>
      <c r="AP684" s="243"/>
      <c r="AQ684" s="243"/>
      <c r="AR684" s="243"/>
      <c r="AS684" s="243"/>
      <c r="AT684" s="243"/>
      <c r="AU684" s="243"/>
      <c r="AV684" s="243"/>
      <c r="AW684" s="243"/>
      <c r="AX684" s="243"/>
      <c r="AY684" s="243"/>
      <c r="AZ684" s="243"/>
      <c r="BA684" s="243"/>
      <c r="BB684" s="243"/>
      <c r="BC684" s="243"/>
      <c r="BD684" s="243"/>
      <c r="BE684" s="243"/>
      <c r="BF684" s="243"/>
      <c r="BG684" s="243"/>
      <c r="BH684" s="243"/>
      <c r="BI684" s="243"/>
      <c r="BJ684" s="243"/>
      <c r="BK684" s="243"/>
      <c r="BL684" s="243"/>
      <c r="BM684" s="243"/>
      <c r="BN684" s="243"/>
      <c r="BO684" s="243"/>
      <c r="BP684" s="243"/>
      <c r="BQ684" s="243"/>
      <c r="BR684" s="243"/>
      <c r="BS684" s="243"/>
      <c r="BW684" s="243"/>
      <c r="CA684" s="243"/>
      <c r="CE684" s="243"/>
      <c r="CI684" s="243"/>
    </row>
    <row r="685" spans="1:87">
      <c r="A685" s="256" t="str">
        <f>IF((RIGHT(A668,1))&lt;&gt;"Z",CHAR(CODE(A668))&amp;CHAR(CODE(RIGHT(A668,1))+1),CHAR(CODE(A668)+1)&amp;"A")</f>
        <v>BN</v>
      </c>
      <c r="B685" s="270" t="str">
        <f>INDEX(SourceID,MATCH($A685,SourceNumber,0),1,1)</f>
        <v>B2 DG</v>
      </c>
      <c r="C685" s="354">
        <f>INDEX(SourceExitDiameter,MATCH($A685,SourceNumber,0),1,1)*3.28*12</f>
        <v>14</v>
      </c>
      <c r="D685" s="24" t="str">
        <f>UAnem1percent</f>
        <v>1% Wind</v>
      </c>
      <c r="E685" s="350" t="e">
        <f ca="1">INDIRECT(ADDRESS(53,6,1,,CONCATENATE("TA",$A685)))</f>
        <v>#REF!</v>
      </c>
      <c r="F685" s="625" t="e">
        <f ca="1">(ROUND((INDIRECT(ADDRESS(15,7,1,,CONCATENATE("TA",$A685)))*3.28*12*32),0)&amp;"/32")</f>
        <v>#REF!</v>
      </c>
      <c r="G685" s="125">
        <f ca="1">INDIRECT(ADDRESS(29,7,1,,$A685))</f>
        <v>6.001707317073171</v>
      </c>
      <c r="H685" s="24" t="e">
        <f ca="1">INDIRECT(ADDRESS(19,7,1,,$A685))*100^3</f>
        <v>#VALUE!</v>
      </c>
      <c r="I685" s="941">
        <f ca="1">INDIRECT(ADDRESS(53,7,1,,$A685))</f>
        <v>0.97430000000000005</v>
      </c>
      <c r="J685" s="20" t="str">
        <f ca="1">IF($I685=$I$6,K$16&amp;$G$6&amp;J$6,IF($I685=$I$7,K$16&amp;$G$7&amp;J$7,"Bad"))</f>
        <v>100N2Pick a Tunnel</v>
      </c>
      <c r="K685" t="e">
        <f ca="1">INDEX(FlowCalGasMixture,MATCH(J685,FlowCalNumber,0),1,1)</f>
        <v>#N/A</v>
      </c>
      <c r="M685" s="944" t="e">
        <f ca="1">INDEX(FlowCalDevice,MATCH(J685,FlowCalNumber,0),1,1)</f>
        <v>#N/A</v>
      </c>
      <c r="N685" s="20" t="str">
        <f ca="1">IF($I685=$I$6,O$16&amp;$G$6&amp;N$6,IF($I685=$I$7,O$16&amp;$G$7&amp;N$7,"Bad"))</f>
        <v>100N2Pick a Tunnel</v>
      </c>
      <c r="O685" t="e">
        <f ca="1">INDEX(FlowCalGasMixture,MATCH(N685,FlowCalNumber,0),1,1)</f>
        <v>#N/A</v>
      </c>
      <c r="Q685" s="944" t="e">
        <f ca="1">INDEX(FlowCalDevice,MATCH(N685,FlowCalNumber,0),1,1)</f>
        <v>#N/A</v>
      </c>
      <c r="R685" s="20" t="str">
        <f ca="1">IF($I685=$I$6,S$16&amp;$G$6&amp;R$6,IF($I685=$I$7,S$16&amp;$G$7&amp;R$7,"Bad"))</f>
        <v>100N2Pick a Tunnel</v>
      </c>
      <c r="S685" t="e">
        <f ca="1">INDEX(FlowCalGasMixture,MATCH(R685,FlowCalNumber,0),1,1)</f>
        <v>#N/A</v>
      </c>
      <c r="U685" s="944" t="e">
        <f ca="1">INDEX(FlowCalDevice,MATCH(R685,FlowCalNumber,0),1,1)</f>
        <v>#N/A</v>
      </c>
      <c r="V685" s="20"/>
      <c r="Y685" s="944"/>
      <c r="Z685" s="946"/>
      <c r="AC685" s="944"/>
      <c r="AD685" s="20"/>
      <c r="AG685" s="944"/>
      <c r="AH685" s="946"/>
      <c r="AK685" s="982"/>
      <c r="AL685" s="355"/>
      <c r="AM685" s="355"/>
      <c r="AN685" s="355"/>
      <c r="AO685" s="355"/>
      <c r="AP685" s="355"/>
      <c r="AQ685" s="355"/>
      <c r="AR685" s="355"/>
      <c r="AS685" s="355"/>
      <c r="AT685" s="355"/>
      <c r="AU685" s="355"/>
      <c r="AV685" s="355"/>
      <c r="AW685" s="355"/>
      <c r="AX685" s="355"/>
      <c r="AY685" s="355"/>
      <c r="AZ685" s="355"/>
      <c r="BA685" s="355"/>
      <c r="BB685" s="355"/>
      <c r="BC685" s="355"/>
      <c r="BD685" s="355"/>
      <c r="BE685" s="355"/>
      <c r="BF685" s="355"/>
      <c r="BG685" s="355"/>
      <c r="BH685" s="355"/>
      <c r="BI685" s="355"/>
      <c r="BJ685" s="355"/>
      <c r="BK685" s="355"/>
      <c r="BL685" s="355"/>
      <c r="BM685" s="355"/>
      <c r="BN685" s="355"/>
      <c r="BO685" s="355"/>
      <c r="BP685" s="355"/>
      <c r="BQ685" s="355"/>
      <c r="BR685" s="355"/>
      <c r="BS685" s="355"/>
      <c r="BT685" s="46"/>
      <c r="BU685" s="16"/>
      <c r="BW685" s="355"/>
      <c r="BX685" s="42"/>
      <c r="BY685" s="16"/>
      <c r="CA685" s="355"/>
      <c r="CB685" s="42"/>
      <c r="CC685" s="16"/>
      <c r="CE685" s="355"/>
      <c r="CF685" s="42"/>
      <c r="CG685" s="16"/>
      <c r="CI685" s="355"/>
    </row>
    <row r="686" spans="1:87" s="1215" customFormat="1">
      <c r="A686" s="1222"/>
      <c r="B686" s="1223" t="str">
        <f t="shared" ref="B686:B700" si="320">IF(D686=UAnem1percent,"1% Wind","")</f>
        <v/>
      </c>
      <c r="C686" s="1210"/>
      <c r="D686" s="1211">
        <f>'1% Wind'!$M$82</f>
        <v>27</v>
      </c>
      <c r="E686" s="1212"/>
      <c r="F686" s="1212"/>
      <c r="G686" s="1364">
        <v>2</v>
      </c>
      <c r="H686" s="1214" t="e">
        <f t="shared" ref="H686:H700" ca="1" si="321">H685*(D685/D686)*(G686/G685)</f>
        <v>#VALUE!</v>
      </c>
      <c r="J686" s="1224"/>
      <c r="K686" s="1221">
        <f>K$17/100</f>
        <v>1</v>
      </c>
      <c r="L686" s="1218" t="e">
        <f ca="1">K686*$H686</f>
        <v>#VALUE!</v>
      </c>
      <c r="M686" s="1219" t="e">
        <f ca="1">IF(AND(INDEX(FlowCalConstA,MATCH(J685,FlowCalNumber,0),1,1)*L686^INDEX(FlowCalConstB,MATCH(J685,FlowCalNumber,0),1,1)&gt;INDEX(FlowCalLowSetting,MATCH(J685,FlowCalNumber,0),1,1), (INDEX(FlowCalConstA,MATCH(J685,FlowCalNumber,0),1,1)*L686^INDEX(FlowCalConstB,MATCH(J685,FlowCalNumber,0),1,1)&lt;INDEX(FlowCalHighSetting,MATCH(J685,FlowCalNumber,0),1,1))),INDEX(FlowCalConstA,MATCH(J685,FlowCalNumber,0),1,1)*L686^INDEX(FlowCalConstB,MATCH(J685,FlowCalNumber,0),1,1)," ")</f>
        <v>#N/A</v>
      </c>
      <c r="N686" s="1224"/>
      <c r="O686" s="1221">
        <f>O$17/100</f>
        <v>1</v>
      </c>
      <c r="P686" s="1218" t="e">
        <f ca="1">O686*$H686</f>
        <v>#VALUE!</v>
      </c>
      <c r="Q686" s="1219" t="e">
        <f ca="1">IF(AND(INDEX(FlowCalConstA,MATCH(N685,FlowCalNumber,0),1,1)*P686^INDEX(FlowCalConstB,MATCH(N685,FlowCalNumber,0),1,1)&gt;INDEX(FlowCalLowSetting,MATCH(N685,FlowCalNumber,0),1,1), (INDEX(FlowCalConstA,MATCH(N685,FlowCalNumber,0),1,1)*P686^INDEX(FlowCalConstB,MATCH(N685,FlowCalNumber,0),1,1)&lt;INDEX(FlowCalHighSetting,MATCH(N685,FlowCalNumber,0),1,1))),INDEX(FlowCalConstA,MATCH(N685,FlowCalNumber,0),1,1)*P686^INDEX(FlowCalConstB,MATCH(N685,FlowCalNumber,0),1,1)," ")</f>
        <v>#N/A</v>
      </c>
      <c r="R686" s="1224"/>
      <c r="S686" s="1221">
        <f>S$17/100</f>
        <v>1</v>
      </c>
      <c r="T686" s="1218" t="e">
        <f ca="1">S686*$H686</f>
        <v>#VALUE!</v>
      </c>
      <c r="U686" s="1219" t="e">
        <f ca="1">IF(AND(INDEX(FlowCalConstA,MATCH(R685,FlowCalNumber,0),1,1)*T686^INDEX(FlowCalConstB,MATCH(R685,FlowCalNumber,0),1,1)&gt;INDEX(FlowCalLowSetting,MATCH(R685,FlowCalNumber,0),1,1), (INDEX(FlowCalConstA,MATCH(R685,FlowCalNumber,0),1,1)*T686^INDEX(FlowCalConstB,MATCH(R685,FlowCalNumber,0),1,1)&lt;INDEX(FlowCalHighSetting,MATCH(R685,FlowCalNumber,0),1,1))),INDEX(FlowCalConstA,MATCH(R685,FlowCalNumber,0),1,1)*T686^INDEX(FlowCalConstB,MATCH(R685,FlowCalNumber,0),1,1)," ")</f>
        <v>#N/A</v>
      </c>
      <c r="V686" s="1224"/>
      <c r="W686" s="1221"/>
      <c r="X686" s="1218"/>
      <c r="Y686" s="1219"/>
      <c r="Z686" s="1224"/>
      <c r="AA686" s="1221"/>
      <c r="AB686" s="1218"/>
      <c r="AC686" s="1219"/>
      <c r="AD686" s="1224"/>
      <c r="AE686" s="1221"/>
      <c r="AF686" s="1218"/>
      <c r="AG686" s="1219"/>
      <c r="AH686" s="1224"/>
      <c r="AI686" s="1221"/>
      <c r="AJ686" s="1218"/>
      <c r="AK686" s="1220"/>
      <c r="AL686" s="1219"/>
      <c r="AM686" s="1219"/>
      <c r="AN686" s="1219"/>
      <c r="AO686" s="1219"/>
      <c r="AP686" s="1219"/>
      <c r="AQ686" s="1219"/>
      <c r="AR686" s="1219"/>
      <c r="AS686" s="1219"/>
      <c r="AT686" s="1219"/>
      <c r="AU686" s="1219"/>
      <c r="AV686" s="1219"/>
      <c r="AW686" s="1219"/>
      <c r="AX686" s="1219"/>
      <c r="AY686" s="1219"/>
      <c r="AZ686" s="1219"/>
      <c r="BA686" s="1219"/>
      <c r="BB686" s="1219"/>
      <c r="BC686" s="1219"/>
      <c r="BD686" s="1219"/>
      <c r="BE686" s="1219"/>
      <c r="BF686" s="1219"/>
      <c r="BG686" s="1219"/>
      <c r="BH686" s="1219"/>
      <c r="BI686" s="1219"/>
      <c r="BJ686" s="1219"/>
      <c r="BK686" s="1219"/>
      <c r="BL686" s="1219"/>
      <c r="BM686" s="1219"/>
      <c r="BN686" s="1219"/>
      <c r="BO686" s="1219"/>
      <c r="BP686" s="1219"/>
      <c r="BQ686" s="1219"/>
      <c r="BR686" s="1219"/>
      <c r="BS686" s="1219"/>
      <c r="BU686" s="1225"/>
      <c r="BW686" s="1219"/>
      <c r="BY686" s="1225"/>
      <c r="CA686" s="1219"/>
      <c r="CC686" s="1225"/>
      <c r="CE686" s="1219"/>
      <c r="CG686" s="1221"/>
      <c r="CI686" s="1219"/>
    </row>
    <row r="687" spans="1:87">
      <c r="A687" s="20"/>
      <c r="B687" s="124" t="str">
        <f t="shared" si="320"/>
        <v/>
      </c>
      <c r="C687" s="235"/>
      <c r="D687" s="24">
        <f>'1% Wind'!$M$83</f>
        <v>23.5</v>
      </c>
      <c r="E687" s="90"/>
      <c r="F687" s="90"/>
      <c r="G687" s="79">
        <f ca="1">IF(I685=0.9743,$G686,MAX(G686/D686*D687,2))</f>
        <v>2</v>
      </c>
      <c r="H687" s="121" t="e">
        <f t="shared" ca="1" si="321"/>
        <v>#VALUE!</v>
      </c>
      <c r="J687" s="33"/>
      <c r="K687" s="242">
        <f t="shared" ref="K687:K700" si="322">K686</f>
        <v>1</v>
      </c>
      <c r="L687" s="241" t="e">
        <f t="shared" ref="L687:L700" ca="1" si="323">K687*$H687</f>
        <v>#VALUE!</v>
      </c>
      <c r="M687" s="243" t="e">
        <f ca="1">IF(AND(INDEX(FlowCalConstA,MATCH(J685,FlowCalNumber,0),1,1)*L687^INDEX(FlowCalConstB,MATCH(J685,FlowCalNumber,0),1,1)&gt;INDEX(FlowCalLowSetting,MATCH(J685,FlowCalNumber,0),1,1), (INDEX(FlowCalConstA,MATCH(J685,FlowCalNumber,0),1,1)*L687^INDEX(FlowCalConstB,MATCH(J685,FlowCalNumber,0),1,1)&lt;INDEX(FlowCalHighSetting,MATCH(J685,FlowCalNumber,0),1,1))),INDEX(FlowCalConstA,MATCH(J685,FlowCalNumber,0),1,1)*L687^INDEX(FlowCalConstB,MATCH(J685,FlowCalNumber,0),1,1)," ")</f>
        <v>#N/A</v>
      </c>
      <c r="N687" s="33"/>
      <c r="O687" s="242">
        <f t="shared" ref="O687:O700" si="324">O686</f>
        <v>1</v>
      </c>
      <c r="P687" s="241" t="e">
        <f t="shared" ref="P687:P700" ca="1" si="325">O687*$H687</f>
        <v>#VALUE!</v>
      </c>
      <c r="Q687" s="243" t="e">
        <f ca="1">IF(AND(INDEX(FlowCalConstA,MATCH(N685,FlowCalNumber,0),1,1)*P687^INDEX(FlowCalConstB,MATCH(N685,FlowCalNumber,0),1,1)&gt;INDEX(FlowCalLowSetting,MATCH(N685,FlowCalNumber,0),1,1), (INDEX(FlowCalConstA,MATCH(N685,FlowCalNumber,0),1,1)*P687^INDEX(FlowCalConstB,MATCH(N685,FlowCalNumber,0),1,1)&lt;INDEX(FlowCalHighSetting,MATCH(N685,FlowCalNumber,0),1,1))),INDEX(FlowCalConstA,MATCH(N685,FlowCalNumber,0),1,1)*P687^INDEX(FlowCalConstB,MATCH(N685,FlowCalNumber,0),1,1)," ")</f>
        <v>#N/A</v>
      </c>
      <c r="R687" s="33"/>
      <c r="S687" s="242">
        <f t="shared" ref="S687:S700" si="326">S686</f>
        <v>1</v>
      </c>
      <c r="T687" s="241" t="e">
        <f t="shared" ref="T687:T700" ca="1" si="327">S687*$H687</f>
        <v>#VALUE!</v>
      </c>
      <c r="U687" s="243" t="e">
        <f ca="1">IF(AND(INDEX(FlowCalConstA,MATCH(R685,FlowCalNumber,0),1,1)*T687^INDEX(FlowCalConstB,MATCH(R685,FlowCalNumber,0),1,1)&gt;INDEX(FlowCalLowSetting,MATCH(R685,FlowCalNumber,0),1,1), (INDEX(FlowCalConstA,MATCH(R685,FlowCalNumber,0),1,1)*T687^INDEX(FlowCalConstB,MATCH(R685,FlowCalNumber,0),1,1)&lt;INDEX(FlowCalHighSetting,MATCH(R685,FlowCalNumber,0),1,1))),INDEX(FlowCalConstA,MATCH(R685,FlowCalNumber,0),1,1)*T687^INDEX(FlowCalConstB,MATCH(R685,FlowCalNumber,0),1,1)," ")</f>
        <v>#N/A</v>
      </c>
      <c r="V687" s="33"/>
      <c r="W687" s="242"/>
      <c r="X687" s="241"/>
      <c r="Y687" s="243"/>
      <c r="Z687" s="33"/>
      <c r="AA687" s="242"/>
      <c r="AB687" s="241"/>
      <c r="AC687" s="243"/>
      <c r="AD687" s="33"/>
      <c r="AE687" s="242"/>
      <c r="AF687" s="241"/>
      <c r="AG687" s="243"/>
      <c r="AH687" s="33"/>
      <c r="AI687" s="242"/>
      <c r="AJ687" s="241"/>
      <c r="AK687" s="244"/>
      <c r="AL687" s="243"/>
      <c r="AM687" s="243"/>
      <c r="AN687" s="243"/>
      <c r="AO687" s="243"/>
      <c r="AP687" s="243"/>
      <c r="AQ687" s="243"/>
      <c r="AR687" s="243"/>
      <c r="AS687" s="243"/>
      <c r="AT687" s="243"/>
      <c r="AU687" s="243"/>
      <c r="AV687" s="243"/>
      <c r="AW687" s="243"/>
      <c r="AX687" s="243"/>
      <c r="AY687" s="243"/>
      <c r="AZ687" s="243"/>
      <c r="BA687" s="243"/>
      <c r="BB687" s="243"/>
      <c r="BC687" s="243"/>
      <c r="BD687" s="243"/>
      <c r="BE687" s="243"/>
      <c r="BF687" s="243"/>
      <c r="BG687" s="243"/>
      <c r="BH687" s="243"/>
      <c r="BI687" s="243"/>
      <c r="BJ687" s="243"/>
      <c r="BK687" s="243"/>
      <c r="BL687" s="243"/>
      <c r="BM687" s="243"/>
      <c r="BN687" s="243"/>
      <c r="BO687" s="243"/>
      <c r="BP687" s="243"/>
      <c r="BQ687" s="243"/>
      <c r="BR687" s="243"/>
      <c r="BS687" s="243"/>
      <c r="BU687" s="242"/>
      <c r="BW687" s="243"/>
      <c r="BY687" s="242"/>
      <c r="CA687" s="243"/>
      <c r="CC687" s="242"/>
      <c r="CE687" s="243"/>
      <c r="CG687" s="242"/>
      <c r="CI687" s="243"/>
    </row>
    <row r="688" spans="1:87" s="1215" customFormat="1">
      <c r="A688" s="1222"/>
      <c r="B688" s="1223" t="str">
        <f t="shared" si="320"/>
        <v/>
      </c>
      <c r="C688" s="1210"/>
      <c r="D688" s="1211">
        <f>'1% Wind'!$M$84</f>
        <v>20.5</v>
      </c>
      <c r="E688" s="1212"/>
      <c r="F688" s="1212"/>
      <c r="G688" s="1213">
        <f ca="1">IF(I685=0.9743,$G687,MAX(G687/D687*D688,2))</f>
        <v>2</v>
      </c>
      <c r="H688" s="1214" t="e">
        <f t="shared" ca="1" si="321"/>
        <v>#VALUE!</v>
      </c>
      <c r="J688" s="1224"/>
      <c r="K688" s="1217">
        <f t="shared" si="322"/>
        <v>1</v>
      </c>
      <c r="L688" s="1218" t="e">
        <f t="shared" ca="1" si="323"/>
        <v>#VALUE!</v>
      </c>
      <c r="M688" s="1219" t="e">
        <f ca="1">IF(AND(INDEX(FlowCalConstA,MATCH(J685,FlowCalNumber,0),1,1)*L688^INDEX(FlowCalConstB,MATCH(J685,FlowCalNumber,0),1,1)&gt;INDEX(FlowCalLowSetting,MATCH(J685,FlowCalNumber,0),1,1), (INDEX(FlowCalConstA,MATCH(J685,FlowCalNumber,0),1,1)*L688^INDEX(FlowCalConstB,MATCH(J685,FlowCalNumber,0),1,1)&lt;INDEX(FlowCalHighSetting,MATCH(J685,FlowCalNumber,0),1,1))),INDEX(FlowCalConstA,MATCH(J685,FlowCalNumber,0),1,1)*L688^INDEX(FlowCalConstB,MATCH(J685,FlowCalNumber,0),1,1)," ")</f>
        <v>#N/A</v>
      </c>
      <c r="N688" s="1224"/>
      <c r="O688" s="1217">
        <f t="shared" si="324"/>
        <v>1</v>
      </c>
      <c r="P688" s="1218" t="e">
        <f t="shared" ca="1" si="325"/>
        <v>#VALUE!</v>
      </c>
      <c r="Q688" s="1219" t="e">
        <f ca="1">IF(AND(INDEX(FlowCalConstA,MATCH(N685,FlowCalNumber,0),1,1)*P688^INDEX(FlowCalConstB,MATCH(N685,FlowCalNumber,0),1,1)&gt;INDEX(FlowCalLowSetting,MATCH(N685,FlowCalNumber,0),1,1), (INDEX(FlowCalConstA,MATCH(N685,FlowCalNumber,0),1,1)*P688^INDEX(FlowCalConstB,MATCH(N685,FlowCalNumber,0),1,1)&lt;INDEX(FlowCalHighSetting,MATCH(N685,FlowCalNumber,0),1,1))),INDEX(FlowCalConstA,MATCH(N685,FlowCalNumber,0),1,1)*P688^INDEX(FlowCalConstB,MATCH(N685,FlowCalNumber,0),1,1)," ")</f>
        <v>#N/A</v>
      </c>
      <c r="R688" s="1224"/>
      <c r="S688" s="1217">
        <f t="shared" si="326"/>
        <v>1</v>
      </c>
      <c r="T688" s="1218" t="e">
        <f t="shared" ca="1" si="327"/>
        <v>#VALUE!</v>
      </c>
      <c r="U688" s="1219" t="e">
        <f ca="1">IF(AND(INDEX(FlowCalConstA,MATCH(R685,FlowCalNumber,0),1,1)*T688^INDEX(FlowCalConstB,MATCH(R685,FlowCalNumber,0),1,1)&gt;INDEX(FlowCalLowSetting,MATCH(R685,FlowCalNumber,0),1,1), (INDEX(FlowCalConstA,MATCH(R685,FlowCalNumber,0),1,1)*T688^INDEX(FlowCalConstB,MATCH(R685,FlowCalNumber,0),1,1)&lt;INDEX(FlowCalHighSetting,MATCH(R685,FlowCalNumber,0),1,1))),INDEX(FlowCalConstA,MATCH(R685,FlowCalNumber,0),1,1)*T688^INDEX(FlowCalConstB,MATCH(R685,FlowCalNumber,0),1,1)," ")</f>
        <v>#N/A</v>
      </c>
      <c r="V688" s="1224"/>
      <c r="W688" s="1217"/>
      <c r="X688" s="1218"/>
      <c r="Y688" s="1219"/>
      <c r="Z688" s="1224"/>
      <c r="AA688" s="1217"/>
      <c r="AB688" s="1218"/>
      <c r="AC688" s="1219"/>
      <c r="AD688" s="1224"/>
      <c r="AE688" s="1217"/>
      <c r="AF688" s="1218"/>
      <c r="AG688" s="1219"/>
      <c r="AH688" s="1224"/>
      <c r="AI688" s="1217"/>
      <c r="AJ688" s="1218"/>
      <c r="AK688" s="1220"/>
      <c r="AL688" s="1219"/>
      <c r="AM688" s="1219"/>
      <c r="AN688" s="1219"/>
      <c r="AO688" s="1219"/>
      <c r="AP688" s="1219"/>
      <c r="AQ688" s="1219"/>
      <c r="AR688" s="1219"/>
      <c r="AS688" s="1219"/>
      <c r="AT688" s="1219"/>
      <c r="AU688" s="1219"/>
      <c r="AV688" s="1219"/>
      <c r="AW688" s="1219"/>
      <c r="AX688" s="1219"/>
      <c r="AY688" s="1219"/>
      <c r="AZ688" s="1219"/>
      <c r="BA688" s="1219"/>
      <c r="BB688" s="1219"/>
      <c r="BC688" s="1219"/>
      <c r="BD688" s="1219"/>
      <c r="BE688" s="1219"/>
      <c r="BF688" s="1219"/>
      <c r="BG688" s="1219"/>
      <c r="BH688" s="1219"/>
      <c r="BI688" s="1219"/>
      <c r="BJ688" s="1219"/>
      <c r="BK688" s="1219"/>
      <c r="BL688" s="1219"/>
      <c r="BM688" s="1219"/>
      <c r="BN688" s="1219"/>
      <c r="BO688" s="1219"/>
      <c r="BP688" s="1219"/>
      <c r="BQ688" s="1219"/>
      <c r="BR688" s="1219"/>
      <c r="BS688" s="1219"/>
      <c r="BU688" s="1217"/>
      <c r="BW688" s="1219"/>
      <c r="BY688" s="1217"/>
      <c r="CA688" s="1219"/>
      <c r="CC688" s="1217"/>
      <c r="CE688" s="1219"/>
      <c r="CG688" s="1217"/>
      <c r="CI688" s="1219"/>
    </row>
    <row r="689" spans="1:87">
      <c r="A689" s="20"/>
      <c r="B689" s="124" t="str">
        <f t="shared" si="320"/>
        <v/>
      </c>
      <c r="C689" s="235"/>
      <c r="D689" s="24">
        <f>'1% Wind'!$M$85</f>
        <v>17.8</v>
      </c>
      <c r="E689" s="90"/>
      <c r="F689" s="90"/>
      <c r="G689" s="79">
        <f ca="1">IF(I685=0.9743,$G688,MAX(G688/D688*D689,2))</f>
        <v>2</v>
      </c>
      <c r="H689" s="121" t="e">
        <f t="shared" ca="1" si="321"/>
        <v>#VALUE!</v>
      </c>
      <c r="J689" s="33"/>
      <c r="K689" s="242">
        <f t="shared" si="322"/>
        <v>1</v>
      </c>
      <c r="L689" s="241" t="e">
        <f t="shared" ca="1" si="323"/>
        <v>#VALUE!</v>
      </c>
      <c r="M689" s="243" t="e">
        <f ca="1">IF(AND(INDEX(FlowCalConstA,MATCH(J685,FlowCalNumber,0),1,1)*L689^INDEX(FlowCalConstB,MATCH(J685,FlowCalNumber,0),1,1)&gt;INDEX(FlowCalLowSetting,MATCH(J685,FlowCalNumber,0),1,1), (INDEX(FlowCalConstA,MATCH(J685,FlowCalNumber,0),1,1)*L689^INDEX(FlowCalConstB,MATCH(J685,FlowCalNumber,0),1,1)&lt;INDEX(FlowCalHighSetting,MATCH(J685,FlowCalNumber,0),1,1))),INDEX(FlowCalConstA,MATCH(J685,FlowCalNumber,0),1,1)*L689^INDEX(FlowCalConstB,MATCH(J685,FlowCalNumber,0),1,1)," ")</f>
        <v>#N/A</v>
      </c>
      <c r="N689" s="33"/>
      <c r="O689" s="242">
        <f t="shared" si="324"/>
        <v>1</v>
      </c>
      <c r="P689" s="241" t="e">
        <f t="shared" ca="1" si="325"/>
        <v>#VALUE!</v>
      </c>
      <c r="Q689" s="243" t="e">
        <f ca="1">IF(AND(INDEX(FlowCalConstA,MATCH(N685,FlowCalNumber,0),1,1)*P689^INDEX(FlowCalConstB,MATCH(N685,FlowCalNumber,0),1,1)&gt;INDEX(FlowCalLowSetting,MATCH(N685,FlowCalNumber,0),1,1), (INDEX(FlowCalConstA,MATCH(N685,FlowCalNumber,0),1,1)*P689^INDEX(FlowCalConstB,MATCH(N685,FlowCalNumber,0),1,1)&lt;INDEX(FlowCalHighSetting,MATCH(N685,FlowCalNumber,0),1,1))),INDEX(FlowCalConstA,MATCH(N685,FlowCalNumber,0),1,1)*P689^INDEX(FlowCalConstB,MATCH(N685,FlowCalNumber,0),1,1)," ")</f>
        <v>#N/A</v>
      </c>
      <c r="R689" s="33"/>
      <c r="S689" s="242">
        <f t="shared" si="326"/>
        <v>1</v>
      </c>
      <c r="T689" s="241" t="e">
        <f t="shared" ca="1" si="327"/>
        <v>#VALUE!</v>
      </c>
      <c r="U689" s="243" t="e">
        <f ca="1">IF(AND(INDEX(FlowCalConstA,MATCH(R685,FlowCalNumber,0),1,1)*T689^INDEX(FlowCalConstB,MATCH(R685,FlowCalNumber,0),1,1)&gt;INDEX(FlowCalLowSetting,MATCH(R685,FlowCalNumber,0),1,1), (INDEX(FlowCalConstA,MATCH(R685,FlowCalNumber,0),1,1)*T689^INDEX(FlowCalConstB,MATCH(R685,FlowCalNumber,0),1,1)&lt;INDEX(FlowCalHighSetting,MATCH(R685,FlowCalNumber,0),1,1))),INDEX(FlowCalConstA,MATCH(R685,FlowCalNumber,0),1,1)*T689^INDEX(FlowCalConstB,MATCH(R685,FlowCalNumber,0),1,1)," ")</f>
        <v>#N/A</v>
      </c>
      <c r="V689" s="33"/>
      <c r="W689" s="242"/>
      <c r="X689" s="241"/>
      <c r="Y689" s="243"/>
      <c r="Z689" s="33"/>
      <c r="AA689" s="242"/>
      <c r="AB689" s="241"/>
      <c r="AC689" s="243"/>
      <c r="AD689" s="33"/>
      <c r="AE689" s="242"/>
      <c r="AF689" s="241"/>
      <c r="AG689" s="243"/>
      <c r="AH689" s="33"/>
      <c r="AI689" s="242"/>
      <c r="AJ689" s="241"/>
      <c r="AK689" s="244"/>
      <c r="AL689" s="243"/>
      <c r="AM689" s="243"/>
      <c r="AN689" s="243"/>
      <c r="AO689" s="243"/>
      <c r="AP689" s="243"/>
      <c r="AQ689" s="243"/>
      <c r="AR689" s="243"/>
      <c r="AS689" s="243"/>
      <c r="AT689" s="243"/>
      <c r="AU689" s="243"/>
      <c r="AV689" s="243"/>
      <c r="AW689" s="243"/>
      <c r="AX689" s="243"/>
      <c r="AY689" s="243"/>
      <c r="AZ689" s="243"/>
      <c r="BA689" s="243"/>
      <c r="BB689" s="243"/>
      <c r="BC689" s="243"/>
      <c r="BD689" s="243"/>
      <c r="BE689" s="243"/>
      <c r="BF689" s="243"/>
      <c r="BG689" s="243"/>
      <c r="BH689" s="243"/>
      <c r="BI689" s="243"/>
      <c r="BJ689" s="243"/>
      <c r="BK689" s="243"/>
      <c r="BL689" s="243"/>
      <c r="BM689" s="243"/>
      <c r="BN689" s="243"/>
      <c r="BO689" s="243"/>
      <c r="BP689" s="243"/>
      <c r="BQ689" s="243"/>
      <c r="BR689" s="243"/>
      <c r="BS689" s="243"/>
      <c r="BU689" s="242"/>
      <c r="BW689" s="243"/>
      <c r="BY689" s="242"/>
      <c r="CA689" s="243"/>
      <c r="CC689" s="242"/>
      <c r="CE689" s="243"/>
      <c r="CG689" s="242"/>
      <c r="CI689" s="243"/>
    </row>
    <row r="690" spans="1:87" s="1215" customFormat="1">
      <c r="A690" s="1222"/>
      <c r="B690" s="1223" t="str">
        <f t="shared" si="320"/>
        <v/>
      </c>
      <c r="C690" s="1210"/>
      <c r="D690" s="1211">
        <f>'1% Wind'!$M$86</f>
        <v>15.5</v>
      </c>
      <c r="E690" s="1212"/>
      <c r="F690" s="1212"/>
      <c r="G690" s="1213">
        <f ca="1">IF(I685=0.9743,$G689,MAX(G689/D689*D690,2))</f>
        <v>2</v>
      </c>
      <c r="H690" s="1214" t="e">
        <f t="shared" ca="1" si="321"/>
        <v>#VALUE!</v>
      </c>
      <c r="J690" s="1224"/>
      <c r="K690" s="1217">
        <f t="shared" si="322"/>
        <v>1</v>
      </c>
      <c r="L690" s="1218" t="e">
        <f t="shared" ca="1" si="323"/>
        <v>#VALUE!</v>
      </c>
      <c r="M690" s="1219" t="e">
        <f ca="1">IF(AND(INDEX(FlowCalConstA,MATCH(J685,FlowCalNumber,0),1,1)*L690^INDEX(FlowCalConstB,MATCH(J685,FlowCalNumber,0),1,1)&gt;INDEX(FlowCalLowSetting,MATCH(J685,FlowCalNumber,0),1,1), (INDEX(FlowCalConstA,MATCH(J685,FlowCalNumber,0),1,1)*L690^INDEX(FlowCalConstB,MATCH(J685,FlowCalNumber,0),1,1)&lt;INDEX(FlowCalHighSetting,MATCH(J685,FlowCalNumber,0),1,1))),INDEX(FlowCalConstA,MATCH(J685,FlowCalNumber,0),1,1)*L690^INDEX(FlowCalConstB,MATCH(J685,FlowCalNumber,0),1,1)," ")</f>
        <v>#N/A</v>
      </c>
      <c r="N690" s="1224"/>
      <c r="O690" s="1217">
        <f t="shared" si="324"/>
        <v>1</v>
      </c>
      <c r="P690" s="1218" t="e">
        <f t="shared" ca="1" si="325"/>
        <v>#VALUE!</v>
      </c>
      <c r="Q690" s="1219" t="e">
        <f ca="1">IF(AND(INDEX(FlowCalConstA,MATCH(N685,FlowCalNumber,0),1,1)*P690^INDEX(FlowCalConstB,MATCH(N685,FlowCalNumber,0),1,1)&gt;INDEX(FlowCalLowSetting,MATCH(N685,FlowCalNumber,0),1,1), (INDEX(FlowCalConstA,MATCH(N685,FlowCalNumber,0),1,1)*P690^INDEX(FlowCalConstB,MATCH(N685,FlowCalNumber,0),1,1)&lt;INDEX(FlowCalHighSetting,MATCH(N685,FlowCalNumber,0),1,1))),INDEX(FlowCalConstA,MATCH(N685,FlowCalNumber,0),1,1)*P690^INDEX(FlowCalConstB,MATCH(N685,FlowCalNumber,0),1,1)," ")</f>
        <v>#N/A</v>
      </c>
      <c r="R690" s="1224"/>
      <c r="S690" s="1217">
        <f t="shared" si="326"/>
        <v>1</v>
      </c>
      <c r="T690" s="1218" t="e">
        <f t="shared" ca="1" si="327"/>
        <v>#VALUE!</v>
      </c>
      <c r="U690" s="1219" t="e">
        <f ca="1">IF(AND(INDEX(FlowCalConstA,MATCH(R685,FlowCalNumber,0),1,1)*T690^INDEX(FlowCalConstB,MATCH(R685,FlowCalNumber,0),1,1)&gt;INDEX(FlowCalLowSetting,MATCH(R685,FlowCalNumber,0),1,1), (INDEX(FlowCalConstA,MATCH(R685,FlowCalNumber,0),1,1)*T690^INDEX(FlowCalConstB,MATCH(R685,FlowCalNumber,0),1,1)&lt;INDEX(FlowCalHighSetting,MATCH(R685,FlowCalNumber,0),1,1))),INDEX(FlowCalConstA,MATCH(R685,FlowCalNumber,0),1,1)*T690^INDEX(FlowCalConstB,MATCH(R685,FlowCalNumber,0),1,1)," ")</f>
        <v>#N/A</v>
      </c>
      <c r="V690" s="1224"/>
      <c r="W690" s="1217"/>
      <c r="X690" s="1218"/>
      <c r="Y690" s="1219"/>
      <c r="Z690" s="1224"/>
      <c r="AA690" s="1217"/>
      <c r="AB690" s="1218"/>
      <c r="AC690" s="1219"/>
      <c r="AD690" s="1224"/>
      <c r="AE690" s="1217"/>
      <c r="AF690" s="1218"/>
      <c r="AG690" s="1219"/>
      <c r="AH690" s="1224"/>
      <c r="AI690" s="1217"/>
      <c r="AJ690" s="1218"/>
      <c r="AK690" s="1220"/>
      <c r="AL690" s="1219"/>
      <c r="AM690" s="1219"/>
      <c r="AN690" s="1219"/>
      <c r="AO690" s="1219"/>
      <c r="AP690" s="1219"/>
      <c r="AQ690" s="1219"/>
      <c r="AR690" s="1219"/>
      <c r="AS690" s="1219"/>
      <c r="AT690" s="1219"/>
      <c r="AU690" s="1219"/>
      <c r="AV690" s="1219"/>
      <c r="AW690" s="1219"/>
      <c r="AX690" s="1219"/>
      <c r="AY690" s="1219"/>
      <c r="AZ690" s="1219"/>
      <c r="BA690" s="1219"/>
      <c r="BB690" s="1219"/>
      <c r="BC690" s="1219"/>
      <c r="BD690" s="1219"/>
      <c r="BE690" s="1219"/>
      <c r="BF690" s="1219"/>
      <c r="BG690" s="1219"/>
      <c r="BH690" s="1219"/>
      <c r="BI690" s="1219"/>
      <c r="BJ690" s="1219"/>
      <c r="BK690" s="1219"/>
      <c r="BL690" s="1219"/>
      <c r="BM690" s="1219"/>
      <c r="BN690" s="1219"/>
      <c r="BO690" s="1219"/>
      <c r="BP690" s="1219"/>
      <c r="BQ690" s="1219"/>
      <c r="BR690" s="1219"/>
      <c r="BS690" s="1219"/>
      <c r="BU690" s="1217"/>
      <c r="BW690" s="1219"/>
      <c r="BY690" s="1217"/>
      <c r="CA690" s="1219"/>
      <c r="CC690" s="1217"/>
      <c r="CE690" s="1219"/>
      <c r="CG690" s="1217"/>
      <c r="CI690" s="1219"/>
    </row>
    <row r="691" spans="1:87">
      <c r="A691" s="20"/>
      <c r="B691" s="124" t="str">
        <f t="shared" si="320"/>
        <v/>
      </c>
      <c r="C691" s="235"/>
      <c r="D691" s="24">
        <f>'1% Wind'!$M$87</f>
        <v>13.5</v>
      </c>
      <c r="E691" s="90"/>
      <c r="F691" s="90"/>
      <c r="G691" s="79">
        <f ca="1">IF(I685=0.9743,$G690,MAX(G690/D690*D691,2))</f>
        <v>2</v>
      </c>
      <c r="H691" s="121" t="e">
        <f t="shared" ca="1" si="321"/>
        <v>#VALUE!</v>
      </c>
      <c r="J691" s="33"/>
      <c r="K691" s="242">
        <f t="shared" si="322"/>
        <v>1</v>
      </c>
      <c r="L691" s="241" t="e">
        <f t="shared" ca="1" si="323"/>
        <v>#VALUE!</v>
      </c>
      <c r="M691" s="243" t="e">
        <f ca="1">IF(AND(INDEX(FlowCalConstA,MATCH(J685,FlowCalNumber,0),1,1)*L691^INDEX(FlowCalConstB,MATCH(J685,FlowCalNumber,0),1,1)&gt;INDEX(FlowCalLowSetting,MATCH(J685,FlowCalNumber,0),1,1), (INDEX(FlowCalConstA,MATCH(J685,FlowCalNumber,0),1,1)*L691^INDEX(FlowCalConstB,MATCH(J685,FlowCalNumber,0),1,1)&lt;INDEX(FlowCalHighSetting,MATCH(J685,FlowCalNumber,0),1,1))),INDEX(FlowCalConstA,MATCH(J685,FlowCalNumber,0),1,1)*L691^INDEX(FlowCalConstB,MATCH(J685,FlowCalNumber,0),1,1)," ")</f>
        <v>#N/A</v>
      </c>
      <c r="N691" s="33"/>
      <c r="O691" s="242">
        <f t="shared" si="324"/>
        <v>1</v>
      </c>
      <c r="P691" s="241" t="e">
        <f t="shared" ca="1" si="325"/>
        <v>#VALUE!</v>
      </c>
      <c r="Q691" s="243" t="e">
        <f ca="1">IF(AND(INDEX(FlowCalConstA,MATCH(N685,FlowCalNumber,0),1,1)*P691^INDEX(FlowCalConstB,MATCH(N685,FlowCalNumber,0),1,1)&gt;INDEX(FlowCalLowSetting,MATCH(N685,FlowCalNumber,0),1,1), (INDEX(FlowCalConstA,MATCH(N685,FlowCalNumber,0),1,1)*P691^INDEX(FlowCalConstB,MATCH(N685,FlowCalNumber,0),1,1)&lt;INDEX(FlowCalHighSetting,MATCH(N685,FlowCalNumber,0),1,1))),INDEX(FlowCalConstA,MATCH(N685,FlowCalNumber,0),1,1)*P691^INDEX(FlowCalConstB,MATCH(N685,FlowCalNumber,0),1,1)," ")</f>
        <v>#N/A</v>
      </c>
      <c r="R691" s="33"/>
      <c r="S691" s="242">
        <f t="shared" si="326"/>
        <v>1</v>
      </c>
      <c r="T691" s="241" t="e">
        <f t="shared" ca="1" si="327"/>
        <v>#VALUE!</v>
      </c>
      <c r="U691" s="243" t="e">
        <f ca="1">IF(AND(INDEX(FlowCalConstA,MATCH(R685,FlowCalNumber,0),1,1)*T691^INDEX(FlowCalConstB,MATCH(R685,FlowCalNumber,0),1,1)&gt;INDEX(FlowCalLowSetting,MATCH(R685,FlowCalNumber,0),1,1), (INDEX(FlowCalConstA,MATCH(R685,FlowCalNumber,0),1,1)*T691^INDEX(FlowCalConstB,MATCH(R685,FlowCalNumber,0),1,1)&lt;INDEX(FlowCalHighSetting,MATCH(R685,FlowCalNumber,0),1,1))),INDEX(FlowCalConstA,MATCH(R685,FlowCalNumber,0),1,1)*T691^INDEX(FlowCalConstB,MATCH(R685,FlowCalNumber,0),1,1)," ")</f>
        <v>#N/A</v>
      </c>
      <c r="V691" s="33"/>
      <c r="W691" s="242"/>
      <c r="X691" s="241"/>
      <c r="Y691" s="243"/>
      <c r="Z691" s="33"/>
      <c r="AA691" s="242"/>
      <c r="AB691" s="241"/>
      <c r="AC691" s="243"/>
      <c r="AD691" s="33"/>
      <c r="AE691" s="242"/>
      <c r="AF691" s="241"/>
      <c r="AG691" s="243"/>
      <c r="AH691" s="33"/>
      <c r="AI691" s="242"/>
      <c r="AJ691" s="241"/>
      <c r="AK691" s="244"/>
      <c r="AL691" s="243"/>
      <c r="AM691" s="243"/>
      <c r="AN691" s="243"/>
      <c r="AO691" s="243"/>
      <c r="AP691" s="243"/>
      <c r="AQ691" s="243"/>
      <c r="AR691" s="243"/>
      <c r="AS691" s="243"/>
      <c r="AT691" s="243"/>
      <c r="AU691" s="243"/>
      <c r="AV691" s="243"/>
      <c r="AW691" s="243"/>
      <c r="AX691" s="243"/>
      <c r="AY691" s="243"/>
      <c r="AZ691" s="243"/>
      <c r="BA691" s="243"/>
      <c r="BB691" s="243"/>
      <c r="BC691" s="243"/>
      <c r="BD691" s="243"/>
      <c r="BE691" s="243"/>
      <c r="BF691" s="243"/>
      <c r="BG691" s="243"/>
      <c r="BH691" s="243"/>
      <c r="BI691" s="243"/>
      <c r="BJ691" s="243"/>
      <c r="BK691" s="243"/>
      <c r="BL691" s="243"/>
      <c r="BM691" s="243"/>
      <c r="BN691" s="243"/>
      <c r="BO691" s="243"/>
      <c r="BP691" s="243"/>
      <c r="BQ691" s="243"/>
      <c r="BR691" s="243"/>
      <c r="BS691" s="243"/>
      <c r="BU691" s="242"/>
      <c r="BW691" s="243"/>
      <c r="BY691" s="242"/>
      <c r="CA691" s="243"/>
      <c r="CC691" s="242"/>
      <c r="CE691" s="243"/>
      <c r="CG691" s="242"/>
      <c r="CI691" s="243"/>
    </row>
    <row r="692" spans="1:87" s="1215" customFormat="1">
      <c r="A692" s="1222"/>
      <c r="B692" s="1223" t="str">
        <f t="shared" si="320"/>
        <v/>
      </c>
      <c r="C692" s="1210"/>
      <c r="D692" s="1211">
        <f>'1% Wind'!$M$88</f>
        <v>10.1</v>
      </c>
      <c r="E692" s="1212"/>
      <c r="F692" s="1212"/>
      <c r="G692" s="1213">
        <f ca="1">IF(I685=0.9743,$G691,MAX(G691/D691*D692,2))</f>
        <v>2</v>
      </c>
      <c r="H692" s="1214" t="e">
        <f t="shared" ca="1" si="321"/>
        <v>#VALUE!</v>
      </c>
      <c r="J692" s="1224"/>
      <c r="K692" s="1217">
        <f t="shared" si="322"/>
        <v>1</v>
      </c>
      <c r="L692" s="1218" t="e">
        <f t="shared" ca="1" si="323"/>
        <v>#VALUE!</v>
      </c>
      <c r="M692" s="1219" t="e">
        <f ca="1">IF(AND(INDEX(FlowCalConstA,MATCH(J685,FlowCalNumber,0),1,1)*L692^INDEX(FlowCalConstB,MATCH(J685,FlowCalNumber,0),1,1)&gt;INDEX(FlowCalLowSetting,MATCH(J685,FlowCalNumber,0),1,1), (INDEX(FlowCalConstA,MATCH(J685,FlowCalNumber,0),1,1)*L692^INDEX(FlowCalConstB,MATCH(J685,FlowCalNumber,0),1,1)&lt;INDEX(FlowCalHighSetting,MATCH(J685,FlowCalNumber,0),1,1))),INDEX(FlowCalConstA,MATCH(J685,FlowCalNumber,0),1,1)*L692^INDEX(FlowCalConstB,MATCH(J685,FlowCalNumber,0),1,1)," ")</f>
        <v>#N/A</v>
      </c>
      <c r="N692" s="1224"/>
      <c r="O692" s="1217">
        <f t="shared" si="324"/>
        <v>1</v>
      </c>
      <c r="P692" s="1218" t="e">
        <f t="shared" ca="1" si="325"/>
        <v>#VALUE!</v>
      </c>
      <c r="Q692" s="1219" t="e">
        <f ca="1">IF(AND(INDEX(FlowCalConstA,MATCH(N685,FlowCalNumber,0),1,1)*P692^INDEX(FlowCalConstB,MATCH(N685,FlowCalNumber,0),1,1)&gt;INDEX(FlowCalLowSetting,MATCH(N685,FlowCalNumber,0),1,1), (INDEX(FlowCalConstA,MATCH(N685,FlowCalNumber,0),1,1)*P692^INDEX(FlowCalConstB,MATCH(N685,FlowCalNumber,0),1,1)&lt;INDEX(FlowCalHighSetting,MATCH(N685,FlowCalNumber,0),1,1))),INDEX(FlowCalConstA,MATCH(N685,FlowCalNumber,0),1,1)*P692^INDEX(FlowCalConstB,MATCH(N685,FlowCalNumber,0),1,1)," ")</f>
        <v>#N/A</v>
      </c>
      <c r="R692" s="1224"/>
      <c r="S692" s="1217">
        <f t="shared" si="326"/>
        <v>1</v>
      </c>
      <c r="T692" s="1218" t="e">
        <f t="shared" ca="1" si="327"/>
        <v>#VALUE!</v>
      </c>
      <c r="U692" s="1219" t="e">
        <f ca="1">IF(AND(INDEX(FlowCalConstA,MATCH(R685,FlowCalNumber,0),1,1)*T692^INDEX(FlowCalConstB,MATCH(R685,FlowCalNumber,0),1,1)&gt;INDEX(FlowCalLowSetting,MATCH(R685,FlowCalNumber,0),1,1), (INDEX(FlowCalConstA,MATCH(R685,FlowCalNumber,0),1,1)*T692^INDEX(FlowCalConstB,MATCH(R685,FlowCalNumber,0),1,1)&lt;INDEX(FlowCalHighSetting,MATCH(R685,FlowCalNumber,0),1,1))),INDEX(FlowCalConstA,MATCH(R685,FlowCalNumber,0),1,1)*T692^INDEX(FlowCalConstB,MATCH(R685,FlowCalNumber,0),1,1)," ")</f>
        <v>#N/A</v>
      </c>
      <c r="V692" s="1224"/>
      <c r="W692" s="1217"/>
      <c r="X692" s="1218"/>
      <c r="Y692" s="1219"/>
      <c r="Z692" s="1224"/>
      <c r="AA692" s="1217"/>
      <c r="AB692" s="1218"/>
      <c r="AC692" s="1219"/>
      <c r="AD692" s="1224"/>
      <c r="AE692" s="1217"/>
      <c r="AF692" s="1218"/>
      <c r="AG692" s="1219"/>
      <c r="AH692" s="1224"/>
      <c r="AI692" s="1217"/>
      <c r="AJ692" s="1218"/>
      <c r="AK692" s="1220"/>
      <c r="AL692" s="1219"/>
      <c r="AM692" s="1219"/>
      <c r="AN692" s="1219"/>
      <c r="AO692" s="1219"/>
      <c r="AP692" s="1219"/>
      <c r="AQ692" s="1219"/>
      <c r="AR692" s="1219"/>
      <c r="AS692" s="1219"/>
      <c r="AT692" s="1219"/>
      <c r="AU692" s="1219"/>
      <c r="AV692" s="1219"/>
      <c r="AW692" s="1219"/>
      <c r="AX692" s="1219"/>
      <c r="AY692" s="1219"/>
      <c r="AZ692" s="1219"/>
      <c r="BA692" s="1219"/>
      <c r="BB692" s="1219"/>
      <c r="BC692" s="1219"/>
      <c r="BD692" s="1219"/>
      <c r="BE692" s="1219"/>
      <c r="BF692" s="1219"/>
      <c r="BG692" s="1219"/>
      <c r="BH692" s="1219"/>
      <c r="BI692" s="1219"/>
      <c r="BJ692" s="1219"/>
      <c r="BK692" s="1219"/>
      <c r="BL692" s="1219"/>
      <c r="BM692" s="1219"/>
      <c r="BN692" s="1219"/>
      <c r="BO692" s="1219"/>
      <c r="BP692" s="1219"/>
      <c r="BQ692" s="1219"/>
      <c r="BR692" s="1219"/>
      <c r="BS692" s="1219"/>
      <c r="BU692" s="1217"/>
      <c r="BW692" s="1219"/>
      <c r="BY692" s="1217"/>
      <c r="CA692" s="1219"/>
      <c r="CC692" s="1217"/>
      <c r="CE692" s="1219"/>
      <c r="CG692" s="1217"/>
      <c r="CI692" s="1219"/>
    </row>
    <row r="693" spans="1:87">
      <c r="A693" s="20"/>
      <c r="B693" s="124" t="str">
        <f t="shared" si="320"/>
        <v/>
      </c>
      <c r="C693" s="235"/>
      <c r="D693" s="24">
        <f>'1% Wind'!$M$89</f>
        <v>7.6</v>
      </c>
      <c r="E693" s="90"/>
      <c r="F693" s="90"/>
      <c r="G693" s="79">
        <f ca="1">IF(I685=0.9743,$G692,MAX(G692/D692*D693,2))</f>
        <v>2</v>
      </c>
      <c r="H693" s="121" t="e">
        <f t="shared" ca="1" si="321"/>
        <v>#VALUE!</v>
      </c>
      <c r="J693" s="33"/>
      <c r="K693" s="242">
        <f t="shared" si="322"/>
        <v>1</v>
      </c>
      <c r="L693" s="241" t="e">
        <f t="shared" ca="1" si="323"/>
        <v>#VALUE!</v>
      </c>
      <c r="M693" s="243" t="e">
        <f ca="1">IF(AND(INDEX(FlowCalConstA,MATCH(J685,FlowCalNumber,0),1,1)*L693^INDEX(FlowCalConstB,MATCH(J685,FlowCalNumber,0),1,1)&gt;INDEX(FlowCalLowSetting,MATCH(J685,FlowCalNumber,0),1,1), (INDEX(FlowCalConstA,MATCH(J685,FlowCalNumber,0),1,1)*L693^INDEX(FlowCalConstB,MATCH(J685,FlowCalNumber,0),1,1)&lt;INDEX(FlowCalHighSetting,MATCH(J685,FlowCalNumber,0),1,1))),INDEX(FlowCalConstA,MATCH(J685,FlowCalNumber,0),1,1)*L693^INDEX(FlowCalConstB,MATCH(J685,FlowCalNumber,0),1,1)," ")</f>
        <v>#N/A</v>
      </c>
      <c r="N693" s="33"/>
      <c r="O693" s="242">
        <f t="shared" si="324"/>
        <v>1</v>
      </c>
      <c r="P693" s="241" t="e">
        <f t="shared" ca="1" si="325"/>
        <v>#VALUE!</v>
      </c>
      <c r="Q693" s="243" t="e">
        <f ca="1">IF(AND(INDEX(FlowCalConstA,MATCH(N685,FlowCalNumber,0),1,1)*P693^INDEX(FlowCalConstB,MATCH(N685,FlowCalNumber,0),1,1)&gt;INDEX(FlowCalLowSetting,MATCH(N685,FlowCalNumber,0),1,1), (INDEX(FlowCalConstA,MATCH(N685,FlowCalNumber,0),1,1)*P693^INDEX(FlowCalConstB,MATCH(N685,FlowCalNumber,0),1,1)&lt;INDEX(FlowCalHighSetting,MATCH(N685,FlowCalNumber,0),1,1))),INDEX(FlowCalConstA,MATCH(N685,FlowCalNumber,0),1,1)*P693^INDEX(FlowCalConstB,MATCH(N685,FlowCalNumber,0),1,1)," ")</f>
        <v>#N/A</v>
      </c>
      <c r="R693" s="33"/>
      <c r="S693" s="242">
        <f t="shared" si="326"/>
        <v>1</v>
      </c>
      <c r="T693" s="241" t="e">
        <f t="shared" ca="1" si="327"/>
        <v>#VALUE!</v>
      </c>
      <c r="U693" s="243" t="e">
        <f ca="1">IF(AND(INDEX(FlowCalConstA,MATCH(R685,FlowCalNumber,0),1,1)*T693^INDEX(FlowCalConstB,MATCH(R685,FlowCalNumber,0),1,1)&gt;INDEX(FlowCalLowSetting,MATCH(R685,FlowCalNumber,0),1,1), (INDEX(FlowCalConstA,MATCH(R685,FlowCalNumber,0),1,1)*T693^INDEX(FlowCalConstB,MATCH(R685,FlowCalNumber,0),1,1)&lt;INDEX(FlowCalHighSetting,MATCH(R685,FlowCalNumber,0),1,1))),INDEX(FlowCalConstA,MATCH(R685,FlowCalNumber,0),1,1)*T693^INDEX(FlowCalConstB,MATCH(R685,FlowCalNumber,0),1,1)," ")</f>
        <v>#N/A</v>
      </c>
      <c r="V693" s="33"/>
      <c r="W693" s="242"/>
      <c r="X693" s="241"/>
      <c r="Y693" s="243"/>
      <c r="Z693" s="33"/>
      <c r="AA693" s="242"/>
      <c r="AB693" s="241"/>
      <c r="AC693" s="243"/>
      <c r="AD693" s="33"/>
      <c r="AE693" s="242"/>
      <c r="AF693" s="241"/>
      <c r="AG693" s="243"/>
      <c r="AH693" s="33"/>
      <c r="AI693" s="242"/>
      <c r="AJ693" s="241"/>
      <c r="AK693" s="244"/>
      <c r="AL693" s="243"/>
      <c r="AM693" s="243"/>
      <c r="AN693" s="243"/>
      <c r="AO693" s="243"/>
      <c r="AP693" s="243"/>
      <c r="AQ693" s="243"/>
      <c r="AR693" s="243"/>
      <c r="AS693" s="243"/>
      <c r="AT693" s="243"/>
      <c r="AU693" s="243"/>
      <c r="AV693" s="243"/>
      <c r="AW693" s="243"/>
      <c r="AX693" s="243"/>
      <c r="AY693" s="243"/>
      <c r="AZ693" s="243"/>
      <c r="BA693" s="243"/>
      <c r="BB693" s="243"/>
      <c r="BC693" s="243"/>
      <c r="BD693" s="243"/>
      <c r="BE693" s="243"/>
      <c r="BF693" s="243"/>
      <c r="BG693" s="243"/>
      <c r="BH693" s="243"/>
      <c r="BI693" s="243"/>
      <c r="BJ693" s="243"/>
      <c r="BK693" s="243"/>
      <c r="BL693" s="243"/>
      <c r="BM693" s="243"/>
      <c r="BN693" s="243"/>
      <c r="BO693" s="243"/>
      <c r="BP693" s="243"/>
      <c r="BQ693" s="243"/>
      <c r="BR693" s="243"/>
      <c r="BS693" s="243"/>
      <c r="BU693" s="242"/>
      <c r="BW693" s="243"/>
      <c r="BY693" s="242"/>
      <c r="CA693" s="243"/>
      <c r="CC693" s="242"/>
      <c r="CE693" s="243"/>
      <c r="CG693" s="242"/>
      <c r="CI693" s="243"/>
    </row>
    <row r="694" spans="1:87" s="1215" customFormat="1">
      <c r="A694" s="1222"/>
      <c r="B694" s="1223" t="str">
        <f t="shared" si="320"/>
        <v/>
      </c>
      <c r="C694" s="1210"/>
      <c r="D694" s="1211">
        <f>'1% Wind'!$M$90</f>
        <v>5.7</v>
      </c>
      <c r="E694" s="1212"/>
      <c r="F694" s="1212"/>
      <c r="G694" s="1213">
        <f ca="1">IF(I685=0.9743,$G693,MAX(G693/D693*D694,2))</f>
        <v>2</v>
      </c>
      <c r="H694" s="1214" t="e">
        <f t="shared" ca="1" si="321"/>
        <v>#VALUE!</v>
      </c>
      <c r="J694" s="1224"/>
      <c r="K694" s="1217">
        <f t="shared" si="322"/>
        <v>1</v>
      </c>
      <c r="L694" s="1218" t="e">
        <f t="shared" ca="1" si="323"/>
        <v>#VALUE!</v>
      </c>
      <c r="M694" s="1219" t="e">
        <f ca="1">IF(AND(INDEX(FlowCalConstA,MATCH(J685,FlowCalNumber,0),1,1)*L694^INDEX(FlowCalConstB,MATCH(J685,FlowCalNumber,0),1,1)&gt;INDEX(FlowCalLowSetting,MATCH(J685,FlowCalNumber,0),1,1), (INDEX(FlowCalConstA,MATCH(J685,FlowCalNumber,0),1,1)*L694^INDEX(FlowCalConstB,MATCH(J685,FlowCalNumber,0),1,1)&lt;INDEX(FlowCalHighSetting,MATCH(J685,FlowCalNumber,0),1,1))),INDEX(FlowCalConstA,MATCH(J685,FlowCalNumber,0),1,1)*L694^INDEX(FlowCalConstB,MATCH(J685,FlowCalNumber,0),1,1)," ")</f>
        <v>#N/A</v>
      </c>
      <c r="N694" s="1224"/>
      <c r="O694" s="1217">
        <f t="shared" si="324"/>
        <v>1</v>
      </c>
      <c r="P694" s="1218" t="e">
        <f t="shared" ca="1" si="325"/>
        <v>#VALUE!</v>
      </c>
      <c r="Q694" s="1219" t="e">
        <f ca="1">IF(AND(INDEX(FlowCalConstA,MATCH(N685,FlowCalNumber,0),1,1)*P694^INDEX(FlowCalConstB,MATCH(N685,FlowCalNumber,0),1,1)&gt;INDEX(FlowCalLowSetting,MATCH(N685,FlowCalNumber,0),1,1), (INDEX(FlowCalConstA,MATCH(N685,FlowCalNumber,0),1,1)*P694^INDEX(FlowCalConstB,MATCH(N685,FlowCalNumber,0),1,1)&lt;INDEX(FlowCalHighSetting,MATCH(N685,FlowCalNumber,0),1,1))),INDEX(FlowCalConstA,MATCH(N685,FlowCalNumber,0),1,1)*P694^INDEX(FlowCalConstB,MATCH(N685,FlowCalNumber,0),1,1)," ")</f>
        <v>#N/A</v>
      </c>
      <c r="R694" s="1224"/>
      <c r="S694" s="1217">
        <f t="shared" si="326"/>
        <v>1</v>
      </c>
      <c r="T694" s="1218" t="e">
        <f t="shared" ca="1" si="327"/>
        <v>#VALUE!</v>
      </c>
      <c r="U694" s="1219" t="e">
        <f ca="1">IF(AND(INDEX(FlowCalConstA,MATCH(R685,FlowCalNumber,0),1,1)*T694^INDEX(FlowCalConstB,MATCH(R685,FlowCalNumber,0),1,1)&gt;INDEX(FlowCalLowSetting,MATCH(R685,FlowCalNumber,0),1,1), (INDEX(FlowCalConstA,MATCH(R685,FlowCalNumber,0),1,1)*T694^INDEX(FlowCalConstB,MATCH(R685,FlowCalNumber,0),1,1)&lt;INDEX(FlowCalHighSetting,MATCH(R685,FlowCalNumber,0),1,1))),INDEX(FlowCalConstA,MATCH(R685,FlowCalNumber,0),1,1)*T694^INDEX(FlowCalConstB,MATCH(R685,FlowCalNumber,0),1,1)," ")</f>
        <v>#N/A</v>
      </c>
      <c r="V694" s="1224"/>
      <c r="W694" s="1217"/>
      <c r="X694" s="1218"/>
      <c r="Y694" s="1219"/>
      <c r="Z694" s="1224"/>
      <c r="AA694" s="1217"/>
      <c r="AB694" s="1218"/>
      <c r="AC694" s="1219"/>
      <c r="AD694" s="1224"/>
      <c r="AE694" s="1217"/>
      <c r="AF694" s="1218"/>
      <c r="AG694" s="1219"/>
      <c r="AH694" s="1224"/>
      <c r="AI694" s="1217"/>
      <c r="AJ694" s="1218"/>
      <c r="AK694" s="1220"/>
      <c r="AL694" s="1219"/>
      <c r="AM694" s="1219"/>
      <c r="AN694" s="1219"/>
      <c r="AO694" s="1219"/>
      <c r="AP694" s="1219"/>
      <c r="AQ694" s="1219"/>
      <c r="AR694" s="1219"/>
      <c r="AS694" s="1219"/>
      <c r="AT694" s="1219"/>
      <c r="AU694" s="1219"/>
      <c r="AV694" s="1219"/>
      <c r="AW694" s="1219"/>
      <c r="AX694" s="1219"/>
      <c r="AY694" s="1219"/>
      <c r="AZ694" s="1219"/>
      <c r="BA694" s="1219"/>
      <c r="BB694" s="1219"/>
      <c r="BC694" s="1219"/>
      <c r="BD694" s="1219"/>
      <c r="BE694" s="1219"/>
      <c r="BF694" s="1219"/>
      <c r="BG694" s="1219"/>
      <c r="BH694" s="1219"/>
      <c r="BI694" s="1219"/>
      <c r="BJ694" s="1219"/>
      <c r="BK694" s="1219"/>
      <c r="BL694" s="1219"/>
      <c r="BM694" s="1219"/>
      <c r="BN694" s="1219"/>
      <c r="BO694" s="1219"/>
      <c r="BP694" s="1219"/>
      <c r="BQ694" s="1219"/>
      <c r="BR694" s="1219"/>
      <c r="BS694" s="1219"/>
      <c r="BU694" s="1217"/>
      <c r="BW694" s="1219"/>
      <c r="BY694" s="1217"/>
      <c r="CA694" s="1219"/>
      <c r="CC694" s="1217"/>
      <c r="CE694" s="1219"/>
      <c r="CG694" s="1217"/>
      <c r="CI694" s="1219"/>
    </row>
    <row r="695" spans="1:87">
      <c r="A695" s="20"/>
      <c r="B695" s="124" t="str">
        <f t="shared" si="320"/>
        <v/>
      </c>
      <c r="C695" s="235"/>
      <c r="D695" s="24">
        <f>'1% Wind'!$M$91</f>
        <v>4.2</v>
      </c>
      <c r="E695" s="90"/>
      <c r="F695" s="90"/>
      <c r="G695" s="79">
        <f ca="1">IF(I685=0.9743,$G694,MAX(G694/D694*D695,2))</f>
        <v>2</v>
      </c>
      <c r="H695" s="121" t="e">
        <f t="shared" ca="1" si="321"/>
        <v>#VALUE!</v>
      </c>
      <c r="J695" s="33"/>
      <c r="K695" s="242">
        <f t="shared" si="322"/>
        <v>1</v>
      </c>
      <c r="L695" s="241" t="e">
        <f t="shared" ca="1" si="323"/>
        <v>#VALUE!</v>
      </c>
      <c r="M695" s="243" t="e">
        <f ca="1">IF(AND(INDEX(FlowCalConstA,MATCH(J685,FlowCalNumber,0),1,1)*L695^INDEX(FlowCalConstB,MATCH(J685,FlowCalNumber,0),1,1)&gt;INDEX(FlowCalLowSetting,MATCH(J685,FlowCalNumber,0),1,1), (INDEX(FlowCalConstA,MATCH(J685,FlowCalNumber,0),1,1)*L695^INDEX(FlowCalConstB,MATCH(J685,FlowCalNumber,0),1,1)&lt;INDEX(FlowCalHighSetting,MATCH(J685,FlowCalNumber,0),1,1))),INDEX(FlowCalConstA,MATCH(J685,FlowCalNumber,0),1,1)*L695^INDEX(FlowCalConstB,MATCH(J685,FlowCalNumber,0),1,1)," ")</f>
        <v>#N/A</v>
      </c>
      <c r="N695" s="33"/>
      <c r="O695" s="242">
        <f t="shared" si="324"/>
        <v>1</v>
      </c>
      <c r="P695" s="241" t="e">
        <f t="shared" ca="1" si="325"/>
        <v>#VALUE!</v>
      </c>
      <c r="Q695" s="243" t="e">
        <f ca="1">IF(AND(INDEX(FlowCalConstA,MATCH(N685,FlowCalNumber,0),1,1)*P695^INDEX(FlowCalConstB,MATCH(N685,FlowCalNumber,0),1,1)&gt;INDEX(FlowCalLowSetting,MATCH(N685,FlowCalNumber,0),1,1), (INDEX(FlowCalConstA,MATCH(N685,FlowCalNumber,0),1,1)*P695^INDEX(FlowCalConstB,MATCH(N685,FlowCalNumber,0),1,1)&lt;INDEX(FlowCalHighSetting,MATCH(N685,FlowCalNumber,0),1,1))),INDEX(FlowCalConstA,MATCH(N685,FlowCalNumber,0),1,1)*P695^INDEX(FlowCalConstB,MATCH(N685,FlowCalNumber,0),1,1)," ")</f>
        <v>#N/A</v>
      </c>
      <c r="R695" s="33"/>
      <c r="S695" s="242">
        <f t="shared" si="326"/>
        <v>1</v>
      </c>
      <c r="T695" s="241" t="e">
        <f t="shared" ca="1" si="327"/>
        <v>#VALUE!</v>
      </c>
      <c r="U695" s="243" t="e">
        <f ca="1">IF(AND(INDEX(FlowCalConstA,MATCH(R685,FlowCalNumber,0),1,1)*T695^INDEX(FlowCalConstB,MATCH(R685,FlowCalNumber,0),1,1)&gt;INDEX(FlowCalLowSetting,MATCH(R685,FlowCalNumber,0),1,1), (INDEX(FlowCalConstA,MATCH(R685,FlowCalNumber,0),1,1)*T695^INDEX(FlowCalConstB,MATCH(R685,FlowCalNumber,0),1,1)&lt;INDEX(FlowCalHighSetting,MATCH(R685,FlowCalNumber,0),1,1))),INDEX(FlowCalConstA,MATCH(R685,FlowCalNumber,0),1,1)*T695^INDEX(FlowCalConstB,MATCH(R685,FlowCalNumber,0),1,1)," ")</f>
        <v>#N/A</v>
      </c>
      <c r="V695" s="33"/>
      <c r="W695" s="242"/>
      <c r="X695" s="241"/>
      <c r="Y695" s="243"/>
      <c r="Z695" s="33"/>
      <c r="AA695" s="242"/>
      <c r="AB695" s="241"/>
      <c r="AC695" s="243"/>
      <c r="AD695" s="33"/>
      <c r="AE695" s="242"/>
      <c r="AF695" s="241"/>
      <c r="AG695" s="243"/>
      <c r="AH695" s="33"/>
      <c r="AI695" s="242"/>
      <c r="AJ695" s="241"/>
      <c r="AK695" s="244"/>
      <c r="AL695" s="243"/>
      <c r="AM695" s="243"/>
      <c r="AN695" s="243"/>
      <c r="AO695" s="243"/>
      <c r="AP695" s="243"/>
      <c r="AQ695" s="243"/>
      <c r="AR695" s="243"/>
      <c r="AS695" s="243"/>
      <c r="AT695" s="243"/>
      <c r="AU695" s="243"/>
      <c r="AV695" s="243"/>
      <c r="AW695" s="243"/>
      <c r="AX695" s="243"/>
      <c r="AY695" s="243"/>
      <c r="AZ695" s="243"/>
      <c r="BA695" s="243"/>
      <c r="BB695" s="243"/>
      <c r="BC695" s="243"/>
      <c r="BD695" s="243"/>
      <c r="BE695" s="243"/>
      <c r="BF695" s="243"/>
      <c r="BG695" s="243"/>
      <c r="BH695" s="243"/>
      <c r="BI695" s="243"/>
      <c r="BJ695" s="243"/>
      <c r="BK695" s="243"/>
      <c r="BL695" s="243"/>
      <c r="BM695" s="243"/>
      <c r="BN695" s="243"/>
      <c r="BO695" s="243"/>
      <c r="BP695" s="243"/>
      <c r="BQ695" s="243"/>
      <c r="BR695" s="243"/>
      <c r="BS695" s="243"/>
      <c r="BU695" s="242"/>
      <c r="BW695" s="243"/>
      <c r="BY695" s="242"/>
      <c r="CA695" s="243"/>
      <c r="CC695" s="242"/>
      <c r="CE695" s="243"/>
      <c r="CG695" s="242"/>
      <c r="CI695" s="243"/>
    </row>
    <row r="696" spans="1:87" s="1215" customFormat="1">
      <c r="A696" s="1222"/>
      <c r="B696" s="1223" t="str">
        <f t="shared" si="320"/>
        <v/>
      </c>
      <c r="C696" s="1210"/>
      <c r="D696" s="1211">
        <f>'1% Wind'!$M$92</f>
        <v>3.2</v>
      </c>
      <c r="E696" s="1212"/>
      <c r="F696" s="1212"/>
      <c r="G696" s="1213">
        <f ca="1">IF(I685=0.9743,$G695,MAX(G695/D695*D696,2))</f>
        <v>2</v>
      </c>
      <c r="H696" s="1214" t="e">
        <f t="shared" ca="1" si="321"/>
        <v>#VALUE!</v>
      </c>
      <c r="J696" s="1224"/>
      <c r="K696" s="1217">
        <f t="shared" si="322"/>
        <v>1</v>
      </c>
      <c r="L696" s="1218" t="e">
        <f t="shared" ca="1" si="323"/>
        <v>#VALUE!</v>
      </c>
      <c r="M696" s="1219" t="e">
        <f ca="1">IF(AND(INDEX(FlowCalConstA,MATCH(J685,FlowCalNumber,0),1,1)*L696^INDEX(FlowCalConstB,MATCH(J685,FlowCalNumber,0),1,1)&gt;INDEX(FlowCalLowSetting,MATCH(J685,FlowCalNumber,0),1,1), (INDEX(FlowCalConstA,MATCH(J685,FlowCalNumber,0),1,1)*L696^INDEX(FlowCalConstB,MATCH(J685,FlowCalNumber,0),1,1)&lt;INDEX(FlowCalHighSetting,MATCH(J685,FlowCalNumber,0),1,1))),INDEX(FlowCalConstA,MATCH(J685,FlowCalNumber,0),1,1)*L696^INDEX(FlowCalConstB,MATCH(J685,FlowCalNumber,0),1,1)," ")</f>
        <v>#N/A</v>
      </c>
      <c r="N696" s="1224"/>
      <c r="O696" s="1217">
        <f t="shared" si="324"/>
        <v>1</v>
      </c>
      <c r="P696" s="1218" t="e">
        <f t="shared" ca="1" si="325"/>
        <v>#VALUE!</v>
      </c>
      <c r="Q696" s="1219" t="e">
        <f ca="1">IF(AND(INDEX(FlowCalConstA,MATCH(N685,FlowCalNumber,0),1,1)*P696^INDEX(FlowCalConstB,MATCH(N685,FlowCalNumber,0),1,1)&gt;INDEX(FlowCalLowSetting,MATCH(N685,FlowCalNumber,0),1,1), (INDEX(FlowCalConstA,MATCH(N685,FlowCalNumber,0),1,1)*P696^INDEX(FlowCalConstB,MATCH(N685,FlowCalNumber,0),1,1)&lt;INDEX(FlowCalHighSetting,MATCH(N685,FlowCalNumber,0),1,1))),INDEX(FlowCalConstA,MATCH(N685,FlowCalNumber,0),1,1)*P696^INDEX(FlowCalConstB,MATCH(N685,FlowCalNumber,0),1,1)," ")</f>
        <v>#N/A</v>
      </c>
      <c r="R696" s="1224"/>
      <c r="S696" s="1217">
        <f t="shared" si="326"/>
        <v>1</v>
      </c>
      <c r="T696" s="1218" t="e">
        <f t="shared" ca="1" si="327"/>
        <v>#VALUE!</v>
      </c>
      <c r="U696" s="1219" t="e">
        <f ca="1">IF(AND(INDEX(FlowCalConstA,MATCH(R685,FlowCalNumber,0),1,1)*T696^INDEX(FlowCalConstB,MATCH(R685,FlowCalNumber,0),1,1)&gt;INDEX(FlowCalLowSetting,MATCH(R685,FlowCalNumber,0),1,1), (INDEX(FlowCalConstA,MATCH(R685,FlowCalNumber,0),1,1)*T696^INDEX(FlowCalConstB,MATCH(R685,FlowCalNumber,0),1,1)&lt;INDEX(FlowCalHighSetting,MATCH(R685,FlowCalNumber,0),1,1))),INDEX(FlowCalConstA,MATCH(R685,FlowCalNumber,0),1,1)*T696^INDEX(FlowCalConstB,MATCH(R685,FlowCalNumber,0),1,1)," ")</f>
        <v>#N/A</v>
      </c>
      <c r="V696" s="1224"/>
      <c r="W696" s="1217"/>
      <c r="X696" s="1218"/>
      <c r="Y696" s="1219"/>
      <c r="Z696" s="1224"/>
      <c r="AA696" s="1217"/>
      <c r="AB696" s="1218"/>
      <c r="AC696" s="1219"/>
      <c r="AD696" s="1224"/>
      <c r="AE696" s="1217"/>
      <c r="AF696" s="1218"/>
      <c r="AG696" s="1219"/>
      <c r="AH696" s="1224"/>
      <c r="AI696" s="1217"/>
      <c r="AJ696" s="1218"/>
      <c r="AK696" s="1220"/>
      <c r="AL696" s="1219"/>
      <c r="AM696" s="1219"/>
      <c r="AN696" s="1219"/>
      <c r="AO696" s="1219"/>
      <c r="AP696" s="1219"/>
      <c r="AQ696" s="1219"/>
      <c r="AR696" s="1219"/>
      <c r="AS696" s="1219"/>
      <c r="AT696" s="1219"/>
      <c r="AU696" s="1219"/>
      <c r="AV696" s="1219"/>
      <c r="AW696" s="1219"/>
      <c r="AX696" s="1219"/>
      <c r="AY696" s="1219"/>
      <c r="AZ696" s="1219"/>
      <c r="BA696" s="1219"/>
      <c r="BB696" s="1219"/>
      <c r="BC696" s="1219"/>
      <c r="BD696" s="1219"/>
      <c r="BE696" s="1219"/>
      <c r="BF696" s="1219"/>
      <c r="BG696" s="1219"/>
      <c r="BH696" s="1219"/>
      <c r="BI696" s="1219"/>
      <c r="BJ696" s="1219"/>
      <c r="BK696" s="1219"/>
      <c r="BL696" s="1219"/>
      <c r="BM696" s="1219"/>
      <c r="BN696" s="1219"/>
      <c r="BO696" s="1219"/>
      <c r="BP696" s="1219"/>
      <c r="BQ696" s="1219"/>
      <c r="BR696" s="1219"/>
      <c r="BS696" s="1219"/>
      <c r="BU696" s="1217"/>
      <c r="BW696" s="1219"/>
      <c r="BY696" s="1217"/>
      <c r="CA696" s="1219"/>
      <c r="CC696" s="1217"/>
      <c r="CE696" s="1219"/>
      <c r="CG696" s="1217"/>
      <c r="CI696" s="1219"/>
    </row>
    <row r="697" spans="1:87">
      <c r="A697" s="20"/>
      <c r="B697" s="124" t="str">
        <f t="shared" si="320"/>
        <v/>
      </c>
      <c r="C697" s="235"/>
      <c r="D697" s="24">
        <f>'1% Wind'!$M$93</f>
        <v>2.4</v>
      </c>
      <c r="E697" s="90"/>
      <c r="F697" s="90"/>
      <c r="G697" s="79">
        <f ca="1">IF(I685=0.9743,$G696,MAX(G696/D696*D697,2))</f>
        <v>2</v>
      </c>
      <c r="H697" s="121" t="e">
        <f t="shared" ca="1" si="321"/>
        <v>#VALUE!</v>
      </c>
      <c r="J697" s="33"/>
      <c r="K697" s="242">
        <f t="shared" si="322"/>
        <v>1</v>
      </c>
      <c r="L697" s="241" t="e">
        <f t="shared" ca="1" si="323"/>
        <v>#VALUE!</v>
      </c>
      <c r="M697" s="243" t="e">
        <f ca="1">IF(AND(INDEX(FlowCalConstA,MATCH(J685,FlowCalNumber,0),1,1)*L697^INDEX(FlowCalConstB,MATCH(J685,FlowCalNumber,0),1,1)&gt;INDEX(FlowCalLowSetting,MATCH(J685,FlowCalNumber,0),1,1), (INDEX(FlowCalConstA,MATCH(J685,FlowCalNumber,0),1,1)*L697^INDEX(FlowCalConstB,MATCH(J685,FlowCalNumber,0),1,1)&lt;INDEX(FlowCalHighSetting,MATCH(J685,FlowCalNumber,0),1,1))),INDEX(FlowCalConstA,MATCH(J685,FlowCalNumber,0),1,1)*L697^INDEX(FlowCalConstB,MATCH(J685,FlowCalNumber,0),1,1)," ")</f>
        <v>#N/A</v>
      </c>
      <c r="N697" s="33"/>
      <c r="O697" s="242">
        <f t="shared" si="324"/>
        <v>1</v>
      </c>
      <c r="P697" s="241" t="e">
        <f t="shared" ca="1" si="325"/>
        <v>#VALUE!</v>
      </c>
      <c r="Q697" s="243" t="e">
        <f ca="1">IF(AND(INDEX(FlowCalConstA,MATCH(N685,FlowCalNumber,0),1,1)*P697^INDEX(FlowCalConstB,MATCH(N685,FlowCalNumber,0),1,1)&gt;INDEX(FlowCalLowSetting,MATCH(N685,FlowCalNumber,0),1,1), (INDEX(FlowCalConstA,MATCH(N685,FlowCalNumber,0),1,1)*P697^INDEX(FlowCalConstB,MATCH(N685,FlowCalNumber,0),1,1)&lt;INDEX(FlowCalHighSetting,MATCH(N685,FlowCalNumber,0),1,1))),INDEX(FlowCalConstA,MATCH(N685,FlowCalNumber,0),1,1)*P697^INDEX(FlowCalConstB,MATCH(N685,FlowCalNumber,0),1,1)," ")</f>
        <v>#N/A</v>
      </c>
      <c r="R697" s="33"/>
      <c r="S697" s="242">
        <f t="shared" si="326"/>
        <v>1</v>
      </c>
      <c r="T697" s="241" t="e">
        <f t="shared" ca="1" si="327"/>
        <v>#VALUE!</v>
      </c>
      <c r="U697" s="243" t="e">
        <f ca="1">IF(AND(INDEX(FlowCalConstA,MATCH(R685,FlowCalNumber,0),1,1)*T697^INDEX(FlowCalConstB,MATCH(R685,FlowCalNumber,0),1,1)&gt;INDEX(FlowCalLowSetting,MATCH(R685,FlowCalNumber,0),1,1), (INDEX(FlowCalConstA,MATCH(R685,FlowCalNumber,0),1,1)*T697^INDEX(FlowCalConstB,MATCH(R685,FlowCalNumber,0),1,1)&lt;INDEX(FlowCalHighSetting,MATCH(R685,FlowCalNumber,0),1,1))),INDEX(FlowCalConstA,MATCH(R685,FlowCalNumber,0),1,1)*T697^INDEX(FlowCalConstB,MATCH(R685,FlowCalNumber,0),1,1)," ")</f>
        <v>#N/A</v>
      </c>
      <c r="V697" s="33"/>
      <c r="W697" s="242"/>
      <c r="X697" s="241"/>
      <c r="Y697" s="243"/>
      <c r="Z697" s="33"/>
      <c r="AA697" s="242"/>
      <c r="AB697" s="241"/>
      <c r="AC697" s="243"/>
      <c r="AD697" s="33"/>
      <c r="AE697" s="242"/>
      <c r="AF697" s="241"/>
      <c r="AG697" s="243"/>
      <c r="AH697" s="33"/>
      <c r="AI697" s="242"/>
      <c r="AJ697" s="241"/>
      <c r="AK697" s="244"/>
      <c r="AL697" s="243"/>
      <c r="AM697" s="243"/>
      <c r="AN697" s="243"/>
      <c r="AO697" s="243"/>
      <c r="AP697" s="243"/>
      <c r="AQ697" s="243"/>
      <c r="AR697" s="243"/>
      <c r="AS697" s="243"/>
      <c r="AT697" s="243"/>
      <c r="AU697" s="243"/>
      <c r="AV697" s="243"/>
      <c r="AW697" s="243"/>
      <c r="AX697" s="243"/>
      <c r="AY697" s="243"/>
      <c r="AZ697" s="243"/>
      <c r="BA697" s="243"/>
      <c r="BB697" s="243"/>
      <c r="BC697" s="243"/>
      <c r="BD697" s="243"/>
      <c r="BE697" s="243"/>
      <c r="BF697" s="243"/>
      <c r="BG697" s="243"/>
      <c r="BH697" s="243"/>
      <c r="BI697" s="243"/>
      <c r="BJ697" s="243"/>
      <c r="BK697" s="243"/>
      <c r="BL697" s="243"/>
      <c r="BM697" s="243"/>
      <c r="BN697" s="243"/>
      <c r="BO697" s="243"/>
      <c r="BP697" s="243"/>
      <c r="BQ697" s="243"/>
      <c r="BR697" s="243"/>
      <c r="BS697" s="243"/>
      <c r="BU697" s="242"/>
      <c r="BW697" s="243"/>
      <c r="BY697" s="242"/>
      <c r="CA697" s="243"/>
      <c r="CC697" s="242"/>
      <c r="CE697" s="243"/>
      <c r="CG697" s="242"/>
      <c r="CI697" s="243"/>
    </row>
    <row r="698" spans="1:87" s="1215" customFormat="1">
      <c r="A698" s="1222"/>
      <c r="B698" s="1223" t="str">
        <f t="shared" si="320"/>
        <v/>
      </c>
      <c r="C698" s="1210"/>
      <c r="D698" s="1211">
        <f>'1% Wind'!$M$94</f>
        <v>1.8</v>
      </c>
      <c r="E698" s="1212"/>
      <c r="F698" s="1212"/>
      <c r="G698" s="1213">
        <f ca="1">IF(I685=0.9743,$G697,MAX(G697/D697*D698,2))</f>
        <v>2</v>
      </c>
      <c r="H698" s="1214" t="e">
        <f t="shared" ca="1" si="321"/>
        <v>#VALUE!</v>
      </c>
      <c r="J698" s="1224"/>
      <c r="K698" s="1217">
        <f t="shared" si="322"/>
        <v>1</v>
      </c>
      <c r="L698" s="1218" t="e">
        <f t="shared" ca="1" si="323"/>
        <v>#VALUE!</v>
      </c>
      <c r="M698" s="1219" t="e">
        <f ca="1">IF(AND(INDEX(FlowCalConstA,MATCH(J685,FlowCalNumber,0),1,1)*L698^INDEX(FlowCalConstB,MATCH(J685,FlowCalNumber,0),1,1)&gt;INDEX(FlowCalLowSetting,MATCH(J685,FlowCalNumber,0),1,1), (INDEX(FlowCalConstA,MATCH(J685,FlowCalNumber,0),1,1)*L698^INDEX(FlowCalConstB,MATCH(J685,FlowCalNumber,0),1,1)&lt;INDEX(FlowCalHighSetting,MATCH(J685,FlowCalNumber,0),1,1))),INDEX(FlowCalConstA,MATCH(J685,FlowCalNumber,0),1,1)*L698^INDEX(FlowCalConstB,MATCH(J685,FlowCalNumber,0),1,1)," ")</f>
        <v>#N/A</v>
      </c>
      <c r="N698" s="1224"/>
      <c r="O698" s="1217">
        <f t="shared" si="324"/>
        <v>1</v>
      </c>
      <c r="P698" s="1218" t="e">
        <f t="shared" ca="1" si="325"/>
        <v>#VALUE!</v>
      </c>
      <c r="Q698" s="1219" t="e">
        <f ca="1">IF(AND(INDEX(FlowCalConstA,MATCH(N685,FlowCalNumber,0),1,1)*P698^INDEX(FlowCalConstB,MATCH(N685,FlowCalNumber,0),1,1)&gt;INDEX(FlowCalLowSetting,MATCH(N685,FlowCalNumber,0),1,1), (INDEX(FlowCalConstA,MATCH(N685,FlowCalNumber,0),1,1)*P698^INDEX(FlowCalConstB,MATCH(N685,FlowCalNumber,0),1,1)&lt;INDEX(FlowCalHighSetting,MATCH(N685,FlowCalNumber,0),1,1))),INDEX(FlowCalConstA,MATCH(N685,FlowCalNumber,0),1,1)*P698^INDEX(FlowCalConstB,MATCH(N685,FlowCalNumber,0),1,1)," ")</f>
        <v>#N/A</v>
      </c>
      <c r="R698" s="1224"/>
      <c r="S698" s="1217">
        <f t="shared" si="326"/>
        <v>1</v>
      </c>
      <c r="T698" s="1218" t="e">
        <f t="shared" ca="1" si="327"/>
        <v>#VALUE!</v>
      </c>
      <c r="U698" s="1219" t="e">
        <f ca="1">IF(AND(INDEX(FlowCalConstA,MATCH(R685,FlowCalNumber,0),1,1)*T698^INDEX(FlowCalConstB,MATCH(R685,FlowCalNumber,0),1,1)&gt;INDEX(FlowCalLowSetting,MATCH(R685,FlowCalNumber,0),1,1), (INDEX(FlowCalConstA,MATCH(R685,FlowCalNumber,0),1,1)*T698^INDEX(FlowCalConstB,MATCH(R685,FlowCalNumber,0),1,1)&lt;INDEX(FlowCalHighSetting,MATCH(R685,FlowCalNumber,0),1,1))),INDEX(FlowCalConstA,MATCH(R685,FlowCalNumber,0),1,1)*T698^INDEX(FlowCalConstB,MATCH(R685,FlowCalNumber,0),1,1)," ")</f>
        <v>#N/A</v>
      </c>
      <c r="V698" s="1224"/>
      <c r="W698" s="1217"/>
      <c r="X698" s="1218"/>
      <c r="Y698" s="1219"/>
      <c r="Z698" s="1224"/>
      <c r="AA698" s="1217"/>
      <c r="AB698" s="1218"/>
      <c r="AC698" s="1219"/>
      <c r="AD698" s="1224"/>
      <c r="AE698" s="1217"/>
      <c r="AF698" s="1218"/>
      <c r="AG698" s="1219"/>
      <c r="AH698" s="1224"/>
      <c r="AI698" s="1217"/>
      <c r="AJ698" s="1218"/>
      <c r="AK698" s="1220"/>
      <c r="AL698" s="1219"/>
      <c r="AM698" s="1219"/>
      <c r="AN698" s="1219"/>
      <c r="AO698" s="1219"/>
      <c r="AP698" s="1219"/>
      <c r="AQ698" s="1219"/>
      <c r="AR698" s="1219"/>
      <c r="AS698" s="1219"/>
      <c r="AT698" s="1219"/>
      <c r="AU698" s="1219"/>
      <c r="AV698" s="1219"/>
      <c r="AW698" s="1219"/>
      <c r="AX698" s="1219"/>
      <c r="AY698" s="1219"/>
      <c r="AZ698" s="1219"/>
      <c r="BA698" s="1219"/>
      <c r="BB698" s="1219"/>
      <c r="BC698" s="1219"/>
      <c r="BD698" s="1219"/>
      <c r="BE698" s="1219"/>
      <c r="BF698" s="1219"/>
      <c r="BG698" s="1219"/>
      <c r="BH698" s="1219"/>
      <c r="BI698" s="1219"/>
      <c r="BJ698" s="1219"/>
      <c r="BK698" s="1219"/>
      <c r="BL698" s="1219"/>
      <c r="BM698" s="1219"/>
      <c r="BN698" s="1219"/>
      <c r="BO698" s="1219"/>
      <c r="BP698" s="1219"/>
      <c r="BQ698" s="1219"/>
      <c r="BR698" s="1219"/>
      <c r="BS698" s="1219"/>
      <c r="BU698" s="1217"/>
      <c r="BW698" s="1219"/>
      <c r="BY698" s="1217"/>
      <c r="CA698" s="1219"/>
      <c r="CC698" s="1217"/>
      <c r="CE698" s="1219"/>
      <c r="CG698" s="1217"/>
      <c r="CI698" s="1219"/>
    </row>
    <row r="699" spans="1:87">
      <c r="A699" s="20"/>
      <c r="B699" s="124" t="str">
        <f t="shared" si="320"/>
        <v/>
      </c>
      <c r="C699" s="235"/>
      <c r="D699" s="24">
        <f>'1% Wind'!$M$95</f>
        <v>1.3</v>
      </c>
      <c r="E699" s="90"/>
      <c r="F699" s="90"/>
      <c r="G699" s="79">
        <f ca="1">IF(I685=0.9743,$G698,MAX(G698/D698*D699,2))</f>
        <v>2</v>
      </c>
      <c r="H699" s="121" t="e">
        <f t="shared" ca="1" si="321"/>
        <v>#VALUE!</v>
      </c>
      <c r="J699" s="33"/>
      <c r="K699" s="242">
        <f t="shared" si="322"/>
        <v>1</v>
      </c>
      <c r="L699" s="241" t="e">
        <f t="shared" ca="1" si="323"/>
        <v>#VALUE!</v>
      </c>
      <c r="M699" s="243" t="e">
        <f ca="1">IF(AND(INDEX(FlowCalConstA,MATCH(J685,FlowCalNumber,0),1,1)*L699^INDEX(FlowCalConstB,MATCH(J685,FlowCalNumber,0),1,1)&gt;INDEX(FlowCalLowSetting,MATCH(J685,FlowCalNumber,0),1,1), (INDEX(FlowCalConstA,MATCH(J685,FlowCalNumber,0),1,1)*L699^INDEX(FlowCalConstB,MATCH(J685,FlowCalNumber,0),1,1)&lt;INDEX(FlowCalHighSetting,MATCH(J685,FlowCalNumber,0),1,1))),INDEX(FlowCalConstA,MATCH(J685,FlowCalNumber,0),1,1)*L699^INDEX(FlowCalConstB,MATCH(J685,FlowCalNumber,0),1,1)," ")</f>
        <v>#N/A</v>
      </c>
      <c r="N699" s="33"/>
      <c r="O699" s="242">
        <f t="shared" si="324"/>
        <v>1</v>
      </c>
      <c r="P699" s="241" t="e">
        <f t="shared" ca="1" si="325"/>
        <v>#VALUE!</v>
      </c>
      <c r="Q699" s="243" t="e">
        <f ca="1">IF(AND(INDEX(FlowCalConstA,MATCH(N685,FlowCalNumber,0),1,1)*P699^INDEX(FlowCalConstB,MATCH(N685,FlowCalNumber,0),1,1)&gt;INDEX(FlowCalLowSetting,MATCH(N685,FlowCalNumber,0),1,1), (INDEX(FlowCalConstA,MATCH(N685,FlowCalNumber,0),1,1)*P699^INDEX(FlowCalConstB,MATCH(N685,FlowCalNumber,0),1,1)&lt;INDEX(FlowCalHighSetting,MATCH(N685,FlowCalNumber,0),1,1))),INDEX(FlowCalConstA,MATCH(N685,FlowCalNumber,0),1,1)*P699^INDEX(FlowCalConstB,MATCH(N685,FlowCalNumber,0),1,1)," ")</f>
        <v>#N/A</v>
      </c>
      <c r="R699" s="33"/>
      <c r="S699" s="242">
        <f t="shared" si="326"/>
        <v>1</v>
      </c>
      <c r="T699" s="241" t="e">
        <f t="shared" ca="1" si="327"/>
        <v>#VALUE!</v>
      </c>
      <c r="U699" s="243" t="e">
        <f ca="1">IF(AND(INDEX(FlowCalConstA,MATCH(R685,FlowCalNumber,0),1,1)*T699^INDEX(FlowCalConstB,MATCH(R685,FlowCalNumber,0),1,1)&gt;INDEX(FlowCalLowSetting,MATCH(R685,FlowCalNumber,0),1,1), (INDEX(FlowCalConstA,MATCH(R685,FlowCalNumber,0),1,1)*T699^INDEX(FlowCalConstB,MATCH(R685,FlowCalNumber,0),1,1)&lt;INDEX(FlowCalHighSetting,MATCH(R685,FlowCalNumber,0),1,1))),INDEX(FlowCalConstA,MATCH(R685,FlowCalNumber,0),1,1)*T699^INDEX(FlowCalConstB,MATCH(R685,FlowCalNumber,0),1,1)," ")</f>
        <v>#N/A</v>
      </c>
      <c r="V699" s="33"/>
      <c r="W699" s="242"/>
      <c r="X699" s="241"/>
      <c r="Y699" s="243"/>
      <c r="Z699" s="33"/>
      <c r="AA699" s="242"/>
      <c r="AB699" s="241"/>
      <c r="AC699" s="243"/>
      <c r="AD699" s="33"/>
      <c r="AE699" s="242"/>
      <c r="AF699" s="241"/>
      <c r="AG699" s="243"/>
      <c r="AH699" s="33"/>
      <c r="AI699" s="242"/>
      <c r="AJ699" s="241"/>
      <c r="AK699" s="244"/>
      <c r="AL699" s="243"/>
      <c r="AM699" s="243"/>
      <c r="AN699" s="243"/>
      <c r="AO699" s="243"/>
      <c r="AP699" s="243"/>
      <c r="AQ699" s="243"/>
      <c r="AR699" s="243"/>
      <c r="AS699" s="243"/>
      <c r="AT699" s="243"/>
      <c r="AU699" s="243"/>
      <c r="AV699" s="243"/>
      <c r="AW699" s="243"/>
      <c r="AX699" s="243"/>
      <c r="AY699" s="243"/>
      <c r="AZ699" s="243"/>
      <c r="BA699" s="243"/>
      <c r="BB699" s="243"/>
      <c r="BC699" s="243"/>
      <c r="BD699" s="243"/>
      <c r="BE699" s="243"/>
      <c r="BF699" s="243"/>
      <c r="BG699" s="243"/>
      <c r="BH699" s="243"/>
      <c r="BI699" s="243"/>
      <c r="BJ699" s="243"/>
      <c r="BK699" s="243"/>
      <c r="BL699" s="243"/>
      <c r="BM699" s="243"/>
      <c r="BN699" s="243"/>
      <c r="BO699" s="243"/>
      <c r="BP699" s="243"/>
      <c r="BQ699" s="243"/>
      <c r="BR699" s="243"/>
      <c r="BS699" s="243"/>
      <c r="BU699" s="242"/>
      <c r="BW699" s="243"/>
      <c r="BY699" s="242"/>
      <c r="CA699" s="243"/>
      <c r="CC699" s="242"/>
      <c r="CE699" s="243"/>
      <c r="CG699" s="242"/>
      <c r="CI699" s="243"/>
    </row>
    <row r="700" spans="1:87" s="1215" customFormat="1">
      <c r="A700" s="1222"/>
      <c r="B700" s="1223" t="str">
        <f t="shared" si="320"/>
        <v/>
      </c>
      <c r="C700" s="1210"/>
      <c r="D700" s="1211">
        <f>'1% Wind'!$M$96</f>
        <v>1</v>
      </c>
      <c r="E700" s="1212"/>
      <c r="F700" s="1212"/>
      <c r="G700" s="1213">
        <f ca="1">IF(I685=0.9743,$G699,MAX(G699/D699*D700,2))</f>
        <v>2</v>
      </c>
      <c r="H700" s="1214" t="e">
        <f t="shared" ca="1" si="321"/>
        <v>#VALUE!</v>
      </c>
      <c r="J700" s="1224"/>
      <c r="K700" s="1217">
        <f t="shared" si="322"/>
        <v>1</v>
      </c>
      <c r="L700" s="1218" t="e">
        <f t="shared" ca="1" si="323"/>
        <v>#VALUE!</v>
      </c>
      <c r="M700" s="1219" t="e">
        <f ca="1">IF(AND(INDEX(FlowCalConstA,MATCH(J685,FlowCalNumber,0),1,1)*L700^INDEX(FlowCalConstB,MATCH(J685,FlowCalNumber,0),1,1)&gt;INDEX(FlowCalLowSetting,MATCH(J685,FlowCalNumber,0),1,1), (INDEX(FlowCalConstA,MATCH(J685,FlowCalNumber,0),1,1)*L700^INDEX(FlowCalConstB,MATCH(J685,FlowCalNumber,0),1,1)&lt;INDEX(FlowCalHighSetting,MATCH(J685,FlowCalNumber,0),1,1))),INDEX(FlowCalConstA,MATCH(J685,FlowCalNumber,0),1,1)*L700^INDEX(FlowCalConstB,MATCH(J685,FlowCalNumber,0),1,1)," ")</f>
        <v>#N/A</v>
      </c>
      <c r="N700" s="1224"/>
      <c r="O700" s="1217">
        <f t="shared" si="324"/>
        <v>1</v>
      </c>
      <c r="P700" s="1218" t="e">
        <f t="shared" ca="1" si="325"/>
        <v>#VALUE!</v>
      </c>
      <c r="Q700" s="1219" t="e">
        <f ca="1">IF(AND(INDEX(FlowCalConstA,MATCH(N685,FlowCalNumber,0),1,1)*P700^INDEX(FlowCalConstB,MATCH(N685,FlowCalNumber,0),1,1)&gt;INDEX(FlowCalLowSetting,MATCH(N685,FlowCalNumber,0),1,1), (INDEX(FlowCalConstA,MATCH(N685,FlowCalNumber,0),1,1)*P700^INDEX(FlowCalConstB,MATCH(N685,FlowCalNumber,0),1,1)&lt;INDEX(FlowCalHighSetting,MATCH(N685,FlowCalNumber,0),1,1))),INDEX(FlowCalConstA,MATCH(N685,FlowCalNumber,0),1,1)*P700^INDEX(FlowCalConstB,MATCH(N685,FlowCalNumber,0),1,1)," ")</f>
        <v>#N/A</v>
      </c>
      <c r="R700" s="1224"/>
      <c r="S700" s="1217">
        <f t="shared" si="326"/>
        <v>1</v>
      </c>
      <c r="T700" s="1218" t="e">
        <f t="shared" ca="1" si="327"/>
        <v>#VALUE!</v>
      </c>
      <c r="U700" s="1219" t="e">
        <f ca="1">IF(AND(INDEX(FlowCalConstA,MATCH(R685,FlowCalNumber,0),1,1)*T700^INDEX(FlowCalConstB,MATCH(R685,FlowCalNumber,0),1,1)&gt;INDEX(FlowCalLowSetting,MATCH(R685,FlowCalNumber,0),1,1), (INDEX(FlowCalConstA,MATCH(R685,FlowCalNumber,0),1,1)*T700^INDEX(FlowCalConstB,MATCH(R685,FlowCalNumber,0),1,1)&lt;INDEX(FlowCalHighSetting,MATCH(R685,FlowCalNumber,0),1,1))),INDEX(FlowCalConstA,MATCH(R685,FlowCalNumber,0),1,1)*T700^INDEX(FlowCalConstB,MATCH(R685,FlowCalNumber,0),1,1)," ")</f>
        <v>#N/A</v>
      </c>
      <c r="V700" s="1224"/>
      <c r="W700" s="1217"/>
      <c r="X700" s="1218"/>
      <c r="Y700" s="1219"/>
      <c r="Z700" s="1224"/>
      <c r="AA700" s="1217"/>
      <c r="AB700" s="1218"/>
      <c r="AC700" s="1219"/>
      <c r="AD700" s="1224"/>
      <c r="AE700" s="1217"/>
      <c r="AF700" s="1218"/>
      <c r="AG700" s="1219"/>
      <c r="AH700" s="1224"/>
      <c r="AI700" s="1217"/>
      <c r="AJ700" s="1218"/>
      <c r="AK700" s="1220"/>
      <c r="AL700" s="1219"/>
      <c r="AM700" s="1219"/>
      <c r="AN700" s="1219"/>
      <c r="AO700" s="1219"/>
      <c r="AP700" s="1219"/>
      <c r="AQ700" s="1219"/>
      <c r="AR700" s="1219"/>
      <c r="AS700" s="1219"/>
      <c r="AT700" s="1219"/>
      <c r="AU700" s="1219"/>
      <c r="AV700" s="1219"/>
      <c r="AW700" s="1219"/>
      <c r="AX700" s="1219"/>
      <c r="AY700" s="1219"/>
      <c r="AZ700" s="1219"/>
      <c r="BA700" s="1219"/>
      <c r="BB700" s="1219"/>
      <c r="BC700" s="1219"/>
      <c r="BD700" s="1219"/>
      <c r="BE700" s="1219"/>
      <c r="BF700" s="1219"/>
      <c r="BG700" s="1219"/>
      <c r="BH700" s="1219"/>
      <c r="BI700" s="1219"/>
      <c r="BJ700" s="1219"/>
      <c r="BK700" s="1219"/>
      <c r="BL700" s="1219"/>
      <c r="BM700" s="1219"/>
      <c r="BN700" s="1219"/>
      <c r="BO700" s="1219"/>
      <c r="BP700" s="1219"/>
      <c r="BQ700" s="1219"/>
      <c r="BR700" s="1219"/>
      <c r="BS700" s="1219"/>
      <c r="BU700" s="1217"/>
      <c r="BW700" s="1219"/>
      <c r="BY700" s="1217"/>
      <c r="CA700" s="1219"/>
      <c r="CC700" s="1217"/>
      <c r="CE700" s="1219"/>
      <c r="CG700" s="1217"/>
      <c r="CI700" s="1219"/>
    </row>
    <row r="701" spans="1:87">
      <c r="A701" s="33"/>
      <c r="B701" s="33"/>
      <c r="C701" s="235"/>
      <c r="E701" s="90"/>
      <c r="F701" s="90"/>
      <c r="G701" s="33"/>
      <c r="J701" s="33"/>
      <c r="M701" s="243"/>
      <c r="N701" s="33"/>
      <c r="Q701" s="243"/>
      <c r="R701" s="33"/>
      <c r="U701" s="243"/>
      <c r="V701" s="33"/>
      <c r="Y701" s="243"/>
      <c r="Z701" s="33"/>
      <c r="AC701" s="243"/>
      <c r="AD701" s="33"/>
      <c r="AG701" s="243"/>
      <c r="AH701" s="33"/>
      <c r="AK701" s="244"/>
      <c r="AL701" s="243"/>
      <c r="AM701" s="243"/>
      <c r="AN701" s="243"/>
      <c r="AO701" s="243"/>
      <c r="AP701" s="243"/>
      <c r="AQ701" s="243"/>
      <c r="AR701" s="243"/>
      <c r="AS701" s="243"/>
      <c r="AT701" s="243"/>
      <c r="AU701" s="243"/>
      <c r="AV701" s="243"/>
      <c r="AW701" s="243"/>
      <c r="AX701" s="243"/>
      <c r="AY701" s="243"/>
      <c r="AZ701" s="243"/>
      <c r="BA701" s="243"/>
      <c r="BB701" s="243"/>
      <c r="BC701" s="243"/>
      <c r="BD701" s="243"/>
      <c r="BE701" s="243"/>
      <c r="BF701" s="243"/>
      <c r="BG701" s="243"/>
      <c r="BH701" s="243"/>
      <c r="BI701" s="243"/>
      <c r="BJ701" s="243"/>
      <c r="BK701" s="243"/>
      <c r="BL701" s="243"/>
      <c r="BM701" s="243"/>
      <c r="BN701" s="243"/>
      <c r="BO701" s="243"/>
      <c r="BP701" s="243"/>
      <c r="BQ701" s="243"/>
      <c r="BR701" s="243"/>
      <c r="BS701" s="243"/>
      <c r="BW701" s="243"/>
      <c r="CA701" s="243"/>
      <c r="CE701" s="243"/>
      <c r="CI701" s="243"/>
    </row>
    <row r="702" spans="1:87">
      <c r="A702" s="256" t="str">
        <f>IF((RIGHT(A685,1))&lt;&gt;"Z",CHAR(CODE(A685))&amp;CHAR(CODE(RIGHT(A685,1))+1),CHAR(CODE(A685)+1)&amp;"A")</f>
        <v>BO</v>
      </c>
      <c r="B702" s="270" t="e">
        <f>INDEX(SourceID,MATCH($A702,SourceNumber,0),1,1)</f>
        <v>#N/A</v>
      </c>
      <c r="C702" s="354" t="e">
        <f>INDEX(SourceExitDiameter,MATCH($A702,SourceNumber,0),1,1)*3.28*12</f>
        <v>#N/A</v>
      </c>
      <c r="D702" s="24" t="str">
        <f>UAnem1percent</f>
        <v>1% Wind</v>
      </c>
      <c r="E702" s="350" t="e">
        <f ca="1">INDIRECT(ADDRESS(53,6,1,,CONCATENATE("TA",$A702)))</f>
        <v>#REF!</v>
      </c>
      <c r="F702" s="625" t="e">
        <f ca="1">(ROUND((INDIRECT(ADDRESS(15,7,1,,CONCATENATE("TA",$A702)))*3.28*12*32),0)&amp;"/32")</f>
        <v>#REF!</v>
      </c>
      <c r="G702" s="125" t="e">
        <f ca="1">INDIRECT(ADDRESS(29,7,1,,$A702))</f>
        <v>#N/A</v>
      </c>
      <c r="H702" s="24" t="e">
        <f ca="1">INDIRECT(ADDRESS(19,7,1,,$A702))*100^3</f>
        <v>#N/A</v>
      </c>
      <c r="I702" s="941" t="e">
        <f ca="1">INDIRECT(ADDRESS(53,7,1,,$A702))</f>
        <v>#N/A</v>
      </c>
      <c r="J702" s="20" t="e">
        <f ca="1">IF($I702=$I$6,K$16&amp;$G$6&amp;J$6,IF($I702=$I$7,K$16&amp;$G$7&amp;J$7,"Bad"))</f>
        <v>#N/A</v>
      </c>
      <c r="K702" t="e">
        <f ca="1">INDEX(FlowCalGasMixture,MATCH(J702,FlowCalNumber,0),1,1)</f>
        <v>#N/A</v>
      </c>
      <c r="M702" s="944" t="e">
        <f ca="1">INDEX(FlowCalDevice,MATCH(J702,FlowCalNumber,0),1,1)</f>
        <v>#N/A</v>
      </c>
      <c r="N702" s="20" t="e">
        <f ca="1">IF($I702=$I$6,O$16&amp;$G$6&amp;N$6,IF($I702=$I$7,O$16&amp;$G$7&amp;N$7,"Bad"))</f>
        <v>#N/A</v>
      </c>
      <c r="O702" t="e">
        <f ca="1">INDEX(FlowCalGasMixture,MATCH(N702,FlowCalNumber,0),1,1)</f>
        <v>#N/A</v>
      </c>
      <c r="Q702" s="944" t="e">
        <f ca="1">INDEX(FlowCalDevice,MATCH(N702,FlowCalNumber,0),1,1)</f>
        <v>#N/A</v>
      </c>
      <c r="R702" s="20" t="e">
        <f ca="1">IF($I702=$I$6,S$16&amp;$G$6&amp;R$6,IF($I702=$I$7,S$16&amp;$G$7&amp;R$7,"Bad"))</f>
        <v>#N/A</v>
      </c>
      <c r="S702" t="e">
        <f ca="1">INDEX(FlowCalGasMixture,MATCH(R702,FlowCalNumber,0),1,1)</f>
        <v>#N/A</v>
      </c>
      <c r="U702" s="944" t="e">
        <f ca="1">INDEX(FlowCalDevice,MATCH(R702,FlowCalNumber,0),1,1)</f>
        <v>#N/A</v>
      </c>
      <c r="V702" s="20"/>
      <c r="Y702" s="944"/>
      <c r="Z702" s="946"/>
      <c r="AC702" s="944"/>
      <c r="AD702" s="20"/>
      <c r="AG702" s="944"/>
      <c r="AH702" s="946"/>
      <c r="AK702" s="982"/>
      <c r="AL702" s="355"/>
      <c r="AM702" s="355"/>
      <c r="AN702" s="355"/>
      <c r="AO702" s="355"/>
      <c r="AP702" s="355"/>
      <c r="AQ702" s="355"/>
      <c r="AR702" s="355"/>
      <c r="AS702" s="355"/>
      <c r="AT702" s="355"/>
      <c r="AU702" s="355"/>
      <c r="AV702" s="355"/>
      <c r="AW702" s="355"/>
      <c r="AX702" s="355"/>
      <c r="AY702" s="355"/>
      <c r="AZ702" s="355"/>
      <c r="BA702" s="355"/>
      <c r="BB702" s="355"/>
      <c r="BC702" s="355"/>
      <c r="BD702" s="355"/>
      <c r="BE702" s="355"/>
      <c r="BF702" s="355"/>
      <c r="BG702" s="355"/>
      <c r="BH702" s="355"/>
      <c r="BI702" s="355"/>
      <c r="BJ702" s="355"/>
      <c r="BK702" s="355"/>
      <c r="BL702" s="355"/>
      <c r="BM702" s="355"/>
      <c r="BN702" s="355"/>
      <c r="BO702" s="355"/>
      <c r="BP702" s="355"/>
      <c r="BQ702" s="355"/>
      <c r="BR702" s="355"/>
      <c r="BS702" s="355"/>
      <c r="BT702" s="46"/>
      <c r="BU702" s="16"/>
      <c r="BW702" s="355"/>
      <c r="BX702" s="42"/>
      <c r="BY702" s="16"/>
      <c r="CA702" s="355"/>
      <c r="CB702" s="42"/>
      <c r="CC702" s="16"/>
      <c r="CE702" s="355"/>
      <c r="CF702" s="42"/>
      <c r="CG702" s="16"/>
      <c r="CI702" s="355"/>
    </row>
    <row r="703" spans="1:87" s="1215" customFormat="1">
      <c r="A703" s="1222"/>
      <c r="B703" s="1223" t="str">
        <f t="shared" ref="B703:B717" si="328">IF(D703=UAnem1percent,"1% Wind","")</f>
        <v/>
      </c>
      <c r="C703" s="1210"/>
      <c r="D703" s="1211">
        <f>'1% Wind'!$M$82</f>
        <v>27</v>
      </c>
      <c r="E703" s="1212"/>
      <c r="F703" s="1212"/>
      <c r="G703" s="1364">
        <v>2</v>
      </c>
      <c r="H703" s="1214" t="e">
        <f t="shared" ref="H703:H717" ca="1" si="329">H702*(D702/D703)*(G703/G702)</f>
        <v>#N/A</v>
      </c>
      <c r="J703" s="1224"/>
      <c r="K703" s="1221">
        <f>K$17/100</f>
        <v>1</v>
      </c>
      <c r="L703" s="1218" t="e">
        <f ca="1">K703*$H703</f>
        <v>#N/A</v>
      </c>
      <c r="M703" s="1219" t="e">
        <f ca="1">IF(AND(INDEX(FlowCalConstA,MATCH(J702,FlowCalNumber,0),1,1)*L703^INDEX(FlowCalConstB,MATCH(J702,FlowCalNumber,0),1,1)&gt;INDEX(FlowCalLowSetting,MATCH(J702,FlowCalNumber,0),1,1), (INDEX(FlowCalConstA,MATCH(J702,FlowCalNumber,0),1,1)*L703^INDEX(FlowCalConstB,MATCH(J702,FlowCalNumber,0),1,1)&lt;INDEX(FlowCalHighSetting,MATCH(J702,FlowCalNumber,0),1,1))),INDEX(FlowCalConstA,MATCH(J702,FlowCalNumber,0),1,1)*L703^INDEX(FlowCalConstB,MATCH(J702,FlowCalNumber,0),1,1)," ")</f>
        <v>#N/A</v>
      </c>
      <c r="N703" s="1224"/>
      <c r="O703" s="1221">
        <f>O$17/100</f>
        <v>1</v>
      </c>
      <c r="P703" s="1218" t="e">
        <f ca="1">O703*$H703</f>
        <v>#N/A</v>
      </c>
      <c r="Q703" s="1219" t="e">
        <f ca="1">IF(AND(INDEX(FlowCalConstA,MATCH(N702,FlowCalNumber,0),1,1)*P703^INDEX(FlowCalConstB,MATCH(N702,FlowCalNumber,0),1,1)&gt;INDEX(FlowCalLowSetting,MATCH(N702,FlowCalNumber,0),1,1), (INDEX(FlowCalConstA,MATCH(N702,FlowCalNumber,0),1,1)*P703^INDEX(FlowCalConstB,MATCH(N702,FlowCalNumber,0),1,1)&lt;INDEX(FlowCalHighSetting,MATCH(N702,FlowCalNumber,0),1,1))),INDEX(FlowCalConstA,MATCH(N702,FlowCalNumber,0),1,1)*P703^INDEX(FlowCalConstB,MATCH(N702,FlowCalNumber,0),1,1)," ")</f>
        <v>#N/A</v>
      </c>
      <c r="R703" s="1224"/>
      <c r="S703" s="1221">
        <f>S$17/100</f>
        <v>1</v>
      </c>
      <c r="T703" s="1218" t="e">
        <f ca="1">S703*$H703</f>
        <v>#N/A</v>
      </c>
      <c r="U703" s="1219" t="e">
        <f ca="1">IF(AND(INDEX(FlowCalConstA,MATCH(R702,FlowCalNumber,0),1,1)*T703^INDEX(FlowCalConstB,MATCH(R702,FlowCalNumber,0),1,1)&gt;INDEX(FlowCalLowSetting,MATCH(R702,FlowCalNumber,0),1,1), (INDEX(FlowCalConstA,MATCH(R702,FlowCalNumber,0),1,1)*T703^INDEX(FlowCalConstB,MATCH(R702,FlowCalNumber,0),1,1)&lt;INDEX(FlowCalHighSetting,MATCH(R702,FlowCalNumber,0),1,1))),INDEX(FlowCalConstA,MATCH(R702,FlowCalNumber,0),1,1)*T703^INDEX(FlowCalConstB,MATCH(R702,FlowCalNumber,0),1,1)," ")</f>
        <v>#N/A</v>
      </c>
      <c r="V703" s="1224"/>
      <c r="W703" s="1221"/>
      <c r="X703" s="1218"/>
      <c r="Y703" s="1219"/>
      <c r="Z703" s="1224"/>
      <c r="AA703" s="1221"/>
      <c r="AB703" s="1218"/>
      <c r="AC703" s="1219"/>
      <c r="AD703" s="1224"/>
      <c r="AE703" s="1221"/>
      <c r="AF703" s="1218"/>
      <c r="AG703" s="1219"/>
      <c r="AH703" s="1224"/>
      <c r="AI703" s="1221"/>
      <c r="AJ703" s="1218"/>
      <c r="AK703" s="1220"/>
      <c r="AL703" s="1219"/>
      <c r="AM703" s="1219"/>
      <c r="AN703" s="1219"/>
      <c r="AO703" s="1219"/>
      <c r="AP703" s="1219"/>
      <c r="AQ703" s="1219"/>
      <c r="AR703" s="1219"/>
      <c r="AS703" s="1219"/>
      <c r="AT703" s="1219"/>
      <c r="AU703" s="1219"/>
      <c r="AV703" s="1219"/>
      <c r="AW703" s="1219"/>
      <c r="AX703" s="1219"/>
      <c r="AY703" s="1219"/>
      <c r="AZ703" s="1219"/>
      <c r="BA703" s="1219"/>
      <c r="BB703" s="1219"/>
      <c r="BC703" s="1219"/>
      <c r="BD703" s="1219"/>
      <c r="BE703" s="1219"/>
      <c r="BF703" s="1219"/>
      <c r="BG703" s="1219"/>
      <c r="BH703" s="1219"/>
      <c r="BI703" s="1219"/>
      <c r="BJ703" s="1219"/>
      <c r="BK703" s="1219"/>
      <c r="BL703" s="1219"/>
      <c r="BM703" s="1219"/>
      <c r="BN703" s="1219"/>
      <c r="BO703" s="1219"/>
      <c r="BP703" s="1219"/>
      <c r="BQ703" s="1219"/>
      <c r="BR703" s="1219"/>
      <c r="BS703" s="1219"/>
      <c r="BU703" s="1225"/>
      <c r="BW703" s="1219"/>
      <c r="BY703" s="1225"/>
      <c r="CA703" s="1219"/>
      <c r="CC703" s="1225"/>
      <c r="CE703" s="1219"/>
      <c r="CG703" s="1221"/>
      <c r="CI703" s="1219"/>
    </row>
    <row r="704" spans="1:87">
      <c r="A704" s="20"/>
      <c r="B704" s="124" t="str">
        <f t="shared" si="328"/>
        <v/>
      </c>
      <c r="C704" s="235"/>
      <c r="D704" s="24">
        <f>'1% Wind'!$M$83</f>
        <v>23.5</v>
      </c>
      <c r="E704" s="90"/>
      <c r="F704" s="90"/>
      <c r="G704" s="79" t="e">
        <f ca="1">IF(I702=0.9743,$G703,MAX(G703/D703*D704,2))</f>
        <v>#N/A</v>
      </c>
      <c r="H704" s="121" t="e">
        <f t="shared" ca="1" si="329"/>
        <v>#N/A</v>
      </c>
      <c r="J704" s="33"/>
      <c r="K704" s="242">
        <f t="shared" ref="K704:K717" si="330">K703</f>
        <v>1</v>
      </c>
      <c r="L704" s="241" t="e">
        <f t="shared" ref="L704:L717" ca="1" si="331">K704*$H704</f>
        <v>#N/A</v>
      </c>
      <c r="M704" s="243" t="e">
        <f ca="1">IF(AND(INDEX(FlowCalConstA,MATCH(J702,FlowCalNumber,0),1,1)*L704^INDEX(FlowCalConstB,MATCH(J702,FlowCalNumber,0),1,1)&gt;INDEX(FlowCalLowSetting,MATCH(J702,FlowCalNumber,0),1,1), (INDEX(FlowCalConstA,MATCH(J702,FlowCalNumber,0),1,1)*L704^INDEX(FlowCalConstB,MATCH(J702,FlowCalNumber,0),1,1)&lt;INDEX(FlowCalHighSetting,MATCH(J702,FlowCalNumber,0),1,1))),INDEX(FlowCalConstA,MATCH(J702,FlowCalNumber,0),1,1)*L704^INDEX(FlowCalConstB,MATCH(J702,FlowCalNumber,0),1,1)," ")</f>
        <v>#N/A</v>
      </c>
      <c r="N704" s="33"/>
      <c r="O704" s="242">
        <f t="shared" ref="O704:O717" si="332">O703</f>
        <v>1</v>
      </c>
      <c r="P704" s="241" t="e">
        <f t="shared" ref="P704:P717" ca="1" si="333">O704*$H704</f>
        <v>#N/A</v>
      </c>
      <c r="Q704" s="243" t="e">
        <f ca="1">IF(AND(INDEX(FlowCalConstA,MATCH(N702,FlowCalNumber,0),1,1)*P704^INDEX(FlowCalConstB,MATCH(N702,FlowCalNumber,0),1,1)&gt;INDEX(FlowCalLowSetting,MATCH(N702,FlowCalNumber,0),1,1), (INDEX(FlowCalConstA,MATCH(N702,FlowCalNumber,0),1,1)*P704^INDEX(FlowCalConstB,MATCH(N702,FlowCalNumber,0),1,1)&lt;INDEX(FlowCalHighSetting,MATCH(N702,FlowCalNumber,0),1,1))),INDEX(FlowCalConstA,MATCH(N702,FlowCalNumber,0),1,1)*P704^INDEX(FlowCalConstB,MATCH(N702,FlowCalNumber,0),1,1)," ")</f>
        <v>#N/A</v>
      </c>
      <c r="R704" s="33"/>
      <c r="S704" s="242">
        <f t="shared" ref="S704:S717" si="334">S703</f>
        <v>1</v>
      </c>
      <c r="T704" s="241" t="e">
        <f t="shared" ref="T704:T717" ca="1" si="335">S704*$H704</f>
        <v>#N/A</v>
      </c>
      <c r="U704" s="243" t="e">
        <f ca="1">IF(AND(INDEX(FlowCalConstA,MATCH(R702,FlowCalNumber,0),1,1)*T704^INDEX(FlowCalConstB,MATCH(R702,FlowCalNumber,0),1,1)&gt;INDEX(FlowCalLowSetting,MATCH(R702,FlowCalNumber,0),1,1), (INDEX(FlowCalConstA,MATCH(R702,FlowCalNumber,0),1,1)*T704^INDEX(FlowCalConstB,MATCH(R702,FlowCalNumber,0),1,1)&lt;INDEX(FlowCalHighSetting,MATCH(R702,FlowCalNumber,0),1,1))),INDEX(FlowCalConstA,MATCH(R702,FlowCalNumber,0),1,1)*T704^INDEX(FlowCalConstB,MATCH(R702,FlowCalNumber,0),1,1)," ")</f>
        <v>#N/A</v>
      </c>
      <c r="V704" s="33"/>
      <c r="W704" s="242"/>
      <c r="X704" s="241"/>
      <c r="Y704" s="243"/>
      <c r="Z704" s="33"/>
      <c r="AA704" s="242"/>
      <c r="AB704" s="241"/>
      <c r="AC704" s="243"/>
      <c r="AD704" s="33"/>
      <c r="AE704" s="242"/>
      <c r="AF704" s="241"/>
      <c r="AG704" s="243"/>
      <c r="AH704" s="33"/>
      <c r="AI704" s="242"/>
      <c r="AJ704" s="241"/>
      <c r="AK704" s="244"/>
      <c r="AL704" s="243"/>
      <c r="AM704" s="243"/>
      <c r="AN704" s="243"/>
      <c r="AO704" s="243"/>
      <c r="AP704" s="243"/>
      <c r="AQ704" s="243"/>
      <c r="AR704" s="243"/>
      <c r="AS704" s="243"/>
      <c r="AT704" s="243"/>
      <c r="AU704" s="243"/>
      <c r="AV704" s="243"/>
      <c r="AW704" s="243"/>
      <c r="AX704" s="243"/>
      <c r="AY704" s="243"/>
      <c r="AZ704" s="243"/>
      <c r="BA704" s="243"/>
      <c r="BB704" s="243"/>
      <c r="BC704" s="243"/>
      <c r="BD704" s="243"/>
      <c r="BE704" s="243"/>
      <c r="BF704" s="243"/>
      <c r="BG704" s="243"/>
      <c r="BH704" s="243"/>
      <c r="BI704" s="243"/>
      <c r="BJ704" s="243"/>
      <c r="BK704" s="243"/>
      <c r="BL704" s="243"/>
      <c r="BM704" s="243"/>
      <c r="BN704" s="243"/>
      <c r="BO704" s="243"/>
      <c r="BP704" s="243"/>
      <c r="BQ704" s="243"/>
      <c r="BR704" s="243"/>
      <c r="BS704" s="243"/>
      <c r="BU704" s="242"/>
      <c r="BW704" s="243"/>
      <c r="BY704" s="242"/>
      <c r="CA704" s="243"/>
      <c r="CC704" s="242"/>
      <c r="CE704" s="243"/>
      <c r="CG704" s="242"/>
      <c r="CI704" s="243"/>
    </row>
    <row r="705" spans="1:87" s="1215" customFormat="1">
      <c r="A705" s="1222"/>
      <c r="B705" s="1223" t="str">
        <f t="shared" si="328"/>
        <v/>
      </c>
      <c r="C705" s="1210"/>
      <c r="D705" s="1211">
        <f>'1% Wind'!$M$84</f>
        <v>20.5</v>
      </c>
      <c r="E705" s="1212"/>
      <c r="F705" s="1212"/>
      <c r="G705" s="1213" t="e">
        <f ca="1">IF(I702=0.9743,$G704,MAX(G704/D704*D705,2))</f>
        <v>#N/A</v>
      </c>
      <c r="H705" s="1214" t="e">
        <f t="shared" ca="1" si="329"/>
        <v>#N/A</v>
      </c>
      <c r="J705" s="1224"/>
      <c r="K705" s="1217">
        <f t="shared" si="330"/>
        <v>1</v>
      </c>
      <c r="L705" s="1218" t="e">
        <f t="shared" ca="1" si="331"/>
        <v>#N/A</v>
      </c>
      <c r="M705" s="1219" t="e">
        <f ca="1">IF(AND(INDEX(FlowCalConstA,MATCH(J702,FlowCalNumber,0),1,1)*L705^INDEX(FlowCalConstB,MATCH(J702,FlowCalNumber,0),1,1)&gt;INDEX(FlowCalLowSetting,MATCH(J702,FlowCalNumber,0),1,1), (INDEX(FlowCalConstA,MATCH(J702,FlowCalNumber,0),1,1)*L705^INDEX(FlowCalConstB,MATCH(J702,FlowCalNumber,0),1,1)&lt;INDEX(FlowCalHighSetting,MATCH(J702,FlowCalNumber,0),1,1))),INDEX(FlowCalConstA,MATCH(J702,FlowCalNumber,0),1,1)*L705^INDEX(FlowCalConstB,MATCH(J702,FlowCalNumber,0),1,1)," ")</f>
        <v>#N/A</v>
      </c>
      <c r="N705" s="1224"/>
      <c r="O705" s="1217">
        <f t="shared" si="332"/>
        <v>1</v>
      </c>
      <c r="P705" s="1218" t="e">
        <f t="shared" ca="1" si="333"/>
        <v>#N/A</v>
      </c>
      <c r="Q705" s="1219" t="e">
        <f ca="1">IF(AND(INDEX(FlowCalConstA,MATCH(N702,FlowCalNumber,0),1,1)*P705^INDEX(FlowCalConstB,MATCH(N702,FlowCalNumber,0),1,1)&gt;INDEX(FlowCalLowSetting,MATCH(N702,FlowCalNumber,0),1,1), (INDEX(FlowCalConstA,MATCH(N702,FlowCalNumber,0),1,1)*P705^INDEX(FlowCalConstB,MATCH(N702,FlowCalNumber,0),1,1)&lt;INDEX(FlowCalHighSetting,MATCH(N702,FlowCalNumber,0),1,1))),INDEX(FlowCalConstA,MATCH(N702,FlowCalNumber,0),1,1)*P705^INDEX(FlowCalConstB,MATCH(N702,FlowCalNumber,0),1,1)," ")</f>
        <v>#N/A</v>
      </c>
      <c r="R705" s="1224"/>
      <c r="S705" s="1217">
        <f t="shared" si="334"/>
        <v>1</v>
      </c>
      <c r="T705" s="1218" t="e">
        <f t="shared" ca="1" si="335"/>
        <v>#N/A</v>
      </c>
      <c r="U705" s="1219" t="e">
        <f ca="1">IF(AND(INDEX(FlowCalConstA,MATCH(R702,FlowCalNumber,0),1,1)*T705^INDEX(FlowCalConstB,MATCH(R702,FlowCalNumber,0),1,1)&gt;INDEX(FlowCalLowSetting,MATCH(R702,FlowCalNumber,0),1,1), (INDEX(FlowCalConstA,MATCH(R702,FlowCalNumber,0),1,1)*T705^INDEX(FlowCalConstB,MATCH(R702,FlowCalNumber,0),1,1)&lt;INDEX(FlowCalHighSetting,MATCH(R702,FlowCalNumber,0),1,1))),INDEX(FlowCalConstA,MATCH(R702,FlowCalNumber,0),1,1)*T705^INDEX(FlowCalConstB,MATCH(R702,FlowCalNumber,0),1,1)," ")</f>
        <v>#N/A</v>
      </c>
      <c r="V705" s="1224"/>
      <c r="W705" s="1217"/>
      <c r="X705" s="1218"/>
      <c r="Y705" s="1219"/>
      <c r="Z705" s="1224"/>
      <c r="AA705" s="1217"/>
      <c r="AB705" s="1218"/>
      <c r="AC705" s="1219"/>
      <c r="AD705" s="1224"/>
      <c r="AE705" s="1217"/>
      <c r="AF705" s="1218"/>
      <c r="AG705" s="1219"/>
      <c r="AH705" s="1224"/>
      <c r="AI705" s="1217"/>
      <c r="AJ705" s="1218"/>
      <c r="AK705" s="1220"/>
      <c r="AL705" s="1219"/>
      <c r="AM705" s="1219"/>
      <c r="AN705" s="1219"/>
      <c r="AO705" s="1219"/>
      <c r="AP705" s="1219"/>
      <c r="AQ705" s="1219"/>
      <c r="AR705" s="1219"/>
      <c r="AS705" s="1219"/>
      <c r="AT705" s="1219"/>
      <c r="AU705" s="1219"/>
      <c r="AV705" s="1219"/>
      <c r="AW705" s="1219"/>
      <c r="AX705" s="1219"/>
      <c r="AY705" s="1219"/>
      <c r="AZ705" s="1219"/>
      <c r="BA705" s="1219"/>
      <c r="BB705" s="1219"/>
      <c r="BC705" s="1219"/>
      <c r="BD705" s="1219"/>
      <c r="BE705" s="1219"/>
      <c r="BF705" s="1219"/>
      <c r="BG705" s="1219"/>
      <c r="BH705" s="1219"/>
      <c r="BI705" s="1219"/>
      <c r="BJ705" s="1219"/>
      <c r="BK705" s="1219"/>
      <c r="BL705" s="1219"/>
      <c r="BM705" s="1219"/>
      <c r="BN705" s="1219"/>
      <c r="BO705" s="1219"/>
      <c r="BP705" s="1219"/>
      <c r="BQ705" s="1219"/>
      <c r="BR705" s="1219"/>
      <c r="BS705" s="1219"/>
      <c r="BU705" s="1217"/>
      <c r="BW705" s="1219"/>
      <c r="BY705" s="1217"/>
      <c r="CA705" s="1219"/>
      <c r="CC705" s="1217"/>
      <c r="CE705" s="1219"/>
      <c r="CG705" s="1217"/>
      <c r="CI705" s="1219"/>
    </row>
    <row r="706" spans="1:87">
      <c r="A706" s="20"/>
      <c r="B706" s="124" t="str">
        <f t="shared" si="328"/>
        <v/>
      </c>
      <c r="C706" s="235"/>
      <c r="D706" s="24">
        <f>'1% Wind'!$M$85</f>
        <v>17.8</v>
      </c>
      <c r="E706" s="90"/>
      <c r="F706" s="90"/>
      <c r="G706" s="79" t="e">
        <f ca="1">IF(I702=0.9743,$G705,MAX(G705/D705*D706,2))</f>
        <v>#N/A</v>
      </c>
      <c r="H706" s="121" t="e">
        <f t="shared" ca="1" si="329"/>
        <v>#N/A</v>
      </c>
      <c r="J706" s="33"/>
      <c r="K706" s="242">
        <f t="shared" si="330"/>
        <v>1</v>
      </c>
      <c r="L706" s="241" t="e">
        <f t="shared" ca="1" si="331"/>
        <v>#N/A</v>
      </c>
      <c r="M706" s="243" t="e">
        <f ca="1">IF(AND(INDEX(FlowCalConstA,MATCH(J702,FlowCalNumber,0),1,1)*L706^INDEX(FlowCalConstB,MATCH(J702,FlowCalNumber,0),1,1)&gt;INDEX(FlowCalLowSetting,MATCH(J702,FlowCalNumber,0),1,1), (INDEX(FlowCalConstA,MATCH(J702,FlowCalNumber,0),1,1)*L706^INDEX(FlowCalConstB,MATCH(J702,FlowCalNumber,0),1,1)&lt;INDEX(FlowCalHighSetting,MATCH(J702,FlowCalNumber,0),1,1))),INDEX(FlowCalConstA,MATCH(J702,FlowCalNumber,0),1,1)*L706^INDEX(FlowCalConstB,MATCH(J702,FlowCalNumber,0),1,1)," ")</f>
        <v>#N/A</v>
      </c>
      <c r="N706" s="33"/>
      <c r="O706" s="242">
        <f t="shared" si="332"/>
        <v>1</v>
      </c>
      <c r="P706" s="241" t="e">
        <f t="shared" ca="1" si="333"/>
        <v>#N/A</v>
      </c>
      <c r="Q706" s="243" t="e">
        <f ca="1">IF(AND(INDEX(FlowCalConstA,MATCH(N702,FlowCalNumber,0),1,1)*P706^INDEX(FlowCalConstB,MATCH(N702,FlowCalNumber,0),1,1)&gt;INDEX(FlowCalLowSetting,MATCH(N702,FlowCalNumber,0),1,1), (INDEX(FlowCalConstA,MATCH(N702,FlowCalNumber,0),1,1)*P706^INDEX(FlowCalConstB,MATCH(N702,FlowCalNumber,0),1,1)&lt;INDEX(FlowCalHighSetting,MATCH(N702,FlowCalNumber,0),1,1))),INDEX(FlowCalConstA,MATCH(N702,FlowCalNumber,0),1,1)*P706^INDEX(FlowCalConstB,MATCH(N702,FlowCalNumber,0),1,1)," ")</f>
        <v>#N/A</v>
      </c>
      <c r="R706" s="33"/>
      <c r="S706" s="242">
        <f t="shared" si="334"/>
        <v>1</v>
      </c>
      <c r="T706" s="241" t="e">
        <f t="shared" ca="1" si="335"/>
        <v>#N/A</v>
      </c>
      <c r="U706" s="243" t="e">
        <f ca="1">IF(AND(INDEX(FlowCalConstA,MATCH(R702,FlowCalNumber,0),1,1)*T706^INDEX(FlowCalConstB,MATCH(R702,FlowCalNumber,0),1,1)&gt;INDEX(FlowCalLowSetting,MATCH(R702,FlowCalNumber,0),1,1), (INDEX(FlowCalConstA,MATCH(R702,FlowCalNumber,0),1,1)*T706^INDEX(FlowCalConstB,MATCH(R702,FlowCalNumber,0),1,1)&lt;INDEX(FlowCalHighSetting,MATCH(R702,FlowCalNumber,0),1,1))),INDEX(FlowCalConstA,MATCH(R702,FlowCalNumber,0),1,1)*T706^INDEX(FlowCalConstB,MATCH(R702,FlowCalNumber,0),1,1)," ")</f>
        <v>#N/A</v>
      </c>
      <c r="V706" s="33"/>
      <c r="W706" s="242"/>
      <c r="X706" s="241"/>
      <c r="Y706" s="243"/>
      <c r="Z706" s="33"/>
      <c r="AA706" s="242"/>
      <c r="AB706" s="241"/>
      <c r="AC706" s="243"/>
      <c r="AD706" s="33"/>
      <c r="AE706" s="242"/>
      <c r="AF706" s="241"/>
      <c r="AG706" s="243"/>
      <c r="AH706" s="33"/>
      <c r="AI706" s="242"/>
      <c r="AJ706" s="241"/>
      <c r="AK706" s="244"/>
      <c r="AL706" s="243"/>
      <c r="AM706" s="243"/>
      <c r="AN706" s="243"/>
      <c r="AO706" s="243"/>
      <c r="AP706" s="243"/>
      <c r="AQ706" s="243"/>
      <c r="AR706" s="243"/>
      <c r="AS706" s="243"/>
      <c r="AT706" s="243"/>
      <c r="AU706" s="243"/>
      <c r="AV706" s="243"/>
      <c r="AW706" s="243"/>
      <c r="AX706" s="243"/>
      <c r="AY706" s="243"/>
      <c r="AZ706" s="243"/>
      <c r="BA706" s="243"/>
      <c r="BB706" s="243"/>
      <c r="BC706" s="243"/>
      <c r="BD706" s="243"/>
      <c r="BE706" s="243"/>
      <c r="BF706" s="243"/>
      <c r="BG706" s="243"/>
      <c r="BH706" s="243"/>
      <c r="BI706" s="243"/>
      <c r="BJ706" s="243"/>
      <c r="BK706" s="243"/>
      <c r="BL706" s="243"/>
      <c r="BM706" s="243"/>
      <c r="BN706" s="243"/>
      <c r="BO706" s="243"/>
      <c r="BP706" s="243"/>
      <c r="BQ706" s="243"/>
      <c r="BR706" s="243"/>
      <c r="BS706" s="243"/>
      <c r="BU706" s="242"/>
      <c r="BW706" s="243"/>
      <c r="BY706" s="242"/>
      <c r="CA706" s="243"/>
      <c r="CC706" s="242"/>
      <c r="CE706" s="243"/>
      <c r="CG706" s="242"/>
      <c r="CI706" s="243"/>
    </row>
    <row r="707" spans="1:87" s="1215" customFormat="1">
      <c r="A707" s="1222"/>
      <c r="B707" s="1223" t="str">
        <f t="shared" si="328"/>
        <v/>
      </c>
      <c r="C707" s="1210"/>
      <c r="D707" s="1211">
        <f>'1% Wind'!$M$86</f>
        <v>15.5</v>
      </c>
      <c r="E707" s="1212"/>
      <c r="F707" s="1212"/>
      <c r="G707" s="1213" t="e">
        <f ca="1">IF(I702=0.9743,$G706,MAX(G706/D706*D707,2))</f>
        <v>#N/A</v>
      </c>
      <c r="H707" s="1214" t="e">
        <f t="shared" ca="1" si="329"/>
        <v>#N/A</v>
      </c>
      <c r="J707" s="1224"/>
      <c r="K707" s="1217">
        <f t="shared" si="330"/>
        <v>1</v>
      </c>
      <c r="L707" s="1218" t="e">
        <f t="shared" ca="1" si="331"/>
        <v>#N/A</v>
      </c>
      <c r="M707" s="1219" t="e">
        <f ca="1">IF(AND(INDEX(FlowCalConstA,MATCH(J702,FlowCalNumber,0),1,1)*L707^INDEX(FlowCalConstB,MATCH(J702,FlowCalNumber,0),1,1)&gt;INDEX(FlowCalLowSetting,MATCH(J702,FlowCalNumber,0),1,1), (INDEX(FlowCalConstA,MATCH(J702,FlowCalNumber,0),1,1)*L707^INDEX(FlowCalConstB,MATCH(J702,FlowCalNumber,0),1,1)&lt;INDEX(FlowCalHighSetting,MATCH(J702,FlowCalNumber,0),1,1))),INDEX(FlowCalConstA,MATCH(J702,FlowCalNumber,0),1,1)*L707^INDEX(FlowCalConstB,MATCH(J702,FlowCalNumber,0),1,1)," ")</f>
        <v>#N/A</v>
      </c>
      <c r="N707" s="1224"/>
      <c r="O707" s="1217">
        <f t="shared" si="332"/>
        <v>1</v>
      </c>
      <c r="P707" s="1218" t="e">
        <f t="shared" ca="1" si="333"/>
        <v>#N/A</v>
      </c>
      <c r="Q707" s="1219" t="e">
        <f ca="1">IF(AND(INDEX(FlowCalConstA,MATCH(N702,FlowCalNumber,0),1,1)*P707^INDEX(FlowCalConstB,MATCH(N702,FlowCalNumber,0),1,1)&gt;INDEX(FlowCalLowSetting,MATCH(N702,FlowCalNumber,0),1,1), (INDEX(FlowCalConstA,MATCH(N702,FlowCalNumber,0),1,1)*P707^INDEX(FlowCalConstB,MATCH(N702,FlowCalNumber,0),1,1)&lt;INDEX(FlowCalHighSetting,MATCH(N702,FlowCalNumber,0),1,1))),INDEX(FlowCalConstA,MATCH(N702,FlowCalNumber,0),1,1)*P707^INDEX(FlowCalConstB,MATCH(N702,FlowCalNumber,0),1,1)," ")</f>
        <v>#N/A</v>
      </c>
      <c r="R707" s="1224"/>
      <c r="S707" s="1217">
        <f t="shared" si="334"/>
        <v>1</v>
      </c>
      <c r="T707" s="1218" t="e">
        <f t="shared" ca="1" si="335"/>
        <v>#N/A</v>
      </c>
      <c r="U707" s="1219" t="e">
        <f ca="1">IF(AND(INDEX(FlowCalConstA,MATCH(R702,FlowCalNumber,0),1,1)*T707^INDEX(FlowCalConstB,MATCH(R702,FlowCalNumber,0),1,1)&gt;INDEX(FlowCalLowSetting,MATCH(R702,FlowCalNumber,0),1,1), (INDEX(FlowCalConstA,MATCH(R702,FlowCalNumber,0),1,1)*T707^INDEX(FlowCalConstB,MATCH(R702,FlowCalNumber,0),1,1)&lt;INDEX(FlowCalHighSetting,MATCH(R702,FlowCalNumber,0),1,1))),INDEX(FlowCalConstA,MATCH(R702,FlowCalNumber,0),1,1)*T707^INDEX(FlowCalConstB,MATCH(R702,FlowCalNumber,0),1,1)," ")</f>
        <v>#N/A</v>
      </c>
      <c r="V707" s="1224"/>
      <c r="W707" s="1217"/>
      <c r="X707" s="1218"/>
      <c r="Y707" s="1219"/>
      <c r="Z707" s="1224"/>
      <c r="AA707" s="1217"/>
      <c r="AB707" s="1218"/>
      <c r="AC707" s="1219"/>
      <c r="AD707" s="1224"/>
      <c r="AE707" s="1217"/>
      <c r="AF707" s="1218"/>
      <c r="AG707" s="1219"/>
      <c r="AH707" s="1224"/>
      <c r="AI707" s="1217"/>
      <c r="AJ707" s="1218"/>
      <c r="AK707" s="1220"/>
      <c r="AL707" s="1219"/>
      <c r="AM707" s="1219"/>
      <c r="AN707" s="1219"/>
      <c r="AO707" s="1219"/>
      <c r="AP707" s="1219"/>
      <c r="AQ707" s="1219"/>
      <c r="AR707" s="1219"/>
      <c r="AS707" s="1219"/>
      <c r="AT707" s="1219"/>
      <c r="AU707" s="1219"/>
      <c r="AV707" s="1219"/>
      <c r="AW707" s="1219"/>
      <c r="AX707" s="1219"/>
      <c r="AY707" s="1219"/>
      <c r="AZ707" s="1219"/>
      <c r="BA707" s="1219"/>
      <c r="BB707" s="1219"/>
      <c r="BC707" s="1219"/>
      <c r="BD707" s="1219"/>
      <c r="BE707" s="1219"/>
      <c r="BF707" s="1219"/>
      <c r="BG707" s="1219"/>
      <c r="BH707" s="1219"/>
      <c r="BI707" s="1219"/>
      <c r="BJ707" s="1219"/>
      <c r="BK707" s="1219"/>
      <c r="BL707" s="1219"/>
      <c r="BM707" s="1219"/>
      <c r="BN707" s="1219"/>
      <c r="BO707" s="1219"/>
      <c r="BP707" s="1219"/>
      <c r="BQ707" s="1219"/>
      <c r="BR707" s="1219"/>
      <c r="BS707" s="1219"/>
      <c r="BU707" s="1217"/>
      <c r="BW707" s="1219"/>
      <c r="BY707" s="1217"/>
      <c r="CA707" s="1219"/>
      <c r="CC707" s="1217"/>
      <c r="CE707" s="1219"/>
      <c r="CG707" s="1217"/>
      <c r="CI707" s="1219"/>
    </row>
    <row r="708" spans="1:87">
      <c r="A708" s="20"/>
      <c r="B708" s="124" t="str">
        <f t="shared" si="328"/>
        <v/>
      </c>
      <c r="C708" s="235"/>
      <c r="D708" s="24">
        <f>'1% Wind'!$M$87</f>
        <v>13.5</v>
      </c>
      <c r="E708" s="90"/>
      <c r="F708" s="90"/>
      <c r="G708" s="79" t="e">
        <f ca="1">IF(I702=0.9743,$G707,MAX(G707/D707*D708,2))</f>
        <v>#N/A</v>
      </c>
      <c r="H708" s="121" t="e">
        <f t="shared" ca="1" si="329"/>
        <v>#N/A</v>
      </c>
      <c r="J708" s="33"/>
      <c r="K708" s="242">
        <f t="shared" si="330"/>
        <v>1</v>
      </c>
      <c r="L708" s="241" t="e">
        <f t="shared" ca="1" si="331"/>
        <v>#N/A</v>
      </c>
      <c r="M708" s="243" t="e">
        <f ca="1">IF(AND(INDEX(FlowCalConstA,MATCH(J702,FlowCalNumber,0),1,1)*L708^INDEX(FlowCalConstB,MATCH(J702,FlowCalNumber,0),1,1)&gt;INDEX(FlowCalLowSetting,MATCH(J702,FlowCalNumber,0),1,1), (INDEX(FlowCalConstA,MATCH(J702,FlowCalNumber,0),1,1)*L708^INDEX(FlowCalConstB,MATCH(J702,FlowCalNumber,0),1,1)&lt;INDEX(FlowCalHighSetting,MATCH(J702,FlowCalNumber,0),1,1))),INDEX(FlowCalConstA,MATCH(J702,FlowCalNumber,0),1,1)*L708^INDEX(FlowCalConstB,MATCH(J702,FlowCalNumber,0),1,1)," ")</f>
        <v>#N/A</v>
      </c>
      <c r="N708" s="33"/>
      <c r="O708" s="242">
        <f t="shared" si="332"/>
        <v>1</v>
      </c>
      <c r="P708" s="241" t="e">
        <f t="shared" ca="1" si="333"/>
        <v>#N/A</v>
      </c>
      <c r="Q708" s="243" t="e">
        <f ca="1">IF(AND(INDEX(FlowCalConstA,MATCH(N702,FlowCalNumber,0),1,1)*P708^INDEX(FlowCalConstB,MATCH(N702,FlowCalNumber,0),1,1)&gt;INDEX(FlowCalLowSetting,MATCH(N702,FlowCalNumber,0),1,1), (INDEX(FlowCalConstA,MATCH(N702,FlowCalNumber,0),1,1)*P708^INDEX(FlowCalConstB,MATCH(N702,FlowCalNumber,0),1,1)&lt;INDEX(FlowCalHighSetting,MATCH(N702,FlowCalNumber,0),1,1))),INDEX(FlowCalConstA,MATCH(N702,FlowCalNumber,0),1,1)*P708^INDEX(FlowCalConstB,MATCH(N702,FlowCalNumber,0),1,1)," ")</f>
        <v>#N/A</v>
      </c>
      <c r="R708" s="33"/>
      <c r="S708" s="242">
        <f t="shared" si="334"/>
        <v>1</v>
      </c>
      <c r="T708" s="241" t="e">
        <f t="shared" ca="1" si="335"/>
        <v>#N/A</v>
      </c>
      <c r="U708" s="243" t="e">
        <f ca="1">IF(AND(INDEX(FlowCalConstA,MATCH(R702,FlowCalNumber,0),1,1)*T708^INDEX(FlowCalConstB,MATCH(R702,FlowCalNumber,0),1,1)&gt;INDEX(FlowCalLowSetting,MATCH(R702,FlowCalNumber,0),1,1), (INDEX(FlowCalConstA,MATCH(R702,FlowCalNumber,0),1,1)*T708^INDEX(FlowCalConstB,MATCH(R702,FlowCalNumber,0),1,1)&lt;INDEX(FlowCalHighSetting,MATCH(R702,FlowCalNumber,0),1,1))),INDEX(FlowCalConstA,MATCH(R702,FlowCalNumber,0),1,1)*T708^INDEX(FlowCalConstB,MATCH(R702,FlowCalNumber,0),1,1)," ")</f>
        <v>#N/A</v>
      </c>
      <c r="V708" s="33"/>
      <c r="W708" s="242"/>
      <c r="X708" s="241"/>
      <c r="Y708" s="243"/>
      <c r="Z708" s="33"/>
      <c r="AA708" s="242"/>
      <c r="AB708" s="241"/>
      <c r="AC708" s="243"/>
      <c r="AD708" s="33"/>
      <c r="AE708" s="242"/>
      <c r="AF708" s="241"/>
      <c r="AG708" s="243"/>
      <c r="AH708" s="33"/>
      <c r="AI708" s="242"/>
      <c r="AJ708" s="241"/>
      <c r="AK708" s="244"/>
      <c r="AL708" s="243"/>
      <c r="AM708" s="243"/>
      <c r="AN708" s="243"/>
      <c r="AO708" s="243"/>
      <c r="AP708" s="243"/>
      <c r="AQ708" s="243"/>
      <c r="AR708" s="243"/>
      <c r="AS708" s="243"/>
      <c r="AT708" s="243"/>
      <c r="AU708" s="243"/>
      <c r="AV708" s="243"/>
      <c r="AW708" s="243"/>
      <c r="AX708" s="243"/>
      <c r="AY708" s="243"/>
      <c r="AZ708" s="243"/>
      <c r="BA708" s="243"/>
      <c r="BB708" s="243"/>
      <c r="BC708" s="243"/>
      <c r="BD708" s="243"/>
      <c r="BE708" s="243"/>
      <c r="BF708" s="243"/>
      <c r="BG708" s="243"/>
      <c r="BH708" s="243"/>
      <c r="BI708" s="243"/>
      <c r="BJ708" s="243"/>
      <c r="BK708" s="243"/>
      <c r="BL708" s="243"/>
      <c r="BM708" s="243"/>
      <c r="BN708" s="243"/>
      <c r="BO708" s="243"/>
      <c r="BP708" s="243"/>
      <c r="BQ708" s="243"/>
      <c r="BR708" s="243"/>
      <c r="BS708" s="243"/>
      <c r="BU708" s="242"/>
      <c r="BW708" s="243"/>
      <c r="BY708" s="242"/>
      <c r="CA708" s="243"/>
      <c r="CC708" s="242"/>
      <c r="CE708" s="243"/>
      <c r="CG708" s="242"/>
      <c r="CI708" s="243"/>
    </row>
    <row r="709" spans="1:87" s="1215" customFormat="1">
      <c r="A709" s="1222"/>
      <c r="B709" s="1223" t="str">
        <f t="shared" si="328"/>
        <v/>
      </c>
      <c r="C709" s="1210"/>
      <c r="D709" s="1211">
        <f>'1% Wind'!$M$88</f>
        <v>10.1</v>
      </c>
      <c r="E709" s="1212"/>
      <c r="F709" s="1212"/>
      <c r="G709" s="1213" t="e">
        <f ca="1">IF(I702=0.9743,$G708,MAX(G708/D708*D709,2))</f>
        <v>#N/A</v>
      </c>
      <c r="H709" s="1214" t="e">
        <f t="shared" ca="1" si="329"/>
        <v>#N/A</v>
      </c>
      <c r="J709" s="1224"/>
      <c r="K709" s="1217">
        <f t="shared" si="330"/>
        <v>1</v>
      </c>
      <c r="L709" s="1218" t="e">
        <f t="shared" ca="1" si="331"/>
        <v>#N/A</v>
      </c>
      <c r="M709" s="1219" t="e">
        <f ca="1">IF(AND(INDEX(FlowCalConstA,MATCH(J702,FlowCalNumber,0),1,1)*L709^INDEX(FlowCalConstB,MATCH(J702,FlowCalNumber,0),1,1)&gt;INDEX(FlowCalLowSetting,MATCH(J702,FlowCalNumber,0),1,1), (INDEX(FlowCalConstA,MATCH(J702,FlowCalNumber,0),1,1)*L709^INDEX(FlowCalConstB,MATCH(J702,FlowCalNumber,0),1,1)&lt;INDEX(FlowCalHighSetting,MATCH(J702,FlowCalNumber,0),1,1))),INDEX(FlowCalConstA,MATCH(J702,FlowCalNumber,0),1,1)*L709^INDEX(FlowCalConstB,MATCH(J702,FlowCalNumber,0),1,1)," ")</f>
        <v>#N/A</v>
      </c>
      <c r="N709" s="1224"/>
      <c r="O709" s="1217">
        <f t="shared" si="332"/>
        <v>1</v>
      </c>
      <c r="P709" s="1218" t="e">
        <f t="shared" ca="1" si="333"/>
        <v>#N/A</v>
      </c>
      <c r="Q709" s="1219" t="e">
        <f ca="1">IF(AND(INDEX(FlowCalConstA,MATCH(N702,FlowCalNumber,0),1,1)*P709^INDEX(FlowCalConstB,MATCH(N702,FlowCalNumber,0),1,1)&gt;INDEX(FlowCalLowSetting,MATCH(N702,FlowCalNumber,0),1,1), (INDEX(FlowCalConstA,MATCH(N702,FlowCalNumber,0),1,1)*P709^INDEX(FlowCalConstB,MATCH(N702,FlowCalNumber,0),1,1)&lt;INDEX(FlowCalHighSetting,MATCH(N702,FlowCalNumber,0),1,1))),INDEX(FlowCalConstA,MATCH(N702,FlowCalNumber,0),1,1)*P709^INDEX(FlowCalConstB,MATCH(N702,FlowCalNumber,0),1,1)," ")</f>
        <v>#N/A</v>
      </c>
      <c r="R709" s="1224"/>
      <c r="S709" s="1217">
        <f t="shared" si="334"/>
        <v>1</v>
      </c>
      <c r="T709" s="1218" t="e">
        <f t="shared" ca="1" si="335"/>
        <v>#N/A</v>
      </c>
      <c r="U709" s="1219" t="e">
        <f ca="1">IF(AND(INDEX(FlowCalConstA,MATCH(R702,FlowCalNumber,0),1,1)*T709^INDEX(FlowCalConstB,MATCH(R702,FlowCalNumber,0),1,1)&gt;INDEX(FlowCalLowSetting,MATCH(R702,FlowCalNumber,0),1,1), (INDEX(FlowCalConstA,MATCH(R702,FlowCalNumber,0),1,1)*T709^INDEX(FlowCalConstB,MATCH(R702,FlowCalNumber,0),1,1)&lt;INDEX(FlowCalHighSetting,MATCH(R702,FlowCalNumber,0),1,1))),INDEX(FlowCalConstA,MATCH(R702,FlowCalNumber,0),1,1)*T709^INDEX(FlowCalConstB,MATCH(R702,FlowCalNumber,0),1,1)," ")</f>
        <v>#N/A</v>
      </c>
      <c r="V709" s="1224"/>
      <c r="W709" s="1217"/>
      <c r="X709" s="1218"/>
      <c r="Y709" s="1219"/>
      <c r="Z709" s="1224"/>
      <c r="AA709" s="1217"/>
      <c r="AB709" s="1218"/>
      <c r="AC709" s="1219"/>
      <c r="AD709" s="1224"/>
      <c r="AE709" s="1217"/>
      <c r="AF709" s="1218"/>
      <c r="AG709" s="1219"/>
      <c r="AH709" s="1224"/>
      <c r="AI709" s="1217"/>
      <c r="AJ709" s="1218"/>
      <c r="AK709" s="1220"/>
      <c r="AL709" s="1219"/>
      <c r="AM709" s="1219"/>
      <c r="AN709" s="1219"/>
      <c r="AO709" s="1219"/>
      <c r="AP709" s="1219"/>
      <c r="AQ709" s="1219"/>
      <c r="AR709" s="1219"/>
      <c r="AS709" s="1219"/>
      <c r="AT709" s="1219"/>
      <c r="AU709" s="1219"/>
      <c r="AV709" s="1219"/>
      <c r="AW709" s="1219"/>
      <c r="AX709" s="1219"/>
      <c r="AY709" s="1219"/>
      <c r="AZ709" s="1219"/>
      <c r="BA709" s="1219"/>
      <c r="BB709" s="1219"/>
      <c r="BC709" s="1219"/>
      <c r="BD709" s="1219"/>
      <c r="BE709" s="1219"/>
      <c r="BF709" s="1219"/>
      <c r="BG709" s="1219"/>
      <c r="BH709" s="1219"/>
      <c r="BI709" s="1219"/>
      <c r="BJ709" s="1219"/>
      <c r="BK709" s="1219"/>
      <c r="BL709" s="1219"/>
      <c r="BM709" s="1219"/>
      <c r="BN709" s="1219"/>
      <c r="BO709" s="1219"/>
      <c r="BP709" s="1219"/>
      <c r="BQ709" s="1219"/>
      <c r="BR709" s="1219"/>
      <c r="BS709" s="1219"/>
      <c r="BU709" s="1217"/>
      <c r="BW709" s="1219"/>
      <c r="BY709" s="1217"/>
      <c r="CA709" s="1219"/>
      <c r="CC709" s="1217"/>
      <c r="CE709" s="1219"/>
      <c r="CG709" s="1217"/>
      <c r="CI709" s="1219"/>
    </row>
    <row r="710" spans="1:87">
      <c r="A710" s="20"/>
      <c r="B710" s="124" t="str">
        <f t="shared" si="328"/>
        <v/>
      </c>
      <c r="C710" s="235"/>
      <c r="D710" s="24">
        <f>'1% Wind'!$M$89</f>
        <v>7.6</v>
      </c>
      <c r="E710" s="90"/>
      <c r="F710" s="90"/>
      <c r="G710" s="79" t="e">
        <f ca="1">IF(I702=0.9743,$G709,MAX(G709/D709*D710,2))</f>
        <v>#N/A</v>
      </c>
      <c r="H710" s="121" t="e">
        <f t="shared" ca="1" si="329"/>
        <v>#N/A</v>
      </c>
      <c r="J710" s="33"/>
      <c r="K710" s="242">
        <f t="shared" si="330"/>
        <v>1</v>
      </c>
      <c r="L710" s="241" t="e">
        <f t="shared" ca="1" si="331"/>
        <v>#N/A</v>
      </c>
      <c r="M710" s="243" t="e">
        <f ca="1">IF(AND(INDEX(FlowCalConstA,MATCH(J702,FlowCalNumber,0),1,1)*L710^INDEX(FlowCalConstB,MATCH(J702,FlowCalNumber,0),1,1)&gt;INDEX(FlowCalLowSetting,MATCH(J702,FlowCalNumber,0),1,1), (INDEX(FlowCalConstA,MATCH(J702,FlowCalNumber,0),1,1)*L710^INDEX(FlowCalConstB,MATCH(J702,FlowCalNumber,0),1,1)&lt;INDEX(FlowCalHighSetting,MATCH(J702,FlowCalNumber,0),1,1))),INDEX(FlowCalConstA,MATCH(J702,FlowCalNumber,0),1,1)*L710^INDEX(FlowCalConstB,MATCH(J702,FlowCalNumber,0),1,1)," ")</f>
        <v>#N/A</v>
      </c>
      <c r="N710" s="33"/>
      <c r="O710" s="242">
        <f t="shared" si="332"/>
        <v>1</v>
      </c>
      <c r="P710" s="241" t="e">
        <f t="shared" ca="1" si="333"/>
        <v>#N/A</v>
      </c>
      <c r="Q710" s="243" t="e">
        <f ca="1">IF(AND(INDEX(FlowCalConstA,MATCH(N702,FlowCalNumber,0),1,1)*P710^INDEX(FlowCalConstB,MATCH(N702,FlowCalNumber,0),1,1)&gt;INDEX(FlowCalLowSetting,MATCH(N702,FlowCalNumber,0),1,1), (INDEX(FlowCalConstA,MATCH(N702,FlowCalNumber,0),1,1)*P710^INDEX(FlowCalConstB,MATCH(N702,FlowCalNumber,0),1,1)&lt;INDEX(FlowCalHighSetting,MATCH(N702,FlowCalNumber,0),1,1))),INDEX(FlowCalConstA,MATCH(N702,FlowCalNumber,0),1,1)*P710^INDEX(FlowCalConstB,MATCH(N702,FlowCalNumber,0),1,1)," ")</f>
        <v>#N/A</v>
      </c>
      <c r="R710" s="33"/>
      <c r="S710" s="242">
        <f t="shared" si="334"/>
        <v>1</v>
      </c>
      <c r="T710" s="241" t="e">
        <f t="shared" ca="1" si="335"/>
        <v>#N/A</v>
      </c>
      <c r="U710" s="243" t="e">
        <f ca="1">IF(AND(INDEX(FlowCalConstA,MATCH(R702,FlowCalNumber,0),1,1)*T710^INDEX(FlowCalConstB,MATCH(R702,FlowCalNumber,0),1,1)&gt;INDEX(FlowCalLowSetting,MATCH(R702,FlowCalNumber,0),1,1), (INDEX(FlowCalConstA,MATCH(R702,FlowCalNumber,0),1,1)*T710^INDEX(FlowCalConstB,MATCH(R702,FlowCalNumber,0),1,1)&lt;INDEX(FlowCalHighSetting,MATCH(R702,FlowCalNumber,0),1,1))),INDEX(FlowCalConstA,MATCH(R702,FlowCalNumber,0),1,1)*T710^INDEX(FlowCalConstB,MATCH(R702,FlowCalNumber,0),1,1)," ")</f>
        <v>#N/A</v>
      </c>
      <c r="V710" s="33"/>
      <c r="W710" s="242"/>
      <c r="X710" s="241"/>
      <c r="Y710" s="243"/>
      <c r="Z710" s="33"/>
      <c r="AA710" s="242"/>
      <c r="AB710" s="241"/>
      <c r="AC710" s="243"/>
      <c r="AD710" s="33"/>
      <c r="AE710" s="242"/>
      <c r="AF710" s="241"/>
      <c r="AG710" s="243"/>
      <c r="AH710" s="33"/>
      <c r="AI710" s="242"/>
      <c r="AJ710" s="241"/>
      <c r="AK710" s="244"/>
      <c r="AL710" s="243"/>
      <c r="AM710" s="243"/>
      <c r="AN710" s="243"/>
      <c r="AO710" s="243"/>
      <c r="AP710" s="243"/>
      <c r="AQ710" s="243"/>
      <c r="AR710" s="243"/>
      <c r="AS710" s="243"/>
      <c r="AT710" s="243"/>
      <c r="AU710" s="243"/>
      <c r="AV710" s="243"/>
      <c r="AW710" s="243"/>
      <c r="AX710" s="243"/>
      <c r="AY710" s="243"/>
      <c r="AZ710" s="243"/>
      <c r="BA710" s="243"/>
      <c r="BB710" s="243"/>
      <c r="BC710" s="243"/>
      <c r="BD710" s="243"/>
      <c r="BE710" s="243"/>
      <c r="BF710" s="243"/>
      <c r="BG710" s="243"/>
      <c r="BH710" s="243"/>
      <c r="BI710" s="243"/>
      <c r="BJ710" s="243"/>
      <c r="BK710" s="243"/>
      <c r="BL710" s="243"/>
      <c r="BM710" s="243"/>
      <c r="BN710" s="243"/>
      <c r="BO710" s="243"/>
      <c r="BP710" s="243"/>
      <c r="BQ710" s="243"/>
      <c r="BR710" s="243"/>
      <c r="BS710" s="243"/>
      <c r="BU710" s="242"/>
      <c r="BW710" s="243"/>
      <c r="BY710" s="242"/>
      <c r="CA710" s="243"/>
      <c r="CC710" s="242"/>
      <c r="CE710" s="243"/>
      <c r="CG710" s="242"/>
      <c r="CI710" s="243"/>
    </row>
    <row r="711" spans="1:87" s="1215" customFormat="1">
      <c r="A711" s="1222"/>
      <c r="B711" s="1223" t="str">
        <f t="shared" si="328"/>
        <v/>
      </c>
      <c r="C711" s="1210"/>
      <c r="D711" s="1211">
        <f>'1% Wind'!$M$90</f>
        <v>5.7</v>
      </c>
      <c r="E711" s="1212"/>
      <c r="F711" s="1212"/>
      <c r="G711" s="1213" t="e">
        <f ca="1">IF(I702=0.9743,$G710,MAX(G710/D710*D711,2))</f>
        <v>#N/A</v>
      </c>
      <c r="H711" s="1214" t="e">
        <f t="shared" ca="1" si="329"/>
        <v>#N/A</v>
      </c>
      <c r="J711" s="1224"/>
      <c r="K711" s="1217">
        <f t="shared" si="330"/>
        <v>1</v>
      </c>
      <c r="L711" s="1218" t="e">
        <f t="shared" ca="1" si="331"/>
        <v>#N/A</v>
      </c>
      <c r="M711" s="1219" t="e">
        <f ca="1">IF(AND(INDEX(FlowCalConstA,MATCH(J702,FlowCalNumber,0),1,1)*L711^INDEX(FlowCalConstB,MATCH(J702,FlowCalNumber,0),1,1)&gt;INDEX(FlowCalLowSetting,MATCH(J702,FlowCalNumber,0),1,1), (INDEX(FlowCalConstA,MATCH(J702,FlowCalNumber,0),1,1)*L711^INDEX(FlowCalConstB,MATCH(J702,FlowCalNumber,0),1,1)&lt;INDEX(FlowCalHighSetting,MATCH(J702,FlowCalNumber,0),1,1))),INDEX(FlowCalConstA,MATCH(J702,FlowCalNumber,0),1,1)*L711^INDEX(FlowCalConstB,MATCH(J702,FlowCalNumber,0),1,1)," ")</f>
        <v>#N/A</v>
      </c>
      <c r="N711" s="1224"/>
      <c r="O711" s="1217">
        <f t="shared" si="332"/>
        <v>1</v>
      </c>
      <c r="P711" s="1218" t="e">
        <f t="shared" ca="1" si="333"/>
        <v>#N/A</v>
      </c>
      <c r="Q711" s="1219" t="e">
        <f ca="1">IF(AND(INDEX(FlowCalConstA,MATCH(N702,FlowCalNumber,0),1,1)*P711^INDEX(FlowCalConstB,MATCH(N702,FlowCalNumber,0),1,1)&gt;INDEX(FlowCalLowSetting,MATCH(N702,FlowCalNumber,0),1,1), (INDEX(FlowCalConstA,MATCH(N702,FlowCalNumber,0),1,1)*P711^INDEX(FlowCalConstB,MATCH(N702,FlowCalNumber,0),1,1)&lt;INDEX(FlowCalHighSetting,MATCH(N702,FlowCalNumber,0),1,1))),INDEX(FlowCalConstA,MATCH(N702,FlowCalNumber,0),1,1)*P711^INDEX(FlowCalConstB,MATCH(N702,FlowCalNumber,0),1,1)," ")</f>
        <v>#N/A</v>
      </c>
      <c r="R711" s="1224"/>
      <c r="S711" s="1217">
        <f t="shared" si="334"/>
        <v>1</v>
      </c>
      <c r="T711" s="1218" t="e">
        <f t="shared" ca="1" si="335"/>
        <v>#N/A</v>
      </c>
      <c r="U711" s="1219" t="e">
        <f ca="1">IF(AND(INDEX(FlowCalConstA,MATCH(R702,FlowCalNumber,0),1,1)*T711^INDEX(FlowCalConstB,MATCH(R702,FlowCalNumber,0),1,1)&gt;INDEX(FlowCalLowSetting,MATCH(R702,FlowCalNumber,0),1,1), (INDEX(FlowCalConstA,MATCH(R702,FlowCalNumber,0),1,1)*T711^INDEX(FlowCalConstB,MATCH(R702,FlowCalNumber,0),1,1)&lt;INDEX(FlowCalHighSetting,MATCH(R702,FlowCalNumber,0),1,1))),INDEX(FlowCalConstA,MATCH(R702,FlowCalNumber,0),1,1)*T711^INDEX(FlowCalConstB,MATCH(R702,FlowCalNumber,0),1,1)," ")</f>
        <v>#N/A</v>
      </c>
      <c r="V711" s="1224"/>
      <c r="W711" s="1217"/>
      <c r="X711" s="1218"/>
      <c r="Y711" s="1219"/>
      <c r="Z711" s="1224"/>
      <c r="AA711" s="1217"/>
      <c r="AB711" s="1218"/>
      <c r="AC711" s="1219"/>
      <c r="AD711" s="1224"/>
      <c r="AE711" s="1217"/>
      <c r="AF711" s="1218"/>
      <c r="AG711" s="1219"/>
      <c r="AH711" s="1224"/>
      <c r="AI711" s="1217"/>
      <c r="AJ711" s="1218"/>
      <c r="AK711" s="1220"/>
      <c r="AL711" s="1219"/>
      <c r="AM711" s="1219"/>
      <c r="AN711" s="1219"/>
      <c r="AO711" s="1219"/>
      <c r="AP711" s="1219"/>
      <c r="AQ711" s="1219"/>
      <c r="AR711" s="1219"/>
      <c r="AS711" s="1219"/>
      <c r="AT711" s="1219"/>
      <c r="AU711" s="1219"/>
      <c r="AV711" s="1219"/>
      <c r="AW711" s="1219"/>
      <c r="AX711" s="1219"/>
      <c r="AY711" s="1219"/>
      <c r="AZ711" s="1219"/>
      <c r="BA711" s="1219"/>
      <c r="BB711" s="1219"/>
      <c r="BC711" s="1219"/>
      <c r="BD711" s="1219"/>
      <c r="BE711" s="1219"/>
      <c r="BF711" s="1219"/>
      <c r="BG711" s="1219"/>
      <c r="BH711" s="1219"/>
      <c r="BI711" s="1219"/>
      <c r="BJ711" s="1219"/>
      <c r="BK711" s="1219"/>
      <c r="BL711" s="1219"/>
      <c r="BM711" s="1219"/>
      <c r="BN711" s="1219"/>
      <c r="BO711" s="1219"/>
      <c r="BP711" s="1219"/>
      <c r="BQ711" s="1219"/>
      <c r="BR711" s="1219"/>
      <c r="BS711" s="1219"/>
      <c r="BU711" s="1217"/>
      <c r="BW711" s="1219"/>
      <c r="BY711" s="1217"/>
      <c r="CA711" s="1219"/>
      <c r="CC711" s="1217"/>
      <c r="CE711" s="1219"/>
      <c r="CG711" s="1217"/>
      <c r="CI711" s="1219"/>
    </row>
    <row r="712" spans="1:87">
      <c r="A712" s="20"/>
      <c r="B712" s="124" t="str">
        <f t="shared" si="328"/>
        <v/>
      </c>
      <c r="C712" s="235"/>
      <c r="D712" s="24">
        <f>'1% Wind'!$M$91</f>
        <v>4.2</v>
      </c>
      <c r="E712" s="90"/>
      <c r="F712" s="90"/>
      <c r="G712" s="79" t="e">
        <f ca="1">IF(I702=0.9743,$G711,MAX(G711/D711*D712,2))</f>
        <v>#N/A</v>
      </c>
      <c r="H712" s="121" t="e">
        <f t="shared" ca="1" si="329"/>
        <v>#N/A</v>
      </c>
      <c r="J712" s="33"/>
      <c r="K712" s="242">
        <f t="shared" si="330"/>
        <v>1</v>
      </c>
      <c r="L712" s="241" t="e">
        <f t="shared" ca="1" si="331"/>
        <v>#N/A</v>
      </c>
      <c r="M712" s="243" t="e">
        <f ca="1">IF(AND(INDEX(FlowCalConstA,MATCH(J702,FlowCalNumber,0),1,1)*L712^INDEX(FlowCalConstB,MATCH(J702,FlowCalNumber,0),1,1)&gt;INDEX(FlowCalLowSetting,MATCH(J702,FlowCalNumber,0),1,1), (INDEX(FlowCalConstA,MATCH(J702,FlowCalNumber,0),1,1)*L712^INDEX(FlowCalConstB,MATCH(J702,FlowCalNumber,0),1,1)&lt;INDEX(FlowCalHighSetting,MATCH(J702,FlowCalNumber,0),1,1))),INDEX(FlowCalConstA,MATCH(J702,FlowCalNumber,0),1,1)*L712^INDEX(FlowCalConstB,MATCH(J702,FlowCalNumber,0),1,1)," ")</f>
        <v>#N/A</v>
      </c>
      <c r="N712" s="33"/>
      <c r="O712" s="242">
        <f t="shared" si="332"/>
        <v>1</v>
      </c>
      <c r="P712" s="241" t="e">
        <f t="shared" ca="1" si="333"/>
        <v>#N/A</v>
      </c>
      <c r="Q712" s="243" t="e">
        <f ca="1">IF(AND(INDEX(FlowCalConstA,MATCH(N702,FlowCalNumber,0),1,1)*P712^INDEX(FlowCalConstB,MATCH(N702,FlowCalNumber,0),1,1)&gt;INDEX(FlowCalLowSetting,MATCH(N702,FlowCalNumber,0),1,1), (INDEX(FlowCalConstA,MATCH(N702,FlowCalNumber,0),1,1)*P712^INDEX(FlowCalConstB,MATCH(N702,FlowCalNumber,0),1,1)&lt;INDEX(FlowCalHighSetting,MATCH(N702,FlowCalNumber,0),1,1))),INDEX(FlowCalConstA,MATCH(N702,FlowCalNumber,0),1,1)*P712^INDEX(FlowCalConstB,MATCH(N702,FlowCalNumber,0),1,1)," ")</f>
        <v>#N/A</v>
      </c>
      <c r="R712" s="33"/>
      <c r="S712" s="242">
        <f t="shared" si="334"/>
        <v>1</v>
      </c>
      <c r="T712" s="241" t="e">
        <f t="shared" ca="1" si="335"/>
        <v>#N/A</v>
      </c>
      <c r="U712" s="243" t="e">
        <f ca="1">IF(AND(INDEX(FlowCalConstA,MATCH(R702,FlowCalNumber,0),1,1)*T712^INDEX(FlowCalConstB,MATCH(R702,FlowCalNumber,0),1,1)&gt;INDEX(FlowCalLowSetting,MATCH(R702,FlowCalNumber,0),1,1), (INDEX(FlowCalConstA,MATCH(R702,FlowCalNumber,0),1,1)*T712^INDEX(FlowCalConstB,MATCH(R702,FlowCalNumber,0),1,1)&lt;INDEX(FlowCalHighSetting,MATCH(R702,FlowCalNumber,0),1,1))),INDEX(FlowCalConstA,MATCH(R702,FlowCalNumber,0),1,1)*T712^INDEX(FlowCalConstB,MATCH(R702,FlowCalNumber,0),1,1)," ")</f>
        <v>#N/A</v>
      </c>
      <c r="V712" s="33"/>
      <c r="W712" s="242"/>
      <c r="X712" s="241"/>
      <c r="Y712" s="243"/>
      <c r="Z712" s="33"/>
      <c r="AA712" s="242"/>
      <c r="AB712" s="241"/>
      <c r="AC712" s="243"/>
      <c r="AD712" s="33"/>
      <c r="AE712" s="242"/>
      <c r="AF712" s="241"/>
      <c r="AG712" s="243"/>
      <c r="AH712" s="33"/>
      <c r="AI712" s="242"/>
      <c r="AJ712" s="241"/>
      <c r="AK712" s="244"/>
      <c r="AL712" s="243"/>
      <c r="AM712" s="243"/>
      <c r="AN712" s="243"/>
      <c r="AO712" s="243"/>
      <c r="AP712" s="243"/>
      <c r="AQ712" s="243"/>
      <c r="AR712" s="243"/>
      <c r="AS712" s="243"/>
      <c r="AT712" s="243"/>
      <c r="AU712" s="243"/>
      <c r="AV712" s="243"/>
      <c r="AW712" s="243"/>
      <c r="AX712" s="243"/>
      <c r="AY712" s="243"/>
      <c r="AZ712" s="243"/>
      <c r="BA712" s="243"/>
      <c r="BB712" s="243"/>
      <c r="BC712" s="243"/>
      <c r="BD712" s="243"/>
      <c r="BE712" s="243"/>
      <c r="BF712" s="243"/>
      <c r="BG712" s="243"/>
      <c r="BH712" s="243"/>
      <c r="BI712" s="243"/>
      <c r="BJ712" s="243"/>
      <c r="BK712" s="243"/>
      <c r="BL712" s="243"/>
      <c r="BM712" s="243"/>
      <c r="BN712" s="243"/>
      <c r="BO712" s="243"/>
      <c r="BP712" s="243"/>
      <c r="BQ712" s="243"/>
      <c r="BR712" s="243"/>
      <c r="BS712" s="243"/>
      <c r="BU712" s="242"/>
      <c r="BW712" s="243"/>
      <c r="BY712" s="242"/>
      <c r="CA712" s="243"/>
      <c r="CC712" s="242"/>
      <c r="CE712" s="243"/>
      <c r="CG712" s="242"/>
      <c r="CI712" s="243"/>
    </row>
    <row r="713" spans="1:87" s="1215" customFormat="1">
      <c r="A713" s="1222"/>
      <c r="B713" s="1223" t="str">
        <f t="shared" si="328"/>
        <v/>
      </c>
      <c r="C713" s="1210"/>
      <c r="D713" s="1211">
        <f>'1% Wind'!$M$92</f>
        <v>3.2</v>
      </c>
      <c r="E713" s="1212"/>
      <c r="F713" s="1212"/>
      <c r="G713" s="1213" t="e">
        <f ca="1">IF(I702=0.9743,$G712,MAX(G712/D712*D713,2))</f>
        <v>#N/A</v>
      </c>
      <c r="H713" s="1214" t="e">
        <f t="shared" ca="1" si="329"/>
        <v>#N/A</v>
      </c>
      <c r="J713" s="1224"/>
      <c r="K713" s="1217">
        <f t="shared" si="330"/>
        <v>1</v>
      </c>
      <c r="L713" s="1218" t="e">
        <f t="shared" ca="1" si="331"/>
        <v>#N/A</v>
      </c>
      <c r="M713" s="1219" t="e">
        <f ca="1">IF(AND(INDEX(FlowCalConstA,MATCH(J702,FlowCalNumber,0),1,1)*L713^INDEX(FlowCalConstB,MATCH(J702,FlowCalNumber,0),1,1)&gt;INDEX(FlowCalLowSetting,MATCH(J702,FlowCalNumber,0),1,1), (INDEX(FlowCalConstA,MATCH(J702,FlowCalNumber,0),1,1)*L713^INDEX(FlowCalConstB,MATCH(J702,FlowCalNumber,0),1,1)&lt;INDEX(FlowCalHighSetting,MATCH(J702,FlowCalNumber,0),1,1))),INDEX(FlowCalConstA,MATCH(J702,FlowCalNumber,0),1,1)*L713^INDEX(FlowCalConstB,MATCH(J702,FlowCalNumber,0),1,1)," ")</f>
        <v>#N/A</v>
      </c>
      <c r="N713" s="1224"/>
      <c r="O713" s="1217">
        <f t="shared" si="332"/>
        <v>1</v>
      </c>
      <c r="P713" s="1218" t="e">
        <f t="shared" ca="1" si="333"/>
        <v>#N/A</v>
      </c>
      <c r="Q713" s="1219" t="e">
        <f ca="1">IF(AND(INDEX(FlowCalConstA,MATCH(N702,FlowCalNumber,0),1,1)*P713^INDEX(FlowCalConstB,MATCH(N702,FlowCalNumber,0),1,1)&gt;INDEX(FlowCalLowSetting,MATCH(N702,FlowCalNumber,0),1,1), (INDEX(FlowCalConstA,MATCH(N702,FlowCalNumber,0),1,1)*P713^INDEX(FlowCalConstB,MATCH(N702,FlowCalNumber,0),1,1)&lt;INDEX(FlowCalHighSetting,MATCH(N702,FlowCalNumber,0),1,1))),INDEX(FlowCalConstA,MATCH(N702,FlowCalNumber,0),1,1)*P713^INDEX(FlowCalConstB,MATCH(N702,FlowCalNumber,0),1,1)," ")</f>
        <v>#N/A</v>
      </c>
      <c r="R713" s="1224"/>
      <c r="S713" s="1217">
        <f t="shared" si="334"/>
        <v>1</v>
      </c>
      <c r="T713" s="1218" t="e">
        <f t="shared" ca="1" si="335"/>
        <v>#N/A</v>
      </c>
      <c r="U713" s="1219" t="e">
        <f ca="1">IF(AND(INDEX(FlowCalConstA,MATCH(R702,FlowCalNumber,0),1,1)*T713^INDEX(FlowCalConstB,MATCH(R702,FlowCalNumber,0),1,1)&gt;INDEX(FlowCalLowSetting,MATCH(R702,FlowCalNumber,0),1,1), (INDEX(FlowCalConstA,MATCH(R702,FlowCalNumber,0),1,1)*T713^INDEX(FlowCalConstB,MATCH(R702,FlowCalNumber,0),1,1)&lt;INDEX(FlowCalHighSetting,MATCH(R702,FlowCalNumber,0),1,1))),INDEX(FlowCalConstA,MATCH(R702,FlowCalNumber,0),1,1)*T713^INDEX(FlowCalConstB,MATCH(R702,FlowCalNumber,0),1,1)," ")</f>
        <v>#N/A</v>
      </c>
      <c r="V713" s="1224"/>
      <c r="W713" s="1217"/>
      <c r="X713" s="1218"/>
      <c r="Y713" s="1219"/>
      <c r="Z713" s="1224"/>
      <c r="AA713" s="1217"/>
      <c r="AB713" s="1218"/>
      <c r="AC713" s="1219"/>
      <c r="AD713" s="1224"/>
      <c r="AE713" s="1217"/>
      <c r="AF713" s="1218"/>
      <c r="AG713" s="1219"/>
      <c r="AH713" s="1224"/>
      <c r="AI713" s="1217"/>
      <c r="AJ713" s="1218"/>
      <c r="AK713" s="1220"/>
      <c r="AL713" s="1219"/>
      <c r="AM713" s="1219"/>
      <c r="AN713" s="1219"/>
      <c r="AO713" s="1219"/>
      <c r="AP713" s="1219"/>
      <c r="AQ713" s="1219"/>
      <c r="AR713" s="1219"/>
      <c r="AS713" s="1219"/>
      <c r="AT713" s="1219"/>
      <c r="AU713" s="1219"/>
      <c r="AV713" s="1219"/>
      <c r="AW713" s="1219"/>
      <c r="AX713" s="1219"/>
      <c r="AY713" s="1219"/>
      <c r="AZ713" s="1219"/>
      <c r="BA713" s="1219"/>
      <c r="BB713" s="1219"/>
      <c r="BC713" s="1219"/>
      <c r="BD713" s="1219"/>
      <c r="BE713" s="1219"/>
      <c r="BF713" s="1219"/>
      <c r="BG713" s="1219"/>
      <c r="BH713" s="1219"/>
      <c r="BI713" s="1219"/>
      <c r="BJ713" s="1219"/>
      <c r="BK713" s="1219"/>
      <c r="BL713" s="1219"/>
      <c r="BM713" s="1219"/>
      <c r="BN713" s="1219"/>
      <c r="BO713" s="1219"/>
      <c r="BP713" s="1219"/>
      <c r="BQ713" s="1219"/>
      <c r="BR713" s="1219"/>
      <c r="BS713" s="1219"/>
      <c r="BU713" s="1217"/>
      <c r="BW713" s="1219"/>
      <c r="BY713" s="1217"/>
      <c r="CA713" s="1219"/>
      <c r="CC713" s="1217"/>
      <c r="CE713" s="1219"/>
      <c r="CG713" s="1217"/>
      <c r="CI713" s="1219"/>
    </row>
    <row r="714" spans="1:87">
      <c r="A714" s="20"/>
      <c r="B714" s="124" t="str">
        <f t="shared" si="328"/>
        <v/>
      </c>
      <c r="C714" s="235"/>
      <c r="D714" s="24">
        <f>'1% Wind'!$M$93</f>
        <v>2.4</v>
      </c>
      <c r="E714" s="90"/>
      <c r="F714" s="90"/>
      <c r="G714" s="79" t="e">
        <f ca="1">IF(I702=0.9743,$G713,MAX(G713/D713*D714,2))</f>
        <v>#N/A</v>
      </c>
      <c r="H714" s="121" t="e">
        <f t="shared" ca="1" si="329"/>
        <v>#N/A</v>
      </c>
      <c r="J714" s="33"/>
      <c r="K714" s="242">
        <f t="shared" si="330"/>
        <v>1</v>
      </c>
      <c r="L714" s="241" t="e">
        <f t="shared" ca="1" si="331"/>
        <v>#N/A</v>
      </c>
      <c r="M714" s="243" t="e">
        <f ca="1">IF(AND(INDEX(FlowCalConstA,MATCH(J702,FlowCalNumber,0),1,1)*L714^INDEX(FlowCalConstB,MATCH(J702,FlowCalNumber,0),1,1)&gt;INDEX(FlowCalLowSetting,MATCH(J702,FlowCalNumber,0),1,1), (INDEX(FlowCalConstA,MATCH(J702,FlowCalNumber,0),1,1)*L714^INDEX(FlowCalConstB,MATCH(J702,FlowCalNumber,0),1,1)&lt;INDEX(FlowCalHighSetting,MATCH(J702,FlowCalNumber,0),1,1))),INDEX(FlowCalConstA,MATCH(J702,FlowCalNumber,0),1,1)*L714^INDEX(FlowCalConstB,MATCH(J702,FlowCalNumber,0),1,1)," ")</f>
        <v>#N/A</v>
      </c>
      <c r="N714" s="33"/>
      <c r="O714" s="242">
        <f t="shared" si="332"/>
        <v>1</v>
      </c>
      <c r="P714" s="241" t="e">
        <f t="shared" ca="1" si="333"/>
        <v>#N/A</v>
      </c>
      <c r="Q714" s="243" t="e">
        <f ca="1">IF(AND(INDEX(FlowCalConstA,MATCH(N702,FlowCalNumber,0),1,1)*P714^INDEX(FlowCalConstB,MATCH(N702,FlowCalNumber,0),1,1)&gt;INDEX(FlowCalLowSetting,MATCH(N702,FlowCalNumber,0),1,1), (INDEX(FlowCalConstA,MATCH(N702,FlowCalNumber,0),1,1)*P714^INDEX(FlowCalConstB,MATCH(N702,FlowCalNumber,0),1,1)&lt;INDEX(FlowCalHighSetting,MATCH(N702,FlowCalNumber,0),1,1))),INDEX(FlowCalConstA,MATCH(N702,FlowCalNumber,0),1,1)*P714^INDEX(FlowCalConstB,MATCH(N702,FlowCalNumber,0),1,1)," ")</f>
        <v>#N/A</v>
      </c>
      <c r="R714" s="33"/>
      <c r="S714" s="242">
        <f t="shared" si="334"/>
        <v>1</v>
      </c>
      <c r="T714" s="241" t="e">
        <f t="shared" ca="1" si="335"/>
        <v>#N/A</v>
      </c>
      <c r="U714" s="243" t="e">
        <f ca="1">IF(AND(INDEX(FlowCalConstA,MATCH(R702,FlowCalNumber,0),1,1)*T714^INDEX(FlowCalConstB,MATCH(R702,FlowCalNumber,0),1,1)&gt;INDEX(FlowCalLowSetting,MATCH(R702,FlowCalNumber,0),1,1), (INDEX(FlowCalConstA,MATCH(R702,FlowCalNumber,0),1,1)*T714^INDEX(FlowCalConstB,MATCH(R702,FlowCalNumber,0),1,1)&lt;INDEX(FlowCalHighSetting,MATCH(R702,FlowCalNumber,0),1,1))),INDEX(FlowCalConstA,MATCH(R702,FlowCalNumber,0),1,1)*T714^INDEX(FlowCalConstB,MATCH(R702,FlowCalNumber,0),1,1)," ")</f>
        <v>#N/A</v>
      </c>
      <c r="V714" s="33"/>
      <c r="W714" s="242"/>
      <c r="X714" s="241"/>
      <c r="Y714" s="243"/>
      <c r="Z714" s="33"/>
      <c r="AA714" s="242"/>
      <c r="AB714" s="241"/>
      <c r="AC714" s="243"/>
      <c r="AD714" s="33"/>
      <c r="AE714" s="242"/>
      <c r="AF714" s="241"/>
      <c r="AG714" s="243"/>
      <c r="AH714" s="33"/>
      <c r="AI714" s="242"/>
      <c r="AJ714" s="241"/>
      <c r="AK714" s="244"/>
      <c r="AL714" s="243"/>
      <c r="AM714" s="243"/>
      <c r="AN714" s="243"/>
      <c r="AO714" s="243"/>
      <c r="AP714" s="243"/>
      <c r="AQ714" s="243"/>
      <c r="AR714" s="243"/>
      <c r="AS714" s="243"/>
      <c r="AT714" s="243"/>
      <c r="AU714" s="243"/>
      <c r="AV714" s="243"/>
      <c r="AW714" s="243"/>
      <c r="AX714" s="243"/>
      <c r="AY714" s="243"/>
      <c r="AZ714" s="243"/>
      <c r="BA714" s="243"/>
      <c r="BB714" s="243"/>
      <c r="BC714" s="243"/>
      <c r="BD714" s="243"/>
      <c r="BE714" s="243"/>
      <c r="BF714" s="243"/>
      <c r="BG714" s="243"/>
      <c r="BH714" s="243"/>
      <c r="BI714" s="243"/>
      <c r="BJ714" s="243"/>
      <c r="BK714" s="243"/>
      <c r="BL714" s="243"/>
      <c r="BM714" s="243"/>
      <c r="BN714" s="243"/>
      <c r="BO714" s="243"/>
      <c r="BP714" s="243"/>
      <c r="BQ714" s="243"/>
      <c r="BR714" s="243"/>
      <c r="BS714" s="243"/>
      <c r="BU714" s="242"/>
      <c r="BW714" s="243"/>
      <c r="BY714" s="242"/>
      <c r="CA714" s="243"/>
      <c r="CC714" s="242"/>
      <c r="CE714" s="243"/>
      <c r="CG714" s="242"/>
      <c r="CI714" s="243"/>
    </row>
    <row r="715" spans="1:87" s="1215" customFormat="1">
      <c r="A715" s="1222"/>
      <c r="B715" s="1223" t="str">
        <f t="shared" si="328"/>
        <v/>
      </c>
      <c r="C715" s="1210"/>
      <c r="D715" s="1211">
        <f>'1% Wind'!$M$94</f>
        <v>1.8</v>
      </c>
      <c r="E715" s="1212"/>
      <c r="F715" s="1212"/>
      <c r="G715" s="1213" t="e">
        <f ca="1">IF(I702=0.9743,$G714,MAX(G714/D714*D715,2))</f>
        <v>#N/A</v>
      </c>
      <c r="H715" s="1214" t="e">
        <f t="shared" ca="1" si="329"/>
        <v>#N/A</v>
      </c>
      <c r="J715" s="1224"/>
      <c r="K715" s="1217">
        <f t="shared" si="330"/>
        <v>1</v>
      </c>
      <c r="L715" s="1218" t="e">
        <f t="shared" ca="1" si="331"/>
        <v>#N/A</v>
      </c>
      <c r="M715" s="1219" t="e">
        <f ca="1">IF(AND(INDEX(FlowCalConstA,MATCH(J702,FlowCalNumber,0),1,1)*L715^INDEX(FlowCalConstB,MATCH(J702,FlowCalNumber,0),1,1)&gt;INDEX(FlowCalLowSetting,MATCH(J702,FlowCalNumber,0),1,1), (INDEX(FlowCalConstA,MATCH(J702,FlowCalNumber,0),1,1)*L715^INDEX(FlowCalConstB,MATCH(J702,FlowCalNumber,0),1,1)&lt;INDEX(FlowCalHighSetting,MATCH(J702,FlowCalNumber,0),1,1))),INDEX(FlowCalConstA,MATCH(J702,FlowCalNumber,0),1,1)*L715^INDEX(FlowCalConstB,MATCH(J702,FlowCalNumber,0),1,1)," ")</f>
        <v>#N/A</v>
      </c>
      <c r="N715" s="1224"/>
      <c r="O715" s="1217">
        <f t="shared" si="332"/>
        <v>1</v>
      </c>
      <c r="P715" s="1218" t="e">
        <f t="shared" ca="1" si="333"/>
        <v>#N/A</v>
      </c>
      <c r="Q715" s="1219" t="e">
        <f ca="1">IF(AND(INDEX(FlowCalConstA,MATCH(N702,FlowCalNumber,0),1,1)*P715^INDEX(FlowCalConstB,MATCH(N702,FlowCalNumber,0),1,1)&gt;INDEX(FlowCalLowSetting,MATCH(N702,FlowCalNumber,0),1,1), (INDEX(FlowCalConstA,MATCH(N702,FlowCalNumber,0),1,1)*P715^INDEX(FlowCalConstB,MATCH(N702,FlowCalNumber,0),1,1)&lt;INDEX(FlowCalHighSetting,MATCH(N702,FlowCalNumber,0),1,1))),INDEX(FlowCalConstA,MATCH(N702,FlowCalNumber,0),1,1)*P715^INDEX(FlowCalConstB,MATCH(N702,FlowCalNumber,0),1,1)," ")</f>
        <v>#N/A</v>
      </c>
      <c r="R715" s="1224"/>
      <c r="S715" s="1217">
        <f t="shared" si="334"/>
        <v>1</v>
      </c>
      <c r="T715" s="1218" t="e">
        <f t="shared" ca="1" si="335"/>
        <v>#N/A</v>
      </c>
      <c r="U715" s="1219" t="e">
        <f ca="1">IF(AND(INDEX(FlowCalConstA,MATCH(R702,FlowCalNumber,0),1,1)*T715^INDEX(FlowCalConstB,MATCH(R702,FlowCalNumber,0),1,1)&gt;INDEX(FlowCalLowSetting,MATCH(R702,FlowCalNumber,0),1,1), (INDEX(FlowCalConstA,MATCH(R702,FlowCalNumber,0),1,1)*T715^INDEX(FlowCalConstB,MATCH(R702,FlowCalNumber,0),1,1)&lt;INDEX(FlowCalHighSetting,MATCH(R702,FlowCalNumber,0),1,1))),INDEX(FlowCalConstA,MATCH(R702,FlowCalNumber,0),1,1)*T715^INDEX(FlowCalConstB,MATCH(R702,FlowCalNumber,0),1,1)," ")</f>
        <v>#N/A</v>
      </c>
      <c r="V715" s="1224"/>
      <c r="W715" s="1217"/>
      <c r="X715" s="1218"/>
      <c r="Y715" s="1219"/>
      <c r="Z715" s="1224"/>
      <c r="AA715" s="1217"/>
      <c r="AB715" s="1218"/>
      <c r="AC715" s="1219"/>
      <c r="AD715" s="1224"/>
      <c r="AE715" s="1217"/>
      <c r="AF715" s="1218"/>
      <c r="AG715" s="1219"/>
      <c r="AH715" s="1224"/>
      <c r="AI715" s="1217"/>
      <c r="AJ715" s="1218"/>
      <c r="AK715" s="1220"/>
      <c r="AL715" s="1219"/>
      <c r="AM715" s="1219"/>
      <c r="AN715" s="1219"/>
      <c r="AO715" s="1219"/>
      <c r="AP715" s="1219"/>
      <c r="AQ715" s="1219"/>
      <c r="AR715" s="1219"/>
      <c r="AS715" s="1219"/>
      <c r="AT715" s="1219"/>
      <c r="AU715" s="1219"/>
      <c r="AV715" s="1219"/>
      <c r="AW715" s="1219"/>
      <c r="AX715" s="1219"/>
      <c r="AY715" s="1219"/>
      <c r="AZ715" s="1219"/>
      <c r="BA715" s="1219"/>
      <c r="BB715" s="1219"/>
      <c r="BC715" s="1219"/>
      <c r="BD715" s="1219"/>
      <c r="BE715" s="1219"/>
      <c r="BF715" s="1219"/>
      <c r="BG715" s="1219"/>
      <c r="BH715" s="1219"/>
      <c r="BI715" s="1219"/>
      <c r="BJ715" s="1219"/>
      <c r="BK715" s="1219"/>
      <c r="BL715" s="1219"/>
      <c r="BM715" s="1219"/>
      <c r="BN715" s="1219"/>
      <c r="BO715" s="1219"/>
      <c r="BP715" s="1219"/>
      <c r="BQ715" s="1219"/>
      <c r="BR715" s="1219"/>
      <c r="BS715" s="1219"/>
      <c r="BU715" s="1217"/>
      <c r="BW715" s="1219"/>
      <c r="BY715" s="1217"/>
      <c r="CA715" s="1219"/>
      <c r="CC715" s="1217"/>
      <c r="CE715" s="1219"/>
      <c r="CG715" s="1217"/>
      <c r="CI715" s="1219"/>
    </row>
    <row r="716" spans="1:87">
      <c r="A716" s="20"/>
      <c r="B716" s="124" t="str">
        <f t="shared" si="328"/>
        <v/>
      </c>
      <c r="C716" s="235"/>
      <c r="D716" s="24">
        <f>'1% Wind'!$M$95</f>
        <v>1.3</v>
      </c>
      <c r="E716" s="90"/>
      <c r="F716" s="90"/>
      <c r="G716" s="79" t="e">
        <f ca="1">IF(I702=0.9743,$G715,MAX(G715/D715*D716,2))</f>
        <v>#N/A</v>
      </c>
      <c r="H716" s="121" t="e">
        <f t="shared" ca="1" si="329"/>
        <v>#N/A</v>
      </c>
      <c r="J716" s="33"/>
      <c r="K716" s="242">
        <f t="shared" si="330"/>
        <v>1</v>
      </c>
      <c r="L716" s="241" t="e">
        <f t="shared" ca="1" si="331"/>
        <v>#N/A</v>
      </c>
      <c r="M716" s="243" t="e">
        <f ca="1">IF(AND(INDEX(FlowCalConstA,MATCH(J702,FlowCalNumber,0),1,1)*L716^INDEX(FlowCalConstB,MATCH(J702,FlowCalNumber,0),1,1)&gt;INDEX(FlowCalLowSetting,MATCH(J702,FlowCalNumber,0),1,1), (INDEX(FlowCalConstA,MATCH(J702,FlowCalNumber,0),1,1)*L716^INDEX(FlowCalConstB,MATCH(J702,FlowCalNumber,0),1,1)&lt;INDEX(FlowCalHighSetting,MATCH(J702,FlowCalNumber,0),1,1))),INDEX(FlowCalConstA,MATCH(J702,FlowCalNumber,0),1,1)*L716^INDEX(FlowCalConstB,MATCH(J702,FlowCalNumber,0),1,1)," ")</f>
        <v>#N/A</v>
      </c>
      <c r="N716" s="33"/>
      <c r="O716" s="242">
        <f t="shared" si="332"/>
        <v>1</v>
      </c>
      <c r="P716" s="241" t="e">
        <f t="shared" ca="1" si="333"/>
        <v>#N/A</v>
      </c>
      <c r="Q716" s="243" t="e">
        <f ca="1">IF(AND(INDEX(FlowCalConstA,MATCH(N702,FlowCalNumber,0),1,1)*P716^INDEX(FlowCalConstB,MATCH(N702,FlowCalNumber,0),1,1)&gt;INDEX(FlowCalLowSetting,MATCH(N702,FlowCalNumber,0),1,1), (INDEX(FlowCalConstA,MATCH(N702,FlowCalNumber,0),1,1)*P716^INDEX(FlowCalConstB,MATCH(N702,FlowCalNumber,0),1,1)&lt;INDEX(FlowCalHighSetting,MATCH(N702,FlowCalNumber,0),1,1))),INDEX(FlowCalConstA,MATCH(N702,FlowCalNumber,0),1,1)*P716^INDEX(FlowCalConstB,MATCH(N702,FlowCalNumber,0),1,1)," ")</f>
        <v>#N/A</v>
      </c>
      <c r="R716" s="33"/>
      <c r="S716" s="242">
        <f t="shared" si="334"/>
        <v>1</v>
      </c>
      <c r="T716" s="241" t="e">
        <f t="shared" ca="1" si="335"/>
        <v>#N/A</v>
      </c>
      <c r="U716" s="243" t="e">
        <f ca="1">IF(AND(INDEX(FlowCalConstA,MATCH(R702,FlowCalNumber,0),1,1)*T716^INDEX(FlowCalConstB,MATCH(R702,FlowCalNumber,0),1,1)&gt;INDEX(FlowCalLowSetting,MATCH(R702,FlowCalNumber,0),1,1), (INDEX(FlowCalConstA,MATCH(R702,FlowCalNumber,0),1,1)*T716^INDEX(FlowCalConstB,MATCH(R702,FlowCalNumber,0),1,1)&lt;INDEX(FlowCalHighSetting,MATCH(R702,FlowCalNumber,0),1,1))),INDEX(FlowCalConstA,MATCH(R702,FlowCalNumber,0),1,1)*T716^INDEX(FlowCalConstB,MATCH(R702,FlowCalNumber,0),1,1)," ")</f>
        <v>#N/A</v>
      </c>
      <c r="V716" s="33"/>
      <c r="W716" s="242"/>
      <c r="X716" s="241"/>
      <c r="Y716" s="243"/>
      <c r="Z716" s="33"/>
      <c r="AA716" s="242"/>
      <c r="AB716" s="241"/>
      <c r="AC716" s="243"/>
      <c r="AD716" s="33"/>
      <c r="AE716" s="242"/>
      <c r="AF716" s="241"/>
      <c r="AG716" s="243"/>
      <c r="AH716" s="33"/>
      <c r="AI716" s="242"/>
      <c r="AJ716" s="241"/>
      <c r="AK716" s="244"/>
      <c r="AL716" s="243"/>
      <c r="AM716" s="243"/>
      <c r="AN716" s="243"/>
      <c r="AO716" s="243"/>
      <c r="AP716" s="243"/>
      <c r="AQ716" s="243"/>
      <c r="AR716" s="243"/>
      <c r="AS716" s="243"/>
      <c r="AT716" s="243"/>
      <c r="AU716" s="243"/>
      <c r="AV716" s="243"/>
      <c r="AW716" s="243"/>
      <c r="AX716" s="243"/>
      <c r="AY716" s="243"/>
      <c r="AZ716" s="243"/>
      <c r="BA716" s="243"/>
      <c r="BB716" s="243"/>
      <c r="BC716" s="243"/>
      <c r="BD716" s="243"/>
      <c r="BE716" s="243"/>
      <c r="BF716" s="243"/>
      <c r="BG716" s="243"/>
      <c r="BH716" s="243"/>
      <c r="BI716" s="243"/>
      <c r="BJ716" s="243"/>
      <c r="BK716" s="243"/>
      <c r="BL716" s="243"/>
      <c r="BM716" s="243"/>
      <c r="BN716" s="243"/>
      <c r="BO716" s="243"/>
      <c r="BP716" s="243"/>
      <c r="BQ716" s="243"/>
      <c r="BR716" s="243"/>
      <c r="BS716" s="243"/>
      <c r="BU716" s="242"/>
      <c r="BW716" s="243"/>
      <c r="BY716" s="242"/>
      <c r="CA716" s="243"/>
      <c r="CC716" s="242"/>
      <c r="CE716" s="243"/>
      <c r="CG716" s="242"/>
      <c r="CI716" s="243"/>
    </row>
    <row r="717" spans="1:87" s="1215" customFormat="1">
      <c r="A717" s="1222"/>
      <c r="B717" s="1223" t="str">
        <f t="shared" si="328"/>
        <v/>
      </c>
      <c r="C717" s="1210"/>
      <c r="D717" s="1211">
        <f>'1% Wind'!$M$96</f>
        <v>1</v>
      </c>
      <c r="E717" s="1212"/>
      <c r="F717" s="1212"/>
      <c r="G717" s="1213" t="e">
        <f ca="1">IF(I702=0.9743,$G716,MAX(G716/D716*D717,2))</f>
        <v>#N/A</v>
      </c>
      <c r="H717" s="1214" t="e">
        <f t="shared" ca="1" si="329"/>
        <v>#N/A</v>
      </c>
      <c r="J717" s="1224"/>
      <c r="K717" s="1217">
        <f t="shared" si="330"/>
        <v>1</v>
      </c>
      <c r="L717" s="1218" t="e">
        <f t="shared" ca="1" si="331"/>
        <v>#N/A</v>
      </c>
      <c r="M717" s="1219" t="e">
        <f ca="1">IF(AND(INDEX(FlowCalConstA,MATCH(J702,FlowCalNumber,0),1,1)*L717^INDEX(FlowCalConstB,MATCH(J702,FlowCalNumber,0),1,1)&gt;INDEX(FlowCalLowSetting,MATCH(J702,FlowCalNumber,0),1,1), (INDEX(FlowCalConstA,MATCH(J702,FlowCalNumber,0),1,1)*L717^INDEX(FlowCalConstB,MATCH(J702,FlowCalNumber,0),1,1)&lt;INDEX(FlowCalHighSetting,MATCH(J702,FlowCalNumber,0),1,1))),INDEX(FlowCalConstA,MATCH(J702,FlowCalNumber,0),1,1)*L717^INDEX(FlowCalConstB,MATCH(J702,FlowCalNumber,0),1,1)," ")</f>
        <v>#N/A</v>
      </c>
      <c r="N717" s="1224"/>
      <c r="O717" s="1217">
        <f t="shared" si="332"/>
        <v>1</v>
      </c>
      <c r="P717" s="1218" t="e">
        <f t="shared" ca="1" si="333"/>
        <v>#N/A</v>
      </c>
      <c r="Q717" s="1219" t="e">
        <f ca="1">IF(AND(INDEX(FlowCalConstA,MATCH(N702,FlowCalNumber,0),1,1)*P717^INDEX(FlowCalConstB,MATCH(N702,FlowCalNumber,0),1,1)&gt;INDEX(FlowCalLowSetting,MATCH(N702,FlowCalNumber,0),1,1), (INDEX(FlowCalConstA,MATCH(N702,FlowCalNumber,0),1,1)*P717^INDEX(FlowCalConstB,MATCH(N702,FlowCalNumber,0),1,1)&lt;INDEX(FlowCalHighSetting,MATCH(N702,FlowCalNumber,0),1,1))),INDEX(FlowCalConstA,MATCH(N702,FlowCalNumber,0),1,1)*P717^INDEX(FlowCalConstB,MATCH(N702,FlowCalNumber,0),1,1)," ")</f>
        <v>#N/A</v>
      </c>
      <c r="R717" s="1224"/>
      <c r="S717" s="1217">
        <f t="shared" si="334"/>
        <v>1</v>
      </c>
      <c r="T717" s="1218" t="e">
        <f t="shared" ca="1" si="335"/>
        <v>#N/A</v>
      </c>
      <c r="U717" s="1219" t="e">
        <f ca="1">IF(AND(INDEX(FlowCalConstA,MATCH(R702,FlowCalNumber,0),1,1)*T717^INDEX(FlowCalConstB,MATCH(R702,FlowCalNumber,0),1,1)&gt;INDEX(FlowCalLowSetting,MATCH(R702,FlowCalNumber,0),1,1), (INDEX(FlowCalConstA,MATCH(R702,FlowCalNumber,0),1,1)*T717^INDEX(FlowCalConstB,MATCH(R702,FlowCalNumber,0),1,1)&lt;INDEX(FlowCalHighSetting,MATCH(R702,FlowCalNumber,0),1,1))),INDEX(FlowCalConstA,MATCH(R702,FlowCalNumber,0),1,1)*T717^INDEX(FlowCalConstB,MATCH(R702,FlowCalNumber,0),1,1)," ")</f>
        <v>#N/A</v>
      </c>
      <c r="V717" s="1224"/>
      <c r="W717" s="1217"/>
      <c r="X717" s="1218"/>
      <c r="Y717" s="1219"/>
      <c r="Z717" s="1224"/>
      <c r="AA717" s="1217"/>
      <c r="AB717" s="1218"/>
      <c r="AC717" s="1219"/>
      <c r="AD717" s="1224"/>
      <c r="AE717" s="1217"/>
      <c r="AF717" s="1218"/>
      <c r="AG717" s="1219"/>
      <c r="AH717" s="1224"/>
      <c r="AI717" s="1217"/>
      <c r="AJ717" s="1218"/>
      <c r="AK717" s="1220"/>
      <c r="AL717" s="1219"/>
      <c r="AM717" s="1219"/>
      <c r="AN717" s="1219"/>
      <c r="AO717" s="1219"/>
      <c r="AP717" s="1219"/>
      <c r="AQ717" s="1219"/>
      <c r="AR717" s="1219"/>
      <c r="AS717" s="1219"/>
      <c r="AT717" s="1219"/>
      <c r="AU717" s="1219"/>
      <c r="AV717" s="1219"/>
      <c r="AW717" s="1219"/>
      <c r="AX717" s="1219"/>
      <c r="AY717" s="1219"/>
      <c r="AZ717" s="1219"/>
      <c r="BA717" s="1219"/>
      <c r="BB717" s="1219"/>
      <c r="BC717" s="1219"/>
      <c r="BD717" s="1219"/>
      <c r="BE717" s="1219"/>
      <c r="BF717" s="1219"/>
      <c r="BG717" s="1219"/>
      <c r="BH717" s="1219"/>
      <c r="BI717" s="1219"/>
      <c r="BJ717" s="1219"/>
      <c r="BK717" s="1219"/>
      <c r="BL717" s="1219"/>
      <c r="BM717" s="1219"/>
      <c r="BN717" s="1219"/>
      <c r="BO717" s="1219"/>
      <c r="BP717" s="1219"/>
      <c r="BQ717" s="1219"/>
      <c r="BR717" s="1219"/>
      <c r="BS717" s="1219"/>
      <c r="BU717" s="1217"/>
      <c r="BW717" s="1219"/>
      <c r="BY717" s="1217"/>
      <c r="CA717" s="1219"/>
      <c r="CC717" s="1217"/>
      <c r="CE717" s="1219"/>
      <c r="CG717" s="1217"/>
      <c r="CI717" s="1219"/>
    </row>
    <row r="718" spans="1:87">
      <c r="A718" s="33"/>
      <c r="B718" s="33"/>
      <c r="C718" s="235"/>
      <c r="E718" s="90"/>
      <c r="F718" s="90"/>
      <c r="G718" s="33"/>
      <c r="J718" s="33"/>
      <c r="M718" s="243"/>
      <c r="N718" s="33"/>
      <c r="Q718" s="243"/>
      <c r="R718" s="33"/>
      <c r="U718" s="243"/>
      <c r="V718" s="33"/>
      <c r="Y718" s="243"/>
      <c r="Z718" s="33"/>
      <c r="AC718" s="243"/>
      <c r="AD718" s="33"/>
      <c r="AG718" s="243"/>
      <c r="AH718" s="33"/>
      <c r="AK718" s="244"/>
      <c r="AL718" s="243"/>
      <c r="AM718" s="243"/>
      <c r="AN718" s="243"/>
      <c r="AO718" s="243"/>
      <c r="AP718" s="243"/>
      <c r="AQ718" s="243"/>
      <c r="AR718" s="243"/>
      <c r="AS718" s="243"/>
      <c r="AT718" s="243"/>
      <c r="AU718" s="243"/>
      <c r="AV718" s="243"/>
      <c r="AW718" s="243"/>
      <c r="AX718" s="243"/>
      <c r="AY718" s="243"/>
      <c r="AZ718" s="243"/>
      <c r="BA718" s="243"/>
      <c r="BB718" s="243"/>
      <c r="BC718" s="243"/>
      <c r="BD718" s="243"/>
      <c r="BE718" s="243"/>
      <c r="BF718" s="243"/>
      <c r="BG718" s="243"/>
      <c r="BH718" s="243"/>
      <c r="BI718" s="243"/>
      <c r="BJ718" s="243"/>
      <c r="BK718" s="243"/>
      <c r="BL718" s="243"/>
      <c r="BM718" s="243"/>
      <c r="BN718" s="243"/>
      <c r="BO718" s="243"/>
      <c r="BP718" s="243"/>
      <c r="BQ718" s="243"/>
      <c r="BR718" s="243"/>
      <c r="BS718" s="243"/>
      <c r="BW718" s="243"/>
      <c r="CA718" s="243"/>
      <c r="CE718" s="243"/>
      <c r="CI718" s="243"/>
    </row>
    <row r="719" spans="1:87">
      <c r="A719" s="256" t="str">
        <f>IF((RIGHT(A702,1))&lt;&gt;"Z",CHAR(CODE(A702))&amp;CHAR(CODE(RIGHT(A702,1))+1),CHAR(CODE(A702)+1)&amp;"A")</f>
        <v>BP</v>
      </c>
      <c r="B719" s="270" t="e">
        <f>INDEX(SourceID,MATCH($A719,SourceNumber,0),1,1)</f>
        <v>#N/A</v>
      </c>
      <c r="C719" s="354" t="e">
        <f>INDEX(SourceExitDiameter,MATCH($A719,SourceNumber,0),1,1)*3.28*12</f>
        <v>#N/A</v>
      </c>
      <c r="D719" s="24" t="str">
        <f>UAnem1percent</f>
        <v>1% Wind</v>
      </c>
      <c r="E719" s="350" t="e">
        <f ca="1">INDIRECT(ADDRESS(53,6,1,,CONCATENATE("TA",$A719)))</f>
        <v>#REF!</v>
      </c>
      <c r="F719" s="625" t="e">
        <f ca="1">(ROUND((INDIRECT(ADDRESS(15,7,1,,CONCATENATE("TA",$A719)))*3.28*12*32),0)&amp;"/32")</f>
        <v>#REF!</v>
      </c>
      <c r="G719" s="125" t="e">
        <f ca="1">INDIRECT(ADDRESS(29,7,1,,$A719))</f>
        <v>#N/A</v>
      </c>
      <c r="H719" s="24" t="e">
        <f ca="1">INDIRECT(ADDRESS(19,7,1,,$A719))*100^3</f>
        <v>#N/A</v>
      </c>
      <c r="I719" s="941" t="e">
        <f ca="1">INDIRECT(ADDRESS(53,7,1,,$A719))</f>
        <v>#N/A</v>
      </c>
      <c r="J719" s="20" t="e">
        <f ca="1">IF($I719=$I$6,K$16&amp;$G$6&amp;J$6,IF($I719=$I$7,K$16&amp;$G$7&amp;J$7,"Bad"))</f>
        <v>#N/A</v>
      </c>
      <c r="K719" t="e">
        <f ca="1">INDEX(FlowCalGasMixture,MATCH(J719,FlowCalNumber,0),1,1)</f>
        <v>#N/A</v>
      </c>
      <c r="M719" s="944" t="e">
        <f ca="1">INDEX(FlowCalDevice,MATCH(J719,FlowCalNumber,0),1,1)</f>
        <v>#N/A</v>
      </c>
      <c r="N719" s="20" t="e">
        <f ca="1">IF($I719=$I$6,O$16&amp;$G$6&amp;N$6,IF($I719=$I$7,O$16&amp;$G$7&amp;N$7,"Bad"))</f>
        <v>#N/A</v>
      </c>
      <c r="O719" t="e">
        <f ca="1">INDEX(FlowCalGasMixture,MATCH(N719,FlowCalNumber,0),1,1)</f>
        <v>#N/A</v>
      </c>
      <c r="Q719" s="944" t="e">
        <f ca="1">INDEX(FlowCalDevice,MATCH(N719,FlowCalNumber,0),1,1)</f>
        <v>#N/A</v>
      </c>
      <c r="R719" s="20" t="e">
        <f ca="1">IF($I719=$I$6,S$16&amp;$G$6&amp;R$6,IF($I719=$I$7,S$16&amp;$G$7&amp;R$7,"Bad"))</f>
        <v>#N/A</v>
      </c>
      <c r="S719" t="e">
        <f ca="1">INDEX(FlowCalGasMixture,MATCH(R719,FlowCalNumber,0),1,1)</f>
        <v>#N/A</v>
      </c>
      <c r="U719" s="944" t="e">
        <f ca="1">INDEX(FlowCalDevice,MATCH(R719,FlowCalNumber,0),1,1)</f>
        <v>#N/A</v>
      </c>
      <c r="V719" s="20"/>
      <c r="Y719" s="944"/>
      <c r="Z719" s="946"/>
      <c r="AC719" s="944"/>
      <c r="AD719" s="20"/>
      <c r="AG719" s="944"/>
      <c r="AH719" s="946"/>
      <c r="AK719" s="982"/>
      <c r="AL719" s="355"/>
      <c r="AM719" s="355"/>
      <c r="AN719" s="355"/>
      <c r="AO719" s="355"/>
      <c r="AP719" s="355"/>
      <c r="AQ719" s="355"/>
      <c r="AR719" s="355"/>
      <c r="AS719" s="355"/>
      <c r="AT719" s="355"/>
      <c r="AU719" s="355"/>
      <c r="AV719" s="355"/>
      <c r="AW719" s="355"/>
      <c r="AX719" s="355"/>
      <c r="AY719" s="355"/>
      <c r="AZ719" s="355"/>
      <c r="BA719" s="355"/>
      <c r="BB719" s="355"/>
      <c r="BC719" s="355"/>
      <c r="BD719" s="355"/>
      <c r="BE719" s="355"/>
      <c r="BF719" s="355"/>
      <c r="BG719" s="355"/>
      <c r="BH719" s="355"/>
      <c r="BI719" s="355"/>
      <c r="BJ719" s="355"/>
      <c r="BK719" s="355"/>
      <c r="BL719" s="355"/>
      <c r="BM719" s="355"/>
      <c r="BN719" s="355"/>
      <c r="BO719" s="355"/>
      <c r="BP719" s="355"/>
      <c r="BQ719" s="355"/>
      <c r="BR719" s="355"/>
      <c r="BS719" s="355"/>
      <c r="BT719" s="46"/>
      <c r="BU719" s="16"/>
      <c r="BW719" s="355"/>
      <c r="BX719" s="42"/>
      <c r="BY719" s="16"/>
      <c r="CA719" s="355"/>
      <c r="CB719" s="42"/>
      <c r="CC719" s="16"/>
      <c r="CE719" s="355"/>
      <c r="CF719" s="42"/>
      <c r="CG719" s="16"/>
      <c r="CI719" s="355"/>
    </row>
    <row r="720" spans="1:87" s="1215" customFormat="1">
      <c r="A720" s="1222"/>
      <c r="B720" s="1223" t="str">
        <f t="shared" ref="B720:B734" si="336">IF(D720=UAnem1percent,"1% Wind","")</f>
        <v/>
      </c>
      <c r="C720" s="1210"/>
      <c r="D720" s="1211">
        <f>'1% Wind'!$M$82</f>
        <v>27</v>
      </c>
      <c r="E720" s="1212"/>
      <c r="F720" s="1212"/>
      <c r="G720" s="1364">
        <v>2</v>
      </c>
      <c r="H720" s="1214" t="e">
        <f t="shared" ref="H720:H734" ca="1" si="337">H719*(D719/D720)*(G720/G719)</f>
        <v>#N/A</v>
      </c>
      <c r="J720" s="1224"/>
      <c r="K720" s="1221">
        <f>K$17/100</f>
        <v>1</v>
      </c>
      <c r="L720" s="1218" t="e">
        <f ca="1">K720*$H720</f>
        <v>#N/A</v>
      </c>
      <c r="M720" s="1219" t="e">
        <f ca="1">IF(AND(INDEX(FlowCalConstA,MATCH(J719,FlowCalNumber,0),1,1)*L720^INDEX(FlowCalConstB,MATCH(J719,FlowCalNumber,0),1,1)&gt;INDEX(FlowCalLowSetting,MATCH(J719,FlowCalNumber,0),1,1), (INDEX(FlowCalConstA,MATCH(J719,FlowCalNumber,0),1,1)*L720^INDEX(FlowCalConstB,MATCH(J719,FlowCalNumber,0),1,1)&lt;INDEX(FlowCalHighSetting,MATCH(J719,FlowCalNumber,0),1,1))),INDEX(FlowCalConstA,MATCH(J719,FlowCalNumber,0),1,1)*L720^INDEX(FlowCalConstB,MATCH(J719,FlowCalNumber,0),1,1)," ")</f>
        <v>#N/A</v>
      </c>
      <c r="N720" s="1224"/>
      <c r="O720" s="1221">
        <f>O$17/100</f>
        <v>1</v>
      </c>
      <c r="P720" s="1218" t="e">
        <f ca="1">O720*$H720</f>
        <v>#N/A</v>
      </c>
      <c r="Q720" s="1219" t="e">
        <f ca="1">IF(AND(INDEX(FlowCalConstA,MATCH(N719,FlowCalNumber,0),1,1)*P720^INDEX(FlowCalConstB,MATCH(N719,FlowCalNumber,0),1,1)&gt;INDEX(FlowCalLowSetting,MATCH(N719,FlowCalNumber,0),1,1), (INDEX(FlowCalConstA,MATCH(N719,FlowCalNumber,0),1,1)*P720^INDEX(FlowCalConstB,MATCH(N719,FlowCalNumber,0),1,1)&lt;INDEX(FlowCalHighSetting,MATCH(N719,FlowCalNumber,0),1,1))),INDEX(FlowCalConstA,MATCH(N719,FlowCalNumber,0),1,1)*P720^INDEX(FlowCalConstB,MATCH(N719,FlowCalNumber,0),1,1)," ")</f>
        <v>#N/A</v>
      </c>
      <c r="R720" s="1224"/>
      <c r="S720" s="1221">
        <f>S$17/100</f>
        <v>1</v>
      </c>
      <c r="T720" s="1218" t="e">
        <f ca="1">S720*$H720</f>
        <v>#N/A</v>
      </c>
      <c r="U720" s="1219" t="e">
        <f ca="1">IF(AND(INDEX(FlowCalConstA,MATCH(R719,FlowCalNumber,0),1,1)*T720^INDEX(FlowCalConstB,MATCH(R719,FlowCalNumber,0),1,1)&gt;INDEX(FlowCalLowSetting,MATCH(R719,FlowCalNumber,0),1,1), (INDEX(FlowCalConstA,MATCH(R719,FlowCalNumber,0),1,1)*T720^INDEX(FlowCalConstB,MATCH(R719,FlowCalNumber,0),1,1)&lt;INDEX(FlowCalHighSetting,MATCH(R719,FlowCalNumber,0),1,1))),INDEX(FlowCalConstA,MATCH(R719,FlowCalNumber,0),1,1)*T720^INDEX(FlowCalConstB,MATCH(R719,FlowCalNumber,0),1,1)," ")</f>
        <v>#N/A</v>
      </c>
      <c r="V720" s="1224"/>
      <c r="W720" s="1221"/>
      <c r="X720" s="1218"/>
      <c r="Y720" s="1219"/>
      <c r="Z720" s="1224"/>
      <c r="AA720" s="1221"/>
      <c r="AB720" s="1218"/>
      <c r="AC720" s="1219"/>
      <c r="AD720" s="1224"/>
      <c r="AE720" s="1221"/>
      <c r="AF720" s="1218"/>
      <c r="AG720" s="1219"/>
      <c r="AH720" s="1224"/>
      <c r="AI720" s="1221"/>
      <c r="AJ720" s="1218"/>
      <c r="AK720" s="1220"/>
      <c r="AL720" s="1219"/>
      <c r="AM720" s="1219"/>
      <c r="AN720" s="1219"/>
      <c r="AO720" s="1219"/>
      <c r="AP720" s="1219"/>
      <c r="AQ720" s="1219"/>
      <c r="AR720" s="1219"/>
      <c r="AS720" s="1219"/>
      <c r="AT720" s="1219"/>
      <c r="AU720" s="1219"/>
      <c r="AV720" s="1219"/>
      <c r="AW720" s="1219"/>
      <c r="AX720" s="1219"/>
      <c r="AY720" s="1219"/>
      <c r="AZ720" s="1219"/>
      <c r="BA720" s="1219"/>
      <c r="BB720" s="1219"/>
      <c r="BC720" s="1219"/>
      <c r="BD720" s="1219"/>
      <c r="BE720" s="1219"/>
      <c r="BF720" s="1219"/>
      <c r="BG720" s="1219"/>
      <c r="BH720" s="1219"/>
      <c r="BI720" s="1219"/>
      <c r="BJ720" s="1219"/>
      <c r="BK720" s="1219"/>
      <c r="BL720" s="1219"/>
      <c r="BM720" s="1219"/>
      <c r="BN720" s="1219"/>
      <c r="BO720" s="1219"/>
      <c r="BP720" s="1219"/>
      <c r="BQ720" s="1219"/>
      <c r="BR720" s="1219"/>
      <c r="BS720" s="1219"/>
      <c r="BU720" s="1225"/>
      <c r="BW720" s="1219"/>
      <c r="BY720" s="1225"/>
      <c r="CA720" s="1219"/>
      <c r="CC720" s="1225"/>
      <c r="CE720" s="1219"/>
      <c r="CG720" s="1221"/>
      <c r="CI720" s="1219"/>
    </row>
    <row r="721" spans="1:87">
      <c r="A721" s="20"/>
      <c r="B721" s="124" t="str">
        <f t="shared" si="336"/>
        <v/>
      </c>
      <c r="C721" s="235"/>
      <c r="D721" s="24">
        <f>'1% Wind'!$M$83</f>
        <v>23.5</v>
      </c>
      <c r="E721" s="90"/>
      <c r="F721" s="90"/>
      <c r="G721" s="79" t="e">
        <f ca="1">IF(I719=0.9743,$G720,MAX(G720/D720*D721,2))</f>
        <v>#N/A</v>
      </c>
      <c r="H721" s="121" t="e">
        <f t="shared" ca="1" si="337"/>
        <v>#N/A</v>
      </c>
      <c r="J721" s="33"/>
      <c r="K721" s="242">
        <f t="shared" ref="K721:K734" si="338">K720</f>
        <v>1</v>
      </c>
      <c r="L721" s="241" t="e">
        <f t="shared" ref="L721:L734" ca="1" si="339">K721*$H721</f>
        <v>#N/A</v>
      </c>
      <c r="M721" s="243" t="e">
        <f ca="1">IF(AND(INDEX(FlowCalConstA,MATCH(J719,FlowCalNumber,0),1,1)*L721^INDEX(FlowCalConstB,MATCH(J719,FlowCalNumber,0),1,1)&gt;INDEX(FlowCalLowSetting,MATCH(J719,FlowCalNumber,0),1,1), (INDEX(FlowCalConstA,MATCH(J719,FlowCalNumber,0),1,1)*L721^INDEX(FlowCalConstB,MATCH(J719,FlowCalNumber,0),1,1)&lt;INDEX(FlowCalHighSetting,MATCH(J719,FlowCalNumber,0),1,1))),INDEX(FlowCalConstA,MATCH(J719,FlowCalNumber,0),1,1)*L721^INDEX(FlowCalConstB,MATCH(J719,FlowCalNumber,0),1,1)," ")</f>
        <v>#N/A</v>
      </c>
      <c r="N721" s="33"/>
      <c r="O721" s="242">
        <f t="shared" ref="O721:O734" si="340">O720</f>
        <v>1</v>
      </c>
      <c r="P721" s="241" t="e">
        <f t="shared" ref="P721:P734" ca="1" si="341">O721*$H721</f>
        <v>#N/A</v>
      </c>
      <c r="Q721" s="243" t="e">
        <f ca="1">IF(AND(INDEX(FlowCalConstA,MATCH(N719,FlowCalNumber,0),1,1)*P721^INDEX(FlowCalConstB,MATCH(N719,FlowCalNumber,0),1,1)&gt;INDEX(FlowCalLowSetting,MATCH(N719,FlowCalNumber,0),1,1), (INDEX(FlowCalConstA,MATCH(N719,FlowCalNumber,0),1,1)*P721^INDEX(FlowCalConstB,MATCH(N719,FlowCalNumber,0),1,1)&lt;INDEX(FlowCalHighSetting,MATCH(N719,FlowCalNumber,0),1,1))),INDEX(FlowCalConstA,MATCH(N719,FlowCalNumber,0),1,1)*P721^INDEX(FlowCalConstB,MATCH(N719,FlowCalNumber,0),1,1)," ")</f>
        <v>#N/A</v>
      </c>
      <c r="R721" s="33"/>
      <c r="S721" s="242">
        <f t="shared" ref="S721:S734" si="342">S720</f>
        <v>1</v>
      </c>
      <c r="T721" s="241" t="e">
        <f t="shared" ref="T721:T734" ca="1" si="343">S721*$H721</f>
        <v>#N/A</v>
      </c>
      <c r="U721" s="243" t="e">
        <f ca="1">IF(AND(INDEX(FlowCalConstA,MATCH(R719,FlowCalNumber,0),1,1)*T721^INDEX(FlowCalConstB,MATCH(R719,FlowCalNumber,0),1,1)&gt;INDEX(FlowCalLowSetting,MATCH(R719,FlowCalNumber,0),1,1), (INDEX(FlowCalConstA,MATCH(R719,FlowCalNumber,0),1,1)*T721^INDEX(FlowCalConstB,MATCH(R719,FlowCalNumber,0),1,1)&lt;INDEX(FlowCalHighSetting,MATCH(R719,FlowCalNumber,0),1,1))),INDEX(FlowCalConstA,MATCH(R719,FlowCalNumber,0),1,1)*T721^INDEX(FlowCalConstB,MATCH(R719,FlowCalNumber,0),1,1)," ")</f>
        <v>#N/A</v>
      </c>
      <c r="V721" s="33"/>
      <c r="W721" s="242"/>
      <c r="X721" s="241"/>
      <c r="Y721" s="243"/>
      <c r="Z721" s="33"/>
      <c r="AA721" s="242"/>
      <c r="AB721" s="241"/>
      <c r="AC721" s="243"/>
      <c r="AD721" s="33"/>
      <c r="AE721" s="242"/>
      <c r="AF721" s="241"/>
      <c r="AG721" s="243"/>
      <c r="AH721" s="33"/>
      <c r="AI721" s="242"/>
      <c r="AJ721" s="241"/>
      <c r="AK721" s="244"/>
      <c r="AL721" s="243"/>
      <c r="AM721" s="243"/>
      <c r="AN721" s="243"/>
      <c r="AO721" s="243"/>
      <c r="AP721" s="243"/>
      <c r="AQ721" s="243"/>
      <c r="AR721" s="243"/>
      <c r="AS721" s="243"/>
      <c r="AT721" s="243"/>
      <c r="AU721" s="243"/>
      <c r="AV721" s="243"/>
      <c r="AW721" s="243"/>
      <c r="AX721" s="243"/>
      <c r="AY721" s="243"/>
      <c r="AZ721" s="243"/>
      <c r="BA721" s="243"/>
      <c r="BB721" s="243"/>
      <c r="BC721" s="243"/>
      <c r="BD721" s="243"/>
      <c r="BE721" s="243"/>
      <c r="BF721" s="243"/>
      <c r="BG721" s="243"/>
      <c r="BH721" s="243"/>
      <c r="BI721" s="243"/>
      <c r="BJ721" s="243"/>
      <c r="BK721" s="243"/>
      <c r="BL721" s="243"/>
      <c r="BM721" s="243"/>
      <c r="BN721" s="243"/>
      <c r="BO721" s="243"/>
      <c r="BP721" s="243"/>
      <c r="BQ721" s="243"/>
      <c r="BR721" s="243"/>
      <c r="BS721" s="243"/>
      <c r="BU721" s="242"/>
      <c r="BW721" s="243"/>
      <c r="BY721" s="242"/>
      <c r="CA721" s="243"/>
      <c r="CC721" s="242"/>
      <c r="CE721" s="243"/>
      <c r="CG721" s="242"/>
      <c r="CI721" s="243"/>
    </row>
    <row r="722" spans="1:87" s="1215" customFormat="1">
      <c r="A722" s="1222"/>
      <c r="B722" s="1223" t="str">
        <f t="shared" si="336"/>
        <v/>
      </c>
      <c r="C722" s="1210"/>
      <c r="D722" s="1211">
        <f>'1% Wind'!$M$84</f>
        <v>20.5</v>
      </c>
      <c r="E722" s="1212"/>
      <c r="F722" s="1212"/>
      <c r="G722" s="1213" t="e">
        <f ca="1">IF(I719=0.9743,$G721,MAX(G721/D721*D722,2))</f>
        <v>#N/A</v>
      </c>
      <c r="H722" s="1214" t="e">
        <f t="shared" ca="1" si="337"/>
        <v>#N/A</v>
      </c>
      <c r="J722" s="1224"/>
      <c r="K722" s="1217">
        <f t="shared" si="338"/>
        <v>1</v>
      </c>
      <c r="L722" s="1218" t="e">
        <f t="shared" ca="1" si="339"/>
        <v>#N/A</v>
      </c>
      <c r="M722" s="1219" t="e">
        <f ca="1">IF(AND(INDEX(FlowCalConstA,MATCH(J719,FlowCalNumber,0),1,1)*L722^INDEX(FlowCalConstB,MATCH(J719,FlowCalNumber,0),1,1)&gt;INDEX(FlowCalLowSetting,MATCH(J719,FlowCalNumber,0),1,1), (INDEX(FlowCalConstA,MATCH(J719,FlowCalNumber,0),1,1)*L722^INDEX(FlowCalConstB,MATCH(J719,FlowCalNumber,0),1,1)&lt;INDEX(FlowCalHighSetting,MATCH(J719,FlowCalNumber,0),1,1))),INDEX(FlowCalConstA,MATCH(J719,FlowCalNumber,0),1,1)*L722^INDEX(FlowCalConstB,MATCH(J719,FlowCalNumber,0),1,1)," ")</f>
        <v>#N/A</v>
      </c>
      <c r="N722" s="1224"/>
      <c r="O722" s="1217">
        <f t="shared" si="340"/>
        <v>1</v>
      </c>
      <c r="P722" s="1218" t="e">
        <f t="shared" ca="1" si="341"/>
        <v>#N/A</v>
      </c>
      <c r="Q722" s="1219" t="e">
        <f ca="1">IF(AND(INDEX(FlowCalConstA,MATCH(N719,FlowCalNumber,0),1,1)*P722^INDEX(FlowCalConstB,MATCH(N719,FlowCalNumber,0),1,1)&gt;INDEX(FlowCalLowSetting,MATCH(N719,FlowCalNumber,0),1,1), (INDEX(FlowCalConstA,MATCH(N719,FlowCalNumber,0),1,1)*P722^INDEX(FlowCalConstB,MATCH(N719,FlowCalNumber,0),1,1)&lt;INDEX(FlowCalHighSetting,MATCH(N719,FlowCalNumber,0),1,1))),INDEX(FlowCalConstA,MATCH(N719,FlowCalNumber,0),1,1)*P722^INDEX(FlowCalConstB,MATCH(N719,FlowCalNumber,0),1,1)," ")</f>
        <v>#N/A</v>
      </c>
      <c r="R722" s="1224"/>
      <c r="S722" s="1217">
        <f t="shared" si="342"/>
        <v>1</v>
      </c>
      <c r="T722" s="1218" t="e">
        <f t="shared" ca="1" si="343"/>
        <v>#N/A</v>
      </c>
      <c r="U722" s="1219" t="e">
        <f ca="1">IF(AND(INDEX(FlowCalConstA,MATCH(R719,FlowCalNumber,0),1,1)*T722^INDEX(FlowCalConstB,MATCH(R719,FlowCalNumber,0),1,1)&gt;INDEX(FlowCalLowSetting,MATCH(R719,FlowCalNumber,0),1,1), (INDEX(FlowCalConstA,MATCH(R719,FlowCalNumber,0),1,1)*T722^INDEX(FlowCalConstB,MATCH(R719,FlowCalNumber,0),1,1)&lt;INDEX(FlowCalHighSetting,MATCH(R719,FlowCalNumber,0),1,1))),INDEX(FlowCalConstA,MATCH(R719,FlowCalNumber,0),1,1)*T722^INDEX(FlowCalConstB,MATCH(R719,FlowCalNumber,0),1,1)," ")</f>
        <v>#N/A</v>
      </c>
      <c r="V722" s="1224"/>
      <c r="W722" s="1217"/>
      <c r="X722" s="1218"/>
      <c r="Y722" s="1219"/>
      <c r="Z722" s="1224"/>
      <c r="AA722" s="1217"/>
      <c r="AB722" s="1218"/>
      <c r="AC722" s="1219"/>
      <c r="AD722" s="1224"/>
      <c r="AE722" s="1217"/>
      <c r="AF722" s="1218"/>
      <c r="AG722" s="1219"/>
      <c r="AH722" s="1224"/>
      <c r="AI722" s="1217"/>
      <c r="AJ722" s="1218"/>
      <c r="AK722" s="1220"/>
      <c r="AL722" s="1219"/>
      <c r="AM722" s="1219"/>
      <c r="AN722" s="1219"/>
      <c r="AO722" s="1219"/>
      <c r="AP722" s="1219"/>
      <c r="AQ722" s="1219"/>
      <c r="AR722" s="1219"/>
      <c r="AS722" s="1219"/>
      <c r="AT722" s="1219"/>
      <c r="AU722" s="1219"/>
      <c r="AV722" s="1219"/>
      <c r="AW722" s="1219"/>
      <c r="AX722" s="1219"/>
      <c r="AY722" s="1219"/>
      <c r="AZ722" s="1219"/>
      <c r="BA722" s="1219"/>
      <c r="BB722" s="1219"/>
      <c r="BC722" s="1219"/>
      <c r="BD722" s="1219"/>
      <c r="BE722" s="1219"/>
      <c r="BF722" s="1219"/>
      <c r="BG722" s="1219"/>
      <c r="BH722" s="1219"/>
      <c r="BI722" s="1219"/>
      <c r="BJ722" s="1219"/>
      <c r="BK722" s="1219"/>
      <c r="BL722" s="1219"/>
      <c r="BM722" s="1219"/>
      <c r="BN722" s="1219"/>
      <c r="BO722" s="1219"/>
      <c r="BP722" s="1219"/>
      <c r="BQ722" s="1219"/>
      <c r="BR722" s="1219"/>
      <c r="BS722" s="1219"/>
      <c r="BU722" s="1217"/>
      <c r="BW722" s="1219"/>
      <c r="BY722" s="1217"/>
      <c r="CA722" s="1219"/>
      <c r="CC722" s="1217"/>
      <c r="CE722" s="1219"/>
      <c r="CG722" s="1217"/>
      <c r="CI722" s="1219"/>
    </row>
    <row r="723" spans="1:87">
      <c r="A723" s="20"/>
      <c r="B723" s="124" t="str">
        <f t="shared" si="336"/>
        <v/>
      </c>
      <c r="C723" s="235"/>
      <c r="D723" s="24">
        <f>'1% Wind'!$M$85</f>
        <v>17.8</v>
      </c>
      <c r="E723" s="90"/>
      <c r="F723" s="90"/>
      <c r="G723" s="79" t="e">
        <f ca="1">IF(I719=0.9743,$G722,MAX(G722/D722*D723,2))</f>
        <v>#N/A</v>
      </c>
      <c r="H723" s="121" t="e">
        <f t="shared" ca="1" si="337"/>
        <v>#N/A</v>
      </c>
      <c r="J723" s="33"/>
      <c r="K723" s="242">
        <f t="shared" si="338"/>
        <v>1</v>
      </c>
      <c r="L723" s="241" t="e">
        <f t="shared" ca="1" si="339"/>
        <v>#N/A</v>
      </c>
      <c r="M723" s="243" t="e">
        <f ca="1">IF(AND(INDEX(FlowCalConstA,MATCH(J719,FlowCalNumber,0),1,1)*L723^INDEX(FlowCalConstB,MATCH(J719,FlowCalNumber,0),1,1)&gt;INDEX(FlowCalLowSetting,MATCH(J719,FlowCalNumber,0),1,1), (INDEX(FlowCalConstA,MATCH(J719,FlowCalNumber,0),1,1)*L723^INDEX(FlowCalConstB,MATCH(J719,FlowCalNumber,0),1,1)&lt;INDEX(FlowCalHighSetting,MATCH(J719,FlowCalNumber,0),1,1))),INDEX(FlowCalConstA,MATCH(J719,FlowCalNumber,0),1,1)*L723^INDEX(FlowCalConstB,MATCH(J719,FlowCalNumber,0),1,1)," ")</f>
        <v>#N/A</v>
      </c>
      <c r="N723" s="33"/>
      <c r="O723" s="242">
        <f t="shared" si="340"/>
        <v>1</v>
      </c>
      <c r="P723" s="241" t="e">
        <f t="shared" ca="1" si="341"/>
        <v>#N/A</v>
      </c>
      <c r="Q723" s="243" t="e">
        <f ca="1">IF(AND(INDEX(FlowCalConstA,MATCH(N719,FlowCalNumber,0),1,1)*P723^INDEX(FlowCalConstB,MATCH(N719,FlowCalNumber,0),1,1)&gt;INDEX(FlowCalLowSetting,MATCH(N719,FlowCalNumber,0),1,1), (INDEX(FlowCalConstA,MATCH(N719,FlowCalNumber,0),1,1)*P723^INDEX(FlowCalConstB,MATCH(N719,FlowCalNumber,0),1,1)&lt;INDEX(FlowCalHighSetting,MATCH(N719,FlowCalNumber,0),1,1))),INDEX(FlowCalConstA,MATCH(N719,FlowCalNumber,0),1,1)*P723^INDEX(FlowCalConstB,MATCH(N719,FlowCalNumber,0),1,1)," ")</f>
        <v>#N/A</v>
      </c>
      <c r="R723" s="33"/>
      <c r="S723" s="242">
        <f t="shared" si="342"/>
        <v>1</v>
      </c>
      <c r="T723" s="241" t="e">
        <f t="shared" ca="1" si="343"/>
        <v>#N/A</v>
      </c>
      <c r="U723" s="243" t="e">
        <f ca="1">IF(AND(INDEX(FlowCalConstA,MATCH(R719,FlowCalNumber,0),1,1)*T723^INDEX(FlowCalConstB,MATCH(R719,FlowCalNumber,0),1,1)&gt;INDEX(FlowCalLowSetting,MATCH(R719,FlowCalNumber,0),1,1), (INDEX(FlowCalConstA,MATCH(R719,FlowCalNumber,0),1,1)*T723^INDEX(FlowCalConstB,MATCH(R719,FlowCalNumber,0),1,1)&lt;INDEX(FlowCalHighSetting,MATCH(R719,FlowCalNumber,0),1,1))),INDEX(FlowCalConstA,MATCH(R719,FlowCalNumber,0),1,1)*T723^INDEX(FlowCalConstB,MATCH(R719,FlowCalNumber,0),1,1)," ")</f>
        <v>#N/A</v>
      </c>
      <c r="V723" s="33"/>
      <c r="W723" s="242"/>
      <c r="X723" s="241"/>
      <c r="Y723" s="243"/>
      <c r="Z723" s="33"/>
      <c r="AA723" s="242"/>
      <c r="AB723" s="241"/>
      <c r="AC723" s="243"/>
      <c r="AD723" s="33"/>
      <c r="AE723" s="242"/>
      <c r="AF723" s="241"/>
      <c r="AG723" s="243"/>
      <c r="AH723" s="33"/>
      <c r="AI723" s="242"/>
      <c r="AJ723" s="241"/>
      <c r="AK723" s="244"/>
      <c r="AL723" s="243"/>
      <c r="AM723" s="243"/>
      <c r="AN723" s="243"/>
      <c r="AO723" s="243"/>
      <c r="AP723" s="243"/>
      <c r="AQ723" s="243"/>
      <c r="AR723" s="243"/>
      <c r="AS723" s="243"/>
      <c r="AT723" s="243"/>
      <c r="AU723" s="243"/>
      <c r="AV723" s="243"/>
      <c r="AW723" s="243"/>
      <c r="AX723" s="243"/>
      <c r="AY723" s="243"/>
      <c r="AZ723" s="243"/>
      <c r="BA723" s="243"/>
      <c r="BB723" s="243"/>
      <c r="BC723" s="243"/>
      <c r="BD723" s="243"/>
      <c r="BE723" s="243"/>
      <c r="BF723" s="243"/>
      <c r="BG723" s="243"/>
      <c r="BH723" s="243"/>
      <c r="BI723" s="243"/>
      <c r="BJ723" s="243"/>
      <c r="BK723" s="243"/>
      <c r="BL723" s="243"/>
      <c r="BM723" s="243"/>
      <c r="BN723" s="243"/>
      <c r="BO723" s="243"/>
      <c r="BP723" s="243"/>
      <c r="BQ723" s="243"/>
      <c r="BR723" s="243"/>
      <c r="BS723" s="243"/>
      <c r="BU723" s="242"/>
      <c r="BW723" s="243"/>
      <c r="BY723" s="242"/>
      <c r="CA723" s="243"/>
      <c r="CC723" s="242"/>
      <c r="CE723" s="243"/>
      <c r="CG723" s="242"/>
      <c r="CI723" s="243"/>
    </row>
    <row r="724" spans="1:87" s="1215" customFormat="1">
      <c r="A724" s="1222"/>
      <c r="B724" s="1223" t="str">
        <f t="shared" si="336"/>
        <v/>
      </c>
      <c r="C724" s="1210"/>
      <c r="D724" s="1211">
        <f>'1% Wind'!$M$86</f>
        <v>15.5</v>
      </c>
      <c r="E724" s="1212"/>
      <c r="F724" s="1212"/>
      <c r="G724" s="1213" t="e">
        <f ca="1">IF(I719=0.9743,$G723,MAX(G723/D723*D724,2))</f>
        <v>#N/A</v>
      </c>
      <c r="H724" s="1214" t="e">
        <f t="shared" ca="1" si="337"/>
        <v>#N/A</v>
      </c>
      <c r="J724" s="1224"/>
      <c r="K724" s="1217">
        <f t="shared" si="338"/>
        <v>1</v>
      </c>
      <c r="L724" s="1218" t="e">
        <f t="shared" ca="1" si="339"/>
        <v>#N/A</v>
      </c>
      <c r="M724" s="1219" t="e">
        <f ca="1">IF(AND(INDEX(FlowCalConstA,MATCH(J719,FlowCalNumber,0),1,1)*L724^INDEX(FlowCalConstB,MATCH(J719,FlowCalNumber,0),1,1)&gt;INDEX(FlowCalLowSetting,MATCH(J719,FlowCalNumber,0),1,1), (INDEX(FlowCalConstA,MATCH(J719,FlowCalNumber,0),1,1)*L724^INDEX(FlowCalConstB,MATCH(J719,FlowCalNumber,0),1,1)&lt;INDEX(FlowCalHighSetting,MATCH(J719,FlowCalNumber,0),1,1))),INDEX(FlowCalConstA,MATCH(J719,FlowCalNumber,0),1,1)*L724^INDEX(FlowCalConstB,MATCH(J719,FlowCalNumber,0),1,1)," ")</f>
        <v>#N/A</v>
      </c>
      <c r="N724" s="1224"/>
      <c r="O724" s="1217">
        <f t="shared" si="340"/>
        <v>1</v>
      </c>
      <c r="P724" s="1218" t="e">
        <f t="shared" ca="1" si="341"/>
        <v>#N/A</v>
      </c>
      <c r="Q724" s="1219" t="e">
        <f ca="1">IF(AND(INDEX(FlowCalConstA,MATCH(N719,FlowCalNumber,0),1,1)*P724^INDEX(FlowCalConstB,MATCH(N719,FlowCalNumber,0),1,1)&gt;INDEX(FlowCalLowSetting,MATCH(N719,FlowCalNumber,0),1,1), (INDEX(FlowCalConstA,MATCH(N719,FlowCalNumber,0),1,1)*P724^INDEX(FlowCalConstB,MATCH(N719,FlowCalNumber,0),1,1)&lt;INDEX(FlowCalHighSetting,MATCH(N719,FlowCalNumber,0),1,1))),INDEX(FlowCalConstA,MATCH(N719,FlowCalNumber,0),1,1)*P724^INDEX(FlowCalConstB,MATCH(N719,FlowCalNumber,0),1,1)," ")</f>
        <v>#N/A</v>
      </c>
      <c r="R724" s="1224"/>
      <c r="S724" s="1217">
        <f t="shared" si="342"/>
        <v>1</v>
      </c>
      <c r="T724" s="1218" t="e">
        <f t="shared" ca="1" si="343"/>
        <v>#N/A</v>
      </c>
      <c r="U724" s="1219" t="e">
        <f ca="1">IF(AND(INDEX(FlowCalConstA,MATCH(R719,FlowCalNumber,0),1,1)*T724^INDEX(FlowCalConstB,MATCH(R719,FlowCalNumber,0),1,1)&gt;INDEX(FlowCalLowSetting,MATCH(R719,FlowCalNumber,0),1,1), (INDEX(FlowCalConstA,MATCH(R719,FlowCalNumber,0),1,1)*T724^INDEX(FlowCalConstB,MATCH(R719,FlowCalNumber,0),1,1)&lt;INDEX(FlowCalHighSetting,MATCH(R719,FlowCalNumber,0),1,1))),INDEX(FlowCalConstA,MATCH(R719,FlowCalNumber,0),1,1)*T724^INDEX(FlowCalConstB,MATCH(R719,FlowCalNumber,0),1,1)," ")</f>
        <v>#N/A</v>
      </c>
      <c r="V724" s="1224"/>
      <c r="W724" s="1217"/>
      <c r="X724" s="1218"/>
      <c r="Y724" s="1219"/>
      <c r="Z724" s="1224"/>
      <c r="AA724" s="1217"/>
      <c r="AB724" s="1218"/>
      <c r="AC724" s="1219"/>
      <c r="AD724" s="1224"/>
      <c r="AE724" s="1217"/>
      <c r="AF724" s="1218"/>
      <c r="AG724" s="1219"/>
      <c r="AH724" s="1224"/>
      <c r="AI724" s="1217"/>
      <c r="AJ724" s="1218"/>
      <c r="AK724" s="1220"/>
      <c r="AL724" s="1219"/>
      <c r="AM724" s="1219"/>
      <c r="AN724" s="1219"/>
      <c r="AO724" s="1219"/>
      <c r="AP724" s="1219"/>
      <c r="AQ724" s="1219"/>
      <c r="AR724" s="1219"/>
      <c r="AS724" s="1219"/>
      <c r="AT724" s="1219"/>
      <c r="AU724" s="1219"/>
      <c r="AV724" s="1219"/>
      <c r="AW724" s="1219"/>
      <c r="AX724" s="1219"/>
      <c r="AY724" s="1219"/>
      <c r="AZ724" s="1219"/>
      <c r="BA724" s="1219"/>
      <c r="BB724" s="1219"/>
      <c r="BC724" s="1219"/>
      <c r="BD724" s="1219"/>
      <c r="BE724" s="1219"/>
      <c r="BF724" s="1219"/>
      <c r="BG724" s="1219"/>
      <c r="BH724" s="1219"/>
      <c r="BI724" s="1219"/>
      <c r="BJ724" s="1219"/>
      <c r="BK724" s="1219"/>
      <c r="BL724" s="1219"/>
      <c r="BM724" s="1219"/>
      <c r="BN724" s="1219"/>
      <c r="BO724" s="1219"/>
      <c r="BP724" s="1219"/>
      <c r="BQ724" s="1219"/>
      <c r="BR724" s="1219"/>
      <c r="BS724" s="1219"/>
      <c r="BU724" s="1217"/>
      <c r="BW724" s="1219"/>
      <c r="BY724" s="1217"/>
      <c r="CA724" s="1219"/>
      <c r="CC724" s="1217"/>
      <c r="CE724" s="1219"/>
      <c r="CG724" s="1217"/>
      <c r="CI724" s="1219"/>
    </row>
    <row r="725" spans="1:87">
      <c r="A725" s="20"/>
      <c r="B725" s="124" t="str">
        <f t="shared" si="336"/>
        <v/>
      </c>
      <c r="C725" s="235"/>
      <c r="D725" s="24">
        <f>'1% Wind'!$M$87</f>
        <v>13.5</v>
      </c>
      <c r="E725" s="90"/>
      <c r="F725" s="90"/>
      <c r="G725" s="79" t="e">
        <f ca="1">IF(I719=0.9743,$G724,MAX(G724/D724*D725,2))</f>
        <v>#N/A</v>
      </c>
      <c r="H725" s="121" t="e">
        <f t="shared" ca="1" si="337"/>
        <v>#N/A</v>
      </c>
      <c r="J725" s="33"/>
      <c r="K725" s="242">
        <f t="shared" si="338"/>
        <v>1</v>
      </c>
      <c r="L725" s="241" t="e">
        <f t="shared" ca="1" si="339"/>
        <v>#N/A</v>
      </c>
      <c r="M725" s="243" t="e">
        <f ca="1">IF(AND(INDEX(FlowCalConstA,MATCH(J719,FlowCalNumber,0),1,1)*L725^INDEX(FlowCalConstB,MATCH(J719,FlowCalNumber,0),1,1)&gt;INDEX(FlowCalLowSetting,MATCH(J719,FlowCalNumber,0),1,1), (INDEX(FlowCalConstA,MATCH(J719,FlowCalNumber,0),1,1)*L725^INDEX(FlowCalConstB,MATCH(J719,FlowCalNumber,0),1,1)&lt;INDEX(FlowCalHighSetting,MATCH(J719,FlowCalNumber,0),1,1))),INDEX(FlowCalConstA,MATCH(J719,FlowCalNumber,0),1,1)*L725^INDEX(FlowCalConstB,MATCH(J719,FlowCalNumber,0),1,1)," ")</f>
        <v>#N/A</v>
      </c>
      <c r="N725" s="33"/>
      <c r="O725" s="242">
        <f t="shared" si="340"/>
        <v>1</v>
      </c>
      <c r="P725" s="241" t="e">
        <f t="shared" ca="1" si="341"/>
        <v>#N/A</v>
      </c>
      <c r="Q725" s="243" t="e">
        <f ca="1">IF(AND(INDEX(FlowCalConstA,MATCH(N719,FlowCalNumber,0),1,1)*P725^INDEX(FlowCalConstB,MATCH(N719,FlowCalNumber,0),1,1)&gt;INDEX(FlowCalLowSetting,MATCH(N719,FlowCalNumber,0),1,1), (INDEX(FlowCalConstA,MATCH(N719,FlowCalNumber,0),1,1)*P725^INDEX(FlowCalConstB,MATCH(N719,FlowCalNumber,0),1,1)&lt;INDEX(FlowCalHighSetting,MATCH(N719,FlowCalNumber,0),1,1))),INDEX(FlowCalConstA,MATCH(N719,FlowCalNumber,0),1,1)*P725^INDEX(FlowCalConstB,MATCH(N719,FlowCalNumber,0),1,1)," ")</f>
        <v>#N/A</v>
      </c>
      <c r="R725" s="33"/>
      <c r="S725" s="242">
        <f t="shared" si="342"/>
        <v>1</v>
      </c>
      <c r="T725" s="241" t="e">
        <f t="shared" ca="1" si="343"/>
        <v>#N/A</v>
      </c>
      <c r="U725" s="243" t="e">
        <f ca="1">IF(AND(INDEX(FlowCalConstA,MATCH(R719,FlowCalNumber,0),1,1)*T725^INDEX(FlowCalConstB,MATCH(R719,FlowCalNumber,0),1,1)&gt;INDEX(FlowCalLowSetting,MATCH(R719,FlowCalNumber,0),1,1), (INDEX(FlowCalConstA,MATCH(R719,FlowCalNumber,0),1,1)*T725^INDEX(FlowCalConstB,MATCH(R719,FlowCalNumber,0),1,1)&lt;INDEX(FlowCalHighSetting,MATCH(R719,FlowCalNumber,0),1,1))),INDEX(FlowCalConstA,MATCH(R719,FlowCalNumber,0),1,1)*T725^INDEX(FlowCalConstB,MATCH(R719,FlowCalNumber,0),1,1)," ")</f>
        <v>#N/A</v>
      </c>
      <c r="V725" s="33"/>
      <c r="W725" s="242"/>
      <c r="X725" s="241"/>
      <c r="Y725" s="243"/>
      <c r="Z725" s="33"/>
      <c r="AA725" s="242"/>
      <c r="AB725" s="241"/>
      <c r="AC725" s="243"/>
      <c r="AD725" s="33"/>
      <c r="AE725" s="242"/>
      <c r="AF725" s="241"/>
      <c r="AG725" s="243"/>
      <c r="AH725" s="33"/>
      <c r="AI725" s="242"/>
      <c r="AJ725" s="241"/>
      <c r="AK725" s="244"/>
      <c r="AL725" s="243"/>
      <c r="AM725" s="243"/>
      <c r="AN725" s="243"/>
      <c r="AO725" s="243"/>
      <c r="AP725" s="243"/>
      <c r="AQ725" s="243"/>
      <c r="AR725" s="243"/>
      <c r="AS725" s="243"/>
      <c r="AT725" s="243"/>
      <c r="AU725" s="243"/>
      <c r="AV725" s="243"/>
      <c r="AW725" s="243"/>
      <c r="AX725" s="243"/>
      <c r="AY725" s="243"/>
      <c r="AZ725" s="243"/>
      <c r="BA725" s="243"/>
      <c r="BB725" s="243"/>
      <c r="BC725" s="243"/>
      <c r="BD725" s="243"/>
      <c r="BE725" s="243"/>
      <c r="BF725" s="243"/>
      <c r="BG725" s="243"/>
      <c r="BH725" s="243"/>
      <c r="BI725" s="243"/>
      <c r="BJ725" s="243"/>
      <c r="BK725" s="243"/>
      <c r="BL725" s="243"/>
      <c r="BM725" s="243"/>
      <c r="BN725" s="243"/>
      <c r="BO725" s="243"/>
      <c r="BP725" s="243"/>
      <c r="BQ725" s="243"/>
      <c r="BR725" s="243"/>
      <c r="BS725" s="243"/>
      <c r="BU725" s="242"/>
      <c r="BW725" s="243"/>
      <c r="BY725" s="242"/>
      <c r="CA725" s="243"/>
      <c r="CC725" s="242"/>
      <c r="CE725" s="243"/>
      <c r="CG725" s="242"/>
      <c r="CI725" s="243"/>
    </row>
    <row r="726" spans="1:87" s="1215" customFormat="1">
      <c r="A726" s="1222"/>
      <c r="B726" s="1223" t="str">
        <f t="shared" si="336"/>
        <v/>
      </c>
      <c r="C726" s="1210"/>
      <c r="D726" s="1211">
        <f>'1% Wind'!$M$88</f>
        <v>10.1</v>
      </c>
      <c r="E726" s="1212"/>
      <c r="F726" s="1212"/>
      <c r="G726" s="1213" t="e">
        <f ca="1">IF(I719=0.9743,$G725,MAX(G725/D725*D726,2))</f>
        <v>#N/A</v>
      </c>
      <c r="H726" s="1214" t="e">
        <f t="shared" ca="1" si="337"/>
        <v>#N/A</v>
      </c>
      <c r="J726" s="1224"/>
      <c r="K726" s="1217">
        <f t="shared" si="338"/>
        <v>1</v>
      </c>
      <c r="L726" s="1218" t="e">
        <f t="shared" ca="1" si="339"/>
        <v>#N/A</v>
      </c>
      <c r="M726" s="1219" t="e">
        <f ca="1">IF(AND(INDEX(FlowCalConstA,MATCH(J719,FlowCalNumber,0),1,1)*L726^INDEX(FlowCalConstB,MATCH(J719,FlowCalNumber,0),1,1)&gt;INDEX(FlowCalLowSetting,MATCH(J719,FlowCalNumber,0),1,1), (INDEX(FlowCalConstA,MATCH(J719,FlowCalNumber,0),1,1)*L726^INDEX(FlowCalConstB,MATCH(J719,FlowCalNumber,0),1,1)&lt;INDEX(FlowCalHighSetting,MATCH(J719,FlowCalNumber,0),1,1))),INDEX(FlowCalConstA,MATCH(J719,FlowCalNumber,0),1,1)*L726^INDEX(FlowCalConstB,MATCH(J719,FlowCalNumber,0),1,1)," ")</f>
        <v>#N/A</v>
      </c>
      <c r="N726" s="1224"/>
      <c r="O726" s="1217">
        <f t="shared" si="340"/>
        <v>1</v>
      </c>
      <c r="P726" s="1218" t="e">
        <f t="shared" ca="1" si="341"/>
        <v>#N/A</v>
      </c>
      <c r="Q726" s="1219" t="e">
        <f ca="1">IF(AND(INDEX(FlowCalConstA,MATCH(N719,FlowCalNumber,0),1,1)*P726^INDEX(FlowCalConstB,MATCH(N719,FlowCalNumber,0),1,1)&gt;INDEX(FlowCalLowSetting,MATCH(N719,FlowCalNumber,0),1,1), (INDEX(FlowCalConstA,MATCH(N719,FlowCalNumber,0),1,1)*P726^INDEX(FlowCalConstB,MATCH(N719,FlowCalNumber,0),1,1)&lt;INDEX(FlowCalHighSetting,MATCH(N719,FlowCalNumber,0),1,1))),INDEX(FlowCalConstA,MATCH(N719,FlowCalNumber,0),1,1)*P726^INDEX(FlowCalConstB,MATCH(N719,FlowCalNumber,0),1,1)," ")</f>
        <v>#N/A</v>
      </c>
      <c r="R726" s="1224"/>
      <c r="S726" s="1217">
        <f t="shared" si="342"/>
        <v>1</v>
      </c>
      <c r="T726" s="1218" t="e">
        <f t="shared" ca="1" si="343"/>
        <v>#N/A</v>
      </c>
      <c r="U726" s="1219" t="e">
        <f ca="1">IF(AND(INDEX(FlowCalConstA,MATCH(R719,FlowCalNumber,0),1,1)*T726^INDEX(FlowCalConstB,MATCH(R719,FlowCalNumber,0),1,1)&gt;INDEX(FlowCalLowSetting,MATCH(R719,FlowCalNumber,0),1,1), (INDEX(FlowCalConstA,MATCH(R719,FlowCalNumber,0),1,1)*T726^INDEX(FlowCalConstB,MATCH(R719,FlowCalNumber,0),1,1)&lt;INDEX(FlowCalHighSetting,MATCH(R719,FlowCalNumber,0),1,1))),INDEX(FlowCalConstA,MATCH(R719,FlowCalNumber,0),1,1)*T726^INDEX(FlowCalConstB,MATCH(R719,FlowCalNumber,0),1,1)," ")</f>
        <v>#N/A</v>
      </c>
      <c r="V726" s="1224"/>
      <c r="W726" s="1217"/>
      <c r="X726" s="1218"/>
      <c r="Y726" s="1219"/>
      <c r="Z726" s="1224"/>
      <c r="AA726" s="1217"/>
      <c r="AB726" s="1218"/>
      <c r="AC726" s="1219"/>
      <c r="AD726" s="1224"/>
      <c r="AE726" s="1217"/>
      <c r="AF726" s="1218"/>
      <c r="AG726" s="1219"/>
      <c r="AH726" s="1224"/>
      <c r="AI726" s="1217"/>
      <c r="AJ726" s="1218"/>
      <c r="AK726" s="1220"/>
      <c r="AL726" s="1219"/>
      <c r="AM726" s="1219"/>
      <c r="AN726" s="1219"/>
      <c r="AO726" s="1219"/>
      <c r="AP726" s="1219"/>
      <c r="AQ726" s="1219"/>
      <c r="AR726" s="1219"/>
      <c r="AS726" s="1219"/>
      <c r="AT726" s="1219"/>
      <c r="AU726" s="1219"/>
      <c r="AV726" s="1219"/>
      <c r="AW726" s="1219"/>
      <c r="AX726" s="1219"/>
      <c r="AY726" s="1219"/>
      <c r="AZ726" s="1219"/>
      <c r="BA726" s="1219"/>
      <c r="BB726" s="1219"/>
      <c r="BC726" s="1219"/>
      <c r="BD726" s="1219"/>
      <c r="BE726" s="1219"/>
      <c r="BF726" s="1219"/>
      <c r="BG726" s="1219"/>
      <c r="BH726" s="1219"/>
      <c r="BI726" s="1219"/>
      <c r="BJ726" s="1219"/>
      <c r="BK726" s="1219"/>
      <c r="BL726" s="1219"/>
      <c r="BM726" s="1219"/>
      <c r="BN726" s="1219"/>
      <c r="BO726" s="1219"/>
      <c r="BP726" s="1219"/>
      <c r="BQ726" s="1219"/>
      <c r="BR726" s="1219"/>
      <c r="BS726" s="1219"/>
      <c r="BU726" s="1217"/>
      <c r="BW726" s="1219"/>
      <c r="BY726" s="1217"/>
      <c r="CA726" s="1219"/>
      <c r="CC726" s="1217"/>
      <c r="CE726" s="1219"/>
      <c r="CG726" s="1217"/>
      <c r="CI726" s="1219"/>
    </row>
    <row r="727" spans="1:87">
      <c r="A727" s="20"/>
      <c r="B727" s="124" t="str">
        <f t="shared" si="336"/>
        <v/>
      </c>
      <c r="C727" s="235"/>
      <c r="D727" s="24">
        <f>'1% Wind'!$M$89</f>
        <v>7.6</v>
      </c>
      <c r="E727" s="90"/>
      <c r="F727" s="90"/>
      <c r="G727" s="79" t="e">
        <f ca="1">IF(I719=0.9743,$G726,MAX(G726/D726*D727,2))</f>
        <v>#N/A</v>
      </c>
      <c r="H727" s="121" t="e">
        <f t="shared" ca="1" si="337"/>
        <v>#N/A</v>
      </c>
      <c r="J727" s="33"/>
      <c r="K727" s="242">
        <f t="shared" si="338"/>
        <v>1</v>
      </c>
      <c r="L727" s="241" t="e">
        <f t="shared" ca="1" si="339"/>
        <v>#N/A</v>
      </c>
      <c r="M727" s="243" t="e">
        <f ca="1">IF(AND(INDEX(FlowCalConstA,MATCH(J719,FlowCalNumber,0),1,1)*L727^INDEX(FlowCalConstB,MATCH(J719,FlowCalNumber,0),1,1)&gt;INDEX(FlowCalLowSetting,MATCH(J719,FlowCalNumber,0),1,1), (INDEX(FlowCalConstA,MATCH(J719,FlowCalNumber,0),1,1)*L727^INDEX(FlowCalConstB,MATCH(J719,FlowCalNumber,0),1,1)&lt;INDEX(FlowCalHighSetting,MATCH(J719,FlowCalNumber,0),1,1))),INDEX(FlowCalConstA,MATCH(J719,FlowCalNumber,0),1,1)*L727^INDEX(FlowCalConstB,MATCH(J719,FlowCalNumber,0),1,1)," ")</f>
        <v>#N/A</v>
      </c>
      <c r="N727" s="33"/>
      <c r="O727" s="242">
        <f t="shared" si="340"/>
        <v>1</v>
      </c>
      <c r="P727" s="241" t="e">
        <f t="shared" ca="1" si="341"/>
        <v>#N/A</v>
      </c>
      <c r="Q727" s="243" t="e">
        <f ca="1">IF(AND(INDEX(FlowCalConstA,MATCH(N719,FlowCalNumber,0),1,1)*P727^INDEX(FlowCalConstB,MATCH(N719,FlowCalNumber,0),1,1)&gt;INDEX(FlowCalLowSetting,MATCH(N719,FlowCalNumber,0),1,1), (INDEX(FlowCalConstA,MATCH(N719,FlowCalNumber,0),1,1)*P727^INDEX(FlowCalConstB,MATCH(N719,FlowCalNumber,0),1,1)&lt;INDEX(FlowCalHighSetting,MATCH(N719,FlowCalNumber,0),1,1))),INDEX(FlowCalConstA,MATCH(N719,FlowCalNumber,0),1,1)*P727^INDEX(FlowCalConstB,MATCH(N719,FlowCalNumber,0),1,1)," ")</f>
        <v>#N/A</v>
      </c>
      <c r="R727" s="33"/>
      <c r="S727" s="242">
        <f t="shared" si="342"/>
        <v>1</v>
      </c>
      <c r="T727" s="241" t="e">
        <f t="shared" ca="1" si="343"/>
        <v>#N/A</v>
      </c>
      <c r="U727" s="243" t="e">
        <f ca="1">IF(AND(INDEX(FlowCalConstA,MATCH(R719,FlowCalNumber,0),1,1)*T727^INDEX(FlowCalConstB,MATCH(R719,FlowCalNumber,0),1,1)&gt;INDEX(FlowCalLowSetting,MATCH(R719,FlowCalNumber,0),1,1), (INDEX(FlowCalConstA,MATCH(R719,FlowCalNumber,0),1,1)*T727^INDEX(FlowCalConstB,MATCH(R719,FlowCalNumber,0),1,1)&lt;INDEX(FlowCalHighSetting,MATCH(R719,FlowCalNumber,0),1,1))),INDEX(FlowCalConstA,MATCH(R719,FlowCalNumber,0),1,1)*T727^INDEX(FlowCalConstB,MATCH(R719,FlowCalNumber,0),1,1)," ")</f>
        <v>#N/A</v>
      </c>
      <c r="V727" s="33"/>
      <c r="W727" s="242"/>
      <c r="X727" s="241"/>
      <c r="Y727" s="243"/>
      <c r="Z727" s="33"/>
      <c r="AA727" s="242"/>
      <c r="AB727" s="241"/>
      <c r="AC727" s="243"/>
      <c r="AD727" s="33"/>
      <c r="AE727" s="242"/>
      <c r="AF727" s="241"/>
      <c r="AG727" s="243"/>
      <c r="AH727" s="33"/>
      <c r="AI727" s="242"/>
      <c r="AJ727" s="241"/>
      <c r="AK727" s="244"/>
      <c r="AL727" s="243"/>
      <c r="AM727" s="243"/>
      <c r="AN727" s="243"/>
      <c r="AO727" s="243"/>
      <c r="AP727" s="243"/>
      <c r="AQ727" s="243"/>
      <c r="AR727" s="243"/>
      <c r="AS727" s="243"/>
      <c r="AT727" s="243"/>
      <c r="AU727" s="243"/>
      <c r="AV727" s="243"/>
      <c r="AW727" s="243"/>
      <c r="AX727" s="243"/>
      <c r="AY727" s="243"/>
      <c r="AZ727" s="243"/>
      <c r="BA727" s="243"/>
      <c r="BB727" s="243"/>
      <c r="BC727" s="243"/>
      <c r="BD727" s="243"/>
      <c r="BE727" s="243"/>
      <c r="BF727" s="243"/>
      <c r="BG727" s="243"/>
      <c r="BH727" s="243"/>
      <c r="BI727" s="243"/>
      <c r="BJ727" s="243"/>
      <c r="BK727" s="243"/>
      <c r="BL727" s="243"/>
      <c r="BM727" s="243"/>
      <c r="BN727" s="243"/>
      <c r="BO727" s="243"/>
      <c r="BP727" s="243"/>
      <c r="BQ727" s="243"/>
      <c r="BR727" s="243"/>
      <c r="BS727" s="243"/>
      <c r="BU727" s="242"/>
      <c r="BW727" s="243"/>
      <c r="BY727" s="242"/>
      <c r="CA727" s="243"/>
      <c r="CC727" s="242"/>
      <c r="CE727" s="243"/>
      <c r="CG727" s="242"/>
      <c r="CI727" s="243"/>
    </row>
    <row r="728" spans="1:87" s="1215" customFormat="1">
      <c r="A728" s="1222"/>
      <c r="B728" s="1223" t="str">
        <f t="shared" si="336"/>
        <v/>
      </c>
      <c r="C728" s="1210"/>
      <c r="D728" s="1211">
        <f>'1% Wind'!$M$90</f>
        <v>5.7</v>
      </c>
      <c r="E728" s="1212"/>
      <c r="F728" s="1212"/>
      <c r="G728" s="1213" t="e">
        <f ca="1">IF(I719=0.9743,$G727,MAX(G727/D727*D728,2))</f>
        <v>#N/A</v>
      </c>
      <c r="H728" s="1214" t="e">
        <f t="shared" ca="1" si="337"/>
        <v>#N/A</v>
      </c>
      <c r="J728" s="1224"/>
      <c r="K728" s="1217">
        <f t="shared" si="338"/>
        <v>1</v>
      </c>
      <c r="L728" s="1218" t="e">
        <f t="shared" ca="1" si="339"/>
        <v>#N/A</v>
      </c>
      <c r="M728" s="1219" t="e">
        <f ca="1">IF(AND(INDEX(FlowCalConstA,MATCH(J719,FlowCalNumber,0),1,1)*L728^INDEX(FlowCalConstB,MATCH(J719,FlowCalNumber,0),1,1)&gt;INDEX(FlowCalLowSetting,MATCH(J719,FlowCalNumber,0),1,1), (INDEX(FlowCalConstA,MATCH(J719,FlowCalNumber,0),1,1)*L728^INDEX(FlowCalConstB,MATCH(J719,FlowCalNumber,0),1,1)&lt;INDEX(FlowCalHighSetting,MATCH(J719,FlowCalNumber,0),1,1))),INDEX(FlowCalConstA,MATCH(J719,FlowCalNumber,0),1,1)*L728^INDEX(FlowCalConstB,MATCH(J719,FlowCalNumber,0),1,1)," ")</f>
        <v>#N/A</v>
      </c>
      <c r="N728" s="1224"/>
      <c r="O728" s="1217">
        <f t="shared" si="340"/>
        <v>1</v>
      </c>
      <c r="P728" s="1218" t="e">
        <f t="shared" ca="1" si="341"/>
        <v>#N/A</v>
      </c>
      <c r="Q728" s="1219" t="e">
        <f ca="1">IF(AND(INDEX(FlowCalConstA,MATCH(N719,FlowCalNumber,0),1,1)*P728^INDEX(FlowCalConstB,MATCH(N719,FlowCalNumber,0),1,1)&gt;INDEX(FlowCalLowSetting,MATCH(N719,FlowCalNumber,0),1,1), (INDEX(FlowCalConstA,MATCH(N719,FlowCalNumber,0),1,1)*P728^INDEX(FlowCalConstB,MATCH(N719,FlowCalNumber,0),1,1)&lt;INDEX(FlowCalHighSetting,MATCH(N719,FlowCalNumber,0),1,1))),INDEX(FlowCalConstA,MATCH(N719,FlowCalNumber,0),1,1)*P728^INDEX(FlowCalConstB,MATCH(N719,FlowCalNumber,0),1,1)," ")</f>
        <v>#N/A</v>
      </c>
      <c r="R728" s="1224"/>
      <c r="S728" s="1217">
        <f t="shared" si="342"/>
        <v>1</v>
      </c>
      <c r="T728" s="1218" t="e">
        <f t="shared" ca="1" si="343"/>
        <v>#N/A</v>
      </c>
      <c r="U728" s="1219" t="e">
        <f ca="1">IF(AND(INDEX(FlowCalConstA,MATCH(R719,FlowCalNumber,0),1,1)*T728^INDEX(FlowCalConstB,MATCH(R719,FlowCalNumber,0),1,1)&gt;INDEX(FlowCalLowSetting,MATCH(R719,FlowCalNumber,0),1,1), (INDEX(FlowCalConstA,MATCH(R719,FlowCalNumber,0),1,1)*T728^INDEX(FlowCalConstB,MATCH(R719,FlowCalNumber,0),1,1)&lt;INDEX(FlowCalHighSetting,MATCH(R719,FlowCalNumber,0),1,1))),INDEX(FlowCalConstA,MATCH(R719,FlowCalNumber,0),1,1)*T728^INDEX(FlowCalConstB,MATCH(R719,FlowCalNumber,0),1,1)," ")</f>
        <v>#N/A</v>
      </c>
      <c r="V728" s="1224"/>
      <c r="W728" s="1217"/>
      <c r="X728" s="1218"/>
      <c r="Y728" s="1219"/>
      <c r="Z728" s="1224"/>
      <c r="AA728" s="1217"/>
      <c r="AB728" s="1218"/>
      <c r="AC728" s="1219"/>
      <c r="AD728" s="1224"/>
      <c r="AE728" s="1217"/>
      <c r="AF728" s="1218"/>
      <c r="AG728" s="1219"/>
      <c r="AH728" s="1224"/>
      <c r="AI728" s="1217"/>
      <c r="AJ728" s="1218"/>
      <c r="AK728" s="1220"/>
      <c r="AL728" s="1219"/>
      <c r="AM728" s="1219"/>
      <c r="AN728" s="1219"/>
      <c r="AO728" s="1219"/>
      <c r="AP728" s="1219"/>
      <c r="AQ728" s="1219"/>
      <c r="AR728" s="1219"/>
      <c r="AS728" s="1219"/>
      <c r="AT728" s="1219"/>
      <c r="AU728" s="1219"/>
      <c r="AV728" s="1219"/>
      <c r="AW728" s="1219"/>
      <c r="AX728" s="1219"/>
      <c r="AY728" s="1219"/>
      <c r="AZ728" s="1219"/>
      <c r="BA728" s="1219"/>
      <c r="BB728" s="1219"/>
      <c r="BC728" s="1219"/>
      <c r="BD728" s="1219"/>
      <c r="BE728" s="1219"/>
      <c r="BF728" s="1219"/>
      <c r="BG728" s="1219"/>
      <c r="BH728" s="1219"/>
      <c r="BI728" s="1219"/>
      <c r="BJ728" s="1219"/>
      <c r="BK728" s="1219"/>
      <c r="BL728" s="1219"/>
      <c r="BM728" s="1219"/>
      <c r="BN728" s="1219"/>
      <c r="BO728" s="1219"/>
      <c r="BP728" s="1219"/>
      <c r="BQ728" s="1219"/>
      <c r="BR728" s="1219"/>
      <c r="BS728" s="1219"/>
      <c r="BU728" s="1217"/>
      <c r="BW728" s="1219"/>
      <c r="BY728" s="1217"/>
      <c r="CA728" s="1219"/>
      <c r="CC728" s="1217"/>
      <c r="CE728" s="1219"/>
      <c r="CG728" s="1217"/>
      <c r="CI728" s="1219"/>
    </row>
    <row r="729" spans="1:87">
      <c r="A729" s="20"/>
      <c r="B729" s="124" t="str">
        <f t="shared" si="336"/>
        <v/>
      </c>
      <c r="C729" s="235"/>
      <c r="D729" s="24">
        <f>'1% Wind'!$M$91</f>
        <v>4.2</v>
      </c>
      <c r="E729" s="90"/>
      <c r="F729" s="90"/>
      <c r="G729" s="79" t="e">
        <f ca="1">IF(I719=0.9743,$G728,MAX(G728/D728*D729,2))</f>
        <v>#N/A</v>
      </c>
      <c r="H729" s="121" t="e">
        <f t="shared" ca="1" si="337"/>
        <v>#N/A</v>
      </c>
      <c r="J729" s="33"/>
      <c r="K729" s="242">
        <f t="shared" si="338"/>
        <v>1</v>
      </c>
      <c r="L729" s="241" t="e">
        <f t="shared" ca="1" si="339"/>
        <v>#N/A</v>
      </c>
      <c r="M729" s="243" t="e">
        <f ca="1">IF(AND(INDEX(FlowCalConstA,MATCH(J719,FlowCalNumber,0),1,1)*L729^INDEX(FlowCalConstB,MATCH(J719,FlowCalNumber,0),1,1)&gt;INDEX(FlowCalLowSetting,MATCH(J719,FlowCalNumber,0),1,1), (INDEX(FlowCalConstA,MATCH(J719,FlowCalNumber,0),1,1)*L729^INDEX(FlowCalConstB,MATCH(J719,FlowCalNumber,0),1,1)&lt;INDEX(FlowCalHighSetting,MATCH(J719,FlowCalNumber,0),1,1))),INDEX(FlowCalConstA,MATCH(J719,FlowCalNumber,0),1,1)*L729^INDEX(FlowCalConstB,MATCH(J719,FlowCalNumber,0),1,1)," ")</f>
        <v>#N/A</v>
      </c>
      <c r="N729" s="33"/>
      <c r="O729" s="242">
        <f t="shared" si="340"/>
        <v>1</v>
      </c>
      <c r="P729" s="241" t="e">
        <f t="shared" ca="1" si="341"/>
        <v>#N/A</v>
      </c>
      <c r="Q729" s="243" t="e">
        <f ca="1">IF(AND(INDEX(FlowCalConstA,MATCH(N719,FlowCalNumber,0),1,1)*P729^INDEX(FlowCalConstB,MATCH(N719,FlowCalNumber,0),1,1)&gt;INDEX(FlowCalLowSetting,MATCH(N719,FlowCalNumber,0),1,1), (INDEX(FlowCalConstA,MATCH(N719,FlowCalNumber,0),1,1)*P729^INDEX(FlowCalConstB,MATCH(N719,FlowCalNumber,0),1,1)&lt;INDEX(FlowCalHighSetting,MATCH(N719,FlowCalNumber,0),1,1))),INDEX(FlowCalConstA,MATCH(N719,FlowCalNumber,0),1,1)*P729^INDEX(FlowCalConstB,MATCH(N719,FlowCalNumber,0),1,1)," ")</f>
        <v>#N/A</v>
      </c>
      <c r="R729" s="33"/>
      <c r="S729" s="242">
        <f t="shared" si="342"/>
        <v>1</v>
      </c>
      <c r="T729" s="241" t="e">
        <f t="shared" ca="1" si="343"/>
        <v>#N/A</v>
      </c>
      <c r="U729" s="243" t="e">
        <f ca="1">IF(AND(INDEX(FlowCalConstA,MATCH(R719,FlowCalNumber,0),1,1)*T729^INDEX(FlowCalConstB,MATCH(R719,FlowCalNumber,0),1,1)&gt;INDEX(FlowCalLowSetting,MATCH(R719,FlowCalNumber,0),1,1), (INDEX(FlowCalConstA,MATCH(R719,FlowCalNumber,0),1,1)*T729^INDEX(FlowCalConstB,MATCH(R719,FlowCalNumber,0),1,1)&lt;INDEX(FlowCalHighSetting,MATCH(R719,FlowCalNumber,0),1,1))),INDEX(FlowCalConstA,MATCH(R719,FlowCalNumber,0),1,1)*T729^INDEX(FlowCalConstB,MATCH(R719,FlowCalNumber,0),1,1)," ")</f>
        <v>#N/A</v>
      </c>
      <c r="V729" s="33"/>
      <c r="W729" s="242"/>
      <c r="X729" s="241"/>
      <c r="Y729" s="243"/>
      <c r="Z729" s="33"/>
      <c r="AA729" s="242"/>
      <c r="AB729" s="241"/>
      <c r="AC729" s="243"/>
      <c r="AD729" s="33"/>
      <c r="AE729" s="242"/>
      <c r="AF729" s="241"/>
      <c r="AG729" s="243"/>
      <c r="AH729" s="33"/>
      <c r="AI729" s="242"/>
      <c r="AJ729" s="241"/>
      <c r="AK729" s="244"/>
      <c r="AL729" s="243"/>
      <c r="AM729" s="243"/>
      <c r="AN729" s="243"/>
      <c r="AO729" s="243"/>
      <c r="AP729" s="243"/>
      <c r="AQ729" s="243"/>
      <c r="AR729" s="243"/>
      <c r="AS729" s="243"/>
      <c r="AT729" s="243"/>
      <c r="AU729" s="243"/>
      <c r="AV729" s="243"/>
      <c r="AW729" s="243"/>
      <c r="AX729" s="243"/>
      <c r="AY729" s="243"/>
      <c r="AZ729" s="243"/>
      <c r="BA729" s="243"/>
      <c r="BB729" s="243"/>
      <c r="BC729" s="243"/>
      <c r="BD729" s="243"/>
      <c r="BE729" s="243"/>
      <c r="BF729" s="243"/>
      <c r="BG729" s="243"/>
      <c r="BH729" s="243"/>
      <c r="BI729" s="243"/>
      <c r="BJ729" s="243"/>
      <c r="BK729" s="243"/>
      <c r="BL729" s="243"/>
      <c r="BM729" s="243"/>
      <c r="BN729" s="243"/>
      <c r="BO729" s="243"/>
      <c r="BP729" s="243"/>
      <c r="BQ729" s="243"/>
      <c r="BR729" s="243"/>
      <c r="BS729" s="243"/>
      <c r="BU729" s="242"/>
      <c r="BW729" s="243"/>
      <c r="BY729" s="242"/>
      <c r="CA729" s="243"/>
      <c r="CC729" s="242"/>
      <c r="CE729" s="243"/>
      <c r="CG729" s="242"/>
      <c r="CI729" s="243"/>
    </row>
    <row r="730" spans="1:87" s="1215" customFormat="1">
      <c r="A730" s="1222"/>
      <c r="B730" s="1223" t="str">
        <f t="shared" si="336"/>
        <v/>
      </c>
      <c r="C730" s="1210"/>
      <c r="D730" s="1211">
        <f>'1% Wind'!$M$92</f>
        <v>3.2</v>
      </c>
      <c r="E730" s="1212"/>
      <c r="F730" s="1212"/>
      <c r="G730" s="1213" t="e">
        <f ca="1">IF(I719=0.9743,$G729,MAX(G729/D729*D730,2))</f>
        <v>#N/A</v>
      </c>
      <c r="H730" s="1214" t="e">
        <f t="shared" ca="1" si="337"/>
        <v>#N/A</v>
      </c>
      <c r="J730" s="1224"/>
      <c r="K730" s="1217">
        <f t="shared" si="338"/>
        <v>1</v>
      </c>
      <c r="L730" s="1218" t="e">
        <f t="shared" ca="1" si="339"/>
        <v>#N/A</v>
      </c>
      <c r="M730" s="1219" t="e">
        <f ca="1">IF(AND(INDEX(FlowCalConstA,MATCH(J719,FlowCalNumber,0),1,1)*L730^INDEX(FlowCalConstB,MATCH(J719,FlowCalNumber,0),1,1)&gt;INDEX(FlowCalLowSetting,MATCH(J719,FlowCalNumber,0),1,1), (INDEX(FlowCalConstA,MATCH(J719,FlowCalNumber,0),1,1)*L730^INDEX(FlowCalConstB,MATCH(J719,FlowCalNumber,0),1,1)&lt;INDEX(FlowCalHighSetting,MATCH(J719,FlowCalNumber,0),1,1))),INDEX(FlowCalConstA,MATCH(J719,FlowCalNumber,0),1,1)*L730^INDEX(FlowCalConstB,MATCH(J719,FlowCalNumber,0),1,1)," ")</f>
        <v>#N/A</v>
      </c>
      <c r="N730" s="1224"/>
      <c r="O730" s="1217">
        <f t="shared" si="340"/>
        <v>1</v>
      </c>
      <c r="P730" s="1218" t="e">
        <f t="shared" ca="1" si="341"/>
        <v>#N/A</v>
      </c>
      <c r="Q730" s="1219" t="e">
        <f ca="1">IF(AND(INDEX(FlowCalConstA,MATCH(N719,FlowCalNumber,0),1,1)*P730^INDEX(FlowCalConstB,MATCH(N719,FlowCalNumber,0),1,1)&gt;INDEX(FlowCalLowSetting,MATCH(N719,FlowCalNumber,0),1,1), (INDEX(FlowCalConstA,MATCH(N719,FlowCalNumber,0),1,1)*P730^INDEX(FlowCalConstB,MATCH(N719,FlowCalNumber,0),1,1)&lt;INDEX(FlowCalHighSetting,MATCH(N719,FlowCalNumber,0),1,1))),INDEX(FlowCalConstA,MATCH(N719,FlowCalNumber,0),1,1)*P730^INDEX(FlowCalConstB,MATCH(N719,FlowCalNumber,0),1,1)," ")</f>
        <v>#N/A</v>
      </c>
      <c r="R730" s="1224"/>
      <c r="S730" s="1217">
        <f t="shared" si="342"/>
        <v>1</v>
      </c>
      <c r="T730" s="1218" t="e">
        <f t="shared" ca="1" si="343"/>
        <v>#N/A</v>
      </c>
      <c r="U730" s="1219" t="e">
        <f ca="1">IF(AND(INDEX(FlowCalConstA,MATCH(R719,FlowCalNumber,0),1,1)*T730^INDEX(FlowCalConstB,MATCH(R719,FlowCalNumber,0),1,1)&gt;INDEX(FlowCalLowSetting,MATCH(R719,FlowCalNumber,0),1,1), (INDEX(FlowCalConstA,MATCH(R719,FlowCalNumber,0),1,1)*T730^INDEX(FlowCalConstB,MATCH(R719,FlowCalNumber,0),1,1)&lt;INDEX(FlowCalHighSetting,MATCH(R719,FlowCalNumber,0),1,1))),INDEX(FlowCalConstA,MATCH(R719,FlowCalNumber,0),1,1)*T730^INDEX(FlowCalConstB,MATCH(R719,FlowCalNumber,0),1,1)," ")</f>
        <v>#N/A</v>
      </c>
      <c r="V730" s="1224"/>
      <c r="W730" s="1217"/>
      <c r="X730" s="1218"/>
      <c r="Y730" s="1219"/>
      <c r="Z730" s="1224"/>
      <c r="AA730" s="1217"/>
      <c r="AB730" s="1218"/>
      <c r="AC730" s="1219"/>
      <c r="AD730" s="1224"/>
      <c r="AE730" s="1217"/>
      <c r="AF730" s="1218"/>
      <c r="AG730" s="1219"/>
      <c r="AH730" s="1224"/>
      <c r="AI730" s="1217"/>
      <c r="AJ730" s="1218"/>
      <c r="AK730" s="1220"/>
      <c r="AL730" s="1219"/>
      <c r="AM730" s="1219"/>
      <c r="AN730" s="1219"/>
      <c r="AO730" s="1219"/>
      <c r="AP730" s="1219"/>
      <c r="AQ730" s="1219"/>
      <c r="AR730" s="1219"/>
      <c r="AS730" s="1219"/>
      <c r="AT730" s="1219"/>
      <c r="AU730" s="1219"/>
      <c r="AV730" s="1219"/>
      <c r="AW730" s="1219"/>
      <c r="AX730" s="1219"/>
      <c r="AY730" s="1219"/>
      <c r="AZ730" s="1219"/>
      <c r="BA730" s="1219"/>
      <c r="BB730" s="1219"/>
      <c r="BC730" s="1219"/>
      <c r="BD730" s="1219"/>
      <c r="BE730" s="1219"/>
      <c r="BF730" s="1219"/>
      <c r="BG730" s="1219"/>
      <c r="BH730" s="1219"/>
      <c r="BI730" s="1219"/>
      <c r="BJ730" s="1219"/>
      <c r="BK730" s="1219"/>
      <c r="BL730" s="1219"/>
      <c r="BM730" s="1219"/>
      <c r="BN730" s="1219"/>
      <c r="BO730" s="1219"/>
      <c r="BP730" s="1219"/>
      <c r="BQ730" s="1219"/>
      <c r="BR730" s="1219"/>
      <c r="BS730" s="1219"/>
      <c r="BU730" s="1217"/>
      <c r="BW730" s="1219"/>
      <c r="BY730" s="1217"/>
      <c r="CA730" s="1219"/>
      <c r="CC730" s="1217"/>
      <c r="CE730" s="1219"/>
      <c r="CG730" s="1217"/>
      <c r="CI730" s="1219"/>
    </row>
    <row r="731" spans="1:87">
      <c r="A731" s="20"/>
      <c r="B731" s="124" t="str">
        <f t="shared" si="336"/>
        <v/>
      </c>
      <c r="C731" s="235"/>
      <c r="D731" s="24">
        <f>'1% Wind'!$M$93</f>
        <v>2.4</v>
      </c>
      <c r="E731" s="90"/>
      <c r="F731" s="90"/>
      <c r="G731" s="79" t="e">
        <f ca="1">IF(I719=0.9743,$G730,MAX(G730/D730*D731,2))</f>
        <v>#N/A</v>
      </c>
      <c r="H731" s="121" t="e">
        <f t="shared" ca="1" si="337"/>
        <v>#N/A</v>
      </c>
      <c r="J731" s="33"/>
      <c r="K731" s="242">
        <f t="shared" si="338"/>
        <v>1</v>
      </c>
      <c r="L731" s="241" t="e">
        <f t="shared" ca="1" si="339"/>
        <v>#N/A</v>
      </c>
      <c r="M731" s="243" t="e">
        <f ca="1">IF(AND(INDEX(FlowCalConstA,MATCH(J719,FlowCalNumber,0),1,1)*L731^INDEX(FlowCalConstB,MATCH(J719,FlowCalNumber,0),1,1)&gt;INDEX(FlowCalLowSetting,MATCH(J719,FlowCalNumber,0),1,1), (INDEX(FlowCalConstA,MATCH(J719,FlowCalNumber,0),1,1)*L731^INDEX(FlowCalConstB,MATCH(J719,FlowCalNumber,0),1,1)&lt;INDEX(FlowCalHighSetting,MATCH(J719,FlowCalNumber,0),1,1))),INDEX(FlowCalConstA,MATCH(J719,FlowCalNumber,0),1,1)*L731^INDEX(FlowCalConstB,MATCH(J719,FlowCalNumber,0),1,1)," ")</f>
        <v>#N/A</v>
      </c>
      <c r="N731" s="33"/>
      <c r="O731" s="242">
        <f t="shared" si="340"/>
        <v>1</v>
      </c>
      <c r="P731" s="241" t="e">
        <f t="shared" ca="1" si="341"/>
        <v>#N/A</v>
      </c>
      <c r="Q731" s="243" t="e">
        <f ca="1">IF(AND(INDEX(FlowCalConstA,MATCH(N719,FlowCalNumber,0),1,1)*P731^INDEX(FlowCalConstB,MATCH(N719,FlowCalNumber,0),1,1)&gt;INDEX(FlowCalLowSetting,MATCH(N719,FlowCalNumber,0),1,1), (INDEX(FlowCalConstA,MATCH(N719,FlowCalNumber,0),1,1)*P731^INDEX(FlowCalConstB,MATCH(N719,FlowCalNumber,0),1,1)&lt;INDEX(FlowCalHighSetting,MATCH(N719,FlowCalNumber,0),1,1))),INDEX(FlowCalConstA,MATCH(N719,FlowCalNumber,0),1,1)*P731^INDEX(FlowCalConstB,MATCH(N719,FlowCalNumber,0),1,1)," ")</f>
        <v>#N/A</v>
      </c>
      <c r="R731" s="33"/>
      <c r="S731" s="242">
        <f t="shared" si="342"/>
        <v>1</v>
      </c>
      <c r="T731" s="241" t="e">
        <f t="shared" ca="1" si="343"/>
        <v>#N/A</v>
      </c>
      <c r="U731" s="243" t="e">
        <f ca="1">IF(AND(INDEX(FlowCalConstA,MATCH(R719,FlowCalNumber,0),1,1)*T731^INDEX(FlowCalConstB,MATCH(R719,FlowCalNumber,0),1,1)&gt;INDEX(FlowCalLowSetting,MATCH(R719,FlowCalNumber,0),1,1), (INDEX(FlowCalConstA,MATCH(R719,FlowCalNumber,0),1,1)*T731^INDEX(FlowCalConstB,MATCH(R719,FlowCalNumber,0),1,1)&lt;INDEX(FlowCalHighSetting,MATCH(R719,FlowCalNumber,0),1,1))),INDEX(FlowCalConstA,MATCH(R719,FlowCalNumber,0),1,1)*T731^INDEX(FlowCalConstB,MATCH(R719,FlowCalNumber,0),1,1)," ")</f>
        <v>#N/A</v>
      </c>
      <c r="V731" s="33"/>
      <c r="W731" s="242"/>
      <c r="X731" s="241"/>
      <c r="Y731" s="243"/>
      <c r="Z731" s="33"/>
      <c r="AA731" s="242"/>
      <c r="AB731" s="241"/>
      <c r="AC731" s="243"/>
      <c r="AD731" s="33"/>
      <c r="AE731" s="242"/>
      <c r="AF731" s="241"/>
      <c r="AG731" s="243"/>
      <c r="AH731" s="33"/>
      <c r="AI731" s="242"/>
      <c r="AJ731" s="241"/>
      <c r="AK731" s="244"/>
      <c r="AL731" s="243"/>
      <c r="AM731" s="243"/>
      <c r="AN731" s="243"/>
      <c r="AO731" s="243"/>
      <c r="AP731" s="243"/>
      <c r="AQ731" s="243"/>
      <c r="AR731" s="243"/>
      <c r="AS731" s="243"/>
      <c r="AT731" s="243"/>
      <c r="AU731" s="243"/>
      <c r="AV731" s="243"/>
      <c r="AW731" s="243"/>
      <c r="AX731" s="243"/>
      <c r="AY731" s="243"/>
      <c r="AZ731" s="243"/>
      <c r="BA731" s="243"/>
      <c r="BB731" s="243"/>
      <c r="BC731" s="243"/>
      <c r="BD731" s="243"/>
      <c r="BE731" s="243"/>
      <c r="BF731" s="243"/>
      <c r="BG731" s="243"/>
      <c r="BH731" s="243"/>
      <c r="BI731" s="243"/>
      <c r="BJ731" s="243"/>
      <c r="BK731" s="243"/>
      <c r="BL731" s="243"/>
      <c r="BM731" s="243"/>
      <c r="BN731" s="243"/>
      <c r="BO731" s="243"/>
      <c r="BP731" s="243"/>
      <c r="BQ731" s="243"/>
      <c r="BR731" s="243"/>
      <c r="BS731" s="243"/>
      <c r="BU731" s="242"/>
      <c r="BW731" s="243"/>
      <c r="BY731" s="242"/>
      <c r="CA731" s="243"/>
      <c r="CC731" s="242"/>
      <c r="CE731" s="243"/>
      <c r="CG731" s="242"/>
      <c r="CI731" s="243"/>
    </row>
    <row r="732" spans="1:87" s="1215" customFormat="1">
      <c r="A732" s="1222"/>
      <c r="B732" s="1223" t="str">
        <f t="shared" si="336"/>
        <v/>
      </c>
      <c r="C732" s="1210"/>
      <c r="D732" s="1211">
        <f>'1% Wind'!$M$94</f>
        <v>1.8</v>
      </c>
      <c r="E732" s="1212"/>
      <c r="F732" s="1212"/>
      <c r="G732" s="1213" t="e">
        <f ca="1">IF(I719=0.9743,$G731,MAX(G731/D731*D732,2))</f>
        <v>#N/A</v>
      </c>
      <c r="H732" s="1214" t="e">
        <f t="shared" ca="1" si="337"/>
        <v>#N/A</v>
      </c>
      <c r="J732" s="1224"/>
      <c r="K732" s="1217">
        <f t="shared" si="338"/>
        <v>1</v>
      </c>
      <c r="L732" s="1218" t="e">
        <f t="shared" ca="1" si="339"/>
        <v>#N/A</v>
      </c>
      <c r="M732" s="1219" t="e">
        <f ca="1">IF(AND(INDEX(FlowCalConstA,MATCH(J719,FlowCalNumber,0),1,1)*L732^INDEX(FlowCalConstB,MATCH(J719,FlowCalNumber,0),1,1)&gt;INDEX(FlowCalLowSetting,MATCH(J719,FlowCalNumber,0),1,1), (INDEX(FlowCalConstA,MATCH(J719,FlowCalNumber,0),1,1)*L732^INDEX(FlowCalConstB,MATCH(J719,FlowCalNumber,0),1,1)&lt;INDEX(FlowCalHighSetting,MATCH(J719,FlowCalNumber,0),1,1))),INDEX(FlowCalConstA,MATCH(J719,FlowCalNumber,0),1,1)*L732^INDEX(FlowCalConstB,MATCH(J719,FlowCalNumber,0),1,1)," ")</f>
        <v>#N/A</v>
      </c>
      <c r="N732" s="1224"/>
      <c r="O732" s="1217">
        <f t="shared" si="340"/>
        <v>1</v>
      </c>
      <c r="P732" s="1218" t="e">
        <f t="shared" ca="1" si="341"/>
        <v>#N/A</v>
      </c>
      <c r="Q732" s="1219" t="e">
        <f ca="1">IF(AND(INDEX(FlowCalConstA,MATCH(N719,FlowCalNumber,0),1,1)*P732^INDEX(FlowCalConstB,MATCH(N719,FlowCalNumber,0),1,1)&gt;INDEX(FlowCalLowSetting,MATCH(N719,FlowCalNumber,0),1,1), (INDEX(FlowCalConstA,MATCH(N719,FlowCalNumber,0),1,1)*P732^INDEX(FlowCalConstB,MATCH(N719,FlowCalNumber,0),1,1)&lt;INDEX(FlowCalHighSetting,MATCH(N719,FlowCalNumber,0),1,1))),INDEX(FlowCalConstA,MATCH(N719,FlowCalNumber,0),1,1)*P732^INDEX(FlowCalConstB,MATCH(N719,FlowCalNumber,0),1,1)," ")</f>
        <v>#N/A</v>
      </c>
      <c r="R732" s="1224"/>
      <c r="S732" s="1217">
        <f t="shared" si="342"/>
        <v>1</v>
      </c>
      <c r="T732" s="1218" t="e">
        <f t="shared" ca="1" si="343"/>
        <v>#N/A</v>
      </c>
      <c r="U732" s="1219" t="e">
        <f ca="1">IF(AND(INDEX(FlowCalConstA,MATCH(R719,FlowCalNumber,0),1,1)*T732^INDEX(FlowCalConstB,MATCH(R719,FlowCalNumber,0),1,1)&gt;INDEX(FlowCalLowSetting,MATCH(R719,FlowCalNumber,0),1,1), (INDEX(FlowCalConstA,MATCH(R719,FlowCalNumber,0),1,1)*T732^INDEX(FlowCalConstB,MATCH(R719,FlowCalNumber,0),1,1)&lt;INDEX(FlowCalHighSetting,MATCH(R719,FlowCalNumber,0),1,1))),INDEX(FlowCalConstA,MATCH(R719,FlowCalNumber,0),1,1)*T732^INDEX(FlowCalConstB,MATCH(R719,FlowCalNumber,0),1,1)," ")</f>
        <v>#N/A</v>
      </c>
      <c r="V732" s="1224"/>
      <c r="W732" s="1217"/>
      <c r="X732" s="1218"/>
      <c r="Y732" s="1219"/>
      <c r="Z732" s="1224"/>
      <c r="AA732" s="1217"/>
      <c r="AB732" s="1218"/>
      <c r="AC732" s="1219"/>
      <c r="AD732" s="1224"/>
      <c r="AE732" s="1217"/>
      <c r="AF732" s="1218"/>
      <c r="AG732" s="1219"/>
      <c r="AH732" s="1224"/>
      <c r="AI732" s="1217"/>
      <c r="AJ732" s="1218"/>
      <c r="AK732" s="1220"/>
      <c r="AL732" s="1219"/>
      <c r="AM732" s="1219"/>
      <c r="AN732" s="1219"/>
      <c r="AO732" s="1219"/>
      <c r="AP732" s="1219"/>
      <c r="AQ732" s="1219"/>
      <c r="AR732" s="1219"/>
      <c r="AS732" s="1219"/>
      <c r="AT732" s="1219"/>
      <c r="AU732" s="1219"/>
      <c r="AV732" s="1219"/>
      <c r="AW732" s="1219"/>
      <c r="AX732" s="1219"/>
      <c r="AY732" s="1219"/>
      <c r="AZ732" s="1219"/>
      <c r="BA732" s="1219"/>
      <c r="BB732" s="1219"/>
      <c r="BC732" s="1219"/>
      <c r="BD732" s="1219"/>
      <c r="BE732" s="1219"/>
      <c r="BF732" s="1219"/>
      <c r="BG732" s="1219"/>
      <c r="BH732" s="1219"/>
      <c r="BI732" s="1219"/>
      <c r="BJ732" s="1219"/>
      <c r="BK732" s="1219"/>
      <c r="BL732" s="1219"/>
      <c r="BM732" s="1219"/>
      <c r="BN732" s="1219"/>
      <c r="BO732" s="1219"/>
      <c r="BP732" s="1219"/>
      <c r="BQ732" s="1219"/>
      <c r="BR732" s="1219"/>
      <c r="BS732" s="1219"/>
      <c r="BU732" s="1217"/>
      <c r="BW732" s="1219"/>
      <c r="BY732" s="1217"/>
      <c r="CA732" s="1219"/>
      <c r="CC732" s="1217"/>
      <c r="CE732" s="1219"/>
      <c r="CG732" s="1217"/>
      <c r="CI732" s="1219"/>
    </row>
    <row r="733" spans="1:87">
      <c r="A733" s="20"/>
      <c r="B733" s="124" t="str">
        <f t="shared" si="336"/>
        <v/>
      </c>
      <c r="C733" s="235"/>
      <c r="D733" s="24">
        <f>'1% Wind'!$M$95</f>
        <v>1.3</v>
      </c>
      <c r="E733" s="90"/>
      <c r="F733" s="90"/>
      <c r="G733" s="79" t="e">
        <f ca="1">IF(I719=0.9743,$G732,MAX(G732/D732*D733,2))</f>
        <v>#N/A</v>
      </c>
      <c r="H733" s="121" t="e">
        <f t="shared" ca="1" si="337"/>
        <v>#N/A</v>
      </c>
      <c r="J733" s="33"/>
      <c r="K733" s="242">
        <f t="shared" si="338"/>
        <v>1</v>
      </c>
      <c r="L733" s="241" t="e">
        <f t="shared" ca="1" si="339"/>
        <v>#N/A</v>
      </c>
      <c r="M733" s="243" t="e">
        <f ca="1">IF(AND(INDEX(FlowCalConstA,MATCH(J719,FlowCalNumber,0),1,1)*L733^INDEX(FlowCalConstB,MATCH(J719,FlowCalNumber,0),1,1)&gt;INDEX(FlowCalLowSetting,MATCH(J719,FlowCalNumber,0),1,1), (INDEX(FlowCalConstA,MATCH(J719,FlowCalNumber,0),1,1)*L733^INDEX(FlowCalConstB,MATCH(J719,FlowCalNumber,0),1,1)&lt;INDEX(FlowCalHighSetting,MATCH(J719,FlowCalNumber,0),1,1))),INDEX(FlowCalConstA,MATCH(J719,FlowCalNumber,0),1,1)*L733^INDEX(FlowCalConstB,MATCH(J719,FlowCalNumber,0),1,1)," ")</f>
        <v>#N/A</v>
      </c>
      <c r="N733" s="33"/>
      <c r="O733" s="242">
        <f t="shared" si="340"/>
        <v>1</v>
      </c>
      <c r="P733" s="241" t="e">
        <f t="shared" ca="1" si="341"/>
        <v>#N/A</v>
      </c>
      <c r="Q733" s="243" t="e">
        <f ca="1">IF(AND(INDEX(FlowCalConstA,MATCH(N719,FlowCalNumber,0),1,1)*P733^INDEX(FlowCalConstB,MATCH(N719,FlowCalNumber,0),1,1)&gt;INDEX(FlowCalLowSetting,MATCH(N719,FlowCalNumber,0),1,1), (INDEX(FlowCalConstA,MATCH(N719,FlowCalNumber,0),1,1)*P733^INDEX(FlowCalConstB,MATCH(N719,FlowCalNumber,0),1,1)&lt;INDEX(FlowCalHighSetting,MATCH(N719,FlowCalNumber,0),1,1))),INDEX(FlowCalConstA,MATCH(N719,FlowCalNumber,0),1,1)*P733^INDEX(FlowCalConstB,MATCH(N719,FlowCalNumber,0),1,1)," ")</f>
        <v>#N/A</v>
      </c>
      <c r="R733" s="33"/>
      <c r="S733" s="242">
        <f t="shared" si="342"/>
        <v>1</v>
      </c>
      <c r="T733" s="241" t="e">
        <f t="shared" ca="1" si="343"/>
        <v>#N/A</v>
      </c>
      <c r="U733" s="243" t="e">
        <f ca="1">IF(AND(INDEX(FlowCalConstA,MATCH(R719,FlowCalNumber,0),1,1)*T733^INDEX(FlowCalConstB,MATCH(R719,FlowCalNumber,0),1,1)&gt;INDEX(FlowCalLowSetting,MATCH(R719,FlowCalNumber,0),1,1), (INDEX(FlowCalConstA,MATCH(R719,FlowCalNumber,0),1,1)*T733^INDEX(FlowCalConstB,MATCH(R719,FlowCalNumber,0),1,1)&lt;INDEX(FlowCalHighSetting,MATCH(R719,FlowCalNumber,0),1,1))),INDEX(FlowCalConstA,MATCH(R719,FlowCalNumber,0),1,1)*T733^INDEX(FlowCalConstB,MATCH(R719,FlowCalNumber,0),1,1)," ")</f>
        <v>#N/A</v>
      </c>
      <c r="V733" s="33"/>
      <c r="W733" s="242"/>
      <c r="X733" s="241"/>
      <c r="Y733" s="243"/>
      <c r="Z733" s="33"/>
      <c r="AA733" s="242"/>
      <c r="AB733" s="241"/>
      <c r="AC733" s="243"/>
      <c r="AD733" s="33"/>
      <c r="AE733" s="242"/>
      <c r="AF733" s="241"/>
      <c r="AG733" s="243"/>
      <c r="AH733" s="33"/>
      <c r="AI733" s="242"/>
      <c r="AJ733" s="241"/>
      <c r="AK733" s="244"/>
      <c r="AL733" s="243"/>
      <c r="AM733" s="243"/>
      <c r="AN733" s="243"/>
      <c r="AO733" s="243"/>
      <c r="AP733" s="243"/>
      <c r="AQ733" s="243"/>
      <c r="AR733" s="243"/>
      <c r="AS733" s="243"/>
      <c r="AT733" s="243"/>
      <c r="AU733" s="243"/>
      <c r="AV733" s="243"/>
      <c r="AW733" s="243"/>
      <c r="AX733" s="243"/>
      <c r="AY733" s="243"/>
      <c r="AZ733" s="243"/>
      <c r="BA733" s="243"/>
      <c r="BB733" s="243"/>
      <c r="BC733" s="243"/>
      <c r="BD733" s="243"/>
      <c r="BE733" s="243"/>
      <c r="BF733" s="243"/>
      <c r="BG733" s="243"/>
      <c r="BH733" s="243"/>
      <c r="BI733" s="243"/>
      <c r="BJ733" s="243"/>
      <c r="BK733" s="243"/>
      <c r="BL733" s="243"/>
      <c r="BM733" s="243"/>
      <c r="BN733" s="243"/>
      <c r="BO733" s="243"/>
      <c r="BP733" s="243"/>
      <c r="BQ733" s="243"/>
      <c r="BR733" s="243"/>
      <c r="BS733" s="243"/>
      <c r="BU733" s="242"/>
      <c r="BW733" s="243"/>
      <c r="BY733" s="242"/>
      <c r="CA733" s="243"/>
      <c r="CC733" s="242"/>
      <c r="CE733" s="243"/>
      <c r="CG733" s="242"/>
      <c r="CI733" s="243"/>
    </row>
    <row r="734" spans="1:87" s="1215" customFormat="1">
      <c r="A734" s="1222"/>
      <c r="B734" s="1223" t="str">
        <f t="shared" si="336"/>
        <v/>
      </c>
      <c r="C734" s="1210"/>
      <c r="D734" s="1211">
        <f>'1% Wind'!$M$96</f>
        <v>1</v>
      </c>
      <c r="E734" s="1212"/>
      <c r="F734" s="1212"/>
      <c r="G734" s="1213" t="e">
        <f ca="1">IF(I719=0.9743,$G733,MAX(G733/D733*D734,2))</f>
        <v>#N/A</v>
      </c>
      <c r="H734" s="1214" t="e">
        <f t="shared" ca="1" si="337"/>
        <v>#N/A</v>
      </c>
      <c r="J734" s="1224"/>
      <c r="K734" s="1217">
        <f t="shared" si="338"/>
        <v>1</v>
      </c>
      <c r="L734" s="1218" t="e">
        <f t="shared" ca="1" si="339"/>
        <v>#N/A</v>
      </c>
      <c r="M734" s="1219" t="e">
        <f ca="1">IF(AND(INDEX(FlowCalConstA,MATCH(J719,FlowCalNumber,0),1,1)*L734^INDEX(FlowCalConstB,MATCH(J719,FlowCalNumber,0),1,1)&gt;INDEX(FlowCalLowSetting,MATCH(J719,FlowCalNumber,0),1,1), (INDEX(FlowCalConstA,MATCH(J719,FlowCalNumber,0),1,1)*L734^INDEX(FlowCalConstB,MATCH(J719,FlowCalNumber,0),1,1)&lt;INDEX(FlowCalHighSetting,MATCH(J719,FlowCalNumber,0),1,1))),INDEX(FlowCalConstA,MATCH(J719,FlowCalNumber,0),1,1)*L734^INDEX(FlowCalConstB,MATCH(J719,FlowCalNumber,0),1,1)," ")</f>
        <v>#N/A</v>
      </c>
      <c r="N734" s="1224"/>
      <c r="O734" s="1217">
        <f t="shared" si="340"/>
        <v>1</v>
      </c>
      <c r="P734" s="1218" t="e">
        <f t="shared" ca="1" si="341"/>
        <v>#N/A</v>
      </c>
      <c r="Q734" s="1219" t="e">
        <f ca="1">IF(AND(INDEX(FlowCalConstA,MATCH(N719,FlowCalNumber,0),1,1)*P734^INDEX(FlowCalConstB,MATCH(N719,FlowCalNumber,0),1,1)&gt;INDEX(FlowCalLowSetting,MATCH(N719,FlowCalNumber,0),1,1), (INDEX(FlowCalConstA,MATCH(N719,FlowCalNumber,0),1,1)*P734^INDEX(FlowCalConstB,MATCH(N719,FlowCalNumber,0),1,1)&lt;INDEX(FlowCalHighSetting,MATCH(N719,FlowCalNumber,0),1,1))),INDEX(FlowCalConstA,MATCH(N719,FlowCalNumber,0),1,1)*P734^INDEX(FlowCalConstB,MATCH(N719,FlowCalNumber,0),1,1)," ")</f>
        <v>#N/A</v>
      </c>
      <c r="R734" s="1224"/>
      <c r="S734" s="1217">
        <f t="shared" si="342"/>
        <v>1</v>
      </c>
      <c r="T734" s="1218" t="e">
        <f t="shared" ca="1" si="343"/>
        <v>#N/A</v>
      </c>
      <c r="U734" s="1219" t="e">
        <f ca="1">IF(AND(INDEX(FlowCalConstA,MATCH(R719,FlowCalNumber,0),1,1)*T734^INDEX(FlowCalConstB,MATCH(R719,FlowCalNumber,0),1,1)&gt;INDEX(FlowCalLowSetting,MATCH(R719,FlowCalNumber,0),1,1), (INDEX(FlowCalConstA,MATCH(R719,FlowCalNumber,0),1,1)*T734^INDEX(FlowCalConstB,MATCH(R719,FlowCalNumber,0),1,1)&lt;INDEX(FlowCalHighSetting,MATCH(R719,FlowCalNumber,0),1,1))),INDEX(FlowCalConstA,MATCH(R719,FlowCalNumber,0),1,1)*T734^INDEX(FlowCalConstB,MATCH(R719,FlowCalNumber,0),1,1)," ")</f>
        <v>#N/A</v>
      </c>
      <c r="V734" s="1224"/>
      <c r="W734" s="1217"/>
      <c r="X734" s="1218"/>
      <c r="Y734" s="1219"/>
      <c r="Z734" s="1224"/>
      <c r="AA734" s="1217"/>
      <c r="AB734" s="1218"/>
      <c r="AC734" s="1219"/>
      <c r="AD734" s="1224"/>
      <c r="AE734" s="1217"/>
      <c r="AF734" s="1218"/>
      <c r="AG734" s="1219"/>
      <c r="AH734" s="1224"/>
      <c r="AI734" s="1217"/>
      <c r="AJ734" s="1218"/>
      <c r="AK734" s="1220"/>
      <c r="AL734" s="1219"/>
      <c r="AM734" s="1219"/>
      <c r="AN734" s="1219"/>
      <c r="AO734" s="1219"/>
      <c r="AP734" s="1219"/>
      <c r="AQ734" s="1219"/>
      <c r="AR734" s="1219"/>
      <c r="AS734" s="1219"/>
      <c r="AT734" s="1219"/>
      <c r="AU734" s="1219"/>
      <c r="AV734" s="1219"/>
      <c r="AW734" s="1219"/>
      <c r="AX734" s="1219"/>
      <c r="AY734" s="1219"/>
      <c r="AZ734" s="1219"/>
      <c r="BA734" s="1219"/>
      <c r="BB734" s="1219"/>
      <c r="BC734" s="1219"/>
      <c r="BD734" s="1219"/>
      <c r="BE734" s="1219"/>
      <c r="BF734" s="1219"/>
      <c r="BG734" s="1219"/>
      <c r="BH734" s="1219"/>
      <c r="BI734" s="1219"/>
      <c r="BJ734" s="1219"/>
      <c r="BK734" s="1219"/>
      <c r="BL734" s="1219"/>
      <c r="BM734" s="1219"/>
      <c r="BN734" s="1219"/>
      <c r="BO734" s="1219"/>
      <c r="BP734" s="1219"/>
      <c r="BQ734" s="1219"/>
      <c r="BR734" s="1219"/>
      <c r="BS734" s="1219"/>
      <c r="BU734" s="1217"/>
      <c r="BW734" s="1219"/>
      <c r="BY734" s="1217"/>
      <c r="CA734" s="1219"/>
      <c r="CC734" s="1217"/>
      <c r="CE734" s="1219"/>
      <c r="CG734" s="1217"/>
      <c r="CI734" s="1219"/>
    </row>
    <row r="735" spans="1:87">
      <c r="A735" s="33"/>
      <c r="B735" s="33"/>
      <c r="C735" s="235"/>
      <c r="E735" s="90"/>
      <c r="F735" s="90"/>
      <c r="G735" s="33"/>
      <c r="J735" s="33"/>
      <c r="M735" s="243"/>
      <c r="N735" s="33"/>
      <c r="Q735" s="243"/>
      <c r="R735" s="33"/>
      <c r="U735" s="243"/>
      <c r="V735" s="33"/>
      <c r="Y735" s="243"/>
      <c r="Z735" s="33"/>
      <c r="AC735" s="243"/>
      <c r="AD735" s="33"/>
      <c r="AG735" s="243"/>
      <c r="AH735" s="33"/>
      <c r="AK735" s="244"/>
      <c r="AL735" s="243"/>
      <c r="AM735" s="243"/>
      <c r="AN735" s="243"/>
      <c r="AO735" s="243"/>
      <c r="AP735" s="243"/>
      <c r="AQ735" s="243"/>
      <c r="AR735" s="243"/>
      <c r="AS735" s="243"/>
      <c r="AT735" s="243"/>
      <c r="AU735" s="243"/>
      <c r="AV735" s="243"/>
      <c r="AW735" s="243"/>
      <c r="AX735" s="243"/>
      <c r="AY735" s="243"/>
      <c r="AZ735" s="243"/>
      <c r="BA735" s="243"/>
      <c r="BB735" s="243"/>
      <c r="BC735" s="243"/>
      <c r="BD735" s="243"/>
      <c r="BE735" s="243"/>
      <c r="BF735" s="243"/>
      <c r="BG735" s="243"/>
      <c r="BH735" s="243"/>
      <c r="BI735" s="243"/>
      <c r="BJ735" s="243"/>
      <c r="BK735" s="243"/>
      <c r="BL735" s="243"/>
      <c r="BM735" s="243"/>
      <c r="BN735" s="243"/>
      <c r="BO735" s="243"/>
      <c r="BP735" s="243"/>
      <c r="BQ735" s="243"/>
      <c r="BR735" s="243"/>
      <c r="BS735" s="243"/>
      <c r="BW735" s="243"/>
      <c r="CA735" s="243"/>
      <c r="CE735" s="243"/>
      <c r="CI735" s="243"/>
    </row>
    <row r="736" spans="1:87">
      <c r="A736" s="256" t="str">
        <f>IF((RIGHT(A719,1))&lt;&gt;"Z",CHAR(CODE(A719))&amp;CHAR(CODE(RIGHT(A719,1))+1),CHAR(CODE(A719)+1)&amp;"A")</f>
        <v>BQ</v>
      </c>
      <c r="B736" s="270" t="e">
        <f>INDEX(SourceID,MATCH($A736,SourceNumber,0),1,1)</f>
        <v>#N/A</v>
      </c>
      <c r="C736" s="354" t="e">
        <f>INDEX(SourceExitDiameter,MATCH($A736,SourceNumber,0),1,1)*3.28*12</f>
        <v>#N/A</v>
      </c>
      <c r="D736" s="24" t="str">
        <f>UAnem1percent</f>
        <v>1% Wind</v>
      </c>
      <c r="E736" s="350" t="e">
        <f ca="1">INDIRECT(ADDRESS(53,6,1,,CONCATENATE("TA",$A736)))</f>
        <v>#REF!</v>
      </c>
      <c r="F736" s="625" t="e">
        <f ca="1">(ROUND((INDIRECT(ADDRESS(15,7,1,,CONCATENATE("TA",$A736)))*3.28*12*32),0)&amp;"/32")</f>
        <v>#REF!</v>
      </c>
      <c r="G736" s="125" t="e">
        <f ca="1">INDIRECT(ADDRESS(29,7,1,,$A736))</f>
        <v>#N/A</v>
      </c>
      <c r="H736" s="24" t="e">
        <f ca="1">INDIRECT(ADDRESS(19,7,1,,$A736))*100^3</f>
        <v>#N/A</v>
      </c>
      <c r="I736" s="941" t="e">
        <f ca="1">INDIRECT(ADDRESS(53,7,1,,$A736))</f>
        <v>#N/A</v>
      </c>
      <c r="J736" s="20" t="e">
        <f ca="1">IF($I736=$I$6,K$16&amp;$G$6&amp;J$6,IF($I736=$I$7,K$16&amp;$G$7&amp;J$7,"Bad"))</f>
        <v>#N/A</v>
      </c>
      <c r="K736" t="e">
        <f ca="1">INDEX(FlowCalGasMixture,MATCH(J736,FlowCalNumber,0),1,1)</f>
        <v>#N/A</v>
      </c>
      <c r="M736" s="944" t="e">
        <f ca="1">INDEX(FlowCalDevice,MATCH(J736,FlowCalNumber,0),1,1)</f>
        <v>#N/A</v>
      </c>
      <c r="N736" s="20" t="e">
        <f ca="1">IF($I736=$I$6,O$16&amp;$G$6&amp;N$6,IF($I736=$I$7,O$16&amp;$G$7&amp;N$7,"Bad"))</f>
        <v>#N/A</v>
      </c>
      <c r="O736" t="e">
        <f ca="1">INDEX(FlowCalGasMixture,MATCH(N736,FlowCalNumber,0),1,1)</f>
        <v>#N/A</v>
      </c>
      <c r="Q736" s="944" t="e">
        <f ca="1">INDEX(FlowCalDevice,MATCH(N736,FlowCalNumber,0),1,1)</f>
        <v>#N/A</v>
      </c>
      <c r="R736" s="20" t="e">
        <f ca="1">IF($I736=$I$6,S$16&amp;$G$6&amp;R$6,IF($I736=$I$7,S$16&amp;$G$7&amp;R$7,"Bad"))</f>
        <v>#N/A</v>
      </c>
      <c r="S736" t="e">
        <f ca="1">INDEX(FlowCalGasMixture,MATCH(R736,FlowCalNumber,0),1,1)</f>
        <v>#N/A</v>
      </c>
      <c r="U736" s="944" t="e">
        <f ca="1">INDEX(FlowCalDevice,MATCH(R736,FlowCalNumber,0),1,1)</f>
        <v>#N/A</v>
      </c>
      <c r="V736" s="20"/>
      <c r="Y736" s="944"/>
      <c r="Z736" s="946"/>
      <c r="AC736" s="944"/>
      <c r="AD736" s="20"/>
      <c r="AG736" s="944"/>
      <c r="AH736" s="946"/>
      <c r="AK736" s="982"/>
      <c r="AL736" s="355"/>
      <c r="AM736" s="355"/>
      <c r="AN736" s="355"/>
      <c r="AO736" s="355"/>
      <c r="AP736" s="355"/>
      <c r="AQ736" s="355"/>
      <c r="AR736" s="355"/>
      <c r="AS736" s="355"/>
      <c r="AT736" s="355"/>
      <c r="AU736" s="355"/>
      <c r="AV736" s="355"/>
      <c r="AW736" s="355"/>
      <c r="AX736" s="355"/>
      <c r="AY736" s="355"/>
      <c r="AZ736" s="355"/>
      <c r="BA736" s="355"/>
      <c r="BB736" s="355"/>
      <c r="BC736" s="355"/>
      <c r="BD736" s="355"/>
      <c r="BE736" s="355"/>
      <c r="BF736" s="355"/>
      <c r="BG736" s="355"/>
      <c r="BH736" s="355"/>
      <c r="BI736" s="355"/>
      <c r="BJ736" s="355"/>
      <c r="BK736" s="355"/>
      <c r="BL736" s="355"/>
      <c r="BM736" s="355"/>
      <c r="BN736" s="355"/>
      <c r="BO736" s="355"/>
      <c r="BP736" s="355"/>
      <c r="BQ736" s="355"/>
      <c r="BR736" s="355"/>
      <c r="BS736" s="355"/>
      <c r="BT736" s="46"/>
      <c r="BU736" s="16"/>
      <c r="BW736" s="355"/>
      <c r="BX736" s="42"/>
      <c r="BY736" s="16"/>
      <c r="CA736" s="355"/>
      <c r="CB736" s="42"/>
      <c r="CC736" s="16"/>
      <c r="CE736" s="355"/>
      <c r="CF736" s="42"/>
      <c r="CG736" s="16"/>
      <c r="CI736" s="355"/>
    </row>
    <row r="737" spans="1:87" s="1215" customFormat="1">
      <c r="A737" s="1222"/>
      <c r="B737" s="1223" t="str">
        <f t="shared" ref="B737:B751" si="344">IF(D737=UAnem1percent,"1% Wind","")</f>
        <v/>
      </c>
      <c r="C737" s="1210"/>
      <c r="D737" s="1211">
        <f>'1% Wind'!$M$82</f>
        <v>27</v>
      </c>
      <c r="E737" s="1212"/>
      <c r="F737" s="1212"/>
      <c r="G737" s="1364">
        <v>2</v>
      </c>
      <c r="H737" s="1214" t="e">
        <f t="shared" ref="H737:H751" ca="1" si="345">H736*(D736/D737)*(G737/G736)</f>
        <v>#N/A</v>
      </c>
      <c r="J737" s="1224"/>
      <c r="K737" s="1221">
        <f>K$17/100</f>
        <v>1</v>
      </c>
      <c r="L737" s="1218" t="e">
        <f ca="1">K737*$H737</f>
        <v>#N/A</v>
      </c>
      <c r="M737" s="1219" t="e">
        <f ca="1">IF(AND(INDEX(FlowCalConstA,MATCH(J736,FlowCalNumber,0),1,1)*L737^INDEX(FlowCalConstB,MATCH(J736,FlowCalNumber,0),1,1)&gt;INDEX(FlowCalLowSetting,MATCH(J736,FlowCalNumber,0),1,1), (INDEX(FlowCalConstA,MATCH(J736,FlowCalNumber,0),1,1)*L737^INDEX(FlowCalConstB,MATCH(J736,FlowCalNumber,0),1,1)&lt;INDEX(FlowCalHighSetting,MATCH(J736,FlowCalNumber,0),1,1))),INDEX(FlowCalConstA,MATCH(J736,FlowCalNumber,0),1,1)*L737^INDEX(FlowCalConstB,MATCH(J736,FlowCalNumber,0),1,1)," ")</f>
        <v>#N/A</v>
      </c>
      <c r="N737" s="1224"/>
      <c r="O737" s="1221">
        <f>O$17/100</f>
        <v>1</v>
      </c>
      <c r="P737" s="1218" t="e">
        <f ca="1">O737*$H737</f>
        <v>#N/A</v>
      </c>
      <c r="Q737" s="1219" t="e">
        <f ca="1">IF(AND(INDEX(FlowCalConstA,MATCH(N736,FlowCalNumber,0),1,1)*P737^INDEX(FlowCalConstB,MATCH(N736,FlowCalNumber,0),1,1)&gt;INDEX(FlowCalLowSetting,MATCH(N736,FlowCalNumber,0),1,1), (INDEX(FlowCalConstA,MATCH(N736,FlowCalNumber,0),1,1)*P737^INDEX(FlowCalConstB,MATCH(N736,FlowCalNumber,0),1,1)&lt;INDEX(FlowCalHighSetting,MATCH(N736,FlowCalNumber,0),1,1))),INDEX(FlowCalConstA,MATCH(N736,FlowCalNumber,0),1,1)*P737^INDEX(FlowCalConstB,MATCH(N736,FlowCalNumber,0),1,1)," ")</f>
        <v>#N/A</v>
      </c>
      <c r="R737" s="1224"/>
      <c r="S737" s="1221">
        <f>S$17/100</f>
        <v>1</v>
      </c>
      <c r="T737" s="1218" t="e">
        <f ca="1">S737*$H737</f>
        <v>#N/A</v>
      </c>
      <c r="U737" s="1219" t="e">
        <f ca="1">IF(AND(INDEX(FlowCalConstA,MATCH(R736,FlowCalNumber,0),1,1)*T737^INDEX(FlowCalConstB,MATCH(R736,FlowCalNumber,0),1,1)&gt;INDEX(FlowCalLowSetting,MATCH(R736,FlowCalNumber,0),1,1), (INDEX(FlowCalConstA,MATCH(R736,FlowCalNumber,0),1,1)*T737^INDEX(FlowCalConstB,MATCH(R736,FlowCalNumber,0),1,1)&lt;INDEX(FlowCalHighSetting,MATCH(R736,FlowCalNumber,0),1,1))),INDEX(FlowCalConstA,MATCH(R736,FlowCalNumber,0),1,1)*T737^INDEX(FlowCalConstB,MATCH(R736,FlowCalNumber,0),1,1)," ")</f>
        <v>#N/A</v>
      </c>
      <c r="V737" s="1224"/>
      <c r="W737" s="1221"/>
      <c r="X737" s="1218"/>
      <c r="Y737" s="1219"/>
      <c r="Z737" s="1224"/>
      <c r="AA737" s="1221"/>
      <c r="AB737" s="1218"/>
      <c r="AC737" s="1219"/>
      <c r="AD737" s="1224"/>
      <c r="AE737" s="1221"/>
      <c r="AF737" s="1218"/>
      <c r="AG737" s="1219"/>
      <c r="AH737" s="1224"/>
      <c r="AI737" s="1221"/>
      <c r="AJ737" s="1218"/>
      <c r="AK737" s="1220"/>
      <c r="AL737" s="1219"/>
      <c r="AM737" s="1219"/>
      <c r="AN737" s="1219"/>
      <c r="AO737" s="1219"/>
      <c r="AP737" s="1219"/>
      <c r="AQ737" s="1219"/>
      <c r="AR737" s="1219"/>
      <c r="AS737" s="1219"/>
      <c r="AT737" s="1219"/>
      <c r="AU737" s="1219"/>
      <c r="AV737" s="1219"/>
      <c r="AW737" s="1219"/>
      <c r="AX737" s="1219"/>
      <c r="AY737" s="1219"/>
      <c r="AZ737" s="1219"/>
      <c r="BA737" s="1219"/>
      <c r="BB737" s="1219"/>
      <c r="BC737" s="1219"/>
      <c r="BD737" s="1219"/>
      <c r="BE737" s="1219"/>
      <c r="BF737" s="1219"/>
      <c r="BG737" s="1219"/>
      <c r="BH737" s="1219"/>
      <c r="BI737" s="1219"/>
      <c r="BJ737" s="1219"/>
      <c r="BK737" s="1219"/>
      <c r="BL737" s="1219"/>
      <c r="BM737" s="1219"/>
      <c r="BN737" s="1219"/>
      <c r="BO737" s="1219"/>
      <c r="BP737" s="1219"/>
      <c r="BQ737" s="1219"/>
      <c r="BR737" s="1219"/>
      <c r="BS737" s="1219"/>
      <c r="BU737" s="1225"/>
      <c r="BW737" s="1219"/>
      <c r="BY737" s="1225"/>
      <c r="CA737" s="1219"/>
      <c r="CC737" s="1225"/>
      <c r="CE737" s="1219"/>
      <c r="CG737" s="1221"/>
      <c r="CI737" s="1219"/>
    </row>
    <row r="738" spans="1:87">
      <c r="A738" s="20"/>
      <c r="B738" s="124" t="str">
        <f t="shared" si="344"/>
        <v/>
      </c>
      <c r="C738" s="235"/>
      <c r="D738" s="24">
        <f>'1% Wind'!$M$83</f>
        <v>23.5</v>
      </c>
      <c r="E738" s="90"/>
      <c r="F738" s="90"/>
      <c r="G738" s="79" t="e">
        <f ca="1">IF(I736=0.9743,$G737,MAX(G737/D737*D738,2))</f>
        <v>#N/A</v>
      </c>
      <c r="H738" s="121" t="e">
        <f t="shared" ca="1" si="345"/>
        <v>#N/A</v>
      </c>
      <c r="J738" s="33"/>
      <c r="K738" s="242">
        <f t="shared" ref="K738:K751" si="346">K737</f>
        <v>1</v>
      </c>
      <c r="L738" s="241" t="e">
        <f t="shared" ref="L738:L751" ca="1" si="347">K738*$H738</f>
        <v>#N/A</v>
      </c>
      <c r="M738" s="243" t="e">
        <f ca="1">IF(AND(INDEX(FlowCalConstA,MATCH(J736,FlowCalNumber,0),1,1)*L738^INDEX(FlowCalConstB,MATCH(J736,FlowCalNumber,0),1,1)&gt;INDEX(FlowCalLowSetting,MATCH(J736,FlowCalNumber,0),1,1), (INDEX(FlowCalConstA,MATCH(J736,FlowCalNumber,0),1,1)*L738^INDEX(FlowCalConstB,MATCH(J736,FlowCalNumber,0),1,1)&lt;INDEX(FlowCalHighSetting,MATCH(J736,FlowCalNumber,0),1,1))),INDEX(FlowCalConstA,MATCH(J736,FlowCalNumber,0),1,1)*L738^INDEX(FlowCalConstB,MATCH(J736,FlowCalNumber,0),1,1)," ")</f>
        <v>#N/A</v>
      </c>
      <c r="N738" s="33"/>
      <c r="O738" s="242">
        <f t="shared" ref="O738:O751" si="348">O737</f>
        <v>1</v>
      </c>
      <c r="P738" s="241" t="e">
        <f t="shared" ref="P738:P751" ca="1" si="349">O738*$H738</f>
        <v>#N/A</v>
      </c>
      <c r="Q738" s="243" t="e">
        <f ca="1">IF(AND(INDEX(FlowCalConstA,MATCH(N736,FlowCalNumber,0),1,1)*P738^INDEX(FlowCalConstB,MATCH(N736,FlowCalNumber,0),1,1)&gt;INDEX(FlowCalLowSetting,MATCH(N736,FlowCalNumber,0),1,1), (INDEX(FlowCalConstA,MATCH(N736,FlowCalNumber,0),1,1)*P738^INDEX(FlowCalConstB,MATCH(N736,FlowCalNumber,0),1,1)&lt;INDEX(FlowCalHighSetting,MATCH(N736,FlowCalNumber,0),1,1))),INDEX(FlowCalConstA,MATCH(N736,FlowCalNumber,0),1,1)*P738^INDEX(FlowCalConstB,MATCH(N736,FlowCalNumber,0),1,1)," ")</f>
        <v>#N/A</v>
      </c>
      <c r="R738" s="33"/>
      <c r="S738" s="242">
        <f t="shared" ref="S738:S751" si="350">S737</f>
        <v>1</v>
      </c>
      <c r="T738" s="241" t="e">
        <f t="shared" ref="T738:T751" ca="1" si="351">S738*$H738</f>
        <v>#N/A</v>
      </c>
      <c r="U738" s="243" t="e">
        <f ca="1">IF(AND(INDEX(FlowCalConstA,MATCH(R736,FlowCalNumber,0),1,1)*T738^INDEX(FlowCalConstB,MATCH(R736,FlowCalNumber,0),1,1)&gt;INDEX(FlowCalLowSetting,MATCH(R736,FlowCalNumber,0),1,1), (INDEX(FlowCalConstA,MATCH(R736,FlowCalNumber,0),1,1)*T738^INDEX(FlowCalConstB,MATCH(R736,FlowCalNumber,0),1,1)&lt;INDEX(FlowCalHighSetting,MATCH(R736,FlowCalNumber,0),1,1))),INDEX(FlowCalConstA,MATCH(R736,FlowCalNumber,0),1,1)*T738^INDEX(FlowCalConstB,MATCH(R736,FlowCalNumber,0),1,1)," ")</f>
        <v>#N/A</v>
      </c>
      <c r="V738" s="33"/>
      <c r="W738" s="242"/>
      <c r="X738" s="241"/>
      <c r="Y738" s="243"/>
      <c r="Z738" s="33"/>
      <c r="AA738" s="242"/>
      <c r="AB738" s="241"/>
      <c r="AC738" s="243"/>
      <c r="AD738" s="33"/>
      <c r="AE738" s="242"/>
      <c r="AF738" s="241"/>
      <c r="AG738" s="243"/>
      <c r="AH738" s="33"/>
      <c r="AI738" s="242"/>
      <c r="AJ738" s="241"/>
      <c r="AK738" s="244"/>
      <c r="AL738" s="243"/>
      <c r="AM738" s="243"/>
      <c r="AN738" s="243"/>
      <c r="AO738" s="243"/>
      <c r="AP738" s="243"/>
      <c r="AQ738" s="243"/>
      <c r="AR738" s="243"/>
      <c r="AS738" s="243"/>
      <c r="AT738" s="243"/>
      <c r="AU738" s="243"/>
      <c r="AV738" s="243"/>
      <c r="AW738" s="243"/>
      <c r="AX738" s="243"/>
      <c r="AY738" s="243"/>
      <c r="AZ738" s="243"/>
      <c r="BA738" s="243"/>
      <c r="BB738" s="243"/>
      <c r="BC738" s="243"/>
      <c r="BD738" s="243"/>
      <c r="BE738" s="243"/>
      <c r="BF738" s="243"/>
      <c r="BG738" s="243"/>
      <c r="BH738" s="243"/>
      <c r="BI738" s="243"/>
      <c r="BJ738" s="243"/>
      <c r="BK738" s="243"/>
      <c r="BL738" s="243"/>
      <c r="BM738" s="243"/>
      <c r="BN738" s="243"/>
      <c r="BO738" s="243"/>
      <c r="BP738" s="243"/>
      <c r="BQ738" s="243"/>
      <c r="BR738" s="243"/>
      <c r="BS738" s="243"/>
      <c r="BU738" s="242"/>
      <c r="BW738" s="243"/>
      <c r="BY738" s="242"/>
      <c r="CA738" s="243"/>
      <c r="CC738" s="242"/>
      <c r="CE738" s="243"/>
      <c r="CG738" s="242"/>
      <c r="CI738" s="243"/>
    </row>
    <row r="739" spans="1:87" s="1215" customFormat="1">
      <c r="A739" s="1222"/>
      <c r="B739" s="1223" t="str">
        <f t="shared" si="344"/>
        <v/>
      </c>
      <c r="C739" s="1210"/>
      <c r="D739" s="1211">
        <f>'1% Wind'!$M$84</f>
        <v>20.5</v>
      </c>
      <c r="E739" s="1212"/>
      <c r="F739" s="1212"/>
      <c r="G739" s="1213" t="e">
        <f ca="1">IF(I736=0.9743,$G738,MAX(G738/D738*D739,2))</f>
        <v>#N/A</v>
      </c>
      <c r="H739" s="1214" t="e">
        <f t="shared" ca="1" si="345"/>
        <v>#N/A</v>
      </c>
      <c r="J739" s="1224"/>
      <c r="K739" s="1217">
        <f t="shared" si="346"/>
        <v>1</v>
      </c>
      <c r="L739" s="1218" t="e">
        <f t="shared" ca="1" si="347"/>
        <v>#N/A</v>
      </c>
      <c r="M739" s="1219" t="e">
        <f ca="1">IF(AND(INDEX(FlowCalConstA,MATCH(J736,FlowCalNumber,0),1,1)*L739^INDEX(FlowCalConstB,MATCH(J736,FlowCalNumber,0),1,1)&gt;INDEX(FlowCalLowSetting,MATCH(J736,FlowCalNumber,0),1,1), (INDEX(FlowCalConstA,MATCH(J736,FlowCalNumber,0),1,1)*L739^INDEX(FlowCalConstB,MATCH(J736,FlowCalNumber,0),1,1)&lt;INDEX(FlowCalHighSetting,MATCH(J736,FlowCalNumber,0),1,1))),INDEX(FlowCalConstA,MATCH(J736,FlowCalNumber,0),1,1)*L739^INDEX(FlowCalConstB,MATCH(J736,FlowCalNumber,0),1,1)," ")</f>
        <v>#N/A</v>
      </c>
      <c r="N739" s="1224"/>
      <c r="O739" s="1217">
        <f t="shared" si="348"/>
        <v>1</v>
      </c>
      <c r="P739" s="1218" t="e">
        <f t="shared" ca="1" si="349"/>
        <v>#N/A</v>
      </c>
      <c r="Q739" s="1219" t="e">
        <f ca="1">IF(AND(INDEX(FlowCalConstA,MATCH(N736,FlowCalNumber,0),1,1)*P739^INDEX(FlowCalConstB,MATCH(N736,FlowCalNumber,0),1,1)&gt;INDEX(FlowCalLowSetting,MATCH(N736,FlowCalNumber,0),1,1), (INDEX(FlowCalConstA,MATCH(N736,FlowCalNumber,0),1,1)*P739^INDEX(FlowCalConstB,MATCH(N736,FlowCalNumber,0),1,1)&lt;INDEX(FlowCalHighSetting,MATCH(N736,FlowCalNumber,0),1,1))),INDEX(FlowCalConstA,MATCH(N736,FlowCalNumber,0),1,1)*P739^INDEX(FlowCalConstB,MATCH(N736,FlowCalNumber,0),1,1)," ")</f>
        <v>#N/A</v>
      </c>
      <c r="R739" s="1224"/>
      <c r="S739" s="1217">
        <f t="shared" si="350"/>
        <v>1</v>
      </c>
      <c r="T739" s="1218" t="e">
        <f t="shared" ca="1" si="351"/>
        <v>#N/A</v>
      </c>
      <c r="U739" s="1219" t="e">
        <f ca="1">IF(AND(INDEX(FlowCalConstA,MATCH(R736,FlowCalNumber,0),1,1)*T739^INDEX(FlowCalConstB,MATCH(R736,FlowCalNumber,0),1,1)&gt;INDEX(FlowCalLowSetting,MATCH(R736,FlowCalNumber,0),1,1), (INDEX(FlowCalConstA,MATCH(R736,FlowCalNumber,0),1,1)*T739^INDEX(FlowCalConstB,MATCH(R736,FlowCalNumber,0),1,1)&lt;INDEX(FlowCalHighSetting,MATCH(R736,FlowCalNumber,0),1,1))),INDEX(FlowCalConstA,MATCH(R736,FlowCalNumber,0),1,1)*T739^INDEX(FlowCalConstB,MATCH(R736,FlowCalNumber,0),1,1)," ")</f>
        <v>#N/A</v>
      </c>
      <c r="V739" s="1224"/>
      <c r="W739" s="1217"/>
      <c r="X739" s="1218"/>
      <c r="Y739" s="1219"/>
      <c r="Z739" s="1224"/>
      <c r="AA739" s="1217"/>
      <c r="AB739" s="1218"/>
      <c r="AC739" s="1219"/>
      <c r="AD739" s="1224"/>
      <c r="AE739" s="1217"/>
      <c r="AF739" s="1218"/>
      <c r="AG739" s="1219"/>
      <c r="AH739" s="1224"/>
      <c r="AI739" s="1217"/>
      <c r="AJ739" s="1218"/>
      <c r="AK739" s="1220"/>
      <c r="AL739" s="1219"/>
      <c r="AM739" s="1219"/>
      <c r="AN739" s="1219"/>
      <c r="AO739" s="1219"/>
      <c r="AP739" s="1219"/>
      <c r="AQ739" s="1219"/>
      <c r="AR739" s="1219"/>
      <c r="AS739" s="1219"/>
      <c r="AT739" s="1219"/>
      <c r="AU739" s="1219"/>
      <c r="AV739" s="1219"/>
      <c r="AW739" s="1219"/>
      <c r="AX739" s="1219"/>
      <c r="AY739" s="1219"/>
      <c r="AZ739" s="1219"/>
      <c r="BA739" s="1219"/>
      <c r="BB739" s="1219"/>
      <c r="BC739" s="1219"/>
      <c r="BD739" s="1219"/>
      <c r="BE739" s="1219"/>
      <c r="BF739" s="1219"/>
      <c r="BG739" s="1219"/>
      <c r="BH739" s="1219"/>
      <c r="BI739" s="1219"/>
      <c r="BJ739" s="1219"/>
      <c r="BK739" s="1219"/>
      <c r="BL739" s="1219"/>
      <c r="BM739" s="1219"/>
      <c r="BN739" s="1219"/>
      <c r="BO739" s="1219"/>
      <c r="BP739" s="1219"/>
      <c r="BQ739" s="1219"/>
      <c r="BR739" s="1219"/>
      <c r="BS739" s="1219"/>
      <c r="BU739" s="1217"/>
      <c r="BW739" s="1219"/>
      <c r="BY739" s="1217"/>
      <c r="CA739" s="1219"/>
      <c r="CC739" s="1217"/>
      <c r="CE739" s="1219"/>
      <c r="CG739" s="1217"/>
      <c r="CI739" s="1219"/>
    </row>
    <row r="740" spans="1:87">
      <c r="A740" s="20"/>
      <c r="B740" s="124" t="str">
        <f t="shared" si="344"/>
        <v/>
      </c>
      <c r="C740" s="235"/>
      <c r="D740" s="24">
        <f>'1% Wind'!$M$85</f>
        <v>17.8</v>
      </c>
      <c r="E740" s="90"/>
      <c r="F740" s="90"/>
      <c r="G740" s="79" t="e">
        <f ca="1">IF(I736=0.9743,$G739,MAX(G739/D739*D740,2))</f>
        <v>#N/A</v>
      </c>
      <c r="H740" s="121" t="e">
        <f t="shared" ca="1" si="345"/>
        <v>#N/A</v>
      </c>
      <c r="J740" s="33"/>
      <c r="K740" s="242">
        <f t="shared" si="346"/>
        <v>1</v>
      </c>
      <c r="L740" s="241" t="e">
        <f t="shared" ca="1" si="347"/>
        <v>#N/A</v>
      </c>
      <c r="M740" s="243" t="e">
        <f ca="1">IF(AND(INDEX(FlowCalConstA,MATCH(J736,FlowCalNumber,0),1,1)*L740^INDEX(FlowCalConstB,MATCH(J736,FlowCalNumber,0),1,1)&gt;INDEX(FlowCalLowSetting,MATCH(J736,FlowCalNumber,0),1,1), (INDEX(FlowCalConstA,MATCH(J736,FlowCalNumber,0),1,1)*L740^INDEX(FlowCalConstB,MATCH(J736,FlowCalNumber,0),1,1)&lt;INDEX(FlowCalHighSetting,MATCH(J736,FlowCalNumber,0),1,1))),INDEX(FlowCalConstA,MATCH(J736,FlowCalNumber,0),1,1)*L740^INDEX(FlowCalConstB,MATCH(J736,FlowCalNumber,0),1,1)," ")</f>
        <v>#N/A</v>
      </c>
      <c r="N740" s="33"/>
      <c r="O740" s="242">
        <f t="shared" si="348"/>
        <v>1</v>
      </c>
      <c r="P740" s="241" t="e">
        <f t="shared" ca="1" si="349"/>
        <v>#N/A</v>
      </c>
      <c r="Q740" s="243" t="e">
        <f ca="1">IF(AND(INDEX(FlowCalConstA,MATCH(N736,FlowCalNumber,0),1,1)*P740^INDEX(FlowCalConstB,MATCH(N736,FlowCalNumber,0),1,1)&gt;INDEX(FlowCalLowSetting,MATCH(N736,FlowCalNumber,0),1,1), (INDEX(FlowCalConstA,MATCH(N736,FlowCalNumber,0),1,1)*P740^INDEX(FlowCalConstB,MATCH(N736,FlowCalNumber,0),1,1)&lt;INDEX(FlowCalHighSetting,MATCH(N736,FlowCalNumber,0),1,1))),INDEX(FlowCalConstA,MATCH(N736,FlowCalNumber,0),1,1)*P740^INDEX(FlowCalConstB,MATCH(N736,FlowCalNumber,0),1,1)," ")</f>
        <v>#N/A</v>
      </c>
      <c r="R740" s="33"/>
      <c r="S740" s="242">
        <f t="shared" si="350"/>
        <v>1</v>
      </c>
      <c r="T740" s="241" t="e">
        <f t="shared" ca="1" si="351"/>
        <v>#N/A</v>
      </c>
      <c r="U740" s="243" t="e">
        <f ca="1">IF(AND(INDEX(FlowCalConstA,MATCH(R736,FlowCalNumber,0),1,1)*T740^INDEX(FlowCalConstB,MATCH(R736,FlowCalNumber,0),1,1)&gt;INDEX(FlowCalLowSetting,MATCH(R736,FlowCalNumber,0),1,1), (INDEX(FlowCalConstA,MATCH(R736,FlowCalNumber,0),1,1)*T740^INDEX(FlowCalConstB,MATCH(R736,FlowCalNumber,0),1,1)&lt;INDEX(FlowCalHighSetting,MATCH(R736,FlowCalNumber,0),1,1))),INDEX(FlowCalConstA,MATCH(R736,FlowCalNumber,0),1,1)*T740^INDEX(FlowCalConstB,MATCH(R736,FlowCalNumber,0),1,1)," ")</f>
        <v>#N/A</v>
      </c>
      <c r="V740" s="33"/>
      <c r="W740" s="242"/>
      <c r="X740" s="241"/>
      <c r="Y740" s="243"/>
      <c r="Z740" s="33"/>
      <c r="AA740" s="242"/>
      <c r="AB740" s="241"/>
      <c r="AC740" s="243"/>
      <c r="AD740" s="33"/>
      <c r="AE740" s="242"/>
      <c r="AF740" s="241"/>
      <c r="AG740" s="243"/>
      <c r="AH740" s="33"/>
      <c r="AI740" s="242"/>
      <c r="AJ740" s="241"/>
      <c r="AK740" s="244"/>
      <c r="AL740" s="243"/>
      <c r="AM740" s="243"/>
      <c r="AN740" s="243"/>
      <c r="AO740" s="243"/>
      <c r="AP740" s="243"/>
      <c r="AQ740" s="243"/>
      <c r="AR740" s="243"/>
      <c r="AS740" s="243"/>
      <c r="AT740" s="243"/>
      <c r="AU740" s="243"/>
      <c r="AV740" s="243"/>
      <c r="AW740" s="243"/>
      <c r="AX740" s="243"/>
      <c r="AY740" s="243"/>
      <c r="AZ740" s="243"/>
      <c r="BA740" s="243"/>
      <c r="BB740" s="243"/>
      <c r="BC740" s="243"/>
      <c r="BD740" s="243"/>
      <c r="BE740" s="243"/>
      <c r="BF740" s="243"/>
      <c r="BG740" s="243"/>
      <c r="BH740" s="243"/>
      <c r="BI740" s="243"/>
      <c r="BJ740" s="243"/>
      <c r="BK740" s="243"/>
      <c r="BL740" s="243"/>
      <c r="BM740" s="243"/>
      <c r="BN740" s="243"/>
      <c r="BO740" s="243"/>
      <c r="BP740" s="243"/>
      <c r="BQ740" s="243"/>
      <c r="BR740" s="243"/>
      <c r="BS740" s="243"/>
      <c r="BU740" s="242"/>
      <c r="BW740" s="243"/>
      <c r="BY740" s="242"/>
      <c r="CA740" s="243"/>
      <c r="CC740" s="242"/>
      <c r="CE740" s="243"/>
      <c r="CG740" s="242"/>
      <c r="CI740" s="243"/>
    </row>
    <row r="741" spans="1:87" s="1215" customFormat="1">
      <c r="A741" s="1222"/>
      <c r="B741" s="1223" t="str">
        <f t="shared" si="344"/>
        <v/>
      </c>
      <c r="C741" s="1210"/>
      <c r="D741" s="1211">
        <f>'1% Wind'!$M$86</f>
        <v>15.5</v>
      </c>
      <c r="E741" s="1212"/>
      <c r="F741" s="1212"/>
      <c r="G741" s="1213" t="e">
        <f ca="1">IF(I736=0.9743,$G740,MAX(G740/D740*D741,2))</f>
        <v>#N/A</v>
      </c>
      <c r="H741" s="1214" t="e">
        <f t="shared" ca="1" si="345"/>
        <v>#N/A</v>
      </c>
      <c r="J741" s="1224"/>
      <c r="K741" s="1217">
        <f t="shared" si="346"/>
        <v>1</v>
      </c>
      <c r="L741" s="1218" t="e">
        <f t="shared" ca="1" si="347"/>
        <v>#N/A</v>
      </c>
      <c r="M741" s="1219" t="e">
        <f ca="1">IF(AND(INDEX(FlowCalConstA,MATCH(J736,FlowCalNumber,0),1,1)*L741^INDEX(FlowCalConstB,MATCH(J736,FlowCalNumber,0),1,1)&gt;INDEX(FlowCalLowSetting,MATCH(J736,FlowCalNumber,0),1,1), (INDEX(FlowCalConstA,MATCH(J736,FlowCalNumber,0),1,1)*L741^INDEX(FlowCalConstB,MATCH(J736,FlowCalNumber,0),1,1)&lt;INDEX(FlowCalHighSetting,MATCH(J736,FlowCalNumber,0),1,1))),INDEX(FlowCalConstA,MATCH(J736,FlowCalNumber,0),1,1)*L741^INDEX(FlowCalConstB,MATCH(J736,FlowCalNumber,0),1,1)," ")</f>
        <v>#N/A</v>
      </c>
      <c r="N741" s="1224"/>
      <c r="O741" s="1217">
        <f t="shared" si="348"/>
        <v>1</v>
      </c>
      <c r="P741" s="1218" t="e">
        <f t="shared" ca="1" si="349"/>
        <v>#N/A</v>
      </c>
      <c r="Q741" s="1219" t="e">
        <f ca="1">IF(AND(INDEX(FlowCalConstA,MATCH(N736,FlowCalNumber,0),1,1)*P741^INDEX(FlowCalConstB,MATCH(N736,FlowCalNumber,0),1,1)&gt;INDEX(FlowCalLowSetting,MATCH(N736,FlowCalNumber,0),1,1), (INDEX(FlowCalConstA,MATCH(N736,FlowCalNumber,0),1,1)*P741^INDEX(FlowCalConstB,MATCH(N736,FlowCalNumber,0),1,1)&lt;INDEX(FlowCalHighSetting,MATCH(N736,FlowCalNumber,0),1,1))),INDEX(FlowCalConstA,MATCH(N736,FlowCalNumber,0),1,1)*P741^INDEX(FlowCalConstB,MATCH(N736,FlowCalNumber,0),1,1)," ")</f>
        <v>#N/A</v>
      </c>
      <c r="R741" s="1224"/>
      <c r="S741" s="1217">
        <f t="shared" si="350"/>
        <v>1</v>
      </c>
      <c r="T741" s="1218" t="e">
        <f t="shared" ca="1" si="351"/>
        <v>#N/A</v>
      </c>
      <c r="U741" s="1219" t="e">
        <f ca="1">IF(AND(INDEX(FlowCalConstA,MATCH(R736,FlowCalNumber,0),1,1)*T741^INDEX(FlowCalConstB,MATCH(R736,FlowCalNumber,0),1,1)&gt;INDEX(FlowCalLowSetting,MATCH(R736,FlowCalNumber,0),1,1), (INDEX(FlowCalConstA,MATCH(R736,FlowCalNumber,0),1,1)*T741^INDEX(FlowCalConstB,MATCH(R736,FlowCalNumber,0),1,1)&lt;INDEX(FlowCalHighSetting,MATCH(R736,FlowCalNumber,0),1,1))),INDEX(FlowCalConstA,MATCH(R736,FlowCalNumber,0),1,1)*T741^INDEX(FlowCalConstB,MATCH(R736,FlowCalNumber,0),1,1)," ")</f>
        <v>#N/A</v>
      </c>
      <c r="V741" s="1224"/>
      <c r="W741" s="1217"/>
      <c r="X741" s="1218"/>
      <c r="Y741" s="1219"/>
      <c r="Z741" s="1224"/>
      <c r="AA741" s="1217"/>
      <c r="AB741" s="1218"/>
      <c r="AC741" s="1219"/>
      <c r="AD741" s="1224"/>
      <c r="AE741" s="1217"/>
      <c r="AF741" s="1218"/>
      <c r="AG741" s="1219"/>
      <c r="AH741" s="1224"/>
      <c r="AI741" s="1217"/>
      <c r="AJ741" s="1218"/>
      <c r="AK741" s="1220"/>
      <c r="AL741" s="1219"/>
      <c r="AM741" s="1219"/>
      <c r="AN741" s="1219"/>
      <c r="AO741" s="1219"/>
      <c r="AP741" s="1219"/>
      <c r="AQ741" s="1219"/>
      <c r="AR741" s="1219"/>
      <c r="AS741" s="1219"/>
      <c r="AT741" s="1219"/>
      <c r="AU741" s="1219"/>
      <c r="AV741" s="1219"/>
      <c r="AW741" s="1219"/>
      <c r="AX741" s="1219"/>
      <c r="AY741" s="1219"/>
      <c r="AZ741" s="1219"/>
      <c r="BA741" s="1219"/>
      <c r="BB741" s="1219"/>
      <c r="BC741" s="1219"/>
      <c r="BD741" s="1219"/>
      <c r="BE741" s="1219"/>
      <c r="BF741" s="1219"/>
      <c r="BG741" s="1219"/>
      <c r="BH741" s="1219"/>
      <c r="BI741" s="1219"/>
      <c r="BJ741" s="1219"/>
      <c r="BK741" s="1219"/>
      <c r="BL741" s="1219"/>
      <c r="BM741" s="1219"/>
      <c r="BN741" s="1219"/>
      <c r="BO741" s="1219"/>
      <c r="BP741" s="1219"/>
      <c r="BQ741" s="1219"/>
      <c r="BR741" s="1219"/>
      <c r="BS741" s="1219"/>
      <c r="BU741" s="1217"/>
      <c r="BW741" s="1219"/>
      <c r="BY741" s="1217"/>
      <c r="CA741" s="1219"/>
      <c r="CC741" s="1217"/>
      <c r="CE741" s="1219"/>
      <c r="CG741" s="1217"/>
      <c r="CI741" s="1219"/>
    </row>
    <row r="742" spans="1:87">
      <c r="A742" s="20"/>
      <c r="B742" s="124" t="str">
        <f t="shared" si="344"/>
        <v/>
      </c>
      <c r="C742" s="235"/>
      <c r="D742" s="24">
        <f>'1% Wind'!$M$87</f>
        <v>13.5</v>
      </c>
      <c r="E742" s="90"/>
      <c r="F742" s="90"/>
      <c r="G742" s="79" t="e">
        <f ca="1">IF(I736=0.9743,$G741,MAX(G741/D741*D742,2))</f>
        <v>#N/A</v>
      </c>
      <c r="H742" s="121" t="e">
        <f t="shared" ca="1" si="345"/>
        <v>#N/A</v>
      </c>
      <c r="J742" s="33"/>
      <c r="K742" s="242">
        <f t="shared" si="346"/>
        <v>1</v>
      </c>
      <c r="L742" s="241" t="e">
        <f t="shared" ca="1" si="347"/>
        <v>#N/A</v>
      </c>
      <c r="M742" s="243" t="e">
        <f ca="1">IF(AND(INDEX(FlowCalConstA,MATCH(J736,FlowCalNumber,0),1,1)*L742^INDEX(FlowCalConstB,MATCH(J736,FlowCalNumber,0),1,1)&gt;INDEX(FlowCalLowSetting,MATCH(J736,FlowCalNumber,0),1,1), (INDEX(FlowCalConstA,MATCH(J736,FlowCalNumber,0),1,1)*L742^INDEX(FlowCalConstB,MATCH(J736,FlowCalNumber,0),1,1)&lt;INDEX(FlowCalHighSetting,MATCH(J736,FlowCalNumber,0),1,1))),INDEX(FlowCalConstA,MATCH(J736,FlowCalNumber,0),1,1)*L742^INDEX(FlowCalConstB,MATCH(J736,FlowCalNumber,0),1,1)," ")</f>
        <v>#N/A</v>
      </c>
      <c r="N742" s="33"/>
      <c r="O742" s="242">
        <f t="shared" si="348"/>
        <v>1</v>
      </c>
      <c r="P742" s="241" t="e">
        <f t="shared" ca="1" si="349"/>
        <v>#N/A</v>
      </c>
      <c r="Q742" s="243" t="e">
        <f ca="1">IF(AND(INDEX(FlowCalConstA,MATCH(N736,FlowCalNumber,0),1,1)*P742^INDEX(FlowCalConstB,MATCH(N736,FlowCalNumber,0),1,1)&gt;INDEX(FlowCalLowSetting,MATCH(N736,FlowCalNumber,0),1,1), (INDEX(FlowCalConstA,MATCH(N736,FlowCalNumber,0),1,1)*P742^INDEX(FlowCalConstB,MATCH(N736,FlowCalNumber,0),1,1)&lt;INDEX(FlowCalHighSetting,MATCH(N736,FlowCalNumber,0),1,1))),INDEX(FlowCalConstA,MATCH(N736,FlowCalNumber,0),1,1)*P742^INDEX(FlowCalConstB,MATCH(N736,FlowCalNumber,0),1,1)," ")</f>
        <v>#N/A</v>
      </c>
      <c r="R742" s="33"/>
      <c r="S742" s="242">
        <f t="shared" si="350"/>
        <v>1</v>
      </c>
      <c r="T742" s="241" t="e">
        <f t="shared" ca="1" si="351"/>
        <v>#N/A</v>
      </c>
      <c r="U742" s="243" t="e">
        <f ca="1">IF(AND(INDEX(FlowCalConstA,MATCH(R736,FlowCalNumber,0),1,1)*T742^INDEX(FlowCalConstB,MATCH(R736,FlowCalNumber,0),1,1)&gt;INDEX(FlowCalLowSetting,MATCH(R736,FlowCalNumber,0),1,1), (INDEX(FlowCalConstA,MATCH(R736,FlowCalNumber,0),1,1)*T742^INDEX(FlowCalConstB,MATCH(R736,FlowCalNumber,0),1,1)&lt;INDEX(FlowCalHighSetting,MATCH(R736,FlowCalNumber,0),1,1))),INDEX(FlowCalConstA,MATCH(R736,FlowCalNumber,0),1,1)*T742^INDEX(FlowCalConstB,MATCH(R736,FlowCalNumber,0),1,1)," ")</f>
        <v>#N/A</v>
      </c>
      <c r="V742" s="33"/>
      <c r="W742" s="242"/>
      <c r="X742" s="241"/>
      <c r="Y742" s="243"/>
      <c r="Z742" s="33"/>
      <c r="AA742" s="242"/>
      <c r="AB742" s="241"/>
      <c r="AC742" s="243"/>
      <c r="AD742" s="33"/>
      <c r="AE742" s="242"/>
      <c r="AF742" s="241"/>
      <c r="AG742" s="243"/>
      <c r="AH742" s="33"/>
      <c r="AI742" s="242"/>
      <c r="AJ742" s="241"/>
      <c r="AK742" s="244"/>
      <c r="AL742" s="243"/>
      <c r="AM742" s="243"/>
      <c r="AN742" s="243"/>
      <c r="AO742" s="243"/>
      <c r="AP742" s="243"/>
      <c r="AQ742" s="243"/>
      <c r="AR742" s="243"/>
      <c r="AS742" s="243"/>
      <c r="AT742" s="243"/>
      <c r="AU742" s="243"/>
      <c r="AV742" s="243"/>
      <c r="AW742" s="243"/>
      <c r="AX742" s="243"/>
      <c r="AY742" s="243"/>
      <c r="AZ742" s="243"/>
      <c r="BA742" s="243"/>
      <c r="BB742" s="243"/>
      <c r="BC742" s="243"/>
      <c r="BD742" s="243"/>
      <c r="BE742" s="243"/>
      <c r="BF742" s="243"/>
      <c r="BG742" s="243"/>
      <c r="BH742" s="243"/>
      <c r="BI742" s="243"/>
      <c r="BJ742" s="243"/>
      <c r="BK742" s="243"/>
      <c r="BL742" s="243"/>
      <c r="BM742" s="243"/>
      <c r="BN742" s="243"/>
      <c r="BO742" s="243"/>
      <c r="BP742" s="243"/>
      <c r="BQ742" s="243"/>
      <c r="BR742" s="243"/>
      <c r="BS742" s="243"/>
      <c r="BU742" s="242"/>
      <c r="BW742" s="243"/>
      <c r="BY742" s="242"/>
      <c r="CA742" s="243"/>
      <c r="CC742" s="242"/>
      <c r="CE742" s="243"/>
      <c r="CG742" s="242"/>
      <c r="CI742" s="243"/>
    </row>
    <row r="743" spans="1:87" s="1215" customFormat="1">
      <c r="A743" s="1222"/>
      <c r="B743" s="1223" t="str">
        <f t="shared" si="344"/>
        <v/>
      </c>
      <c r="C743" s="1210"/>
      <c r="D743" s="1211">
        <f>'1% Wind'!$M$88</f>
        <v>10.1</v>
      </c>
      <c r="E743" s="1212"/>
      <c r="F743" s="1212"/>
      <c r="G743" s="1213" t="e">
        <f ca="1">IF(I736=0.9743,$G742,MAX(G742/D742*D743,2))</f>
        <v>#N/A</v>
      </c>
      <c r="H743" s="1214" t="e">
        <f t="shared" ca="1" si="345"/>
        <v>#N/A</v>
      </c>
      <c r="J743" s="1224"/>
      <c r="K743" s="1217">
        <f t="shared" si="346"/>
        <v>1</v>
      </c>
      <c r="L743" s="1218" t="e">
        <f t="shared" ca="1" si="347"/>
        <v>#N/A</v>
      </c>
      <c r="M743" s="1219" t="e">
        <f ca="1">IF(AND(INDEX(FlowCalConstA,MATCH(J736,FlowCalNumber,0),1,1)*L743^INDEX(FlowCalConstB,MATCH(J736,FlowCalNumber,0),1,1)&gt;INDEX(FlowCalLowSetting,MATCH(J736,FlowCalNumber,0),1,1), (INDEX(FlowCalConstA,MATCH(J736,FlowCalNumber,0),1,1)*L743^INDEX(FlowCalConstB,MATCH(J736,FlowCalNumber,0),1,1)&lt;INDEX(FlowCalHighSetting,MATCH(J736,FlowCalNumber,0),1,1))),INDEX(FlowCalConstA,MATCH(J736,FlowCalNumber,0),1,1)*L743^INDEX(FlowCalConstB,MATCH(J736,FlowCalNumber,0),1,1)," ")</f>
        <v>#N/A</v>
      </c>
      <c r="N743" s="1224"/>
      <c r="O743" s="1217">
        <f t="shared" si="348"/>
        <v>1</v>
      </c>
      <c r="P743" s="1218" t="e">
        <f t="shared" ca="1" si="349"/>
        <v>#N/A</v>
      </c>
      <c r="Q743" s="1219" t="e">
        <f ca="1">IF(AND(INDEX(FlowCalConstA,MATCH(N736,FlowCalNumber,0),1,1)*P743^INDEX(FlowCalConstB,MATCH(N736,FlowCalNumber,0),1,1)&gt;INDEX(FlowCalLowSetting,MATCH(N736,FlowCalNumber,0),1,1), (INDEX(FlowCalConstA,MATCH(N736,FlowCalNumber,0),1,1)*P743^INDEX(FlowCalConstB,MATCH(N736,FlowCalNumber,0),1,1)&lt;INDEX(FlowCalHighSetting,MATCH(N736,FlowCalNumber,0),1,1))),INDEX(FlowCalConstA,MATCH(N736,FlowCalNumber,0),1,1)*P743^INDEX(FlowCalConstB,MATCH(N736,FlowCalNumber,0),1,1)," ")</f>
        <v>#N/A</v>
      </c>
      <c r="R743" s="1224"/>
      <c r="S743" s="1217">
        <f t="shared" si="350"/>
        <v>1</v>
      </c>
      <c r="T743" s="1218" t="e">
        <f t="shared" ca="1" si="351"/>
        <v>#N/A</v>
      </c>
      <c r="U743" s="1219" t="e">
        <f ca="1">IF(AND(INDEX(FlowCalConstA,MATCH(R736,FlowCalNumber,0),1,1)*T743^INDEX(FlowCalConstB,MATCH(R736,FlowCalNumber,0),1,1)&gt;INDEX(FlowCalLowSetting,MATCH(R736,FlowCalNumber,0),1,1), (INDEX(FlowCalConstA,MATCH(R736,FlowCalNumber,0),1,1)*T743^INDEX(FlowCalConstB,MATCH(R736,FlowCalNumber,0),1,1)&lt;INDEX(FlowCalHighSetting,MATCH(R736,FlowCalNumber,0),1,1))),INDEX(FlowCalConstA,MATCH(R736,FlowCalNumber,0),1,1)*T743^INDEX(FlowCalConstB,MATCH(R736,FlowCalNumber,0),1,1)," ")</f>
        <v>#N/A</v>
      </c>
      <c r="V743" s="1224"/>
      <c r="W743" s="1217"/>
      <c r="X743" s="1218"/>
      <c r="Y743" s="1219"/>
      <c r="Z743" s="1224"/>
      <c r="AA743" s="1217"/>
      <c r="AB743" s="1218"/>
      <c r="AC743" s="1219"/>
      <c r="AD743" s="1224"/>
      <c r="AE743" s="1217"/>
      <c r="AF743" s="1218"/>
      <c r="AG743" s="1219"/>
      <c r="AH743" s="1224"/>
      <c r="AI743" s="1217"/>
      <c r="AJ743" s="1218"/>
      <c r="AK743" s="1220"/>
      <c r="AL743" s="1219"/>
      <c r="AM743" s="1219"/>
      <c r="AN743" s="1219"/>
      <c r="AO743" s="1219"/>
      <c r="AP743" s="1219"/>
      <c r="AQ743" s="1219"/>
      <c r="AR743" s="1219"/>
      <c r="AS743" s="1219"/>
      <c r="AT743" s="1219"/>
      <c r="AU743" s="1219"/>
      <c r="AV743" s="1219"/>
      <c r="AW743" s="1219"/>
      <c r="AX743" s="1219"/>
      <c r="AY743" s="1219"/>
      <c r="AZ743" s="1219"/>
      <c r="BA743" s="1219"/>
      <c r="BB743" s="1219"/>
      <c r="BC743" s="1219"/>
      <c r="BD743" s="1219"/>
      <c r="BE743" s="1219"/>
      <c r="BF743" s="1219"/>
      <c r="BG743" s="1219"/>
      <c r="BH743" s="1219"/>
      <c r="BI743" s="1219"/>
      <c r="BJ743" s="1219"/>
      <c r="BK743" s="1219"/>
      <c r="BL743" s="1219"/>
      <c r="BM743" s="1219"/>
      <c r="BN743" s="1219"/>
      <c r="BO743" s="1219"/>
      <c r="BP743" s="1219"/>
      <c r="BQ743" s="1219"/>
      <c r="BR743" s="1219"/>
      <c r="BS743" s="1219"/>
      <c r="BU743" s="1217"/>
      <c r="BW743" s="1219"/>
      <c r="BY743" s="1217"/>
      <c r="CA743" s="1219"/>
      <c r="CC743" s="1217"/>
      <c r="CE743" s="1219"/>
      <c r="CG743" s="1217"/>
      <c r="CI743" s="1219"/>
    </row>
    <row r="744" spans="1:87">
      <c r="A744" s="20"/>
      <c r="B744" s="124" t="str">
        <f t="shared" si="344"/>
        <v/>
      </c>
      <c r="C744" s="235"/>
      <c r="D744" s="24">
        <f>'1% Wind'!$M$89</f>
        <v>7.6</v>
      </c>
      <c r="E744" s="90"/>
      <c r="F744" s="90"/>
      <c r="G744" s="79" t="e">
        <f ca="1">IF(I736=0.9743,$G743,MAX(G743/D743*D744,2))</f>
        <v>#N/A</v>
      </c>
      <c r="H744" s="121" t="e">
        <f t="shared" ca="1" si="345"/>
        <v>#N/A</v>
      </c>
      <c r="J744" s="33"/>
      <c r="K744" s="242">
        <f t="shared" si="346"/>
        <v>1</v>
      </c>
      <c r="L744" s="241" t="e">
        <f t="shared" ca="1" si="347"/>
        <v>#N/A</v>
      </c>
      <c r="M744" s="243" t="e">
        <f ca="1">IF(AND(INDEX(FlowCalConstA,MATCH(J736,FlowCalNumber,0),1,1)*L744^INDEX(FlowCalConstB,MATCH(J736,FlowCalNumber,0),1,1)&gt;INDEX(FlowCalLowSetting,MATCH(J736,FlowCalNumber,0),1,1), (INDEX(FlowCalConstA,MATCH(J736,FlowCalNumber,0),1,1)*L744^INDEX(FlowCalConstB,MATCH(J736,FlowCalNumber,0),1,1)&lt;INDEX(FlowCalHighSetting,MATCH(J736,FlowCalNumber,0),1,1))),INDEX(FlowCalConstA,MATCH(J736,FlowCalNumber,0),1,1)*L744^INDEX(FlowCalConstB,MATCH(J736,FlowCalNumber,0),1,1)," ")</f>
        <v>#N/A</v>
      </c>
      <c r="N744" s="33"/>
      <c r="O744" s="242">
        <f t="shared" si="348"/>
        <v>1</v>
      </c>
      <c r="P744" s="241" t="e">
        <f t="shared" ca="1" si="349"/>
        <v>#N/A</v>
      </c>
      <c r="Q744" s="243" t="e">
        <f ca="1">IF(AND(INDEX(FlowCalConstA,MATCH(N736,FlowCalNumber,0),1,1)*P744^INDEX(FlowCalConstB,MATCH(N736,FlowCalNumber,0),1,1)&gt;INDEX(FlowCalLowSetting,MATCH(N736,FlowCalNumber,0),1,1), (INDEX(FlowCalConstA,MATCH(N736,FlowCalNumber,0),1,1)*P744^INDEX(FlowCalConstB,MATCH(N736,FlowCalNumber,0),1,1)&lt;INDEX(FlowCalHighSetting,MATCH(N736,FlowCalNumber,0),1,1))),INDEX(FlowCalConstA,MATCH(N736,FlowCalNumber,0),1,1)*P744^INDEX(FlowCalConstB,MATCH(N736,FlowCalNumber,0),1,1)," ")</f>
        <v>#N/A</v>
      </c>
      <c r="R744" s="33"/>
      <c r="S744" s="242">
        <f t="shared" si="350"/>
        <v>1</v>
      </c>
      <c r="T744" s="241" t="e">
        <f t="shared" ca="1" si="351"/>
        <v>#N/A</v>
      </c>
      <c r="U744" s="243" t="e">
        <f ca="1">IF(AND(INDEX(FlowCalConstA,MATCH(R736,FlowCalNumber,0),1,1)*T744^INDEX(FlowCalConstB,MATCH(R736,FlowCalNumber,0),1,1)&gt;INDEX(FlowCalLowSetting,MATCH(R736,FlowCalNumber,0),1,1), (INDEX(FlowCalConstA,MATCH(R736,FlowCalNumber,0),1,1)*T744^INDEX(FlowCalConstB,MATCH(R736,FlowCalNumber,0),1,1)&lt;INDEX(FlowCalHighSetting,MATCH(R736,FlowCalNumber,0),1,1))),INDEX(FlowCalConstA,MATCH(R736,FlowCalNumber,0),1,1)*T744^INDEX(FlowCalConstB,MATCH(R736,FlowCalNumber,0),1,1)," ")</f>
        <v>#N/A</v>
      </c>
      <c r="V744" s="33"/>
      <c r="W744" s="242"/>
      <c r="X744" s="241"/>
      <c r="Y744" s="243"/>
      <c r="Z744" s="33"/>
      <c r="AA744" s="242"/>
      <c r="AB744" s="241"/>
      <c r="AC744" s="243"/>
      <c r="AD744" s="33"/>
      <c r="AE744" s="242"/>
      <c r="AF744" s="241"/>
      <c r="AG744" s="243"/>
      <c r="AH744" s="33"/>
      <c r="AI744" s="242"/>
      <c r="AJ744" s="241"/>
      <c r="AK744" s="244"/>
      <c r="AL744" s="243"/>
      <c r="AM744" s="243"/>
      <c r="AN744" s="243"/>
      <c r="AO744" s="243"/>
      <c r="AP744" s="243"/>
      <c r="AQ744" s="243"/>
      <c r="AR744" s="243"/>
      <c r="AS744" s="243"/>
      <c r="AT744" s="243"/>
      <c r="AU744" s="243"/>
      <c r="AV744" s="243"/>
      <c r="AW744" s="243"/>
      <c r="AX744" s="243"/>
      <c r="AY744" s="243"/>
      <c r="AZ744" s="243"/>
      <c r="BA744" s="243"/>
      <c r="BB744" s="243"/>
      <c r="BC744" s="243"/>
      <c r="BD744" s="243"/>
      <c r="BE744" s="243"/>
      <c r="BF744" s="243"/>
      <c r="BG744" s="243"/>
      <c r="BH744" s="243"/>
      <c r="BI744" s="243"/>
      <c r="BJ744" s="243"/>
      <c r="BK744" s="243"/>
      <c r="BL744" s="243"/>
      <c r="BM744" s="243"/>
      <c r="BN744" s="243"/>
      <c r="BO744" s="243"/>
      <c r="BP744" s="243"/>
      <c r="BQ744" s="243"/>
      <c r="BR744" s="243"/>
      <c r="BS744" s="243"/>
      <c r="BU744" s="242"/>
      <c r="BW744" s="243"/>
      <c r="BY744" s="242"/>
      <c r="CA744" s="243"/>
      <c r="CC744" s="242"/>
      <c r="CE744" s="243"/>
      <c r="CG744" s="242"/>
      <c r="CI744" s="243"/>
    </row>
    <row r="745" spans="1:87" s="1215" customFormat="1">
      <c r="A745" s="1222"/>
      <c r="B745" s="1223" t="str">
        <f t="shared" si="344"/>
        <v/>
      </c>
      <c r="C745" s="1210"/>
      <c r="D745" s="1211">
        <f>'1% Wind'!$M$90</f>
        <v>5.7</v>
      </c>
      <c r="E745" s="1212"/>
      <c r="F745" s="1212"/>
      <c r="G745" s="1213" t="e">
        <f ca="1">IF(I736=0.9743,$G744,MAX(G744/D744*D745,2))</f>
        <v>#N/A</v>
      </c>
      <c r="H745" s="1214" t="e">
        <f t="shared" ca="1" si="345"/>
        <v>#N/A</v>
      </c>
      <c r="J745" s="1224"/>
      <c r="K745" s="1217">
        <f t="shared" si="346"/>
        <v>1</v>
      </c>
      <c r="L745" s="1218" t="e">
        <f t="shared" ca="1" si="347"/>
        <v>#N/A</v>
      </c>
      <c r="M745" s="1219" t="e">
        <f ca="1">IF(AND(INDEX(FlowCalConstA,MATCH(J736,FlowCalNumber,0),1,1)*L745^INDEX(FlowCalConstB,MATCH(J736,FlowCalNumber,0),1,1)&gt;INDEX(FlowCalLowSetting,MATCH(J736,FlowCalNumber,0),1,1), (INDEX(FlowCalConstA,MATCH(J736,FlowCalNumber,0),1,1)*L745^INDEX(FlowCalConstB,MATCH(J736,FlowCalNumber,0),1,1)&lt;INDEX(FlowCalHighSetting,MATCH(J736,FlowCalNumber,0),1,1))),INDEX(FlowCalConstA,MATCH(J736,FlowCalNumber,0),1,1)*L745^INDEX(FlowCalConstB,MATCH(J736,FlowCalNumber,0),1,1)," ")</f>
        <v>#N/A</v>
      </c>
      <c r="N745" s="1224"/>
      <c r="O745" s="1217">
        <f t="shared" si="348"/>
        <v>1</v>
      </c>
      <c r="P745" s="1218" t="e">
        <f t="shared" ca="1" si="349"/>
        <v>#N/A</v>
      </c>
      <c r="Q745" s="1219" t="e">
        <f ca="1">IF(AND(INDEX(FlowCalConstA,MATCH(N736,FlowCalNumber,0),1,1)*P745^INDEX(FlowCalConstB,MATCH(N736,FlowCalNumber,0),1,1)&gt;INDEX(FlowCalLowSetting,MATCH(N736,FlowCalNumber,0),1,1), (INDEX(FlowCalConstA,MATCH(N736,FlowCalNumber,0),1,1)*P745^INDEX(FlowCalConstB,MATCH(N736,FlowCalNumber,0),1,1)&lt;INDEX(FlowCalHighSetting,MATCH(N736,FlowCalNumber,0),1,1))),INDEX(FlowCalConstA,MATCH(N736,FlowCalNumber,0),1,1)*P745^INDEX(FlowCalConstB,MATCH(N736,FlowCalNumber,0),1,1)," ")</f>
        <v>#N/A</v>
      </c>
      <c r="R745" s="1224"/>
      <c r="S745" s="1217">
        <f t="shared" si="350"/>
        <v>1</v>
      </c>
      <c r="T745" s="1218" t="e">
        <f t="shared" ca="1" si="351"/>
        <v>#N/A</v>
      </c>
      <c r="U745" s="1219" t="e">
        <f ca="1">IF(AND(INDEX(FlowCalConstA,MATCH(R736,FlowCalNumber,0),1,1)*T745^INDEX(FlowCalConstB,MATCH(R736,FlowCalNumber,0),1,1)&gt;INDEX(FlowCalLowSetting,MATCH(R736,FlowCalNumber,0),1,1), (INDEX(FlowCalConstA,MATCH(R736,FlowCalNumber,0),1,1)*T745^INDEX(FlowCalConstB,MATCH(R736,FlowCalNumber,0),1,1)&lt;INDEX(FlowCalHighSetting,MATCH(R736,FlowCalNumber,0),1,1))),INDEX(FlowCalConstA,MATCH(R736,FlowCalNumber,0),1,1)*T745^INDEX(FlowCalConstB,MATCH(R736,FlowCalNumber,0),1,1)," ")</f>
        <v>#N/A</v>
      </c>
      <c r="V745" s="1224"/>
      <c r="W745" s="1217"/>
      <c r="X745" s="1218"/>
      <c r="Y745" s="1219"/>
      <c r="Z745" s="1224"/>
      <c r="AA745" s="1217"/>
      <c r="AB745" s="1218"/>
      <c r="AC745" s="1219"/>
      <c r="AD745" s="1224"/>
      <c r="AE745" s="1217"/>
      <c r="AF745" s="1218"/>
      <c r="AG745" s="1219"/>
      <c r="AH745" s="1224"/>
      <c r="AI745" s="1217"/>
      <c r="AJ745" s="1218"/>
      <c r="AK745" s="1220"/>
      <c r="AL745" s="1219"/>
      <c r="AM745" s="1219"/>
      <c r="AN745" s="1219"/>
      <c r="AO745" s="1219"/>
      <c r="AP745" s="1219"/>
      <c r="AQ745" s="1219"/>
      <c r="AR745" s="1219"/>
      <c r="AS745" s="1219"/>
      <c r="AT745" s="1219"/>
      <c r="AU745" s="1219"/>
      <c r="AV745" s="1219"/>
      <c r="AW745" s="1219"/>
      <c r="AX745" s="1219"/>
      <c r="AY745" s="1219"/>
      <c r="AZ745" s="1219"/>
      <c r="BA745" s="1219"/>
      <c r="BB745" s="1219"/>
      <c r="BC745" s="1219"/>
      <c r="BD745" s="1219"/>
      <c r="BE745" s="1219"/>
      <c r="BF745" s="1219"/>
      <c r="BG745" s="1219"/>
      <c r="BH745" s="1219"/>
      <c r="BI745" s="1219"/>
      <c r="BJ745" s="1219"/>
      <c r="BK745" s="1219"/>
      <c r="BL745" s="1219"/>
      <c r="BM745" s="1219"/>
      <c r="BN745" s="1219"/>
      <c r="BO745" s="1219"/>
      <c r="BP745" s="1219"/>
      <c r="BQ745" s="1219"/>
      <c r="BR745" s="1219"/>
      <c r="BS745" s="1219"/>
      <c r="BU745" s="1217"/>
      <c r="BW745" s="1219"/>
      <c r="BY745" s="1217"/>
      <c r="CA745" s="1219"/>
      <c r="CC745" s="1217"/>
      <c r="CE745" s="1219"/>
      <c r="CG745" s="1217"/>
      <c r="CI745" s="1219"/>
    </row>
    <row r="746" spans="1:87">
      <c r="A746" s="20"/>
      <c r="B746" s="124" t="str">
        <f t="shared" si="344"/>
        <v/>
      </c>
      <c r="C746" s="235"/>
      <c r="D746" s="24">
        <f>'1% Wind'!$M$91</f>
        <v>4.2</v>
      </c>
      <c r="E746" s="90"/>
      <c r="F746" s="90"/>
      <c r="G746" s="79" t="e">
        <f ca="1">IF(I736=0.9743,$G745,MAX(G745/D745*D746,2))</f>
        <v>#N/A</v>
      </c>
      <c r="H746" s="121" t="e">
        <f t="shared" ca="1" si="345"/>
        <v>#N/A</v>
      </c>
      <c r="J746" s="33"/>
      <c r="K746" s="242">
        <f t="shared" si="346"/>
        <v>1</v>
      </c>
      <c r="L746" s="241" t="e">
        <f t="shared" ca="1" si="347"/>
        <v>#N/A</v>
      </c>
      <c r="M746" s="243" t="e">
        <f ca="1">IF(AND(INDEX(FlowCalConstA,MATCH(J736,FlowCalNumber,0),1,1)*L746^INDEX(FlowCalConstB,MATCH(J736,FlowCalNumber,0),1,1)&gt;INDEX(FlowCalLowSetting,MATCH(J736,FlowCalNumber,0),1,1), (INDEX(FlowCalConstA,MATCH(J736,FlowCalNumber,0),1,1)*L746^INDEX(FlowCalConstB,MATCH(J736,FlowCalNumber,0),1,1)&lt;INDEX(FlowCalHighSetting,MATCH(J736,FlowCalNumber,0),1,1))),INDEX(FlowCalConstA,MATCH(J736,FlowCalNumber,0),1,1)*L746^INDEX(FlowCalConstB,MATCH(J736,FlowCalNumber,0),1,1)," ")</f>
        <v>#N/A</v>
      </c>
      <c r="N746" s="33"/>
      <c r="O746" s="242">
        <f t="shared" si="348"/>
        <v>1</v>
      </c>
      <c r="P746" s="241" t="e">
        <f t="shared" ca="1" si="349"/>
        <v>#N/A</v>
      </c>
      <c r="Q746" s="243" t="e">
        <f ca="1">IF(AND(INDEX(FlowCalConstA,MATCH(N736,FlowCalNumber,0),1,1)*P746^INDEX(FlowCalConstB,MATCH(N736,FlowCalNumber,0),1,1)&gt;INDEX(FlowCalLowSetting,MATCH(N736,FlowCalNumber,0),1,1), (INDEX(FlowCalConstA,MATCH(N736,FlowCalNumber,0),1,1)*P746^INDEX(FlowCalConstB,MATCH(N736,FlowCalNumber,0),1,1)&lt;INDEX(FlowCalHighSetting,MATCH(N736,FlowCalNumber,0),1,1))),INDEX(FlowCalConstA,MATCH(N736,FlowCalNumber,0),1,1)*P746^INDEX(FlowCalConstB,MATCH(N736,FlowCalNumber,0),1,1)," ")</f>
        <v>#N/A</v>
      </c>
      <c r="R746" s="33"/>
      <c r="S746" s="242">
        <f t="shared" si="350"/>
        <v>1</v>
      </c>
      <c r="T746" s="241" t="e">
        <f t="shared" ca="1" si="351"/>
        <v>#N/A</v>
      </c>
      <c r="U746" s="243" t="e">
        <f ca="1">IF(AND(INDEX(FlowCalConstA,MATCH(R736,FlowCalNumber,0),1,1)*T746^INDEX(FlowCalConstB,MATCH(R736,FlowCalNumber,0),1,1)&gt;INDEX(FlowCalLowSetting,MATCH(R736,FlowCalNumber,0),1,1), (INDEX(FlowCalConstA,MATCH(R736,FlowCalNumber,0),1,1)*T746^INDEX(FlowCalConstB,MATCH(R736,FlowCalNumber,0),1,1)&lt;INDEX(FlowCalHighSetting,MATCH(R736,FlowCalNumber,0),1,1))),INDEX(FlowCalConstA,MATCH(R736,FlowCalNumber,0),1,1)*T746^INDEX(FlowCalConstB,MATCH(R736,FlowCalNumber,0),1,1)," ")</f>
        <v>#N/A</v>
      </c>
      <c r="V746" s="33"/>
      <c r="W746" s="242"/>
      <c r="X746" s="241"/>
      <c r="Y746" s="243"/>
      <c r="Z746" s="33"/>
      <c r="AA746" s="242"/>
      <c r="AB746" s="241"/>
      <c r="AC746" s="243"/>
      <c r="AD746" s="33"/>
      <c r="AE746" s="242"/>
      <c r="AF746" s="241"/>
      <c r="AG746" s="243"/>
      <c r="AH746" s="33"/>
      <c r="AI746" s="242"/>
      <c r="AJ746" s="241"/>
      <c r="AK746" s="244"/>
      <c r="AL746" s="243"/>
      <c r="AM746" s="243"/>
      <c r="AN746" s="243"/>
      <c r="AO746" s="243"/>
      <c r="AP746" s="243"/>
      <c r="AQ746" s="243"/>
      <c r="AR746" s="243"/>
      <c r="AS746" s="243"/>
      <c r="AT746" s="243"/>
      <c r="AU746" s="243"/>
      <c r="AV746" s="243"/>
      <c r="AW746" s="243"/>
      <c r="AX746" s="243"/>
      <c r="AY746" s="243"/>
      <c r="AZ746" s="243"/>
      <c r="BA746" s="243"/>
      <c r="BB746" s="243"/>
      <c r="BC746" s="243"/>
      <c r="BD746" s="243"/>
      <c r="BE746" s="243"/>
      <c r="BF746" s="243"/>
      <c r="BG746" s="243"/>
      <c r="BH746" s="243"/>
      <c r="BI746" s="243"/>
      <c r="BJ746" s="243"/>
      <c r="BK746" s="243"/>
      <c r="BL746" s="243"/>
      <c r="BM746" s="243"/>
      <c r="BN746" s="243"/>
      <c r="BO746" s="243"/>
      <c r="BP746" s="243"/>
      <c r="BQ746" s="243"/>
      <c r="BR746" s="243"/>
      <c r="BS746" s="243"/>
      <c r="BU746" s="242"/>
      <c r="BW746" s="243"/>
      <c r="BY746" s="242"/>
      <c r="CA746" s="243"/>
      <c r="CC746" s="242"/>
      <c r="CE746" s="243"/>
      <c r="CG746" s="242"/>
      <c r="CI746" s="243"/>
    </row>
    <row r="747" spans="1:87" s="1215" customFormat="1">
      <c r="A747" s="1222"/>
      <c r="B747" s="1223" t="str">
        <f t="shared" si="344"/>
        <v/>
      </c>
      <c r="C747" s="1210"/>
      <c r="D747" s="1211">
        <f>'1% Wind'!$M$92</f>
        <v>3.2</v>
      </c>
      <c r="E747" s="1212"/>
      <c r="F747" s="1212"/>
      <c r="G747" s="1213" t="e">
        <f ca="1">IF(I736=0.9743,$G746,MAX(G746/D746*D747,2))</f>
        <v>#N/A</v>
      </c>
      <c r="H747" s="1214" t="e">
        <f t="shared" ca="1" si="345"/>
        <v>#N/A</v>
      </c>
      <c r="J747" s="1224"/>
      <c r="K747" s="1217">
        <f t="shared" si="346"/>
        <v>1</v>
      </c>
      <c r="L747" s="1218" t="e">
        <f t="shared" ca="1" si="347"/>
        <v>#N/A</v>
      </c>
      <c r="M747" s="1219" t="e">
        <f ca="1">IF(AND(INDEX(FlowCalConstA,MATCH(J736,FlowCalNumber,0),1,1)*L747^INDEX(FlowCalConstB,MATCH(J736,FlowCalNumber,0),1,1)&gt;INDEX(FlowCalLowSetting,MATCH(J736,FlowCalNumber,0),1,1), (INDEX(FlowCalConstA,MATCH(J736,FlowCalNumber,0),1,1)*L747^INDEX(FlowCalConstB,MATCH(J736,FlowCalNumber,0),1,1)&lt;INDEX(FlowCalHighSetting,MATCH(J736,FlowCalNumber,0),1,1))),INDEX(FlowCalConstA,MATCH(J736,FlowCalNumber,0),1,1)*L747^INDEX(FlowCalConstB,MATCH(J736,FlowCalNumber,0),1,1)," ")</f>
        <v>#N/A</v>
      </c>
      <c r="N747" s="1224"/>
      <c r="O747" s="1217">
        <f t="shared" si="348"/>
        <v>1</v>
      </c>
      <c r="P747" s="1218" t="e">
        <f t="shared" ca="1" si="349"/>
        <v>#N/A</v>
      </c>
      <c r="Q747" s="1219" t="e">
        <f ca="1">IF(AND(INDEX(FlowCalConstA,MATCH(N736,FlowCalNumber,0),1,1)*P747^INDEX(FlowCalConstB,MATCH(N736,FlowCalNumber,0),1,1)&gt;INDEX(FlowCalLowSetting,MATCH(N736,FlowCalNumber,0),1,1), (INDEX(FlowCalConstA,MATCH(N736,FlowCalNumber,0),1,1)*P747^INDEX(FlowCalConstB,MATCH(N736,FlowCalNumber,0),1,1)&lt;INDEX(FlowCalHighSetting,MATCH(N736,FlowCalNumber,0),1,1))),INDEX(FlowCalConstA,MATCH(N736,FlowCalNumber,0),1,1)*P747^INDEX(FlowCalConstB,MATCH(N736,FlowCalNumber,0),1,1)," ")</f>
        <v>#N/A</v>
      </c>
      <c r="R747" s="1224"/>
      <c r="S747" s="1217">
        <f t="shared" si="350"/>
        <v>1</v>
      </c>
      <c r="T747" s="1218" t="e">
        <f t="shared" ca="1" si="351"/>
        <v>#N/A</v>
      </c>
      <c r="U747" s="1219" t="e">
        <f ca="1">IF(AND(INDEX(FlowCalConstA,MATCH(R736,FlowCalNumber,0),1,1)*T747^INDEX(FlowCalConstB,MATCH(R736,FlowCalNumber,0),1,1)&gt;INDEX(FlowCalLowSetting,MATCH(R736,FlowCalNumber,0),1,1), (INDEX(FlowCalConstA,MATCH(R736,FlowCalNumber,0),1,1)*T747^INDEX(FlowCalConstB,MATCH(R736,FlowCalNumber,0),1,1)&lt;INDEX(FlowCalHighSetting,MATCH(R736,FlowCalNumber,0),1,1))),INDEX(FlowCalConstA,MATCH(R736,FlowCalNumber,0),1,1)*T747^INDEX(FlowCalConstB,MATCH(R736,FlowCalNumber,0),1,1)," ")</f>
        <v>#N/A</v>
      </c>
      <c r="V747" s="1224"/>
      <c r="W747" s="1217"/>
      <c r="X747" s="1218"/>
      <c r="Y747" s="1219"/>
      <c r="Z747" s="1224"/>
      <c r="AA747" s="1217"/>
      <c r="AB747" s="1218"/>
      <c r="AC747" s="1219"/>
      <c r="AD747" s="1224"/>
      <c r="AE747" s="1217"/>
      <c r="AF747" s="1218"/>
      <c r="AG747" s="1219"/>
      <c r="AH747" s="1224"/>
      <c r="AI747" s="1217"/>
      <c r="AJ747" s="1218"/>
      <c r="AK747" s="1220"/>
      <c r="AL747" s="1219"/>
      <c r="AM747" s="1219"/>
      <c r="AN747" s="1219"/>
      <c r="AO747" s="1219"/>
      <c r="AP747" s="1219"/>
      <c r="AQ747" s="1219"/>
      <c r="AR747" s="1219"/>
      <c r="AS747" s="1219"/>
      <c r="AT747" s="1219"/>
      <c r="AU747" s="1219"/>
      <c r="AV747" s="1219"/>
      <c r="AW747" s="1219"/>
      <c r="AX747" s="1219"/>
      <c r="AY747" s="1219"/>
      <c r="AZ747" s="1219"/>
      <c r="BA747" s="1219"/>
      <c r="BB747" s="1219"/>
      <c r="BC747" s="1219"/>
      <c r="BD747" s="1219"/>
      <c r="BE747" s="1219"/>
      <c r="BF747" s="1219"/>
      <c r="BG747" s="1219"/>
      <c r="BH747" s="1219"/>
      <c r="BI747" s="1219"/>
      <c r="BJ747" s="1219"/>
      <c r="BK747" s="1219"/>
      <c r="BL747" s="1219"/>
      <c r="BM747" s="1219"/>
      <c r="BN747" s="1219"/>
      <c r="BO747" s="1219"/>
      <c r="BP747" s="1219"/>
      <c r="BQ747" s="1219"/>
      <c r="BR747" s="1219"/>
      <c r="BS747" s="1219"/>
      <c r="BU747" s="1217"/>
      <c r="BW747" s="1219"/>
      <c r="BY747" s="1217"/>
      <c r="CA747" s="1219"/>
      <c r="CC747" s="1217"/>
      <c r="CE747" s="1219"/>
      <c r="CG747" s="1217"/>
      <c r="CI747" s="1219"/>
    </row>
    <row r="748" spans="1:87">
      <c r="A748" s="20"/>
      <c r="B748" s="124" t="str">
        <f t="shared" si="344"/>
        <v/>
      </c>
      <c r="C748" s="235"/>
      <c r="D748" s="24">
        <f>'1% Wind'!$M$93</f>
        <v>2.4</v>
      </c>
      <c r="E748" s="90"/>
      <c r="F748" s="90"/>
      <c r="G748" s="79" t="e">
        <f ca="1">IF(I736=0.9743,$G747,MAX(G747/D747*D748,2))</f>
        <v>#N/A</v>
      </c>
      <c r="H748" s="121" t="e">
        <f t="shared" ca="1" si="345"/>
        <v>#N/A</v>
      </c>
      <c r="J748" s="33"/>
      <c r="K748" s="242">
        <f t="shared" si="346"/>
        <v>1</v>
      </c>
      <c r="L748" s="241" t="e">
        <f t="shared" ca="1" si="347"/>
        <v>#N/A</v>
      </c>
      <c r="M748" s="243" t="e">
        <f ca="1">IF(AND(INDEX(FlowCalConstA,MATCH(J736,FlowCalNumber,0),1,1)*L748^INDEX(FlowCalConstB,MATCH(J736,FlowCalNumber,0),1,1)&gt;INDEX(FlowCalLowSetting,MATCH(J736,FlowCalNumber,0),1,1), (INDEX(FlowCalConstA,MATCH(J736,FlowCalNumber,0),1,1)*L748^INDEX(FlowCalConstB,MATCH(J736,FlowCalNumber,0),1,1)&lt;INDEX(FlowCalHighSetting,MATCH(J736,FlowCalNumber,0),1,1))),INDEX(FlowCalConstA,MATCH(J736,FlowCalNumber,0),1,1)*L748^INDEX(FlowCalConstB,MATCH(J736,FlowCalNumber,0),1,1)," ")</f>
        <v>#N/A</v>
      </c>
      <c r="N748" s="33"/>
      <c r="O748" s="242">
        <f t="shared" si="348"/>
        <v>1</v>
      </c>
      <c r="P748" s="241" t="e">
        <f t="shared" ca="1" si="349"/>
        <v>#N/A</v>
      </c>
      <c r="Q748" s="243" t="e">
        <f ca="1">IF(AND(INDEX(FlowCalConstA,MATCH(N736,FlowCalNumber,0),1,1)*P748^INDEX(FlowCalConstB,MATCH(N736,FlowCalNumber,0),1,1)&gt;INDEX(FlowCalLowSetting,MATCH(N736,FlowCalNumber,0),1,1), (INDEX(FlowCalConstA,MATCH(N736,FlowCalNumber,0),1,1)*P748^INDEX(FlowCalConstB,MATCH(N736,FlowCalNumber,0),1,1)&lt;INDEX(FlowCalHighSetting,MATCH(N736,FlowCalNumber,0),1,1))),INDEX(FlowCalConstA,MATCH(N736,FlowCalNumber,0),1,1)*P748^INDEX(FlowCalConstB,MATCH(N736,FlowCalNumber,0),1,1)," ")</f>
        <v>#N/A</v>
      </c>
      <c r="R748" s="33"/>
      <c r="S748" s="242">
        <f t="shared" si="350"/>
        <v>1</v>
      </c>
      <c r="T748" s="241" t="e">
        <f t="shared" ca="1" si="351"/>
        <v>#N/A</v>
      </c>
      <c r="U748" s="243" t="e">
        <f ca="1">IF(AND(INDEX(FlowCalConstA,MATCH(R736,FlowCalNumber,0),1,1)*T748^INDEX(FlowCalConstB,MATCH(R736,FlowCalNumber,0),1,1)&gt;INDEX(FlowCalLowSetting,MATCH(R736,FlowCalNumber,0),1,1), (INDEX(FlowCalConstA,MATCH(R736,FlowCalNumber,0),1,1)*T748^INDEX(FlowCalConstB,MATCH(R736,FlowCalNumber,0),1,1)&lt;INDEX(FlowCalHighSetting,MATCH(R736,FlowCalNumber,0),1,1))),INDEX(FlowCalConstA,MATCH(R736,FlowCalNumber,0),1,1)*T748^INDEX(FlowCalConstB,MATCH(R736,FlowCalNumber,0),1,1)," ")</f>
        <v>#N/A</v>
      </c>
      <c r="V748" s="33"/>
      <c r="W748" s="242"/>
      <c r="X748" s="241"/>
      <c r="Y748" s="243"/>
      <c r="Z748" s="33"/>
      <c r="AA748" s="242"/>
      <c r="AB748" s="241"/>
      <c r="AC748" s="243"/>
      <c r="AD748" s="33"/>
      <c r="AE748" s="242"/>
      <c r="AF748" s="241"/>
      <c r="AG748" s="243"/>
      <c r="AH748" s="33"/>
      <c r="AI748" s="242"/>
      <c r="AJ748" s="241"/>
      <c r="AK748" s="244"/>
      <c r="AL748" s="243"/>
      <c r="AM748" s="243"/>
      <c r="AN748" s="243"/>
      <c r="AO748" s="243"/>
      <c r="AP748" s="243"/>
      <c r="AQ748" s="243"/>
      <c r="AR748" s="243"/>
      <c r="AS748" s="243"/>
      <c r="AT748" s="243"/>
      <c r="AU748" s="243"/>
      <c r="AV748" s="243"/>
      <c r="AW748" s="243"/>
      <c r="AX748" s="243"/>
      <c r="AY748" s="243"/>
      <c r="AZ748" s="243"/>
      <c r="BA748" s="243"/>
      <c r="BB748" s="243"/>
      <c r="BC748" s="243"/>
      <c r="BD748" s="243"/>
      <c r="BE748" s="243"/>
      <c r="BF748" s="243"/>
      <c r="BG748" s="243"/>
      <c r="BH748" s="243"/>
      <c r="BI748" s="243"/>
      <c r="BJ748" s="243"/>
      <c r="BK748" s="243"/>
      <c r="BL748" s="243"/>
      <c r="BM748" s="243"/>
      <c r="BN748" s="243"/>
      <c r="BO748" s="243"/>
      <c r="BP748" s="243"/>
      <c r="BQ748" s="243"/>
      <c r="BR748" s="243"/>
      <c r="BS748" s="243"/>
      <c r="BU748" s="242"/>
      <c r="BW748" s="243"/>
      <c r="BY748" s="242"/>
      <c r="CA748" s="243"/>
      <c r="CC748" s="242"/>
      <c r="CE748" s="243"/>
      <c r="CG748" s="242"/>
      <c r="CI748" s="243"/>
    </row>
    <row r="749" spans="1:87" s="1215" customFormat="1">
      <c r="A749" s="1222"/>
      <c r="B749" s="1223" t="str">
        <f t="shared" si="344"/>
        <v/>
      </c>
      <c r="C749" s="1210"/>
      <c r="D749" s="1211">
        <f>'1% Wind'!$M$94</f>
        <v>1.8</v>
      </c>
      <c r="E749" s="1212"/>
      <c r="F749" s="1212"/>
      <c r="G749" s="1213" t="e">
        <f ca="1">IF(I736=0.9743,$G748,MAX(G748/D748*D749,2))</f>
        <v>#N/A</v>
      </c>
      <c r="H749" s="1214" t="e">
        <f t="shared" ca="1" si="345"/>
        <v>#N/A</v>
      </c>
      <c r="J749" s="1224"/>
      <c r="K749" s="1217">
        <f t="shared" si="346"/>
        <v>1</v>
      </c>
      <c r="L749" s="1218" t="e">
        <f t="shared" ca="1" si="347"/>
        <v>#N/A</v>
      </c>
      <c r="M749" s="1219" t="e">
        <f ca="1">IF(AND(INDEX(FlowCalConstA,MATCH(J736,FlowCalNumber,0),1,1)*L749^INDEX(FlowCalConstB,MATCH(J736,FlowCalNumber,0),1,1)&gt;INDEX(FlowCalLowSetting,MATCH(J736,FlowCalNumber,0),1,1), (INDEX(FlowCalConstA,MATCH(J736,FlowCalNumber,0),1,1)*L749^INDEX(FlowCalConstB,MATCH(J736,FlowCalNumber,0),1,1)&lt;INDEX(FlowCalHighSetting,MATCH(J736,FlowCalNumber,0),1,1))),INDEX(FlowCalConstA,MATCH(J736,FlowCalNumber,0),1,1)*L749^INDEX(FlowCalConstB,MATCH(J736,FlowCalNumber,0),1,1)," ")</f>
        <v>#N/A</v>
      </c>
      <c r="N749" s="1224"/>
      <c r="O749" s="1217">
        <f t="shared" si="348"/>
        <v>1</v>
      </c>
      <c r="P749" s="1218" t="e">
        <f t="shared" ca="1" si="349"/>
        <v>#N/A</v>
      </c>
      <c r="Q749" s="1219" t="e">
        <f ca="1">IF(AND(INDEX(FlowCalConstA,MATCH(N736,FlowCalNumber,0),1,1)*P749^INDEX(FlowCalConstB,MATCH(N736,FlowCalNumber,0),1,1)&gt;INDEX(FlowCalLowSetting,MATCH(N736,FlowCalNumber,0),1,1), (INDEX(FlowCalConstA,MATCH(N736,FlowCalNumber,0),1,1)*P749^INDEX(FlowCalConstB,MATCH(N736,FlowCalNumber,0),1,1)&lt;INDEX(FlowCalHighSetting,MATCH(N736,FlowCalNumber,0),1,1))),INDEX(FlowCalConstA,MATCH(N736,FlowCalNumber,0),1,1)*P749^INDEX(FlowCalConstB,MATCH(N736,FlowCalNumber,0),1,1)," ")</f>
        <v>#N/A</v>
      </c>
      <c r="R749" s="1224"/>
      <c r="S749" s="1217">
        <f t="shared" si="350"/>
        <v>1</v>
      </c>
      <c r="T749" s="1218" t="e">
        <f t="shared" ca="1" si="351"/>
        <v>#N/A</v>
      </c>
      <c r="U749" s="1219" t="e">
        <f ca="1">IF(AND(INDEX(FlowCalConstA,MATCH(R736,FlowCalNumber,0),1,1)*T749^INDEX(FlowCalConstB,MATCH(R736,FlowCalNumber,0),1,1)&gt;INDEX(FlowCalLowSetting,MATCH(R736,FlowCalNumber,0),1,1), (INDEX(FlowCalConstA,MATCH(R736,FlowCalNumber,0),1,1)*T749^INDEX(FlowCalConstB,MATCH(R736,FlowCalNumber,0),1,1)&lt;INDEX(FlowCalHighSetting,MATCH(R736,FlowCalNumber,0),1,1))),INDEX(FlowCalConstA,MATCH(R736,FlowCalNumber,0),1,1)*T749^INDEX(FlowCalConstB,MATCH(R736,FlowCalNumber,0),1,1)," ")</f>
        <v>#N/A</v>
      </c>
      <c r="V749" s="1224"/>
      <c r="W749" s="1217"/>
      <c r="X749" s="1218"/>
      <c r="Y749" s="1219"/>
      <c r="Z749" s="1224"/>
      <c r="AA749" s="1217"/>
      <c r="AB749" s="1218"/>
      <c r="AC749" s="1219"/>
      <c r="AD749" s="1224"/>
      <c r="AE749" s="1217"/>
      <c r="AF749" s="1218"/>
      <c r="AG749" s="1219"/>
      <c r="AH749" s="1224"/>
      <c r="AI749" s="1217"/>
      <c r="AJ749" s="1218"/>
      <c r="AK749" s="1220"/>
      <c r="AL749" s="1219"/>
      <c r="AM749" s="1219"/>
      <c r="AN749" s="1219"/>
      <c r="AO749" s="1219"/>
      <c r="AP749" s="1219"/>
      <c r="AQ749" s="1219"/>
      <c r="AR749" s="1219"/>
      <c r="AS749" s="1219"/>
      <c r="AT749" s="1219"/>
      <c r="AU749" s="1219"/>
      <c r="AV749" s="1219"/>
      <c r="AW749" s="1219"/>
      <c r="AX749" s="1219"/>
      <c r="AY749" s="1219"/>
      <c r="AZ749" s="1219"/>
      <c r="BA749" s="1219"/>
      <c r="BB749" s="1219"/>
      <c r="BC749" s="1219"/>
      <c r="BD749" s="1219"/>
      <c r="BE749" s="1219"/>
      <c r="BF749" s="1219"/>
      <c r="BG749" s="1219"/>
      <c r="BH749" s="1219"/>
      <c r="BI749" s="1219"/>
      <c r="BJ749" s="1219"/>
      <c r="BK749" s="1219"/>
      <c r="BL749" s="1219"/>
      <c r="BM749" s="1219"/>
      <c r="BN749" s="1219"/>
      <c r="BO749" s="1219"/>
      <c r="BP749" s="1219"/>
      <c r="BQ749" s="1219"/>
      <c r="BR749" s="1219"/>
      <c r="BS749" s="1219"/>
      <c r="BU749" s="1217"/>
      <c r="BW749" s="1219"/>
      <c r="BY749" s="1217"/>
      <c r="CA749" s="1219"/>
      <c r="CC749" s="1217"/>
      <c r="CE749" s="1219"/>
      <c r="CG749" s="1217"/>
      <c r="CI749" s="1219"/>
    </row>
    <row r="750" spans="1:87">
      <c r="A750" s="20"/>
      <c r="B750" s="124" t="str">
        <f t="shared" si="344"/>
        <v/>
      </c>
      <c r="C750" s="235"/>
      <c r="D750" s="24">
        <f>'1% Wind'!$M$95</f>
        <v>1.3</v>
      </c>
      <c r="E750" s="90"/>
      <c r="F750" s="90"/>
      <c r="G750" s="79" t="e">
        <f ca="1">IF(I736=0.9743,$G749,MAX(G749/D749*D750,2))</f>
        <v>#N/A</v>
      </c>
      <c r="H750" s="121" t="e">
        <f t="shared" ca="1" si="345"/>
        <v>#N/A</v>
      </c>
      <c r="J750" s="33"/>
      <c r="K750" s="242">
        <f t="shared" si="346"/>
        <v>1</v>
      </c>
      <c r="L750" s="241" t="e">
        <f t="shared" ca="1" si="347"/>
        <v>#N/A</v>
      </c>
      <c r="M750" s="243" t="e">
        <f ca="1">IF(AND(INDEX(FlowCalConstA,MATCH(J736,FlowCalNumber,0),1,1)*L750^INDEX(FlowCalConstB,MATCH(J736,FlowCalNumber,0),1,1)&gt;INDEX(FlowCalLowSetting,MATCH(J736,FlowCalNumber,0),1,1), (INDEX(FlowCalConstA,MATCH(J736,FlowCalNumber,0),1,1)*L750^INDEX(FlowCalConstB,MATCH(J736,FlowCalNumber,0),1,1)&lt;INDEX(FlowCalHighSetting,MATCH(J736,FlowCalNumber,0),1,1))),INDEX(FlowCalConstA,MATCH(J736,FlowCalNumber,0),1,1)*L750^INDEX(FlowCalConstB,MATCH(J736,FlowCalNumber,0),1,1)," ")</f>
        <v>#N/A</v>
      </c>
      <c r="N750" s="33"/>
      <c r="O750" s="242">
        <f t="shared" si="348"/>
        <v>1</v>
      </c>
      <c r="P750" s="241" t="e">
        <f t="shared" ca="1" si="349"/>
        <v>#N/A</v>
      </c>
      <c r="Q750" s="243" t="e">
        <f ca="1">IF(AND(INDEX(FlowCalConstA,MATCH(N736,FlowCalNumber,0),1,1)*P750^INDEX(FlowCalConstB,MATCH(N736,FlowCalNumber,0),1,1)&gt;INDEX(FlowCalLowSetting,MATCH(N736,FlowCalNumber,0),1,1), (INDEX(FlowCalConstA,MATCH(N736,FlowCalNumber,0),1,1)*P750^INDEX(FlowCalConstB,MATCH(N736,FlowCalNumber,0),1,1)&lt;INDEX(FlowCalHighSetting,MATCH(N736,FlowCalNumber,0),1,1))),INDEX(FlowCalConstA,MATCH(N736,FlowCalNumber,0),1,1)*P750^INDEX(FlowCalConstB,MATCH(N736,FlowCalNumber,0),1,1)," ")</f>
        <v>#N/A</v>
      </c>
      <c r="R750" s="33"/>
      <c r="S750" s="242">
        <f t="shared" si="350"/>
        <v>1</v>
      </c>
      <c r="T750" s="241" t="e">
        <f t="shared" ca="1" si="351"/>
        <v>#N/A</v>
      </c>
      <c r="U750" s="243" t="e">
        <f ca="1">IF(AND(INDEX(FlowCalConstA,MATCH(R736,FlowCalNumber,0),1,1)*T750^INDEX(FlowCalConstB,MATCH(R736,FlowCalNumber,0),1,1)&gt;INDEX(FlowCalLowSetting,MATCH(R736,FlowCalNumber,0),1,1), (INDEX(FlowCalConstA,MATCH(R736,FlowCalNumber,0),1,1)*T750^INDEX(FlowCalConstB,MATCH(R736,FlowCalNumber,0),1,1)&lt;INDEX(FlowCalHighSetting,MATCH(R736,FlowCalNumber,0),1,1))),INDEX(FlowCalConstA,MATCH(R736,FlowCalNumber,0),1,1)*T750^INDEX(FlowCalConstB,MATCH(R736,FlowCalNumber,0),1,1)," ")</f>
        <v>#N/A</v>
      </c>
      <c r="V750" s="33"/>
      <c r="W750" s="242"/>
      <c r="X750" s="241"/>
      <c r="Y750" s="243"/>
      <c r="Z750" s="33"/>
      <c r="AA750" s="242"/>
      <c r="AB750" s="241"/>
      <c r="AC750" s="243"/>
      <c r="AD750" s="33"/>
      <c r="AE750" s="242"/>
      <c r="AF750" s="241"/>
      <c r="AG750" s="243"/>
      <c r="AH750" s="33"/>
      <c r="AI750" s="242"/>
      <c r="AJ750" s="241"/>
      <c r="AK750" s="244"/>
      <c r="AL750" s="243"/>
      <c r="AM750" s="243"/>
      <c r="AN750" s="243"/>
      <c r="AO750" s="243"/>
      <c r="AP750" s="243"/>
      <c r="AQ750" s="243"/>
      <c r="AR750" s="243"/>
      <c r="AS750" s="243"/>
      <c r="AT750" s="243"/>
      <c r="AU750" s="243"/>
      <c r="AV750" s="243"/>
      <c r="AW750" s="243"/>
      <c r="AX750" s="243"/>
      <c r="AY750" s="243"/>
      <c r="AZ750" s="243"/>
      <c r="BA750" s="243"/>
      <c r="BB750" s="243"/>
      <c r="BC750" s="243"/>
      <c r="BD750" s="243"/>
      <c r="BE750" s="243"/>
      <c r="BF750" s="243"/>
      <c r="BG750" s="243"/>
      <c r="BH750" s="243"/>
      <c r="BI750" s="243"/>
      <c r="BJ750" s="243"/>
      <c r="BK750" s="243"/>
      <c r="BL750" s="243"/>
      <c r="BM750" s="243"/>
      <c r="BN750" s="243"/>
      <c r="BO750" s="243"/>
      <c r="BP750" s="243"/>
      <c r="BQ750" s="243"/>
      <c r="BR750" s="243"/>
      <c r="BS750" s="243"/>
      <c r="BU750" s="242"/>
      <c r="BW750" s="243"/>
      <c r="BY750" s="242"/>
      <c r="CA750" s="243"/>
      <c r="CC750" s="242"/>
      <c r="CE750" s="243"/>
      <c r="CG750" s="242"/>
      <c r="CI750" s="243"/>
    </row>
    <row r="751" spans="1:87" s="1215" customFormat="1">
      <c r="A751" s="1222"/>
      <c r="B751" s="1223" t="str">
        <f t="shared" si="344"/>
        <v/>
      </c>
      <c r="C751" s="1210"/>
      <c r="D751" s="1211">
        <f>'1% Wind'!$M$96</f>
        <v>1</v>
      </c>
      <c r="E751" s="1212"/>
      <c r="F751" s="1212"/>
      <c r="G751" s="1213" t="e">
        <f ca="1">IF(I736=0.9743,$G750,MAX(G750/D750*D751,2))</f>
        <v>#N/A</v>
      </c>
      <c r="H751" s="1214" t="e">
        <f t="shared" ca="1" si="345"/>
        <v>#N/A</v>
      </c>
      <c r="J751" s="1224"/>
      <c r="K751" s="1217">
        <f t="shared" si="346"/>
        <v>1</v>
      </c>
      <c r="L751" s="1218" t="e">
        <f t="shared" ca="1" si="347"/>
        <v>#N/A</v>
      </c>
      <c r="M751" s="1219" t="e">
        <f ca="1">IF(AND(INDEX(FlowCalConstA,MATCH(J736,FlowCalNumber,0),1,1)*L751^INDEX(FlowCalConstB,MATCH(J736,FlowCalNumber,0),1,1)&gt;INDEX(FlowCalLowSetting,MATCH(J736,FlowCalNumber,0),1,1), (INDEX(FlowCalConstA,MATCH(J736,FlowCalNumber,0),1,1)*L751^INDEX(FlowCalConstB,MATCH(J736,FlowCalNumber,0),1,1)&lt;INDEX(FlowCalHighSetting,MATCH(J736,FlowCalNumber,0),1,1))),INDEX(FlowCalConstA,MATCH(J736,FlowCalNumber,0),1,1)*L751^INDEX(FlowCalConstB,MATCH(J736,FlowCalNumber,0),1,1)," ")</f>
        <v>#N/A</v>
      </c>
      <c r="N751" s="1224"/>
      <c r="O751" s="1217">
        <f t="shared" si="348"/>
        <v>1</v>
      </c>
      <c r="P751" s="1218" t="e">
        <f t="shared" ca="1" si="349"/>
        <v>#N/A</v>
      </c>
      <c r="Q751" s="1219" t="e">
        <f ca="1">IF(AND(INDEX(FlowCalConstA,MATCH(N736,FlowCalNumber,0),1,1)*P751^INDEX(FlowCalConstB,MATCH(N736,FlowCalNumber,0),1,1)&gt;INDEX(FlowCalLowSetting,MATCH(N736,FlowCalNumber,0),1,1), (INDEX(FlowCalConstA,MATCH(N736,FlowCalNumber,0),1,1)*P751^INDEX(FlowCalConstB,MATCH(N736,FlowCalNumber,0),1,1)&lt;INDEX(FlowCalHighSetting,MATCH(N736,FlowCalNumber,0),1,1))),INDEX(FlowCalConstA,MATCH(N736,FlowCalNumber,0),1,1)*P751^INDEX(FlowCalConstB,MATCH(N736,FlowCalNumber,0),1,1)," ")</f>
        <v>#N/A</v>
      </c>
      <c r="R751" s="1224"/>
      <c r="S751" s="1217">
        <f t="shared" si="350"/>
        <v>1</v>
      </c>
      <c r="T751" s="1218" t="e">
        <f t="shared" ca="1" si="351"/>
        <v>#N/A</v>
      </c>
      <c r="U751" s="1219" t="e">
        <f ca="1">IF(AND(INDEX(FlowCalConstA,MATCH(R736,FlowCalNumber,0),1,1)*T751^INDEX(FlowCalConstB,MATCH(R736,FlowCalNumber,0),1,1)&gt;INDEX(FlowCalLowSetting,MATCH(R736,FlowCalNumber,0),1,1), (INDEX(FlowCalConstA,MATCH(R736,FlowCalNumber,0),1,1)*T751^INDEX(FlowCalConstB,MATCH(R736,FlowCalNumber,0),1,1)&lt;INDEX(FlowCalHighSetting,MATCH(R736,FlowCalNumber,0),1,1))),INDEX(FlowCalConstA,MATCH(R736,FlowCalNumber,0),1,1)*T751^INDEX(FlowCalConstB,MATCH(R736,FlowCalNumber,0),1,1)," ")</f>
        <v>#N/A</v>
      </c>
      <c r="V751" s="1224"/>
      <c r="W751" s="1217"/>
      <c r="X751" s="1218"/>
      <c r="Y751" s="1219"/>
      <c r="Z751" s="1224"/>
      <c r="AA751" s="1217"/>
      <c r="AB751" s="1218"/>
      <c r="AC751" s="1219"/>
      <c r="AD751" s="1224"/>
      <c r="AE751" s="1217"/>
      <c r="AF751" s="1218"/>
      <c r="AG751" s="1219"/>
      <c r="AH751" s="1224"/>
      <c r="AI751" s="1217"/>
      <c r="AJ751" s="1218"/>
      <c r="AK751" s="1220"/>
      <c r="AL751" s="1219"/>
      <c r="AM751" s="1219"/>
      <c r="AN751" s="1219"/>
      <c r="AO751" s="1219"/>
      <c r="AP751" s="1219"/>
      <c r="AQ751" s="1219"/>
      <c r="AR751" s="1219"/>
      <c r="AS751" s="1219"/>
      <c r="AT751" s="1219"/>
      <c r="AU751" s="1219"/>
      <c r="AV751" s="1219"/>
      <c r="AW751" s="1219"/>
      <c r="AX751" s="1219"/>
      <c r="AY751" s="1219"/>
      <c r="AZ751" s="1219"/>
      <c r="BA751" s="1219"/>
      <c r="BB751" s="1219"/>
      <c r="BC751" s="1219"/>
      <c r="BD751" s="1219"/>
      <c r="BE751" s="1219"/>
      <c r="BF751" s="1219"/>
      <c r="BG751" s="1219"/>
      <c r="BH751" s="1219"/>
      <c r="BI751" s="1219"/>
      <c r="BJ751" s="1219"/>
      <c r="BK751" s="1219"/>
      <c r="BL751" s="1219"/>
      <c r="BM751" s="1219"/>
      <c r="BN751" s="1219"/>
      <c r="BO751" s="1219"/>
      <c r="BP751" s="1219"/>
      <c r="BQ751" s="1219"/>
      <c r="BR751" s="1219"/>
      <c r="BS751" s="1219"/>
      <c r="BU751" s="1217"/>
      <c r="BW751" s="1219"/>
      <c r="BY751" s="1217"/>
      <c r="CA751" s="1219"/>
      <c r="CC751" s="1217"/>
      <c r="CE751" s="1219"/>
      <c r="CG751" s="1217"/>
      <c r="CI751" s="1219"/>
    </row>
    <row r="752" spans="1:87">
      <c r="J752" s="5"/>
      <c r="M752" s="944"/>
      <c r="N752" s="5"/>
      <c r="Q752" s="944"/>
      <c r="R752" s="5"/>
      <c r="U752" s="944"/>
      <c r="V752" s="5"/>
      <c r="Y752" s="944"/>
      <c r="Z752" s="960"/>
      <c r="AC752" s="944"/>
      <c r="AD752" s="5"/>
      <c r="AG752" s="944"/>
      <c r="AH752" s="960"/>
      <c r="AK752" s="944"/>
    </row>
    <row r="753" spans="11:37">
      <c r="K753" s="260"/>
      <c r="L753" s="241"/>
      <c r="M753" s="243"/>
      <c r="O753" s="260"/>
      <c r="P753" s="241"/>
      <c r="Q753" s="243"/>
      <c r="S753" s="260"/>
      <c r="T753" s="241"/>
      <c r="U753" s="243"/>
      <c r="W753" s="260"/>
      <c r="X753" s="241"/>
      <c r="Y753" s="243"/>
      <c r="AA753" s="260"/>
      <c r="AB753" s="241"/>
      <c r="AC753" s="243"/>
      <c r="AE753" s="260"/>
      <c r="AF753" s="241"/>
      <c r="AG753" s="243"/>
      <c r="AI753" s="260"/>
      <c r="AJ753" s="241"/>
      <c r="AK753" s="243"/>
    </row>
    <row r="754" spans="11:37">
      <c r="K754" s="242"/>
      <c r="L754" s="241"/>
      <c r="M754" s="243"/>
      <c r="O754" s="242"/>
      <c r="P754" s="241"/>
      <c r="Q754" s="243"/>
      <c r="S754" s="242"/>
      <c r="T754" s="241"/>
      <c r="U754" s="243"/>
      <c r="W754" s="242"/>
      <c r="X754" s="241"/>
      <c r="Y754" s="243"/>
      <c r="AA754" s="242"/>
      <c r="AB754" s="241"/>
      <c r="AC754" s="243"/>
      <c r="AE754" s="242"/>
      <c r="AF754" s="241"/>
      <c r="AG754" s="243"/>
      <c r="AI754" s="242"/>
      <c r="AJ754" s="241"/>
      <c r="AK754" s="243"/>
    </row>
    <row r="755" spans="11:37">
      <c r="K755" s="242"/>
      <c r="L755" s="241"/>
      <c r="M755" s="243"/>
      <c r="O755" s="242"/>
      <c r="P755" s="241"/>
      <c r="Q755" s="243"/>
      <c r="S755" s="242"/>
      <c r="T755" s="241"/>
      <c r="U755" s="243"/>
      <c r="W755" s="242"/>
      <c r="X755" s="241"/>
      <c r="Y755" s="243"/>
      <c r="AA755" s="242"/>
      <c r="AB755" s="241"/>
      <c r="AC755" s="243"/>
      <c r="AE755" s="242"/>
      <c r="AF755" s="241"/>
      <c r="AG755" s="243"/>
      <c r="AI755" s="242"/>
      <c r="AJ755" s="241"/>
      <c r="AK755" s="243"/>
    </row>
    <row r="756" spans="11:37">
      <c r="K756" s="242"/>
      <c r="L756" s="241"/>
      <c r="M756" s="243"/>
      <c r="O756" s="242"/>
      <c r="P756" s="241"/>
      <c r="Q756" s="243"/>
      <c r="S756" s="242"/>
      <c r="T756" s="241"/>
      <c r="U756" s="243"/>
      <c r="W756" s="242"/>
      <c r="X756" s="241"/>
      <c r="Y756" s="243"/>
      <c r="AA756" s="242"/>
      <c r="AB756" s="241"/>
      <c r="AC756" s="243"/>
      <c r="AE756" s="242"/>
      <c r="AF756" s="241"/>
      <c r="AG756" s="243"/>
      <c r="AI756" s="242"/>
      <c r="AJ756" s="241"/>
      <c r="AK756" s="243"/>
    </row>
    <row r="757" spans="11:37">
      <c r="K757" s="242"/>
      <c r="L757" s="241"/>
      <c r="M757" s="243"/>
      <c r="O757" s="242"/>
      <c r="P757" s="241"/>
      <c r="Q757" s="243"/>
      <c r="S757" s="242"/>
      <c r="T757" s="241"/>
      <c r="U757" s="243"/>
      <c r="W757" s="242"/>
      <c r="X757" s="241"/>
      <c r="Y757" s="243"/>
      <c r="AA757" s="242"/>
      <c r="AB757" s="241"/>
      <c r="AC757" s="243"/>
      <c r="AE757" s="242"/>
      <c r="AF757" s="241"/>
      <c r="AG757" s="243"/>
      <c r="AI757" s="242"/>
      <c r="AJ757" s="241"/>
      <c r="AK757" s="243"/>
    </row>
    <row r="758" spans="11:37">
      <c r="K758" s="242"/>
      <c r="L758" s="241"/>
      <c r="M758" s="243"/>
      <c r="O758" s="242"/>
      <c r="P758" s="241"/>
      <c r="Q758" s="243"/>
      <c r="S758" s="242"/>
      <c r="T758" s="241"/>
      <c r="U758" s="243"/>
      <c r="W758" s="242"/>
      <c r="X758" s="241"/>
      <c r="Y758" s="243"/>
      <c r="AA758" s="242"/>
      <c r="AB758" s="241"/>
      <c r="AC758" s="243"/>
      <c r="AE758" s="242"/>
      <c r="AF758" s="241"/>
      <c r="AG758" s="243"/>
      <c r="AI758" s="242"/>
      <c r="AJ758" s="241"/>
      <c r="AK758" s="243"/>
    </row>
    <row r="759" spans="11:37">
      <c r="K759" s="242"/>
      <c r="L759" s="241"/>
      <c r="M759" s="243"/>
      <c r="O759" s="242"/>
      <c r="P759" s="241"/>
      <c r="Q759" s="243"/>
      <c r="S759" s="242"/>
      <c r="T759" s="241"/>
      <c r="U759" s="243"/>
      <c r="W759" s="242"/>
      <c r="X759" s="241"/>
      <c r="Y759" s="243"/>
      <c r="AA759" s="242"/>
      <c r="AB759" s="241"/>
      <c r="AC759" s="243"/>
      <c r="AE759" s="242"/>
      <c r="AF759" s="241"/>
      <c r="AG759" s="243"/>
      <c r="AI759" s="242"/>
      <c r="AJ759" s="241"/>
      <c r="AK759" s="243"/>
    </row>
    <row r="760" spans="11:37">
      <c r="K760" s="242"/>
      <c r="L760" s="241"/>
      <c r="M760" s="243"/>
      <c r="O760" s="242"/>
      <c r="P760" s="241"/>
      <c r="Q760" s="243"/>
      <c r="S760" s="242"/>
      <c r="T760" s="241"/>
      <c r="U760" s="243"/>
      <c r="W760" s="242"/>
      <c r="X760" s="241"/>
      <c r="Y760" s="243"/>
      <c r="AA760" s="242"/>
      <c r="AB760" s="241"/>
      <c r="AC760" s="243"/>
      <c r="AE760" s="242"/>
      <c r="AF760" s="241"/>
      <c r="AG760" s="243"/>
      <c r="AI760" s="242"/>
      <c r="AJ760" s="241"/>
      <c r="AK760" s="243"/>
    </row>
    <row r="761" spans="11:37">
      <c r="K761" s="242"/>
      <c r="L761" s="241"/>
      <c r="M761" s="243"/>
      <c r="O761" s="242"/>
      <c r="P761" s="241"/>
      <c r="Q761" s="243"/>
      <c r="S761" s="242"/>
      <c r="T761" s="241"/>
      <c r="U761" s="243"/>
      <c r="W761" s="242"/>
      <c r="X761" s="241"/>
      <c r="Y761" s="243"/>
      <c r="AA761" s="242"/>
      <c r="AB761" s="241"/>
      <c r="AC761" s="243"/>
      <c r="AE761" s="242"/>
      <c r="AF761" s="241"/>
      <c r="AG761" s="243"/>
      <c r="AI761" s="242"/>
      <c r="AJ761" s="241"/>
      <c r="AK761" s="243"/>
    </row>
    <row r="762" spans="11:37">
      <c r="K762" s="242"/>
      <c r="L762" s="241"/>
      <c r="M762" s="243"/>
      <c r="O762" s="242"/>
      <c r="P762" s="241"/>
      <c r="Q762" s="243"/>
      <c r="S762" s="242"/>
      <c r="T762" s="241"/>
      <c r="U762" s="243"/>
      <c r="W762" s="242"/>
      <c r="X762" s="241"/>
      <c r="Y762" s="243"/>
      <c r="AA762" s="242"/>
      <c r="AB762" s="241"/>
      <c r="AC762" s="243"/>
      <c r="AE762" s="242"/>
      <c r="AF762" s="241"/>
      <c r="AG762" s="243"/>
      <c r="AI762" s="242"/>
      <c r="AJ762" s="241"/>
      <c r="AK762" s="243"/>
    </row>
    <row r="763" spans="11:37">
      <c r="K763" s="242"/>
      <c r="L763" s="241"/>
      <c r="M763" s="243"/>
      <c r="O763" s="242"/>
      <c r="P763" s="241"/>
      <c r="Q763" s="243"/>
      <c r="S763" s="242"/>
      <c r="T763" s="241"/>
      <c r="U763" s="243"/>
      <c r="W763" s="242"/>
      <c r="X763" s="241"/>
      <c r="Y763" s="243"/>
      <c r="AA763" s="242"/>
      <c r="AB763" s="241"/>
      <c r="AC763" s="243"/>
      <c r="AE763" s="242"/>
      <c r="AF763" s="241"/>
      <c r="AG763" s="243"/>
      <c r="AI763" s="242"/>
      <c r="AJ763" s="241"/>
      <c r="AK763" s="243"/>
    </row>
    <row r="764" spans="11:37">
      <c r="K764" s="242"/>
      <c r="L764" s="241"/>
      <c r="M764" s="243"/>
      <c r="O764" s="242"/>
      <c r="P764" s="241"/>
      <c r="Q764" s="243"/>
      <c r="S764" s="242"/>
      <c r="T764" s="241"/>
      <c r="U764" s="243"/>
      <c r="W764" s="242"/>
      <c r="X764" s="241"/>
      <c r="Y764" s="243"/>
      <c r="AA764" s="242"/>
      <c r="AB764" s="241"/>
      <c r="AC764" s="243"/>
      <c r="AE764" s="242"/>
      <c r="AF764" s="241"/>
      <c r="AG764" s="243"/>
      <c r="AI764" s="242"/>
      <c r="AJ764" s="241"/>
      <c r="AK764" s="243"/>
    </row>
    <row r="765" spans="11:37">
      <c r="K765" s="242"/>
      <c r="L765" s="241"/>
      <c r="M765" s="243"/>
      <c r="O765" s="242"/>
      <c r="P765" s="241"/>
      <c r="Q765" s="243"/>
      <c r="S765" s="242"/>
      <c r="T765" s="241"/>
      <c r="U765" s="243"/>
      <c r="W765" s="242"/>
      <c r="X765" s="241"/>
      <c r="Y765" s="243"/>
      <c r="AA765" s="242"/>
      <c r="AB765" s="241"/>
      <c r="AC765" s="243"/>
      <c r="AE765" s="242"/>
      <c r="AF765" s="241"/>
      <c r="AG765" s="243"/>
      <c r="AI765" s="242"/>
      <c r="AJ765" s="241"/>
      <c r="AK765" s="243"/>
    </row>
    <row r="766" spans="11:37">
      <c r="K766" s="242"/>
      <c r="L766" s="241"/>
      <c r="M766" s="243"/>
      <c r="O766" s="242"/>
      <c r="P766" s="241"/>
      <c r="Q766" s="243"/>
      <c r="S766" s="242"/>
      <c r="T766" s="241"/>
      <c r="U766" s="243"/>
      <c r="W766" s="242"/>
      <c r="X766" s="241"/>
      <c r="Y766" s="243"/>
      <c r="AA766" s="242"/>
      <c r="AB766" s="241"/>
      <c r="AC766" s="243"/>
      <c r="AE766" s="242"/>
      <c r="AF766" s="241"/>
      <c r="AG766" s="243"/>
      <c r="AI766" s="242"/>
      <c r="AJ766" s="241"/>
      <c r="AK766" s="243"/>
    </row>
    <row r="767" spans="11:37">
      <c r="K767" s="242"/>
      <c r="L767" s="241"/>
      <c r="M767" s="243"/>
      <c r="O767" s="242"/>
      <c r="P767" s="241"/>
      <c r="Q767" s="243"/>
      <c r="S767" s="242"/>
      <c r="T767" s="241"/>
      <c r="U767" s="243"/>
      <c r="W767" s="242"/>
      <c r="X767" s="241"/>
      <c r="Y767" s="243"/>
      <c r="AA767" s="242"/>
      <c r="AB767" s="241"/>
      <c r="AC767" s="243"/>
      <c r="AE767" s="242"/>
      <c r="AF767" s="241"/>
      <c r="AG767" s="243"/>
      <c r="AI767" s="242"/>
      <c r="AJ767" s="241"/>
      <c r="AK767" s="243"/>
    </row>
    <row r="768" spans="11:37">
      <c r="Y768" s="243"/>
      <c r="AC768" s="243"/>
      <c r="AG768" s="243"/>
      <c r="AK768" s="243"/>
    </row>
    <row r="769" spans="10:37">
      <c r="J769" s="5"/>
      <c r="M769" s="944"/>
      <c r="N769" s="5"/>
      <c r="Q769" s="944"/>
      <c r="R769" s="5"/>
      <c r="U769" s="944"/>
      <c r="V769" s="5"/>
      <c r="Y769" s="944"/>
      <c r="Z769" s="960"/>
      <c r="AC769" s="944"/>
      <c r="AD769" s="5"/>
      <c r="AG769" s="944"/>
      <c r="AH769" s="960"/>
      <c r="AK769" s="944"/>
    </row>
    <row r="770" spans="10:37">
      <c r="K770" s="260"/>
      <c r="L770" s="241"/>
      <c r="M770" s="243"/>
      <c r="O770" s="260"/>
      <c r="P770" s="241"/>
      <c r="Q770" s="243"/>
      <c r="S770" s="260"/>
      <c r="T770" s="241"/>
      <c r="U770" s="243"/>
      <c r="W770" s="260"/>
      <c r="X770" s="241"/>
      <c r="Y770" s="243"/>
      <c r="AA770" s="260"/>
      <c r="AB770" s="241"/>
      <c r="AC770" s="243"/>
      <c r="AE770" s="260"/>
      <c r="AF770" s="241"/>
      <c r="AG770" s="243"/>
      <c r="AI770" s="260"/>
      <c r="AJ770" s="241"/>
      <c r="AK770" s="243"/>
    </row>
    <row r="771" spans="10:37">
      <c r="K771" s="242"/>
      <c r="L771" s="241"/>
      <c r="M771" s="243"/>
      <c r="O771" s="242"/>
      <c r="P771" s="241"/>
      <c r="Q771" s="243"/>
      <c r="S771" s="242"/>
      <c r="T771" s="241"/>
      <c r="U771" s="243"/>
      <c r="W771" s="242"/>
      <c r="X771" s="241"/>
      <c r="Y771" s="243"/>
      <c r="AA771" s="242"/>
      <c r="AB771" s="241"/>
      <c r="AC771" s="243"/>
      <c r="AE771" s="242"/>
      <c r="AF771" s="241"/>
      <c r="AG771" s="243"/>
      <c r="AI771" s="242"/>
      <c r="AJ771" s="241"/>
      <c r="AK771" s="243"/>
    </row>
    <row r="772" spans="10:37">
      <c r="K772" s="242"/>
      <c r="L772" s="241"/>
      <c r="M772" s="243"/>
      <c r="O772" s="242"/>
      <c r="P772" s="241"/>
      <c r="Q772" s="243"/>
      <c r="S772" s="242"/>
      <c r="T772" s="241"/>
      <c r="U772" s="243"/>
      <c r="W772" s="242"/>
      <c r="X772" s="241"/>
      <c r="Y772" s="243"/>
      <c r="AA772" s="242"/>
      <c r="AB772" s="241"/>
      <c r="AC772" s="243"/>
      <c r="AE772" s="242"/>
      <c r="AF772" s="241"/>
      <c r="AG772" s="243"/>
      <c r="AI772" s="242"/>
      <c r="AJ772" s="241"/>
      <c r="AK772" s="243"/>
    </row>
    <row r="773" spans="10:37">
      <c r="K773" s="242"/>
      <c r="L773" s="241"/>
      <c r="M773" s="243"/>
      <c r="O773" s="242"/>
      <c r="P773" s="241"/>
      <c r="Q773" s="243"/>
      <c r="S773" s="242"/>
      <c r="T773" s="241"/>
      <c r="U773" s="243"/>
      <c r="W773" s="242"/>
      <c r="X773" s="241"/>
      <c r="Y773" s="243"/>
      <c r="AA773" s="242"/>
      <c r="AB773" s="241"/>
      <c r="AC773" s="243"/>
      <c r="AE773" s="242"/>
      <c r="AF773" s="241"/>
      <c r="AG773" s="243"/>
      <c r="AI773" s="242"/>
      <c r="AJ773" s="241"/>
      <c r="AK773" s="243"/>
    </row>
    <row r="774" spans="10:37">
      <c r="K774" s="242"/>
      <c r="L774" s="241"/>
      <c r="M774" s="243"/>
      <c r="O774" s="242"/>
      <c r="P774" s="241"/>
      <c r="Q774" s="243"/>
      <c r="S774" s="242"/>
      <c r="T774" s="241"/>
      <c r="U774" s="243"/>
      <c r="W774" s="242"/>
      <c r="X774" s="241"/>
      <c r="Y774" s="243"/>
      <c r="AA774" s="242"/>
      <c r="AB774" s="241"/>
      <c r="AC774" s="243"/>
      <c r="AE774" s="242"/>
      <c r="AF774" s="241"/>
      <c r="AG774" s="243"/>
      <c r="AI774" s="242"/>
      <c r="AJ774" s="241"/>
      <c r="AK774" s="243"/>
    </row>
    <row r="775" spans="10:37">
      <c r="K775" s="242"/>
      <c r="L775" s="241"/>
      <c r="M775" s="243"/>
      <c r="O775" s="242"/>
      <c r="P775" s="241"/>
      <c r="Q775" s="243"/>
      <c r="S775" s="242"/>
      <c r="T775" s="241"/>
      <c r="U775" s="243"/>
      <c r="W775" s="242"/>
      <c r="X775" s="241"/>
      <c r="Y775" s="243"/>
      <c r="AA775" s="242"/>
      <c r="AB775" s="241"/>
      <c r="AC775" s="243"/>
      <c r="AE775" s="242"/>
      <c r="AF775" s="241"/>
      <c r="AG775" s="243"/>
      <c r="AI775" s="242"/>
      <c r="AJ775" s="241"/>
      <c r="AK775" s="243"/>
    </row>
    <row r="776" spans="10:37">
      <c r="K776" s="242"/>
      <c r="L776" s="241"/>
      <c r="M776" s="243"/>
      <c r="O776" s="242"/>
      <c r="P776" s="241"/>
      <c r="Q776" s="243"/>
      <c r="S776" s="242"/>
      <c r="T776" s="241"/>
      <c r="U776" s="243"/>
      <c r="W776" s="242"/>
      <c r="X776" s="241"/>
      <c r="Y776" s="243"/>
      <c r="AA776" s="242"/>
      <c r="AB776" s="241"/>
      <c r="AC776" s="243"/>
      <c r="AE776" s="242"/>
      <c r="AF776" s="241"/>
      <c r="AG776" s="243"/>
      <c r="AI776" s="242"/>
      <c r="AJ776" s="241"/>
      <c r="AK776" s="243"/>
    </row>
    <row r="777" spans="10:37">
      <c r="K777" s="242"/>
      <c r="L777" s="241"/>
      <c r="M777" s="243"/>
      <c r="O777" s="242"/>
      <c r="P777" s="241"/>
      <c r="Q777" s="243"/>
      <c r="S777" s="242"/>
      <c r="T777" s="241"/>
      <c r="U777" s="243"/>
      <c r="W777" s="242"/>
      <c r="X777" s="241"/>
      <c r="Y777" s="243"/>
      <c r="AA777" s="242"/>
      <c r="AB777" s="241"/>
      <c r="AC777" s="243"/>
      <c r="AE777" s="242"/>
      <c r="AF777" s="241"/>
      <c r="AG777" s="243"/>
      <c r="AI777" s="242"/>
      <c r="AJ777" s="241"/>
      <c r="AK777" s="243"/>
    </row>
    <row r="778" spans="10:37">
      <c r="K778" s="242"/>
      <c r="L778" s="241"/>
      <c r="M778" s="243"/>
      <c r="O778" s="242"/>
      <c r="P778" s="241"/>
      <c r="Q778" s="243"/>
      <c r="S778" s="242"/>
      <c r="T778" s="241"/>
      <c r="U778" s="243"/>
      <c r="W778" s="242"/>
      <c r="X778" s="241"/>
      <c r="Y778" s="243"/>
      <c r="AA778" s="242"/>
      <c r="AB778" s="241"/>
      <c r="AC778" s="243"/>
      <c r="AE778" s="242"/>
      <c r="AF778" s="241"/>
      <c r="AG778" s="243"/>
      <c r="AI778" s="242"/>
      <c r="AJ778" s="241"/>
      <c r="AK778" s="243"/>
    </row>
    <row r="779" spans="10:37">
      <c r="K779" s="242"/>
      <c r="L779" s="241"/>
      <c r="M779" s="243"/>
      <c r="O779" s="242"/>
      <c r="P779" s="241"/>
      <c r="Q779" s="243"/>
      <c r="S779" s="242"/>
      <c r="T779" s="241"/>
      <c r="U779" s="243"/>
      <c r="W779" s="242"/>
      <c r="X779" s="241"/>
      <c r="Y779" s="243"/>
      <c r="AA779" s="242"/>
      <c r="AB779" s="241"/>
      <c r="AC779" s="243"/>
      <c r="AE779" s="242"/>
      <c r="AF779" s="241"/>
      <c r="AG779" s="243"/>
      <c r="AI779" s="242"/>
      <c r="AJ779" s="241"/>
      <c r="AK779" s="243"/>
    </row>
    <row r="780" spans="10:37">
      <c r="K780" s="242"/>
      <c r="L780" s="241"/>
      <c r="M780" s="243"/>
      <c r="O780" s="242"/>
      <c r="P780" s="241"/>
      <c r="Q780" s="243"/>
      <c r="S780" s="242"/>
      <c r="T780" s="241"/>
      <c r="U780" s="243"/>
      <c r="W780" s="242"/>
      <c r="X780" s="241"/>
      <c r="Y780" s="243"/>
      <c r="AA780" s="242"/>
      <c r="AB780" s="241"/>
      <c r="AC780" s="243"/>
      <c r="AE780" s="242"/>
      <c r="AF780" s="241"/>
      <c r="AG780" s="243"/>
      <c r="AI780" s="242"/>
      <c r="AJ780" s="241"/>
      <c r="AK780" s="243"/>
    </row>
    <row r="781" spans="10:37">
      <c r="K781" s="242"/>
      <c r="L781" s="241"/>
      <c r="M781" s="243"/>
      <c r="O781" s="242"/>
      <c r="P781" s="241"/>
      <c r="Q781" s="243"/>
      <c r="S781" s="242"/>
      <c r="T781" s="241"/>
      <c r="U781" s="243"/>
      <c r="W781" s="242"/>
      <c r="X781" s="241"/>
      <c r="Y781" s="243"/>
      <c r="AA781" s="242"/>
      <c r="AB781" s="241"/>
      <c r="AC781" s="243"/>
      <c r="AE781" s="242"/>
      <c r="AF781" s="241"/>
      <c r="AG781" s="243"/>
      <c r="AI781" s="242"/>
      <c r="AJ781" s="241"/>
      <c r="AK781" s="243"/>
    </row>
    <row r="782" spans="10:37">
      <c r="K782" s="242"/>
      <c r="L782" s="241"/>
      <c r="M782" s="243"/>
      <c r="O782" s="242"/>
      <c r="P782" s="241"/>
      <c r="Q782" s="243"/>
      <c r="S782" s="242"/>
      <c r="T782" s="241"/>
      <c r="U782" s="243"/>
      <c r="W782" s="242"/>
      <c r="X782" s="241"/>
      <c r="Y782" s="243"/>
      <c r="AA782" s="242"/>
      <c r="AB782" s="241"/>
      <c r="AC782" s="243"/>
      <c r="AE782" s="242"/>
      <c r="AF782" s="241"/>
      <c r="AG782" s="243"/>
      <c r="AI782" s="242"/>
      <c r="AJ782" s="241"/>
      <c r="AK782" s="243"/>
    </row>
    <row r="783" spans="10:37">
      <c r="K783" s="242"/>
      <c r="L783" s="241"/>
      <c r="M783" s="243"/>
      <c r="O783" s="242"/>
      <c r="P783" s="241"/>
      <c r="Q783" s="243"/>
      <c r="S783" s="242"/>
      <c r="T783" s="241"/>
      <c r="U783" s="243"/>
      <c r="W783" s="242"/>
      <c r="X783" s="241"/>
      <c r="Y783" s="243"/>
      <c r="AA783" s="242"/>
      <c r="AB783" s="241"/>
      <c r="AC783" s="243"/>
      <c r="AE783" s="242"/>
      <c r="AF783" s="241"/>
      <c r="AG783" s="243"/>
      <c r="AI783" s="242"/>
      <c r="AJ783" s="241"/>
      <c r="AK783" s="243"/>
    </row>
    <row r="784" spans="10:37">
      <c r="K784" s="242"/>
      <c r="L784" s="241"/>
      <c r="M784" s="243"/>
      <c r="O784" s="242"/>
      <c r="P784" s="241"/>
      <c r="Q784" s="243"/>
      <c r="S784" s="242"/>
      <c r="T784" s="241"/>
      <c r="U784" s="243"/>
      <c r="W784" s="242"/>
      <c r="X784" s="241"/>
      <c r="Y784" s="243"/>
      <c r="AA784" s="242"/>
      <c r="AB784" s="241"/>
      <c r="AC784" s="243"/>
      <c r="AE784" s="242"/>
      <c r="AF784" s="241"/>
      <c r="AG784" s="243"/>
      <c r="AI784" s="242"/>
      <c r="AJ784" s="241"/>
      <c r="AK784" s="243"/>
    </row>
    <row r="785" spans="25:37">
      <c r="Y785" s="243"/>
      <c r="AC785" s="243"/>
      <c r="AG785" s="243"/>
      <c r="AK785" s="243"/>
    </row>
    <row r="1048422" spans="9:9">
      <c r="I1048422" s="941"/>
    </row>
  </sheetData>
  <mergeCells count="22">
    <mergeCell ref="B14:I14"/>
    <mergeCell ref="J14:M14"/>
    <mergeCell ref="V14:AC14"/>
    <mergeCell ref="AD14:AK14"/>
    <mergeCell ref="H1:H3"/>
    <mergeCell ref="J13:M13"/>
    <mergeCell ref="V13:AK13"/>
    <mergeCell ref="B15:E15"/>
    <mergeCell ref="F15:I15"/>
    <mergeCell ref="V15:Y15"/>
    <mergeCell ref="Z15:AC15"/>
    <mergeCell ref="AD15:AG15"/>
    <mergeCell ref="CF15:CI15"/>
    <mergeCell ref="N13:Q13"/>
    <mergeCell ref="N14:Q14"/>
    <mergeCell ref="R13:U13"/>
    <mergeCell ref="R14:U14"/>
    <mergeCell ref="BT15:BW15"/>
    <mergeCell ref="BX15:CA15"/>
    <mergeCell ref="CB15:CE15"/>
    <mergeCell ref="BT14:CI14"/>
    <mergeCell ref="AH15:AK15"/>
  </mergeCells>
  <pageMargins left="0.25" right="0.25" top="0.35" bottom="0.35" header="0" footer="0"/>
  <pageSetup scale="80" fitToHeight="0" orientation="portrait" r:id="rId1"/>
  <headerFooter scaleWithDoc="0" alignWithMargins="0">
    <oddHeader>&amp;L&amp;9&amp;D; &amp;T</oddHeader>
    <oddFooter>&amp;C&amp;9Page &amp;P of &amp;N</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7" tint="0.79998168889431442"/>
    <pageSetUpPr fitToPage="1"/>
  </sheetPr>
  <dimension ref="B1:AI51"/>
  <sheetViews>
    <sheetView view="pageBreakPreview" zoomScale="75" zoomScaleNormal="75" zoomScaleSheetLayoutView="100" workbookViewId="0">
      <selection activeCell="N48" sqref="N48"/>
    </sheetView>
  </sheetViews>
  <sheetFormatPr defaultRowHeight="15.75"/>
  <cols>
    <col min="2" max="2" width="20.25" customWidth="1"/>
    <col min="6" max="10" width="12.625" customWidth="1"/>
    <col min="11" max="11" width="10.5" bestFit="1" customWidth="1"/>
    <col min="13" max="17" width="12.625" customWidth="1"/>
    <col min="18" max="18" width="13.75" bestFit="1" customWidth="1"/>
    <col min="21" max="21" width="9.5" bestFit="1" customWidth="1"/>
    <col min="24" max="28" width="9.125" bestFit="1" customWidth="1"/>
    <col min="29" max="29" width="9.625" bestFit="1" customWidth="1"/>
  </cols>
  <sheetData>
    <row r="1" spans="2:35" ht="20.25">
      <c r="B1" s="120" t="str">
        <f>SourceProjectName1</f>
        <v>Project Name 1</v>
      </c>
      <c r="L1" t="s">
        <v>931</v>
      </c>
    </row>
    <row r="2" spans="2:35" ht="20.25">
      <c r="B2" s="120" t="str">
        <f>SourceProjectName2</f>
        <v>Project Name 2</v>
      </c>
      <c r="M2" s="5"/>
    </row>
    <row r="3" spans="2:35" ht="20.25">
      <c r="B3" s="120" t="str">
        <f>SourceProjectNumber</f>
        <v>Project Number</v>
      </c>
      <c r="M3" s="5"/>
    </row>
    <row r="4" spans="2:35">
      <c r="B4" t="s">
        <v>251</v>
      </c>
    </row>
    <row r="5" spans="2:35">
      <c r="B5" t="s">
        <v>254</v>
      </c>
      <c r="M5" s="5"/>
    </row>
    <row r="6" spans="2:35">
      <c r="B6" t="s">
        <v>253</v>
      </c>
      <c r="M6" s="5"/>
    </row>
    <row r="7" spans="2:35">
      <c r="B7" t="s">
        <v>252</v>
      </c>
      <c r="R7" s="5"/>
      <c r="S7" s="5"/>
      <c r="T7" s="5"/>
      <c r="U7" s="5"/>
      <c r="V7" s="5"/>
    </row>
    <row r="9" spans="2:35">
      <c r="F9" s="751">
        <f t="shared" ref="F9:K9" si="0">1/F17</f>
        <v>10</v>
      </c>
      <c r="G9" s="751">
        <f t="shared" si="0"/>
        <v>100</v>
      </c>
      <c r="H9" s="751">
        <f t="shared" si="0"/>
        <v>1000</v>
      </c>
      <c r="I9" s="751">
        <f t="shared" si="0"/>
        <v>10000</v>
      </c>
      <c r="J9" s="751">
        <f t="shared" si="0"/>
        <v>99999.999999999985</v>
      </c>
      <c r="K9" s="751">
        <f t="shared" si="0"/>
        <v>1000000</v>
      </c>
      <c r="L9" s="751">
        <f t="shared" ref="L9:Q9" si="1">LN(F9)</f>
        <v>2.3025850929940459</v>
      </c>
      <c r="M9" s="751">
        <f t="shared" si="1"/>
        <v>4.6051701859880918</v>
      </c>
      <c r="N9" s="751">
        <f t="shared" si="1"/>
        <v>6.9077552789821368</v>
      </c>
      <c r="O9" s="751">
        <f t="shared" si="1"/>
        <v>9.2103403719761836</v>
      </c>
      <c r="P9" s="751">
        <f t="shared" si="1"/>
        <v>11.512925464970229</v>
      </c>
      <c r="Q9" s="751">
        <f t="shared" si="1"/>
        <v>13.815510557964274</v>
      </c>
    </row>
    <row r="10" spans="2:35" ht="18.75">
      <c r="B10" s="839" t="s">
        <v>151</v>
      </c>
      <c r="X10" s="192">
        <v>12</v>
      </c>
      <c r="Y10" s="109" t="s">
        <v>247</v>
      </c>
    </row>
    <row r="11" spans="2:35" ht="18.75">
      <c r="B11" s="839" t="s">
        <v>227</v>
      </c>
      <c r="X11" s="192">
        <v>35</v>
      </c>
      <c r="Y11" s="109" t="s">
        <v>248</v>
      </c>
      <c r="AD11" t="s">
        <v>353</v>
      </c>
    </row>
    <row r="12" spans="2:35">
      <c r="X12" s="192">
        <v>20</v>
      </c>
      <c r="Y12" s="109" t="s">
        <v>249</v>
      </c>
    </row>
    <row r="13" spans="2:35">
      <c r="B13" s="1660" t="s">
        <v>354</v>
      </c>
      <c r="C13" s="1661"/>
      <c r="D13" s="1661"/>
      <c r="E13" s="1661"/>
      <c r="F13" s="1661"/>
      <c r="G13" s="1661"/>
      <c r="H13" s="1661"/>
      <c r="I13" s="1661"/>
      <c r="J13" s="1661"/>
      <c r="K13" s="1661"/>
    </row>
    <row r="14" spans="2:35">
      <c r="B14" s="1662"/>
      <c r="C14" s="1663" t="s">
        <v>228</v>
      </c>
      <c r="D14" s="1663" t="s">
        <v>229</v>
      </c>
      <c r="E14" s="1663" t="s">
        <v>229</v>
      </c>
      <c r="F14" s="1663"/>
      <c r="G14" s="1663"/>
      <c r="H14" s="1663"/>
      <c r="I14" s="1663"/>
      <c r="J14" s="1663"/>
      <c r="K14" s="1664"/>
      <c r="L14" s="13"/>
      <c r="M14" s="13"/>
      <c r="N14" s="13"/>
      <c r="O14" s="13"/>
      <c r="P14" s="13"/>
      <c r="Q14" s="13"/>
      <c r="R14" s="13"/>
      <c r="S14" s="13"/>
      <c r="T14" s="13"/>
      <c r="U14" s="13"/>
      <c r="V14" s="13"/>
      <c r="W14" s="13"/>
      <c r="X14" s="162"/>
      <c r="Y14" s="163"/>
      <c r="Z14" s="163"/>
      <c r="AA14" s="163"/>
      <c r="AB14" s="163"/>
      <c r="AC14" s="164"/>
    </row>
    <row r="15" spans="2:35">
      <c r="B15" s="1665"/>
      <c r="C15" s="1265" t="s">
        <v>230</v>
      </c>
      <c r="D15" s="1265" t="s">
        <v>755</v>
      </c>
      <c r="E15" s="1265" t="s">
        <v>755</v>
      </c>
      <c r="F15" s="1807" t="s">
        <v>231</v>
      </c>
      <c r="G15" s="1807"/>
      <c r="H15" s="1807"/>
      <c r="I15" s="1807"/>
      <c r="J15" s="1807"/>
      <c r="K15" s="1808"/>
      <c r="L15" s="13"/>
      <c r="M15" s="13"/>
      <c r="N15" s="13"/>
      <c r="O15" s="13"/>
      <c r="P15" s="13"/>
      <c r="Q15" s="13"/>
      <c r="R15" s="13"/>
      <c r="S15" s="13"/>
      <c r="T15" s="13"/>
      <c r="U15" s="13"/>
      <c r="V15" s="13"/>
      <c r="W15" s="13"/>
      <c r="X15" s="1809" t="s">
        <v>231</v>
      </c>
      <c r="Y15" s="1810"/>
      <c r="Z15" s="1810"/>
      <c r="AA15" s="1810"/>
      <c r="AB15" s="1810"/>
      <c r="AC15" s="1811"/>
      <c r="AD15" s="180" t="s">
        <v>250</v>
      </c>
    </row>
    <row r="16" spans="2:35">
      <c r="B16" s="1665"/>
      <c r="C16" s="1265" t="s">
        <v>232</v>
      </c>
      <c r="D16" s="1265" t="s">
        <v>233</v>
      </c>
      <c r="E16" s="1265" t="s">
        <v>233</v>
      </c>
      <c r="F16" s="1807" t="s">
        <v>234</v>
      </c>
      <c r="G16" s="1807"/>
      <c r="H16" s="1807"/>
      <c r="I16" s="1807"/>
      <c r="J16" s="1807"/>
      <c r="K16" s="1808"/>
      <c r="L16" s="13"/>
      <c r="M16" s="13"/>
      <c r="N16" s="13"/>
      <c r="O16" s="13"/>
      <c r="P16" s="13"/>
      <c r="Q16" s="13"/>
      <c r="R16" s="13"/>
      <c r="S16" s="13"/>
      <c r="T16" s="13"/>
      <c r="U16" s="13"/>
      <c r="V16" s="13"/>
      <c r="W16" s="13"/>
      <c r="X16" s="1809" t="s">
        <v>234</v>
      </c>
      <c r="Y16" s="1810"/>
      <c r="Z16" s="1810"/>
      <c r="AA16" s="1810"/>
      <c r="AB16" s="1810"/>
      <c r="AC16" s="1811"/>
      <c r="AD16" s="180" t="s">
        <v>234</v>
      </c>
      <c r="AI16" s="8"/>
    </row>
    <row r="17" spans="2:35">
      <c r="B17" s="1666" t="s">
        <v>235</v>
      </c>
      <c r="C17" s="1667" t="s">
        <v>236</v>
      </c>
      <c r="D17" s="1667" t="s">
        <v>237</v>
      </c>
      <c r="E17" s="1667" t="s">
        <v>238</v>
      </c>
      <c r="F17" s="1668">
        <v>0.1</v>
      </c>
      <c r="G17" s="1669">
        <v>0.01</v>
      </c>
      <c r="H17" s="1669">
        <v>1E-3</v>
      </c>
      <c r="I17" s="1670">
        <v>1E-4</v>
      </c>
      <c r="J17" s="1671">
        <v>1.0000000000000001E-5</v>
      </c>
      <c r="K17" s="1672">
        <v>9.9999999999999995E-7</v>
      </c>
      <c r="L17" s="750"/>
      <c r="M17" s="750"/>
      <c r="N17" s="750"/>
      <c r="O17" s="750"/>
      <c r="P17" s="750"/>
      <c r="Q17" s="750"/>
      <c r="R17" s="750"/>
      <c r="S17" s="750"/>
      <c r="T17" s="750"/>
      <c r="U17" s="13"/>
      <c r="V17" s="13"/>
      <c r="W17" s="13"/>
      <c r="X17" s="135">
        <v>0.1</v>
      </c>
      <c r="Y17" s="136">
        <v>0.01</v>
      </c>
      <c r="Z17" s="136">
        <v>1E-3</v>
      </c>
      <c r="AA17" s="136">
        <v>1E-4</v>
      </c>
      <c r="AB17" s="137">
        <v>1.0000000000000001E-5</v>
      </c>
      <c r="AC17" s="137">
        <v>9.9999999999999995E-7</v>
      </c>
      <c r="AD17" s="64">
        <v>0.1</v>
      </c>
      <c r="AE17" s="68">
        <v>0.01</v>
      </c>
      <c r="AF17" s="71">
        <v>1E-3</v>
      </c>
      <c r="AG17" s="71">
        <v>1E-4</v>
      </c>
      <c r="AH17" s="66">
        <v>1.0000000000000001E-5</v>
      </c>
      <c r="AI17" s="752">
        <v>9.9999999999999995E-7</v>
      </c>
    </row>
    <row r="18" spans="2:35">
      <c r="B18" s="182" t="s">
        <v>239</v>
      </c>
      <c r="C18" s="183">
        <v>6</v>
      </c>
      <c r="D18" s="246">
        <v>12</v>
      </c>
      <c r="E18" s="184">
        <f>D18/60</f>
        <v>0.2</v>
      </c>
      <c r="F18" s="172">
        <f t="shared" ref="F18:H21" si="2">ROUND(X18,0)</f>
        <v>1</v>
      </c>
      <c r="G18" s="172">
        <f t="shared" si="2"/>
        <v>7</v>
      </c>
      <c r="H18" s="172">
        <f t="shared" si="2"/>
        <v>75</v>
      </c>
      <c r="I18" s="172">
        <f>ROUND(AA18,0)</f>
        <v>756</v>
      </c>
      <c r="J18" s="172">
        <f t="shared" ref="J18:K21" si="3">ROUND(AB18,0)</f>
        <v>7561</v>
      </c>
      <c r="K18" s="173">
        <f t="shared" si="3"/>
        <v>75616</v>
      </c>
      <c r="L18" s="171"/>
      <c r="M18" s="171"/>
      <c r="N18" s="171"/>
      <c r="O18" s="171"/>
      <c r="P18" s="171"/>
      <c r="Q18" s="171"/>
      <c r="R18" s="171"/>
      <c r="S18" s="171"/>
      <c r="T18" s="171"/>
      <c r="U18" s="188"/>
      <c r="V18" s="188"/>
      <c r="W18" s="188"/>
      <c r="X18" s="1331">
        <v>0.62151722091886386</v>
      </c>
      <c r="Y18" s="1332">
        <v>7.4394694961451036</v>
      </c>
      <c r="Z18" s="1332">
        <v>75.494941913904768</v>
      </c>
      <c r="AA18" s="1332">
        <v>756.04069518123674</v>
      </c>
      <c r="AB18" s="1333">
        <v>7561.4976739015428</v>
      </c>
      <c r="AC18" s="1333">
        <v>75616.069218350312</v>
      </c>
      <c r="AD18" s="65">
        <f>(1-EXP(-1*(($E$27*$C18)/$E$28)*((($E18*X18)*$E$29+(EXP(-1*($E18*X18)*$E$29))-1)/(($E18*X18)^2))))*100</f>
        <v>9.9999999999999982</v>
      </c>
      <c r="AE18" s="69">
        <f t="shared" ref="AE18:AI21" si="4">(1-EXP(((-1*$E$27*$C18)/$E$28)*(((($E18*Y18)*$E$29)+(EXP(-1*($E18*Y18)*$E$29))-1)/(($E18*Y18)^2))))*100</f>
        <v>1.0000000000000009</v>
      </c>
      <c r="AF18" s="65">
        <f t="shared" si="4"/>
        <v>0.10000000149011923</v>
      </c>
      <c r="AG18" s="65">
        <f t="shared" si="4"/>
        <v>9.9999997639210747E-3</v>
      </c>
      <c r="AH18" s="70">
        <f t="shared" si="4"/>
        <v>9.9999992982935382E-4</v>
      </c>
      <c r="AI18" s="753">
        <f t="shared" si="4"/>
        <v>9.9999990077481726E-5</v>
      </c>
    </row>
    <row r="19" spans="2:35">
      <c r="B19" s="185" t="s">
        <v>240</v>
      </c>
      <c r="C19" s="186">
        <v>38</v>
      </c>
      <c r="D19" s="247">
        <f>D18</f>
        <v>12</v>
      </c>
      <c r="E19" s="188">
        <f>D19/60</f>
        <v>0.2</v>
      </c>
      <c r="F19" s="171">
        <f t="shared" si="2"/>
        <v>4</v>
      </c>
      <c r="G19" s="171">
        <f t="shared" si="2"/>
        <v>48</v>
      </c>
      <c r="H19" s="171">
        <f t="shared" si="2"/>
        <v>479</v>
      </c>
      <c r="I19" s="171">
        <f>ROUND(AA19,0)</f>
        <v>4789</v>
      </c>
      <c r="J19" s="171">
        <f t="shared" si="3"/>
        <v>47890</v>
      </c>
      <c r="K19" s="174">
        <f t="shared" si="3"/>
        <v>478902</v>
      </c>
      <c r="L19" s="171"/>
      <c r="M19" s="171"/>
      <c r="N19" s="171"/>
      <c r="O19" s="171"/>
      <c r="P19" s="171"/>
      <c r="Q19" s="171"/>
      <c r="R19" s="171"/>
      <c r="S19" s="171"/>
      <c r="T19" s="171"/>
      <c r="U19" s="188"/>
      <c r="V19" s="188"/>
      <c r="W19" s="188"/>
      <c r="X19" s="1334">
        <v>4.4604497944409731</v>
      </c>
      <c r="Y19" s="1335">
        <v>47.566917220870479</v>
      </c>
      <c r="Z19" s="1335">
        <v>478.57964527173931</v>
      </c>
      <c r="AA19" s="1335">
        <v>4788.7022373093723</v>
      </c>
      <c r="AB19" s="1336">
        <v>47889.929718264633</v>
      </c>
      <c r="AC19" s="1336">
        <v>478902.21618498251</v>
      </c>
      <c r="AD19" s="65">
        <f>(1-EXP(((-1*$E$27*$C19)/$E$28)*(((($E19*X19)*$E$29)+(EXP(-1*($E19*X19)*$E$29))-1)/(($E19*X19)^2))))*100</f>
        <v>9.9999999999999858</v>
      </c>
      <c r="AE19" s="69">
        <f t="shared" si="4"/>
        <v>0.99999999999998979</v>
      </c>
      <c r="AF19" s="65">
        <f t="shared" si="4"/>
        <v>0.10000000149011923</v>
      </c>
      <c r="AG19" s="65">
        <f t="shared" si="4"/>
        <v>9.9999997639543814E-3</v>
      </c>
      <c r="AH19" s="70">
        <f t="shared" si="4"/>
        <v>9.9999992982935382E-4</v>
      </c>
      <c r="AI19" s="753">
        <f t="shared" si="4"/>
        <v>9.9999990077481726E-5</v>
      </c>
    </row>
    <row r="20" spans="2:35">
      <c r="B20" s="185" t="s">
        <v>241</v>
      </c>
      <c r="C20" s="186">
        <v>94</v>
      </c>
      <c r="D20" s="247">
        <f>D19</f>
        <v>12</v>
      </c>
      <c r="E20" s="188">
        <f>D20/60</f>
        <v>0.2</v>
      </c>
      <c r="F20" s="171">
        <f t="shared" si="2"/>
        <v>11</v>
      </c>
      <c r="G20" s="171">
        <f t="shared" si="2"/>
        <v>118</v>
      </c>
      <c r="H20" s="171">
        <f t="shared" si="2"/>
        <v>1184</v>
      </c>
      <c r="I20" s="171">
        <f>ROUND(AA20,0)</f>
        <v>11846</v>
      </c>
      <c r="J20" s="171">
        <f t="shared" si="3"/>
        <v>118465</v>
      </c>
      <c r="K20" s="174">
        <f t="shared" si="3"/>
        <v>1184653</v>
      </c>
      <c r="L20" s="171"/>
      <c r="M20" s="171"/>
      <c r="N20" s="171"/>
      <c r="O20" s="171"/>
      <c r="P20" s="171"/>
      <c r="Q20" s="171"/>
      <c r="R20" s="171"/>
      <c r="S20" s="171"/>
      <c r="T20" s="171"/>
      <c r="U20" s="188"/>
      <c r="V20" s="188"/>
      <c r="W20" s="188"/>
      <c r="X20" s="1334">
        <v>11.159848878126224</v>
      </c>
      <c r="Y20" s="1335">
        <v>117.78864186642529</v>
      </c>
      <c r="Z20" s="1335">
        <v>1183.9777490404699</v>
      </c>
      <c r="AA20" s="1335">
        <v>11845.859923365275</v>
      </c>
      <c r="AB20" s="1336">
        <v>118464.68579498291</v>
      </c>
      <c r="AC20" s="1336">
        <v>1184652.9733414715</v>
      </c>
      <c r="AD20" s="65">
        <f>(1-EXP(((-1*$E$27*$C20)/$E$28)*(((($E20*X20)*$E$29)+(EXP(-1*($E20*X20)*$E$29))-1)/(($E20*X20)^2))))*100</f>
        <v>9.9999999999999858</v>
      </c>
      <c r="AE20" s="69">
        <f t="shared" si="4"/>
        <v>1.0000000000000009</v>
      </c>
      <c r="AF20" s="65">
        <f t="shared" si="4"/>
        <v>0.10000000149011923</v>
      </c>
      <c r="AG20" s="65">
        <f t="shared" si="4"/>
        <v>9.9999997639543814E-3</v>
      </c>
      <c r="AH20" s="70">
        <f t="shared" si="4"/>
        <v>9.9999992982935382E-4</v>
      </c>
      <c r="AI20" s="753">
        <f t="shared" si="4"/>
        <v>9.9999990077481726E-5</v>
      </c>
    </row>
    <row r="21" spans="2:35">
      <c r="B21" s="52" t="s">
        <v>242</v>
      </c>
      <c r="C21" s="189">
        <v>514</v>
      </c>
      <c r="D21" s="248">
        <f>D20</f>
        <v>12</v>
      </c>
      <c r="E21" s="191">
        <f>D21/60</f>
        <v>0.2</v>
      </c>
      <c r="F21" s="175">
        <f t="shared" si="2"/>
        <v>61</v>
      </c>
      <c r="G21" s="175">
        <f t="shared" si="2"/>
        <v>644</v>
      </c>
      <c r="H21" s="175">
        <f t="shared" si="2"/>
        <v>6474</v>
      </c>
      <c r="I21" s="175">
        <f>ROUND(AA21,0)</f>
        <v>64775</v>
      </c>
      <c r="J21" s="175">
        <f t="shared" si="3"/>
        <v>647775</v>
      </c>
      <c r="K21" s="176">
        <f t="shared" si="3"/>
        <v>6477784</v>
      </c>
      <c r="L21" s="171"/>
      <c r="M21" s="171"/>
      <c r="N21" s="171"/>
      <c r="O21" s="171"/>
      <c r="P21" s="171"/>
      <c r="Q21" s="171"/>
      <c r="R21" s="171"/>
      <c r="S21" s="171"/>
      <c r="T21" s="171"/>
      <c r="U21" s="188"/>
      <c r="V21" s="188"/>
      <c r="W21" s="188"/>
      <c r="X21" s="1337">
        <v>61.398658834931197</v>
      </c>
      <c r="Y21" s="1338">
        <v>644.45097054844814</v>
      </c>
      <c r="Z21" s="1338">
        <v>6474.4634672449347</v>
      </c>
      <c r="AA21" s="1338">
        <v>64774.542562754497</v>
      </c>
      <c r="AB21" s="1339">
        <v>647775.35636649816</v>
      </c>
      <c r="AC21" s="1339">
        <v>6477783.6525187306</v>
      </c>
      <c r="AD21" s="65">
        <f>(1-EXP(((-1*$E$27*$C21)/$E$28)*(((($E21*X21)*$E$29)+(EXP(-1*($E21*X21)*$E$29))-1)/(($E21*X21)^2))))*100</f>
        <v>9.9999999999999982</v>
      </c>
      <c r="AE21" s="69">
        <f t="shared" si="4"/>
        <v>0.99999999999998979</v>
      </c>
      <c r="AF21" s="65">
        <f t="shared" si="4"/>
        <v>0.10000000149010813</v>
      </c>
      <c r="AG21" s="65">
        <f t="shared" si="4"/>
        <v>9.9999997639543814E-3</v>
      </c>
      <c r="AH21" s="70">
        <f t="shared" si="4"/>
        <v>9.9999992982935382E-4</v>
      </c>
      <c r="AI21" s="753">
        <f t="shared" si="4"/>
        <v>9.9999990066379496E-5</v>
      </c>
    </row>
    <row r="22" spans="2:35">
      <c r="R22" s="5" t="s">
        <v>929</v>
      </c>
      <c r="S22" s="5" t="s">
        <v>928</v>
      </c>
      <c r="T22" s="5" t="s">
        <v>932</v>
      </c>
      <c r="U22" s="5"/>
      <c r="V22" s="5"/>
    </row>
    <row r="23" spans="2:35" ht="18.75">
      <c r="B23" s="2"/>
      <c r="E23" s="115" t="s">
        <v>933</v>
      </c>
      <c r="F23" s="341">
        <f t="shared" ref="F23:K23" si="5">IF(F18=0,NA(),10^6/(F18*($E$28*$D$18/3600)))</f>
        <v>1260269.7142857139</v>
      </c>
      <c r="G23" s="341">
        <f t="shared" si="5"/>
        <v>180038.53061224482</v>
      </c>
      <c r="H23" s="341">
        <f t="shared" si="5"/>
        <v>16803.596190476183</v>
      </c>
      <c r="I23" s="341">
        <f t="shared" si="5"/>
        <v>1667.0234315948596</v>
      </c>
      <c r="J23" s="341">
        <f t="shared" si="5"/>
        <v>166.68029550135086</v>
      </c>
      <c r="K23" s="341">
        <f t="shared" si="5"/>
        <v>16.666706970558</v>
      </c>
      <c r="L23" s="751">
        <f>LN(F23)</f>
        <v>14.046836314977227</v>
      </c>
      <c r="M23" s="751">
        <f t="shared" ref="M23:Q24" si="6">LN(G23)</f>
        <v>12.100926165921914</v>
      </c>
      <c r="N23" s="751">
        <f t="shared" si="6"/>
        <v>9.7293482014409172</v>
      </c>
      <c r="O23" s="751">
        <f t="shared" si="6"/>
        <v>7.4187949387976939</v>
      </c>
      <c r="P23" s="751">
        <f t="shared" si="6"/>
        <v>5.116077579418957</v>
      </c>
      <c r="Q23" s="751">
        <f t="shared" si="6"/>
        <v>2.8134131349905926</v>
      </c>
      <c r="R23" s="754">
        <f>EXP(INDEX(LINEST($L$9:$Q$9,L23:Q23,,),1,2))</f>
        <v>18173370.604022078</v>
      </c>
      <c r="S23" s="755">
        <f>INDEX(LINEST($L$9:$Q$9,L23:Q23,,),1)</f>
        <v>-1.0139213031893493</v>
      </c>
      <c r="T23" s="756">
        <f>RSQ($L$9:$Q$9,L23:Q23)</f>
        <v>0.99934901260160547</v>
      </c>
      <c r="U23" s="5"/>
      <c r="V23" s="757"/>
    </row>
    <row r="24" spans="2:35" ht="18.75">
      <c r="E24" s="115" t="s">
        <v>448</v>
      </c>
      <c r="F24" s="341">
        <f t="shared" ref="F24:K24" si="7">IF(F21=0,NA(),10^6/(F21*($E$28*$D$21/3600)))</f>
        <v>20660.159250585471</v>
      </c>
      <c r="G24" s="341">
        <f t="shared" si="7"/>
        <v>1956.9405501330959</v>
      </c>
      <c r="H24" s="341">
        <f t="shared" si="7"/>
        <v>194.66631360607258</v>
      </c>
      <c r="I24" s="341">
        <f t="shared" si="7"/>
        <v>19.45611291834371</v>
      </c>
      <c r="J24" s="341">
        <f t="shared" si="7"/>
        <v>1.9455362035980299</v>
      </c>
      <c r="K24" s="341">
        <f t="shared" si="7"/>
        <v>0.19455259920456036</v>
      </c>
      <c r="L24" s="751">
        <f>LN(F24)</f>
        <v>9.935962450803915</v>
      </c>
      <c r="M24" s="751">
        <f t="shared" si="6"/>
        <v>7.5791375888728734</v>
      </c>
      <c r="N24" s="751">
        <f t="shared" si="6"/>
        <v>5.2712868804910373</v>
      </c>
      <c r="O24" s="751">
        <f t="shared" si="6"/>
        <v>2.9681613095469164</v>
      </c>
      <c r="P24" s="751">
        <f t="shared" si="6"/>
        <v>0.66553762216063095</v>
      </c>
      <c r="Q24" s="751">
        <f t="shared" si="6"/>
        <v>-1.6370527195556983</v>
      </c>
      <c r="R24" s="754">
        <f>EXP(INDEX(LINEST($L$9:$Q$9,L24:Q24,,),1,2))</f>
        <v>193537.82222814561</v>
      </c>
      <c r="S24" s="755">
        <f>INDEX(LINEST($L$9:$Q$9,L24:Q24,,),1)</f>
        <v>-0.99604767228066893</v>
      </c>
      <c r="T24" s="756">
        <f>RSQ($L$9:$Q$9,L24:Q24)</f>
        <v>0.99998441725856901</v>
      </c>
      <c r="U24" s="5"/>
      <c r="V24" s="757"/>
    </row>
    <row r="25" spans="2:35">
      <c r="E25" s="115"/>
      <c r="R25" s="5"/>
      <c r="S25" s="5"/>
      <c r="T25" s="758"/>
      <c r="U25" s="5"/>
      <c r="V25" s="5"/>
    </row>
    <row r="26" spans="2:35">
      <c r="B26" s="2" t="s">
        <v>243</v>
      </c>
      <c r="I26" s="115"/>
      <c r="J26" s="115"/>
      <c r="R26" s="5"/>
      <c r="S26" s="5"/>
      <c r="T26" s="758"/>
      <c r="U26" s="5"/>
      <c r="V26" s="5"/>
    </row>
    <row r="27" spans="2:35" ht="18.75">
      <c r="D27" s="107" t="s">
        <v>245</v>
      </c>
      <c r="E27" s="72">
        <f>10^-2</f>
        <v>0.01</v>
      </c>
      <c r="F27" s="1"/>
      <c r="G27" s="1"/>
      <c r="H27" s="1"/>
      <c r="I27" s="115"/>
      <c r="J27" s="115"/>
      <c r="K27" s="341"/>
      <c r="L27" s="341"/>
      <c r="M27" s="341"/>
      <c r="N27" s="341"/>
      <c r="O27" s="341"/>
      <c r="P27" s="341"/>
      <c r="Q27" s="341"/>
      <c r="R27" s="341"/>
      <c r="S27" s="341"/>
      <c r="T27" s="759"/>
      <c r="U27" s="46"/>
      <c r="V27" s="46"/>
      <c r="W27" s="1"/>
    </row>
    <row r="28" spans="2:35" ht="18.75">
      <c r="D28" s="107" t="s">
        <v>246</v>
      </c>
      <c r="E28" s="169">
        <f>PRODUCT(X10:X12)/3.28^3</f>
        <v>238.04428258440831</v>
      </c>
      <c r="F28" s="169"/>
      <c r="G28" s="169"/>
      <c r="H28" s="169"/>
      <c r="I28" s="169"/>
      <c r="J28" s="169"/>
      <c r="K28" s="169"/>
      <c r="L28" s="169"/>
      <c r="M28" s="169"/>
      <c r="N28" s="169"/>
      <c r="O28" s="169"/>
      <c r="P28" s="169"/>
      <c r="Q28" s="169"/>
      <c r="R28" s="760"/>
      <c r="S28" s="760"/>
      <c r="T28" s="758"/>
      <c r="U28" s="760"/>
      <c r="V28" s="760"/>
      <c r="W28" s="169"/>
    </row>
    <row r="29" spans="2:35">
      <c r="D29" s="107" t="s">
        <v>244</v>
      </c>
      <c r="E29" s="1">
        <v>60</v>
      </c>
      <c r="F29" s="1"/>
      <c r="G29" s="1"/>
      <c r="H29" s="1"/>
      <c r="I29" s="1"/>
      <c r="J29" s="1"/>
      <c r="K29" s="1"/>
      <c r="L29" s="1"/>
      <c r="M29" s="1"/>
      <c r="N29" s="1"/>
      <c r="O29" s="1"/>
      <c r="P29" s="1"/>
      <c r="Q29" s="1"/>
      <c r="R29" s="46"/>
      <c r="S29" s="46"/>
      <c r="T29" s="761"/>
      <c r="U29" s="46"/>
      <c r="V29" s="46"/>
      <c r="W29" s="1"/>
    </row>
    <row r="30" spans="2:35">
      <c r="R30" s="5"/>
      <c r="S30" s="5"/>
      <c r="T30" s="758"/>
      <c r="U30" s="5"/>
      <c r="V30" s="5"/>
    </row>
    <row r="31" spans="2:35">
      <c r="R31" s="5"/>
      <c r="S31" s="5"/>
      <c r="T31" s="758"/>
      <c r="U31" s="5"/>
      <c r="V31" s="5"/>
    </row>
    <row r="32" spans="2:35">
      <c r="R32" s="5"/>
      <c r="S32" s="5"/>
      <c r="T32" s="758"/>
      <c r="U32" s="5"/>
      <c r="V32" s="5"/>
    </row>
    <row r="33" spans="2:35">
      <c r="B33" s="1660" t="s">
        <v>355</v>
      </c>
      <c r="C33" s="1661"/>
      <c r="D33" s="1661"/>
      <c r="E33" s="1661"/>
      <c r="F33" s="1661"/>
      <c r="G33" s="1661"/>
      <c r="H33" s="1661"/>
      <c r="I33" s="1661"/>
      <c r="J33" s="1661"/>
      <c r="K33" s="1661"/>
      <c r="R33" s="5"/>
      <c r="S33" s="5"/>
      <c r="T33" s="758"/>
      <c r="U33" s="5"/>
      <c r="V33" s="5"/>
      <c r="X33" s="162"/>
      <c r="Y33" s="163"/>
      <c r="Z33" s="163"/>
      <c r="AA33" s="163"/>
      <c r="AB33" s="163"/>
      <c r="AC33" s="164"/>
    </row>
    <row r="34" spans="2:35">
      <c r="B34" s="1662"/>
      <c r="C34" s="1663" t="s">
        <v>228</v>
      </c>
      <c r="D34" s="1663" t="s">
        <v>229</v>
      </c>
      <c r="E34" s="1663" t="s">
        <v>229</v>
      </c>
      <c r="F34" s="1663"/>
      <c r="G34" s="1663"/>
      <c r="H34" s="1663"/>
      <c r="I34" s="1663"/>
      <c r="J34" s="1663"/>
      <c r="K34" s="1664"/>
      <c r="L34" s="13"/>
      <c r="M34" s="13"/>
      <c r="N34" s="13"/>
      <c r="O34" s="13"/>
      <c r="P34" s="13"/>
      <c r="Q34" s="13"/>
      <c r="R34" s="13"/>
      <c r="S34" s="13"/>
      <c r="T34" s="759"/>
      <c r="U34" s="13"/>
      <c r="V34" s="13"/>
      <c r="W34" s="13"/>
      <c r="X34" s="1809" t="s">
        <v>231</v>
      </c>
      <c r="Y34" s="1810"/>
      <c r="Z34" s="1810"/>
      <c r="AA34" s="1810"/>
      <c r="AB34" s="1810"/>
      <c r="AC34" s="1811"/>
      <c r="AD34" s="180" t="s">
        <v>250</v>
      </c>
    </row>
    <row r="35" spans="2:35">
      <c r="B35" s="1665"/>
      <c r="C35" s="1265" t="s">
        <v>230</v>
      </c>
      <c r="D35" s="1265" t="s">
        <v>755</v>
      </c>
      <c r="E35" s="1265" t="s">
        <v>755</v>
      </c>
      <c r="F35" s="1807" t="s">
        <v>231</v>
      </c>
      <c r="G35" s="1807"/>
      <c r="H35" s="1807"/>
      <c r="I35" s="1807"/>
      <c r="J35" s="1807"/>
      <c r="K35" s="1808"/>
      <c r="L35" s="13"/>
      <c r="M35" s="13"/>
      <c r="N35" s="13"/>
      <c r="O35" s="13"/>
      <c r="P35" s="13"/>
      <c r="Q35" s="13"/>
      <c r="R35" s="13"/>
      <c r="S35" s="13"/>
      <c r="T35" s="759"/>
      <c r="U35" s="13"/>
      <c r="V35" s="13"/>
      <c r="W35" s="13"/>
      <c r="X35" s="1809" t="s">
        <v>234</v>
      </c>
      <c r="Y35" s="1810"/>
      <c r="Z35" s="1810"/>
      <c r="AA35" s="1810"/>
      <c r="AB35" s="1810"/>
      <c r="AC35" s="1811"/>
      <c r="AD35" s="180" t="s">
        <v>234</v>
      </c>
    </row>
    <row r="36" spans="2:35">
      <c r="B36" s="1665"/>
      <c r="C36" s="1265" t="s">
        <v>232</v>
      </c>
      <c r="D36" s="1265" t="s">
        <v>233</v>
      </c>
      <c r="E36" s="1265" t="s">
        <v>233</v>
      </c>
      <c r="F36" s="1807" t="s">
        <v>234</v>
      </c>
      <c r="G36" s="1807"/>
      <c r="H36" s="1807"/>
      <c r="I36" s="1807"/>
      <c r="J36" s="1807"/>
      <c r="K36" s="1808"/>
      <c r="L36" s="13"/>
      <c r="M36" s="13"/>
      <c r="N36" s="13"/>
      <c r="O36" s="13"/>
      <c r="P36" s="13"/>
      <c r="Q36" s="13"/>
      <c r="R36" s="13"/>
      <c r="S36" s="13"/>
      <c r="T36" s="759"/>
      <c r="U36" s="13"/>
      <c r="V36" s="13"/>
      <c r="W36" s="13"/>
      <c r="X36" s="135">
        <v>0.1</v>
      </c>
      <c r="Y36" s="136">
        <v>0.01</v>
      </c>
      <c r="Z36" s="136">
        <v>1E-3</v>
      </c>
      <c r="AA36" s="136">
        <v>1E-4</v>
      </c>
      <c r="AB36" s="137">
        <v>1.0000000000000001E-5</v>
      </c>
      <c r="AC36" s="137">
        <v>9.9999999999999995E-7</v>
      </c>
      <c r="AD36" s="64">
        <v>0.1</v>
      </c>
      <c r="AE36" s="68">
        <v>0.01</v>
      </c>
      <c r="AF36" s="71">
        <v>1E-3</v>
      </c>
      <c r="AG36" s="71">
        <v>1E-4</v>
      </c>
      <c r="AH36" s="66">
        <v>1.0000000000000001E-5</v>
      </c>
      <c r="AI36" s="752">
        <v>9.9999999999999995E-7</v>
      </c>
    </row>
    <row r="37" spans="2:35">
      <c r="B37" s="1666" t="s">
        <v>235</v>
      </c>
      <c r="C37" s="1667" t="s">
        <v>236</v>
      </c>
      <c r="D37" s="1667" t="s">
        <v>237</v>
      </c>
      <c r="E37" s="1667" t="s">
        <v>238</v>
      </c>
      <c r="F37" s="1668">
        <v>0.1</v>
      </c>
      <c r="G37" s="1669">
        <v>0.01</v>
      </c>
      <c r="H37" s="1669">
        <v>1E-3</v>
      </c>
      <c r="I37" s="1670">
        <v>1E-4</v>
      </c>
      <c r="J37" s="1671">
        <v>1.0000000000000001E-5</v>
      </c>
      <c r="K37" s="1672">
        <v>9.9999999999999995E-7</v>
      </c>
      <c r="L37" s="750"/>
      <c r="M37" s="750"/>
      <c r="N37" s="750"/>
      <c r="O37" s="750"/>
      <c r="P37" s="750"/>
      <c r="Q37" s="750"/>
      <c r="R37" s="750"/>
      <c r="S37" s="750"/>
      <c r="T37" s="762"/>
      <c r="U37" s="13"/>
      <c r="V37" s="13"/>
      <c r="W37" s="13"/>
      <c r="X37" s="128">
        <v>-0.89159395621341653</v>
      </c>
      <c r="Y37" s="129">
        <v>-0.64112264590167056</v>
      </c>
      <c r="Z37" s="129">
        <v>-0.35742830976285084</v>
      </c>
      <c r="AA37" s="129">
        <v>8.3742895685591914E-2</v>
      </c>
      <c r="AB37" s="130">
        <v>2.181831727331498</v>
      </c>
      <c r="AC37" s="130">
        <v>22.601204039412281</v>
      </c>
      <c r="AD37" s="65">
        <f t="shared" ref="AD37:AI40" si="8">(1-EXP(((-1*$E$47*$C38*(1-0.9997))/$E$48)*(((($E38*X37)*$E$49)+(EXP(-1*($E38*X37)*$E$49))-1)/(($E38*X37)^2))))*100</f>
        <v>9.9999999999999982</v>
      </c>
      <c r="AE37" s="69">
        <f t="shared" si="8"/>
        <v>1.000000000000012</v>
      </c>
      <c r="AF37" s="65">
        <f t="shared" si="8"/>
        <v>0.10000000148970845</v>
      </c>
      <c r="AG37" s="65">
        <f t="shared" si="8"/>
        <v>9.9999997634214743E-3</v>
      </c>
      <c r="AH37" s="70">
        <f t="shared" si="8"/>
        <v>9.9999992859700626E-4</v>
      </c>
      <c r="AI37" s="753">
        <f t="shared" si="8"/>
        <v>9.9999990055277266E-5</v>
      </c>
    </row>
    <row r="38" spans="2:35">
      <c r="B38" s="100" t="s">
        <v>239</v>
      </c>
      <c r="C38" s="194">
        <f>C18</f>
        <v>6</v>
      </c>
      <c r="D38" s="249">
        <f>D18</f>
        <v>12</v>
      </c>
      <c r="E38" s="195">
        <f>E18</f>
        <v>0.2</v>
      </c>
      <c r="F38" s="172">
        <f t="shared" ref="F38:K41" si="9">ROUND(X37,0)</f>
        <v>-1</v>
      </c>
      <c r="G38" s="172">
        <f t="shared" si="9"/>
        <v>-1</v>
      </c>
      <c r="H38" s="172">
        <f t="shared" si="9"/>
        <v>0</v>
      </c>
      <c r="I38" s="172">
        <f t="shared" si="9"/>
        <v>0</v>
      </c>
      <c r="J38" s="172">
        <f t="shared" si="9"/>
        <v>2</v>
      </c>
      <c r="K38" s="173">
        <f t="shared" si="9"/>
        <v>23</v>
      </c>
      <c r="L38" s="171"/>
      <c r="M38" s="171"/>
      <c r="N38" s="171"/>
      <c r="O38" s="171"/>
      <c r="P38" s="171"/>
      <c r="Q38" s="171"/>
      <c r="R38" s="171"/>
      <c r="S38" s="171"/>
      <c r="T38" s="758"/>
      <c r="U38" s="763"/>
      <c r="V38" s="763"/>
      <c r="W38" s="196"/>
      <c r="X38" s="116">
        <v>-0.696865756269888</v>
      </c>
      <c r="Y38" s="117">
        <v>-0.41968984919387808</v>
      </c>
      <c r="Z38" s="117">
        <v>-3.5928114336420437E-2</v>
      </c>
      <c r="AA38" s="117">
        <v>1.3478104009975314</v>
      </c>
      <c r="AB38" s="118">
        <v>14.283181533638235</v>
      </c>
      <c r="AC38" s="118">
        <v>143.58730812694657</v>
      </c>
      <c r="AD38" s="65">
        <f t="shared" si="8"/>
        <v>9.9999999999999982</v>
      </c>
      <c r="AE38" s="69">
        <f t="shared" si="8"/>
        <v>1.0000000000000009</v>
      </c>
      <c r="AF38" s="65">
        <f t="shared" si="8"/>
        <v>0.10000000148944199</v>
      </c>
      <c r="AG38" s="65">
        <f t="shared" si="8"/>
        <v>9.9999997399957685E-3</v>
      </c>
      <c r="AH38" s="70">
        <f t="shared" si="8"/>
        <v>9.9999992968502482E-4</v>
      </c>
      <c r="AI38" s="753">
        <f t="shared" si="8"/>
        <v>9.9999990077481726E-5</v>
      </c>
    </row>
    <row r="39" spans="2:35">
      <c r="B39" s="33" t="s">
        <v>240</v>
      </c>
      <c r="C39" s="187">
        <f t="shared" ref="C39:D41" si="10">C19</f>
        <v>38</v>
      </c>
      <c r="D39" s="247">
        <f t="shared" si="10"/>
        <v>12</v>
      </c>
      <c r="E39" s="196">
        <f t="shared" ref="E39:E41" si="11">E19</f>
        <v>0.2</v>
      </c>
      <c r="F39" s="171">
        <f t="shared" si="9"/>
        <v>-1</v>
      </c>
      <c r="G39" s="171">
        <f t="shared" si="9"/>
        <v>0</v>
      </c>
      <c r="H39" s="171">
        <f t="shared" si="9"/>
        <v>0</v>
      </c>
      <c r="I39" s="171">
        <f t="shared" si="9"/>
        <v>1</v>
      </c>
      <c r="J39" s="171">
        <f t="shared" si="9"/>
        <v>14</v>
      </c>
      <c r="K39" s="174">
        <f t="shared" si="9"/>
        <v>144</v>
      </c>
      <c r="L39" s="171"/>
      <c r="M39" s="171"/>
      <c r="N39" s="171"/>
      <c r="O39" s="171"/>
      <c r="P39" s="171"/>
      <c r="Q39" s="171"/>
      <c r="R39" s="171"/>
      <c r="S39" s="171"/>
      <c r="T39" s="758"/>
      <c r="U39" s="763"/>
      <c r="V39" s="763"/>
      <c r="W39" s="196"/>
      <c r="X39" s="116">
        <v>-0.59556304406858884</v>
      </c>
      <c r="Y39" s="117">
        <v>-0.29299683129560827</v>
      </c>
      <c r="Z39" s="117">
        <v>0.23798917686934515</v>
      </c>
      <c r="AA39" s="117">
        <v>3.4683981510309363</v>
      </c>
      <c r="AB39" s="118">
        <v>35.455901084080878</v>
      </c>
      <c r="AC39" s="118">
        <v>355.31256414691779</v>
      </c>
      <c r="AD39" s="65">
        <f t="shared" si="8"/>
        <v>9.9999999999999858</v>
      </c>
      <c r="AE39" s="69">
        <f t="shared" si="8"/>
        <v>0.999999999999579</v>
      </c>
      <c r="AF39" s="65">
        <f t="shared" si="8"/>
        <v>0.10000000149008592</v>
      </c>
      <c r="AG39" s="65">
        <f t="shared" si="8"/>
        <v>9.9999997570709986E-3</v>
      </c>
      <c r="AH39" s="70">
        <f t="shared" si="8"/>
        <v>9.9999992977384267E-4</v>
      </c>
      <c r="AI39" s="753">
        <f t="shared" si="8"/>
        <v>9.9999990066379496E-5</v>
      </c>
    </row>
    <row r="40" spans="2:35">
      <c r="B40" s="33" t="s">
        <v>241</v>
      </c>
      <c r="C40" s="187">
        <f t="shared" si="10"/>
        <v>94</v>
      </c>
      <c r="D40" s="247">
        <f t="shared" si="10"/>
        <v>12</v>
      </c>
      <c r="E40" s="196">
        <f t="shared" si="11"/>
        <v>0.2</v>
      </c>
      <c r="F40" s="171">
        <f t="shared" si="9"/>
        <v>-1</v>
      </c>
      <c r="G40" s="171">
        <f t="shared" si="9"/>
        <v>0</v>
      </c>
      <c r="H40" s="171">
        <f t="shared" si="9"/>
        <v>0</v>
      </c>
      <c r="I40" s="171">
        <f t="shared" si="9"/>
        <v>3</v>
      </c>
      <c r="J40" s="171">
        <f t="shared" si="9"/>
        <v>35</v>
      </c>
      <c r="K40" s="174">
        <f t="shared" si="9"/>
        <v>355</v>
      </c>
      <c r="L40" s="171"/>
      <c r="M40" s="171"/>
      <c r="N40" s="171"/>
      <c r="O40" s="171"/>
      <c r="P40" s="171"/>
      <c r="Q40" s="171"/>
      <c r="R40" s="171"/>
      <c r="S40" s="171"/>
      <c r="T40" s="758"/>
      <c r="U40" s="763"/>
      <c r="V40" s="763"/>
      <c r="W40" s="196"/>
      <c r="X40" s="119">
        <v>-0.38578921222040524</v>
      </c>
      <c r="Y40" s="103">
        <v>3.8598204783236258E-2</v>
      </c>
      <c r="Z40" s="103">
        <v>1.8551112292035368</v>
      </c>
      <c r="AA40" s="103">
        <v>19.348693974822918</v>
      </c>
      <c r="AB40" s="104">
        <v>194.24926281258746</v>
      </c>
      <c r="AC40" s="104">
        <v>1943.2517838657304</v>
      </c>
      <c r="AD40" s="65">
        <f t="shared" si="8"/>
        <v>9.9999999999999982</v>
      </c>
      <c r="AE40" s="69">
        <f t="shared" si="8"/>
        <v>1.0000000000471077</v>
      </c>
      <c r="AF40" s="65">
        <f t="shared" si="8"/>
        <v>0.10000000149010813</v>
      </c>
      <c r="AG40" s="65">
        <f t="shared" si="8"/>
        <v>9.9999997629107718E-3</v>
      </c>
      <c r="AH40" s="70">
        <f t="shared" si="8"/>
        <v>9.9999992981825159E-4</v>
      </c>
      <c r="AI40" s="753">
        <f t="shared" si="8"/>
        <v>9.9999990066379496E-5</v>
      </c>
    </row>
    <row r="41" spans="2:35">
      <c r="B41" s="52" t="s">
        <v>242</v>
      </c>
      <c r="C41" s="190">
        <f t="shared" si="10"/>
        <v>514</v>
      </c>
      <c r="D41" s="248">
        <f t="shared" si="10"/>
        <v>12</v>
      </c>
      <c r="E41" s="197">
        <f t="shared" si="11"/>
        <v>0.2</v>
      </c>
      <c r="F41" s="175">
        <f t="shared" si="9"/>
        <v>0</v>
      </c>
      <c r="G41" s="175">
        <f t="shared" si="9"/>
        <v>0</v>
      </c>
      <c r="H41" s="175">
        <f t="shared" si="9"/>
        <v>2</v>
      </c>
      <c r="I41" s="175">
        <f t="shared" si="9"/>
        <v>19</v>
      </c>
      <c r="J41" s="175">
        <f t="shared" si="9"/>
        <v>194</v>
      </c>
      <c r="K41" s="176">
        <f t="shared" si="9"/>
        <v>1943</v>
      </c>
      <c r="L41" s="171"/>
      <c r="M41" s="171"/>
      <c r="N41" s="171"/>
      <c r="O41" s="171"/>
      <c r="P41" s="171"/>
      <c r="Q41" s="171"/>
      <c r="R41" s="171"/>
      <c r="S41" s="171"/>
      <c r="T41" s="758"/>
      <c r="U41" s="763"/>
      <c r="V41" s="763"/>
      <c r="W41" s="196"/>
    </row>
    <row r="42" spans="2:35">
      <c r="R42" s="5"/>
      <c r="S42" s="5"/>
      <c r="T42" s="758"/>
      <c r="U42" s="5"/>
      <c r="V42" s="5"/>
    </row>
    <row r="43" spans="2:35" ht="18.75">
      <c r="B43" s="2"/>
      <c r="E43" s="115" t="s">
        <v>933</v>
      </c>
      <c r="F43" s="341" t="e">
        <f t="shared" ref="F43:K43" si="12">IF(F38&lt;1,NA(),10^6/(F38*($E$28*$D$38/3600)))</f>
        <v>#N/A</v>
      </c>
      <c r="G43" s="341" t="e">
        <f t="shared" si="12"/>
        <v>#N/A</v>
      </c>
      <c r="H43" s="341" t="e">
        <f t="shared" si="12"/>
        <v>#N/A</v>
      </c>
      <c r="I43" s="341" t="e">
        <f t="shared" si="12"/>
        <v>#N/A</v>
      </c>
      <c r="J43" s="341">
        <f t="shared" si="12"/>
        <v>630134.85714285693</v>
      </c>
      <c r="K43" s="341">
        <f t="shared" si="12"/>
        <v>54794.335403726684</v>
      </c>
      <c r="L43" s="751"/>
      <c r="M43" s="751"/>
      <c r="N43" s="751"/>
      <c r="O43" s="751"/>
      <c r="P43" s="751">
        <f>LN(J43)</f>
        <v>13.353689134417282</v>
      </c>
      <c r="Q43" s="751">
        <f>LN(K43)</f>
        <v>10.911342099048078</v>
      </c>
      <c r="R43" s="754">
        <f>EXP(INDEX(LINEST($P$9:$Q$9,P43:Q43,,),1,2))</f>
        <v>29347030754.947834</v>
      </c>
      <c r="S43" s="755">
        <f>INDEX(LINEST($P$9:$Q$9,P43:Q43,,),1)</f>
        <v>-0.94277555959444903</v>
      </c>
      <c r="T43" s="756">
        <f>RSQ($L$9:$Q$9,L43:Q43)</f>
        <v>1.0000000000000004</v>
      </c>
      <c r="U43" s="5"/>
      <c r="V43" s="757"/>
    </row>
    <row r="44" spans="2:35" ht="18.75">
      <c r="E44" s="115" t="s">
        <v>448</v>
      </c>
      <c r="F44" s="341" t="e">
        <f t="shared" ref="F44:K44" si="13">IF(F41&lt;1,NA(),10^6/(F41*($E$28*$D$41/3600)))</f>
        <v>#N/A</v>
      </c>
      <c r="G44" s="341" t="e">
        <f t="shared" si="13"/>
        <v>#N/A</v>
      </c>
      <c r="H44" s="341">
        <f t="shared" si="13"/>
        <v>630134.85714285693</v>
      </c>
      <c r="I44" s="341">
        <f t="shared" si="13"/>
        <v>66329.984962405986</v>
      </c>
      <c r="J44" s="341">
        <f t="shared" si="13"/>
        <v>6496.2356406480085</v>
      </c>
      <c r="K44" s="341">
        <f t="shared" si="13"/>
        <v>648.62054260716093</v>
      </c>
      <c r="L44" s="751"/>
      <c r="M44" s="751"/>
      <c r="N44" s="751">
        <f>LN(H44)</f>
        <v>13.353689134417282</v>
      </c>
      <c r="O44" s="751">
        <f>LN(I44)</f>
        <v>11.102397335810787</v>
      </c>
      <c r="P44" s="751">
        <f>LN(J44)</f>
        <v>8.7789781559138991</v>
      </c>
      <c r="Q44" s="751">
        <f>LN(K44)</f>
        <v>6.474847865599787</v>
      </c>
      <c r="R44" s="754">
        <f>EXP(INDEX(LINEST($N$9:$Q$9,N44:Q44,,),1,2))</f>
        <v>666257660.5500803</v>
      </c>
      <c r="S44" s="755">
        <f>INDEX(LINEST($N$9:$Q$9,N44:Q44,,),1)</f>
        <v>-1.0028281089752389</v>
      </c>
      <c r="T44" s="756">
        <f>RSQ($L$9:$Q$9,L44:Q44)</f>
        <v>0.99995766832837663</v>
      </c>
      <c r="U44" s="5"/>
      <c r="V44" s="757"/>
    </row>
    <row r="46" spans="2:35">
      <c r="B46" s="2" t="s">
        <v>243</v>
      </c>
      <c r="I46" s="115"/>
      <c r="J46" s="115"/>
    </row>
    <row r="47" spans="2:35" ht="18.75">
      <c r="D47" s="107" t="s">
        <v>245</v>
      </c>
      <c r="E47" s="16">
        <f>E27</f>
        <v>0.01</v>
      </c>
      <c r="F47" s="16"/>
      <c r="G47" s="16"/>
      <c r="H47" s="16"/>
      <c r="I47" s="115"/>
      <c r="J47" s="115"/>
      <c r="K47" s="341"/>
      <c r="L47" s="341"/>
      <c r="M47" s="341"/>
      <c r="N47" s="341"/>
      <c r="O47" s="341"/>
      <c r="P47" s="341"/>
      <c r="Q47" s="341"/>
      <c r="R47" s="341"/>
      <c r="S47" s="341"/>
      <c r="T47" s="341"/>
      <c r="U47" s="16"/>
      <c r="V47" s="16"/>
      <c r="W47" s="16"/>
    </row>
    <row r="48" spans="2:35" ht="18.75">
      <c r="D48" s="107" t="s">
        <v>246</v>
      </c>
      <c r="E48" s="170">
        <f>E28</f>
        <v>238.04428258440831</v>
      </c>
      <c r="F48" s="170"/>
      <c r="G48" s="170"/>
      <c r="H48" s="170"/>
      <c r="I48" s="170"/>
      <c r="J48" s="170"/>
      <c r="K48" s="170"/>
      <c r="L48" s="170"/>
      <c r="M48" s="170"/>
      <c r="N48" s="170"/>
      <c r="O48" s="170"/>
      <c r="P48" s="170"/>
      <c r="Q48" s="170"/>
      <c r="R48" s="170"/>
      <c r="S48" s="170"/>
      <c r="T48" s="170"/>
      <c r="U48" s="170"/>
      <c r="V48" s="170"/>
      <c r="W48" s="170"/>
    </row>
    <row r="49" spans="4:23">
      <c r="D49" s="107" t="s">
        <v>244</v>
      </c>
      <c r="E49" s="16">
        <f>E29</f>
        <v>60</v>
      </c>
      <c r="F49" s="16"/>
      <c r="G49" s="16"/>
      <c r="H49" s="16"/>
      <c r="I49" s="16"/>
      <c r="J49" s="16"/>
      <c r="K49" s="16"/>
      <c r="L49" s="16"/>
      <c r="M49" s="16"/>
      <c r="N49" s="16"/>
      <c r="O49" s="16"/>
      <c r="P49" s="16"/>
      <c r="Q49" s="16"/>
      <c r="R49" s="16"/>
      <c r="S49" s="16"/>
      <c r="T49" s="16"/>
      <c r="U49" s="16"/>
      <c r="V49" s="16"/>
      <c r="W49" s="16"/>
    </row>
    <row r="51" spans="4:23">
      <c r="F51" s="341"/>
      <c r="G51" s="341"/>
      <c r="H51" s="341"/>
      <c r="I51" s="341"/>
      <c r="J51" s="341"/>
      <c r="K51" s="341"/>
    </row>
  </sheetData>
  <mergeCells count="8">
    <mergeCell ref="F36:K36"/>
    <mergeCell ref="X15:AC15"/>
    <mergeCell ref="X16:AC16"/>
    <mergeCell ref="X34:AC34"/>
    <mergeCell ref="X35:AC35"/>
    <mergeCell ref="F15:K15"/>
    <mergeCell ref="F16:K16"/>
    <mergeCell ref="F35:K35"/>
  </mergeCells>
  <phoneticPr fontId="0" type="noConversion"/>
  <pageMargins left="0.75" right="0.75" top="0.75" bottom="0.75" header="0.5" footer="0.5"/>
  <pageSetup scale="69" orientation="portrait" blackAndWhite="1" useFirstPageNumber="1" r:id="rId1"/>
  <headerFooter scaleWithDoc="0" alignWithMargins="0">
    <oddFooter>&amp;C&amp;9Page &amp;P of &amp;N</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0">
    <tabColor theme="7" tint="0.59999389629810485"/>
    <pageSetUpPr fitToPage="1"/>
  </sheetPr>
  <dimension ref="B1:Y44"/>
  <sheetViews>
    <sheetView view="pageBreakPreview" zoomScale="75" zoomScaleNormal="55" zoomScaleSheetLayoutView="75" workbookViewId="0">
      <selection activeCell="N10" sqref="N10:P12"/>
    </sheetView>
  </sheetViews>
  <sheetFormatPr defaultRowHeight="15.75"/>
  <cols>
    <col min="2" max="2" width="4.75" customWidth="1"/>
    <col min="3" max="3" width="6.5" customWidth="1"/>
    <col min="4" max="4" width="10.25" customWidth="1"/>
    <col min="5" max="5" width="12.25" customWidth="1"/>
    <col min="6" max="6" width="26.25" customWidth="1"/>
    <col min="7" max="7" width="9.5" hidden="1" customWidth="1"/>
    <col min="8" max="8" width="8" hidden="1" customWidth="1"/>
    <col min="9" max="9" width="16" customWidth="1"/>
    <col min="10" max="10" width="37.125" customWidth="1"/>
    <col min="11" max="13" width="10.625" customWidth="1"/>
    <col min="14" max="19" width="14.625" customWidth="1"/>
    <col min="20" max="20" width="6.25" customWidth="1"/>
    <col min="23" max="25" width="9" style="1343"/>
  </cols>
  <sheetData>
    <row r="1" spans="2:25">
      <c r="J1" s="1351" t="s">
        <v>1531</v>
      </c>
      <c r="K1" s="2"/>
      <c r="L1" s="2"/>
      <c r="M1" s="2"/>
      <c r="N1" s="1351" t="s">
        <v>1533</v>
      </c>
      <c r="O1" s="2"/>
      <c r="P1" s="2"/>
      <c r="Q1" s="1351" t="s">
        <v>1535</v>
      </c>
      <c r="R1" s="2"/>
      <c r="S1" s="2"/>
    </row>
    <row r="2" spans="2:25" ht="20.25">
      <c r="B2" s="120" t="str">
        <f>SourceProjectName1</f>
        <v>Project Name 1</v>
      </c>
      <c r="J2" s="1351" t="s">
        <v>1532</v>
      </c>
      <c r="K2" s="2"/>
      <c r="L2" s="2"/>
      <c r="M2" s="2"/>
      <c r="N2" s="1351" t="s">
        <v>1543</v>
      </c>
      <c r="O2" s="2"/>
      <c r="P2" s="2"/>
      <c r="Q2" s="1351" t="s">
        <v>1536</v>
      </c>
      <c r="R2" s="2"/>
      <c r="S2" s="2"/>
    </row>
    <row r="3" spans="2:25" ht="20.25">
      <c r="B3" s="120" t="str">
        <f>SourceProjectName2</f>
        <v>Project Name 2</v>
      </c>
      <c r="F3" s="4"/>
    </row>
    <row r="4" spans="2:25" ht="20.25">
      <c r="B4" s="120" t="str">
        <f>SourceProjectNumber</f>
        <v>Project Number</v>
      </c>
    </row>
    <row r="5" spans="2:25" ht="20.25">
      <c r="B5" s="837" t="s">
        <v>934</v>
      </c>
      <c r="N5" s="1812" t="s">
        <v>1542</v>
      </c>
      <c r="O5" s="1812"/>
      <c r="P5" s="1812"/>
    </row>
    <row r="6" spans="2:25" ht="20.25">
      <c r="B6" s="837" t="s">
        <v>935</v>
      </c>
      <c r="N6" s="14" t="s">
        <v>175</v>
      </c>
      <c r="O6" s="14" t="s">
        <v>175</v>
      </c>
      <c r="P6" s="14" t="s">
        <v>175</v>
      </c>
      <c r="Q6" s="14"/>
      <c r="R6" s="14"/>
      <c r="S6" s="14"/>
    </row>
    <row r="7" spans="2:25" ht="20.25">
      <c r="B7" s="838" t="s">
        <v>450</v>
      </c>
      <c r="C7" s="13"/>
      <c r="D7" s="13"/>
      <c r="E7" s="13"/>
      <c r="F7" s="13"/>
      <c r="G7" s="13"/>
      <c r="H7" s="13"/>
      <c r="J7" s="1329"/>
      <c r="K7" s="13"/>
      <c r="L7" s="13"/>
      <c r="M7" s="13"/>
      <c r="N7" s="1340">
        <f>'Isolation Criteria'!$H$24</f>
        <v>194.66631360607258</v>
      </c>
      <c r="O7" s="1341">
        <f>'Isolation Criteria'!$I$24</f>
        <v>19.45611291834371</v>
      </c>
      <c r="P7" s="1342">
        <f>'Isolation Criteria'!$J$24</f>
        <v>1.9455362035980299</v>
      </c>
      <c r="Q7" s="1340"/>
      <c r="R7" s="1344">
        <f>R9*365/8760</f>
        <v>0.5</v>
      </c>
      <c r="S7" s="1353" t="s">
        <v>1540</v>
      </c>
    </row>
    <row r="8" spans="2:25">
      <c r="B8" s="100"/>
      <c r="C8" s="1082" t="s">
        <v>449</v>
      </c>
      <c r="D8" s="31"/>
      <c r="E8" s="264" t="s">
        <v>118</v>
      </c>
      <c r="F8" s="144"/>
      <c r="G8" s="1086"/>
      <c r="H8" s="1086"/>
      <c r="I8" s="265" t="s">
        <v>368</v>
      </c>
      <c r="J8" s="707" t="s">
        <v>369</v>
      </c>
      <c r="K8" s="1745" t="s">
        <v>371</v>
      </c>
      <c r="L8" s="1813"/>
      <c r="M8" s="1725"/>
      <c r="N8" s="1726" t="s">
        <v>1529</v>
      </c>
      <c r="O8" s="1785"/>
      <c r="P8" s="1727"/>
      <c r="Q8" s="1726" t="s">
        <v>1537</v>
      </c>
      <c r="R8" s="1785"/>
      <c r="S8" s="1727"/>
      <c r="T8" s="286"/>
    </row>
    <row r="9" spans="2:25">
      <c r="B9" s="33"/>
      <c r="C9" s="1083"/>
      <c r="E9" s="266" t="s">
        <v>666</v>
      </c>
      <c r="F9" s="13" t="s">
        <v>147</v>
      </c>
      <c r="G9" s="180"/>
      <c r="H9" s="180"/>
      <c r="I9" s="286" t="s">
        <v>364</v>
      </c>
      <c r="J9" s="74" t="s">
        <v>1528</v>
      </c>
      <c r="K9" s="1738" t="s">
        <v>937</v>
      </c>
      <c r="L9" s="1739"/>
      <c r="M9" s="1740"/>
      <c r="N9" s="1738" t="s">
        <v>1530</v>
      </c>
      <c r="O9" s="1739"/>
      <c r="P9" s="1740"/>
      <c r="Q9" s="193" t="s">
        <v>1538</v>
      </c>
      <c r="R9" s="1345">
        <v>12</v>
      </c>
      <c r="S9" s="1014" t="s">
        <v>1539</v>
      </c>
      <c r="T9" s="13"/>
    </row>
    <row r="10" spans="2:25">
      <c r="B10" s="74" t="s">
        <v>160</v>
      </c>
      <c r="C10" s="1084" t="s">
        <v>663</v>
      </c>
      <c r="D10" s="13" t="s">
        <v>663</v>
      </c>
      <c r="E10" s="266" t="s">
        <v>1193</v>
      </c>
      <c r="F10" s="13" t="s">
        <v>19</v>
      </c>
      <c r="G10" s="157" t="s">
        <v>162</v>
      </c>
      <c r="H10" s="157" t="s">
        <v>162</v>
      </c>
      <c r="I10" s="13" t="s">
        <v>365</v>
      </c>
      <c r="J10" s="74" t="s">
        <v>939</v>
      </c>
      <c r="K10" s="1738" t="s">
        <v>940</v>
      </c>
      <c r="L10" s="1739"/>
      <c r="M10" s="1740"/>
      <c r="N10" s="1651"/>
      <c r="O10" s="1652"/>
      <c r="P10" s="1653"/>
      <c r="Q10" s="1726" t="s">
        <v>1541</v>
      </c>
      <c r="R10" s="1785"/>
      <c r="S10" s="1727"/>
      <c r="T10" s="13"/>
    </row>
    <row r="11" spans="2:25">
      <c r="B11" s="74" t="s">
        <v>779</v>
      </c>
      <c r="C11" s="1084" t="s">
        <v>591</v>
      </c>
      <c r="D11" s="13" t="s">
        <v>665</v>
      </c>
      <c r="E11" s="266" t="s">
        <v>363</v>
      </c>
      <c r="F11" s="13" t="s">
        <v>222</v>
      </c>
      <c r="G11" s="157" t="s">
        <v>167</v>
      </c>
      <c r="H11" s="157" t="s">
        <v>168</v>
      </c>
      <c r="I11" s="13" t="s">
        <v>163</v>
      </c>
      <c r="J11" s="74" t="s">
        <v>941</v>
      </c>
      <c r="K11" s="74" t="s">
        <v>943</v>
      </c>
      <c r="L11" s="13" t="s">
        <v>943</v>
      </c>
      <c r="M11" s="75" t="s">
        <v>943</v>
      </c>
      <c r="N11" s="1654" t="s">
        <v>943</v>
      </c>
      <c r="O11" s="1655" t="s">
        <v>943</v>
      </c>
      <c r="P11" s="1656" t="s">
        <v>943</v>
      </c>
      <c r="Q11" s="74" t="s">
        <v>943</v>
      </c>
      <c r="R11" s="13" t="s">
        <v>943</v>
      </c>
      <c r="S11" s="75" t="s">
        <v>943</v>
      </c>
    </row>
    <row r="12" spans="2:25">
      <c r="B12" s="77"/>
      <c r="C12" s="1085"/>
      <c r="D12" s="14"/>
      <c r="E12" s="267" t="s">
        <v>668</v>
      </c>
      <c r="F12" s="14" t="s">
        <v>163</v>
      </c>
      <c r="G12" s="1088" t="s">
        <v>174</v>
      </c>
      <c r="H12" s="1088" t="s">
        <v>703</v>
      </c>
      <c r="I12" s="14" t="s">
        <v>175</v>
      </c>
      <c r="J12" s="77" t="s">
        <v>943</v>
      </c>
      <c r="K12" s="1346">
        <v>10000</v>
      </c>
      <c r="L12" s="1347">
        <v>100000</v>
      </c>
      <c r="M12" s="1348">
        <v>1000000</v>
      </c>
      <c r="N12" s="1657">
        <v>10000</v>
      </c>
      <c r="O12" s="1658">
        <v>100000</v>
      </c>
      <c r="P12" s="1659">
        <v>1000000</v>
      </c>
      <c r="Q12" s="1349">
        <v>10000</v>
      </c>
      <c r="R12" s="1350">
        <v>100000</v>
      </c>
      <c r="S12" s="1330">
        <v>1000000</v>
      </c>
      <c r="T12" s="13"/>
      <c r="W12" s="1343" t="s">
        <v>1534</v>
      </c>
    </row>
    <row r="13" spans="2:25">
      <c r="B13" s="33"/>
      <c r="J13" s="33"/>
      <c r="K13" s="33"/>
      <c r="N13" s="283"/>
      <c r="O13" s="421"/>
      <c r="P13" s="284"/>
      <c r="Q13" s="283"/>
      <c r="R13" s="421"/>
      <c r="S13" s="1352"/>
      <c r="T13" s="421"/>
    </row>
    <row r="14" spans="2:25">
      <c r="B14" s="768" t="str">
        <f>INDEX(SourceDescription,MATCH($C16,SourceNumber,0),1,1)</f>
        <v>Fume Hood Exhaust 1</v>
      </c>
      <c r="J14" s="33"/>
      <c r="K14" s="33"/>
      <c r="M14" s="37"/>
      <c r="N14" s="283"/>
      <c r="O14" s="421"/>
      <c r="P14" s="284"/>
      <c r="Q14" s="283"/>
      <c r="R14" s="421"/>
      <c r="S14" s="284"/>
      <c r="T14" s="421"/>
    </row>
    <row r="15" spans="2:25">
      <c r="B15" s="767" t="str">
        <f>"("&amp;ROUND(INDEX(SourceVolumeFlowRateEnglish,MATCH($C16,SourceNumber,0),1,1),0)&amp;" cfm @ "&amp;ROUND(INDEX(SourceExitVelocityEnglish,MATCH($C16,SourceNumber,0),1,1),0)&amp;" fpm)"</f>
        <v>(1000 cfm @ 2865 fpm)</v>
      </c>
      <c r="J15" s="33"/>
      <c r="K15" s="33"/>
      <c r="M15" s="37"/>
      <c r="N15" s="283"/>
      <c r="O15" s="421"/>
      <c r="P15" s="284"/>
      <c r="Q15" s="283"/>
      <c r="R15" s="421"/>
      <c r="S15" s="284"/>
      <c r="T15" s="421"/>
    </row>
    <row r="16" spans="2:25">
      <c r="B16" s="766">
        <v>101</v>
      </c>
      <c r="C16" s="42" t="str">
        <f t="shared" ref="C16:C25" si="0">INDEX(TPSourceLetter,MATCH($B16,TPRunNumber,0),1,1)</f>
        <v>AA</v>
      </c>
      <c r="D16" s="42" t="str">
        <f t="shared" ref="D16:D25" si="1">INDEX(SourceID,MATCH($C16,SourceNumber,0),1,1)</f>
        <v>EF-1</v>
      </c>
      <c r="E16" s="648">
        <f t="shared" ref="E16:E25" si="2">INDEX(TPSourceHeight,MATCH($B16,TPRunNumber,0),1,1)</f>
        <v>10</v>
      </c>
      <c r="F16" s="649" t="str">
        <f t="shared" ref="F16:F25" si="3">INDEX(TPReceptorID1,MATCH($B16,TPRunNumber,0),1,1)&amp;INDEX(TPReceptorID2,MATCH($B16,TPRunNumber,0),1,1)</f>
        <v>1 - Receptor 1</v>
      </c>
      <c r="G16" s="318">
        <f t="shared" ref="G16:G25" si="4">INDEX(TPWWD,MATCH($B16,TPRunNumber,0),1,1)</f>
        <v>0</v>
      </c>
      <c r="H16" s="650">
        <f t="shared" ref="H16:H25" si="5">INDEX(TPWWS,MATCH($B16,TPRunNumber,0),1,1)</f>
        <v>0</v>
      </c>
      <c r="I16" s="651">
        <f t="shared" ref="I16:I25" si="6">INDEX(TPMaxCm,MATCH($B16,TPRunNumber,0),1,1)</f>
        <v>0</v>
      </c>
      <c r="J16" s="332" t="e">
        <f>'Isolation Criteria'!$R$24*'Results Iso-Wbl - No HEPA'!I16^'Isolation Criteria'!$S$24*10</f>
        <v>#DIV/0!</v>
      </c>
      <c r="K16" s="20" t="e">
        <f t="shared" ref="K16:M19" si="7">IF($J16&gt;K$12,"Yes","No")</f>
        <v>#DIV/0!</v>
      </c>
      <c r="L16" s="5" t="e">
        <f t="shared" si="7"/>
        <v>#DIV/0!</v>
      </c>
      <c r="M16" s="21" t="e">
        <f t="shared" si="7"/>
        <v>#DIV/0!</v>
      </c>
      <c r="N16" s="20">
        <f t="shared" ref="N16:N25" si="8">IF(ISERROR(INDEX(Prob_ProbTotal,MATCH(W16,Prob_ProbRunandCrit,0),1)),0,INDEX(Prob_ProbTotal,MATCH(W16,Prob_ProbRunandCrit,0),1))</f>
        <v>0</v>
      </c>
      <c r="O16" s="5">
        <f t="shared" ref="O16:O25" si="9">IF(ISERROR(INDEX(Prob_ProbTotal,MATCH(X16,Prob_ProbRunandCrit,0),1)),0,INDEX(Prob_ProbTotal,MATCH(X16,Prob_ProbRunandCrit,0),1))</f>
        <v>0</v>
      </c>
      <c r="P16" s="21">
        <f t="shared" ref="P16:P25" si="10">IF(ISERROR(INDEX(Prob_ProbTotal,MATCH(Y16,Prob_ProbRunandCrit,0),1)),0,INDEX(Prob_ProbTotal,MATCH(Y16,Prob_ProbRunandCrit,0),1))</f>
        <v>0</v>
      </c>
      <c r="Q16" s="20">
        <f>N16*$R$7</f>
        <v>0</v>
      </c>
      <c r="R16" s="5">
        <f t="shared" ref="R16:S16" si="11">O16*$R$7</f>
        <v>0</v>
      </c>
      <c r="S16" s="21">
        <f t="shared" si="11"/>
        <v>0</v>
      </c>
      <c r="T16" s="421"/>
      <c r="W16" s="1343" t="str">
        <f>$B16&amp;ROUND(N$7,0)</f>
        <v>101195</v>
      </c>
      <c r="X16" s="1343" t="str">
        <f t="shared" ref="X16:Y16" si="12">$B16&amp;ROUND(O$7,0)</f>
        <v>10119</v>
      </c>
      <c r="Y16" s="1343" t="str">
        <f t="shared" si="12"/>
        <v>1012</v>
      </c>
    </row>
    <row r="17" spans="2:25">
      <c r="B17" s="256">
        <f t="shared" ref="B17:B25" si="13">B16+1</f>
        <v>102</v>
      </c>
      <c r="C17" s="42" t="str">
        <f t="shared" si="0"/>
        <v>AA</v>
      </c>
      <c r="D17" s="42" t="str">
        <f t="shared" si="1"/>
        <v>EF-1</v>
      </c>
      <c r="E17" s="648">
        <f t="shared" si="2"/>
        <v>10</v>
      </c>
      <c r="F17" s="649" t="str">
        <f t="shared" si="3"/>
        <v>2 - Receptor 2</v>
      </c>
      <c r="G17" s="318">
        <f t="shared" si="4"/>
        <v>0</v>
      </c>
      <c r="H17" s="650">
        <f t="shared" si="5"/>
        <v>0</v>
      </c>
      <c r="I17" s="651">
        <f t="shared" si="6"/>
        <v>0</v>
      </c>
      <c r="J17" s="332" t="e">
        <f>'Isolation Criteria'!$R$24*'Results Iso-Wbl - No HEPA'!I17^'Isolation Criteria'!$S$24*10</f>
        <v>#DIV/0!</v>
      </c>
      <c r="K17" s="20" t="e">
        <f t="shared" si="7"/>
        <v>#DIV/0!</v>
      </c>
      <c r="L17" s="5" t="e">
        <f t="shared" si="7"/>
        <v>#DIV/0!</v>
      </c>
      <c r="M17" s="21" t="e">
        <f t="shared" si="7"/>
        <v>#DIV/0!</v>
      </c>
      <c r="N17" s="20">
        <f t="shared" si="8"/>
        <v>0</v>
      </c>
      <c r="O17" s="5">
        <f t="shared" si="9"/>
        <v>0</v>
      </c>
      <c r="P17" s="21">
        <f t="shared" si="10"/>
        <v>0</v>
      </c>
      <c r="Q17" s="20">
        <f t="shared" ref="Q17:Q19" si="14">N17*$R$7</f>
        <v>0</v>
      </c>
      <c r="R17" s="5">
        <f t="shared" ref="R17:R19" si="15">O17*$R$7</f>
        <v>0</v>
      </c>
      <c r="S17" s="21">
        <f t="shared" ref="S17:S19" si="16">P17*$R$7</f>
        <v>0</v>
      </c>
      <c r="T17" s="421"/>
      <c r="W17" s="1343" t="str">
        <f t="shared" ref="W17:W19" si="17">$B17&amp;ROUND(N$7,0)</f>
        <v>102195</v>
      </c>
      <c r="X17" s="1343" t="str">
        <f t="shared" ref="X17:X19" si="18">$B17&amp;ROUND(O$7,0)</f>
        <v>10219</v>
      </c>
      <c r="Y17" s="1343" t="str">
        <f t="shared" ref="Y17:Y19" si="19">$B17&amp;ROUND(P$7,0)</f>
        <v>1022</v>
      </c>
    </row>
    <row r="18" spans="2:25">
      <c r="B18" s="256">
        <f t="shared" si="13"/>
        <v>103</v>
      </c>
      <c r="C18" s="42" t="str">
        <f t="shared" si="0"/>
        <v>AA</v>
      </c>
      <c r="D18" s="42" t="str">
        <f t="shared" si="1"/>
        <v>EF-1</v>
      </c>
      <c r="E18" s="648">
        <f t="shared" si="2"/>
        <v>10</v>
      </c>
      <c r="F18" s="649" t="str">
        <f t="shared" si="3"/>
        <v>3 - Receptor 3</v>
      </c>
      <c r="G18" s="318">
        <f t="shared" si="4"/>
        <v>0</v>
      </c>
      <c r="H18" s="650">
        <f t="shared" si="5"/>
        <v>0</v>
      </c>
      <c r="I18" s="651">
        <f t="shared" si="6"/>
        <v>0</v>
      </c>
      <c r="J18" s="332" t="e">
        <f>'Isolation Criteria'!$R$24*'Results Iso-Wbl - No HEPA'!I18^'Isolation Criteria'!$S$24*10</f>
        <v>#DIV/0!</v>
      </c>
      <c r="K18" s="20" t="e">
        <f t="shared" si="7"/>
        <v>#DIV/0!</v>
      </c>
      <c r="L18" s="5" t="e">
        <f t="shared" si="7"/>
        <v>#DIV/0!</v>
      </c>
      <c r="M18" s="21" t="e">
        <f t="shared" si="7"/>
        <v>#DIV/0!</v>
      </c>
      <c r="N18" s="20">
        <f t="shared" si="8"/>
        <v>0</v>
      </c>
      <c r="O18" s="5">
        <f t="shared" si="9"/>
        <v>0</v>
      </c>
      <c r="P18" s="21">
        <f t="shared" si="10"/>
        <v>0</v>
      </c>
      <c r="Q18" s="20">
        <f t="shared" si="14"/>
        <v>0</v>
      </c>
      <c r="R18" s="5">
        <f t="shared" si="15"/>
        <v>0</v>
      </c>
      <c r="S18" s="21">
        <f t="shared" si="16"/>
        <v>0</v>
      </c>
      <c r="T18" s="421"/>
      <c r="W18" s="1343" t="str">
        <f t="shared" si="17"/>
        <v>103195</v>
      </c>
      <c r="X18" s="1343" t="str">
        <f t="shared" si="18"/>
        <v>10319</v>
      </c>
      <c r="Y18" s="1343" t="str">
        <f t="shared" si="19"/>
        <v>1032</v>
      </c>
    </row>
    <row r="19" spans="2:25">
      <c r="B19" s="256">
        <f t="shared" si="13"/>
        <v>104</v>
      </c>
      <c r="C19" s="42" t="str">
        <f t="shared" si="0"/>
        <v>AA</v>
      </c>
      <c r="D19" s="42" t="str">
        <f t="shared" si="1"/>
        <v>EF-1</v>
      </c>
      <c r="E19" s="648">
        <f t="shared" si="2"/>
        <v>10</v>
      </c>
      <c r="F19" s="649" t="str">
        <f t="shared" si="3"/>
        <v>4 - Receptor 4</v>
      </c>
      <c r="G19" s="318">
        <f t="shared" si="4"/>
        <v>0</v>
      </c>
      <c r="H19" s="650">
        <f t="shared" si="5"/>
        <v>0</v>
      </c>
      <c r="I19" s="651">
        <f t="shared" si="6"/>
        <v>0</v>
      </c>
      <c r="J19" s="332" t="e">
        <f>'Isolation Criteria'!$R$24*'Results Iso-Wbl - No HEPA'!I19^'Isolation Criteria'!$S$24*10</f>
        <v>#DIV/0!</v>
      </c>
      <c r="K19" s="20" t="e">
        <f t="shared" si="7"/>
        <v>#DIV/0!</v>
      </c>
      <c r="L19" s="5" t="e">
        <f t="shared" si="7"/>
        <v>#DIV/0!</v>
      </c>
      <c r="M19" s="21" t="e">
        <f t="shared" si="7"/>
        <v>#DIV/0!</v>
      </c>
      <c r="N19" s="20">
        <f t="shared" si="8"/>
        <v>0</v>
      </c>
      <c r="O19" s="5">
        <f t="shared" si="9"/>
        <v>0</v>
      </c>
      <c r="P19" s="21">
        <f t="shared" si="10"/>
        <v>0</v>
      </c>
      <c r="Q19" s="20">
        <f t="shared" si="14"/>
        <v>0</v>
      </c>
      <c r="R19" s="5">
        <f t="shared" si="15"/>
        <v>0</v>
      </c>
      <c r="S19" s="21">
        <f t="shared" si="16"/>
        <v>0</v>
      </c>
      <c r="T19" s="421"/>
      <c r="W19" s="1343" t="str">
        <f t="shared" si="17"/>
        <v>104195</v>
      </c>
      <c r="X19" s="1343" t="str">
        <f t="shared" si="18"/>
        <v>10419</v>
      </c>
      <c r="Y19" s="1343" t="str">
        <f t="shared" si="19"/>
        <v>1042</v>
      </c>
    </row>
    <row r="20" spans="2:25">
      <c r="B20" s="256">
        <f t="shared" si="13"/>
        <v>105</v>
      </c>
      <c r="C20" s="42" t="str">
        <f t="shared" si="0"/>
        <v>AA</v>
      </c>
      <c r="D20" s="42" t="str">
        <f t="shared" si="1"/>
        <v>EF-1</v>
      </c>
      <c r="E20" s="648">
        <f t="shared" si="2"/>
        <v>10</v>
      </c>
      <c r="F20" s="649" t="str">
        <f t="shared" si="3"/>
        <v>5 - Receptor 5</v>
      </c>
      <c r="G20" s="318">
        <f t="shared" si="4"/>
        <v>0</v>
      </c>
      <c r="H20" s="650">
        <f t="shared" si="5"/>
        <v>0</v>
      </c>
      <c r="I20" s="651">
        <f t="shared" si="6"/>
        <v>0</v>
      </c>
      <c r="J20" s="332" t="e">
        <f>'Isolation Criteria'!$R$24*'Results Iso-Wbl - No HEPA'!I20^'Isolation Criteria'!$S$24*10</f>
        <v>#DIV/0!</v>
      </c>
      <c r="K20" s="20" t="e">
        <f t="shared" ref="K20:M25" si="20">IF($J20&gt;K$12,"Yes","No")</f>
        <v>#DIV/0!</v>
      </c>
      <c r="L20" s="5" t="e">
        <f t="shared" si="20"/>
        <v>#DIV/0!</v>
      </c>
      <c r="M20" s="21" t="e">
        <f t="shared" si="20"/>
        <v>#DIV/0!</v>
      </c>
      <c r="N20" s="20">
        <f t="shared" si="8"/>
        <v>0</v>
      </c>
      <c r="O20" s="5">
        <f t="shared" si="9"/>
        <v>0</v>
      </c>
      <c r="P20" s="21">
        <f t="shared" si="10"/>
        <v>0</v>
      </c>
      <c r="Q20" s="20">
        <f t="shared" ref="Q20:Q22" si="21">N20*$R$7</f>
        <v>0</v>
      </c>
      <c r="R20" s="5">
        <f t="shared" ref="R20:R22" si="22">O20*$R$7</f>
        <v>0</v>
      </c>
      <c r="S20" s="21">
        <f t="shared" ref="S20:S22" si="23">P20*$R$7</f>
        <v>0</v>
      </c>
      <c r="T20" s="421"/>
      <c r="W20" s="1343" t="str">
        <f t="shared" ref="W20:W22" si="24">$B20&amp;ROUND(N$7,0)</f>
        <v>105195</v>
      </c>
      <c r="X20" s="1343" t="str">
        <f t="shared" ref="X20:X22" si="25">$B20&amp;ROUND(O$7,0)</f>
        <v>10519</v>
      </c>
      <c r="Y20" s="1343" t="str">
        <f t="shared" ref="Y20:Y22" si="26">$B20&amp;ROUND(P$7,0)</f>
        <v>1052</v>
      </c>
    </row>
    <row r="21" spans="2:25">
      <c r="B21" s="256">
        <f t="shared" si="13"/>
        <v>106</v>
      </c>
      <c r="C21" s="42" t="str">
        <f t="shared" si="0"/>
        <v>AA</v>
      </c>
      <c r="D21" s="42" t="str">
        <f t="shared" si="1"/>
        <v>EF-1</v>
      </c>
      <c r="E21" s="648">
        <f t="shared" si="2"/>
        <v>10</v>
      </c>
      <c r="F21" s="649" t="str">
        <f t="shared" si="3"/>
        <v>6 - Receptor 6</v>
      </c>
      <c r="G21" s="318">
        <f t="shared" si="4"/>
        <v>0</v>
      </c>
      <c r="H21" s="650">
        <f t="shared" si="5"/>
        <v>0</v>
      </c>
      <c r="I21" s="651">
        <f t="shared" si="6"/>
        <v>0</v>
      </c>
      <c r="J21" s="332" t="e">
        <f>'Isolation Criteria'!$R$24*'Results Iso-Wbl - No HEPA'!I21^'Isolation Criteria'!$S$24*10</f>
        <v>#DIV/0!</v>
      </c>
      <c r="K21" s="20" t="e">
        <f t="shared" si="20"/>
        <v>#DIV/0!</v>
      </c>
      <c r="L21" s="5" t="e">
        <f t="shared" si="20"/>
        <v>#DIV/0!</v>
      </c>
      <c r="M21" s="21" t="e">
        <f t="shared" si="20"/>
        <v>#DIV/0!</v>
      </c>
      <c r="N21" s="20">
        <f t="shared" si="8"/>
        <v>0</v>
      </c>
      <c r="O21" s="5">
        <f t="shared" si="9"/>
        <v>0</v>
      </c>
      <c r="P21" s="21">
        <f t="shared" si="10"/>
        <v>0</v>
      </c>
      <c r="Q21" s="20">
        <f t="shared" si="21"/>
        <v>0</v>
      </c>
      <c r="R21" s="5">
        <f t="shared" si="22"/>
        <v>0</v>
      </c>
      <c r="S21" s="21">
        <f t="shared" si="23"/>
        <v>0</v>
      </c>
      <c r="T21" s="421"/>
      <c r="W21" s="1343" t="str">
        <f t="shared" si="24"/>
        <v>106195</v>
      </c>
      <c r="X21" s="1343" t="str">
        <f t="shared" si="25"/>
        <v>10619</v>
      </c>
      <c r="Y21" s="1343" t="str">
        <f t="shared" si="26"/>
        <v>1062</v>
      </c>
    </row>
    <row r="22" spans="2:25">
      <c r="B22" s="256">
        <f t="shared" si="13"/>
        <v>107</v>
      </c>
      <c r="C22" s="42" t="str">
        <f t="shared" si="0"/>
        <v>AA</v>
      </c>
      <c r="D22" s="42" t="str">
        <f t="shared" si="1"/>
        <v>EF-1</v>
      </c>
      <c r="E22" s="648">
        <f t="shared" si="2"/>
        <v>10</v>
      </c>
      <c r="F22" s="649" t="str">
        <f t="shared" si="3"/>
        <v>7 - Receptor 7</v>
      </c>
      <c r="G22" s="318">
        <f t="shared" si="4"/>
        <v>0</v>
      </c>
      <c r="H22" s="650">
        <f t="shared" si="5"/>
        <v>0</v>
      </c>
      <c r="I22" s="651">
        <f t="shared" si="6"/>
        <v>0</v>
      </c>
      <c r="J22" s="332" t="e">
        <f>'Isolation Criteria'!$R$24*'Results Iso-Wbl - No HEPA'!I22^'Isolation Criteria'!$S$24*10</f>
        <v>#DIV/0!</v>
      </c>
      <c r="K22" s="20" t="e">
        <f t="shared" si="20"/>
        <v>#DIV/0!</v>
      </c>
      <c r="L22" s="5" t="e">
        <f t="shared" si="20"/>
        <v>#DIV/0!</v>
      </c>
      <c r="M22" s="21" t="e">
        <f t="shared" si="20"/>
        <v>#DIV/0!</v>
      </c>
      <c r="N22" s="20">
        <f t="shared" si="8"/>
        <v>0</v>
      </c>
      <c r="O22" s="5">
        <f t="shared" si="9"/>
        <v>0</v>
      </c>
      <c r="P22" s="21">
        <f t="shared" si="10"/>
        <v>0</v>
      </c>
      <c r="Q22" s="20">
        <f t="shared" si="21"/>
        <v>0</v>
      </c>
      <c r="R22" s="5">
        <f t="shared" si="22"/>
        <v>0</v>
      </c>
      <c r="S22" s="21">
        <f t="shared" si="23"/>
        <v>0</v>
      </c>
      <c r="T22" s="421"/>
      <c r="W22" s="1343" t="str">
        <f t="shared" si="24"/>
        <v>107195</v>
      </c>
      <c r="X22" s="1343" t="str">
        <f t="shared" si="25"/>
        <v>10719</v>
      </c>
      <c r="Y22" s="1343" t="str">
        <f t="shared" si="26"/>
        <v>1072</v>
      </c>
    </row>
    <row r="23" spans="2:25">
      <c r="B23" s="256">
        <f t="shared" si="13"/>
        <v>108</v>
      </c>
      <c r="C23" s="42" t="str">
        <f t="shared" si="0"/>
        <v>AA</v>
      </c>
      <c r="D23" s="42" t="str">
        <f t="shared" si="1"/>
        <v>EF-1</v>
      </c>
      <c r="E23" s="648">
        <f t="shared" si="2"/>
        <v>10</v>
      </c>
      <c r="F23" s="649" t="str">
        <f t="shared" si="3"/>
        <v>8 - Receptor 8</v>
      </c>
      <c r="G23" s="318">
        <f t="shared" si="4"/>
        <v>0</v>
      </c>
      <c r="H23" s="650">
        <f t="shared" si="5"/>
        <v>0</v>
      </c>
      <c r="I23" s="651">
        <f t="shared" si="6"/>
        <v>0</v>
      </c>
      <c r="J23" s="332" t="e">
        <f>'Isolation Criteria'!$R$24*'Results Iso-Wbl - No HEPA'!I23^'Isolation Criteria'!$S$24*10</f>
        <v>#DIV/0!</v>
      </c>
      <c r="K23" s="20" t="e">
        <f t="shared" si="20"/>
        <v>#DIV/0!</v>
      </c>
      <c r="L23" s="5" t="e">
        <f t="shared" si="20"/>
        <v>#DIV/0!</v>
      </c>
      <c r="M23" s="21" t="e">
        <f t="shared" si="20"/>
        <v>#DIV/0!</v>
      </c>
      <c r="N23" s="20">
        <f t="shared" si="8"/>
        <v>0</v>
      </c>
      <c r="O23" s="5">
        <f t="shared" si="9"/>
        <v>0</v>
      </c>
      <c r="P23" s="21">
        <f t="shared" si="10"/>
        <v>0</v>
      </c>
      <c r="Q23" s="20">
        <f t="shared" ref="Q23:Q25" si="27">N23*$R$7</f>
        <v>0</v>
      </c>
      <c r="R23" s="5">
        <f t="shared" ref="R23:R25" si="28">O23*$R$7</f>
        <v>0</v>
      </c>
      <c r="S23" s="21">
        <f t="shared" ref="S23:S25" si="29">P23*$R$7</f>
        <v>0</v>
      </c>
      <c r="T23" s="421"/>
      <c r="W23" s="1343" t="str">
        <f t="shared" ref="W23:W25" si="30">$B23&amp;ROUND(N$7,0)</f>
        <v>108195</v>
      </c>
      <c r="X23" s="1343" t="str">
        <f t="shared" ref="X23:X25" si="31">$B23&amp;ROUND(O$7,0)</f>
        <v>10819</v>
      </c>
      <c r="Y23" s="1343" t="str">
        <f t="shared" ref="Y23:Y25" si="32">$B23&amp;ROUND(P$7,0)</f>
        <v>1082</v>
      </c>
    </row>
    <row r="24" spans="2:25">
      <c r="B24" s="256">
        <f t="shared" si="13"/>
        <v>109</v>
      </c>
      <c r="C24" s="42" t="str">
        <f t="shared" si="0"/>
        <v>AA</v>
      </c>
      <c r="D24" s="42" t="str">
        <f t="shared" si="1"/>
        <v>EF-1</v>
      </c>
      <c r="E24" s="648">
        <f t="shared" si="2"/>
        <v>10</v>
      </c>
      <c r="F24" s="649" t="str">
        <f t="shared" si="3"/>
        <v>9 - Receptor 9</v>
      </c>
      <c r="G24" s="318">
        <f t="shared" si="4"/>
        <v>0</v>
      </c>
      <c r="H24" s="650">
        <f t="shared" si="5"/>
        <v>0</v>
      </c>
      <c r="I24" s="651">
        <f t="shared" si="6"/>
        <v>0</v>
      </c>
      <c r="J24" s="332" t="e">
        <f>'Isolation Criteria'!$R$24*'Results Iso-Wbl - No HEPA'!I24^'Isolation Criteria'!$S$24*10</f>
        <v>#DIV/0!</v>
      </c>
      <c r="K24" s="20" t="e">
        <f t="shared" si="20"/>
        <v>#DIV/0!</v>
      </c>
      <c r="L24" s="5" t="e">
        <f t="shared" si="20"/>
        <v>#DIV/0!</v>
      </c>
      <c r="M24" s="21" t="e">
        <f t="shared" si="20"/>
        <v>#DIV/0!</v>
      </c>
      <c r="N24" s="20">
        <f t="shared" si="8"/>
        <v>0</v>
      </c>
      <c r="O24" s="5">
        <f t="shared" si="9"/>
        <v>0</v>
      </c>
      <c r="P24" s="21">
        <f t="shared" si="10"/>
        <v>0</v>
      </c>
      <c r="Q24" s="20">
        <f t="shared" si="27"/>
        <v>0</v>
      </c>
      <c r="R24" s="5">
        <f t="shared" si="28"/>
        <v>0</v>
      </c>
      <c r="S24" s="21">
        <f t="shared" si="29"/>
        <v>0</v>
      </c>
      <c r="T24" s="421"/>
      <c r="W24" s="1343" t="str">
        <f t="shared" si="30"/>
        <v>109195</v>
      </c>
      <c r="X24" s="1343" t="str">
        <f t="shared" si="31"/>
        <v>10919</v>
      </c>
      <c r="Y24" s="1343" t="str">
        <f t="shared" si="32"/>
        <v>1092</v>
      </c>
    </row>
    <row r="25" spans="2:25">
      <c r="B25" s="256">
        <f t="shared" si="13"/>
        <v>110</v>
      </c>
      <c r="C25" s="42" t="str">
        <f t="shared" si="0"/>
        <v>AA</v>
      </c>
      <c r="D25" s="42" t="str">
        <f t="shared" si="1"/>
        <v>EF-1</v>
      </c>
      <c r="E25" s="648">
        <f t="shared" si="2"/>
        <v>10</v>
      </c>
      <c r="F25" s="649" t="str">
        <f t="shared" si="3"/>
        <v>10 - Receptor 10</v>
      </c>
      <c r="G25" s="318">
        <f t="shared" si="4"/>
        <v>0</v>
      </c>
      <c r="H25" s="650">
        <f t="shared" si="5"/>
        <v>0</v>
      </c>
      <c r="I25" s="651">
        <f t="shared" si="6"/>
        <v>0</v>
      </c>
      <c r="J25" s="332" t="e">
        <f>'Isolation Criteria'!$R$24*'Results Iso-Wbl - No HEPA'!I25^'Isolation Criteria'!$S$24*10</f>
        <v>#DIV/0!</v>
      </c>
      <c r="K25" s="20" t="e">
        <f t="shared" si="20"/>
        <v>#DIV/0!</v>
      </c>
      <c r="L25" s="5" t="e">
        <f t="shared" si="20"/>
        <v>#DIV/0!</v>
      </c>
      <c r="M25" s="21" t="e">
        <f t="shared" si="20"/>
        <v>#DIV/0!</v>
      </c>
      <c r="N25" s="20">
        <f t="shared" si="8"/>
        <v>0</v>
      </c>
      <c r="O25" s="5">
        <f t="shared" si="9"/>
        <v>0</v>
      </c>
      <c r="P25" s="21">
        <f t="shared" si="10"/>
        <v>0</v>
      </c>
      <c r="Q25" s="20">
        <f t="shared" si="27"/>
        <v>0</v>
      </c>
      <c r="R25" s="5">
        <f t="shared" si="28"/>
        <v>0</v>
      </c>
      <c r="S25" s="21">
        <f t="shared" si="29"/>
        <v>0</v>
      </c>
      <c r="T25" s="421"/>
      <c r="W25" s="1343" t="str">
        <f t="shared" si="30"/>
        <v>110195</v>
      </c>
      <c r="X25" s="1343" t="str">
        <f t="shared" si="31"/>
        <v>11019</v>
      </c>
      <c r="Y25" s="1343" t="str">
        <f t="shared" si="32"/>
        <v>1102</v>
      </c>
    </row>
    <row r="26" spans="2:25">
      <c r="B26" s="256"/>
      <c r="C26" s="42"/>
      <c r="D26" s="42"/>
      <c r="E26" s="648"/>
      <c r="F26" s="649"/>
      <c r="G26" s="318"/>
      <c r="H26" s="650"/>
      <c r="I26" s="651"/>
      <c r="J26" s="332"/>
      <c r="K26" s="20"/>
      <c r="L26" s="5"/>
      <c r="M26" s="21"/>
      <c r="N26" s="20"/>
      <c r="O26" s="5"/>
      <c r="P26" s="21"/>
      <c r="Q26" s="20"/>
      <c r="R26" s="5"/>
      <c r="S26" s="21"/>
      <c r="T26" s="421"/>
    </row>
    <row r="27" spans="2:25">
      <c r="B27" s="256"/>
      <c r="C27" s="42"/>
      <c r="D27" s="42"/>
      <c r="E27" s="648"/>
      <c r="F27" s="649"/>
      <c r="G27" s="318"/>
      <c r="H27" s="650"/>
      <c r="I27" s="651"/>
      <c r="J27" s="332"/>
      <c r="K27" s="20"/>
      <c r="L27" s="5"/>
      <c r="M27" s="21"/>
      <c r="N27" s="20"/>
      <c r="O27" s="5"/>
      <c r="P27" s="21"/>
      <c r="Q27" s="20"/>
      <c r="R27" s="5"/>
      <c r="S27" s="21"/>
      <c r="T27" s="421"/>
    </row>
    <row r="28" spans="2:25">
      <c r="B28" s="768" t="str">
        <f>INDEX(SourceDescription,MATCH($C30,SourceNumber,0),1,1)</f>
        <v>Fume Hood Exhaust 1</v>
      </c>
      <c r="J28" s="33"/>
      <c r="K28" s="33"/>
      <c r="M28" s="37"/>
      <c r="N28" s="283"/>
      <c r="O28" s="421"/>
      <c r="P28" s="284"/>
      <c r="Q28" s="283"/>
      <c r="R28" s="421"/>
      <c r="S28" s="284"/>
      <c r="T28" s="421"/>
    </row>
    <row r="29" spans="2:25">
      <c r="B29" s="767" t="str">
        <f>"("&amp;ROUND(INDEX(SourceVolumeFlowRateEnglish,MATCH($C30,SourceNumber,0),1,1),0)&amp;" cfm @ "&amp;ROUND(INDEX(SourceExitVelocityEnglish,MATCH($C30,SourceNumber,0),1,1),0)&amp;" fpm)"</f>
        <v>(1000 cfm @ 2865 fpm)</v>
      </c>
      <c r="J29" s="33"/>
      <c r="K29" s="33"/>
      <c r="M29" s="37"/>
      <c r="N29" s="283"/>
      <c r="O29" s="421"/>
      <c r="P29" s="284"/>
      <c r="Q29" s="283"/>
      <c r="R29" s="421"/>
      <c r="S29" s="284"/>
      <c r="T29" s="421"/>
    </row>
    <row r="30" spans="2:25">
      <c r="B30" s="766">
        <v>101</v>
      </c>
      <c r="C30" s="42" t="str">
        <f>INDEX(TPSourceLetter,MATCH($B30,TPRunNumber,0),1,1)</f>
        <v>AA</v>
      </c>
      <c r="D30" s="42" t="str">
        <f t="shared" ref="D30:D34" si="33">INDEX(SourceID,MATCH($C30,SourceNumber,0),1,1)</f>
        <v>EF-1</v>
      </c>
      <c r="E30" s="648">
        <f t="shared" ref="E30:E34" si="34">INDEX(TPSourceHeight,MATCH($B30,TPRunNumber,0),1,1)</f>
        <v>10</v>
      </c>
      <c r="F30" s="649" t="str">
        <f t="shared" ref="F30:F34" si="35">INDEX(TPReceptorID1,MATCH($B30,TPRunNumber,0),1,1)&amp;INDEX(TPReceptorID2,MATCH($B30,TPRunNumber,0),1,1)</f>
        <v>1 - Receptor 1</v>
      </c>
      <c r="G30" s="318">
        <f t="shared" ref="G30:G34" si="36">INDEX(TPWWD,MATCH($B30,TPRunNumber,0),1,1)</f>
        <v>0</v>
      </c>
      <c r="H30" s="650">
        <f t="shared" ref="H30:H34" si="37">INDEX(TPWWS,MATCH($B30,TPRunNumber,0),1,1)</f>
        <v>0</v>
      </c>
      <c r="I30" s="651">
        <f t="shared" ref="I30:I34" si="38">INDEX(TPMaxCm,MATCH($B30,TPRunNumber,0),1,1)</f>
        <v>0</v>
      </c>
      <c r="J30" s="332" t="e">
        <f>'Isolation Criteria'!$R$24*'Results Iso-Wbl - No HEPA'!I30^'Isolation Criteria'!$S$24*10</f>
        <v>#DIV/0!</v>
      </c>
      <c r="K30" s="20" t="e">
        <f t="shared" ref="K30:M33" si="39">IF($J30&gt;K$12,"Yes","No")</f>
        <v>#DIV/0!</v>
      </c>
      <c r="L30" s="5" t="e">
        <f t="shared" si="39"/>
        <v>#DIV/0!</v>
      </c>
      <c r="M30" s="21" t="e">
        <f t="shared" si="39"/>
        <v>#DIV/0!</v>
      </c>
      <c r="N30" s="20">
        <f t="shared" ref="N30:P34" si="40">IF(ISERROR(INDEX(Prob_ProbTotal,MATCH(W30,Prob_ProbRunandCrit,0),1)),0,INDEX(Prob_ProbTotal,MATCH(W30,Prob_ProbRunandCrit,0),1))</f>
        <v>0</v>
      </c>
      <c r="O30" s="5">
        <f t="shared" si="40"/>
        <v>0</v>
      </c>
      <c r="P30" s="21">
        <f t="shared" si="40"/>
        <v>0</v>
      </c>
      <c r="Q30" s="20">
        <f>N30*$R$7</f>
        <v>0</v>
      </c>
      <c r="R30" s="5">
        <f t="shared" ref="R30:R34" si="41">O30*$R$7</f>
        <v>0</v>
      </c>
      <c r="S30" s="21">
        <f t="shared" ref="S30:S34" si="42">P30*$R$7</f>
        <v>0</v>
      </c>
      <c r="T30" s="421"/>
      <c r="W30" s="1343" t="str">
        <f>$B30&amp;ROUND(N$7,0)</f>
        <v>101195</v>
      </c>
      <c r="X30" s="1343" t="str">
        <f t="shared" ref="X30:X34" si="43">$B30&amp;ROUND(O$7,0)</f>
        <v>10119</v>
      </c>
      <c r="Y30" s="1343" t="str">
        <f t="shared" ref="Y30:Y34" si="44">$B30&amp;ROUND(P$7,0)</f>
        <v>1012</v>
      </c>
    </row>
    <row r="31" spans="2:25">
      <c r="B31" s="256">
        <f t="shared" ref="B31:B34" si="45">B30+1</f>
        <v>102</v>
      </c>
      <c r="C31" s="42" t="str">
        <f>INDEX(TPSourceLetter,MATCH($B31,TPRunNumber,0),1,1)</f>
        <v>AA</v>
      </c>
      <c r="D31" s="42" t="str">
        <f t="shared" si="33"/>
        <v>EF-1</v>
      </c>
      <c r="E31" s="648">
        <f t="shared" si="34"/>
        <v>10</v>
      </c>
      <c r="F31" s="649" t="str">
        <f t="shared" si="35"/>
        <v>2 - Receptor 2</v>
      </c>
      <c r="G31" s="318">
        <f t="shared" si="36"/>
        <v>0</v>
      </c>
      <c r="H31" s="650">
        <f t="shared" si="37"/>
        <v>0</v>
      </c>
      <c r="I31" s="651">
        <f t="shared" si="38"/>
        <v>0</v>
      </c>
      <c r="J31" s="332" t="e">
        <f>'Isolation Criteria'!$R$24*'Results Iso-Wbl - No HEPA'!I31^'Isolation Criteria'!$S$24*10</f>
        <v>#DIV/0!</v>
      </c>
      <c r="K31" s="20" t="e">
        <f t="shared" si="39"/>
        <v>#DIV/0!</v>
      </c>
      <c r="L31" s="5" t="e">
        <f t="shared" si="39"/>
        <v>#DIV/0!</v>
      </c>
      <c r="M31" s="21" t="e">
        <f t="shared" si="39"/>
        <v>#DIV/0!</v>
      </c>
      <c r="N31" s="20">
        <f t="shared" si="40"/>
        <v>0</v>
      </c>
      <c r="O31" s="5">
        <f t="shared" si="40"/>
        <v>0</v>
      </c>
      <c r="P31" s="21">
        <f t="shared" si="40"/>
        <v>0</v>
      </c>
      <c r="Q31" s="20">
        <f t="shared" ref="Q31:Q34" si="46">N31*$R$7</f>
        <v>0</v>
      </c>
      <c r="R31" s="5">
        <f t="shared" si="41"/>
        <v>0</v>
      </c>
      <c r="S31" s="21">
        <f t="shared" si="42"/>
        <v>0</v>
      </c>
      <c r="T31" s="421"/>
      <c r="W31" s="1343" t="str">
        <f t="shared" ref="W31:W34" si="47">$B31&amp;ROUND(N$7,0)</f>
        <v>102195</v>
      </c>
      <c r="X31" s="1343" t="str">
        <f t="shared" si="43"/>
        <v>10219</v>
      </c>
      <c r="Y31" s="1343" t="str">
        <f t="shared" si="44"/>
        <v>1022</v>
      </c>
    </row>
    <row r="32" spans="2:25">
      <c r="B32" s="256">
        <f t="shared" si="45"/>
        <v>103</v>
      </c>
      <c r="C32" s="42" t="str">
        <f>INDEX(TPSourceLetter,MATCH($B32,TPRunNumber,0),1,1)</f>
        <v>AA</v>
      </c>
      <c r="D32" s="42" t="str">
        <f t="shared" si="33"/>
        <v>EF-1</v>
      </c>
      <c r="E32" s="648">
        <f t="shared" si="34"/>
        <v>10</v>
      </c>
      <c r="F32" s="649" t="str">
        <f t="shared" si="35"/>
        <v>3 - Receptor 3</v>
      </c>
      <c r="G32" s="318">
        <f t="shared" si="36"/>
        <v>0</v>
      </c>
      <c r="H32" s="650">
        <f t="shared" si="37"/>
        <v>0</v>
      </c>
      <c r="I32" s="651">
        <f t="shared" si="38"/>
        <v>0</v>
      </c>
      <c r="J32" s="332" t="e">
        <f>'Isolation Criteria'!$R$24*'Results Iso-Wbl - No HEPA'!I32^'Isolation Criteria'!$S$24*10</f>
        <v>#DIV/0!</v>
      </c>
      <c r="K32" s="20" t="e">
        <f t="shared" si="39"/>
        <v>#DIV/0!</v>
      </c>
      <c r="L32" s="5" t="e">
        <f t="shared" si="39"/>
        <v>#DIV/0!</v>
      </c>
      <c r="M32" s="21" t="e">
        <f t="shared" si="39"/>
        <v>#DIV/0!</v>
      </c>
      <c r="N32" s="20">
        <f t="shared" si="40"/>
        <v>0</v>
      </c>
      <c r="O32" s="5">
        <f t="shared" si="40"/>
        <v>0</v>
      </c>
      <c r="P32" s="21">
        <f t="shared" si="40"/>
        <v>0</v>
      </c>
      <c r="Q32" s="20">
        <f t="shared" si="46"/>
        <v>0</v>
      </c>
      <c r="R32" s="5">
        <f t="shared" si="41"/>
        <v>0</v>
      </c>
      <c r="S32" s="21">
        <f t="shared" si="42"/>
        <v>0</v>
      </c>
      <c r="T32" s="421"/>
      <c r="W32" s="1343" t="str">
        <f t="shared" si="47"/>
        <v>103195</v>
      </c>
      <c r="X32" s="1343" t="str">
        <f t="shared" si="43"/>
        <v>10319</v>
      </c>
      <c r="Y32" s="1343" t="str">
        <f t="shared" si="44"/>
        <v>1032</v>
      </c>
    </row>
    <row r="33" spans="2:25">
      <c r="B33" s="256">
        <f t="shared" si="45"/>
        <v>104</v>
      </c>
      <c r="C33" s="42" t="str">
        <f>INDEX(TPSourceLetter,MATCH($B33,TPRunNumber,0),1,1)</f>
        <v>AA</v>
      </c>
      <c r="D33" s="42" t="str">
        <f t="shared" si="33"/>
        <v>EF-1</v>
      </c>
      <c r="E33" s="648">
        <f t="shared" si="34"/>
        <v>10</v>
      </c>
      <c r="F33" s="649" t="str">
        <f t="shared" si="35"/>
        <v>4 - Receptor 4</v>
      </c>
      <c r="G33" s="318">
        <f t="shared" si="36"/>
        <v>0</v>
      </c>
      <c r="H33" s="650">
        <f t="shared" si="37"/>
        <v>0</v>
      </c>
      <c r="I33" s="651">
        <f t="shared" si="38"/>
        <v>0</v>
      </c>
      <c r="J33" s="332" t="e">
        <f>'Isolation Criteria'!$R$24*'Results Iso-Wbl - No HEPA'!I33^'Isolation Criteria'!$S$24*10</f>
        <v>#DIV/0!</v>
      </c>
      <c r="K33" s="20" t="e">
        <f t="shared" si="39"/>
        <v>#DIV/0!</v>
      </c>
      <c r="L33" s="5" t="e">
        <f t="shared" si="39"/>
        <v>#DIV/0!</v>
      </c>
      <c r="M33" s="21" t="e">
        <f t="shared" si="39"/>
        <v>#DIV/0!</v>
      </c>
      <c r="N33" s="20">
        <f t="shared" si="40"/>
        <v>0</v>
      </c>
      <c r="O33" s="5">
        <f t="shared" si="40"/>
        <v>0</v>
      </c>
      <c r="P33" s="21">
        <f t="shared" si="40"/>
        <v>0</v>
      </c>
      <c r="Q33" s="20">
        <f t="shared" si="46"/>
        <v>0</v>
      </c>
      <c r="R33" s="5">
        <f t="shared" si="41"/>
        <v>0</v>
      </c>
      <c r="S33" s="21">
        <f t="shared" si="42"/>
        <v>0</v>
      </c>
      <c r="T33" s="421"/>
      <c r="W33" s="1343" t="str">
        <f t="shared" si="47"/>
        <v>104195</v>
      </c>
      <c r="X33" s="1343" t="str">
        <f t="shared" si="43"/>
        <v>10419</v>
      </c>
      <c r="Y33" s="1343" t="str">
        <f t="shared" si="44"/>
        <v>1042</v>
      </c>
    </row>
    <row r="34" spans="2:25">
      <c r="B34" s="256">
        <f t="shared" si="45"/>
        <v>105</v>
      </c>
      <c r="C34" s="42" t="str">
        <f>INDEX(TPSourceLetter,MATCH($B34,TPRunNumber,0),1,1)</f>
        <v>AA</v>
      </c>
      <c r="D34" s="42" t="str">
        <f t="shared" si="33"/>
        <v>EF-1</v>
      </c>
      <c r="E34" s="648">
        <f t="shared" si="34"/>
        <v>10</v>
      </c>
      <c r="F34" s="649" t="str">
        <f t="shared" si="35"/>
        <v>5 - Receptor 5</v>
      </c>
      <c r="G34" s="318">
        <f t="shared" si="36"/>
        <v>0</v>
      </c>
      <c r="H34" s="650">
        <f t="shared" si="37"/>
        <v>0</v>
      </c>
      <c r="I34" s="651">
        <f t="shared" si="38"/>
        <v>0</v>
      </c>
      <c r="J34" s="332" t="e">
        <f>'Isolation Criteria'!$R$24*'Results Iso-Wbl - No HEPA'!I34^'Isolation Criteria'!$S$24*10</f>
        <v>#DIV/0!</v>
      </c>
      <c r="K34" s="20" t="e">
        <f t="shared" ref="K34:M34" si="48">IF($J34&gt;K$12,"Yes","No")</f>
        <v>#DIV/0!</v>
      </c>
      <c r="L34" s="5" t="e">
        <f t="shared" si="48"/>
        <v>#DIV/0!</v>
      </c>
      <c r="M34" s="21" t="e">
        <f t="shared" si="48"/>
        <v>#DIV/0!</v>
      </c>
      <c r="N34" s="20">
        <f t="shared" si="40"/>
        <v>0</v>
      </c>
      <c r="O34" s="5">
        <f t="shared" si="40"/>
        <v>0</v>
      </c>
      <c r="P34" s="21">
        <f t="shared" si="40"/>
        <v>0</v>
      </c>
      <c r="Q34" s="20">
        <f t="shared" si="46"/>
        <v>0</v>
      </c>
      <c r="R34" s="5">
        <f t="shared" si="41"/>
        <v>0</v>
      </c>
      <c r="S34" s="21">
        <f t="shared" si="42"/>
        <v>0</v>
      </c>
      <c r="T34" s="421"/>
      <c r="W34" s="1343" t="str">
        <f t="shared" si="47"/>
        <v>105195</v>
      </c>
      <c r="X34" s="1343" t="str">
        <f t="shared" si="43"/>
        <v>10519</v>
      </c>
      <c r="Y34" s="1343" t="str">
        <f t="shared" si="44"/>
        <v>1052</v>
      </c>
    </row>
    <row r="35" spans="2:25">
      <c r="B35" s="256"/>
      <c r="C35" s="42"/>
      <c r="D35" s="42"/>
      <c r="E35" s="648"/>
      <c r="F35" s="649"/>
      <c r="G35" s="318"/>
      <c r="H35" s="650"/>
      <c r="I35" s="651"/>
      <c r="J35" s="332"/>
      <c r="K35" s="20"/>
      <c r="L35" s="5"/>
      <c r="M35" s="21"/>
      <c r="N35" s="20"/>
      <c r="O35" s="5"/>
      <c r="P35" s="21"/>
      <c r="Q35" s="20"/>
      <c r="R35" s="5"/>
      <c r="S35" s="21"/>
      <c r="T35" s="421"/>
    </row>
    <row r="36" spans="2:25">
      <c r="B36" s="256"/>
      <c r="C36" s="42"/>
      <c r="D36" s="42"/>
      <c r="E36" s="648"/>
      <c r="F36" s="649"/>
      <c r="G36" s="318"/>
      <c r="H36" s="650"/>
      <c r="I36" s="651"/>
      <c r="J36" s="332"/>
      <c r="K36" s="20"/>
      <c r="L36" s="5"/>
      <c r="M36" s="21"/>
      <c r="N36" s="20"/>
      <c r="O36" s="5"/>
      <c r="P36" s="21"/>
      <c r="Q36" s="20"/>
      <c r="R36" s="5"/>
      <c r="S36" s="21"/>
      <c r="T36" s="421"/>
    </row>
    <row r="37" spans="2:25">
      <c r="B37" s="256"/>
      <c r="C37" s="42"/>
      <c r="D37" s="42"/>
      <c r="E37" s="648"/>
      <c r="F37" s="649"/>
      <c r="G37" s="318"/>
      <c r="H37" s="650"/>
      <c r="I37" s="651"/>
      <c r="J37" s="332"/>
      <c r="K37" s="20"/>
      <c r="L37" s="5"/>
      <c r="M37" s="21"/>
      <c r="N37" s="20"/>
      <c r="O37" s="5"/>
      <c r="P37" s="21"/>
      <c r="Q37" s="20"/>
      <c r="R37" s="5"/>
      <c r="S37" s="21"/>
      <c r="T37" s="421"/>
    </row>
    <row r="38" spans="2:25">
      <c r="B38" s="256"/>
      <c r="C38" s="42"/>
      <c r="D38" s="42"/>
      <c r="E38" s="648"/>
      <c r="F38" s="649"/>
      <c r="G38" s="318"/>
      <c r="H38" s="650"/>
      <c r="I38" s="651"/>
      <c r="J38" s="332"/>
      <c r="K38" s="20"/>
      <c r="L38" s="5"/>
      <c r="M38" s="21"/>
      <c r="N38" s="20"/>
      <c r="O38" s="5"/>
      <c r="P38" s="21"/>
      <c r="Q38" s="20"/>
      <c r="R38" s="5"/>
      <c r="S38" s="21"/>
      <c r="T38" s="421"/>
    </row>
    <row r="39" spans="2:25">
      <c r="B39" s="256"/>
      <c r="C39" s="42"/>
      <c r="D39" s="42"/>
      <c r="E39" s="648"/>
      <c r="F39" s="649"/>
      <c r="G39" s="318"/>
      <c r="H39" s="650"/>
      <c r="I39" s="651"/>
      <c r="J39" s="332"/>
      <c r="K39" s="20"/>
      <c r="L39" s="5"/>
      <c r="M39" s="21"/>
      <c r="N39" s="20"/>
      <c r="O39" s="5"/>
      <c r="P39" s="21"/>
      <c r="Q39" s="20"/>
      <c r="R39" s="5"/>
      <c r="S39" s="21"/>
      <c r="T39" s="421"/>
    </row>
    <row r="40" spans="2:25">
      <c r="B40" s="52"/>
      <c r="C40" s="41"/>
      <c r="D40" s="41"/>
      <c r="E40" s="317"/>
      <c r="F40" s="41"/>
      <c r="G40" s="317"/>
      <c r="H40" s="317"/>
      <c r="I40" s="317"/>
      <c r="J40" s="333"/>
      <c r="K40" s="52"/>
      <c r="L40" s="41"/>
      <c r="M40" s="53"/>
      <c r="N40" s="652"/>
      <c r="O40" s="654"/>
      <c r="P40" s="653"/>
      <c r="Q40" s="652"/>
      <c r="R40" s="654"/>
      <c r="S40" s="653"/>
      <c r="T40" s="656"/>
    </row>
    <row r="41" spans="2:25">
      <c r="B41" t="s">
        <v>214</v>
      </c>
      <c r="N41" s="656"/>
      <c r="O41" s="656"/>
      <c r="P41" s="656"/>
      <c r="Q41" s="656"/>
      <c r="R41" s="656"/>
      <c r="S41" s="656"/>
      <c r="T41" s="656"/>
    </row>
    <row r="42" spans="2:25">
      <c r="B42" s="107" t="s">
        <v>216</v>
      </c>
      <c r="D42" s="16" t="str">
        <f>'Test Plan &amp; Results'!G44</f>
        <v>The maximum normalized concentration (C/m) measured in the wind tunnel for the specific source/receptor pair.</v>
      </c>
    </row>
    <row r="43" spans="2:25">
      <c r="B43" s="107" t="s">
        <v>217</v>
      </c>
      <c r="D43" s="1" t="s">
        <v>944</v>
      </c>
    </row>
    <row r="44" spans="2:25">
      <c r="B44" s="107" t="s">
        <v>218</v>
      </c>
      <c r="D44" s="1" t="s">
        <v>945</v>
      </c>
    </row>
  </sheetData>
  <mergeCells count="8">
    <mergeCell ref="N5:P5"/>
    <mergeCell ref="K10:M10"/>
    <mergeCell ref="Q8:S8"/>
    <mergeCell ref="Q10:S10"/>
    <mergeCell ref="K8:M8"/>
    <mergeCell ref="N8:P8"/>
    <mergeCell ref="K9:M9"/>
    <mergeCell ref="N9:P9"/>
  </mergeCells>
  <conditionalFormatting sqref="K16:P27 K35:P39">
    <cfRule type="cellIs" dxfId="841" priority="9" stopIfTrue="1" operator="equal">
      <formula>"No"</formula>
    </cfRule>
  </conditionalFormatting>
  <conditionalFormatting sqref="B16:B27 B35:B39">
    <cfRule type="expression" dxfId="840" priority="8" stopIfTrue="1">
      <formula>XEZ16=TRUE</formula>
    </cfRule>
  </conditionalFormatting>
  <conditionalFormatting sqref="Q16:S27 Q35:S39">
    <cfRule type="cellIs" dxfId="839" priority="4" stopIfTrue="1" operator="equal">
      <formula>"No"</formula>
    </cfRule>
  </conditionalFormatting>
  <conditionalFormatting sqref="K30:P34">
    <cfRule type="cellIs" dxfId="838" priority="3" stopIfTrue="1" operator="equal">
      <formula>"No"</formula>
    </cfRule>
  </conditionalFormatting>
  <conditionalFormatting sqref="B30:B34">
    <cfRule type="expression" dxfId="837" priority="2" stopIfTrue="1">
      <formula>XEZ30=TRUE</formula>
    </cfRule>
  </conditionalFormatting>
  <conditionalFormatting sqref="Q30:S34">
    <cfRule type="cellIs" dxfId="836" priority="1" stopIfTrue="1" operator="equal">
      <formula>"No"</formula>
    </cfRule>
  </conditionalFormatting>
  <pageMargins left="0.75" right="0.75" top="0.75" bottom="0.75" header="0.5" footer="0.5"/>
  <pageSetup scale="60" orientation="landscape" useFirstPageNumber="1" r:id="rId1"/>
  <headerFooter scaleWithDoc="0" alignWithMargins="0">
    <oddFooter>&amp;C&amp;9Page &amp;P of &amp;N</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tabColor theme="7" tint="0.59999389629810485"/>
    <pageSetUpPr fitToPage="1"/>
  </sheetPr>
  <dimension ref="B1:Y44"/>
  <sheetViews>
    <sheetView view="pageBreakPreview" zoomScale="75" zoomScaleNormal="55" zoomScaleSheetLayoutView="75" workbookViewId="0">
      <selection activeCell="N11" sqref="N11:P12"/>
    </sheetView>
  </sheetViews>
  <sheetFormatPr defaultRowHeight="15.75"/>
  <cols>
    <col min="2" max="2" width="4.75" customWidth="1"/>
    <col min="3" max="3" width="6.5" customWidth="1"/>
    <col min="4" max="4" width="10.25" customWidth="1"/>
    <col min="5" max="5" width="12.25" customWidth="1"/>
    <col min="6" max="6" width="26.25" customWidth="1"/>
    <col min="7" max="7" width="9.5" hidden="1" customWidth="1"/>
    <col min="8" max="8" width="8" hidden="1" customWidth="1"/>
    <col min="9" max="9" width="16" customWidth="1"/>
    <col min="10" max="10" width="37.125" customWidth="1"/>
    <col min="11" max="13" width="10.625" customWidth="1"/>
    <col min="14" max="19" width="14.625" customWidth="1"/>
    <col min="20" max="20" width="6.25" customWidth="1"/>
    <col min="23" max="25" width="9" style="1343"/>
  </cols>
  <sheetData>
    <row r="1" spans="2:25">
      <c r="J1" s="1351" t="s">
        <v>1531</v>
      </c>
      <c r="K1" s="2"/>
      <c r="L1" s="2"/>
      <c r="M1" s="2"/>
      <c r="N1" s="1351" t="s">
        <v>1533</v>
      </c>
      <c r="O1" s="2"/>
      <c r="P1" s="2"/>
      <c r="Q1" s="1351" t="s">
        <v>1535</v>
      </c>
      <c r="R1" s="2"/>
      <c r="S1" s="2"/>
    </row>
    <row r="2" spans="2:25" ht="20.25">
      <c r="B2" s="120" t="str">
        <f>SourceProjectName1</f>
        <v>Project Name 1</v>
      </c>
      <c r="J2" s="1351" t="s">
        <v>1532</v>
      </c>
      <c r="K2" s="2"/>
      <c r="L2" s="2"/>
      <c r="M2" s="2"/>
      <c r="N2" s="1351" t="s">
        <v>1543</v>
      </c>
      <c r="O2" s="2"/>
      <c r="P2" s="2"/>
      <c r="Q2" s="1351" t="s">
        <v>1536</v>
      </c>
      <c r="R2" s="2"/>
      <c r="S2" s="2"/>
    </row>
    <row r="3" spans="2:25" ht="20.25">
      <c r="B3" s="120" t="str">
        <f>SourceProjectName2</f>
        <v>Project Name 2</v>
      </c>
      <c r="F3" s="4"/>
    </row>
    <row r="4" spans="2:25" ht="20.25">
      <c r="B4" s="120" t="str">
        <f>SourceProjectNumber</f>
        <v>Project Number</v>
      </c>
    </row>
    <row r="5" spans="2:25" ht="20.25">
      <c r="B5" s="837" t="s">
        <v>934</v>
      </c>
      <c r="N5" s="1812" t="s">
        <v>1542</v>
      </c>
      <c r="O5" s="1812"/>
      <c r="P5" s="1812"/>
    </row>
    <row r="6" spans="2:25" ht="20.25">
      <c r="B6" s="837" t="s">
        <v>935</v>
      </c>
      <c r="N6" s="14" t="s">
        <v>175</v>
      </c>
      <c r="O6" s="14" t="s">
        <v>175</v>
      </c>
      <c r="P6" s="14" t="s">
        <v>175</v>
      </c>
      <c r="Q6" s="14"/>
      <c r="R6" s="14"/>
      <c r="S6" s="14"/>
    </row>
    <row r="7" spans="2:25" ht="20.25">
      <c r="B7" s="838" t="s">
        <v>450</v>
      </c>
      <c r="C7" s="13"/>
      <c r="D7" s="13"/>
      <c r="E7" s="13"/>
      <c r="F7" s="13"/>
      <c r="G7" s="13"/>
      <c r="H7" s="13"/>
      <c r="J7" s="1329"/>
      <c r="K7" s="13"/>
      <c r="L7" s="13"/>
      <c r="M7" s="13"/>
      <c r="N7" s="1340">
        <f>'Isolation Criteria'!$H$44</f>
        <v>630134.85714285693</v>
      </c>
      <c r="O7" s="1341">
        <f>'Isolation Criteria'!$I$44</f>
        <v>66329.984962405986</v>
      </c>
      <c r="P7" s="1342">
        <f>'Isolation Criteria'!$J$44</f>
        <v>6496.2356406480085</v>
      </c>
      <c r="Q7" s="1340"/>
      <c r="R7" s="1344">
        <f>R9*365/8760</f>
        <v>0.5</v>
      </c>
      <c r="S7" s="1353" t="s">
        <v>1540</v>
      </c>
    </row>
    <row r="8" spans="2:25">
      <c r="B8" s="100"/>
      <c r="C8" s="1082" t="s">
        <v>449</v>
      </c>
      <c r="D8" s="31"/>
      <c r="E8" s="264" t="s">
        <v>118</v>
      </c>
      <c r="F8" s="144"/>
      <c r="G8" s="1086"/>
      <c r="H8" s="1086"/>
      <c r="I8" s="265" t="s">
        <v>368</v>
      </c>
      <c r="J8" s="707" t="s">
        <v>369</v>
      </c>
      <c r="K8" s="1745" t="s">
        <v>371</v>
      </c>
      <c r="L8" s="1813"/>
      <c r="M8" s="1725"/>
      <c r="N8" s="1726" t="s">
        <v>1529</v>
      </c>
      <c r="O8" s="1785"/>
      <c r="P8" s="1727"/>
      <c r="Q8" s="1726" t="s">
        <v>1537</v>
      </c>
      <c r="R8" s="1785"/>
      <c r="S8" s="1727"/>
      <c r="T8" s="286"/>
    </row>
    <row r="9" spans="2:25">
      <c r="B9" s="33"/>
      <c r="C9" s="1083"/>
      <c r="E9" s="266" t="s">
        <v>666</v>
      </c>
      <c r="F9" s="13" t="s">
        <v>147</v>
      </c>
      <c r="G9" s="180"/>
      <c r="H9" s="180"/>
      <c r="I9" s="286" t="s">
        <v>364</v>
      </c>
      <c r="J9" s="74" t="s">
        <v>1528</v>
      </c>
      <c r="K9" s="1814" t="s">
        <v>938</v>
      </c>
      <c r="L9" s="1815"/>
      <c r="M9" s="1816"/>
      <c r="N9" s="1738" t="s">
        <v>1530</v>
      </c>
      <c r="O9" s="1739"/>
      <c r="P9" s="1740"/>
      <c r="Q9" s="193" t="s">
        <v>1538</v>
      </c>
      <c r="R9" s="1345">
        <v>12</v>
      </c>
      <c r="S9" s="1014" t="s">
        <v>1539</v>
      </c>
      <c r="T9" s="13"/>
    </row>
    <row r="10" spans="2:25">
      <c r="B10" s="74" t="s">
        <v>160</v>
      </c>
      <c r="C10" s="1084" t="s">
        <v>663</v>
      </c>
      <c r="D10" s="13" t="s">
        <v>663</v>
      </c>
      <c r="E10" s="266" t="s">
        <v>1193</v>
      </c>
      <c r="F10" s="13" t="s">
        <v>19</v>
      </c>
      <c r="G10" s="157" t="s">
        <v>162</v>
      </c>
      <c r="H10" s="157" t="s">
        <v>162</v>
      </c>
      <c r="I10" s="13" t="s">
        <v>365</v>
      </c>
      <c r="J10" s="74" t="s">
        <v>939</v>
      </c>
      <c r="K10" s="1738" t="s">
        <v>940</v>
      </c>
      <c r="L10" s="1739"/>
      <c r="M10" s="1740"/>
      <c r="N10" s="33"/>
      <c r="P10" s="37"/>
      <c r="Q10" s="1726" t="s">
        <v>1541</v>
      </c>
      <c r="R10" s="1785"/>
      <c r="S10" s="1727"/>
      <c r="T10" s="13"/>
    </row>
    <row r="11" spans="2:25">
      <c r="B11" s="74" t="s">
        <v>779</v>
      </c>
      <c r="C11" s="1084" t="s">
        <v>591</v>
      </c>
      <c r="D11" s="13" t="s">
        <v>665</v>
      </c>
      <c r="E11" s="266" t="s">
        <v>363</v>
      </c>
      <c r="F11" s="13" t="s">
        <v>222</v>
      </c>
      <c r="G11" s="157" t="s">
        <v>167</v>
      </c>
      <c r="H11" s="157" t="s">
        <v>168</v>
      </c>
      <c r="I11" s="13" t="s">
        <v>163</v>
      </c>
      <c r="J11" s="1354" t="s">
        <v>938</v>
      </c>
      <c r="K11" s="74" t="s">
        <v>943</v>
      </c>
      <c r="L11" s="13" t="s">
        <v>943</v>
      </c>
      <c r="M11" s="75" t="s">
        <v>943</v>
      </c>
      <c r="N11" s="1654" t="s">
        <v>943</v>
      </c>
      <c r="O11" s="1655" t="s">
        <v>943</v>
      </c>
      <c r="P11" s="1656" t="s">
        <v>943</v>
      </c>
      <c r="Q11" s="74" t="s">
        <v>943</v>
      </c>
      <c r="R11" s="13" t="s">
        <v>943</v>
      </c>
      <c r="S11" s="75" t="s">
        <v>943</v>
      </c>
    </row>
    <row r="12" spans="2:25">
      <c r="B12" s="77"/>
      <c r="C12" s="1085"/>
      <c r="D12" s="14"/>
      <c r="E12" s="267" t="s">
        <v>668</v>
      </c>
      <c r="F12" s="14" t="s">
        <v>163</v>
      </c>
      <c r="G12" s="1088" t="s">
        <v>174</v>
      </c>
      <c r="H12" s="1088" t="s">
        <v>703</v>
      </c>
      <c r="I12" s="14" t="s">
        <v>175</v>
      </c>
      <c r="J12" s="77" t="s">
        <v>943</v>
      </c>
      <c r="K12" s="1346">
        <v>10000</v>
      </c>
      <c r="L12" s="1347">
        <v>100000</v>
      </c>
      <c r="M12" s="1348">
        <v>1000000</v>
      </c>
      <c r="N12" s="1657">
        <v>10000</v>
      </c>
      <c r="O12" s="1658">
        <v>100000</v>
      </c>
      <c r="P12" s="1659">
        <v>1000000</v>
      </c>
      <c r="Q12" s="1349">
        <v>10000</v>
      </c>
      <c r="R12" s="1350">
        <v>100000</v>
      </c>
      <c r="S12" s="1330">
        <v>1000000</v>
      </c>
      <c r="T12" s="13"/>
      <c r="W12" s="1343" t="s">
        <v>1534</v>
      </c>
    </row>
    <row r="13" spans="2:25">
      <c r="B13" s="33"/>
      <c r="J13" s="33"/>
      <c r="K13" s="33"/>
      <c r="N13" s="283"/>
      <c r="O13" s="421"/>
      <c r="P13" s="284"/>
      <c r="Q13" s="283"/>
      <c r="R13" s="421"/>
      <c r="S13" s="1352"/>
      <c r="T13" s="421"/>
    </row>
    <row r="14" spans="2:25">
      <c r="B14" s="768" t="str">
        <f>INDEX(SourceDescription,MATCH($C16,SourceNumber,0),1,1)</f>
        <v>Fume Hood Exhaust 1</v>
      </c>
      <c r="J14" s="33"/>
      <c r="K14" s="33"/>
      <c r="M14" s="37"/>
      <c r="N14" s="283"/>
      <c r="O14" s="421"/>
      <c r="P14" s="284"/>
      <c r="Q14" s="283"/>
      <c r="R14" s="421"/>
      <c r="S14" s="284"/>
      <c r="T14" s="421"/>
    </row>
    <row r="15" spans="2:25">
      <c r="B15" s="767" t="str">
        <f>"("&amp;ROUND(INDEX(SourceVolumeFlowRateEnglish,MATCH($C16,SourceNumber,0),1,1),0)&amp;" cfm @ "&amp;ROUND(INDEX(SourceExitVelocityEnglish,MATCH($C16,SourceNumber,0),1,1),0)&amp;" fpm)"</f>
        <v>(1000 cfm @ 2865 fpm)</v>
      </c>
      <c r="J15" s="33"/>
      <c r="K15" s="33"/>
      <c r="M15" s="37"/>
      <c r="N15" s="283"/>
      <c r="O15" s="421"/>
      <c r="P15" s="284"/>
      <c r="Q15" s="283"/>
      <c r="R15" s="421"/>
      <c r="S15" s="284"/>
      <c r="T15" s="421"/>
    </row>
    <row r="16" spans="2:25">
      <c r="B16" s="766">
        <v>101</v>
      </c>
      <c r="C16" s="42" t="str">
        <f t="shared" ref="C16:C25" si="0">INDEX(TPSourceLetter,MATCH($B16,TPRunNumber,0),1,1)</f>
        <v>AA</v>
      </c>
      <c r="D16" s="42" t="str">
        <f t="shared" ref="D16:D25" si="1">INDEX(SourceID,MATCH($C16,SourceNumber,0),1,1)</f>
        <v>EF-1</v>
      </c>
      <c r="E16" s="648">
        <f t="shared" ref="E16:E25" si="2">INDEX(TPSourceHeight,MATCH($B16,TPRunNumber,0),1,1)</f>
        <v>10</v>
      </c>
      <c r="F16" s="649" t="str">
        <f t="shared" ref="F16:F25" si="3">INDEX(TPReceptorID1,MATCH($B16,TPRunNumber,0),1,1)&amp;INDEX(TPReceptorID2,MATCH($B16,TPRunNumber,0),1,1)</f>
        <v>1 - Receptor 1</v>
      </c>
      <c r="G16" s="318">
        <f t="shared" ref="G16:G25" si="4">INDEX(TPWWD,MATCH($B16,TPRunNumber,0),1,1)</f>
        <v>0</v>
      </c>
      <c r="H16" s="650">
        <f t="shared" ref="H16:H25" si="5">INDEX(TPWWS,MATCH($B16,TPRunNumber,0),1,1)</f>
        <v>0</v>
      </c>
      <c r="I16" s="651">
        <f t="shared" ref="I16:I25" si="6">INDEX(TPMaxCm,MATCH($B16,TPRunNumber,0),1,1)</f>
        <v>0</v>
      </c>
      <c r="J16" s="332" t="e">
        <f>'Isolation Criteria'!$R$44*'Results Iso-Wbl - With HEPA'!I16^'Isolation Criteria'!$S$44*10</f>
        <v>#DIV/0!</v>
      </c>
      <c r="K16" s="20" t="e">
        <f t="shared" ref="K16:M19" si="7">IF($J16&gt;K$12,"Yes","No")</f>
        <v>#DIV/0!</v>
      </c>
      <c r="L16" s="5" t="e">
        <f t="shared" si="7"/>
        <v>#DIV/0!</v>
      </c>
      <c r="M16" s="21" t="e">
        <f t="shared" si="7"/>
        <v>#DIV/0!</v>
      </c>
      <c r="N16" s="20">
        <f t="shared" ref="N16:N25" si="8">IF(ISERROR(INDEX(Prob_ProbTotal,MATCH(W16,Prob_ProbRunandCrit,0),1)),0,INDEX(Prob_ProbTotal,MATCH(W16,Prob_ProbRunandCrit,0),1))</f>
        <v>0</v>
      </c>
      <c r="O16" s="5">
        <f t="shared" ref="O16:O25" si="9">IF(ISERROR(INDEX(Prob_ProbTotal,MATCH(X16,Prob_ProbRunandCrit,0),1)),0,INDEX(Prob_ProbTotal,MATCH(X16,Prob_ProbRunandCrit,0),1))</f>
        <v>0</v>
      </c>
      <c r="P16" s="21">
        <f t="shared" ref="P16:P25" si="10">IF(ISERROR(INDEX(Prob_ProbTotal,MATCH(Y16,Prob_ProbRunandCrit,0),1)),0,INDEX(Prob_ProbTotal,MATCH(Y16,Prob_ProbRunandCrit,0),1))</f>
        <v>0</v>
      </c>
      <c r="Q16" s="20">
        <f>N16*$R$7</f>
        <v>0</v>
      </c>
      <c r="R16" s="5">
        <f t="shared" ref="R16:S25" si="11">O16*$R$7</f>
        <v>0</v>
      </c>
      <c r="S16" s="21">
        <f t="shared" si="11"/>
        <v>0</v>
      </c>
      <c r="T16" s="421"/>
      <c r="W16" s="1343" t="str">
        <f>$B16&amp;ROUND(N$7,0)</f>
        <v>101630135</v>
      </c>
      <c r="X16" s="1343" t="str">
        <f t="shared" ref="X16:Y25" si="12">$B16&amp;ROUND(O$7,0)</f>
        <v>10166330</v>
      </c>
      <c r="Y16" s="1343" t="str">
        <f t="shared" si="12"/>
        <v>1016496</v>
      </c>
    </row>
    <row r="17" spans="2:25">
      <c r="B17" s="256">
        <f t="shared" ref="B17:B25" si="13">B16+1</f>
        <v>102</v>
      </c>
      <c r="C17" s="42" t="str">
        <f t="shared" si="0"/>
        <v>AA</v>
      </c>
      <c r="D17" s="42" t="str">
        <f t="shared" si="1"/>
        <v>EF-1</v>
      </c>
      <c r="E17" s="648">
        <f t="shared" si="2"/>
        <v>10</v>
      </c>
      <c r="F17" s="649" t="str">
        <f t="shared" si="3"/>
        <v>2 - Receptor 2</v>
      </c>
      <c r="G17" s="318">
        <f t="shared" si="4"/>
        <v>0</v>
      </c>
      <c r="H17" s="650">
        <f t="shared" si="5"/>
        <v>0</v>
      </c>
      <c r="I17" s="651">
        <f t="shared" si="6"/>
        <v>0</v>
      </c>
      <c r="J17" s="332" t="e">
        <f>'Isolation Criteria'!$R$44*'Results Iso-Wbl - With HEPA'!I17^'Isolation Criteria'!$S$44*10</f>
        <v>#DIV/0!</v>
      </c>
      <c r="K17" s="20" t="e">
        <f t="shared" si="7"/>
        <v>#DIV/0!</v>
      </c>
      <c r="L17" s="5" t="e">
        <f t="shared" si="7"/>
        <v>#DIV/0!</v>
      </c>
      <c r="M17" s="21" t="e">
        <f t="shared" si="7"/>
        <v>#DIV/0!</v>
      </c>
      <c r="N17" s="20">
        <f t="shared" si="8"/>
        <v>0</v>
      </c>
      <c r="O17" s="5">
        <f t="shared" si="9"/>
        <v>0</v>
      </c>
      <c r="P17" s="21">
        <f t="shared" si="10"/>
        <v>0</v>
      </c>
      <c r="Q17" s="20">
        <f t="shared" ref="Q17:Q25" si="14">N17*$R$7</f>
        <v>0</v>
      </c>
      <c r="R17" s="5">
        <f t="shared" si="11"/>
        <v>0</v>
      </c>
      <c r="S17" s="21">
        <f t="shared" si="11"/>
        <v>0</v>
      </c>
      <c r="T17" s="421"/>
      <c r="W17" s="1343" t="str">
        <f t="shared" ref="W17:W25" si="15">$B17&amp;ROUND(N$7,0)</f>
        <v>102630135</v>
      </c>
      <c r="X17" s="1343" t="str">
        <f t="shared" si="12"/>
        <v>10266330</v>
      </c>
      <c r="Y17" s="1343" t="str">
        <f t="shared" si="12"/>
        <v>1026496</v>
      </c>
    </row>
    <row r="18" spans="2:25">
      <c r="B18" s="256">
        <f t="shared" si="13"/>
        <v>103</v>
      </c>
      <c r="C18" s="42" t="str">
        <f t="shared" si="0"/>
        <v>AA</v>
      </c>
      <c r="D18" s="42" t="str">
        <f t="shared" si="1"/>
        <v>EF-1</v>
      </c>
      <c r="E18" s="648">
        <f t="shared" si="2"/>
        <v>10</v>
      </c>
      <c r="F18" s="649" t="str">
        <f t="shared" si="3"/>
        <v>3 - Receptor 3</v>
      </c>
      <c r="G18" s="318">
        <f t="shared" si="4"/>
        <v>0</v>
      </c>
      <c r="H18" s="650">
        <f t="shared" si="5"/>
        <v>0</v>
      </c>
      <c r="I18" s="651">
        <f t="shared" si="6"/>
        <v>0</v>
      </c>
      <c r="J18" s="332" t="e">
        <f>'Isolation Criteria'!$R$44*'Results Iso-Wbl - With HEPA'!I18^'Isolation Criteria'!$S$44*10</f>
        <v>#DIV/0!</v>
      </c>
      <c r="K18" s="20" t="e">
        <f t="shared" si="7"/>
        <v>#DIV/0!</v>
      </c>
      <c r="L18" s="5" t="e">
        <f t="shared" si="7"/>
        <v>#DIV/0!</v>
      </c>
      <c r="M18" s="21" t="e">
        <f t="shared" si="7"/>
        <v>#DIV/0!</v>
      </c>
      <c r="N18" s="20">
        <f t="shared" si="8"/>
        <v>0</v>
      </c>
      <c r="O18" s="5">
        <f t="shared" si="9"/>
        <v>0</v>
      </c>
      <c r="P18" s="21">
        <f t="shared" si="10"/>
        <v>0</v>
      </c>
      <c r="Q18" s="20">
        <f t="shared" si="14"/>
        <v>0</v>
      </c>
      <c r="R18" s="5">
        <f t="shared" si="11"/>
        <v>0</v>
      </c>
      <c r="S18" s="21">
        <f t="shared" si="11"/>
        <v>0</v>
      </c>
      <c r="T18" s="421"/>
      <c r="W18" s="1343" t="str">
        <f t="shared" si="15"/>
        <v>103630135</v>
      </c>
      <c r="X18" s="1343" t="str">
        <f t="shared" si="12"/>
        <v>10366330</v>
      </c>
      <c r="Y18" s="1343" t="str">
        <f t="shared" si="12"/>
        <v>1036496</v>
      </c>
    </row>
    <row r="19" spans="2:25">
      <c r="B19" s="256">
        <f t="shared" si="13"/>
        <v>104</v>
      </c>
      <c r="C19" s="42" t="str">
        <f t="shared" si="0"/>
        <v>AA</v>
      </c>
      <c r="D19" s="42" t="str">
        <f t="shared" si="1"/>
        <v>EF-1</v>
      </c>
      <c r="E19" s="648">
        <f t="shared" si="2"/>
        <v>10</v>
      </c>
      <c r="F19" s="649" t="str">
        <f t="shared" si="3"/>
        <v>4 - Receptor 4</v>
      </c>
      <c r="G19" s="318">
        <f t="shared" si="4"/>
        <v>0</v>
      </c>
      <c r="H19" s="650">
        <f t="shared" si="5"/>
        <v>0</v>
      </c>
      <c r="I19" s="651">
        <f t="shared" si="6"/>
        <v>0</v>
      </c>
      <c r="J19" s="332" t="e">
        <f>'Isolation Criteria'!$R$44*'Results Iso-Wbl - With HEPA'!I19^'Isolation Criteria'!$S$44*10</f>
        <v>#DIV/0!</v>
      </c>
      <c r="K19" s="20" t="e">
        <f t="shared" si="7"/>
        <v>#DIV/0!</v>
      </c>
      <c r="L19" s="5" t="e">
        <f t="shared" si="7"/>
        <v>#DIV/0!</v>
      </c>
      <c r="M19" s="21" t="e">
        <f t="shared" si="7"/>
        <v>#DIV/0!</v>
      </c>
      <c r="N19" s="20">
        <f t="shared" si="8"/>
        <v>0</v>
      </c>
      <c r="O19" s="5">
        <f t="shared" si="9"/>
        <v>0</v>
      </c>
      <c r="P19" s="21">
        <f t="shared" si="10"/>
        <v>0</v>
      </c>
      <c r="Q19" s="20">
        <f t="shared" si="14"/>
        <v>0</v>
      </c>
      <c r="R19" s="5">
        <f t="shared" si="11"/>
        <v>0</v>
      </c>
      <c r="S19" s="21">
        <f t="shared" si="11"/>
        <v>0</v>
      </c>
      <c r="T19" s="421"/>
      <c r="W19" s="1343" t="str">
        <f t="shared" si="15"/>
        <v>104630135</v>
      </c>
      <c r="X19" s="1343" t="str">
        <f t="shared" si="12"/>
        <v>10466330</v>
      </c>
      <c r="Y19" s="1343" t="str">
        <f t="shared" si="12"/>
        <v>1046496</v>
      </c>
    </row>
    <row r="20" spans="2:25">
      <c r="B20" s="256">
        <f t="shared" si="13"/>
        <v>105</v>
      </c>
      <c r="C20" s="42" t="str">
        <f t="shared" si="0"/>
        <v>AA</v>
      </c>
      <c r="D20" s="42" t="str">
        <f t="shared" si="1"/>
        <v>EF-1</v>
      </c>
      <c r="E20" s="648">
        <f t="shared" si="2"/>
        <v>10</v>
      </c>
      <c r="F20" s="649" t="str">
        <f t="shared" si="3"/>
        <v>5 - Receptor 5</v>
      </c>
      <c r="G20" s="318">
        <f t="shared" si="4"/>
        <v>0</v>
      </c>
      <c r="H20" s="650">
        <f t="shared" si="5"/>
        <v>0</v>
      </c>
      <c r="I20" s="651">
        <f t="shared" si="6"/>
        <v>0</v>
      </c>
      <c r="J20" s="332" t="e">
        <f>'Isolation Criteria'!$R$44*'Results Iso-Wbl - With HEPA'!I20^'Isolation Criteria'!$S$44*10</f>
        <v>#DIV/0!</v>
      </c>
      <c r="K20" s="20" t="e">
        <f t="shared" ref="K20:M25" si="16">IF($J20&gt;K$12,"Yes","No")</f>
        <v>#DIV/0!</v>
      </c>
      <c r="L20" s="5" t="e">
        <f t="shared" si="16"/>
        <v>#DIV/0!</v>
      </c>
      <c r="M20" s="21" t="e">
        <f t="shared" si="16"/>
        <v>#DIV/0!</v>
      </c>
      <c r="N20" s="20">
        <f t="shared" si="8"/>
        <v>0</v>
      </c>
      <c r="O20" s="5">
        <f t="shared" si="9"/>
        <v>0</v>
      </c>
      <c r="P20" s="21">
        <f t="shared" si="10"/>
        <v>0</v>
      </c>
      <c r="Q20" s="20">
        <f t="shared" si="14"/>
        <v>0</v>
      </c>
      <c r="R20" s="5">
        <f t="shared" si="11"/>
        <v>0</v>
      </c>
      <c r="S20" s="21">
        <f t="shared" si="11"/>
        <v>0</v>
      </c>
      <c r="T20" s="421"/>
      <c r="W20" s="1343" t="str">
        <f t="shared" si="15"/>
        <v>105630135</v>
      </c>
      <c r="X20" s="1343" t="str">
        <f t="shared" si="12"/>
        <v>10566330</v>
      </c>
      <c r="Y20" s="1343" t="str">
        <f t="shared" si="12"/>
        <v>1056496</v>
      </c>
    </row>
    <row r="21" spans="2:25">
      <c r="B21" s="256">
        <f t="shared" si="13"/>
        <v>106</v>
      </c>
      <c r="C21" s="42" t="str">
        <f t="shared" si="0"/>
        <v>AA</v>
      </c>
      <c r="D21" s="42" t="str">
        <f t="shared" si="1"/>
        <v>EF-1</v>
      </c>
      <c r="E21" s="648">
        <f t="shared" si="2"/>
        <v>10</v>
      </c>
      <c r="F21" s="649" t="str">
        <f t="shared" si="3"/>
        <v>6 - Receptor 6</v>
      </c>
      <c r="G21" s="318">
        <f t="shared" si="4"/>
        <v>0</v>
      </c>
      <c r="H21" s="650">
        <f t="shared" si="5"/>
        <v>0</v>
      </c>
      <c r="I21" s="651">
        <f t="shared" si="6"/>
        <v>0</v>
      </c>
      <c r="J21" s="332" t="e">
        <f>'Isolation Criteria'!$R$44*'Results Iso-Wbl - With HEPA'!I21^'Isolation Criteria'!$S$44*10</f>
        <v>#DIV/0!</v>
      </c>
      <c r="K21" s="20" t="e">
        <f t="shared" si="16"/>
        <v>#DIV/0!</v>
      </c>
      <c r="L21" s="5" t="e">
        <f t="shared" si="16"/>
        <v>#DIV/0!</v>
      </c>
      <c r="M21" s="21" t="e">
        <f t="shared" si="16"/>
        <v>#DIV/0!</v>
      </c>
      <c r="N21" s="20">
        <f t="shared" si="8"/>
        <v>0</v>
      </c>
      <c r="O21" s="5">
        <f t="shared" si="9"/>
        <v>0</v>
      </c>
      <c r="P21" s="21">
        <f t="shared" si="10"/>
        <v>0</v>
      </c>
      <c r="Q21" s="20">
        <f t="shared" si="14"/>
        <v>0</v>
      </c>
      <c r="R21" s="5">
        <f t="shared" si="11"/>
        <v>0</v>
      </c>
      <c r="S21" s="21">
        <f t="shared" si="11"/>
        <v>0</v>
      </c>
      <c r="T21" s="421"/>
      <c r="W21" s="1343" t="str">
        <f t="shared" si="15"/>
        <v>106630135</v>
      </c>
      <c r="X21" s="1343" t="str">
        <f t="shared" si="12"/>
        <v>10666330</v>
      </c>
      <c r="Y21" s="1343" t="str">
        <f t="shared" si="12"/>
        <v>1066496</v>
      </c>
    </row>
    <row r="22" spans="2:25">
      <c r="B22" s="256">
        <f t="shared" si="13"/>
        <v>107</v>
      </c>
      <c r="C22" s="42" t="str">
        <f t="shared" si="0"/>
        <v>AA</v>
      </c>
      <c r="D22" s="42" t="str">
        <f t="shared" si="1"/>
        <v>EF-1</v>
      </c>
      <c r="E22" s="648">
        <f t="shared" si="2"/>
        <v>10</v>
      </c>
      <c r="F22" s="649" t="str">
        <f t="shared" si="3"/>
        <v>7 - Receptor 7</v>
      </c>
      <c r="G22" s="318">
        <f t="shared" si="4"/>
        <v>0</v>
      </c>
      <c r="H22" s="650">
        <f t="shared" si="5"/>
        <v>0</v>
      </c>
      <c r="I22" s="651">
        <f t="shared" si="6"/>
        <v>0</v>
      </c>
      <c r="J22" s="332" t="e">
        <f>'Isolation Criteria'!$R$44*'Results Iso-Wbl - With HEPA'!I22^'Isolation Criteria'!$S$44*10</f>
        <v>#DIV/0!</v>
      </c>
      <c r="K22" s="20" t="e">
        <f t="shared" si="16"/>
        <v>#DIV/0!</v>
      </c>
      <c r="L22" s="5" t="e">
        <f t="shared" si="16"/>
        <v>#DIV/0!</v>
      </c>
      <c r="M22" s="21" t="e">
        <f t="shared" si="16"/>
        <v>#DIV/0!</v>
      </c>
      <c r="N22" s="20">
        <f t="shared" si="8"/>
        <v>0</v>
      </c>
      <c r="O22" s="5">
        <f t="shared" si="9"/>
        <v>0</v>
      </c>
      <c r="P22" s="21">
        <f t="shared" si="10"/>
        <v>0</v>
      </c>
      <c r="Q22" s="20">
        <f t="shared" si="14"/>
        <v>0</v>
      </c>
      <c r="R22" s="5">
        <f t="shared" si="11"/>
        <v>0</v>
      </c>
      <c r="S22" s="21">
        <f t="shared" si="11"/>
        <v>0</v>
      </c>
      <c r="T22" s="421"/>
      <c r="W22" s="1343" t="str">
        <f t="shared" si="15"/>
        <v>107630135</v>
      </c>
      <c r="X22" s="1343" t="str">
        <f t="shared" si="12"/>
        <v>10766330</v>
      </c>
      <c r="Y22" s="1343" t="str">
        <f t="shared" si="12"/>
        <v>1076496</v>
      </c>
    </row>
    <row r="23" spans="2:25">
      <c r="B23" s="256">
        <f t="shared" si="13"/>
        <v>108</v>
      </c>
      <c r="C23" s="42" t="str">
        <f t="shared" si="0"/>
        <v>AA</v>
      </c>
      <c r="D23" s="42" t="str">
        <f t="shared" si="1"/>
        <v>EF-1</v>
      </c>
      <c r="E23" s="648">
        <f t="shared" si="2"/>
        <v>10</v>
      </c>
      <c r="F23" s="649" t="str">
        <f t="shared" si="3"/>
        <v>8 - Receptor 8</v>
      </c>
      <c r="G23" s="318">
        <f t="shared" si="4"/>
        <v>0</v>
      </c>
      <c r="H23" s="650">
        <f t="shared" si="5"/>
        <v>0</v>
      </c>
      <c r="I23" s="651">
        <f t="shared" si="6"/>
        <v>0</v>
      </c>
      <c r="J23" s="332" t="e">
        <f>'Isolation Criteria'!$R$44*'Results Iso-Wbl - With HEPA'!I23^'Isolation Criteria'!$S$44*10</f>
        <v>#DIV/0!</v>
      </c>
      <c r="K23" s="20" t="e">
        <f t="shared" si="16"/>
        <v>#DIV/0!</v>
      </c>
      <c r="L23" s="5" t="e">
        <f t="shared" si="16"/>
        <v>#DIV/0!</v>
      </c>
      <c r="M23" s="21" t="e">
        <f t="shared" si="16"/>
        <v>#DIV/0!</v>
      </c>
      <c r="N23" s="20">
        <f t="shared" si="8"/>
        <v>0</v>
      </c>
      <c r="O23" s="5">
        <f t="shared" si="9"/>
        <v>0</v>
      </c>
      <c r="P23" s="21">
        <f t="shared" si="10"/>
        <v>0</v>
      </c>
      <c r="Q23" s="20">
        <f t="shared" si="14"/>
        <v>0</v>
      </c>
      <c r="R23" s="5">
        <f t="shared" si="11"/>
        <v>0</v>
      </c>
      <c r="S23" s="21">
        <f t="shared" si="11"/>
        <v>0</v>
      </c>
      <c r="T23" s="421"/>
      <c r="W23" s="1343" t="str">
        <f t="shared" si="15"/>
        <v>108630135</v>
      </c>
      <c r="X23" s="1343" t="str">
        <f t="shared" si="12"/>
        <v>10866330</v>
      </c>
      <c r="Y23" s="1343" t="str">
        <f t="shared" si="12"/>
        <v>1086496</v>
      </c>
    </row>
    <row r="24" spans="2:25">
      <c r="B24" s="256">
        <f t="shared" si="13"/>
        <v>109</v>
      </c>
      <c r="C24" s="42" t="str">
        <f t="shared" si="0"/>
        <v>AA</v>
      </c>
      <c r="D24" s="42" t="str">
        <f t="shared" si="1"/>
        <v>EF-1</v>
      </c>
      <c r="E24" s="648">
        <f t="shared" si="2"/>
        <v>10</v>
      </c>
      <c r="F24" s="649" t="str">
        <f t="shared" si="3"/>
        <v>9 - Receptor 9</v>
      </c>
      <c r="G24" s="318">
        <f t="shared" si="4"/>
        <v>0</v>
      </c>
      <c r="H24" s="650">
        <f t="shared" si="5"/>
        <v>0</v>
      </c>
      <c r="I24" s="651">
        <f t="shared" si="6"/>
        <v>0</v>
      </c>
      <c r="J24" s="332" t="e">
        <f>'Isolation Criteria'!$R$44*'Results Iso-Wbl - With HEPA'!I24^'Isolation Criteria'!$S$44*10</f>
        <v>#DIV/0!</v>
      </c>
      <c r="K24" s="20" t="e">
        <f t="shared" si="16"/>
        <v>#DIV/0!</v>
      </c>
      <c r="L24" s="5" t="e">
        <f t="shared" si="16"/>
        <v>#DIV/0!</v>
      </c>
      <c r="M24" s="21" t="e">
        <f t="shared" si="16"/>
        <v>#DIV/0!</v>
      </c>
      <c r="N24" s="20">
        <f t="shared" si="8"/>
        <v>0</v>
      </c>
      <c r="O24" s="5">
        <f t="shared" si="9"/>
        <v>0</v>
      </c>
      <c r="P24" s="21">
        <f t="shared" si="10"/>
        <v>0</v>
      </c>
      <c r="Q24" s="20">
        <f t="shared" si="14"/>
        <v>0</v>
      </c>
      <c r="R24" s="5">
        <f t="shared" si="11"/>
        <v>0</v>
      </c>
      <c r="S24" s="21">
        <f t="shared" si="11"/>
        <v>0</v>
      </c>
      <c r="T24" s="421"/>
      <c r="W24" s="1343" t="str">
        <f t="shared" si="15"/>
        <v>109630135</v>
      </c>
      <c r="X24" s="1343" t="str">
        <f t="shared" si="12"/>
        <v>10966330</v>
      </c>
      <c r="Y24" s="1343" t="str">
        <f t="shared" si="12"/>
        <v>1096496</v>
      </c>
    </row>
    <row r="25" spans="2:25">
      <c r="B25" s="256">
        <f t="shared" si="13"/>
        <v>110</v>
      </c>
      <c r="C25" s="42" t="str">
        <f t="shared" si="0"/>
        <v>AA</v>
      </c>
      <c r="D25" s="42" t="str">
        <f t="shared" si="1"/>
        <v>EF-1</v>
      </c>
      <c r="E25" s="648">
        <f t="shared" si="2"/>
        <v>10</v>
      </c>
      <c r="F25" s="649" t="str">
        <f t="shared" si="3"/>
        <v>10 - Receptor 10</v>
      </c>
      <c r="G25" s="318">
        <f t="shared" si="4"/>
        <v>0</v>
      </c>
      <c r="H25" s="650">
        <f t="shared" si="5"/>
        <v>0</v>
      </c>
      <c r="I25" s="651">
        <f t="shared" si="6"/>
        <v>0</v>
      </c>
      <c r="J25" s="332" t="e">
        <f>'Isolation Criteria'!$R$44*'Results Iso-Wbl - With HEPA'!I25^'Isolation Criteria'!$S$44*10</f>
        <v>#DIV/0!</v>
      </c>
      <c r="K25" s="20" t="e">
        <f t="shared" si="16"/>
        <v>#DIV/0!</v>
      </c>
      <c r="L25" s="5" t="e">
        <f t="shared" si="16"/>
        <v>#DIV/0!</v>
      </c>
      <c r="M25" s="21" t="e">
        <f t="shared" si="16"/>
        <v>#DIV/0!</v>
      </c>
      <c r="N25" s="20">
        <f t="shared" si="8"/>
        <v>0</v>
      </c>
      <c r="O25" s="5">
        <f t="shared" si="9"/>
        <v>0</v>
      </c>
      <c r="P25" s="21">
        <f t="shared" si="10"/>
        <v>0</v>
      </c>
      <c r="Q25" s="20">
        <f t="shared" si="14"/>
        <v>0</v>
      </c>
      <c r="R25" s="5">
        <f t="shared" si="11"/>
        <v>0</v>
      </c>
      <c r="S25" s="21">
        <f t="shared" si="11"/>
        <v>0</v>
      </c>
      <c r="T25" s="421"/>
      <c r="W25" s="1343" t="str">
        <f t="shared" si="15"/>
        <v>110630135</v>
      </c>
      <c r="X25" s="1343" t="str">
        <f t="shared" si="12"/>
        <v>11066330</v>
      </c>
      <c r="Y25" s="1343" t="str">
        <f t="shared" si="12"/>
        <v>1106496</v>
      </c>
    </row>
    <row r="26" spans="2:25">
      <c r="B26" s="256"/>
      <c r="C26" s="42"/>
      <c r="D26" s="42"/>
      <c r="E26" s="648"/>
      <c r="F26" s="649"/>
      <c r="G26" s="318"/>
      <c r="H26" s="650"/>
      <c r="I26" s="651"/>
      <c r="J26" s="332"/>
      <c r="K26" s="20"/>
      <c r="L26" s="5"/>
      <c r="M26" s="21"/>
      <c r="N26" s="20"/>
      <c r="O26" s="5"/>
      <c r="P26" s="21"/>
      <c r="Q26" s="20"/>
      <c r="R26" s="5"/>
      <c r="S26" s="21"/>
      <c r="T26" s="421"/>
    </row>
    <row r="27" spans="2:25">
      <c r="B27" s="256"/>
      <c r="C27" s="42"/>
      <c r="D27" s="42"/>
      <c r="E27" s="648"/>
      <c r="F27" s="649"/>
      <c r="G27" s="318"/>
      <c r="H27" s="650"/>
      <c r="I27" s="651"/>
      <c r="J27" s="332"/>
      <c r="K27" s="20"/>
      <c r="L27" s="5"/>
      <c r="M27" s="21"/>
      <c r="N27" s="20"/>
      <c r="O27" s="5"/>
      <c r="P27" s="21"/>
      <c r="Q27" s="20"/>
      <c r="R27" s="5"/>
      <c r="S27" s="21"/>
      <c r="T27" s="421"/>
    </row>
    <row r="28" spans="2:25">
      <c r="B28" s="768" t="str">
        <f>INDEX(SourceDescription,MATCH($C30,SourceNumber,0),1,1)</f>
        <v>Fume Hood Exhaust 1</v>
      </c>
      <c r="J28" s="33"/>
      <c r="K28" s="33"/>
      <c r="M28" s="37"/>
      <c r="N28" s="283"/>
      <c r="O28" s="421"/>
      <c r="P28" s="284"/>
      <c r="Q28" s="283"/>
      <c r="R28" s="421"/>
      <c r="S28" s="284"/>
      <c r="T28" s="421"/>
    </row>
    <row r="29" spans="2:25">
      <c r="B29" s="767" t="str">
        <f>"("&amp;ROUND(INDEX(SourceVolumeFlowRateEnglish,MATCH($C30,SourceNumber,0),1,1),0)&amp;" cfm @ "&amp;ROUND(INDEX(SourceExitVelocityEnglish,MATCH($C30,SourceNumber,0),1,1),0)&amp;" fpm)"</f>
        <v>(1000 cfm @ 2865 fpm)</v>
      </c>
      <c r="J29" s="33"/>
      <c r="K29" s="33"/>
      <c r="M29" s="37"/>
      <c r="N29" s="283"/>
      <c r="O29" s="421"/>
      <c r="P29" s="284"/>
      <c r="Q29" s="283"/>
      <c r="R29" s="421"/>
      <c r="S29" s="284"/>
      <c r="T29" s="421"/>
    </row>
    <row r="30" spans="2:25">
      <c r="B30" s="766">
        <v>101</v>
      </c>
      <c r="C30" s="42" t="str">
        <f>INDEX(TPSourceLetter,MATCH($B30,TPRunNumber,0),1,1)</f>
        <v>AA</v>
      </c>
      <c r="D30" s="42" t="str">
        <f t="shared" ref="D30:D34" si="17">INDEX(SourceID,MATCH($C30,SourceNumber,0),1,1)</f>
        <v>EF-1</v>
      </c>
      <c r="E30" s="648">
        <f t="shared" ref="E30:E34" si="18">INDEX(TPSourceHeight,MATCH($B30,TPRunNumber,0),1,1)</f>
        <v>10</v>
      </c>
      <c r="F30" s="649" t="str">
        <f t="shared" ref="F30:F34" si="19">INDEX(TPReceptorID1,MATCH($B30,TPRunNumber,0),1,1)&amp;INDEX(TPReceptorID2,MATCH($B30,TPRunNumber,0),1,1)</f>
        <v>1 - Receptor 1</v>
      </c>
      <c r="G30" s="318">
        <f t="shared" ref="G30:G34" si="20">INDEX(TPWWD,MATCH($B30,TPRunNumber,0),1,1)</f>
        <v>0</v>
      </c>
      <c r="H30" s="650">
        <f t="shared" ref="H30:H34" si="21">INDEX(TPWWS,MATCH($B30,TPRunNumber,0),1,1)</f>
        <v>0</v>
      </c>
      <c r="I30" s="651">
        <f t="shared" ref="I30:I34" si="22">INDEX(TPMaxCm,MATCH($B30,TPRunNumber,0),1,1)</f>
        <v>0</v>
      </c>
      <c r="J30" s="332" t="e">
        <f>'Isolation Criteria'!$R$44*'Results Iso-Wbl - With HEPA'!I30^'Isolation Criteria'!$S$44*10</f>
        <v>#DIV/0!</v>
      </c>
      <c r="K30" s="20" t="e">
        <f t="shared" ref="K30:M33" si="23">IF($J30&gt;K$12,"Yes","No")</f>
        <v>#DIV/0!</v>
      </c>
      <c r="L30" s="5" t="e">
        <f t="shared" si="23"/>
        <v>#DIV/0!</v>
      </c>
      <c r="M30" s="21" t="e">
        <f t="shared" si="23"/>
        <v>#DIV/0!</v>
      </c>
      <c r="N30" s="20">
        <f t="shared" ref="N30:P34" si="24">IF(ISERROR(INDEX(Prob_ProbTotal,MATCH(W30,Prob_ProbRunandCrit,0),1)),0,INDEX(Prob_ProbTotal,MATCH(W30,Prob_ProbRunandCrit,0),1))</f>
        <v>0</v>
      </c>
      <c r="O30" s="5">
        <f t="shared" si="24"/>
        <v>0</v>
      </c>
      <c r="P30" s="21">
        <f t="shared" si="24"/>
        <v>0</v>
      </c>
      <c r="Q30" s="20">
        <f>N30*$R$7</f>
        <v>0</v>
      </c>
      <c r="R30" s="5">
        <f t="shared" ref="R30:S34" si="25">O30*$R$7</f>
        <v>0</v>
      </c>
      <c r="S30" s="21">
        <f t="shared" si="25"/>
        <v>0</v>
      </c>
      <c r="T30" s="421"/>
      <c r="W30" s="1343" t="str">
        <f>$B30&amp;ROUND(N$7,0)</f>
        <v>101630135</v>
      </c>
      <c r="X30" s="1343" t="str">
        <f t="shared" ref="X30:Y34" si="26">$B30&amp;ROUND(O$7,0)</f>
        <v>10166330</v>
      </c>
      <c r="Y30" s="1343" t="str">
        <f t="shared" si="26"/>
        <v>1016496</v>
      </c>
    </row>
    <row r="31" spans="2:25">
      <c r="B31" s="256">
        <f t="shared" ref="B31:B34" si="27">B30+1</f>
        <v>102</v>
      </c>
      <c r="C31" s="42" t="str">
        <f>INDEX(TPSourceLetter,MATCH($B31,TPRunNumber,0),1,1)</f>
        <v>AA</v>
      </c>
      <c r="D31" s="42" t="str">
        <f t="shared" si="17"/>
        <v>EF-1</v>
      </c>
      <c r="E31" s="648">
        <f t="shared" si="18"/>
        <v>10</v>
      </c>
      <c r="F31" s="649" t="str">
        <f t="shared" si="19"/>
        <v>2 - Receptor 2</v>
      </c>
      <c r="G31" s="318">
        <f t="shared" si="20"/>
        <v>0</v>
      </c>
      <c r="H31" s="650">
        <f t="shared" si="21"/>
        <v>0</v>
      </c>
      <c r="I31" s="651">
        <f t="shared" si="22"/>
        <v>0</v>
      </c>
      <c r="J31" s="332" t="e">
        <f>'Isolation Criteria'!$R$44*'Results Iso-Wbl - With HEPA'!I31^'Isolation Criteria'!$S$44*10</f>
        <v>#DIV/0!</v>
      </c>
      <c r="K31" s="20" t="e">
        <f t="shared" si="23"/>
        <v>#DIV/0!</v>
      </c>
      <c r="L31" s="5" t="e">
        <f t="shared" si="23"/>
        <v>#DIV/0!</v>
      </c>
      <c r="M31" s="21" t="e">
        <f t="shared" si="23"/>
        <v>#DIV/0!</v>
      </c>
      <c r="N31" s="20">
        <f t="shared" si="24"/>
        <v>0</v>
      </c>
      <c r="O31" s="5">
        <f t="shared" si="24"/>
        <v>0</v>
      </c>
      <c r="P31" s="21">
        <f t="shared" si="24"/>
        <v>0</v>
      </c>
      <c r="Q31" s="20">
        <f t="shared" ref="Q31:Q34" si="28">N31*$R$7</f>
        <v>0</v>
      </c>
      <c r="R31" s="5">
        <f t="shared" si="25"/>
        <v>0</v>
      </c>
      <c r="S31" s="21">
        <f t="shared" si="25"/>
        <v>0</v>
      </c>
      <c r="T31" s="421"/>
      <c r="W31" s="1343" t="str">
        <f t="shared" ref="W31:W34" si="29">$B31&amp;ROUND(N$7,0)</f>
        <v>102630135</v>
      </c>
      <c r="X31" s="1343" t="str">
        <f t="shared" si="26"/>
        <v>10266330</v>
      </c>
      <c r="Y31" s="1343" t="str">
        <f t="shared" si="26"/>
        <v>1026496</v>
      </c>
    </row>
    <row r="32" spans="2:25">
      <c r="B32" s="256">
        <f t="shared" si="27"/>
        <v>103</v>
      </c>
      <c r="C32" s="42" t="str">
        <f>INDEX(TPSourceLetter,MATCH($B32,TPRunNumber,0),1,1)</f>
        <v>AA</v>
      </c>
      <c r="D32" s="42" t="str">
        <f t="shared" si="17"/>
        <v>EF-1</v>
      </c>
      <c r="E32" s="648">
        <f t="shared" si="18"/>
        <v>10</v>
      </c>
      <c r="F32" s="649" t="str">
        <f t="shared" si="19"/>
        <v>3 - Receptor 3</v>
      </c>
      <c r="G32" s="318">
        <f t="shared" si="20"/>
        <v>0</v>
      </c>
      <c r="H32" s="650">
        <f t="shared" si="21"/>
        <v>0</v>
      </c>
      <c r="I32" s="651">
        <f t="shared" si="22"/>
        <v>0</v>
      </c>
      <c r="J32" s="332" t="e">
        <f>'Isolation Criteria'!$R$44*'Results Iso-Wbl - With HEPA'!I32^'Isolation Criteria'!$S$44*10</f>
        <v>#DIV/0!</v>
      </c>
      <c r="K32" s="20" t="e">
        <f t="shared" si="23"/>
        <v>#DIV/0!</v>
      </c>
      <c r="L32" s="5" t="e">
        <f t="shared" si="23"/>
        <v>#DIV/0!</v>
      </c>
      <c r="M32" s="21" t="e">
        <f t="shared" si="23"/>
        <v>#DIV/0!</v>
      </c>
      <c r="N32" s="20">
        <f t="shared" si="24"/>
        <v>0</v>
      </c>
      <c r="O32" s="5">
        <f t="shared" si="24"/>
        <v>0</v>
      </c>
      <c r="P32" s="21">
        <f t="shared" si="24"/>
        <v>0</v>
      </c>
      <c r="Q32" s="20">
        <f t="shared" si="28"/>
        <v>0</v>
      </c>
      <c r="R32" s="5">
        <f t="shared" si="25"/>
        <v>0</v>
      </c>
      <c r="S32" s="21">
        <f t="shared" si="25"/>
        <v>0</v>
      </c>
      <c r="T32" s="421"/>
      <c r="W32" s="1343" t="str">
        <f t="shared" si="29"/>
        <v>103630135</v>
      </c>
      <c r="X32" s="1343" t="str">
        <f t="shared" si="26"/>
        <v>10366330</v>
      </c>
      <c r="Y32" s="1343" t="str">
        <f t="shared" si="26"/>
        <v>1036496</v>
      </c>
    </row>
    <row r="33" spans="2:25">
      <c r="B33" s="256">
        <f t="shared" si="27"/>
        <v>104</v>
      </c>
      <c r="C33" s="42" t="str">
        <f>INDEX(TPSourceLetter,MATCH($B33,TPRunNumber,0),1,1)</f>
        <v>AA</v>
      </c>
      <c r="D33" s="42" t="str">
        <f t="shared" si="17"/>
        <v>EF-1</v>
      </c>
      <c r="E33" s="648">
        <f t="shared" si="18"/>
        <v>10</v>
      </c>
      <c r="F33" s="649" t="str">
        <f t="shared" si="19"/>
        <v>4 - Receptor 4</v>
      </c>
      <c r="G33" s="318">
        <f t="shared" si="20"/>
        <v>0</v>
      </c>
      <c r="H33" s="650">
        <f t="shared" si="21"/>
        <v>0</v>
      </c>
      <c r="I33" s="651">
        <f t="shared" si="22"/>
        <v>0</v>
      </c>
      <c r="J33" s="332" t="e">
        <f>'Isolation Criteria'!$R$44*'Results Iso-Wbl - With HEPA'!I33^'Isolation Criteria'!$S$44*10</f>
        <v>#DIV/0!</v>
      </c>
      <c r="K33" s="20" t="e">
        <f t="shared" si="23"/>
        <v>#DIV/0!</v>
      </c>
      <c r="L33" s="5" t="e">
        <f t="shared" si="23"/>
        <v>#DIV/0!</v>
      </c>
      <c r="M33" s="21" t="e">
        <f t="shared" si="23"/>
        <v>#DIV/0!</v>
      </c>
      <c r="N33" s="20">
        <f t="shared" si="24"/>
        <v>0</v>
      </c>
      <c r="O33" s="5">
        <f t="shared" si="24"/>
        <v>0</v>
      </c>
      <c r="P33" s="21">
        <f t="shared" si="24"/>
        <v>0</v>
      </c>
      <c r="Q33" s="20">
        <f t="shared" si="28"/>
        <v>0</v>
      </c>
      <c r="R33" s="5">
        <f t="shared" si="25"/>
        <v>0</v>
      </c>
      <c r="S33" s="21">
        <f t="shared" si="25"/>
        <v>0</v>
      </c>
      <c r="T33" s="421"/>
      <c r="W33" s="1343" t="str">
        <f t="shared" si="29"/>
        <v>104630135</v>
      </c>
      <c r="X33" s="1343" t="str">
        <f t="shared" si="26"/>
        <v>10466330</v>
      </c>
      <c r="Y33" s="1343" t="str">
        <f t="shared" si="26"/>
        <v>1046496</v>
      </c>
    </row>
    <row r="34" spans="2:25">
      <c r="B34" s="256">
        <f t="shared" si="27"/>
        <v>105</v>
      </c>
      <c r="C34" s="42" t="str">
        <f>INDEX(TPSourceLetter,MATCH($B34,TPRunNumber,0),1,1)</f>
        <v>AA</v>
      </c>
      <c r="D34" s="42" t="str">
        <f t="shared" si="17"/>
        <v>EF-1</v>
      </c>
      <c r="E34" s="648">
        <f t="shared" si="18"/>
        <v>10</v>
      </c>
      <c r="F34" s="649" t="str">
        <f t="shared" si="19"/>
        <v>5 - Receptor 5</v>
      </c>
      <c r="G34" s="318">
        <f t="shared" si="20"/>
        <v>0</v>
      </c>
      <c r="H34" s="650">
        <f t="shared" si="21"/>
        <v>0</v>
      </c>
      <c r="I34" s="651">
        <f t="shared" si="22"/>
        <v>0</v>
      </c>
      <c r="J34" s="332" t="e">
        <f>'Isolation Criteria'!$R$44*'Results Iso-Wbl - With HEPA'!I34^'Isolation Criteria'!$S$44*10</f>
        <v>#DIV/0!</v>
      </c>
      <c r="K34" s="20" t="e">
        <f t="shared" ref="K34:M34" si="30">IF($J34&gt;K$12,"Yes","No")</f>
        <v>#DIV/0!</v>
      </c>
      <c r="L34" s="5" t="e">
        <f t="shared" si="30"/>
        <v>#DIV/0!</v>
      </c>
      <c r="M34" s="21" t="e">
        <f t="shared" si="30"/>
        <v>#DIV/0!</v>
      </c>
      <c r="N34" s="20">
        <f t="shared" si="24"/>
        <v>0</v>
      </c>
      <c r="O34" s="5">
        <f t="shared" si="24"/>
        <v>0</v>
      </c>
      <c r="P34" s="21">
        <f t="shared" si="24"/>
        <v>0</v>
      </c>
      <c r="Q34" s="20">
        <f t="shared" si="28"/>
        <v>0</v>
      </c>
      <c r="R34" s="5">
        <f t="shared" si="25"/>
        <v>0</v>
      </c>
      <c r="S34" s="21">
        <f t="shared" si="25"/>
        <v>0</v>
      </c>
      <c r="T34" s="421"/>
      <c r="W34" s="1343" t="str">
        <f t="shared" si="29"/>
        <v>105630135</v>
      </c>
      <c r="X34" s="1343" t="str">
        <f t="shared" si="26"/>
        <v>10566330</v>
      </c>
      <c r="Y34" s="1343" t="str">
        <f t="shared" si="26"/>
        <v>1056496</v>
      </c>
    </row>
    <row r="35" spans="2:25">
      <c r="B35" s="256"/>
      <c r="C35" s="42"/>
      <c r="D35" s="42"/>
      <c r="E35" s="648"/>
      <c r="F35" s="649"/>
      <c r="G35" s="318"/>
      <c r="H35" s="650"/>
      <c r="I35" s="651"/>
      <c r="J35" s="332"/>
      <c r="K35" s="20"/>
      <c r="L35" s="5"/>
      <c r="M35" s="21"/>
      <c r="N35" s="20"/>
      <c r="O35" s="5"/>
      <c r="P35" s="21"/>
      <c r="Q35" s="20"/>
      <c r="R35" s="5"/>
      <c r="S35" s="21"/>
      <c r="T35" s="421"/>
    </row>
    <row r="36" spans="2:25">
      <c r="B36" s="256"/>
      <c r="C36" s="42"/>
      <c r="D36" s="42"/>
      <c r="E36" s="648"/>
      <c r="F36" s="649"/>
      <c r="G36" s="318"/>
      <c r="H36" s="650"/>
      <c r="I36" s="651"/>
      <c r="J36" s="332"/>
      <c r="K36" s="20"/>
      <c r="L36" s="5"/>
      <c r="M36" s="21"/>
      <c r="N36" s="20"/>
      <c r="O36" s="5"/>
      <c r="P36" s="21"/>
      <c r="Q36" s="20"/>
      <c r="R36" s="5"/>
      <c r="S36" s="21"/>
      <c r="T36" s="421"/>
    </row>
    <row r="37" spans="2:25">
      <c r="B37" s="256"/>
      <c r="C37" s="42"/>
      <c r="D37" s="42"/>
      <c r="E37" s="648"/>
      <c r="F37" s="649"/>
      <c r="G37" s="318"/>
      <c r="H37" s="650"/>
      <c r="I37" s="651"/>
      <c r="J37" s="332"/>
      <c r="K37" s="20"/>
      <c r="L37" s="5"/>
      <c r="M37" s="21"/>
      <c r="N37" s="20"/>
      <c r="O37" s="5"/>
      <c r="P37" s="21"/>
      <c r="Q37" s="20"/>
      <c r="R37" s="5"/>
      <c r="S37" s="21"/>
      <c r="T37" s="421"/>
    </row>
    <row r="38" spans="2:25">
      <c r="B38" s="256"/>
      <c r="C38" s="42"/>
      <c r="D38" s="42"/>
      <c r="E38" s="648"/>
      <c r="F38" s="649"/>
      <c r="G38" s="318"/>
      <c r="H38" s="650"/>
      <c r="I38" s="651"/>
      <c r="J38" s="332"/>
      <c r="K38" s="20"/>
      <c r="L38" s="5"/>
      <c r="M38" s="21"/>
      <c r="N38" s="20"/>
      <c r="O38" s="5"/>
      <c r="P38" s="21"/>
      <c r="Q38" s="20"/>
      <c r="R38" s="5"/>
      <c r="S38" s="21"/>
      <c r="T38" s="421"/>
    </row>
    <row r="39" spans="2:25">
      <c r="B39" s="256"/>
      <c r="C39" s="42"/>
      <c r="D39" s="42"/>
      <c r="E39" s="648"/>
      <c r="F39" s="649"/>
      <c r="G39" s="318"/>
      <c r="H39" s="650"/>
      <c r="I39" s="651"/>
      <c r="J39" s="332"/>
      <c r="K39" s="20"/>
      <c r="L39" s="5"/>
      <c r="M39" s="21"/>
      <c r="N39" s="20"/>
      <c r="O39" s="5"/>
      <c r="P39" s="21"/>
      <c r="Q39" s="20"/>
      <c r="R39" s="5"/>
      <c r="S39" s="21"/>
      <c r="T39" s="421"/>
    </row>
    <row r="40" spans="2:25">
      <c r="B40" s="52"/>
      <c r="C40" s="41"/>
      <c r="D40" s="41"/>
      <c r="E40" s="317"/>
      <c r="F40" s="41"/>
      <c r="G40" s="317"/>
      <c r="H40" s="317"/>
      <c r="I40" s="317"/>
      <c r="J40" s="333"/>
      <c r="K40" s="52"/>
      <c r="L40" s="41"/>
      <c r="M40" s="53"/>
      <c r="N40" s="652"/>
      <c r="O40" s="654"/>
      <c r="P40" s="653"/>
      <c r="Q40" s="652"/>
      <c r="R40" s="654"/>
      <c r="S40" s="653"/>
      <c r="T40" s="656"/>
    </row>
    <row r="41" spans="2:25">
      <c r="B41" t="s">
        <v>214</v>
      </c>
      <c r="N41" s="656"/>
      <c r="O41" s="656"/>
      <c r="P41" s="656"/>
      <c r="Q41" s="656"/>
      <c r="R41" s="656"/>
      <c r="S41" s="656"/>
      <c r="T41" s="656"/>
    </row>
    <row r="42" spans="2:25">
      <c r="B42" s="107" t="s">
        <v>216</v>
      </c>
      <c r="D42" s="16" t="str">
        <f>'Test Plan &amp; Results'!G44</f>
        <v>The maximum normalized concentration (C/m) measured in the wind tunnel for the specific source/receptor pair.</v>
      </c>
    </row>
    <row r="43" spans="2:25">
      <c r="B43" s="107" t="s">
        <v>217</v>
      </c>
      <c r="D43" s="1" t="s">
        <v>944</v>
      </c>
    </row>
    <row r="44" spans="2:25">
      <c r="B44" s="107" t="s">
        <v>218</v>
      </c>
      <c r="D44" s="1" t="s">
        <v>945</v>
      </c>
    </row>
  </sheetData>
  <mergeCells count="8">
    <mergeCell ref="K10:M10"/>
    <mergeCell ref="Q10:S10"/>
    <mergeCell ref="N5:P5"/>
    <mergeCell ref="K8:M8"/>
    <mergeCell ref="N8:P8"/>
    <mergeCell ref="Q8:S8"/>
    <mergeCell ref="K9:M9"/>
    <mergeCell ref="N9:P9"/>
  </mergeCells>
  <conditionalFormatting sqref="K16:P27 K35:P39">
    <cfRule type="cellIs" dxfId="835" priority="6" stopIfTrue="1" operator="equal">
      <formula>"No"</formula>
    </cfRule>
  </conditionalFormatting>
  <conditionalFormatting sqref="B16:B27 B35:B39">
    <cfRule type="expression" dxfId="834" priority="5" stopIfTrue="1">
      <formula>XEZ16=TRUE</formula>
    </cfRule>
  </conditionalFormatting>
  <conditionalFormatting sqref="Q16:S27 Q35:S39">
    <cfRule type="cellIs" dxfId="833" priority="4" stopIfTrue="1" operator="equal">
      <formula>"No"</formula>
    </cfRule>
  </conditionalFormatting>
  <conditionalFormatting sqref="K30:P34">
    <cfRule type="cellIs" dxfId="832" priority="3" stopIfTrue="1" operator="equal">
      <formula>"No"</formula>
    </cfRule>
  </conditionalFormatting>
  <conditionalFormatting sqref="B30:B34">
    <cfRule type="expression" dxfId="831" priority="2" stopIfTrue="1">
      <formula>XEZ30=TRUE</formula>
    </cfRule>
  </conditionalFormatting>
  <conditionalFormatting sqref="Q30:S34">
    <cfRule type="cellIs" dxfId="830" priority="1" stopIfTrue="1" operator="equal">
      <formula>"No"</formula>
    </cfRule>
  </conditionalFormatting>
  <pageMargins left="0.75" right="0.75" top="0.75" bottom="0.75" header="0.5" footer="0.5"/>
  <pageSetup scale="60" orientation="landscape" useFirstPageNumber="1" r:id="rId1"/>
  <headerFooter scaleWithDoc="0" alignWithMargins="0">
    <oddFooter>&amp;C&amp;9Page &amp;P of &amp;N</oddFooter>
  </headerFooter>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7">
    <pageSetUpPr fitToPage="1"/>
  </sheetPr>
  <dimension ref="B2:U24"/>
  <sheetViews>
    <sheetView view="pageBreakPreview" zoomScale="75" zoomScaleNormal="55" zoomScaleSheetLayoutView="75" workbookViewId="0">
      <selection activeCell="R44" sqref="R44:S44"/>
    </sheetView>
  </sheetViews>
  <sheetFormatPr defaultRowHeight="15.75"/>
  <cols>
    <col min="2" max="2" width="4.75" customWidth="1"/>
    <col min="3" max="3" width="6.5" customWidth="1"/>
    <col min="4" max="4" width="10.25" bestFit="1" customWidth="1"/>
    <col min="5" max="5" width="12.25" customWidth="1"/>
    <col min="6" max="6" width="26.25" customWidth="1"/>
    <col min="7" max="7" width="9.5" hidden="1" customWidth="1"/>
    <col min="8" max="8" width="8" hidden="1" customWidth="1"/>
    <col min="9" max="9" width="16" bestFit="1" customWidth="1"/>
    <col min="10" max="11" width="15.625" customWidth="1"/>
    <col min="12" max="17" width="10.625" customWidth="1"/>
    <col min="18" max="18" width="6.25" customWidth="1"/>
  </cols>
  <sheetData>
    <row r="2" spans="2:21" ht="20.25">
      <c r="B2" s="120" t="str">
        <f>SourceProjectName1</f>
        <v>Project Name 1</v>
      </c>
    </row>
    <row r="3" spans="2:21" ht="20.25">
      <c r="B3" s="120" t="str">
        <f>SourceProjectName2</f>
        <v>Project Name 2</v>
      </c>
      <c r="F3" s="4"/>
    </row>
    <row r="4" spans="2:21" ht="20.25">
      <c r="B4" s="120" t="str">
        <f>SourceProjectNumber</f>
        <v>Project Number</v>
      </c>
    </row>
    <row r="5" spans="2:21" ht="20.25">
      <c r="B5" s="837" t="s">
        <v>934</v>
      </c>
    </row>
    <row r="6" spans="2:21" ht="20.25">
      <c r="B6" s="837" t="s">
        <v>935</v>
      </c>
    </row>
    <row r="7" spans="2:21" ht="20.25">
      <c r="B7" s="838" t="s">
        <v>450</v>
      </c>
      <c r="C7" s="13"/>
      <c r="D7" s="13"/>
      <c r="E7" s="13"/>
      <c r="F7" s="13"/>
      <c r="G7" s="13"/>
      <c r="H7" s="13"/>
      <c r="L7" s="13"/>
      <c r="M7" s="13"/>
      <c r="N7" s="13"/>
    </row>
    <row r="8" spans="2:21">
      <c r="B8" s="100"/>
      <c r="C8" s="1082" t="s">
        <v>449</v>
      </c>
      <c r="D8" s="31"/>
      <c r="E8" s="264" t="s">
        <v>118</v>
      </c>
      <c r="F8" s="144"/>
      <c r="G8" s="1086"/>
      <c r="H8" s="1086"/>
      <c r="I8" s="265" t="s">
        <v>368</v>
      </c>
      <c r="J8" s="1745" t="s">
        <v>369</v>
      </c>
      <c r="K8" s="1746"/>
      <c r="L8" s="1745" t="s">
        <v>371</v>
      </c>
      <c r="M8" s="1813"/>
      <c r="N8" s="1725"/>
      <c r="O8" s="1745" t="s">
        <v>371</v>
      </c>
      <c r="P8" s="1813"/>
      <c r="Q8" s="1725"/>
      <c r="R8" s="286"/>
    </row>
    <row r="9" spans="2:21">
      <c r="B9" s="33"/>
      <c r="C9" s="1083"/>
      <c r="E9" s="266" t="s">
        <v>666</v>
      </c>
      <c r="F9" s="13" t="s">
        <v>147</v>
      </c>
      <c r="G9" s="180"/>
      <c r="H9" s="180"/>
      <c r="I9" s="286" t="s">
        <v>364</v>
      </c>
      <c r="J9" s="1738" t="s">
        <v>936</v>
      </c>
      <c r="K9" s="1739"/>
      <c r="L9" s="1738" t="s">
        <v>937</v>
      </c>
      <c r="M9" s="1739"/>
      <c r="N9" s="1740"/>
      <c r="O9" s="1738" t="s">
        <v>938</v>
      </c>
      <c r="P9" s="1739"/>
      <c r="Q9" s="1740"/>
      <c r="R9" s="13"/>
    </row>
    <row r="10" spans="2:21">
      <c r="B10" s="74" t="s">
        <v>160</v>
      </c>
      <c r="C10" s="1084" t="s">
        <v>663</v>
      </c>
      <c r="D10" s="13" t="s">
        <v>663</v>
      </c>
      <c r="E10" s="266" t="s">
        <v>1193</v>
      </c>
      <c r="F10" s="13" t="s">
        <v>19</v>
      </c>
      <c r="G10" s="157" t="s">
        <v>162</v>
      </c>
      <c r="H10" s="157" t="s">
        <v>162</v>
      </c>
      <c r="I10" s="13" t="s">
        <v>365</v>
      </c>
      <c r="J10" s="1738" t="s">
        <v>939</v>
      </c>
      <c r="K10" s="1739"/>
      <c r="L10" s="1738" t="s">
        <v>940</v>
      </c>
      <c r="M10" s="1739"/>
      <c r="N10" s="1740"/>
      <c r="O10" s="1738" t="s">
        <v>940</v>
      </c>
      <c r="P10" s="1739"/>
      <c r="Q10" s="1740"/>
      <c r="R10" s="13"/>
    </row>
    <row r="11" spans="2:21">
      <c r="B11" s="74" t="s">
        <v>779</v>
      </c>
      <c r="C11" s="1084" t="s">
        <v>591</v>
      </c>
      <c r="D11" s="13" t="s">
        <v>665</v>
      </c>
      <c r="E11" s="266" t="s">
        <v>363</v>
      </c>
      <c r="F11" s="13" t="s">
        <v>222</v>
      </c>
      <c r="G11" s="157" t="s">
        <v>167</v>
      </c>
      <c r="H11" s="157" t="s">
        <v>168</v>
      </c>
      <c r="I11" s="13" t="s">
        <v>163</v>
      </c>
      <c r="J11" s="74" t="s">
        <v>941</v>
      </c>
      <c r="K11" s="13" t="s">
        <v>942</v>
      </c>
      <c r="L11" s="765">
        <v>10000</v>
      </c>
      <c r="M11" s="764">
        <v>100000</v>
      </c>
      <c r="N11" s="1087">
        <v>1000000</v>
      </c>
      <c r="O11" s="765">
        <v>10000</v>
      </c>
      <c r="P11" s="764">
        <v>100000</v>
      </c>
      <c r="Q11" s="1087">
        <v>1000000</v>
      </c>
    </row>
    <row r="12" spans="2:21">
      <c r="B12" s="77"/>
      <c r="C12" s="1085"/>
      <c r="D12" s="14"/>
      <c r="E12" s="267" t="s">
        <v>668</v>
      </c>
      <c r="F12" s="14" t="s">
        <v>163</v>
      </c>
      <c r="G12" s="1088" t="s">
        <v>174</v>
      </c>
      <c r="H12" s="1088" t="s">
        <v>703</v>
      </c>
      <c r="I12" s="14" t="s">
        <v>175</v>
      </c>
      <c r="J12" s="77" t="s">
        <v>943</v>
      </c>
      <c r="K12" s="14" t="s">
        <v>943</v>
      </c>
      <c r="L12" s="77"/>
      <c r="M12" s="14"/>
      <c r="N12" s="145"/>
      <c r="O12" s="77"/>
      <c r="P12" s="14"/>
      <c r="Q12" s="145"/>
      <c r="R12" s="13"/>
    </row>
    <row r="13" spans="2:21">
      <c r="B13" s="33"/>
      <c r="J13" s="33"/>
      <c r="L13" s="33"/>
      <c r="O13" s="283"/>
      <c r="P13" s="421"/>
      <c r="Q13" s="284"/>
      <c r="R13" s="421"/>
      <c r="U13" s="662"/>
    </row>
    <row r="14" spans="2:21">
      <c r="B14" s="768" t="str">
        <f>INDEX(SourceDescription,MATCH($C16,SourceNumber,0),1,1)</f>
        <v>Fume Hood Exhaust 1</v>
      </c>
      <c r="J14" s="33"/>
      <c r="L14" s="33"/>
      <c r="N14" s="37"/>
      <c r="O14" s="283"/>
      <c r="P14" s="421"/>
      <c r="Q14" s="284"/>
      <c r="R14" s="421"/>
      <c r="U14" s="662"/>
    </row>
    <row r="15" spans="2:21">
      <c r="B15" s="767" t="str">
        <f>"("&amp;ROUND(INDEX(SourceVolumeFlowRateEnglish,MATCH($C16,SourceNumber,0),1,1),0)&amp;" cfm @ "&amp;ROUND(INDEX(SourceExitVelocityEnglish,MATCH($C16,SourceNumber,0),1,1),0)&amp;" fpm)"</f>
        <v>(1000 cfm @ 2865 fpm)</v>
      </c>
      <c r="J15" s="33"/>
      <c r="L15" s="33"/>
      <c r="N15" s="37"/>
      <c r="O15" s="283"/>
      <c r="P15" s="421"/>
      <c r="Q15" s="284"/>
      <c r="R15" s="421"/>
    </row>
    <row r="16" spans="2:21">
      <c r="B16" s="766">
        <v>101</v>
      </c>
      <c r="C16" s="42" t="str">
        <f>INDEX(TPSourceLetter,MATCH($B16,TPRunNumber,0),1,1)</f>
        <v>AA</v>
      </c>
      <c r="D16" s="42" t="str">
        <f t="shared" ref="D16:D19" si="0">INDEX(SourceID,MATCH($C16,SourceNumber,0),1,1)</f>
        <v>EF-1</v>
      </c>
      <c r="E16" s="648">
        <f t="shared" ref="E16:E19" si="1">INDEX(TPSourceHeight,MATCH($B16,TPRunNumber,0),1,1)</f>
        <v>10</v>
      </c>
      <c r="F16" s="649" t="str">
        <f t="shared" ref="F16:F19" si="2">INDEX(TPReceptorID1,MATCH($B16,TPRunNumber,0),1,1)&amp;INDEX(TPReceptorID2,MATCH($B16,TPRunNumber,0),1,1)</f>
        <v>1 - Receptor 1</v>
      </c>
      <c r="G16" s="318">
        <f t="shared" ref="G16:G19" si="3">INDEX(TPWWD,MATCH($B16,TPRunNumber,0),1,1)</f>
        <v>0</v>
      </c>
      <c r="H16" s="650">
        <f t="shared" ref="H16:H19" si="4">INDEX(TPWWS,MATCH($B16,TPRunNumber,0),1,1)</f>
        <v>0</v>
      </c>
      <c r="I16" s="651">
        <f t="shared" ref="I16:I19" si="5">INDEX(TPMaxCm,MATCH($B16,TPRunNumber,0),1,1)</f>
        <v>0</v>
      </c>
      <c r="J16" s="332" t="e">
        <f>'Isolation Criteria'!$R$24*'Results Summary Iso - no wind'!I16^'Isolation Criteria'!$S$24</f>
        <v>#DIV/0!</v>
      </c>
      <c r="K16" s="316" t="e">
        <f>'Isolation Criteria'!$R$44*'Results Summary Iso - no wind'!I16^'Isolation Criteria'!$S$44</f>
        <v>#DIV/0!</v>
      </c>
      <c r="L16" s="20" t="e">
        <f>IF($J16&gt;L$11,"Yes","No")</f>
        <v>#DIV/0!</v>
      </c>
      <c r="M16" s="5" t="e">
        <f t="shared" ref="M16:N19" si="6">IF($J16&gt;M$11,"Yes","No")</f>
        <v>#DIV/0!</v>
      </c>
      <c r="N16" s="21" t="e">
        <f t="shared" si="6"/>
        <v>#DIV/0!</v>
      </c>
      <c r="O16" s="20" t="e">
        <f>IF($K16&gt;O$11,"Yes","No")</f>
        <v>#DIV/0!</v>
      </c>
      <c r="P16" s="5" t="e">
        <f t="shared" ref="P16:Q19" si="7">IF($K16&gt;P$11,"Yes","No")</f>
        <v>#DIV/0!</v>
      </c>
      <c r="Q16" s="21" t="e">
        <f t="shared" si="7"/>
        <v>#DIV/0!</v>
      </c>
      <c r="R16" s="421"/>
    </row>
    <row r="17" spans="2:18">
      <c r="B17" s="256">
        <f t="shared" ref="B17:B19" si="8">B16+1</f>
        <v>102</v>
      </c>
      <c r="C17" s="42" t="str">
        <f>INDEX(TPSourceLetter,MATCH($B17,TPRunNumber,0),1,1)</f>
        <v>AA</v>
      </c>
      <c r="D17" s="42" t="str">
        <f t="shared" si="0"/>
        <v>EF-1</v>
      </c>
      <c r="E17" s="648">
        <f t="shared" si="1"/>
        <v>10</v>
      </c>
      <c r="F17" s="649" t="str">
        <f t="shared" si="2"/>
        <v>2 - Receptor 2</v>
      </c>
      <c r="G17" s="318">
        <f t="shared" si="3"/>
        <v>0</v>
      </c>
      <c r="H17" s="650">
        <f t="shared" si="4"/>
        <v>0</v>
      </c>
      <c r="I17" s="651">
        <f t="shared" si="5"/>
        <v>0</v>
      </c>
      <c r="J17" s="332" t="e">
        <f>'Isolation Criteria'!$R$24*'Results Summary Iso - no wind'!I17^'Isolation Criteria'!$S$24</f>
        <v>#DIV/0!</v>
      </c>
      <c r="K17" s="316" t="e">
        <f>'Isolation Criteria'!$R$44*'Results Summary Iso - no wind'!I17^'Isolation Criteria'!$S$44</f>
        <v>#DIV/0!</v>
      </c>
      <c r="L17" s="20" t="e">
        <f t="shared" ref="L17:L19" si="9">IF($J17&gt;L$11,"Yes","No")</f>
        <v>#DIV/0!</v>
      </c>
      <c r="M17" s="20" t="e">
        <f t="shared" si="6"/>
        <v>#DIV/0!</v>
      </c>
      <c r="N17" s="21" t="e">
        <f t="shared" si="6"/>
        <v>#DIV/0!</v>
      </c>
      <c r="O17" s="20" t="e">
        <f t="shared" ref="O17:O19" si="10">IF($K17&gt;O$11,"Yes","No")</f>
        <v>#DIV/0!</v>
      </c>
      <c r="P17" s="5" t="e">
        <f t="shared" si="7"/>
        <v>#DIV/0!</v>
      </c>
      <c r="Q17" s="21" t="e">
        <f t="shared" si="7"/>
        <v>#DIV/0!</v>
      </c>
      <c r="R17" s="421"/>
    </row>
    <row r="18" spans="2:18">
      <c r="B18" s="256">
        <f t="shared" si="8"/>
        <v>103</v>
      </c>
      <c r="C18" s="42" t="str">
        <f>INDEX(TPSourceLetter,MATCH($B18,TPRunNumber,0),1,1)</f>
        <v>AA</v>
      </c>
      <c r="D18" s="42" t="str">
        <f t="shared" si="0"/>
        <v>EF-1</v>
      </c>
      <c r="E18" s="648">
        <f t="shared" si="1"/>
        <v>10</v>
      </c>
      <c r="F18" s="649" t="str">
        <f t="shared" si="2"/>
        <v>3 - Receptor 3</v>
      </c>
      <c r="G18" s="318">
        <f t="shared" si="3"/>
        <v>0</v>
      </c>
      <c r="H18" s="650">
        <f t="shared" si="4"/>
        <v>0</v>
      </c>
      <c r="I18" s="651">
        <f t="shared" si="5"/>
        <v>0</v>
      </c>
      <c r="J18" s="332" t="e">
        <f>'Isolation Criteria'!$R$24*'Results Summary Iso - no wind'!I18^'Isolation Criteria'!$S$24</f>
        <v>#DIV/0!</v>
      </c>
      <c r="K18" s="316" t="e">
        <f>'Isolation Criteria'!$R$44*'Results Summary Iso - no wind'!I18^'Isolation Criteria'!$S$44</f>
        <v>#DIV/0!</v>
      </c>
      <c r="L18" s="20" t="e">
        <f t="shared" si="9"/>
        <v>#DIV/0!</v>
      </c>
      <c r="M18" s="20" t="e">
        <f t="shared" si="6"/>
        <v>#DIV/0!</v>
      </c>
      <c r="N18" s="21" t="e">
        <f t="shared" si="6"/>
        <v>#DIV/0!</v>
      </c>
      <c r="O18" s="20" t="e">
        <f t="shared" si="10"/>
        <v>#DIV/0!</v>
      </c>
      <c r="P18" s="5" t="e">
        <f t="shared" si="7"/>
        <v>#DIV/0!</v>
      </c>
      <c r="Q18" s="21" t="e">
        <f t="shared" si="7"/>
        <v>#DIV/0!</v>
      </c>
      <c r="R18" s="421"/>
    </row>
    <row r="19" spans="2:18">
      <c r="B19" s="256">
        <f t="shared" si="8"/>
        <v>104</v>
      </c>
      <c r="C19" s="42" t="str">
        <f>INDEX(TPSourceLetter,MATCH($B19,TPRunNumber,0),1,1)</f>
        <v>AA</v>
      </c>
      <c r="D19" s="42" t="str">
        <f t="shared" si="0"/>
        <v>EF-1</v>
      </c>
      <c r="E19" s="648">
        <f t="shared" si="1"/>
        <v>10</v>
      </c>
      <c r="F19" s="649" t="str">
        <f t="shared" si="2"/>
        <v>4 - Receptor 4</v>
      </c>
      <c r="G19" s="318">
        <f t="shared" si="3"/>
        <v>0</v>
      </c>
      <c r="H19" s="650">
        <f t="shared" si="4"/>
        <v>0</v>
      </c>
      <c r="I19" s="651">
        <f t="shared" si="5"/>
        <v>0</v>
      </c>
      <c r="J19" s="332" t="e">
        <f>'Isolation Criteria'!$R$24*'Results Summary Iso - no wind'!I19^'Isolation Criteria'!$S$24</f>
        <v>#DIV/0!</v>
      </c>
      <c r="K19" s="316" t="e">
        <f>'Isolation Criteria'!$R$44*'Results Summary Iso - no wind'!I19^'Isolation Criteria'!$S$44</f>
        <v>#DIV/0!</v>
      </c>
      <c r="L19" s="20" t="e">
        <f t="shared" si="9"/>
        <v>#DIV/0!</v>
      </c>
      <c r="M19" s="20" t="e">
        <f t="shared" si="6"/>
        <v>#DIV/0!</v>
      </c>
      <c r="N19" s="21" t="e">
        <f t="shared" si="6"/>
        <v>#DIV/0!</v>
      </c>
      <c r="O19" s="20" t="e">
        <f t="shared" si="10"/>
        <v>#DIV/0!</v>
      </c>
      <c r="P19" s="5" t="e">
        <f t="shared" si="7"/>
        <v>#DIV/0!</v>
      </c>
      <c r="Q19" s="21" t="e">
        <f t="shared" si="7"/>
        <v>#DIV/0!</v>
      </c>
      <c r="R19" s="421"/>
    </row>
    <row r="20" spans="2:18">
      <c r="B20" s="52"/>
      <c r="C20" s="41"/>
      <c r="D20" s="41"/>
      <c r="E20" s="317"/>
      <c r="F20" s="41"/>
      <c r="G20" s="317"/>
      <c r="H20" s="317"/>
      <c r="I20" s="317"/>
      <c r="J20" s="333"/>
      <c r="K20" s="317"/>
      <c r="L20" s="52"/>
      <c r="M20" s="41"/>
      <c r="N20" s="53"/>
      <c r="O20" s="652"/>
      <c r="P20" s="654"/>
      <c r="Q20" s="653"/>
      <c r="R20" s="656"/>
    </row>
    <row r="21" spans="2:18">
      <c r="B21" t="s">
        <v>214</v>
      </c>
      <c r="O21" s="656"/>
      <c r="P21" s="656"/>
      <c r="Q21" s="656"/>
      <c r="R21" s="656"/>
    </row>
    <row r="22" spans="2:18">
      <c r="B22" s="107" t="s">
        <v>216</v>
      </c>
      <c r="D22" s="16" t="str">
        <f>'Test Plan &amp; Results'!G44</f>
        <v>The maximum normalized concentration (C/m) measured in the wind tunnel for the specific source/receptor pair.</v>
      </c>
    </row>
    <row r="23" spans="2:18">
      <c r="B23" s="107" t="s">
        <v>217</v>
      </c>
      <c r="D23" s="1" t="s">
        <v>944</v>
      </c>
    </row>
    <row r="24" spans="2:18">
      <c r="B24" s="107" t="s">
        <v>218</v>
      </c>
      <c r="D24" s="1" t="s">
        <v>945</v>
      </c>
    </row>
  </sheetData>
  <mergeCells count="9">
    <mergeCell ref="J10:K10"/>
    <mergeCell ref="L10:N10"/>
    <mergeCell ref="O10:Q10"/>
    <mergeCell ref="J8:K8"/>
    <mergeCell ref="L8:N8"/>
    <mergeCell ref="O8:Q8"/>
    <mergeCell ref="J9:K9"/>
    <mergeCell ref="L9:N9"/>
    <mergeCell ref="O9:Q9"/>
  </mergeCells>
  <conditionalFormatting sqref="L16:N19">
    <cfRule type="cellIs" dxfId="829" priority="27" stopIfTrue="1" operator="equal">
      <formula>"No"</formula>
    </cfRule>
  </conditionalFormatting>
  <conditionalFormatting sqref="B16:B19">
    <cfRule type="expression" dxfId="828" priority="26" stopIfTrue="1">
      <formula>XEX16=TRUE</formula>
    </cfRule>
  </conditionalFormatting>
  <conditionalFormatting sqref="O16:Q19">
    <cfRule type="cellIs" dxfId="827" priority="13" stopIfTrue="1" operator="equal">
      <formula>"No"</formula>
    </cfRule>
  </conditionalFormatting>
  <pageMargins left="0.75" right="0.75" top="0.75" bottom="0.75" header="0.5" footer="0.5"/>
  <pageSetup scale="66" orientation="landscape" useFirstPageNumber="1" r:id="rId1"/>
  <headerFooter scaleWithDoc="0" alignWithMargins="0">
    <oddFooter>&amp;C&amp;9Page &amp;P of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B4:V34"/>
  <sheetViews>
    <sheetView view="pageBreakPreview" zoomScale="75" zoomScaleNormal="75" zoomScaleSheetLayoutView="75" workbookViewId="0">
      <selection activeCell="K31" sqref="K31"/>
    </sheetView>
  </sheetViews>
  <sheetFormatPr defaultRowHeight="15.75"/>
  <cols>
    <col min="5" max="5" width="8.5" customWidth="1"/>
    <col min="6" max="6" width="16.75" customWidth="1"/>
    <col min="7" max="9" width="11" customWidth="1"/>
    <col min="10" max="10" width="8.125" bestFit="1" customWidth="1"/>
    <col min="14" max="14" width="5.5" customWidth="1"/>
    <col min="16" max="16" width="11.125" bestFit="1" customWidth="1"/>
    <col min="17" max="17" width="11.875" customWidth="1"/>
  </cols>
  <sheetData>
    <row r="4" spans="2:22">
      <c r="B4" s="870" t="s">
        <v>151</v>
      </c>
      <c r="C4" s="841"/>
      <c r="D4" s="841"/>
      <c r="E4" s="841"/>
      <c r="F4" s="841"/>
      <c r="G4" s="841"/>
      <c r="H4" s="841"/>
      <c r="I4" s="841"/>
      <c r="J4" s="841"/>
      <c r="K4" s="841"/>
      <c r="L4" s="841"/>
      <c r="M4" s="841"/>
      <c r="N4" s="841"/>
      <c r="O4" s="841"/>
      <c r="P4" s="841"/>
      <c r="Q4" s="871"/>
      <c r="R4" s="841"/>
      <c r="S4" s="841"/>
      <c r="T4" s="841"/>
      <c r="U4" s="841"/>
      <c r="V4" s="841"/>
    </row>
    <row r="5" spans="2:22" ht="15.75" customHeight="1">
      <c r="B5" s="870" t="s">
        <v>994</v>
      </c>
      <c r="C5" s="841"/>
      <c r="D5" s="841"/>
      <c r="E5" s="841"/>
      <c r="F5" s="841"/>
      <c r="G5" s="841"/>
      <c r="H5" s="841"/>
      <c r="I5" s="841"/>
      <c r="J5" s="841"/>
      <c r="K5" s="841"/>
      <c r="L5" s="841"/>
      <c r="M5" s="841"/>
      <c r="N5" s="841"/>
      <c r="O5" s="841"/>
      <c r="P5" s="872" t="s">
        <v>995</v>
      </c>
      <c r="Q5" s="873" t="s">
        <v>996</v>
      </c>
      <c r="R5" s="841"/>
      <c r="S5" s="841"/>
      <c r="T5" s="841"/>
      <c r="U5" s="841"/>
      <c r="V5" s="841"/>
    </row>
    <row r="6" spans="2:22">
      <c r="B6" s="846"/>
      <c r="C6" s="880"/>
      <c r="D6" s="893" t="s">
        <v>997</v>
      </c>
      <c r="E6" s="880"/>
      <c r="F6" s="880"/>
      <c r="G6" s="880"/>
      <c r="H6" s="845"/>
      <c r="I6" s="841"/>
      <c r="J6" s="841"/>
      <c r="K6" s="841"/>
      <c r="L6" s="841"/>
      <c r="M6" s="841"/>
      <c r="N6" s="841"/>
      <c r="O6" s="841"/>
      <c r="P6" s="874" t="s">
        <v>998</v>
      </c>
      <c r="Q6" s="875">
        <v>100</v>
      </c>
      <c r="R6" s="841"/>
      <c r="S6" s="841"/>
      <c r="T6" s="841"/>
      <c r="U6" s="841"/>
      <c r="V6" s="841"/>
    </row>
    <row r="7" spans="2:22">
      <c r="B7" s="916"/>
      <c r="C7" s="841"/>
      <c r="D7" s="876" t="s">
        <v>999</v>
      </c>
      <c r="E7" s="877">
        <v>30</v>
      </c>
      <c r="F7" s="841" t="s">
        <v>1000</v>
      </c>
      <c r="G7" s="841"/>
      <c r="H7" s="852"/>
      <c r="I7" s="841"/>
      <c r="J7" s="878" t="s">
        <v>1001</v>
      </c>
      <c r="K7" s="841"/>
      <c r="L7" s="841"/>
      <c r="M7" s="841"/>
      <c r="N7" s="841"/>
      <c r="O7" s="841"/>
      <c r="P7" s="874" t="s">
        <v>1002</v>
      </c>
      <c r="Q7" s="875">
        <v>30</v>
      </c>
      <c r="R7" s="841"/>
      <c r="S7" s="841"/>
      <c r="T7" s="841"/>
      <c r="U7" s="841"/>
      <c r="V7" s="841"/>
    </row>
    <row r="8" spans="2:22">
      <c r="B8" s="916"/>
      <c r="C8" s="841"/>
      <c r="D8" s="852"/>
      <c r="E8" s="877"/>
      <c r="F8" s="841"/>
      <c r="G8" s="841"/>
      <c r="H8" s="852"/>
      <c r="I8" s="841"/>
      <c r="J8" s="878" t="s">
        <v>1003</v>
      </c>
      <c r="K8" s="841"/>
      <c r="L8" s="841"/>
      <c r="M8" s="841"/>
      <c r="N8" s="841"/>
      <c r="O8" s="841"/>
      <c r="P8" s="874" t="s">
        <v>1004</v>
      </c>
      <c r="Q8" s="875">
        <v>30</v>
      </c>
      <c r="R8" s="841"/>
      <c r="S8" s="841"/>
      <c r="T8" s="841"/>
      <c r="U8" s="841"/>
      <c r="V8" s="841"/>
    </row>
    <row r="9" spans="2:22">
      <c r="B9" s="849"/>
      <c r="C9" s="853"/>
      <c r="D9" s="851"/>
      <c r="E9" s="879"/>
      <c r="F9" s="853"/>
      <c r="G9" s="853"/>
      <c r="H9" s="851"/>
      <c r="I9" s="841"/>
      <c r="J9" s="878"/>
      <c r="K9" s="841"/>
      <c r="L9" s="841"/>
      <c r="M9" s="841"/>
      <c r="N9" s="841"/>
      <c r="O9" s="841"/>
      <c r="P9" s="874" t="s">
        <v>1005</v>
      </c>
      <c r="Q9" s="875">
        <v>30</v>
      </c>
      <c r="R9" s="841"/>
      <c r="S9" s="841"/>
      <c r="T9" s="841"/>
      <c r="U9" s="841"/>
      <c r="V9" s="841"/>
    </row>
    <row r="10" spans="2:22">
      <c r="B10" s="846"/>
      <c r="C10" s="880"/>
      <c r="D10" s="845"/>
      <c r="E10" s="881"/>
      <c r="F10" s="880"/>
      <c r="G10" s="880"/>
      <c r="H10" s="845"/>
      <c r="I10" s="841"/>
      <c r="J10" s="841"/>
      <c r="K10" s="841"/>
      <c r="L10" s="841"/>
      <c r="M10" s="841"/>
      <c r="N10" s="841"/>
      <c r="O10" s="841"/>
      <c r="P10" s="874" t="s">
        <v>1006</v>
      </c>
      <c r="Q10" s="875">
        <v>300</v>
      </c>
      <c r="R10" s="841"/>
      <c r="S10" s="841"/>
      <c r="T10" s="841"/>
      <c r="U10" s="841"/>
      <c r="V10" s="841"/>
    </row>
    <row r="11" spans="2:22">
      <c r="B11" s="916"/>
      <c r="C11" s="841"/>
      <c r="D11" s="876" t="s">
        <v>1007</v>
      </c>
      <c r="E11" s="877">
        <v>1</v>
      </c>
      <c r="F11" s="841"/>
      <c r="G11" s="841"/>
      <c r="H11" s="852"/>
      <c r="I11" s="841"/>
      <c r="J11" s="878" t="s">
        <v>1008</v>
      </c>
      <c r="K11" s="841"/>
      <c r="L11" s="841"/>
      <c r="M11" s="841"/>
      <c r="N11" s="841"/>
      <c r="O11" s="841"/>
      <c r="P11" s="882" t="s">
        <v>1009</v>
      </c>
      <c r="Q11" s="883">
        <v>600</v>
      </c>
      <c r="R11" s="841"/>
      <c r="S11" s="841"/>
      <c r="T11" s="841"/>
      <c r="U11" s="841"/>
      <c r="V11" s="841"/>
    </row>
    <row r="12" spans="2:22">
      <c r="B12" s="916"/>
      <c r="C12" s="841"/>
      <c r="D12" s="876"/>
      <c r="E12" s="877"/>
      <c r="F12" s="841"/>
      <c r="G12" s="841"/>
      <c r="H12" s="852"/>
      <c r="I12" s="841"/>
      <c r="J12" s="878" t="s">
        <v>1010</v>
      </c>
      <c r="K12" s="841"/>
      <c r="L12" s="841"/>
      <c r="M12" s="841"/>
      <c r="N12" s="841"/>
      <c r="O12" s="841"/>
      <c r="P12" s="841"/>
      <c r="Q12" s="841"/>
      <c r="R12" s="841"/>
      <c r="S12" s="841"/>
      <c r="T12" s="841"/>
      <c r="U12" s="841"/>
      <c r="V12" s="841"/>
    </row>
    <row r="13" spans="2:22">
      <c r="B13" s="849"/>
      <c r="C13" s="853"/>
      <c r="D13" s="884"/>
      <c r="E13" s="879"/>
      <c r="F13" s="853"/>
      <c r="G13" s="853"/>
      <c r="H13" s="851"/>
      <c r="I13" s="841"/>
      <c r="J13" s="878"/>
      <c r="K13" s="841"/>
      <c r="L13" s="841"/>
      <c r="M13" s="841"/>
      <c r="N13" s="841"/>
      <c r="O13" s="1817" t="s">
        <v>1011</v>
      </c>
      <c r="P13" s="1817"/>
      <c r="Q13" s="1817"/>
      <c r="R13" s="1817"/>
      <c r="S13" s="841"/>
      <c r="T13" s="841"/>
      <c r="U13" s="841"/>
      <c r="V13" s="841"/>
    </row>
    <row r="14" spans="2:22">
      <c r="B14" s="846"/>
      <c r="C14" s="880"/>
      <c r="D14" s="845"/>
      <c r="E14" s="885"/>
      <c r="F14" s="880"/>
      <c r="G14" s="880"/>
      <c r="H14" s="845"/>
      <c r="I14" s="841"/>
      <c r="J14" s="841"/>
      <c r="K14" s="841"/>
      <c r="L14" s="841"/>
      <c r="M14" s="841"/>
      <c r="N14" s="841"/>
      <c r="O14" s="886"/>
      <c r="P14" s="886"/>
      <c r="Q14" s="886"/>
      <c r="R14" s="886"/>
      <c r="S14" s="841"/>
      <c r="T14" s="841"/>
      <c r="U14" s="841"/>
      <c r="V14" s="841"/>
    </row>
    <row r="15" spans="2:22">
      <c r="B15" s="1047"/>
      <c r="C15" s="841"/>
      <c r="D15" s="876" t="s">
        <v>1012</v>
      </c>
      <c r="E15" s="877">
        <v>5000</v>
      </c>
      <c r="F15" s="841" t="s">
        <v>1013</v>
      </c>
      <c r="G15" s="841"/>
      <c r="H15" s="852"/>
      <c r="I15" s="841"/>
      <c r="J15" s="878" t="s">
        <v>1014</v>
      </c>
      <c r="K15" s="841"/>
      <c r="L15" s="841"/>
      <c r="M15" s="841"/>
      <c r="N15" s="841"/>
      <c r="O15" s="887"/>
      <c r="P15" s="841"/>
      <c r="Q15" s="841"/>
      <c r="R15" s="841"/>
      <c r="S15" s="841"/>
      <c r="T15" s="841"/>
      <c r="U15" s="841"/>
      <c r="V15" s="841"/>
    </row>
    <row r="16" spans="2:22">
      <c r="B16" s="1047"/>
      <c r="C16" s="841"/>
      <c r="D16" s="888" t="s">
        <v>1015</v>
      </c>
      <c r="E16" s="889">
        <f>E15*1.054118</f>
        <v>5270.59</v>
      </c>
      <c r="F16" s="841" t="s">
        <v>1016</v>
      </c>
      <c r="G16" s="841"/>
      <c r="H16" s="852"/>
      <c r="I16" s="841"/>
      <c r="J16" s="841"/>
      <c r="K16" s="841"/>
      <c r="L16" s="841"/>
      <c r="M16" s="841"/>
      <c r="N16" s="841"/>
      <c r="O16" s="841"/>
      <c r="P16" s="841"/>
      <c r="Q16" s="841"/>
      <c r="R16" s="841"/>
      <c r="S16" s="841"/>
      <c r="T16" s="841"/>
      <c r="U16" s="841"/>
      <c r="V16" s="841"/>
    </row>
    <row r="17" spans="2:22">
      <c r="B17" s="1048"/>
      <c r="C17" s="853"/>
      <c r="D17" s="890"/>
      <c r="E17" s="891"/>
      <c r="F17" s="853"/>
      <c r="G17" s="853"/>
      <c r="H17" s="851"/>
      <c r="I17" s="841"/>
      <c r="J17" s="841"/>
      <c r="K17" s="841"/>
      <c r="L17" s="841"/>
      <c r="M17" s="841"/>
      <c r="N17" s="841"/>
      <c r="O17" s="892" t="s">
        <v>1017</v>
      </c>
      <c r="P17" s="892"/>
      <c r="Q17" s="892"/>
      <c r="R17" s="892"/>
      <c r="S17" s="892"/>
      <c r="T17" s="892"/>
      <c r="U17" s="892"/>
      <c r="V17" s="841"/>
    </row>
    <row r="18" spans="2:22" ht="15.75" customHeight="1">
      <c r="B18" s="1049"/>
      <c r="C18" s="880"/>
      <c r="D18" s="893"/>
      <c r="E18" s="894"/>
      <c r="F18" s="880"/>
      <c r="G18" s="880"/>
      <c r="H18" s="845"/>
      <c r="I18" s="841"/>
      <c r="J18" s="841"/>
      <c r="K18" s="841"/>
      <c r="L18" s="841"/>
      <c r="M18" s="841"/>
      <c r="N18" s="841"/>
      <c r="O18" s="1818" t="s">
        <v>1018</v>
      </c>
      <c r="P18" s="1819"/>
      <c r="Q18" s="1819"/>
      <c r="R18" s="1819"/>
      <c r="S18" s="1819"/>
      <c r="T18" s="1819"/>
      <c r="U18" s="1819"/>
      <c r="V18" s="841"/>
    </row>
    <row r="19" spans="2:22">
      <c r="B19" s="1047"/>
      <c r="C19" s="841"/>
      <c r="D19" s="876" t="s">
        <v>1590</v>
      </c>
      <c r="E19" s="1179">
        <v>0.1</v>
      </c>
      <c r="F19" s="841" t="s">
        <v>1019</v>
      </c>
      <c r="G19" s="895">
        <f>E19/CONVERT(1,"m","ft")</f>
        <v>3.048E-2</v>
      </c>
      <c r="H19" s="852" t="s">
        <v>1020</v>
      </c>
      <c r="I19" s="841"/>
      <c r="J19" s="841"/>
      <c r="K19" s="841"/>
      <c r="L19" s="896"/>
      <c r="M19" s="896"/>
      <c r="N19" s="841"/>
      <c r="O19" s="1819"/>
      <c r="P19" s="1819"/>
      <c r="Q19" s="1819"/>
      <c r="R19" s="1819"/>
      <c r="S19" s="1819"/>
      <c r="T19" s="1819"/>
      <c r="U19" s="1819"/>
      <c r="V19" s="841"/>
    </row>
    <row r="20" spans="2:22">
      <c r="B20" s="916"/>
      <c r="C20" s="841"/>
      <c r="D20" s="888" t="s">
        <v>1021</v>
      </c>
      <c r="E20" s="897">
        <f>E19</f>
        <v>0.1</v>
      </c>
      <c r="F20" s="841" t="s">
        <v>1022</v>
      </c>
      <c r="G20" s="841"/>
      <c r="H20" s="852"/>
      <c r="I20" s="841"/>
      <c r="J20" s="841"/>
      <c r="K20" s="841"/>
      <c r="L20" s="841"/>
      <c r="M20" s="841"/>
      <c r="N20" s="841"/>
      <c r="O20" s="1819"/>
      <c r="P20" s="1819"/>
      <c r="Q20" s="1819"/>
      <c r="R20" s="1819"/>
      <c r="S20" s="1819"/>
      <c r="T20" s="1819"/>
      <c r="U20" s="1819"/>
      <c r="V20" s="841"/>
    </row>
    <row r="21" spans="2:22">
      <c r="B21" s="1047"/>
      <c r="C21" s="841"/>
      <c r="D21" s="898" t="s">
        <v>1023</v>
      </c>
      <c r="E21" s="899">
        <f>($E$7*E20/$E$16*1000000)/E11</f>
        <v>569.19623799233102</v>
      </c>
      <c r="F21" s="841" t="s">
        <v>1024</v>
      </c>
      <c r="G21" s="841"/>
      <c r="H21" s="852"/>
      <c r="I21" s="841"/>
      <c r="J21" s="841"/>
      <c r="K21" s="841"/>
      <c r="L21" s="841"/>
      <c r="M21" s="841"/>
      <c r="N21" s="841"/>
      <c r="O21" s="1819"/>
      <c r="P21" s="1819"/>
      <c r="Q21" s="1819"/>
      <c r="R21" s="1819"/>
      <c r="S21" s="1819"/>
      <c r="T21" s="1819"/>
      <c r="U21" s="1819"/>
      <c r="V21" s="841"/>
    </row>
    <row r="22" spans="2:22">
      <c r="B22" s="1047"/>
      <c r="C22" s="841"/>
      <c r="D22" s="898" t="s">
        <v>1025</v>
      </c>
      <c r="E22" s="900" t="str">
        <f>IF(E19&gt;0.1,"Approximation not valid","Yes")</f>
        <v>Yes</v>
      </c>
      <c r="F22" s="841"/>
      <c r="G22" s="841"/>
      <c r="H22" s="852"/>
      <c r="I22" s="841"/>
      <c r="J22" s="841"/>
      <c r="K22" s="841"/>
      <c r="L22" s="841"/>
      <c r="M22" s="841"/>
      <c r="N22" s="841"/>
      <c r="O22" s="1819"/>
      <c r="P22" s="1819"/>
      <c r="Q22" s="1819"/>
      <c r="R22" s="1819"/>
      <c r="S22" s="1819"/>
      <c r="T22" s="1819"/>
      <c r="U22" s="1819"/>
      <c r="V22" s="841"/>
    </row>
    <row r="23" spans="2:22">
      <c r="B23" s="1048"/>
      <c r="C23" s="853"/>
      <c r="D23" s="901"/>
      <c r="E23" s="902"/>
      <c r="F23" s="853"/>
      <c r="G23" s="853"/>
      <c r="H23" s="851"/>
      <c r="I23" s="841"/>
      <c r="J23" s="841"/>
      <c r="K23" s="841"/>
      <c r="L23" s="841"/>
      <c r="M23" s="841"/>
      <c r="N23" s="841"/>
      <c r="O23" s="1819"/>
      <c r="P23" s="1819"/>
      <c r="Q23" s="1819"/>
      <c r="R23" s="1819"/>
      <c r="S23" s="1819"/>
      <c r="T23" s="1819"/>
      <c r="U23" s="1819"/>
      <c r="V23" s="841"/>
    </row>
    <row r="24" spans="2:22">
      <c r="B24" s="1050"/>
      <c r="C24" s="903"/>
      <c r="D24" s="852"/>
      <c r="E24" s="871"/>
      <c r="F24" s="841"/>
      <c r="G24" s="841"/>
      <c r="H24" s="852"/>
      <c r="I24" s="841"/>
      <c r="J24" s="841"/>
      <c r="K24" s="841"/>
      <c r="L24" s="841"/>
      <c r="M24" s="841"/>
      <c r="N24" s="887"/>
      <c r="O24" s="1819"/>
      <c r="P24" s="1819"/>
      <c r="Q24" s="1819"/>
      <c r="R24" s="1819"/>
      <c r="S24" s="1819"/>
      <c r="T24" s="1819"/>
      <c r="U24" s="1819"/>
      <c r="V24" s="841"/>
    </row>
    <row r="25" spans="2:22">
      <c r="B25" s="1047"/>
      <c r="C25" s="841"/>
      <c r="D25" s="876" t="s">
        <v>1026</v>
      </c>
      <c r="E25" s="904"/>
      <c r="F25" s="841"/>
      <c r="G25" s="841"/>
      <c r="H25" s="852"/>
      <c r="I25" s="841"/>
      <c r="J25" s="841"/>
      <c r="K25" s="841"/>
      <c r="L25" s="841"/>
      <c r="M25" s="841"/>
      <c r="N25" s="841"/>
      <c r="O25" s="1819"/>
      <c r="P25" s="1819"/>
      <c r="Q25" s="1819"/>
      <c r="R25" s="1819"/>
      <c r="S25" s="1819"/>
      <c r="T25" s="1819"/>
      <c r="U25" s="1819"/>
      <c r="V25" s="841"/>
    </row>
    <row r="26" spans="2:22">
      <c r="B26" s="1047"/>
      <c r="C26" s="905"/>
      <c r="D26" s="898" t="s">
        <v>1027</v>
      </c>
      <c r="E26" s="906">
        <v>15</v>
      </c>
      <c r="F26" s="887" t="s">
        <v>1028</v>
      </c>
      <c r="G26" s="907">
        <f>E26*3.28</f>
        <v>49.199999999999996</v>
      </c>
      <c r="H26" s="1051" t="s">
        <v>807</v>
      </c>
      <c r="I26" s="887"/>
      <c r="J26" s="841"/>
      <c r="K26" s="841"/>
      <c r="L26" s="907"/>
      <c r="M26" s="907"/>
      <c r="N26" s="887"/>
      <c r="O26" s="1819"/>
      <c r="P26" s="1819"/>
      <c r="Q26" s="1819"/>
      <c r="R26" s="1819"/>
      <c r="S26" s="1819"/>
      <c r="T26" s="1819"/>
      <c r="U26" s="1819"/>
      <c r="V26" s="841"/>
    </row>
    <row r="27" spans="2:22">
      <c r="B27" s="1050"/>
      <c r="C27" s="841"/>
      <c r="D27" s="888" t="s">
        <v>1029</v>
      </c>
      <c r="E27" s="877">
        <v>3</v>
      </c>
      <c r="F27" s="841" t="s">
        <v>1030</v>
      </c>
      <c r="G27" s="841"/>
      <c r="H27" s="852"/>
      <c r="I27" s="841"/>
      <c r="J27" s="841"/>
      <c r="K27" s="841"/>
      <c r="L27" s="841"/>
      <c r="M27" s="841"/>
      <c r="N27" s="841"/>
      <c r="O27" s="1819"/>
      <c r="P27" s="1819"/>
      <c r="Q27" s="1819"/>
      <c r="R27" s="1819"/>
      <c r="S27" s="1819"/>
      <c r="T27" s="1819"/>
      <c r="U27" s="1819"/>
      <c r="V27" s="841"/>
    </row>
    <row r="28" spans="2:22">
      <c r="B28" s="1047"/>
      <c r="C28" s="841"/>
      <c r="D28" s="898" t="s">
        <v>1031</v>
      </c>
      <c r="E28" s="908">
        <f>E27/E26</f>
        <v>0.2</v>
      </c>
      <c r="F28" s="887" t="s">
        <v>1032</v>
      </c>
      <c r="G28" s="887"/>
      <c r="H28" s="1052"/>
      <c r="I28" s="887"/>
      <c r="J28" s="841"/>
      <c r="K28" s="841"/>
      <c r="L28" s="841"/>
      <c r="M28" s="841"/>
      <c r="N28" s="841"/>
      <c r="O28" s="1819"/>
      <c r="P28" s="1819"/>
      <c r="Q28" s="1819"/>
      <c r="R28" s="1819"/>
      <c r="S28" s="1819"/>
      <c r="T28" s="1819"/>
      <c r="U28" s="1819"/>
      <c r="V28" s="841"/>
    </row>
    <row r="29" spans="2:22">
      <c r="B29" s="1053"/>
      <c r="C29" s="853"/>
      <c r="D29" s="901" t="s">
        <v>1023</v>
      </c>
      <c r="E29" s="902">
        <f>($E$7*E28/$E$16*1000000)/E11</f>
        <v>1138.392475984662</v>
      </c>
      <c r="F29" s="853" t="s">
        <v>1024</v>
      </c>
      <c r="G29" s="853"/>
      <c r="H29" s="851"/>
      <c r="I29" s="841"/>
      <c r="J29" s="841"/>
      <c r="K29" s="841"/>
      <c r="L29" s="841"/>
      <c r="M29" s="841"/>
      <c r="N29" s="841"/>
      <c r="O29" s="1819"/>
      <c r="P29" s="1819"/>
      <c r="Q29" s="1819"/>
      <c r="R29" s="1819"/>
      <c r="S29" s="1819"/>
      <c r="T29" s="1819"/>
      <c r="U29" s="1819"/>
      <c r="V29" s="841"/>
    </row>
    <row r="30" spans="2:22">
      <c r="B30" s="842"/>
      <c r="C30" s="841"/>
      <c r="D30" s="841"/>
      <c r="E30" s="841"/>
      <c r="F30" s="841"/>
      <c r="G30" s="841"/>
      <c r="H30" s="841"/>
      <c r="I30" s="841"/>
      <c r="J30" s="841"/>
      <c r="K30" s="841"/>
      <c r="L30" s="841"/>
      <c r="M30" s="841"/>
      <c r="N30" s="841"/>
      <c r="O30" s="841"/>
      <c r="P30" s="841"/>
      <c r="Q30" s="871"/>
      <c r="R30" s="841"/>
      <c r="S30" s="841"/>
      <c r="T30" s="841"/>
      <c r="U30" s="841"/>
      <c r="V30" s="841"/>
    </row>
    <row r="31" spans="2:22">
      <c r="B31" s="841"/>
      <c r="C31" s="841"/>
      <c r="D31" s="841"/>
      <c r="E31" s="841"/>
      <c r="F31" s="841"/>
      <c r="G31" s="841"/>
      <c r="H31" s="841"/>
      <c r="I31" s="841"/>
      <c r="J31" s="841"/>
      <c r="K31" s="841"/>
      <c r="L31" s="841"/>
      <c r="M31" s="841"/>
      <c r="N31" s="841"/>
      <c r="O31" s="841"/>
      <c r="P31" s="841"/>
      <c r="Q31" s="871"/>
      <c r="R31" s="841"/>
      <c r="S31" s="841"/>
      <c r="T31" s="841"/>
      <c r="U31" s="841"/>
      <c r="V31" s="841"/>
    </row>
    <row r="32" spans="2:22">
      <c r="B32" s="841"/>
      <c r="C32" s="841"/>
      <c r="D32" s="841"/>
      <c r="E32" s="841"/>
      <c r="F32" s="841"/>
      <c r="G32" s="841"/>
      <c r="H32" s="841"/>
      <c r="I32" s="841"/>
      <c r="J32" s="841"/>
      <c r="K32" s="841"/>
      <c r="L32" s="841"/>
      <c r="M32" s="841"/>
      <c r="N32" s="841"/>
      <c r="O32" s="841"/>
      <c r="P32" s="841"/>
      <c r="Q32" s="871"/>
      <c r="R32" s="841"/>
      <c r="S32" s="841"/>
      <c r="T32" s="841"/>
      <c r="U32" s="841"/>
      <c r="V32" s="841"/>
    </row>
    <row r="33" spans="2:22">
      <c r="B33" s="841"/>
      <c r="C33" s="841"/>
      <c r="D33" s="841"/>
      <c r="E33" s="841"/>
      <c r="F33" s="841"/>
      <c r="G33" s="841"/>
      <c r="H33" s="841"/>
      <c r="I33" s="841"/>
      <c r="J33" s="841"/>
      <c r="K33" s="841"/>
      <c r="L33" s="841"/>
      <c r="M33" s="841"/>
      <c r="N33" s="841"/>
      <c r="O33" s="841"/>
      <c r="P33" s="841"/>
      <c r="Q33" s="871"/>
      <c r="R33" s="841"/>
      <c r="S33" s="841"/>
      <c r="T33" s="841"/>
      <c r="U33" s="841"/>
      <c r="V33" s="841"/>
    </row>
    <row r="34" spans="2:22">
      <c r="B34" s="841"/>
      <c r="C34" s="841"/>
      <c r="D34" s="841"/>
      <c r="E34" s="841"/>
      <c r="F34" s="841"/>
      <c r="G34" s="841"/>
      <c r="H34" s="841"/>
      <c r="I34" s="841"/>
      <c r="J34" s="841"/>
      <c r="K34" s="841"/>
      <c r="L34" s="841"/>
      <c r="M34" s="841"/>
      <c r="N34" s="841"/>
      <c r="O34" s="841"/>
      <c r="P34" s="841"/>
      <c r="Q34" s="841"/>
      <c r="R34" s="841"/>
      <c r="S34" s="841"/>
      <c r="T34" s="841"/>
      <c r="U34" s="841"/>
      <c r="V34" s="841"/>
    </row>
  </sheetData>
  <mergeCells count="2">
    <mergeCell ref="O13:R13"/>
    <mergeCell ref="O18:U29"/>
  </mergeCells>
  <pageMargins left="0.75" right="0.75" top="0.75" bottom="0.75" header="0.5" footer="0.5"/>
  <pageSetup orientation="portrait" useFirstPageNumber="1" r:id="rId1"/>
  <headerFooter scaleWithDoc="0" alignWithMargins="0">
    <oddFooter>&amp;C&amp;9Page &amp;P of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pageSetUpPr fitToPage="1"/>
  </sheetPr>
  <dimension ref="A1:I23"/>
  <sheetViews>
    <sheetView view="pageBreakPreview" zoomScale="75" zoomScaleNormal="75" zoomScaleSheetLayoutView="75" workbookViewId="0">
      <selection activeCell="D21" sqref="D21"/>
    </sheetView>
  </sheetViews>
  <sheetFormatPr defaultRowHeight="15.75"/>
  <cols>
    <col min="4" max="9" width="15.625" customWidth="1"/>
  </cols>
  <sheetData>
    <row r="1" spans="1:9">
      <c r="A1" s="841"/>
      <c r="B1" s="841"/>
      <c r="C1" s="841"/>
      <c r="D1" s="841"/>
      <c r="E1" s="841"/>
      <c r="F1" s="841"/>
      <c r="G1" s="841"/>
      <c r="H1" s="841"/>
      <c r="I1" s="841"/>
    </row>
    <row r="2" spans="1:9">
      <c r="A2" s="841"/>
      <c r="B2" s="841"/>
      <c r="C2" s="841"/>
      <c r="D2" s="870" t="s">
        <v>971</v>
      </c>
      <c r="E2" s="841"/>
      <c r="F2" s="841"/>
      <c r="G2" s="841"/>
      <c r="H2" s="841"/>
      <c r="I2" s="841"/>
    </row>
    <row r="3" spans="1:9">
      <c r="A3" s="841"/>
      <c r="B3" s="841"/>
      <c r="C3" s="841"/>
      <c r="D3" s="870" t="s">
        <v>972</v>
      </c>
      <c r="E3" s="841"/>
      <c r="F3" s="841"/>
      <c r="G3" s="841"/>
      <c r="H3" s="841"/>
      <c r="I3" s="841"/>
    </row>
    <row r="4" spans="1:9">
      <c r="A4" s="841"/>
      <c r="B4" s="841"/>
      <c r="C4" s="841"/>
      <c r="D4" s="870" t="s">
        <v>1591</v>
      </c>
      <c r="E4" s="841"/>
      <c r="F4" s="841"/>
      <c r="G4" s="841"/>
      <c r="H4" s="841"/>
      <c r="I4" s="841"/>
    </row>
    <row r="5" spans="1:9" ht="18">
      <c r="A5" s="841"/>
      <c r="B5" s="841"/>
      <c r="C5" s="841" t="s">
        <v>973</v>
      </c>
      <c r="D5" s="843" t="s">
        <v>974</v>
      </c>
      <c r="E5" s="844">
        <v>5</v>
      </c>
      <c r="F5" s="845" t="s">
        <v>975</v>
      </c>
      <c r="G5" s="846"/>
      <c r="H5" s="847" t="s">
        <v>976</v>
      </c>
      <c r="I5" s="848">
        <v>5</v>
      </c>
    </row>
    <row r="6" spans="1:9">
      <c r="A6" s="841"/>
      <c r="B6" s="841"/>
      <c r="C6" s="841"/>
      <c r="D6" s="849"/>
      <c r="E6" s="850">
        <f>E5/I5*1000</f>
        <v>1000</v>
      </c>
      <c r="F6" s="851" t="s">
        <v>977</v>
      </c>
      <c r="G6" s="841"/>
      <c r="H6" s="841"/>
      <c r="I6" s="852"/>
    </row>
    <row r="7" spans="1:9" ht="18">
      <c r="A7" s="841"/>
      <c r="B7" s="841"/>
      <c r="C7" s="841"/>
      <c r="D7" s="843" t="s">
        <v>978</v>
      </c>
      <c r="E7" s="844">
        <v>756</v>
      </c>
      <c r="F7" s="845" t="s">
        <v>975</v>
      </c>
      <c r="G7" s="841"/>
      <c r="H7" s="841"/>
      <c r="I7" s="852"/>
    </row>
    <row r="8" spans="1:9">
      <c r="A8" s="841"/>
      <c r="B8" s="841"/>
      <c r="C8" s="841"/>
      <c r="D8" s="849"/>
      <c r="E8" s="850">
        <f>E7/I5*1000</f>
        <v>151200</v>
      </c>
      <c r="F8" s="851" t="s">
        <v>977</v>
      </c>
      <c r="G8" s="841"/>
      <c r="H8" s="841"/>
      <c r="I8" s="852"/>
    </row>
    <row r="9" spans="1:9">
      <c r="A9" s="841"/>
      <c r="B9" s="841"/>
      <c r="C9" s="841"/>
      <c r="D9" s="849"/>
      <c r="E9" s="853"/>
      <c r="F9" s="853"/>
      <c r="G9" s="853"/>
      <c r="H9" s="853"/>
      <c r="I9" s="851"/>
    </row>
    <row r="10" spans="1:9">
      <c r="A10" s="841"/>
      <c r="B10" s="841"/>
      <c r="C10" s="841"/>
      <c r="D10" s="846"/>
      <c r="E10" s="854"/>
      <c r="F10" s="855" t="s">
        <v>979</v>
      </c>
      <c r="G10" s="856"/>
      <c r="H10" s="855"/>
      <c r="I10" s="856"/>
    </row>
    <row r="11" spans="1:9" ht="18">
      <c r="A11" s="841"/>
      <c r="B11" s="841"/>
      <c r="C11" s="841"/>
      <c r="D11" s="1820" t="s">
        <v>980</v>
      </c>
      <c r="E11" s="1821"/>
      <c r="F11" s="857" t="s">
        <v>677</v>
      </c>
      <c r="G11" s="857" t="s">
        <v>230</v>
      </c>
      <c r="H11" s="857" t="s">
        <v>981</v>
      </c>
      <c r="I11" s="857" t="s">
        <v>982</v>
      </c>
    </row>
    <row r="12" spans="1:9" ht="18">
      <c r="A12" s="841"/>
      <c r="B12" s="841"/>
      <c r="C12" s="841"/>
      <c r="D12" s="1820" t="s">
        <v>163</v>
      </c>
      <c r="E12" s="1821"/>
      <c r="F12" s="857" t="s">
        <v>983</v>
      </c>
      <c r="G12" s="857" t="s">
        <v>232</v>
      </c>
      <c r="H12" s="857" t="s">
        <v>984</v>
      </c>
      <c r="I12" s="857" t="s">
        <v>230</v>
      </c>
    </row>
    <row r="13" spans="1:9">
      <c r="A13" s="841"/>
      <c r="B13" s="841"/>
      <c r="C13" s="841"/>
      <c r="D13" s="858"/>
      <c r="E13" s="859">
        <v>1</v>
      </c>
      <c r="F13" s="857">
        <v>2</v>
      </c>
      <c r="G13" s="857" t="s">
        <v>985</v>
      </c>
      <c r="H13" s="857"/>
      <c r="I13" s="857" t="s">
        <v>232</v>
      </c>
    </row>
    <row r="14" spans="1:9" ht="18">
      <c r="A14" s="841"/>
      <c r="B14" s="841"/>
      <c r="C14" s="841"/>
      <c r="D14" s="860" t="s">
        <v>986</v>
      </c>
      <c r="E14" s="861" t="s">
        <v>987</v>
      </c>
      <c r="F14" s="862" t="s">
        <v>988</v>
      </c>
      <c r="G14" s="862" t="s">
        <v>989</v>
      </c>
      <c r="H14" s="862" t="s">
        <v>84</v>
      </c>
      <c r="I14" s="862" t="s">
        <v>989</v>
      </c>
    </row>
    <row r="15" spans="1:9">
      <c r="A15" s="841"/>
      <c r="B15" s="841"/>
      <c r="C15" s="863" t="s">
        <v>885</v>
      </c>
      <c r="D15" s="864">
        <v>735</v>
      </c>
      <c r="E15" s="861">
        <f>D15</f>
        <v>735</v>
      </c>
      <c r="F15" s="865">
        <f>INDEX(SourceVolumeFlowRate,MATCH(C15,SourceNumber,0),1)</f>
        <v>0.47231008449287359</v>
      </c>
      <c r="G15" s="866">
        <f>E15*F15</f>
        <v>347.14791210226207</v>
      </c>
      <c r="H15" s="862">
        <v>99.9</v>
      </c>
      <c r="I15" s="867">
        <f>(1-H15/100)*G15</f>
        <v>0.34714791210222384</v>
      </c>
    </row>
    <row r="16" spans="1:9">
      <c r="A16" s="841"/>
      <c r="B16" s="841"/>
      <c r="C16" s="841"/>
      <c r="D16" s="841"/>
      <c r="E16" s="841"/>
      <c r="F16" s="841"/>
      <c r="G16" s="841"/>
      <c r="H16" s="841"/>
      <c r="I16" s="841"/>
    </row>
    <row r="17" spans="1:9">
      <c r="A17" s="841"/>
      <c r="B17" s="841"/>
      <c r="C17" s="841"/>
      <c r="D17" s="841"/>
      <c r="E17" s="841"/>
      <c r="F17" s="868" t="s">
        <v>990</v>
      </c>
      <c r="G17" s="869">
        <f>$E$6/G15</f>
        <v>2.8806164897959179</v>
      </c>
      <c r="H17" s="869"/>
      <c r="I17" s="869">
        <f>$E$6/I15</f>
        <v>2880.6164897962349</v>
      </c>
    </row>
    <row r="18" spans="1:9">
      <c r="A18" s="841"/>
      <c r="B18" s="841"/>
      <c r="C18" s="841"/>
      <c r="D18" s="841"/>
      <c r="E18" s="841"/>
      <c r="F18" s="868" t="s">
        <v>991</v>
      </c>
      <c r="G18" s="869">
        <f>E8/G15</f>
        <v>435.54921325714281</v>
      </c>
      <c r="H18" s="869"/>
      <c r="I18" s="869">
        <f>E8/I15</f>
        <v>435549.21325719077</v>
      </c>
    </row>
    <row r="19" spans="1:9">
      <c r="A19" s="841"/>
      <c r="B19" s="841"/>
      <c r="C19" s="841"/>
      <c r="D19" s="841"/>
      <c r="E19" s="841"/>
      <c r="F19" s="841"/>
      <c r="G19" s="841"/>
      <c r="H19" s="841"/>
      <c r="I19" s="841"/>
    </row>
    <row r="20" spans="1:9">
      <c r="A20" s="841"/>
      <c r="B20" s="841"/>
      <c r="C20" s="841"/>
      <c r="D20" s="841" t="s">
        <v>143</v>
      </c>
      <c r="E20" s="841"/>
      <c r="F20" s="841"/>
      <c r="G20" s="841"/>
      <c r="H20" s="841"/>
      <c r="I20" s="841"/>
    </row>
    <row r="21" spans="1:9">
      <c r="A21" s="841"/>
      <c r="B21" s="841"/>
      <c r="C21" s="841"/>
      <c r="D21" s="841" t="s">
        <v>992</v>
      </c>
      <c r="E21" s="841"/>
      <c r="F21" s="841"/>
      <c r="G21" s="841"/>
      <c r="H21" s="841"/>
      <c r="I21" s="841"/>
    </row>
    <row r="22" spans="1:9">
      <c r="A22" s="841"/>
      <c r="B22" s="841"/>
      <c r="C22" s="841"/>
      <c r="D22" s="841" t="s">
        <v>993</v>
      </c>
      <c r="E22" s="841"/>
      <c r="F22" s="841"/>
      <c r="G22" s="841"/>
      <c r="H22" s="841"/>
      <c r="I22" s="841"/>
    </row>
    <row r="23" spans="1:9">
      <c r="A23" s="841"/>
      <c r="B23" s="841"/>
      <c r="C23" s="841"/>
      <c r="D23" s="841"/>
      <c r="E23" s="841"/>
      <c r="F23" s="841"/>
      <c r="G23" s="841"/>
      <c r="H23" s="841"/>
      <c r="I23" s="841"/>
    </row>
  </sheetData>
  <mergeCells count="2">
    <mergeCell ref="D11:E11"/>
    <mergeCell ref="D12:E12"/>
  </mergeCells>
  <pageMargins left="0.75" right="0.75" top="0.75" bottom="0.75" header="0.5" footer="0.5"/>
  <pageSetup scale="89" orientation="portrait" useFirstPageNumber="1" r:id="rId1"/>
  <headerFooter scaleWithDoc="0" alignWithMargins="0">
    <oddFooter>&amp;C&amp;9Page &amp;P of &amp;N</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557E4-B401-4D49-8A3F-146933F54E8A}">
  <sheetPr codeName="Sheet72">
    <pageSetUpPr fitToPage="1"/>
  </sheetPr>
  <dimension ref="B1:J36"/>
  <sheetViews>
    <sheetView view="pageBreakPreview" zoomScale="75" zoomScaleNormal="100" zoomScaleSheetLayoutView="75" workbookViewId="0">
      <selection activeCell="I14" sqref="I14"/>
    </sheetView>
  </sheetViews>
  <sheetFormatPr defaultColWidth="9" defaultRowHeight="15.75"/>
  <cols>
    <col min="2" max="2" width="10.625" customWidth="1"/>
    <col min="3" max="3" width="49.75" customWidth="1"/>
    <col min="4" max="4" width="8.25" customWidth="1"/>
    <col min="5" max="5" width="12.25" hidden="1" customWidth="1"/>
    <col min="6" max="6" width="14.625" hidden="1" customWidth="1"/>
    <col min="7" max="7" width="12.625" hidden="1" customWidth="1"/>
    <col min="8" max="8" width="13.25" customWidth="1"/>
    <col min="9" max="10" width="19.625" customWidth="1"/>
    <col min="11" max="66" width="9.125" customWidth="1"/>
  </cols>
  <sheetData>
    <row r="1" spans="2:10" ht="20.25">
      <c r="B1" s="120" t="s">
        <v>1594</v>
      </c>
    </row>
    <row r="2" spans="2:10" ht="20.25">
      <c r="B2" s="120" t="s">
        <v>1596</v>
      </c>
    </row>
    <row r="3" spans="2:10" ht="20.25">
      <c r="B3" s="120" t="s">
        <v>1595</v>
      </c>
    </row>
    <row r="6" spans="2:10" ht="18.75">
      <c r="B6" s="839" t="s">
        <v>151</v>
      </c>
    </row>
    <row r="7" spans="2:10" ht="18.75">
      <c r="B7" s="839" t="s">
        <v>538</v>
      </c>
      <c r="J7" s="940">
        <v>24.45</v>
      </c>
    </row>
    <row r="8" spans="2:10">
      <c r="B8" s="1197"/>
      <c r="C8" s="1369"/>
      <c r="D8" s="1370"/>
      <c r="E8" s="1371"/>
      <c r="F8" s="1371"/>
      <c r="G8" s="1371"/>
      <c r="H8" s="1822"/>
      <c r="I8" s="1822"/>
      <c r="J8" s="1823"/>
    </row>
    <row r="9" spans="2:10">
      <c r="B9" s="1372" t="s">
        <v>663</v>
      </c>
      <c r="C9" s="1373"/>
      <c r="D9" s="1374"/>
      <c r="E9" s="1374" t="s">
        <v>1567</v>
      </c>
      <c r="F9" s="1374" t="s">
        <v>0</v>
      </c>
      <c r="G9" s="1374" t="s">
        <v>172</v>
      </c>
      <c r="H9" s="1374"/>
      <c r="I9" s="1374"/>
      <c r="J9" s="1375"/>
    </row>
    <row r="10" spans="2:10">
      <c r="B10" s="1372" t="s">
        <v>591</v>
      </c>
      <c r="C10" s="1376" t="s">
        <v>1568</v>
      </c>
      <c r="D10" s="1377" t="s">
        <v>663</v>
      </c>
      <c r="E10" s="1378" t="s">
        <v>1569</v>
      </c>
      <c r="F10" s="1378" t="s">
        <v>1569</v>
      </c>
      <c r="G10" s="1377" t="s">
        <v>1569</v>
      </c>
      <c r="H10" s="1377" t="s">
        <v>1567</v>
      </c>
      <c r="I10" s="1379" t="s">
        <v>0</v>
      </c>
      <c r="J10" s="1380" t="s">
        <v>172</v>
      </c>
    </row>
    <row r="11" spans="2:10">
      <c r="C11" s="33"/>
      <c r="J11" s="37"/>
    </row>
    <row r="12" spans="2:10">
      <c r="C12" s="1381" t="s">
        <v>1570</v>
      </c>
      <c r="D12" s="940">
        <v>3.37</v>
      </c>
      <c r="E12" s="1145"/>
      <c r="F12" s="1374"/>
      <c r="G12" s="1145"/>
      <c r="H12" s="1145"/>
      <c r="I12" s="1374"/>
      <c r="J12" s="1382"/>
    </row>
    <row r="13" spans="2:10">
      <c r="C13" s="1381" t="s">
        <v>1571</v>
      </c>
      <c r="D13" s="940">
        <v>56</v>
      </c>
      <c r="E13" s="1145"/>
      <c r="F13" s="1374"/>
      <c r="G13" s="1145"/>
      <c r="H13" s="1145"/>
      <c r="I13" s="1374"/>
      <c r="J13" s="1382"/>
    </row>
    <row r="14" spans="2:10">
      <c r="C14" s="1381" t="s">
        <v>1572</v>
      </c>
      <c r="D14" s="1673">
        <f>D12/(1000*60)*D13</f>
        <v>3.1453333333333333E-3</v>
      </c>
      <c r="E14" s="1145"/>
      <c r="F14" s="1374"/>
      <c r="G14" s="1145"/>
      <c r="H14" s="1145"/>
      <c r="I14" s="1374"/>
      <c r="J14" s="1382"/>
    </row>
    <row r="15" spans="2:10">
      <c r="C15" s="1381" t="s">
        <v>1573</v>
      </c>
      <c r="D15" s="940">
        <v>30.03</v>
      </c>
      <c r="E15" s="1145"/>
      <c r="F15" s="1374"/>
      <c r="G15" s="1145"/>
      <c r="H15" s="1145"/>
      <c r="I15" s="1374"/>
      <c r="J15" s="1382"/>
    </row>
    <row r="16" spans="2:10" ht="18.75">
      <c r="C16" s="1381" t="s">
        <v>1574</v>
      </c>
      <c r="D16" s="940">
        <v>5</v>
      </c>
      <c r="E16" s="1145"/>
      <c r="F16" s="1374"/>
      <c r="G16" s="1145"/>
      <c r="H16" s="1145"/>
      <c r="I16" s="1374"/>
      <c r="J16" s="1382"/>
    </row>
    <row r="17" spans="2:10" s="1263" customFormat="1">
      <c r="C17" s="1384"/>
      <c r="D17" s="1385"/>
      <c r="E17" s="1824" t="s">
        <v>1575</v>
      </c>
      <c r="F17" s="1824"/>
      <c r="G17" s="1824"/>
      <c r="H17" s="1824"/>
      <c r="I17" s="1824"/>
      <c r="J17" s="1825"/>
    </row>
    <row r="18" spans="2:10">
      <c r="B18" s="1386"/>
      <c r="C18" s="1387"/>
      <c r="D18" s="1201" t="s">
        <v>21</v>
      </c>
      <c r="E18" s="942">
        <v>0.75</v>
      </c>
      <c r="F18" s="1388">
        <v>2</v>
      </c>
      <c r="G18" s="1389">
        <v>0.8</v>
      </c>
      <c r="H18" s="1390">
        <f>E18*($D$15/$J$7)*1000</f>
        <v>921.16564417177915</v>
      </c>
      <c r="I18" s="1390">
        <f t="shared" ref="I18:J20" si="0">F18*($D$15/$J$7)*1000</f>
        <v>2456.4417177914111</v>
      </c>
      <c r="J18" s="1391">
        <f t="shared" si="0"/>
        <v>982.57668711656447</v>
      </c>
    </row>
    <row r="19" spans="2:10">
      <c r="B19" s="1386"/>
      <c r="C19" s="1387"/>
      <c r="D19" s="1201" t="s">
        <v>20</v>
      </c>
      <c r="E19" s="942">
        <v>1.6E-2</v>
      </c>
      <c r="F19" s="1388">
        <v>0.1</v>
      </c>
      <c r="G19" s="1392"/>
      <c r="H19" s="1390">
        <f t="shared" ref="H19:H20" si="1">E19*($D$15/$J$7)*1000</f>
        <v>19.651533742331289</v>
      </c>
      <c r="I19" s="1390">
        <f t="shared" si="0"/>
        <v>122.82208588957056</v>
      </c>
      <c r="J19" s="1391">
        <f t="shared" si="0"/>
        <v>0</v>
      </c>
    </row>
    <row r="20" spans="2:10">
      <c r="B20" s="1386"/>
      <c r="C20" s="1387"/>
      <c r="D20" s="1201" t="s">
        <v>1067</v>
      </c>
      <c r="E20" s="942">
        <v>0.1</v>
      </c>
      <c r="F20" s="1388">
        <v>0.3</v>
      </c>
      <c r="G20" s="1392"/>
      <c r="H20" s="1390">
        <f t="shared" si="1"/>
        <v>122.82208588957056</v>
      </c>
      <c r="I20" s="1390">
        <f t="shared" si="0"/>
        <v>368.46625766871165</v>
      </c>
      <c r="J20" s="1391">
        <f t="shared" si="0"/>
        <v>0</v>
      </c>
    </row>
    <row r="21" spans="2:10">
      <c r="B21" s="1386"/>
      <c r="C21" s="1387"/>
      <c r="D21" s="1201"/>
      <c r="E21" s="942"/>
      <c r="F21" s="1388"/>
      <c r="G21" s="1392"/>
      <c r="H21" s="1393"/>
      <c r="I21" s="1393"/>
      <c r="J21" s="1394"/>
    </row>
    <row r="22" spans="2:10" s="1263" customFormat="1">
      <c r="B22" s="1395"/>
      <c r="C22" s="1396"/>
      <c r="D22" s="1397"/>
      <c r="E22" s="1824" t="s">
        <v>1576</v>
      </c>
      <c r="F22" s="1824"/>
      <c r="G22" s="1824"/>
      <c r="H22" s="1824"/>
      <c r="I22" s="1824"/>
      <c r="J22" s="1825"/>
    </row>
    <row r="23" spans="2:10">
      <c r="B23" s="1386"/>
      <c r="C23" s="1387"/>
      <c r="D23" s="1201" t="s">
        <v>21</v>
      </c>
      <c r="E23" s="942"/>
      <c r="F23" s="1388"/>
      <c r="G23" s="1392"/>
      <c r="H23" s="1390">
        <f>H18/($D$14*$D$16)</f>
        <v>58573.483096976204</v>
      </c>
      <c r="I23" s="1390">
        <f t="shared" ref="I23:J23" si="2">I18/($D$14*$D$16)</f>
        <v>156195.95492526988</v>
      </c>
      <c r="J23" s="1391">
        <f t="shared" si="2"/>
        <v>62478.381970107956</v>
      </c>
    </row>
    <row r="24" spans="2:10">
      <c r="B24" s="1386"/>
      <c r="C24" s="1398"/>
      <c r="D24" s="1201" t="s">
        <v>20</v>
      </c>
      <c r="E24" s="942"/>
      <c r="F24" s="1399"/>
      <c r="G24" s="1392"/>
      <c r="H24" s="1390">
        <f t="shared" ref="H24:J25" si="3">H19/($D$14*$D$16)</f>
        <v>1249.5676394021591</v>
      </c>
      <c r="I24" s="1390">
        <f t="shared" si="3"/>
        <v>7809.7977462634944</v>
      </c>
      <c r="J24" s="1391">
        <f t="shared" si="3"/>
        <v>0</v>
      </c>
    </row>
    <row r="25" spans="2:10">
      <c r="C25" s="1400"/>
      <c r="D25" s="1201" t="s">
        <v>1067</v>
      </c>
      <c r="E25" s="1145"/>
      <c r="F25" s="1145"/>
      <c r="G25" s="1145"/>
      <c r="H25" s="1390">
        <f t="shared" si="3"/>
        <v>7809.7977462634944</v>
      </c>
      <c r="I25" s="1390">
        <f t="shared" si="3"/>
        <v>23429.393238790482</v>
      </c>
      <c r="J25" s="1391">
        <f t="shared" si="3"/>
        <v>0</v>
      </c>
    </row>
    <row r="26" spans="2:10">
      <c r="C26" s="1401"/>
      <c r="D26" s="1402"/>
      <c r="E26" s="1403"/>
      <c r="F26" s="1403"/>
      <c r="G26" s="1403"/>
      <c r="H26" s="1403"/>
      <c r="I26" s="1403"/>
      <c r="J26" s="1404"/>
    </row>
    <row r="27" spans="2:10">
      <c r="C27" s="940" t="s">
        <v>214</v>
      </c>
      <c r="D27" s="940"/>
      <c r="E27" s="940"/>
      <c r="F27" s="940"/>
      <c r="G27" s="940"/>
      <c r="H27" s="940"/>
      <c r="I27" s="940"/>
      <c r="J27" s="940"/>
    </row>
    <row r="28" spans="2:10">
      <c r="C28" s="1826" t="s">
        <v>1577</v>
      </c>
      <c r="D28" s="1826"/>
      <c r="E28" s="1826"/>
      <c r="F28" s="1826"/>
      <c r="G28" s="1826"/>
      <c r="H28" s="1826"/>
      <c r="I28" s="1826"/>
      <c r="J28" s="1826"/>
    </row>
    <row r="29" spans="2:10">
      <c r="C29" s="1826"/>
      <c r="D29" s="1826"/>
      <c r="E29" s="1826"/>
      <c r="F29" s="1826"/>
      <c r="G29" s="1826"/>
      <c r="H29" s="1826"/>
      <c r="I29" s="1826"/>
      <c r="J29" s="1826"/>
    </row>
    <row r="33" spans="3:3">
      <c r="C33" s="1405" t="s">
        <v>1507</v>
      </c>
    </row>
    <row r="34" spans="3:3">
      <c r="C34" s="1009" t="s">
        <v>1711</v>
      </c>
    </row>
    <row r="35" spans="3:3">
      <c r="C35" s="1009" t="s">
        <v>1578</v>
      </c>
    </row>
    <row r="36" spans="3:3">
      <c r="C36" s="1009" t="s">
        <v>1592</v>
      </c>
    </row>
  </sheetData>
  <mergeCells count="4">
    <mergeCell ref="H8:J8"/>
    <mergeCell ref="E17:J17"/>
    <mergeCell ref="E22:J22"/>
    <mergeCell ref="C28:J29"/>
  </mergeCells>
  <printOptions horizontalCentered="1"/>
  <pageMargins left="1.3888888888888888E-2" right="1.3888888888888888E-2" top="1.3888888888888888E-2" bottom="9.7222222222222224E-2" header="1.3888888888888888E-2" footer="1.3888888888888888E-2"/>
  <pageSetup paperSize="172" fitToHeight="0" orientation="portrait" useFirstPageNumber="1" r:id="rId1"/>
  <headerFooter scaleWithDoc="0" alignWithMargins="0">
    <oddFooter>&amp;C&amp;9Page &amp;P of &amp;N</oddFooter>
  </headerFooter>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pageSetUpPr fitToPage="1"/>
  </sheetPr>
  <dimension ref="B4:R35"/>
  <sheetViews>
    <sheetView view="pageBreakPreview" zoomScale="75" zoomScaleNormal="75" zoomScaleSheetLayoutView="75" workbookViewId="0">
      <selection activeCell="E30" sqref="E30"/>
    </sheetView>
  </sheetViews>
  <sheetFormatPr defaultRowHeight="15.75"/>
  <cols>
    <col min="2" max="2" width="9.5" customWidth="1"/>
    <col min="3" max="3" width="22" customWidth="1"/>
    <col min="4" max="4" width="8" customWidth="1"/>
    <col min="5" max="6" width="8.75" customWidth="1"/>
    <col min="7" max="7" width="5.625" customWidth="1"/>
    <col min="8" max="8" width="7" customWidth="1"/>
    <col min="9" max="11" width="11.5" customWidth="1"/>
    <col min="12" max="12" width="8.125" customWidth="1"/>
    <col min="13" max="13" width="12.625" customWidth="1"/>
    <col min="14" max="14" width="14.5" customWidth="1"/>
    <col min="15" max="15" width="9.625" customWidth="1"/>
    <col min="16" max="16" width="8.125" customWidth="1"/>
    <col min="17" max="17" width="12.625" customWidth="1"/>
    <col min="18" max="18" width="14.5" customWidth="1"/>
  </cols>
  <sheetData>
    <row r="4" spans="2:18">
      <c r="B4" s="870" t="s">
        <v>151</v>
      </c>
    </row>
    <row r="5" spans="2:18">
      <c r="B5" s="870" t="s">
        <v>1033</v>
      </c>
    </row>
    <row r="6" spans="2:18" ht="18.75">
      <c r="B6" s="1056"/>
      <c r="C6" s="885"/>
      <c r="D6" s="885"/>
      <c r="E6" s="885"/>
      <c r="F6" s="885"/>
      <c r="G6" s="1057"/>
      <c r="H6" s="885"/>
      <c r="I6" s="854"/>
      <c r="J6" s="1058"/>
      <c r="K6" s="1059"/>
      <c r="L6" s="846"/>
      <c r="M6" s="1060"/>
      <c r="N6" s="1060"/>
      <c r="O6" s="1061"/>
      <c r="P6" s="1827" t="s">
        <v>1034</v>
      </c>
      <c r="Q6" s="1828"/>
      <c r="R6" s="1829"/>
    </row>
    <row r="7" spans="2:18">
      <c r="B7" s="1047"/>
      <c r="C7" s="871"/>
      <c r="D7" s="871"/>
      <c r="E7" s="871"/>
      <c r="F7" s="871"/>
      <c r="G7" s="858"/>
      <c r="H7" s="871"/>
      <c r="I7" s="859"/>
      <c r="J7" s="909"/>
      <c r="K7" s="910"/>
      <c r="L7" s="911"/>
      <c r="M7" s="912" t="s">
        <v>1035</v>
      </c>
      <c r="N7" s="913"/>
      <c r="O7" s="914"/>
      <c r="P7" s="1071"/>
      <c r="Q7" s="1072" t="s">
        <v>1035</v>
      </c>
      <c r="R7" s="1073"/>
    </row>
    <row r="8" spans="2:18">
      <c r="B8" s="916"/>
      <c r="C8" s="871"/>
      <c r="D8" s="871"/>
      <c r="E8" s="871"/>
      <c r="F8" s="871"/>
      <c r="G8" s="858"/>
      <c r="H8" s="871"/>
      <c r="I8" s="909"/>
      <c r="J8" s="909" t="s">
        <v>1036</v>
      </c>
      <c r="K8" s="910" t="s">
        <v>1037</v>
      </c>
      <c r="L8" s="911" t="s">
        <v>1028</v>
      </c>
      <c r="M8" s="915" t="s">
        <v>542</v>
      </c>
      <c r="N8" s="912" t="s">
        <v>1038</v>
      </c>
      <c r="O8" s="914" t="s">
        <v>1039</v>
      </c>
      <c r="P8" s="857"/>
      <c r="Q8" s="915" t="s">
        <v>542</v>
      </c>
      <c r="R8" s="912" t="s">
        <v>1038</v>
      </c>
    </row>
    <row r="9" spans="2:18">
      <c r="B9" s="1062"/>
      <c r="C9" s="871"/>
      <c r="D9" s="871" t="s">
        <v>1040</v>
      </c>
      <c r="E9" s="871" t="s">
        <v>1041</v>
      </c>
      <c r="F9" s="871" t="s">
        <v>1041</v>
      </c>
      <c r="G9" s="1830" t="s">
        <v>1042</v>
      </c>
      <c r="H9" s="1831"/>
      <c r="I9" s="1821"/>
      <c r="J9" s="859" t="s">
        <v>171</v>
      </c>
      <c r="K9" s="871" t="s">
        <v>1043</v>
      </c>
      <c r="L9" s="858" t="s">
        <v>230</v>
      </c>
      <c r="M9" s="915" t="s">
        <v>171</v>
      </c>
      <c r="N9" s="915" t="s">
        <v>1044</v>
      </c>
      <c r="O9" s="914" t="s">
        <v>398</v>
      </c>
      <c r="P9" s="857" t="s">
        <v>230</v>
      </c>
      <c r="Q9" s="915" t="s">
        <v>1045</v>
      </c>
      <c r="R9" s="915" t="s">
        <v>1044</v>
      </c>
    </row>
    <row r="10" spans="2:18">
      <c r="B10" s="858" t="s">
        <v>1046</v>
      </c>
      <c r="C10" s="871" t="s">
        <v>1047</v>
      </c>
      <c r="D10" s="871" t="s">
        <v>1048</v>
      </c>
      <c r="E10" s="871" t="s">
        <v>1049</v>
      </c>
      <c r="F10" s="871" t="s">
        <v>1049</v>
      </c>
      <c r="G10" s="1832"/>
      <c r="H10" s="1833"/>
      <c r="I10" s="1834"/>
      <c r="J10" s="859" t="s">
        <v>1050</v>
      </c>
      <c r="K10" s="871" t="s">
        <v>1051</v>
      </c>
      <c r="L10" s="858" t="s">
        <v>232</v>
      </c>
      <c r="M10" s="915" t="s">
        <v>1050</v>
      </c>
      <c r="N10" s="915" t="s">
        <v>1051</v>
      </c>
      <c r="O10" s="914" t="s">
        <v>1052</v>
      </c>
      <c r="P10" s="857" t="s">
        <v>232</v>
      </c>
      <c r="Q10" s="915" t="s">
        <v>1050</v>
      </c>
      <c r="R10" s="915" t="s">
        <v>1051</v>
      </c>
    </row>
    <row r="11" spans="2:18">
      <c r="B11" s="1067"/>
      <c r="C11" s="1068"/>
      <c r="D11" s="1068"/>
      <c r="E11" s="1068" t="s">
        <v>1053</v>
      </c>
      <c r="F11" s="1068" t="s">
        <v>1054</v>
      </c>
      <c r="G11" s="860" t="s">
        <v>182</v>
      </c>
      <c r="H11" s="1068" t="s">
        <v>1055</v>
      </c>
      <c r="I11" s="861" t="s">
        <v>1056</v>
      </c>
      <c r="J11" s="861" t="s">
        <v>1056</v>
      </c>
      <c r="K11" s="860" t="s">
        <v>1056</v>
      </c>
      <c r="L11" s="860" t="s">
        <v>303</v>
      </c>
      <c r="M11" s="1069" t="s">
        <v>175</v>
      </c>
      <c r="N11" s="1069" t="s">
        <v>175</v>
      </c>
      <c r="O11" s="1070" t="s">
        <v>84</v>
      </c>
      <c r="P11" s="862" t="s">
        <v>303</v>
      </c>
      <c r="Q11" s="1069" t="s">
        <v>175</v>
      </c>
      <c r="R11" s="1069" t="s">
        <v>175</v>
      </c>
    </row>
    <row r="12" spans="2:18">
      <c r="B12" s="1062"/>
      <c r="C12" s="841"/>
      <c r="D12" s="841"/>
      <c r="E12" s="841"/>
      <c r="F12" s="841"/>
      <c r="G12" s="916"/>
      <c r="H12" s="841"/>
      <c r="I12" s="852"/>
      <c r="J12" s="852"/>
      <c r="K12" s="917"/>
      <c r="L12" s="841"/>
      <c r="M12" s="913"/>
      <c r="N12" s="917"/>
      <c r="O12" s="871"/>
      <c r="P12" s="917"/>
      <c r="Q12" s="913"/>
      <c r="R12" s="917"/>
    </row>
    <row r="13" spans="2:18">
      <c r="B13" s="1063" t="s">
        <v>1057</v>
      </c>
      <c r="C13" s="878" t="s">
        <v>1058</v>
      </c>
      <c r="D13" s="918">
        <v>100.1</v>
      </c>
      <c r="E13" s="919">
        <v>40</v>
      </c>
      <c r="F13" s="919">
        <v>5332.8959999999997</v>
      </c>
      <c r="G13" s="920" t="s">
        <v>1</v>
      </c>
      <c r="H13" s="877" t="s">
        <v>20</v>
      </c>
      <c r="I13" s="921">
        <v>410</v>
      </c>
      <c r="J13" s="921">
        <v>1230</v>
      </c>
      <c r="K13" s="922">
        <v>0.53457459722661715</v>
      </c>
      <c r="L13" s="923">
        <f t="shared" ref="L13:L24" si="0">$D$34</f>
        <v>5.2575166666666666E-3</v>
      </c>
      <c r="M13" s="913">
        <f t="shared" ref="M13:M23" si="1">J13*1000/L13/$D$27</f>
        <v>46790151.243774787</v>
      </c>
      <c r="N13" s="913">
        <f>(K13*1000/L13)/D$27</f>
        <v>20335.631101880816</v>
      </c>
      <c r="O13" s="924">
        <v>0.1</v>
      </c>
      <c r="P13" s="1074">
        <f t="shared" ref="P13:P23" si="2">L13*O13</f>
        <v>5.2575166666666672E-4</v>
      </c>
      <c r="Q13" s="1075">
        <f t="shared" ref="Q13:Q23" si="3">J13*1000/P13/$D$27</f>
        <v>467901512.43774778</v>
      </c>
      <c r="R13" s="1075">
        <f>K13*1000/P13/$D$27</f>
        <v>203356.31101880813</v>
      </c>
    </row>
    <row r="14" spans="2:18">
      <c r="B14" s="1063" t="s">
        <v>1059</v>
      </c>
      <c r="C14" s="878" t="s">
        <v>1060</v>
      </c>
      <c r="D14" s="918">
        <v>116.2</v>
      </c>
      <c r="E14" s="919">
        <v>15</v>
      </c>
      <c r="F14" s="919">
        <v>1999.8359999999998</v>
      </c>
      <c r="G14" s="920" t="s">
        <v>0</v>
      </c>
      <c r="H14" s="877" t="s">
        <v>21</v>
      </c>
      <c r="I14" s="921">
        <v>950</v>
      </c>
      <c r="J14" s="921">
        <v>950</v>
      </c>
      <c r="K14" s="922">
        <v>1.4702857142857142</v>
      </c>
      <c r="L14" s="923">
        <f t="shared" si="0"/>
        <v>5.2575166666666666E-3</v>
      </c>
      <c r="M14" s="913">
        <f t="shared" si="1"/>
        <v>36138734.70047646</v>
      </c>
      <c r="N14" s="913">
        <f>(K14*1000/L14)/D$27</f>
        <v>55930.805644707325</v>
      </c>
      <c r="O14" s="924">
        <v>0.2</v>
      </c>
      <c r="P14" s="1074">
        <f t="shared" si="2"/>
        <v>1.0515033333333334E-3</v>
      </c>
      <c r="Q14" s="1075">
        <f t="shared" si="3"/>
        <v>180693673.50238228</v>
      </c>
      <c r="R14" s="1075">
        <f>K14*1000/P14/$D$27</f>
        <v>279654.02822353656</v>
      </c>
    </row>
    <row r="15" spans="2:18">
      <c r="B15" s="1063" t="s">
        <v>1061</v>
      </c>
      <c r="C15" s="878" t="s">
        <v>1062</v>
      </c>
      <c r="D15" s="918">
        <v>92.1</v>
      </c>
      <c r="E15" s="919">
        <v>20</v>
      </c>
      <c r="F15" s="919">
        <v>2666.4479999999999</v>
      </c>
      <c r="G15" s="920" t="s">
        <v>0</v>
      </c>
      <c r="H15" s="877" t="s">
        <v>20</v>
      </c>
      <c r="I15" s="921">
        <v>560</v>
      </c>
      <c r="J15" s="921">
        <v>560</v>
      </c>
      <c r="K15" s="922">
        <v>6.0146938775510197</v>
      </c>
      <c r="L15" s="923">
        <f t="shared" si="0"/>
        <v>5.2575166666666666E-3</v>
      </c>
      <c r="M15" s="913">
        <f t="shared" si="1"/>
        <v>21302833.086596649</v>
      </c>
      <c r="N15" s="913">
        <f>(K15*1000/L15)/D$27</f>
        <v>228803.60667936457</v>
      </c>
      <c r="O15" s="924">
        <v>0.1</v>
      </c>
      <c r="P15" s="1074">
        <f t="shared" si="2"/>
        <v>5.2575166666666672E-4</v>
      </c>
      <c r="Q15" s="1075">
        <f t="shared" si="3"/>
        <v>213028330.8659665</v>
      </c>
      <c r="R15" s="1075">
        <f>K15*1000/P15/$D$27</f>
        <v>2288036.0667936457</v>
      </c>
    </row>
    <row r="16" spans="2:18">
      <c r="B16" s="1063" t="s">
        <v>1063</v>
      </c>
      <c r="C16" s="878" t="s">
        <v>1064</v>
      </c>
      <c r="D16" s="918">
        <v>118</v>
      </c>
      <c r="E16" s="919">
        <v>4</v>
      </c>
      <c r="F16" s="919">
        <v>533.28959999999995</v>
      </c>
      <c r="G16" s="920" t="s">
        <v>1</v>
      </c>
      <c r="H16" s="877" t="s">
        <v>20</v>
      </c>
      <c r="I16" s="921">
        <v>24</v>
      </c>
      <c r="J16" s="921">
        <v>72</v>
      </c>
      <c r="K16" s="922"/>
      <c r="L16" s="923">
        <f t="shared" si="0"/>
        <v>5.2575166666666666E-3</v>
      </c>
      <c r="M16" s="913">
        <f t="shared" si="1"/>
        <v>2738935.6825624267</v>
      </c>
      <c r="N16" s="913"/>
      <c r="O16" s="924">
        <v>0.1</v>
      </c>
      <c r="P16" s="1074">
        <f t="shared" si="2"/>
        <v>5.2575166666666672E-4</v>
      </c>
      <c r="Q16" s="1075">
        <f t="shared" si="3"/>
        <v>27389356.825624265</v>
      </c>
      <c r="R16" s="1075"/>
    </row>
    <row r="17" spans="2:18">
      <c r="B17" s="1063" t="s">
        <v>1065</v>
      </c>
      <c r="C17" s="878" t="s">
        <v>1066</v>
      </c>
      <c r="D17" s="918">
        <v>106.2</v>
      </c>
      <c r="E17" s="919">
        <v>9</v>
      </c>
      <c r="F17" s="919">
        <v>1199.9015999999999</v>
      </c>
      <c r="G17" s="920" t="s">
        <v>0</v>
      </c>
      <c r="H17" s="877" t="s">
        <v>1067</v>
      </c>
      <c r="I17" s="921">
        <v>651</v>
      </c>
      <c r="J17" s="921">
        <v>651</v>
      </c>
      <c r="K17" s="922">
        <v>86.693877551020407</v>
      </c>
      <c r="L17" s="923">
        <f t="shared" si="0"/>
        <v>5.2575166666666666E-3</v>
      </c>
      <c r="M17" s="913">
        <f t="shared" si="1"/>
        <v>24764543.463168606</v>
      </c>
      <c r="N17" s="913">
        <f>(K17*1000/L17)/D$27</f>
        <v>3297902.1483914927</v>
      </c>
      <c r="O17" s="924">
        <v>0.15</v>
      </c>
      <c r="P17" s="1074">
        <f t="shared" si="2"/>
        <v>7.8862749999999992E-4</v>
      </c>
      <c r="Q17" s="1075">
        <f t="shared" si="3"/>
        <v>165096956.42112404</v>
      </c>
      <c r="R17" s="1075">
        <f>K17*1000/P17/$D$27</f>
        <v>21986014.322609954</v>
      </c>
    </row>
    <row r="18" spans="2:18">
      <c r="B18" s="1063" t="s">
        <v>1068</v>
      </c>
      <c r="C18" s="878" t="s">
        <v>1069</v>
      </c>
      <c r="D18" s="918">
        <v>106.2</v>
      </c>
      <c r="E18" s="919">
        <v>10</v>
      </c>
      <c r="F18" s="919">
        <v>1333.2239999999999</v>
      </c>
      <c r="G18" s="920" t="s">
        <v>0</v>
      </c>
      <c r="H18" s="877" t="s">
        <v>1067</v>
      </c>
      <c r="I18" s="921">
        <v>543</v>
      </c>
      <c r="J18" s="921">
        <v>543</v>
      </c>
      <c r="K18" s="922">
        <v>87.000000000000071</v>
      </c>
      <c r="L18" s="923">
        <f t="shared" si="0"/>
        <v>5.2575166666666666E-3</v>
      </c>
      <c r="M18" s="913">
        <f t="shared" si="1"/>
        <v>20656139.939324968</v>
      </c>
      <c r="N18" s="913">
        <f>(K18*1000/L18)/D$27</f>
        <v>3309547.2830962678</v>
      </c>
      <c r="O18" s="924">
        <v>0.05</v>
      </c>
      <c r="P18" s="1074">
        <f t="shared" si="2"/>
        <v>2.6287583333333336E-4</v>
      </c>
      <c r="Q18" s="1075">
        <f t="shared" si="3"/>
        <v>413122798.78649926</v>
      </c>
      <c r="R18" s="1075">
        <f>K18*1000/P18/$D$27</f>
        <v>66190945.661925353</v>
      </c>
    </row>
    <row r="19" spans="2:18">
      <c r="B19" s="1063" t="s">
        <v>1070</v>
      </c>
      <c r="C19" s="878" t="s">
        <v>1071</v>
      </c>
      <c r="D19" s="918">
        <v>62</v>
      </c>
      <c r="E19" s="919">
        <v>1.4</v>
      </c>
      <c r="F19" s="919">
        <v>186.65135999999998</v>
      </c>
      <c r="G19" s="920" t="s">
        <v>1072</v>
      </c>
      <c r="H19" s="877" t="s">
        <v>1067</v>
      </c>
      <c r="I19" s="921">
        <v>100</v>
      </c>
      <c r="J19" s="921">
        <v>100</v>
      </c>
      <c r="K19" s="922"/>
      <c r="L19" s="923">
        <f t="shared" si="0"/>
        <v>5.2575166666666666E-3</v>
      </c>
      <c r="M19" s="913">
        <f t="shared" si="1"/>
        <v>3804077.3368922593</v>
      </c>
      <c r="N19" s="913"/>
      <c r="O19" s="924">
        <v>0.05</v>
      </c>
      <c r="P19" s="1074">
        <f t="shared" si="2"/>
        <v>2.6287583333333336E-4</v>
      </c>
      <c r="Q19" s="1075">
        <f t="shared" si="3"/>
        <v>76081546.737845168</v>
      </c>
      <c r="R19" s="1075"/>
    </row>
    <row r="20" spans="2:18">
      <c r="B20" s="1063" t="s">
        <v>1073</v>
      </c>
      <c r="C20" s="878" t="s">
        <v>1074</v>
      </c>
      <c r="D20" s="918">
        <v>58.1</v>
      </c>
      <c r="E20" s="919">
        <v>266</v>
      </c>
      <c r="F20" s="919">
        <v>35463.758399999999</v>
      </c>
      <c r="G20" s="920" t="s">
        <v>0</v>
      </c>
      <c r="H20" s="877" t="s">
        <v>1067</v>
      </c>
      <c r="I20" s="921">
        <v>2380</v>
      </c>
      <c r="J20" s="921">
        <v>2380</v>
      </c>
      <c r="K20" s="922">
        <v>147.02857142857144</v>
      </c>
      <c r="L20" s="923">
        <f t="shared" si="0"/>
        <v>5.2575166666666666E-3</v>
      </c>
      <c r="M20" s="913">
        <f t="shared" si="1"/>
        <v>90537040.618035764</v>
      </c>
      <c r="N20" s="913">
        <f>(K20*1000/L20)/D$27</f>
        <v>5593080.5644707335</v>
      </c>
      <c r="O20" s="924">
        <v>0.05</v>
      </c>
      <c r="P20" s="1074">
        <f t="shared" si="2"/>
        <v>2.6287583333333336E-4</v>
      </c>
      <c r="Q20" s="1075">
        <f t="shared" si="3"/>
        <v>1810740812.3607152</v>
      </c>
      <c r="R20" s="1075">
        <f>K20*1000/P20/$D$27</f>
        <v>111861611.28941467</v>
      </c>
    </row>
    <row r="21" spans="2:18">
      <c r="B21" s="1063" t="s">
        <v>1075</v>
      </c>
      <c r="C21" s="878" t="s">
        <v>1076</v>
      </c>
      <c r="D21" s="918">
        <v>86.2</v>
      </c>
      <c r="E21" s="919">
        <v>150</v>
      </c>
      <c r="F21" s="919">
        <v>19998.36</v>
      </c>
      <c r="G21" s="920" t="s">
        <v>1</v>
      </c>
      <c r="H21" s="877" t="s">
        <v>1067</v>
      </c>
      <c r="I21" s="921">
        <v>176</v>
      </c>
      <c r="J21" s="921">
        <v>528</v>
      </c>
      <c r="K21" s="922"/>
      <c r="L21" s="923">
        <f t="shared" si="0"/>
        <v>5.2575166666666666E-3</v>
      </c>
      <c r="M21" s="913">
        <f t="shared" si="1"/>
        <v>20085528.338791128</v>
      </c>
      <c r="N21" s="913"/>
      <c r="O21" s="924">
        <v>0.05</v>
      </c>
      <c r="P21" s="1074">
        <f t="shared" si="2"/>
        <v>2.6287583333333336E-4</v>
      </c>
      <c r="Q21" s="1075">
        <f t="shared" si="3"/>
        <v>401710566.77582252</v>
      </c>
      <c r="R21" s="1075"/>
    </row>
    <row r="22" spans="2:18">
      <c r="B22" s="1063" t="s">
        <v>1077</v>
      </c>
      <c r="C22" s="878" t="s">
        <v>1078</v>
      </c>
      <c r="D22" s="918">
        <v>144</v>
      </c>
      <c r="E22" s="919">
        <v>2</v>
      </c>
      <c r="F22" s="919">
        <v>266.64479999999998</v>
      </c>
      <c r="G22" s="920" t="s">
        <v>0</v>
      </c>
      <c r="H22" s="877" t="s">
        <v>20</v>
      </c>
      <c r="I22" s="921">
        <v>1800</v>
      </c>
      <c r="J22" s="921">
        <v>1800</v>
      </c>
      <c r="K22" s="922"/>
      <c r="L22" s="923">
        <f t="shared" si="0"/>
        <v>5.2575166666666666E-3</v>
      </c>
      <c r="M22" s="913">
        <f t="shared" si="1"/>
        <v>68473392.064060658</v>
      </c>
      <c r="N22" s="913"/>
      <c r="O22" s="924">
        <v>0.05</v>
      </c>
      <c r="P22" s="1074">
        <f t="shared" si="2"/>
        <v>2.6287583333333336E-4</v>
      </c>
      <c r="Q22" s="1075">
        <f t="shared" si="3"/>
        <v>1369467841.2812133</v>
      </c>
      <c r="R22" s="1075"/>
    </row>
    <row r="23" spans="2:18">
      <c r="B23" s="1063" t="s">
        <v>1079</v>
      </c>
      <c r="C23" s="878" t="s">
        <v>1080</v>
      </c>
      <c r="D23" s="918">
        <v>84.2</v>
      </c>
      <c r="E23" s="919">
        <v>98</v>
      </c>
      <c r="F23" s="919">
        <v>13065.595199999998</v>
      </c>
      <c r="G23" s="920" t="s">
        <v>1</v>
      </c>
      <c r="H23" s="877" t="s">
        <v>1067</v>
      </c>
      <c r="I23" s="921">
        <v>1030</v>
      </c>
      <c r="J23" s="921">
        <v>3090</v>
      </c>
      <c r="K23" s="922">
        <v>2680.6530612244896</v>
      </c>
      <c r="L23" s="923">
        <f t="shared" si="0"/>
        <v>5.2575166666666666E-3</v>
      </c>
      <c r="M23" s="913">
        <f t="shared" si="1"/>
        <v>117545989.7099708</v>
      </c>
      <c r="N23" s="913">
        <f>(K23*1000/L23)/D$27</f>
        <v>101974115.58274938</v>
      </c>
      <c r="O23" s="924">
        <v>0.05</v>
      </c>
      <c r="P23" s="1074">
        <f t="shared" si="2"/>
        <v>2.6287583333333336E-4</v>
      </c>
      <c r="Q23" s="1075">
        <f t="shared" si="3"/>
        <v>2350919794.1994162</v>
      </c>
      <c r="R23" s="1075">
        <f>K23*1000/P23/$D$27</f>
        <v>2039482311.6549873</v>
      </c>
    </row>
    <row r="24" spans="2:18">
      <c r="B24" s="1063" t="s">
        <v>1217</v>
      </c>
      <c r="C24" s="878" t="s">
        <v>774</v>
      </c>
      <c r="D24" s="918"/>
      <c r="E24" s="919"/>
      <c r="F24" s="919"/>
      <c r="G24" s="920" t="s">
        <v>1</v>
      </c>
      <c r="H24" s="877" t="s">
        <v>21</v>
      </c>
      <c r="I24" s="921">
        <v>1800</v>
      </c>
      <c r="J24" s="921">
        <v>5400</v>
      </c>
      <c r="K24" s="922">
        <v>8049.8450000000003</v>
      </c>
      <c r="L24" s="923">
        <f t="shared" si="0"/>
        <v>5.2575166666666666E-3</v>
      </c>
      <c r="M24" s="913">
        <f t="shared" ref="M24" si="4">J24*1000/L24/$D$27</f>
        <v>205420176.192182</v>
      </c>
      <c r="N24" s="913">
        <f>(K24*1000/L24)/D$27</f>
        <v>306222329.29995465</v>
      </c>
      <c r="O24" s="924">
        <v>0.05</v>
      </c>
      <c r="P24" s="1074">
        <f t="shared" ref="P24" si="5">L24*O24</f>
        <v>2.6287583333333336E-4</v>
      </c>
      <c r="Q24" s="1075">
        <f t="shared" ref="Q24" si="6">J24*1000/P24/$D$27</f>
        <v>4108403523.8436394</v>
      </c>
      <c r="R24" s="1075">
        <f>K24*1000/P24/$D$27</f>
        <v>6124446585.9990931</v>
      </c>
    </row>
    <row r="25" spans="2:18">
      <c r="B25" s="849"/>
      <c r="C25" s="853"/>
      <c r="D25" s="853"/>
      <c r="E25" s="853"/>
      <c r="F25" s="853"/>
      <c r="G25" s="849"/>
      <c r="H25" s="853"/>
      <c r="I25" s="851"/>
      <c r="J25" s="851"/>
      <c r="K25" s="1064"/>
      <c r="L25" s="853"/>
      <c r="M25" s="1065"/>
      <c r="N25" s="1064"/>
      <c r="O25" s="1066"/>
      <c r="P25" s="1064"/>
      <c r="Q25" s="1076"/>
      <c r="R25" s="1076"/>
    </row>
    <row r="26" spans="2:18" ht="16.5" thickBot="1">
      <c r="B26" s="841"/>
      <c r="C26" s="841"/>
      <c r="D26" s="841"/>
      <c r="E26" s="841"/>
      <c r="F26" s="841"/>
      <c r="G26" s="841"/>
      <c r="H26" s="841"/>
      <c r="I26" s="841"/>
      <c r="J26" s="841"/>
      <c r="K26" s="841"/>
      <c r="L26" s="841"/>
      <c r="M26" s="925"/>
      <c r="N26" s="841"/>
      <c r="O26" s="871"/>
      <c r="P26" s="841"/>
      <c r="Q26" s="926"/>
      <c r="R26" s="926"/>
    </row>
    <row r="27" spans="2:18" ht="16.5" thickBot="1">
      <c r="B27" s="841"/>
      <c r="C27" s="868" t="s">
        <v>1081</v>
      </c>
      <c r="D27" s="878">
        <v>5</v>
      </c>
      <c r="E27" s="841"/>
      <c r="F27" s="841"/>
      <c r="G27" s="841"/>
      <c r="H27" s="841"/>
      <c r="I27" s="841"/>
      <c r="J27" s="841"/>
      <c r="K27" s="841"/>
      <c r="L27" s="841"/>
      <c r="M27" s="925"/>
      <c r="N27" s="841"/>
      <c r="O27" s="924">
        <f>SUM(O13:O24)</f>
        <v>1.0000000000000002</v>
      </c>
      <c r="P27" s="841"/>
      <c r="Q27" s="1835" t="s">
        <v>165</v>
      </c>
      <c r="R27" s="1836"/>
    </row>
    <row r="28" spans="2:18" ht="16.5" thickBot="1">
      <c r="B28" s="841"/>
      <c r="C28" s="841"/>
      <c r="D28" s="841"/>
      <c r="E28" s="841"/>
      <c r="F28" s="841"/>
      <c r="G28" s="841"/>
      <c r="H28" s="841"/>
      <c r="I28" s="841"/>
      <c r="J28" s="841"/>
      <c r="K28" s="841"/>
      <c r="L28" s="841"/>
      <c r="M28" s="841"/>
      <c r="N28" s="841"/>
      <c r="O28" s="927"/>
      <c r="P28" s="841"/>
      <c r="Q28" s="1054">
        <f>MIN(Q13:Q23)</f>
        <v>27389356.825624265</v>
      </c>
      <c r="R28" s="1055">
        <f>MIN(R13:R23)</f>
        <v>203356.31101880813</v>
      </c>
    </row>
    <row r="29" spans="2:18">
      <c r="B29" s="841"/>
      <c r="C29" s="928" t="s">
        <v>1082</v>
      </c>
      <c r="D29" s="871"/>
      <c r="E29" s="871"/>
      <c r="F29" s="871"/>
      <c r="G29" s="871"/>
      <c r="H29" s="841"/>
      <c r="I29" s="841"/>
      <c r="J29" s="841"/>
      <c r="K29" s="841"/>
      <c r="L29" s="841"/>
      <c r="M29" s="841"/>
      <c r="N29" s="841"/>
      <c r="O29" s="841"/>
      <c r="P29" s="841"/>
      <c r="Q29" s="841"/>
      <c r="R29" s="841"/>
    </row>
    <row r="30" spans="2:18">
      <c r="B30" s="841"/>
      <c r="C30" s="868" t="s">
        <v>1083</v>
      </c>
      <c r="D30" s="929">
        <v>0.5</v>
      </c>
      <c r="E30" s="871" t="s">
        <v>1084</v>
      </c>
      <c r="F30" s="930">
        <f>(D30*3.785412)/3600</f>
        <v>5.2575166666666662E-4</v>
      </c>
      <c r="G30" s="868" t="s">
        <v>1085</v>
      </c>
      <c r="H30" s="841"/>
      <c r="I30" s="841"/>
      <c r="J30" s="841"/>
      <c r="K30" s="841"/>
      <c r="L30" s="841"/>
      <c r="M30" s="841"/>
      <c r="N30" s="841"/>
      <c r="O30" s="841"/>
      <c r="P30" s="841"/>
      <c r="Q30" s="841"/>
      <c r="R30" s="841"/>
    </row>
    <row r="31" spans="2:18">
      <c r="B31" s="841"/>
      <c r="C31" s="868" t="s">
        <v>1086</v>
      </c>
      <c r="D31" s="929">
        <v>1000</v>
      </c>
      <c r="E31" s="871" t="s">
        <v>1087</v>
      </c>
      <c r="F31" s="871"/>
      <c r="G31" s="871"/>
      <c r="H31" s="841"/>
      <c r="I31" s="841"/>
      <c r="J31" s="841"/>
      <c r="K31" s="841"/>
      <c r="L31" s="841"/>
      <c r="M31" s="841"/>
      <c r="N31" s="841"/>
      <c r="O31" s="841"/>
      <c r="P31" s="841"/>
      <c r="Q31" s="841"/>
      <c r="R31" s="841"/>
    </row>
    <row r="32" spans="2:18">
      <c r="B32" s="842"/>
      <c r="C32" s="868" t="s">
        <v>1088</v>
      </c>
      <c r="D32" s="930">
        <f>F30*D31</f>
        <v>0.52575166666666662</v>
      </c>
      <c r="E32" s="871" t="s">
        <v>303</v>
      </c>
      <c r="F32" s="871"/>
      <c r="G32" s="871"/>
      <c r="H32" s="910"/>
      <c r="I32" s="931"/>
      <c r="J32" s="914"/>
      <c r="K32" s="914"/>
      <c r="L32" s="841"/>
      <c r="M32" s="841"/>
      <c r="N32" s="841"/>
      <c r="O32" s="841"/>
      <c r="P32" s="841"/>
      <c r="Q32" s="841"/>
      <c r="R32" s="841"/>
    </row>
    <row r="33" spans="2:18">
      <c r="B33" s="842"/>
      <c r="C33" s="868" t="s">
        <v>1089</v>
      </c>
      <c r="D33" s="932">
        <v>0.01</v>
      </c>
      <c r="E33" s="871"/>
      <c r="F33" s="871"/>
      <c r="G33" s="871"/>
      <c r="H33" s="910"/>
      <c r="I33" s="933"/>
      <c r="J33" s="925"/>
      <c r="K33" s="925"/>
      <c r="L33" s="841"/>
      <c r="M33" s="841"/>
      <c r="N33" s="841"/>
      <c r="O33" s="841"/>
      <c r="P33" s="841"/>
      <c r="Q33" s="841"/>
      <c r="R33" s="841"/>
    </row>
    <row r="34" spans="2:18">
      <c r="B34" s="841"/>
      <c r="C34" s="868" t="s">
        <v>1090</v>
      </c>
      <c r="D34" s="934">
        <f>D32*$D$33</f>
        <v>5.2575166666666666E-3</v>
      </c>
      <c r="E34" s="935" t="s">
        <v>303</v>
      </c>
      <c r="F34" s="841"/>
      <c r="G34" s="841"/>
      <c r="H34" s="910"/>
      <c r="I34" s="936"/>
      <c r="J34" s="937"/>
      <c r="K34" s="937"/>
      <c r="L34" s="841"/>
      <c r="M34" s="841"/>
      <c r="N34" s="841"/>
      <c r="O34" s="841"/>
      <c r="P34" s="841"/>
      <c r="Q34" s="841"/>
      <c r="R34" s="841"/>
    </row>
    <row r="35" spans="2:18">
      <c r="B35" s="938"/>
      <c r="H35" s="871"/>
      <c r="I35" s="936"/>
      <c r="J35" s="939"/>
      <c r="K35" s="939"/>
    </row>
  </sheetData>
  <mergeCells count="3">
    <mergeCell ref="P6:R6"/>
    <mergeCell ref="G9:I10"/>
    <mergeCell ref="Q27:R27"/>
  </mergeCells>
  <pageMargins left="0.75" right="0.75" top="0.75" bottom="0.75" header="0.5" footer="0.5"/>
  <pageSetup scale="61" orientation="landscape" useFirstPageNumber="1" r:id="rId1"/>
  <headerFooter scaleWithDoc="0" alignWithMargins="0">
    <oddFooter>&amp;C&amp;9Page &amp;P of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
    <pageSetUpPr fitToPage="1"/>
  </sheetPr>
  <dimension ref="B2:AA56"/>
  <sheetViews>
    <sheetView view="pageBreakPreview" topLeftCell="N1" zoomScale="75" zoomScaleNormal="55" zoomScaleSheetLayoutView="75" workbookViewId="0">
      <selection activeCell="X14" sqref="X14:AA14"/>
    </sheetView>
  </sheetViews>
  <sheetFormatPr defaultRowHeight="15.75"/>
  <cols>
    <col min="2" max="2" width="9.625" bestFit="1" customWidth="1"/>
    <col min="5" max="5" width="10.125" customWidth="1"/>
    <col min="6" max="6" width="27.75" bestFit="1" customWidth="1"/>
    <col min="7" max="7" width="10.125" customWidth="1"/>
    <col min="8" max="9" width="10.625" customWidth="1"/>
    <col min="10" max="10" width="15.75" bestFit="1" customWidth="1"/>
    <col min="11" max="14" width="12.625" customWidth="1"/>
    <col min="15" max="18" width="10.625" customWidth="1"/>
    <col min="19" max="19" width="9.625" bestFit="1" customWidth="1"/>
    <col min="20" max="22" width="9.625" customWidth="1"/>
    <col min="23" max="23" width="6.25" customWidth="1"/>
  </cols>
  <sheetData>
    <row r="2" spans="2:27" ht="20.25">
      <c r="B2" s="120" t="str">
        <f>SourceProjectName1</f>
        <v>Project Name 1</v>
      </c>
    </row>
    <row r="3" spans="2:27" ht="20.25">
      <c r="B3" s="120" t="str">
        <f>SourceProjectName2</f>
        <v>Project Name 2</v>
      </c>
      <c r="F3" s="4"/>
    </row>
    <row r="4" spans="2:27" ht="20.25">
      <c r="B4" s="120" t="str">
        <f>SourceProjectNumber</f>
        <v>Project Number</v>
      </c>
    </row>
    <row r="5" spans="2:27" ht="20.25">
      <c r="B5" s="837" t="s">
        <v>159</v>
      </c>
    </row>
    <row r="6" spans="2:27" ht="20.25">
      <c r="B6" s="837" t="s">
        <v>351</v>
      </c>
    </row>
    <row r="7" spans="2:27" ht="21" thickBot="1">
      <c r="B7" s="285"/>
      <c r="C7" s="13"/>
      <c r="D7" s="13"/>
      <c r="E7" s="13"/>
      <c r="F7" s="13"/>
      <c r="H7" s="13"/>
      <c r="I7" s="13"/>
      <c r="O7" s="13"/>
      <c r="P7" s="13"/>
      <c r="Q7" s="13"/>
      <c r="R7" s="13"/>
    </row>
    <row r="8" spans="2:27" ht="16.5" thickTop="1">
      <c r="B8" s="100"/>
      <c r="C8" s="1082" t="s">
        <v>449</v>
      </c>
      <c r="D8" s="31"/>
      <c r="E8" s="264" t="s">
        <v>118</v>
      </c>
      <c r="F8" s="440"/>
      <c r="G8" s="642" t="s">
        <v>449</v>
      </c>
      <c r="H8" s="642" t="s">
        <v>449</v>
      </c>
      <c r="I8" s="642" t="s">
        <v>449</v>
      </c>
      <c r="J8" s="568" t="s">
        <v>368</v>
      </c>
      <c r="K8" s="1840" t="s">
        <v>369</v>
      </c>
      <c r="L8" s="1841"/>
      <c r="M8" s="1841"/>
      <c r="N8" s="1844"/>
      <c r="O8" s="1840" t="s">
        <v>371</v>
      </c>
      <c r="P8" s="1841"/>
      <c r="Q8" s="1841"/>
      <c r="R8" s="1844"/>
      <c r="S8" s="1840" t="s">
        <v>373</v>
      </c>
      <c r="T8" s="1841"/>
      <c r="U8" s="1841"/>
      <c r="V8" s="1842"/>
      <c r="W8" s="286"/>
    </row>
    <row r="9" spans="2:27">
      <c r="B9" s="33"/>
      <c r="C9" s="1083"/>
      <c r="E9" s="266" t="s">
        <v>666</v>
      </c>
      <c r="F9" s="13" t="s">
        <v>147</v>
      </c>
      <c r="G9" s="180"/>
      <c r="H9" s="180"/>
      <c r="I9" s="180"/>
      <c r="J9" s="286" t="s">
        <v>364</v>
      </c>
      <c r="K9" s="331"/>
      <c r="L9" s="286"/>
      <c r="M9" s="286"/>
      <c r="N9" s="565"/>
      <c r="O9" s="1738" t="s">
        <v>370</v>
      </c>
      <c r="P9" s="1739"/>
      <c r="Q9" s="1739"/>
      <c r="R9" s="1740"/>
      <c r="S9" s="1738" t="s">
        <v>372</v>
      </c>
      <c r="T9" s="1739"/>
      <c r="U9" s="1739"/>
      <c r="V9" s="1843"/>
      <c r="W9" s="13"/>
    </row>
    <row r="10" spans="2:27">
      <c r="B10" s="74" t="s">
        <v>160</v>
      </c>
      <c r="C10" s="1084" t="s">
        <v>663</v>
      </c>
      <c r="D10" s="13" t="s">
        <v>663</v>
      </c>
      <c r="E10" s="266" t="s">
        <v>1193</v>
      </c>
      <c r="F10" s="13" t="s">
        <v>19</v>
      </c>
      <c r="G10" s="157" t="s">
        <v>755</v>
      </c>
      <c r="H10" s="157" t="s">
        <v>162</v>
      </c>
      <c r="I10" s="157" t="s">
        <v>162</v>
      </c>
      <c r="J10" s="13" t="s">
        <v>365</v>
      </c>
      <c r="K10" s="1738" t="s">
        <v>165</v>
      </c>
      <c r="L10" s="1739"/>
      <c r="M10" s="1739"/>
      <c r="N10" s="1740"/>
      <c r="O10" s="1738" t="s">
        <v>164</v>
      </c>
      <c r="P10" s="1739"/>
      <c r="Q10" s="1739"/>
      <c r="R10" s="1740"/>
      <c r="S10" s="1738" t="s">
        <v>165</v>
      </c>
      <c r="T10" s="1739"/>
      <c r="U10" s="1739"/>
      <c r="V10" s="1843"/>
      <c r="W10" s="13"/>
    </row>
    <row r="11" spans="2:27">
      <c r="B11" s="74" t="s">
        <v>779</v>
      </c>
      <c r="C11" s="1084" t="s">
        <v>591</v>
      </c>
      <c r="D11" s="13" t="s">
        <v>665</v>
      </c>
      <c r="E11" s="266" t="s">
        <v>363</v>
      </c>
      <c r="F11" s="13" t="s">
        <v>222</v>
      </c>
      <c r="G11" s="157" t="s">
        <v>161</v>
      </c>
      <c r="H11" s="157" t="s">
        <v>167</v>
      </c>
      <c r="I11" s="157" t="s">
        <v>168</v>
      </c>
      <c r="J11" s="13" t="s">
        <v>163</v>
      </c>
      <c r="K11" s="74"/>
      <c r="L11" s="13"/>
      <c r="M11" s="13"/>
      <c r="N11" s="75"/>
      <c r="O11" s="1738" t="s">
        <v>169</v>
      </c>
      <c r="P11" s="1739"/>
      <c r="Q11" s="1739"/>
      <c r="R11" s="1740"/>
      <c r="S11" s="1738" t="s">
        <v>170</v>
      </c>
      <c r="T11" s="1739"/>
      <c r="U11" s="1739"/>
      <c r="V11" s="1843"/>
    </row>
    <row r="12" spans="2:27" ht="16.5" thickBot="1">
      <c r="B12" s="77"/>
      <c r="C12" s="1085"/>
      <c r="D12" s="14"/>
      <c r="E12" s="267" t="s">
        <v>668</v>
      </c>
      <c r="F12" s="643" t="s">
        <v>163</v>
      </c>
      <c r="G12" s="644" t="s">
        <v>166</v>
      </c>
      <c r="H12" s="644" t="s">
        <v>174</v>
      </c>
      <c r="I12" s="644" t="s">
        <v>703</v>
      </c>
      <c r="J12" s="643" t="s">
        <v>175</v>
      </c>
      <c r="K12" s="1837" t="s">
        <v>175</v>
      </c>
      <c r="L12" s="1838"/>
      <c r="M12" s="1838"/>
      <c r="N12" s="1839"/>
      <c r="O12" s="645"/>
      <c r="P12" s="643"/>
      <c r="Q12" s="643"/>
      <c r="R12" s="646"/>
      <c r="S12" s="645"/>
      <c r="T12" s="643"/>
      <c r="U12" s="643"/>
      <c r="V12" s="647"/>
      <c r="W12" s="13"/>
    </row>
    <row r="13" spans="2:27" ht="16.5" thickTop="1">
      <c r="B13" s="33"/>
      <c r="K13" s="33"/>
      <c r="N13" s="37"/>
      <c r="O13" s="33"/>
      <c r="R13" s="37"/>
      <c r="S13" s="283"/>
      <c r="T13" s="421"/>
      <c r="U13" s="421"/>
      <c r="V13" s="284"/>
      <c r="W13" s="421"/>
      <c r="Z13" s="662"/>
    </row>
    <row r="14" spans="2:27">
      <c r="B14" s="768" t="str">
        <f>INDEX(SourceDescription,MATCH($C16,SourceNumber,0),1,1)</f>
        <v>Fume Hood Exhaust 1</v>
      </c>
      <c r="K14" s="33"/>
      <c r="N14" s="37"/>
      <c r="O14" s="33"/>
      <c r="R14" s="37"/>
      <c r="S14" s="283"/>
      <c r="T14" s="421"/>
      <c r="U14" s="421"/>
      <c r="V14" s="284"/>
      <c r="W14" s="421"/>
      <c r="X14" s="1753" t="s">
        <v>654</v>
      </c>
      <c r="Y14" s="1753"/>
      <c r="Z14" s="1753"/>
      <c r="AA14" s="1753"/>
    </row>
    <row r="15" spans="2:27">
      <c r="B15" s="767" t="str">
        <f>"("&amp;ROUND(INDEX(SourceVolumeFlowRateEnglish,MATCH($C16,SourceNumber,0),1,1),0)&amp;" cfm @ "&amp;ROUND(INDEX(SourceExitVelocityEnglish,MATCH($C16,SourceNumber,0),1,1),0)&amp;" fpm)"</f>
        <v>(1000 cfm @ 2865 fpm)</v>
      </c>
      <c r="K15" s="33"/>
      <c r="N15" s="37"/>
      <c r="O15" s="33"/>
      <c r="R15" s="37"/>
      <c r="S15" s="283"/>
      <c r="T15" s="421"/>
      <c r="U15" s="421"/>
      <c r="V15" s="284"/>
      <c r="W15" s="421"/>
    </row>
    <row r="16" spans="2:27">
      <c r="B16" s="766">
        <v>101</v>
      </c>
      <c r="C16" s="42" t="str">
        <f t="shared" ref="C16:C30" si="0">INDEX(TPSourceLetter,MATCH($B16,TPRunNumber,0),1,1)</f>
        <v>AA</v>
      </c>
      <c r="D16" s="42" t="str">
        <f t="shared" ref="D16:D30" si="1">INDEX(SourceID,MATCH($C16,SourceNumber,0),1,1)</f>
        <v>EF-1</v>
      </c>
      <c r="E16" s="648">
        <f t="shared" ref="E16:E30" si="2">INDEX(TPSourceHeight,MATCH($B16,TPRunNumber,0),1,1)</f>
        <v>10</v>
      </c>
      <c r="F16" s="649" t="str">
        <f t="shared" ref="F16:F30" si="3">INDEX(TPReceptorID1,MATCH($B16,TPRunNumber,0),1,1)&amp;INDEX(TPReceptorID2,MATCH($B16,TPRunNumber,0),1,1)</f>
        <v>1 - Receptor 1</v>
      </c>
      <c r="G16" s="42" t="str">
        <f t="shared" ref="G16:G30" si="4">INDEX(TPAirIntakeOperating,MATCH($B16,TPRunNumber,0),1,1)</f>
        <v>No</v>
      </c>
      <c r="H16" s="318">
        <f t="shared" ref="H16:H30" si="5">INDEX(TPWWD,MATCH($B16,TPRunNumber,0),1,1)</f>
        <v>0</v>
      </c>
      <c r="I16" s="650">
        <f t="shared" ref="I16:I30" si="6">INDEX(TPWWS,MATCH($B16,TPRunNumber,0),1,1)</f>
        <v>0</v>
      </c>
      <c r="J16" s="651">
        <f t="shared" ref="J16:J30" si="7">INDEX(TPMaxCm,MATCH($B16,TPRunNumber,0),1,1)</f>
        <v>0</v>
      </c>
      <c r="K16" s="332">
        <f t="shared" ref="K16:K30" si="8">INDEX(TPcrit1,MATCH($B16,TPRunNumber,0),1,1)</f>
        <v>400</v>
      </c>
      <c r="L16" s="316">
        <f t="shared" ref="L16:L30" si="9">INDEX(TPcrit2,MATCH($B16,TPRunNumber,0),1,1)</f>
        <v>750</v>
      </c>
      <c r="M16" s="316">
        <f t="shared" ref="M16:M30" si="10">INDEX(TPcrit3,MATCH($B16,TPRunNumber,0),1,1)</f>
        <v>750</v>
      </c>
      <c r="N16" s="566">
        <f t="shared" ref="N16:N30" si="11">INDEX(TPcrit4,MATCH($B16,TPRunNumber,0),1,1)</f>
        <v>2000</v>
      </c>
      <c r="O16" s="20" t="str">
        <f t="shared" ref="O16:O30" si="12">IF(ISNUMBER(J16),(IF(J16&gt;K16,"No","Yes")),"")</f>
        <v>Yes</v>
      </c>
      <c r="P16" s="5" t="str">
        <f t="shared" ref="P16:P30" si="13">IF(ISNUMBER(J16),(IF(J16&gt;L16,"No","Yes")),"")</f>
        <v>Yes</v>
      </c>
      <c r="Q16" s="5" t="str">
        <f t="shared" ref="Q16:Q30" si="14">IF(ISNUMBER(J16),(IF(J16&gt;M16,"No","Yes")),"")</f>
        <v>Yes</v>
      </c>
      <c r="R16" s="21" t="str">
        <f t="shared" ref="R16:R30" si="15">IF(ISNUMBER(J16),(IF(J16&gt;N16,"No","Yes")),"")</f>
        <v>Yes</v>
      </c>
      <c r="S16" s="283">
        <f t="shared" ref="S16:S30" si="16">IF(ISERROR(INDEX(Prob_ProbTotal,MATCH(X16,Prob_ProbRunandCrit,0),1)),0,INDEX(Prob_ProbTotal,MATCH(X16,Prob_ProbRunandCrit,0),1))</f>
        <v>0</v>
      </c>
      <c r="T16" s="421">
        <f t="shared" ref="T16:T30" si="17">IF(ISERROR(INDEX(Prob_ProbTotal,MATCH(Y16,Prob_ProbRunandCrit,0),1)),0,INDEX(Prob_ProbTotal,MATCH(Y16,Prob_ProbRunandCrit,0),1))</f>
        <v>0</v>
      </c>
      <c r="U16" s="421">
        <f t="shared" ref="U16:U30" si="18">IF(ISERROR(INDEX(Prob_ProbTotal,MATCH(Z16,Prob_ProbRunandCrit,0),1)),0,INDEX(Prob_ProbTotal,MATCH(Z16,Prob_ProbRunandCrit,0),1))</f>
        <v>0</v>
      </c>
      <c r="V16" s="284">
        <f t="shared" ref="V16:V30" si="19">IF(ISERROR(INDEX(Prob_ProbTotal,MATCH(AA16,Prob_ProbRunandCrit,0),1)),0,INDEX(Prob_ProbTotal,MATCH(AA16,Prob_ProbRunandCrit,0),1))</f>
        <v>0</v>
      </c>
      <c r="W16" s="421"/>
      <c r="X16" t="str">
        <f t="shared" ref="X16:X30" si="20">$B16&amp;ROUND(K16,0)</f>
        <v>101400</v>
      </c>
      <c r="Y16" t="str">
        <f t="shared" ref="Y16:Y30" si="21">$B16&amp;ROUND(L16,0)</f>
        <v>101750</v>
      </c>
      <c r="Z16" t="str">
        <f t="shared" ref="Z16:Z30" si="22">$B16&amp;ROUND(M16,0)</f>
        <v>101750</v>
      </c>
      <c r="AA16" t="str">
        <f t="shared" ref="AA16:AA30" si="23">$B16&amp;ROUND(N16,0)</f>
        <v>1012000</v>
      </c>
    </row>
    <row r="17" spans="2:27">
      <c r="B17" s="126">
        <v>102</v>
      </c>
      <c r="C17" s="42" t="str">
        <f t="shared" si="0"/>
        <v>AA</v>
      </c>
      <c r="D17" s="42" t="str">
        <f t="shared" si="1"/>
        <v>EF-1</v>
      </c>
      <c r="E17" s="648">
        <f t="shared" si="2"/>
        <v>10</v>
      </c>
      <c r="F17" s="649" t="str">
        <f t="shared" si="3"/>
        <v>2 - Receptor 2</v>
      </c>
      <c r="G17" s="42" t="str">
        <f t="shared" si="4"/>
        <v>No</v>
      </c>
      <c r="H17" s="318">
        <f t="shared" si="5"/>
        <v>0</v>
      </c>
      <c r="I17" s="650">
        <f t="shared" si="6"/>
        <v>0</v>
      </c>
      <c r="J17" s="651">
        <f t="shared" si="7"/>
        <v>0</v>
      </c>
      <c r="K17" s="332">
        <f t="shared" si="8"/>
        <v>400</v>
      </c>
      <c r="L17" s="316">
        <f t="shared" si="9"/>
        <v>750</v>
      </c>
      <c r="M17" s="316">
        <f t="shared" si="10"/>
        <v>750</v>
      </c>
      <c r="N17" s="566">
        <f t="shared" si="11"/>
        <v>2000</v>
      </c>
      <c r="O17" s="20" t="str">
        <f t="shared" si="12"/>
        <v>Yes</v>
      </c>
      <c r="P17" s="5" t="str">
        <f t="shared" si="13"/>
        <v>Yes</v>
      </c>
      <c r="Q17" s="5" t="str">
        <f t="shared" si="14"/>
        <v>Yes</v>
      </c>
      <c r="R17" s="21" t="str">
        <f t="shared" si="15"/>
        <v>Yes</v>
      </c>
      <c r="S17" s="283">
        <f t="shared" si="16"/>
        <v>0</v>
      </c>
      <c r="T17" s="421">
        <f t="shared" si="17"/>
        <v>0</v>
      </c>
      <c r="U17" s="421">
        <f t="shared" si="18"/>
        <v>0</v>
      </c>
      <c r="V17" s="284">
        <f t="shared" si="19"/>
        <v>0</v>
      </c>
      <c r="W17" s="421"/>
      <c r="X17" t="str">
        <f t="shared" si="20"/>
        <v>102400</v>
      </c>
      <c r="Y17" t="str">
        <f t="shared" si="21"/>
        <v>102750</v>
      </c>
      <c r="Z17" t="str">
        <f t="shared" si="22"/>
        <v>102750</v>
      </c>
      <c r="AA17" t="str">
        <f t="shared" si="23"/>
        <v>1022000</v>
      </c>
    </row>
    <row r="18" spans="2:27">
      <c r="B18" s="126">
        <v>103</v>
      </c>
      <c r="C18" s="42" t="str">
        <f t="shared" si="0"/>
        <v>AA</v>
      </c>
      <c r="D18" s="42" t="str">
        <f t="shared" si="1"/>
        <v>EF-1</v>
      </c>
      <c r="E18" s="648">
        <f t="shared" si="2"/>
        <v>10</v>
      </c>
      <c r="F18" s="649" t="str">
        <f t="shared" si="3"/>
        <v>3 - Receptor 3</v>
      </c>
      <c r="G18" s="42" t="str">
        <f t="shared" si="4"/>
        <v>No</v>
      </c>
      <c r="H18" s="318">
        <f t="shared" si="5"/>
        <v>0</v>
      </c>
      <c r="I18" s="650">
        <f t="shared" si="6"/>
        <v>0</v>
      </c>
      <c r="J18" s="651">
        <f t="shared" si="7"/>
        <v>0</v>
      </c>
      <c r="K18" s="332">
        <f t="shared" si="8"/>
        <v>400</v>
      </c>
      <c r="L18" s="316">
        <f t="shared" si="9"/>
        <v>750</v>
      </c>
      <c r="M18" s="316">
        <f t="shared" si="10"/>
        <v>750</v>
      </c>
      <c r="N18" s="566">
        <f t="shared" si="11"/>
        <v>2000</v>
      </c>
      <c r="O18" s="20" t="str">
        <f t="shared" si="12"/>
        <v>Yes</v>
      </c>
      <c r="P18" s="5" t="str">
        <f t="shared" si="13"/>
        <v>Yes</v>
      </c>
      <c r="Q18" s="5" t="str">
        <f t="shared" si="14"/>
        <v>Yes</v>
      </c>
      <c r="R18" s="21" t="str">
        <f t="shared" si="15"/>
        <v>Yes</v>
      </c>
      <c r="S18" s="283">
        <f t="shared" si="16"/>
        <v>0</v>
      </c>
      <c r="T18" s="421">
        <f t="shared" si="17"/>
        <v>0</v>
      </c>
      <c r="U18" s="421">
        <f t="shared" si="18"/>
        <v>0</v>
      </c>
      <c r="V18" s="284">
        <f t="shared" si="19"/>
        <v>0</v>
      </c>
      <c r="W18" s="421"/>
      <c r="X18" t="str">
        <f t="shared" si="20"/>
        <v>103400</v>
      </c>
      <c r="Y18" t="str">
        <f t="shared" si="21"/>
        <v>103750</v>
      </c>
      <c r="Z18" t="str">
        <f t="shared" si="22"/>
        <v>103750</v>
      </c>
      <c r="AA18" t="str">
        <f t="shared" si="23"/>
        <v>1032000</v>
      </c>
    </row>
    <row r="19" spans="2:27">
      <c r="B19" s="126">
        <v>104</v>
      </c>
      <c r="C19" s="42" t="str">
        <f t="shared" si="0"/>
        <v>AA</v>
      </c>
      <c r="D19" s="42" t="str">
        <f t="shared" si="1"/>
        <v>EF-1</v>
      </c>
      <c r="E19" s="648">
        <f t="shared" si="2"/>
        <v>10</v>
      </c>
      <c r="F19" s="649" t="str">
        <f t="shared" si="3"/>
        <v>4 - Receptor 4</v>
      </c>
      <c r="G19" s="42" t="str">
        <f t="shared" si="4"/>
        <v>No</v>
      </c>
      <c r="H19" s="318">
        <f t="shared" si="5"/>
        <v>0</v>
      </c>
      <c r="I19" s="650">
        <f t="shared" si="6"/>
        <v>0</v>
      </c>
      <c r="J19" s="651">
        <f t="shared" si="7"/>
        <v>0</v>
      </c>
      <c r="K19" s="332">
        <f t="shared" si="8"/>
        <v>400</v>
      </c>
      <c r="L19" s="316">
        <f t="shared" si="9"/>
        <v>750</v>
      </c>
      <c r="M19" s="316">
        <f t="shared" si="10"/>
        <v>750</v>
      </c>
      <c r="N19" s="566">
        <f t="shared" si="11"/>
        <v>2000</v>
      </c>
      <c r="O19" s="20" t="str">
        <f t="shared" si="12"/>
        <v>Yes</v>
      </c>
      <c r="P19" s="5" t="str">
        <f t="shared" si="13"/>
        <v>Yes</v>
      </c>
      <c r="Q19" s="5" t="str">
        <f t="shared" si="14"/>
        <v>Yes</v>
      </c>
      <c r="R19" s="21" t="str">
        <f t="shared" si="15"/>
        <v>Yes</v>
      </c>
      <c r="S19" s="283">
        <f t="shared" si="16"/>
        <v>0</v>
      </c>
      <c r="T19" s="421">
        <f t="shared" si="17"/>
        <v>0</v>
      </c>
      <c r="U19" s="421">
        <f t="shared" si="18"/>
        <v>0</v>
      </c>
      <c r="V19" s="284">
        <f t="shared" si="19"/>
        <v>0</v>
      </c>
      <c r="W19" s="421"/>
      <c r="X19" t="str">
        <f t="shared" si="20"/>
        <v>104400</v>
      </c>
      <c r="Y19" t="str">
        <f t="shared" si="21"/>
        <v>104750</v>
      </c>
      <c r="Z19" t="str">
        <f t="shared" si="22"/>
        <v>104750</v>
      </c>
      <c r="AA19" t="str">
        <f t="shared" si="23"/>
        <v>1042000</v>
      </c>
    </row>
    <row r="20" spans="2:27">
      <c r="B20" s="126">
        <v>105</v>
      </c>
      <c r="C20" s="42" t="str">
        <f t="shared" si="0"/>
        <v>AA</v>
      </c>
      <c r="D20" s="42" t="str">
        <f t="shared" si="1"/>
        <v>EF-1</v>
      </c>
      <c r="E20" s="648">
        <f t="shared" si="2"/>
        <v>10</v>
      </c>
      <c r="F20" s="649" t="str">
        <f t="shared" si="3"/>
        <v>5 - Receptor 5</v>
      </c>
      <c r="G20" s="42" t="str">
        <f t="shared" si="4"/>
        <v>No</v>
      </c>
      <c r="H20" s="318">
        <f t="shared" si="5"/>
        <v>0</v>
      </c>
      <c r="I20" s="650">
        <f t="shared" si="6"/>
        <v>0</v>
      </c>
      <c r="J20" s="651">
        <f t="shared" si="7"/>
        <v>0</v>
      </c>
      <c r="K20" s="332">
        <f t="shared" si="8"/>
        <v>400</v>
      </c>
      <c r="L20" s="316">
        <f t="shared" si="9"/>
        <v>750</v>
      </c>
      <c r="M20" s="316">
        <f t="shared" si="10"/>
        <v>750</v>
      </c>
      <c r="N20" s="566">
        <f t="shared" si="11"/>
        <v>2000</v>
      </c>
      <c r="O20" s="20" t="str">
        <f t="shared" si="12"/>
        <v>Yes</v>
      </c>
      <c r="P20" s="5" t="str">
        <f t="shared" si="13"/>
        <v>Yes</v>
      </c>
      <c r="Q20" s="5" t="str">
        <f t="shared" si="14"/>
        <v>Yes</v>
      </c>
      <c r="R20" s="21" t="str">
        <f t="shared" si="15"/>
        <v>Yes</v>
      </c>
      <c r="S20" s="283">
        <f t="shared" si="16"/>
        <v>0</v>
      </c>
      <c r="T20" s="421">
        <f t="shared" si="17"/>
        <v>0</v>
      </c>
      <c r="U20" s="421">
        <f t="shared" si="18"/>
        <v>0</v>
      </c>
      <c r="V20" s="284">
        <f t="shared" si="19"/>
        <v>0</v>
      </c>
      <c r="W20" s="421"/>
      <c r="X20" t="str">
        <f t="shared" si="20"/>
        <v>105400</v>
      </c>
      <c r="Y20" t="str">
        <f t="shared" si="21"/>
        <v>105750</v>
      </c>
      <c r="Z20" t="str">
        <f t="shared" si="22"/>
        <v>105750</v>
      </c>
      <c r="AA20" t="str">
        <f t="shared" si="23"/>
        <v>1052000</v>
      </c>
    </row>
    <row r="21" spans="2:27">
      <c r="B21" s="126">
        <v>106</v>
      </c>
      <c r="C21" s="42" t="str">
        <f t="shared" si="0"/>
        <v>AA</v>
      </c>
      <c r="D21" s="42" t="str">
        <f t="shared" si="1"/>
        <v>EF-1</v>
      </c>
      <c r="E21" s="648">
        <f t="shared" si="2"/>
        <v>10</v>
      </c>
      <c r="F21" s="649" t="str">
        <f t="shared" si="3"/>
        <v>6 - Receptor 6</v>
      </c>
      <c r="G21" s="42" t="str">
        <f t="shared" si="4"/>
        <v>No</v>
      </c>
      <c r="H21" s="318">
        <f t="shared" si="5"/>
        <v>0</v>
      </c>
      <c r="I21" s="650">
        <f t="shared" si="6"/>
        <v>0</v>
      </c>
      <c r="J21" s="651">
        <f t="shared" si="7"/>
        <v>0</v>
      </c>
      <c r="K21" s="332">
        <f t="shared" si="8"/>
        <v>400</v>
      </c>
      <c r="L21" s="316">
        <f t="shared" si="9"/>
        <v>750</v>
      </c>
      <c r="M21" s="316">
        <f t="shared" si="10"/>
        <v>750</v>
      </c>
      <c r="N21" s="566">
        <f t="shared" si="11"/>
        <v>2000</v>
      </c>
      <c r="O21" s="20" t="str">
        <f t="shared" si="12"/>
        <v>Yes</v>
      </c>
      <c r="P21" s="5" t="str">
        <f t="shared" si="13"/>
        <v>Yes</v>
      </c>
      <c r="Q21" s="5" t="str">
        <f t="shared" si="14"/>
        <v>Yes</v>
      </c>
      <c r="R21" s="21" t="str">
        <f t="shared" si="15"/>
        <v>Yes</v>
      </c>
      <c r="S21" s="283">
        <f t="shared" si="16"/>
        <v>0</v>
      </c>
      <c r="T21" s="421">
        <f t="shared" si="17"/>
        <v>0</v>
      </c>
      <c r="U21" s="421">
        <f t="shared" si="18"/>
        <v>0</v>
      </c>
      <c r="V21" s="284">
        <f t="shared" si="19"/>
        <v>0</v>
      </c>
      <c r="W21" s="421"/>
      <c r="X21" t="str">
        <f t="shared" si="20"/>
        <v>106400</v>
      </c>
      <c r="Y21" t="str">
        <f t="shared" si="21"/>
        <v>106750</v>
      </c>
      <c r="Z21" t="str">
        <f t="shared" si="22"/>
        <v>106750</v>
      </c>
      <c r="AA21" t="str">
        <f t="shared" si="23"/>
        <v>1062000</v>
      </c>
    </row>
    <row r="22" spans="2:27">
      <c r="B22" s="126">
        <v>107</v>
      </c>
      <c r="C22" s="42" t="str">
        <f t="shared" si="0"/>
        <v>AA</v>
      </c>
      <c r="D22" s="42" t="str">
        <f t="shared" si="1"/>
        <v>EF-1</v>
      </c>
      <c r="E22" s="648">
        <f t="shared" si="2"/>
        <v>10</v>
      </c>
      <c r="F22" s="649" t="str">
        <f t="shared" si="3"/>
        <v>7 - Receptor 7</v>
      </c>
      <c r="G22" s="42" t="str">
        <f t="shared" si="4"/>
        <v>No</v>
      </c>
      <c r="H22" s="318">
        <f t="shared" si="5"/>
        <v>0</v>
      </c>
      <c r="I22" s="650">
        <f t="shared" si="6"/>
        <v>0</v>
      </c>
      <c r="J22" s="651">
        <f t="shared" si="7"/>
        <v>0</v>
      </c>
      <c r="K22" s="332">
        <f t="shared" si="8"/>
        <v>400</v>
      </c>
      <c r="L22" s="316">
        <f t="shared" si="9"/>
        <v>750</v>
      </c>
      <c r="M22" s="316">
        <f t="shared" si="10"/>
        <v>750</v>
      </c>
      <c r="N22" s="566">
        <f t="shared" si="11"/>
        <v>2000</v>
      </c>
      <c r="O22" s="20" t="str">
        <f t="shared" si="12"/>
        <v>Yes</v>
      </c>
      <c r="P22" s="5" t="str">
        <f t="shared" si="13"/>
        <v>Yes</v>
      </c>
      <c r="Q22" s="5" t="str">
        <f t="shared" si="14"/>
        <v>Yes</v>
      </c>
      <c r="R22" s="21" t="str">
        <f t="shared" si="15"/>
        <v>Yes</v>
      </c>
      <c r="S22" s="283">
        <f t="shared" si="16"/>
        <v>0</v>
      </c>
      <c r="T22" s="421">
        <f t="shared" si="17"/>
        <v>0</v>
      </c>
      <c r="U22" s="421">
        <f t="shared" si="18"/>
        <v>0</v>
      </c>
      <c r="V22" s="284">
        <f t="shared" si="19"/>
        <v>0</v>
      </c>
      <c r="W22" s="421"/>
      <c r="X22" t="str">
        <f t="shared" si="20"/>
        <v>107400</v>
      </c>
      <c r="Y22" t="str">
        <f t="shared" si="21"/>
        <v>107750</v>
      </c>
      <c r="Z22" t="str">
        <f t="shared" si="22"/>
        <v>107750</v>
      </c>
      <c r="AA22" t="str">
        <f t="shared" si="23"/>
        <v>1072000</v>
      </c>
    </row>
    <row r="23" spans="2:27">
      <c r="B23" s="126">
        <v>108</v>
      </c>
      <c r="C23" s="42" t="str">
        <f t="shared" si="0"/>
        <v>AA</v>
      </c>
      <c r="D23" s="42" t="str">
        <f t="shared" si="1"/>
        <v>EF-1</v>
      </c>
      <c r="E23" s="648">
        <f t="shared" si="2"/>
        <v>10</v>
      </c>
      <c r="F23" s="649" t="str">
        <f t="shared" si="3"/>
        <v>8 - Receptor 8</v>
      </c>
      <c r="G23" s="42" t="str">
        <f t="shared" si="4"/>
        <v>No</v>
      </c>
      <c r="H23" s="318">
        <f t="shared" si="5"/>
        <v>0</v>
      </c>
      <c r="I23" s="650">
        <f t="shared" si="6"/>
        <v>0</v>
      </c>
      <c r="J23" s="651">
        <f t="shared" si="7"/>
        <v>0</v>
      </c>
      <c r="K23" s="332">
        <f t="shared" si="8"/>
        <v>400</v>
      </c>
      <c r="L23" s="316">
        <f t="shared" si="9"/>
        <v>750</v>
      </c>
      <c r="M23" s="316">
        <f t="shared" si="10"/>
        <v>750</v>
      </c>
      <c r="N23" s="566">
        <f t="shared" si="11"/>
        <v>2000</v>
      </c>
      <c r="O23" s="20" t="str">
        <f t="shared" si="12"/>
        <v>Yes</v>
      </c>
      <c r="P23" s="5" t="str">
        <f t="shared" si="13"/>
        <v>Yes</v>
      </c>
      <c r="Q23" s="5" t="str">
        <f t="shared" si="14"/>
        <v>Yes</v>
      </c>
      <c r="R23" s="21" t="str">
        <f t="shared" si="15"/>
        <v>Yes</v>
      </c>
      <c r="S23" s="283">
        <f t="shared" si="16"/>
        <v>0</v>
      </c>
      <c r="T23" s="421">
        <f t="shared" si="17"/>
        <v>0</v>
      </c>
      <c r="U23" s="421">
        <f t="shared" si="18"/>
        <v>0</v>
      </c>
      <c r="V23" s="284">
        <f t="shared" si="19"/>
        <v>0</v>
      </c>
      <c r="W23" s="421"/>
      <c r="X23" t="str">
        <f t="shared" si="20"/>
        <v>108400</v>
      </c>
      <c r="Y23" t="str">
        <f t="shared" si="21"/>
        <v>108750</v>
      </c>
      <c r="Z23" t="str">
        <f t="shared" si="22"/>
        <v>108750</v>
      </c>
      <c r="AA23" t="str">
        <f t="shared" si="23"/>
        <v>1082000</v>
      </c>
    </row>
    <row r="24" spans="2:27">
      <c r="B24" s="126">
        <v>109</v>
      </c>
      <c r="C24" s="42" t="str">
        <f t="shared" si="0"/>
        <v>AA</v>
      </c>
      <c r="D24" s="42" t="str">
        <f t="shared" si="1"/>
        <v>EF-1</v>
      </c>
      <c r="E24" s="648">
        <f t="shared" si="2"/>
        <v>10</v>
      </c>
      <c r="F24" s="649" t="str">
        <f t="shared" si="3"/>
        <v>9 - Receptor 9</v>
      </c>
      <c r="G24" s="42" t="str">
        <f t="shared" si="4"/>
        <v>No</v>
      </c>
      <c r="H24" s="318">
        <f t="shared" si="5"/>
        <v>0</v>
      </c>
      <c r="I24" s="650">
        <f t="shared" si="6"/>
        <v>0</v>
      </c>
      <c r="J24" s="651">
        <f t="shared" si="7"/>
        <v>0</v>
      </c>
      <c r="K24" s="332">
        <f t="shared" si="8"/>
        <v>400</v>
      </c>
      <c r="L24" s="316">
        <f t="shared" si="9"/>
        <v>750</v>
      </c>
      <c r="M24" s="316">
        <f t="shared" si="10"/>
        <v>750</v>
      </c>
      <c r="N24" s="566">
        <f t="shared" si="11"/>
        <v>2000</v>
      </c>
      <c r="O24" s="20" t="str">
        <f t="shared" si="12"/>
        <v>Yes</v>
      </c>
      <c r="P24" s="5" t="str">
        <f t="shared" si="13"/>
        <v>Yes</v>
      </c>
      <c r="Q24" s="5" t="str">
        <f t="shared" si="14"/>
        <v>Yes</v>
      </c>
      <c r="R24" s="21" t="str">
        <f t="shared" si="15"/>
        <v>Yes</v>
      </c>
      <c r="S24" s="283">
        <f t="shared" si="16"/>
        <v>0</v>
      </c>
      <c r="T24" s="421">
        <f t="shared" si="17"/>
        <v>0</v>
      </c>
      <c r="U24" s="421">
        <f t="shared" si="18"/>
        <v>0</v>
      </c>
      <c r="V24" s="284">
        <f t="shared" si="19"/>
        <v>0</v>
      </c>
      <c r="W24" s="421"/>
      <c r="X24" t="str">
        <f t="shared" si="20"/>
        <v>109400</v>
      </c>
      <c r="Y24" t="str">
        <f t="shared" si="21"/>
        <v>109750</v>
      </c>
      <c r="Z24" t="str">
        <f t="shared" si="22"/>
        <v>109750</v>
      </c>
      <c r="AA24" t="str">
        <f t="shared" si="23"/>
        <v>1092000</v>
      </c>
    </row>
    <row r="25" spans="2:27">
      <c r="B25" s="126">
        <v>110</v>
      </c>
      <c r="C25" s="42" t="str">
        <f t="shared" si="0"/>
        <v>AA</v>
      </c>
      <c r="D25" s="42" t="str">
        <f t="shared" si="1"/>
        <v>EF-1</v>
      </c>
      <c r="E25" s="648">
        <f t="shared" si="2"/>
        <v>10</v>
      </c>
      <c r="F25" s="649" t="str">
        <f t="shared" si="3"/>
        <v>10 - Receptor 10</v>
      </c>
      <c r="G25" s="42" t="str">
        <f t="shared" si="4"/>
        <v>No</v>
      </c>
      <c r="H25" s="318">
        <f t="shared" si="5"/>
        <v>0</v>
      </c>
      <c r="I25" s="650">
        <f t="shared" si="6"/>
        <v>0</v>
      </c>
      <c r="J25" s="651">
        <f t="shared" si="7"/>
        <v>0</v>
      </c>
      <c r="K25" s="332">
        <f t="shared" si="8"/>
        <v>400</v>
      </c>
      <c r="L25" s="316">
        <f t="shared" si="9"/>
        <v>750</v>
      </c>
      <c r="M25" s="316">
        <f t="shared" si="10"/>
        <v>750</v>
      </c>
      <c r="N25" s="566">
        <f t="shared" si="11"/>
        <v>2000</v>
      </c>
      <c r="O25" s="20" t="str">
        <f t="shared" si="12"/>
        <v>Yes</v>
      </c>
      <c r="P25" s="5" t="str">
        <f t="shared" si="13"/>
        <v>Yes</v>
      </c>
      <c r="Q25" s="5" t="str">
        <f t="shared" si="14"/>
        <v>Yes</v>
      </c>
      <c r="R25" s="21" t="str">
        <f t="shared" si="15"/>
        <v>Yes</v>
      </c>
      <c r="S25" s="283">
        <f t="shared" si="16"/>
        <v>0</v>
      </c>
      <c r="T25" s="421">
        <f t="shared" si="17"/>
        <v>0</v>
      </c>
      <c r="U25" s="421">
        <f t="shared" si="18"/>
        <v>0</v>
      </c>
      <c r="V25" s="284">
        <f t="shared" si="19"/>
        <v>0</v>
      </c>
      <c r="W25" s="421"/>
      <c r="X25" t="str">
        <f t="shared" si="20"/>
        <v>110400</v>
      </c>
      <c r="Y25" t="str">
        <f t="shared" si="21"/>
        <v>110750</v>
      </c>
      <c r="Z25" t="str">
        <f t="shared" si="22"/>
        <v>110750</v>
      </c>
      <c r="AA25" t="str">
        <f t="shared" si="23"/>
        <v>1102000</v>
      </c>
    </row>
    <row r="26" spans="2:27">
      <c r="B26" s="126">
        <v>111</v>
      </c>
      <c r="C26" s="42" t="str">
        <f t="shared" si="0"/>
        <v>AA</v>
      </c>
      <c r="D26" s="42" t="str">
        <f t="shared" si="1"/>
        <v>EF-1</v>
      </c>
      <c r="E26" s="648">
        <f t="shared" si="2"/>
        <v>10</v>
      </c>
      <c r="F26" s="649" t="str">
        <f t="shared" si="3"/>
        <v>11 - Receptor 11</v>
      </c>
      <c r="G26" s="42" t="str">
        <f t="shared" si="4"/>
        <v>No</v>
      </c>
      <c r="H26" s="318">
        <f t="shared" si="5"/>
        <v>0</v>
      </c>
      <c r="I26" s="650">
        <f t="shared" si="6"/>
        <v>0</v>
      </c>
      <c r="J26" s="651">
        <f t="shared" si="7"/>
        <v>0</v>
      </c>
      <c r="K26" s="332">
        <f t="shared" si="8"/>
        <v>400</v>
      </c>
      <c r="L26" s="316">
        <f t="shared" si="9"/>
        <v>750</v>
      </c>
      <c r="M26" s="316">
        <f t="shared" si="10"/>
        <v>750</v>
      </c>
      <c r="N26" s="566">
        <f t="shared" si="11"/>
        <v>2000</v>
      </c>
      <c r="O26" s="20" t="str">
        <f t="shared" si="12"/>
        <v>Yes</v>
      </c>
      <c r="P26" s="5" t="str">
        <f t="shared" si="13"/>
        <v>Yes</v>
      </c>
      <c r="Q26" s="5" t="str">
        <f t="shared" si="14"/>
        <v>Yes</v>
      </c>
      <c r="R26" s="21" t="str">
        <f t="shared" si="15"/>
        <v>Yes</v>
      </c>
      <c r="S26" s="283">
        <f t="shared" si="16"/>
        <v>0</v>
      </c>
      <c r="T26" s="421">
        <f t="shared" si="17"/>
        <v>0</v>
      </c>
      <c r="U26" s="421">
        <f t="shared" si="18"/>
        <v>0</v>
      </c>
      <c r="V26" s="284">
        <f t="shared" si="19"/>
        <v>0</v>
      </c>
      <c r="W26" s="421"/>
      <c r="X26" t="str">
        <f t="shared" si="20"/>
        <v>111400</v>
      </c>
      <c r="Y26" t="str">
        <f t="shared" si="21"/>
        <v>111750</v>
      </c>
      <c r="Z26" t="str">
        <f t="shared" si="22"/>
        <v>111750</v>
      </c>
      <c r="AA26" t="str">
        <f t="shared" si="23"/>
        <v>1112000</v>
      </c>
    </row>
    <row r="27" spans="2:27">
      <c r="B27" s="126">
        <v>112</v>
      </c>
      <c r="C27" s="42" t="str">
        <f t="shared" si="0"/>
        <v>AA</v>
      </c>
      <c r="D27" s="42" t="str">
        <f t="shared" si="1"/>
        <v>EF-1</v>
      </c>
      <c r="E27" s="648">
        <f t="shared" si="2"/>
        <v>10</v>
      </c>
      <c r="F27" s="649" t="str">
        <f t="shared" si="3"/>
        <v>12 - Receptor 12</v>
      </c>
      <c r="G27" s="42" t="str">
        <f t="shared" si="4"/>
        <v>No</v>
      </c>
      <c r="H27" s="318">
        <f t="shared" si="5"/>
        <v>0</v>
      </c>
      <c r="I27" s="650">
        <f t="shared" si="6"/>
        <v>0</v>
      </c>
      <c r="J27" s="651">
        <f t="shared" si="7"/>
        <v>0</v>
      </c>
      <c r="K27" s="332">
        <f t="shared" si="8"/>
        <v>400</v>
      </c>
      <c r="L27" s="316">
        <f t="shared" si="9"/>
        <v>750</v>
      </c>
      <c r="M27" s="316">
        <f t="shared" si="10"/>
        <v>750</v>
      </c>
      <c r="N27" s="566">
        <f t="shared" si="11"/>
        <v>2000</v>
      </c>
      <c r="O27" s="20" t="str">
        <f t="shared" si="12"/>
        <v>Yes</v>
      </c>
      <c r="P27" s="5" t="str">
        <f t="shared" si="13"/>
        <v>Yes</v>
      </c>
      <c r="Q27" s="5" t="str">
        <f t="shared" si="14"/>
        <v>Yes</v>
      </c>
      <c r="R27" s="21" t="str">
        <f t="shared" si="15"/>
        <v>Yes</v>
      </c>
      <c r="S27" s="283">
        <f t="shared" si="16"/>
        <v>0</v>
      </c>
      <c r="T27" s="421">
        <f t="shared" si="17"/>
        <v>0</v>
      </c>
      <c r="U27" s="421">
        <f t="shared" si="18"/>
        <v>0</v>
      </c>
      <c r="V27" s="284">
        <f t="shared" si="19"/>
        <v>0</v>
      </c>
      <c r="W27" s="421"/>
      <c r="X27" t="str">
        <f t="shared" si="20"/>
        <v>112400</v>
      </c>
      <c r="Y27" t="str">
        <f t="shared" si="21"/>
        <v>112750</v>
      </c>
      <c r="Z27" t="str">
        <f t="shared" si="22"/>
        <v>112750</v>
      </c>
      <c r="AA27" t="str">
        <f t="shared" si="23"/>
        <v>1122000</v>
      </c>
    </row>
    <row r="28" spans="2:27">
      <c r="B28" s="126">
        <v>113</v>
      </c>
      <c r="C28" s="42" t="str">
        <f t="shared" si="0"/>
        <v>AA</v>
      </c>
      <c r="D28" s="42" t="str">
        <f t="shared" si="1"/>
        <v>EF-1</v>
      </c>
      <c r="E28" s="648">
        <f t="shared" si="2"/>
        <v>10</v>
      </c>
      <c r="F28" s="649" t="str">
        <f t="shared" si="3"/>
        <v>13 - Receptor 13</v>
      </c>
      <c r="G28" s="42" t="str">
        <f t="shared" si="4"/>
        <v>No</v>
      </c>
      <c r="H28" s="318">
        <f t="shared" si="5"/>
        <v>0</v>
      </c>
      <c r="I28" s="650">
        <f t="shared" si="6"/>
        <v>0</v>
      </c>
      <c r="J28" s="651">
        <f t="shared" si="7"/>
        <v>0</v>
      </c>
      <c r="K28" s="332">
        <f t="shared" si="8"/>
        <v>400</v>
      </c>
      <c r="L28" s="316">
        <f t="shared" si="9"/>
        <v>750</v>
      </c>
      <c r="M28" s="316">
        <f t="shared" si="10"/>
        <v>750</v>
      </c>
      <c r="N28" s="566">
        <f t="shared" si="11"/>
        <v>2000</v>
      </c>
      <c r="O28" s="20" t="str">
        <f t="shared" si="12"/>
        <v>Yes</v>
      </c>
      <c r="P28" s="5" t="str">
        <f t="shared" si="13"/>
        <v>Yes</v>
      </c>
      <c r="Q28" s="5" t="str">
        <f t="shared" si="14"/>
        <v>Yes</v>
      </c>
      <c r="R28" s="21" t="str">
        <f t="shared" si="15"/>
        <v>Yes</v>
      </c>
      <c r="S28" s="283">
        <f t="shared" si="16"/>
        <v>0</v>
      </c>
      <c r="T28" s="421">
        <f t="shared" si="17"/>
        <v>0</v>
      </c>
      <c r="U28" s="421">
        <f t="shared" si="18"/>
        <v>0</v>
      </c>
      <c r="V28" s="284">
        <f t="shared" si="19"/>
        <v>0</v>
      </c>
      <c r="W28" s="421"/>
      <c r="X28" t="str">
        <f t="shared" si="20"/>
        <v>113400</v>
      </c>
      <c r="Y28" t="str">
        <f t="shared" si="21"/>
        <v>113750</v>
      </c>
      <c r="Z28" t="str">
        <f t="shared" si="22"/>
        <v>113750</v>
      </c>
      <c r="AA28" t="str">
        <f t="shared" si="23"/>
        <v>1132000</v>
      </c>
    </row>
    <row r="29" spans="2:27">
      <c r="B29" s="126">
        <v>114</v>
      </c>
      <c r="C29" s="42" t="str">
        <f t="shared" si="0"/>
        <v>AA</v>
      </c>
      <c r="D29" s="42" t="str">
        <f t="shared" si="1"/>
        <v>EF-1</v>
      </c>
      <c r="E29" s="648">
        <f t="shared" si="2"/>
        <v>10</v>
      </c>
      <c r="F29" s="649" t="str">
        <f t="shared" si="3"/>
        <v>14 - Receptor 14</v>
      </c>
      <c r="G29" s="42" t="str">
        <f t="shared" si="4"/>
        <v>No</v>
      </c>
      <c r="H29" s="318">
        <f t="shared" si="5"/>
        <v>0</v>
      </c>
      <c r="I29" s="650">
        <f t="shared" si="6"/>
        <v>0</v>
      </c>
      <c r="J29" s="651">
        <f t="shared" si="7"/>
        <v>0</v>
      </c>
      <c r="K29" s="332">
        <f t="shared" si="8"/>
        <v>400</v>
      </c>
      <c r="L29" s="316">
        <f t="shared" si="9"/>
        <v>750</v>
      </c>
      <c r="M29" s="316">
        <f t="shared" si="10"/>
        <v>750</v>
      </c>
      <c r="N29" s="566">
        <f t="shared" si="11"/>
        <v>2000</v>
      </c>
      <c r="O29" s="20" t="str">
        <f t="shared" si="12"/>
        <v>Yes</v>
      </c>
      <c r="P29" s="5" t="str">
        <f t="shared" si="13"/>
        <v>Yes</v>
      </c>
      <c r="Q29" s="5" t="str">
        <f t="shared" si="14"/>
        <v>Yes</v>
      </c>
      <c r="R29" s="21" t="str">
        <f t="shared" si="15"/>
        <v>Yes</v>
      </c>
      <c r="S29" s="283">
        <f t="shared" si="16"/>
        <v>0</v>
      </c>
      <c r="T29" s="421">
        <f t="shared" si="17"/>
        <v>0</v>
      </c>
      <c r="U29" s="421">
        <f t="shared" si="18"/>
        <v>0</v>
      </c>
      <c r="V29" s="284">
        <f t="shared" si="19"/>
        <v>0</v>
      </c>
      <c r="W29" s="421"/>
      <c r="X29" t="str">
        <f t="shared" si="20"/>
        <v>114400</v>
      </c>
      <c r="Y29" t="str">
        <f t="shared" si="21"/>
        <v>114750</v>
      </c>
      <c r="Z29" t="str">
        <f t="shared" si="22"/>
        <v>114750</v>
      </c>
      <c r="AA29" t="str">
        <f t="shared" si="23"/>
        <v>1142000</v>
      </c>
    </row>
    <row r="30" spans="2:27">
      <c r="B30" s="126">
        <v>115</v>
      </c>
      <c r="C30" s="42" t="str">
        <f t="shared" si="0"/>
        <v>AA</v>
      </c>
      <c r="D30" s="42" t="str">
        <f t="shared" si="1"/>
        <v>EF-1</v>
      </c>
      <c r="E30" s="648">
        <f t="shared" si="2"/>
        <v>10</v>
      </c>
      <c r="F30" s="649" t="str">
        <f t="shared" si="3"/>
        <v>15 - Receptor 15</v>
      </c>
      <c r="G30" s="42" t="str">
        <f t="shared" si="4"/>
        <v>No</v>
      </c>
      <c r="H30" s="318">
        <f t="shared" si="5"/>
        <v>0</v>
      </c>
      <c r="I30" s="650">
        <f t="shared" si="6"/>
        <v>0</v>
      </c>
      <c r="J30" s="651">
        <f t="shared" si="7"/>
        <v>0</v>
      </c>
      <c r="K30" s="332">
        <f t="shared" si="8"/>
        <v>400</v>
      </c>
      <c r="L30" s="316">
        <f t="shared" si="9"/>
        <v>750</v>
      </c>
      <c r="M30" s="316">
        <f t="shared" si="10"/>
        <v>750</v>
      </c>
      <c r="N30" s="566">
        <f t="shared" si="11"/>
        <v>2000</v>
      </c>
      <c r="O30" s="20" t="str">
        <f t="shared" si="12"/>
        <v>Yes</v>
      </c>
      <c r="P30" s="5" t="str">
        <f t="shared" si="13"/>
        <v>Yes</v>
      </c>
      <c r="Q30" s="5" t="str">
        <f t="shared" si="14"/>
        <v>Yes</v>
      </c>
      <c r="R30" s="21" t="str">
        <f t="shared" si="15"/>
        <v>Yes</v>
      </c>
      <c r="S30" s="283">
        <f t="shared" si="16"/>
        <v>0</v>
      </c>
      <c r="T30" s="421">
        <f t="shared" si="17"/>
        <v>0</v>
      </c>
      <c r="U30" s="421">
        <f t="shared" si="18"/>
        <v>0</v>
      </c>
      <c r="V30" s="284">
        <f t="shared" si="19"/>
        <v>0</v>
      </c>
      <c r="W30" s="421"/>
      <c r="X30" t="str">
        <f t="shared" si="20"/>
        <v>115400</v>
      </c>
      <c r="Y30" t="str">
        <f t="shared" si="21"/>
        <v>115750</v>
      </c>
      <c r="Z30" t="str">
        <f t="shared" si="22"/>
        <v>115750</v>
      </c>
      <c r="AA30" t="str">
        <f t="shared" si="23"/>
        <v>1152000</v>
      </c>
    </row>
    <row r="31" spans="2:27">
      <c r="B31" s="126"/>
      <c r="C31" s="42"/>
      <c r="D31" s="42"/>
      <c r="E31" s="648"/>
      <c r="F31" s="649"/>
      <c r="G31" s="42"/>
      <c r="H31" s="318"/>
      <c r="I31" s="650"/>
      <c r="J31" s="651"/>
      <c r="K31" s="332"/>
      <c r="L31" s="316"/>
      <c r="M31" s="316"/>
      <c r="N31" s="566"/>
      <c r="O31" s="20"/>
      <c r="P31" s="5"/>
      <c r="Q31" s="5"/>
      <c r="R31" s="21"/>
      <c r="S31" s="283"/>
      <c r="T31" s="421"/>
      <c r="U31" s="421"/>
      <c r="V31" s="284"/>
      <c r="W31" s="421"/>
    </row>
    <row r="32" spans="2:27">
      <c r="B32" s="768" t="str">
        <f>INDEX(SourceDescription,MATCH($C34,SourceNumber,0),1,1)</f>
        <v>Fume Hood Exhaust 1</v>
      </c>
      <c r="E32" s="648"/>
      <c r="F32" s="649"/>
      <c r="G32" s="42"/>
      <c r="H32" s="318"/>
      <c r="I32" s="650"/>
      <c r="J32" s="651"/>
      <c r="K32" s="332"/>
      <c r="L32" s="316"/>
      <c r="M32" s="316"/>
      <c r="N32" s="566"/>
      <c r="O32" s="20"/>
      <c r="P32" s="5"/>
      <c r="Q32" s="5"/>
      <c r="R32" s="21"/>
      <c r="S32" s="283"/>
      <c r="T32" s="421"/>
      <c r="U32" s="421"/>
      <c r="V32" s="284"/>
      <c r="W32" s="421"/>
    </row>
    <row r="33" spans="2:27">
      <c r="B33" s="767" t="str">
        <f>"("&amp;ROUND(INDEX(SourceVolumeFlowRateEnglish,MATCH($C34,SourceNumber,0),1,1),0)&amp;" cfm @ "&amp;ROUND(INDEX(SourceExitVelocityEnglish,MATCH($C34,SourceNumber,0),1,1),0)&amp;" fpm)"</f>
        <v>(1000 cfm @ 2865 fpm)</v>
      </c>
      <c r="K33" s="33"/>
      <c r="N33" s="37"/>
      <c r="O33" s="33"/>
      <c r="R33" s="37"/>
      <c r="S33" s="283"/>
      <c r="T33" s="421"/>
      <c r="U33" s="421"/>
      <c r="V33" s="284"/>
      <c r="W33" s="421"/>
    </row>
    <row r="34" spans="2:27">
      <c r="B34" s="256">
        <f t="shared" ref="B34:B48" si="24">B16</f>
        <v>101</v>
      </c>
      <c r="C34" s="42" t="str">
        <f t="shared" ref="C34:C48" si="25">INDEX(TPSourceLetter,MATCH($B34,TPRunNumber,0),1,1)</f>
        <v>AA</v>
      </c>
      <c r="D34" s="42" t="str">
        <f t="shared" ref="D34:D48" si="26">INDEX(SourceID,MATCH($C34,SourceNumber,0),1,1)</f>
        <v>EF-1</v>
      </c>
      <c r="E34" s="648">
        <f t="shared" ref="E34:E48" si="27">INDEX(TPSourceHeight,MATCH($B34,TPRunNumber,0),1,1)</f>
        <v>10</v>
      </c>
      <c r="F34" s="649" t="str">
        <f t="shared" ref="F34:F48" si="28">INDEX(TPReceptorID1,MATCH($B34,TPRunNumber,0),1,1)&amp;INDEX(TPReceptorID2,MATCH($B34,TPRunNumber,0),1,1)</f>
        <v>1 - Receptor 1</v>
      </c>
      <c r="G34" s="42" t="str">
        <f t="shared" ref="G34:G48" si="29">INDEX(TPAirIntakeOperating,MATCH($B34,TPRunNumber,0),1,1)</f>
        <v>No</v>
      </c>
      <c r="H34" s="318">
        <f t="shared" ref="H34:H48" si="30">INDEX(TPWWD,MATCH($B34,TPRunNumber,0),1,1)</f>
        <v>0</v>
      </c>
      <c r="I34" s="650">
        <f t="shared" ref="I34:I48" si="31">INDEX(TPWWS,MATCH($B34,TPRunNumber,0),1,1)</f>
        <v>0</v>
      </c>
      <c r="J34" s="651">
        <f t="shared" ref="J34:J48" si="32">INDEX(TPMaxCm,MATCH($B34,TPRunNumber,0),1,1)</f>
        <v>0</v>
      </c>
      <c r="K34" s="332">
        <f t="shared" ref="K34:N48" si="33">K16/2</f>
        <v>200</v>
      </c>
      <c r="L34" s="316">
        <f t="shared" si="33"/>
        <v>375</v>
      </c>
      <c r="M34" s="316">
        <f t="shared" si="33"/>
        <v>375</v>
      </c>
      <c r="N34" s="566">
        <f t="shared" si="33"/>
        <v>1000</v>
      </c>
      <c r="O34" s="20" t="str">
        <f t="shared" ref="O34:O48" si="34">IF(ISNUMBER(J34),(IF(J34&gt;K34,"No","Yes")),"")</f>
        <v>Yes</v>
      </c>
      <c r="P34" s="5" t="str">
        <f t="shared" ref="P34:P48" si="35">IF(ISNUMBER(J34),(IF(J34&gt;L34,"No","Yes")),"")</f>
        <v>Yes</v>
      </c>
      <c r="Q34" s="5" t="str">
        <f t="shared" ref="Q34:Q48" si="36">IF(ISNUMBER(J34),(IF(J34&gt;M34,"No","Yes")),"")</f>
        <v>Yes</v>
      </c>
      <c r="R34" s="21" t="str">
        <f t="shared" ref="R34:R48" si="37">IF(ISNUMBER(J34),(IF(J34&gt;N34,"No","Yes")),"")</f>
        <v>Yes</v>
      </c>
      <c r="S34" s="283">
        <f t="shared" ref="S34:S48" si="38">IF(ISERROR(INDEX(Prob_ProbTotal,MATCH(X34,Prob_ProbRunandCrit,0),1)),0,INDEX(Prob_ProbTotal,MATCH(X34,Prob_ProbRunandCrit,0),1))</f>
        <v>0</v>
      </c>
      <c r="T34" s="421">
        <f t="shared" ref="T34:T48" si="39">IF(ISERROR(INDEX(Prob_ProbTotal,MATCH(Y34,Prob_ProbRunandCrit,0),1)),0,INDEX(Prob_ProbTotal,MATCH(Y34,Prob_ProbRunandCrit,0),1))</f>
        <v>0</v>
      </c>
      <c r="U34" s="421">
        <f t="shared" ref="U34:U48" si="40">IF(ISERROR(INDEX(Prob_ProbTotal,MATCH(Z34,Prob_ProbRunandCrit,0),1)),0,INDEX(Prob_ProbTotal,MATCH(Z34,Prob_ProbRunandCrit,0),1))</f>
        <v>0</v>
      </c>
      <c r="V34" s="284">
        <f t="shared" ref="V34:V48" si="41">IF(ISERROR(INDEX(Prob_ProbTotal,MATCH(AA34,Prob_ProbRunandCrit,0),1)),0,INDEX(Prob_ProbTotal,MATCH(AA34,Prob_ProbRunandCrit,0),1))</f>
        <v>0</v>
      </c>
      <c r="W34" s="421"/>
      <c r="X34" t="str">
        <f t="shared" ref="X34:X48" si="42">$B34&amp;ROUND(K34,0)</f>
        <v>101200</v>
      </c>
      <c r="Y34" t="str">
        <f t="shared" ref="Y34:Y48" si="43">$B34&amp;ROUND(L34,0)</f>
        <v>101375</v>
      </c>
      <c r="Z34" t="str">
        <f t="shared" ref="Z34:Z48" si="44">$B34&amp;ROUND(M34,0)</f>
        <v>101375</v>
      </c>
      <c r="AA34" t="str">
        <f t="shared" ref="AA34:AA48" si="45">$B34&amp;ROUND(N34,0)</f>
        <v>1011000</v>
      </c>
    </row>
    <row r="35" spans="2:27">
      <c r="B35" s="256">
        <f t="shared" si="24"/>
        <v>102</v>
      </c>
      <c r="C35" s="42" t="str">
        <f t="shared" si="25"/>
        <v>AA</v>
      </c>
      <c r="D35" s="42" t="str">
        <f t="shared" si="26"/>
        <v>EF-1</v>
      </c>
      <c r="E35" s="648">
        <f t="shared" si="27"/>
        <v>10</v>
      </c>
      <c r="F35" s="649" t="str">
        <f t="shared" si="28"/>
        <v>2 - Receptor 2</v>
      </c>
      <c r="G35" s="42" t="str">
        <f t="shared" si="29"/>
        <v>No</v>
      </c>
      <c r="H35" s="318">
        <f t="shared" si="30"/>
        <v>0</v>
      </c>
      <c r="I35" s="650">
        <f t="shared" si="31"/>
        <v>0</v>
      </c>
      <c r="J35" s="651">
        <f t="shared" si="32"/>
        <v>0</v>
      </c>
      <c r="K35" s="332">
        <f t="shared" si="33"/>
        <v>200</v>
      </c>
      <c r="L35" s="316">
        <f t="shared" si="33"/>
        <v>375</v>
      </c>
      <c r="M35" s="316">
        <f t="shared" si="33"/>
        <v>375</v>
      </c>
      <c r="N35" s="566">
        <f t="shared" si="33"/>
        <v>1000</v>
      </c>
      <c r="O35" s="20" t="str">
        <f t="shared" si="34"/>
        <v>Yes</v>
      </c>
      <c r="P35" s="5" t="str">
        <f t="shared" si="35"/>
        <v>Yes</v>
      </c>
      <c r="Q35" s="5" t="str">
        <f t="shared" si="36"/>
        <v>Yes</v>
      </c>
      <c r="R35" s="21" t="str">
        <f t="shared" si="37"/>
        <v>Yes</v>
      </c>
      <c r="S35" s="283">
        <f t="shared" si="38"/>
        <v>0</v>
      </c>
      <c r="T35" s="421">
        <f t="shared" si="39"/>
        <v>0</v>
      </c>
      <c r="U35" s="421">
        <f t="shared" si="40"/>
        <v>0</v>
      </c>
      <c r="V35" s="284">
        <f t="shared" si="41"/>
        <v>0</v>
      </c>
      <c r="W35" s="421"/>
      <c r="X35" t="str">
        <f t="shared" si="42"/>
        <v>102200</v>
      </c>
      <c r="Y35" t="str">
        <f t="shared" si="43"/>
        <v>102375</v>
      </c>
      <c r="Z35" t="str">
        <f t="shared" si="44"/>
        <v>102375</v>
      </c>
      <c r="AA35" t="str">
        <f t="shared" si="45"/>
        <v>1021000</v>
      </c>
    </row>
    <row r="36" spans="2:27">
      <c r="B36" s="256">
        <f t="shared" si="24"/>
        <v>103</v>
      </c>
      <c r="C36" s="42" t="str">
        <f t="shared" si="25"/>
        <v>AA</v>
      </c>
      <c r="D36" s="42" t="str">
        <f t="shared" si="26"/>
        <v>EF-1</v>
      </c>
      <c r="E36" s="648">
        <f t="shared" si="27"/>
        <v>10</v>
      </c>
      <c r="F36" s="649" t="str">
        <f t="shared" si="28"/>
        <v>3 - Receptor 3</v>
      </c>
      <c r="G36" s="42" t="str">
        <f t="shared" si="29"/>
        <v>No</v>
      </c>
      <c r="H36" s="318">
        <f t="shared" si="30"/>
        <v>0</v>
      </c>
      <c r="I36" s="650">
        <f t="shared" si="31"/>
        <v>0</v>
      </c>
      <c r="J36" s="651">
        <f t="shared" si="32"/>
        <v>0</v>
      </c>
      <c r="K36" s="332">
        <f t="shared" si="33"/>
        <v>200</v>
      </c>
      <c r="L36" s="316">
        <f t="shared" si="33"/>
        <v>375</v>
      </c>
      <c r="M36" s="316">
        <f t="shared" si="33"/>
        <v>375</v>
      </c>
      <c r="N36" s="566">
        <f t="shared" si="33"/>
        <v>1000</v>
      </c>
      <c r="O36" s="20" t="str">
        <f t="shared" si="34"/>
        <v>Yes</v>
      </c>
      <c r="P36" s="5" t="str">
        <f t="shared" si="35"/>
        <v>Yes</v>
      </c>
      <c r="Q36" s="5" t="str">
        <f t="shared" si="36"/>
        <v>Yes</v>
      </c>
      <c r="R36" s="21" t="str">
        <f t="shared" si="37"/>
        <v>Yes</v>
      </c>
      <c r="S36" s="283">
        <f t="shared" si="38"/>
        <v>0</v>
      </c>
      <c r="T36" s="421">
        <f t="shared" si="39"/>
        <v>0</v>
      </c>
      <c r="U36" s="421">
        <f t="shared" si="40"/>
        <v>0</v>
      </c>
      <c r="V36" s="284">
        <f t="shared" si="41"/>
        <v>0</v>
      </c>
      <c r="W36" s="421"/>
      <c r="X36" t="str">
        <f t="shared" si="42"/>
        <v>103200</v>
      </c>
      <c r="Y36" t="str">
        <f t="shared" si="43"/>
        <v>103375</v>
      </c>
      <c r="Z36" t="str">
        <f t="shared" si="44"/>
        <v>103375</v>
      </c>
      <c r="AA36" t="str">
        <f t="shared" si="45"/>
        <v>1031000</v>
      </c>
    </row>
    <row r="37" spans="2:27">
      <c r="B37" s="256">
        <f t="shared" si="24"/>
        <v>104</v>
      </c>
      <c r="C37" s="42" t="str">
        <f t="shared" si="25"/>
        <v>AA</v>
      </c>
      <c r="D37" s="42" t="str">
        <f t="shared" si="26"/>
        <v>EF-1</v>
      </c>
      <c r="E37" s="648">
        <f t="shared" si="27"/>
        <v>10</v>
      </c>
      <c r="F37" s="649" t="str">
        <f t="shared" si="28"/>
        <v>4 - Receptor 4</v>
      </c>
      <c r="G37" s="42" t="str">
        <f t="shared" si="29"/>
        <v>No</v>
      </c>
      <c r="H37" s="318">
        <f t="shared" si="30"/>
        <v>0</v>
      </c>
      <c r="I37" s="650">
        <f t="shared" si="31"/>
        <v>0</v>
      </c>
      <c r="J37" s="651">
        <f t="shared" si="32"/>
        <v>0</v>
      </c>
      <c r="K37" s="332">
        <f t="shared" si="33"/>
        <v>200</v>
      </c>
      <c r="L37" s="316">
        <f t="shared" si="33"/>
        <v>375</v>
      </c>
      <c r="M37" s="316">
        <f t="shared" si="33"/>
        <v>375</v>
      </c>
      <c r="N37" s="566">
        <f t="shared" si="33"/>
        <v>1000</v>
      </c>
      <c r="O37" s="20" t="str">
        <f t="shared" si="34"/>
        <v>Yes</v>
      </c>
      <c r="P37" s="5" t="str">
        <f t="shared" si="35"/>
        <v>Yes</v>
      </c>
      <c r="Q37" s="5" t="str">
        <f t="shared" si="36"/>
        <v>Yes</v>
      </c>
      <c r="R37" s="21" t="str">
        <f t="shared" si="37"/>
        <v>Yes</v>
      </c>
      <c r="S37" s="283">
        <f t="shared" si="38"/>
        <v>0</v>
      </c>
      <c r="T37" s="421">
        <f t="shared" si="39"/>
        <v>0</v>
      </c>
      <c r="U37" s="421">
        <f t="shared" si="40"/>
        <v>0</v>
      </c>
      <c r="V37" s="284">
        <f t="shared" si="41"/>
        <v>0</v>
      </c>
      <c r="W37" s="421"/>
      <c r="X37" t="str">
        <f t="shared" si="42"/>
        <v>104200</v>
      </c>
      <c r="Y37" t="str">
        <f t="shared" si="43"/>
        <v>104375</v>
      </c>
      <c r="Z37" t="str">
        <f t="shared" si="44"/>
        <v>104375</v>
      </c>
      <c r="AA37" t="str">
        <f t="shared" si="45"/>
        <v>1041000</v>
      </c>
    </row>
    <row r="38" spans="2:27">
      <c r="B38" s="256">
        <f t="shared" si="24"/>
        <v>105</v>
      </c>
      <c r="C38" s="42" t="str">
        <f t="shared" si="25"/>
        <v>AA</v>
      </c>
      <c r="D38" s="42" t="str">
        <f t="shared" si="26"/>
        <v>EF-1</v>
      </c>
      <c r="E38" s="648">
        <f t="shared" si="27"/>
        <v>10</v>
      </c>
      <c r="F38" s="649" t="str">
        <f t="shared" si="28"/>
        <v>5 - Receptor 5</v>
      </c>
      <c r="G38" s="42" t="str">
        <f t="shared" si="29"/>
        <v>No</v>
      </c>
      <c r="H38" s="318">
        <f t="shared" si="30"/>
        <v>0</v>
      </c>
      <c r="I38" s="650">
        <f t="shared" si="31"/>
        <v>0</v>
      </c>
      <c r="J38" s="651">
        <f t="shared" si="32"/>
        <v>0</v>
      </c>
      <c r="K38" s="332">
        <f t="shared" si="33"/>
        <v>200</v>
      </c>
      <c r="L38" s="316">
        <f t="shared" si="33"/>
        <v>375</v>
      </c>
      <c r="M38" s="316">
        <f t="shared" si="33"/>
        <v>375</v>
      </c>
      <c r="N38" s="566">
        <f t="shared" si="33"/>
        <v>1000</v>
      </c>
      <c r="O38" s="20" t="str">
        <f t="shared" si="34"/>
        <v>Yes</v>
      </c>
      <c r="P38" s="5" t="str">
        <f t="shared" si="35"/>
        <v>Yes</v>
      </c>
      <c r="Q38" s="5" t="str">
        <f t="shared" si="36"/>
        <v>Yes</v>
      </c>
      <c r="R38" s="21" t="str">
        <f t="shared" si="37"/>
        <v>Yes</v>
      </c>
      <c r="S38" s="283">
        <f t="shared" si="38"/>
        <v>0</v>
      </c>
      <c r="T38" s="421">
        <f t="shared" si="39"/>
        <v>0</v>
      </c>
      <c r="U38" s="421">
        <f t="shared" si="40"/>
        <v>0</v>
      </c>
      <c r="V38" s="284">
        <f t="shared" si="41"/>
        <v>0</v>
      </c>
      <c r="W38" s="421"/>
      <c r="X38" t="str">
        <f t="shared" si="42"/>
        <v>105200</v>
      </c>
      <c r="Y38" t="str">
        <f t="shared" si="43"/>
        <v>105375</v>
      </c>
      <c r="Z38" t="str">
        <f t="shared" si="44"/>
        <v>105375</v>
      </c>
      <c r="AA38" t="str">
        <f t="shared" si="45"/>
        <v>1051000</v>
      </c>
    </row>
    <row r="39" spans="2:27">
      <c r="B39" s="256">
        <f t="shared" si="24"/>
        <v>106</v>
      </c>
      <c r="C39" s="42" t="str">
        <f t="shared" si="25"/>
        <v>AA</v>
      </c>
      <c r="D39" s="42" t="str">
        <f t="shared" si="26"/>
        <v>EF-1</v>
      </c>
      <c r="E39" s="648">
        <f t="shared" si="27"/>
        <v>10</v>
      </c>
      <c r="F39" s="649" t="str">
        <f t="shared" si="28"/>
        <v>6 - Receptor 6</v>
      </c>
      <c r="G39" s="42" t="str">
        <f t="shared" si="29"/>
        <v>No</v>
      </c>
      <c r="H39" s="318">
        <f t="shared" si="30"/>
        <v>0</v>
      </c>
      <c r="I39" s="650">
        <f t="shared" si="31"/>
        <v>0</v>
      </c>
      <c r="J39" s="651">
        <f t="shared" si="32"/>
        <v>0</v>
      </c>
      <c r="K39" s="332">
        <f t="shared" si="33"/>
        <v>200</v>
      </c>
      <c r="L39" s="316">
        <f t="shared" si="33"/>
        <v>375</v>
      </c>
      <c r="M39" s="316">
        <f t="shared" si="33"/>
        <v>375</v>
      </c>
      <c r="N39" s="566">
        <f t="shared" si="33"/>
        <v>1000</v>
      </c>
      <c r="O39" s="20" t="str">
        <f t="shared" si="34"/>
        <v>Yes</v>
      </c>
      <c r="P39" s="5" t="str">
        <f t="shared" si="35"/>
        <v>Yes</v>
      </c>
      <c r="Q39" s="5" t="str">
        <f t="shared" si="36"/>
        <v>Yes</v>
      </c>
      <c r="R39" s="21" t="str">
        <f t="shared" si="37"/>
        <v>Yes</v>
      </c>
      <c r="S39" s="283">
        <f t="shared" si="38"/>
        <v>0</v>
      </c>
      <c r="T39" s="421">
        <f t="shared" si="39"/>
        <v>0</v>
      </c>
      <c r="U39" s="421">
        <f t="shared" si="40"/>
        <v>0</v>
      </c>
      <c r="V39" s="284">
        <f t="shared" si="41"/>
        <v>0</v>
      </c>
      <c r="W39" s="421"/>
      <c r="X39" t="str">
        <f t="shared" si="42"/>
        <v>106200</v>
      </c>
      <c r="Y39" t="str">
        <f t="shared" si="43"/>
        <v>106375</v>
      </c>
      <c r="Z39" t="str">
        <f t="shared" si="44"/>
        <v>106375</v>
      </c>
      <c r="AA39" t="str">
        <f t="shared" si="45"/>
        <v>1061000</v>
      </c>
    </row>
    <row r="40" spans="2:27">
      <c r="B40" s="256">
        <f t="shared" si="24"/>
        <v>107</v>
      </c>
      <c r="C40" s="42" t="str">
        <f t="shared" si="25"/>
        <v>AA</v>
      </c>
      <c r="D40" s="42" t="str">
        <f t="shared" si="26"/>
        <v>EF-1</v>
      </c>
      <c r="E40" s="648">
        <f t="shared" si="27"/>
        <v>10</v>
      </c>
      <c r="F40" s="649" t="str">
        <f t="shared" si="28"/>
        <v>7 - Receptor 7</v>
      </c>
      <c r="G40" s="42" t="str">
        <f t="shared" si="29"/>
        <v>No</v>
      </c>
      <c r="H40" s="318">
        <f t="shared" si="30"/>
        <v>0</v>
      </c>
      <c r="I40" s="650">
        <f t="shared" si="31"/>
        <v>0</v>
      </c>
      <c r="J40" s="651">
        <f t="shared" si="32"/>
        <v>0</v>
      </c>
      <c r="K40" s="332">
        <f t="shared" si="33"/>
        <v>200</v>
      </c>
      <c r="L40" s="316">
        <f t="shared" si="33"/>
        <v>375</v>
      </c>
      <c r="M40" s="316">
        <f t="shared" si="33"/>
        <v>375</v>
      </c>
      <c r="N40" s="566">
        <f t="shared" si="33"/>
        <v>1000</v>
      </c>
      <c r="O40" s="20" t="str">
        <f t="shared" si="34"/>
        <v>Yes</v>
      </c>
      <c r="P40" s="5" t="str">
        <f t="shared" si="35"/>
        <v>Yes</v>
      </c>
      <c r="Q40" s="5" t="str">
        <f t="shared" si="36"/>
        <v>Yes</v>
      </c>
      <c r="R40" s="21" t="str">
        <f t="shared" si="37"/>
        <v>Yes</v>
      </c>
      <c r="S40" s="283">
        <f t="shared" si="38"/>
        <v>0</v>
      </c>
      <c r="T40" s="421">
        <f t="shared" si="39"/>
        <v>0</v>
      </c>
      <c r="U40" s="421">
        <f t="shared" si="40"/>
        <v>0</v>
      </c>
      <c r="V40" s="284">
        <f t="shared" si="41"/>
        <v>0</v>
      </c>
      <c r="W40" s="421"/>
      <c r="X40" t="str">
        <f t="shared" si="42"/>
        <v>107200</v>
      </c>
      <c r="Y40" t="str">
        <f t="shared" si="43"/>
        <v>107375</v>
      </c>
      <c r="Z40" t="str">
        <f t="shared" si="44"/>
        <v>107375</v>
      </c>
      <c r="AA40" t="str">
        <f t="shared" si="45"/>
        <v>1071000</v>
      </c>
    </row>
    <row r="41" spans="2:27">
      <c r="B41" s="256">
        <f t="shared" si="24"/>
        <v>108</v>
      </c>
      <c r="C41" s="42" t="str">
        <f t="shared" si="25"/>
        <v>AA</v>
      </c>
      <c r="D41" s="42" t="str">
        <f t="shared" si="26"/>
        <v>EF-1</v>
      </c>
      <c r="E41" s="648">
        <f t="shared" si="27"/>
        <v>10</v>
      </c>
      <c r="F41" s="649" t="str">
        <f t="shared" si="28"/>
        <v>8 - Receptor 8</v>
      </c>
      <c r="G41" s="42" t="str">
        <f t="shared" si="29"/>
        <v>No</v>
      </c>
      <c r="H41" s="318">
        <f t="shared" si="30"/>
        <v>0</v>
      </c>
      <c r="I41" s="650">
        <f t="shared" si="31"/>
        <v>0</v>
      </c>
      <c r="J41" s="651">
        <f t="shared" si="32"/>
        <v>0</v>
      </c>
      <c r="K41" s="332">
        <f t="shared" si="33"/>
        <v>200</v>
      </c>
      <c r="L41" s="316">
        <f t="shared" si="33"/>
        <v>375</v>
      </c>
      <c r="M41" s="316">
        <f t="shared" si="33"/>
        <v>375</v>
      </c>
      <c r="N41" s="566">
        <f t="shared" si="33"/>
        <v>1000</v>
      </c>
      <c r="O41" s="20" t="str">
        <f t="shared" si="34"/>
        <v>Yes</v>
      </c>
      <c r="P41" s="5" t="str">
        <f t="shared" si="35"/>
        <v>Yes</v>
      </c>
      <c r="Q41" s="5" t="str">
        <f t="shared" si="36"/>
        <v>Yes</v>
      </c>
      <c r="R41" s="21" t="str">
        <f t="shared" si="37"/>
        <v>Yes</v>
      </c>
      <c r="S41" s="283">
        <f t="shared" si="38"/>
        <v>0</v>
      </c>
      <c r="T41" s="421">
        <f t="shared" si="39"/>
        <v>0</v>
      </c>
      <c r="U41" s="421">
        <f t="shared" si="40"/>
        <v>0</v>
      </c>
      <c r="V41" s="284">
        <f t="shared" si="41"/>
        <v>0</v>
      </c>
      <c r="W41" s="421"/>
      <c r="X41" t="str">
        <f t="shared" si="42"/>
        <v>108200</v>
      </c>
      <c r="Y41" t="str">
        <f t="shared" si="43"/>
        <v>108375</v>
      </c>
      <c r="Z41" t="str">
        <f t="shared" si="44"/>
        <v>108375</v>
      </c>
      <c r="AA41" t="str">
        <f t="shared" si="45"/>
        <v>1081000</v>
      </c>
    </row>
    <row r="42" spans="2:27">
      <c r="B42" s="256">
        <f t="shared" si="24"/>
        <v>109</v>
      </c>
      <c r="C42" s="42" t="str">
        <f t="shared" si="25"/>
        <v>AA</v>
      </c>
      <c r="D42" s="42" t="str">
        <f t="shared" si="26"/>
        <v>EF-1</v>
      </c>
      <c r="E42" s="648">
        <f t="shared" si="27"/>
        <v>10</v>
      </c>
      <c r="F42" s="649" t="str">
        <f t="shared" si="28"/>
        <v>9 - Receptor 9</v>
      </c>
      <c r="G42" s="42" t="str">
        <f t="shared" si="29"/>
        <v>No</v>
      </c>
      <c r="H42" s="318">
        <f t="shared" si="30"/>
        <v>0</v>
      </c>
      <c r="I42" s="650">
        <f t="shared" si="31"/>
        <v>0</v>
      </c>
      <c r="J42" s="651">
        <f t="shared" si="32"/>
        <v>0</v>
      </c>
      <c r="K42" s="332">
        <f t="shared" si="33"/>
        <v>200</v>
      </c>
      <c r="L42" s="316">
        <f t="shared" si="33"/>
        <v>375</v>
      </c>
      <c r="M42" s="316">
        <f t="shared" si="33"/>
        <v>375</v>
      </c>
      <c r="N42" s="566">
        <f t="shared" si="33"/>
        <v>1000</v>
      </c>
      <c r="O42" s="20" t="str">
        <f t="shared" si="34"/>
        <v>Yes</v>
      </c>
      <c r="P42" s="5" t="str">
        <f t="shared" si="35"/>
        <v>Yes</v>
      </c>
      <c r="Q42" s="5" t="str">
        <f t="shared" si="36"/>
        <v>Yes</v>
      </c>
      <c r="R42" s="21" t="str">
        <f t="shared" si="37"/>
        <v>Yes</v>
      </c>
      <c r="S42" s="283">
        <f t="shared" si="38"/>
        <v>0</v>
      </c>
      <c r="T42" s="421">
        <f t="shared" si="39"/>
        <v>0</v>
      </c>
      <c r="U42" s="421">
        <f t="shared" si="40"/>
        <v>0</v>
      </c>
      <c r="V42" s="284">
        <f t="shared" si="41"/>
        <v>0</v>
      </c>
      <c r="W42" s="421"/>
      <c r="X42" t="str">
        <f t="shared" si="42"/>
        <v>109200</v>
      </c>
      <c r="Y42" t="str">
        <f t="shared" si="43"/>
        <v>109375</v>
      </c>
      <c r="Z42" t="str">
        <f t="shared" si="44"/>
        <v>109375</v>
      </c>
      <c r="AA42" t="str">
        <f t="shared" si="45"/>
        <v>1091000</v>
      </c>
    </row>
    <row r="43" spans="2:27">
      <c r="B43" s="256">
        <f t="shared" si="24"/>
        <v>110</v>
      </c>
      <c r="C43" s="42" t="str">
        <f t="shared" si="25"/>
        <v>AA</v>
      </c>
      <c r="D43" s="42" t="str">
        <f t="shared" si="26"/>
        <v>EF-1</v>
      </c>
      <c r="E43" s="648">
        <f t="shared" si="27"/>
        <v>10</v>
      </c>
      <c r="F43" s="649" t="str">
        <f t="shared" si="28"/>
        <v>10 - Receptor 10</v>
      </c>
      <c r="G43" s="42" t="str">
        <f t="shared" si="29"/>
        <v>No</v>
      </c>
      <c r="H43" s="318">
        <f t="shared" si="30"/>
        <v>0</v>
      </c>
      <c r="I43" s="650">
        <f t="shared" si="31"/>
        <v>0</v>
      </c>
      <c r="J43" s="651">
        <f t="shared" si="32"/>
        <v>0</v>
      </c>
      <c r="K43" s="332">
        <f t="shared" si="33"/>
        <v>200</v>
      </c>
      <c r="L43" s="316">
        <f t="shared" si="33"/>
        <v>375</v>
      </c>
      <c r="M43" s="316">
        <f t="shared" si="33"/>
        <v>375</v>
      </c>
      <c r="N43" s="566">
        <f t="shared" si="33"/>
        <v>1000</v>
      </c>
      <c r="O43" s="20" t="str">
        <f t="shared" si="34"/>
        <v>Yes</v>
      </c>
      <c r="P43" s="5" t="str">
        <f t="shared" si="35"/>
        <v>Yes</v>
      </c>
      <c r="Q43" s="5" t="str">
        <f t="shared" si="36"/>
        <v>Yes</v>
      </c>
      <c r="R43" s="21" t="str">
        <f t="shared" si="37"/>
        <v>Yes</v>
      </c>
      <c r="S43" s="283">
        <f t="shared" si="38"/>
        <v>0</v>
      </c>
      <c r="T43" s="421">
        <f t="shared" si="39"/>
        <v>0</v>
      </c>
      <c r="U43" s="421">
        <f t="shared" si="40"/>
        <v>0</v>
      </c>
      <c r="V43" s="284">
        <f t="shared" si="41"/>
        <v>0</v>
      </c>
      <c r="W43" s="421"/>
      <c r="X43" t="str">
        <f t="shared" si="42"/>
        <v>110200</v>
      </c>
      <c r="Y43" t="str">
        <f t="shared" si="43"/>
        <v>110375</v>
      </c>
      <c r="Z43" t="str">
        <f t="shared" si="44"/>
        <v>110375</v>
      </c>
      <c r="AA43" t="str">
        <f t="shared" si="45"/>
        <v>1101000</v>
      </c>
    </row>
    <row r="44" spans="2:27">
      <c r="B44" s="256">
        <f t="shared" si="24"/>
        <v>111</v>
      </c>
      <c r="C44" s="42" t="str">
        <f t="shared" si="25"/>
        <v>AA</v>
      </c>
      <c r="D44" s="42" t="str">
        <f t="shared" si="26"/>
        <v>EF-1</v>
      </c>
      <c r="E44" s="648">
        <f t="shared" si="27"/>
        <v>10</v>
      </c>
      <c r="F44" s="649" t="str">
        <f t="shared" si="28"/>
        <v>11 - Receptor 11</v>
      </c>
      <c r="G44" s="42" t="str">
        <f t="shared" si="29"/>
        <v>No</v>
      </c>
      <c r="H44" s="318">
        <f t="shared" si="30"/>
        <v>0</v>
      </c>
      <c r="I44" s="650">
        <f t="shared" si="31"/>
        <v>0</v>
      </c>
      <c r="J44" s="651">
        <f t="shared" si="32"/>
        <v>0</v>
      </c>
      <c r="K44" s="332">
        <f t="shared" si="33"/>
        <v>200</v>
      </c>
      <c r="L44" s="316">
        <f t="shared" si="33"/>
        <v>375</v>
      </c>
      <c r="M44" s="316">
        <f t="shared" si="33"/>
        <v>375</v>
      </c>
      <c r="N44" s="566">
        <f t="shared" si="33"/>
        <v>1000</v>
      </c>
      <c r="O44" s="20" t="str">
        <f t="shared" si="34"/>
        <v>Yes</v>
      </c>
      <c r="P44" s="5" t="str">
        <f t="shared" si="35"/>
        <v>Yes</v>
      </c>
      <c r="Q44" s="5" t="str">
        <f t="shared" si="36"/>
        <v>Yes</v>
      </c>
      <c r="R44" s="21" t="str">
        <f t="shared" si="37"/>
        <v>Yes</v>
      </c>
      <c r="S44" s="283">
        <f t="shared" si="38"/>
        <v>0</v>
      </c>
      <c r="T44" s="421">
        <f t="shared" si="39"/>
        <v>0</v>
      </c>
      <c r="U44" s="421">
        <f t="shared" si="40"/>
        <v>0</v>
      </c>
      <c r="V44" s="284">
        <f t="shared" si="41"/>
        <v>0</v>
      </c>
      <c r="W44" s="421"/>
      <c r="X44" t="str">
        <f t="shared" si="42"/>
        <v>111200</v>
      </c>
      <c r="Y44" t="str">
        <f t="shared" si="43"/>
        <v>111375</v>
      </c>
      <c r="Z44" t="str">
        <f t="shared" si="44"/>
        <v>111375</v>
      </c>
      <c r="AA44" t="str">
        <f t="shared" si="45"/>
        <v>1111000</v>
      </c>
    </row>
    <row r="45" spans="2:27">
      <c r="B45" s="256">
        <f t="shared" si="24"/>
        <v>112</v>
      </c>
      <c r="C45" s="42" t="str">
        <f t="shared" si="25"/>
        <v>AA</v>
      </c>
      <c r="D45" s="42" t="str">
        <f t="shared" si="26"/>
        <v>EF-1</v>
      </c>
      <c r="E45" s="648">
        <f t="shared" si="27"/>
        <v>10</v>
      </c>
      <c r="F45" s="649" t="str">
        <f t="shared" si="28"/>
        <v>12 - Receptor 12</v>
      </c>
      <c r="G45" s="42" t="str">
        <f t="shared" si="29"/>
        <v>No</v>
      </c>
      <c r="H45" s="318">
        <f t="shared" si="30"/>
        <v>0</v>
      </c>
      <c r="I45" s="650">
        <f t="shared" si="31"/>
        <v>0</v>
      </c>
      <c r="J45" s="651">
        <f t="shared" si="32"/>
        <v>0</v>
      </c>
      <c r="K45" s="332">
        <f t="shared" si="33"/>
        <v>200</v>
      </c>
      <c r="L45" s="316">
        <f t="shared" si="33"/>
        <v>375</v>
      </c>
      <c r="M45" s="316">
        <f t="shared" si="33"/>
        <v>375</v>
      </c>
      <c r="N45" s="566">
        <f t="shared" si="33"/>
        <v>1000</v>
      </c>
      <c r="O45" s="20" t="str">
        <f t="shared" si="34"/>
        <v>Yes</v>
      </c>
      <c r="P45" s="5" t="str">
        <f t="shared" si="35"/>
        <v>Yes</v>
      </c>
      <c r="Q45" s="5" t="str">
        <f t="shared" si="36"/>
        <v>Yes</v>
      </c>
      <c r="R45" s="21" t="str">
        <f t="shared" si="37"/>
        <v>Yes</v>
      </c>
      <c r="S45" s="283">
        <f t="shared" si="38"/>
        <v>0</v>
      </c>
      <c r="T45" s="421">
        <f t="shared" si="39"/>
        <v>0</v>
      </c>
      <c r="U45" s="421">
        <f t="shared" si="40"/>
        <v>0</v>
      </c>
      <c r="V45" s="284">
        <f t="shared" si="41"/>
        <v>0</v>
      </c>
      <c r="W45" s="421"/>
      <c r="X45" t="str">
        <f t="shared" si="42"/>
        <v>112200</v>
      </c>
      <c r="Y45" t="str">
        <f t="shared" si="43"/>
        <v>112375</v>
      </c>
      <c r="Z45" t="str">
        <f t="shared" si="44"/>
        <v>112375</v>
      </c>
      <c r="AA45" t="str">
        <f t="shared" si="45"/>
        <v>1121000</v>
      </c>
    </row>
    <row r="46" spans="2:27">
      <c r="B46" s="256">
        <f t="shared" si="24"/>
        <v>113</v>
      </c>
      <c r="C46" s="42" t="str">
        <f t="shared" si="25"/>
        <v>AA</v>
      </c>
      <c r="D46" s="42" t="str">
        <f t="shared" si="26"/>
        <v>EF-1</v>
      </c>
      <c r="E46" s="648">
        <f t="shared" si="27"/>
        <v>10</v>
      </c>
      <c r="F46" s="649" t="str">
        <f t="shared" si="28"/>
        <v>13 - Receptor 13</v>
      </c>
      <c r="G46" s="42" t="str">
        <f t="shared" si="29"/>
        <v>No</v>
      </c>
      <c r="H46" s="318">
        <f t="shared" si="30"/>
        <v>0</v>
      </c>
      <c r="I46" s="650">
        <f t="shared" si="31"/>
        <v>0</v>
      </c>
      <c r="J46" s="651">
        <f t="shared" si="32"/>
        <v>0</v>
      </c>
      <c r="K46" s="332">
        <f t="shared" si="33"/>
        <v>200</v>
      </c>
      <c r="L46" s="316">
        <f t="shared" si="33"/>
        <v>375</v>
      </c>
      <c r="M46" s="316">
        <f t="shared" si="33"/>
        <v>375</v>
      </c>
      <c r="N46" s="566">
        <f t="shared" si="33"/>
        <v>1000</v>
      </c>
      <c r="O46" s="20" t="str">
        <f t="shared" si="34"/>
        <v>Yes</v>
      </c>
      <c r="P46" s="5" t="str">
        <f t="shared" si="35"/>
        <v>Yes</v>
      </c>
      <c r="Q46" s="5" t="str">
        <f t="shared" si="36"/>
        <v>Yes</v>
      </c>
      <c r="R46" s="21" t="str">
        <f t="shared" si="37"/>
        <v>Yes</v>
      </c>
      <c r="S46" s="283">
        <f t="shared" si="38"/>
        <v>0</v>
      </c>
      <c r="T46" s="421">
        <f t="shared" si="39"/>
        <v>0</v>
      </c>
      <c r="U46" s="421">
        <f t="shared" si="40"/>
        <v>0</v>
      </c>
      <c r="V46" s="284">
        <f t="shared" si="41"/>
        <v>0</v>
      </c>
      <c r="W46" s="421"/>
      <c r="X46" t="str">
        <f t="shared" si="42"/>
        <v>113200</v>
      </c>
      <c r="Y46" t="str">
        <f t="shared" si="43"/>
        <v>113375</v>
      </c>
      <c r="Z46" t="str">
        <f t="shared" si="44"/>
        <v>113375</v>
      </c>
      <c r="AA46" t="str">
        <f t="shared" si="45"/>
        <v>1131000</v>
      </c>
    </row>
    <row r="47" spans="2:27">
      <c r="B47" s="256">
        <f t="shared" si="24"/>
        <v>114</v>
      </c>
      <c r="C47" s="42" t="str">
        <f t="shared" si="25"/>
        <v>AA</v>
      </c>
      <c r="D47" s="42" t="str">
        <f t="shared" si="26"/>
        <v>EF-1</v>
      </c>
      <c r="E47" s="648">
        <f t="shared" si="27"/>
        <v>10</v>
      </c>
      <c r="F47" s="649" t="str">
        <f t="shared" si="28"/>
        <v>14 - Receptor 14</v>
      </c>
      <c r="G47" s="42" t="str">
        <f t="shared" si="29"/>
        <v>No</v>
      </c>
      <c r="H47" s="318">
        <f t="shared" si="30"/>
        <v>0</v>
      </c>
      <c r="I47" s="650">
        <f t="shared" si="31"/>
        <v>0</v>
      </c>
      <c r="J47" s="651">
        <f t="shared" si="32"/>
        <v>0</v>
      </c>
      <c r="K47" s="332">
        <f t="shared" si="33"/>
        <v>200</v>
      </c>
      <c r="L47" s="316">
        <f t="shared" si="33"/>
        <v>375</v>
      </c>
      <c r="M47" s="316">
        <f t="shared" si="33"/>
        <v>375</v>
      </c>
      <c r="N47" s="566">
        <f t="shared" si="33"/>
        <v>1000</v>
      </c>
      <c r="O47" s="20" t="str">
        <f t="shared" si="34"/>
        <v>Yes</v>
      </c>
      <c r="P47" s="5" t="str">
        <f t="shared" si="35"/>
        <v>Yes</v>
      </c>
      <c r="Q47" s="5" t="str">
        <f t="shared" si="36"/>
        <v>Yes</v>
      </c>
      <c r="R47" s="21" t="str">
        <f t="shared" si="37"/>
        <v>Yes</v>
      </c>
      <c r="S47" s="283">
        <f t="shared" si="38"/>
        <v>0</v>
      </c>
      <c r="T47" s="421">
        <f t="shared" si="39"/>
        <v>0</v>
      </c>
      <c r="U47" s="421">
        <f t="shared" si="40"/>
        <v>0</v>
      </c>
      <c r="V47" s="284">
        <f t="shared" si="41"/>
        <v>0</v>
      </c>
      <c r="W47" s="421"/>
      <c r="X47" t="str">
        <f t="shared" si="42"/>
        <v>114200</v>
      </c>
      <c r="Y47" t="str">
        <f t="shared" si="43"/>
        <v>114375</v>
      </c>
      <c r="Z47" t="str">
        <f t="shared" si="44"/>
        <v>114375</v>
      </c>
      <c r="AA47" t="str">
        <f t="shared" si="45"/>
        <v>1141000</v>
      </c>
    </row>
    <row r="48" spans="2:27">
      <c r="B48" s="256">
        <f t="shared" si="24"/>
        <v>115</v>
      </c>
      <c r="C48" s="42" t="str">
        <f t="shared" si="25"/>
        <v>AA</v>
      </c>
      <c r="D48" s="42" t="str">
        <f t="shared" si="26"/>
        <v>EF-1</v>
      </c>
      <c r="E48" s="648">
        <f t="shared" si="27"/>
        <v>10</v>
      </c>
      <c r="F48" s="649" t="str">
        <f t="shared" si="28"/>
        <v>15 - Receptor 15</v>
      </c>
      <c r="G48" s="42" t="str">
        <f t="shared" si="29"/>
        <v>No</v>
      </c>
      <c r="H48" s="318">
        <f t="shared" si="30"/>
        <v>0</v>
      </c>
      <c r="I48" s="650">
        <f t="shared" si="31"/>
        <v>0</v>
      </c>
      <c r="J48" s="651">
        <f t="shared" si="32"/>
        <v>0</v>
      </c>
      <c r="K48" s="332">
        <f t="shared" si="33"/>
        <v>200</v>
      </c>
      <c r="L48" s="316">
        <f t="shared" si="33"/>
        <v>375</v>
      </c>
      <c r="M48" s="316">
        <f t="shared" si="33"/>
        <v>375</v>
      </c>
      <c r="N48" s="566">
        <f t="shared" si="33"/>
        <v>1000</v>
      </c>
      <c r="O48" s="20" t="str">
        <f t="shared" si="34"/>
        <v>Yes</v>
      </c>
      <c r="P48" s="5" t="str">
        <f t="shared" si="35"/>
        <v>Yes</v>
      </c>
      <c r="Q48" s="5" t="str">
        <f t="shared" si="36"/>
        <v>Yes</v>
      </c>
      <c r="R48" s="21" t="str">
        <f t="shared" si="37"/>
        <v>Yes</v>
      </c>
      <c r="S48" s="283">
        <f t="shared" si="38"/>
        <v>0</v>
      </c>
      <c r="T48" s="421">
        <f t="shared" si="39"/>
        <v>0</v>
      </c>
      <c r="U48" s="421">
        <f t="shared" si="40"/>
        <v>0</v>
      </c>
      <c r="V48" s="284">
        <f t="shared" si="41"/>
        <v>0</v>
      </c>
      <c r="W48" s="421"/>
      <c r="X48" t="str">
        <f t="shared" si="42"/>
        <v>115200</v>
      </c>
      <c r="Y48" t="str">
        <f t="shared" si="43"/>
        <v>115375</v>
      </c>
      <c r="Z48" t="str">
        <f t="shared" si="44"/>
        <v>115375</v>
      </c>
      <c r="AA48" t="str">
        <f t="shared" si="45"/>
        <v>1151000</v>
      </c>
    </row>
    <row r="49" spans="2:23">
      <c r="B49" s="256"/>
      <c r="C49" s="42"/>
      <c r="D49" s="42"/>
      <c r="E49" s="648"/>
      <c r="F49" s="649"/>
      <c r="G49" s="42"/>
      <c r="H49" s="318"/>
      <c r="I49" s="650"/>
      <c r="J49" s="651"/>
      <c r="K49" s="332"/>
      <c r="L49" s="316"/>
      <c r="M49" s="316"/>
      <c r="N49" s="566"/>
      <c r="O49" s="20"/>
      <c r="P49" s="5"/>
      <c r="Q49" s="5"/>
      <c r="R49" s="21"/>
      <c r="S49" s="283"/>
      <c r="T49" s="421"/>
      <c r="U49" s="421"/>
      <c r="V49" s="284"/>
      <c r="W49" s="421"/>
    </row>
    <row r="50" spans="2:23">
      <c r="B50" s="52"/>
      <c r="C50" s="41"/>
      <c r="D50" s="41"/>
      <c r="E50" s="317"/>
      <c r="F50" s="41"/>
      <c r="G50" s="41"/>
      <c r="H50" s="317"/>
      <c r="I50" s="317"/>
      <c r="J50" s="317"/>
      <c r="K50" s="333"/>
      <c r="L50" s="317"/>
      <c r="M50" s="317"/>
      <c r="N50" s="567"/>
      <c r="O50" s="52"/>
      <c r="P50" s="41"/>
      <c r="Q50" s="41"/>
      <c r="R50" s="53"/>
      <c r="S50" s="652"/>
      <c r="T50" s="654"/>
      <c r="U50" s="654"/>
      <c r="V50" s="653"/>
      <c r="W50" s="656"/>
    </row>
    <row r="51" spans="2:23">
      <c r="H51" s="655"/>
      <c r="I51" s="655"/>
      <c r="J51" s="655"/>
      <c r="K51" s="655"/>
      <c r="L51" s="655"/>
      <c r="M51" s="655"/>
      <c r="N51" s="655"/>
      <c r="S51" s="656"/>
      <c r="T51" s="656"/>
      <c r="U51" s="656"/>
      <c r="V51" s="656"/>
      <c r="W51" s="656"/>
    </row>
    <row r="52" spans="2:23">
      <c r="B52" t="s">
        <v>214</v>
      </c>
      <c r="S52" s="656"/>
      <c r="T52" s="656"/>
      <c r="U52" s="656"/>
      <c r="V52" s="656"/>
      <c r="W52" s="656"/>
    </row>
    <row r="53" spans="2:23">
      <c r="B53" s="107" t="s">
        <v>216</v>
      </c>
      <c r="D53" s="16" t="str">
        <f>'Test Plan &amp; Results'!G44</f>
        <v>The maximum normalized concentration (C/m) measured in the wind tunnel for the specific source/receptor pair.</v>
      </c>
    </row>
    <row r="54" spans="2:23">
      <c r="B54" s="107" t="s">
        <v>217</v>
      </c>
      <c r="D54" s="16" t="str">
        <f>'Test Plan &amp; Results'!G45</f>
        <v>The maximum acceptable C/m for each specific source, based on criteria discussed in Section 2.</v>
      </c>
    </row>
    <row r="55" spans="2:23">
      <c r="B55" s="107" t="s">
        <v>218</v>
      </c>
      <c r="D55" s="16" t="str">
        <f>'Test Plan &amp; Results'!G46</f>
        <v>"Yes" if (1) &lt; (2) or "No" if (1) &gt; (2).</v>
      </c>
    </row>
    <row r="56" spans="2:23" ht="15.75" customHeight="1">
      <c r="B56" s="272" t="s">
        <v>219</v>
      </c>
      <c r="D56" s="1089" t="str">
        <f>'Test Plan &amp; Results'!G47</f>
        <v>Approximate percentage of time for which the prescribed emission scenario may produce concentrations greater than (2), based on a curve fit to all data collected for the specific source/receptor pair and the local wind frequency distribution.</v>
      </c>
      <c r="E56" s="1089"/>
      <c r="F56" s="1089"/>
      <c r="G56" s="1089"/>
      <c r="H56" s="1089"/>
      <c r="I56" s="1089"/>
      <c r="J56" s="1089"/>
      <c r="K56" s="1089"/>
      <c r="L56" s="1089"/>
      <c r="M56" s="1089"/>
      <c r="N56" s="1089"/>
      <c r="O56" s="1089"/>
      <c r="P56" s="1089"/>
      <c r="Q56" s="1089"/>
      <c r="R56" s="1089"/>
      <c r="S56" s="1089"/>
      <c r="T56" s="1089"/>
      <c r="U56" s="1089"/>
      <c r="V56" s="1089"/>
      <c r="W56" s="273"/>
    </row>
  </sheetData>
  <mergeCells count="12">
    <mergeCell ref="K12:N12"/>
    <mergeCell ref="X14:AA14"/>
    <mergeCell ref="S8:V8"/>
    <mergeCell ref="O9:R9"/>
    <mergeCell ref="S9:V9"/>
    <mergeCell ref="K8:N8"/>
    <mergeCell ref="O8:R8"/>
    <mergeCell ref="O11:R11"/>
    <mergeCell ref="S10:V10"/>
    <mergeCell ref="K10:N10"/>
    <mergeCell ref="O10:R10"/>
    <mergeCell ref="S11:V11"/>
  </mergeCells>
  <phoneticPr fontId="52" type="noConversion"/>
  <conditionalFormatting sqref="O16:R32 O34:R49">
    <cfRule type="cellIs" dxfId="826" priority="2" stopIfTrue="1" operator="equal">
      <formula>"No"</formula>
    </cfRule>
  </conditionalFormatting>
  <conditionalFormatting sqref="B16">
    <cfRule type="expression" dxfId="825" priority="1" stopIfTrue="1">
      <formula>XEX16=TRUE</formula>
    </cfRule>
  </conditionalFormatting>
  <pageMargins left="0.75" right="0.75" top="0.75" bottom="0.75" header="0.5" footer="0.5"/>
  <pageSetup scale="46" fitToHeight="0" orientation="landscape" useFirstPageNumber="1" r:id="rId1"/>
  <headerFooter scaleWithDoc="0" alignWithMargins="0">
    <oddFooter>&amp;C&amp;9Page &amp;P of &amp;N</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E8E4C-7390-4427-9E80-22D64CB1F21D}">
  <sheetPr codeName="Sheet73">
    <pageSetUpPr fitToPage="1"/>
  </sheetPr>
  <dimension ref="A1:AZ79"/>
  <sheetViews>
    <sheetView view="pageBreakPreview" zoomScale="60" zoomScaleNormal="80" workbookViewId="0">
      <selection activeCell="L40" sqref="L40"/>
    </sheetView>
  </sheetViews>
  <sheetFormatPr defaultRowHeight="15.75"/>
  <cols>
    <col min="2" max="2" width="8.25" customWidth="1"/>
    <col min="3" max="3" width="10.125" customWidth="1"/>
    <col min="4" max="4" width="11.5" customWidth="1"/>
    <col min="5" max="5" width="8.125" bestFit="1" customWidth="1"/>
    <col min="6" max="6" width="34.25" bestFit="1" customWidth="1"/>
    <col min="7" max="7" width="9.5" customWidth="1"/>
    <col min="8" max="8" width="8" customWidth="1"/>
    <col min="9" max="9" width="16" bestFit="1" customWidth="1"/>
    <col min="10" max="10" width="20" style="1009" customWidth="1"/>
    <col min="11" max="11" width="12.625" customWidth="1"/>
    <col min="12" max="15" width="10.625" customWidth="1"/>
    <col min="16" max="18" width="11.75" customWidth="1"/>
    <col min="19" max="20" width="11.5" customWidth="1"/>
    <col min="21" max="26" width="10.375" customWidth="1"/>
    <col min="27" max="27" width="14.25" bestFit="1" customWidth="1"/>
    <col min="28" max="28" width="13.25" bestFit="1" customWidth="1"/>
    <col min="29" max="30" width="9.75" bestFit="1" customWidth="1"/>
    <col min="31" max="32" width="9.125" bestFit="1" customWidth="1"/>
    <col min="33" max="34" width="9.75" bestFit="1" customWidth="1"/>
    <col min="35" max="35" width="14.625" customWidth="1"/>
    <col min="36" max="36" width="15.625" customWidth="1"/>
    <col min="37" max="40" width="12.625" customWidth="1"/>
    <col min="41" max="41" width="13.375" customWidth="1"/>
    <col min="42" max="42" width="19.5" customWidth="1"/>
    <col min="43" max="44" width="5.125" customWidth="1"/>
    <col min="45" max="45" width="9" customWidth="1"/>
    <col min="46" max="51" width="5.125" customWidth="1"/>
    <col min="52" max="52" width="6.25" customWidth="1"/>
  </cols>
  <sheetData>
    <row r="1" spans="1:52">
      <c r="AA1" t="s">
        <v>1598</v>
      </c>
    </row>
    <row r="2" spans="1:52" ht="20.25">
      <c r="B2" s="120" t="str">
        <f>SourceProjectName1</f>
        <v>Project Name 1</v>
      </c>
      <c r="AA2">
        <v>9</v>
      </c>
      <c r="AB2">
        <v>35</v>
      </c>
      <c r="AC2">
        <v>100</v>
      </c>
      <c r="AD2">
        <v>53</v>
      </c>
      <c r="AE2">
        <v>12</v>
      </c>
      <c r="AF2">
        <v>35</v>
      </c>
      <c r="AG2">
        <v>150</v>
      </c>
      <c r="AH2">
        <v>75</v>
      </c>
    </row>
    <row r="3" spans="1:52" ht="20.25">
      <c r="B3" s="120" t="str">
        <f>SourceProjectName2</f>
        <v>Project Name 2</v>
      </c>
      <c r="F3" s="4"/>
      <c r="K3" s="33" t="s">
        <v>1599</v>
      </c>
      <c r="L3">
        <v>28.01</v>
      </c>
      <c r="M3" t="s">
        <v>1600</v>
      </c>
      <c r="S3" s="33"/>
      <c r="AA3" t="s">
        <v>1601</v>
      </c>
      <c r="AB3" t="s">
        <v>1601</v>
      </c>
      <c r="AC3" t="s">
        <v>1602</v>
      </c>
      <c r="AD3" t="s">
        <v>1602</v>
      </c>
      <c r="AE3" t="s">
        <v>977</v>
      </c>
      <c r="AF3" t="s">
        <v>977</v>
      </c>
      <c r="AG3" t="s">
        <v>977</v>
      </c>
      <c r="AH3" t="s">
        <v>1602</v>
      </c>
    </row>
    <row r="4" spans="1:52" ht="20.25">
      <c r="B4" s="120" t="str">
        <f>SourceProjectNumber</f>
        <v>Project Number</v>
      </c>
      <c r="K4" t="s">
        <v>1603</v>
      </c>
      <c r="L4">
        <v>46.005499999999998</v>
      </c>
      <c r="M4" t="s">
        <v>1600</v>
      </c>
      <c r="U4">
        <v>100</v>
      </c>
      <c r="V4" t="s">
        <v>1602</v>
      </c>
      <c r="W4">
        <v>100</v>
      </c>
      <c r="X4" t="s">
        <v>1604</v>
      </c>
      <c r="AA4" s="245">
        <f>AA2*$L$3*40.8727</f>
        <v>10303.598943000001</v>
      </c>
      <c r="AB4" s="245">
        <f>AB2*$L$3*40.8727</f>
        <v>40069.551445000005</v>
      </c>
      <c r="AC4" s="245">
        <f>AC2*$L$4*40.8727/1000</f>
        <v>188.03689998500002</v>
      </c>
      <c r="AD4" s="245">
        <f>AD2*$L$4*40.8727/1000</f>
        <v>99.65955699205</v>
      </c>
      <c r="AE4" s="245">
        <f>AE2</f>
        <v>12</v>
      </c>
      <c r="AF4" s="245">
        <f>AF2</f>
        <v>35</v>
      </c>
      <c r="AG4" s="245">
        <f>AG2</f>
        <v>150</v>
      </c>
      <c r="AH4" s="245">
        <f>AH2*$L$5*40.8727/1000</f>
        <v>196.391279865</v>
      </c>
    </row>
    <row r="5" spans="1:52" ht="20.25">
      <c r="B5" s="837" t="s">
        <v>159</v>
      </c>
      <c r="K5" t="s">
        <v>1605</v>
      </c>
      <c r="L5">
        <v>64.066000000000003</v>
      </c>
      <c r="M5" t="s">
        <v>1600</v>
      </c>
      <c r="U5" t="e">
        <f>(U4)*B4/24.45</f>
        <v>#VALUE!</v>
      </c>
      <c r="W5" t="e">
        <f>W4*24.45/B4</f>
        <v>#VALUE!</v>
      </c>
      <c r="AA5" t="s">
        <v>977</v>
      </c>
      <c r="AB5" t="s">
        <v>977</v>
      </c>
      <c r="AC5" t="s">
        <v>977</v>
      </c>
      <c r="AD5" t="s">
        <v>977</v>
      </c>
      <c r="AE5" t="s">
        <v>977</v>
      </c>
      <c r="AF5" t="s">
        <v>977</v>
      </c>
      <c r="AG5" t="s">
        <v>977</v>
      </c>
      <c r="AH5" t="s">
        <v>977</v>
      </c>
    </row>
    <row r="6" spans="1:52" ht="20.25">
      <c r="B6" s="837" t="s">
        <v>351</v>
      </c>
      <c r="K6" s="3"/>
      <c r="L6" s="3"/>
      <c r="M6" s="3"/>
      <c r="N6" s="3"/>
      <c r="O6" s="3"/>
      <c r="P6" s="3"/>
      <c r="Q6" s="3"/>
      <c r="R6" s="3"/>
      <c r="S6" s="3"/>
      <c r="T6" s="3"/>
      <c r="U6" s="3"/>
      <c r="V6" s="3"/>
      <c r="W6" s="3"/>
      <c r="X6" s="3"/>
      <c r="Y6" s="3"/>
      <c r="Z6" s="3"/>
      <c r="AA6" t="s">
        <v>1606</v>
      </c>
      <c r="AB6" s="3"/>
      <c r="AC6" s="3"/>
      <c r="AD6" s="3"/>
      <c r="AE6" s="3"/>
      <c r="AF6" s="3"/>
      <c r="AG6" s="3"/>
      <c r="AH6" s="3"/>
      <c r="AI6" s="3"/>
      <c r="AJ6" s="3"/>
      <c r="AK6" s="3"/>
      <c r="AL6" s="3"/>
      <c r="AM6" s="3"/>
      <c r="AN6" s="3"/>
      <c r="AO6" s="3"/>
      <c r="AP6" s="3"/>
    </row>
    <row r="7" spans="1:52" ht="20.25">
      <c r="B7" s="837"/>
      <c r="AA7">
        <v>1.8</v>
      </c>
      <c r="AB7">
        <v>3</v>
      </c>
      <c r="AC7">
        <v>34</v>
      </c>
      <c r="AD7">
        <v>8.9999999999999993E-3</v>
      </c>
      <c r="AE7">
        <v>10.11</v>
      </c>
      <c r="AF7">
        <v>22</v>
      </c>
      <c r="AG7">
        <v>33</v>
      </c>
      <c r="AH7">
        <v>21</v>
      </c>
    </row>
    <row r="8" spans="1:52" ht="20.25">
      <c r="B8" s="837"/>
      <c r="AA8" t="s">
        <v>1601</v>
      </c>
      <c r="AB8" t="s">
        <v>1601</v>
      </c>
      <c r="AC8" t="s">
        <v>1602</v>
      </c>
      <c r="AD8" t="s">
        <v>1601</v>
      </c>
      <c r="AE8" t="s">
        <v>977</v>
      </c>
      <c r="AF8" t="s">
        <v>977</v>
      </c>
      <c r="AG8" t="s">
        <v>977</v>
      </c>
      <c r="AH8" t="s">
        <v>1602</v>
      </c>
    </row>
    <row r="9" spans="1:52" ht="20.25">
      <c r="B9" s="285"/>
      <c r="C9" s="13"/>
      <c r="D9" s="13"/>
      <c r="E9" s="13"/>
      <c r="F9" s="13"/>
      <c r="G9" s="13"/>
      <c r="H9" s="13"/>
    </row>
    <row r="10" spans="1:52">
      <c r="B10" s="1406"/>
      <c r="C10" s="1407" t="s">
        <v>449</v>
      </c>
      <c r="D10" s="1408"/>
      <c r="E10" s="1409" t="s">
        <v>118</v>
      </c>
      <c r="F10" s="1370"/>
      <c r="G10" s="1410"/>
      <c r="H10" s="1410"/>
      <c r="I10" s="1411" t="s">
        <v>368</v>
      </c>
      <c r="J10" s="1612" t="s">
        <v>449</v>
      </c>
      <c r="K10" s="1605" t="s">
        <v>449</v>
      </c>
      <c r="L10" s="1606" t="s">
        <v>449</v>
      </c>
      <c r="M10" s="1407" t="s">
        <v>449</v>
      </c>
      <c r="N10" s="1407" t="s">
        <v>449</v>
      </c>
      <c r="O10" s="1407" t="s">
        <v>449</v>
      </c>
      <c r="P10" s="1407" t="s">
        <v>449</v>
      </c>
      <c r="Q10" s="1407" t="s">
        <v>449</v>
      </c>
      <c r="R10" s="1407" t="s">
        <v>449</v>
      </c>
      <c r="S10" s="1845"/>
      <c r="T10" s="1846"/>
      <c r="U10" s="1846"/>
      <c r="V10" s="1846"/>
      <c r="W10" s="1846"/>
      <c r="X10" s="1846"/>
      <c r="Y10" s="1846"/>
      <c r="Z10" s="1846"/>
      <c r="AA10" s="1847" t="s">
        <v>1607</v>
      </c>
      <c r="AB10" s="1848"/>
      <c r="AC10" s="1848"/>
      <c r="AD10" s="1848"/>
      <c r="AE10" s="1848"/>
      <c r="AF10" s="1848"/>
      <c r="AG10" s="1848"/>
      <c r="AH10" s="1849"/>
      <c r="AI10" s="1846"/>
      <c r="AJ10" s="1846"/>
      <c r="AK10" s="1846"/>
      <c r="AL10" s="1846"/>
      <c r="AM10" s="1846"/>
      <c r="AN10" s="1846"/>
      <c r="AO10" s="1846"/>
      <c r="AP10" s="1846"/>
      <c r="AQ10" s="1850" t="s">
        <v>373</v>
      </c>
      <c r="AR10" s="1851"/>
      <c r="AS10" s="1851"/>
      <c r="AT10" s="1851"/>
      <c r="AU10" s="1851"/>
      <c r="AV10" s="1851"/>
      <c r="AW10" s="1851"/>
      <c r="AX10" s="1851"/>
      <c r="AY10" s="1852"/>
      <c r="AZ10" s="286"/>
    </row>
    <row r="11" spans="1:52">
      <c r="B11" s="1412"/>
      <c r="C11" s="1413"/>
      <c r="D11" s="1145"/>
      <c r="E11" s="1414" t="s">
        <v>666</v>
      </c>
      <c r="F11" s="1374" t="s">
        <v>147</v>
      </c>
      <c r="G11" s="1415"/>
      <c r="H11" s="1415"/>
      <c r="I11" s="1416" t="s">
        <v>364</v>
      </c>
      <c r="J11" s="1609" t="s">
        <v>364</v>
      </c>
      <c r="K11" s="1607"/>
      <c r="L11" s="1417"/>
      <c r="M11" s="1418"/>
      <c r="N11" s="1418"/>
      <c r="O11" s="1418"/>
      <c r="P11" s="1418"/>
      <c r="Q11" s="1418"/>
      <c r="R11" s="1418"/>
      <c r="S11" s="1853" t="s">
        <v>1608</v>
      </c>
      <c r="T11" s="1854"/>
      <c r="U11" s="1854"/>
      <c r="V11" s="1854"/>
      <c r="W11" s="1854"/>
      <c r="X11" s="1854"/>
      <c r="Y11" s="1854"/>
      <c r="Z11" s="1854"/>
      <c r="AA11" s="1853" t="s">
        <v>1471</v>
      </c>
      <c r="AB11" s="1854"/>
      <c r="AC11" s="1854"/>
      <c r="AD11" s="1854"/>
      <c r="AE11" s="1854"/>
      <c r="AF11" s="1854"/>
      <c r="AG11" s="1854"/>
      <c r="AH11" s="1855"/>
      <c r="AI11" s="1854" t="s">
        <v>1609</v>
      </c>
      <c r="AJ11" s="1854"/>
      <c r="AK11" s="1854"/>
      <c r="AL11" s="1854"/>
      <c r="AM11" s="1854"/>
      <c r="AN11" s="1854"/>
      <c r="AO11" s="1854"/>
      <c r="AP11" s="1854"/>
      <c r="AQ11" s="1856" t="s">
        <v>372</v>
      </c>
      <c r="AR11" s="1857"/>
      <c r="AS11" s="1857"/>
      <c r="AT11" s="1857"/>
      <c r="AU11" s="1857"/>
      <c r="AV11" s="1857"/>
      <c r="AW11" s="1857"/>
      <c r="AX11" s="1857"/>
      <c r="AY11" s="1858"/>
      <c r="AZ11" s="13"/>
    </row>
    <row r="12" spans="1:52">
      <c r="B12" s="1373" t="s">
        <v>160</v>
      </c>
      <c r="C12" s="1419" t="s">
        <v>663</v>
      </c>
      <c r="D12" s="1374" t="s">
        <v>663</v>
      </c>
      <c r="E12" s="1414" t="s">
        <v>1193</v>
      </c>
      <c r="F12" s="1374" t="s">
        <v>19</v>
      </c>
      <c r="G12" s="1420" t="s">
        <v>162</v>
      </c>
      <c r="H12" s="1420" t="s">
        <v>162</v>
      </c>
      <c r="I12" s="1374" t="s">
        <v>365</v>
      </c>
      <c r="J12" s="1610" t="s">
        <v>365</v>
      </c>
      <c r="K12" s="1608" t="s">
        <v>909</v>
      </c>
      <c r="L12" s="1853" t="s">
        <v>1610</v>
      </c>
      <c r="M12" s="1854"/>
      <c r="N12" s="1854"/>
      <c r="O12" s="1854"/>
      <c r="P12" s="1854"/>
      <c r="Q12" s="1854"/>
      <c r="R12" s="1854"/>
      <c r="S12" s="1853" t="s">
        <v>1471</v>
      </c>
      <c r="T12" s="1854"/>
      <c r="U12" s="1854"/>
      <c r="V12" s="1854"/>
      <c r="W12" s="1854"/>
      <c r="X12" s="1854"/>
      <c r="Y12" s="1854"/>
      <c r="Z12" s="1854"/>
      <c r="AA12" s="1421" t="s">
        <v>606</v>
      </c>
      <c r="AB12" s="1372" t="s">
        <v>606</v>
      </c>
      <c r="AC12" s="1372" t="s">
        <v>1611</v>
      </c>
      <c r="AD12" s="1372" t="s">
        <v>1611</v>
      </c>
      <c r="AE12" s="1372" t="s">
        <v>1612</v>
      </c>
      <c r="AF12" s="1372" t="s">
        <v>1612</v>
      </c>
      <c r="AG12" s="1372" t="s">
        <v>1613</v>
      </c>
      <c r="AH12" s="1422" t="s">
        <v>1614</v>
      </c>
      <c r="AI12" s="1854" t="s">
        <v>175</v>
      </c>
      <c r="AJ12" s="1854"/>
      <c r="AK12" s="1854"/>
      <c r="AL12" s="1854"/>
      <c r="AM12" s="1854"/>
      <c r="AN12" s="1854"/>
      <c r="AO12" s="1854"/>
      <c r="AP12" s="1854"/>
      <c r="AQ12" s="1856" t="s">
        <v>165</v>
      </c>
      <c r="AR12" s="1857"/>
      <c r="AS12" s="1857"/>
      <c r="AT12" s="1857"/>
      <c r="AU12" s="1857"/>
      <c r="AV12" s="1857"/>
      <c r="AW12" s="1857"/>
      <c r="AX12" s="1857"/>
      <c r="AY12" s="1858"/>
      <c r="AZ12" s="13"/>
    </row>
    <row r="13" spans="1:52">
      <c r="B13" s="1373" t="s">
        <v>779</v>
      </c>
      <c r="C13" s="1419" t="s">
        <v>591</v>
      </c>
      <c r="D13" s="1374" t="s">
        <v>665</v>
      </c>
      <c r="E13" s="1414" t="s">
        <v>363</v>
      </c>
      <c r="F13" s="1374" t="s">
        <v>222</v>
      </c>
      <c r="G13" s="1420" t="s">
        <v>167</v>
      </c>
      <c r="H13" s="1420" t="s">
        <v>168</v>
      </c>
      <c r="I13" s="1374" t="s">
        <v>163</v>
      </c>
      <c r="J13" s="1610" t="s">
        <v>163</v>
      </c>
      <c r="K13" s="1421" t="s">
        <v>232</v>
      </c>
      <c r="L13" s="1421" t="s">
        <v>606</v>
      </c>
      <c r="M13" s="1372" t="s">
        <v>1615</v>
      </c>
      <c r="N13" s="1372" t="s">
        <v>1616</v>
      </c>
      <c r="O13" s="1372" t="s">
        <v>1611</v>
      </c>
      <c r="P13" s="1372" t="s">
        <v>1614</v>
      </c>
      <c r="Q13" s="1372" t="s">
        <v>1613</v>
      </c>
      <c r="R13" s="1372" t="s">
        <v>1612</v>
      </c>
      <c r="S13" s="1421" t="s">
        <v>606</v>
      </c>
      <c r="T13" s="1372" t="s">
        <v>606</v>
      </c>
      <c r="U13" s="1372" t="s">
        <v>1611</v>
      </c>
      <c r="V13" s="1372" t="s">
        <v>1611</v>
      </c>
      <c r="W13" s="1372" t="s">
        <v>1612</v>
      </c>
      <c r="X13" s="1372" t="s">
        <v>1612</v>
      </c>
      <c r="Y13" s="1372" t="s">
        <v>1613</v>
      </c>
      <c r="Z13" s="1372" t="s">
        <v>1614</v>
      </c>
      <c r="AA13" s="1421" t="s">
        <v>1617</v>
      </c>
      <c r="AB13" s="1372" t="s">
        <v>1618</v>
      </c>
      <c r="AC13" s="1372" t="s">
        <v>1618</v>
      </c>
      <c r="AD13" s="1372" t="s">
        <v>1619</v>
      </c>
      <c r="AE13" s="1372" t="s">
        <v>1619</v>
      </c>
      <c r="AF13" s="1372" t="s">
        <v>1620</v>
      </c>
      <c r="AG13" s="1372" t="s">
        <v>1620</v>
      </c>
      <c r="AH13" s="1422" t="s">
        <v>1618</v>
      </c>
      <c r="AI13" s="1854" t="s">
        <v>1621</v>
      </c>
      <c r="AJ13" s="1854"/>
      <c r="AK13" s="1854" t="s">
        <v>1622</v>
      </c>
      <c r="AL13" s="1854"/>
      <c r="AM13" s="1854" t="s">
        <v>1623</v>
      </c>
      <c r="AN13" s="1854"/>
      <c r="AO13" s="1372" t="s">
        <v>1624</v>
      </c>
      <c r="AP13" s="1372" t="s">
        <v>1625</v>
      </c>
      <c r="AQ13" s="1856" t="s">
        <v>170</v>
      </c>
      <c r="AR13" s="1857"/>
      <c r="AS13" s="1857"/>
      <c r="AT13" s="1857"/>
      <c r="AU13" s="1857"/>
      <c r="AV13" s="1857"/>
      <c r="AW13" s="1857"/>
      <c r="AX13" s="1857"/>
      <c r="AY13" s="1858"/>
    </row>
    <row r="14" spans="1:52">
      <c r="B14" s="1376"/>
      <c r="C14" s="1423"/>
      <c r="D14" s="1377"/>
      <c r="E14" s="1424" t="s">
        <v>668</v>
      </c>
      <c r="F14" s="1377" t="s">
        <v>163</v>
      </c>
      <c r="G14" s="1425" t="s">
        <v>174</v>
      </c>
      <c r="H14" s="1425" t="s">
        <v>703</v>
      </c>
      <c r="I14" s="1377" t="s">
        <v>175</v>
      </c>
      <c r="J14" s="1611" t="s">
        <v>302</v>
      </c>
      <c r="K14" s="1426" t="s">
        <v>1415</v>
      </c>
      <c r="L14" s="1426" t="s">
        <v>303</v>
      </c>
      <c r="M14" s="1427" t="s">
        <v>303</v>
      </c>
      <c r="N14" s="1427" t="s">
        <v>303</v>
      </c>
      <c r="O14" s="1427" t="s">
        <v>303</v>
      </c>
      <c r="P14" s="1427" t="s">
        <v>303</v>
      </c>
      <c r="Q14" s="1427" t="s">
        <v>303</v>
      </c>
      <c r="R14" s="1427" t="s">
        <v>303</v>
      </c>
      <c r="S14" s="1426"/>
      <c r="T14" s="1427"/>
      <c r="U14" s="1427"/>
      <c r="V14" s="1427"/>
      <c r="W14" s="1427"/>
      <c r="X14" s="1427"/>
      <c r="Y14" s="1427"/>
      <c r="Z14" s="1427"/>
      <c r="AA14" s="1428">
        <f>9*28.01/24.45*1000</f>
        <v>10310.429447852763</v>
      </c>
      <c r="AB14" s="1429">
        <f>35*28.01/24.45*1000</f>
        <v>40096.1145194274</v>
      </c>
      <c r="AC14" s="1429">
        <f>(100/1000)*46.0055/24.45*1000</f>
        <v>188.16155419222903</v>
      </c>
      <c r="AD14" s="1429">
        <f>(53/1000)*46.0055/24.45*1000</f>
        <v>99.725623721881377</v>
      </c>
      <c r="AE14" s="1430">
        <v>12</v>
      </c>
      <c r="AF14" s="1430">
        <v>35</v>
      </c>
      <c r="AG14" s="1430">
        <v>150</v>
      </c>
      <c r="AH14" s="1431">
        <f>(75/1000)*64.066/24.45*1000</f>
        <v>196.52147239263803</v>
      </c>
      <c r="AI14" s="1427" t="s">
        <v>1626</v>
      </c>
      <c r="AJ14" s="1427" t="s">
        <v>1627</v>
      </c>
      <c r="AK14" s="1427" t="s">
        <v>1627</v>
      </c>
      <c r="AL14" s="1427" t="s">
        <v>1628</v>
      </c>
      <c r="AM14" s="1427" t="s">
        <v>1628</v>
      </c>
      <c r="AN14" s="1427" t="s">
        <v>1629</v>
      </c>
      <c r="AO14" s="1427" t="s">
        <v>1629</v>
      </c>
      <c r="AP14" s="1427" t="s">
        <v>1627</v>
      </c>
      <c r="AQ14" s="1376"/>
      <c r="AR14" s="1377"/>
      <c r="AS14" s="1377"/>
      <c r="AT14" s="1377"/>
      <c r="AU14" s="1377"/>
      <c r="AV14" s="1377"/>
      <c r="AW14" s="1377"/>
      <c r="AX14" s="1377"/>
      <c r="AY14" s="1432"/>
      <c r="AZ14" s="13"/>
    </row>
    <row r="15" spans="1:52">
      <c r="B15" s="33"/>
      <c r="K15" s="90"/>
      <c r="S15" s="33"/>
      <c r="AA15" s="33"/>
      <c r="AH15" s="1433"/>
      <c r="AQ15" s="283"/>
      <c r="AR15" s="421"/>
      <c r="AS15" s="421"/>
      <c r="AT15" s="421"/>
      <c r="AU15" s="421"/>
      <c r="AV15" s="421"/>
      <c r="AW15" s="421"/>
      <c r="AX15" s="421"/>
      <c r="AY15" s="284"/>
      <c r="AZ15" s="421"/>
    </row>
    <row r="16" spans="1:52" ht="20.25">
      <c r="A16" s="1434"/>
      <c r="B16" s="1435" t="s">
        <v>1630</v>
      </c>
      <c r="C16" s="1436"/>
      <c r="D16" s="1436"/>
      <c r="E16" s="1437"/>
      <c r="F16" s="1438"/>
      <c r="G16" s="1439"/>
      <c r="H16" s="1440"/>
      <c r="I16" s="1441"/>
      <c r="J16" s="1442"/>
      <c r="K16" s="1443"/>
      <c r="L16" s="1444"/>
      <c r="M16" s="1444"/>
      <c r="N16" s="1444"/>
      <c r="O16" s="1444"/>
      <c r="P16" s="1445"/>
      <c r="Q16" s="1445"/>
      <c r="R16" s="1445"/>
      <c r="S16" s="1446"/>
      <c r="T16" s="1447"/>
      <c r="U16" s="1447"/>
      <c r="V16" s="1447"/>
      <c r="W16" s="1448"/>
      <c r="X16" s="1448"/>
      <c r="Y16" s="1448"/>
      <c r="Z16" s="1447"/>
      <c r="AA16" s="1446"/>
      <c r="AB16" s="1447"/>
      <c r="AC16" s="1447"/>
      <c r="AD16" s="1447"/>
      <c r="AE16" s="1448"/>
      <c r="AF16" s="1448"/>
      <c r="AG16" s="1448"/>
      <c r="AH16" s="1449"/>
      <c r="AI16" s="1450"/>
      <c r="AJ16" s="1450"/>
      <c r="AK16" s="1450"/>
      <c r="AL16" s="1450"/>
      <c r="AM16" s="1450"/>
      <c r="AN16" s="1450"/>
      <c r="AO16" s="1450"/>
      <c r="AP16" s="1450"/>
      <c r="AQ16" s="1451"/>
      <c r="AR16" s="1452"/>
      <c r="AS16" s="1452"/>
      <c r="AT16" s="1452"/>
      <c r="AU16" s="1452"/>
      <c r="AV16" s="1452"/>
      <c r="AW16" s="1452"/>
      <c r="AX16" s="1452"/>
      <c r="AY16" s="1453"/>
      <c r="AZ16" s="1452"/>
    </row>
    <row r="17" spans="2:52" s="1263" customFormat="1">
      <c r="B17" s="1454"/>
      <c r="C17" s="1455"/>
      <c r="D17" s="1455"/>
      <c r="E17" s="1455"/>
      <c r="F17" s="1455"/>
      <c r="G17" s="1455"/>
      <c r="H17" s="1455"/>
      <c r="I17" s="1455"/>
      <c r="J17" s="1456"/>
      <c r="K17" s="1457"/>
      <c r="L17" s="1458" t="s">
        <v>606</v>
      </c>
      <c r="M17" s="1459" t="s">
        <v>1615</v>
      </c>
      <c r="N17" s="1459" t="s">
        <v>1616</v>
      </c>
      <c r="O17" s="1459" t="s">
        <v>1611</v>
      </c>
      <c r="P17" s="1459" t="s">
        <v>1614</v>
      </c>
      <c r="Q17" s="1459" t="s">
        <v>1613</v>
      </c>
      <c r="R17" s="1459" t="s">
        <v>1612</v>
      </c>
      <c r="S17" s="1454" t="s">
        <v>1631</v>
      </c>
      <c r="T17" s="1455"/>
      <c r="U17" s="1455"/>
      <c r="V17" s="1455"/>
      <c r="W17" s="1455"/>
      <c r="X17" s="1455"/>
      <c r="Y17" s="1455"/>
      <c r="Z17" s="1455"/>
      <c r="AA17" s="1460"/>
      <c r="AB17" s="1455"/>
      <c r="AC17" s="1455"/>
      <c r="AD17" s="1455"/>
      <c r="AE17" s="1455"/>
      <c r="AF17" s="1455"/>
      <c r="AG17" s="1455"/>
      <c r="AH17" s="1461"/>
      <c r="AQ17" s="1462"/>
      <c r="AR17" s="1463"/>
      <c r="AS17" s="1463"/>
      <c r="AT17" s="1463"/>
      <c r="AU17" s="1463"/>
      <c r="AV17" s="1463"/>
      <c r="AW17" s="1463"/>
      <c r="AX17" s="1463"/>
      <c r="AY17" s="1464"/>
      <c r="AZ17" s="1463"/>
    </row>
    <row r="18" spans="2:52">
      <c r="B18" s="768" t="str">
        <f>INDEX(SourceDescription,MATCH($C20,SourceNumber,0),1,1)</f>
        <v>Fume Hood Exhaust 1</v>
      </c>
      <c r="C18" s="1145"/>
      <c r="D18" s="1145"/>
      <c r="E18" s="1145"/>
      <c r="F18" s="1145"/>
      <c r="G18" s="1145"/>
      <c r="H18" s="1145"/>
      <c r="I18" s="1145"/>
      <c r="K18" s="1140"/>
      <c r="L18" s="1145"/>
      <c r="M18" s="1145"/>
      <c r="N18" s="1145"/>
      <c r="O18" s="1145"/>
      <c r="P18" s="1145"/>
      <c r="Q18" s="1145"/>
      <c r="R18" s="1145"/>
      <c r="S18" s="1400"/>
      <c r="T18" s="1145"/>
      <c r="U18" s="1145"/>
      <c r="V18" s="1145"/>
      <c r="W18" s="1145"/>
      <c r="X18" s="1145"/>
      <c r="Y18" s="1145"/>
      <c r="Z18" s="1145"/>
      <c r="AA18" s="1400"/>
      <c r="AB18" s="1145"/>
      <c r="AC18" s="1145"/>
      <c r="AD18" s="1145"/>
      <c r="AE18" s="1145"/>
      <c r="AF18" s="1145"/>
      <c r="AG18" s="1145"/>
      <c r="AH18" s="1465"/>
      <c r="AI18" s="1145"/>
      <c r="AJ18" s="1145"/>
      <c r="AK18" s="1145"/>
      <c r="AL18" s="1145"/>
      <c r="AM18" s="1145"/>
      <c r="AN18" s="1145"/>
      <c r="AO18" s="1145"/>
      <c r="AP18" s="1145"/>
      <c r="AQ18" s="1466"/>
      <c r="AR18" s="1467"/>
      <c r="AS18" s="1467"/>
      <c r="AT18" s="1467"/>
      <c r="AU18" s="1467"/>
      <c r="AV18" s="1467"/>
      <c r="AW18" s="1467"/>
      <c r="AX18" s="1467"/>
      <c r="AY18" s="1468"/>
      <c r="AZ18" s="421"/>
    </row>
    <row r="19" spans="2:52" ht="18.75">
      <c r="B19" s="767" t="str">
        <f>"("&amp;ROUND(INDEX(SourceVolumeFlowRateEnglish,MATCH($C20,SourceNumber,0),1,1),0)&amp;" cfm @ "&amp;ROUND(INDEX(SourceExitVelocityEnglish,MATCH($C20,SourceNumber,0),1,1),0)&amp;" fpm)"</f>
        <v>(1000 cfm @ 2865 fpm)</v>
      </c>
      <c r="C19" s="1145"/>
      <c r="D19" s="1145"/>
      <c r="E19" s="1145"/>
      <c r="F19" s="1145"/>
      <c r="G19" s="1145"/>
      <c r="H19" s="1145"/>
      <c r="I19" s="1145"/>
      <c r="K19" s="1140"/>
      <c r="L19" s="1469"/>
      <c r="M19" s="1383"/>
      <c r="N19" s="1383"/>
      <c r="O19" s="1383"/>
      <c r="P19" s="1383"/>
      <c r="Q19" s="1383"/>
      <c r="R19" s="1470"/>
      <c r="S19" s="1471"/>
      <c r="T19" s="1145"/>
      <c r="U19" s="1145"/>
      <c r="V19" s="1145"/>
      <c r="W19" s="1145"/>
      <c r="X19" s="1145"/>
      <c r="Y19" s="1145"/>
      <c r="Z19" s="1145"/>
      <c r="AA19" s="1400"/>
      <c r="AB19" s="1145"/>
      <c r="AC19" s="1145"/>
      <c r="AD19" s="1145"/>
      <c r="AE19" s="1145"/>
      <c r="AF19" s="1145"/>
      <c r="AG19" s="1145"/>
      <c r="AH19" s="1465"/>
      <c r="AI19" s="1145"/>
      <c r="AJ19" s="1145"/>
      <c r="AK19" s="1145"/>
      <c r="AL19" s="1145"/>
      <c r="AM19" s="1145"/>
      <c r="AN19" s="1145"/>
      <c r="AO19" s="1145"/>
      <c r="AP19" s="1145"/>
      <c r="AQ19" s="1466"/>
      <c r="AR19" s="1467"/>
      <c r="AS19" s="1467"/>
      <c r="AT19" s="1467"/>
      <c r="AU19" s="1467"/>
      <c r="AV19" s="1467"/>
      <c r="AW19" s="1467"/>
      <c r="AX19" s="1467"/>
      <c r="AY19" s="1468"/>
      <c r="AZ19" s="421"/>
    </row>
    <row r="20" spans="2:52">
      <c r="B20" s="766">
        <v>101</v>
      </c>
      <c r="C20" s="1472" t="str">
        <f t="shared" ref="C20:C36" si="0">INDEX(TPSourceLetter,MATCH($B20,TPRunNumber,0),1,1)</f>
        <v>AA</v>
      </c>
      <c r="D20" s="1472" t="str">
        <f>INDEX(SourceID,MATCH($C20,SourceNumber,0),1,1)</f>
        <v>EF-1</v>
      </c>
      <c r="E20" s="1473">
        <f t="shared" ref="E20:E36" si="1">INDEX(TPSourceHeight,MATCH($B20,TPRunNumber,0),1,1)</f>
        <v>10</v>
      </c>
      <c r="F20" s="1486" t="str">
        <f t="shared" ref="F20:F36" si="2">INDEX(TPReceptorID1,MATCH($B20,TPRunNumber,0),1,1)&amp;INDEX(TPReceptorID2,MATCH($B20,TPRunNumber,0),1,1)</f>
        <v>1 - Receptor 1</v>
      </c>
      <c r="G20" s="1474">
        <f t="shared" ref="G20:G36" si="3">INDEX(TPWWD,MATCH($B20,TPRunNumber,0),1,1)</f>
        <v>0</v>
      </c>
      <c r="H20" s="1475">
        <f t="shared" ref="H20:H36" si="4">INDEX(TPWWS,MATCH($B20,TPRunNumber,0),1,1)</f>
        <v>0</v>
      </c>
      <c r="I20" s="1476">
        <f t="shared" ref="I20:I36" si="5">INDEX(TPMaxCm,MATCH($B20,TPRunNumber,0),1,1)</f>
        <v>0</v>
      </c>
      <c r="J20" s="1477">
        <f>I20*K20</f>
        <v>0</v>
      </c>
      <c r="K20" s="1478">
        <f>INDEX(SourceVolumeFlowRate,MATCH($C20,SourceNumber,0),1,1)</f>
        <v>0.47231008449287359</v>
      </c>
      <c r="L20" s="1601" t="s">
        <v>1645</v>
      </c>
      <c r="M20" s="1479"/>
      <c r="N20" s="1479"/>
      <c r="O20" s="1479"/>
      <c r="P20" s="1479"/>
      <c r="Q20" s="1479"/>
      <c r="R20" s="1479"/>
      <c r="S20" s="1602" t="e">
        <f>L20*I20</f>
        <v>#VALUE!</v>
      </c>
      <c r="T20" s="1603" t="e">
        <f>L20*I20</f>
        <v>#VALUE!</v>
      </c>
      <c r="U20" s="1603">
        <f>O20*I20</f>
        <v>0</v>
      </c>
      <c r="V20" s="1603">
        <f>O20*I20</f>
        <v>0</v>
      </c>
      <c r="W20" s="1603">
        <f>IF(ISNA(R20*I20),"-",R20*I20)</f>
        <v>0</v>
      </c>
      <c r="X20" s="1603">
        <f>IF(ISNA(R20*I20),"-",R20*I20)</f>
        <v>0</v>
      </c>
      <c r="Y20" s="1603">
        <f>IF(ISNA(Q20*I20),"-",Q20*I20)</f>
        <v>0</v>
      </c>
      <c r="Z20" s="1603">
        <f>IF(ISNA(P20*I20),"-",P20*I20)</f>
        <v>0</v>
      </c>
      <c r="AA20" s="1482">
        <f>9*28.01/24.45*1000</f>
        <v>10310.429447852763</v>
      </c>
      <c r="AB20" s="1483">
        <f>35*28.01/24.45*1000</f>
        <v>40096.1145194274</v>
      </c>
      <c r="AC20" s="1483">
        <f>(100/1000)*46.0055/24.45*1000</f>
        <v>188.16155419222903</v>
      </c>
      <c r="AD20" s="1483">
        <f>(53/1000)*46.0055/24.45*1000</f>
        <v>99.725623721881377</v>
      </c>
      <c r="AE20" s="1484">
        <v>12</v>
      </c>
      <c r="AF20" s="1484">
        <v>35</v>
      </c>
      <c r="AG20" s="1484">
        <v>150</v>
      </c>
      <c r="AH20" s="1485">
        <f>(75/1000)*64.066/24.45*1000</f>
        <v>196.52147239263803</v>
      </c>
      <c r="AI20" s="1483" t="e">
        <f>AA20/L20</f>
        <v>#VALUE!</v>
      </c>
      <c r="AJ20" s="1483" t="e">
        <f>AB20/L20</f>
        <v>#VALUE!</v>
      </c>
      <c r="AK20" s="1483" t="e">
        <f>AC20/O20</f>
        <v>#DIV/0!</v>
      </c>
      <c r="AL20" s="1483" t="e">
        <f>AD20/O20</f>
        <v>#DIV/0!</v>
      </c>
      <c r="AM20" s="1483" t="e">
        <f>AE20/R20</f>
        <v>#DIV/0!</v>
      </c>
      <c r="AN20" s="1483" t="e">
        <f>AF20/R20</f>
        <v>#DIV/0!</v>
      </c>
      <c r="AO20" s="1483" t="e">
        <f>AG20/Q20</f>
        <v>#DIV/0!</v>
      </c>
      <c r="AP20" s="1483" t="e">
        <f>AH20/P20</f>
        <v>#DIV/0!</v>
      </c>
      <c r="AQ20" s="1466"/>
      <c r="AR20" s="1467"/>
      <c r="AS20" s="1467"/>
      <c r="AT20" s="1467"/>
      <c r="AU20" s="1467"/>
      <c r="AV20" s="1467"/>
      <c r="AW20" s="1467"/>
      <c r="AX20" s="1467"/>
      <c r="AY20" s="1468"/>
      <c r="AZ20" s="421"/>
    </row>
    <row r="21" spans="2:52">
      <c r="B21" s="766">
        <v>102</v>
      </c>
      <c r="C21" s="1472" t="str">
        <f t="shared" si="0"/>
        <v>AA</v>
      </c>
      <c r="D21" s="1472" t="str">
        <f>INDEX(SourceID,MATCH($C21,SourceNumber,0),1,1)</f>
        <v>EF-1</v>
      </c>
      <c r="E21" s="1473">
        <f t="shared" si="1"/>
        <v>10</v>
      </c>
      <c r="F21" s="1486" t="str">
        <f t="shared" si="2"/>
        <v>2 - Receptor 2</v>
      </c>
      <c r="G21" s="1474">
        <f t="shared" si="3"/>
        <v>0</v>
      </c>
      <c r="H21" s="1475">
        <f t="shared" si="4"/>
        <v>0</v>
      </c>
      <c r="I21" s="1476">
        <f t="shared" si="5"/>
        <v>0</v>
      </c>
      <c r="J21" s="1477">
        <f>I21*K21</f>
        <v>0</v>
      </c>
      <c r="K21" s="1478">
        <f>INDEX(SourceVolumeFlowRate,MATCH($C21,SourceNumber,0),1,1)</f>
        <v>0.47231008449287359</v>
      </c>
      <c r="L21" s="1479"/>
      <c r="M21" s="1479"/>
      <c r="N21" s="1479"/>
      <c r="O21" s="1479"/>
      <c r="P21" s="1479"/>
      <c r="Q21" s="1479"/>
      <c r="R21" s="1479"/>
      <c r="S21" s="1602">
        <f>L21*I21</f>
        <v>0</v>
      </c>
      <c r="T21" s="1603">
        <f>L21*I21</f>
        <v>0</v>
      </c>
      <c r="U21" s="1603">
        <f>O21*I21</f>
        <v>0</v>
      </c>
      <c r="V21" s="1603">
        <f>O21*I21</f>
        <v>0</v>
      </c>
      <c r="W21" s="1603">
        <f t="shared" ref="W21:W23" si="6">IF(ISNA(R21*I21),"-",R21*I21)</f>
        <v>0</v>
      </c>
      <c r="X21" s="1603">
        <f t="shared" ref="X21:X23" si="7">IF(ISNA(R21*I21),"-",R21*I21)</f>
        <v>0</v>
      </c>
      <c r="Y21" s="1603">
        <f t="shared" ref="Y21:Y23" si="8">IF(ISNA(Q21*I21),"-",Q21*I21)</f>
        <v>0</v>
      </c>
      <c r="Z21" s="1603">
        <f t="shared" ref="Z21:Z23" si="9">IF(ISNA(P21*I21),"-",P21*I21)</f>
        <v>0</v>
      </c>
      <c r="AA21" s="1482">
        <f>9*28.01/24.45*1000</f>
        <v>10310.429447852763</v>
      </c>
      <c r="AB21" s="1483">
        <f>35*28.01/24.45*1000</f>
        <v>40096.1145194274</v>
      </c>
      <c r="AC21" s="1483">
        <f>(100/1000)*46.0055/24.45*1000</f>
        <v>188.16155419222903</v>
      </c>
      <c r="AD21" s="1483">
        <f>(53/1000)*46.0055/24.45*1000</f>
        <v>99.725623721881377</v>
      </c>
      <c r="AE21" s="1484">
        <v>12</v>
      </c>
      <c r="AF21" s="1484">
        <v>35</v>
      </c>
      <c r="AG21" s="1484">
        <v>150</v>
      </c>
      <c r="AH21" s="1485">
        <f>(75/1000)*64.066/24.45*1000</f>
        <v>196.52147239263803</v>
      </c>
      <c r="AI21" s="1483" t="e">
        <f>AA21/L21</f>
        <v>#DIV/0!</v>
      </c>
      <c r="AJ21" s="1483" t="e">
        <f>AB21/L21</f>
        <v>#DIV/0!</v>
      </c>
      <c r="AK21" s="1483" t="e">
        <f>AC21/O21</f>
        <v>#DIV/0!</v>
      </c>
      <c r="AL21" s="1483" t="e">
        <f>AD21/O21</f>
        <v>#DIV/0!</v>
      </c>
      <c r="AM21" s="1483" t="e">
        <f>AE21/R21</f>
        <v>#DIV/0!</v>
      </c>
      <c r="AN21" s="1483" t="e">
        <f>AF21/R21</f>
        <v>#DIV/0!</v>
      </c>
      <c r="AO21" s="1483" t="e">
        <f>AG21/Q21</f>
        <v>#DIV/0!</v>
      </c>
      <c r="AP21" s="1483" t="e">
        <f>AH21/P21</f>
        <v>#DIV/0!</v>
      </c>
      <c r="AQ21" s="1466"/>
      <c r="AR21" s="1467"/>
      <c r="AS21" s="1467"/>
      <c r="AT21" s="1467"/>
      <c r="AU21" s="1467"/>
      <c r="AV21" s="1467"/>
      <c r="AW21" s="1467"/>
      <c r="AX21" s="1467"/>
      <c r="AY21" s="1468"/>
      <c r="AZ21" s="421"/>
    </row>
    <row r="22" spans="2:52">
      <c r="B22" s="766">
        <v>103</v>
      </c>
      <c r="C22" s="1472" t="str">
        <f t="shared" si="0"/>
        <v>AA</v>
      </c>
      <c r="D22" s="1472" t="str">
        <f>INDEX(SourceID,MATCH($C22,SourceNumber,0),1,1)</f>
        <v>EF-1</v>
      </c>
      <c r="E22" s="1473">
        <f t="shared" si="1"/>
        <v>10</v>
      </c>
      <c r="F22" s="1486" t="str">
        <f t="shared" si="2"/>
        <v>3 - Receptor 3</v>
      </c>
      <c r="G22" s="1474">
        <f t="shared" si="3"/>
        <v>0</v>
      </c>
      <c r="H22" s="1475">
        <f t="shared" si="4"/>
        <v>0</v>
      </c>
      <c r="I22" s="1476">
        <f t="shared" si="5"/>
        <v>0</v>
      </c>
      <c r="J22" s="1477">
        <f>I22*K22</f>
        <v>0</v>
      </c>
      <c r="K22" s="1478">
        <f>INDEX(SourceVolumeFlowRate,MATCH($C22,SourceNumber,0),1,1)</f>
        <v>0.47231008449287359</v>
      </c>
      <c r="L22" s="1479"/>
      <c r="M22" s="1479"/>
      <c r="N22" s="1479"/>
      <c r="O22" s="1479"/>
      <c r="P22" s="1479"/>
      <c r="Q22" s="1479"/>
      <c r="R22" s="1479"/>
      <c r="S22" s="1602">
        <f>L22*I22</f>
        <v>0</v>
      </c>
      <c r="T22" s="1603">
        <f>L22*I22</f>
        <v>0</v>
      </c>
      <c r="U22" s="1603">
        <f>O22*I22</f>
        <v>0</v>
      </c>
      <c r="V22" s="1603">
        <f>O22*I22</f>
        <v>0</v>
      </c>
      <c r="W22" s="1603">
        <f t="shared" si="6"/>
        <v>0</v>
      </c>
      <c r="X22" s="1603">
        <f t="shared" si="7"/>
        <v>0</v>
      </c>
      <c r="Y22" s="1603">
        <f t="shared" si="8"/>
        <v>0</v>
      </c>
      <c r="Z22" s="1603">
        <f t="shared" si="9"/>
        <v>0</v>
      </c>
      <c r="AA22" s="1482">
        <f>9*28.01/24.45*1000</f>
        <v>10310.429447852763</v>
      </c>
      <c r="AB22" s="1483">
        <f>35*28.01/24.45*1000</f>
        <v>40096.1145194274</v>
      </c>
      <c r="AC22" s="1483">
        <f>(100/1000)*46.0055/24.45*1000</f>
        <v>188.16155419222903</v>
      </c>
      <c r="AD22" s="1483">
        <f>(53/1000)*46.0055/24.45*1000</f>
        <v>99.725623721881377</v>
      </c>
      <c r="AE22" s="1484">
        <v>12</v>
      </c>
      <c r="AF22" s="1484">
        <v>35</v>
      </c>
      <c r="AG22" s="1484">
        <v>150</v>
      </c>
      <c r="AH22" s="1485">
        <f>(75/1000)*64.066/24.45*1000</f>
        <v>196.52147239263803</v>
      </c>
      <c r="AI22" s="1483" t="e">
        <f>AA22/L22</f>
        <v>#DIV/0!</v>
      </c>
      <c r="AJ22" s="1483" t="e">
        <f>AB22/L22</f>
        <v>#DIV/0!</v>
      </c>
      <c r="AK22" s="1483" t="e">
        <f>AC22/O22</f>
        <v>#DIV/0!</v>
      </c>
      <c r="AL22" s="1483" t="e">
        <f>AD22/O22</f>
        <v>#DIV/0!</v>
      </c>
      <c r="AM22" s="1483" t="e">
        <f>AE22/R22</f>
        <v>#DIV/0!</v>
      </c>
      <c r="AN22" s="1483" t="e">
        <f>AF22/R22</f>
        <v>#DIV/0!</v>
      </c>
      <c r="AO22" s="1483" t="e">
        <f>AG22/Q22</f>
        <v>#DIV/0!</v>
      </c>
      <c r="AP22" s="1483" t="e">
        <f>AH22/P22</f>
        <v>#DIV/0!</v>
      </c>
      <c r="AQ22" s="1466"/>
      <c r="AR22" s="1467"/>
      <c r="AS22" s="1467"/>
      <c r="AT22" s="1467"/>
      <c r="AU22" s="1467"/>
      <c r="AV22" s="1467"/>
      <c r="AW22" s="1467"/>
      <c r="AX22" s="1467"/>
      <c r="AY22" s="1468"/>
      <c r="AZ22" s="421"/>
    </row>
    <row r="23" spans="2:52">
      <c r="B23" s="766">
        <v>104</v>
      </c>
      <c r="C23" s="1472" t="str">
        <f t="shared" si="0"/>
        <v>AA</v>
      </c>
      <c r="D23" s="1472" t="str">
        <f>INDEX(SourceID,MATCH($C23,SourceNumber,0),1,1)</f>
        <v>EF-1</v>
      </c>
      <c r="E23" s="1473">
        <f t="shared" si="1"/>
        <v>10</v>
      </c>
      <c r="F23" s="1486" t="str">
        <f t="shared" si="2"/>
        <v>4 - Receptor 4</v>
      </c>
      <c r="G23" s="1474">
        <f t="shared" si="3"/>
        <v>0</v>
      </c>
      <c r="H23" s="1475">
        <f t="shared" si="4"/>
        <v>0</v>
      </c>
      <c r="I23" s="1476">
        <f t="shared" si="5"/>
        <v>0</v>
      </c>
      <c r="J23" s="1477">
        <f>I23*K23</f>
        <v>0</v>
      </c>
      <c r="K23" s="1478">
        <f>INDEX(SourceVolumeFlowRate,MATCH($C23,SourceNumber,0),1,1)</f>
        <v>0.47231008449287359</v>
      </c>
      <c r="L23" s="1479"/>
      <c r="M23" s="1479"/>
      <c r="N23" s="1479"/>
      <c r="O23" s="1479"/>
      <c r="P23" s="1479"/>
      <c r="Q23" s="1479"/>
      <c r="R23" s="1479"/>
      <c r="S23" s="1602">
        <f>L23*I23</f>
        <v>0</v>
      </c>
      <c r="T23" s="1603">
        <f>L23*I23</f>
        <v>0</v>
      </c>
      <c r="U23" s="1603">
        <f>O23*I23</f>
        <v>0</v>
      </c>
      <c r="V23" s="1603">
        <f>O23*I23</f>
        <v>0</v>
      </c>
      <c r="W23" s="1603">
        <f t="shared" si="6"/>
        <v>0</v>
      </c>
      <c r="X23" s="1603">
        <f t="shared" si="7"/>
        <v>0</v>
      </c>
      <c r="Y23" s="1603">
        <f t="shared" si="8"/>
        <v>0</v>
      </c>
      <c r="Z23" s="1603">
        <f t="shared" si="9"/>
        <v>0</v>
      </c>
      <c r="AA23" s="1482">
        <f>9*28.01/24.45*1000</f>
        <v>10310.429447852763</v>
      </c>
      <c r="AB23" s="1483">
        <f>35*28.01/24.45*1000</f>
        <v>40096.1145194274</v>
      </c>
      <c r="AC23" s="1483">
        <f>(100/1000)*46.0055/24.45*1000</f>
        <v>188.16155419222903</v>
      </c>
      <c r="AD23" s="1483">
        <f>(53/1000)*46.0055/24.45*1000</f>
        <v>99.725623721881377</v>
      </c>
      <c r="AE23" s="1484">
        <v>12</v>
      </c>
      <c r="AF23" s="1484">
        <v>35</v>
      </c>
      <c r="AG23" s="1484">
        <v>150</v>
      </c>
      <c r="AH23" s="1485">
        <f>(75/1000)*64.066/24.45*1000</f>
        <v>196.52147239263803</v>
      </c>
      <c r="AI23" s="1483" t="e">
        <f>AA23/L23</f>
        <v>#DIV/0!</v>
      </c>
      <c r="AJ23" s="1483" t="e">
        <f>AB23/L23</f>
        <v>#DIV/0!</v>
      </c>
      <c r="AK23" s="1483" t="e">
        <f>AC23/O23</f>
        <v>#DIV/0!</v>
      </c>
      <c r="AL23" s="1483" t="e">
        <f>AD23/O23</f>
        <v>#DIV/0!</v>
      </c>
      <c r="AM23" s="1483" t="e">
        <f>AE23/R23</f>
        <v>#DIV/0!</v>
      </c>
      <c r="AN23" s="1483" t="e">
        <f>AF23/R23</f>
        <v>#DIV/0!</v>
      </c>
      <c r="AO23" s="1483" t="e">
        <f>AG23/Q23</f>
        <v>#DIV/0!</v>
      </c>
      <c r="AP23" s="1483" t="e">
        <f>AH23/P23</f>
        <v>#DIV/0!</v>
      </c>
      <c r="AQ23" s="1466"/>
      <c r="AR23" s="1467"/>
      <c r="AS23" s="1467"/>
      <c r="AT23" s="1467"/>
      <c r="AU23" s="1467"/>
      <c r="AV23" s="1467"/>
      <c r="AW23" s="1467"/>
      <c r="AX23" s="1467"/>
      <c r="AY23" s="1468"/>
      <c r="AZ23" s="421"/>
    </row>
    <row r="24" spans="2:52">
      <c r="B24" s="766"/>
      <c r="C24" s="1472"/>
      <c r="D24" s="1472"/>
      <c r="E24" s="1473"/>
      <c r="F24" s="1486"/>
      <c r="G24" s="1474"/>
      <c r="H24" s="1475"/>
      <c r="I24" s="1476"/>
      <c r="J24" s="1477"/>
      <c r="K24" s="1478"/>
      <c r="L24" s="1487"/>
      <c r="M24" s="1487"/>
      <c r="N24" s="1487"/>
      <c r="O24" s="1487"/>
      <c r="P24" s="1487"/>
      <c r="Q24" s="1487"/>
      <c r="R24" s="1487"/>
      <c r="S24" s="1602"/>
      <c r="T24" s="1603"/>
      <c r="U24" s="1603"/>
      <c r="V24" s="1603"/>
      <c r="W24" s="1603"/>
      <c r="X24" s="1603"/>
      <c r="Y24" s="1603"/>
      <c r="Z24" s="1603"/>
      <c r="AA24" s="1482"/>
      <c r="AB24" s="1483"/>
      <c r="AC24" s="1483"/>
      <c r="AD24" s="1483"/>
      <c r="AE24" s="1484"/>
      <c r="AF24" s="1484"/>
      <c r="AG24" s="1484"/>
      <c r="AH24" s="1485"/>
      <c r="AI24" s="1483"/>
      <c r="AJ24" s="1483"/>
      <c r="AK24" s="1483"/>
      <c r="AL24" s="1483"/>
      <c r="AM24" s="1483"/>
      <c r="AN24" s="1483"/>
      <c r="AO24" s="1483"/>
      <c r="AP24" s="1483"/>
      <c r="AQ24" s="1466"/>
      <c r="AR24" s="1467"/>
      <c r="AS24" s="1467"/>
      <c r="AT24" s="1467"/>
      <c r="AU24" s="1467"/>
      <c r="AV24" s="1467"/>
      <c r="AW24" s="1467"/>
      <c r="AX24" s="1467"/>
      <c r="AY24" s="1468"/>
      <c r="AZ24" s="421"/>
    </row>
    <row r="25" spans="2:52">
      <c r="B25" s="768" t="e">
        <f>INDEX(SourceDescription,MATCH($C27,SourceNumber,0),1,1)</f>
        <v>#N/A</v>
      </c>
      <c r="C25" s="1145"/>
      <c r="D25" s="1145"/>
      <c r="E25" s="1145"/>
      <c r="F25" s="1145"/>
      <c r="G25" s="1145"/>
      <c r="H25" s="1145"/>
      <c r="I25" s="1145"/>
      <c r="K25" s="1140"/>
      <c r="L25" s="1383"/>
      <c r="M25" s="1383"/>
      <c r="N25" s="1383"/>
      <c r="O25" s="1383"/>
      <c r="P25" s="1383"/>
      <c r="Q25" s="1383"/>
      <c r="R25" s="1383"/>
      <c r="S25" s="33"/>
      <c r="AA25" s="1400"/>
      <c r="AB25" s="1145"/>
      <c r="AC25" s="1145"/>
      <c r="AD25" s="1145"/>
      <c r="AE25" s="1145"/>
      <c r="AF25" s="1145"/>
      <c r="AG25" s="1145"/>
      <c r="AH25" s="1465"/>
      <c r="AI25" s="1145"/>
      <c r="AJ25" s="1145"/>
      <c r="AK25" s="1145"/>
      <c r="AL25" s="1145"/>
      <c r="AM25" s="1145"/>
      <c r="AN25" s="1145"/>
      <c r="AO25" s="1145"/>
      <c r="AP25" s="1145"/>
      <c r="AQ25" s="1466"/>
      <c r="AR25" s="1467"/>
      <c r="AS25" s="1467"/>
      <c r="AT25" s="1467"/>
      <c r="AU25" s="1467"/>
      <c r="AV25" s="1467"/>
      <c r="AW25" s="1467"/>
      <c r="AX25" s="1467"/>
      <c r="AY25" s="1468"/>
      <c r="AZ25" s="421"/>
    </row>
    <row r="26" spans="2:52" ht="18.75">
      <c r="B26" s="767" t="e">
        <f>"("&amp;ROUND(INDEX(SourceVolumeFlowRateEnglish,MATCH($C27,SourceNumber,0),1,1),0)&amp;" cfm @ "&amp;ROUND(INDEX(SourceExitVelocityEnglish,MATCH($C27,SourceNumber,0),1,1),0)&amp;" fpm)"</f>
        <v>#N/A</v>
      </c>
      <c r="C26" s="1145"/>
      <c r="D26" s="1145"/>
      <c r="E26" s="1145"/>
      <c r="F26" s="1145"/>
      <c r="G26" s="1145"/>
      <c r="H26" s="1145"/>
      <c r="I26" s="1145"/>
      <c r="K26" s="1140"/>
      <c r="L26" s="1469"/>
      <c r="M26" s="1383"/>
      <c r="N26" s="1383"/>
      <c r="O26" s="1383"/>
      <c r="P26" s="1383"/>
      <c r="Q26" s="1383"/>
      <c r="R26" s="1470"/>
      <c r="S26" s="1604"/>
      <c r="AA26" s="1400"/>
      <c r="AB26" s="1145"/>
      <c r="AC26" s="1145"/>
      <c r="AD26" s="1145"/>
      <c r="AE26" s="1145"/>
      <c r="AF26" s="1145"/>
      <c r="AG26" s="1145"/>
      <c r="AH26" s="1465"/>
      <c r="AI26" s="1145"/>
      <c r="AJ26" s="1145"/>
      <c r="AK26" s="1145"/>
      <c r="AL26" s="1145"/>
      <c r="AM26" s="1145"/>
      <c r="AN26" s="1145"/>
      <c r="AO26" s="1145"/>
      <c r="AP26" s="1145"/>
      <c r="AQ26" s="1466"/>
      <c r="AR26" s="1467"/>
      <c r="AS26" s="1467"/>
      <c r="AT26" s="1467"/>
      <c r="AU26" s="1467"/>
      <c r="AV26" s="1467"/>
      <c r="AW26" s="1467"/>
      <c r="AX26" s="1467"/>
      <c r="AY26" s="1468"/>
      <c r="AZ26" s="421"/>
    </row>
    <row r="27" spans="2:52">
      <c r="B27" s="766">
        <v>201</v>
      </c>
      <c r="C27" s="1472" t="e">
        <f t="shared" si="0"/>
        <v>#N/A</v>
      </c>
      <c r="D27" s="1472" t="e">
        <f>INDEX(SourceID,MATCH($C27,SourceNumber,0),1,1)</f>
        <v>#N/A</v>
      </c>
      <c r="E27" s="1473" t="e">
        <f t="shared" si="1"/>
        <v>#N/A</v>
      </c>
      <c r="F27" s="1486" t="e">
        <f t="shared" si="2"/>
        <v>#N/A</v>
      </c>
      <c r="G27" s="1474" t="e">
        <f t="shared" si="3"/>
        <v>#N/A</v>
      </c>
      <c r="H27" s="1475" t="e">
        <f t="shared" si="4"/>
        <v>#N/A</v>
      </c>
      <c r="I27" s="1476" t="e">
        <f t="shared" si="5"/>
        <v>#N/A</v>
      </c>
      <c r="J27" s="1477" t="e">
        <f>I27*K27</f>
        <v>#N/A</v>
      </c>
      <c r="K27" s="1478" t="e">
        <f>INDEX(SourceVolumeFlowRate,MATCH($C27,SourceNumber,0),1,1)</f>
        <v>#N/A</v>
      </c>
      <c r="L27" s="1479"/>
      <c r="M27" s="1479"/>
      <c r="N27" s="1479"/>
      <c r="O27" s="1479"/>
      <c r="P27" s="1479"/>
      <c r="Q27" s="1479"/>
      <c r="R27" s="1479"/>
      <c r="S27" s="1602" t="e">
        <f>L27*I27</f>
        <v>#N/A</v>
      </c>
      <c r="T27" s="1603" t="e">
        <f>L27*I27</f>
        <v>#N/A</v>
      </c>
      <c r="U27" s="1603" t="e">
        <f>O27*I27</f>
        <v>#N/A</v>
      </c>
      <c r="V27" s="1603" t="e">
        <f>O27*I27</f>
        <v>#N/A</v>
      </c>
      <c r="W27" s="1603" t="str">
        <f t="shared" ref="W27:W28" si="10">IF(ISNA(R27*I27),"-",R27*I27)</f>
        <v>-</v>
      </c>
      <c r="X27" s="1603" t="str">
        <f t="shared" ref="X27:X28" si="11">IF(ISNA(R27*I27),"-",R27*I27)</f>
        <v>-</v>
      </c>
      <c r="Y27" s="1603" t="str">
        <f t="shared" ref="Y27:Y28" si="12">IF(ISNA(Q27*I27),"-",Q27*I27)</f>
        <v>-</v>
      </c>
      <c r="Z27" s="1603" t="str">
        <f t="shared" ref="Z27:Z28" si="13">IF(ISNA(P27*I27),"-",P27*I27)</f>
        <v>-</v>
      </c>
      <c r="AA27" s="1482">
        <f>9*28.01/24.45*1000</f>
        <v>10310.429447852763</v>
      </c>
      <c r="AB27" s="1483">
        <f>35*28.01/24.45*1000</f>
        <v>40096.1145194274</v>
      </c>
      <c r="AC27" s="1483">
        <f>(100/1000)*46.0055/24.45*1000</f>
        <v>188.16155419222903</v>
      </c>
      <c r="AD27" s="1483">
        <f>(53/1000)*46.0055/24.45*1000</f>
        <v>99.725623721881377</v>
      </c>
      <c r="AE27" s="1484">
        <v>12</v>
      </c>
      <c r="AF27" s="1484">
        <v>35</v>
      </c>
      <c r="AG27" s="1484">
        <v>150</v>
      </c>
      <c r="AH27" s="1485">
        <f>(75/1000)*64.066/24.45*1000</f>
        <v>196.52147239263803</v>
      </c>
      <c r="AI27" s="1483" t="e">
        <f>AA27/L27</f>
        <v>#DIV/0!</v>
      </c>
      <c r="AJ27" s="1483" t="e">
        <f>AB27/L27</f>
        <v>#DIV/0!</v>
      </c>
      <c r="AK27" s="1483" t="e">
        <f>AC27/O27</f>
        <v>#DIV/0!</v>
      </c>
      <c r="AL27" s="1483" t="e">
        <f>AD27/O27</f>
        <v>#DIV/0!</v>
      </c>
      <c r="AM27" s="1483" t="e">
        <f>AE27/R27</f>
        <v>#DIV/0!</v>
      </c>
      <c r="AN27" s="1483" t="e">
        <f>AF27/R27</f>
        <v>#DIV/0!</v>
      </c>
      <c r="AO27" s="1483" t="e">
        <f>AG27/Q27</f>
        <v>#DIV/0!</v>
      </c>
      <c r="AP27" s="1483" t="e">
        <f>AH27/P27</f>
        <v>#DIV/0!</v>
      </c>
      <c r="AQ27" s="1466"/>
      <c r="AR27" s="1467"/>
      <c r="AS27" s="1467"/>
      <c r="AT27" s="1467"/>
      <c r="AU27" s="1467"/>
      <c r="AV27" s="1467"/>
      <c r="AW27" s="1467"/>
      <c r="AX27" s="1467"/>
      <c r="AY27" s="1468"/>
      <c r="AZ27" s="421"/>
    </row>
    <row r="28" spans="2:52">
      <c r="B28" s="766">
        <v>202</v>
      </c>
      <c r="C28" s="1472" t="e">
        <f t="shared" si="0"/>
        <v>#N/A</v>
      </c>
      <c r="D28" s="1472" t="e">
        <f>INDEX(SourceID,MATCH($C28,SourceNumber,0),1,1)</f>
        <v>#N/A</v>
      </c>
      <c r="E28" s="1473" t="e">
        <f t="shared" si="1"/>
        <v>#N/A</v>
      </c>
      <c r="F28" s="1486" t="e">
        <f t="shared" si="2"/>
        <v>#N/A</v>
      </c>
      <c r="G28" s="1474" t="e">
        <f t="shared" si="3"/>
        <v>#N/A</v>
      </c>
      <c r="H28" s="1475" t="e">
        <f t="shared" si="4"/>
        <v>#N/A</v>
      </c>
      <c r="I28" s="1476" t="e">
        <f t="shared" si="5"/>
        <v>#N/A</v>
      </c>
      <c r="J28" s="1477" t="e">
        <f>I28*K28</f>
        <v>#N/A</v>
      </c>
      <c r="K28" s="1478" t="e">
        <f>INDEX(SourceVolumeFlowRate,MATCH($C28,SourceNumber,0),1,1)</f>
        <v>#N/A</v>
      </c>
      <c r="L28" s="1479"/>
      <c r="M28" s="1479"/>
      <c r="N28" s="1479"/>
      <c r="O28" s="1479"/>
      <c r="P28" s="1479"/>
      <c r="Q28" s="1479"/>
      <c r="R28" s="1479"/>
      <c r="S28" s="1602" t="e">
        <f>L28*I28</f>
        <v>#N/A</v>
      </c>
      <c r="T28" s="1603" t="e">
        <f>L28*I28</f>
        <v>#N/A</v>
      </c>
      <c r="U28" s="1603" t="e">
        <f>O28*I28</f>
        <v>#N/A</v>
      </c>
      <c r="V28" s="1603" t="e">
        <f>O28*I28</f>
        <v>#N/A</v>
      </c>
      <c r="W28" s="1603" t="str">
        <f t="shared" si="10"/>
        <v>-</v>
      </c>
      <c r="X28" s="1603" t="str">
        <f t="shared" si="11"/>
        <v>-</v>
      </c>
      <c r="Y28" s="1603" t="str">
        <f t="shared" si="12"/>
        <v>-</v>
      </c>
      <c r="Z28" s="1603" t="str">
        <f t="shared" si="13"/>
        <v>-</v>
      </c>
      <c r="AA28" s="1482">
        <f>9*28.01/24.45*1000</f>
        <v>10310.429447852763</v>
      </c>
      <c r="AB28" s="1483">
        <f>35*28.01/24.45*1000</f>
        <v>40096.1145194274</v>
      </c>
      <c r="AC28" s="1483">
        <f>(100/1000)*46.0055/24.45*1000</f>
        <v>188.16155419222903</v>
      </c>
      <c r="AD28" s="1483">
        <f>(53/1000)*46.0055/24.45*1000</f>
        <v>99.725623721881377</v>
      </c>
      <c r="AE28" s="1484">
        <v>12</v>
      </c>
      <c r="AF28" s="1484">
        <v>35</v>
      </c>
      <c r="AG28" s="1484">
        <v>150</v>
      </c>
      <c r="AH28" s="1485">
        <f>(75/1000)*64.066/24.45*1000</f>
        <v>196.52147239263803</v>
      </c>
      <c r="AI28" s="1483" t="e">
        <f>AA28/L28</f>
        <v>#DIV/0!</v>
      </c>
      <c r="AJ28" s="1483" t="e">
        <f>AB28/L28</f>
        <v>#DIV/0!</v>
      </c>
      <c r="AK28" s="1483" t="e">
        <f>AC28/O28</f>
        <v>#DIV/0!</v>
      </c>
      <c r="AL28" s="1483" t="e">
        <f>AD28/O28</f>
        <v>#DIV/0!</v>
      </c>
      <c r="AM28" s="1483" t="e">
        <f>AE28/R28</f>
        <v>#DIV/0!</v>
      </c>
      <c r="AN28" s="1483" t="e">
        <f>AF28/R28</f>
        <v>#DIV/0!</v>
      </c>
      <c r="AO28" s="1483" t="e">
        <f>AG28/Q28</f>
        <v>#DIV/0!</v>
      </c>
      <c r="AP28" s="1483" t="e">
        <f>AH28/P28</f>
        <v>#DIV/0!</v>
      </c>
      <c r="AQ28" s="1466"/>
      <c r="AR28" s="1467"/>
      <c r="AS28" s="1467"/>
      <c r="AT28" s="1467"/>
      <c r="AU28" s="1467"/>
      <c r="AV28" s="1467"/>
      <c r="AW28" s="1467"/>
      <c r="AX28" s="1467"/>
      <c r="AY28" s="1468"/>
      <c r="AZ28" s="421"/>
    </row>
    <row r="29" spans="2:52">
      <c r="B29" s="766"/>
      <c r="C29" s="1472"/>
      <c r="D29" s="1472"/>
      <c r="E29" s="1473"/>
      <c r="F29" s="1486"/>
      <c r="G29" s="1474"/>
      <c r="H29" s="1475"/>
      <c r="I29" s="1476"/>
      <c r="J29" s="1477"/>
      <c r="K29" s="1478"/>
      <c r="L29" s="1487"/>
      <c r="M29" s="1487"/>
      <c r="N29" s="1487"/>
      <c r="O29" s="1487"/>
      <c r="P29" s="1487"/>
      <c r="Q29" s="1487"/>
      <c r="R29" s="1487"/>
      <c r="S29" s="1602"/>
      <c r="T29" s="1603"/>
      <c r="U29" s="1603"/>
      <c r="V29" s="1603"/>
      <c r="W29" s="1603"/>
      <c r="X29" s="1603"/>
      <c r="Y29" s="1603"/>
      <c r="Z29" s="1603"/>
      <c r="AA29" s="1482"/>
      <c r="AB29" s="1483"/>
      <c r="AC29" s="1483"/>
      <c r="AD29" s="1483"/>
      <c r="AE29" s="1484"/>
      <c r="AF29" s="1484"/>
      <c r="AG29" s="1484"/>
      <c r="AH29" s="1485"/>
      <c r="AI29" s="1483"/>
      <c r="AJ29" s="1483"/>
      <c r="AK29" s="1483"/>
      <c r="AL29" s="1483"/>
      <c r="AM29" s="1483"/>
      <c r="AN29" s="1483"/>
      <c r="AO29" s="1483"/>
      <c r="AP29" s="1483"/>
      <c r="AQ29" s="1466"/>
      <c r="AR29" s="1467"/>
      <c r="AS29" s="1467"/>
      <c r="AT29" s="1467"/>
      <c r="AU29" s="1467"/>
      <c r="AV29" s="1467"/>
      <c r="AW29" s="1467"/>
      <c r="AX29" s="1467"/>
      <c r="AY29" s="1468"/>
      <c r="AZ29" s="421"/>
    </row>
    <row r="30" spans="2:52">
      <c r="B30" s="768" t="e">
        <f>INDEX(SourceDescription,MATCH($C32,SourceNumber,0),1,1)</f>
        <v>#N/A</v>
      </c>
      <c r="C30" s="1145"/>
      <c r="D30" s="1145"/>
      <c r="E30" s="1145"/>
      <c r="F30" s="1145"/>
      <c r="G30" s="1145"/>
      <c r="H30" s="1145"/>
      <c r="I30" s="1145"/>
      <c r="K30" s="1140"/>
      <c r="L30" s="1383"/>
      <c r="M30" s="1383"/>
      <c r="N30" s="1383"/>
      <c r="O30" s="1383"/>
      <c r="P30" s="1383"/>
      <c r="Q30" s="1383"/>
      <c r="R30" s="1383"/>
      <c r="S30" s="33"/>
      <c r="AA30" s="1400"/>
      <c r="AB30" s="1145"/>
      <c r="AC30" s="1145"/>
      <c r="AD30" s="1145"/>
      <c r="AE30" s="1145"/>
      <c r="AF30" s="1145"/>
      <c r="AG30" s="1145"/>
      <c r="AH30" s="1465"/>
      <c r="AI30" s="1145"/>
      <c r="AJ30" s="1145"/>
      <c r="AK30" s="1145"/>
      <c r="AL30" s="1145"/>
      <c r="AM30" s="1145"/>
      <c r="AN30" s="1145"/>
      <c r="AO30" s="1145"/>
      <c r="AP30" s="1145"/>
      <c r="AQ30" s="1466"/>
      <c r="AR30" s="1467"/>
      <c r="AS30" s="1467"/>
      <c r="AT30" s="1467"/>
      <c r="AU30" s="1467"/>
      <c r="AV30" s="1467"/>
      <c r="AW30" s="1467"/>
      <c r="AX30" s="1467"/>
      <c r="AY30" s="1468"/>
      <c r="AZ30" s="421"/>
    </row>
    <row r="31" spans="2:52" ht="18.75">
      <c r="B31" s="767" t="e">
        <f>"("&amp;ROUND(INDEX(SourceVolumeFlowRateEnglish,MATCH($C32,SourceNumber,0),1,1),0)&amp;" cfm @ "&amp;ROUND(INDEX(SourceExitVelocityEnglish,MATCH($C32,SourceNumber,0),1,1),0)&amp;" fpm)"</f>
        <v>#N/A</v>
      </c>
      <c r="C31" s="1145"/>
      <c r="D31" s="1145"/>
      <c r="E31" s="1145"/>
      <c r="F31" s="1145"/>
      <c r="G31" s="1145"/>
      <c r="H31" s="1145"/>
      <c r="I31" s="1145"/>
      <c r="K31" s="1140"/>
      <c r="L31" s="1469"/>
      <c r="M31" s="1383"/>
      <c r="N31" s="1383"/>
      <c r="O31" s="1383"/>
      <c r="P31" s="1383"/>
      <c r="Q31" s="1383"/>
      <c r="R31" s="1470"/>
      <c r="S31" s="1604"/>
      <c r="AA31" s="1400"/>
      <c r="AB31" s="1145"/>
      <c r="AC31" s="1145"/>
      <c r="AD31" s="1145"/>
      <c r="AE31" s="1145"/>
      <c r="AF31" s="1145"/>
      <c r="AG31" s="1145"/>
      <c r="AH31" s="1465"/>
      <c r="AI31" s="1145"/>
      <c r="AJ31" s="1145"/>
      <c r="AK31" s="1145"/>
      <c r="AL31" s="1145"/>
      <c r="AM31" s="1145"/>
      <c r="AN31" s="1145"/>
      <c r="AO31" s="1145"/>
      <c r="AP31" s="1145"/>
      <c r="AQ31" s="1466"/>
      <c r="AR31" s="1467"/>
      <c r="AS31" s="1467"/>
      <c r="AT31" s="1467"/>
      <c r="AU31" s="1467"/>
      <c r="AV31" s="1467"/>
      <c r="AW31" s="1467"/>
      <c r="AX31" s="1467"/>
      <c r="AY31" s="1468"/>
      <c r="AZ31" s="421"/>
    </row>
    <row r="32" spans="2:52">
      <c r="B32" s="766">
        <v>301</v>
      </c>
      <c r="C32" s="1472" t="e">
        <f t="shared" si="0"/>
        <v>#N/A</v>
      </c>
      <c r="D32" s="1472" t="e">
        <f>INDEX(SourceID,MATCH($C32,SourceNumber,0),1,1)</f>
        <v>#N/A</v>
      </c>
      <c r="E32" s="1473" t="e">
        <f t="shared" si="1"/>
        <v>#N/A</v>
      </c>
      <c r="F32" s="1486" t="e">
        <f t="shared" si="2"/>
        <v>#N/A</v>
      </c>
      <c r="G32" s="1474" t="e">
        <f t="shared" si="3"/>
        <v>#N/A</v>
      </c>
      <c r="H32" s="1475" t="e">
        <f t="shared" si="4"/>
        <v>#N/A</v>
      </c>
      <c r="I32" s="1476" t="e">
        <f t="shared" si="5"/>
        <v>#N/A</v>
      </c>
      <c r="J32" s="1477" t="e">
        <f>I32*K32</f>
        <v>#N/A</v>
      </c>
      <c r="K32" s="1478" t="e">
        <f>INDEX(SourceVolumeFlowRate,MATCH($C32,SourceNumber,0),1,1)</f>
        <v>#N/A</v>
      </c>
      <c r="L32" s="1479"/>
      <c r="M32" s="1479"/>
      <c r="N32" s="1479"/>
      <c r="O32" s="1479"/>
      <c r="P32" s="1479"/>
      <c r="Q32" s="1479"/>
      <c r="R32" s="1479"/>
      <c r="S32" s="1602" t="e">
        <f>L32*I32</f>
        <v>#N/A</v>
      </c>
      <c r="T32" s="1603" t="e">
        <f>L32*I32</f>
        <v>#N/A</v>
      </c>
      <c r="U32" s="1603" t="e">
        <f>O32*I32</f>
        <v>#N/A</v>
      </c>
      <c r="V32" s="1603" t="e">
        <f>O32*I32</f>
        <v>#N/A</v>
      </c>
      <c r="W32" s="1603" t="str">
        <f>IF(ISNA(R32*I32),"-",R32*I32)</f>
        <v>-</v>
      </c>
      <c r="X32" s="1603" t="str">
        <f>IF(ISNA(R32*I32),"-",R32*I32)</f>
        <v>-</v>
      </c>
      <c r="Y32" s="1603" t="str">
        <f>IF(ISNA(Q32*I32),"-",Q32*I32)</f>
        <v>-</v>
      </c>
      <c r="Z32" s="1603" t="str">
        <f>IF(ISNA(P32*I32),"-",P32*I32)</f>
        <v>-</v>
      </c>
      <c r="AA32" s="1482">
        <f>9*28.01/24.45*1000</f>
        <v>10310.429447852763</v>
      </c>
      <c r="AB32" s="1483">
        <f>35*28.01/24.45*1000</f>
        <v>40096.1145194274</v>
      </c>
      <c r="AC32" s="1483">
        <f>(100/1000)*46.0055/24.45*1000</f>
        <v>188.16155419222903</v>
      </c>
      <c r="AD32" s="1483">
        <f>(53/1000)*46.0055/24.45*1000</f>
        <v>99.725623721881377</v>
      </c>
      <c r="AE32" s="1484">
        <v>12</v>
      </c>
      <c r="AF32" s="1484">
        <v>35</v>
      </c>
      <c r="AG32" s="1484">
        <v>150</v>
      </c>
      <c r="AH32" s="1485">
        <f>(75/1000)*64.066/24.45*1000</f>
        <v>196.52147239263803</v>
      </c>
      <c r="AI32" s="1483" t="e">
        <f>AA32/L32</f>
        <v>#DIV/0!</v>
      </c>
      <c r="AJ32" s="1483" t="e">
        <f>AB32/L32</f>
        <v>#DIV/0!</v>
      </c>
      <c r="AK32" s="1483" t="e">
        <f>AC32/O32</f>
        <v>#DIV/0!</v>
      </c>
      <c r="AL32" s="1483" t="e">
        <f>AD32/O32</f>
        <v>#DIV/0!</v>
      </c>
      <c r="AM32" s="1483" t="e">
        <f>AE32/R32</f>
        <v>#DIV/0!</v>
      </c>
      <c r="AN32" s="1483" t="e">
        <f>AF32/R32</f>
        <v>#DIV/0!</v>
      </c>
      <c r="AO32" s="1483" t="e">
        <f>AG32/Q32</f>
        <v>#DIV/0!</v>
      </c>
      <c r="AP32" s="1483" t="e">
        <f>AH32/P32</f>
        <v>#DIV/0!</v>
      </c>
      <c r="AQ32" s="1466"/>
      <c r="AR32" s="1467"/>
      <c r="AS32" s="1467"/>
      <c r="AT32" s="1467"/>
      <c r="AU32" s="1467"/>
      <c r="AV32" s="1467"/>
      <c r="AW32" s="1467"/>
      <c r="AX32" s="1467"/>
      <c r="AY32" s="1468"/>
      <c r="AZ32" s="421"/>
    </row>
    <row r="33" spans="1:52">
      <c r="B33" s="766"/>
      <c r="C33" s="1472"/>
      <c r="D33" s="1472"/>
      <c r="E33" s="1473"/>
      <c r="F33" s="1486"/>
      <c r="G33" s="1474"/>
      <c r="H33" s="1475"/>
      <c r="I33" s="1476"/>
      <c r="J33" s="1477"/>
      <c r="K33" s="1478"/>
      <c r="L33" s="1487"/>
      <c r="M33" s="1487"/>
      <c r="N33" s="1487"/>
      <c r="O33" s="1487"/>
      <c r="P33" s="1487"/>
      <c r="Q33" s="1487"/>
      <c r="R33" s="1487"/>
      <c r="S33" s="1602"/>
      <c r="T33" s="1603"/>
      <c r="U33" s="1603"/>
      <c r="V33" s="1603"/>
      <c r="W33" s="1603"/>
      <c r="X33" s="1603"/>
      <c r="Y33" s="1603"/>
      <c r="Z33" s="1603"/>
      <c r="AA33" s="1482"/>
      <c r="AB33" s="1483"/>
      <c r="AC33" s="1483"/>
      <c r="AD33" s="1483"/>
      <c r="AE33" s="1484"/>
      <c r="AF33" s="1484"/>
      <c r="AG33" s="1484"/>
      <c r="AH33" s="1485"/>
      <c r="AI33" s="1483"/>
      <c r="AJ33" s="1483"/>
      <c r="AK33" s="1483"/>
      <c r="AL33" s="1483"/>
      <c r="AM33" s="1483"/>
      <c r="AN33" s="1483"/>
      <c r="AO33" s="1483"/>
      <c r="AP33" s="1483"/>
      <c r="AQ33" s="1466"/>
      <c r="AR33" s="1467"/>
      <c r="AS33" s="1467"/>
      <c r="AT33" s="1467"/>
      <c r="AU33" s="1467"/>
      <c r="AV33" s="1467"/>
      <c r="AW33" s="1467"/>
      <c r="AX33" s="1467"/>
      <c r="AY33" s="1468"/>
      <c r="AZ33" s="421"/>
    </row>
    <row r="34" spans="1:52">
      <c r="B34" s="768" t="e">
        <f>INDEX(SourceDescription,MATCH($C36,SourceNumber,0),1,1)</f>
        <v>#N/A</v>
      </c>
      <c r="C34" s="1145"/>
      <c r="D34" s="1145"/>
      <c r="E34" s="1145"/>
      <c r="F34" s="1145"/>
      <c r="G34" s="1145"/>
      <c r="H34" s="1145"/>
      <c r="I34" s="1145"/>
      <c r="K34" s="1140"/>
      <c r="L34" s="1383"/>
      <c r="M34" s="1383"/>
      <c r="N34" s="1383"/>
      <c r="O34" s="1383"/>
      <c r="P34" s="1383"/>
      <c r="Q34" s="1383"/>
      <c r="R34" s="1383"/>
      <c r="S34" s="33"/>
      <c r="AA34" s="1400"/>
      <c r="AB34" s="1145"/>
      <c r="AC34" s="1145"/>
      <c r="AD34" s="1145"/>
      <c r="AE34" s="1145"/>
      <c r="AF34" s="1145"/>
      <c r="AG34" s="1145"/>
      <c r="AH34" s="1465"/>
      <c r="AI34" s="1145"/>
      <c r="AJ34" s="1145"/>
      <c r="AK34" s="1145"/>
      <c r="AL34" s="1145"/>
      <c r="AM34" s="1145"/>
      <c r="AN34" s="1145"/>
      <c r="AO34" s="1145"/>
      <c r="AP34" s="1145"/>
      <c r="AQ34" s="1466"/>
      <c r="AR34" s="1467"/>
      <c r="AS34" s="1467"/>
      <c r="AT34" s="1467"/>
      <c r="AU34" s="1467"/>
      <c r="AV34" s="1467"/>
      <c r="AW34" s="1467"/>
      <c r="AX34" s="1467"/>
      <c r="AY34" s="1468"/>
      <c r="AZ34" s="421"/>
    </row>
    <row r="35" spans="1:52" ht="18.75">
      <c r="B35" s="767" t="e">
        <f>"("&amp;ROUND(INDEX(SourceVolumeFlowRateEnglish,MATCH($C36,SourceNumber,0),1,1),0)&amp;" cfm @ "&amp;ROUND(INDEX(SourceExitVelocityEnglish,MATCH($C36,SourceNumber,0),1,1),0)&amp;" fpm)"</f>
        <v>#N/A</v>
      </c>
      <c r="C35" s="1145"/>
      <c r="D35" s="1145"/>
      <c r="E35" s="1145"/>
      <c r="F35" s="1145"/>
      <c r="G35" s="1145"/>
      <c r="H35" s="1145"/>
      <c r="I35" s="1145"/>
      <c r="K35" s="1140"/>
      <c r="L35" s="1469"/>
      <c r="M35" s="1383"/>
      <c r="N35" s="1383"/>
      <c r="O35" s="1383"/>
      <c r="P35" s="1383"/>
      <c r="Q35" s="1383"/>
      <c r="R35" s="1470"/>
      <c r="S35" s="1604"/>
      <c r="AA35" s="1400"/>
      <c r="AB35" s="1145"/>
      <c r="AC35" s="1145"/>
      <c r="AD35" s="1145"/>
      <c r="AE35" s="1145"/>
      <c r="AF35" s="1145"/>
      <c r="AG35" s="1145"/>
      <c r="AH35" s="1465"/>
      <c r="AI35" s="1145"/>
      <c r="AJ35" s="1145"/>
      <c r="AK35" s="1145"/>
      <c r="AL35" s="1145"/>
      <c r="AM35" s="1145"/>
      <c r="AN35" s="1145"/>
      <c r="AO35" s="1145"/>
      <c r="AP35" s="1145"/>
      <c r="AQ35" s="1466"/>
      <c r="AR35" s="1467"/>
      <c r="AS35" s="1467"/>
      <c r="AT35" s="1467"/>
      <c r="AU35" s="1467"/>
      <c r="AV35" s="1467"/>
      <c r="AW35" s="1467"/>
      <c r="AX35" s="1467"/>
      <c r="AY35" s="1468"/>
      <c r="AZ35" s="421"/>
    </row>
    <row r="36" spans="1:52">
      <c r="B36" s="766">
        <v>401</v>
      </c>
      <c r="C36" s="1472" t="e">
        <f t="shared" si="0"/>
        <v>#N/A</v>
      </c>
      <c r="D36" s="1472" t="e">
        <f>INDEX(SourceID,MATCH($C36,SourceNumber,0),1,1)</f>
        <v>#N/A</v>
      </c>
      <c r="E36" s="1473" t="e">
        <f t="shared" si="1"/>
        <v>#N/A</v>
      </c>
      <c r="F36" s="1486" t="e">
        <f t="shared" si="2"/>
        <v>#N/A</v>
      </c>
      <c r="G36" s="1474" t="e">
        <f t="shared" si="3"/>
        <v>#N/A</v>
      </c>
      <c r="H36" s="1475" t="e">
        <f t="shared" si="4"/>
        <v>#N/A</v>
      </c>
      <c r="I36" s="1476" t="e">
        <f t="shared" si="5"/>
        <v>#N/A</v>
      </c>
      <c r="J36" s="1477" t="e">
        <f>I36*K36</f>
        <v>#N/A</v>
      </c>
      <c r="K36" s="1478" t="e">
        <f>INDEX(SourceVolumeFlowRate,MATCH($C36,SourceNumber,0),1,1)</f>
        <v>#N/A</v>
      </c>
      <c r="L36" s="1479"/>
      <c r="M36" s="1479"/>
      <c r="N36" s="1479"/>
      <c r="O36" s="1479"/>
      <c r="P36" s="1479"/>
      <c r="Q36" s="1479"/>
      <c r="R36" s="1479"/>
      <c r="S36" s="1602" t="e">
        <f>L36*I36</f>
        <v>#N/A</v>
      </c>
      <c r="T36" s="1603" t="e">
        <f>L36*I36</f>
        <v>#N/A</v>
      </c>
      <c r="U36" s="1603" t="e">
        <f>O36*I36</f>
        <v>#N/A</v>
      </c>
      <c r="V36" s="1603" t="e">
        <f>O36*I36</f>
        <v>#N/A</v>
      </c>
      <c r="W36" s="1603" t="str">
        <f>IF(ISNA(R36*I36),"-",R36*I36)</f>
        <v>-</v>
      </c>
      <c r="X36" s="1603" t="str">
        <f>IF(ISNA(R36*I36),"-",R36*I36)</f>
        <v>-</v>
      </c>
      <c r="Y36" s="1603" t="str">
        <f>IF(ISNA(Q36*I36),"-",Q36*I36)</f>
        <v>-</v>
      </c>
      <c r="Z36" s="1603" t="str">
        <f>IF(ISNA(P36*I36),"-",P36*I36)</f>
        <v>-</v>
      </c>
      <c r="AA36" s="1482">
        <f>9*28.01/24.45*1000</f>
        <v>10310.429447852763</v>
      </c>
      <c r="AB36" s="1483">
        <f>35*28.01/24.45*1000</f>
        <v>40096.1145194274</v>
      </c>
      <c r="AC36" s="1483">
        <f>(100/1000)*46.0055/24.45*1000</f>
        <v>188.16155419222903</v>
      </c>
      <c r="AD36" s="1483">
        <f>(53/1000)*46.0055/24.45*1000</f>
        <v>99.725623721881377</v>
      </c>
      <c r="AE36" s="1484">
        <v>12</v>
      </c>
      <c r="AF36" s="1484">
        <v>35</v>
      </c>
      <c r="AG36" s="1484">
        <v>150</v>
      </c>
      <c r="AH36" s="1485">
        <f>(75/1000)*64.066/24.45*1000</f>
        <v>196.52147239263803</v>
      </c>
      <c r="AI36" s="1483" t="e">
        <f>AA36/L36</f>
        <v>#DIV/0!</v>
      </c>
      <c r="AJ36" s="1483" t="e">
        <f>AB36/L36</f>
        <v>#DIV/0!</v>
      </c>
      <c r="AK36" s="1483" t="e">
        <f>AC36/O36</f>
        <v>#DIV/0!</v>
      </c>
      <c r="AL36" s="1483" t="e">
        <f>AD36/O36</f>
        <v>#DIV/0!</v>
      </c>
      <c r="AM36" s="1483" t="e">
        <f>AE36/R36</f>
        <v>#DIV/0!</v>
      </c>
      <c r="AN36" s="1483" t="e">
        <f>AF36/R36</f>
        <v>#DIV/0!</v>
      </c>
      <c r="AO36" s="1483" t="e">
        <f>AG36/Q36</f>
        <v>#DIV/0!</v>
      </c>
      <c r="AP36" s="1483" t="e">
        <f>AH36/P36</f>
        <v>#DIV/0!</v>
      </c>
      <c r="AQ36" s="1466"/>
      <c r="AR36" s="1467"/>
      <c r="AS36" s="1467"/>
      <c r="AT36" s="1467"/>
      <c r="AU36" s="1467"/>
      <c r="AV36" s="1467"/>
      <c r="AW36" s="1467"/>
      <c r="AX36" s="1467"/>
      <c r="AY36" s="1468"/>
      <c r="AZ36" s="421"/>
    </row>
    <row r="37" spans="1:52">
      <c r="B37" s="766"/>
      <c r="C37" s="1472"/>
      <c r="D37" s="1472"/>
      <c r="E37" s="1473"/>
      <c r="F37" s="1486"/>
      <c r="G37" s="1474"/>
      <c r="H37" s="1475"/>
      <c r="I37" s="1476"/>
      <c r="J37" s="1477"/>
      <c r="K37" s="1488"/>
      <c r="L37" s="1489"/>
      <c r="M37" s="1489"/>
      <c r="N37" s="1489"/>
      <c r="O37" s="1489"/>
      <c r="P37" s="1489"/>
      <c r="Q37" s="1489"/>
      <c r="R37" s="1489"/>
      <c r="S37" s="1480"/>
      <c r="T37" s="1481"/>
      <c r="U37" s="1481"/>
      <c r="V37" s="1481"/>
      <c r="W37" s="1481"/>
      <c r="X37" s="1481"/>
      <c r="Y37" s="1481"/>
      <c r="Z37" s="1481"/>
      <c r="AA37" s="1482"/>
      <c r="AB37" s="1483"/>
      <c r="AC37" s="1483"/>
      <c r="AD37" s="1483"/>
      <c r="AE37" s="1483"/>
      <c r="AF37" s="1483"/>
      <c r="AG37" s="1483"/>
      <c r="AH37" s="1485"/>
      <c r="AI37" s="1483"/>
      <c r="AJ37" s="1483"/>
      <c r="AK37" s="1483"/>
      <c r="AL37" s="1483"/>
      <c r="AM37" s="1483"/>
      <c r="AN37" s="1483"/>
      <c r="AO37" s="1483"/>
      <c r="AP37" s="1483"/>
      <c r="AQ37" s="1466"/>
      <c r="AR37" s="1467"/>
      <c r="AS37" s="1467"/>
      <c r="AT37" s="1467"/>
      <c r="AU37" s="1467"/>
      <c r="AV37" s="1467"/>
      <c r="AW37" s="1467"/>
      <c r="AX37" s="1467"/>
      <c r="AY37" s="1468"/>
      <c r="AZ37" s="421"/>
    </row>
    <row r="38" spans="1:52">
      <c r="A38" s="1503"/>
      <c r="B38" s="1520"/>
      <c r="C38" s="1504"/>
      <c r="D38" s="1504"/>
      <c r="E38" s="1505"/>
      <c r="F38" s="1506"/>
      <c r="G38" s="1507"/>
      <c r="H38" s="1508"/>
      <c r="I38" s="1509"/>
      <c r="J38" s="1509"/>
      <c r="K38" s="1510"/>
      <c r="L38" s="1511"/>
      <c r="M38" s="1511"/>
      <c r="N38" s="1511"/>
      <c r="O38" s="1511"/>
      <c r="P38" s="1512"/>
      <c r="Q38" s="1512"/>
      <c r="R38" s="1512"/>
      <c r="S38" s="1513"/>
      <c r="T38" s="1514"/>
      <c r="U38" s="1514"/>
      <c r="V38" s="1514"/>
      <c r="W38" s="1514"/>
      <c r="X38" s="1514"/>
      <c r="Y38" s="1514"/>
      <c r="Z38" s="1514"/>
      <c r="AA38" s="1513"/>
      <c r="AB38" s="1514"/>
      <c r="AC38" s="1514"/>
      <c r="AD38" s="1514"/>
      <c r="AE38" s="1514"/>
      <c r="AF38" s="1514"/>
      <c r="AG38" s="1514"/>
      <c r="AH38" s="1515"/>
      <c r="AI38" s="1514"/>
      <c r="AJ38" s="1514"/>
      <c r="AK38" s="1514"/>
      <c r="AL38" s="1514"/>
      <c r="AM38" s="1514"/>
      <c r="AN38" s="1514"/>
      <c r="AO38" s="1514"/>
      <c r="AP38" s="1514"/>
      <c r="AQ38" s="1516"/>
      <c r="AR38" s="1517"/>
      <c r="AS38" s="1517"/>
      <c r="AT38" s="1517"/>
      <c r="AU38" s="1517"/>
      <c r="AV38" s="1517"/>
      <c r="AW38" s="1517"/>
      <c r="AX38" s="1517"/>
      <c r="AY38" s="1518"/>
      <c r="AZ38" s="1502"/>
    </row>
    <row r="39" spans="1:52" ht="20.25">
      <c r="A39" s="1503"/>
      <c r="B39" s="1591" t="s">
        <v>1644</v>
      </c>
      <c r="C39" s="1504"/>
      <c r="D39" s="1504"/>
      <c r="E39" s="1505"/>
      <c r="F39" s="1506"/>
      <c r="G39" s="1507"/>
      <c r="H39" s="1508"/>
      <c r="I39" s="1509"/>
      <c r="J39" s="1509"/>
      <c r="K39" s="1510"/>
      <c r="L39" s="1511"/>
      <c r="M39" s="1511"/>
      <c r="N39" s="1511"/>
      <c r="O39" s="1511"/>
      <c r="P39" s="1512"/>
      <c r="Q39" s="1512"/>
      <c r="R39" s="1512"/>
      <c r="S39" s="1513"/>
      <c r="T39" s="1514"/>
      <c r="U39" s="1514"/>
      <c r="V39" s="1514"/>
      <c r="W39" s="1514"/>
      <c r="X39" s="1514"/>
      <c r="Y39" s="1514"/>
      <c r="Z39" s="1514"/>
      <c r="AA39" s="1513"/>
      <c r="AB39" s="1514"/>
      <c r="AC39" s="1514"/>
      <c r="AD39" s="1514"/>
      <c r="AE39" s="1514"/>
      <c r="AF39" s="1514"/>
      <c r="AG39" s="1514"/>
      <c r="AH39" s="1515"/>
      <c r="AI39" s="1514"/>
      <c r="AJ39" s="1514"/>
      <c r="AK39" s="1514"/>
      <c r="AL39" s="1514"/>
      <c r="AM39" s="1514"/>
      <c r="AN39" s="1514"/>
      <c r="AO39" s="1514"/>
      <c r="AP39" s="1514"/>
      <c r="AQ39" s="1516"/>
      <c r="AR39" s="1517"/>
      <c r="AS39" s="1517"/>
      <c r="AT39" s="1517"/>
      <c r="AU39" s="1517"/>
      <c r="AV39" s="1517"/>
      <c r="AW39" s="1517"/>
      <c r="AX39" s="1517"/>
      <c r="AY39" s="1518"/>
      <c r="AZ39" s="1502"/>
    </row>
    <row r="40" spans="1:52" s="1263" customFormat="1">
      <c r="B40" s="1454"/>
      <c r="C40" s="1455"/>
      <c r="D40" s="1455"/>
      <c r="E40" s="1455"/>
      <c r="F40" s="1455"/>
      <c r="G40" s="1455"/>
      <c r="H40" s="1455"/>
      <c r="I40" s="1455"/>
      <c r="J40" s="1456"/>
      <c r="K40" s="1457"/>
      <c r="L40" s="1455"/>
      <c r="M40" s="1455"/>
      <c r="N40" s="1455"/>
      <c r="O40" s="1455"/>
      <c r="P40" s="1455"/>
      <c r="Q40" s="1455"/>
      <c r="R40" s="1455"/>
      <c r="S40" s="1460"/>
      <c r="T40" s="1455"/>
      <c r="U40" s="1455"/>
      <c r="V40" s="1455"/>
      <c r="W40" s="1455"/>
      <c r="X40" s="1455"/>
      <c r="Y40" s="1455"/>
      <c r="Z40" s="1455"/>
      <c r="AA40" s="1460"/>
      <c r="AB40" s="1455"/>
      <c r="AC40" s="1455"/>
      <c r="AD40" s="1455"/>
      <c r="AE40" s="1455"/>
      <c r="AF40" s="1455"/>
      <c r="AG40" s="1455"/>
      <c r="AH40" s="1461"/>
      <c r="AQ40" s="1462"/>
      <c r="AR40" s="1463"/>
      <c r="AS40" s="1463"/>
      <c r="AT40" s="1463"/>
      <c r="AU40" s="1463"/>
      <c r="AV40" s="1463"/>
      <c r="AW40" s="1463"/>
      <c r="AX40" s="1463"/>
      <c r="AY40" s="1464"/>
      <c r="AZ40" s="1463"/>
    </row>
    <row r="41" spans="1:52">
      <c r="C41" s="1145"/>
      <c r="D41" s="1145"/>
      <c r="E41" s="1145"/>
      <c r="F41" s="1145"/>
      <c r="G41" s="1145"/>
      <c r="H41" s="1145"/>
      <c r="I41" s="1145"/>
      <c r="K41" s="1140"/>
      <c r="L41" s="1145"/>
      <c r="M41" s="1145"/>
      <c r="N41" s="1145"/>
      <c r="O41" s="1145"/>
      <c r="P41" s="1145"/>
      <c r="Q41" s="1145"/>
      <c r="R41" s="1145"/>
      <c r="S41" s="1400"/>
      <c r="T41" s="1145"/>
      <c r="U41" s="1145"/>
      <c r="V41" s="1145"/>
      <c r="W41" s="1145"/>
      <c r="X41" s="1145"/>
      <c r="Y41" s="1145"/>
      <c r="Z41" s="1145"/>
      <c r="AA41" s="1400"/>
      <c r="AB41" s="1145"/>
      <c r="AC41" s="1145"/>
      <c r="AD41" s="1145"/>
      <c r="AE41" s="1145"/>
      <c r="AF41" s="1145"/>
      <c r="AG41" s="1145"/>
      <c r="AH41" s="1465"/>
      <c r="AI41" s="1145"/>
      <c r="AJ41" s="1145"/>
      <c r="AK41" s="1145"/>
      <c r="AL41" s="1145"/>
      <c r="AM41" s="1145"/>
      <c r="AN41" s="1145"/>
      <c r="AO41" s="1145"/>
      <c r="AP41" s="1145"/>
      <c r="AQ41" s="1466"/>
      <c r="AR41" s="1467"/>
      <c r="AS41" s="1467"/>
      <c r="AT41" s="1467"/>
      <c r="AU41" s="1467"/>
      <c r="AV41" s="1467"/>
      <c r="AW41" s="1467"/>
      <c r="AX41" s="1467"/>
      <c r="AY41" s="1468"/>
      <c r="AZ41" s="421"/>
    </row>
    <row r="42" spans="1:52">
      <c r="B42" s="768" t="str">
        <f>INDEX(SourceDescription,MATCH($C44,SourceNumber,0),1,1)</f>
        <v>Fume Hood Exhaust 1</v>
      </c>
      <c r="C42" s="1145"/>
      <c r="D42" s="1145"/>
      <c r="E42" s="1145"/>
      <c r="F42" s="1145"/>
      <c r="G42" s="1145"/>
      <c r="H42" s="1145"/>
      <c r="I42" s="1145"/>
      <c r="K42" s="1140"/>
      <c r="L42" s="1145"/>
      <c r="M42" s="1145"/>
      <c r="N42" s="1145"/>
      <c r="O42" s="1145"/>
      <c r="P42" s="1145"/>
      <c r="Q42" s="1145"/>
      <c r="R42" s="1145"/>
      <c r="S42" s="33"/>
      <c r="AA42" s="1421" t="s">
        <v>606</v>
      </c>
      <c r="AB42" s="1372" t="s">
        <v>606</v>
      </c>
      <c r="AC42" s="1372" t="s">
        <v>1611</v>
      </c>
      <c r="AD42" s="1372" t="s">
        <v>1611</v>
      </c>
      <c r="AE42" s="1372" t="s">
        <v>1612</v>
      </c>
      <c r="AF42" s="1372" t="s">
        <v>1612</v>
      </c>
      <c r="AG42" s="1372" t="s">
        <v>1613</v>
      </c>
      <c r="AH42" s="1422" t="s">
        <v>1614</v>
      </c>
      <c r="AI42" s="1145"/>
      <c r="AJ42" s="1145"/>
      <c r="AK42" s="1145"/>
      <c r="AL42" s="1145"/>
      <c r="AM42" s="1145"/>
      <c r="AN42" s="1145"/>
      <c r="AO42" s="1145"/>
      <c r="AP42" s="1145"/>
      <c r="AQ42" s="1466"/>
      <c r="AR42" s="1467"/>
      <c r="AS42" s="1467"/>
      <c r="AT42" s="1467"/>
      <c r="AU42" s="1467"/>
      <c r="AV42" s="1467"/>
      <c r="AW42" s="1467"/>
      <c r="AX42" s="1467"/>
      <c r="AY42" s="1468"/>
      <c r="AZ42" s="421"/>
    </row>
    <row r="43" spans="1:52" ht="18.75">
      <c r="B43" s="767" t="str">
        <f>"("&amp;ROUND(INDEX(SourceVolumeFlowRateEnglish,MATCH($C44,SourceNumber,0),1,1),0)&amp;" cfm @ "&amp;ROUND(INDEX(SourceExitVelocityEnglish,MATCH($C44,SourceNumber,0),1,1),0)&amp;" fpm)"</f>
        <v>(1000 cfm @ 2865 fpm)</v>
      </c>
      <c r="C43" s="1145"/>
      <c r="D43" s="1145"/>
      <c r="E43" s="1145"/>
      <c r="F43" s="1145"/>
      <c r="G43" s="1145"/>
      <c r="H43" s="1145"/>
      <c r="I43" s="1145"/>
      <c r="K43" s="1140"/>
      <c r="L43" s="1469"/>
      <c r="M43" s="1383"/>
      <c r="N43" s="1383"/>
      <c r="O43" s="1383"/>
      <c r="P43" s="1383"/>
      <c r="Q43" s="1383"/>
      <c r="R43" s="1470"/>
      <c r="S43" s="1604" t="s">
        <v>1631</v>
      </c>
      <c r="AA43" s="1421" t="s">
        <v>1617</v>
      </c>
      <c r="AB43" s="1372" t="s">
        <v>1618</v>
      </c>
      <c r="AC43" s="1372" t="s">
        <v>1618</v>
      </c>
      <c r="AD43" s="1372" t="s">
        <v>1619</v>
      </c>
      <c r="AE43" s="1372" t="s">
        <v>1619</v>
      </c>
      <c r="AF43" s="1372" t="s">
        <v>1620</v>
      </c>
      <c r="AG43" s="1372" t="s">
        <v>1620</v>
      </c>
      <c r="AH43" s="1422" t="s">
        <v>1618</v>
      </c>
      <c r="AI43" s="1145"/>
      <c r="AJ43" s="1145"/>
      <c r="AK43" s="1145"/>
      <c r="AL43" s="1145"/>
      <c r="AM43" s="1145"/>
      <c r="AN43" s="1145"/>
      <c r="AO43" s="1145"/>
      <c r="AP43" s="1145"/>
      <c r="AQ43" s="1466"/>
      <c r="AR43" s="1467"/>
      <c r="AS43" s="1467"/>
      <c r="AT43" s="1467"/>
      <c r="AU43" s="1467"/>
      <c r="AV43" s="1467"/>
      <c r="AW43" s="1467"/>
      <c r="AX43" s="1467"/>
      <c r="AY43" s="1468"/>
      <c r="AZ43" s="421"/>
    </row>
    <row r="44" spans="1:52">
      <c r="B44" s="766">
        <v>101</v>
      </c>
      <c r="C44" s="1472" t="str">
        <f t="shared" ref="C44:C51" si="14">INDEX(TPSourceLetter,MATCH($B44,TPRunNumber,0),1,1)</f>
        <v>AA</v>
      </c>
      <c r="D44" s="1472" t="str">
        <f>INDEX(SourceID,MATCH($C44,SourceNumber,0),1,1)</f>
        <v>EF-1</v>
      </c>
      <c r="E44" s="1473">
        <f t="shared" ref="E44:E51" si="15">INDEX(TPSourceHeight,MATCH($B44,TPRunNumber,0),1,1)</f>
        <v>10</v>
      </c>
      <c r="F44" s="1486" t="str">
        <f t="shared" ref="F44:F51" si="16">INDEX(TPReceptorID1,MATCH($B44,TPRunNumber,0),1,1)&amp;INDEX(TPReceptorID2,MATCH($B44,TPRunNumber,0),1,1)</f>
        <v>1 - Receptor 1</v>
      </c>
      <c r="G44" s="1474">
        <f t="shared" ref="G44:G51" si="17">INDEX(TPWWD,MATCH($B44,TPRunNumber,0),1,1)</f>
        <v>0</v>
      </c>
      <c r="H44" s="1475">
        <f t="shared" ref="H44:H51" si="18">INDEX(TPWWS,MATCH($B44,TPRunNumber,0),1,1)</f>
        <v>0</v>
      </c>
      <c r="I44" s="1476">
        <f t="shared" ref="I44:I51" si="19">INDEX(TPMaxCm,MATCH($B44,TPRunNumber,0),1,1)</f>
        <v>0</v>
      </c>
      <c r="J44" s="1477">
        <f>I44*K44</f>
        <v>0</v>
      </c>
      <c r="K44" s="1478">
        <f>INDEX(SourceVolumeFlowRate,MATCH($C44,SourceNumber,0),1,1)</f>
        <v>0.47231008449287359</v>
      </c>
      <c r="L44" s="1479"/>
      <c r="M44" s="1479"/>
      <c r="N44" s="1479"/>
      <c r="O44" s="1479"/>
      <c r="P44" s="1479"/>
      <c r="Q44" s="1479"/>
      <c r="R44" s="1479"/>
      <c r="S44" s="1602">
        <f>L44*I44</f>
        <v>0</v>
      </c>
      <c r="T44" s="1603">
        <f>L44*I44</f>
        <v>0</v>
      </c>
      <c r="U44" s="1603">
        <f>O44*I44</f>
        <v>0</v>
      </c>
      <c r="V44" s="1603">
        <f>O44*I44</f>
        <v>0</v>
      </c>
      <c r="W44" s="1603">
        <f>R44*I44</f>
        <v>0</v>
      </c>
      <c r="X44" s="1603">
        <f>R44*I44</f>
        <v>0</v>
      </c>
      <c r="Y44" s="1603">
        <f>Q44*I44</f>
        <v>0</v>
      </c>
      <c r="Z44" s="1603">
        <f>P44*I44</f>
        <v>0</v>
      </c>
      <c r="AA44" s="1482">
        <f>9*28.01/24.45*1000</f>
        <v>10310.429447852763</v>
      </c>
      <c r="AB44" s="1483">
        <f>35*28.01/24.45*1000</f>
        <v>40096.1145194274</v>
      </c>
      <c r="AC44" s="1483">
        <f>(100/1000)*46.0055/24.45*1000</f>
        <v>188.16155419222903</v>
      </c>
      <c r="AD44" s="1483">
        <f>(53/1000)*46.0055/24.45*1000</f>
        <v>99.725623721881377</v>
      </c>
      <c r="AE44" s="1484">
        <v>12</v>
      </c>
      <c r="AF44" s="1484">
        <v>35</v>
      </c>
      <c r="AG44" s="1484">
        <v>150</v>
      </c>
      <c r="AH44" s="1485">
        <f>(75/1000)*64.066/24.45*1000</f>
        <v>196.52147239263803</v>
      </c>
      <c r="AI44" s="1483" t="e">
        <f>AA44/L44</f>
        <v>#DIV/0!</v>
      </c>
      <c r="AJ44" s="1483" t="e">
        <f>AB44/L44</f>
        <v>#DIV/0!</v>
      </c>
      <c r="AK44" s="1483" t="e">
        <f>AC44/O44</f>
        <v>#DIV/0!</v>
      </c>
      <c r="AL44" s="1483" t="e">
        <f>AD44/O44</f>
        <v>#DIV/0!</v>
      </c>
      <c r="AM44" s="1483" t="e">
        <f>AE44/R44</f>
        <v>#DIV/0!</v>
      </c>
      <c r="AN44" s="1483" t="e">
        <f>AF44/R44</f>
        <v>#DIV/0!</v>
      </c>
      <c r="AO44" s="1483" t="e">
        <f>AG44/Q44</f>
        <v>#DIV/0!</v>
      </c>
      <c r="AP44" s="1483" t="e">
        <f>AH44/P44</f>
        <v>#DIV/0!</v>
      </c>
      <c r="AQ44" s="1466"/>
      <c r="AR44" s="1467"/>
      <c r="AS44" s="1467"/>
      <c r="AT44" s="1467"/>
      <c r="AU44" s="1467"/>
      <c r="AV44" s="1467"/>
      <c r="AW44" s="1467"/>
      <c r="AX44" s="1467"/>
      <c r="AY44" s="1468"/>
      <c r="AZ44" s="421"/>
    </row>
    <row r="45" spans="1:52">
      <c r="B45" s="766">
        <v>102</v>
      </c>
      <c r="C45" s="1472" t="str">
        <f t="shared" si="14"/>
        <v>AA</v>
      </c>
      <c r="D45" s="1472" t="str">
        <f>INDEX(SourceID,MATCH($C45,SourceNumber,0),1,1)</f>
        <v>EF-1</v>
      </c>
      <c r="E45" s="1473">
        <f t="shared" si="15"/>
        <v>10</v>
      </c>
      <c r="F45" s="1486" t="str">
        <f t="shared" si="16"/>
        <v>2 - Receptor 2</v>
      </c>
      <c r="G45" s="1474">
        <f t="shared" si="17"/>
        <v>0</v>
      </c>
      <c r="H45" s="1475">
        <f t="shared" si="18"/>
        <v>0</v>
      </c>
      <c r="I45" s="1476">
        <f t="shared" si="19"/>
        <v>0</v>
      </c>
      <c r="J45" s="1477">
        <f>I45*K45</f>
        <v>0</v>
      </c>
      <c r="K45" s="1478">
        <f>INDEX(SourceVolumeFlowRate,MATCH($C45,SourceNumber,0),1,1)</f>
        <v>0.47231008449287359</v>
      </c>
      <c r="L45" s="1479"/>
      <c r="M45" s="1479"/>
      <c r="N45" s="1479"/>
      <c r="O45" s="1479"/>
      <c r="P45" s="1479"/>
      <c r="Q45" s="1479"/>
      <c r="R45" s="1479"/>
      <c r="S45" s="1602">
        <f>L45*I45</f>
        <v>0</v>
      </c>
      <c r="T45" s="1603">
        <f>L45*I45</f>
        <v>0</v>
      </c>
      <c r="U45" s="1603">
        <f>O45*I45</f>
        <v>0</v>
      </c>
      <c r="V45" s="1603">
        <f>O45*I45</f>
        <v>0</v>
      </c>
      <c r="W45" s="1603">
        <f>R45*I45</f>
        <v>0</v>
      </c>
      <c r="X45" s="1603">
        <f>R45*I45</f>
        <v>0</v>
      </c>
      <c r="Y45" s="1603">
        <f>Q45*I45</f>
        <v>0</v>
      </c>
      <c r="Z45" s="1603">
        <f>P45*I45</f>
        <v>0</v>
      </c>
      <c r="AA45" s="1482">
        <f>9*28.01/24.45*1000</f>
        <v>10310.429447852763</v>
      </c>
      <c r="AB45" s="1483">
        <f>35*28.01/24.45*1000</f>
        <v>40096.1145194274</v>
      </c>
      <c r="AC45" s="1483">
        <f>(100/1000)*46.0055/24.45*1000</f>
        <v>188.16155419222903</v>
      </c>
      <c r="AD45" s="1483">
        <f>(53/1000)*46.0055/24.45*1000</f>
        <v>99.725623721881377</v>
      </c>
      <c r="AE45" s="1484">
        <v>12</v>
      </c>
      <c r="AF45" s="1484">
        <v>35</v>
      </c>
      <c r="AG45" s="1484">
        <v>150</v>
      </c>
      <c r="AH45" s="1485">
        <f>(75/1000)*64.066/24.45*1000</f>
        <v>196.52147239263803</v>
      </c>
      <c r="AI45" s="1483" t="e">
        <f>AA45/L45</f>
        <v>#DIV/0!</v>
      </c>
      <c r="AJ45" s="1483" t="e">
        <f>AB45/L45</f>
        <v>#DIV/0!</v>
      </c>
      <c r="AK45" s="1483" t="e">
        <f>AC45/O45</f>
        <v>#DIV/0!</v>
      </c>
      <c r="AL45" s="1483" t="e">
        <f>AD45/O45</f>
        <v>#DIV/0!</v>
      </c>
      <c r="AM45" s="1483" t="e">
        <f>AE45/R45</f>
        <v>#DIV/0!</v>
      </c>
      <c r="AN45" s="1483" t="e">
        <f>AF45/R45</f>
        <v>#DIV/0!</v>
      </c>
      <c r="AO45" s="1483" t="e">
        <f>AG45/Q45</f>
        <v>#DIV/0!</v>
      </c>
      <c r="AP45" s="1483" t="e">
        <f>AH45/P45</f>
        <v>#DIV/0!</v>
      </c>
      <c r="AQ45" s="1466"/>
      <c r="AR45" s="1467"/>
      <c r="AS45" s="1467"/>
      <c r="AT45" s="1467"/>
      <c r="AU45" s="1467"/>
      <c r="AV45" s="1467"/>
      <c r="AW45" s="1467"/>
      <c r="AX45" s="1467"/>
      <c r="AY45" s="1468"/>
      <c r="AZ45" s="421"/>
    </row>
    <row r="46" spans="1:52">
      <c r="B46" s="766"/>
      <c r="C46" s="1472"/>
      <c r="D46" s="1472"/>
      <c r="E46" s="1473"/>
      <c r="F46" s="1486"/>
      <c r="G46" s="1474"/>
      <c r="H46" s="1475"/>
      <c r="I46" s="1476"/>
      <c r="J46" s="1477"/>
      <c r="K46" s="1478"/>
      <c r="L46" s="1487"/>
      <c r="M46" s="1487"/>
      <c r="N46" s="1487"/>
      <c r="O46" s="1487"/>
      <c r="P46" s="1487"/>
      <c r="Q46" s="1487"/>
      <c r="R46" s="1487"/>
      <c r="S46" s="1602"/>
      <c r="T46" s="1603"/>
      <c r="U46" s="1603"/>
      <c r="V46" s="1603"/>
      <c r="W46" s="1603"/>
      <c r="X46" s="1603"/>
      <c r="Y46" s="1603"/>
      <c r="Z46" s="1603"/>
      <c r="AA46" s="1482"/>
      <c r="AB46" s="1483"/>
      <c r="AC46" s="1483"/>
      <c r="AD46" s="1483"/>
      <c r="AE46" s="1484"/>
      <c r="AF46" s="1484"/>
      <c r="AG46" s="1484"/>
      <c r="AH46" s="1485"/>
      <c r="AI46" s="1483"/>
      <c r="AJ46" s="1483"/>
      <c r="AK46" s="1483"/>
      <c r="AL46" s="1483"/>
      <c r="AM46" s="1483"/>
      <c r="AN46" s="1483"/>
      <c r="AO46" s="1483"/>
      <c r="AP46" s="1483"/>
      <c r="AQ46" s="1466"/>
      <c r="AR46" s="1467"/>
      <c r="AS46" s="1467"/>
      <c r="AT46" s="1467"/>
      <c r="AU46" s="1467"/>
      <c r="AV46" s="1467"/>
      <c r="AW46" s="1467"/>
      <c r="AX46" s="1467"/>
      <c r="AY46" s="1468"/>
      <c r="AZ46" s="421"/>
    </row>
    <row r="47" spans="1:52">
      <c r="C47" s="1145"/>
      <c r="D47" s="1145"/>
      <c r="E47" s="1145"/>
      <c r="F47" s="1145"/>
      <c r="G47" s="1145"/>
      <c r="H47" s="1145"/>
      <c r="I47" s="1145"/>
      <c r="K47" s="1140"/>
      <c r="L47" s="1383"/>
      <c r="M47" s="1383"/>
      <c r="N47" s="1383"/>
      <c r="O47" s="1383"/>
      <c r="P47" s="1383"/>
      <c r="Q47" s="1383"/>
      <c r="R47" s="1383"/>
      <c r="S47" s="33"/>
      <c r="AA47" s="1400"/>
      <c r="AB47" s="1145"/>
      <c r="AC47" s="1145"/>
      <c r="AD47" s="1145"/>
      <c r="AE47" s="1145"/>
      <c r="AF47" s="1145"/>
      <c r="AG47" s="1145"/>
      <c r="AH47" s="1465"/>
      <c r="AI47" s="1145"/>
      <c r="AJ47" s="1145"/>
      <c r="AK47" s="1145"/>
      <c r="AL47" s="1145"/>
      <c r="AM47" s="1145"/>
      <c r="AN47" s="1145"/>
      <c r="AO47" s="1145"/>
      <c r="AP47" s="1145"/>
      <c r="AQ47" s="1466"/>
      <c r="AR47" s="1467"/>
      <c r="AS47" s="1467"/>
      <c r="AT47" s="1467"/>
      <c r="AU47" s="1467"/>
      <c r="AV47" s="1467"/>
      <c r="AW47" s="1467"/>
      <c r="AX47" s="1467"/>
      <c r="AY47" s="1468"/>
      <c r="AZ47" s="421"/>
    </row>
    <row r="48" spans="1:52">
      <c r="B48" s="768" t="e">
        <f>INDEX(SourceDescription,MATCH($C50,SourceNumber,0),1,1)</f>
        <v>#N/A</v>
      </c>
      <c r="C48" s="1145"/>
      <c r="D48" s="1145"/>
      <c r="E48" s="1145"/>
      <c r="F48" s="1145"/>
      <c r="G48" s="1145"/>
      <c r="H48" s="1145"/>
      <c r="I48" s="1145"/>
      <c r="K48" s="1140"/>
      <c r="L48" s="1383"/>
      <c r="M48" s="1383"/>
      <c r="N48" s="1383"/>
      <c r="O48" s="1383"/>
      <c r="P48" s="1383"/>
      <c r="Q48" s="1383"/>
      <c r="R48" s="1383"/>
      <c r="S48" s="33"/>
      <c r="AA48" s="1400"/>
      <c r="AB48" s="1145"/>
      <c r="AC48" s="1145"/>
      <c r="AD48" s="1145"/>
      <c r="AE48" s="1145"/>
      <c r="AF48" s="1145"/>
      <c r="AG48" s="1145"/>
      <c r="AH48" s="1465"/>
      <c r="AI48" s="1145"/>
      <c r="AJ48" s="1145"/>
      <c r="AK48" s="1145"/>
      <c r="AL48" s="1145"/>
      <c r="AM48" s="1145"/>
      <c r="AN48" s="1145"/>
      <c r="AO48" s="1145"/>
      <c r="AP48" s="1145"/>
      <c r="AQ48" s="1466"/>
      <c r="AR48" s="1467"/>
      <c r="AS48" s="1467"/>
      <c r="AT48" s="1467"/>
      <c r="AU48" s="1467"/>
      <c r="AV48" s="1467"/>
      <c r="AW48" s="1467"/>
      <c r="AX48" s="1467"/>
      <c r="AY48" s="1468"/>
      <c r="AZ48" s="421"/>
    </row>
    <row r="49" spans="1:52" ht="18.75">
      <c r="B49" s="767" t="e">
        <f>"("&amp;ROUND(INDEX(SourceVolumeFlowRateEnglish,MATCH($C50,SourceNumber,0),1,1),0)&amp;" cfm @ "&amp;ROUND(INDEX(SourceExitVelocityEnglish,MATCH($C50,SourceNumber,0),1,1),0)&amp;" fpm)"</f>
        <v>#N/A</v>
      </c>
      <c r="C49" s="1145"/>
      <c r="D49" s="1145"/>
      <c r="E49" s="1145"/>
      <c r="F49" s="1145"/>
      <c r="G49" s="1145"/>
      <c r="H49" s="1145"/>
      <c r="I49" s="1145"/>
      <c r="K49" s="1140"/>
      <c r="L49" s="1469"/>
      <c r="M49" s="1383"/>
      <c r="N49" s="1383"/>
      <c r="O49" s="1383"/>
      <c r="P49" s="1383"/>
      <c r="Q49" s="1383"/>
      <c r="R49" s="1470"/>
      <c r="S49" s="1604"/>
      <c r="AA49" s="1400"/>
      <c r="AB49" s="1145"/>
      <c r="AC49" s="1145"/>
      <c r="AD49" s="1145"/>
      <c r="AE49" s="1145"/>
      <c r="AF49" s="1145"/>
      <c r="AG49" s="1145"/>
      <c r="AH49" s="1465"/>
      <c r="AI49" s="1145"/>
      <c r="AJ49" s="1145"/>
      <c r="AK49" s="1145"/>
      <c r="AL49" s="1145"/>
      <c r="AM49" s="1145"/>
      <c r="AN49" s="1145"/>
      <c r="AO49" s="1145"/>
      <c r="AP49" s="1145"/>
      <c r="AQ49" s="1466"/>
      <c r="AR49" s="1467"/>
      <c r="AS49" s="1467"/>
      <c r="AT49" s="1467"/>
      <c r="AU49" s="1467"/>
      <c r="AV49" s="1467"/>
      <c r="AW49" s="1467"/>
      <c r="AX49" s="1467"/>
      <c r="AY49" s="1468"/>
      <c r="AZ49" s="421"/>
    </row>
    <row r="50" spans="1:52">
      <c r="B50" s="766">
        <v>201</v>
      </c>
      <c r="C50" s="1472" t="e">
        <f t="shared" si="14"/>
        <v>#N/A</v>
      </c>
      <c r="D50" s="1472" t="e">
        <f>INDEX(SourceID,MATCH($C50,SourceNumber,0),1,1)</f>
        <v>#N/A</v>
      </c>
      <c r="E50" s="1473" t="e">
        <f t="shared" si="15"/>
        <v>#N/A</v>
      </c>
      <c r="F50" s="1486" t="e">
        <f t="shared" si="16"/>
        <v>#N/A</v>
      </c>
      <c r="G50" s="1474" t="e">
        <f t="shared" si="17"/>
        <v>#N/A</v>
      </c>
      <c r="H50" s="1475" t="e">
        <f t="shared" si="18"/>
        <v>#N/A</v>
      </c>
      <c r="I50" s="1476" t="e">
        <f t="shared" si="19"/>
        <v>#N/A</v>
      </c>
      <c r="J50" s="1477" t="e">
        <f>I50*K50</f>
        <v>#N/A</v>
      </c>
      <c r="K50" s="1478" t="e">
        <f>INDEX(SourceVolumeFlowRate,MATCH($C50,SourceNumber,0),1,1)</f>
        <v>#N/A</v>
      </c>
      <c r="L50" s="1479"/>
      <c r="M50" s="1479"/>
      <c r="N50" s="1479"/>
      <c r="O50" s="1479"/>
      <c r="P50" s="1479"/>
      <c r="Q50" s="1479"/>
      <c r="R50" s="1479"/>
      <c r="S50" s="1602" t="e">
        <f>L50*I50</f>
        <v>#N/A</v>
      </c>
      <c r="T50" s="1603" t="e">
        <f>L50*I50</f>
        <v>#N/A</v>
      </c>
      <c r="U50" s="1603" t="e">
        <f>O50*I50</f>
        <v>#N/A</v>
      </c>
      <c r="V50" s="1603" t="e">
        <f>O50*I50</f>
        <v>#N/A</v>
      </c>
      <c r="W50" s="1603" t="e">
        <f>R50*I50</f>
        <v>#N/A</v>
      </c>
      <c r="X50" s="1603" t="e">
        <f>R50*I50</f>
        <v>#N/A</v>
      </c>
      <c r="Y50" s="1603" t="e">
        <f>Q50*I50</f>
        <v>#N/A</v>
      </c>
      <c r="Z50" s="1603" t="e">
        <f>P50*I50</f>
        <v>#N/A</v>
      </c>
      <c r="AA50" s="1482">
        <f>9*28.01/24.45*1000</f>
        <v>10310.429447852763</v>
      </c>
      <c r="AB50" s="1483">
        <f>35*28.01/24.45*1000</f>
        <v>40096.1145194274</v>
      </c>
      <c r="AC50" s="1483">
        <f>(100/1000)*46.0055/24.45*1000</f>
        <v>188.16155419222903</v>
      </c>
      <c r="AD50" s="1483">
        <f>(53/1000)*46.0055/24.45*1000</f>
        <v>99.725623721881377</v>
      </c>
      <c r="AE50" s="1484">
        <v>12</v>
      </c>
      <c r="AF50" s="1484">
        <v>35</v>
      </c>
      <c r="AG50" s="1484">
        <v>150</v>
      </c>
      <c r="AH50" s="1485">
        <f>(75/1000)*64.066/24.45*1000</f>
        <v>196.52147239263803</v>
      </c>
      <c r="AI50" s="1483" t="e">
        <f>AA50/L50</f>
        <v>#DIV/0!</v>
      </c>
      <c r="AJ50" s="1483" t="e">
        <f>AB50/L50</f>
        <v>#DIV/0!</v>
      </c>
      <c r="AK50" s="1483" t="e">
        <f>AC50/O50</f>
        <v>#DIV/0!</v>
      </c>
      <c r="AL50" s="1483" t="e">
        <f>AD50/O50</f>
        <v>#DIV/0!</v>
      </c>
      <c r="AM50" s="1483" t="e">
        <f>AE50/R50</f>
        <v>#DIV/0!</v>
      </c>
      <c r="AN50" s="1483" t="e">
        <f>AF50/R50</f>
        <v>#DIV/0!</v>
      </c>
      <c r="AO50" s="1483" t="e">
        <f>AG50/Q50</f>
        <v>#DIV/0!</v>
      </c>
      <c r="AP50" s="1483" t="e">
        <f>AH50/P50</f>
        <v>#DIV/0!</v>
      </c>
      <c r="AQ50" s="1466"/>
      <c r="AR50" s="1467"/>
      <c r="AS50" s="1467"/>
      <c r="AT50" s="1467"/>
      <c r="AU50" s="1467"/>
      <c r="AV50" s="1467"/>
      <c r="AW50" s="1467"/>
      <c r="AX50" s="1467"/>
      <c r="AY50" s="1468"/>
      <c r="AZ50" s="421"/>
    </row>
    <row r="51" spans="1:52">
      <c r="B51" s="766">
        <v>202</v>
      </c>
      <c r="C51" s="1472" t="e">
        <f t="shared" si="14"/>
        <v>#N/A</v>
      </c>
      <c r="D51" s="1472" t="e">
        <f>INDEX(SourceID,MATCH($C51,SourceNumber,0),1,1)</f>
        <v>#N/A</v>
      </c>
      <c r="E51" s="1473" t="e">
        <f t="shared" si="15"/>
        <v>#N/A</v>
      </c>
      <c r="F51" s="1486" t="e">
        <f t="shared" si="16"/>
        <v>#N/A</v>
      </c>
      <c r="G51" s="1474" t="e">
        <f t="shared" si="17"/>
        <v>#N/A</v>
      </c>
      <c r="H51" s="1475" t="e">
        <f t="shared" si="18"/>
        <v>#N/A</v>
      </c>
      <c r="I51" s="1476" t="e">
        <f t="shared" si="19"/>
        <v>#N/A</v>
      </c>
      <c r="J51" s="1477" t="e">
        <f>I51*K51</f>
        <v>#N/A</v>
      </c>
      <c r="K51" s="1478" t="e">
        <f>INDEX(SourceVolumeFlowRate,MATCH($C51,SourceNumber,0),1,1)</f>
        <v>#N/A</v>
      </c>
      <c r="L51" s="1479"/>
      <c r="M51" s="1479"/>
      <c r="N51" s="1479"/>
      <c r="O51" s="1479"/>
      <c r="P51" s="1479"/>
      <c r="Q51" s="1479"/>
      <c r="R51" s="1479"/>
      <c r="S51" s="1602" t="e">
        <f>L51*I51</f>
        <v>#N/A</v>
      </c>
      <c r="T51" s="1603" t="e">
        <f>L51*I51</f>
        <v>#N/A</v>
      </c>
      <c r="U51" s="1603" t="e">
        <f>O51*I51</f>
        <v>#N/A</v>
      </c>
      <c r="V51" s="1603" t="e">
        <f>O51*I51</f>
        <v>#N/A</v>
      </c>
      <c r="W51" s="1603" t="e">
        <f>R51*I51</f>
        <v>#N/A</v>
      </c>
      <c r="X51" s="1603" t="e">
        <f>R51*I51</f>
        <v>#N/A</v>
      </c>
      <c r="Y51" s="1603" t="e">
        <f>Q51*I51</f>
        <v>#N/A</v>
      </c>
      <c r="Z51" s="1603" t="e">
        <f>P51*I51</f>
        <v>#N/A</v>
      </c>
      <c r="AA51" s="1482">
        <f>9*28.01/24.45*1000</f>
        <v>10310.429447852763</v>
      </c>
      <c r="AB51" s="1483">
        <f>35*28.01/24.45*1000</f>
        <v>40096.1145194274</v>
      </c>
      <c r="AC51" s="1483">
        <f>(100/1000)*46.0055/24.45*1000</f>
        <v>188.16155419222903</v>
      </c>
      <c r="AD51" s="1483">
        <f>(53/1000)*46.0055/24.45*1000</f>
        <v>99.725623721881377</v>
      </c>
      <c r="AE51" s="1484">
        <v>12</v>
      </c>
      <c r="AF51" s="1484">
        <v>35</v>
      </c>
      <c r="AG51" s="1484">
        <v>150</v>
      </c>
      <c r="AH51" s="1485">
        <f>(75/1000)*64.066/24.45*1000</f>
        <v>196.52147239263803</v>
      </c>
      <c r="AI51" s="1483" t="e">
        <f>AA51/L51</f>
        <v>#DIV/0!</v>
      </c>
      <c r="AJ51" s="1483" t="e">
        <f>AB51/L51</f>
        <v>#DIV/0!</v>
      </c>
      <c r="AK51" s="1483" t="e">
        <f>AC51/O51</f>
        <v>#DIV/0!</v>
      </c>
      <c r="AL51" s="1483" t="e">
        <f>AD51/O51</f>
        <v>#DIV/0!</v>
      </c>
      <c r="AM51" s="1483" t="e">
        <f>AE51/R51</f>
        <v>#DIV/0!</v>
      </c>
      <c r="AN51" s="1483" t="e">
        <f>AF51/R51</f>
        <v>#DIV/0!</v>
      </c>
      <c r="AO51" s="1483" t="e">
        <f>AG51/Q51</f>
        <v>#DIV/0!</v>
      </c>
      <c r="AP51" s="1483" t="e">
        <f>AH51/P51</f>
        <v>#DIV/0!</v>
      </c>
      <c r="AQ51" s="1466"/>
      <c r="AR51" s="1467"/>
      <c r="AS51" s="1467"/>
      <c r="AT51" s="1467"/>
      <c r="AU51" s="1467"/>
      <c r="AV51" s="1467"/>
      <c r="AW51" s="1467"/>
      <c r="AX51" s="1467"/>
      <c r="AY51" s="1468"/>
      <c r="AZ51" s="421"/>
    </row>
    <row r="52" spans="1:52">
      <c r="B52" s="766"/>
      <c r="C52" s="1472"/>
      <c r="D52" s="1472"/>
      <c r="E52" s="1473"/>
      <c r="F52" s="1486"/>
      <c r="G52" s="1474"/>
      <c r="H52" s="1475"/>
      <c r="I52" s="1476"/>
      <c r="J52" s="1477"/>
      <c r="K52" s="1488"/>
      <c r="L52" s="1489"/>
      <c r="M52" s="1489"/>
      <c r="N52" s="1489"/>
      <c r="O52" s="1489"/>
      <c r="P52" s="1489"/>
      <c r="Q52" s="1489"/>
      <c r="R52" s="1489"/>
      <c r="S52" s="1480"/>
      <c r="T52" s="1481"/>
      <c r="U52" s="1481"/>
      <c r="V52" s="1481"/>
      <c r="W52" s="1481"/>
      <c r="X52" s="1481"/>
      <c r="Y52" s="1481"/>
      <c r="Z52" s="1481"/>
      <c r="AA52" s="1482"/>
      <c r="AB52" s="1483"/>
      <c r="AC52" s="1483"/>
      <c r="AD52" s="1483"/>
      <c r="AE52" s="1483"/>
      <c r="AF52" s="1483"/>
      <c r="AG52" s="1483"/>
      <c r="AH52" s="1485"/>
      <c r="AI52" s="1483"/>
      <c r="AJ52" s="1483"/>
      <c r="AK52" s="1483"/>
      <c r="AL52" s="1483"/>
      <c r="AM52" s="1483"/>
      <c r="AN52" s="1483"/>
      <c r="AO52" s="1483"/>
      <c r="AP52" s="1483"/>
      <c r="AQ52" s="1466"/>
      <c r="AR52" s="1467"/>
      <c r="AS52" s="1467"/>
      <c r="AT52" s="1467"/>
      <c r="AU52" s="1467"/>
      <c r="AV52" s="1467"/>
      <c r="AW52" s="1467"/>
      <c r="AX52" s="1467"/>
      <c r="AY52" s="1468"/>
      <c r="AZ52" s="421"/>
    </row>
    <row r="53" spans="1:52">
      <c r="B53" s="1534"/>
      <c r="C53" s="1535"/>
      <c r="D53" s="1535"/>
      <c r="E53" s="1536"/>
      <c r="F53" s="1537"/>
      <c r="G53" s="1538"/>
      <c r="H53" s="1539"/>
      <c r="I53" s="1540"/>
      <c r="J53" s="1540"/>
      <c r="K53" s="1541"/>
      <c r="L53" s="1542"/>
      <c r="M53" s="1542"/>
      <c r="N53" s="1542"/>
      <c r="O53" s="1542"/>
      <c r="P53" s="1542"/>
      <c r="Q53" s="1542"/>
      <c r="R53" s="1542"/>
      <c r="S53" s="1543"/>
      <c r="T53" s="1544"/>
      <c r="U53" s="1544"/>
      <c r="V53" s="1544"/>
      <c r="W53" s="1544"/>
      <c r="X53" s="1544"/>
      <c r="Y53" s="1544"/>
      <c r="Z53" s="1544"/>
      <c r="AA53" s="1543"/>
      <c r="AB53" s="1544"/>
      <c r="AC53" s="1544"/>
      <c r="AD53" s="1544"/>
      <c r="AE53" s="1544"/>
      <c r="AF53" s="1544"/>
      <c r="AG53" s="1544"/>
      <c r="AH53" s="1545"/>
      <c r="AI53" s="1544"/>
      <c r="AJ53" s="1544"/>
      <c r="AK53" s="1544"/>
      <c r="AL53" s="1544"/>
      <c r="AM53" s="1544"/>
      <c r="AN53" s="1544"/>
      <c r="AO53" s="1544"/>
      <c r="AP53" s="1544"/>
      <c r="AQ53" s="1546"/>
      <c r="AR53" s="1547"/>
      <c r="AS53" s="1547"/>
      <c r="AT53" s="1547"/>
      <c r="AU53" s="1547"/>
      <c r="AV53" s="1547"/>
      <c r="AW53" s="1547"/>
      <c r="AX53" s="1547"/>
      <c r="AY53" s="1548"/>
      <c r="AZ53" s="1547"/>
    </row>
    <row r="54" spans="1:52">
      <c r="B54" s="1381"/>
      <c r="C54" s="1145"/>
      <c r="D54" s="1145"/>
      <c r="E54" s="1145"/>
      <c r="F54" s="1145"/>
      <c r="G54" s="1145"/>
      <c r="H54" s="1145"/>
      <c r="I54" s="1145"/>
      <c r="J54" s="1145"/>
      <c r="K54" s="1140"/>
      <c r="L54" s="1542"/>
      <c r="M54" s="1542"/>
      <c r="N54" s="1542"/>
      <c r="O54" s="1542"/>
      <c r="P54" s="1542"/>
      <c r="Q54" s="1542"/>
      <c r="R54" s="1382"/>
      <c r="S54" s="1519" t="s">
        <v>606</v>
      </c>
      <c r="T54" s="1372" t="s">
        <v>606</v>
      </c>
      <c r="U54" s="1372" t="s">
        <v>1611</v>
      </c>
      <c r="V54" s="1372" t="s">
        <v>1611</v>
      </c>
      <c r="W54" s="1372" t="s">
        <v>1612</v>
      </c>
      <c r="X54" s="1372" t="s">
        <v>1612</v>
      </c>
      <c r="Y54" s="1372" t="s">
        <v>1613</v>
      </c>
      <c r="Z54" s="1372" t="s">
        <v>1614</v>
      </c>
      <c r="AA54" s="1421" t="s">
        <v>606</v>
      </c>
      <c r="AB54" s="1372" t="s">
        <v>606</v>
      </c>
      <c r="AC54" s="1372" t="s">
        <v>1611</v>
      </c>
      <c r="AD54" s="1372" t="s">
        <v>1611</v>
      </c>
      <c r="AE54" s="1372" t="s">
        <v>1612</v>
      </c>
      <c r="AF54" s="1372" t="s">
        <v>1612</v>
      </c>
      <c r="AG54" s="1372" t="s">
        <v>1613</v>
      </c>
      <c r="AH54" s="1422" t="s">
        <v>1614</v>
      </c>
      <c r="AI54" s="1145"/>
      <c r="AJ54" s="1145"/>
      <c r="AK54" s="1145"/>
      <c r="AL54" s="1145"/>
      <c r="AM54" s="1145"/>
      <c r="AN54" s="1145"/>
      <c r="AO54" s="1145"/>
      <c r="AP54" s="1145"/>
      <c r="AQ54" s="1546"/>
      <c r="AR54" s="1547"/>
      <c r="AS54" s="1547"/>
      <c r="AT54" s="1547"/>
      <c r="AU54" s="1547"/>
      <c r="AV54" s="1547"/>
      <c r="AW54" s="1547"/>
      <c r="AX54" s="1547"/>
      <c r="AY54" s="1548"/>
      <c r="AZ54" s="1547"/>
    </row>
    <row r="55" spans="1:52">
      <c r="B55" s="1381"/>
      <c r="C55" s="1145"/>
      <c r="D55" s="1145"/>
      <c r="E55" s="1145"/>
      <c r="F55" s="1145"/>
      <c r="G55" s="1145"/>
      <c r="H55" s="1145"/>
      <c r="I55" s="1145"/>
      <c r="J55" s="1145"/>
      <c r="K55" s="1140"/>
      <c r="L55" s="1542"/>
      <c r="M55" s="1542"/>
      <c r="N55" s="1542"/>
      <c r="O55" s="1542"/>
      <c r="P55" s="1542"/>
      <c r="Q55" s="1542"/>
      <c r="R55" s="1145"/>
      <c r="S55" s="1519" t="s">
        <v>1617</v>
      </c>
      <c r="T55" s="1372" t="s">
        <v>1618</v>
      </c>
      <c r="U55" s="1372" t="s">
        <v>1618</v>
      </c>
      <c r="V55" s="1372" t="s">
        <v>1619</v>
      </c>
      <c r="W55" s="1372" t="s">
        <v>1619</v>
      </c>
      <c r="X55" s="1372" t="s">
        <v>1620</v>
      </c>
      <c r="Y55" s="1372" t="s">
        <v>1620</v>
      </c>
      <c r="Z55" s="1372" t="s">
        <v>1618</v>
      </c>
      <c r="AA55" s="1421" t="s">
        <v>1617</v>
      </c>
      <c r="AB55" s="1372" t="s">
        <v>1618</v>
      </c>
      <c r="AC55" s="1372" t="s">
        <v>1618</v>
      </c>
      <c r="AD55" s="1372" t="s">
        <v>1619</v>
      </c>
      <c r="AE55" s="1372" t="s">
        <v>1619</v>
      </c>
      <c r="AF55" s="1372" t="s">
        <v>1620</v>
      </c>
      <c r="AG55" s="1372" t="s">
        <v>1620</v>
      </c>
      <c r="AH55" s="1422" t="s">
        <v>1618</v>
      </c>
      <c r="AI55" s="1145"/>
      <c r="AJ55" s="1145"/>
      <c r="AK55" s="1145"/>
      <c r="AL55" s="1145"/>
      <c r="AM55" s="1145"/>
      <c r="AN55" s="1145"/>
      <c r="AO55" s="1145"/>
      <c r="AP55" s="1145"/>
      <c r="AQ55" s="1546"/>
      <c r="AR55" s="1547"/>
      <c r="AS55" s="1547"/>
      <c r="AT55" s="1547"/>
      <c r="AU55" s="1547"/>
      <c r="AV55" s="1547"/>
      <c r="AW55" s="1547"/>
      <c r="AX55" s="1547"/>
      <c r="AY55" s="1548"/>
      <c r="AZ55" s="1547"/>
    </row>
    <row r="56" spans="1:52">
      <c r="A56" s="1503"/>
      <c r="B56" s="1549" t="s">
        <v>1632</v>
      </c>
      <c r="C56" s="1504"/>
      <c r="D56" s="1504"/>
      <c r="E56" s="1505"/>
      <c r="F56" s="1613" t="s">
        <v>1634</v>
      </c>
      <c r="G56" s="1507"/>
      <c r="H56" s="1508"/>
      <c r="I56" s="1509"/>
      <c r="J56" s="1509"/>
      <c r="K56" s="1510"/>
      <c r="L56" s="1511"/>
      <c r="M56" s="1511"/>
      <c r="N56" s="1511"/>
      <c r="O56" s="1511"/>
      <c r="P56" s="1512"/>
      <c r="Q56" s="1512"/>
      <c r="R56" s="1512"/>
      <c r="S56" s="1614">
        <v>117.36068299999999</v>
      </c>
      <c r="T56" s="1615">
        <v>117.36068299999999</v>
      </c>
      <c r="U56" s="1615">
        <v>91.868417999999991</v>
      </c>
      <c r="V56" s="1615">
        <v>3.647878159608402</v>
      </c>
      <c r="W56" s="1615">
        <v>0.27842606051937507</v>
      </c>
      <c r="X56" s="1615">
        <v>2.8524860416666669</v>
      </c>
      <c r="Y56" s="1615">
        <v>7.315540333333332</v>
      </c>
      <c r="Z56" s="1615">
        <v>1.4912000000000001</v>
      </c>
      <c r="AA56" s="1520"/>
      <c r="AB56" s="1504"/>
      <c r="AC56" s="1504"/>
      <c r="AD56" s="1504"/>
      <c r="AE56" s="1504"/>
      <c r="AF56" s="1504"/>
      <c r="AG56" s="1504"/>
      <c r="AH56" s="1521"/>
      <c r="AI56" s="1514"/>
      <c r="AJ56" s="1514"/>
      <c r="AK56" s="1514"/>
      <c r="AL56" s="1514"/>
      <c r="AM56" s="1514"/>
      <c r="AN56" s="1514"/>
      <c r="AO56" s="1514"/>
      <c r="AP56" s="1514"/>
      <c r="AQ56" s="1550"/>
      <c r="AR56" s="1502"/>
      <c r="AS56" s="1502"/>
      <c r="AT56" s="1502"/>
      <c r="AU56" s="1502"/>
      <c r="AV56" s="1502"/>
      <c r="AW56" s="1502"/>
      <c r="AX56" s="1502"/>
      <c r="AY56" s="1551"/>
      <c r="AZ56" s="1502"/>
    </row>
    <row r="57" spans="1:52">
      <c r="A57" s="1503"/>
      <c r="B57" s="1549"/>
      <c r="C57" s="1504"/>
      <c r="D57" s="1504"/>
      <c r="E57" s="1505"/>
      <c r="F57" s="1613" t="s">
        <v>1635</v>
      </c>
      <c r="G57" s="1507"/>
      <c r="H57" s="1508"/>
      <c r="I57" s="1509"/>
      <c r="J57" s="1509"/>
      <c r="K57" s="1510"/>
      <c r="L57" s="1511"/>
      <c r="M57" s="1511"/>
      <c r="N57" s="1511"/>
      <c r="O57" s="1511"/>
      <c r="P57" s="1512"/>
      <c r="Q57" s="1512"/>
      <c r="R57" s="1512"/>
      <c r="S57" s="1614">
        <v>404.67179600000003</v>
      </c>
      <c r="T57" s="1615">
        <v>404.67179599999997</v>
      </c>
      <c r="U57" s="1615">
        <v>237.12533400000001</v>
      </c>
      <c r="V57" s="1615">
        <v>48.008292345890588</v>
      </c>
      <c r="W57" s="1615">
        <v>4.0838511460387616</v>
      </c>
      <c r="X57" s="1615">
        <v>11.5758107</v>
      </c>
      <c r="Y57" s="1615">
        <v>15.62154333333334</v>
      </c>
      <c r="Z57" s="1615">
        <v>3.3524134000000005</v>
      </c>
      <c r="AA57" s="1520"/>
      <c r="AB57" s="1504"/>
      <c r="AC57" s="1504"/>
      <c r="AD57" s="1504"/>
      <c r="AE57" s="1504"/>
      <c r="AF57" s="1504"/>
      <c r="AG57" s="1504"/>
      <c r="AH57" s="1521"/>
      <c r="AI57" s="1514"/>
      <c r="AJ57" s="1514"/>
      <c r="AK57" s="1514"/>
      <c r="AL57" s="1514"/>
      <c r="AM57" s="1514"/>
      <c r="AN57" s="1514"/>
      <c r="AO57" s="1514"/>
      <c r="AP57" s="1514"/>
      <c r="AQ57" s="1550"/>
      <c r="AR57" s="1502"/>
      <c r="AS57" s="1502"/>
      <c r="AT57" s="1502"/>
      <c r="AU57" s="1502"/>
      <c r="AV57" s="1502"/>
      <c r="AW57" s="1502"/>
      <c r="AX57" s="1502"/>
      <c r="AY57" s="1551"/>
      <c r="AZ57" s="1502"/>
    </row>
    <row r="58" spans="1:52">
      <c r="A58" s="1503"/>
      <c r="B58" s="1549"/>
      <c r="C58" s="1504"/>
      <c r="D58" s="1504"/>
      <c r="E58" s="1505"/>
      <c r="F58" s="1613" t="s">
        <v>1636</v>
      </c>
      <c r="G58" s="1507"/>
      <c r="H58" s="1508"/>
      <c r="I58" s="1509"/>
      <c r="J58" s="1509"/>
      <c r="K58" s="1510"/>
      <c r="L58" s="1511"/>
      <c r="M58" s="1511"/>
      <c r="N58" s="1511"/>
      <c r="O58" s="1511"/>
      <c r="P58" s="1512"/>
      <c r="Q58" s="1512"/>
      <c r="R58" s="1512"/>
      <c r="S58" s="1614">
        <v>269.27537999999998</v>
      </c>
      <c r="T58" s="1615">
        <v>273.30573299999998</v>
      </c>
      <c r="U58" s="1615">
        <v>190.45591200000001</v>
      </c>
      <c r="V58" s="1615">
        <v>30.806238284949963</v>
      </c>
      <c r="W58" s="1615">
        <v>2.4883589415600587</v>
      </c>
      <c r="X58" s="1615">
        <v>10.366959</v>
      </c>
      <c r="Y58" s="1615">
        <v>14.562566624999997</v>
      </c>
      <c r="Z58" s="1615">
        <v>2.794222</v>
      </c>
      <c r="AA58" s="1520"/>
      <c r="AB58" s="1504"/>
      <c r="AC58" s="1504"/>
      <c r="AD58" s="1504"/>
      <c r="AE58" s="1504"/>
      <c r="AF58" s="1504"/>
      <c r="AG58" s="1504"/>
      <c r="AH58" s="1521"/>
      <c r="AI58" s="1514"/>
      <c r="AJ58" s="1514"/>
      <c r="AK58" s="1514"/>
      <c r="AL58" s="1514"/>
      <c r="AM58" s="1514"/>
      <c r="AN58" s="1514"/>
      <c r="AO58" s="1514"/>
      <c r="AP58" s="1514"/>
      <c r="AQ58" s="1550"/>
      <c r="AR58" s="1502"/>
      <c r="AS58" s="1502"/>
      <c r="AT58" s="1502"/>
      <c r="AU58" s="1502"/>
      <c r="AV58" s="1502"/>
      <c r="AW58" s="1502"/>
      <c r="AX58" s="1502"/>
      <c r="AY58" s="1551"/>
      <c r="AZ58" s="1502"/>
    </row>
    <row r="59" spans="1:52">
      <c r="A59" s="1503"/>
      <c r="B59" s="1549"/>
      <c r="C59" s="1504"/>
      <c r="D59" s="1504"/>
      <c r="E59" s="1505"/>
      <c r="F59" s="1613" t="s">
        <v>1637</v>
      </c>
      <c r="G59" s="1507"/>
      <c r="H59" s="1508"/>
      <c r="I59" s="1509"/>
      <c r="J59" s="1509"/>
      <c r="K59" s="1510"/>
      <c r="L59" s="1511"/>
      <c r="M59" s="1511"/>
      <c r="N59" s="1511"/>
      <c r="O59" s="1511"/>
      <c r="P59" s="1512"/>
      <c r="Q59" s="1512"/>
      <c r="R59" s="1512"/>
      <c r="S59" s="1614">
        <v>20.059999999999999</v>
      </c>
      <c r="T59" s="1615">
        <v>20.059999999999999</v>
      </c>
      <c r="U59" s="1615">
        <v>6.2879448000000009</v>
      </c>
      <c r="V59" s="1615">
        <v>0.62260308287672539</v>
      </c>
      <c r="W59" s="1615">
        <v>0</v>
      </c>
      <c r="X59" s="1615">
        <v>0</v>
      </c>
      <c r="Y59" s="1615">
        <v>0</v>
      </c>
      <c r="Z59" s="1615">
        <v>0</v>
      </c>
      <c r="AA59" s="1520"/>
      <c r="AB59" s="1504"/>
      <c r="AC59" s="1504"/>
      <c r="AD59" s="1504"/>
      <c r="AE59" s="1504"/>
      <c r="AF59" s="1504"/>
      <c r="AG59" s="1504"/>
      <c r="AH59" s="1521"/>
      <c r="AI59" s="1514"/>
      <c r="AJ59" s="1514"/>
      <c r="AK59" s="1514"/>
      <c r="AL59" s="1514"/>
      <c r="AM59" s="1514"/>
      <c r="AN59" s="1514"/>
      <c r="AO59" s="1514"/>
      <c r="AP59" s="1514"/>
      <c r="AQ59" s="1550"/>
      <c r="AR59" s="1502"/>
      <c r="AS59" s="1502"/>
      <c r="AT59" s="1502"/>
      <c r="AU59" s="1502"/>
      <c r="AV59" s="1502"/>
      <c r="AW59" s="1502"/>
      <c r="AX59" s="1502"/>
      <c r="AY59" s="1551"/>
      <c r="AZ59" s="1502"/>
    </row>
    <row r="60" spans="1:52">
      <c r="A60" s="1503"/>
      <c r="B60" s="1549"/>
      <c r="C60" s="1504"/>
      <c r="D60" s="1504"/>
      <c r="E60" s="1505"/>
      <c r="F60" s="1613" t="s">
        <v>1638</v>
      </c>
      <c r="G60" s="1507"/>
      <c r="H60" s="1508"/>
      <c r="I60" s="1509"/>
      <c r="J60" s="1509"/>
      <c r="K60" s="1510"/>
      <c r="L60" s="1511"/>
      <c r="M60" s="1511"/>
      <c r="N60" s="1511"/>
      <c r="O60" s="1511"/>
      <c r="P60" s="1512"/>
      <c r="Q60" s="1512"/>
      <c r="R60" s="1512"/>
      <c r="S60" s="1614">
        <v>349.96199999999999</v>
      </c>
      <c r="T60" s="1615">
        <v>349.96199999999999</v>
      </c>
      <c r="U60" s="1615">
        <v>113.223</v>
      </c>
      <c r="V60" s="1615">
        <v>6.2507771947489319</v>
      </c>
      <c r="W60" s="1615">
        <v>0</v>
      </c>
      <c r="X60" s="1615">
        <v>0</v>
      </c>
      <c r="Y60" s="1615">
        <v>0</v>
      </c>
      <c r="Z60" s="1615">
        <v>0</v>
      </c>
      <c r="AA60" s="1520"/>
      <c r="AB60" s="1504"/>
      <c r="AC60" s="1504"/>
      <c r="AD60" s="1504"/>
      <c r="AE60" s="1504"/>
      <c r="AF60" s="1504"/>
      <c r="AG60" s="1504"/>
      <c r="AH60" s="1521"/>
      <c r="AI60" s="1514"/>
      <c r="AJ60" s="1514"/>
      <c r="AK60" s="1514"/>
      <c r="AL60" s="1514"/>
      <c r="AM60" s="1514"/>
      <c r="AN60" s="1514"/>
      <c r="AO60" s="1514"/>
      <c r="AP60" s="1514"/>
      <c r="AQ60" s="1550"/>
      <c r="AR60" s="1502"/>
      <c r="AS60" s="1502"/>
      <c r="AT60" s="1502"/>
      <c r="AU60" s="1502"/>
      <c r="AV60" s="1502"/>
      <c r="AW60" s="1502"/>
      <c r="AX60" s="1502"/>
      <c r="AY60" s="1551"/>
      <c r="AZ60" s="1502"/>
    </row>
    <row r="61" spans="1:52">
      <c r="A61" s="1503"/>
      <c r="B61" s="1549"/>
      <c r="C61" s="1504"/>
      <c r="D61" s="1504"/>
      <c r="E61" s="1505"/>
      <c r="F61" s="1613" t="s">
        <v>1639</v>
      </c>
      <c r="G61" s="1507"/>
      <c r="H61" s="1508"/>
      <c r="I61" s="1509"/>
      <c r="J61" s="1509"/>
      <c r="K61" s="1510"/>
      <c r="L61" s="1511"/>
      <c r="M61" s="1511"/>
      <c r="N61" s="1511"/>
      <c r="O61" s="1511"/>
      <c r="P61" s="1512"/>
      <c r="Q61" s="1512"/>
      <c r="R61" s="1512"/>
      <c r="S61" s="1614">
        <v>228.82989500000002</v>
      </c>
      <c r="T61" s="1615">
        <v>243.62545299999999</v>
      </c>
      <c r="U61" s="1615">
        <v>224.08628600000003</v>
      </c>
      <c r="V61" s="1615">
        <v>39.416416259563569</v>
      </c>
      <c r="W61" s="1615">
        <v>4.7117348866652291</v>
      </c>
      <c r="X61" s="1615">
        <v>17.881280466666659</v>
      </c>
      <c r="Y61" s="1615">
        <v>26.946792166666679</v>
      </c>
      <c r="Z61" s="1615">
        <v>4.1071540000000004</v>
      </c>
      <c r="AA61" s="1520"/>
      <c r="AB61" s="1504"/>
      <c r="AC61" s="1504"/>
      <c r="AD61" s="1504"/>
      <c r="AE61" s="1504"/>
      <c r="AF61" s="1504"/>
      <c r="AG61" s="1504"/>
      <c r="AH61" s="1521"/>
      <c r="AI61" s="1514"/>
      <c r="AJ61" s="1514"/>
      <c r="AK61" s="1514"/>
      <c r="AL61" s="1514"/>
      <c r="AM61" s="1514"/>
      <c r="AN61" s="1514"/>
      <c r="AO61" s="1514"/>
      <c r="AP61" s="1514"/>
      <c r="AQ61" s="1550"/>
      <c r="AR61" s="1502"/>
      <c r="AS61" s="1502"/>
      <c r="AT61" s="1502"/>
      <c r="AU61" s="1502"/>
      <c r="AV61" s="1502"/>
      <c r="AW61" s="1502"/>
      <c r="AX61" s="1502"/>
      <c r="AY61" s="1551"/>
      <c r="AZ61" s="1502"/>
    </row>
    <row r="62" spans="1:52" ht="18.75">
      <c r="A62" s="1552"/>
      <c r="B62" s="1553" t="s">
        <v>1640</v>
      </c>
      <c r="C62" s="1523"/>
      <c r="D62" s="1523"/>
      <c r="E62" s="1554"/>
      <c r="F62" s="1555"/>
      <c r="G62" s="1556"/>
      <c r="H62" s="1557"/>
      <c r="I62" s="1558"/>
      <c r="J62" s="1558"/>
      <c r="K62" s="1559"/>
      <c r="L62" s="1560"/>
      <c r="M62" s="1560"/>
      <c r="N62" s="1560"/>
      <c r="O62" s="1560"/>
      <c r="P62" s="1561"/>
      <c r="Q62" s="1561"/>
      <c r="R62" s="1561"/>
      <c r="S62" s="1594">
        <v>2022.8333333333335</v>
      </c>
      <c r="T62" s="1595">
        <v>3396.8333333333335</v>
      </c>
      <c r="U62" s="1596">
        <v>64.546666666666667</v>
      </c>
      <c r="V62" s="1595">
        <v>16.919999999999998</v>
      </c>
      <c r="W62" s="1595">
        <v>8.7699999999999978</v>
      </c>
      <c r="X62" s="1597">
        <v>18.966666666666665</v>
      </c>
      <c r="Y62" s="1595">
        <v>32.666666666666664</v>
      </c>
      <c r="Z62" s="1595">
        <v>53.71</v>
      </c>
      <c r="AA62" s="1522"/>
      <c r="AB62" s="1523"/>
      <c r="AC62" s="1523"/>
      <c r="AD62" s="1523"/>
      <c r="AE62" s="1523"/>
      <c r="AF62" s="1523"/>
      <c r="AG62" s="1523"/>
      <c r="AH62" s="1524"/>
      <c r="AI62" s="1562"/>
      <c r="AJ62" s="1562"/>
      <c r="AK62" s="1562"/>
      <c r="AL62" s="1562"/>
      <c r="AM62" s="1562"/>
      <c r="AN62" s="1562"/>
      <c r="AO62" s="1562"/>
      <c r="AP62" s="1562"/>
      <c r="AQ62" s="1563"/>
      <c r="AR62" s="1564"/>
      <c r="AS62" s="1564"/>
      <c r="AT62" s="1564"/>
      <c r="AU62" s="1564"/>
      <c r="AV62" s="1564"/>
      <c r="AW62" s="1564"/>
      <c r="AX62" s="1564"/>
      <c r="AY62" s="1565"/>
      <c r="AZ62" s="1564"/>
    </row>
    <row r="63" spans="1:52">
      <c r="A63" s="1263"/>
      <c r="B63" s="1566" t="s">
        <v>1633</v>
      </c>
      <c r="C63" s="1527"/>
      <c r="D63" s="1527"/>
      <c r="E63" s="1567"/>
      <c r="F63" s="1525" t="str">
        <f>F56</f>
        <v>10 - AHU-P7/P8 Intake</v>
      </c>
      <c r="G63" s="1568"/>
      <c r="H63" s="1569"/>
      <c r="I63" s="1570"/>
      <c r="J63" s="1570"/>
      <c r="K63" s="1571"/>
      <c r="L63" s="1572"/>
      <c r="M63" s="1572"/>
      <c r="N63" s="1572"/>
      <c r="O63" s="1572"/>
      <c r="P63" s="1573"/>
      <c r="Q63" s="1573"/>
      <c r="R63" s="1573"/>
      <c r="S63" s="1592">
        <f t="shared" ref="S63:Z63" si="20">S56+S62</f>
        <v>2140.1940163333334</v>
      </c>
      <c r="T63" s="1593">
        <f t="shared" si="20"/>
        <v>3514.1940163333334</v>
      </c>
      <c r="U63" s="1593">
        <f t="shared" si="20"/>
        <v>156.41508466666664</v>
      </c>
      <c r="V63" s="1593">
        <f t="shared" si="20"/>
        <v>20.567878159608401</v>
      </c>
      <c r="W63" s="1593">
        <f t="shared" si="20"/>
        <v>9.0484260605193736</v>
      </c>
      <c r="X63" s="1593">
        <f t="shared" si="20"/>
        <v>21.819152708333331</v>
      </c>
      <c r="Y63" s="1593">
        <f t="shared" si="20"/>
        <v>39.982206999999995</v>
      </c>
      <c r="Z63" s="1593">
        <f t="shared" si="20"/>
        <v>55.2012</v>
      </c>
      <c r="AA63" s="1526" t="str">
        <f t="shared" ref="AA63:AH68" si="21">IF(ISNUMBER(S63),(IF(S63&gt;AA$14,"No","Yes")),"-")</f>
        <v>Yes</v>
      </c>
      <c r="AB63" s="1527" t="str">
        <f t="shared" si="21"/>
        <v>Yes</v>
      </c>
      <c r="AC63" s="1527" t="str">
        <f t="shared" si="21"/>
        <v>Yes</v>
      </c>
      <c r="AD63" s="1527" t="str">
        <f t="shared" si="21"/>
        <v>Yes</v>
      </c>
      <c r="AE63" s="1527" t="str">
        <f t="shared" si="21"/>
        <v>Yes</v>
      </c>
      <c r="AF63" s="1527" t="str">
        <f t="shared" si="21"/>
        <v>Yes</v>
      </c>
      <c r="AG63" s="1527" t="str">
        <f t="shared" si="21"/>
        <v>Yes</v>
      </c>
      <c r="AH63" s="1528" t="str">
        <f t="shared" si="21"/>
        <v>Yes</v>
      </c>
      <c r="AI63" s="1574"/>
      <c r="AJ63" s="1574"/>
      <c r="AK63" s="1574"/>
      <c r="AL63" s="1574"/>
      <c r="AM63" s="1574"/>
      <c r="AN63" s="1574"/>
      <c r="AO63" s="1574"/>
      <c r="AP63" s="1574"/>
      <c r="AQ63" s="1575"/>
      <c r="AR63" s="1576"/>
      <c r="AS63" s="1576"/>
      <c r="AT63" s="1576"/>
      <c r="AU63" s="1576"/>
      <c r="AV63" s="1576"/>
      <c r="AW63" s="1576"/>
      <c r="AX63" s="1576"/>
      <c r="AY63" s="1577"/>
      <c r="AZ63" s="1576"/>
    </row>
    <row r="64" spans="1:52">
      <c r="A64" s="1263"/>
      <c r="B64" s="1566"/>
      <c r="C64" s="1527"/>
      <c r="D64" s="1527"/>
      <c r="E64" s="1567"/>
      <c r="F64" s="1525" t="str">
        <f t="shared" ref="F64:F68" si="22">F57</f>
        <v>21 - AHU-U4 Intake</v>
      </c>
      <c r="G64" s="1568"/>
      <c r="H64" s="1569"/>
      <c r="I64" s="1570"/>
      <c r="J64" s="1570"/>
      <c r="K64" s="1571"/>
      <c r="L64" s="1572"/>
      <c r="M64" s="1572"/>
      <c r="N64" s="1572"/>
      <c r="O64" s="1572"/>
      <c r="P64" s="1573"/>
      <c r="Q64" s="1573"/>
      <c r="R64" s="1573"/>
      <c r="S64" s="1592">
        <f>S57+S62</f>
        <v>2427.5051293333336</v>
      </c>
      <c r="T64" s="1593">
        <f t="shared" ref="T64:Z64" si="23">T57+T62</f>
        <v>3801.5051293333336</v>
      </c>
      <c r="U64" s="1593">
        <f t="shared" si="23"/>
        <v>301.67200066666669</v>
      </c>
      <c r="V64" s="1593">
        <f t="shared" si="23"/>
        <v>64.928292345890583</v>
      </c>
      <c r="W64" s="1593">
        <f t="shared" si="23"/>
        <v>12.85385114603876</v>
      </c>
      <c r="X64" s="1593">
        <f t="shared" si="23"/>
        <v>30.542477366666667</v>
      </c>
      <c r="Y64" s="1593">
        <f t="shared" si="23"/>
        <v>48.288210000000007</v>
      </c>
      <c r="Z64" s="1593">
        <f t="shared" si="23"/>
        <v>57.062413400000004</v>
      </c>
      <c r="AA64" s="1526" t="str">
        <f t="shared" si="21"/>
        <v>Yes</v>
      </c>
      <c r="AB64" s="1527" t="str">
        <f t="shared" si="21"/>
        <v>Yes</v>
      </c>
      <c r="AC64" s="1527" t="str">
        <f t="shared" si="21"/>
        <v>No</v>
      </c>
      <c r="AD64" s="1527" t="str">
        <f t="shared" si="21"/>
        <v>Yes</v>
      </c>
      <c r="AE64" s="1527" t="str">
        <f t="shared" si="21"/>
        <v>No</v>
      </c>
      <c r="AF64" s="1527" t="str">
        <f t="shared" si="21"/>
        <v>Yes</v>
      </c>
      <c r="AG64" s="1527" t="str">
        <f t="shared" si="21"/>
        <v>Yes</v>
      </c>
      <c r="AH64" s="1528" t="str">
        <f t="shared" si="21"/>
        <v>Yes</v>
      </c>
      <c r="AI64" s="1574"/>
      <c r="AJ64" s="1574"/>
      <c r="AK64" s="1574"/>
      <c r="AL64" s="1574"/>
      <c r="AM64" s="1574"/>
      <c r="AN64" s="1574"/>
      <c r="AO64" s="1574"/>
      <c r="AP64" s="1574"/>
      <c r="AQ64" s="1575"/>
      <c r="AR64" s="1576"/>
      <c r="AS64" s="1576"/>
      <c r="AT64" s="1576"/>
      <c r="AU64" s="1576"/>
      <c r="AV64" s="1576"/>
      <c r="AW64" s="1576"/>
      <c r="AX64" s="1576"/>
      <c r="AY64" s="1577"/>
      <c r="AZ64" s="1576"/>
    </row>
    <row r="65" spans="1:52">
      <c r="A65" s="1263"/>
      <c r="B65" s="1566"/>
      <c r="C65" s="1527"/>
      <c r="D65" s="1527"/>
      <c r="E65" s="1567"/>
      <c r="F65" s="1525" t="str">
        <f t="shared" si="22"/>
        <v>22 - AHU-U1/U2/U3 Intake</v>
      </c>
      <c r="G65" s="1568"/>
      <c r="H65" s="1569"/>
      <c r="I65" s="1570"/>
      <c r="J65" s="1570"/>
      <c r="K65" s="1571"/>
      <c r="L65" s="1572"/>
      <c r="M65" s="1572"/>
      <c r="N65" s="1572"/>
      <c r="O65" s="1572"/>
      <c r="P65" s="1573"/>
      <c r="Q65" s="1573"/>
      <c r="R65" s="1573"/>
      <c r="S65" s="1592">
        <f>S58+S62</f>
        <v>2292.1087133333335</v>
      </c>
      <c r="T65" s="1593">
        <f t="shared" ref="T65:Z65" si="24">T58+T62</f>
        <v>3670.1390663333336</v>
      </c>
      <c r="U65" s="1593">
        <f t="shared" si="24"/>
        <v>255.00257866666669</v>
      </c>
      <c r="V65" s="1593">
        <f t="shared" si="24"/>
        <v>47.726238284949957</v>
      </c>
      <c r="W65" s="1593">
        <f t="shared" si="24"/>
        <v>11.258358941560056</v>
      </c>
      <c r="X65" s="1593">
        <f t="shared" si="24"/>
        <v>29.333625666666663</v>
      </c>
      <c r="Y65" s="1593">
        <f t="shared" si="24"/>
        <v>47.22923329166666</v>
      </c>
      <c r="Z65" s="1593">
        <f t="shared" si="24"/>
        <v>56.504221999999999</v>
      </c>
      <c r="AA65" s="1526" t="str">
        <f t="shared" si="21"/>
        <v>Yes</v>
      </c>
      <c r="AB65" s="1527" t="str">
        <f t="shared" si="21"/>
        <v>Yes</v>
      </c>
      <c r="AC65" s="1527" t="str">
        <f t="shared" si="21"/>
        <v>No</v>
      </c>
      <c r="AD65" s="1527" t="str">
        <f t="shared" si="21"/>
        <v>Yes</v>
      </c>
      <c r="AE65" s="1527" t="str">
        <f t="shared" si="21"/>
        <v>Yes</v>
      </c>
      <c r="AF65" s="1527" t="str">
        <f t="shared" si="21"/>
        <v>Yes</v>
      </c>
      <c r="AG65" s="1527" t="str">
        <f t="shared" si="21"/>
        <v>Yes</v>
      </c>
      <c r="AH65" s="1528" t="str">
        <f t="shared" si="21"/>
        <v>Yes</v>
      </c>
      <c r="AI65" s="1574"/>
      <c r="AJ65" s="1574"/>
      <c r="AK65" s="1574"/>
      <c r="AL65" s="1574"/>
      <c r="AM65" s="1574"/>
      <c r="AN65" s="1574"/>
      <c r="AO65" s="1574"/>
      <c r="AP65" s="1574"/>
      <c r="AQ65" s="1575"/>
      <c r="AR65" s="1576"/>
      <c r="AS65" s="1576"/>
      <c r="AT65" s="1576"/>
      <c r="AU65" s="1576"/>
      <c r="AV65" s="1576"/>
      <c r="AW65" s="1576"/>
      <c r="AX65" s="1576"/>
      <c r="AY65" s="1577"/>
      <c r="AZ65" s="1576"/>
    </row>
    <row r="66" spans="1:52">
      <c r="A66" s="1263"/>
      <c r="B66" s="1566"/>
      <c r="C66" s="1527"/>
      <c r="D66" s="1527"/>
      <c r="E66" s="1567"/>
      <c r="F66" s="1525" t="str">
        <f t="shared" si="22"/>
        <v>23 - AHU-U7</v>
      </c>
      <c r="G66" s="1568"/>
      <c r="H66" s="1569"/>
      <c r="I66" s="1570"/>
      <c r="J66" s="1570"/>
      <c r="K66" s="1571"/>
      <c r="L66" s="1572"/>
      <c r="M66" s="1572"/>
      <c r="N66" s="1572"/>
      <c r="O66" s="1572"/>
      <c r="P66" s="1573"/>
      <c r="Q66" s="1573"/>
      <c r="R66" s="1573"/>
      <c r="S66" s="1592">
        <f>S59+S62</f>
        <v>2042.8933333333334</v>
      </c>
      <c r="T66" s="1593">
        <f t="shared" ref="T66:Z66" si="25">T59+T62</f>
        <v>3416.8933333333334</v>
      </c>
      <c r="U66" s="1593">
        <f t="shared" si="25"/>
        <v>70.834611466666672</v>
      </c>
      <c r="V66" s="1593">
        <f t="shared" si="25"/>
        <v>17.542603082876724</v>
      </c>
      <c r="W66" s="1593">
        <f t="shared" si="25"/>
        <v>8.7699999999999978</v>
      </c>
      <c r="X66" s="1593">
        <f t="shared" si="25"/>
        <v>18.966666666666665</v>
      </c>
      <c r="Y66" s="1593">
        <f t="shared" si="25"/>
        <v>32.666666666666664</v>
      </c>
      <c r="Z66" s="1593">
        <f t="shared" si="25"/>
        <v>53.71</v>
      </c>
      <c r="AA66" s="1526" t="str">
        <f t="shared" si="21"/>
        <v>Yes</v>
      </c>
      <c r="AB66" s="1527" t="str">
        <f t="shared" si="21"/>
        <v>Yes</v>
      </c>
      <c r="AC66" s="1527" t="str">
        <f t="shared" si="21"/>
        <v>Yes</v>
      </c>
      <c r="AD66" s="1527" t="str">
        <f t="shared" si="21"/>
        <v>Yes</v>
      </c>
      <c r="AE66" s="1527" t="str">
        <f t="shared" si="21"/>
        <v>Yes</v>
      </c>
      <c r="AF66" s="1527" t="str">
        <f t="shared" si="21"/>
        <v>Yes</v>
      </c>
      <c r="AG66" s="1527" t="str">
        <f t="shared" si="21"/>
        <v>Yes</v>
      </c>
      <c r="AH66" s="1528" t="str">
        <f t="shared" si="21"/>
        <v>Yes</v>
      </c>
      <c r="AI66" s="1574"/>
      <c r="AJ66" s="1574"/>
      <c r="AK66" s="1574"/>
      <c r="AL66" s="1574"/>
      <c r="AM66" s="1574"/>
      <c r="AN66" s="1574"/>
      <c r="AO66" s="1574"/>
      <c r="AP66" s="1574"/>
      <c r="AQ66" s="1575"/>
      <c r="AR66" s="1576"/>
      <c r="AS66" s="1576"/>
      <c r="AT66" s="1576"/>
      <c r="AU66" s="1576"/>
      <c r="AV66" s="1576"/>
      <c r="AW66" s="1576"/>
      <c r="AX66" s="1576"/>
      <c r="AY66" s="1577"/>
      <c r="AZ66" s="1576"/>
    </row>
    <row r="67" spans="1:52">
      <c r="A67" s="1263"/>
      <c r="B67" s="1566"/>
      <c r="C67" s="1527"/>
      <c r="D67" s="1527"/>
      <c r="E67" s="1567"/>
      <c r="F67" s="1525" t="str">
        <f t="shared" si="22"/>
        <v>25 - AHU-U5/U6/U8 Intake N</v>
      </c>
      <c r="G67" s="1568"/>
      <c r="H67" s="1569"/>
      <c r="I67" s="1570"/>
      <c r="J67" s="1570"/>
      <c r="K67" s="1571"/>
      <c r="L67" s="1572"/>
      <c r="M67" s="1572"/>
      <c r="N67" s="1572"/>
      <c r="O67" s="1572"/>
      <c r="P67" s="1573"/>
      <c r="Q67" s="1573"/>
      <c r="R67" s="1573"/>
      <c r="S67" s="1592">
        <f>S60+S62</f>
        <v>2372.7953333333335</v>
      </c>
      <c r="T67" s="1593">
        <f t="shared" ref="T67:Z67" si="26">T60+T62</f>
        <v>3746.7953333333335</v>
      </c>
      <c r="U67" s="1593">
        <f t="shared" si="26"/>
        <v>177.76966666666667</v>
      </c>
      <c r="V67" s="1593">
        <f t="shared" si="26"/>
        <v>23.170777194748929</v>
      </c>
      <c r="W67" s="1593">
        <f t="shared" si="26"/>
        <v>8.7699999999999978</v>
      </c>
      <c r="X67" s="1593">
        <f t="shared" si="26"/>
        <v>18.966666666666665</v>
      </c>
      <c r="Y67" s="1593">
        <f t="shared" si="26"/>
        <v>32.666666666666664</v>
      </c>
      <c r="Z67" s="1593">
        <f t="shared" si="26"/>
        <v>53.71</v>
      </c>
      <c r="AA67" s="1526" t="str">
        <f t="shared" si="21"/>
        <v>Yes</v>
      </c>
      <c r="AB67" s="1527" t="str">
        <f t="shared" si="21"/>
        <v>Yes</v>
      </c>
      <c r="AC67" s="1527" t="str">
        <f t="shared" si="21"/>
        <v>Yes</v>
      </c>
      <c r="AD67" s="1527" t="str">
        <f t="shared" si="21"/>
        <v>Yes</v>
      </c>
      <c r="AE67" s="1527" t="str">
        <f t="shared" si="21"/>
        <v>Yes</v>
      </c>
      <c r="AF67" s="1527" t="str">
        <f t="shared" si="21"/>
        <v>Yes</v>
      </c>
      <c r="AG67" s="1527" t="str">
        <f t="shared" si="21"/>
        <v>Yes</v>
      </c>
      <c r="AH67" s="1528" t="str">
        <f t="shared" si="21"/>
        <v>Yes</v>
      </c>
      <c r="AI67" s="1574"/>
      <c r="AJ67" s="1574"/>
      <c r="AK67" s="1574"/>
      <c r="AL67" s="1574"/>
      <c r="AM67" s="1574"/>
      <c r="AN67" s="1574"/>
      <c r="AO67" s="1574"/>
      <c r="AP67" s="1574"/>
      <c r="AQ67" s="1575"/>
      <c r="AR67" s="1576"/>
      <c r="AS67" s="1576"/>
      <c r="AT67" s="1576"/>
      <c r="AU67" s="1576"/>
      <c r="AV67" s="1576"/>
      <c r="AW67" s="1576"/>
      <c r="AX67" s="1576"/>
      <c r="AY67" s="1577"/>
      <c r="AZ67" s="1576"/>
    </row>
    <row r="68" spans="1:52">
      <c r="A68" s="1263"/>
      <c r="B68" s="1566"/>
      <c r="C68" s="1527"/>
      <c r="D68" s="1527"/>
      <c r="E68" s="1567"/>
      <c r="F68" s="1525" t="str">
        <f t="shared" si="22"/>
        <v>42 - Cancer Center Entrance</v>
      </c>
      <c r="G68" s="1568"/>
      <c r="H68" s="1569"/>
      <c r="I68" s="1570"/>
      <c r="J68" s="1570"/>
      <c r="K68" s="1571"/>
      <c r="L68" s="1572"/>
      <c r="M68" s="1572"/>
      <c r="N68" s="1572"/>
      <c r="O68" s="1572"/>
      <c r="P68" s="1573"/>
      <c r="Q68" s="1573"/>
      <c r="R68" s="1573"/>
      <c r="S68" s="1592">
        <f>S61+S62</f>
        <v>2251.6632283333333</v>
      </c>
      <c r="T68" s="1593">
        <f t="shared" ref="T68:Z68" si="27">T61+T62</f>
        <v>3640.4587863333336</v>
      </c>
      <c r="U68" s="1593">
        <f t="shared" si="27"/>
        <v>288.63295266666671</v>
      </c>
      <c r="V68" s="1593">
        <f t="shared" si="27"/>
        <v>56.336416259563563</v>
      </c>
      <c r="W68" s="1593">
        <f t="shared" si="27"/>
        <v>13.481734886665226</v>
      </c>
      <c r="X68" s="1593">
        <f t="shared" si="27"/>
        <v>36.847947133333321</v>
      </c>
      <c r="Y68" s="1593">
        <f t="shared" si="27"/>
        <v>59.61345883333334</v>
      </c>
      <c r="Z68" s="1593">
        <f t="shared" si="27"/>
        <v>57.817154000000002</v>
      </c>
      <c r="AA68" s="1526" t="str">
        <f t="shared" si="21"/>
        <v>Yes</v>
      </c>
      <c r="AB68" s="1527" t="str">
        <f t="shared" si="21"/>
        <v>Yes</v>
      </c>
      <c r="AC68" s="1527" t="str">
        <f t="shared" si="21"/>
        <v>No</v>
      </c>
      <c r="AD68" s="1527" t="str">
        <f t="shared" si="21"/>
        <v>Yes</v>
      </c>
      <c r="AE68" s="1527" t="str">
        <f t="shared" si="21"/>
        <v>No</v>
      </c>
      <c r="AF68" s="1527" t="str">
        <f t="shared" si="21"/>
        <v>No</v>
      </c>
      <c r="AG68" s="1527" t="str">
        <f t="shared" si="21"/>
        <v>Yes</v>
      </c>
      <c r="AH68" s="1528" t="str">
        <f t="shared" si="21"/>
        <v>Yes</v>
      </c>
      <c r="AI68" s="1574"/>
      <c r="AJ68" s="1574"/>
      <c r="AK68" s="1574"/>
      <c r="AL68" s="1574"/>
      <c r="AM68" s="1574"/>
      <c r="AN68" s="1574"/>
      <c r="AO68" s="1574"/>
      <c r="AP68" s="1574"/>
      <c r="AQ68" s="1575"/>
      <c r="AR68" s="1576"/>
      <c r="AS68" s="1576"/>
      <c r="AT68" s="1576"/>
      <c r="AU68" s="1576"/>
      <c r="AV68" s="1576"/>
      <c r="AW68" s="1576"/>
      <c r="AX68" s="1576"/>
      <c r="AY68" s="1577"/>
      <c r="AZ68" s="1576"/>
    </row>
    <row r="69" spans="1:52">
      <c r="A69" s="41"/>
      <c r="B69" s="1530"/>
      <c r="C69" s="1490"/>
      <c r="D69" s="1490"/>
      <c r="E69" s="1491"/>
      <c r="F69" s="1492"/>
      <c r="G69" s="1493"/>
      <c r="H69" s="1494"/>
      <c r="I69" s="1495"/>
      <c r="J69" s="1496"/>
      <c r="K69" s="1497"/>
      <c r="L69" s="1498"/>
      <c r="M69" s="1498"/>
      <c r="N69" s="1498"/>
      <c r="O69" s="1498"/>
      <c r="P69" s="1499"/>
      <c r="Q69" s="1499"/>
      <c r="R69" s="1499"/>
      <c r="S69" s="1500"/>
      <c r="T69" s="1501"/>
      <c r="U69" s="1501"/>
      <c r="V69" s="1501"/>
      <c r="W69" s="1501"/>
      <c r="X69" s="1501"/>
      <c r="Y69" s="1501"/>
      <c r="Z69" s="1501"/>
      <c r="AA69" s="1531"/>
      <c r="AB69" s="1532"/>
      <c r="AC69" s="1532"/>
      <c r="AD69" s="1532"/>
      <c r="AE69" s="1532"/>
      <c r="AF69" s="1532"/>
      <c r="AG69" s="1532"/>
      <c r="AH69" s="1578"/>
      <c r="AI69" s="1501"/>
      <c r="AJ69" s="1501"/>
      <c r="AK69" s="1501"/>
      <c r="AL69" s="1501"/>
      <c r="AM69" s="1501"/>
      <c r="AN69" s="1501"/>
      <c r="AO69" s="1501"/>
      <c r="AP69" s="1501"/>
      <c r="AQ69" s="1531"/>
      <c r="AR69" s="1532"/>
      <c r="AS69" s="1532"/>
      <c r="AT69" s="1532"/>
      <c r="AU69" s="1532"/>
      <c r="AV69" s="1532"/>
      <c r="AW69" s="1532"/>
      <c r="AX69" s="1532"/>
      <c r="AY69" s="1533"/>
      <c r="AZ69" s="1529"/>
    </row>
    <row r="70" spans="1:52">
      <c r="B70" s="1579"/>
      <c r="C70" s="1579"/>
      <c r="D70" s="1579"/>
      <c r="E70" s="1579"/>
      <c r="F70" s="1579"/>
      <c r="G70" s="1580"/>
      <c r="H70" s="1580"/>
      <c r="I70" s="1580"/>
      <c r="J70" s="1581"/>
      <c r="K70" s="1582"/>
      <c r="L70" s="1582"/>
      <c r="M70" s="1582"/>
      <c r="N70" s="1582"/>
      <c r="O70" s="1582"/>
      <c r="P70" s="1582"/>
      <c r="Q70" s="1582"/>
      <c r="R70" s="1582"/>
      <c r="S70" s="1859"/>
      <c r="T70" s="1859"/>
      <c r="U70" s="1859"/>
      <c r="V70" s="1859"/>
      <c r="W70" s="1583"/>
      <c r="X70" s="1583"/>
      <c r="Y70" s="1583"/>
      <c r="Z70" s="1583"/>
      <c r="AA70" s="1859"/>
      <c r="AB70" s="1859"/>
      <c r="AC70" s="1859"/>
      <c r="AD70" s="1859"/>
      <c r="AE70" s="1583"/>
      <c r="AF70" s="1583"/>
      <c r="AG70" s="1583"/>
      <c r="AH70" s="1583"/>
      <c r="AI70" s="1859"/>
      <c r="AJ70" s="1859"/>
      <c r="AK70" s="1859"/>
      <c r="AL70" s="1859"/>
      <c r="AM70" s="1583"/>
      <c r="AN70" s="1583"/>
      <c r="AO70" s="1583"/>
      <c r="AP70" s="1583"/>
      <c r="AQ70" s="1584"/>
      <c r="AR70" s="1584"/>
      <c r="AS70" s="1584"/>
      <c r="AT70" s="1584"/>
      <c r="AU70" s="1584"/>
      <c r="AV70" s="1584"/>
      <c r="AW70" s="1584"/>
      <c r="AX70" s="1584"/>
      <c r="AY70" s="1584"/>
      <c r="AZ70" s="656"/>
    </row>
    <row r="71" spans="1:52">
      <c r="B71" s="1145" t="s">
        <v>214</v>
      </c>
      <c r="C71" s="1145"/>
      <c r="D71" s="1145"/>
      <c r="E71" s="1145"/>
      <c r="F71" s="1145"/>
      <c r="G71" s="1145"/>
      <c r="H71" s="1145"/>
      <c r="I71" s="1145"/>
      <c r="K71" s="1585"/>
      <c r="L71" s="1585"/>
      <c r="M71" s="1585"/>
      <c r="N71" s="1585"/>
      <c r="O71" s="1585"/>
      <c r="P71" s="1585"/>
      <c r="Q71" s="1585"/>
      <c r="R71" s="1585"/>
      <c r="S71" s="942"/>
      <c r="T71" s="942"/>
      <c r="U71" s="942"/>
      <c r="V71" s="942"/>
      <c r="W71" s="942"/>
      <c r="X71" s="942"/>
      <c r="Y71" s="942"/>
      <c r="Z71" s="942"/>
      <c r="AA71" s="942"/>
      <c r="AB71" s="942"/>
      <c r="AC71" s="942"/>
      <c r="AD71" s="942"/>
      <c r="AE71" s="942"/>
      <c r="AF71" s="942"/>
      <c r="AG71" s="942"/>
      <c r="AH71" s="942"/>
      <c r="AI71" s="942"/>
      <c r="AJ71" s="942"/>
      <c r="AK71" s="942"/>
      <c r="AL71" s="942"/>
      <c r="AM71" s="942"/>
      <c r="AN71" s="942"/>
      <c r="AO71" s="942"/>
      <c r="AP71" s="942"/>
      <c r="AQ71" s="1586"/>
      <c r="AR71" s="1586"/>
      <c r="AS71" s="1586"/>
      <c r="AT71" s="1586"/>
      <c r="AU71" s="1586"/>
      <c r="AV71" s="1586"/>
      <c r="AW71" s="1586"/>
      <c r="AX71" s="1586"/>
      <c r="AY71" s="1586"/>
      <c r="AZ71" s="656"/>
    </row>
    <row r="72" spans="1:52">
      <c r="B72" s="1587" t="s">
        <v>216</v>
      </c>
      <c r="C72" s="1145"/>
      <c r="D72" s="1317" t="s">
        <v>1646</v>
      </c>
      <c r="E72" s="1145"/>
      <c r="F72" s="1145"/>
      <c r="G72" s="1145"/>
      <c r="H72" s="1145"/>
      <c r="I72" s="1145"/>
      <c r="K72" s="1585"/>
      <c r="L72" s="1585"/>
      <c r="M72" s="1585"/>
      <c r="N72" s="1585"/>
      <c r="O72" s="1585"/>
      <c r="P72" s="1585"/>
      <c r="Q72" s="1585"/>
      <c r="R72" s="1585"/>
      <c r="S72" s="1483"/>
      <c r="T72" s="1483"/>
      <c r="U72" s="1483"/>
      <c r="V72" s="1483"/>
      <c r="W72" s="1483"/>
      <c r="X72" s="1483"/>
      <c r="Y72" s="1483"/>
      <c r="Z72" s="1483"/>
      <c r="AA72" s="1483"/>
      <c r="AB72" s="1483"/>
      <c r="AC72" s="1483"/>
      <c r="AD72" s="1483"/>
      <c r="AE72" s="1483"/>
      <c r="AF72" s="1483"/>
      <c r="AG72" s="1483"/>
      <c r="AH72" s="1483"/>
      <c r="AI72" s="1483"/>
      <c r="AJ72" s="1483"/>
      <c r="AK72" s="1483"/>
      <c r="AL72" s="1483"/>
      <c r="AM72" s="1483"/>
      <c r="AN72" s="1483"/>
      <c r="AO72" s="1483"/>
      <c r="AP72" s="1483"/>
      <c r="AQ72" s="1145"/>
      <c r="AR72" s="1145"/>
      <c r="AS72" s="1145"/>
      <c r="AT72" s="1145"/>
      <c r="AU72" s="1145"/>
      <c r="AV72" s="1145"/>
      <c r="AW72" s="1145"/>
      <c r="AX72" s="1145"/>
      <c r="AY72" s="1145"/>
    </row>
    <row r="73" spans="1:52">
      <c r="B73" s="1587" t="s">
        <v>217</v>
      </c>
      <c r="C73" s="1145"/>
      <c r="D73" s="940" t="s">
        <v>1641</v>
      </c>
      <c r="E73" s="1145"/>
      <c r="F73" s="1145"/>
      <c r="G73" s="1145"/>
      <c r="H73" s="1145"/>
      <c r="I73" s="1145"/>
      <c r="K73" s="1585"/>
      <c r="L73" s="1585"/>
      <c r="M73" s="1585"/>
      <c r="N73" s="1585"/>
      <c r="O73" s="1585"/>
      <c r="P73" s="1585"/>
      <c r="Q73" s="1585"/>
      <c r="R73" s="1585"/>
      <c r="S73" s="1483"/>
      <c r="T73" s="1483"/>
      <c r="U73" s="1483"/>
      <c r="V73" s="1483"/>
      <c r="W73" s="1483"/>
      <c r="X73" s="1483"/>
      <c r="Y73" s="1483"/>
      <c r="Z73" s="1483"/>
      <c r="AA73" s="1483"/>
      <c r="AB73" s="1483"/>
      <c r="AC73" s="1483"/>
      <c r="AD73" s="1483"/>
      <c r="AE73" s="1483"/>
      <c r="AF73" s="1483"/>
      <c r="AG73" s="1483"/>
      <c r="AH73" s="1483"/>
      <c r="AI73" s="1483"/>
      <c r="AJ73" s="1483"/>
      <c r="AK73" s="1483"/>
      <c r="AL73" s="1483"/>
      <c r="AM73" s="1483"/>
      <c r="AN73" s="1483"/>
      <c r="AO73" s="1483"/>
      <c r="AP73" s="1483"/>
      <c r="AQ73" s="1145"/>
      <c r="AR73" s="1145"/>
      <c r="AS73" s="1145"/>
      <c r="AT73" s="1145"/>
      <c r="AU73" s="1145"/>
      <c r="AV73" s="1145"/>
      <c r="AW73" s="1145"/>
      <c r="AX73" s="1145"/>
      <c r="AY73" s="1145"/>
    </row>
    <row r="74" spans="1:52">
      <c r="B74" s="1587" t="s">
        <v>218</v>
      </c>
      <c r="C74" s="1145"/>
      <c r="D74" s="1317" t="s">
        <v>367</v>
      </c>
      <c r="E74" s="1145"/>
      <c r="F74" s="1145"/>
      <c r="G74" s="1145"/>
      <c r="H74" s="1145"/>
      <c r="I74" s="1145"/>
      <c r="K74" s="1585"/>
      <c r="L74" s="1585"/>
      <c r="M74" s="1585"/>
      <c r="N74" s="1585"/>
      <c r="O74" s="1585"/>
      <c r="P74" s="1585"/>
      <c r="Q74" s="1585"/>
      <c r="R74" s="1585"/>
      <c r="S74" s="1483"/>
      <c r="T74" s="1483"/>
      <c r="U74" s="1483"/>
      <c r="V74" s="1483"/>
      <c r="W74" s="1483"/>
      <c r="X74" s="1483"/>
      <c r="Y74" s="1483"/>
      <c r="Z74" s="1483"/>
      <c r="AA74" s="1483"/>
      <c r="AB74" s="1483"/>
      <c r="AC74" s="1483"/>
      <c r="AD74" s="1483"/>
      <c r="AE74" s="1483"/>
      <c r="AF74" s="1483"/>
      <c r="AG74" s="1483"/>
      <c r="AH74" s="1483"/>
      <c r="AI74" s="1483"/>
      <c r="AJ74" s="1483"/>
      <c r="AK74" s="1483"/>
      <c r="AL74" s="1483"/>
      <c r="AM74" s="1483"/>
      <c r="AN74" s="1483"/>
      <c r="AO74" s="1483"/>
      <c r="AP74" s="1483"/>
      <c r="AQ74" s="1145"/>
      <c r="AR74" s="1145"/>
      <c r="AS74" s="1145"/>
      <c r="AT74" s="1145"/>
      <c r="AU74" s="1145"/>
      <c r="AV74" s="1145"/>
      <c r="AW74" s="1145"/>
      <c r="AX74" s="1145"/>
      <c r="AY74" s="1145"/>
    </row>
    <row r="75" spans="1:52">
      <c r="B75" s="1588" t="s">
        <v>219</v>
      </c>
      <c r="C75" s="1145"/>
      <c r="D75" s="1589" t="s">
        <v>1447</v>
      </c>
      <c r="E75" s="1589"/>
      <c r="F75" s="1589"/>
      <c r="G75" s="1589"/>
      <c r="H75" s="1589"/>
      <c r="I75" s="1589"/>
      <c r="J75" s="1590"/>
      <c r="K75" s="1483"/>
      <c r="L75" s="1483"/>
      <c r="M75" s="1483"/>
      <c r="N75" s="1483"/>
      <c r="O75" s="1483"/>
      <c r="P75" s="1483"/>
      <c r="Q75" s="1483"/>
      <c r="R75" s="1483"/>
      <c r="S75" s="1483"/>
      <c r="T75" s="1483"/>
      <c r="U75" s="1483"/>
      <c r="V75" s="1483"/>
      <c r="W75" s="1483"/>
      <c r="X75" s="1483"/>
      <c r="Y75" s="1483"/>
      <c r="Z75" s="1483"/>
      <c r="AA75" s="1483"/>
      <c r="AB75" s="1483"/>
      <c r="AC75" s="1483"/>
      <c r="AD75" s="1483"/>
      <c r="AE75" s="1483"/>
      <c r="AF75" s="1483"/>
      <c r="AG75" s="1483"/>
      <c r="AH75" s="1483"/>
      <c r="AI75" s="1483"/>
      <c r="AJ75" s="1483"/>
      <c r="AK75" s="1483"/>
      <c r="AL75" s="1483"/>
      <c r="AM75" s="1483"/>
      <c r="AN75" s="1483"/>
      <c r="AO75" s="1483"/>
      <c r="AP75" s="1483"/>
      <c r="AQ75" s="1589"/>
      <c r="AR75" s="1589"/>
      <c r="AS75" s="1589"/>
      <c r="AT75" s="1589"/>
      <c r="AU75" s="1589"/>
      <c r="AV75" s="1589"/>
      <c r="AW75" s="1589"/>
      <c r="AX75" s="1589"/>
      <c r="AY75" s="1589"/>
      <c r="AZ75" s="273"/>
    </row>
    <row r="76" spans="1:52">
      <c r="B76" s="1599" t="s">
        <v>1642</v>
      </c>
      <c r="C76" s="1600"/>
      <c r="D76" s="1598" t="s">
        <v>1643</v>
      </c>
      <c r="E76" s="1598"/>
      <c r="F76" s="1598"/>
      <c r="G76" s="1598"/>
      <c r="H76" s="1598"/>
      <c r="I76" s="1598"/>
      <c r="J76" s="1598"/>
      <c r="K76" s="1598"/>
      <c r="L76" s="1598"/>
      <c r="M76" s="1598"/>
      <c r="N76" s="1598"/>
      <c r="O76" s="1598"/>
      <c r="P76" s="1598"/>
      <c r="Q76" s="1598"/>
      <c r="R76" s="1598"/>
      <c r="S76" s="1598"/>
      <c r="T76" s="1598"/>
      <c r="U76" s="1322"/>
      <c r="V76" s="1322"/>
      <c r="W76" s="1322"/>
      <c r="X76" s="940"/>
      <c r="Y76" s="940"/>
      <c r="Z76" s="940"/>
      <c r="AA76" s="940"/>
      <c r="AB76" s="940"/>
      <c r="AC76" s="940"/>
      <c r="AD76" s="940"/>
      <c r="AE76" s="940"/>
      <c r="AF76" s="940"/>
      <c r="AG76" s="940"/>
      <c r="AH76" s="940"/>
      <c r="AI76" s="940"/>
      <c r="AJ76" s="940"/>
      <c r="AK76" s="940"/>
      <c r="AL76" s="940"/>
      <c r="AM76" s="940"/>
      <c r="AN76" s="940"/>
      <c r="AO76" s="940"/>
      <c r="AP76" s="940"/>
      <c r="AQ76" s="1145"/>
      <c r="AR76" s="1145"/>
      <c r="AS76" s="1145"/>
      <c r="AT76" s="1145"/>
      <c r="AU76" s="1145"/>
      <c r="AV76" s="1145"/>
      <c r="AW76" s="1145"/>
      <c r="AX76" s="1145"/>
      <c r="AY76" s="1145"/>
    </row>
    <row r="77" spans="1:52">
      <c r="B77" s="1145"/>
      <c r="C77" s="1145"/>
      <c r="D77" s="1145"/>
      <c r="E77" s="1145"/>
      <c r="F77" s="1145"/>
      <c r="G77" s="1145"/>
      <c r="H77" s="1145"/>
      <c r="I77" s="1145"/>
      <c r="K77" s="940"/>
      <c r="L77" s="940"/>
      <c r="M77" s="940"/>
      <c r="N77" s="940"/>
      <c r="O77" s="940"/>
      <c r="P77" s="940"/>
      <c r="Q77" s="940"/>
      <c r="R77" s="940"/>
      <c r="S77" s="940"/>
      <c r="T77" s="940"/>
      <c r="U77" s="940"/>
      <c r="V77" s="940"/>
      <c r="W77" s="940"/>
      <c r="X77" s="940"/>
      <c r="Y77" s="940"/>
      <c r="Z77" s="940"/>
      <c r="AA77" s="940"/>
      <c r="AB77" s="940"/>
      <c r="AC77" s="940"/>
      <c r="AD77" s="940"/>
      <c r="AE77" s="940"/>
      <c r="AF77" s="940"/>
      <c r="AG77" s="940"/>
      <c r="AH77" s="940"/>
      <c r="AI77" s="940"/>
      <c r="AJ77" s="940"/>
      <c r="AK77" s="940"/>
      <c r="AL77" s="940"/>
      <c r="AM77" s="940"/>
      <c r="AN77" s="940"/>
      <c r="AO77" s="940"/>
      <c r="AP77" s="940"/>
      <c r="AQ77" s="1145"/>
      <c r="AR77" s="1145"/>
      <c r="AS77" s="1145"/>
      <c r="AT77" s="1145"/>
      <c r="AU77" s="1145"/>
      <c r="AV77" s="1145"/>
      <c r="AW77" s="1145"/>
      <c r="AX77" s="1145"/>
      <c r="AY77" s="1145"/>
    </row>
    <row r="78" spans="1:52">
      <c r="K78" s="840"/>
      <c r="L78" s="840"/>
      <c r="M78" s="840"/>
      <c r="N78" s="840"/>
      <c r="O78" s="840"/>
      <c r="P78" s="840"/>
      <c r="Q78" s="840"/>
      <c r="R78" s="840"/>
      <c r="S78" s="840"/>
      <c r="T78" s="840"/>
      <c r="U78" s="840"/>
      <c r="V78" s="840"/>
      <c r="W78" s="840"/>
      <c r="X78" s="840"/>
      <c r="Y78" s="840"/>
      <c r="Z78" s="840"/>
      <c r="AA78" s="840"/>
      <c r="AB78" s="840"/>
      <c r="AC78" s="840"/>
      <c r="AD78" s="840"/>
      <c r="AE78" s="840"/>
      <c r="AF78" s="840"/>
      <c r="AG78" s="840"/>
      <c r="AH78" s="840"/>
      <c r="AI78" s="840"/>
      <c r="AJ78" s="840"/>
      <c r="AK78" s="840"/>
      <c r="AL78" s="840"/>
      <c r="AM78" s="840"/>
      <c r="AN78" s="840"/>
      <c r="AO78" s="840"/>
      <c r="AP78" s="840"/>
    </row>
    <row r="79" spans="1:52">
      <c r="K79" s="840"/>
      <c r="L79" s="840"/>
      <c r="M79" s="840"/>
      <c r="N79" s="840"/>
      <c r="O79" s="840"/>
      <c r="P79" s="840"/>
      <c r="Q79" s="840"/>
      <c r="R79" s="840"/>
      <c r="S79" s="840"/>
      <c r="T79" s="840"/>
      <c r="U79" s="840"/>
      <c r="V79" s="840"/>
      <c r="W79" s="840"/>
      <c r="X79" s="840"/>
      <c r="Y79" s="840"/>
      <c r="Z79" s="840"/>
      <c r="AA79" s="840"/>
      <c r="AB79" s="840"/>
      <c r="AC79" s="840"/>
      <c r="AD79" s="840"/>
      <c r="AE79" s="840"/>
      <c r="AF79" s="840"/>
      <c r="AG79" s="840"/>
      <c r="AH79" s="840"/>
      <c r="AI79" s="840"/>
      <c r="AJ79" s="840"/>
      <c r="AK79" s="840"/>
      <c r="AL79" s="840"/>
      <c r="AM79" s="840"/>
      <c r="AN79" s="840"/>
      <c r="AO79" s="840"/>
      <c r="AP79" s="840"/>
    </row>
  </sheetData>
  <mergeCells count="19">
    <mergeCell ref="S70:V70"/>
    <mergeCell ref="AA70:AD70"/>
    <mergeCell ref="AI70:AL70"/>
    <mergeCell ref="L12:R12"/>
    <mergeCell ref="S12:Z12"/>
    <mergeCell ref="AI12:AP12"/>
    <mergeCell ref="AQ12:AY12"/>
    <mergeCell ref="AI13:AJ13"/>
    <mergeCell ref="AK13:AL13"/>
    <mergeCell ref="AM13:AN13"/>
    <mergeCell ref="AQ13:AY13"/>
    <mergeCell ref="S10:Z10"/>
    <mergeCell ref="AA10:AH10"/>
    <mergeCell ref="AI10:AP10"/>
    <mergeCell ref="AQ10:AY10"/>
    <mergeCell ref="S11:Z11"/>
    <mergeCell ref="AA11:AH11"/>
    <mergeCell ref="AI11:AP11"/>
    <mergeCell ref="AQ11:AY11"/>
  </mergeCells>
  <conditionalFormatting sqref="B44:B46">
    <cfRule type="expression" dxfId="824" priority="172" stopIfTrue="1">
      <formula>#REF!=TRUE</formula>
    </cfRule>
  </conditionalFormatting>
  <conditionalFormatting sqref="B20:B24">
    <cfRule type="expression" dxfId="823" priority="195" stopIfTrue="1">
      <formula>#REF!=TRUE</formula>
    </cfRule>
  </conditionalFormatting>
  <conditionalFormatting sqref="B16">
    <cfRule type="expression" dxfId="822" priority="187" stopIfTrue="1">
      <formula>#REF!=TRUE</formula>
    </cfRule>
  </conditionalFormatting>
  <conditionalFormatting sqref="B38:B39">
    <cfRule type="expression" dxfId="821" priority="184" stopIfTrue="1">
      <formula>#REF!=TRUE</formula>
    </cfRule>
  </conditionalFormatting>
  <conditionalFormatting sqref="B69">
    <cfRule type="expression" dxfId="820" priority="183" stopIfTrue="1">
      <formula>#REF!=TRUE</formula>
    </cfRule>
  </conditionalFormatting>
  <conditionalFormatting sqref="AA56:AH56 AA62:AH63">
    <cfRule type="cellIs" dxfId="819" priority="180" stopIfTrue="1" operator="equal">
      <formula>"No"</formula>
    </cfRule>
  </conditionalFormatting>
  <conditionalFormatting sqref="B63">
    <cfRule type="expression" dxfId="818" priority="179" stopIfTrue="1">
      <formula>#REF!=TRUE</formula>
    </cfRule>
  </conditionalFormatting>
  <conditionalFormatting sqref="B27:B29">
    <cfRule type="expression" dxfId="817" priority="176" stopIfTrue="1">
      <formula>#REF!=TRUE</formula>
    </cfRule>
  </conditionalFormatting>
  <conditionalFormatting sqref="B32:B33 B36">
    <cfRule type="expression" dxfId="816" priority="175" stopIfTrue="1">
      <formula>#REF!=TRUE</formula>
    </cfRule>
  </conditionalFormatting>
  <conditionalFormatting sqref="B50:B51">
    <cfRule type="expression" dxfId="815" priority="119" stopIfTrue="1">
      <formula>#REF!=TRUE</formula>
    </cfRule>
  </conditionalFormatting>
  <conditionalFormatting sqref="AA57:AH57">
    <cfRule type="cellIs" dxfId="814" priority="58" stopIfTrue="1" operator="equal">
      <formula>"No"</formula>
    </cfRule>
  </conditionalFormatting>
  <conditionalFormatting sqref="AA64:AH64">
    <cfRule type="cellIs" dxfId="813" priority="57" stopIfTrue="1" operator="equal">
      <formula>"No"</formula>
    </cfRule>
  </conditionalFormatting>
  <conditionalFormatting sqref="B64">
    <cfRule type="expression" dxfId="812" priority="56" stopIfTrue="1">
      <formula>#REF!=TRUE</formula>
    </cfRule>
  </conditionalFormatting>
  <conditionalFormatting sqref="AA58:AH58">
    <cfRule type="cellIs" dxfId="811" priority="55" stopIfTrue="1" operator="equal">
      <formula>"No"</formula>
    </cfRule>
  </conditionalFormatting>
  <conditionalFormatting sqref="AA61:AH61">
    <cfRule type="cellIs" dxfId="810" priority="54" stopIfTrue="1" operator="equal">
      <formula>"No"</formula>
    </cfRule>
  </conditionalFormatting>
  <conditionalFormatting sqref="AA65:AH65">
    <cfRule type="cellIs" dxfId="809" priority="53" stopIfTrue="1" operator="equal">
      <formula>"No"</formula>
    </cfRule>
  </conditionalFormatting>
  <conditionalFormatting sqref="B65">
    <cfRule type="expression" dxfId="808" priority="52" stopIfTrue="1">
      <formula>#REF!=TRUE</formula>
    </cfRule>
  </conditionalFormatting>
  <conditionalFormatting sqref="AA68:AH68">
    <cfRule type="cellIs" dxfId="807" priority="51" stopIfTrue="1" operator="equal">
      <formula>"No"</formula>
    </cfRule>
  </conditionalFormatting>
  <conditionalFormatting sqref="B68">
    <cfRule type="expression" dxfId="806" priority="50" stopIfTrue="1">
      <formula>#REF!=TRUE</formula>
    </cfRule>
  </conditionalFormatting>
  <conditionalFormatting sqref="AA59:AH59">
    <cfRule type="cellIs" dxfId="805" priority="38" stopIfTrue="1" operator="equal">
      <formula>"No"</formula>
    </cfRule>
  </conditionalFormatting>
  <conditionalFormatting sqref="AA60:AH60">
    <cfRule type="cellIs" dxfId="804" priority="37" stopIfTrue="1" operator="equal">
      <formula>"No"</formula>
    </cfRule>
  </conditionalFormatting>
  <conditionalFormatting sqref="AA66:AH66">
    <cfRule type="cellIs" dxfId="803" priority="36" stopIfTrue="1" operator="equal">
      <formula>"No"</formula>
    </cfRule>
  </conditionalFormatting>
  <conditionalFormatting sqref="B66">
    <cfRule type="expression" dxfId="802" priority="35" stopIfTrue="1">
      <formula>#REF!=TRUE</formula>
    </cfRule>
  </conditionalFormatting>
  <conditionalFormatting sqref="AA67:AH67">
    <cfRule type="cellIs" dxfId="801" priority="34" stopIfTrue="1" operator="equal">
      <formula>"No"</formula>
    </cfRule>
  </conditionalFormatting>
  <conditionalFormatting sqref="B67">
    <cfRule type="expression" dxfId="800" priority="33" stopIfTrue="1">
      <formula>#REF!=TRUE</formula>
    </cfRule>
  </conditionalFormatting>
  <printOptions horizontalCentered="1"/>
  <pageMargins left="0" right="0" top="0" bottom="0.5" header="0.3" footer="0.3"/>
  <pageSetup paperSize="128" scale="21" fitToHeight="0" orientation="landscape" horizontalDpi="1200" verticalDpi="1200" r:id="rId1"/>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pageSetUpPr fitToPage="1"/>
  </sheetPr>
  <dimension ref="B1:AC77"/>
  <sheetViews>
    <sheetView view="pageBreakPreview" zoomScale="75" zoomScaleNormal="75" zoomScaleSheetLayoutView="75" workbookViewId="0">
      <selection activeCell="Q26" sqref="Q26"/>
    </sheetView>
  </sheetViews>
  <sheetFormatPr defaultRowHeight="15.75"/>
  <cols>
    <col min="1" max="1" width="11.125" customWidth="1"/>
    <col min="2" max="4" width="6.625" customWidth="1"/>
    <col min="5" max="5" width="16.625" customWidth="1"/>
    <col min="6" max="6" width="13.75" customWidth="1"/>
    <col min="7" max="7" width="12.25" bestFit="1" customWidth="1"/>
    <col min="8" max="8" width="8.75" customWidth="1"/>
    <col min="9" max="9" width="9.5" customWidth="1"/>
    <col min="10" max="10" width="10.125" bestFit="1" customWidth="1"/>
    <col min="11" max="12" width="11.625" customWidth="1"/>
    <col min="13" max="15" width="15.625" customWidth="1"/>
    <col min="16" max="17" width="11.125" customWidth="1"/>
    <col min="18" max="23" width="13" customWidth="1"/>
    <col min="24" max="24" width="11.75" customWidth="1"/>
    <col min="25" max="25" width="11.625" customWidth="1"/>
    <col min="26" max="26" width="16" customWidth="1"/>
  </cols>
  <sheetData>
    <row r="1" spans="2:23" ht="20.25">
      <c r="B1" s="120" t="str">
        <f>SourceProjectName1</f>
        <v>Project Name 1</v>
      </c>
      <c r="R1" s="46"/>
      <c r="S1" s="46"/>
      <c r="T1" s="46"/>
      <c r="U1" s="46"/>
      <c r="V1" s="46"/>
      <c r="W1" s="46"/>
    </row>
    <row r="2" spans="2:23" ht="20.25">
      <c r="B2" s="120" t="str">
        <f>SourceProjectName2</f>
        <v>Project Name 2</v>
      </c>
    </row>
    <row r="3" spans="2:23" ht="20.25">
      <c r="B3" s="120" t="str">
        <f>SourceProjectNumber</f>
        <v>Project Number</v>
      </c>
      <c r="R3" s="1718"/>
      <c r="S3" s="1718"/>
      <c r="T3" s="1718"/>
      <c r="U3" s="1718"/>
      <c r="V3" s="1718"/>
      <c r="W3" s="1718"/>
    </row>
    <row r="4" spans="2:23">
      <c r="B4" s="1748">
        <f ca="1">NOW()</f>
        <v>44384.464723611112</v>
      </c>
      <c r="C4" s="1748"/>
      <c r="D4" s="1748"/>
      <c r="E4" s="1867"/>
    </row>
    <row r="5" spans="2:23">
      <c r="B5" s="1749">
        <f ca="1">NOW()</f>
        <v>44384.464723611112</v>
      </c>
      <c r="C5" s="1749"/>
      <c r="D5" s="628"/>
    </row>
    <row r="7" spans="2:23" ht="18.75">
      <c r="B7" s="545" t="s">
        <v>620</v>
      </c>
      <c r="C7" s="546"/>
      <c r="D7" s="546"/>
      <c r="E7" s="546"/>
      <c r="F7" s="436"/>
    </row>
    <row r="8" spans="2:23" ht="18.75">
      <c r="B8" s="545"/>
      <c r="C8" s="546"/>
      <c r="D8" s="546"/>
      <c r="E8" s="546"/>
      <c r="F8" s="436"/>
    </row>
    <row r="9" spans="2:23" ht="18.75">
      <c r="B9" s="545"/>
      <c r="C9" s="546"/>
      <c r="D9" s="546"/>
      <c r="E9" s="546"/>
      <c r="F9" s="436"/>
    </row>
    <row r="10" spans="2:23" ht="18.75">
      <c r="B10" s="547"/>
      <c r="C10" s="546"/>
      <c r="D10" s="546"/>
      <c r="E10" s="546"/>
      <c r="F10" s="436"/>
    </row>
    <row r="11" spans="2:23" ht="18.75">
      <c r="B11" s="547"/>
      <c r="C11" s="546"/>
      <c r="D11" s="546"/>
      <c r="E11" s="546"/>
      <c r="F11" s="436"/>
    </row>
    <row r="12" spans="2:23" ht="18.75">
      <c r="B12" s="545" t="s">
        <v>619</v>
      </c>
      <c r="C12" s="546"/>
      <c r="D12" s="546"/>
      <c r="E12" s="546"/>
      <c r="F12" s="436"/>
    </row>
    <row r="13" spans="2:23">
      <c r="B13" s="548" t="s">
        <v>621</v>
      </c>
      <c r="C13" s="549"/>
      <c r="D13" s="549"/>
      <c r="E13" s="549"/>
      <c r="F13" s="549"/>
      <c r="G13" s="459"/>
      <c r="H13" s="459"/>
      <c r="I13" s="459"/>
      <c r="J13" s="458" t="s">
        <v>635</v>
      </c>
      <c r="K13" s="549"/>
      <c r="L13" s="549"/>
      <c r="M13" s="458"/>
      <c r="N13" s="458"/>
      <c r="O13" s="459"/>
      <c r="P13" s="459"/>
      <c r="Q13" s="550"/>
    </row>
    <row r="14" spans="2:23">
      <c r="B14" s="456"/>
      <c r="C14" s="457"/>
      <c r="D14" s="457"/>
      <c r="E14" s="457"/>
      <c r="F14" s="458"/>
      <c r="G14" s="459"/>
      <c r="H14" s="460" t="s">
        <v>622</v>
      </c>
      <c r="I14" s="471"/>
      <c r="J14" s="461"/>
      <c r="K14" s="462"/>
      <c r="L14" s="457"/>
      <c r="M14" s="1868"/>
      <c r="N14" s="1868"/>
      <c r="O14" s="459"/>
      <c r="P14" s="1865" t="s">
        <v>636</v>
      </c>
      <c r="Q14" s="1866"/>
    </row>
    <row r="15" spans="2:23">
      <c r="B15" s="463" t="s">
        <v>623</v>
      </c>
      <c r="C15" s="464" t="s">
        <v>664</v>
      </c>
      <c r="D15" s="464"/>
      <c r="E15" s="465"/>
      <c r="F15" s="466"/>
      <c r="G15" s="11"/>
      <c r="H15" s="467" t="s">
        <v>624</v>
      </c>
      <c r="I15" s="471"/>
      <c r="J15" s="468" t="s">
        <v>623</v>
      </c>
      <c r="K15" s="469" t="s">
        <v>664</v>
      </c>
      <c r="L15" s="470"/>
      <c r="M15" s="470"/>
      <c r="N15" s="470"/>
      <c r="O15" s="471"/>
      <c r="P15" s="463" t="s">
        <v>408</v>
      </c>
      <c r="Q15" s="463" t="s">
        <v>409</v>
      </c>
    </row>
    <row r="16" spans="2:23" ht="60" customHeight="1">
      <c r="B16" s="519" t="s">
        <v>625</v>
      </c>
      <c r="C16" s="1862" t="s">
        <v>633</v>
      </c>
      <c r="D16" s="1863"/>
      <c r="E16" s="1864"/>
      <c r="F16" s="1864"/>
      <c r="G16" s="1864"/>
      <c r="H16" s="473"/>
      <c r="I16" s="306"/>
      <c r="J16" s="520" t="s">
        <v>625</v>
      </c>
      <c r="K16" s="1862" t="s">
        <v>637</v>
      </c>
      <c r="L16" s="1863"/>
      <c r="M16" s="1869"/>
      <c r="N16" s="1869"/>
      <c r="O16" s="1870"/>
      <c r="P16" s="473"/>
      <c r="Q16" s="474"/>
    </row>
    <row r="17" spans="2:29" ht="60" customHeight="1">
      <c r="B17" s="520" t="s">
        <v>625</v>
      </c>
      <c r="C17" s="1862" t="s">
        <v>634</v>
      </c>
      <c r="D17" s="1863"/>
      <c r="E17" s="1864"/>
      <c r="F17" s="1864"/>
      <c r="G17" s="1864"/>
      <c r="H17" s="473"/>
      <c r="I17" s="306"/>
      <c r="J17" s="520" t="s">
        <v>625</v>
      </c>
      <c r="K17" s="1862" t="s">
        <v>638</v>
      </c>
      <c r="L17" s="1863"/>
      <c r="M17" s="1864"/>
      <c r="N17" s="1864"/>
      <c r="O17" s="1871"/>
      <c r="P17" s="473"/>
      <c r="Q17" s="474"/>
    </row>
    <row r="18" spans="2:29" ht="60" customHeight="1">
      <c r="B18" s="520"/>
      <c r="C18" s="1862"/>
      <c r="D18" s="1863"/>
      <c r="E18" s="1864"/>
      <c r="F18" s="1864"/>
      <c r="G18" s="1864"/>
      <c r="H18" s="473"/>
      <c r="I18" s="306"/>
      <c r="J18" s="520"/>
      <c r="K18" s="1862"/>
      <c r="L18" s="1863"/>
      <c r="M18" s="1864"/>
      <c r="N18" s="1864"/>
      <c r="O18" s="1871"/>
      <c r="P18" s="473"/>
      <c r="Q18" s="474"/>
    </row>
    <row r="19" spans="2:29" ht="60" customHeight="1">
      <c r="B19" s="520"/>
      <c r="C19" s="1862"/>
      <c r="D19" s="1863"/>
      <c r="E19" s="1864"/>
      <c r="F19" s="1864"/>
      <c r="G19" s="1864"/>
      <c r="H19" s="473"/>
      <c r="I19" s="304"/>
      <c r="J19" s="520"/>
      <c r="K19" s="1862"/>
      <c r="L19" s="1863"/>
      <c r="M19" s="1864"/>
      <c r="N19" s="1864"/>
      <c r="O19" s="1871"/>
      <c r="P19" s="473"/>
      <c r="Q19" s="474"/>
    </row>
    <row r="20" spans="2:29" ht="16.5" thickBot="1"/>
    <row r="21" spans="2:29" ht="21" thickTop="1">
      <c r="B21" s="150"/>
      <c r="P21" s="91"/>
      <c r="Q21" s="92"/>
      <c r="R21" s="1861" t="s">
        <v>645</v>
      </c>
      <c r="S21" s="1861"/>
      <c r="T21" s="1861"/>
      <c r="U21" s="1861"/>
      <c r="V21" s="1861"/>
      <c r="W21" s="1861"/>
    </row>
    <row r="22" spans="2:29" ht="20.25">
      <c r="B22" s="150" t="s">
        <v>224</v>
      </c>
      <c r="P22" s="95"/>
      <c r="Q22" s="13"/>
      <c r="R22" s="1739" t="s">
        <v>646</v>
      </c>
      <c r="S22" s="1739"/>
      <c r="T22" s="1739"/>
      <c r="U22" s="1739"/>
      <c r="V22" s="1739"/>
      <c r="W22" s="1739"/>
    </row>
    <row r="23" spans="2:29" ht="16.5" thickBot="1">
      <c r="B23" s="13"/>
      <c r="C23" s="13"/>
      <c r="D23" s="13"/>
      <c r="E23" s="13"/>
      <c r="G23" s="153"/>
      <c r="I23" s="13"/>
      <c r="J23" s="13"/>
      <c r="P23" s="95"/>
      <c r="Q23" s="47"/>
      <c r="R23" s="47" t="s">
        <v>856</v>
      </c>
      <c r="S23" s="47" t="s">
        <v>857</v>
      </c>
      <c r="T23" s="47" t="s">
        <v>858</v>
      </c>
      <c r="U23" s="47" t="s">
        <v>859</v>
      </c>
      <c r="V23" s="47" t="s">
        <v>860</v>
      </c>
      <c r="W23" s="47" t="s">
        <v>861</v>
      </c>
    </row>
    <row r="24" spans="2:29" ht="16.5" thickTop="1">
      <c r="B24" s="522" t="s">
        <v>586</v>
      </c>
      <c r="C24" s="93" t="s">
        <v>296</v>
      </c>
      <c r="D24" s="627"/>
      <c r="E24" s="631"/>
      <c r="F24" s="93" t="s">
        <v>118</v>
      </c>
      <c r="G24" s="523" t="s">
        <v>118</v>
      </c>
      <c r="H24" s="93"/>
      <c r="I24" s="452"/>
      <c r="J24" s="452"/>
      <c r="K24" s="449" t="s">
        <v>115</v>
      </c>
      <c r="L24" s="447"/>
      <c r="M24" s="568"/>
      <c r="N24" s="441"/>
      <c r="O24" s="441"/>
      <c r="P24" s="448"/>
      <c r="Q24" s="73"/>
      <c r="R24" s="73"/>
      <c r="S24" s="73"/>
      <c r="T24" s="73"/>
      <c r="U24" s="73"/>
      <c r="V24" s="73"/>
      <c r="W24" s="73"/>
      <c r="X24" s="1860" t="s">
        <v>165</v>
      </c>
      <c r="Y24" s="1860"/>
    </row>
    <row r="25" spans="2:29">
      <c r="B25" s="524" t="s">
        <v>160</v>
      </c>
      <c r="C25" s="160" t="s">
        <v>160</v>
      </c>
      <c r="D25" s="1738" t="s">
        <v>663</v>
      </c>
      <c r="E25" s="1740"/>
      <c r="F25" s="160" t="s">
        <v>666</v>
      </c>
      <c r="G25" s="525" t="s">
        <v>666</v>
      </c>
      <c r="H25" s="160"/>
      <c r="I25" s="160" t="s">
        <v>162</v>
      </c>
      <c r="J25" s="160" t="s">
        <v>162</v>
      </c>
      <c r="K25" s="450" t="s">
        <v>285</v>
      </c>
      <c r="L25" s="1872" t="s">
        <v>635</v>
      </c>
      <c r="M25" s="1739"/>
      <c r="N25" s="1843"/>
      <c r="O25" s="443"/>
      <c r="P25" s="442" t="s">
        <v>676</v>
      </c>
      <c r="Q25" s="160" t="s">
        <v>285</v>
      </c>
      <c r="R25" s="160" t="s">
        <v>657</v>
      </c>
      <c r="S25" s="160"/>
      <c r="T25" s="160"/>
      <c r="U25" s="160"/>
      <c r="V25" s="160"/>
      <c r="W25" s="160"/>
      <c r="X25" s="153" t="s">
        <v>171</v>
      </c>
      <c r="Y25" s="153" t="s">
        <v>172</v>
      </c>
    </row>
    <row r="26" spans="2:29">
      <c r="B26" s="524" t="s">
        <v>779</v>
      </c>
      <c r="C26" s="160" t="s">
        <v>779</v>
      </c>
      <c r="D26" s="160" t="s">
        <v>591</v>
      </c>
      <c r="E26" s="160" t="s">
        <v>665</v>
      </c>
      <c r="F26" s="160" t="s">
        <v>667</v>
      </c>
      <c r="G26" s="525" t="s">
        <v>667</v>
      </c>
      <c r="H26" s="160" t="s">
        <v>147</v>
      </c>
      <c r="I26" s="160" t="s">
        <v>167</v>
      </c>
      <c r="J26" s="160" t="s">
        <v>168</v>
      </c>
      <c r="K26" s="450" t="s">
        <v>296</v>
      </c>
      <c r="L26" s="442" t="s">
        <v>847</v>
      </c>
      <c r="M26" s="1726" t="s">
        <v>636</v>
      </c>
      <c r="N26" s="1727"/>
      <c r="O26" s="443" t="s">
        <v>639</v>
      </c>
      <c r="P26" s="442" t="s">
        <v>674</v>
      </c>
      <c r="Q26" s="160" t="s">
        <v>126</v>
      </c>
      <c r="R26" s="160" t="s">
        <v>342</v>
      </c>
      <c r="S26" s="160"/>
      <c r="T26" s="160"/>
      <c r="U26" s="160"/>
      <c r="V26" s="160"/>
      <c r="W26" s="160"/>
      <c r="X26" s="153" t="s">
        <v>175</v>
      </c>
      <c r="Y26" s="153" t="s">
        <v>175</v>
      </c>
    </row>
    <row r="27" spans="2:29">
      <c r="B27" s="526"/>
      <c r="C27" s="76"/>
      <c r="D27" s="76"/>
      <c r="E27" s="76"/>
      <c r="F27" s="76" t="s">
        <v>668</v>
      </c>
      <c r="G27" s="527" t="s">
        <v>173</v>
      </c>
      <c r="H27" s="76"/>
      <c r="I27" s="76" t="s">
        <v>174</v>
      </c>
      <c r="J27" s="76" t="s">
        <v>703</v>
      </c>
      <c r="K27" s="94" t="s">
        <v>175</v>
      </c>
      <c r="L27" s="444"/>
      <c r="M27" s="561" t="s">
        <v>408</v>
      </c>
      <c r="N27" s="562" t="s">
        <v>409</v>
      </c>
      <c r="O27" s="445"/>
      <c r="P27" s="444" t="s">
        <v>232</v>
      </c>
      <c r="Q27" s="76" t="s">
        <v>703</v>
      </c>
      <c r="R27" s="455" t="str">
        <f t="shared" ref="R27:W27" si="0">INDEX(FlowCalDevice,MATCH(R$23,FlowCalNumber,0),1,1)</f>
        <v>MFC-01</v>
      </c>
      <c r="S27" s="455" t="str">
        <f t="shared" si="0"/>
        <v>MFC-02</v>
      </c>
      <c r="T27" s="455" t="str">
        <f t="shared" si="0"/>
        <v>MFC-05</v>
      </c>
      <c r="U27" s="455" t="str">
        <f t="shared" si="0"/>
        <v>MFC-06</v>
      </c>
      <c r="V27" s="455" t="str">
        <f t="shared" si="0"/>
        <v>MFC-21</v>
      </c>
      <c r="W27" s="455" t="str">
        <f t="shared" si="0"/>
        <v>MFC-11</v>
      </c>
    </row>
    <row r="28" spans="2:29" ht="32.1" customHeight="1">
      <c r="B28" s="528"/>
      <c r="C28" s="437"/>
      <c r="D28" s="437"/>
      <c r="E28" s="437"/>
      <c r="F28" s="437"/>
      <c r="G28" s="437"/>
      <c r="H28" s="437"/>
      <c r="I28" s="437"/>
      <c r="J28" s="437"/>
      <c r="K28" s="529"/>
      <c r="L28" s="573"/>
      <c r="M28" s="569"/>
      <c r="N28" s="497"/>
      <c r="O28" s="498"/>
      <c r="P28" s="446"/>
      <c r="Q28" s="437"/>
      <c r="R28" s="439"/>
      <c r="S28" s="439"/>
      <c r="T28" s="439"/>
      <c r="U28" s="439"/>
      <c r="V28" s="439"/>
      <c r="W28" s="439"/>
      <c r="X28" s="438"/>
      <c r="Y28" s="438"/>
      <c r="Z28" s="438"/>
      <c r="AA28" s="438"/>
      <c r="AB28" s="438"/>
      <c r="AC28" s="438"/>
    </row>
    <row r="29" spans="2:29" ht="32.1" customHeight="1">
      <c r="B29" s="530">
        <v>1</v>
      </c>
      <c r="C29" s="511">
        <v>101</v>
      </c>
      <c r="D29" s="531" t="str">
        <f t="shared" ref="D29:D43" si="1">INDEX(TPSourceLetter,MATCH($C29,TPRunNumber,0),1,1)</f>
        <v>AA</v>
      </c>
      <c r="E29" s="531" t="str">
        <f>INDEX(TPSourceID,MATCH($C29,TPRunNumber,0),1,1)</f>
        <v>EF-1</v>
      </c>
      <c r="F29" s="532">
        <f>INDEX(TPSourceHeight,MATCH($C29,TPRunNumber,0),1,1)</f>
        <v>10</v>
      </c>
      <c r="G29" s="533" t="e">
        <f>INDEX(TPSourceHeightModel,MATCH($C29,TPRunNumber,0),1,1)</f>
        <v>#VALUE!</v>
      </c>
      <c r="H29" s="534">
        <f>INDEX(TPReceptorID1,MATCH($C29,TPRunNumber,0),1,1)</f>
        <v>1</v>
      </c>
      <c r="I29" s="535">
        <f>INDEX(TPWWD,MATCH($C29,TPRunNumber,0),1,1)</f>
        <v>0</v>
      </c>
      <c r="J29" s="532">
        <f>INDEX(TPWWS,MATCH($C29,TPRunNumber,0),1,1)</f>
        <v>0</v>
      </c>
      <c r="K29" s="476">
        <f>INDEX(TPMaxCm,MATCH($C29,TPRunNumber,0),1,1)</f>
        <v>0</v>
      </c>
      <c r="L29" s="574"/>
      <c r="M29" s="570"/>
      <c r="N29" s="499"/>
      <c r="O29" s="500"/>
      <c r="P29" s="477" t="e">
        <f t="shared" ref="P29:P43" si="2">ROUND(INDEX(FlowVisSetWTSettings,(MATCH($D29,FlowVisSetSimulationNumbers,0)+MATCH(J29,FlowVisSetAnemometerWindSpeeds,0)),8),2)</f>
        <v>#NAME?</v>
      </c>
      <c r="Q29" s="478" t="e">
        <f t="shared" ref="Q29:Q43" si="3">INDEX(FlowVisSetWTSettings,MATCH(D29,FlowVisSetSimulationNumbers,0),7)</f>
        <v>#NAME?</v>
      </c>
      <c r="R29" s="478" t="e">
        <f t="shared" ref="R29:R43" si="4">INDEX(FlowCalConstA,MATCH(R$23,FlowCalNumber,0),1,1)*$P29^INDEX(FlowCalConstB,MATCH(R$23,FlowCalNumber,0),1,1)</f>
        <v>#NAME?</v>
      </c>
      <c r="S29" s="478" t="e">
        <f t="shared" ref="S29:W43" si="5">INDEX(FlowCalConstA,MATCH(S$23,FlowCalNumber,0),1,1)*$P29^INDEX(FlowCalConstB,MATCH(S$23,FlowCalNumber,0),1,1)</f>
        <v>#NAME?</v>
      </c>
      <c r="T29" s="478" t="e">
        <f t="shared" si="5"/>
        <v>#NAME?</v>
      </c>
      <c r="U29" s="478" t="e">
        <f t="shared" si="5"/>
        <v>#NAME?</v>
      </c>
      <c r="V29" s="478" t="e">
        <f t="shared" si="5"/>
        <v>#NAME?</v>
      </c>
      <c r="W29" s="478" t="e">
        <f t="shared" si="5"/>
        <v>#NAME?</v>
      </c>
      <c r="X29" s="479">
        <f t="shared" ref="X29:X43" si="6">INDEX(TPcrit1,MATCH($C29,TPRunNumber,0),1,1)</f>
        <v>400</v>
      </c>
      <c r="Y29" s="479">
        <f t="shared" ref="Y29:Y43" si="7">INDEX(TPcrit3,MATCH($C29,TPRunNumber,0),1,1)</f>
        <v>750</v>
      </c>
      <c r="Z29" s="438"/>
      <c r="AA29" s="438"/>
      <c r="AB29" s="438"/>
      <c r="AC29" s="438"/>
    </row>
    <row r="30" spans="2:29" ht="32.1" customHeight="1">
      <c r="B30" s="536">
        <f t="shared" ref="B30:B43" si="8">B29+1</f>
        <v>2</v>
      </c>
      <c r="C30" s="511">
        <v>102</v>
      </c>
      <c r="D30" s="531" t="str">
        <f t="shared" si="1"/>
        <v>AA</v>
      </c>
      <c r="E30" s="531" t="str">
        <f t="shared" ref="E30:E43" si="9">INDEX(TPSourceID,MATCH($C30,TPRunNumber,0),1,1)</f>
        <v>EF-1</v>
      </c>
      <c r="F30" s="532">
        <f t="shared" ref="F30:F43" si="10">INDEX(TPSourceHeight,MATCH($C30,TPRunNumber,0),1,1)</f>
        <v>10</v>
      </c>
      <c r="G30" s="533" t="e">
        <f t="shared" ref="G30:G43" si="11">INDEX(TPSourceHeightModel,MATCH($C30,TPRunNumber,0),1,1)</f>
        <v>#VALUE!</v>
      </c>
      <c r="H30" s="534">
        <f t="shared" ref="H30:H43" si="12">INDEX(TPReceptorID1,MATCH($C30,TPRunNumber,0),1,1)</f>
        <v>2</v>
      </c>
      <c r="I30" s="535">
        <f t="shared" ref="I30:I43" si="13">INDEX(TPWWD,MATCH($C30,TPRunNumber,0),1,1)</f>
        <v>0</v>
      </c>
      <c r="J30" s="532">
        <f t="shared" ref="J30:J43" si="14">INDEX(TPWWS,MATCH($C30,TPRunNumber,0),1,1)</f>
        <v>0</v>
      </c>
      <c r="K30" s="476">
        <f t="shared" ref="K30:K43" si="15">INDEX(TPMaxCm,MATCH($C30,TPRunNumber,0),1,1)</f>
        <v>0</v>
      </c>
      <c r="L30" s="574"/>
      <c r="M30" s="570"/>
      <c r="N30" s="499"/>
      <c r="O30" s="500"/>
      <c r="P30" s="477" t="e">
        <f t="shared" si="2"/>
        <v>#NAME?</v>
      </c>
      <c r="Q30" s="478" t="e">
        <f t="shared" si="3"/>
        <v>#NAME?</v>
      </c>
      <c r="R30" s="478" t="e">
        <f t="shared" si="4"/>
        <v>#NAME?</v>
      </c>
      <c r="S30" s="478" t="e">
        <f t="shared" si="5"/>
        <v>#NAME?</v>
      </c>
      <c r="T30" s="478" t="e">
        <f t="shared" si="5"/>
        <v>#NAME?</v>
      </c>
      <c r="U30" s="478" t="e">
        <f t="shared" si="5"/>
        <v>#NAME?</v>
      </c>
      <c r="V30" s="478" t="e">
        <f t="shared" si="5"/>
        <v>#NAME?</v>
      </c>
      <c r="W30" s="478" t="e">
        <f t="shared" si="5"/>
        <v>#NAME?</v>
      </c>
      <c r="X30" s="479">
        <f t="shared" si="6"/>
        <v>400</v>
      </c>
      <c r="Y30" s="479">
        <f t="shared" si="7"/>
        <v>750</v>
      </c>
      <c r="Z30" s="438"/>
      <c r="AA30" s="438"/>
      <c r="AB30" s="438"/>
      <c r="AC30" s="438"/>
    </row>
    <row r="31" spans="2:29" ht="32.1" customHeight="1">
      <c r="B31" s="536">
        <f t="shared" si="8"/>
        <v>3</v>
      </c>
      <c r="C31" s="511">
        <v>103</v>
      </c>
      <c r="D31" s="531" t="str">
        <f t="shared" si="1"/>
        <v>AA</v>
      </c>
      <c r="E31" s="531" t="str">
        <f t="shared" si="9"/>
        <v>EF-1</v>
      </c>
      <c r="F31" s="532">
        <f t="shared" si="10"/>
        <v>10</v>
      </c>
      <c r="G31" s="533" t="e">
        <f t="shared" si="11"/>
        <v>#VALUE!</v>
      </c>
      <c r="H31" s="534">
        <f t="shared" si="12"/>
        <v>3</v>
      </c>
      <c r="I31" s="535">
        <f t="shared" si="13"/>
        <v>0</v>
      </c>
      <c r="J31" s="532">
        <f t="shared" si="14"/>
        <v>0</v>
      </c>
      <c r="K31" s="476">
        <f t="shared" si="15"/>
        <v>0</v>
      </c>
      <c r="L31" s="574"/>
      <c r="M31" s="570"/>
      <c r="N31" s="499"/>
      <c r="O31" s="500"/>
      <c r="P31" s="477" t="e">
        <f t="shared" si="2"/>
        <v>#NAME?</v>
      </c>
      <c r="Q31" s="478" t="e">
        <f t="shared" si="3"/>
        <v>#NAME?</v>
      </c>
      <c r="R31" s="478" t="e">
        <f t="shared" si="4"/>
        <v>#NAME?</v>
      </c>
      <c r="S31" s="478" t="e">
        <f t="shared" si="5"/>
        <v>#NAME?</v>
      </c>
      <c r="T31" s="478" t="e">
        <f t="shared" si="5"/>
        <v>#NAME?</v>
      </c>
      <c r="U31" s="478" t="e">
        <f t="shared" si="5"/>
        <v>#NAME?</v>
      </c>
      <c r="V31" s="478" t="e">
        <f t="shared" si="5"/>
        <v>#NAME?</v>
      </c>
      <c r="W31" s="478" t="e">
        <f t="shared" si="5"/>
        <v>#NAME?</v>
      </c>
      <c r="X31" s="479">
        <f t="shared" si="6"/>
        <v>400</v>
      </c>
      <c r="Y31" s="479">
        <f t="shared" si="7"/>
        <v>750</v>
      </c>
      <c r="Z31" s="438"/>
      <c r="AA31" s="438"/>
      <c r="AB31" s="438"/>
      <c r="AC31" s="438"/>
    </row>
    <row r="32" spans="2:29" ht="32.1" customHeight="1">
      <c r="B32" s="536">
        <f t="shared" si="8"/>
        <v>4</v>
      </c>
      <c r="C32" s="511">
        <v>104</v>
      </c>
      <c r="D32" s="531" t="str">
        <f t="shared" si="1"/>
        <v>AA</v>
      </c>
      <c r="E32" s="531" t="str">
        <f t="shared" si="9"/>
        <v>EF-1</v>
      </c>
      <c r="F32" s="532">
        <f t="shared" si="10"/>
        <v>10</v>
      </c>
      <c r="G32" s="533" t="e">
        <f t="shared" si="11"/>
        <v>#VALUE!</v>
      </c>
      <c r="H32" s="534">
        <f t="shared" si="12"/>
        <v>4</v>
      </c>
      <c r="I32" s="535">
        <f t="shared" si="13"/>
        <v>0</v>
      </c>
      <c r="J32" s="532">
        <f t="shared" si="14"/>
        <v>0</v>
      </c>
      <c r="K32" s="476">
        <f t="shared" si="15"/>
        <v>0</v>
      </c>
      <c r="L32" s="574"/>
      <c r="M32" s="570"/>
      <c r="N32" s="499"/>
      <c r="O32" s="500"/>
      <c r="P32" s="477" t="e">
        <f t="shared" si="2"/>
        <v>#NAME?</v>
      </c>
      <c r="Q32" s="478" t="e">
        <f t="shared" si="3"/>
        <v>#NAME?</v>
      </c>
      <c r="R32" s="478" t="e">
        <f t="shared" si="4"/>
        <v>#NAME?</v>
      </c>
      <c r="S32" s="478" t="e">
        <f t="shared" si="5"/>
        <v>#NAME?</v>
      </c>
      <c r="T32" s="478" t="e">
        <f t="shared" si="5"/>
        <v>#NAME?</v>
      </c>
      <c r="U32" s="478" t="e">
        <f t="shared" si="5"/>
        <v>#NAME?</v>
      </c>
      <c r="V32" s="478" t="e">
        <f t="shared" si="5"/>
        <v>#NAME?</v>
      </c>
      <c r="W32" s="478" t="e">
        <f t="shared" si="5"/>
        <v>#NAME?</v>
      </c>
      <c r="X32" s="479">
        <f t="shared" si="6"/>
        <v>400</v>
      </c>
      <c r="Y32" s="479">
        <f t="shared" si="7"/>
        <v>750</v>
      </c>
      <c r="Z32" s="438"/>
      <c r="AA32" s="438"/>
      <c r="AB32" s="438"/>
      <c r="AC32" s="438"/>
    </row>
    <row r="33" spans="2:29" ht="32.1" customHeight="1">
      <c r="B33" s="536">
        <f t="shared" si="8"/>
        <v>5</v>
      </c>
      <c r="C33" s="511">
        <v>105</v>
      </c>
      <c r="D33" s="531" t="str">
        <f t="shared" si="1"/>
        <v>AA</v>
      </c>
      <c r="E33" s="531" t="str">
        <f t="shared" si="9"/>
        <v>EF-1</v>
      </c>
      <c r="F33" s="532">
        <f t="shared" si="10"/>
        <v>10</v>
      </c>
      <c r="G33" s="533" t="e">
        <f t="shared" si="11"/>
        <v>#VALUE!</v>
      </c>
      <c r="H33" s="534">
        <f t="shared" si="12"/>
        <v>5</v>
      </c>
      <c r="I33" s="535">
        <f t="shared" si="13"/>
        <v>0</v>
      </c>
      <c r="J33" s="532">
        <f t="shared" si="14"/>
        <v>0</v>
      </c>
      <c r="K33" s="476">
        <f t="shared" si="15"/>
        <v>0</v>
      </c>
      <c r="L33" s="574"/>
      <c r="M33" s="570"/>
      <c r="N33" s="499"/>
      <c r="O33" s="500"/>
      <c r="P33" s="477" t="e">
        <f t="shared" si="2"/>
        <v>#NAME?</v>
      </c>
      <c r="Q33" s="478" t="e">
        <f t="shared" si="3"/>
        <v>#NAME?</v>
      </c>
      <c r="R33" s="478" t="e">
        <f t="shared" si="4"/>
        <v>#NAME?</v>
      </c>
      <c r="S33" s="478" t="e">
        <f t="shared" si="5"/>
        <v>#NAME?</v>
      </c>
      <c r="T33" s="478" t="e">
        <f t="shared" si="5"/>
        <v>#NAME?</v>
      </c>
      <c r="U33" s="478" t="e">
        <f t="shared" si="5"/>
        <v>#NAME?</v>
      </c>
      <c r="V33" s="478" t="e">
        <f t="shared" si="5"/>
        <v>#NAME?</v>
      </c>
      <c r="W33" s="478" t="e">
        <f t="shared" si="5"/>
        <v>#NAME?</v>
      </c>
      <c r="X33" s="479">
        <f t="shared" si="6"/>
        <v>400</v>
      </c>
      <c r="Y33" s="479">
        <f t="shared" si="7"/>
        <v>750</v>
      </c>
      <c r="Z33" s="438"/>
      <c r="AA33" s="438"/>
      <c r="AB33" s="438"/>
      <c r="AC33" s="438"/>
    </row>
    <row r="34" spans="2:29" ht="32.1" customHeight="1">
      <c r="B34" s="536">
        <f t="shared" si="8"/>
        <v>6</v>
      </c>
      <c r="C34" s="511">
        <v>101</v>
      </c>
      <c r="D34" s="531" t="str">
        <f t="shared" si="1"/>
        <v>AA</v>
      </c>
      <c r="E34" s="531" t="str">
        <f t="shared" si="9"/>
        <v>EF-1</v>
      </c>
      <c r="F34" s="532">
        <f t="shared" si="10"/>
        <v>10</v>
      </c>
      <c r="G34" s="533" t="e">
        <f t="shared" si="11"/>
        <v>#VALUE!</v>
      </c>
      <c r="H34" s="534">
        <f t="shared" si="12"/>
        <v>1</v>
      </c>
      <c r="I34" s="535">
        <f t="shared" si="13"/>
        <v>0</v>
      </c>
      <c r="J34" s="532">
        <f t="shared" si="14"/>
        <v>0</v>
      </c>
      <c r="K34" s="476">
        <f t="shared" si="15"/>
        <v>0</v>
      </c>
      <c r="L34" s="574"/>
      <c r="M34" s="570"/>
      <c r="N34" s="499"/>
      <c r="O34" s="500"/>
      <c r="P34" s="477" t="e">
        <f t="shared" si="2"/>
        <v>#NAME?</v>
      </c>
      <c r="Q34" s="478" t="e">
        <f t="shared" si="3"/>
        <v>#NAME?</v>
      </c>
      <c r="R34" s="478" t="e">
        <f t="shared" si="4"/>
        <v>#NAME?</v>
      </c>
      <c r="S34" s="478" t="e">
        <f t="shared" si="5"/>
        <v>#NAME?</v>
      </c>
      <c r="T34" s="478" t="e">
        <f t="shared" si="5"/>
        <v>#NAME?</v>
      </c>
      <c r="U34" s="478" t="e">
        <f t="shared" si="5"/>
        <v>#NAME?</v>
      </c>
      <c r="V34" s="478" t="e">
        <f t="shared" si="5"/>
        <v>#NAME?</v>
      </c>
      <c r="W34" s="478" t="e">
        <f t="shared" si="5"/>
        <v>#NAME?</v>
      </c>
      <c r="X34" s="479">
        <f t="shared" si="6"/>
        <v>400</v>
      </c>
      <c r="Y34" s="479">
        <f t="shared" si="7"/>
        <v>750</v>
      </c>
      <c r="Z34" s="438"/>
      <c r="AA34" s="438"/>
      <c r="AB34" s="438"/>
      <c r="AC34" s="438"/>
    </row>
    <row r="35" spans="2:29" ht="32.1" customHeight="1">
      <c r="B35" s="536">
        <f t="shared" si="8"/>
        <v>7</v>
      </c>
      <c r="C35" s="511">
        <v>101</v>
      </c>
      <c r="D35" s="531" t="str">
        <f t="shared" si="1"/>
        <v>AA</v>
      </c>
      <c r="E35" s="531" t="str">
        <f t="shared" si="9"/>
        <v>EF-1</v>
      </c>
      <c r="F35" s="532">
        <f t="shared" si="10"/>
        <v>10</v>
      </c>
      <c r="G35" s="533" t="e">
        <f t="shared" si="11"/>
        <v>#VALUE!</v>
      </c>
      <c r="H35" s="534">
        <f t="shared" si="12"/>
        <v>1</v>
      </c>
      <c r="I35" s="535">
        <f t="shared" si="13"/>
        <v>0</v>
      </c>
      <c r="J35" s="532">
        <f t="shared" si="14"/>
        <v>0</v>
      </c>
      <c r="K35" s="476">
        <f t="shared" si="15"/>
        <v>0</v>
      </c>
      <c r="L35" s="574"/>
      <c r="M35" s="570"/>
      <c r="N35" s="499"/>
      <c r="O35" s="500"/>
      <c r="P35" s="477" t="e">
        <f t="shared" si="2"/>
        <v>#NAME?</v>
      </c>
      <c r="Q35" s="478" t="e">
        <f t="shared" si="3"/>
        <v>#NAME?</v>
      </c>
      <c r="R35" s="478" t="e">
        <f t="shared" si="4"/>
        <v>#NAME?</v>
      </c>
      <c r="S35" s="478" t="e">
        <f t="shared" si="5"/>
        <v>#NAME?</v>
      </c>
      <c r="T35" s="478" t="e">
        <f t="shared" si="5"/>
        <v>#NAME?</v>
      </c>
      <c r="U35" s="478" t="e">
        <f t="shared" si="5"/>
        <v>#NAME?</v>
      </c>
      <c r="V35" s="478" t="e">
        <f t="shared" si="5"/>
        <v>#NAME?</v>
      </c>
      <c r="W35" s="478" t="e">
        <f t="shared" si="5"/>
        <v>#NAME?</v>
      </c>
      <c r="X35" s="479">
        <f t="shared" si="6"/>
        <v>400</v>
      </c>
      <c r="Y35" s="479">
        <f t="shared" si="7"/>
        <v>750</v>
      </c>
      <c r="Z35" s="438"/>
      <c r="AA35" s="438"/>
      <c r="AB35" s="438"/>
      <c r="AC35" s="438"/>
    </row>
    <row r="36" spans="2:29" ht="32.1" customHeight="1">
      <c r="B36" s="536">
        <f t="shared" si="8"/>
        <v>8</v>
      </c>
      <c r="C36" s="511">
        <v>101</v>
      </c>
      <c r="D36" s="531" t="str">
        <f t="shared" si="1"/>
        <v>AA</v>
      </c>
      <c r="E36" s="531" t="str">
        <f t="shared" si="9"/>
        <v>EF-1</v>
      </c>
      <c r="F36" s="532">
        <f t="shared" si="10"/>
        <v>10</v>
      </c>
      <c r="G36" s="533" t="e">
        <f t="shared" si="11"/>
        <v>#VALUE!</v>
      </c>
      <c r="H36" s="534">
        <f t="shared" si="12"/>
        <v>1</v>
      </c>
      <c r="I36" s="535">
        <f t="shared" si="13"/>
        <v>0</v>
      </c>
      <c r="J36" s="532">
        <f t="shared" si="14"/>
        <v>0</v>
      </c>
      <c r="K36" s="476">
        <f t="shared" si="15"/>
        <v>0</v>
      </c>
      <c r="L36" s="574"/>
      <c r="M36" s="570"/>
      <c r="N36" s="499"/>
      <c r="O36" s="500"/>
      <c r="P36" s="477" t="e">
        <f t="shared" si="2"/>
        <v>#NAME?</v>
      </c>
      <c r="Q36" s="478" t="e">
        <f t="shared" si="3"/>
        <v>#NAME?</v>
      </c>
      <c r="R36" s="478" t="e">
        <f t="shared" si="4"/>
        <v>#NAME?</v>
      </c>
      <c r="S36" s="478" t="e">
        <f t="shared" si="5"/>
        <v>#NAME?</v>
      </c>
      <c r="T36" s="478" t="e">
        <f t="shared" si="5"/>
        <v>#NAME?</v>
      </c>
      <c r="U36" s="478" t="e">
        <f t="shared" si="5"/>
        <v>#NAME?</v>
      </c>
      <c r="V36" s="478" t="e">
        <f t="shared" si="5"/>
        <v>#NAME?</v>
      </c>
      <c r="W36" s="478" t="e">
        <f t="shared" si="5"/>
        <v>#NAME?</v>
      </c>
      <c r="X36" s="479">
        <f t="shared" si="6"/>
        <v>400</v>
      </c>
      <c r="Y36" s="479">
        <f t="shared" si="7"/>
        <v>750</v>
      </c>
      <c r="Z36" s="438"/>
      <c r="AA36" s="438"/>
      <c r="AB36" s="438"/>
      <c r="AC36" s="438"/>
    </row>
    <row r="37" spans="2:29" ht="32.1" customHeight="1">
      <c r="B37" s="536">
        <f t="shared" si="8"/>
        <v>9</v>
      </c>
      <c r="C37" s="511">
        <v>101</v>
      </c>
      <c r="D37" s="531" t="str">
        <f t="shared" si="1"/>
        <v>AA</v>
      </c>
      <c r="E37" s="531" t="str">
        <f t="shared" si="9"/>
        <v>EF-1</v>
      </c>
      <c r="F37" s="532">
        <f t="shared" si="10"/>
        <v>10</v>
      </c>
      <c r="G37" s="533" t="e">
        <f t="shared" si="11"/>
        <v>#VALUE!</v>
      </c>
      <c r="H37" s="534">
        <f t="shared" si="12"/>
        <v>1</v>
      </c>
      <c r="I37" s="535">
        <f t="shared" si="13"/>
        <v>0</v>
      </c>
      <c r="J37" s="532">
        <f t="shared" si="14"/>
        <v>0</v>
      </c>
      <c r="K37" s="476">
        <f t="shared" si="15"/>
        <v>0</v>
      </c>
      <c r="L37" s="574"/>
      <c r="M37" s="570"/>
      <c r="N37" s="499"/>
      <c r="O37" s="500"/>
      <c r="P37" s="477" t="e">
        <f t="shared" si="2"/>
        <v>#NAME?</v>
      </c>
      <c r="Q37" s="478" t="e">
        <f t="shared" si="3"/>
        <v>#NAME?</v>
      </c>
      <c r="R37" s="478" t="e">
        <f t="shared" si="4"/>
        <v>#NAME?</v>
      </c>
      <c r="S37" s="478" t="e">
        <f t="shared" si="5"/>
        <v>#NAME?</v>
      </c>
      <c r="T37" s="478" t="e">
        <f t="shared" si="5"/>
        <v>#NAME?</v>
      </c>
      <c r="U37" s="478" t="e">
        <f t="shared" si="5"/>
        <v>#NAME?</v>
      </c>
      <c r="V37" s="478" t="e">
        <f t="shared" si="5"/>
        <v>#NAME?</v>
      </c>
      <c r="W37" s="478" t="e">
        <f t="shared" si="5"/>
        <v>#NAME?</v>
      </c>
      <c r="X37" s="479">
        <f t="shared" si="6"/>
        <v>400</v>
      </c>
      <c r="Y37" s="479">
        <f t="shared" si="7"/>
        <v>750</v>
      </c>
      <c r="Z37" s="438"/>
      <c r="AA37" s="438"/>
      <c r="AB37" s="438"/>
      <c r="AC37" s="438"/>
    </row>
    <row r="38" spans="2:29" ht="32.1" customHeight="1">
      <c r="B38" s="536">
        <f t="shared" si="8"/>
        <v>10</v>
      </c>
      <c r="C38" s="511">
        <v>101</v>
      </c>
      <c r="D38" s="531" t="str">
        <f t="shared" si="1"/>
        <v>AA</v>
      </c>
      <c r="E38" s="531" t="str">
        <f t="shared" si="9"/>
        <v>EF-1</v>
      </c>
      <c r="F38" s="532">
        <f t="shared" si="10"/>
        <v>10</v>
      </c>
      <c r="G38" s="533" t="e">
        <f t="shared" si="11"/>
        <v>#VALUE!</v>
      </c>
      <c r="H38" s="534">
        <f t="shared" si="12"/>
        <v>1</v>
      </c>
      <c r="I38" s="535">
        <f t="shared" si="13"/>
        <v>0</v>
      </c>
      <c r="J38" s="532">
        <f t="shared" si="14"/>
        <v>0</v>
      </c>
      <c r="K38" s="476">
        <f t="shared" si="15"/>
        <v>0</v>
      </c>
      <c r="L38" s="574"/>
      <c r="M38" s="570"/>
      <c r="N38" s="499"/>
      <c r="O38" s="500"/>
      <c r="P38" s="477" t="e">
        <f t="shared" si="2"/>
        <v>#NAME?</v>
      </c>
      <c r="Q38" s="478" t="e">
        <f t="shared" si="3"/>
        <v>#NAME?</v>
      </c>
      <c r="R38" s="478" t="e">
        <f t="shared" si="4"/>
        <v>#NAME?</v>
      </c>
      <c r="S38" s="478" t="e">
        <f t="shared" si="5"/>
        <v>#NAME?</v>
      </c>
      <c r="T38" s="478" t="e">
        <f t="shared" si="5"/>
        <v>#NAME?</v>
      </c>
      <c r="U38" s="478" t="e">
        <f t="shared" si="5"/>
        <v>#NAME?</v>
      </c>
      <c r="V38" s="478" t="e">
        <f t="shared" si="5"/>
        <v>#NAME?</v>
      </c>
      <c r="W38" s="478" t="e">
        <f t="shared" si="5"/>
        <v>#NAME?</v>
      </c>
      <c r="X38" s="479">
        <f t="shared" si="6"/>
        <v>400</v>
      </c>
      <c r="Y38" s="479">
        <f t="shared" si="7"/>
        <v>750</v>
      </c>
      <c r="Z38" s="438"/>
      <c r="AA38" s="438"/>
      <c r="AB38" s="438"/>
      <c r="AC38" s="438"/>
    </row>
    <row r="39" spans="2:29" ht="32.1" customHeight="1">
      <c r="B39" s="536">
        <f t="shared" si="8"/>
        <v>11</v>
      </c>
      <c r="C39" s="511">
        <v>101</v>
      </c>
      <c r="D39" s="531" t="str">
        <f t="shared" si="1"/>
        <v>AA</v>
      </c>
      <c r="E39" s="531" t="str">
        <f t="shared" si="9"/>
        <v>EF-1</v>
      </c>
      <c r="F39" s="532">
        <f t="shared" si="10"/>
        <v>10</v>
      </c>
      <c r="G39" s="533" t="e">
        <f t="shared" si="11"/>
        <v>#VALUE!</v>
      </c>
      <c r="H39" s="534">
        <f t="shared" si="12"/>
        <v>1</v>
      </c>
      <c r="I39" s="535">
        <f t="shared" si="13"/>
        <v>0</v>
      </c>
      <c r="J39" s="532">
        <f t="shared" si="14"/>
        <v>0</v>
      </c>
      <c r="K39" s="476">
        <f t="shared" si="15"/>
        <v>0</v>
      </c>
      <c r="L39" s="574"/>
      <c r="M39" s="570"/>
      <c r="N39" s="499"/>
      <c r="O39" s="500"/>
      <c r="P39" s="477" t="e">
        <f t="shared" si="2"/>
        <v>#NAME?</v>
      </c>
      <c r="Q39" s="478" t="e">
        <f t="shared" si="3"/>
        <v>#NAME?</v>
      </c>
      <c r="R39" s="478" t="e">
        <f t="shared" si="4"/>
        <v>#NAME?</v>
      </c>
      <c r="S39" s="478" t="e">
        <f t="shared" si="5"/>
        <v>#NAME?</v>
      </c>
      <c r="T39" s="478" t="e">
        <f t="shared" si="5"/>
        <v>#NAME?</v>
      </c>
      <c r="U39" s="478" t="e">
        <f t="shared" si="5"/>
        <v>#NAME?</v>
      </c>
      <c r="V39" s="478" t="e">
        <f t="shared" si="5"/>
        <v>#NAME?</v>
      </c>
      <c r="W39" s="478" t="e">
        <f t="shared" si="5"/>
        <v>#NAME?</v>
      </c>
      <c r="X39" s="479">
        <f t="shared" si="6"/>
        <v>400</v>
      </c>
      <c r="Y39" s="479">
        <f t="shared" si="7"/>
        <v>750</v>
      </c>
      <c r="Z39" s="438"/>
      <c r="AA39" s="438"/>
      <c r="AB39" s="438"/>
      <c r="AC39" s="438"/>
    </row>
    <row r="40" spans="2:29" ht="32.1" customHeight="1">
      <c r="B40" s="536">
        <f t="shared" si="8"/>
        <v>12</v>
      </c>
      <c r="C40" s="511">
        <v>101</v>
      </c>
      <c r="D40" s="531" t="str">
        <f t="shared" si="1"/>
        <v>AA</v>
      </c>
      <c r="E40" s="531" t="str">
        <f t="shared" si="9"/>
        <v>EF-1</v>
      </c>
      <c r="F40" s="532">
        <f t="shared" si="10"/>
        <v>10</v>
      </c>
      <c r="G40" s="533" t="e">
        <f t="shared" si="11"/>
        <v>#VALUE!</v>
      </c>
      <c r="H40" s="534">
        <f t="shared" si="12"/>
        <v>1</v>
      </c>
      <c r="I40" s="535">
        <f t="shared" si="13"/>
        <v>0</v>
      </c>
      <c r="J40" s="532">
        <f t="shared" si="14"/>
        <v>0</v>
      </c>
      <c r="K40" s="476">
        <f t="shared" si="15"/>
        <v>0</v>
      </c>
      <c r="L40" s="574"/>
      <c r="M40" s="570"/>
      <c r="N40" s="499"/>
      <c r="O40" s="500"/>
      <c r="P40" s="477" t="e">
        <f t="shared" si="2"/>
        <v>#NAME?</v>
      </c>
      <c r="Q40" s="478" t="e">
        <f t="shared" si="3"/>
        <v>#NAME?</v>
      </c>
      <c r="R40" s="478" t="e">
        <f t="shared" si="4"/>
        <v>#NAME?</v>
      </c>
      <c r="S40" s="478" t="e">
        <f t="shared" si="5"/>
        <v>#NAME?</v>
      </c>
      <c r="T40" s="478" t="e">
        <f t="shared" si="5"/>
        <v>#NAME?</v>
      </c>
      <c r="U40" s="478" t="e">
        <f t="shared" si="5"/>
        <v>#NAME?</v>
      </c>
      <c r="V40" s="478" t="e">
        <f t="shared" si="5"/>
        <v>#NAME?</v>
      </c>
      <c r="W40" s="478" t="e">
        <f t="shared" si="5"/>
        <v>#NAME?</v>
      </c>
      <c r="X40" s="479">
        <f t="shared" si="6"/>
        <v>400</v>
      </c>
      <c r="Y40" s="479">
        <f t="shared" si="7"/>
        <v>750</v>
      </c>
      <c r="Z40" s="438"/>
      <c r="AA40" s="438"/>
      <c r="AB40" s="438"/>
      <c r="AC40" s="438"/>
    </row>
    <row r="41" spans="2:29" ht="32.1" customHeight="1">
      <c r="B41" s="536">
        <f t="shared" si="8"/>
        <v>13</v>
      </c>
      <c r="C41" s="511">
        <v>101</v>
      </c>
      <c r="D41" s="531" t="str">
        <f t="shared" si="1"/>
        <v>AA</v>
      </c>
      <c r="E41" s="531" t="str">
        <f t="shared" si="9"/>
        <v>EF-1</v>
      </c>
      <c r="F41" s="532">
        <f t="shared" si="10"/>
        <v>10</v>
      </c>
      <c r="G41" s="533" t="e">
        <f t="shared" si="11"/>
        <v>#VALUE!</v>
      </c>
      <c r="H41" s="534">
        <f t="shared" si="12"/>
        <v>1</v>
      </c>
      <c r="I41" s="535">
        <f t="shared" si="13"/>
        <v>0</v>
      </c>
      <c r="J41" s="532">
        <f t="shared" si="14"/>
        <v>0</v>
      </c>
      <c r="K41" s="476">
        <f t="shared" si="15"/>
        <v>0</v>
      </c>
      <c r="L41" s="574"/>
      <c r="M41" s="570"/>
      <c r="N41" s="499"/>
      <c r="O41" s="500"/>
      <c r="P41" s="477" t="e">
        <f t="shared" si="2"/>
        <v>#NAME?</v>
      </c>
      <c r="Q41" s="478" t="e">
        <f t="shared" si="3"/>
        <v>#NAME?</v>
      </c>
      <c r="R41" s="478" t="e">
        <f t="shared" si="4"/>
        <v>#NAME?</v>
      </c>
      <c r="S41" s="478" t="e">
        <f t="shared" si="5"/>
        <v>#NAME?</v>
      </c>
      <c r="T41" s="478" t="e">
        <f t="shared" si="5"/>
        <v>#NAME?</v>
      </c>
      <c r="U41" s="478" t="e">
        <f t="shared" si="5"/>
        <v>#NAME?</v>
      </c>
      <c r="V41" s="478" t="e">
        <f t="shared" si="5"/>
        <v>#NAME?</v>
      </c>
      <c r="W41" s="478" t="e">
        <f t="shared" si="5"/>
        <v>#NAME?</v>
      </c>
      <c r="X41" s="479">
        <f t="shared" si="6"/>
        <v>400</v>
      </c>
      <c r="Y41" s="479">
        <f t="shared" si="7"/>
        <v>750</v>
      </c>
      <c r="Z41" s="438"/>
      <c r="AA41" s="438"/>
      <c r="AB41" s="438"/>
      <c r="AC41" s="438"/>
    </row>
    <row r="42" spans="2:29" ht="32.1" customHeight="1">
      <c r="B42" s="536">
        <f t="shared" si="8"/>
        <v>14</v>
      </c>
      <c r="C42" s="511">
        <v>101</v>
      </c>
      <c r="D42" s="531" t="str">
        <f t="shared" si="1"/>
        <v>AA</v>
      </c>
      <c r="E42" s="531" t="str">
        <f t="shared" si="9"/>
        <v>EF-1</v>
      </c>
      <c r="F42" s="532">
        <f t="shared" si="10"/>
        <v>10</v>
      </c>
      <c r="G42" s="533" t="e">
        <f t="shared" si="11"/>
        <v>#VALUE!</v>
      </c>
      <c r="H42" s="534">
        <f t="shared" si="12"/>
        <v>1</v>
      </c>
      <c r="I42" s="535">
        <f t="shared" si="13"/>
        <v>0</v>
      </c>
      <c r="J42" s="532">
        <f t="shared" si="14"/>
        <v>0</v>
      </c>
      <c r="K42" s="476">
        <f t="shared" si="15"/>
        <v>0</v>
      </c>
      <c r="L42" s="574"/>
      <c r="M42" s="570"/>
      <c r="N42" s="499"/>
      <c r="O42" s="500"/>
      <c r="P42" s="477" t="e">
        <f t="shared" si="2"/>
        <v>#NAME?</v>
      </c>
      <c r="Q42" s="478" t="e">
        <f t="shared" si="3"/>
        <v>#NAME?</v>
      </c>
      <c r="R42" s="478" t="e">
        <f t="shared" si="4"/>
        <v>#NAME?</v>
      </c>
      <c r="S42" s="478" t="e">
        <f t="shared" si="5"/>
        <v>#NAME?</v>
      </c>
      <c r="T42" s="478" t="e">
        <f t="shared" si="5"/>
        <v>#NAME?</v>
      </c>
      <c r="U42" s="478" t="e">
        <f t="shared" si="5"/>
        <v>#NAME?</v>
      </c>
      <c r="V42" s="478" t="e">
        <f t="shared" si="5"/>
        <v>#NAME?</v>
      </c>
      <c r="W42" s="478" t="e">
        <f t="shared" si="5"/>
        <v>#NAME?</v>
      </c>
      <c r="X42" s="479">
        <f t="shared" si="6"/>
        <v>400</v>
      </c>
      <c r="Y42" s="479">
        <f t="shared" si="7"/>
        <v>750</v>
      </c>
      <c r="Z42" s="438"/>
      <c r="AA42" s="438"/>
      <c r="AB42" s="438"/>
      <c r="AC42" s="438"/>
    </row>
    <row r="43" spans="2:29" ht="32.1" customHeight="1">
      <c r="B43" s="536">
        <f t="shared" si="8"/>
        <v>15</v>
      </c>
      <c r="C43" s="511">
        <v>101</v>
      </c>
      <c r="D43" s="531" t="str">
        <f t="shared" si="1"/>
        <v>AA</v>
      </c>
      <c r="E43" s="531" t="str">
        <f t="shared" si="9"/>
        <v>EF-1</v>
      </c>
      <c r="F43" s="532">
        <f t="shared" si="10"/>
        <v>10</v>
      </c>
      <c r="G43" s="533" t="e">
        <f t="shared" si="11"/>
        <v>#VALUE!</v>
      </c>
      <c r="H43" s="534">
        <f t="shared" si="12"/>
        <v>1</v>
      </c>
      <c r="I43" s="535">
        <f t="shared" si="13"/>
        <v>0</v>
      </c>
      <c r="J43" s="532">
        <f t="shared" si="14"/>
        <v>0</v>
      </c>
      <c r="K43" s="476">
        <f t="shared" si="15"/>
        <v>0</v>
      </c>
      <c r="L43" s="574"/>
      <c r="M43" s="570"/>
      <c r="N43" s="499"/>
      <c r="O43" s="500"/>
      <c r="P43" s="477" t="e">
        <f t="shared" si="2"/>
        <v>#NAME?</v>
      </c>
      <c r="Q43" s="478" t="e">
        <f t="shared" si="3"/>
        <v>#NAME?</v>
      </c>
      <c r="R43" s="478" t="e">
        <f t="shared" si="4"/>
        <v>#NAME?</v>
      </c>
      <c r="S43" s="478" t="e">
        <f t="shared" si="5"/>
        <v>#NAME?</v>
      </c>
      <c r="T43" s="478" t="e">
        <f t="shared" si="5"/>
        <v>#NAME?</v>
      </c>
      <c r="U43" s="478" t="e">
        <f t="shared" si="5"/>
        <v>#NAME?</v>
      </c>
      <c r="V43" s="478" t="e">
        <f t="shared" si="5"/>
        <v>#NAME?</v>
      </c>
      <c r="W43" s="478" t="e">
        <f t="shared" si="5"/>
        <v>#NAME?</v>
      </c>
      <c r="X43" s="479">
        <f t="shared" si="6"/>
        <v>400</v>
      </c>
      <c r="Y43" s="479">
        <f t="shared" si="7"/>
        <v>750</v>
      </c>
      <c r="Z43" s="438"/>
      <c r="AA43" s="438"/>
      <c r="AB43" s="438"/>
      <c r="AC43" s="438"/>
    </row>
    <row r="44" spans="2:29" ht="32.1" customHeight="1">
      <c r="B44" s="537"/>
      <c r="C44" s="521"/>
      <c r="D44" s="521"/>
      <c r="E44" s="538"/>
      <c r="F44" s="539"/>
      <c r="G44" s="540"/>
      <c r="H44" s="541"/>
      <c r="I44" s="542"/>
      <c r="J44" s="539"/>
      <c r="K44" s="481"/>
      <c r="L44" s="575"/>
      <c r="M44" s="571"/>
      <c r="N44" s="501"/>
      <c r="O44" s="502"/>
      <c r="P44" s="482"/>
      <c r="Q44" s="483"/>
      <c r="R44" s="483"/>
      <c r="S44" s="483"/>
      <c r="T44" s="483"/>
      <c r="U44" s="483"/>
      <c r="V44" s="483"/>
      <c r="W44" s="483"/>
      <c r="X44" s="484"/>
      <c r="Y44" s="484"/>
      <c r="Z44" s="438"/>
      <c r="AA44" s="438"/>
      <c r="AB44" s="438"/>
      <c r="AC44" s="438"/>
    </row>
    <row r="45" spans="2:29" ht="32.1" customHeight="1">
      <c r="B45" s="537"/>
      <c r="C45" s="521"/>
      <c r="D45" s="521"/>
      <c r="E45" s="538"/>
      <c r="F45" s="539"/>
      <c r="G45" s="540"/>
      <c r="H45" s="541"/>
      <c r="I45" s="542"/>
      <c r="J45" s="539"/>
      <c r="K45" s="481"/>
      <c r="L45" s="575"/>
      <c r="M45" s="571"/>
      <c r="N45" s="501"/>
      <c r="O45" s="502"/>
      <c r="P45" s="482"/>
      <c r="Q45" s="483"/>
      <c r="R45" s="483"/>
      <c r="S45" s="483"/>
      <c r="T45" s="483"/>
      <c r="U45" s="483"/>
      <c r="V45" s="483"/>
      <c r="W45" s="483"/>
      <c r="X45" s="484"/>
      <c r="Y45" s="484"/>
      <c r="Z45" s="438"/>
      <c r="AA45" s="438"/>
      <c r="AB45" s="438"/>
      <c r="AC45" s="438"/>
    </row>
    <row r="46" spans="2:29" ht="32.1" customHeight="1" thickBot="1">
      <c r="B46" s="578"/>
      <c r="C46" s="579"/>
      <c r="D46" s="579"/>
      <c r="E46" s="580"/>
      <c r="F46" s="581"/>
      <c r="G46" s="582"/>
      <c r="H46" s="583"/>
      <c r="I46" s="584"/>
      <c r="J46" s="581"/>
      <c r="K46" s="585"/>
      <c r="L46" s="586"/>
      <c r="M46" s="572"/>
      <c r="N46" s="503"/>
      <c r="O46" s="504"/>
      <c r="P46" s="587"/>
      <c r="Q46" s="588"/>
      <c r="R46" s="588"/>
      <c r="S46" s="588"/>
      <c r="T46" s="483"/>
      <c r="U46" s="483"/>
      <c r="V46" s="483"/>
      <c r="W46" s="483"/>
      <c r="X46" s="484"/>
      <c r="Y46" s="484"/>
      <c r="Z46" s="438"/>
      <c r="AA46" s="438"/>
      <c r="AB46" s="438"/>
      <c r="AC46" s="438"/>
    </row>
    <row r="47" spans="2:29" ht="32.1" customHeight="1" thickTop="1">
      <c r="B47" s="589"/>
      <c r="C47" s="590"/>
      <c r="D47" s="590"/>
      <c r="E47" s="591"/>
      <c r="F47" s="592"/>
      <c r="G47" s="593"/>
      <c r="H47" s="594"/>
      <c r="I47" s="595"/>
      <c r="J47" s="592"/>
      <c r="K47" s="596"/>
      <c r="L47" s="597"/>
      <c r="M47" s="577"/>
      <c r="N47" s="577"/>
      <c r="O47" s="577"/>
      <c r="P47" s="598"/>
      <c r="Q47" s="599"/>
      <c r="R47" s="599"/>
      <c r="S47" s="599"/>
      <c r="T47" s="600"/>
      <c r="U47" s="600"/>
      <c r="V47" s="600"/>
      <c r="W47" s="600"/>
      <c r="X47" s="484"/>
      <c r="Y47" s="484"/>
      <c r="Z47" s="438"/>
      <c r="AA47" s="438"/>
      <c r="AB47" s="438"/>
      <c r="AC47" s="438"/>
    </row>
    <row r="48" spans="2:29" ht="32.1" customHeight="1" thickBot="1">
      <c r="B48" s="615" t="s">
        <v>848</v>
      </c>
      <c r="C48" s="590"/>
      <c r="D48" s="590"/>
      <c r="E48" s="591"/>
      <c r="F48" s="592"/>
      <c r="G48" s="593"/>
      <c r="H48" s="594"/>
      <c r="I48" s="595"/>
      <c r="J48" s="592"/>
      <c r="K48" s="596"/>
      <c r="L48" s="597"/>
      <c r="M48" s="577"/>
      <c r="N48" s="577"/>
      <c r="O48" s="577"/>
      <c r="P48" s="598"/>
      <c r="Q48" s="599"/>
      <c r="R48" s="599"/>
      <c r="S48" s="599"/>
      <c r="T48" s="600"/>
      <c r="U48" s="600"/>
      <c r="V48" s="600"/>
      <c r="W48" s="600"/>
      <c r="X48" s="484"/>
      <c r="Y48" s="484"/>
      <c r="Z48" s="438"/>
      <c r="AA48" s="438"/>
      <c r="AB48" s="438"/>
      <c r="AC48" s="438"/>
    </row>
    <row r="49" spans="2:29" ht="32.1" customHeight="1" thickTop="1">
      <c r="B49" s="601"/>
      <c r="C49" s="602"/>
      <c r="D49" s="602"/>
      <c r="E49" s="603"/>
      <c r="F49" s="604"/>
      <c r="G49" s="605"/>
      <c r="H49" s="606"/>
      <c r="I49" s="607"/>
      <c r="J49" s="604"/>
      <c r="K49" s="608"/>
      <c r="L49" s="609"/>
      <c r="M49" s="610"/>
      <c r="N49" s="611"/>
      <c r="O49" s="612"/>
      <c r="P49" s="613"/>
      <c r="Q49" s="614"/>
      <c r="R49" s="614"/>
      <c r="S49" s="614"/>
      <c r="T49" s="483"/>
      <c r="U49" s="483"/>
      <c r="V49" s="483"/>
      <c r="W49" s="483"/>
      <c r="X49" s="484"/>
      <c r="Y49" s="484"/>
      <c r="Z49" s="438"/>
      <c r="AA49" s="438"/>
      <c r="AB49" s="438"/>
      <c r="AC49" s="438"/>
    </row>
    <row r="50" spans="2:29" ht="32.1" customHeight="1">
      <c r="B50" s="537"/>
      <c r="C50" s="521"/>
      <c r="D50" s="521"/>
      <c r="E50" s="538"/>
      <c r="F50" s="539"/>
      <c r="G50" s="540"/>
      <c r="H50" s="541"/>
      <c r="I50" s="542"/>
      <c r="J50" s="539"/>
      <c r="K50" s="481"/>
      <c r="L50" s="575"/>
      <c r="M50" s="571"/>
      <c r="N50" s="501"/>
      <c r="O50" s="502"/>
      <c r="P50" s="482"/>
      <c r="Q50" s="483"/>
      <c r="R50" s="483"/>
      <c r="S50" s="483"/>
      <c r="T50" s="483"/>
      <c r="U50" s="483"/>
      <c r="V50" s="483"/>
      <c r="W50" s="483"/>
      <c r="X50" s="484"/>
      <c r="Y50" s="484"/>
      <c r="Z50" s="438"/>
      <c r="AA50" s="438"/>
      <c r="AB50" s="438"/>
      <c r="AC50" s="438"/>
    </row>
    <row r="51" spans="2:29" ht="32.1" customHeight="1">
      <c r="B51" s="537"/>
      <c r="C51" s="521"/>
      <c r="D51" s="521"/>
      <c r="E51" s="538"/>
      <c r="F51" s="539"/>
      <c r="G51" s="540"/>
      <c r="H51" s="541"/>
      <c r="I51" s="542"/>
      <c r="J51" s="539"/>
      <c r="K51" s="481"/>
      <c r="L51" s="575"/>
      <c r="M51" s="571"/>
      <c r="N51" s="501"/>
      <c r="O51" s="502"/>
      <c r="P51" s="482"/>
      <c r="Q51" s="483"/>
      <c r="R51" s="483"/>
      <c r="S51" s="483"/>
      <c r="T51" s="483"/>
      <c r="U51" s="483"/>
      <c r="V51" s="483"/>
      <c r="W51" s="483"/>
      <c r="X51" s="484"/>
      <c r="Y51" s="484"/>
      <c r="Z51" s="438"/>
      <c r="AA51" s="438"/>
      <c r="AB51" s="438"/>
      <c r="AC51" s="438"/>
    </row>
    <row r="52" spans="2:29" ht="32.1" customHeight="1" thickBot="1">
      <c r="B52" s="496"/>
      <c r="C52" s="516"/>
      <c r="D52" s="516"/>
      <c r="E52" s="487"/>
      <c r="F52" s="543"/>
      <c r="G52" s="543"/>
      <c r="H52" s="487"/>
      <c r="I52" s="544"/>
      <c r="J52" s="544"/>
      <c r="K52" s="486"/>
      <c r="L52" s="576"/>
      <c r="M52" s="572"/>
      <c r="N52" s="503"/>
      <c r="O52" s="504"/>
      <c r="P52" s="485"/>
      <c r="Q52" s="487"/>
      <c r="R52" s="487"/>
      <c r="S52" s="487"/>
      <c r="T52" s="487"/>
      <c r="U52" s="487"/>
      <c r="V52" s="487"/>
      <c r="W52" s="487"/>
      <c r="X52" s="488"/>
      <c r="Y52" s="488"/>
      <c r="Z52" s="438"/>
      <c r="AA52" s="438"/>
      <c r="AB52" s="438"/>
      <c r="AC52" s="438"/>
    </row>
    <row r="53" spans="2:29" ht="16.5" thickTop="1"/>
    <row r="57" spans="2:29" ht="16.5" thickBot="1">
      <c r="B57" s="311" t="s">
        <v>399</v>
      </c>
      <c r="C57" s="13"/>
      <c r="D57" s="13"/>
      <c r="H57" s="153"/>
    </row>
    <row r="58" spans="2:29" ht="16.5" thickTop="1">
      <c r="B58" s="382" t="s">
        <v>586</v>
      </c>
      <c r="C58" s="93" t="s">
        <v>640</v>
      </c>
      <c r="D58" s="93"/>
      <c r="E58" s="93" t="s">
        <v>383</v>
      </c>
      <c r="F58" s="452"/>
      <c r="G58" s="453"/>
      <c r="H58" s="440"/>
      <c r="I58" s="454"/>
      <c r="J58" s="454"/>
      <c r="K58" s="454"/>
      <c r="L58" s="454"/>
      <c r="M58" s="454"/>
      <c r="N58" s="447"/>
      <c r="O58" s="441"/>
      <c r="P58" s="441"/>
    </row>
    <row r="59" spans="2:29">
      <c r="B59" s="442" t="s">
        <v>160</v>
      </c>
      <c r="C59" s="160" t="s">
        <v>412</v>
      </c>
      <c r="D59" s="160"/>
      <c r="E59" s="160" t="s">
        <v>162</v>
      </c>
      <c r="F59" s="160"/>
      <c r="G59" s="74"/>
      <c r="H59" s="13"/>
      <c r="I59" s="153"/>
      <c r="J59" s="153"/>
      <c r="K59" s="153"/>
      <c r="L59" s="153"/>
      <c r="M59" s="153"/>
      <c r="N59" s="1872" t="s">
        <v>635</v>
      </c>
      <c r="O59" s="1843"/>
      <c r="P59" s="443"/>
    </row>
    <row r="60" spans="2:29">
      <c r="B60" s="442" t="s">
        <v>779</v>
      </c>
      <c r="C60" s="160" t="s">
        <v>779</v>
      </c>
      <c r="D60" s="160"/>
      <c r="E60" s="160" t="s">
        <v>167</v>
      </c>
      <c r="F60" s="160" t="s">
        <v>400</v>
      </c>
      <c r="G60" s="74" t="s">
        <v>682</v>
      </c>
      <c r="H60" s="13"/>
      <c r="I60" s="153"/>
      <c r="J60" s="153"/>
      <c r="K60" s="153"/>
      <c r="L60" s="153"/>
      <c r="M60" s="153"/>
      <c r="N60" s="1872" t="s">
        <v>636</v>
      </c>
      <c r="O60" s="1843"/>
      <c r="P60" s="443" t="s">
        <v>622</v>
      </c>
    </row>
    <row r="61" spans="2:29">
      <c r="B61" s="444"/>
      <c r="C61" s="76"/>
      <c r="D61" s="76"/>
      <c r="E61" s="76" t="s">
        <v>174</v>
      </c>
      <c r="F61" s="76"/>
      <c r="G61" s="77"/>
      <c r="H61" s="14"/>
      <c r="I61" s="155"/>
      <c r="J61" s="155"/>
      <c r="K61" s="155"/>
      <c r="L61" s="155"/>
      <c r="M61" s="155"/>
      <c r="N61" s="451" t="s">
        <v>408</v>
      </c>
      <c r="O61" s="472" t="s">
        <v>409</v>
      </c>
      <c r="P61" s="445" t="s">
        <v>624</v>
      </c>
    </row>
    <row r="62" spans="2:29" ht="32.1" customHeight="1">
      <c r="B62" s="489"/>
      <c r="C62" s="490"/>
      <c r="D62" s="490"/>
      <c r="E62" s="490"/>
      <c r="F62" s="490"/>
      <c r="G62" s="491"/>
      <c r="H62" s="492"/>
      <c r="I62" s="492"/>
      <c r="J62" s="492"/>
      <c r="K62" s="492"/>
      <c r="L62" s="492"/>
      <c r="M62" s="492"/>
      <c r="N62" s="494"/>
      <c r="O62" s="495"/>
      <c r="P62" s="493"/>
    </row>
    <row r="63" spans="2:29" ht="32.1" customHeight="1">
      <c r="B63" s="475">
        <v>1</v>
      </c>
      <c r="C63" s="511">
        <v>1</v>
      </c>
      <c r="D63" s="511"/>
      <c r="E63" s="512">
        <v>22.5</v>
      </c>
      <c r="F63" s="513" t="s">
        <v>401</v>
      </c>
      <c r="G63" s="514" t="s">
        <v>402</v>
      </c>
      <c r="H63" s="515"/>
      <c r="I63" s="515"/>
      <c r="J63" s="515"/>
      <c r="K63" s="515"/>
      <c r="L63" s="515"/>
      <c r="M63" s="515"/>
      <c r="N63" s="505"/>
      <c r="O63" s="506"/>
      <c r="P63" s="507"/>
    </row>
    <row r="64" spans="2:29" ht="32.1" customHeight="1">
      <c r="B64" s="480">
        <f>B63+1</f>
        <v>2</v>
      </c>
      <c r="C64" s="511">
        <f>C63+1</f>
        <v>2</v>
      </c>
      <c r="D64" s="511"/>
      <c r="E64" s="512">
        <v>247.5</v>
      </c>
      <c r="F64" s="513" t="s">
        <v>401</v>
      </c>
      <c r="G64" s="514" t="s">
        <v>402</v>
      </c>
      <c r="H64" s="515"/>
      <c r="I64" s="515"/>
      <c r="J64" s="515"/>
      <c r="K64" s="515"/>
      <c r="L64" s="515"/>
      <c r="M64" s="515"/>
      <c r="N64" s="505"/>
      <c r="O64" s="506"/>
      <c r="P64" s="507"/>
    </row>
    <row r="65" spans="2:16" ht="32.1" customHeight="1">
      <c r="B65" s="480">
        <f t="shared" ref="B65:B75" si="16">B64+1</f>
        <v>3</v>
      </c>
      <c r="C65" s="511">
        <v>10</v>
      </c>
      <c r="D65" s="511"/>
      <c r="E65" s="512">
        <v>247.5</v>
      </c>
      <c r="F65" s="513" t="s">
        <v>401</v>
      </c>
      <c r="G65" s="514" t="s">
        <v>402</v>
      </c>
      <c r="H65" s="515"/>
      <c r="I65" s="515"/>
      <c r="J65" s="515"/>
      <c r="K65" s="515"/>
      <c r="L65" s="515"/>
      <c r="M65" s="515"/>
      <c r="N65" s="505"/>
      <c r="O65" s="506"/>
      <c r="P65" s="507"/>
    </row>
    <row r="66" spans="2:16" ht="32.1" customHeight="1">
      <c r="B66" s="480">
        <f t="shared" si="16"/>
        <v>4</v>
      </c>
      <c r="C66" s="511">
        <v>10</v>
      </c>
      <c r="D66" s="511"/>
      <c r="E66" s="512">
        <v>247.5</v>
      </c>
      <c r="F66" s="513" t="s">
        <v>401</v>
      </c>
      <c r="G66" s="514" t="s">
        <v>402</v>
      </c>
      <c r="H66" s="515"/>
      <c r="I66" s="515"/>
      <c r="J66" s="515"/>
      <c r="K66" s="515"/>
      <c r="L66" s="515"/>
      <c r="M66" s="515"/>
      <c r="N66" s="505"/>
      <c r="O66" s="506"/>
      <c r="P66" s="507"/>
    </row>
    <row r="67" spans="2:16" ht="32.1" customHeight="1">
      <c r="B67" s="480">
        <f t="shared" si="16"/>
        <v>5</v>
      </c>
      <c r="C67" s="511">
        <v>10</v>
      </c>
      <c r="D67" s="511"/>
      <c r="E67" s="512">
        <v>247.5</v>
      </c>
      <c r="F67" s="513" t="s">
        <v>401</v>
      </c>
      <c r="G67" s="514" t="s">
        <v>402</v>
      </c>
      <c r="H67" s="515"/>
      <c r="I67" s="515"/>
      <c r="J67" s="515"/>
      <c r="K67" s="515"/>
      <c r="L67" s="515"/>
      <c r="M67" s="515"/>
      <c r="N67" s="505"/>
      <c r="O67" s="506"/>
      <c r="P67" s="507"/>
    </row>
    <row r="68" spans="2:16" ht="32.1" customHeight="1">
      <c r="B68" s="480">
        <f t="shared" si="16"/>
        <v>6</v>
      </c>
      <c r="C68" s="511">
        <v>10</v>
      </c>
      <c r="D68" s="511"/>
      <c r="E68" s="512">
        <v>247.5</v>
      </c>
      <c r="F68" s="513" t="s">
        <v>401</v>
      </c>
      <c r="G68" s="514" t="s">
        <v>402</v>
      </c>
      <c r="H68" s="515"/>
      <c r="I68" s="515"/>
      <c r="J68" s="515"/>
      <c r="K68" s="515"/>
      <c r="L68" s="515"/>
      <c r="M68" s="515"/>
      <c r="N68" s="505"/>
      <c r="O68" s="506"/>
      <c r="P68" s="507"/>
    </row>
    <row r="69" spans="2:16" ht="32.1" customHeight="1">
      <c r="B69" s="480">
        <f t="shared" si="16"/>
        <v>7</v>
      </c>
      <c r="C69" s="511">
        <v>10</v>
      </c>
      <c r="D69" s="511"/>
      <c r="E69" s="512">
        <v>247.5</v>
      </c>
      <c r="F69" s="513" t="s">
        <v>401</v>
      </c>
      <c r="G69" s="514" t="s">
        <v>402</v>
      </c>
      <c r="H69" s="515"/>
      <c r="I69" s="515"/>
      <c r="J69" s="515"/>
      <c r="K69" s="515"/>
      <c r="L69" s="515"/>
      <c r="M69" s="515"/>
      <c r="N69" s="505"/>
      <c r="O69" s="506"/>
      <c r="P69" s="507"/>
    </row>
    <row r="70" spans="2:16" ht="32.1" customHeight="1">
      <c r="B70" s="480">
        <f t="shared" si="16"/>
        <v>8</v>
      </c>
      <c r="C70" s="511">
        <v>10</v>
      </c>
      <c r="D70" s="511"/>
      <c r="E70" s="512">
        <v>247.5</v>
      </c>
      <c r="F70" s="513" t="s">
        <v>401</v>
      </c>
      <c r="G70" s="514" t="s">
        <v>402</v>
      </c>
      <c r="H70" s="515"/>
      <c r="I70" s="515"/>
      <c r="J70" s="515"/>
      <c r="K70" s="515"/>
      <c r="L70" s="515"/>
      <c r="M70" s="515"/>
      <c r="N70" s="505"/>
      <c r="O70" s="506"/>
      <c r="P70" s="507"/>
    </row>
    <row r="71" spans="2:16" ht="32.1" customHeight="1">
      <c r="B71" s="480">
        <f t="shared" si="16"/>
        <v>9</v>
      </c>
      <c r="C71" s="511">
        <v>10</v>
      </c>
      <c r="D71" s="511"/>
      <c r="E71" s="512">
        <v>247.5</v>
      </c>
      <c r="F71" s="513" t="s">
        <v>401</v>
      </c>
      <c r="G71" s="514" t="s">
        <v>402</v>
      </c>
      <c r="H71" s="515"/>
      <c r="I71" s="515"/>
      <c r="J71" s="515"/>
      <c r="K71" s="515"/>
      <c r="L71" s="515"/>
      <c r="M71" s="515"/>
      <c r="N71" s="505"/>
      <c r="O71" s="506"/>
      <c r="P71" s="507"/>
    </row>
    <row r="72" spans="2:16" ht="32.1" customHeight="1">
      <c r="B72" s="480">
        <f t="shared" si="16"/>
        <v>10</v>
      </c>
      <c r="C72" s="511">
        <v>10</v>
      </c>
      <c r="D72" s="511"/>
      <c r="E72" s="512">
        <v>247.5</v>
      </c>
      <c r="F72" s="513" t="s">
        <v>401</v>
      </c>
      <c r="G72" s="514" t="s">
        <v>402</v>
      </c>
      <c r="H72" s="515"/>
      <c r="I72" s="515"/>
      <c r="J72" s="515"/>
      <c r="K72" s="515"/>
      <c r="L72" s="515"/>
      <c r="M72" s="515"/>
      <c r="N72" s="505"/>
      <c r="O72" s="506"/>
      <c r="P72" s="507"/>
    </row>
    <row r="73" spans="2:16" ht="32.1" customHeight="1">
      <c r="B73" s="480">
        <f t="shared" si="16"/>
        <v>11</v>
      </c>
      <c r="C73" s="511">
        <v>10</v>
      </c>
      <c r="D73" s="511"/>
      <c r="E73" s="512">
        <v>247.5</v>
      </c>
      <c r="F73" s="513" t="s">
        <v>401</v>
      </c>
      <c r="G73" s="514" t="s">
        <v>402</v>
      </c>
      <c r="H73" s="515"/>
      <c r="I73" s="515"/>
      <c r="J73" s="515"/>
      <c r="K73" s="515"/>
      <c r="L73" s="515"/>
      <c r="M73" s="515"/>
      <c r="N73" s="505"/>
      <c r="O73" s="506"/>
      <c r="P73" s="507"/>
    </row>
    <row r="74" spans="2:16" ht="32.1" customHeight="1">
      <c r="B74" s="480">
        <f t="shared" si="16"/>
        <v>12</v>
      </c>
      <c r="C74" s="511">
        <v>10</v>
      </c>
      <c r="D74" s="511"/>
      <c r="E74" s="512">
        <v>247.5</v>
      </c>
      <c r="F74" s="513" t="s">
        <v>401</v>
      </c>
      <c r="G74" s="514" t="s">
        <v>402</v>
      </c>
      <c r="H74" s="515"/>
      <c r="I74" s="515"/>
      <c r="J74" s="515"/>
      <c r="K74" s="515"/>
      <c r="L74" s="515"/>
      <c r="M74" s="515"/>
      <c r="N74" s="505"/>
      <c r="O74" s="506"/>
      <c r="P74" s="507"/>
    </row>
    <row r="75" spans="2:16" ht="32.1" customHeight="1">
      <c r="B75" s="480">
        <f t="shared" si="16"/>
        <v>13</v>
      </c>
      <c r="C75" s="511">
        <v>10</v>
      </c>
      <c r="D75" s="511"/>
      <c r="E75" s="512">
        <v>247.5</v>
      </c>
      <c r="F75" s="513" t="s">
        <v>401</v>
      </c>
      <c r="G75" s="514" t="s">
        <v>402</v>
      </c>
      <c r="H75" s="515"/>
      <c r="I75" s="515"/>
      <c r="J75" s="515"/>
      <c r="K75" s="515"/>
      <c r="L75" s="515"/>
      <c r="M75" s="515"/>
      <c r="N75" s="505"/>
      <c r="O75" s="506"/>
      <c r="P75" s="507"/>
    </row>
    <row r="76" spans="2:16" ht="32.1" customHeight="1" thickBot="1">
      <c r="B76" s="485"/>
      <c r="C76" s="516"/>
      <c r="D76" s="516"/>
      <c r="E76" s="516"/>
      <c r="F76" s="516"/>
      <c r="G76" s="517"/>
      <c r="H76" s="518"/>
      <c r="I76" s="518"/>
      <c r="J76" s="518"/>
      <c r="K76" s="518"/>
      <c r="L76" s="518"/>
      <c r="M76" s="518"/>
      <c r="N76" s="508"/>
      <c r="O76" s="509"/>
      <c r="P76" s="510"/>
    </row>
    <row r="77" spans="2:16" ht="16.5" thickTop="1"/>
  </sheetData>
  <mergeCells count="21">
    <mergeCell ref="D25:E25"/>
    <mergeCell ref="M26:N26"/>
    <mergeCell ref="C17:G17"/>
    <mergeCell ref="N59:O59"/>
    <mergeCell ref="N60:O60"/>
    <mergeCell ref="L25:N25"/>
    <mergeCell ref="R3:W3"/>
    <mergeCell ref="X24:Y24"/>
    <mergeCell ref="B5:C5"/>
    <mergeCell ref="R21:W21"/>
    <mergeCell ref="R22:W22"/>
    <mergeCell ref="C16:G16"/>
    <mergeCell ref="P14:Q14"/>
    <mergeCell ref="C18:G18"/>
    <mergeCell ref="C19:G19"/>
    <mergeCell ref="B4:E4"/>
    <mergeCell ref="M14:N14"/>
    <mergeCell ref="K16:O16"/>
    <mergeCell ref="K18:O18"/>
    <mergeCell ref="K17:O17"/>
    <mergeCell ref="K19:O19"/>
  </mergeCells>
  <phoneticPr fontId="0" type="noConversion"/>
  <pageMargins left="0.5" right="0.5" top="0.5" bottom="0.5" header="0.5" footer="0.5"/>
  <pageSetup scale="45" fitToHeight="0" orientation="landscape" blackAndWhite="1" r:id="rId1"/>
  <headerFooter alignWithMargins="0">
    <oddFooter>Page &amp;P of &amp;N</oddFooter>
  </headerFooter>
  <rowBreaks count="1" manualBreakCount="1">
    <brk id="20" min="1" max="22"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dimension ref="A2:AC193"/>
  <sheetViews>
    <sheetView workbookViewId="0">
      <selection activeCell="U30" sqref="U30"/>
    </sheetView>
  </sheetViews>
  <sheetFormatPr defaultRowHeight="15.75"/>
  <cols>
    <col min="24" max="24" width="11.125" bestFit="1" customWidth="1"/>
  </cols>
  <sheetData>
    <row r="2" spans="1:19">
      <c r="A2" t="s">
        <v>419</v>
      </c>
      <c r="B2" t="s">
        <v>160</v>
      </c>
      <c r="C2" t="s">
        <v>160</v>
      </c>
      <c r="D2" t="s">
        <v>292</v>
      </c>
      <c r="E2" t="s">
        <v>1352</v>
      </c>
      <c r="F2" t="s">
        <v>1352</v>
      </c>
      <c r="G2" t="s">
        <v>1353</v>
      </c>
      <c r="H2" t="s">
        <v>1353</v>
      </c>
      <c r="I2" t="s">
        <v>1354</v>
      </c>
      <c r="J2" t="s">
        <v>1355</v>
      </c>
      <c r="K2" t="s">
        <v>1356</v>
      </c>
      <c r="L2" t="s">
        <v>1357</v>
      </c>
      <c r="M2" t="s">
        <v>1358</v>
      </c>
      <c r="N2" t="s">
        <v>118</v>
      </c>
      <c r="O2" t="s">
        <v>118</v>
      </c>
      <c r="P2" t="s">
        <v>147</v>
      </c>
      <c r="Q2" t="s">
        <v>887</v>
      </c>
      <c r="R2" t="s">
        <v>1359</v>
      </c>
      <c r="S2" s="940">
        <v>10.7</v>
      </c>
    </row>
    <row r="3" spans="1:19">
      <c r="A3" t="s">
        <v>120</v>
      </c>
      <c r="B3" t="s">
        <v>120</v>
      </c>
      <c r="C3" t="s">
        <v>591</v>
      </c>
      <c r="D3" t="s">
        <v>1360</v>
      </c>
      <c r="E3" t="s">
        <v>162</v>
      </c>
      <c r="F3" t="s">
        <v>162</v>
      </c>
      <c r="G3" t="s">
        <v>1361</v>
      </c>
      <c r="H3" t="s">
        <v>1361</v>
      </c>
      <c r="K3" t="s">
        <v>407</v>
      </c>
      <c r="L3" t="s">
        <v>407</v>
      </c>
      <c r="M3" t="s">
        <v>120</v>
      </c>
      <c r="O3" t="s">
        <v>666</v>
      </c>
      <c r="Q3" t="s">
        <v>1362</v>
      </c>
      <c r="R3" t="s">
        <v>1363</v>
      </c>
    </row>
    <row r="4" spans="1:19">
      <c r="D4" t="s">
        <v>1364</v>
      </c>
      <c r="E4" t="s">
        <v>167</v>
      </c>
      <c r="F4" t="s">
        <v>168</v>
      </c>
      <c r="G4" t="s">
        <v>401</v>
      </c>
      <c r="H4" t="s">
        <v>855</v>
      </c>
      <c r="O4" t="s">
        <v>743</v>
      </c>
      <c r="Q4" t="s">
        <v>1353</v>
      </c>
      <c r="R4" t="s">
        <v>1365</v>
      </c>
    </row>
    <row r="5" spans="1:19">
      <c r="E5" t="s">
        <v>407</v>
      </c>
      <c r="F5" t="s">
        <v>703</v>
      </c>
      <c r="Q5" t="s">
        <v>1366</v>
      </c>
      <c r="R5" t="s">
        <v>1367</v>
      </c>
    </row>
    <row r="6" spans="1:19">
      <c r="A6">
        <v>7619</v>
      </c>
      <c r="B6">
        <v>101</v>
      </c>
      <c r="C6" t="s">
        <v>401</v>
      </c>
      <c r="D6">
        <v>320</v>
      </c>
      <c r="E6">
        <v>60</v>
      </c>
      <c r="F6">
        <v>11.9</v>
      </c>
      <c r="G6">
        <v>113.84</v>
      </c>
      <c r="H6">
        <v>29.68</v>
      </c>
      <c r="I6">
        <v>42.15</v>
      </c>
      <c r="J6">
        <v>7.12</v>
      </c>
      <c r="K6">
        <v>0</v>
      </c>
      <c r="L6">
        <v>355</v>
      </c>
      <c r="M6">
        <v>1</v>
      </c>
      <c r="N6" t="s">
        <v>1368</v>
      </c>
      <c r="O6">
        <v>3.1</v>
      </c>
      <c r="P6" t="s">
        <v>1369</v>
      </c>
      <c r="Q6" s="1229">
        <v>41887.475312499999</v>
      </c>
      <c r="R6" s="760">
        <f t="shared" ref="R6:R31" si="0">D6*EXP(-G6*(1/S$2-1/F6)^2)*EXP(-(((E6-E6)/H6)^2))</f>
        <v>316.78076897520748</v>
      </c>
    </row>
    <row r="7" spans="1:19">
      <c r="A7">
        <v>7619</v>
      </c>
      <c r="B7">
        <v>102</v>
      </c>
      <c r="C7" t="s">
        <v>401</v>
      </c>
      <c r="D7">
        <v>547</v>
      </c>
      <c r="E7">
        <v>80</v>
      </c>
      <c r="F7">
        <v>20</v>
      </c>
      <c r="G7">
        <v>150</v>
      </c>
      <c r="H7">
        <v>20.309999999999999</v>
      </c>
      <c r="I7">
        <v>68.150000000000006</v>
      </c>
      <c r="J7">
        <v>31.91</v>
      </c>
      <c r="K7">
        <v>0</v>
      </c>
      <c r="L7">
        <v>130</v>
      </c>
      <c r="M7">
        <v>1</v>
      </c>
      <c r="N7" t="s">
        <v>1368</v>
      </c>
      <c r="O7">
        <v>3.1</v>
      </c>
      <c r="P7" t="s">
        <v>1370</v>
      </c>
      <c r="Q7" s="1229">
        <v>41887.476215277777</v>
      </c>
      <c r="R7" s="760">
        <f t="shared" si="0"/>
        <v>412.05624989046777</v>
      </c>
    </row>
    <row r="8" spans="1:19">
      <c r="A8">
        <v>7619</v>
      </c>
      <c r="B8">
        <v>102</v>
      </c>
      <c r="C8" t="s">
        <v>401</v>
      </c>
      <c r="D8">
        <v>658</v>
      </c>
      <c r="E8">
        <v>175</v>
      </c>
      <c r="F8">
        <v>20</v>
      </c>
      <c r="G8">
        <v>150</v>
      </c>
      <c r="H8">
        <v>14.97</v>
      </c>
      <c r="I8">
        <v>59.06</v>
      </c>
      <c r="J8">
        <v>-1.92</v>
      </c>
      <c r="K8">
        <v>130</v>
      </c>
      <c r="L8">
        <v>355</v>
      </c>
      <c r="M8">
        <v>2</v>
      </c>
      <c r="N8" t="s">
        <v>1368</v>
      </c>
      <c r="O8">
        <v>3.1</v>
      </c>
      <c r="P8" t="s">
        <v>1370</v>
      </c>
      <c r="Q8" s="1229">
        <v>41887.476921296293</v>
      </c>
      <c r="R8" s="760">
        <f t="shared" si="0"/>
        <v>495.67278323204346</v>
      </c>
    </row>
    <row r="9" spans="1:19">
      <c r="A9">
        <v>7619</v>
      </c>
      <c r="B9">
        <v>108</v>
      </c>
      <c r="C9" t="s">
        <v>401</v>
      </c>
      <c r="D9">
        <v>266</v>
      </c>
      <c r="E9">
        <v>65</v>
      </c>
      <c r="F9">
        <v>20</v>
      </c>
      <c r="G9">
        <v>130</v>
      </c>
      <c r="H9">
        <v>30</v>
      </c>
      <c r="I9">
        <v>40.03</v>
      </c>
      <c r="J9">
        <v>5.01</v>
      </c>
      <c r="K9">
        <v>0</v>
      </c>
      <c r="L9">
        <v>355</v>
      </c>
      <c r="M9">
        <v>1</v>
      </c>
      <c r="N9" t="s">
        <v>1368</v>
      </c>
      <c r="O9">
        <v>4.5999999999999996</v>
      </c>
      <c r="P9" t="s">
        <v>1369</v>
      </c>
      <c r="Q9" s="1229">
        <v>41887.582905092589</v>
      </c>
      <c r="R9" s="760">
        <f t="shared" si="0"/>
        <v>208.0917801405445</v>
      </c>
    </row>
    <row r="10" spans="1:19">
      <c r="A10">
        <v>7619</v>
      </c>
      <c r="B10">
        <v>109</v>
      </c>
      <c r="C10" t="s">
        <v>401</v>
      </c>
      <c r="D10">
        <v>440</v>
      </c>
      <c r="E10">
        <v>65</v>
      </c>
      <c r="F10">
        <v>20</v>
      </c>
      <c r="G10">
        <v>130</v>
      </c>
      <c r="H10">
        <v>36</v>
      </c>
      <c r="I10">
        <v>96.33</v>
      </c>
      <c r="J10">
        <v>-51.41</v>
      </c>
      <c r="K10">
        <v>0</v>
      </c>
      <c r="L10">
        <v>110</v>
      </c>
      <c r="M10">
        <v>1</v>
      </c>
      <c r="N10" t="s">
        <v>1368</v>
      </c>
      <c r="O10">
        <v>4.5999999999999996</v>
      </c>
      <c r="P10" t="s">
        <v>1370</v>
      </c>
      <c r="Q10" s="1229">
        <v>41887.579618055555</v>
      </c>
      <c r="R10" s="760">
        <f t="shared" si="0"/>
        <v>344.21196714977282</v>
      </c>
    </row>
    <row r="11" spans="1:19">
      <c r="A11">
        <v>7619</v>
      </c>
      <c r="B11">
        <v>109</v>
      </c>
      <c r="C11" t="s">
        <v>401</v>
      </c>
      <c r="D11">
        <v>432</v>
      </c>
      <c r="E11">
        <v>175</v>
      </c>
      <c r="F11">
        <v>20</v>
      </c>
      <c r="G11">
        <v>130</v>
      </c>
      <c r="H11">
        <v>45</v>
      </c>
      <c r="I11">
        <v>96.27</v>
      </c>
      <c r="J11">
        <v>-41.33</v>
      </c>
      <c r="K11">
        <v>110</v>
      </c>
      <c r="L11">
        <v>355</v>
      </c>
      <c r="M11">
        <v>2</v>
      </c>
      <c r="N11" t="s">
        <v>1368</v>
      </c>
      <c r="O11">
        <v>4.5999999999999996</v>
      </c>
      <c r="P11" t="s">
        <v>1370</v>
      </c>
      <c r="Q11" s="1229">
        <v>41887.580034722225</v>
      </c>
      <c r="R11" s="760">
        <f t="shared" si="0"/>
        <v>337.9535677470497</v>
      </c>
    </row>
    <row r="12" spans="1:19">
      <c r="A12">
        <v>7619</v>
      </c>
      <c r="B12">
        <v>111</v>
      </c>
      <c r="C12" t="s">
        <v>401</v>
      </c>
      <c r="D12">
        <v>193</v>
      </c>
      <c r="E12">
        <v>70</v>
      </c>
      <c r="F12">
        <v>20</v>
      </c>
      <c r="G12">
        <v>500</v>
      </c>
      <c r="H12">
        <v>51</v>
      </c>
      <c r="I12">
        <v>49.92</v>
      </c>
      <c r="J12">
        <v>-7.09</v>
      </c>
      <c r="K12">
        <v>0</v>
      </c>
      <c r="L12">
        <v>355</v>
      </c>
      <c r="M12">
        <v>1</v>
      </c>
      <c r="N12" t="s">
        <v>1368</v>
      </c>
      <c r="O12">
        <v>6.1</v>
      </c>
      <c r="P12" t="s">
        <v>1370</v>
      </c>
      <c r="Q12" s="1229">
        <v>41887.583761574075</v>
      </c>
      <c r="R12" s="760">
        <f t="shared" si="0"/>
        <v>75.06795303533319</v>
      </c>
    </row>
    <row r="13" spans="1:19">
      <c r="A13">
        <v>7619</v>
      </c>
      <c r="B13">
        <v>121</v>
      </c>
      <c r="C13" t="s">
        <v>401</v>
      </c>
      <c r="D13">
        <v>183</v>
      </c>
      <c r="E13">
        <v>55</v>
      </c>
      <c r="F13">
        <v>20</v>
      </c>
      <c r="G13">
        <v>90</v>
      </c>
      <c r="H13">
        <v>29</v>
      </c>
      <c r="I13">
        <v>40.659999999999997</v>
      </c>
      <c r="J13">
        <v>-11.49</v>
      </c>
      <c r="K13">
        <v>0</v>
      </c>
      <c r="L13">
        <v>355</v>
      </c>
      <c r="M13">
        <v>1</v>
      </c>
      <c r="N13" t="s">
        <v>1371</v>
      </c>
      <c r="O13">
        <v>6.1</v>
      </c>
      <c r="P13" t="s">
        <v>1369</v>
      </c>
      <c r="Q13" s="1229">
        <v>41887.584097222221</v>
      </c>
      <c r="R13" s="760">
        <f t="shared" si="0"/>
        <v>154.3947744408039</v>
      </c>
    </row>
    <row r="14" spans="1:19">
      <c r="A14">
        <v>7619</v>
      </c>
      <c r="B14">
        <v>122</v>
      </c>
      <c r="C14" t="s">
        <v>401</v>
      </c>
      <c r="D14">
        <v>242</v>
      </c>
      <c r="E14">
        <v>55</v>
      </c>
      <c r="F14">
        <v>20</v>
      </c>
      <c r="G14">
        <v>130</v>
      </c>
      <c r="H14">
        <v>30</v>
      </c>
      <c r="I14">
        <v>69.44</v>
      </c>
      <c r="J14">
        <v>-0.61</v>
      </c>
      <c r="K14">
        <v>0</v>
      </c>
      <c r="L14">
        <v>355</v>
      </c>
      <c r="M14">
        <v>1</v>
      </c>
      <c r="N14" t="s">
        <v>1371</v>
      </c>
      <c r="O14">
        <v>6.1</v>
      </c>
      <c r="P14" t="s">
        <v>1370</v>
      </c>
      <c r="Q14" s="1229">
        <v>41887.584421296298</v>
      </c>
      <c r="R14" s="760">
        <f t="shared" si="0"/>
        <v>189.31658193237507</v>
      </c>
    </row>
    <row r="15" spans="1:19">
      <c r="A15">
        <v>7619</v>
      </c>
      <c r="B15">
        <v>131</v>
      </c>
      <c r="C15" t="s">
        <v>401</v>
      </c>
      <c r="D15">
        <v>156</v>
      </c>
      <c r="E15">
        <v>60</v>
      </c>
      <c r="F15">
        <v>20</v>
      </c>
      <c r="G15">
        <v>337.33</v>
      </c>
      <c r="H15">
        <v>31</v>
      </c>
      <c r="I15">
        <v>30.11</v>
      </c>
      <c r="J15">
        <v>0.56999999999999995</v>
      </c>
      <c r="K15">
        <v>0</v>
      </c>
      <c r="L15">
        <v>355</v>
      </c>
      <c r="M15">
        <v>1</v>
      </c>
      <c r="N15" t="s">
        <v>1372</v>
      </c>
      <c r="O15">
        <v>6.1</v>
      </c>
      <c r="P15" t="s">
        <v>1369</v>
      </c>
      <c r="Q15" s="1229">
        <v>41887.584930555553</v>
      </c>
      <c r="R15" s="760">
        <f t="shared" si="0"/>
        <v>82.498240644779472</v>
      </c>
    </row>
    <row r="16" spans="1:19">
      <c r="A16">
        <v>7619</v>
      </c>
      <c r="B16">
        <v>132</v>
      </c>
      <c r="C16" t="s">
        <v>401</v>
      </c>
      <c r="D16">
        <v>271</v>
      </c>
      <c r="E16">
        <v>85</v>
      </c>
      <c r="F16">
        <v>20</v>
      </c>
      <c r="G16">
        <v>820</v>
      </c>
      <c r="H16">
        <v>41.89</v>
      </c>
      <c r="I16">
        <v>57.76</v>
      </c>
      <c r="J16">
        <v>-2.95</v>
      </c>
      <c r="K16">
        <v>0</v>
      </c>
      <c r="L16">
        <v>355</v>
      </c>
      <c r="M16">
        <v>1</v>
      </c>
      <c r="N16" t="s">
        <v>1372</v>
      </c>
      <c r="O16">
        <v>6.1</v>
      </c>
      <c r="P16" t="s">
        <v>1370</v>
      </c>
      <c r="Q16" s="1229">
        <v>41887.585520833331</v>
      </c>
      <c r="R16" s="760">
        <f t="shared" si="0"/>
        <v>57.597124864464035</v>
      </c>
    </row>
    <row r="17" spans="1:18">
      <c r="A17">
        <v>7619</v>
      </c>
      <c r="B17">
        <v>165</v>
      </c>
      <c r="C17" t="s">
        <v>401</v>
      </c>
      <c r="D17">
        <v>241</v>
      </c>
      <c r="E17">
        <v>80</v>
      </c>
      <c r="F17">
        <v>11.9</v>
      </c>
      <c r="G17">
        <v>58</v>
      </c>
      <c r="H17">
        <v>34</v>
      </c>
      <c r="I17">
        <v>46.26</v>
      </c>
      <c r="J17">
        <v>13.5</v>
      </c>
      <c r="K17">
        <v>0</v>
      </c>
      <c r="L17">
        <v>355</v>
      </c>
      <c r="M17">
        <v>1</v>
      </c>
      <c r="N17" t="s">
        <v>1373</v>
      </c>
      <c r="O17">
        <v>4.5999999999999996</v>
      </c>
      <c r="P17" t="s">
        <v>1369</v>
      </c>
      <c r="Q17" s="1229">
        <v>41887.58935185185</v>
      </c>
      <c r="R17" s="760">
        <f t="shared" si="0"/>
        <v>239.76169419632885</v>
      </c>
    </row>
    <row r="18" spans="1:18">
      <c r="A18">
        <v>7619</v>
      </c>
      <c r="B18">
        <v>166</v>
      </c>
      <c r="C18" t="s">
        <v>401</v>
      </c>
      <c r="D18">
        <v>481</v>
      </c>
      <c r="E18">
        <v>150</v>
      </c>
      <c r="F18">
        <v>10</v>
      </c>
      <c r="G18">
        <v>74.64</v>
      </c>
      <c r="H18">
        <v>102.38</v>
      </c>
      <c r="I18">
        <v>91.51</v>
      </c>
      <c r="J18">
        <v>-52.88</v>
      </c>
      <c r="K18">
        <v>0</v>
      </c>
      <c r="L18">
        <v>355</v>
      </c>
      <c r="M18">
        <v>1</v>
      </c>
      <c r="N18" t="s">
        <v>1373</v>
      </c>
      <c r="O18">
        <v>4.5999999999999996</v>
      </c>
      <c r="P18" t="s">
        <v>1370</v>
      </c>
      <c r="Q18" s="1229">
        <v>41887.589918981481</v>
      </c>
      <c r="R18" s="760">
        <f t="shared" si="0"/>
        <v>479.46590680335447</v>
      </c>
    </row>
    <row r="19" spans="1:18">
      <c r="A19">
        <v>7619</v>
      </c>
      <c r="B19">
        <v>168</v>
      </c>
      <c r="C19" t="s">
        <v>401</v>
      </c>
      <c r="D19">
        <v>304</v>
      </c>
      <c r="E19">
        <v>120</v>
      </c>
      <c r="F19">
        <v>11.9</v>
      </c>
      <c r="G19">
        <v>80.989999999999995</v>
      </c>
      <c r="H19">
        <v>76.94</v>
      </c>
      <c r="I19">
        <v>48.09</v>
      </c>
      <c r="J19">
        <v>-27.6</v>
      </c>
      <c r="K19">
        <v>0</v>
      </c>
      <c r="L19">
        <v>355</v>
      </c>
      <c r="M19">
        <v>1</v>
      </c>
      <c r="N19" t="s">
        <v>1373</v>
      </c>
      <c r="O19">
        <v>6.1</v>
      </c>
      <c r="P19" t="s">
        <v>1370</v>
      </c>
      <c r="Q19" s="1229">
        <v>41887.590173611112</v>
      </c>
      <c r="R19" s="760">
        <f t="shared" si="0"/>
        <v>301.82106180202931</v>
      </c>
    </row>
    <row r="20" spans="1:18">
      <c r="A20">
        <v>7619</v>
      </c>
      <c r="B20">
        <v>172</v>
      </c>
      <c r="C20" t="s">
        <v>401</v>
      </c>
      <c r="D20">
        <v>506</v>
      </c>
      <c r="E20">
        <v>135</v>
      </c>
      <c r="F20">
        <v>11.9</v>
      </c>
      <c r="G20">
        <v>45.7</v>
      </c>
      <c r="H20">
        <v>53.49</v>
      </c>
      <c r="I20">
        <v>54.59</v>
      </c>
      <c r="J20">
        <v>-19.82</v>
      </c>
      <c r="K20">
        <v>0</v>
      </c>
      <c r="L20">
        <v>355</v>
      </c>
      <c r="M20">
        <v>1</v>
      </c>
      <c r="N20" t="s">
        <v>1374</v>
      </c>
      <c r="O20">
        <v>4.5999999999999996</v>
      </c>
      <c r="P20" t="s">
        <v>1370</v>
      </c>
      <c r="Q20" s="1229">
        <v>41887.590324074074</v>
      </c>
      <c r="R20" s="760">
        <f t="shared" si="0"/>
        <v>503.95031731643752</v>
      </c>
    </row>
    <row r="21" spans="1:18">
      <c r="A21">
        <v>7619</v>
      </c>
      <c r="B21">
        <v>174</v>
      </c>
      <c r="C21" t="s">
        <v>401</v>
      </c>
      <c r="D21">
        <v>296</v>
      </c>
      <c r="E21">
        <v>115</v>
      </c>
      <c r="F21">
        <v>11.9</v>
      </c>
      <c r="G21">
        <v>72</v>
      </c>
      <c r="H21">
        <v>53</v>
      </c>
      <c r="I21">
        <v>37.53</v>
      </c>
      <c r="J21">
        <v>-21.8</v>
      </c>
      <c r="K21">
        <v>0</v>
      </c>
      <c r="L21">
        <v>355</v>
      </c>
      <c r="M21">
        <v>1</v>
      </c>
      <c r="N21" t="s">
        <v>1374</v>
      </c>
      <c r="O21">
        <v>6.1</v>
      </c>
      <c r="P21" t="s">
        <v>1370</v>
      </c>
      <c r="Q21" s="1229">
        <v>41887.590949074074</v>
      </c>
      <c r="R21" s="760">
        <f t="shared" si="0"/>
        <v>294.11315021217257</v>
      </c>
    </row>
    <row r="22" spans="1:18">
      <c r="A22">
        <v>7619</v>
      </c>
      <c r="B22">
        <v>221</v>
      </c>
      <c r="C22" t="s">
        <v>401</v>
      </c>
      <c r="D22">
        <v>664</v>
      </c>
      <c r="E22">
        <v>50</v>
      </c>
      <c r="F22">
        <v>6</v>
      </c>
      <c r="G22">
        <v>6.39</v>
      </c>
      <c r="H22">
        <v>44</v>
      </c>
      <c r="I22">
        <v>116.96</v>
      </c>
      <c r="J22">
        <v>-13.26</v>
      </c>
      <c r="K22">
        <v>0</v>
      </c>
      <c r="L22">
        <v>355</v>
      </c>
      <c r="M22">
        <v>1</v>
      </c>
      <c r="N22" t="s">
        <v>1375</v>
      </c>
      <c r="O22">
        <v>3.1</v>
      </c>
      <c r="P22" t="s">
        <v>1369</v>
      </c>
      <c r="Q22" s="1229">
        <v>41887.59170138889</v>
      </c>
      <c r="R22" s="760">
        <f t="shared" si="0"/>
        <v>641.64477160689216</v>
      </c>
    </row>
    <row r="23" spans="1:18">
      <c r="A23">
        <v>7619</v>
      </c>
      <c r="B23">
        <v>222</v>
      </c>
      <c r="C23" t="s">
        <v>401</v>
      </c>
      <c r="D23">
        <v>625</v>
      </c>
      <c r="E23">
        <v>25</v>
      </c>
      <c r="F23">
        <v>4.5999999999999996</v>
      </c>
      <c r="G23">
        <v>7.39</v>
      </c>
      <c r="H23">
        <v>20</v>
      </c>
      <c r="I23">
        <v>72.03</v>
      </c>
      <c r="J23">
        <v>-40.630000000000003</v>
      </c>
      <c r="K23">
        <v>0</v>
      </c>
      <c r="L23">
        <v>55</v>
      </c>
      <c r="M23">
        <v>1</v>
      </c>
      <c r="N23" t="s">
        <v>1375</v>
      </c>
      <c r="O23">
        <v>3.1</v>
      </c>
      <c r="P23" t="s">
        <v>1370</v>
      </c>
      <c r="Q23" s="1229">
        <v>41887.591898148145</v>
      </c>
      <c r="R23" s="760">
        <f t="shared" si="0"/>
        <v>557.93647320924174</v>
      </c>
    </row>
    <row r="24" spans="1:18">
      <c r="A24">
        <v>7619</v>
      </c>
      <c r="B24">
        <v>222</v>
      </c>
      <c r="C24" t="s">
        <v>401</v>
      </c>
      <c r="D24">
        <v>356</v>
      </c>
      <c r="E24">
        <v>90</v>
      </c>
      <c r="F24">
        <v>6</v>
      </c>
      <c r="G24">
        <v>8.0299999999999994</v>
      </c>
      <c r="H24">
        <v>22.6</v>
      </c>
      <c r="I24">
        <v>53.23</v>
      </c>
      <c r="J24">
        <v>-11</v>
      </c>
      <c r="K24">
        <v>55</v>
      </c>
      <c r="L24">
        <v>355</v>
      </c>
      <c r="M24">
        <v>2</v>
      </c>
      <c r="N24" t="s">
        <v>1375</v>
      </c>
      <c r="O24">
        <v>3.1</v>
      </c>
      <c r="P24" t="s">
        <v>1370</v>
      </c>
      <c r="Q24" s="1229">
        <v>41887.592094907406</v>
      </c>
      <c r="R24" s="760">
        <f t="shared" si="0"/>
        <v>341.00386401991295</v>
      </c>
    </row>
    <row r="25" spans="1:18">
      <c r="A25">
        <v>7619</v>
      </c>
      <c r="B25">
        <v>223</v>
      </c>
      <c r="C25" t="s">
        <v>401</v>
      </c>
      <c r="D25">
        <v>216</v>
      </c>
      <c r="E25">
        <v>130</v>
      </c>
      <c r="F25">
        <v>4.5999999999999996</v>
      </c>
      <c r="G25">
        <v>15.39</v>
      </c>
      <c r="H25">
        <v>20</v>
      </c>
      <c r="I25">
        <v>16.760000000000002</v>
      </c>
      <c r="J25">
        <v>-7.44</v>
      </c>
      <c r="K25">
        <v>0</v>
      </c>
      <c r="L25">
        <v>355</v>
      </c>
      <c r="M25">
        <v>1</v>
      </c>
      <c r="N25" t="s">
        <v>1375</v>
      </c>
      <c r="O25">
        <v>3.1</v>
      </c>
      <c r="P25" t="s">
        <v>1376</v>
      </c>
      <c r="Q25" s="1229">
        <v>41887.592511574076</v>
      </c>
      <c r="R25" s="760">
        <f t="shared" si="0"/>
        <v>170.52740960465084</v>
      </c>
    </row>
    <row r="26" spans="1:18">
      <c r="A26">
        <v>7619</v>
      </c>
      <c r="B26">
        <v>224</v>
      </c>
      <c r="C26" t="s">
        <v>401</v>
      </c>
      <c r="D26">
        <v>522</v>
      </c>
      <c r="E26">
        <v>45</v>
      </c>
      <c r="F26">
        <v>6</v>
      </c>
      <c r="G26">
        <v>17.39</v>
      </c>
      <c r="H26">
        <v>28</v>
      </c>
      <c r="I26">
        <v>39.9</v>
      </c>
      <c r="J26">
        <v>-23.7</v>
      </c>
      <c r="K26">
        <v>0</v>
      </c>
      <c r="L26">
        <v>355</v>
      </c>
      <c r="M26">
        <v>1</v>
      </c>
      <c r="N26" t="s">
        <v>1375</v>
      </c>
      <c r="O26">
        <v>3.1</v>
      </c>
      <c r="P26" t="s">
        <v>1377</v>
      </c>
      <c r="Q26" s="1229">
        <v>41887.592766203707</v>
      </c>
      <c r="R26" s="760">
        <f t="shared" si="0"/>
        <v>475.54693596445856</v>
      </c>
    </row>
    <row r="27" spans="1:18">
      <c r="A27">
        <v>7619</v>
      </c>
      <c r="B27">
        <v>225</v>
      </c>
      <c r="C27" t="s">
        <v>401</v>
      </c>
      <c r="D27">
        <v>436</v>
      </c>
      <c r="E27">
        <v>200</v>
      </c>
      <c r="F27">
        <v>10</v>
      </c>
      <c r="G27">
        <v>27.68</v>
      </c>
      <c r="H27">
        <v>23.37</v>
      </c>
      <c r="I27">
        <v>42.52</v>
      </c>
      <c r="J27">
        <v>1.89</v>
      </c>
      <c r="K27">
        <v>0</v>
      </c>
      <c r="L27">
        <v>230</v>
      </c>
      <c r="M27">
        <v>1</v>
      </c>
      <c r="N27" t="s">
        <v>1375</v>
      </c>
      <c r="O27">
        <v>3.1</v>
      </c>
      <c r="P27" t="s">
        <v>1378</v>
      </c>
      <c r="Q27" s="1229">
        <v>41887.592893518522</v>
      </c>
      <c r="R27" s="760">
        <f t="shared" si="0"/>
        <v>435.48379301253379</v>
      </c>
    </row>
    <row r="28" spans="1:18">
      <c r="A28">
        <v>7619</v>
      </c>
      <c r="B28">
        <v>225</v>
      </c>
      <c r="C28" t="s">
        <v>401</v>
      </c>
      <c r="D28">
        <v>276</v>
      </c>
      <c r="E28">
        <v>270</v>
      </c>
      <c r="F28">
        <v>6</v>
      </c>
      <c r="G28">
        <v>111.43</v>
      </c>
      <c r="H28">
        <v>38.1</v>
      </c>
      <c r="I28">
        <v>55.96</v>
      </c>
      <c r="J28">
        <v>-15.57</v>
      </c>
      <c r="K28">
        <v>230</v>
      </c>
      <c r="L28">
        <v>0</v>
      </c>
      <c r="M28">
        <v>2</v>
      </c>
      <c r="N28" t="s">
        <v>1375</v>
      </c>
      <c r="O28">
        <v>3.1</v>
      </c>
      <c r="P28" t="s">
        <v>1378</v>
      </c>
      <c r="Q28" s="1229">
        <v>41887.593032407407</v>
      </c>
      <c r="R28" s="760">
        <f t="shared" si="0"/>
        <v>151.89505836108586</v>
      </c>
    </row>
    <row r="29" spans="1:18">
      <c r="A29">
        <v>7619</v>
      </c>
      <c r="B29">
        <v>226</v>
      </c>
      <c r="C29" t="s">
        <v>401</v>
      </c>
      <c r="D29">
        <v>169</v>
      </c>
      <c r="E29">
        <v>300</v>
      </c>
      <c r="F29">
        <v>6</v>
      </c>
      <c r="G29">
        <v>10.210000000000001</v>
      </c>
      <c r="H29">
        <v>20.53</v>
      </c>
      <c r="I29">
        <v>31.57</v>
      </c>
      <c r="J29">
        <v>-17.29</v>
      </c>
      <c r="K29">
        <v>0</v>
      </c>
      <c r="L29">
        <v>355</v>
      </c>
      <c r="M29">
        <v>1</v>
      </c>
      <c r="N29" t="s">
        <v>1375</v>
      </c>
      <c r="O29">
        <v>3.1</v>
      </c>
      <c r="P29" t="s">
        <v>1379</v>
      </c>
      <c r="Q29" s="1229">
        <v>41887.593124999999</v>
      </c>
      <c r="R29" s="760">
        <f t="shared" si="0"/>
        <v>160.00067684094932</v>
      </c>
    </row>
    <row r="30" spans="1:18">
      <c r="A30">
        <v>7619</v>
      </c>
      <c r="B30">
        <v>231</v>
      </c>
      <c r="C30" t="s">
        <v>401</v>
      </c>
      <c r="D30">
        <v>709</v>
      </c>
      <c r="E30">
        <v>30</v>
      </c>
      <c r="F30">
        <v>2.8</v>
      </c>
      <c r="G30">
        <v>0.68</v>
      </c>
      <c r="H30">
        <v>27.79</v>
      </c>
      <c r="I30">
        <v>96.94</v>
      </c>
      <c r="J30">
        <v>-36.36</v>
      </c>
      <c r="K30">
        <v>0</v>
      </c>
      <c r="L30">
        <v>355</v>
      </c>
      <c r="M30">
        <v>1</v>
      </c>
      <c r="N30" t="s">
        <v>1375</v>
      </c>
      <c r="O30">
        <v>3.1</v>
      </c>
      <c r="P30" t="s">
        <v>1370</v>
      </c>
      <c r="Q30" s="1229">
        <v>41887.593356481484</v>
      </c>
      <c r="R30" s="760">
        <f t="shared" si="0"/>
        <v>676.25843804289639</v>
      </c>
    </row>
    <row r="31" spans="1:18">
      <c r="A31">
        <v>7619</v>
      </c>
      <c r="B31">
        <v>232</v>
      </c>
      <c r="C31" t="s">
        <v>401</v>
      </c>
      <c r="D31">
        <v>1027</v>
      </c>
      <c r="E31">
        <v>85</v>
      </c>
      <c r="F31">
        <v>1</v>
      </c>
      <c r="G31">
        <v>1.39</v>
      </c>
      <c r="H31">
        <v>30</v>
      </c>
      <c r="I31">
        <v>220.05</v>
      </c>
      <c r="J31">
        <v>-130.72</v>
      </c>
      <c r="K31">
        <v>0</v>
      </c>
      <c r="L31">
        <v>355</v>
      </c>
      <c r="M31">
        <v>1</v>
      </c>
      <c r="N31" t="s">
        <v>1375</v>
      </c>
      <c r="O31">
        <v>3.1</v>
      </c>
      <c r="P31" t="s">
        <v>1376</v>
      </c>
      <c r="Q31" s="1229">
        <v>41887.593715277777</v>
      </c>
      <c r="R31" s="760">
        <f t="shared" si="0"/>
        <v>327.69047718060801</v>
      </c>
    </row>
    <row r="35" spans="1:29">
      <c r="B35" s="940" t="s">
        <v>1380</v>
      </c>
      <c r="M35" t="s">
        <v>1381</v>
      </c>
      <c r="T35" t="s">
        <v>1382</v>
      </c>
      <c r="U35" s="940">
        <v>20</v>
      </c>
    </row>
    <row r="36" spans="1:29">
      <c r="G36" t="s">
        <v>1383</v>
      </c>
      <c r="M36" t="s">
        <v>1384</v>
      </c>
      <c r="N36" t="s">
        <v>1385</v>
      </c>
      <c r="P36" t="s">
        <v>1386</v>
      </c>
      <c r="Q36" t="s">
        <v>1387</v>
      </c>
      <c r="T36" t="s">
        <v>401</v>
      </c>
      <c r="U36" s="940">
        <v>150</v>
      </c>
    </row>
    <row r="37" spans="1:29">
      <c r="B37" s="5" t="s">
        <v>1388</v>
      </c>
      <c r="C37" s="5" t="s">
        <v>1388</v>
      </c>
      <c r="D37" s="5" t="s">
        <v>1389</v>
      </c>
      <c r="H37" s="5" t="s">
        <v>1388</v>
      </c>
      <c r="I37" s="5" t="s">
        <v>1389</v>
      </c>
      <c r="M37" s="1083">
        <v>0</v>
      </c>
      <c r="N37" s="1083">
        <v>400</v>
      </c>
      <c r="O37" s="1083"/>
      <c r="P37" s="1083">
        <v>10.7</v>
      </c>
      <c r="Q37" s="1083">
        <v>0</v>
      </c>
      <c r="T37" t="s">
        <v>855</v>
      </c>
      <c r="U37" s="940">
        <v>14.965199999999999</v>
      </c>
      <c r="W37" t="s">
        <v>1390</v>
      </c>
      <c r="Z37" s="107" t="s">
        <v>1391</v>
      </c>
      <c r="AA37" s="1230">
        <v>0.92</v>
      </c>
      <c r="AB37" s="169">
        <f>1/AA37*100</f>
        <v>108.69565217391303</v>
      </c>
      <c r="AC37" t="s">
        <v>1392</v>
      </c>
    </row>
    <row r="38" spans="1:29">
      <c r="B38" s="5" t="s">
        <v>1393</v>
      </c>
      <c r="C38" s="5" t="s">
        <v>168</v>
      </c>
      <c r="D38" s="5" t="s">
        <v>1394</v>
      </c>
      <c r="H38" s="5" t="s">
        <v>168</v>
      </c>
      <c r="I38" s="5" t="s">
        <v>1394</v>
      </c>
      <c r="M38" s="1083">
        <v>30</v>
      </c>
      <c r="N38" s="1083">
        <v>400</v>
      </c>
      <c r="O38" s="1083"/>
      <c r="P38" s="1083">
        <v>10.7</v>
      </c>
      <c r="Q38" s="1083">
        <v>1000</v>
      </c>
      <c r="T38" t="s">
        <v>1395</v>
      </c>
      <c r="U38" s="940">
        <v>658</v>
      </c>
      <c r="W38" s="5" t="s">
        <v>1388</v>
      </c>
      <c r="X38" s="5" t="s">
        <v>1389</v>
      </c>
      <c r="Z38" s="5" t="s">
        <v>1388</v>
      </c>
      <c r="AA38" s="5" t="s">
        <v>1389</v>
      </c>
    </row>
    <row r="39" spans="1:29">
      <c r="B39" s="5" t="s">
        <v>407</v>
      </c>
      <c r="C39" s="5" t="s">
        <v>703</v>
      </c>
      <c r="D39" s="5" t="s">
        <v>1364</v>
      </c>
      <c r="H39" s="5" t="s">
        <v>703</v>
      </c>
      <c r="I39" s="5" t="s">
        <v>1364</v>
      </c>
      <c r="T39" t="s">
        <v>1396</v>
      </c>
      <c r="U39" s="1231">
        <v>175</v>
      </c>
      <c r="W39" s="5" t="s">
        <v>168</v>
      </c>
      <c r="X39" s="5" t="s">
        <v>1394</v>
      </c>
      <c r="Z39" s="5" t="s">
        <v>168</v>
      </c>
      <c r="AA39" s="5" t="s">
        <v>1394</v>
      </c>
    </row>
    <row r="40" spans="1:29">
      <c r="B40" s="5" t="s">
        <v>1397</v>
      </c>
      <c r="C40" s="5" t="s">
        <v>1397</v>
      </c>
      <c r="D40" s="5" t="s">
        <v>1398</v>
      </c>
      <c r="H40" s="5" t="s">
        <v>1397</v>
      </c>
      <c r="I40" s="5" t="s">
        <v>1398</v>
      </c>
      <c r="T40" t="s">
        <v>405</v>
      </c>
      <c r="U40" s="940">
        <v>175</v>
      </c>
      <c r="W40" s="5" t="s">
        <v>703</v>
      </c>
      <c r="X40" s="5" t="s">
        <v>1364</v>
      </c>
      <c r="Z40" s="5" t="s">
        <v>703</v>
      </c>
      <c r="AA40" s="5" t="s">
        <v>1364</v>
      </c>
    </row>
    <row r="41" spans="1:29">
      <c r="A41" s="942"/>
      <c r="B41" s="940">
        <v>120</v>
      </c>
      <c r="C41" s="940">
        <v>7.7</v>
      </c>
      <c r="D41" s="940">
        <v>138</v>
      </c>
      <c r="G41" s="940">
        <v>180</v>
      </c>
      <c r="H41" s="940">
        <v>10</v>
      </c>
      <c r="I41" s="940">
        <v>374</v>
      </c>
      <c r="W41" s="5" t="s">
        <v>1397</v>
      </c>
      <c r="X41" s="5" t="s">
        <v>1398</v>
      </c>
      <c r="Z41" s="5" t="s">
        <v>1397</v>
      </c>
      <c r="AA41" s="5" t="s">
        <v>1398</v>
      </c>
    </row>
    <row r="42" spans="1:29">
      <c r="A42" s="942"/>
      <c r="B42" s="940">
        <v>90</v>
      </c>
      <c r="C42" s="940">
        <v>7.7</v>
      </c>
      <c r="D42" s="940">
        <v>243</v>
      </c>
      <c r="G42" s="940">
        <v>180</v>
      </c>
      <c r="H42" s="940">
        <v>11.9</v>
      </c>
      <c r="I42" s="940">
        <v>429</v>
      </c>
      <c r="W42" s="940">
        <v>1</v>
      </c>
      <c r="X42" s="169">
        <f>U$38*EXP(-U$36*(1/W42-1/U$35)^2)*EXP(-(((U$40-U$39)/U$37)^2))</f>
        <v>1.0607435653950082E-56</v>
      </c>
      <c r="Z42" s="169">
        <f>W42*AB$37/100</f>
        <v>1.0869565217391304</v>
      </c>
      <c r="AA42" s="169">
        <f>X42*AA$37</f>
        <v>9.7588408016340758E-57</v>
      </c>
    </row>
    <row r="43" spans="1:29">
      <c r="A43" s="942"/>
      <c r="B43" s="940">
        <v>30</v>
      </c>
      <c r="C43" s="940">
        <v>7.7</v>
      </c>
      <c r="D43" s="940">
        <v>0</v>
      </c>
      <c r="G43" s="940">
        <v>180</v>
      </c>
      <c r="H43" s="940">
        <v>14.1</v>
      </c>
      <c r="I43" s="940">
        <v>459</v>
      </c>
      <c r="W43" s="940">
        <v>2</v>
      </c>
      <c r="X43" s="169">
        <f t="shared" ref="X43:X55" si="1">U$38*EXP(-U$36*(1/W43-1/U$35)^2)*EXP(-(((U$40-U$39)/U$37)^2))</f>
        <v>4.2318572134754008E-11</v>
      </c>
      <c r="Z43" s="169">
        <f t="shared" ref="Z43:Z55" si="2">W43*AB$37/100</f>
        <v>2.1739130434782608</v>
      </c>
      <c r="AA43" s="169">
        <f t="shared" ref="AA43:AA55" si="3">X43*AA$37</f>
        <v>3.8933086363973693E-11</v>
      </c>
    </row>
    <row r="44" spans="1:29">
      <c r="A44" s="942"/>
      <c r="B44" s="940">
        <v>60</v>
      </c>
      <c r="C44" s="940">
        <v>7.7</v>
      </c>
      <c r="D44" s="940">
        <v>222</v>
      </c>
      <c r="G44" s="940">
        <v>180</v>
      </c>
      <c r="H44" s="940">
        <v>16.8</v>
      </c>
      <c r="I44" s="940">
        <v>488</v>
      </c>
      <c r="W44" s="940">
        <v>3</v>
      </c>
      <c r="X44" s="169">
        <f t="shared" si="1"/>
        <v>3.8778991222013213E-3</v>
      </c>
      <c r="Z44" s="169">
        <f t="shared" si="2"/>
        <v>3.2608695652173911</v>
      </c>
      <c r="AA44" s="169">
        <f t="shared" si="3"/>
        <v>3.5676671924252156E-3</v>
      </c>
    </row>
    <row r="45" spans="1:29">
      <c r="A45" s="942"/>
      <c r="B45" s="940">
        <v>75</v>
      </c>
      <c r="C45" s="940">
        <v>7.7</v>
      </c>
      <c r="D45" s="940">
        <v>212</v>
      </c>
      <c r="G45" s="940">
        <v>175</v>
      </c>
      <c r="H45" s="940">
        <v>16.8</v>
      </c>
      <c r="I45" s="940">
        <v>623</v>
      </c>
      <c r="W45" s="940">
        <v>4</v>
      </c>
      <c r="X45" s="169">
        <f t="shared" si="1"/>
        <v>1.6310189322464625</v>
      </c>
      <c r="Z45" s="169">
        <f t="shared" si="2"/>
        <v>4.3478260869565215</v>
      </c>
      <c r="AA45" s="169">
        <f t="shared" si="3"/>
        <v>1.5005374176667456</v>
      </c>
    </row>
    <row r="46" spans="1:29">
      <c r="A46" s="942"/>
      <c r="B46" s="940">
        <v>105</v>
      </c>
      <c r="C46" s="940">
        <v>7.7</v>
      </c>
      <c r="D46" s="940">
        <v>172</v>
      </c>
      <c r="G46" s="940">
        <v>180</v>
      </c>
      <c r="H46" s="940">
        <v>20</v>
      </c>
      <c r="I46" s="940">
        <v>564</v>
      </c>
      <c r="W46" s="940">
        <v>5</v>
      </c>
      <c r="X46" s="169">
        <f t="shared" si="1"/>
        <v>22.515521849076229</v>
      </c>
      <c r="Z46" s="169">
        <f t="shared" si="2"/>
        <v>5.4347826086956514</v>
      </c>
      <c r="AA46" s="169">
        <f t="shared" si="3"/>
        <v>20.714280101150131</v>
      </c>
    </row>
    <row r="47" spans="1:29">
      <c r="A47" s="942"/>
      <c r="B47" s="940">
        <v>150</v>
      </c>
      <c r="C47" s="940">
        <v>7.7</v>
      </c>
      <c r="D47" s="940">
        <v>146</v>
      </c>
      <c r="G47" s="940">
        <v>175</v>
      </c>
      <c r="H47" s="940">
        <v>20</v>
      </c>
      <c r="I47" s="940">
        <v>658</v>
      </c>
      <c r="W47" s="940">
        <v>7</v>
      </c>
      <c r="X47" s="169">
        <f t="shared" si="1"/>
        <v>180.51927962333326</v>
      </c>
      <c r="Z47" s="169">
        <f t="shared" si="2"/>
        <v>7.6086956521739122</v>
      </c>
      <c r="AA47" s="169">
        <f t="shared" si="3"/>
        <v>166.07773725346661</v>
      </c>
    </row>
    <row r="48" spans="1:29">
      <c r="A48" s="942"/>
      <c r="B48" s="940">
        <v>180</v>
      </c>
      <c r="C48" s="940">
        <v>7.7</v>
      </c>
      <c r="D48" s="940">
        <v>241</v>
      </c>
      <c r="W48" s="940">
        <v>9</v>
      </c>
      <c r="X48" s="169">
        <f>U$38*EXP(-U$36*(1/W48-1/U$35)^2)*EXP(-(((U$40-U$39)/U$37)^2))</f>
        <v>375.78596757460923</v>
      </c>
      <c r="Z48" s="169">
        <f t="shared" si="2"/>
        <v>9.7826086956521721</v>
      </c>
      <c r="AA48" s="169">
        <f t="shared" si="3"/>
        <v>345.72309016864051</v>
      </c>
    </row>
    <row r="49" spans="1:27">
      <c r="A49" s="942"/>
      <c r="B49" s="940">
        <v>210</v>
      </c>
      <c r="C49" s="940">
        <v>7.7</v>
      </c>
      <c r="D49" s="940">
        <v>0</v>
      </c>
      <c r="W49" s="940">
        <v>11</v>
      </c>
      <c r="X49" s="169">
        <f t="shared" si="1"/>
        <v>511.92179717145399</v>
      </c>
      <c r="Z49" s="169">
        <f t="shared" si="2"/>
        <v>11.956521739130432</v>
      </c>
      <c r="AA49" s="169">
        <f t="shared" si="3"/>
        <v>470.96805339773766</v>
      </c>
    </row>
    <row r="50" spans="1:27">
      <c r="A50" s="942"/>
      <c r="B50" s="940">
        <v>195</v>
      </c>
      <c r="C50" s="940">
        <v>7.7</v>
      </c>
      <c r="D50" s="940">
        <v>62</v>
      </c>
      <c r="W50" s="940">
        <v>13</v>
      </c>
      <c r="X50" s="169">
        <f t="shared" si="1"/>
        <v>590.20924152168402</v>
      </c>
      <c r="Z50" s="169">
        <f t="shared" si="2"/>
        <v>14.130434782608695</v>
      </c>
      <c r="AA50" s="169">
        <f t="shared" si="3"/>
        <v>542.99250219994929</v>
      </c>
    </row>
    <row r="51" spans="1:27">
      <c r="A51" s="942"/>
      <c r="B51" s="940">
        <v>165</v>
      </c>
      <c r="C51" s="940">
        <v>7.7</v>
      </c>
      <c r="D51" s="940">
        <v>207</v>
      </c>
      <c r="G51" t="s">
        <v>1399</v>
      </c>
      <c r="W51" s="940">
        <v>15</v>
      </c>
      <c r="X51" s="169">
        <f t="shared" si="1"/>
        <v>631.14666277781294</v>
      </c>
      <c r="Z51" s="169">
        <f t="shared" si="2"/>
        <v>16.304347826086953</v>
      </c>
      <c r="AA51" s="169">
        <f t="shared" si="3"/>
        <v>580.65492975558789</v>
      </c>
    </row>
    <row r="52" spans="1:27">
      <c r="A52" s="942"/>
      <c r="B52" s="940">
        <v>180</v>
      </c>
      <c r="C52" s="940">
        <v>6</v>
      </c>
      <c r="D52" s="940">
        <v>147</v>
      </c>
      <c r="H52" s="940">
        <v>10.7</v>
      </c>
      <c r="I52" s="940">
        <v>496</v>
      </c>
      <c r="W52" s="940">
        <v>18</v>
      </c>
      <c r="X52" s="169">
        <f t="shared" si="1"/>
        <v>654.96074444596718</v>
      </c>
      <c r="Z52" s="169">
        <f t="shared" si="2"/>
        <v>19.565217391304344</v>
      </c>
      <c r="AA52" s="169">
        <f t="shared" si="3"/>
        <v>602.56388489028984</v>
      </c>
    </row>
    <row r="53" spans="1:27">
      <c r="A53" s="942"/>
      <c r="B53" s="940">
        <v>180</v>
      </c>
      <c r="C53" s="940">
        <v>10</v>
      </c>
      <c r="D53" s="940">
        <v>374</v>
      </c>
      <c r="W53" s="940">
        <v>21</v>
      </c>
      <c r="X53" s="169">
        <f t="shared" si="1"/>
        <v>657.44071401583676</v>
      </c>
      <c r="Z53" s="169">
        <f t="shared" si="2"/>
        <v>22.826086956521735</v>
      </c>
      <c r="AA53" s="169">
        <f t="shared" si="3"/>
        <v>604.84545689456979</v>
      </c>
    </row>
    <row r="54" spans="1:27">
      <c r="A54" s="942"/>
      <c r="B54" s="940">
        <v>180</v>
      </c>
      <c r="C54" s="940">
        <v>11.9</v>
      </c>
      <c r="D54" s="940">
        <v>429</v>
      </c>
      <c r="W54" s="940">
        <v>24</v>
      </c>
      <c r="X54" s="169">
        <f t="shared" si="1"/>
        <v>651.18140848606777</v>
      </c>
      <c r="Z54" s="169">
        <f t="shared" si="2"/>
        <v>26.086956521739129</v>
      </c>
      <c r="AA54" s="169">
        <f t="shared" si="3"/>
        <v>599.08689580718237</v>
      </c>
    </row>
    <row r="55" spans="1:27">
      <c r="A55" s="942"/>
      <c r="B55" s="940">
        <v>180</v>
      </c>
      <c r="C55" s="940">
        <v>14.1</v>
      </c>
      <c r="D55" s="940">
        <v>459</v>
      </c>
      <c r="W55" s="940">
        <v>29</v>
      </c>
      <c r="X55" s="169">
        <f t="shared" si="1"/>
        <v>634.65859860588125</v>
      </c>
      <c r="Z55" s="169">
        <f t="shared" si="2"/>
        <v>31.521739130434781</v>
      </c>
      <c r="AA55" s="169">
        <f t="shared" si="3"/>
        <v>583.88591071741075</v>
      </c>
    </row>
    <row r="56" spans="1:27">
      <c r="A56" s="942"/>
      <c r="B56" s="940">
        <v>180</v>
      </c>
      <c r="C56" s="940">
        <v>16.8</v>
      </c>
      <c r="D56" s="940">
        <v>488</v>
      </c>
    </row>
    <row r="57" spans="1:27">
      <c r="A57" s="942"/>
      <c r="B57" s="940">
        <v>180</v>
      </c>
      <c r="C57" s="940">
        <v>20</v>
      </c>
      <c r="D57" s="940">
        <v>564</v>
      </c>
    </row>
    <row r="58" spans="1:27">
      <c r="A58" s="942"/>
      <c r="B58" s="940">
        <v>175</v>
      </c>
      <c r="C58" s="940">
        <v>20</v>
      </c>
      <c r="D58" s="940">
        <v>658</v>
      </c>
    </row>
    <row r="59" spans="1:27">
      <c r="A59" s="942"/>
      <c r="B59" s="940">
        <v>170</v>
      </c>
      <c r="C59" s="940">
        <v>20</v>
      </c>
      <c r="D59" s="940">
        <v>613</v>
      </c>
    </row>
    <row r="60" spans="1:27">
      <c r="A60" s="942"/>
      <c r="B60" s="940">
        <v>175</v>
      </c>
      <c r="C60" s="940">
        <v>16.8</v>
      </c>
      <c r="D60" s="940">
        <v>623</v>
      </c>
    </row>
    <row r="61" spans="1:27">
      <c r="A61" s="942"/>
      <c r="B61" s="940">
        <v>90</v>
      </c>
      <c r="C61" s="940">
        <v>6</v>
      </c>
      <c r="D61" s="940">
        <v>124</v>
      </c>
    </row>
    <row r="62" spans="1:27">
      <c r="A62" s="942"/>
      <c r="B62" s="940">
        <v>90</v>
      </c>
      <c r="C62" s="940">
        <v>10</v>
      </c>
      <c r="D62" s="940">
        <v>332</v>
      </c>
    </row>
    <row r="63" spans="1:27">
      <c r="A63" s="942"/>
      <c r="B63" s="940">
        <v>90</v>
      </c>
      <c r="C63" s="940">
        <v>11.9</v>
      </c>
      <c r="D63" s="940">
        <v>376</v>
      </c>
    </row>
    <row r="64" spans="1:27">
      <c r="A64" s="942"/>
      <c r="B64" s="940">
        <v>90</v>
      </c>
      <c r="C64" s="940">
        <v>14.1</v>
      </c>
      <c r="D64" s="940">
        <v>405</v>
      </c>
    </row>
    <row r="65" spans="1:29">
      <c r="A65" s="942"/>
      <c r="B65" s="940">
        <v>90</v>
      </c>
      <c r="C65" s="940">
        <v>16.8</v>
      </c>
      <c r="D65" s="940">
        <v>398</v>
      </c>
    </row>
    <row r="66" spans="1:29">
      <c r="A66" s="942"/>
      <c r="B66" s="940">
        <v>90</v>
      </c>
      <c r="C66" s="940">
        <v>20</v>
      </c>
      <c r="D66" s="940">
        <v>433</v>
      </c>
    </row>
    <row r="67" spans="1:29">
      <c r="A67" s="942"/>
      <c r="B67" s="940">
        <v>85</v>
      </c>
      <c r="C67" s="940">
        <v>20</v>
      </c>
      <c r="D67" s="940">
        <v>479</v>
      </c>
    </row>
    <row r="68" spans="1:29">
      <c r="A68" s="942"/>
      <c r="B68" s="940">
        <v>80</v>
      </c>
      <c r="C68" s="940">
        <v>20</v>
      </c>
      <c r="D68" s="940">
        <v>547</v>
      </c>
    </row>
    <row r="69" spans="1:29">
      <c r="A69" s="942"/>
      <c r="B69" s="940">
        <v>75</v>
      </c>
      <c r="C69" s="940">
        <v>20</v>
      </c>
      <c r="D69" s="940">
        <v>538</v>
      </c>
    </row>
    <row r="70" spans="1:29">
      <c r="A70" s="942"/>
      <c r="B70" s="940">
        <v>80</v>
      </c>
      <c r="C70" s="940">
        <v>16.8</v>
      </c>
      <c r="D70" s="940">
        <v>467</v>
      </c>
    </row>
    <row r="71" spans="1:29">
      <c r="A71" s="942"/>
    </row>
    <row r="73" spans="1:29">
      <c r="B73" s="940" t="s">
        <v>1400</v>
      </c>
      <c r="T73" t="s">
        <v>1382</v>
      </c>
      <c r="U73" s="940">
        <v>20</v>
      </c>
    </row>
    <row r="74" spans="1:29">
      <c r="G74" t="s">
        <v>1383</v>
      </c>
      <c r="T74" t="s">
        <v>401</v>
      </c>
      <c r="U74" s="940">
        <v>130</v>
      </c>
    </row>
    <row r="75" spans="1:29">
      <c r="B75" s="5" t="s">
        <v>1388</v>
      </c>
      <c r="C75" s="5" t="s">
        <v>1388</v>
      </c>
      <c r="D75" s="5" t="s">
        <v>1389</v>
      </c>
      <c r="H75" s="5" t="s">
        <v>1388</v>
      </c>
      <c r="I75" s="5" t="s">
        <v>1389</v>
      </c>
      <c r="T75" t="s">
        <v>855</v>
      </c>
      <c r="U75" s="940">
        <v>36</v>
      </c>
      <c r="W75" t="s">
        <v>1390</v>
      </c>
      <c r="Z75" s="107" t="s">
        <v>1391</v>
      </c>
      <c r="AA75" s="1230">
        <v>1.08</v>
      </c>
      <c r="AB75" s="169">
        <f>1/AA75*100</f>
        <v>92.592592592592581</v>
      </c>
      <c r="AC75" t="s">
        <v>1392</v>
      </c>
    </row>
    <row r="76" spans="1:29">
      <c r="B76" s="5" t="s">
        <v>1393</v>
      </c>
      <c r="C76" s="5" t="s">
        <v>168</v>
      </c>
      <c r="D76" s="5" t="s">
        <v>1394</v>
      </c>
      <c r="H76" s="5" t="s">
        <v>168</v>
      </c>
      <c r="I76" s="5" t="s">
        <v>1394</v>
      </c>
      <c r="T76" t="s">
        <v>1395</v>
      </c>
      <c r="U76" s="940">
        <v>440</v>
      </c>
      <c r="W76" s="5" t="s">
        <v>1388</v>
      </c>
      <c r="X76" s="5" t="s">
        <v>1389</v>
      </c>
      <c r="Z76" s="5" t="s">
        <v>1388</v>
      </c>
      <c r="AA76" s="5" t="s">
        <v>1389</v>
      </c>
    </row>
    <row r="77" spans="1:29">
      <c r="B77" s="5" t="s">
        <v>407</v>
      </c>
      <c r="C77" s="5" t="s">
        <v>703</v>
      </c>
      <c r="D77" s="5" t="s">
        <v>1364</v>
      </c>
      <c r="H77" s="5" t="s">
        <v>703</v>
      </c>
      <c r="I77" s="5" t="s">
        <v>1364</v>
      </c>
      <c r="T77" t="s">
        <v>1396</v>
      </c>
      <c r="U77" s="1231">
        <v>65</v>
      </c>
      <c r="W77" s="5" t="s">
        <v>168</v>
      </c>
      <c r="X77" s="5" t="s">
        <v>1394</v>
      </c>
      <c r="Z77" s="5" t="s">
        <v>168</v>
      </c>
      <c r="AA77" s="5" t="s">
        <v>1394</v>
      </c>
    </row>
    <row r="78" spans="1:29">
      <c r="B78" s="5" t="s">
        <v>1397</v>
      </c>
      <c r="C78" s="5" t="s">
        <v>1397</v>
      </c>
      <c r="D78" s="5" t="s">
        <v>1398</v>
      </c>
      <c r="H78" s="5" t="s">
        <v>1397</v>
      </c>
      <c r="I78" s="5" t="s">
        <v>1398</v>
      </c>
      <c r="T78" t="s">
        <v>405</v>
      </c>
      <c r="U78" s="940">
        <v>65</v>
      </c>
      <c r="W78" s="5" t="s">
        <v>703</v>
      </c>
      <c r="X78" s="5" t="s">
        <v>1364</v>
      </c>
      <c r="Z78" s="5" t="s">
        <v>703</v>
      </c>
      <c r="AA78" s="5" t="s">
        <v>1364</v>
      </c>
    </row>
    <row r="79" spans="1:29">
      <c r="A79" s="942"/>
      <c r="B79" s="940">
        <v>60</v>
      </c>
      <c r="C79" s="940">
        <v>10</v>
      </c>
      <c r="D79" s="940">
        <v>177</v>
      </c>
      <c r="G79" s="940">
        <v>90</v>
      </c>
      <c r="H79" s="940">
        <v>10</v>
      </c>
      <c r="I79" s="940">
        <v>201</v>
      </c>
      <c r="W79" s="5" t="s">
        <v>1397</v>
      </c>
      <c r="X79" s="5" t="s">
        <v>1398</v>
      </c>
      <c r="Z79" s="5" t="s">
        <v>1397</v>
      </c>
      <c r="AA79" s="5" t="s">
        <v>1398</v>
      </c>
    </row>
    <row r="80" spans="1:29">
      <c r="A80" s="942"/>
      <c r="B80" s="940">
        <v>30</v>
      </c>
      <c r="C80" s="940">
        <v>10</v>
      </c>
      <c r="D80" s="940">
        <v>10</v>
      </c>
      <c r="G80" s="940">
        <v>60</v>
      </c>
      <c r="H80" s="940">
        <v>14.1</v>
      </c>
      <c r="I80" s="940">
        <v>297</v>
      </c>
      <c r="W80" s="940">
        <v>1</v>
      </c>
      <c r="X80" s="169">
        <f>U$76*EXP(-U$74*(1/W80-1/U$73)^2)*EXP(-(((U$78-U$77)/U$75)^2))</f>
        <v>4.8961260168796245E-49</v>
      </c>
      <c r="Z80" s="169">
        <f>W80*AB$75/100</f>
        <v>0.92592592592592582</v>
      </c>
      <c r="AA80" s="169">
        <f>X80*AA$75</f>
        <v>5.2878160982299951E-49</v>
      </c>
    </row>
    <row r="81" spans="1:27">
      <c r="A81" s="942"/>
      <c r="B81" s="940">
        <v>90</v>
      </c>
      <c r="C81" s="940">
        <v>10</v>
      </c>
      <c r="D81" s="940">
        <v>201</v>
      </c>
      <c r="G81" s="940">
        <v>65</v>
      </c>
      <c r="H81" s="940">
        <v>20</v>
      </c>
      <c r="I81" s="940">
        <v>440</v>
      </c>
      <c r="W81" s="940">
        <v>2</v>
      </c>
      <c r="X81" s="169">
        <f t="shared" ref="X81:X93" si="4">U$76*EXP(-U$74*(1/W81-1/U$73)^2)*EXP(-(((U$78-U$77)/U$75)^2))</f>
        <v>1.6242408929860654E-9</v>
      </c>
      <c r="Z81" s="169">
        <f t="shared" ref="Z81:Z93" si="5">W81*AB$75/100</f>
        <v>1.8518518518518516</v>
      </c>
      <c r="AA81" s="169">
        <f t="shared" ref="AA81:AA93" si="6">X81*AA$75</f>
        <v>1.7541801644249507E-9</v>
      </c>
    </row>
    <row r="82" spans="1:27">
      <c r="A82" s="942"/>
      <c r="B82" s="940">
        <v>75</v>
      </c>
      <c r="C82" s="940">
        <v>10</v>
      </c>
      <c r="D82" s="940">
        <v>186</v>
      </c>
      <c r="G82" s="940"/>
      <c r="H82" s="940"/>
      <c r="I82" s="940"/>
      <c r="W82" s="940">
        <v>3</v>
      </c>
      <c r="X82" s="169">
        <f t="shared" si="4"/>
        <v>1.2915380587869469E-2</v>
      </c>
      <c r="Z82" s="169">
        <f t="shared" si="5"/>
        <v>2.7777777777777772</v>
      </c>
      <c r="AA82" s="169">
        <f t="shared" si="6"/>
        <v>1.3948611034899028E-2</v>
      </c>
    </row>
    <row r="83" spans="1:27">
      <c r="A83" s="942"/>
      <c r="B83" s="940">
        <v>45</v>
      </c>
      <c r="C83" s="940">
        <v>10</v>
      </c>
      <c r="D83" s="940">
        <v>54</v>
      </c>
      <c r="W83" s="940">
        <v>4</v>
      </c>
      <c r="X83" s="169">
        <f t="shared" si="4"/>
        <v>2.4272883451347371</v>
      </c>
      <c r="Z83" s="169">
        <f t="shared" si="5"/>
        <v>3.7037037037037033</v>
      </c>
      <c r="AA83" s="169">
        <f t="shared" si="6"/>
        <v>2.6214714127455161</v>
      </c>
    </row>
    <row r="84" spans="1:27">
      <c r="A84" s="942"/>
      <c r="B84" s="940">
        <v>60</v>
      </c>
      <c r="C84" s="940">
        <v>14.1</v>
      </c>
      <c r="D84" s="940">
        <v>297</v>
      </c>
      <c r="W84" s="940">
        <v>5</v>
      </c>
      <c r="X84" s="169">
        <f t="shared" si="4"/>
        <v>23.612464441601237</v>
      </c>
      <c r="Z84" s="169">
        <f t="shared" si="5"/>
        <v>4.6296296296296298</v>
      </c>
      <c r="AA84" s="169">
        <f t="shared" si="6"/>
        <v>25.501461596929339</v>
      </c>
    </row>
    <row r="85" spans="1:27">
      <c r="A85" s="942"/>
      <c r="B85" s="940">
        <v>60</v>
      </c>
      <c r="C85" s="940">
        <v>20</v>
      </c>
      <c r="D85" s="940">
        <v>372</v>
      </c>
      <c r="W85" s="940">
        <v>7</v>
      </c>
      <c r="X85" s="169">
        <f t="shared" si="4"/>
        <v>143.43132648395755</v>
      </c>
      <c r="Z85" s="169">
        <f t="shared" si="5"/>
        <v>6.4814814814814801</v>
      </c>
      <c r="AA85" s="169">
        <f t="shared" si="6"/>
        <v>154.90583260267417</v>
      </c>
    </row>
    <row r="86" spans="1:27">
      <c r="A86" s="942"/>
      <c r="B86" s="940">
        <v>65</v>
      </c>
      <c r="C86" s="940">
        <v>20</v>
      </c>
      <c r="D86" s="940">
        <v>440</v>
      </c>
      <c r="W86" s="940">
        <v>9</v>
      </c>
      <c r="X86" s="169">
        <f t="shared" si="4"/>
        <v>270.77301848392693</v>
      </c>
      <c r="Z86" s="169">
        <f t="shared" si="5"/>
        <v>8.3333333333333321</v>
      </c>
      <c r="AA86" s="169">
        <f t="shared" si="6"/>
        <v>292.4348599626411</v>
      </c>
    </row>
    <row r="87" spans="1:27">
      <c r="A87" s="942"/>
      <c r="B87" s="940">
        <v>70</v>
      </c>
      <c r="C87" s="940">
        <v>20</v>
      </c>
      <c r="D87" s="940">
        <v>436</v>
      </c>
      <c r="W87" s="940">
        <v>11</v>
      </c>
      <c r="X87" s="169">
        <f t="shared" si="4"/>
        <v>353.97020518276798</v>
      </c>
      <c r="Z87" s="169">
        <f t="shared" si="5"/>
        <v>10.185185185185183</v>
      </c>
      <c r="AA87" s="169">
        <f t="shared" si="6"/>
        <v>382.28782159738944</v>
      </c>
    </row>
    <row r="88" spans="1:27">
      <c r="A88" s="942"/>
      <c r="B88" s="940">
        <v>75</v>
      </c>
      <c r="C88" s="940">
        <v>20</v>
      </c>
      <c r="D88" s="940">
        <v>438</v>
      </c>
      <c r="W88" s="940">
        <v>13</v>
      </c>
      <c r="X88" s="169">
        <f t="shared" si="4"/>
        <v>400.43199733872552</v>
      </c>
      <c r="Z88" s="169">
        <f t="shared" si="5"/>
        <v>12.037037037037035</v>
      </c>
      <c r="AA88" s="169">
        <f t="shared" si="6"/>
        <v>432.46655712582361</v>
      </c>
    </row>
    <row r="89" spans="1:27">
      <c r="A89" s="942"/>
      <c r="B89" s="940">
        <v>90</v>
      </c>
      <c r="C89" s="940">
        <v>20</v>
      </c>
      <c r="D89" s="940">
        <v>375</v>
      </c>
      <c r="G89" t="s">
        <v>1399</v>
      </c>
      <c r="W89" s="940">
        <v>15</v>
      </c>
      <c r="X89" s="169">
        <f t="shared" si="4"/>
        <v>424.39457156036195</v>
      </c>
      <c r="Z89" s="169">
        <f t="shared" si="5"/>
        <v>13.888888888888888</v>
      </c>
      <c r="AA89" s="169">
        <f t="shared" si="6"/>
        <v>458.34613728519093</v>
      </c>
    </row>
    <row r="90" spans="1:27">
      <c r="A90" s="942"/>
      <c r="B90" s="940">
        <v>120</v>
      </c>
      <c r="C90" s="940">
        <v>20</v>
      </c>
      <c r="D90" s="940">
        <v>174</v>
      </c>
      <c r="H90" s="940">
        <v>10.7</v>
      </c>
      <c r="I90" s="1230">
        <f>'fit and interpolation'!R10</f>
        <v>344.21196714977282</v>
      </c>
      <c r="W90" s="940">
        <v>18</v>
      </c>
      <c r="X90" s="169">
        <f t="shared" si="4"/>
        <v>438.23810493098449</v>
      </c>
      <c r="Z90" s="169">
        <f t="shared" si="5"/>
        <v>16.666666666666664</v>
      </c>
      <c r="AA90" s="169">
        <f t="shared" si="6"/>
        <v>473.29715332546328</v>
      </c>
    </row>
    <row r="91" spans="1:27">
      <c r="A91" s="942"/>
      <c r="B91" s="940">
        <v>30</v>
      </c>
      <c r="C91" s="940">
        <v>20</v>
      </c>
      <c r="D91" s="940">
        <v>39</v>
      </c>
      <c r="W91" s="940">
        <v>21</v>
      </c>
      <c r="X91" s="169">
        <f t="shared" si="4"/>
        <v>439.67585641678448</v>
      </c>
      <c r="Z91" s="169">
        <f t="shared" si="5"/>
        <v>19.444444444444443</v>
      </c>
      <c r="AA91" s="169">
        <f t="shared" si="6"/>
        <v>474.84992493012726</v>
      </c>
    </row>
    <row r="92" spans="1:27">
      <c r="A92" s="942"/>
      <c r="B92" s="940">
        <v>150</v>
      </c>
      <c r="C92" s="940">
        <v>20</v>
      </c>
      <c r="D92" s="940">
        <v>179</v>
      </c>
      <c r="W92" s="940">
        <v>24</v>
      </c>
      <c r="X92" s="169">
        <f t="shared" si="4"/>
        <v>436.04565411255885</v>
      </c>
      <c r="Z92" s="169">
        <f t="shared" si="5"/>
        <v>22.222222222222218</v>
      </c>
      <c r="AA92" s="169">
        <f t="shared" si="6"/>
        <v>470.9293064415636</v>
      </c>
    </row>
    <row r="93" spans="1:27">
      <c r="A93" s="942"/>
      <c r="B93" s="940">
        <v>180</v>
      </c>
      <c r="C93" s="940">
        <v>20</v>
      </c>
      <c r="D93" s="940">
        <v>394</v>
      </c>
      <c r="E93" s="940"/>
      <c r="W93" s="940">
        <v>29</v>
      </c>
      <c r="X93" s="169">
        <f t="shared" si="4"/>
        <v>426.44043856261015</v>
      </c>
      <c r="Z93" s="169">
        <f t="shared" si="5"/>
        <v>26.851851851851848</v>
      </c>
      <c r="AA93" s="169">
        <f t="shared" si="6"/>
        <v>460.55567364761902</v>
      </c>
    </row>
    <row r="94" spans="1:27">
      <c r="A94" s="942"/>
      <c r="B94" s="940">
        <v>210</v>
      </c>
      <c r="C94" s="940">
        <v>20</v>
      </c>
      <c r="D94" s="940">
        <v>4</v>
      </c>
      <c r="E94" s="940"/>
    </row>
    <row r="95" spans="1:27">
      <c r="A95" s="942"/>
      <c r="B95" s="940">
        <v>165</v>
      </c>
      <c r="C95" s="940">
        <v>20</v>
      </c>
      <c r="D95" s="940">
        <v>332</v>
      </c>
      <c r="E95" s="940"/>
    </row>
    <row r="96" spans="1:27">
      <c r="A96" s="942"/>
      <c r="B96" s="940">
        <v>195</v>
      </c>
      <c r="C96" s="940">
        <v>20</v>
      </c>
      <c r="D96" s="940">
        <v>175</v>
      </c>
      <c r="E96" s="940"/>
    </row>
    <row r="97" spans="1:29">
      <c r="A97" s="942"/>
      <c r="B97" s="940">
        <v>180</v>
      </c>
      <c r="C97" s="940">
        <v>14.1</v>
      </c>
      <c r="D97" s="940">
        <v>352</v>
      </c>
      <c r="E97" s="940"/>
    </row>
    <row r="98" spans="1:29">
      <c r="A98" s="942"/>
      <c r="B98" s="940">
        <v>180</v>
      </c>
      <c r="C98" s="940">
        <v>10</v>
      </c>
      <c r="D98" s="940">
        <v>166</v>
      </c>
      <c r="E98" s="940"/>
    </row>
    <row r="99" spans="1:29">
      <c r="A99" s="942"/>
      <c r="B99" s="940">
        <v>175</v>
      </c>
      <c r="C99" s="940">
        <v>20</v>
      </c>
      <c r="D99" s="940">
        <v>432</v>
      </c>
      <c r="E99" s="940"/>
    </row>
    <row r="100" spans="1:29">
      <c r="A100" s="942"/>
      <c r="B100" s="940">
        <v>170</v>
      </c>
      <c r="C100" s="940">
        <v>20</v>
      </c>
      <c r="D100" s="940">
        <v>357</v>
      </c>
      <c r="E100" s="940"/>
    </row>
    <row r="101" spans="1:29">
      <c r="A101" s="942"/>
      <c r="B101" s="940">
        <v>135</v>
      </c>
      <c r="C101" s="940">
        <v>20</v>
      </c>
      <c r="D101" s="940">
        <v>199</v>
      </c>
      <c r="E101" s="940"/>
    </row>
    <row r="102" spans="1:29">
      <c r="A102" s="942"/>
      <c r="B102" s="940">
        <v>135</v>
      </c>
      <c r="C102" s="940">
        <v>14.1</v>
      </c>
      <c r="D102" s="940">
        <v>197</v>
      </c>
      <c r="E102" s="940"/>
    </row>
    <row r="103" spans="1:29">
      <c r="A103" s="942"/>
      <c r="B103" s="940">
        <v>135</v>
      </c>
      <c r="C103" s="940">
        <v>10</v>
      </c>
      <c r="D103" s="940">
        <v>155</v>
      </c>
      <c r="E103" s="940"/>
    </row>
    <row r="104" spans="1:29">
      <c r="A104" s="942"/>
      <c r="B104" s="940">
        <v>135</v>
      </c>
      <c r="C104" s="940">
        <v>6</v>
      </c>
      <c r="D104" s="940">
        <v>80</v>
      </c>
      <c r="E104" s="940"/>
    </row>
    <row r="105" spans="1:29">
      <c r="A105" s="942"/>
      <c r="B105" s="940">
        <v>140</v>
      </c>
      <c r="C105" s="940">
        <v>20</v>
      </c>
      <c r="D105" s="940">
        <v>190</v>
      </c>
      <c r="E105" s="940"/>
    </row>
    <row r="106" spans="1:29">
      <c r="A106" s="942"/>
      <c r="B106" s="940">
        <v>130</v>
      </c>
      <c r="C106" s="940">
        <v>20</v>
      </c>
      <c r="D106" s="940">
        <v>212</v>
      </c>
      <c r="E106" s="940"/>
    </row>
    <row r="107" spans="1:29">
      <c r="A107" s="942"/>
      <c r="B107" s="940">
        <v>125</v>
      </c>
      <c r="C107" s="940">
        <v>20</v>
      </c>
      <c r="D107" s="940">
        <v>189</v>
      </c>
      <c r="E107" s="940"/>
    </row>
    <row r="108" spans="1:29">
      <c r="B108" s="940">
        <v>105</v>
      </c>
      <c r="C108" s="940">
        <v>20</v>
      </c>
      <c r="D108" s="940">
        <v>155</v>
      </c>
      <c r="E108" s="940"/>
    </row>
    <row r="110" spans="1:29">
      <c r="B110" s="940" t="s">
        <v>1401</v>
      </c>
      <c r="T110" t="s">
        <v>1382</v>
      </c>
      <c r="U110" s="940">
        <v>20</v>
      </c>
    </row>
    <row r="111" spans="1:29">
      <c r="G111" t="s">
        <v>1383</v>
      </c>
      <c r="T111" t="s">
        <v>401</v>
      </c>
      <c r="U111" s="940">
        <v>500</v>
      </c>
    </row>
    <row r="112" spans="1:29">
      <c r="B112" s="5" t="s">
        <v>1388</v>
      </c>
      <c r="C112" s="5" t="s">
        <v>1388</v>
      </c>
      <c r="D112" s="5" t="s">
        <v>1389</v>
      </c>
      <c r="H112" s="5" t="s">
        <v>1388</v>
      </c>
      <c r="I112" s="5" t="s">
        <v>1389</v>
      </c>
      <c r="T112" t="s">
        <v>855</v>
      </c>
      <c r="U112" s="940">
        <v>51</v>
      </c>
      <c r="W112" t="s">
        <v>1390</v>
      </c>
      <c r="Z112" s="107" t="s">
        <v>1391</v>
      </c>
      <c r="AA112" s="1230">
        <v>2.0499999999999998</v>
      </c>
      <c r="AB112" s="169">
        <f>1/AA112*100</f>
        <v>48.780487804878057</v>
      </c>
      <c r="AC112" t="s">
        <v>1392</v>
      </c>
    </row>
    <row r="113" spans="1:27">
      <c r="B113" s="5" t="s">
        <v>1393</v>
      </c>
      <c r="C113" s="5" t="s">
        <v>168</v>
      </c>
      <c r="D113" s="5" t="s">
        <v>1394</v>
      </c>
      <c r="H113" s="5" t="s">
        <v>168</v>
      </c>
      <c r="I113" s="5" t="s">
        <v>1394</v>
      </c>
      <c r="T113" t="s">
        <v>1395</v>
      </c>
      <c r="U113" s="940">
        <v>193</v>
      </c>
      <c r="W113" s="5" t="s">
        <v>1388</v>
      </c>
      <c r="X113" s="5" t="s">
        <v>1389</v>
      </c>
      <c r="Z113" s="5" t="s">
        <v>1388</v>
      </c>
      <c r="AA113" s="5" t="s">
        <v>1389</v>
      </c>
    </row>
    <row r="114" spans="1:27">
      <c r="B114" s="5" t="s">
        <v>407</v>
      </c>
      <c r="C114" s="5" t="s">
        <v>703</v>
      </c>
      <c r="D114" s="5" t="s">
        <v>1364</v>
      </c>
      <c r="H114" s="5" t="s">
        <v>703</v>
      </c>
      <c r="I114" s="5" t="s">
        <v>1364</v>
      </c>
      <c r="T114" t="s">
        <v>1396</v>
      </c>
      <c r="U114" s="1231">
        <v>70</v>
      </c>
      <c r="W114" s="5" t="s">
        <v>168</v>
      </c>
      <c r="X114" s="5" t="s">
        <v>1394</v>
      </c>
      <c r="Z114" s="5" t="s">
        <v>168</v>
      </c>
      <c r="AA114" s="5" t="s">
        <v>1394</v>
      </c>
    </row>
    <row r="115" spans="1:27">
      <c r="B115" s="5" t="s">
        <v>1397</v>
      </c>
      <c r="C115" s="5" t="s">
        <v>1397</v>
      </c>
      <c r="D115" s="5" t="s">
        <v>1398</v>
      </c>
      <c r="H115" s="5" t="s">
        <v>1397</v>
      </c>
      <c r="I115" s="5" t="s">
        <v>1398</v>
      </c>
      <c r="T115" t="s">
        <v>405</v>
      </c>
      <c r="U115" s="940">
        <v>70</v>
      </c>
      <c r="W115" s="5" t="s">
        <v>703</v>
      </c>
      <c r="X115" s="5" t="s">
        <v>1364</v>
      </c>
      <c r="Z115" s="5" t="s">
        <v>703</v>
      </c>
      <c r="AA115" s="5" t="s">
        <v>1364</v>
      </c>
    </row>
    <row r="116" spans="1:27">
      <c r="A116" s="942"/>
      <c r="B116" s="940">
        <v>60</v>
      </c>
      <c r="C116" s="940">
        <v>20</v>
      </c>
      <c r="D116" s="940">
        <v>179</v>
      </c>
      <c r="G116" s="940">
        <v>60</v>
      </c>
      <c r="H116" s="940">
        <v>14.1</v>
      </c>
      <c r="I116" s="940">
        <v>102</v>
      </c>
      <c r="W116" s="5" t="s">
        <v>1397</v>
      </c>
      <c r="X116" s="5" t="s">
        <v>1398</v>
      </c>
      <c r="Z116" s="5" t="s">
        <v>1397</v>
      </c>
      <c r="AA116" s="5" t="s">
        <v>1398</v>
      </c>
    </row>
    <row r="117" spans="1:27">
      <c r="A117" s="942"/>
      <c r="B117" s="940">
        <v>30</v>
      </c>
      <c r="C117" s="940">
        <v>20</v>
      </c>
      <c r="D117" s="940">
        <v>2</v>
      </c>
      <c r="G117" s="940">
        <v>60</v>
      </c>
      <c r="H117" s="940">
        <v>16.8</v>
      </c>
      <c r="I117" s="940">
        <v>124</v>
      </c>
      <c r="W117" s="940">
        <v>1</v>
      </c>
      <c r="X117" s="169">
        <f>U$113*EXP(-U$111*(1/W117-1/U$110)^2)*EXP(-(((U$115-U$114)/U$112)^2))</f>
        <v>2.0425483710531174E-194</v>
      </c>
      <c r="Z117" s="169">
        <f>W117*AB$112/100</f>
        <v>0.48780487804878059</v>
      </c>
      <c r="AA117" s="169">
        <f>X117*AA$112</f>
        <v>4.1872241606588901E-194</v>
      </c>
    </row>
    <row r="118" spans="1:27">
      <c r="A118" s="942"/>
      <c r="B118" s="940">
        <v>90</v>
      </c>
      <c r="C118" s="940">
        <v>20</v>
      </c>
      <c r="D118" s="940">
        <v>172</v>
      </c>
      <c r="G118" s="940">
        <v>65</v>
      </c>
      <c r="H118" s="940">
        <v>20</v>
      </c>
      <c r="I118" s="940">
        <v>193</v>
      </c>
      <c r="W118" s="940">
        <v>2</v>
      </c>
      <c r="X118" s="169">
        <f t="shared" ref="X118:X130" si="7">U$113*EXP(-U$111*(1/W118-1/U$110)^2)*EXP(-(((U$115-U$114)/U$112)^2))</f>
        <v>2.0570318508016435E-42</v>
      </c>
      <c r="Z118" s="169">
        <f t="shared" ref="Z118:Z130" si="8">W118*AB$112/100</f>
        <v>0.97560975609756118</v>
      </c>
      <c r="AA118" s="169">
        <f t="shared" ref="AA118:AA130" si="9">X118*AA$112</f>
        <v>4.2169152941433689E-42</v>
      </c>
    </row>
    <row r="119" spans="1:27">
      <c r="A119" s="942"/>
      <c r="B119" s="940">
        <v>120</v>
      </c>
      <c r="C119" s="940">
        <v>20</v>
      </c>
      <c r="D119" s="940">
        <v>108</v>
      </c>
      <c r="G119" s="940"/>
      <c r="H119" s="940"/>
      <c r="I119" s="940"/>
      <c r="W119" s="940">
        <v>3</v>
      </c>
      <c r="X119" s="169">
        <f t="shared" si="7"/>
        <v>7.1360741622859795E-16</v>
      </c>
      <c r="Z119" s="169">
        <f t="shared" si="8"/>
        <v>1.4634146341463419</v>
      </c>
      <c r="AA119" s="169">
        <f t="shared" si="9"/>
        <v>1.4628952032686257E-15</v>
      </c>
    </row>
    <row r="120" spans="1:27">
      <c r="A120" s="942"/>
      <c r="B120" s="940">
        <v>150</v>
      </c>
      <c r="C120" s="940">
        <v>20</v>
      </c>
      <c r="D120" s="940">
        <v>59</v>
      </c>
      <c r="W120" s="940">
        <v>4</v>
      </c>
      <c r="X120" s="169">
        <f t="shared" si="7"/>
        <v>3.9780264913064022E-7</v>
      </c>
      <c r="Z120" s="169">
        <f t="shared" si="8"/>
        <v>1.9512195121951224</v>
      </c>
      <c r="AA120" s="169">
        <f t="shared" si="9"/>
        <v>8.1549543071781236E-7</v>
      </c>
    </row>
    <row r="121" spans="1:27">
      <c r="A121" s="942"/>
      <c r="B121" s="940">
        <v>180</v>
      </c>
      <c r="C121" s="940">
        <v>20</v>
      </c>
      <c r="D121" s="940">
        <v>51</v>
      </c>
      <c r="W121" s="940">
        <v>5</v>
      </c>
      <c r="X121" s="169">
        <f t="shared" si="7"/>
        <v>2.510408447235042E-3</v>
      </c>
      <c r="Z121" s="169">
        <f t="shared" si="8"/>
        <v>2.4390243902439028</v>
      </c>
      <c r="AA121" s="169">
        <f t="shared" si="9"/>
        <v>5.1463373168318359E-3</v>
      </c>
    </row>
    <row r="122" spans="1:27">
      <c r="A122" s="942"/>
      <c r="B122" s="940">
        <v>210</v>
      </c>
      <c r="C122" s="940">
        <v>20</v>
      </c>
      <c r="D122" s="940">
        <v>0</v>
      </c>
      <c r="W122" s="940">
        <v>7</v>
      </c>
      <c r="X122" s="169">
        <f t="shared" si="7"/>
        <v>2.5895023104232604</v>
      </c>
      <c r="Z122" s="169">
        <f t="shared" si="8"/>
        <v>3.4146341463414638</v>
      </c>
      <c r="AA122" s="169">
        <f t="shared" si="9"/>
        <v>5.3084797363676834</v>
      </c>
    </row>
    <row r="123" spans="1:27">
      <c r="A123" s="942"/>
      <c r="B123" s="940">
        <v>75</v>
      </c>
      <c r="C123" s="940">
        <v>20</v>
      </c>
      <c r="D123" s="940">
        <v>178</v>
      </c>
      <c r="W123" s="940">
        <v>9</v>
      </c>
      <c r="X123" s="169">
        <f t="shared" si="7"/>
        <v>29.826767789193724</v>
      </c>
      <c r="Z123" s="169">
        <f t="shared" si="8"/>
        <v>4.3902439024390256</v>
      </c>
      <c r="AA123" s="169">
        <f t="shared" si="9"/>
        <v>61.144873967847126</v>
      </c>
    </row>
    <row r="124" spans="1:27">
      <c r="A124" s="942"/>
      <c r="B124" s="940">
        <v>45</v>
      </c>
      <c r="C124" s="940">
        <v>20</v>
      </c>
      <c r="D124" s="940">
        <v>53</v>
      </c>
      <c r="W124" s="940">
        <v>11</v>
      </c>
      <c r="X124" s="169">
        <f t="shared" si="7"/>
        <v>83.589116766787328</v>
      </c>
      <c r="Z124" s="169">
        <f t="shared" si="8"/>
        <v>5.3658536585365857</v>
      </c>
      <c r="AA124" s="169">
        <f t="shared" si="9"/>
        <v>171.35768937191401</v>
      </c>
    </row>
    <row r="125" spans="1:27">
      <c r="A125" s="942"/>
      <c r="B125" s="940">
        <v>60</v>
      </c>
      <c r="C125" s="940">
        <v>16.8</v>
      </c>
      <c r="D125" s="940">
        <v>124</v>
      </c>
      <c r="W125" s="940">
        <v>13</v>
      </c>
      <c r="X125" s="169">
        <f t="shared" si="7"/>
        <v>134.32525747266615</v>
      </c>
      <c r="Z125" s="169">
        <f t="shared" si="8"/>
        <v>6.3414634146341475</v>
      </c>
      <c r="AA125" s="169">
        <f t="shared" si="9"/>
        <v>275.3667778189656</v>
      </c>
    </row>
    <row r="126" spans="1:27">
      <c r="A126" s="942"/>
      <c r="B126" s="940">
        <v>60</v>
      </c>
      <c r="C126" s="940">
        <v>14.1</v>
      </c>
      <c r="D126" s="940">
        <v>102</v>
      </c>
      <c r="G126" t="s">
        <v>1399</v>
      </c>
      <c r="W126" s="940">
        <v>15</v>
      </c>
      <c r="X126" s="169">
        <f t="shared" si="7"/>
        <v>167.97267208584438</v>
      </c>
      <c r="Z126" s="169">
        <f t="shared" si="8"/>
        <v>7.3170731707317085</v>
      </c>
      <c r="AA126" s="169">
        <f t="shared" si="9"/>
        <v>344.34397777598093</v>
      </c>
    </row>
    <row r="127" spans="1:27">
      <c r="A127" s="942"/>
      <c r="B127" s="940">
        <v>65</v>
      </c>
      <c r="C127" s="940">
        <v>20</v>
      </c>
      <c r="D127" s="940">
        <v>193</v>
      </c>
      <c r="H127" s="940">
        <v>10.7</v>
      </c>
      <c r="I127" s="1230">
        <f>'fit and interpolation'!R12</f>
        <v>75.06795303533319</v>
      </c>
      <c r="W127" s="940">
        <v>18</v>
      </c>
      <c r="X127" s="169">
        <f t="shared" si="7"/>
        <v>190.04446861902903</v>
      </c>
      <c r="Z127" s="169">
        <f t="shared" si="8"/>
        <v>8.7804878048780513</v>
      </c>
      <c r="AA127" s="169">
        <f t="shared" si="9"/>
        <v>389.59116066900947</v>
      </c>
    </row>
    <row r="128" spans="1:27">
      <c r="A128" s="942"/>
      <c r="B128" s="940">
        <v>170</v>
      </c>
      <c r="C128" s="940">
        <v>20</v>
      </c>
      <c r="D128" s="940">
        <v>51</v>
      </c>
      <c r="W128" s="940">
        <v>21</v>
      </c>
      <c r="X128" s="169">
        <f t="shared" si="7"/>
        <v>192.45372241447438</v>
      </c>
      <c r="Z128" s="169">
        <f t="shared" si="8"/>
        <v>10.24390243902439</v>
      </c>
      <c r="AA128" s="169">
        <f t="shared" si="9"/>
        <v>394.53013094967247</v>
      </c>
    </row>
    <row r="129" spans="1:29">
      <c r="A129" s="942"/>
      <c r="B129" s="940">
        <v>160</v>
      </c>
      <c r="C129" s="940">
        <v>20</v>
      </c>
      <c r="D129" s="940">
        <v>50</v>
      </c>
      <c r="W129" s="940">
        <v>24</v>
      </c>
      <c r="X129" s="169">
        <f t="shared" si="7"/>
        <v>186.4136197075226</v>
      </c>
      <c r="Z129" s="169">
        <f t="shared" si="8"/>
        <v>11.707317073170735</v>
      </c>
      <c r="AA129" s="169">
        <f t="shared" si="9"/>
        <v>382.1479204004213</v>
      </c>
    </row>
    <row r="130" spans="1:29">
      <c r="A130" s="942"/>
      <c r="W130" s="940">
        <v>29</v>
      </c>
      <c r="X130" s="169">
        <f t="shared" si="7"/>
        <v>171.10848984954126</v>
      </c>
      <c r="Z130" s="169">
        <f t="shared" si="8"/>
        <v>14.146341463414638</v>
      </c>
      <c r="AA130" s="169">
        <f t="shared" si="9"/>
        <v>350.77240419155953</v>
      </c>
    </row>
    <row r="131" spans="1:29">
      <c r="A131" s="942"/>
    </row>
    <row r="132" spans="1:29">
      <c r="A132" s="942"/>
    </row>
    <row r="133" spans="1:29">
      <c r="A133" s="942"/>
    </row>
    <row r="134" spans="1:29">
      <c r="A134" s="942"/>
    </row>
    <row r="135" spans="1:29">
      <c r="B135" s="940" t="s">
        <v>1402</v>
      </c>
      <c r="T135" t="s">
        <v>1382</v>
      </c>
      <c r="U135" s="940">
        <v>20</v>
      </c>
    </row>
    <row r="136" spans="1:29">
      <c r="G136" t="s">
        <v>1383</v>
      </c>
      <c r="T136" t="s">
        <v>401</v>
      </c>
      <c r="U136" s="940">
        <v>130</v>
      </c>
    </row>
    <row r="137" spans="1:29">
      <c r="B137" s="5" t="s">
        <v>1388</v>
      </c>
      <c r="C137" s="5" t="s">
        <v>1388</v>
      </c>
      <c r="D137" s="5" t="s">
        <v>1389</v>
      </c>
      <c r="H137" s="5" t="s">
        <v>1388</v>
      </c>
      <c r="I137" s="5" t="s">
        <v>1389</v>
      </c>
      <c r="T137" t="s">
        <v>855</v>
      </c>
      <c r="U137" s="940">
        <v>30</v>
      </c>
      <c r="W137" t="s">
        <v>1390</v>
      </c>
      <c r="Z137" s="107" t="s">
        <v>1391</v>
      </c>
      <c r="AA137" s="1230">
        <v>1.65</v>
      </c>
      <c r="AB137" s="169">
        <f>1/AA137*100</f>
        <v>60.606060606060609</v>
      </c>
      <c r="AC137" t="s">
        <v>1392</v>
      </c>
    </row>
    <row r="138" spans="1:29">
      <c r="B138" s="5" t="s">
        <v>1393</v>
      </c>
      <c r="C138" s="5" t="s">
        <v>168</v>
      </c>
      <c r="D138" s="5" t="s">
        <v>1394</v>
      </c>
      <c r="H138" s="5" t="s">
        <v>168</v>
      </c>
      <c r="I138" s="5" t="s">
        <v>1394</v>
      </c>
      <c r="T138" t="s">
        <v>1395</v>
      </c>
      <c r="U138" s="940">
        <v>242</v>
      </c>
      <c r="W138" s="5" t="s">
        <v>1388</v>
      </c>
      <c r="X138" s="5" t="s">
        <v>1389</v>
      </c>
      <c r="Z138" s="5" t="s">
        <v>1388</v>
      </c>
      <c r="AA138" s="5" t="s">
        <v>1389</v>
      </c>
    </row>
    <row r="139" spans="1:29">
      <c r="B139" s="5" t="s">
        <v>407</v>
      </c>
      <c r="C139" s="5" t="s">
        <v>703</v>
      </c>
      <c r="D139" s="5" t="s">
        <v>1364</v>
      </c>
      <c r="H139" s="5" t="s">
        <v>703</v>
      </c>
      <c r="I139" s="5" t="s">
        <v>1364</v>
      </c>
      <c r="T139" t="s">
        <v>1396</v>
      </c>
      <c r="U139" s="1231">
        <v>55</v>
      </c>
      <c r="W139" s="5" t="s">
        <v>168</v>
      </c>
      <c r="X139" s="5" t="s">
        <v>1394</v>
      </c>
      <c r="Z139" s="5" t="s">
        <v>168</v>
      </c>
      <c r="AA139" s="5" t="s">
        <v>1394</v>
      </c>
    </row>
    <row r="140" spans="1:29">
      <c r="B140" s="5" t="s">
        <v>1397</v>
      </c>
      <c r="C140" s="5" t="s">
        <v>1397</v>
      </c>
      <c r="D140" s="5" t="s">
        <v>1398</v>
      </c>
      <c r="H140" s="5" t="s">
        <v>1397</v>
      </c>
      <c r="I140" s="5" t="s">
        <v>1398</v>
      </c>
      <c r="T140" t="s">
        <v>405</v>
      </c>
      <c r="U140" s="940">
        <v>55</v>
      </c>
      <c r="W140" s="5" t="s">
        <v>703</v>
      </c>
      <c r="X140" s="5" t="s">
        <v>1364</v>
      </c>
      <c r="Z140" s="5" t="s">
        <v>703</v>
      </c>
      <c r="AA140" s="5" t="s">
        <v>1364</v>
      </c>
    </row>
    <row r="141" spans="1:29">
      <c r="A141" s="942"/>
      <c r="B141" s="940">
        <v>60</v>
      </c>
      <c r="C141" s="940">
        <v>20</v>
      </c>
      <c r="D141" s="940">
        <v>219</v>
      </c>
      <c r="G141" s="940">
        <v>60</v>
      </c>
      <c r="H141" s="940">
        <v>14.1</v>
      </c>
      <c r="I141" s="940">
        <v>153</v>
      </c>
      <c r="W141" s="5" t="s">
        <v>1397</v>
      </c>
      <c r="X141" s="5" t="s">
        <v>1398</v>
      </c>
      <c r="Z141" s="5" t="s">
        <v>1397</v>
      </c>
      <c r="AA141" s="5" t="s">
        <v>1398</v>
      </c>
    </row>
    <row r="142" spans="1:29">
      <c r="A142" s="942"/>
      <c r="B142" s="940">
        <v>30</v>
      </c>
      <c r="C142" s="940">
        <v>20</v>
      </c>
      <c r="D142" s="940">
        <v>9</v>
      </c>
      <c r="G142" s="940">
        <v>60</v>
      </c>
      <c r="H142" s="940">
        <v>16.8</v>
      </c>
      <c r="I142" s="940">
        <v>175</v>
      </c>
      <c r="W142" s="940">
        <v>1</v>
      </c>
      <c r="X142" s="169">
        <f>U$138*EXP(-U$136*(1/W142-1/U$135)^2)*EXP(-(((U$140-U$139)/U$137)^2))</f>
        <v>2.6928693092837932E-49</v>
      </c>
      <c r="Z142" s="169">
        <f>W142*AB$137/100</f>
        <v>0.60606060606060608</v>
      </c>
      <c r="AA142" s="169">
        <f>X142*AA$137</f>
        <v>4.4432343603182582E-49</v>
      </c>
    </row>
    <row r="143" spans="1:29">
      <c r="A143" s="942"/>
      <c r="B143" s="940">
        <v>90</v>
      </c>
      <c r="C143" s="940">
        <v>20</v>
      </c>
      <c r="D143" s="940">
        <v>81</v>
      </c>
      <c r="G143" s="940">
        <v>55</v>
      </c>
      <c r="H143" s="940">
        <v>20</v>
      </c>
      <c r="I143" s="940">
        <v>242</v>
      </c>
      <c r="W143" s="940">
        <v>2</v>
      </c>
      <c r="X143" s="169">
        <f t="shared" ref="X143:X155" si="10">U$138*EXP(-U$136*(1/W143-1/U$135)^2)*EXP(-(((U$140-U$139)/U$137)^2))</f>
        <v>8.9333249114233589E-10</v>
      </c>
      <c r="Z143" s="169">
        <f t="shared" ref="Z143:Z155" si="11">W143*AB$137/100</f>
        <v>1.2121212121212122</v>
      </c>
      <c r="AA143" s="169">
        <f t="shared" ref="AA143:AA155" si="12">X143*AA$137</f>
        <v>1.4739986103848541E-9</v>
      </c>
    </row>
    <row r="144" spans="1:29">
      <c r="A144" s="942"/>
      <c r="B144" s="940">
        <v>120</v>
      </c>
      <c r="C144" s="940">
        <v>20</v>
      </c>
      <c r="D144" s="940">
        <v>99</v>
      </c>
      <c r="G144" s="940"/>
      <c r="H144" s="940"/>
      <c r="I144" s="940"/>
      <c r="W144" s="940">
        <v>3</v>
      </c>
      <c r="X144" s="169">
        <f t="shared" si="10"/>
        <v>7.1034593233282083E-3</v>
      </c>
      <c r="Z144" s="169">
        <f t="shared" si="11"/>
        <v>1.8181818181818181</v>
      </c>
      <c r="AA144" s="169">
        <f t="shared" si="12"/>
        <v>1.1720707883491542E-2</v>
      </c>
    </row>
    <row r="145" spans="1:27">
      <c r="A145" s="942"/>
      <c r="B145" s="940">
        <v>150</v>
      </c>
      <c r="C145" s="940">
        <v>20</v>
      </c>
      <c r="D145" s="940">
        <v>46</v>
      </c>
      <c r="W145" s="940">
        <v>4</v>
      </c>
      <c r="X145" s="169">
        <f t="shared" si="10"/>
        <v>1.3350085898241055</v>
      </c>
      <c r="Z145" s="169">
        <f t="shared" si="11"/>
        <v>2.4242424242424243</v>
      </c>
      <c r="AA145" s="169">
        <f t="shared" si="12"/>
        <v>2.2027641732097738</v>
      </c>
    </row>
    <row r="146" spans="1:27">
      <c r="A146" s="942"/>
      <c r="B146" s="940">
        <v>180</v>
      </c>
      <c r="C146" s="940">
        <v>20</v>
      </c>
      <c r="D146" s="940">
        <v>33</v>
      </c>
      <c r="W146" s="940">
        <v>5</v>
      </c>
      <c r="X146" s="169">
        <f t="shared" si="10"/>
        <v>12.986855442880682</v>
      </c>
      <c r="Z146" s="169">
        <f t="shared" si="11"/>
        <v>3.0303030303030307</v>
      </c>
      <c r="AA146" s="169">
        <f t="shared" si="12"/>
        <v>21.428311480753123</v>
      </c>
    </row>
    <row r="147" spans="1:27">
      <c r="A147" s="942"/>
      <c r="B147" s="940">
        <v>75</v>
      </c>
      <c r="C147" s="940">
        <v>20</v>
      </c>
      <c r="D147" s="940">
        <v>131</v>
      </c>
      <c r="W147" s="940">
        <v>7</v>
      </c>
      <c r="X147" s="169">
        <f t="shared" si="10"/>
        <v>78.887229566176657</v>
      </c>
      <c r="Z147" s="169">
        <f t="shared" si="11"/>
        <v>4.2424242424242422</v>
      </c>
      <c r="AA147" s="169">
        <f t="shared" si="12"/>
        <v>130.16392878419148</v>
      </c>
    </row>
    <row r="148" spans="1:27">
      <c r="A148" s="942"/>
      <c r="B148" s="940">
        <v>45</v>
      </c>
      <c r="C148" s="940">
        <v>20</v>
      </c>
      <c r="D148" s="940">
        <v>95</v>
      </c>
      <c r="W148" s="940">
        <v>9</v>
      </c>
      <c r="X148" s="169">
        <f t="shared" si="10"/>
        <v>148.92516016615983</v>
      </c>
      <c r="Z148" s="169">
        <f t="shared" si="11"/>
        <v>5.454545454545455</v>
      </c>
      <c r="AA148" s="169">
        <f t="shared" si="12"/>
        <v>245.72651427416369</v>
      </c>
    </row>
    <row r="149" spans="1:27">
      <c r="A149" s="942"/>
      <c r="B149" s="940">
        <v>60</v>
      </c>
      <c r="C149" s="940">
        <v>16.8</v>
      </c>
      <c r="D149" s="940">
        <v>175</v>
      </c>
      <c r="W149" s="940">
        <v>11</v>
      </c>
      <c r="X149" s="169">
        <f t="shared" si="10"/>
        <v>194.68361285052239</v>
      </c>
      <c r="Z149" s="169">
        <f t="shared" si="11"/>
        <v>6.6666666666666679</v>
      </c>
      <c r="AA149" s="169">
        <f t="shared" si="12"/>
        <v>321.22796120336193</v>
      </c>
    </row>
    <row r="150" spans="1:27">
      <c r="A150" s="942"/>
      <c r="B150" s="940">
        <v>60</v>
      </c>
      <c r="C150" s="940">
        <v>14.1</v>
      </c>
      <c r="D150" s="940">
        <v>153</v>
      </c>
      <c r="W150" s="940">
        <v>13</v>
      </c>
      <c r="X150" s="169">
        <f t="shared" si="10"/>
        <v>220.23759853629903</v>
      </c>
      <c r="Z150" s="169">
        <f t="shared" si="11"/>
        <v>7.8787878787878789</v>
      </c>
      <c r="AA150" s="169">
        <f t="shared" si="12"/>
        <v>363.39203758489339</v>
      </c>
    </row>
    <row r="151" spans="1:27">
      <c r="A151" s="942"/>
      <c r="B151" s="940">
        <v>60</v>
      </c>
      <c r="C151" s="940">
        <v>10</v>
      </c>
      <c r="D151" s="940">
        <v>102</v>
      </c>
      <c r="G151" t="s">
        <v>1399</v>
      </c>
      <c r="W151" s="940">
        <v>15</v>
      </c>
      <c r="X151" s="169">
        <f t="shared" si="10"/>
        <v>233.41701435819908</v>
      </c>
      <c r="Z151" s="169">
        <f t="shared" si="11"/>
        <v>9.0909090909090917</v>
      </c>
      <c r="AA151" s="169">
        <f t="shared" si="12"/>
        <v>385.13807369102847</v>
      </c>
    </row>
    <row r="152" spans="1:27">
      <c r="A152" s="942"/>
      <c r="B152" s="940">
        <v>60</v>
      </c>
      <c r="C152" s="940">
        <v>6</v>
      </c>
      <c r="D152" s="940">
        <v>24</v>
      </c>
      <c r="H152" s="940">
        <v>10.7</v>
      </c>
      <c r="I152" s="1230">
        <f>'fit and interpolation'!R14</f>
        <v>189.31658193237507</v>
      </c>
      <c r="W152" s="940">
        <v>18</v>
      </c>
      <c r="X152" s="169">
        <f t="shared" si="10"/>
        <v>241.03095771204147</v>
      </c>
      <c r="Z152" s="169">
        <f t="shared" si="11"/>
        <v>10.90909090909091</v>
      </c>
      <c r="AA152" s="169">
        <f t="shared" si="12"/>
        <v>397.70108022486841</v>
      </c>
    </row>
    <row r="153" spans="1:27">
      <c r="A153" s="942"/>
      <c r="B153" s="940">
        <v>110</v>
      </c>
      <c r="C153" s="940">
        <v>20</v>
      </c>
      <c r="D153" s="940">
        <v>77</v>
      </c>
      <c r="W153" s="940">
        <v>21</v>
      </c>
      <c r="X153" s="169">
        <f t="shared" si="10"/>
        <v>241.82172102923147</v>
      </c>
      <c r="Z153" s="169">
        <f t="shared" si="11"/>
        <v>12.727272727272727</v>
      </c>
      <c r="AA153" s="169">
        <f t="shared" si="12"/>
        <v>399.00583969823191</v>
      </c>
    </row>
    <row r="154" spans="1:27">
      <c r="A154" s="942"/>
      <c r="B154" s="940">
        <v>130</v>
      </c>
      <c r="C154" s="940">
        <v>20</v>
      </c>
      <c r="D154" s="940">
        <v>108</v>
      </c>
      <c r="W154" s="940">
        <v>24</v>
      </c>
      <c r="X154" s="169">
        <f t="shared" si="10"/>
        <v>239.82510976190736</v>
      </c>
      <c r="Z154" s="169">
        <f t="shared" si="11"/>
        <v>14.545454545454545</v>
      </c>
      <c r="AA154" s="169">
        <f t="shared" si="12"/>
        <v>395.71143110714712</v>
      </c>
    </row>
    <row r="155" spans="1:27">
      <c r="A155" s="942"/>
      <c r="B155" s="940">
        <v>65</v>
      </c>
      <c r="C155" s="940">
        <v>20</v>
      </c>
      <c r="D155" s="940">
        <v>219</v>
      </c>
      <c r="W155" s="940">
        <v>29</v>
      </c>
      <c r="X155" s="169">
        <f t="shared" si="10"/>
        <v>234.54224120943559</v>
      </c>
      <c r="Z155" s="169">
        <f t="shared" si="11"/>
        <v>17.575757575757578</v>
      </c>
      <c r="AA155" s="169">
        <f t="shared" si="12"/>
        <v>386.99469799556869</v>
      </c>
    </row>
    <row r="156" spans="1:27">
      <c r="A156" s="942"/>
      <c r="B156" s="940">
        <v>55</v>
      </c>
      <c r="C156" s="940">
        <v>20</v>
      </c>
      <c r="D156" s="940">
        <v>242</v>
      </c>
    </row>
    <row r="157" spans="1:27">
      <c r="A157" s="942"/>
      <c r="B157" s="940">
        <v>50</v>
      </c>
      <c r="C157" s="940">
        <v>20</v>
      </c>
      <c r="D157" s="940">
        <v>160</v>
      </c>
    </row>
    <row r="158" spans="1:27">
      <c r="A158" s="942"/>
      <c r="B158" s="940">
        <v>140</v>
      </c>
      <c r="C158" s="940">
        <v>20</v>
      </c>
      <c r="D158" s="940">
        <v>78</v>
      </c>
    </row>
    <row r="159" spans="1:27">
      <c r="A159" s="942"/>
      <c r="B159" s="940">
        <v>130</v>
      </c>
      <c r="C159" s="940">
        <v>16.8</v>
      </c>
      <c r="D159" s="940">
        <v>98</v>
      </c>
    </row>
    <row r="160" spans="1:27">
      <c r="A160" s="942"/>
    </row>
    <row r="161" spans="1:29">
      <c r="A161" s="942"/>
    </row>
    <row r="162" spans="1:29">
      <c r="A162" s="942"/>
    </row>
    <row r="163" spans="1:29">
      <c r="A163" s="942"/>
    </row>
    <row r="164" spans="1:29">
      <c r="B164" s="940" t="s">
        <v>1402</v>
      </c>
      <c r="T164" t="s">
        <v>1382</v>
      </c>
      <c r="U164" s="940">
        <v>20</v>
      </c>
    </row>
    <row r="165" spans="1:29">
      <c r="G165" t="s">
        <v>1383</v>
      </c>
      <c r="T165" t="s">
        <v>401</v>
      </c>
      <c r="U165" s="940">
        <v>820</v>
      </c>
    </row>
    <row r="166" spans="1:29">
      <c r="B166" s="5" t="s">
        <v>1388</v>
      </c>
      <c r="C166" s="5" t="s">
        <v>1388</v>
      </c>
      <c r="D166" s="5" t="s">
        <v>1389</v>
      </c>
      <c r="H166" s="5" t="s">
        <v>1388</v>
      </c>
      <c r="I166" s="5" t="s">
        <v>1389</v>
      </c>
      <c r="T166" t="s">
        <v>855</v>
      </c>
      <c r="U166" s="940">
        <v>41.89</v>
      </c>
      <c r="W166" t="s">
        <v>1390</v>
      </c>
      <c r="Z166" s="107" t="s">
        <v>1391</v>
      </c>
      <c r="AA166" s="1230">
        <v>1.58</v>
      </c>
      <c r="AB166" s="169">
        <f>1/AA166*100</f>
        <v>63.291139240506325</v>
      </c>
      <c r="AC166" t="s">
        <v>1392</v>
      </c>
    </row>
    <row r="167" spans="1:29">
      <c r="B167" s="5" t="s">
        <v>1393</v>
      </c>
      <c r="C167" s="5" t="s">
        <v>168</v>
      </c>
      <c r="D167" s="5" t="s">
        <v>1394</v>
      </c>
      <c r="H167" s="5" t="s">
        <v>168</v>
      </c>
      <c r="I167" s="5" t="s">
        <v>1394</v>
      </c>
      <c r="T167" t="s">
        <v>1395</v>
      </c>
      <c r="U167" s="940">
        <v>271</v>
      </c>
      <c r="W167" s="5" t="s">
        <v>1388</v>
      </c>
      <c r="X167" s="5" t="s">
        <v>1389</v>
      </c>
      <c r="Z167" s="5" t="s">
        <v>1388</v>
      </c>
      <c r="AA167" s="5" t="s">
        <v>1389</v>
      </c>
    </row>
    <row r="168" spans="1:29">
      <c r="B168" s="5" t="s">
        <v>407</v>
      </c>
      <c r="C168" s="5" t="s">
        <v>703</v>
      </c>
      <c r="D168" s="5" t="s">
        <v>1364</v>
      </c>
      <c r="H168" s="5" t="s">
        <v>703</v>
      </c>
      <c r="I168" s="5" t="s">
        <v>1364</v>
      </c>
      <c r="T168" t="s">
        <v>1396</v>
      </c>
      <c r="U168" s="1231">
        <v>85</v>
      </c>
      <c r="W168" s="5" t="s">
        <v>168</v>
      </c>
      <c r="X168" s="5" t="s">
        <v>1394</v>
      </c>
      <c r="Z168" s="5" t="s">
        <v>168</v>
      </c>
      <c r="AA168" s="5" t="s">
        <v>1394</v>
      </c>
    </row>
    <row r="169" spans="1:29">
      <c r="B169" s="5" t="s">
        <v>1397</v>
      </c>
      <c r="C169" s="5" t="s">
        <v>1397</v>
      </c>
      <c r="D169" s="5" t="s">
        <v>1398</v>
      </c>
      <c r="H169" s="5" t="s">
        <v>1397</v>
      </c>
      <c r="I169" s="5" t="s">
        <v>1398</v>
      </c>
      <c r="T169" t="s">
        <v>405</v>
      </c>
      <c r="U169" s="940">
        <v>85</v>
      </c>
      <c r="W169" s="5" t="s">
        <v>703</v>
      </c>
      <c r="X169" s="5" t="s">
        <v>1364</v>
      </c>
      <c r="Z169" s="5" t="s">
        <v>703</v>
      </c>
      <c r="AA169" s="5" t="s">
        <v>1364</v>
      </c>
    </row>
    <row r="170" spans="1:29">
      <c r="A170" s="942"/>
      <c r="B170" s="940">
        <v>60</v>
      </c>
      <c r="C170" s="940">
        <v>20</v>
      </c>
      <c r="D170" s="940">
        <v>136</v>
      </c>
      <c r="G170" s="940">
        <v>85</v>
      </c>
      <c r="H170" s="940">
        <v>14.1</v>
      </c>
      <c r="I170" s="940">
        <v>176</v>
      </c>
      <c r="W170" s="5" t="s">
        <v>1397</v>
      </c>
      <c r="X170" s="5" t="s">
        <v>1398</v>
      </c>
      <c r="Z170" s="5" t="s">
        <v>1397</v>
      </c>
      <c r="AA170" s="5" t="s">
        <v>1398</v>
      </c>
    </row>
    <row r="171" spans="1:29">
      <c r="A171" s="942"/>
      <c r="B171" s="940">
        <v>30</v>
      </c>
      <c r="C171" s="940">
        <v>20</v>
      </c>
      <c r="D171" s="940">
        <v>1</v>
      </c>
      <c r="G171" s="940">
        <v>85</v>
      </c>
      <c r="H171" s="940">
        <v>16.8</v>
      </c>
      <c r="I171" s="940">
        <v>209</v>
      </c>
      <c r="W171" s="940">
        <v>1</v>
      </c>
      <c r="X171" s="169">
        <f>U$167*EXP(-U$165*(1/W171-1/U$164)^2)*EXP(-(((U$169-U$168)/U$166)^2))</f>
        <v>0</v>
      </c>
      <c r="Z171" s="169">
        <f>W171*AB$166/100</f>
        <v>0.63291139240506322</v>
      </c>
      <c r="AA171" s="169">
        <f>X171*AA$166</f>
        <v>0</v>
      </c>
    </row>
    <row r="172" spans="1:29">
      <c r="A172" s="942"/>
      <c r="B172" s="940">
        <v>90</v>
      </c>
      <c r="C172" s="940">
        <v>20</v>
      </c>
      <c r="D172" s="940">
        <v>246</v>
      </c>
      <c r="G172" s="940">
        <v>85</v>
      </c>
      <c r="H172" s="940">
        <v>20</v>
      </c>
      <c r="I172" s="940">
        <v>271</v>
      </c>
      <c r="W172" s="940">
        <v>2</v>
      </c>
      <c r="X172" s="169">
        <f t="shared" ref="X172:X184" si="13">U$167*EXP(-U$165*(1/W172-1/U$164)^2)*EXP(-(((U$169-U$168)/U$166)^2))</f>
        <v>2.0814719890474779E-70</v>
      </c>
      <c r="Z172" s="169">
        <f t="shared" ref="Z172:Z184" si="14">W172*AB$166/100</f>
        <v>1.2658227848101264</v>
      </c>
      <c r="AA172" s="169">
        <f t="shared" ref="AA172:AA184" si="15">X172*AA$166</f>
        <v>3.2887257426950154E-70</v>
      </c>
    </row>
    <row r="173" spans="1:29">
      <c r="A173" s="942"/>
      <c r="B173" s="940">
        <v>120</v>
      </c>
      <c r="C173" s="940">
        <v>20</v>
      </c>
      <c r="D173" s="940">
        <v>150</v>
      </c>
      <c r="G173" s="940"/>
      <c r="H173" s="940"/>
      <c r="I173" s="940"/>
      <c r="W173" s="940">
        <v>3</v>
      </c>
      <c r="X173" s="169">
        <f t="shared" si="13"/>
        <v>6.987609812639263E-27</v>
      </c>
      <c r="Z173" s="169">
        <f t="shared" si="14"/>
        <v>1.89873417721519</v>
      </c>
      <c r="AA173" s="169">
        <f t="shared" si="15"/>
        <v>1.1040423503970036E-26</v>
      </c>
    </row>
    <row r="174" spans="1:29">
      <c r="A174" s="942"/>
      <c r="B174" s="940">
        <v>150</v>
      </c>
      <c r="C174" s="940">
        <v>20</v>
      </c>
      <c r="D174" s="940">
        <v>97</v>
      </c>
      <c r="W174" s="940">
        <v>4</v>
      </c>
      <c r="X174" s="169">
        <f t="shared" si="13"/>
        <v>1.5420920010351195E-12</v>
      </c>
      <c r="Z174" s="169">
        <f t="shared" si="14"/>
        <v>2.5316455696202529</v>
      </c>
      <c r="AA174" s="169">
        <f t="shared" si="15"/>
        <v>2.4365053616354891E-12</v>
      </c>
    </row>
    <row r="175" spans="1:29">
      <c r="A175" s="942"/>
      <c r="B175" s="940">
        <v>180</v>
      </c>
      <c r="C175" s="940">
        <v>20</v>
      </c>
      <c r="D175" s="940">
        <v>115</v>
      </c>
      <c r="W175" s="940">
        <v>5</v>
      </c>
      <c r="X175" s="169">
        <f t="shared" si="13"/>
        <v>2.6316982989755445E-6</v>
      </c>
      <c r="Z175" s="169">
        <f t="shared" si="14"/>
        <v>3.164556962025316</v>
      </c>
      <c r="AA175" s="169">
        <f t="shared" si="15"/>
        <v>4.1580833123813601E-6</v>
      </c>
    </row>
    <row r="176" spans="1:29">
      <c r="A176" s="942"/>
      <c r="B176" s="940">
        <v>210</v>
      </c>
      <c r="C176" s="940">
        <v>20</v>
      </c>
      <c r="D176" s="940">
        <v>0</v>
      </c>
      <c r="W176" s="940">
        <v>7</v>
      </c>
      <c r="X176" s="169">
        <f t="shared" si="13"/>
        <v>0.2303191455817796</v>
      </c>
      <c r="Z176" s="169">
        <f t="shared" si="14"/>
        <v>4.4303797468354427</v>
      </c>
      <c r="AA176" s="169">
        <f t="shared" si="15"/>
        <v>0.36390425001921178</v>
      </c>
    </row>
    <row r="177" spans="1:29">
      <c r="A177" s="942"/>
      <c r="B177" s="940">
        <v>75</v>
      </c>
      <c r="C177" s="940">
        <v>20</v>
      </c>
      <c r="D177" s="940">
        <v>208</v>
      </c>
      <c r="W177" s="940">
        <v>9</v>
      </c>
      <c r="X177" s="169">
        <f t="shared" si="13"/>
        <v>12.676794810607401</v>
      </c>
      <c r="Z177" s="169">
        <f t="shared" si="14"/>
        <v>5.6962025316455698</v>
      </c>
      <c r="AA177" s="169">
        <f t="shared" si="15"/>
        <v>20.029335800759693</v>
      </c>
    </row>
    <row r="178" spans="1:29">
      <c r="A178" s="942"/>
      <c r="B178" s="940">
        <v>45</v>
      </c>
      <c r="C178" s="940">
        <v>20</v>
      </c>
      <c r="D178" s="940">
        <v>29</v>
      </c>
      <c r="W178" s="940">
        <v>11</v>
      </c>
      <c r="X178" s="169">
        <f t="shared" si="13"/>
        <v>68.703817906922907</v>
      </c>
      <c r="Z178" s="169">
        <f t="shared" si="14"/>
        <v>6.962025316455696</v>
      </c>
      <c r="AA178" s="169">
        <f t="shared" si="15"/>
        <v>108.55203229293819</v>
      </c>
    </row>
    <row r="179" spans="1:29">
      <c r="A179" s="942"/>
      <c r="B179" s="940">
        <v>60</v>
      </c>
      <c r="C179" s="940">
        <v>16.8</v>
      </c>
      <c r="D179" s="940">
        <v>105</v>
      </c>
      <c r="W179" s="940">
        <v>13</v>
      </c>
      <c r="X179" s="169">
        <f t="shared" si="13"/>
        <v>149.56635232886899</v>
      </c>
      <c r="Z179" s="169">
        <f t="shared" si="14"/>
        <v>8.2278481012658222</v>
      </c>
      <c r="AA179" s="169">
        <f t="shared" si="15"/>
        <v>236.31483667961302</v>
      </c>
    </row>
    <row r="180" spans="1:29">
      <c r="A180" s="942"/>
      <c r="B180" s="940">
        <v>60</v>
      </c>
      <c r="C180" s="940">
        <v>11.9</v>
      </c>
      <c r="D180" s="940">
        <v>68</v>
      </c>
      <c r="G180" t="s">
        <v>1399</v>
      </c>
      <c r="W180" s="940">
        <v>15</v>
      </c>
      <c r="X180" s="169">
        <f t="shared" si="13"/>
        <v>215.79762411504737</v>
      </c>
      <c r="Z180" s="169">
        <f t="shared" si="14"/>
        <v>9.4936708860759484</v>
      </c>
      <c r="AA180" s="169">
        <f t="shared" si="15"/>
        <v>340.96024610177489</v>
      </c>
    </row>
    <row r="181" spans="1:29">
      <c r="A181" s="942"/>
      <c r="B181" s="940">
        <v>105</v>
      </c>
      <c r="C181" s="940">
        <v>20</v>
      </c>
      <c r="D181" s="940">
        <v>153</v>
      </c>
      <c r="H181" s="940">
        <v>10.7</v>
      </c>
      <c r="I181" s="1230">
        <f>'fit and interpolation'!R16</f>
        <v>57.597124864464035</v>
      </c>
      <c r="W181" s="940">
        <v>18</v>
      </c>
      <c r="X181" s="169">
        <f t="shared" si="13"/>
        <v>264.22742189982267</v>
      </c>
      <c r="Z181" s="169">
        <f t="shared" si="14"/>
        <v>11.39240506329114</v>
      </c>
      <c r="AA181" s="169">
        <f t="shared" si="15"/>
        <v>417.47932660171983</v>
      </c>
    </row>
    <row r="182" spans="1:29">
      <c r="A182" s="942"/>
      <c r="B182" s="940">
        <v>85</v>
      </c>
      <c r="C182" s="940">
        <v>20</v>
      </c>
      <c r="D182" s="940">
        <v>271</v>
      </c>
      <c r="W182" s="940">
        <v>21</v>
      </c>
      <c r="X182" s="169">
        <f t="shared" si="13"/>
        <v>269.74317289310608</v>
      </c>
      <c r="Z182" s="169">
        <f t="shared" si="14"/>
        <v>13.291139240506329</v>
      </c>
      <c r="AA182" s="169">
        <f t="shared" si="15"/>
        <v>426.19421317110761</v>
      </c>
    </row>
    <row r="183" spans="1:29">
      <c r="A183" s="942"/>
      <c r="B183" s="940">
        <v>80</v>
      </c>
      <c r="C183" s="940">
        <v>20</v>
      </c>
      <c r="D183" s="940">
        <v>236</v>
      </c>
      <c r="W183" s="940">
        <v>24</v>
      </c>
      <c r="X183" s="169">
        <f t="shared" si="13"/>
        <v>255.9992145818625</v>
      </c>
      <c r="Z183" s="169">
        <f t="shared" si="14"/>
        <v>15.18987341772152</v>
      </c>
      <c r="AA183" s="169">
        <f t="shared" si="15"/>
        <v>404.47875903934278</v>
      </c>
    </row>
    <row r="184" spans="1:29">
      <c r="A184" s="942"/>
      <c r="B184" s="940">
        <v>85</v>
      </c>
      <c r="C184" s="940">
        <v>16.8</v>
      </c>
      <c r="D184" s="940">
        <v>209</v>
      </c>
      <c r="W184" s="940">
        <v>29</v>
      </c>
      <c r="X184" s="169">
        <f t="shared" si="13"/>
        <v>222.44398147603175</v>
      </c>
      <c r="Z184" s="169">
        <f t="shared" si="14"/>
        <v>18.354430379746834</v>
      </c>
      <c r="AA184" s="169">
        <f t="shared" si="15"/>
        <v>351.46149073213019</v>
      </c>
    </row>
    <row r="185" spans="1:29">
      <c r="A185" s="942"/>
      <c r="B185" s="940">
        <v>85</v>
      </c>
      <c r="C185" s="940">
        <v>14.1</v>
      </c>
      <c r="D185" s="940">
        <v>176</v>
      </c>
    </row>
    <row r="186" spans="1:29">
      <c r="A186" s="942"/>
      <c r="B186" s="940">
        <v>165</v>
      </c>
      <c r="C186" s="940">
        <v>20</v>
      </c>
      <c r="D186" s="940">
        <v>107</v>
      </c>
    </row>
    <row r="187" spans="1:29">
      <c r="A187" s="942"/>
      <c r="B187" s="940">
        <v>195</v>
      </c>
      <c r="C187" s="940">
        <v>20</v>
      </c>
      <c r="D187" s="940">
        <v>31</v>
      </c>
    </row>
    <row r="188" spans="1:29">
      <c r="A188" s="942"/>
      <c r="B188" s="940">
        <v>180</v>
      </c>
      <c r="C188" s="940">
        <v>16.8</v>
      </c>
      <c r="D188" s="940">
        <v>90</v>
      </c>
    </row>
    <row r="189" spans="1:29">
      <c r="A189" s="942"/>
    </row>
    <row r="190" spans="1:29">
      <c r="A190" s="942"/>
    </row>
    <row r="191" spans="1:29">
      <c r="A191" s="942"/>
    </row>
    <row r="192" spans="1:29">
      <c r="Y192" s="940"/>
      <c r="Z192" s="169"/>
      <c r="AC192" s="169"/>
    </row>
    <row r="193" spans="25:29">
      <c r="Y193" s="940"/>
      <c r="Z193" s="169"/>
      <c r="AC193" s="169"/>
    </row>
  </sheetData>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9">
    <tabColor rgb="FF0070C0"/>
  </sheetPr>
  <dimension ref="A1:AB75"/>
  <sheetViews>
    <sheetView workbookViewId="0">
      <selection activeCell="R7" sqref="R7"/>
    </sheetView>
  </sheetViews>
  <sheetFormatPr defaultRowHeight="15.75"/>
  <cols>
    <col min="6" max="6" width="12.125" bestFit="1" customWidth="1"/>
    <col min="18" max="18" width="9" style="1327"/>
    <col min="19" max="19" width="15.75" style="1215" customWidth="1"/>
    <col min="20" max="20" width="9" style="1215"/>
    <col min="21" max="21" width="13.875" style="1215" customWidth="1"/>
    <col min="22" max="22" width="9" style="1215"/>
    <col min="24" max="24" width="11.125" bestFit="1" customWidth="1"/>
  </cols>
  <sheetData>
    <row r="1" spans="1:22" s="1263" customFormat="1">
      <c r="A1" s="1326" t="s">
        <v>1507</v>
      </c>
      <c r="R1" s="1006"/>
      <c r="S1" s="1323" t="s">
        <v>1523</v>
      </c>
    </row>
    <row r="2" spans="1:22" s="1263" customFormat="1">
      <c r="A2" s="1326" t="s">
        <v>1521</v>
      </c>
      <c r="R2" s="1307" t="s">
        <v>1386</v>
      </c>
      <c r="S2" s="1326" t="s">
        <v>1524</v>
      </c>
    </row>
    <row r="3" spans="1:22" s="1263" customFormat="1">
      <c r="A3" s="1322" t="s">
        <v>1522</v>
      </c>
      <c r="B3" s="1006"/>
      <c r="C3" s="1006"/>
      <c r="D3" s="1006"/>
      <c r="R3" s="1311">
        <v>14.9</v>
      </c>
      <c r="S3" s="1326" t="s">
        <v>1593</v>
      </c>
    </row>
    <row r="4" spans="1:22">
      <c r="A4" t="s">
        <v>419</v>
      </c>
      <c r="B4" t="s">
        <v>160</v>
      </c>
      <c r="C4" t="s">
        <v>160</v>
      </c>
      <c r="D4" t="s">
        <v>292</v>
      </c>
      <c r="E4" t="s">
        <v>1352</v>
      </c>
      <c r="F4" t="s">
        <v>1352</v>
      </c>
      <c r="G4" t="s">
        <v>1353</v>
      </c>
      <c r="H4" t="s">
        <v>1353</v>
      </c>
      <c r="I4" t="s">
        <v>1354</v>
      </c>
      <c r="J4" t="s">
        <v>1355</v>
      </c>
      <c r="K4" t="s">
        <v>1356</v>
      </c>
      <c r="L4" t="s">
        <v>1357</v>
      </c>
      <c r="M4" t="s">
        <v>1358</v>
      </c>
      <c r="N4" t="s">
        <v>118</v>
      </c>
      <c r="O4" t="s">
        <v>118</v>
      </c>
      <c r="P4" t="s">
        <v>147</v>
      </c>
      <c r="Q4" t="s">
        <v>887</v>
      </c>
      <c r="R4" s="1327" t="s">
        <v>1359</v>
      </c>
      <c r="S4" s="1313" t="s">
        <v>1508</v>
      </c>
      <c r="U4" s="1313" t="s">
        <v>1508</v>
      </c>
      <c r="V4" s="1313" t="s">
        <v>661</v>
      </c>
    </row>
    <row r="5" spans="1:22">
      <c r="A5" t="s">
        <v>120</v>
      </c>
      <c r="B5" t="s">
        <v>120</v>
      </c>
      <c r="C5" t="s">
        <v>591</v>
      </c>
      <c r="D5" t="s">
        <v>1360</v>
      </c>
      <c r="E5" t="s">
        <v>162</v>
      </c>
      <c r="F5" t="s">
        <v>162</v>
      </c>
      <c r="G5" t="s">
        <v>1361</v>
      </c>
      <c r="H5" t="s">
        <v>1361</v>
      </c>
      <c r="K5" t="s">
        <v>407</v>
      </c>
      <c r="L5" t="s">
        <v>407</v>
      </c>
      <c r="M5" t="s">
        <v>120</v>
      </c>
      <c r="O5" t="s">
        <v>666</v>
      </c>
      <c r="Q5" t="s">
        <v>1362</v>
      </c>
      <c r="R5" s="1327" t="s">
        <v>1363</v>
      </c>
      <c r="S5" s="1313" t="s">
        <v>706</v>
      </c>
      <c r="T5" s="1313" t="s">
        <v>1509</v>
      </c>
      <c r="U5" s="1313" t="s">
        <v>115</v>
      </c>
      <c r="V5" s="1313" t="s">
        <v>817</v>
      </c>
    </row>
    <row r="6" spans="1:22">
      <c r="D6" t="s">
        <v>1364</v>
      </c>
      <c r="E6" t="s">
        <v>167</v>
      </c>
      <c r="F6" t="s">
        <v>168</v>
      </c>
      <c r="G6" t="s">
        <v>401</v>
      </c>
      <c r="H6" t="s">
        <v>855</v>
      </c>
      <c r="O6" t="s">
        <v>743</v>
      </c>
      <c r="Q6" t="s">
        <v>1353</v>
      </c>
      <c r="R6" s="1327" t="s">
        <v>1365</v>
      </c>
      <c r="S6" s="1313" t="s">
        <v>1382</v>
      </c>
      <c r="T6" s="1313" t="s">
        <v>1510</v>
      </c>
      <c r="U6" s="1313" t="s">
        <v>163</v>
      </c>
      <c r="V6" s="1313" t="s">
        <v>674</v>
      </c>
    </row>
    <row r="7" spans="1:22">
      <c r="E7" t="s">
        <v>407</v>
      </c>
      <c r="F7" t="s">
        <v>703</v>
      </c>
      <c r="Q7" t="s">
        <v>1366</v>
      </c>
      <c r="R7" s="1327" t="s">
        <v>1367</v>
      </c>
      <c r="S7" s="1313" t="s">
        <v>703</v>
      </c>
      <c r="T7" s="1313" t="s">
        <v>1511</v>
      </c>
      <c r="U7" s="1313" t="s">
        <v>1367</v>
      </c>
      <c r="V7" s="1313" t="s">
        <v>84</v>
      </c>
    </row>
    <row r="8" spans="1:22">
      <c r="A8" s="1324">
        <v>9906</v>
      </c>
      <c r="B8" s="1324">
        <v>104</v>
      </c>
      <c r="C8" s="1324" t="s">
        <v>401</v>
      </c>
      <c r="D8" s="1324">
        <v>564</v>
      </c>
      <c r="E8" s="1324">
        <v>45</v>
      </c>
      <c r="F8" s="1324">
        <v>29.8</v>
      </c>
      <c r="G8" s="1324">
        <v>2500</v>
      </c>
      <c r="H8" s="1324">
        <v>25.18</v>
      </c>
      <c r="I8" s="1324">
        <v>93.43</v>
      </c>
      <c r="J8" s="1324">
        <v>-50.82</v>
      </c>
      <c r="K8" s="1324">
        <v>0</v>
      </c>
      <c r="L8" s="1324">
        <v>105</v>
      </c>
      <c r="M8" s="1324">
        <v>1</v>
      </c>
      <c r="N8" s="1324" t="s">
        <v>1516</v>
      </c>
      <c r="O8" s="1324">
        <v>6.1</v>
      </c>
      <c r="P8" s="1324" t="s">
        <v>1517</v>
      </c>
      <c r="Q8" s="1325">
        <v>42815.586354166669</v>
      </c>
      <c r="R8" s="1328">
        <f t="shared" ref="R8:R18" si="0">D8*EXP(-G8*(1/R$3-1/F8)^2)*EXP(-(((E8-E8)/H8)^2))</f>
        <v>33.779893089715721</v>
      </c>
      <c r="S8" s="1310">
        <f t="shared" ref="S8:S18" si="1">$F8/$T8</f>
        <v>22.074074074074073</v>
      </c>
      <c r="T8" s="1322">
        <v>1.35</v>
      </c>
      <c r="U8" s="1215">
        <f>$D8*EXP(-$G8*(1/($S8*$T8)-1/$F8)^2)*$T8</f>
        <v>761.40000000000009</v>
      </c>
      <c r="V8" s="1309">
        <f>1/$T8</f>
        <v>0.7407407407407407</v>
      </c>
    </row>
    <row r="9" spans="1:22">
      <c r="A9" s="1324">
        <v>9906</v>
      </c>
      <c r="B9" s="1324">
        <v>105</v>
      </c>
      <c r="C9" s="1324" t="s">
        <v>401</v>
      </c>
      <c r="D9" s="1324">
        <v>475</v>
      </c>
      <c r="E9" s="1324">
        <v>310</v>
      </c>
      <c r="F9" s="1324">
        <v>26.5</v>
      </c>
      <c r="G9" s="1324">
        <v>2916.15</v>
      </c>
      <c r="H9" s="1324">
        <v>38.58</v>
      </c>
      <c r="I9" s="1324">
        <v>145.72</v>
      </c>
      <c r="J9" s="1324">
        <v>-98.16</v>
      </c>
      <c r="K9" s="1324">
        <v>250</v>
      </c>
      <c r="L9" s="1324">
        <v>355</v>
      </c>
      <c r="M9" s="1324">
        <v>3</v>
      </c>
      <c r="N9" s="1324" t="s">
        <v>1516</v>
      </c>
      <c r="O9" s="1324">
        <v>6.1</v>
      </c>
      <c r="P9" s="1324" t="s">
        <v>1518</v>
      </c>
      <c r="Q9" s="1325">
        <v>42815.587754629632</v>
      </c>
      <c r="R9" s="1328">
        <f t="shared" si="0"/>
        <v>38.337953099028603</v>
      </c>
      <c r="S9" s="1310">
        <f t="shared" si="1"/>
        <v>19.924812030075188</v>
      </c>
      <c r="T9" s="1322">
        <v>1.33</v>
      </c>
      <c r="U9" s="1215">
        <f t="shared" ref="U9:U18" si="2">$D9*EXP(-$G9*(1/($S9*$T9)-1/$F9)^2)*$T9</f>
        <v>631.75</v>
      </c>
      <c r="V9" s="1309">
        <f t="shared" ref="V9:V18" si="3">1/$T9</f>
        <v>0.75187969924812026</v>
      </c>
    </row>
    <row r="10" spans="1:22">
      <c r="A10" s="1320">
        <v>9906</v>
      </c>
      <c r="B10" s="1320">
        <v>106</v>
      </c>
      <c r="C10" s="1320" t="s">
        <v>855</v>
      </c>
      <c r="D10" s="1320">
        <v>222</v>
      </c>
      <c r="E10" s="1320">
        <v>295</v>
      </c>
      <c r="F10" s="1320">
        <v>26.5</v>
      </c>
      <c r="G10" s="1320">
        <v>705.77</v>
      </c>
      <c r="H10" s="1320">
        <v>17.37</v>
      </c>
      <c r="I10" s="1320">
        <v>22.52</v>
      </c>
      <c r="J10" s="1320">
        <v>-12.47</v>
      </c>
      <c r="K10" s="1320">
        <v>0</v>
      </c>
      <c r="L10" s="1320">
        <v>355</v>
      </c>
      <c r="M10" s="1320">
        <v>1</v>
      </c>
      <c r="N10" s="1320" t="s">
        <v>1516</v>
      </c>
      <c r="O10" s="1320">
        <v>6.1</v>
      </c>
      <c r="P10" s="1320" t="s">
        <v>1519</v>
      </c>
      <c r="Q10" s="1321">
        <v>42815.588750000003</v>
      </c>
      <c r="R10" s="1328">
        <f t="shared" si="0"/>
        <v>120.72805192460717</v>
      </c>
      <c r="S10" s="1310">
        <f t="shared" si="1"/>
        <v>26.5</v>
      </c>
      <c r="T10" s="1322">
        <v>1</v>
      </c>
      <c r="U10" s="1215">
        <f t="shared" si="2"/>
        <v>222</v>
      </c>
      <c r="V10" s="1309">
        <f t="shared" si="3"/>
        <v>1</v>
      </c>
    </row>
    <row r="11" spans="1:22">
      <c r="A11">
        <v>7619</v>
      </c>
      <c r="B11">
        <v>109</v>
      </c>
      <c r="C11" t="s">
        <v>401</v>
      </c>
      <c r="D11">
        <v>440</v>
      </c>
      <c r="E11">
        <v>65</v>
      </c>
      <c r="F11">
        <v>20</v>
      </c>
      <c r="G11">
        <v>130</v>
      </c>
      <c r="H11">
        <v>36</v>
      </c>
      <c r="I11">
        <v>96.33</v>
      </c>
      <c r="J11">
        <v>-51.41</v>
      </c>
      <c r="K11">
        <v>0</v>
      </c>
      <c r="L11">
        <v>110</v>
      </c>
      <c r="M11">
        <v>1</v>
      </c>
      <c r="N11" t="s">
        <v>1368</v>
      </c>
      <c r="O11">
        <v>4.5999999999999996</v>
      </c>
      <c r="P11" t="s">
        <v>1370</v>
      </c>
      <c r="Q11" s="1229">
        <v>41887.579618055555</v>
      </c>
      <c r="R11" s="1328">
        <f t="shared" si="0"/>
        <v>423.5615073603546</v>
      </c>
      <c r="S11" s="1310">
        <f t="shared" si="1"/>
        <v>20</v>
      </c>
      <c r="T11" s="1322">
        <v>1</v>
      </c>
      <c r="U11" s="1215">
        <f t="shared" si="2"/>
        <v>440</v>
      </c>
      <c r="V11" s="1309">
        <f t="shared" si="3"/>
        <v>1</v>
      </c>
    </row>
    <row r="12" spans="1:22">
      <c r="A12">
        <v>7619</v>
      </c>
      <c r="B12">
        <v>109</v>
      </c>
      <c r="C12" t="s">
        <v>401</v>
      </c>
      <c r="D12">
        <v>432</v>
      </c>
      <c r="E12">
        <v>175</v>
      </c>
      <c r="F12">
        <v>20</v>
      </c>
      <c r="G12">
        <v>130</v>
      </c>
      <c r="H12">
        <v>45</v>
      </c>
      <c r="I12">
        <v>96.27</v>
      </c>
      <c r="J12">
        <v>-41.33</v>
      </c>
      <c r="K12">
        <v>110</v>
      </c>
      <c r="L12">
        <v>355</v>
      </c>
      <c r="M12">
        <v>2</v>
      </c>
      <c r="N12" t="s">
        <v>1368</v>
      </c>
      <c r="O12">
        <v>4.5999999999999996</v>
      </c>
      <c r="P12" t="s">
        <v>1370</v>
      </c>
      <c r="Q12" s="1229">
        <v>41887.580034722225</v>
      </c>
      <c r="R12" s="1328">
        <f t="shared" si="0"/>
        <v>415.86038904471178</v>
      </c>
      <c r="S12" s="1310">
        <f t="shared" si="1"/>
        <v>20</v>
      </c>
      <c r="T12" s="1322">
        <v>1</v>
      </c>
      <c r="U12" s="1215">
        <f t="shared" si="2"/>
        <v>432</v>
      </c>
      <c r="V12" s="1309">
        <f t="shared" si="3"/>
        <v>1</v>
      </c>
    </row>
    <row r="13" spans="1:22">
      <c r="A13">
        <v>7619</v>
      </c>
      <c r="B13">
        <v>111</v>
      </c>
      <c r="C13" t="s">
        <v>401</v>
      </c>
      <c r="D13">
        <v>193</v>
      </c>
      <c r="E13">
        <v>70</v>
      </c>
      <c r="F13">
        <v>20</v>
      </c>
      <c r="G13">
        <v>500</v>
      </c>
      <c r="H13">
        <v>51</v>
      </c>
      <c r="I13">
        <v>49.92</v>
      </c>
      <c r="J13">
        <v>-7.09</v>
      </c>
      <c r="K13">
        <v>0</v>
      </c>
      <c r="L13">
        <v>355</v>
      </c>
      <c r="M13">
        <v>1</v>
      </c>
      <c r="N13" t="s">
        <v>1368</v>
      </c>
      <c r="O13">
        <v>6.1</v>
      </c>
      <c r="P13" t="s">
        <v>1370</v>
      </c>
      <c r="Q13" s="1229">
        <v>41887.583761574075</v>
      </c>
      <c r="R13" s="1328">
        <f t="shared" si="0"/>
        <v>166.70805065697755</v>
      </c>
      <c r="S13" s="1310">
        <f t="shared" si="1"/>
        <v>20</v>
      </c>
      <c r="T13" s="1322">
        <v>1</v>
      </c>
      <c r="U13" s="1215">
        <f t="shared" si="2"/>
        <v>193</v>
      </c>
      <c r="V13" s="1309">
        <f t="shared" si="3"/>
        <v>1</v>
      </c>
    </row>
    <row r="14" spans="1:22">
      <c r="A14">
        <v>7619</v>
      </c>
      <c r="B14">
        <v>121</v>
      </c>
      <c r="C14" t="s">
        <v>401</v>
      </c>
      <c r="D14">
        <v>183</v>
      </c>
      <c r="E14">
        <v>55</v>
      </c>
      <c r="F14">
        <v>20</v>
      </c>
      <c r="G14">
        <v>90</v>
      </c>
      <c r="H14">
        <v>29</v>
      </c>
      <c r="I14">
        <v>40.659999999999997</v>
      </c>
      <c r="J14">
        <v>-11.49</v>
      </c>
      <c r="K14">
        <v>0</v>
      </c>
      <c r="L14">
        <v>355</v>
      </c>
      <c r="M14">
        <v>1</v>
      </c>
      <c r="N14" t="s">
        <v>1371</v>
      </c>
      <c r="O14">
        <v>6.1</v>
      </c>
      <c r="P14" t="s">
        <v>1369</v>
      </c>
      <c r="Q14" s="1229">
        <v>41887.584097222221</v>
      </c>
      <c r="R14" s="1328">
        <f t="shared" si="0"/>
        <v>178.23909044660851</v>
      </c>
      <c r="S14" s="1310">
        <f t="shared" si="1"/>
        <v>20</v>
      </c>
      <c r="T14" s="1322">
        <v>1</v>
      </c>
      <c r="U14" s="1215">
        <f t="shared" si="2"/>
        <v>183</v>
      </c>
      <c r="V14" s="1309">
        <f t="shared" si="3"/>
        <v>1</v>
      </c>
    </row>
    <row r="15" spans="1:22">
      <c r="A15">
        <v>7619</v>
      </c>
      <c r="B15">
        <v>122</v>
      </c>
      <c r="C15" t="s">
        <v>401</v>
      </c>
      <c r="D15">
        <v>242</v>
      </c>
      <c r="E15">
        <v>55</v>
      </c>
      <c r="F15">
        <v>20</v>
      </c>
      <c r="G15">
        <v>130</v>
      </c>
      <c r="H15">
        <v>30</v>
      </c>
      <c r="I15">
        <v>69.44</v>
      </c>
      <c r="J15">
        <v>-0.61</v>
      </c>
      <c r="K15">
        <v>0</v>
      </c>
      <c r="L15">
        <v>355</v>
      </c>
      <c r="M15">
        <v>1</v>
      </c>
      <c r="N15" t="s">
        <v>1371</v>
      </c>
      <c r="O15">
        <v>6.1</v>
      </c>
      <c r="P15" t="s">
        <v>1370</v>
      </c>
      <c r="Q15" s="1229">
        <v>41887.584421296298</v>
      </c>
      <c r="R15" s="1328">
        <f t="shared" si="0"/>
        <v>232.95882904819501</v>
      </c>
      <c r="S15" s="1310">
        <f t="shared" si="1"/>
        <v>20</v>
      </c>
      <c r="T15" s="1322">
        <v>1</v>
      </c>
      <c r="U15" s="1215">
        <f t="shared" si="2"/>
        <v>242</v>
      </c>
      <c r="V15" s="1309">
        <f t="shared" si="3"/>
        <v>1</v>
      </c>
    </row>
    <row r="16" spans="1:22">
      <c r="A16">
        <v>7619</v>
      </c>
      <c r="B16">
        <v>131</v>
      </c>
      <c r="C16" t="s">
        <v>401</v>
      </c>
      <c r="D16">
        <v>156</v>
      </c>
      <c r="E16">
        <v>60</v>
      </c>
      <c r="F16">
        <v>20</v>
      </c>
      <c r="G16">
        <v>337.33</v>
      </c>
      <c r="H16">
        <v>31</v>
      </c>
      <c r="I16">
        <v>30.11</v>
      </c>
      <c r="J16">
        <v>0.56999999999999995</v>
      </c>
      <c r="K16">
        <v>0</v>
      </c>
      <c r="L16">
        <v>355</v>
      </c>
      <c r="M16">
        <v>1</v>
      </c>
      <c r="N16" t="s">
        <v>1372</v>
      </c>
      <c r="O16">
        <v>6.1</v>
      </c>
      <c r="P16" t="s">
        <v>1369</v>
      </c>
      <c r="Q16" s="1229">
        <v>41887.584930555553</v>
      </c>
      <c r="R16" s="1328">
        <f t="shared" si="0"/>
        <v>141.32393650414102</v>
      </c>
      <c r="S16" s="1310">
        <f t="shared" si="1"/>
        <v>20</v>
      </c>
      <c r="T16" s="1322">
        <v>1</v>
      </c>
      <c r="U16" s="1215">
        <f t="shared" si="2"/>
        <v>156</v>
      </c>
      <c r="V16" s="1309">
        <f t="shared" si="3"/>
        <v>1</v>
      </c>
    </row>
    <row r="17" spans="1:28">
      <c r="A17">
        <v>7619</v>
      </c>
      <c r="B17">
        <v>132</v>
      </c>
      <c r="C17" t="s">
        <v>401</v>
      </c>
      <c r="D17">
        <v>271</v>
      </c>
      <c r="E17">
        <v>85</v>
      </c>
      <c r="F17">
        <v>20</v>
      </c>
      <c r="G17">
        <v>820</v>
      </c>
      <c r="H17">
        <v>41.89</v>
      </c>
      <c r="I17">
        <v>57.76</v>
      </c>
      <c r="J17">
        <v>-2.95</v>
      </c>
      <c r="K17">
        <v>0</v>
      </c>
      <c r="L17">
        <v>355</v>
      </c>
      <c r="M17">
        <v>1</v>
      </c>
      <c r="N17" t="s">
        <v>1372</v>
      </c>
      <c r="O17">
        <v>6.1</v>
      </c>
      <c r="P17" t="s">
        <v>1370</v>
      </c>
      <c r="Q17" s="1229">
        <v>41887.585520833331</v>
      </c>
      <c r="R17" s="1328">
        <f t="shared" si="0"/>
        <v>213.13956949933021</v>
      </c>
      <c r="S17" s="1310">
        <f t="shared" si="1"/>
        <v>20</v>
      </c>
      <c r="T17" s="1322">
        <v>1</v>
      </c>
      <c r="U17" s="1215">
        <f t="shared" si="2"/>
        <v>271</v>
      </c>
      <c r="V17" s="1309">
        <f t="shared" si="3"/>
        <v>1</v>
      </c>
    </row>
    <row r="18" spans="1:28">
      <c r="A18">
        <v>7619</v>
      </c>
      <c r="B18">
        <v>165</v>
      </c>
      <c r="C18" t="s">
        <v>401</v>
      </c>
      <c r="D18">
        <v>241</v>
      </c>
      <c r="E18">
        <v>80</v>
      </c>
      <c r="F18">
        <v>11.9</v>
      </c>
      <c r="G18">
        <v>58</v>
      </c>
      <c r="H18">
        <v>34</v>
      </c>
      <c r="I18">
        <v>46.26</v>
      </c>
      <c r="J18">
        <v>13.5</v>
      </c>
      <c r="K18">
        <v>0</v>
      </c>
      <c r="L18">
        <v>355</v>
      </c>
      <c r="M18">
        <v>1</v>
      </c>
      <c r="N18" t="s">
        <v>1373</v>
      </c>
      <c r="O18">
        <v>4.5999999999999996</v>
      </c>
      <c r="P18" t="s">
        <v>1369</v>
      </c>
      <c r="Q18" s="1229">
        <v>41887.58935185185</v>
      </c>
      <c r="R18" s="1328">
        <f t="shared" si="0"/>
        <v>237.03155254912971</v>
      </c>
      <c r="S18" s="1310">
        <f t="shared" si="1"/>
        <v>11.9</v>
      </c>
      <c r="T18" s="1322">
        <v>1</v>
      </c>
      <c r="U18" s="1215">
        <f t="shared" si="2"/>
        <v>241</v>
      </c>
      <c r="V18" s="1309">
        <f t="shared" si="3"/>
        <v>1</v>
      </c>
    </row>
    <row r="19" spans="1:28">
      <c r="V19" s="1314"/>
    </row>
    <row r="20" spans="1:28">
      <c r="V20" s="1314"/>
    </row>
    <row r="21" spans="1:28">
      <c r="V21" s="1314"/>
    </row>
    <row r="22" spans="1:28">
      <c r="V22" s="1314"/>
    </row>
    <row r="23" spans="1:28">
      <c r="U23" s="1312"/>
    </row>
    <row r="24" spans="1:28">
      <c r="A24" s="1185" t="s">
        <v>1512</v>
      </c>
      <c r="B24" s="1322">
        <v>104</v>
      </c>
      <c r="D24" t="s">
        <v>1382</v>
      </c>
      <c r="E24" s="1317">
        <f>INDEX(EA_Ucrit, MATCH($B$24,EA_RunNum,0),1,1)</f>
        <v>29.8</v>
      </c>
      <c r="M24" t="s">
        <v>1381</v>
      </c>
      <c r="U24" s="1312"/>
    </row>
    <row r="25" spans="1:28">
      <c r="D25" t="s">
        <v>401</v>
      </c>
      <c r="E25" s="1317">
        <f>INDEX(EA_A, MATCH($B$24,EA_RunNum,0),1,1)</f>
        <v>2500</v>
      </c>
      <c r="M25" t="s">
        <v>1384</v>
      </c>
      <c r="N25" t="s">
        <v>1385</v>
      </c>
      <c r="P25" t="s">
        <v>1386</v>
      </c>
      <c r="Q25" t="s">
        <v>1387</v>
      </c>
      <c r="U25" s="1312"/>
    </row>
    <row r="26" spans="1:28">
      <c r="B26" s="5"/>
      <c r="D26" t="s">
        <v>1395</v>
      </c>
      <c r="E26" s="1317">
        <f>INDEX(EA_Cm_Max, MATCH($B$24,EA_RunNum,0),1,1)</f>
        <v>564</v>
      </c>
      <c r="H26" s="5"/>
      <c r="I26" s="5"/>
      <c r="M26" s="1083">
        <v>0</v>
      </c>
      <c r="N26" s="1083">
        <v>400</v>
      </c>
      <c r="O26" s="1083"/>
      <c r="P26" s="1083">
        <f>R3</f>
        <v>14.9</v>
      </c>
      <c r="Q26" s="1083">
        <v>0</v>
      </c>
      <c r="U26" s="1312"/>
      <c r="Z26" s="107"/>
      <c r="AA26" s="1230"/>
      <c r="AB26" s="169"/>
    </row>
    <row r="27" spans="1:28">
      <c r="B27" s="5"/>
      <c r="E27" s="1317"/>
      <c r="H27" s="5"/>
      <c r="I27" s="5"/>
      <c r="M27" s="1083">
        <v>30</v>
      </c>
      <c r="N27" s="1083">
        <v>400</v>
      </c>
      <c r="O27" s="1083"/>
      <c r="P27" s="1083">
        <f>R3</f>
        <v>14.9</v>
      </c>
      <c r="Q27" s="1083">
        <v>1000</v>
      </c>
      <c r="U27" s="1312"/>
      <c r="W27" s="5"/>
      <c r="X27" s="5"/>
      <c r="Z27" s="5"/>
      <c r="AA27" s="5"/>
    </row>
    <row r="28" spans="1:28">
      <c r="A28" s="1185" t="s">
        <v>1514</v>
      </c>
      <c r="B28" s="1318">
        <v>1.35</v>
      </c>
      <c r="C28" s="1319">
        <f>1/B28</f>
        <v>0.7407407407407407</v>
      </c>
      <c r="D28" s="1315" t="s">
        <v>1520</v>
      </c>
      <c r="H28" s="5"/>
      <c r="I28" s="5"/>
      <c r="U28" s="1308"/>
      <c r="W28" s="5"/>
      <c r="X28" s="5"/>
      <c r="Z28" s="5"/>
      <c r="AA28" s="5"/>
    </row>
    <row r="29" spans="1:28">
      <c r="B29" s="1873" t="s">
        <v>1513</v>
      </c>
      <c r="C29" s="1873"/>
      <c r="E29" s="1873" t="s">
        <v>1515</v>
      </c>
      <c r="F29" s="1873"/>
      <c r="H29" s="5"/>
      <c r="I29" s="5"/>
      <c r="U29" s="1312"/>
      <c r="W29" s="5"/>
      <c r="X29" s="5"/>
      <c r="Z29" s="5"/>
      <c r="AA29" s="5"/>
    </row>
    <row r="30" spans="1:28">
      <c r="B30" s="5" t="s">
        <v>1388</v>
      </c>
      <c r="C30" s="5" t="s">
        <v>1389</v>
      </c>
      <c r="E30" s="5" t="s">
        <v>1388</v>
      </c>
      <c r="F30" s="5" t="s">
        <v>1389</v>
      </c>
      <c r="H30" s="5"/>
      <c r="I30" s="5"/>
      <c r="W30" s="5"/>
      <c r="X30" s="5"/>
      <c r="Z30" s="5"/>
      <c r="AA30" s="5"/>
    </row>
    <row r="31" spans="1:28">
      <c r="A31" s="942"/>
      <c r="B31" s="5" t="s">
        <v>168</v>
      </c>
      <c r="C31" s="5" t="s">
        <v>1394</v>
      </c>
      <c r="E31" s="5" t="s">
        <v>168</v>
      </c>
      <c r="F31" s="5" t="s">
        <v>1394</v>
      </c>
      <c r="G31" s="940"/>
      <c r="H31" s="940"/>
      <c r="I31" s="940"/>
      <c r="W31" s="940"/>
      <c r="X31" s="169"/>
      <c r="Z31" s="169"/>
      <c r="AA31" s="169"/>
    </row>
    <row r="32" spans="1:28">
      <c r="A32" s="942"/>
      <c r="B32" s="5" t="s">
        <v>703</v>
      </c>
      <c r="C32" s="5" t="s">
        <v>1364</v>
      </c>
      <c r="E32" s="5" t="s">
        <v>703</v>
      </c>
      <c r="F32" s="5" t="s">
        <v>1364</v>
      </c>
      <c r="G32" s="940"/>
      <c r="H32" s="940"/>
      <c r="I32" s="940"/>
      <c r="W32" s="940"/>
      <c r="X32" s="169"/>
      <c r="Z32" s="169"/>
      <c r="AA32" s="169"/>
    </row>
    <row r="33" spans="1:27">
      <c r="A33" s="942"/>
      <c r="B33" s="5" t="s">
        <v>1397</v>
      </c>
      <c r="C33" s="5" t="s">
        <v>1398</v>
      </c>
      <c r="E33" s="5" t="s">
        <v>1397</v>
      </c>
      <c r="F33" s="5" t="s">
        <v>1398</v>
      </c>
      <c r="G33" s="940"/>
      <c r="H33" s="940"/>
      <c r="I33" s="940"/>
      <c r="W33" s="940"/>
      <c r="X33" s="169"/>
      <c r="Z33" s="169"/>
      <c r="AA33" s="169"/>
    </row>
    <row r="34" spans="1:27">
      <c r="A34" s="942"/>
      <c r="B34">
        <v>1</v>
      </c>
      <c r="C34" s="169">
        <f>$E$26*EXP(-$E$25*(1/$B34-1/$E$24)^2)</f>
        <v>0</v>
      </c>
      <c r="E34" s="169">
        <f t="shared" ref="E34:E47" si="4">B34/$B$28</f>
        <v>0.7407407407407407</v>
      </c>
      <c r="F34" s="1316">
        <f t="shared" ref="F34:F47" si="5">$E$26*EXP(-$E$25*(1/($E34*$B$28)-1/$E$24)^2)*$B$28</f>
        <v>0</v>
      </c>
      <c r="G34" s="940"/>
      <c r="H34" s="940"/>
      <c r="I34" s="940"/>
      <c r="W34" s="940"/>
      <c r="X34" s="169"/>
      <c r="Z34" s="169"/>
      <c r="AA34" s="169"/>
    </row>
    <row r="35" spans="1:27">
      <c r="A35" s="942"/>
      <c r="B35">
        <v>2</v>
      </c>
      <c r="C35" s="169">
        <f t="shared" ref="C35:C47" si="6">$E$26*EXP(-$E$25*(1/$B35-1/$E$24)^2)</f>
        <v>3.3783754462470071E-234</v>
      </c>
      <c r="E35" s="169">
        <f t="shared" si="4"/>
        <v>1.4814814814814814</v>
      </c>
      <c r="F35" s="1316">
        <f t="shared" si="5"/>
        <v>4.5608068524334597E-234</v>
      </c>
      <c r="G35" s="940"/>
      <c r="H35" s="940"/>
      <c r="I35" s="940"/>
      <c r="W35" s="940"/>
      <c r="X35" s="169"/>
      <c r="Z35" s="169"/>
      <c r="AA35" s="169"/>
    </row>
    <row r="36" spans="1:27">
      <c r="A36" s="942"/>
      <c r="B36">
        <v>3</v>
      </c>
      <c r="C36" s="169">
        <f t="shared" si="6"/>
        <v>1.5160123539673895E-95</v>
      </c>
      <c r="E36" s="169">
        <f t="shared" si="4"/>
        <v>2.2222222222222219</v>
      </c>
      <c r="F36" s="1316">
        <f t="shared" si="5"/>
        <v>2.0466166778558019E-95</v>
      </c>
      <c r="G36" s="940"/>
      <c r="H36" s="940"/>
      <c r="I36" s="940"/>
      <c r="W36" s="940"/>
      <c r="X36" s="169"/>
      <c r="Z36" s="169"/>
      <c r="AA36" s="169"/>
    </row>
    <row r="37" spans="1:27">
      <c r="A37" s="942"/>
      <c r="B37">
        <v>4</v>
      </c>
      <c r="C37" s="169">
        <f t="shared" si="6"/>
        <v>7.7125126391375146E-49</v>
      </c>
      <c r="E37" s="169">
        <f t="shared" si="4"/>
        <v>2.9629629629629628</v>
      </c>
      <c r="F37" s="1316">
        <f t="shared" si="5"/>
        <v>1.0411892062835645E-48</v>
      </c>
      <c r="G37" s="940"/>
      <c r="H37" s="940"/>
      <c r="I37" s="940"/>
      <c r="W37" s="940"/>
      <c r="X37" s="169"/>
      <c r="Z37" s="169"/>
      <c r="AA37" s="169"/>
    </row>
    <row r="38" spans="1:27">
      <c r="A38" s="942"/>
      <c r="B38">
        <v>5</v>
      </c>
      <c r="C38" s="169">
        <f t="shared" si="6"/>
        <v>4.7081513212088387E-28</v>
      </c>
      <c r="E38" s="169">
        <f t="shared" si="4"/>
        <v>3.7037037037037033</v>
      </c>
      <c r="F38" s="1316">
        <f t="shared" si="5"/>
        <v>6.3560042836319329E-28</v>
      </c>
      <c r="W38" s="940"/>
      <c r="X38" s="169"/>
      <c r="Z38" s="169"/>
      <c r="AA38" s="169"/>
    </row>
    <row r="39" spans="1:27">
      <c r="A39" s="942"/>
      <c r="B39">
        <v>7</v>
      </c>
      <c r="C39" s="169">
        <f t="shared" si="6"/>
        <v>6.0328098308861008E-11</v>
      </c>
      <c r="E39" s="169">
        <f t="shared" si="4"/>
        <v>5.1851851851851851</v>
      </c>
      <c r="F39" s="1316">
        <f t="shared" si="5"/>
        <v>8.1442932716962368E-11</v>
      </c>
      <c r="W39" s="940"/>
      <c r="X39" s="169"/>
      <c r="Z39" s="169"/>
      <c r="AA39" s="169"/>
    </row>
    <row r="40" spans="1:27">
      <c r="A40" s="942"/>
      <c r="B40">
        <v>9</v>
      </c>
      <c r="C40" s="169">
        <f t="shared" si="6"/>
        <v>1.6633147776155859E-4</v>
      </c>
      <c r="E40" s="169">
        <f t="shared" si="4"/>
        <v>6.6666666666666661</v>
      </c>
      <c r="F40" s="1316">
        <f t="shared" si="5"/>
        <v>2.2454749497810412E-4</v>
      </c>
      <c r="W40" s="940"/>
      <c r="X40" s="169"/>
      <c r="Z40" s="169"/>
      <c r="AA40" s="169"/>
    </row>
    <row r="41" spans="1:27">
      <c r="A41" s="942"/>
      <c r="B41">
        <v>11</v>
      </c>
      <c r="C41" s="169">
        <f t="shared" si="6"/>
        <v>0.1513609184593839</v>
      </c>
      <c r="E41" s="169">
        <f t="shared" si="4"/>
        <v>8.148148148148147</v>
      </c>
      <c r="F41" s="1316">
        <f t="shared" si="5"/>
        <v>0.20433723992016828</v>
      </c>
      <c r="W41" s="940"/>
      <c r="X41" s="169"/>
      <c r="Z41" s="169"/>
      <c r="AA41" s="169"/>
    </row>
    <row r="42" spans="1:27">
      <c r="A42" s="942"/>
      <c r="B42">
        <v>13</v>
      </c>
      <c r="C42" s="169">
        <f t="shared" si="6"/>
        <v>5.1218867084110951</v>
      </c>
      <c r="E42" s="169">
        <f t="shared" si="4"/>
        <v>9.6296296296296298</v>
      </c>
      <c r="F42" s="1316">
        <f t="shared" si="5"/>
        <v>6.914547056355004</v>
      </c>
      <c r="H42" s="940"/>
      <c r="I42" s="940"/>
      <c r="W42" s="940"/>
      <c r="X42" s="169"/>
      <c r="Z42" s="169"/>
      <c r="AA42" s="169"/>
    </row>
    <row r="43" spans="1:27">
      <c r="A43" s="942"/>
      <c r="B43">
        <v>15</v>
      </c>
      <c r="C43" s="169">
        <f t="shared" si="6"/>
        <v>36.395202335520636</v>
      </c>
      <c r="E43" s="169">
        <f t="shared" si="4"/>
        <v>11.111111111111111</v>
      </c>
      <c r="F43" s="1316">
        <f t="shared" si="5"/>
        <v>49.133523152952861</v>
      </c>
      <c r="W43" s="940"/>
      <c r="X43" s="169"/>
      <c r="Z43" s="169"/>
      <c r="AA43" s="169"/>
    </row>
    <row r="44" spans="1:27">
      <c r="A44" s="942"/>
      <c r="B44">
        <v>18</v>
      </c>
      <c r="C44" s="169">
        <f t="shared" si="6"/>
        <v>168.21085851367161</v>
      </c>
      <c r="E44" s="169">
        <f t="shared" si="4"/>
        <v>13.333333333333332</v>
      </c>
      <c r="F44" s="1316">
        <f t="shared" si="5"/>
        <v>227.08465899345669</v>
      </c>
      <c r="W44" s="940"/>
      <c r="X44" s="169"/>
      <c r="Z44" s="169"/>
      <c r="AA44" s="169"/>
    </row>
    <row r="45" spans="1:27">
      <c r="A45" s="942"/>
      <c r="B45">
        <v>21</v>
      </c>
      <c r="C45" s="169">
        <f t="shared" si="6"/>
        <v>344.02165176058662</v>
      </c>
      <c r="D45" s="940"/>
      <c r="E45" s="169">
        <f t="shared" si="4"/>
        <v>15.555555555555555</v>
      </c>
      <c r="F45" s="1316">
        <f t="shared" si="5"/>
        <v>464.42922987679196</v>
      </c>
    </row>
    <row r="46" spans="1:27">
      <c r="A46" s="942"/>
      <c r="B46">
        <v>24</v>
      </c>
      <c r="C46" s="169">
        <f t="shared" si="6"/>
        <v>478.49196698247965</v>
      </c>
      <c r="D46" s="940"/>
      <c r="E46" s="169">
        <f t="shared" si="4"/>
        <v>17.777777777777775</v>
      </c>
      <c r="F46" s="1316">
        <f t="shared" si="5"/>
        <v>645.96415542634747</v>
      </c>
    </row>
    <row r="47" spans="1:27">
      <c r="A47" s="942"/>
      <c r="B47">
        <v>29</v>
      </c>
      <c r="C47" s="169">
        <f t="shared" si="6"/>
        <v>562.79300508834001</v>
      </c>
      <c r="D47" s="940"/>
      <c r="E47" s="169">
        <f t="shared" si="4"/>
        <v>21.481481481481481</v>
      </c>
      <c r="F47" s="1316">
        <f t="shared" si="5"/>
        <v>759.77055686925905</v>
      </c>
    </row>
    <row r="48" spans="1:27">
      <c r="A48" s="942"/>
      <c r="B48" s="940"/>
      <c r="C48" s="940"/>
      <c r="D48" s="940"/>
    </row>
    <row r="49" spans="1:28">
      <c r="A49" s="942"/>
      <c r="B49" s="940"/>
      <c r="C49" s="940"/>
      <c r="D49" s="940"/>
    </row>
    <row r="50" spans="1:28">
      <c r="A50" s="942"/>
      <c r="B50" s="940"/>
      <c r="C50" s="940"/>
      <c r="D50" s="940"/>
    </row>
    <row r="51" spans="1:28">
      <c r="U51" s="1312"/>
    </row>
    <row r="52" spans="1:28">
      <c r="A52" s="1185" t="s">
        <v>1512</v>
      </c>
      <c r="B52" s="1322">
        <v>105</v>
      </c>
      <c r="D52" t="s">
        <v>1382</v>
      </c>
      <c r="E52" s="1317">
        <f>INDEX(EA_Ucrit, MATCH($B$52,EA_RunNum,0),1,1)</f>
        <v>26.5</v>
      </c>
      <c r="M52" t="s">
        <v>1381</v>
      </c>
      <c r="U52" s="1312"/>
    </row>
    <row r="53" spans="1:28">
      <c r="D53" t="s">
        <v>401</v>
      </c>
      <c r="E53" s="1317">
        <f>INDEX(EA_A, MATCH($B$52,EA_RunNum,0),1,1)</f>
        <v>2916.15</v>
      </c>
      <c r="M53" t="s">
        <v>1384</v>
      </c>
      <c r="N53" t="s">
        <v>1385</v>
      </c>
      <c r="P53" t="s">
        <v>1386</v>
      </c>
      <c r="Q53" t="s">
        <v>1387</v>
      </c>
      <c r="U53" s="1312"/>
    </row>
    <row r="54" spans="1:28">
      <c r="B54" s="5"/>
      <c r="D54" t="s">
        <v>1395</v>
      </c>
      <c r="E54" s="1317">
        <f>INDEX(EA_Cm_Max, MATCH($B$52,EA_RunNum,0),1,1)</f>
        <v>475</v>
      </c>
      <c r="H54" s="5"/>
      <c r="I54" s="5"/>
      <c r="M54" s="1083">
        <v>0</v>
      </c>
      <c r="N54" s="1083">
        <v>400</v>
      </c>
      <c r="O54" s="1083"/>
      <c r="P54" s="1083">
        <f>R31</f>
        <v>0</v>
      </c>
      <c r="Q54" s="1083">
        <v>0</v>
      </c>
      <c r="U54" s="1312"/>
      <c r="Z54" s="107"/>
      <c r="AA54" s="1230"/>
      <c r="AB54" s="169"/>
    </row>
    <row r="55" spans="1:28">
      <c r="B55" s="5"/>
      <c r="E55" s="1317"/>
      <c r="H55" s="5"/>
      <c r="I55" s="5"/>
      <c r="M55" s="1083">
        <v>30</v>
      </c>
      <c r="N55" s="1083">
        <v>400</v>
      </c>
      <c r="O55" s="1083"/>
      <c r="P55" s="1083">
        <f>R31</f>
        <v>0</v>
      </c>
      <c r="Q55" s="1083">
        <v>1000</v>
      </c>
      <c r="U55" s="1312"/>
      <c r="W55" s="5"/>
      <c r="X55" s="5"/>
      <c r="Z55" s="5"/>
      <c r="AA55" s="5"/>
    </row>
    <row r="56" spans="1:28">
      <c r="A56" s="1185" t="s">
        <v>1514</v>
      </c>
      <c r="B56" s="1318">
        <v>1.33</v>
      </c>
      <c r="C56" s="1319">
        <f>1/B56</f>
        <v>0.75187969924812026</v>
      </c>
      <c r="D56" s="1315" t="s">
        <v>1520</v>
      </c>
      <c r="H56" s="5"/>
      <c r="I56" s="5"/>
      <c r="U56" s="1308"/>
      <c r="W56" s="5"/>
      <c r="X56" s="5"/>
      <c r="Z56" s="5"/>
      <c r="AA56" s="5"/>
    </row>
    <row r="57" spans="1:28">
      <c r="B57" s="1873" t="s">
        <v>1513</v>
      </c>
      <c r="C57" s="1873"/>
      <c r="E57" s="1873" t="s">
        <v>1515</v>
      </c>
      <c r="F57" s="1873"/>
      <c r="H57" s="5"/>
      <c r="I57" s="5"/>
      <c r="U57" s="1312"/>
      <c r="W57" s="5"/>
      <c r="X57" s="5"/>
      <c r="Z57" s="5"/>
      <c r="AA57" s="5"/>
    </row>
    <row r="58" spans="1:28">
      <c r="B58" s="5" t="s">
        <v>1388</v>
      </c>
      <c r="C58" s="5" t="s">
        <v>1389</v>
      </c>
      <c r="E58" s="5" t="s">
        <v>1388</v>
      </c>
      <c r="F58" s="5" t="s">
        <v>1389</v>
      </c>
      <c r="H58" s="5"/>
      <c r="I58" s="5"/>
      <c r="W58" s="5"/>
      <c r="X58" s="5"/>
      <c r="Z58" s="5"/>
      <c r="AA58" s="5"/>
    </row>
    <row r="59" spans="1:28">
      <c r="A59" s="942"/>
      <c r="B59" s="5" t="s">
        <v>168</v>
      </c>
      <c r="C59" s="5" t="s">
        <v>1394</v>
      </c>
      <c r="E59" s="5" t="s">
        <v>168</v>
      </c>
      <c r="F59" s="5" t="s">
        <v>1394</v>
      </c>
      <c r="G59" s="940"/>
      <c r="H59" s="940"/>
      <c r="I59" s="940"/>
      <c r="W59" s="940"/>
      <c r="X59" s="169"/>
      <c r="Z59" s="169"/>
      <c r="AA59" s="169"/>
    </row>
    <row r="60" spans="1:28">
      <c r="A60" s="942"/>
      <c r="B60" s="5" t="s">
        <v>703</v>
      </c>
      <c r="C60" s="5" t="s">
        <v>1364</v>
      </c>
      <c r="E60" s="5" t="s">
        <v>703</v>
      </c>
      <c r="F60" s="5" t="s">
        <v>1364</v>
      </c>
      <c r="G60" s="940"/>
      <c r="H60" s="940"/>
      <c r="I60" s="940"/>
      <c r="W60" s="940"/>
      <c r="X60" s="169"/>
      <c r="Z60" s="169"/>
      <c r="AA60" s="169"/>
    </row>
    <row r="61" spans="1:28">
      <c r="A61" s="942"/>
      <c r="B61" s="5" t="s">
        <v>1397</v>
      </c>
      <c r="C61" s="5" t="s">
        <v>1398</v>
      </c>
      <c r="E61" s="5" t="s">
        <v>1397</v>
      </c>
      <c r="F61" s="5" t="s">
        <v>1398</v>
      </c>
      <c r="G61" s="940"/>
      <c r="H61" s="940"/>
      <c r="I61" s="940"/>
      <c r="W61" s="940"/>
      <c r="X61" s="169"/>
      <c r="Z61" s="169"/>
      <c r="AA61" s="169"/>
    </row>
    <row r="62" spans="1:28">
      <c r="A62" s="942"/>
      <c r="B62">
        <v>1</v>
      </c>
      <c r="C62" s="169">
        <f>$E$54*EXP(-$E$53*(1/$B62-1/$E$52)^2)</f>
        <v>0</v>
      </c>
      <c r="E62" s="169">
        <f t="shared" ref="E62:E75" si="7">B62/$B$28</f>
        <v>0.7407407407407407</v>
      </c>
      <c r="F62" s="1316">
        <f>$E$54*EXP(-$E$53*(1/($E62*$B$56)-1/$E$52)^2)*$B$56</f>
        <v>0</v>
      </c>
      <c r="G62" s="940"/>
      <c r="H62" s="940"/>
      <c r="I62" s="940"/>
      <c r="W62" s="940"/>
      <c r="X62" s="169"/>
      <c r="Z62" s="169"/>
      <c r="AA62" s="169"/>
    </row>
    <row r="63" spans="1:28">
      <c r="A63" s="942"/>
      <c r="B63">
        <v>2</v>
      </c>
      <c r="C63" s="169">
        <f t="shared" ref="C63:C75" si="8">$E$54*EXP(-$E$53*(1/$B63-1/$E$52)^2)</f>
        <v>1.1156475104069822E-268</v>
      </c>
      <c r="E63" s="169">
        <f t="shared" si="7"/>
        <v>1.4814814814814814</v>
      </c>
      <c r="F63" s="1316">
        <f t="shared" ref="F63:F75" si="9">$E$54*EXP(-$E$53*(1/($E63*$B$56)-1/$E$52)^2)*$B$56</f>
        <v>1.9775745425843402E-277</v>
      </c>
      <c r="G63" s="940"/>
      <c r="H63" s="940"/>
      <c r="I63" s="940"/>
      <c r="W63" s="940"/>
      <c r="X63" s="169"/>
      <c r="Z63" s="169"/>
      <c r="AA63" s="169"/>
    </row>
    <row r="64" spans="1:28">
      <c r="A64" s="942"/>
      <c r="B64">
        <v>3</v>
      </c>
      <c r="C64" s="169">
        <f t="shared" si="8"/>
        <v>1.0361597616057171E-108</v>
      </c>
      <c r="E64" s="169">
        <f t="shared" si="7"/>
        <v>2.2222222222222219</v>
      </c>
      <c r="F64" s="1316">
        <f t="shared" si="9"/>
        <v>2.2616639482540036E-112</v>
      </c>
      <c r="G64" s="940"/>
      <c r="H64" s="940"/>
      <c r="I64" s="940"/>
      <c r="W64" s="940"/>
      <c r="X64" s="169"/>
      <c r="Z64" s="169"/>
      <c r="AA64" s="169"/>
    </row>
    <row r="65" spans="1:27">
      <c r="A65" s="942"/>
      <c r="B65">
        <v>4</v>
      </c>
      <c r="C65" s="169">
        <f t="shared" si="8"/>
        <v>4.117462362800256E-55</v>
      </c>
      <c r="E65" s="169">
        <f t="shared" si="7"/>
        <v>2.9629629629629628</v>
      </c>
      <c r="F65" s="1316">
        <f t="shared" si="9"/>
        <v>5.0042171752581115E-57</v>
      </c>
      <c r="G65" s="940"/>
      <c r="H65" s="940"/>
      <c r="I65" s="940"/>
      <c r="W65" s="940"/>
      <c r="X65" s="169"/>
      <c r="Z65" s="169"/>
      <c r="AA65" s="169"/>
    </row>
    <row r="66" spans="1:27">
      <c r="A66" s="942"/>
      <c r="B66">
        <v>5</v>
      </c>
      <c r="C66" s="169">
        <f t="shared" si="8"/>
        <v>2.1430502994760176E-31</v>
      </c>
      <c r="E66" s="169">
        <f t="shared" si="7"/>
        <v>3.7037037037037033</v>
      </c>
      <c r="F66" s="1316">
        <f t="shared" si="9"/>
        <v>1.6118489590001181E-32</v>
      </c>
      <c r="W66" s="940"/>
      <c r="X66" s="169"/>
      <c r="Z66" s="169"/>
      <c r="AA66" s="169"/>
    </row>
    <row r="67" spans="1:27">
      <c r="A67" s="942"/>
      <c r="B67">
        <v>7</v>
      </c>
      <c r="C67" s="169">
        <f t="shared" si="8"/>
        <v>4.8040531822619116E-12</v>
      </c>
      <c r="E67" s="169">
        <f t="shared" si="7"/>
        <v>5.1851851851851851</v>
      </c>
      <c r="F67" s="1316">
        <f t="shared" si="9"/>
        <v>1.6889467902199314E-12</v>
      </c>
      <c r="W67" s="940"/>
      <c r="X67" s="169"/>
      <c r="Z67" s="169"/>
      <c r="AA67" s="169"/>
    </row>
    <row r="68" spans="1:27">
      <c r="A68" s="942"/>
      <c r="B68">
        <v>9</v>
      </c>
      <c r="C68" s="169">
        <f t="shared" si="8"/>
        <v>7.2130759119582748E-5</v>
      </c>
      <c r="E68" s="169">
        <f t="shared" si="7"/>
        <v>6.6666666666666661</v>
      </c>
      <c r="F68" s="1316">
        <f t="shared" si="9"/>
        <v>4.6548120526704477E-5</v>
      </c>
      <c r="W68" s="940"/>
      <c r="X68" s="169"/>
      <c r="Z68" s="169"/>
      <c r="AA68" s="169"/>
    </row>
    <row r="69" spans="1:27">
      <c r="A69" s="942"/>
      <c r="B69">
        <v>11</v>
      </c>
      <c r="C69" s="169">
        <f t="shared" si="8"/>
        <v>0.12470688868046703</v>
      </c>
      <c r="E69" s="169">
        <f t="shared" si="7"/>
        <v>8.148148148148147</v>
      </c>
      <c r="F69" s="1316">
        <f t="shared" si="9"/>
        <v>0.10795789600372836</v>
      </c>
      <c r="W69" s="940"/>
      <c r="X69" s="169"/>
      <c r="Z69" s="169"/>
      <c r="AA69" s="169"/>
    </row>
    <row r="70" spans="1:27">
      <c r="A70" s="942"/>
      <c r="B70">
        <v>13</v>
      </c>
      <c r="C70" s="169">
        <f t="shared" si="8"/>
        <v>5.3933226179324256</v>
      </c>
      <c r="E70" s="169">
        <f t="shared" si="7"/>
        <v>9.6296296296296298</v>
      </c>
      <c r="F70" s="1316">
        <f t="shared" si="9"/>
        <v>5.4852586284804916</v>
      </c>
      <c r="H70" s="940"/>
      <c r="I70" s="940"/>
      <c r="W70" s="940"/>
      <c r="X70" s="169"/>
      <c r="Z70" s="169"/>
      <c r="AA70" s="169"/>
    </row>
    <row r="71" spans="1:27">
      <c r="A71" s="942"/>
      <c r="B71">
        <v>15</v>
      </c>
      <c r="C71" s="169">
        <f t="shared" si="8"/>
        <v>41.368510599550987</v>
      </c>
      <c r="E71" s="169">
        <f t="shared" si="7"/>
        <v>11.111111111111111</v>
      </c>
      <c r="F71" s="1316">
        <f t="shared" si="9"/>
        <v>46.321769617478836</v>
      </c>
      <c r="W71" s="940"/>
      <c r="X71" s="169"/>
      <c r="Z71" s="169"/>
      <c r="AA71" s="169"/>
    </row>
    <row r="72" spans="1:27">
      <c r="A72" s="942"/>
      <c r="B72">
        <v>18</v>
      </c>
      <c r="C72" s="169">
        <f t="shared" si="8"/>
        <v>188.16417942672129</v>
      </c>
      <c r="E72" s="169">
        <f t="shared" si="7"/>
        <v>13.333333333333332</v>
      </c>
      <c r="F72" s="1316">
        <f t="shared" si="9"/>
        <v>228.97967845845298</v>
      </c>
      <c r="W72" s="940"/>
      <c r="X72" s="169"/>
      <c r="Z72" s="169"/>
      <c r="AA72" s="169"/>
    </row>
    <row r="73" spans="1:27">
      <c r="A73" s="942"/>
      <c r="B73">
        <v>21</v>
      </c>
      <c r="C73" s="169">
        <f t="shared" si="8"/>
        <v>357.26300902038366</v>
      </c>
      <c r="D73" s="940"/>
      <c r="E73" s="169">
        <f t="shared" si="7"/>
        <v>15.555555555555555</v>
      </c>
      <c r="F73" s="1316">
        <f t="shared" si="9"/>
        <v>455.26514475041466</v>
      </c>
    </row>
    <row r="74" spans="1:27">
      <c r="A74" s="942"/>
      <c r="B74">
        <v>24</v>
      </c>
      <c r="C74" s="169">
        <f t="shared" si="8"/>
        <v>454.07229096228065</v>
      </c>
      <c r="D74" s="940"/>
      <c r="E74" s="169">
        <f t="shared" si="7"/>
        <v>17.777777777777775</v>
      </c>
      <c r="F74" s="1316">
        <f t="shared" si="9"/>
        <v>594.62207891121034</v>
      </c>
    </row>
    <row r="75" spans="1:27">
      <c r="A75" s="942"/>
      <c r="B75">
        <v>29</v>
      </c>
      <c r="C75" s="169">
        <f t="shared" si="8"/>
        <v>460.56516857381428</v>
      </c>
      <c r="D75" s="940"/>
      <c r="E75" s="169">
        <f t="shared" si="7"/>
        <v>21.481481481481481</v>
      </c>
      <c r="F75" s="1316">
        <f t="shared" si="9"/>
        <v>618.12297256113948</v>
      </c>
    </row>
  </sheetData>
  <mergeCells count="4">
    <mergeCell ref="B29:C29"/>
    <mergeCell ref="E29:F29"/>
    <mergeCell ref="B57:C57"/>
    <mergeCell ref="E57:F57"/>
  </mergeCell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dimension ref="B1:AA25"/>
  <sheetViews>
    <sheetView topLeftCell="A2" zoomScale="64" workbookViewId="0">
      <pane xSplit="3" ySplit="7" topLeftCell="D9" activePane="bottomRight" state="frozen"/>
      <selection pane="topRight"/>
      <selection pane="bottomLeft"/>
      <selection pane="bottomRight" activeCell="Y8" sqref="Y8"/>
    </sheetView>
  </sheetViews>
  <sheetFormatPr defaultRowHeight="15.75"/>
  <cols>
    <col min="4" max="4" width="26.75" bestFit="1" customWidth="1"/>
    <col min="25" max="25" width="12.5" bestFit="1" customWidth="1"/>
    <col min="26" max="26" width="10.625" bestFit="1" customWidth="1"/>
  </cols>
  <sheetData>
    <row r="1" spans="2:27" ht="20.25">
      <c r="B1" s="120" t="str">
        <f>'Stack Summary'!D1</f>
        <v>Project Name 1</v>
      </c>
    </row>
    <row r="2" spans="2:27" ht="20.25">
      <c r="B2" s="120" t="str">
        <f>'Stack Summary'!D2</f>
        <v>Project Name 2</v>
      </c>
    </row>
    <row r="4" spans="2:27">
      <c r="B4" s="73"/>
      <c r="C4" s="1785" t="s">
        <v>275</v>
      </c>
      <c r="D4" s="1727"/>
      <c r="E4" s="1726" t="s">
        <v>276</v>
      </c>
      <c r="F4" s="1785"/>
      <c r="G4" s="1785"/>
      <c r="H4" s="1785"/>
      <c r="I4" s="1785"/>
      <c r="J4" s="1785"/>
      <c r="K4" s="1785"/>
      <c r="L4" s="1785"/>
      <c r="M4" s="1785"/>
      <c r="N4" s="1785"/>
      <c r="O4" s="1727"/>
      <c r="P4" s="1706" t="s">
        <v>277</v>
      </c>
      <c r="Q4" s="1874"/>
      <c r="R4" s="1707"/>
      <c r="S4" s="1706" t="s">
        <v>278</v>
      </c>
      <c r="T4" s="1874"/>
      <c r="U4" s="1874"/>
      <c r="V4" s="1874"/>
      <c r="W4" s="1707"/>
      <c r="X4" s="177"/>
      <c r="Y4" s="178"/>
      <c r="Z4" s="178"/>
      <c r="AA4" s="73"/>
    </row>
    <row r="5" spans="2:27">
      <c r="B5" s="160"/>
      <c r="C5" s="13"/>
      <c r="D5" s="75"/>
      <c r="E5" s="74"/>
      <c r="F5" s="13" t="s">
        <v>279</v>
      </c>
      <c r="G5" s="13"/>
      <c r="H5" s="13" t="s">
        <v>279</v>
      </c>
      <c r="I5" s="13"/>
      <c r="J5" s="13"/>
      <c r="K5" s="13" t="s">
        <v>280</v>
      </c>
      <c r="L5" s="13"/>
      <c r="M5" s="13" t="s">
        <v>704</v>
      </c>
      <c r="N5" s="13" t="s">
        <v>817</v>
      </c>
      <c r="O5" s="75" t="s">
        <v>817</v>
      </c>
      <c r="P5" s="202" t="s">
        <v>281</v>
      </c>
      <c r="Q5" s="203"/>
      <c r="R5" s="204" t="s">
        <v>282</v>
      </c>
      <c r="S5" s="202"/>
      <c r="T5" s="203"/>
      <c r="U5" s="203"/>
      <c r="V5" s="203"/>
      <c r="W5" s="204"/>
      <c r="X5" s="74"/>
      <c r="Y5" s="13" t="s">
        <v>223</v>
      </c>
      <c r="Z5" s="13" t="s">
        <v>285</v>
      </c>
      <c r="AA5" s="160" t="s">
        <v>84</v>
      </c>
    </row>
    <row r="6" spans="2:27">
      <c r="B6" s="160"/>
      <c r="C6" s="13"/>
      <c r="D6" s="75"/>
      <c r="E6" s="74" t="s">
        <v>162</v>
      </c>
      <c r="F6" s="13" t="s">
        <v>162</v>
      </c>
      <c r="G6" s="13" t="s">
        <v>279</v>
      </c>
      <c r="H6" s="13" t="s">
        <v>286</v>
      </c>
      <c r="I6" s="13" t="s">
        <v>279</v>
      </c>
      <c r="J6" s="13" t="s">
        <v>286</v>
      </c>
      <c r="K6" s="13" t="s">
        <v>286</v>
      </c>
      <c r="L6" s="13" t="s">
        <v>280</v>
      </c>
      <c r="M6" s="13" t="s">
        <v>287</v>
      </c>
      <c r="N6" s="13" t="s">
        <v>287</v>
      </c>
      <c r="O6" s="75" t="s">
        <v>287</v>
      </c>
      <c r="P6" s="202" t="s">
        <v>287</v>
      </c>
      <c r="Q6" s="203" t="s">
        <v>288</v>
      </c>
      <c r="R6" s="204" t="s">
        <v>778</v>
      </c>
      <c r="S6" s="202"/>
      <c r="T6" s="203" t="s">
        <v>289</v>
      </c>
      <c r="U6" s="203"/>
      <c r="V6" s="203" t="s">
        <v>290</v>
      </c>
      <c r="W6" s="204" t="s">
        <v>291</v>
      </c>
      <c r="X6" s="74" t="s">
        <v>704</v>
      </c>
      <c r="Y6" s="13" t="s">
        <v>292</v>
      </c>
      <c r="Z6" s="13" t="s">
        <v>292</v>
      </c>
      <c r="AA6" s="160" t="s">
        <v>293</v>
      </c>
    </row>
    <row r="7" spans="2:27">
      <c r="B7" s="160" t="s">
        <v>160</v>
      </c>
      <c r="C7" s="13" t="s">
        <v>663</v>
      </c>
      <c r="D7" s="75" t="s">
        <v>147</v>
      </c>
      <c r="E7" s="74" t="s">
        <v>167</v>
      </c>
      <c r="F7" s="13" t="s">
        <v>168</v>
      </c>
      <c r="G7" s="13" t="s">
        <v>294</v>
      </c>
      <c r="H7" s="13" t="s">
        <v>294</v>
      </c>
      <c r="I7" s="13" t="s">
        <v>295</v>
      </c>
      <c r="J7" s="13" t="s">
        <v>168</v>
      </c>
      <c r="K7" s="13" t="s">
        <v>294</v>
      </c>
      <c r="L7" s="13" t="s">
        <v>295</v>
      </c>
      <c r="M7" s="13" t="s">
        <v>294</v>
      </c>
      <c r="N7" s="13" t="s">
        <v>294</v>
      </c>
      <c r="O7" s="75" t="s">
        <v>168</v>
      </c>
      <c r="P7" s="202" t="s">
        <v>168</v>
      </c>
      <c r="Q7" s="203" t="s">
        <v>674</v>
      </c>
      <c r="R7" s="204" t="s">
        <v>296</v>
      </c>
      <c r="S7" s="202" t="s">
        <v>297</v>
      </c>
      <c r="T7" s="203" t="s">
        <v>291</v>
      </c>
      <c r="U7" s="203" t="s">
        <v>298</v>
      </c>
      <c r="V7" s="203" t="s">
        <v>291</v>
      </c>
      <c r="W7" s="204" t="s">
        <v>296</v>
      </c>
      <c r="X7" s="74" t="s">
        <v>296</v>
      </c>
      <c r="Y7" s="13" t="s">
        <v>299</v>
      </c>
      <c r="Z7" s="13" t="s">
        <v>299</v>
      </c>
      <c r="AA7" s="160"/>
    </row>
    <row r="8" spans="2:27">
      <c r="B8" s="76" t="s">
        <v>120</v>
      </c>
      <c r="C8" s="14" t="s">
        <v>665</v>
      </c>
      <c r="D8" s="145" t="s">
        <v>665</v>
      </c>
      <c r="E8" s="77" t="s">
        <v>174</v>
      </c>
      <c r="F8" s="14" t="s">
        <v>703</v>
      </c>
      <c r="G8" s="14" t="s">
        <v>743</v>
      </c>
      <c r="H8" s="14" t="s">
        <v>743</v>
      </c>
      <c r="I8" s="14"/>
      <c r="J8" s="14" t="s">
        <v>703</v>
      </c>
      <c r="K8" s="14" t="s">
        <v>743</v>
      </c>
      <c r="L8" s="14"/>
      <c r="M8" s="14" t="s">
        <v>743</v>
      </c>
      <c r="N8" s="14" t="s">
        <v>743</v>
      </c>
      <c r="O8" s="145" t="s">
        <v>703</v>
      </c>
      <c r="P8" s="205" t="s">
        <v>703</v>
      </c>
      <c r="Q8" s="206" t="s">
        <v>129</v>
      </c>
      <c r="R8" s="207" t="s">
        <v>300</v>
      </c>
      <c r="S8" s="205" t="s">
        <v>301</v>
      </c>
      <c r="T8" s="206" t="s">
        <v>301</v>
      </c>
      <c r="U8" s="206" t="s">
        <v>301</v>
      </c>
      <c r="V8" s="206" t="s">
        <v>301</v>
      </c>
      <c r="W8" s="207" t="s">
        <v>302</v>
      </c>
      <c r="X8" s="77" t="s">
        <v>302</v>
      </c>
      <c r="Y8" s="14" t="s">
        <v>303</v>
      </c>
      <c r="Z8" s="14" t="s">
        <v>303</v>
      </c>
      <c r="AA8" s="76"/>
    </row>
    <row r="10" spans="2:27">
      <c r="B10" s="46">
        <v>101</v>
      </c>
      <c r="C10" s="16" t="e">
        <f>VLOOKUP($B10,Results,2)</f>
        <v>#NAME?</v>
      </c>
      <c r="D10" s="16" t="e">
        <f>VLOOKUP($B10,Results,5)&amp;VLOOKUP($B10,Results,6)</f>
        <v>#NAME?</v>
      </c>
      <c r="E10" s="42" t="e">
        <f>VLOOKUP($B10,Results,8)</f>
        <v>#NAME?</v>
      </c>
      <c r="F10" s="198" t="e">
        <f>VLOOKUP($B10,Results,9)</f>
        <v>#NAME?</v>
      </c>
      <c r="G10" s="198" t="str">
        <f>ZAnem</f>
        <v>Anemometer Height</v>
      </c>
      <c r="H10" s="198" t="str">
        <f>Zinf</f>
        <v>Gradient Height</v>
      </c>
      <c r="I10" s="199" t="e">
        <f>#REF!</f>
        <v>#REF!</v>
      </c>
      <c r="J10" s="201" t="e">
        <f>F10*(H10/G10)^I10</f>
        <v>#NAME?</v>
      </c>
      <c r="K10" s="170" t="str">
        <f>H10</f>
        <v>Gradient Height</v>
      </c>
      <c r="L10" s="199" t="e">
        <f>#REF!</f>
        <v>#REF!</v>
      </c>
      <c r="M10" s="199" t="e">
        <f>#REF!</f>
        <v>#REF!</v>
      </c>
      <c r="N10" s="199" t="e">
        <f>#REF!</f>
        <v>#REF!</v>
      </c>
      <c r="O10" s="67" t="e">
        <f>J10*(N10/K10)^L10</f>
        <v>#NAME?</v>
      </c>
      <c r="P10" s="208"/>
      <c r="Q10" s="192"/>
      <c r="R10" s="208"/>
      <c r="S10" s="192"/>
      <c r="T10" s="192"/>
      <c r="U10" s="192"/>
      <c r="V10" s="192"/>
      <c r="W10" s="46"/>
      <c r="X10" s="67" t="e">
        <f>((S10/T10)-(U10/V10))*W10</f>
        <v>#DIV/0!</v>
      </c>
      <c r="Y10" s="67" t="e">
        <f>(X10/(R10*10^4))*(1/(Q10*10^-6))*(P10/O10)*(10^6/SF^2)</f>
        <v>#DIV/0!</v>
      </c>
      <c r="Z10" s="199" t="e">
        <f>VLOOKUP(B10,Results,10)</f>
        <v>#NAME?</v>
      </c>
      <c r="AA10" s="101" t="e">
        <f>(Y10-Z10)/Y10</f>
        <v>#DIV/0!</v>
      </c>
    </row>
    <row r="11" spans="2:27">
      <c r="B11" s="46">
        <v>121</v>
      </c>
      <c r="C11" s="16" t="e">
        <f t="shared" ref="C11:C25" si="0">VLOOKUP($B11,Results,2)</f>
        <v>#NAME?</v>
      </c>
      <c r="D11" s="16" t="e">
        <f t="shared" ref="D11:D25" si="1">VLOOKUP($B11,Results,5)&amp;VLOOKUP($B11,Results,6)</f>
        <v>#NAME?</v>
      </c>
      <c r="E11" s="42" t="e">
        <f t="shared" ref="E11:E25" si="2">VLOOKUP($B11,Results,8)</f>
        <v>#NAME?</v>
      </c>
      <c r="F11" s="198" t="e">
        <f t="shared" ref="F11:F25" si="3">VLOOKUP($B11,Results,9)</f>
        <v>#NAME?</v>
      </c>
      <c r="G11" s="198" t="str">
        <f t="shared" ref="G11:G25" si="4">ZAnem</f>
        <v>Anemometer Height</v>
      </c>
      <c r="H11" s="198" t="str">
        <f t="shared" ref="H11:H25" si="5">Zinf</f>
        <v>Gradient Height</v>
      </c>
      <c r="I11" s="199" t="e">
        <f>#REF!</f>
        <v>#REF!</v>
      </c>
      <c r="J11" s="201" t="e">
        <f t="shared" ref="J11:J25" si="6">F11*(H11/G11)^I11</f>
        <v>#NAME?</v>
      </c>
      <c r="K11" s="170" t="str">
        <f t="shared" ref="K11:K25" si="7">H11</f>
        <v>Gradient Height</v>
      </c>
      <c r="L11" s="199" t="e">
        <f>#REF!</f>
        <v>#REF!</v>
      </c>
      <c r="M11" s="199" t="e">
        <f>#REF!</f>
        <v>#REF!</v>
      </c>
      <c r="N11" s="199" t="e">
        <f>#REF!</f>
        <v>#REF!</v>
      </c>
      <c r="O11" s="67" t="e">
        <f t="shared" ref="O11:O25" si="8">J11*(N11/K11)^L11</f>
        <v>#NAME?</v>
      </c>
      <c r="P11" s="208"/>
      <c r="Q11" s="192"/>
      <c r="R11" s="208"/>
      <c r="S11" s="192"/>
      <c r="T11" s="192"/>
      <c r="U11" s="192"/>
      <c r="V11" s="192"/>
      <c r="W11" s="46"/>
      <c r="X11" s="67" t="e">
        <f t="shared" ref="X11:X25" si="9">((S11/T11)-(U11/V11))*W11</f>
        <v>#DIV/0!</v>
      </c>
      <c r="Y11" s="67" t="e">
        <f t="shared" ref="Y11:Y25" si="10">(X11/(R11*10^4))*(1/(Q11*10^-6))*(P11/O11)*(10^6/SF^2)</f>
        <v>#DIV/0!</v>
      </c>
      <c r="Z11" s="199" t="e">
        <f t="shared" ref="Z11:Z25" si="11">VLOOKUP(B11,Results,10)</f>
        <v>#NAME?</v>
      </c>
      <c r="AA11" s="101" t="e">
        <f t="shared" ref="AA11:AA25" si="12">(Y11-Z11)/Y11</f>
        <v>#DIV/0!</v>
      </c>
    </row>
    <row r="12" spans="2:27">
      <c r="B12" s="46">
        <v>301</v>
      </c>
      <c r="C12" s="16" t="e">
        <f t="shared" si="0"/>
        <v>#NAME?</v>
      </c>
      <c r="D12" s="16" t="e">
        <f t="shared" si="1"/>
        <v>#NAME?</v>
      </c>
      <c r="E12" s="42" t="e">
        <f t="shared" si="2"/>
        <v>#NAME?</v>
      </c>
      <c r="F12" s="198" t="e">
        <f t="shared" si="3"/>
        <v>#NAME?</v>
      </c>
      <c r="G12" s="198" t="str">
        <f t="shared" si="4"/>
        <v>Anemometer Height</v>
      </c>
      <c r="H12" s="198" t="str">
        <f t="shared" si="5"/>
        <v>Gradient Height</v>
      </c>
      <c r="I12" s="199" t="e">
        <f>#REF!</f>
        <v>#REF!</v>
      </c>
      <c r="J12" s="201" t="e">
        <f t="shared" si="6"/>
        <v>#NAME?</v>
      </c>
      <c r="K12" s="170" t="str">
        <f t="shared" si="7"/>
        <v>Gradient Height</v>
      </c>
      <c r="L12" s="199" t="e">
        <f>#REF!</f>
        <v>#REF!</v>
      </c>
      <c r="M12" s="199" t="e">
        <f>#REF!</f>
        <v>#REF!</v>
      </c>
      <c r="N12" s="199" t="e">
        <f>#REF!</f>
        <v>#REF!</v>
      </c>
      <c r="O12" s="67" t="e">
        <f t="shared" si="8"/>
        <v>#NAME?</v>
      </c>
      <c r="P12" s="208"/>
      <c r="Q12" s="192"/>
      <c r="R12" s="208"/>
      <c r="S12" s="192"/>
      <c r="T12" s="192"/>
      <c r="U12" s="192"/>
      <c r="V12" s="192"/>
      <c r="W12" s="46"/>
      <c r="X12" s="67" t="e">
        <f t="shared" si="9"/>
        <v>#DIV/0!</v>
      </c>
      <c r="Y12" s="67" t="e">
        <f t="shared" si="10"/>
        <v>#DIV/0!</v>
      </c>
      <c r="Z12" s="199" t="e">
        <f t="shared" si="11"/>
        <v>#NAME?</v>
      </c>
      <c r="AA12" s="101" t="e">
        <f t="shared" si="12"/>
        <v>#DIV/0!</v>
      </c>
    </row>
    <row r="13" spans="2:27">
      <c r="B13" s="46">
        <v>321</v>
      </c>
      <c r="C13" s="16" t="e">
        <f t="shared" si="0"/>
        <v>#NAME?</v>
      </c>
      <c r="D13" s="16" t="e">
        <f t="shared" si="1"/>
        <v>#NAME?</v>
      </c>
      <c r="E13" s="42" t="e">
        <f t="shared" si="2"/>
        <v>#NAME?</v>
      </c>
      <c r="F13" s="198" t="e">
        <f t="shared" si="3"/>
        <v>#NAME?</v>
      </c>
      <c r="G13" s="198" t="str">
        <f t="shared" si="4"/>
        <v>Anemometer Height</v>
      </c>
      <c r="H13" s="198" t="str">
        <f t="shared" si="5"/>
        <v>Gradient Height</v>
      </c>
      <c r="I13" s="199" t="e">
        <f>#REF!</f>
        <v>#REF!</v>
      </c>
      <c r="J13" s="201" t="e">
        <f t="shared" si="6"/>
        <v>#NAME?</v>
      </c>
      <c r="K13" s="170" t="str">
        <f t="shared" si="7"/>
        <v>Gradient Height</v>
      </c>
      <c r="L13" s="199" t="e">
        <f>#REF!</f>
        <v>#REF!</v>
      </c>
      <c r="M13" s="199" t="e">
        <f>#REF!</f>
        <v>#REF!</v>
      </c>
      <c r="N13" s="199" t="e">
        <f>#REF!</f>
        <v>#REF!</v>
      </c>
      <c r="O13" s="67" t="e">
        <f t="shared" si="8"/>
        <v>#NAME?</v>
      </c>
      <c r="P13" s="208"/>
      <c r="Q13" s="192"/>
      <c r="R13" s="208"/>
      <c r="S13" s="192"/>
      <c r="T13" s="192"/>
      <c r="U13" s="192"/>
      <c r="V13" s="192"/>
      <c r="W13" s="46"/>
      <c r="X13" s="67" t="e">
        <f t="shared" si="9"/>
        <v>#DIV/0!</v>
      </c>
      <c r="Y13" s="67" t="e">
        <f t="shared" si="10"/>
        <v>#DIV/0!</v>
      </c>
      <c r="Z13" s="199" t="e">
        <f t="shared" si="11"/>
        <v>#NAME?</v>
      </c>
      <c r="AA13" s="101" t="e">
        <f t="shared" si="12"/>
        <v>#DIV/0!</v>
      </c>
    </row>
    <row r="14" spans="2:27">
      <c r="B14" s="46">
        <v>331</v>
      </c>
      <c r="C14" s="16" t="e">
        <f t="shared" si="0"/>
        <v>#NAME?</v>
      </c>
      <c r="D14" s="16" t="e">
        <f t="shared" si="1"/>
        <v>#NAME?</v>
      </c>
      <c r="E14" s="42" t="e">
        <f t="shared" si="2"/>
        <v>#NAME?</v>
      </c>
      <c r="F14" s="198" t="e">
        <f t="shared" si="3"/>
        <v>#NAME?</v>
      </c>
      <c r="G14" s="198" t="str">
        <f t="shared" si="4"/>
        <v>Anemometer Height</v>
      </c>
      <c r="H14" s="198" t="str">
        <f t="shared" si="5"/>
        <v>Gradient Height</v>
      </c>
      <c r="I14" s="199" t="e">
        <f>#REF!</f>
        <v>#REF!</v>
      </c>
      <c r="J14" s="201" t="e">
        <f t="shared" si="6"/>
        <v>#NAME?</v>
      </c>
      <c r="K14" s="170" t="str">
        <f t="shared" si="7"/>
        <v>Gradient Height</v>
      </c>
      <c r="L14" s="199" t="e">
        <f>#REF!</f>
        <v>#REF!</v>
      </c>
      <c r="M14" s="199" t="e">
        <f>#REF!</f>
        <v>#REF!</v>
      </c>
      <c r="N14" s="199" t="e">
        <f>#REF!</f>
        <v>#REF!</v>
      </c>
      <c r="O14" s="67" t="e">
        <f t="shared" si="8"/>
        <v>#NAME?</v>
      </c>
      <c r="P14" s="208"/>
      <c r="Q14" s="192"/>
      <c r="R14" s="208"/>
      <c r="S14" s="192"/>
      <c r="T14" s="192"/>
      <c r="U14" s="192"/>
      <c r="V14" s="192"/>
      <c r="W14" s="46"/>
      <c r="X14" s="67" t="e">
        <f t="shared" si="9"/>
        <v>#DIV/0!</v>
      </c>
      <c r="Y14" s="67" t="e">
        <f t="shared" si="10"/>
        <v>#DIV/0!</v>
      </c>
      <c r="Z14" s="199" t="e">
        <f t="shared" si="11"/>
        <v>#NAME?</v>
      </c>
      <c r="AA14" s="101" t="e">
        <f t="shared" si="12"/>
        <v>#DIV/0!</v>
      </c>
    </row>
    <row r="15" spans="2:27">
      <c r="B15" s="46">
        <v>401</v>
      </c>
      <c r="C15" s="16" t="e">
        <f t="shared" si="0"/>
        <v>#NAME?</v>
      </c>
      <c r="D15" s="16" t="e">
        <f t="shared" si="1"/>
        <v>#NAME?</v>
      </c>
      <c r="E15" s="42" t="e">
        <f t="shared" si="2"/>
        <v>#NAME?</v>
      </c>
      <c r="F15" s="198" t="e">
        <f t="shared" si="3"/>
        <v>#NAME?</v>
      </c>
      <c r="G15" s="198" t="str">
        <f t="shared" si="4"/>
        <v>Anemometer Height</v>
      </c>
      <c r="H15" s="198" t="str">
        <f t="shared" si="5"/>
        <v>Gradient Height</v>
      </c>
      <c r="I15" s="199" t="e">
        <f>#REF!</f>
        <v>#REF!</v>
      </c>
      <c r="J15" s="201" t="e">
        <f t="shared" si="6"/>
        <v>#NAME?</v>
      </c>
      <c r="K15" s="170" t="str">
        <f t="shared" si="7"/>
        <v>Gradient Height</v>
      </c>
      <c r="L15" s="199" t="e">
        <f>#REF!</f>
        <v>#REF!</v>
      </c>
      <c r="M15" s="199" t="e">
        <f>#REF!</f>
        <v>#REF!</v>
      </c>
      <c r="N15" s="199" t="e">
        <f>#REF!</f>
        <v>#REF!</v>
      </c>
      <c r="O15" s="67" t="e">
        <f t="shared" si="8"/>
        <v>#NAME?</v>
      </c>
      <c r="P15" s="208"/>
      <c r="Q15" s="192"/>
      <c r="R15" s="208"/>
      <c r="S15" s="192"/>
      <c r="T15" s="192"/>
      <c r="U15" s="192"/>
      <c r="V15" s="192"/>
      <c r="W15" s="46"/>
      <c r="X15" s="67" t="e">
        <f t="shared" si="9"/>
        <v>#DIV/0!</v>
      </c>
      <c r="Y15" s="67" t="e">
        <f t="shared" si="10"/>
        <v>#DIV/0!</v>
      </c>
      <c r="Z15" s="199" t="e">
        <f t="shared" si="11"/>
        <v>#NAME?</v>
      </c>
      <c r="AA15" s="101" t="e">
        <f t="shared" si="12"/>
        <v>#DIV/0!</v>
      </c>
    </row>
    <row r="16" spans="2:27">
      <c r="B16" s="46">
        <v>501</v>
      </c>
      <c r="C16" s="16" t="e">
        <f t="shared" si="0"/>
        <v>#NAME?</v>
      </c>
      <c r="D16" s="16" t="e">
        <f t="shared" si="1"/>
        <v>#NAME?</v>
      </c>
      <c r="E16" s="42" t="e">
        <f t="shared" si="2"/>
        <v>#NAME?</v>
      </c>
      <c r="F16" s="198" t="e">
        <f t="shared" si="3"/>
        <v>#NAME?</v>
      </c>
      <c r="G16" s="198" t="str">
        <f t="shared" si="4"/>
        <v>Anemometer Height</v>
      </c>
      <c r="H16" s="198" t="str">
        <f t="shared" si="5"/>
        <v>Gradient Height</v>
      </c>
      <c r="I16" s="199" t="e">
        <f>#REF!</f>
        <v>#REF!</v>
      </c>
      <c r="J16" s="201" t="e">
        <f t="shared" si="6"/>
        <v>#NAME?</v>
      </c>
      <c r="K16" s="170" t="str">
        <f t="shared" si="7"/>
        <v>Gradient Height</v>
      </c>
      <c r="L16" s="199" t="e">
        <f>#REF!</f>
        <v>#REF!</v>
      </c>
      <c r="M16" s="199" t="e">
        <f>#REF!</f>
        <v>#REF!</v>
      </c>
      <c r="N16" s="199" t="e">
        <f>#REF!</f>
        <v>#REF!</v>
      </c>
      <c r="O16" s="67" t="e">
        <f t="shared" si="8"/>
        <v>#NAME?</v>
      </c>
      <c r="P16" s="208"/>
      <c r="Q16" s="192"/>
      <c r="R16" s="208"/>
      <c r="S16" s="192"/>
      <c r="T16" s="192"/>
      <c r="U16" s="192"/>
      <c r="V16" s="192"/>
      <c r="W16" s="46"/>
      <c r="X16" s="67" t="e">
        <f t="shared" si="9"/>
        <v>#DIV/0!</v>
      </c>
      <c r="Y16" s="67" t="e">
        <f t="shared" si="10"/>
        <v>#DIV/0!</v>
      </c>
      <c r="Z16" s="199" t="e">
        <f t="shared" si="11"/>
        <v>#NAME?</v>
      </c>
      <c r="AA16" s="101" t="e">
        <f t="shared" si="12"/>
        <v>#DIV/0!</v>
      </c>
    </row>
    <row r="17" spans="2:27">
      <c r="B17" s="46">
        <v>601</v>
      </c>
      <c r="C17" s="16" t="e">
        <f t="shared" si="0"/>
        <v>#NAME?</v>
      </c>
      <c r="D17" s="16" t="e">
        <f t="shared" si="1"/>
        <v>#NAME?</v>
      </c>
      <c r="E17" s="42" t="e">
        <f t="shared" si="2"/>
        <v>#NAME?</v>
      </c>
      <c r="F17" s="198" t="e">
        <f t="shared" si="3"/>
        <v>#NAME?</v>
      </c>
      <c r="G17" s="198" t="str">
        <f t="shared" si="4"/>
        <v>Anemometer Height</v>
      </c>
      <c r="H17" s="198" t="str">
        <f t="shared" si="5"/>
        <v>Gradient Height</v>
      </c>
      <c r="I17" s="199" t="e">
        <f>#REF!</f>
        <v>#REF!</v>
      </c>
      <c r="J17" s="201" t="e">
        <f t="shared" si="6"/>
        <v>#NAME?</v>
      </c>
      <c r="K17" s="170" t="str">
        <f t="shared" si="7"/>
        <v>Gradient Height</v>
      </c>
      <c r="L17" s="199" t="e">
        <f>#REF!</f>
        <v>#REF!</v>
      </c>
      <c r="M17" s="199" t="e">
        <f>#REF!</f>
        <v>#REF!</v>
      </c>
      <c r="N17" s="199" t="e">
        <f>#REF!</f>
        <v>#REF!</v>
      </c>
      <c r="O17" s="67" t="e">
        <f t="shared" si="8"/>
        <v>#NAME?</v>
      </c>
      <c r="P17" s="208"/>
      <c r="Q17" s="192"/>
      <c r="R17" s="208"/>
      <c r="S17" s="192"/>
      <c r="T17" s="192"/>
      <c r="U17" s="192"/>
      <c r="V17" s="192"/>
      <c r="W17" s="46"/>
      <c r="X17" s="67" t="e">
        <f t="shared" si="9"/>
        <v>#DIV/0!</v>
      </c>
      <c r="Y17" s="67" t="e">
        <f t="shared" si="10"/>
        <v>#DIV/0!</v>
      </c>
      <c r="Z17" s="199" t="e">
        <f t="shared" si="11"/>
        <v>#NAME?</v>
      </c>
      <c r="AA17" s="101" t="e">
        <f t="shared" si="12"/>
        <v>#DIV/0!</v>
      </c>
    </row>
    <row r="18" spans="2:27">
      <c r="B18" s="46">
        <v>109</v>
      </c>
      <c r="C18" s="16" t="e">
        <f t="shared" si="0"/>
        <v>#NAME?</v>
      </c>
      <c r="D18" s="16" t="e">
        <f t="shared" si="1"/>
        <v>#NAME?</v>
      </c>
      <c r="E18" s="42" t="e">
        <f t="shared" si="2"/>
        <v>#NAME?</v>
      </c>
      <c r="F18" s="198" t="e">
        <f t="shared" si="3"/>
        <v>#NAME?</v>
      </c>
      <c r="G18" s="198" t="str">
        <f t="shared" si="4"/>
        <v>Anemometer Height</v>
      </c>
      <c r="H18" s="198" t="str">
        <f t="shared" si="5"/>
        <v>Gradient Height</v>
      </c>
      <c r="I18" s="199" t="e">
        <f>#REF!</f>
        <v>#REF!</v>
      </c>
      <c r="J18" s="201" t="e">
        <f t="shared" si="6"/>
        <v>#NAME?</v>
      </c>
      <c r="K18" s="170" t="str">
        <f t="shared" si="7"/>
        <v>Gradient Height</v>
      </c>
      <c r="L18" s="199" t="e">
        <f>#REF!</f>
        <v>#REF!</v>
      </c>
      <c r="M18" s="199" t="e">
        <f>#REF!</f>
        <v>#REF!</v>
      </c>
      <c r="N18" s="199" t="e">
        <f>#REF!</f>
        <v>#REF!</v>
      </c>
      <c r="O18" s="67" t="e">
        <f t="shared" si="8"/>
        <v>#NAME?</v>
      </c>
      <c r="P18" s="208"/>
      <c r="Q18" s="192"/>
      <c r="R18" s="208"/>
      <c r="S18" s="192"/>
      <c r="T18" s="192"/>
      <c r="U18" s="192"/>
      <c r="V18" s="192"/>
      <c r="W18" s="46"/>
      <c r="X18" s="67" t="e">
        <f t="shared" si="9"/>
        <v>#DIV/0!</v>
      </c>
      <c r="Y18" s="67" t="e">
        <f t="shared" si="10"/>
        <v>#DIV/0!</v>
      </c>
      <c r="Z18" s="199" t="e">
        <f t="shared" si="11"/>
        <v>#NAME?</v>
      </c>
      <c r="AA18" s="101" t="e">
        <f t="shared" si="12"/>
        <v>#DIV/0!</v>
      </c>
    </row>
    <row r="19" spans="2:27">
      <c r="B19" s="46">
        <v>110</v>
      </c>
      <c r="C19" s="16" t="e">
        <f t="shared" si="0"/>
        <v>#NAME?</v>
      </c>
      <c r="D19" s="16" t="e">
        <f t="shared" si="1"/>
        <v>#NAME?</v>
      </c>
      <c r="E19" s="42" t="e">
        <f t="shared" si="2"/>
        <v>#NAME?</v>
      </c>
      <c r="F19" s="198" t="e">
        <f t="shared" si="3"/>
        <v>#NAME?</v>
      </c>
      <c r="G19" s="198" t="str">
        <f t="shared" si="4"/>
        <v>Anemometer Height</v>
      </c>
      <c r="H19" s="198" t="str">
        <f t="shared" si="5"/>
        <v>Gradient Height</v>
      </c>
      <c r="I19" s="199" t="e">
        <f>#REF!</f>
        <v>#REF!</v>
      </c>
      <c r="J19" s="201" t="e">
        <f t="shared" si="6"/>
        <v>#NAME?</v>
      </c>
      <c r="K19" s="170" t="str">
        <f t="shared" si="7"/>
        <v>Gradient Height</v>
      </c>
      <c r="L19" s="199" t="e">
        <f>#REF!</f>
        <v>#REF!</v>
      </c>
      <c r="M19" s="199" t="e">
        <f>#REF!</f>
        <v>#REF!</v>
      </c>
      <c r="N19" s="199" t="e">
        <f>#REF!</f>
        <v>#REF!</v>
      </c>
      <c r="O19" s="67" t="e">
        <f t="shared" si="8"/>
        <v>#NAME?</v>
      </c>
      <c r="P19" s="208"/>
      <c r="Q19" s="192"/>
      <c r="R19" s="208"/>
      <c r="S19" s="192"/>
      <c r="T19" s="192"/>
      <c r="U19" s="192"/>
      <c r="V19" s="192"/>
      <c r="W19" s="46"/>
      <c r="X19" s="67" t="e">
        <f t="shared" si="9"/>
        <v>#DIV/0!</v>
      </c>
      <c r="Y19" s="67" t="e">
        <f t="shared" si="10"/>
        <v>#DIV/0!</v>
      </c>
      <c r="Z19" s="199" t="e">
        <f t="shared" si="11"/>
        <v>#NAME?</v>
      </c>
      <c r="AA19" s="101" t="e">
        <f t="shared" si="12"/>
        <v>#DIV/0!</v>
      </c>
    </row>
    <row r="20" spans="2:27">
      <c r="B20" s="46">
        <v>111</v>
      </c>
      <c r="C20" s="16" t="e">
        <f t="shared" si="0"/>
        <v>#NAME?</v>
      </c>
      <c r="D20" s="16" t="e">
        <f t="shared" si="1"/>
        <v>#NAME?</v>
      </c>
      <c r="E20" s="42" t="e">
        <f t="shared" si="2"/>
        <v>#NAME?</v>
      </c>
      <c r="F20" s="198" t="e">
        <f t="shared" si="3"/>
        <v>#NAME?</v>
      </c>
      <c r="G20" s="198" t="str">
        <f t="shared" si="4"/>
        <v>Anemometer Height</v>
      </c>
      <c r="H20" s="198" t="str">
        <f t="shared" si="5"/>
        <v>Gradient Height</v>
      </c>
      <c r="I20" s="199" t="e">
        <f>#REF!</f>
        <v>#REF!</v>
      </c>
      <c r="J20" s="201" t="e">
        <f t="shared" si="6"/>
        <v>#NAME?</v>
      </c>
      <c r="K20" s="170" t="str">
        <f t="shared" si="7"/>
        <v>Gradient Height</v>
      </c>
      <c r="L20" s="199" t="e">
        <f>#REF!</f>
        <v>#REF!</v>
      </c>
      <c r="M20" s="199" t="e">
        <f>#REF!</f>
        <v>#REF!</v>
      </c>
      <c r="N20" s="199" t="e">
        <f>#REF!</f>
        <v>#REF!</v>
      </c>
      <c r="O20" s="67" t="e">
        <f t="shared" si="8"/>
        <v>#NAME?</v>
      </c>
      <c r="P20" s="208"/>
      <c r="Q20" s="192"/>
      <c r="R20" s="208"/>
      <c r="S20" s="192"/>
      <c r="T20" s="192"/>
      <c r="U20" s="192"/>
      <c r="V20" s="192"/>
      <c r="W20" s="46"/>
      <c r="X20" s="67" t="e">
        <f t="shared" si="9"/>
        <v>#DIV/0!</v>
      </c>
      <c r="Y20" s="67" t="e">
        <f t="shared" si="10"/>
        <v>#DIV/0!</v>
      </c>
      <c r="Z20" s="199" t="e">
        <f t="shared" si="11"/>
        <v>#NAME?</v>
      </c>
      <c r="AA20" s="101" t="e">
        <f t="shared" si="12"/>
        <v>#DIV/0!</v>
      </c>
    </row>
    <row r="21" spans="2:27">
      <c r="B21" s="46">
        <v>112</v>
      </c>
      <c r="C21" s="16" t="e">
        <f t="shared" si="0"/>
        <v>#NAME?</v>
      </c>
      <c r="D21" s="16" t="e">
        <f t="shared" si="1"/>
        <v>#NAME?</v>
      </c>
      <c r="E21" s="42" t="e">
        <f t="shared" si="2"/>
        <v>#NAME?</v>
      </c>
      <c r="F21" s="198" t="e">
        <f t="shared" si="3"/>
        <v>#NAME?</v>
      </c>
      <c r="G21" s="198" t="str">
        <f t="shared" si="4"/>
        <v>Anemometer Height</v>
      </c>
      <c r="H21" s="198" t="str">
        <f t="shared" si="5"/>
        <v>Gradient Height</v>
      </c>
      <c r="I21" s="199" t="e">
        <f>#REF!</f>
        <v>#REF!</v>
      </c>
      <c r="J21" s="201" t="e">
        <f t="shared" si="6"/>
        <v>#NAME?</v>
      </c>
      <c r="K21" s="170" t="str">
        <f t="shared" si="7"/>
        <v>Gradient Height</v>
      </c>
      <c r="L21" s="199" t="e">
        <f>#REF!</f>
        <v>#REF!</v>
      </c>
      <c r="M21" s="199" t="e">
        <f>#REF!</f>
        <v>#REF!</v>
      </c>
      <c r="N21" s="199" t="e">
        <f>#REF!</f>
        <v>#REF!</v>
      </c>
      <c r="O21" s="67" t="e">
        <f t="shared" si="8"/>
        <v>#NAME?</v>
      </c>
      <c r="P21" s="208"/>
      <c r="Q21" s="192"/>
      <c r="R21" s="208"/>
      <c r="S21" s="192"/>
      <c r="T21" s="192"/>
      <c r="U21" s="192"/>
      <c r="V21" s="192"/>
      <c r="W21" s="46"/>
      <c r="X21" s="67" t="e">
        <f t="shared" si="9"/>
        <v>#DIV/0!</v>
      </c>
      <c r="Y21" s="67" t="e">
        <f t="shared" si="10"/>
        <v>#DIV/0!</v>
      </c>
      <c r="Z21" s="199" t="e">
        <f t="shared" si="11"/>
        <v>#NAME?</v>
      </c>
      <c r="AA21" s="101" t="e">
        <f t="shared" si="12"/>
        <v>#DIV/0!</v>
      </c>
    </row>
    <row r="22" spans="2:27">
      <c r="B22" s="46">
        <v>113</v>
      </c>
      <c r="C22" s="16" t="e">
        <f t="shared" si="0"/>
        <v>#NAME?</v>
      </c>
      <c r="D22" s="16" t="e">
        <f t="shared" si="1"/>
        <v>#NAME?</v>
      </c>
      <c r="E22" s="42" t="e">
        <f t="shared" si="2"/>
        <v>#NAME?</v>
      </c>
      <c r="F22" s="198" t="e">
        <f t="shared" si="3"/>
        <v>#NAME?</v>
      </c>
      <c r="G22" s="198" t="str">
        <f t="shared" si="4"/>
        <v>Anemometer Height</v>
      </c>
      <c r="H22" s="198" t="str">
        <f t="shared" si="5"/>
        <v>Gradient Height</v>
      </c>
      <c r="I22" s="199" t="e">
        <f>#REF!</f>
        <v>#REF!</v>
      </c>
      <c r="J22" s="201" t="e">
        <f t="shared" si="6"/>
        <v>#NAME?</v>
      </c>
      <c r="K22" s="170" t="str">
        <f t="shared" si="7"/>
        <v>Gradient Height</v>
      </c>
      <c r="L22" s="199" t="e">
        <f>#REF!</f>
        <v>#REF!</v>
      </c>
      <c r="M22" s="199" t="e">
        <f>#REF!</f>
        <v>#REF!</v>
      </c>
      <c r="N22" s="199" t="e">
        <f>#REF!</f>
        <v>#REF!</v>
      </c>
      <c r="O22" s="67" t="e">
        <f t="shared" si="8"/>
        <v>#NAME?</v>
      </c>
      <c r="P22" s="208"/>
      <c r="Q22" s="192"/>
      <c r="R22" s="208"/>
      <c r="S22" s="192"/>
      <c r="T22" s="192"/>
      <c r="U22" s="192"/>
      <c r="V22" s="192"/>
      <c r="W22" s="46"/>
      <c r="X22" s="67" t="e">
        <f t="shared" si="9"/>
        <v>#DIV/0!</v>
      </c>
      <c r="Y22" s="67" t="e">
        <f t="shared" si="10"/>
        <v>#DIV/0!</v>
      </c>
      <c r="Z22" s="199" t="e">
        <f t="shared" si="11"/>
        <v>#NAME?</v>
      </c>
      <c r="AA22" s="101" t="e">
        <f t="shared" si="12"/>
        <v>#DIV/0!</v>
      </c>
    </row>
    <row r="23" spans="2:27">
      <c r="B23" s="46">
        <v>114</v>
      </c>
      <c r="C23" s="16" t="e">
        <f t="shared" si="0"/>
        <v>#NAME?</v>
      </c>
      <c r="D23" s="16" t="e">
        <f t="shared" si="1"/>
        <v>#NAME?</v>
      </c>
      <c r="E23" s="42" t="e">
        <f t="shared" si="2"/>
        <v>#NAME?</v>
      </c>
      <c r="F23" s="198" t="e">
        <f t="shared" si="3"/>
        <v>#NAME?</v>
      </c>
      <c r="G23" s="198" t="str">
        <f t="shared" si="4"/>
        <v>Anemometer Height</v>
      </c>
      <c r="H23" s="198" t="str">
        <f t="shared" si="5"/>
        <v>Gradient Height</v>
      </c>
      <c r="I23" s="199" t="e">
        <f>#REF!</f>
        <v>#REF!</v>
      </c>
      <c r="J23" s="201" t="e">
        <f t="shared" si="6"/>
        <v>#NAME?</v>
      </c>
      <c r="K23" s="170" t="str">
        <f t="shared" si="7"/>
        <v>Gradient Height</v>
      </c>
      <c r="L23" s="199" t="e">
        <f>#REF!</f>
        <v>#REF!</v>
      </c>
      <c r="M23" s="199" t="e">
        <f>#REF!</f>
        <v>#REF!</v>
      </c>
      <c r="N23" s="199" t="e">
        <f>#REF!</f>
        <v>#REF!</v>
      </c>
      <c r="O23" s="67" t="e">
        <f t="shared" si="8"/>
        <v>#NAME?</v>
      </c>
      <c r="P23" s="208"/>
      <c r="Q23" s="192"/>
      <c r="R23" s="208"/>
      <c r="S23" s="192"/>
      <c r="T23" s="192"/>
      <c r="U23" s="192"/>
      <c r="V23" s="192"/>
      <c r="W23" s="46"/>
      <c r="X23" s="67" t="e">
        <f t="shared" si="9"/>
        <v>#DIV/0!</v>
      </c>
      <c r="Y23" s="67" t="e">
        <f t="shared" si="10"/>
        <v>#DIV/0!</v>
      </c>
      <c r="Z23" s="199" t="e">
        <f t="shared" si="11"/>
        <v>#NAME?</v>
      </c>
      <c r="AA23" s="101" t="e">
        <f t="shared" si="12"/>
        <v>#DIV/0!</v>
      </c>
    </row>
    <row r="24" spans="2:27">
      <c r="B24" s="46">
        <v>115</v>
      </c>
      <c r="C24" s="16" t="e">
        <f t="shared" si="0"/>
        <v>#NAME?</v>
      </c>
      <c r="D24" s="16" t="e">
        <f t="shared" si="1"/>
        <v>#NAME?</v>
      </c>
      <c r="E24" s="42" t="e">
        <f t="shared" si="2"/>
        <v>#NAME?</v>
      </c>
      <c r="F24" s="198" t="e">
        <f t="shared" si="3"/>
        <v>#NAME?</v>
      </c>
      <c r="G24" s="198" t="str">
        <f t="shared" si="4"/>
        <v>Anemometer Height</v>
      </c>
      <c r="H24" s="198" t="str">
        <f t="shared" si="5"/>
        <v>Gradient Height</v>
      </c>
      <c r="I24" s="199" t="e">
        <f>#REF!</f>
        <v>#REF!</v>
      </c>
      <c r="J24" s="201" t="e">
        <f t="shared" si="6"/>
        <v>#NAME?</v>
      </c>
      <c r="K24" s="170" t="str">
        <f t="shared" si="7"/>
        <v>Gradient Height</v>
      </c>
      <c r="L24" s="199" t="e">
        <f>#REF!</f>
        <v>#REF!</v>
      </c>
      <c r="M24" s="199" t="e">
        <f>#REF!</f>
        <v>#REF!</v>
      </c>
      <c r="N24" s="199" t="e">
        <f>#REF!</f>
        <v>#REF!</v>
      </c>
      <c r="O24" s="67" t="e">
        <f t="shared" si="8"/>
        <v>#NAME?</v>
      </c>
      <c r="P24" s="208"/>
      <c r="Q24" s="192"/>
      <c r="R24" s="208"/>
      <c r="S24" s="192"/>
      <c r="T24" s="192"/>
      <c r="U24" s="192"/>
      <c r="V24" s="192"/>
      <c r="W24" s="46"/>
      <c r="X24" s="67" t="e">
        <f t="shared" si="9"/>
        <v>#DIV/0!</v>
      </c>
      <c r="Y24" s="67" t="e">
        <f t="shared" si="10"/>
        <v>#DIV/0!</v>
      </c>
      <c r="Z24" s="199" t="e">
        <f t="shared" si="11"/>
        <v>#NAME?</v>
      </c>
      <c r="AA24" s="101" t="e">
        <f t="shared" si="12"/>
        <v>#DIV/0!</v>
      </c>
    </row>
    <row r="25" spans="2:27">
      <c r="B25" s="46">
        <v>116</v>
      </c>
      <c r="C25" s="16" t="e">
        <f t="shared" si="0"/>
        <v>#NAME?</v>
      </c>
      <c r="D25" s="16" t="e">
        <f t="shared" si="1"/>
        <v>#NAME?</v>
      </c>
      <c r="E25" s="42" t="e">
        <f t="shared" si="2"/>
        <v>#NAME?</v>
      </c>
      <c r="F25" s="198" t="e">
        <f t="shared" si="3"/>
        <v>#NAME?</v>
      </c>
      <c r="G25" s="198" t="str">
        <f t="shared" si="4"/>
        <v>Anemometer Height</v>
      </c>
      <c r="H25" s="198" t="str">
        <f t="shared" si="5"/>
        <v>Gradient Height</v>
      </c>
      <c r="I25" s="199" t="e">
        <f>#REF!</f>
        <v>#REF!</v>
      </c>
      <c r="J25" s="201" t="e">
        <f t="shared" si="6"/>
        <v>#NAME?</v>
      </c>
      <c r="K25" s="170" t="str">
        <f t="shared" si="7"/>
        <v>Gradient Height</v>
      </c>
      <c r="L25" s="199" t="e">
        <f>#REF!</f>
        <v>#REF!</v>
      </c>
      <c r="M25" s="199" t="e">
        <f>#REF!</f>
        <v>#REF!</v>
      </c>
      <c r="N25" s="199" t="e">
        <f>#REF!</f>
        <v>#REF!</v>
      </c>
      <c r="O25" s="67" t="e">
        <f t="shared" si="8"/>
        <v>#NAME?</v>
      </c>
      <c r="P25" s="208"/>
      <c r="Q25" s="192"/>
      <c r="R25" s="208"/>
      <c r="S25" s="192"/>
      <c r="T25" s="192"/>
      <c r="U25" s="192"/>
      <c r="V25" s="192"/>
      <c r="W25" s="46"/>
      <c r="X25" s="67" t="e">
        <f t="shared" si="9"/>
        <v>#DIV/0!</v>
      </c>
      <c r="Y25" s="67" t="e">
        <f t="shared" si="10"/>
        <v>#DIV/0!</v>
      </c>
      <c r="Z25" s="199" t="e">
        <f t="shared" si="11"/>
        <v>#NAME?</v>
      </c>
      <c r="AA25" s="101" t="e">
        <f t="shared" si="12"/>
        <v>#DIV/0!</v>
      </c>
    </row>
  </sheetData>
  <mergeCells count="4">
    <mergeCell ref="P4:R4"/>
    <mergeCell ref="S4:W4"/>
    <mergeCell ref="C4:D4"/>
    <mergeCell ref="E4:O4"/>
  </mergeCells>
  <phoneticPr fontId="0" type="noConversion"/>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pageSetUpPr fitToPage="1"/>
  </sheetPr>
  <dimension ref="A1:AJ66"/>
  <sheetViews>
    <sheetView topLeftCell="A6" zoomScale="75" zoomScaleNormal="75" workbookViewId="0">
      <selection activeCell="C24" sqref="C24"/>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Management\[15141_Vent_Test_Plan_v20_071.xlsm]AA</v>
      </c>
    </row>
    <row r="2" spans="1:12" ht="24" hidden="1" customHeight="1">
      <c r="A2" s="16">
        <f ca="1">FIND("]",A1,1)</f>
        <v>107</v>
      </c>
    </row>
    <row r="3" spans="1:12" ht="23.25" hidden="1" customHeight="1">
      <c r="A3" s="16">
        <f ca="1">LEN(A1)</f>
        <v>109</v>
      </c>
    </row>
    <row r="4" spans="1:12" ht="21" hidden="1" customHeight="1">
      <c r="A4" s="16" t="str">
        <f ca="1">RIGHT(A1,A3-A2)</f>
        <v>AA</v>
      </c>
    </row>
    <row r="5" spans="1:12" ht="20.25" hidden="1" customHeight="1">
      <c r="A5" s="1" t="s">
        <v>790</v>
      </c>
    </row>
    <row r="6" spans="1:12" ht="18.75">
      <c r="A6" s="54" t="str">
        <f ca="1">CONCATENATE(A5,A4)</f>
        <v>Table A-AA</v>
      </c>
      <c r="K6" s="2" t="s">
        <v>792</v>
      </c>
    </row>
    <row r="7" spans="1:12" ht="18.75">
      <c r="A7" s="4" t="s">
        <v>794</v>
      </c>
      <c r="K7" t="s">
        <v>793</v>
      </c>
    </row>
    <row r="8" spans="1:12">
      <c r="A8" s="45" t="str">
        <f ca="1">INDEX(SourceDescription,MATCH($A$4,SourceNumber,0),1,1) &amp; " (" &amp; INDEX(SourceID,MATCH($A$4,SourceNumber,0),1,1) &amp; ")"</f>
        <v>Fume Hood Exhaust 1 (EF-1)</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0.66666666666666663</v>
      </c>
      <c r="E15" s="37" t="s">
        <v>807</v>
      </c>
      <c r="F15" s="85">
        <f ca="1">INDEX(SourceExitDiameter,MATCH($A$4,SourceNumber,0),1,1)</f>
        <v>0.2032520325203252</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0.34906585039886578</v>
      </c>
      <c r="E16" s="37" t="s">
        <v>811</v>
      </c>
      <c r="F16" s="86">
        <f ca="1">$F$15^2*PI()/4</f>
        <v>3.2445888830947525E-2</v>
      </c>
      <c r="G16" s="1097" t="e">
        <f ca="1">G15^2*PI()/4</f>
        <v>#VALUE!</v>
      </c>
      <c r="H16" s="1112" t="e">
        <f ca="1">H15^2*PI()/4</f>
        <v>#VALUE!</v>
      </c>
      <c r="I16" s="1102" t="e">
        <f ca="1">$I$15^2*PI()/4</f>
        <v>#VALUE!</v>
      </c>
    </row>
    <row r="17" spans="1:35" ht="18.75">
      <c r="A17" s="33">
        <f t="shared" si="0"/>
        <v>6</v>
      </c>
      <c r="B17" t="str">
        <f t="shared" si="1"/>
        <v>.</v>
      </c>
      <c r="C17" t="s">
        <v>821</v>
      </c>
      <c r="D17" s="33">
        <f ca="1">F17*3.28*60</f>
        <v>2864.7889756541163</v>
      </c>
      <c r="E17" s="37" t="s">
        <v>808</v>
      </c>
      <c r="F17" s="85">
        <f ca="1">INDEX(SourceExitVelocity,MATCH($A$4,SourceNumber,0),1,1)</f>
        <v>14.556854551087991</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999.99999999999966</v>
      </c>
      <c r="E19" s="37" t="s">
        <v>813</v>
      </c>
      <c r="F19" s="86">
        <f ca="1">F17*F16</f>
        <v>0.47231008449287348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6.6666666666666666E-2</v>
      </c>
      <c r="E49" s="37"/>
      <c r="F49" s="86">
        <f ca="1">$F$15/$F$14</f>
        <v>6.6666666666666666E-2</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0" type="noConversion"/>
  <conditionalFormatting sqref="K50:K51">
    <cfRule type="cellIs" dxfId="799" priority="3" stopIfTrue="1" operator="equal">
      <formula>0</formula>
    </cfRule>
    <cfRule type="cellIs" dxfId="798" priority="4" stopIfTrue="1" operator="notEqual">
      <formula>0</formula>
    </cfRule>
  </conditionalFormatting>
  <conditionalFormatting sqref="K52">
    <cfRule type="cellIs" dxfId="797" priority="5" stopIfTrue="1" operator="lessThanOrEqual">
      <formula>0.00000001</formula>
    </cfRule>
    <cfRule type="cellIs" dxfId="796" priority="6" stopIfTrue="1" operator="greaterThan">
      <formula>0.00000001</formula>
    </cfRule>
  </conditionalFormatting>
  <conditionalFormatting sqref="K26:M26">
    <cfRule type="cellIs" dxfId="795" priority="7" stopIfTrue="1" operator="equal">
      <formula>"Mixture Computed"</formula>
    </cfRule>
    <cfRule type="cellIs" dxfId="794" priority="8" stopIfTrue="1" operator="equal">
      <formula>"MIXTURE NOT COMPUTED"</formula>
    </cfRule>
  </conditionalFormatting>
  <conditionalFormatting sqref="K56">
    <cfRule type="cellIs" dxfId="793" priority="9" stopIfTrue="1" operator="greaterThanOrEqual">
      <formula>$N$56</formula>
    </cfRule>
    <cfRule type="cellIs" dxfId="792" priority="10" stopIfTrue="1" operator="notBetween">
      <formula>$L$56</formula>
      <formula>$M$56</formula>
    </cfRule>
    <cfRule type="cellIs" dxfId="791" priority="11" stopIfTrue="1" operator="between">
      <formula>$L$56</formula>
      <formula>$M$56</formula>
    </cfRule>
  </conditionalFormatting>
  <conditionalFormatting sqref="K54">
    <cfRule type="cellIs" dxfId="790" priority="12" stopIfTrue="1" operator="greaterThanOrEqual">
      <formula>$N$54</formula>
    </cfRule>
    <cfRule type="cellIs" dxfId="789" priority="13" stopIfTrue="1" operator="notBetween">
      <formula>$L$54</formula>
      <formula>$M$54</formula>
    </cfRule>
    <cfRule type="cellIs" dxfId="788" priority="14" stopIfTrue="1" operator="between">
      <formula>$L$54</formula>
      <formula>$M$54</formula>
    </cfRule>
  </conditionalFormatting>
  <conditionalFormatting sqref="K57">
    <cfRule type="cellIs" dxfId="787" priority="15" stopIfTrue="1" operator="greaterThanOrEqual">
      <formula>$L$57</formula>
    </cfRule>
    <cfRule type="cellIs" dxfId="786" priority="16" stopIfTrue="1" operator="lessThan">
      <formula>$L$57</formula>
    </cfRule>
  </conditionalFormatting>
  <conditionalFormatting sqref="K55">
    <cfRule type="cellIs" dxfId="785" priority="17" stopIfTrue="1" operator="greaterThanOrEqual">
      <formula>0</formula>
    </cfRule>
    <cfRule type="cellIs" dxfId="784" priority="18"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Management\[15141_Vent_Test_Plan_v20_071.xlsm]AB</v>
      </c>
    </row>
    <row r="2" spans="1:12" ht="24" hidden="1" customHeight="1">
      <c r="A2" s="16">
        <f ca="1">FIND("]",A1,1)</f>
        <v>107</v>
      </c>
    </row>
    <row r="3" spans="1:12" ht="23.25" hidden="1" customHeight="1">
      <c r="A3" s="16">
        <f ca="1">LEN(A1)</f>
        <v>109</v>
      </c>
    </row>
    <row r="4" spans="1:12" ht="21" hidden="1" customHeight="1">
      <c r="A4" s="16" t="str">
        <f ca="1">RIGHT(A1,A3-A2)</f>
        <v>AB</v>
      </c>
    </row>
    <row r="5" spans="1:12" ht="20.25" hidden="1" customHeight="1">
      <c r="A5" s="1" t="s">
        <v>790</v>
      </c>
    </row>
    <row r="6" spans="1:12" ht="18.75">
      <c r="A6" s="54" t="str">
        <f ca="1">CONCATENATE(A5,A4)</f>
        <v>Table A-AB</v>
      </c>
      <c r="K6" s="2" t="s">
        <v>792</v>
      </c>
    </row>
    <row r="7" spans="1:12" ht="18.75">
      <c r="A7" s="4" t="s">
        <v>794</v>
      </c>
      <c r="K7" t="s">
        <v>793</v>
      </c>
    </row>
    <row r="8" spans="1:12">
      <c r="A8" s="45" t="str">
        <f ca="1">INDEX(SourceDescription,MATCH($A$4,SourceNumber,0),1,1) &amp; " (" &amp; INDEX(SourceID,MATCH($A$4,SourceNumber,0),1,1) &amp; ")"</f>
        <v>Fume Hood Exhaust 2 (EF-2)</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1.4166666666666667</v>
      </c>
      <c r="E15" s="37" t="s">
        <v>807</v>
      </c>
      <c r="F15" s="85">
        <f ca="1">INDEX(SourceExitDiameter,MATCH($A$4,SourceNumber,0),1,1)</f>
        <v>0.43191056910569109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1.5762504807073789</v>
      </c>
      <c r="E16" s="37" t="s">
        <v>811</v>
      </c>
      <c r="F16" s="86">
        <f ca="1">$F$15^2*PI()/4</f>
        <v>0.14651346675224747</v>
      </c>
      <c r="G16" s="1097" t="e">
        <f ca="1">G15^2*PI()/4</f>
        <v>#VALUE!</v>
      </c>
      <c r="H16" s="1112" t="e">
        <f ca="1">H15^2*PI()/4</f>
        <v>#VALUE!</v>
      </c>
      <c r="I16" s="1102" t="e">
        <f ca="1">$I$15^2*PI()/4</f>
        <v>#VALUE!</v>
      </c>
    </row>
    <row r="17" spans="1:35" ht="18.75">
      <c r="A17" s="33">
        <f t="shared" si="0"/>
        <v>6</v>
      </c>
      <c r="B17" t="str">
        <f t="shared" si="1"/>
        <v>.</v>
      </c>
      <c r="C17" t="s">
        <v>821</v>
      </c>
      <c r="D17" s="33">
        <f ca="1">F17*3.28*60</f>
        <v>3172.0846789249726</v>
      </c>
      <c r="E17" s="37" t="s">
        <v>808</v>
      </c>
      <c r="F17" s="85">
        <f ca="1">INDEX(SourceExitVelocity,MATCH($A$4,SourceNumber,0),1,1)</f>
        <v>16.118316457952098</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5000</v>
      </c>
      <c r="E19" s="37" t="s">
        <v>813</v>
      </c>
      <c r="F19" s="86">
        <f ca="1">F17*F16</f>
        <v>2.3615504224643677</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0.14166666666666666</v>
      </c>
      <c r="E49" s="37"/>
      <c r="F49" s="86">
        <f ca="1">$F$15/$F$14</f>
        <v>0.14166666666666666</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83" priority="15" stopIfTrue="1" operator="equal">
      <formula>0</formula>
    </cfRule>
    <cfRule type="cellIs" dxfId="782" priority="16" stopIfTrue="1" operator="notEqual">
      <formula>0</formula>
    </cfRule>
  </conditionalFormatting>
  <conditionalFormatting sqref="K52">
    <cfRule type="cellIs" dxfId="781" priority="13" stopIfTrue="1" operator="lessThanOrEqual">
      <formula>0.00000001</formula>
    </cfRule>
    <cfRule type="cellIs" dxfId="780" priority="14" stopIfTrue="1" operator="greaterThan">
      <formula>0.00000001</formula>
    </cfRule>
  </conditionalFormatting>
  <conditionalFormatting sqref="K26:M26">
    <cfRule type="cellIs" dxfId="779" priority="11" stopIfTrue="1" operator="equal">
      <formula>"Mixture Computed"</formula>
    </cfRule>
    <cfRule type="cellIs" dxfId="778" priority="12" stopIfTrue="1" operator="equal">
      <formula>"MIXTURE NOT COMPUTED"</formula>
    </cfRule>
  </conditionalFormatting>
  <conditionalFormatting sqref="K56">
    <cfRule type="cellIs" dxfId="777" priority="8" stopIfTrue="1" operator="greaterThanOrEqual">
      <formula>$N$56</formula>
    </cfRule>
    <cfRule type="cellIs" dxfId="776" priority="9" stopIfTrue="1" operator="notBetween">
      <formula>$L$56</formula>
      <formula>$M$56</formula>
    </cfRule>
    <cfRule type="cellIs" dxfId="775" priority="10" stopIfTrue="1" operator="between">
      <formula>$L$56</formula>
      <formula>$M$56</formula>
    </cfRule>
  </conditionalFormatting>
  <conditionalFormatting sqref="K54">
    <cfRule type="cellIs" dxfId="774" priority="5" stopIfTrue="1" operator="greaterThanOrEqual">
      <formula>$N$54</formula>
    </cfRule>
    <cfRule type="cellIs" dxfId="773" priority="6" stopIfTrue="1" operator="notBetween">
      <formula>$L$54</formula>
      <formula>$M$54</formula>
    </cfRule>
    <cfRule type="cellIs" dxfId="772" priority="7" stopIfTrue="1" operator="between">
      <formula>$L$54</formula>
      <formula>$M$54</formula>
    </cfRule>
  </conditionalFormatting>
  <conditionalFormatting sqref="K57">
    <cfRule type="cellIs" dxfId="771" priority="3" stopIfTrue="1" operator="greaterThanOrEqual">
      <formula>$L$57</formula>
    </cfRule>
    <cfRule type="cellIs" dxfId="770" priority="4" stopIfTrue="1" operator="lessThan">
      <formula>$L$57</formula>
    </cfRule>
  </conditionalFormatting>
  <conditionalFormatting sqref="K55">
    <cfRule type="cellIs" dxfId="769" priority="1" stopIfTrue="1" operator="greaterThanOrEqual">
      <formula>0</formula>
    </cfRule>
    <cfRule type="cellIs" dxfId="76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Management\[15141_Vent_Test_Plan_v20_071.xlsm]AC</v>
      </c>
    </row>
    <row r="2" spans="1:12" ht="24" hidden="1" customHeight="1">
      <c r="A2" s="16">
        <f ca="1">FIND("]",A1,1)</f>
        <v>107</v>
      </c>
    </row>
    <row r="3" spans="1:12" ht="23.25" hidden="1" customHeight="1">
      <c r="A3" s="16">
        <f ca="1">LEN(A1)</f>
        <v>109</v>
      </c>
    </row>
    <row r="4" spans="1:12" ht="21" hidden="1" customHeight="1">
      <c r="A4" s="16" t="str">
        <f ca="1">RIGHT(A1,A3-A2)</f>
        <v>AC</v>
      </c>
    </row>
    <row r="5" spans="1:12" ht="20.25" hidden="1" customHeight="1">
      <c r="A5" s="1" t="s">
        <v>790</v>
      </c>
    </row>
    <row r="6" spans="1:12" ht="18.75">
      <c r="A6" s="54" t="str">
        <f ca="1">CONCATENATE(A5,A4)</f>
        <v>Table A-AC</v>
      </c>
      <c r="K6" s="2" t="s">
        <v>792</v>
      </c>
    </row>
    <row r="7" spans="1:12" ht="18.75">
      <c r="A7" s="4" t="s">
        <v>794</v>
      </c>
      <c r="K7" t="s">
        <v>793</v>
      </c>
    </row>
    <row r="8" spans="1:12">
      <c r="A8" s="45" t="str">
        <f ca="1">INDEX(SourceDescription,MATCH($A$4,SourceNumber,0),1,1) &amp; " (" &amp; INDEX(SourceID,MATCH($A$4,SourceNumber,0),1,1) &amp; ")"</f>
        <v>Fume Hood Exhaust 3 (EF-3)</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1.9999999999999998</v>
      </c>
      <c r="E15" s="37" t="s">
        <v>807</v>
      </c>
      <c r="F15" s="85">
        <f ca="1">INDEX(SourceExitDiameter,MATCH($A$4,SourceNumber,0),1,1)</f>
        <v>0.6097560975609756</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3.1415926535897927</v>
      </c>
      <c r="E16" s="37" t="s">
        <v>811</v>
      </c>
      <c r="F16" s="86">
        <f ca="1">$F$15^2*PI()/4</f>
        <v>0.29201299947852777</v>
      </c>
      <c r="G16" s="1097" t="e">
        <f ca="1">G15^2*PI()/4</f>
        <v>#VALUE!</v>
      </c>
      <c r="H16" s="1112" t="e">
        <f ca="1">H15^2*PI()/4</f>
        <v>#VALUE!</v>
      </c>
      <c r="I16" s="1102" t="e">
        <f ca="1">$I$15^2*PI()/4</f>
        <v>#VALUE!</v>
      </c>
    </row>
    <row r="17" spans="1:35" ht="18.75">
      <c r="A17" s="33">
        <f t="shared" si="0"/>
        <v>6</v>
      </c>
      <c r="B17" t="str">
        <f t="shared" si="1"/>
        <v>.</v>
      </c>
      <c r="C17" t="s">
        <v>821</v>
      </c>
      <c r="D17" s="33">
        <f ca="1">F17*3.28*60</f>
        <v>3183.098861837907</v>
      </c>
      <c r="E17" s="37" t="s">
        <v>808</v>
      </c>
      <c r="F17" s="85">
        <f ca="1">INDEX(SourceExitVelocity,MATCH($A$4,SourceNumber,0),1,1)</f>
        <v>16.174282834542211</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813</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0.19999999999999998</v>
      </c>
      <c r="E49" s="37"/>
      <c r="F49" s="86">
        <f ca="1">$F$15/$F$14</f>
        <v>0.19999999999999998</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67" priority="15" stopIfTrue="1" operator="equal">
      <formula>0</formula>
    </cfRule>
    <cfRule type="cellIs" dxfId="766" priority="16" stopIfTrue="1" operator="notEqual">
      <formula>0</formula>
    </cfRule>
  </conditionalFormatting>
  <conditionalFormatting sqref="K52">
    <cfRule type="cellIs" dxfId="765" priority="13" stopIfTrue="1" operator="lessThanOrEqual">
      <formula>0.00000001</formula>
    </cfRule>
    <cfRule type="cellIs" dxfId="764" priority="14" stopIfTrue="1" operator="greaterThan">
      <formula>0.00000001</formula>
    </cfRule>
  </conditionalFormatting>
  <conditionalFormatting sqref="K26:M26">
    <cfRule type="cellIs" dxfId="763" priority="11" stopIfTrue="1" operator="equal">
      <formula>"Mixture Computed"</formula>
    </cfRule>
    <cfRule type="cellIs" dxfId="762" priority="12" stopIfTrue="1" operator="equal">
      <formula>"MIXTURE NOT COMPUTED"</formula>
    </cfRule>
  </conditionalFormatting>
  <conditionalFormatting sqref="K56">
    <cfRule type="cellIs" dxfId="761" priority="8" stopIfTrue="1" operator="greaterThanOrEqual">
      <formula>$N$56</formula>
    </cfRule>
    <cfRule type="cellIs" dxfId="760" priority="9" stopIfTrue="1" operator="notBetween">
      <formula>$L$56</formula>
      <formula>$M$56</formula>
    </cfRule>
    <cfRule type="cellIs" dxfId="759" priority="10" stopIfTrue="1" operator="between">
      <formula>$L$56</formula>
      <formula>$M$56</formula>
    </cfRule>
  </conditionalFormatting>
  <conditionalFormatting sqref="K54">
    <cfRule type="cellIs" dxfId="758" priority="5" stopIfTrue="1" operator="greaterThanOrEqual">
      <formula>$N$54</formula>
    </cfRule>
    <cfRule type="cellIs" dxfId="757" priority="6" stopIfTrue="1" operator="notBetween">
      <formula>$L$54</formula>
      <formula>$M$54</formula>
    </cfRule>
    <cfRule type="cellIs" dxfId="756" priority="7" stopIfTrue="1" operator="between">
      <formula>$L$54</formula>
      <formula>$M$54</formula>
    </cfRule>
  </conditionalFormatting>
  <conditionalFormatting sqref="K57">
    <cfRule type="cellIs" dxfId="755" priority="3" stopIfTrue="1" operator="greaterThanOrEqual">
      <formula>$L$57</formula>
    </cfRule>
    <cfRule type="cellIs" dxfId="754" priority="4" stopIfTrue="1" operator="lessThan">
      <formula>$L$57</formula>
    </cfRule>
  </conditionalFormatting>
  <conditionalFormatting sqref="K55">
    <cfRule type="cellIs" dxfId="753" priority="1" stopIfTrue="1" operator="greaterThanOrEqual">
      <formula>0</formula>
    </cfRule>
    <cfRule type="cellIs" dxfId="75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Management\[15141_Vent_Test_Plan_v20_071.xlsm]AD</v>
      </c>
    </row>
    <row r="2" spans="1:12" ht="24" hidden="1" customHeight="1">
      <c r="A2" s="16">
        <f ca="1">FIND("]",A1,1)</f>
        <v>107</v>
      </c>
    </row>
    <row r="3" spans="1:12" ht="23.25" hidden="1" customHeight="1">
      <c r="A3" s="16">
        <f ca="1">LEN(A1)</f>
        <v>109</v>
      </c>
    </row>
    <row r="4" spans="1:12" ht="21" hidden="1" customHeight="1">
      <c r="A4" s="16" t="str">
        <f ca="1">RIGHT(A1,A3-A2)</f>
        <v>AD</v>
      </c>
    </row>
    <row r="5" spans="1:12" ht="20.25" hidden="1" customHeight="1">
      <c r="A5" s="1" t="s">
        <v>790</v>
      </c>
    </row>
    <row r="6" spans="1:12" ht="18.75">
      <c r="A6" s="54" t="str">
        <f ca="1">CONCATENATE(A5,A4)</f>
        <v>Table A-AD</v>
      </c>
      <c r="K6" s="2" t="s">
        <v>792</v>
      </c>
    </row>
    <row r="7" spans="1:12" ht="18.75">
      <c r="A7" s="4" t="s">
        <v>794</v>
      </c>
      <c r="K7" t="s">
        <v>793</v>
      </c>
    </row>
    <row r="8" spans="1:12">
      <c r="A8" s="45" t="str">
        <f ca="1">INDEX(SourceDescription,MATCH($A$4,SourceNumber,0),1,1) &amp; " (" &amp; INDEX(SourceID,MATCH($A$4,SourceNumber,0),1,1) &amp; ")"</f>
        <v>Vivarium Exhaust 1 (EF-4)</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3.1666666666666665</v>
      </c>
      <c r="E15" s="37" t="s">
        <v>807</v>
      </c>
      <c r="F15" s="85">
        <f ca="1">INDEX(SourceExitDiameter,MATCH($A$4,SourceNumber,0),1,1)</f>
        <v>0.96544715447154472</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7.8757982496244097</v>
      </c>
      <c r="E16" s="37" t="s">
        <v>811</v>
      </c>
      <c r="F16" s="86">
        <f ca="1">$F$15^2*PI()/4</f>
        <v>0.73206036674825359</v>
      </c>
      <c r="G16" s="1097" t="e">
        <f ca="1">G15^2*PI()/4</f>
        <v>#VALUE!</v>
      </c>
      <c r="H16" s="1112" t="e">
        <f ca="1">H15^2*PI()/4</f>
        <v>#VALUE!</v>
      </c>
      <c r="I16" s="1102" t="e">
        <f ca="1">$I$15^2*PI()/4</f>
        <v>#VALUE!</v>
      </c>
    </row>
    <row r="17" spans="1:35" ht="18.75">
      <c r="A17" s="33">
        <f t="shared" si="0"/>
        <v>6</v>
      </c>
      <c r="B17" t="str">
        <f t="shared" si="1"/>
        <v>.</v>
      </c>
      <c r="C17" t="s">
        <v>821</v>
      </c>
      <c r="D17" s="33">
        <f ca="1">F17*3.28*60</f>
        <v>3174.2814134671648</v>
      </c>
      <c r="E17" s="37" t="s">
        <v>808</v>
      </c>
      <c r="F17" s="85">
        <f ca="1">INDEX(SourceExitVelocity,MATCH($A$4,SourceNumber,0),1,1)</f>
        <v>16.129478726967303</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24999.999999999993</v>
      </c>
      <c r="E19" s="37" t="s">
        <v>813</v>
      </c>
      <c r="F19" s="86">
        <f ca="1">F17*F16</f>
        <v>11.807752112321838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0.31666666666666665</v>
      </c>
      <c r="E49" s="37"/>
      <c r="F49" s="86">
        <f ca="1">$F$15/$F$14</f>
        <v>0.31666666666666665</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51" priority="15" stopIfTrue="1" operator="equal">
      <formula>0</formula>
    </cfRule>
    <cfRule type="cellIs" dxfId="750" priority="16" stopIfTrue="1" operator="notEqual">
      <formula>0</formula>
    </cfRule>
  </conditionalFormatting>
  <conditionalFormatting sqref="K52">
    <cfRule type="cellIs" dxfId="749" priority="13" stopIfTrue="1" operator="lessThanOrEqual">
      <formula>0.00000001</formula>
    </cfRule>
    <cfRule type="cellIs" dxfId="748" priority="14" stopIfTrue="1" operator="greaterThan">
      <formula>0.00000001</formula>
    </cfRule>
  </conditionalFormatting>
  <conditionalFormatting sqref="K26:M26">
    <cfRule type="cellIs" dxfId="747" priority="11" stopIfTrue="1" operator="equal">
      <formula>"Mixture Computed"</formula>
    </cfRule>
    <cfRule type="cellIs" dxfId="746" priority="12" stopIfTrue="1" operator="equal">
      <formula>"MIXTURE NOT COMPUTED"</formula>
    </cfRule>
  </conditionalFormatting>
  <conditionalFormatting sqref="K56">
    <cfRule type="cellIs" dxfId="745" priority="8" stopIfTrue="1" operator="greaterThanOrEqual">
      <formula>$N$56</formula>
    </cfRule>
    <cfRule type="cellIs" dxfId="744" priority="9" stopIfTrue="1" operator="notBetween">
      <formula>$L$56</formula>
      <formula>$M$56</formula>
    </cfRule>
    <cfRule type="cellIs" dxfId="743" priority="10" stopIfTrue="1" operator="between">
      <formula>$L$56</formula>
      <formula>$M$56</formula>
    </cfRule>
  </conditionalFormatting>
  <conditionalFormatting sqref="K54">
    <cfRule type="cellIs" dxfId="742" priority="5" stopIfTrue="1" operator="greaterThanOrEqual">
      <formula>$N$54</formula>
    </cfRule>
    <cfRule type="cellIs" dxfId="741" priority="6" stopIfTrue="1" operator="notBetween">
      <formula>$L$54</formula>
      <formula>$M$54</formula>
    </cfRule>
    <cfRule type="cellIs" dxfId="740" priority="7" stopIfTrue="1" operator="between">
      <formula>$L$54</formula>
      <formula>$M$54</formula>
    </cfRule>
  </conditionalFormatting>
  <conditionalFormatting sqref="K57">
    <cfRule type="cellIs" dxfId="739" priority="3" stopIfTrue="1" operator="greaterThanOrEqual">
      <formula>$L$57</formula>
    </cfRule>
    <cfRule type="cellIs" dxfId="738" priority="4" stopIfTrue="1" operator="lessThan">
      <formula>$L$57</formula>
    </cfRule>
  </conditionalFormatting>
  <conditionalFormatting sqref="K55">
    <cfRule type="cellIs" dxfId="737" priority="1" stopIfTrue="1" operator="greaterThanOrEqual">
      <formula>0</formula>
    </cfRule>
    <cfRule type="cellIs" dxfId="73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9">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Management\[15141_Vent_Test_Plan_v20_071.xlsm]AE</v>
      </c>
    </row>
    <row r="2" spans="1:12" ht="24" hidden="1" customHeight="1">
      <c r="A2" s="16">
        <f ca="1">FIND("]",A1,1)</f>
        <v>107</v>
      </c>
    </row>
    <row r="3" spans="1:12" ht="23.25" hidden="1" customHeight="1">
      <c r="A3" s="16">
        <f ca="1">LEN(A1)</f>
        <v>109</v>
      </c>
    </row>
    <row r="4" spans="1:12" ht="21" hidden="1" customHeight="1">
      <c r="A4" s="16" t="str">
        <f ca="1">RIGHT(A1,A3-A2)</f>
        <v>AE</v>
      </c>
    </row>
    <row r="5" spans="1:12" ht="20.25" hidden="1" customHeight="1">
      <c r="A5" s="1" t="s">
        <v>790</v>
      </c>
    </row>
    <row r="6" spans="1:12" ht="18.75">
      <c r="A6" s="54" t="str">
        <f ca="1">CONCATENATE(A5,A4)</f>
        <v>Table A-AE</v>
      </c>
      <c r="K6" s="2" t="s">
        <v>792</v>
      </c>
    </row>
    <row r="7" spans="1:12" ht="18.75">
      <c r="A7" s="4" t="s">
        <v>794</v>
      </c>
      <c r="K7" t="s">
        <v>793</v>
      </c>
    </row>
    <row r="8" spans="1:12">
      <c r="A8" s="45" t="str">
        <f ca="1">INDEX(SourceDescription,MATCH($A$4,SourceNumber,0),1,1) &amp; " (" &amp; INDEX(SourceID,MATCH($A$4,SourceNumber,0),1,1) &amp; ")"</f>
        <v>Vivarium Exhaust 2 (EF-5)</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4.666666666666667</v>
      </c>
      <c r="E15" s="37" t="s">
        <v>807</v>
      </c>
      <c r="F15" s="85">
        <f ca="1">INDEX(SourceExitDiameter,MATCH($A$4,SourceNumber,0),1,1)</f>
        <v>1.4227642276422765</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17.104226669544428</v>
      </c>
      <c r="E16" s="37" t="s">
        <v>811</v>
      </c>
      <c r="F16" s="86">
        <f ca="1">$F$15^2*PI()/4</f>
        <v>1.589848552716429</v>
      </c>
      <c r="G16" s="1097" t="e">
        <f ca="1">G15^2*PI()/4</f>
        <v>#VALUE!</v>
      </c>
      <c r="H16" s="1112" t="e">
        <f ca="1">H15^2*PI()/4</f>
        <v>#VALUE!</v>
      </c>
      <c r="I16" s="1102" t="e">
        <f ca="1">$I$15^2*PI()/4</f>
        <v>#VALUE!</v>
      </c>
    </row>
    <row r="17" spans="1:35" ht="18.75">
      <c r="A17" s="33">
        <f t="shared" si="0"/>
        <v>6</v>
      </c>
      <c r="B17" t="str">
        <f t="shared" si="1"/>
        <v>.</v>
      </c>
      <c r="C17" t="s">
        <v>821</v>
      </c>
      <c r="D17" s="33">
        <f ca="1">F17*3.28*60</f>
        <v>2923.2540567899146</v>
      </c>
      <c r="E17" s="37" t="s">
        <v>808</v>
      </c>
      <c r="F17" s="85">
        <f ca="1">INDEX(SourceExitVelocity,MATCH($A$4,SourceNumber,0),1,1)</f>
        <v>14.853933215395907</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49999.999999999985</v>
      </c>
      <c r="E19" s="37" t="s">
        <v>813</v>
      </c>
      <c r="F19" s="86">
        <f ca="1">F17*F16</f>
        <v>23.615504224643676</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0.46666666666666667</v>
      </c>
      <c r="E49" s="37"/>
      <c r="F49" s="86">
        <f ca="1">$F$15/$F$14</f>
        <v>0.46666666666666667</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35" priority="15" stopIfTrue="1" operator="equal">
      <formula>0</formula>
    </cfRule>
    <cfRule type="cellIs" dxfId="734" priority="16" stopIfTrue="1" operator="notEqual">
      <formula>0</formula>
    </cfRule>
  </conditionalFormatting>
  <conditionalFormatting sqref="K52">
    <cfRule type="cellIs" dxfId="733" priority="13" stopIfTrue="1" operator="lessThanOrEqual">
      <formula>0.00000001</formula>
    </cfRule>
    <cfRule type="cellIs" dxfId="732" priority="14" stopIfTrue="1" operator="greaterThan">
      <formula>0.00000001</formula>
    </cfRule>
  </conditionalFormatting>
  <conditionalFormatting sqref="K26:M26">
    <cfRule type="cellIs" dxfId="731" priority="11" stopIfTrue="1" operator="equal">
      <formula>"Mixture Computed"</formula>
    </cfRule>
    <cfRule type="cellIs" dxfId="730" priority="12" stopIfTrue="1" operator="equal">
      <formula>"MIXTURE NOT COMPUTED"</formula>
    </cfRule>
  </conditionalFormatting>
  <conditionalFormatting sqref="K56">
    <cfRule type="cellIs" dxfId="729" priority="8" stopIfTrue="1" operator="greaterThanOrEqual">
      <formula>$N$56</formula>
    </cfRule>
    <cfRule type="cellIs" dxfId="728" priority="9" stopIfTrue="1" operator="notBetween">
      <formula>$L$56</formula>
      <formula>$M$56</formula>
    </cfRule>
    <cfRule type="cellIs" dxfId="727" priority="10" stopIfTrue="1" operator="between">
      <formula>$L$56</formula>
      <formula>$M$56</formula>
    </cfRule>
  </conditionalFormatting>
  <conditionalFormatting sqref="K54">
    <cfRule type="cellIs" dxfId="726" priority="5" stopIfTrue="1" operator="greaterThanOrEqual">
      <formula>$N$54</formula>
    </cfRule>
    <cfRule type="cellIs" dxfId="725" priority="6" stopIfTrue="1" operator="notBetween">
      <formula>$L$54</formula>
      <formula>$M$54</formula>
    </cfRule>
    <cfRule type="cellIs" dxfId="724" priority="7" stopIfTrue="1" operator="between">
      <formula>$L$54</formula>
      <formula>$M$54</formula>
    </cfRule>
  </conditionalFormatting>
  <conditionalFormatting sqref="K57">
    <cfRule type="cellIs" dxfId="723" priority="3" stopIfTrue="1" operator="greaterThanOrEqual">
      <formula>$L$57</formula>
    </cfRule>
    <cfRule type="cellIs" dxfId="722" priority="4" stopIfTrue="1" operator="lessThan">
      <formula>$L$57</formula>
    </cfRule>
  </conditionalFormatting>
  <conditionalFormatting sqref="K55">
    <cfRule type="cellIs" dxfId="721" priority="1" stopIfTrue="1" operator="greaterThanOrEqual">
      <formula>0</formula>
    </cfRule>
    <cfRule type="cellIs" dxfId="72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Management\[15141_Vent_Test_Plan_v20_071.xlsm]AF</v>
      </c>
    </row>
    <row r="2" spans="1:12" ht="24" hidden="1" customHeight="1">
      <c r="A2" s="16">
        <f ca="1">FIND("]",A1,1)</f>
        <v>107</v>
      </c>
    </row>
    <row r="3" spans="1:12" ht="23.25" hidden="1" customHeight="1">
      <c r="A3" s="16">
        <f ca="1">LEN(A1)</f>
        <v>109</v>
      </c>
    </row>
    <row r="4" spans="1:12" ht="21" hidden="1" customHeight="1">
      <c r="A4" s="16" t="str">
        <f ca="1">RIGHT(A1,A3-A2)</f>
        <v>AF</v>
      </c>
    </row>
    <row r="5" spans="1:12" ht="20.25" hidden="1" customHeight="1">
      <c r="A5" s="1" t="s">
        <v>790</v>
      </c>
    </row>
    <row r="6" spans="1:12" ht="18.75">
      <c r="A6" s="54" t="str">
        <f ca="1">CONCATENATE(A5,A4)</f>
        <v>Table A-AF</v>
      </c>
      <c r="K6" s="2" t="s">
        <v>792</v>
      </c>
    </row>
    <row r="7" spans="1:12" ht="18.75">
      <c r="A7" s="4" t="s">
        <v>794</v>
      </c>
      <c r="K7" t="s">
        <v>793</v>
      </c>
    </row>
    <row r="8" spans="1:12">
      <c r="A8" s="45" t="str">
        <f ca="1">INDEX(SourceDescription,MATCH($A$4,SourceNumber,0),1,1) &amp; " (" &amp; INDEX(SourceID,MATCH($A$4,SourceNumber,0),1,1) &amp; ")"</f>
        <v>Vivarium Exhaust 3 (EF-6)</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5.4999999999999991</v>
      </c>
      <c r="E15" s="37" t="s">
        <v>807</v>
      </c>
      <c r="F15" s="85">
        <f ca="1">INDEX(SourceExitDiameter,MATCH($A$4,SourceNumber,0),1,1)</f>
        <v>1.6768292682926829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23.758294442772808</v>
      </c>
      <c r="E16" s="37" t="s">
        <v>811</v>
      </c>
      <c r="F16" s="86">
        <f ca="1">$F$15^2*PI()/4</f>
        <v>2.2083483085563662</v>
      </c>
      <c r="G16" s="1097" t="e">
        <f ca="1">G15^2*PI()/4</f>
        <v>#VALUE!</v>
      </c>
      <c r="H16" s="1112" t="e">
        <f ca="1">H15^2*PI()/4</f>
        <v>#VALUE!</v>
      </c>
      <c r="I16" s="1102" t="e">
        <f ca="1">$I$15^2*PI()/4</f>
        <v>#VALUE!</v>
      </c>
    </row>
    <row r="17" spans="1:35" ht="18.75">
      <c r="A17" s="33">
        <f t="shared" si="0"/>
        <v>6</v>
      </c>
      <c r="B17" t="str">
        <f t="shared" si="1"/>
        <v>.</v>
      </c>
      <c r="C17" t="s">
        <v>821</v>
      </c>
      <c r="D17" s="33">
        <f ca="1">F17*3.28*60</f>
        <v>3156.7922596739568</v>
      </c>
      <c r="E17" s="37" t="s">
        <v>808</v>
      </c>
      <c r="F17" s="85">
        <f ca="1">INDEX(SourceExitVelocity,MATCH($A$4,SourceNumber,0),1,1)</f>
        <v>16.040611075579051</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74999.999999999971</v>
      </c>
      <c r="E19" s="37" t="s">
        <v>813</v>
      </c>
      <c r="F19" s="86">
        <f ca="1">F17*F16</f>
        <v>35.423256336965508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0.54999999999999993</v>
      </c>
      <c r="E49" s="37"/>
      <c r="F49" s="86">
        <f ca="1">$F$15/$F$14</f>
        <v>0.54999999999999993</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19" priority="15" stopIfTrue="1" operator="equal">
      <formula>0</formula>
    </cfRule>
    <cfRule type="cellIs" dxfId="718" priority="16" stopIfTrue="1" operator="notEqual">
      <formula>0</formula>
    </cfRule>
  </conditionalFormatting>
  <conditionalFormatting sqref="K52">
    <cfRule type="cellIs" dxfId="717" priority="13" stopIfTrue="1" operator="lessThanOrEqual">
      <formula>0.00000001</formula>
    </cfRule>
    <cfRule type="cellIs" dxfId="716" priority="14" stopIfTrue="1" operator="greaterThan">
      <formula>0.00000001</formula>
    </cfRule>
  </conditionalFormatting>
  <conditionalFormatting sqref="K26:M26">
    <cfRule type="cellIs" dxfId="715" priority="11" stopIfTrue="1" operator="equal">
      <formula>"Mixture Computed"</formula>
    </cfRule>
    <cfRule type="cellIs" dxfId="714" priority="12" stopIfTrue="1" operator="equal">
      <formula>"MIXTURE NOT COMPUTED"</formula>
    </cfRule>
  </conditionalFormatting>
  <conditionalFormatting sqref="K56">
    <cfRule type="cellIs" dxfId="713" priority="8" stopIfTrue="1" operator="greaterThanOrEqual">
      <formula>$N$56</formula>
    </cfRule>
    <cfRule type="cellIs" dxfId="712" priority="9" stopIfTrue="1" operator="notBetween">
      <formula>$L$56</formula>
      <formula>$M$56</formula>
    </cfRule>
    <cfRule type="cellIs" dxfId="711" priority="10" stopIfTrue="1" operator="between">
      <formula>$L$56</formula>
      <formula>$M$56</formula>
    </cfRule>
  </conditionalFormatting>
  <conditionalFormatting sqref="K54">
    <cfRule type="cellIs" dxfId="710" priority="5" stopIfTrue="1" operator="greaterThanOrEqual">
      <formula>$N$54</formula>
    </cfRule>
    <cfRule type="cellIs" dxfId="709" priority="6" stopIfTrue="1" operator="notBetween">
      <formula>$L$54</formula>
      <formula>$M$54</formula>
    </cfRule>
    <cfRule type="cellIs" dxfId="708" priority="7" stopIfTrue="1" operator="between">
      <formula>$L$54</formula>
      <formula>$M$54</formula>
    </cfRule>
  </conditionalFormatting>
  <conditionalFormatting sqref="K57">
    <cfRule type="cellIs" dxfId="707" priority="3" stopIfTrue="1" operator="greaterThanOrEqual">
      <formula>$L$57</formula>
    </cfRule>
    <cfRule type="cellIs" dxfId="706" priority="4" stopIfTrue="1" operator="lessThan">
      <formula>$L$57</formula>
    </cfRule>
  </conditionalFormatting>
  <conditionalFormatting sqref="K55">
    <cfRule type="cellIs" dxfId="705" priority="1" stopIfTrue="1" operator="greaterThanOrEqual">
      <formula>0</formula>
    </cfRule>
    <cfRule type="cellIs" dxfId="70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Management\[15141_Vent_Test_Plan_v20_071.xlsm]AG</v>
      </c>
    </row>
    <row r="2" spans="1:12" ht="24" hidden="1" customHeight="1">
      <c r="A2" s="16">
        <f ca="1">FIND("]",A1,1)</f>
        <v>107</v>
      </c>
    </row>
    <row r="3" spans="1:12" ht="23.25" hidden="1" customHeight="1">
      <c r="A3" s="16">
        <f ca="1">LEN(A1)</f>
        <v>109</v>
      </c>
    </row>
    <row r="4" spans="1:12" ht="21" hidden="1" customHeight="1">
      <c r="A4" s="16" t="str">
        <f ca="1">RIGHT(A1,A3-A2)</f>
        <v>AG</v>
      </c>
    </row>
    <row r="5" spans="1:12" ht="20.25" hidden="1" customHeight="1">
      <c r="A5" s="1" t="s">
        <v>790</v>
      </c>
    </row>
    <row r="6" spans="1:12" ht="18.75">
      <c r="A6" s="54" t="str">
        <f ca="1">CONCATENATE(A5,A4)</f>
        <v>Table A-AG</v>
      </c>
      <c r="K6" s="2" t="s">
        <v>792</v>
      </c>
    </row>
    <row r="7" spans="1:12" ht="18.75">
      <c r="A7" s="4" t="s">
        <v>794</v>
      </c>
      <c r="K7" t="s">
        <v>793</v>
      </c>
    </row>
    <row r="8" spans="1:12">
      <c r="A8" s="45" t="str">
        <f ca="1">INDEX(SourceDescription,MATCH($A$4,SourceNumber,0),1,1) &amp; " (" &amp; INDEX(SourceID,MATCH($A$4,SourceNumber,0),1,1) &amp; ")"</f>
        <v>Kitchen Exhaust 1 (EF-7)</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6.333333333333333</v>
      </c>
      <c r="E15" s="37" t="s">
        <v>807</v>
      </c>
      <c r="F15" s="85">
        <f ca="1">INDEX(SourceExitDiameter,MATCH($A$4,SourceNumber,0),1,1)</f>
        <v>1.9308943089430894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31.503192998497639</v>
      </c>
      <c r="E16" s="37" t="s">
        <v>811</v>
      </c>
      <c r="F16" s="86">
        <f ca="1">$F$15^2*PI()/4</f>
        <v>2.9282414669930144</v>
      </c>
      <c r="G16" s="1097" t="e">
        <f ca="1">G15^2*PI()/4</f>
        <v>#VALUE!</v>
      </c>
      <c r="H16" s="1112" t="e">
        <f ca="1">H15^2*PI()/4</f>
        <v>#VALUE!</v>
      </c>
      <c r="I16" s="1102" t="e">
        <f ca="1">$I$15^2*PI()/4</f>
        <v>#VALUE!</v>
      </c>
    </row>
    <row r="17" spans="1:35" ht="18.75">
      <c r="A17" s="33">
        <f t="shared" si="0"/>
        <v>6</v>
      </c>
      <c r="B17" t="str">
        <f t="shared" si="1"/>
        <v>.</v>
      </c>
      <c r="C17" t="s">
        <v>821</v>
      </c>
      <c r="D17" s="33">
        <f ca="1">F17*3.28*60</f>
        <v>3174.2814134671648</v>
      </c>
      <c r="E17" s="37" t="s">
        <v>808</v>
      </c>
      <c r="F17" s="85">
        <f ca="1">INDEX(SourceExitVelocity,MATCH($A$4,SourceNumber,0),1,1)</f>
        <v>16.129478726967303</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99999.999999999971</v>
      </c>
      <c r="E19" s="37" t="s">
        <v>813</v>
      </c>
      <c r="F19" s="86">
        <f ca="1">F17*F16</f>
        <v>47.231008449287351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0.6333333333333333</v>
      </c>
      <c r="E49" s="37"/>
      <c r="F49" s="86">
        <f ca="1">$F$15/$F$14</f>
        <v>0.6333333333333333</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03" priority="15" stopIfTrue="1" operator="equal">
      <formula>0</formula>
    </cfRule>
    <cfRule type="cellIs" dxfId="702" priority="16" stopIfTrue="1" operator="notEqual">
      <formula>0</formula>
    </cfRule>
  </conditionalFormatting>
  <conditionalFormatting sqref="K52">
    <cfRule type="cellIs" dxfId="701" priority="13" stopIfTrue="1" operator="lessThanOrEqual">
      <formula>0.00000001</formula>
    </cfRule>
    <cfRule type="cellIs" dxfId="700" priority="14" stopIfTrue="1" operator="greaterThan">
      <formula>0.00000001</formula>
    </cfRule>
  </conditionalFormatting>
  <conditionalFormatting sqref="K26:M26">
    <cfRule type="cellIs" dxfId="699" priority="11" stopIfTrue="1" operator="equal">
      <formula>"Mixture Computed"</formula>
    </cfRule>
    <cfRule type="cellIs" dxfId="698" priority="12" stopIfTrue="1" operator="equal">
      <formula>"MIXTURE NOT COMPUTED"</formula>
    </cfRule>
  </conditionalFormatting>
  <conditionalFormatting sqref="K56">
    <cfRule type="cellIs" dxfId="697" priority="8" stopIfTrue="1" operator="greaterThanOrEqual">
      <formula>$N$56</formula>
    </cfRule>
    <cfRule type="cellIs" dxfId="696" priority="9" stopIfTrue="1" operator="notBetween">
      <formula>$L$56</formula>
      <formula>$M$56</formula>
    </cfRule>
    <cfRule type="cellIs" dxfId="695" priority="10" stopIfTrue="1" operator="between">
      <formula>$L$56</formula>
      <formula>$M$56</formula>
    </cfRule>
  </conditionalFormatting>
  <conditionalFormatting sqref="K54">
    <cfRule type="cellIs" dxfId="694" priority="5" stopIfTrue="1" operator="greaterThanOrEqual">
      <formula>$N$54</formula>
    </cfRule>
    <cfRule type="cellIs" dxfId="693" priority="6" stopIfTrue="1" operator="notBetween">
      <formula>$L$54</formula>
      <formula>$M$54</formula>
    </cfRule>
    <cfRule type="cellIs" dxfId="692" priority="7" stopIfTrue="1" operator="between">
      <formula>$L$54</formula>
      <formula>$M$54</formula>
    </cfRule>
  </conditionalFormatting>
  <conditionalFormatting sqref="K57">
    <cfRule type="cellIs" dxfId="691" priority="3" stopIfTrue="1" operator="greaterThanOrEqual">
      <formula>$L$57</formula>
    </cfRule>
    <cfRule type="cellIs" dxfId="690" priority="4" stopIfTrue="1" operator="lessThan">
      <formula>$L$57</formula>
    </cfRule>
  </conditionalFormatting>
  <conditionalFormatting sqref="K55">
    <cfRule type="cellIs" dxfId="689" priority="1" stopIfTrue="1" operator="greaterThanOrEqual">
      <formula>0</formula>
    </cfRule>
    <cfRule type="cellIs" dxfId="68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4">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Management\[15141_Vent_Test_Plan_v20_071.xlsm]AH</v>
      </c>
    </row>
    <row r="2" spans="1:12" ht="24" hidden="1" customHeight="1">
      <c r="A2" s="16">
        <f ca="1">FIND("]",A1,1)</f>
        <v>107</v>
      </c>
    </row>
    <row r="3" spans="1:12" ht="23.25" hidden="1" customHeight="1">
      <c r="A3" s="16">
        <f ca="1">LEN(A1)</f>
        <v>109</v>
      </c>
    </row>
    <row r="4" spans="1:12" ht="21" hidden="1" customHeight="1">
      <c r="A4" s="16" t="str">
        <f ca="1">RIGHT(A1,A3-A2)</f>
        <v>AH</v>
      </c>
    </row>
    <row r="5" spans="1:12" ht="20.25" hidden="1" customHeight="1">
      <c r="A5" s="1" t="s">
        <v>790</v>
      </c>
    </row>
    <row r="6" spans="1:12" ht="18.75">
      <c r="A6" s="54" t="str">
        <f ca="1">CONCATENATE(A5,A4)</f>
        <v>Table A-AH</v>
      </c>
      <c r="K6" s="2" t="s">
        <v>792</v>
      </c>
    </row>
    <row r="7" spans="1:12" ht="18.75">
      <c r="A7" s="4" t="s">
        <v>794</v>
      </c>
      <c r="K7" t="s">
        <v>793</v>
      </c>
    </row>
    <row r="8" spans="1:12">
      <c r="A8" s="45" t="str">
        <f ca="1">INDEX(SourceDescription,MATCH($A$4,SourceNumber,0),1,1) &amp; " (" &amp; INDEX(SourceID,MATCH($A$4,SourceNumber,0),1,1) &amp; ")"</f>
        <v>Kitchen Exhaust 2 (EF-8)</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9.1666666666666661</v>
      </c>
      <c r="E15" s="37" t="s">
        <v>807</v>
      </c>
      <c r="F15" s="85">
        <f ca="1">INDEX(SourceExitDiameter,MATCH($A$4,SourceNumber,0),1,1)</f>
        <v>2.7947154471544717</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65.995262341035584</v>
      </c>
      <c r="E16" s="37" t="s">
        <v>811</v>
      </c>
      <c r="F16" s="86">
        <f ca="1">$F$15^2*PI()/4</f>
        <v>6.1343008571010182</v>
      </c>
      <c r="G16" s="1097" t="e">
        <f ca="1">G15^2*PI()/4</f>
        <v>#VALUE!</v>
      </c>
      <c r="H16" s="1112" t="e">
        <f ca="1">H15^2*PI()/4</f>
        <v>#VALUE!</v>
      </c>
      <c r="I16" s="1102" t="e">
        <f ca="1">$I$15^2*PI()/4</f>
        <v>#VALUE!</v>
      </c>
    </row>
    <row r="17" spans="1:35" ht="18.75">
      <c r="A17" s="33">
        <f t="shared" si="0"/>
        <v>6</v>
      </c>
      <c r="B17" t="str">
        <f t="shared" si="1"/>
        <v>.</v>
      </c>
      <c r="C17" t="s">
        <v>821</v>
      </c>
      <c r="D17" s="33">
        <f ca="1">F17*3.28*60</f>
        <v>3030.520569286999</v>
      </c>
      <c r="E17" s="37" t="s">
        <v>808</v>
      </c>
      <c r="F17" s="85">
        <f ca="1">INDEX(SourceExitVelocity,MATCH($A$4,SourceNumber,0),1,1)</f>
        <v>15.398986632555891</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200000</v>
      </c>
      <c r="E19" s="37" t="s">
        <v>813</v>
      </c>
      <c r="F19" s="86">
        <f ca="1">F17*F16</f>
        <v>94.462016898574731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0.91666666666666674</v>
      </c>
      <c r="E49" s="37"/>
      <c r="F49" s="86">
        <f ca="1">$F$15/$F$14</f>
        <v>0.91666666666666674</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87" priority="15" stopIfTrue="1" operator="equal">
      <formula>0</formula>
    </cfRule>
    <cfRule type="cellIs" dxfId="686" priority="16" stopIfTrue="1" operator="notEqual">
      <formula>0</formula>
    </cfRule>
  </conditionalFormatting>
  <conditionalFormatting sqref="K52">
    <cfRule type="cellIs" dxfId="685" priority="13" stopIfTrue="1" operator="lessThanOrEqual">
      <formula>0.00000001</formula>
    </cfRule>
    <cfRule type="cellIs" dxfId="684" priority="14" stopIfTrue="1" operator="greaterThan">
      <formula>0.00000001</formula>
    </cfRule>
  </conditionalFormatting>
  <conditionalFormatting sqref="K26:M26">
    <cfRule type="cellIs" dxfId="683" priority="11" stopIfTrue="1" operator="equal">
      <formula>"Mixture Computed"</formula>
    </cfRule>
    <cfRule type="cellIs" dxfId="682" priority="12" stopIfTrue="1" operator="equal">
      <formula>"MIXTURE NOT COMPUTED"</formula>
    </cfRule>
  </conditionalFormatting>
  <conditionalFormatting sqref="K56">
    <cfRule type="cellIs" dxfId="681" priority="8" stopIfTrue="1" operator="greaterThanOrEqual">
      <formula>$N$56</formula>
    </cfRule>
    <cfRule type="cellIs" dxfId="680" priority="9" stopIfTrue="1" operator="notBetween">
      <formula>$L$56</formula>
      <formula>$M$56</formula>
    </cfRule>
    <cfRule type="cellIs" dxfId="679" priority="10" stopIfTrue="1" operator="between">
      <formula>$L$56</formula>
      <formula>$M$56</formula>
    </cfRule>
  </conditionalFormatting>
  <conditionalFormatting sqref="K54">
    <cfRule type="cellIs" dxfId="678" priority="5" stopIfTrue="1" operator="greaterThanOrEqual">
      <formula>$N$54</formula>
    </cfRule>
    <cfRule type="cellIs" dxfId="677" priority="6" stopIfTrue="1" operator="notBetween">
      <formula>$L$54</formula>
      <formula>$M$54</formula>
    </cfRule>
    <cfRule type="cellIs" dxfId="676" priority="7" stopIfTrue="1" operator="between">
      <formula>$L$54</formula>
      <formula>$M$54</formula>
    </cfRule>
  </conditionalFormatting>
  <conditionalFormatting sqref="K57">
    <cfRule type="cellIs" dxfId="675" priority="3" stopIfTrue="1" operator="greaterThanOrEqual">
      <formula>$L$57</formula>
    </cfRule>
    <cfRule type="cellIs" dxfId="674" priority="4" stopIfTrue="1" operator="lessThan">
      <formula>$L$57</formula>
    </cfRule>
  </conditionalFormatting>
  <conditionalFormatting sqref="K55">
    <cfRule type="cellIs" dxfId="673" priority="1" stopIfTrue="1" operator="greaterThanOrEqual">
      <formula>0</formula>
    </cfRule>
    <cfRule type="cellIs" dxfId="67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5">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Management\[15141_Vent_Test_Plan_v20_071.xlsm]AI</v>
      </c>
    </row>
    <row r="2" spans="1:12" ht="24" hidden="1" customHeight="1">
      <c r="A2" s="16">
        <f ca="1">FIND("]",A1,1)</f>
        <v>107</v>
      </c>
    </row>
    <row r="3" spans="1:12" ht="23.25" hidden="1" customHeight="1">
      <c r="A3" s="16">
        <f ca="1">LEN(A1)</f>
        <v>109</v>
      </c>
    </row>
    <row r="4" spans="1:12" ht="21" hidden="1" customHeight="1">
      <c r="A4" s="16" t="str">
        <f ca="1">RIGHT(A1,A3-A2)</f>
        <v>AI</v>
      </c>
    </row>
    <row r="5" spans="1:12" ht="20.25" hidden="1" customHeight="1">
      <c r="A5" s="1" t="s">
        <v>790</v>
      </c>
    </row>
    <row r="6" spans="1:12" ht="18.75">
      <c r="A6" s="54" t="str">
        <f ca="1">CONCATENATE(A5,A4)</f>
        <v>Table A-AI</v>
      </c>
      <c r="K6" s="2" t="s">
        <v>792</v>
      </c>
    </row>
    <row r="7" spans="1:12" ht="18.75">
      <c r="A7" s="4" t="s">
        <v>794</v>
      </c>
      <c r="K7" t="s">
        <v>793</v>
      </c>
    </row>
    <row r="8" spans="1:12">
      <c r="A8" s="45" t="str">
        <f ca="1">INDEX(SourceDescription,MATCH($A$4,SourceNumber,0),1,1) &amp; " (" &amp; INDEX(SourceID,MATCH($A$4,SourceNumber,0),1,1) &amp; ")"</f>
        <v>Biological Safety Cabinet 1 (EF-9)</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13.333333333333334</v>
      </c>
      <c r="E15" s="37" t="s">
        <v>807</v>
      </c>
      <c r="F15" s="85">
        <f ca="1">INDEX(SourceExitDiameter,MATCH($A$4,SourceNumber,0),1,1)</f>
        <v>4.0650406504065044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139.62634015954637</v>
      </c>
      <c r="E16" s="37" t="s">
        <v>811</v>
      </c>
      <c r="F16" s="86">
        <f ca="1">$F$15^2*PI()/4</f>
        <v>12.978355532379016</v>
      </c>
      <c r="G16" s="1097" t="e">
        <f ca="1">G15^2*PI()/4</f>
        <v>#VALUE!</v>
      </c>
      <c r="H16" s="1112" t="e">
        <f ca="1">H15^2*PI()/4</f>
        <v>#VALUE!</v>
      </c>
      <c r="I16" s="1102" t="e">
        <f ca="1">$I$15^2*PI()/4</f>
        <v>#VALUE!</v>
      </c>
    </row>
    <row r="17" spans="1:35" ht="18.75">
      <c r="A17" s="33">
        <f t="shared" si="0"/>
        <v>6</v>
      </c>
      <c r="B17" t="str">
        <f t="shared" si="1"/>
        <v>.</v>
      </c>
      <c r="C17" t="s">
        <v>821</v>
      </c>
      <c r="D17" s="33">
        <f ca="1">F17*3.28*60</f>
        <v>2864.7889756541153</v>
      </c>
      <c r="E17" s="37" t="s">
        <v>808</v>
      </c>
      <c r="F17" s="85">
        <f ca="1">INDEX(SourceExitVelocity,MATCH($A$4,SourceNumber,0),1,1)</f>
        <v>14.556854551087987</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399999.99999999994</v>
      </c>
      <c r="E19" s="37" t="s">
        <v>813</v>
      </c>
      <c r="F19" s="86">
        <f ca="1">F17*F16</f>
        <v>188.92403379714943</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1.3333333333333335</v>
      </c>
      <c r="E49" s="37"/>
      <c r="F49" s="86">
        <f ca="1">$F$15/$F$14</f>
        <v>1.3333333333333335</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71" priority="15" stopIfTrue="1" operator="equal">
      <formula>0</formula>
    </cfRule>
    <cfRule type="cellIs" dxfId="670" priority="16" stopIfTrue="1" operator="notEqual">
      <formula>0</formula>
    </cfRule>
  </conditionalFormatting>
  <conditionalFormatting sqref="K52">
    <cfRule type="cellIs" dxfId="669" priority="13" stopIfTrue="1" operator="lessThanOrEqual">
      <formula>0.00000001</formula>
    </cfRule>
    <cfRule type="cellIs" dxfId="668" priority="14" stopIfTrue="1" operator="greaterThan">
      <formula>0.00000001</formula>
    </cfRule>
  </conditionalFormatting>
  <conditionalFormatting sqref="K26:M26">
    <cfRule type="cellIs" dxfId="667" priority="11" stopIfTrue="1" operator="equal">
      <formula>"Mixture Computed"</formula>
    </cfRule>
    <cfRule type="cellIs" dxfId="666" priority="12" stopIfTrue="1" operator="equal">
      <formula>"MIXTURE NOT COMPUTED"</formula>
    </cfRule>
  </conditionalFormatting>
  <conditionalFormatting sqref="K56">
    <cfRule type="cellIs" dxfId="665" priority="8" stopIfTrue="1" operator="greaterThanOrEqual">
      <formula>$N$56</formula>
    </cfRule>
    <cfRule type="cellIs" dxfId="664" priority="9" stopIfTrue="1" operator="notBetween">
      <formula>$L$56</formula>
      <formula>$M$56</formula>
    </cfRule>
    <cfRule type="cellIs" dxfId="663" priority="10" stopIfTrue="1" operator="between">
      <formula>$L$56</formula>
      <formula>$M$56</formula>
    </cfRule>
  </conditionalFormatting>
  <conditionalFormatting sqref="K54">
    <cfRule type="cellIs" dxfId="662" priority="5" stopIfTrue="1" operator="greaterThanOrEqual">
      <formula>$N$54</formula>
    </cfRule>
    <cfRule type="cellIs" dxfId="661" priority="6" stopIfTrue="1" operator="notBetween">
      <formula>$L$54</formula>
      <formula>$M$54</formula>
    </cfRule>
    <cfRule type="cellIs" dxfId="660" priority="7" stopIfTrue="1" operator="between">
      <formula>$L$54</formula>
      <formula>$M$54</formula>
    </cfRule>
  </conditionalFormatting>
  <conditionalFormatting sqref="K57">
    <cfRule type="cellIs" dxfId="659" priority="3" stopIfTrue="1" operator="greaterThanOrEqual">
      <formula>$L$57</formula>
    </cfRule>
    <cfRule type="cellIs" dxfId="658" priority="4" stopIfTrue="1" operator="lessThan">
      <formula>$L$57</formula>
    </cfRule>
  </conditionalFormatting>
  <conditionalFormatting sqref="K55">
    <cfRule type="cellIs" dxfId="657" priority="1" stopIfTrue="1" operator="greaterThanOrEqual">
      <formula>0</formula>
    </cfRule>
    <cfRule type="cellIs" dxfId="65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6">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Management\[15141_Vent_Test_Plan_v20_071.xlsm]AJ</v>
      </c>
    </row>
    <row r="2" spans="1:12" ht="24" hidden="1" customHeight="1">
      <c r="A2" s="16">
        <f ca="1">FIND("]",A1,1)</f>
        <v>107</v>
      </c>
    </row>
    <row r="3" spans="1:12" ht="23.25" hidden="1" customHeight="1">
      <c r="A3" s="16">
        <f ca="1">LEN(A1)</f>
        <v>109</v>
      </c>
    </row>
    <row r="4" spans="1:12" ht="21" hidden="1" customHeight="1">
      <c r="A4" s="16" t="str">
        <f ca="1">RIGHT(A1,A3-A2)</f>
        <v>AJ</v>
      </c>
    </row>
    <row r="5" spans="1:12" ht="20.25" hidden="1" customHeight="1">
      <c r="A5" s="1" t="s">
        <v>790</v>
      </c>
    </row>
    <row r="6" spans="1:12" ht="18.75">
      <c r="A6" s="54" t="str">
        <f ca="1">CONCATENATE(A5,A4)</f>
        <v>Table A-AJ</v>
      </c>
      <c r="K6" s="2" t="s">
        <v>792</v>
      </c>
    </row>
    <row r="7" spans="1:12" ht="18.75">
      <c r="A7" s="4" t="s">
        <v>794</v>
      </c>
      <c r="K7" t="s">
        <v>793</v>
      </c>
    </row>
    <row r="8" spans="1:12">
      <c r="A8" s="45" t="str">
        <f ca="1">INDEX(SourceDescription,MATCH($A$4,SourceNumber,0),1,1) &amp; " (" &amp; INDEX(SourceID,MATCH($A$4,SourceNumber,0),1,1) &amp; ")"</f>
        <v>Biological Safety Cabinet 2 (BSL3-2)</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2.06</v>
      </c>
      <c r="E15" s="37" t="s">
        <v>807</v>
      </c>
      <c r="F15" s="85">
        <f ca="1">INDEX(SourceExitDiameter,MATCH($A$4,SourceNumber,0),1,1)</f>
        <v>0.62804878048780488</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3.3329156461934111</v>
      </c>
      <c r="E16" s="37" t="s">
        <v>811</v>
      </c>
      <c r="F16" s="86">
        <f ca="1">$F$15^2*PI()/4</f>
        <v>0.30979659114677011</v>
      </c>
      <c r="G16" s="1097" t="e">
        <f ca="1">G15^2*PI()/4</f>
        <v>#VALUE!</v>
      </c>
      <c r="H16" s="1112" t="e">
        <f ca="1">H15^2*PI()/4</f>
        <v>#VALUE!</v>
      </c>
      <c r="I16" s="1102" t="e">
        <f ca="1">$I$15^2*PI()/4</f>
        <v>#VALUE!</v>
      </c>
    </row>
    <row r="17" spans="1:35" ht="18.75">
      <c r="A17" s="33">
        <f t="shared" si="0"/>
        <v>6</v>
      </c>
      <c r="B17" t="str">
        <f t="shared" si="1"/>
        <v>.</v>
      </c>
      <c r="C17" t="s">
        <v>821</v>
      </c>
      <c r="D17" s="33">
        <f ca="1">F17*3.28*60</f>
        <v>3000.3759655367207</v>
      </c>
      <c r="E17" s="37" t="s">
        <v>808</v>
      </c>
      <c r="F17" s="85">
        <f ca="1">INDEX(SourceExitVelocity,MATCH($A$4,SourceNumber,0),1,1)</f>
        <v>15.245812833011794</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813</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0.20599999999999999</v>
      </c>
      <c r="E49" s="37"/>
      <c r="F49" s="86">
        <f ca="1">$F$15/$F$14</f>
        <v>0.20599999999999999</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55" priority="15" stopIfTrue="1" operator="equal">
      <formula>0</formula>
    </cfRule>
    <cfRule type="cellIs" dxfId="654" priority="16" stopIfTrue="1" operator="notEqual">
      <formula>0</formula>
    </cfRule>
  </conditionalFormatting>
  <conditionalFormatting sqref="K52">
    <cfRule type="cellIs" dxfId="653" priority="13" stopIfTrue="1" operator="lessThanOrEqual">
      <formula>0.00000001</formula>
    </cfRule>
    <cfRule type="cellIs" dxfId="652" priority="14" stopIfTrue="1" operator="greaterThan">
      <formula>0.00000001</formula>
    </cfRule>
  </conditionalFormatting>
  <conditionalFormatting sqref="K26:M26">
    <cfRule type="cellIs" dxfId="651" priority="11" stopIfTrue="1" operator="equal">
      <formula>"Mixture Computed"</formula>
    </cfRule>
    <cfRule type="cellIs" dxfId="650" priority="12" stopIfTrue="1" operator="equal">
      <formula>"MIXTURE NOT COMPUTED"</formula>
    </cfRule>
  </conditionalFormatting>
  <conditionalFormatting sqref="K56">
    <cfRule type="cellIs" dxfId="649" priority="8" stopIfTrue="1" operator="greaterThanOrEqual">
      <formula>$N$56</formula>
    </cfRule>
    <cfRule type="cellIs" dxfId="648" priority="9" stopIfTrue="1" operator="notBetween">
      <formula>$L$56</formula>
      <formula>$M$56</formula>
    </cfRule>
    <cfRule type="cellIs" dxfId="647" priority="10" stopIfTrue="1" operator="between">
      <formula>$L$56</formula>
      <formula>$M$56</formula>
    </cfRule>
  </conditionalFormatting>
  <conditionalFormatting sqref="K54">
    <cfRule type="cellIs" dxfId="646" priority="5" stopIfTrue="1" operator="greaterThanOrEqual">
      <formula>$N$54</formula>
    </cfRule>
    <cfRule type="cellIs" dxfId="645" priority="6" stopIfTrue="1" operator="notBetween">
      <formula>$L$54</formula>
      <formula>$M$54</formula>
    </cfRule>
    <cfRule type="cellIs" dxfId="644" priority="7" stopIfTrue="1" operator="between">
      <formula>$L$54</formula>
      <formula>$M$54</formula>
    </cfRule>
  </conditionalFormatting>
  <conditionalFormatting sqref="K57">
    <cfRule type="cellIs" dxfId="643" priority="3" stopIfTrue="1" operator="greaterThanOrEqual">
      <formula>$L$57</formula>
    </cfRule>
    <cfRule type="cellIs" dxfId="642" priority="4" stopIfTrue="1" operator="lessThan">
      <formula>$L$57</formula>
    </cfRule>
  </conditionalFormatting>
  <conditionalFormatting sqref="K55">
    <cfRule type="cellIs" dxfId="641" priority="1" stopIfTrue="1" operator="greaterThanOrEqual">
      <formula>0</formula>
    </cfRule>
    <cfRule type="cellIs" dxfId="64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7">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Management\[15141_Vent_Test_Plan_v20_071.xlsm]AK</v>
      </c>
    </row>
    <row r="2" spans="1:12" ht="24" hidden="1" customHeight="1">
      <c r="A2" s="16">
        <f ca="1">FIND("]",A1,1)</f>
        <v>107</v>
      </c>
    </row>
    <row r="3" spans="1:12" ht="23.25" hidden="1" customHeight="1">
      <c r="A3" s="16">
        <f ca="1">LEN(A1)</f>
        <v>109</v>
      </c>
    </row>
    <row r="4" spans="1:12" ht="21" hidden="1" customHeight="1">
      <c r="A4" s="16" t="str">
        <f ca="1">RIGHT(A1,A3-A2)</f>
        <v>AK</v>
      </c>
    </row>
    <row r="5" spans="1:12" ht="20.25" hidden="1" customHeight="1">
      <c r="A5" s="1" t="s">
        <v>790</v>
      </c>
    </row>
    <row r="6" spans="1:12" ht="18.75">
      <c r="A6" s="54" t="str">
        <f ca="1">CONCATENATE(A5,A4)</f>
        <v>Table A-AK</v>
      </c>
      <c r="K6" s="2" t="s">
        <v>792</v>
      </c>
    </row>
    <row r="7" spans="1:12" ht="18.75">
      <c r="A7" s="4" t="s">
        <v>794</v>
      </c>
      <c r="K7" t="s">
        <v>793</v>
      </c>
    </row>
    <row r="8" spans="1:12">
      <c r="A8" s="45" t="str">
        <f ca="1">INDEX(SourceDescription,MATCH($A$4,SourceNumber,0),1,1) &amp; " (" &amp; INDEX(SourceID,MATCH($A$4,SourceNumber,0),1,1) &amp; ")"</f>
        <v>400 hp Diesel Truck (DT)</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0.49999999999999994</v>
      </c>
      <c r="E15" s="37" t="s">
        <v>807</v>
      </c>
      <c r="F15" s="85">
        <f ca="1">INDEX(SourceExitDiameter,MATCH($A$4,SourceNumber,0),1,1)</f>
        <v>0.1524390243902439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0.19634954084936204</v>
      </c>
      <c r="E16" s="37" t="s">
        <v>811</v>
      </c>
      <c r="F16" s="86">
        <f ca="1">$F$15^2*PI()/4</f>
        <v>1.8250812467407986E-2</v>
      </c>
      <c r="G16" s="1097" t="e">
        <f ca="1">G15^2*PI()/4</f>
        <v>#VALUE!</v>
      </c>
      <c r="H16" s="1112" t="e">
        <f ca="1">H15^2*PI()/4</f>
        <v>#VALUE!</v>
      </c>
      <c r="I16" s="1102" t="e">
        <f ca="1">$I$15^2*PI()/4</f>
        <v>#VALUE!</v>
      </c>
    </row>
    <row r="17" spans="1:35" ht="18.75">
      <c r="A17" s="33">
        <f t="shared" si="0"/>
        <v>6</v>
      </c>
      <c r="B17" t="str">
        <f t="shared" si="1"/>
        <v>.</v>
      </c>
      <c r="C17" t="s">
        <v>821</v>
      </c>
      <c r="D17" s="33">
        <f ca="1">F17*3.28*60</f>
        <v>1018.5916357881304</v>
      </c>
      <c r="E17" s="37" t="s">
        <v>808</v>
      </c>
      <c r="F17" s="85">
        <f ca="1">INDEX(SourceExitVelocity,MATCH($A$4,SourceNumber,0),1,1)</f>
        <v>5.1757705070535076</v>
      </c>
      <c r="G17" s="131" t="e">
        <f ca="1">G29*G46</f>
        <v>#VALUE!</v>
      </c>
      <c r="H17" s="86" t="e">
        <f ca="1">H29*H46</f>
        <v>#VALUE!</v>
      </c>
      <c r="I17" s="1102" t="e">
        <f ca="1">I29*I46</f>
        <v>#VALUE!</v>
      </c>
      <c r="J17" s="16"/>
    </row>
    <row r="18" spans="1:35" ht="20.25">
      <c r="A18" s="33">
        <f t="shared" si="0"/>
        <v>7</v>
      </c>
      <c r="B18" t="str">
        <f t="shared" si="1"/>
        <v>.</v>
      </c>
      <c r="C18" t="s">
        <v>822</v>
      </c>
      <c r="D18" s="33">
        <f ca="1">(F18-273.15)*(9/5)+32</f>
        <v>300.00000000000006</v>
      </c>
      <c r="E18" s="80" t="s">
        <v>812</v>
      </c>
      <c r="F18" s="85">
        <f ca="1">INDEX(SourceExitTemperature,MATCH($A$4,SourceNumber,0),1,1)</f>
        <v>422.03888888888889</v>
      </c>
      <c r="G18" s="83">
        <f>G22</f>
        <v>293.14999999999998</v>
      </c>
      <c r="H18" s="351">
        <f>H22</f>
        <v>293.14999999999998</v>
      </c>
      <c r="I18" s="1103" t="e">
        <f ca="1">I22/I53</f>
        <v>#VALUE!</v>
      </c>
    </row>
    <row r="19" spans="1:35" ht="18.75">
      <c r="A19" s="33">
        <f t="shared" si="0"/>
        <v>8</v>
      </c>
      <c r="B19" t="str">
        <f t="shared" si="1"/>
        <v>.</v>
      </c>
      <c r="C19" t="s">
        <v>82</v>
      </c>
      <c r="D19" s="33">
        <f ca="1">F19*3.28^3*60</f>
        <v>199.99999999999997</v>
      </c>
      <c r="E19" s="37" t="s">
        <v>813</v>
      </c>
      <c r="F19" s="86">
        <f ca="1">F17*F16</f>
        <v>9.4462016898574711E-2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4.9999999999999996E-2</v>
      </c>
      <c r="E49" s="37"/>
      <c r="F49" s="86">
        <f ca="1">$F$15/$F$14</f>
        <v>4.9999999999999996E-2</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39" priority="15" stopIfTrue="1" operator="equal">
      <formula>0</formula>
    </cfRule>
    <cfRule type="cellIs" dxfId="638" priority="16" stopIfTrue="1" operator="notEqual">
      <formula>0</formula>
    </cfRule>
  </conditionalFormatting>
  <conditionalFormatting sqref="K52">
    <cfRule type="cellIs" dxfId="637" priority="13" stopIfTrue="1" operator="lessThanOrEqual">
      <formula>0.00000001</formula>
    </cfRule>
    <cfRule type="cellIs" dxfId="636" priority="14" stopIfTrue="1" operator="greaterThan">
      <formula>0.00000001</formula>
    </cfRule>
  </conditionalFormatting>
  <conditionalFormatting sqref="K26:M26">
    <cfRule type="cellIs" dxfId="635" priority="11" stopIfTrue="1" operator="equal">
      <formula>"Mixture Computed"</formula>
    </cfRule>
    <cfRule type="cellIs" dxfId="634" priority="12" stopIfTrue="1" operator="equal">
      <formula>"MIXTURE NOT COMPUTED"</formula>
    </cfRule>
  </conditionalFormatting>
  <conditionalFormatting sqref="K56">
    <cfRule type="cellIs" dxfId="633" priority="8" stopIfTrue="1" operator="greaterThanOrEqual">
      <formula>$N$56</formula>
    </cfRule>
    <cfRule type="cellIs" dxfId="632" priority="9" stopIfTrue="1" operator="notBetween">
      <formula>$L$56</formula>
      <formula>$M$56</formula>
    </cfRule>
    <cfRule type="cellIs" dxfId="631" priority="10" stopIfTrue="1" operator="between">
      <formula>$L$56</formula>
      <formula>$M$56</formula>
    </cfRule>
  </conditionalFormatting>
  <conditionalFormatting sqref="K54">
    <cfRule type="cellIs" dxfId="630" priority="5" stopIfTrue="1" operator="greaterThanOrEqual">
      <formula>$N$54</formula>
    </cfRule>
    <cfRule type="cellIs" dxfId="629" priority="6" stopIfTrue="1" operator="notBetween">
      <formula>$L$54</formula>
      <formula>$M$54</formula>
    </cfRule>
    <cfRule type="cellIs" dxfId="628" priority="7" stopIfTrue="1" operator="between">
      <formula>$L$54</formula>
      <formula>$M$54</formula>
    </cfRule>
  </conditionalFormatting>
  <conditionalFormatting sqref="K57">
    <cfRule type="cellIs" dxfId="627" priority="3" stopIfTrue="1" operator="greaterThanOrEqual">
      <formula>$L$57</formula>
    </cfRule>
    <cfRule type="cellIs" dxfId="626" priority="4" stopIfTrue="1" operator="lessThan">
      <formula>$L$57</formula>
    </cfRule>
  </conditionalFormatting>
  <conditionalFormatting sqref="K55">
    <cfRule type="cellIs" dxfId="625" priority="1" stopIfTrue="1" operator="greaterThanOrEqual">
      <formula>0</formula>
    </cfRule>
    <cfRule type="cellIs" dxfId="62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Management\[15141_Vent_Test_Plan_v20_071.xlsm]AL</v>
      </c>
    </row>
    <row r="2" spans="1:12" ht="24" hidden="1" customHeight="1">
      <c r="A2" s="16">
        <f ca="1">FIND("]",A1,1)</f>
        <v>107</v>
      </c>
    </row>
    <row r="3" spans="1:12" ht="23.25" hidden="1" customHeight="1">
      <c r="A3" s="16">
        <f ca="1">LEN(A1)</f>
        <v>109</v>
      </c>
    </row>
    <row r="4" spans="1:12" ht="21" hidden="1" customHeight="1">
      <c r="A4" s="16" t="str">
        <f ca="1">RIGHT(A1,A3-A2)</f>
        <v>AL</v>
      </c>
    </row>
    <row r="5" spans="1:12" ht="20.25" hidden="1" customHeight="1">
      <c r="A5" s="1" t="s">
        <v>790</v>
      </c>
    </row>
    <row r="6" spans="1:12" ht="18.75">
      <c r="A6" s="54" t="str">
        <f ca="1">CONCATENATE(A5,A4)</f>
        <v>Table A-AL</v>
      </c>
      <c r="K6" s="2" t="s">
        <v>792</v>
      </c>
    </row>
    <row r="7" spans="1:12" ht="18.75">
      <c r="A7" s="4" t="s">
        <v>794</v>
      </c>
      <c r="K7" t="s">
        <v>793</v>
      </c>
    </row>
    <row r="8" spans="1:12">
      <c r="A8" s="45" t="str">
        <f ca="1">INDEX(SourceDescription,MATCH($A$4,SourceNumber,0),1,1) &amp; " (" &amp; INDEX(SourceID,MATCH($A$4,SourceNumber,0),1,1) &amp; ")"</f>
        <v>1500 kW Diesel Generator (DG)</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1.1666666666666667</v>
      </c>
      <c r="E15" s="37" t="s">
        <v>807</v>
      </c>
      <c r="F15" s="85">
        <f ca="1">INDEX(SourceExitDiameter,MATCH($A$4,SourceNumber,0),1,1)</f>
        <v>0.35569105691056913</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1.0690141668465267</v>
      </c>
      <c r="E16" s="37" t="s">
        <v>811</v>
      </c>
      <c r="F16" s="86">
        <f ca="1">$F$15^2*PI()/4</f>
        <v>9.9365534544776812E-2</v>
      </c>
      <c r="G16" s="1097" t="e">
        <f ca="1">G15^2*PI()/4</f>
        <v>#VALUE!</v>
      </c>
      <c r="H16" s="1112" t="e">
        <f ca="1">H15^2*PI()/4</f>
        <v>#VALUE!</v>
      </c>
      <c r="I16" s="1102" t="e">
        <f ca="1">$I$15^2*PI()/4</f>
        <v>#VALUE!</v>
      </c>
    </row>
    <row r="17" spans="1:35" ht="18.75">
      <c r="A17" s="33">
        <f t="shared" si="0"/>
        <v>6</v>
      </c>
      <c r="B17" t="str">
        <f t="shared" si="1"/>
        <v>.</v>
      </c>
      <c r="C17" t="s">
        <v>821</v>
      </c>
      <c r="D17" s="33">
        <f ca="1">F17*3.28*60</f>
        <v>12178.510260911326</v>
      </c>
      <c r="E17" s="37" t="s">
        <v>808</v>
      </c>
      <c r="F17" s="85">
        <f ca="1">INDEX(SourceExitVelocity,MATCH($A$4,SourceNumber,0),1,1)</f>
        <v>61.882674089996577</v>
      </c>
      <c r="G17" s="131" t="e">
        <f ca="1">G29*G46</f>
        <v>#VALUE!</v>
      </c>
      <c r="H17" s="86" t="e">
        <f ca="1">H29*H46</f>
        <v>#VALUE!</v>
      </c>
      <c r="I17" s="1102" t="e">
        <f ca="1">I29*I46</f>
        <v>#VALUE!</v>
      </c>
      <c r="J17" s="16"/>
    </row>
    <row r="18" spans="1:35" ht="20.25">
      <c r="A18" s="33">
        <f t="shared" si="0"/>
        <v>7</v>
      </c>
      <c r="B18" t="str">
        <f t="shared" si="1"/>
        <v>.</v>
      </c>
      <c r="C18" t="s">
        <v>822</v>
      </c>
      <c r="D18" s="33">
        <f ca="1">(F18-273.15)*(9/5)+32</f>
        <v>891.00000000000011</v>
      </c>
      <c r="E18" s="80" t="s">
        <v>812</v>
      </c>
      <c r="F18" s="85">
        <f ca="1">INDEX(SourceExitTemperature,MATCH($A$4,SourceNumber,0),1,1)</f>
        <v>750.37222222222226</v>
      </c>
      <c r="G18" s="83">
        <f>G22</f>
        <v>293.14999999999998</v>
      </c>
      <c r="H18" s="351">
        <f>H22</f>
        <v>293.14999999999998</v>
      </c>
      <c r="I18" s="1103" t="e">
        <f ca="1">I22/I53</f>
        <v>#VALUE!</v>
      </c>
    </row>
    <row r="19" spans="1:35" ht="18.75">
      <c r="A19" s="33">
        <f t="shared" si="0"/>
        <v>8</v>
      </c>
      <c r="B19" t="str">
        <f t="shared" si="1"/>
        <v>.</v>
      </c>
      <c r="C19" t="s">
        <v>82</v>
      </c>
      <c r="D19" s="33">
        <f ca="1">F19*3.28^3*60</f>
        <v>13018.999999999996</v>
      </c>
      <c r="E19" s="37" t="s">
        <v>813</v>
      </c>
      <c r="F19" s="86">
        <f ca="1">F17*F16</f>
        <v>6.1490049900127195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0.11666666666666667</v>
      </c>
      <c r="E49" s="37"/>
      <c r="F49" s="86">
        <f ca="1">$F$15/$F$14</f>
        <v>0.11666666666666667</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23" priority="15" stopIfTrue="1" operator="equal">
      <formula>0</formula>
    </cfRule>
    <cfRule type="cellIs" dxfId="622" priority="16" stopIfTrue="1" operator="notEqual">
      <formula>0</formula>
    </cfRule>
  </conditionalFormatting>
  <conditionalFormatting sqref="K52">
    <cfRule type="cellIs" dxfId="621" priority="13" stopIfTrue="1" operator="lessThanOrEqual">
      <formula>0.00000001</formula>
    </cfRule>
    <cfRule type="cellIs" dxfId="620" priority="14" stopIfTrue="1" operator="greaterThan">
      <formula>0.00000001</formula>
    </cfRule>
  </conditionalFormatting>
  <conditionalFormatting sqref="K26:M26">
    <cfRule type="cellIs" dxfId="619" priority="11" stopIfTrue="1" operator="equal">
      <formula>"Mixture Computed"</formula>
    </cfRule>
    <cfRule type="cellIs" dxfId="618" priority="12" stopIfTrue="1" operator="equal">
      <formula>"MIXTURE NOT COMPUTED"</formula>
    </cfRule>
  </conditionalFormatting>
  <conditionalFormatting sqref="K56">
    <cfRule type="cellIs" dxfId="617" priority="8" stopIfTrue="1" operator="greaterThanOrEqual">
      <formula>$N$56</formula>
    </cfRule>
    <cfRule type="cellIs" dxfId="616" priority="9" stopIfTrue="1" operator="notBetween">
      <formula>$L$56</formula>
      <formula>$M$56</formula>
    </cfRule>
    <cfRule type="cellIs" dxfId="615" priority="10" stopIfTrue="1" operator="between">
      <formula>$L$56</formula>
      <formula>$M$56</formula>
    </cfRule>
  </conditionalFormatting>
  <conditionalFormatting sqref="K54">
    <cfRule type="cellIs" dxfId="614" priority="5" stopIfTrue="1" operator="greaterThanOrEqual">
      <formula>$N$54</formula>
    </cfRule>
    <cfRule type="cellIs" dxfId="613" priority="6" stopIfTrue="1" operator="notBetween">
      <formula>$L$54</formula>
      <formula>$M$54</formula>
    </cfRule>
    <cfRule type="cellIs" dxfId="612" priority="7" stopIfTrue="1" operator="between">
      <formula>$L$54</formula>
      <formula>$M$54</formula>
    </cfRule>
  </conditionalFormatting>
  <conditionalFormatting sqref="K57">
    <cfRule type="cellIs" dxfId="611" priority="3" stopIfTrue="1" operator="greaterThanOrEqual">
      <formula>$L$57</formula>
    </cfRule>
    <cfRule type="cellIs" dxfId="610" priority="4" stopIfTrue="1" operator="lessThan">
      <formula>$L$57</formula>
    </cfRule>
  </conditionalFormatting>
  <conditionalFormatting sqref="K55">
    <cfRule type="cellIs" dxfId="609" priority="1" stopIfTrue="1" operator="greaterThanOrEqual">
      <formula>0</formula>
    </cfRule>
    <cfRule type="cellIs" dxfId="60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6">
    <pageSetUpPr fitToPage="1"/>
  </sheetPr>
  <dimension ref="A1:AJ66"/>
  <sheetViews>
    <sheetView topLeftCell="A6" zoomScale="75" zoomScaleNormal="75" workbookViewId="0">
      <selection activeCell="J26" sqref="J2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Management\[15141_Vent_Test_Plan_v20_071.xlsm]AM</v>
      </c>
    </row>
    <row r="2" spans="1:12" ht="24" hidden="1" customHeight="1">
      <c r="A2" s="16">
        <f ca="1">FIND("]",A1,1)</f>
        <v>107</v>
      </c>
    </row>
    <row r="3" spans="1:12" ht="23.25" hidden="1" customHeight="1">
      <c r="A3" s="16">
        <f ca="1">LEN(A1)</f>
        <v>109</v>
      </c>
    </row>
    <row r="4" spans="1:12" ht="21" hidden="1" customHeight="1">
      <c r="A4" s="16" t="str">
        <f ca="1">RIGHT(A1,A3-A2)</f>
        <v>AM</v>
      </c>
    </row>
    <row r="5" spans="1:12" ht="20.25" hidden="1" customHeight="1">
      <c r="A5" s="1" t="s">
        <v>790</v>
      </c>
    </row>
    <row r="6" spans="1:12" ht="18.75">
      <c r="A6" s="54" t="str">
        <f ca="1">CONCATENATE(A5,A4)</f>
        <v>Table A-AM</v>
      </c>
      <c r="K6" s="2" t="s">
        <v>792</v>
      </c>
    </row>
    <row r="7" spans="1:12" ht="18.75">
      <c r="A7" s="4" t="s">
        <v>794</v>
      </c>
      <c r="K7" t="s">
        <v>793</v>
      </c>
    </row>
    <row r="8" spans="1:12">
      <c r="A8" s="45" t="e">
        <f ca="1">INDEX(SourceDescription,MATCH($A$4,SourceNumber,0),1,1) &amp; " (" &amp; INDEX(SourceID,MATCH($A$4,SourceNumber,0),1,1) &amp; ")"</f>
        <v>#N/A</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t="e">
        <f ca="1">F14*3.28</f>
        <v>#N/A</v>
      </c>
      <c r="E14" s="37" t="s">
        <v>807</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798</v>
      </c>
      <c r="D15" s="79" t="e">
        <f ca="1">F15*3.28</f>
        <v>#N/A</v>
      </c>
      <c r="E15" s="37" t="s">
        <v>807</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466</v>
      </c>
    </row>
    <row r="16" spans="1:12" ht="20.25">
      <c r="A16" s="33">
        <f t="shared" si="0"/>
        <v>5</v>
      </c>
      <c r="B16" t="str">
        <f t="shared" si="1"/>
        <v>.</v>
      </c>
      <c r="C16" t="s">
        <v>820</v>
      </c>
      <c r="D16" s="79" t="e">
        <f ca="1">F16*3.28^2</f>
        <v>#N/A</v>
      </c>
      <c r="E16" s="37" t="s">
        <v>811</v>
      </c>
      <c r="F16" s="86" t="e">
        <f ca="1">$F$15^2*PI()/4</f>
        <v>#N/A</v>
      </c>
      <c r="G16" s="1097" t="e">
        <f ca="1">G15^2*PI()/4</f>
        <v>#N/A</v>
      </c>
      <c r="H16" s="1112" t="e">
        <f ca="1">H15^2*PI()/4</f>
        <v>#N/A</v>
      </c>
      <c r="I16" s="1102" t="e">
        <f ca="1">$I$15^2*PI()/4</f>
        <v>#N/A</v>
      </c>
    </row>
    <row r="17" spans="1:35" ht="18.75">
      <c r="A17" s="33">
        <f t="shared" si="0"/>
        <v>6</v>
      </c>
      <c r="B17" t="str">
        <f t="shared" si="1"/>
        <v>.</v>
      </c>
      <c r="C17" t="s">
        <v>821</v>
      </c>
      <c r="D17" s="33" t="e">
        <f ca="1">F17*3.28*60</f>
        <v>#N/A</v>
      </c>
      <c r="E17" s="37" t="s">
        <v>808</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822</v>
      </c>
      <c r="D18" s="33" t="e">
        <f ca="1">(F18-273.15)*(9/5)+32</f>
        <v>#N/A</v>
      </c>
      <c r="E18" s="80" t="s">
        <v>812</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813</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#N/A</v>
      </c>
      <c r="E24" s="37" t="s">
        <v>815</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#N/A</v>
      </c>
      <c r="E26" s="37" t="s">
        <v>816</v>
      </c>
      <c r="F26" s="89" t="e">
        <f ca="1">(145.8*$F$18^1.5)/(($F$18+110.4)*10^8*$F$24)</f>
        <v>#N/A</v>
      </c>
      <c r="G26" s="84" t="e">
        <f ca="1">Y33</f>
        <v>#N/A</v>
      </c>
      <c r="H26" s="1113">
        <f>182.7*0.00001</f>
        <v>1.8270000000000001E-3</v>
      </c>
      <c r="I26" s="1104" t="e">
        <f ca="1">(145.8*$F$18^1.5)/(($F$18+110.4)*10^8*$F$24)</f>
        <v>#N/A</v>
      </c>
      <c r="K26" s="1875" t="e">
        <f ca="1">IF(W36=0,"Mixture Computed","Mixture NOT Computed")</f>
        <v>#N/A</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#N/A</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t="e">
        <f ca="1">INDEX(SourceModelRefWS,MATCH($A$4,SourceNumber,0),1,1)</f>
        <v>#N/A</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#N/A</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831</v>
      </c>
      <c r="D33" s="82" t="e">
        <f>F33*3.28*3600/5280</f>
        <v>#VALUE!</v>
      </c>
      <c r="E33" s="37" t="s">
        <v>810</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833</v>
      </c>
      <c r="D35" s="82" t="e">
        <f ca="1">F35*3.28*3600/5280</f>
        <v>#VALUE!</v>
      </c>
      <c r="E35" s="37" t="s">
        <v>810</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840</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804</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841</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843</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842</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844</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845</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607" priority="15" stopIfTrue="1" operator="equal">
      <formula>0</formula>
    </cfRule>
    <cfRule type="cellIs" dxfId="606" priority="16" stopIfTrue="1" operator="notEqual">
      <formula>0</formula>
    </cfRule>
  </conditionalFormatting>
  <conditionalFormatting sqref="K52">
    <cfRule type="cellIs" dxfId="605" priority="13" stopIfTrue="1" operator="lessThanOrEqual">
      <formula>0.00000001</formula>
    </cfRule>
    <cfRule type="cellIs" dxfId="604" priority="14" stopIfTrue="1" operator="greaterThan">
      <formula>0.00000001</formula>
    </cfRule>
  </conditionalFormatting>
  <conditionalFormatting sqref="K26:M26">
    <cfRule type="cellIs" dxfId="603" priority="11" stopIfTrue="1" operator="equal">
      <formula>"Mixture Computed"</formula>
    </cfRule>
    <cfRule type="cellIs" dxfId="602" priority="12" stopIfTrue="1" operator="equal">
      <formula>"MIXTURE NOT COMPUTED"</formula>
    </cfRule>
  </conditionalFormatting>
  <conditionalFormatting sqref="K56">
    <cfRule type="cellIs" dxfId="601" priority="8" stopIfTrue="1" operator="greaterThanOrEqual">
      <formula>$N$56</formula>
    </cfRule>
    <cfRule type="cellIs" dxfId="600" priority="9" stopIfTrue="1" operator="notBetween">
      <formula>$L$56</formula>
      <formula>$M$56</formula>
    </cfRule>
    <cfRule type="cellIs" dxfId="599" priority="10" stopIfTrue="1" operator="between">
      <formula>$L$56</formula>
      <formula>$M$56</formula>
    </cfRule>
  </conditionalFormatting>
  <conditionalFormatting sqref="K54">
    <cfRule type="cellIs" dxfId="598" priority="5" stopIfTrue="1" operator="greaterThanOrEqual">
      <formula>$N$54</formula>
    </cfRule>
    <cfRule type="cellIs" dxfId="597" priority="6" stopIfTrue="1" operator="notBetween">
      <formula>$L$54</formula>
      <formula>$M$54</formula>
    </cfRule>
    <cfRule type="cellIs" dxfId="596" priority="7" stopIfTrue="1" operator="between">
      <formula>$L$54</formula>
      <formula>$M$54</formula>
    </cfRule>
  </conditionalFormatting>
  <conditionalFormatting sqref="K57">
    <cfRule type="cellIs" dxfId="595" priority="3" stopIfTrue="1" operator="greaterThanOrEqual">
      <formula>$L$57</formula>
    </cfRule>
    <cfRule type="cellIs" dxfId="594" priority="4" stopIfTrue="1" operator="lessThan">
      <formula>$L$57</formula>
    </cfRule>
  </conditionalFormatting>
  <conditionalFormatting sqref="K55">
    <cfRule type="cellIs" dxfId="593" priority="1" stopIfTrue="1" operator="greaterThanOrEqual">
      <formula>0</formula>
    </cfRule>
    <cfRule type="cellIs" dxfId="59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Management\[15141_Vent_Test_Plan_v20_071.xlsm]AN</v>
      </c>
    </row>
    <row r="2" spans="1:12" ht="24" hidden="1" customHeight="1">
      <c r="A2" s="16">
        <f ca="1">FIND("]",A1,1)</f>
        <v>107</v>
      </c>
    </row>
    <row r="3" spans="1:12" ht="23.25" hidden="1" customHeight="1">
      <c r="A3" s="16">
        <f ca="1">LEN(A1)</f>
        <v>109</v>
      </c>
    </row>
    <row r="4" spans="1:12" ht="21" hidden="1" customHeight="1">
      <c r="A4" s="16" t="str">
        <f ca="1">RIGHT(A1,A3-A2)</f>
        <v>AN</v>
      </c>
    </row>
    <row r="5" spans="1:12" ht="20.25" hidden="1" customHeight="1">
      <c r="A5" s="1" t="s">
        <v>790</v>
      </c>
    </row>
    <row r="6" spans="1:12" ht="18.75">
      <c r="A6" s="54" t="str">
        <f ca="1">CONCATENATE(A5,A4)</f>
        <v>Table A-AN</v>
      </c>
      <c r="K6" s="2" t="s">
        <v>792</v>
      </c>
    </row>
    <row r="7" spans="1:12" ht="18.75">
      <c r="A7" s="4" t="s">
        <v>794</v>
      </c>
      <c r="K7" t="s">
        <v>793</v>
      </c>
    </row>
    <row r="8" spans="1:12">
      <c r="A8" s="45" t="e">
        <f ca="1">INDEX(SourceDescription,MATCH($A$4,SourceNumber,0),1,1) &amp; " (" &amp; INDEX(SourceID,MATCH($A$4,SourceNumber,0),1,1) &amp; ")"</f>
        <v>#N/A</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t="e">
        <f ca="1">F14*3.28</f>
        <v>#N/A</v>
      </c>
      <c r="E14" s="37" t="s">
        <v>807</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798</v>
      </c>
      <c r="D15" s="79" t="e">
        <f ca="1">F15*3.28</f>
        <v>#N/A</v>
      </c>
      <c r="E15" s="37" t="s">
        <v>807</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466</v>
      </c>
    </row>
    <row r="16" spans="1:12" ht="20.25">
      <c r="A16" s="33">
        <f t="shared" si="0"/>
        <v>5</v>
      </c>
      <c r="B16" t="str">
        <f t="shared" si="1"/>
        <v>.</v>
      </c>
      <c r="C16" t="s">
        <v>820</v>
      </c>
      <c r="D16" s="79" t="e">
        <f ca="1">F16*3.28^2</f>
        <v>#N/A</v>
      </c>
      <c r="E16" s="37" t="s">
        <v>811</v>
      </c>
      <c r="F16" s="86" t="e">
        <f ca="1">$F$15^2*PI()/4</f>
        <v>#N/A</v>
      </c>
      <c r="G16" s="1097" t="e">
        <f ca="1">G15^2*PI()/4</f>
        <v>#N/A</v>
      </c>
      <c r="H16" s="1112" t="e">
        <f ca="1">H15^2*PI()/4</f>
        <v>#N/A</v>
      </c>
      <c r="I16" s="1102" t="e">
        <f ca="1">$I$15^2*PI()/4</f>
        <v>#N/A</v>
      </c>
    </row>
    <row r="17" spans="1:35" ht="18.75">
      <c r="A17" s="33">
        <f t="shared" si="0"/>
        <v>6</v>
      </c>
      <c r="B17" t="str">
        <f t="shared" si="1"/>
        <v>.</v>
      </c>
      <c r="C17" t="s">
        <v>821</v>
      </c>
      <c r="D17" s="33" t="e">
        <f ca="1">F17*3.28*60</f>
        <v>#N/A</v>
      </c>
      <c r="E17" s="37" t="s">
        <v>808</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822</v>
      </c>
      <c r="D18" s="33" t="e">
        <f ca="1">(F18-273.15)*(9/5)+32</f>
        <v>#N/A</v>
      </c>
      <c r="E18" s="80" t="s">
        <v>812</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813</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#N/A</v>
      </c>
      <c r="E24" s="37" t="s">
        <v>815</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#N/A</v>
      </c>
      <c r="E26" s="37" t="s">
        <v>816</v>
      </c>
      <c r="F26" s="89" t="e">
        <f ca="1">(145.8*$F$18^1.5)/(($F$18+110.4)*10^8*$F$24)</f>
        <v>#N/A</v>
      </c>
      <c r="G26" s="84" t="e">
        <f ca="1">Y33</f>
        <v>#N/A</v>
      </c>
      <c r="H26" s="1113">
        <f>182.7*0.00001</f>
        <v>1.8270000000000001E-3</v>
      </c>
      <c r="I26" s="1104" t="e">
        <f ca="1">(145.8*$F$18^1.5)/(($F$18+110.4)*10^8*$F$24)</f>
        <v>#N/A</v>
      </c>
      <c r="K26" s="1875" t="e">
        <f ca="1">IF(W36=0,"Mixture Computed","Mixture NOT Computed")</f>
        <v>#N/A</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#N/A</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t="e">
        <f ca="1">INDEX(SourceModelRefWS,MATCH($A$4,SourceNumber,0),1,1)</f>
        <v>#N/A</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#N/A</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831</v>
      </c>
      <c r="D33" s="82" t="e">
        <f>F33*3.28*3600/5280</f>
        <v>#VALUE!</v>
      </c>
      <c r="E33" s="37" t="s">
        <v>810</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833</v>
      </c>
      <c r="D35" s="82" t="e">
        <f ca="1">F35*3.28*3600/5280</f>
        <v>#VALUE!</v>
      </c>
      <c r="E35" s="37" t="s">
        <v>810</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840</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804</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841</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843</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842</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844</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845</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591" priority="15" stopIfTrue="1" operator="equal">
      <formula>0</formula>
    </cfRule>
    <cfRule type="cellIs" dxfId="590" priority="16" stopIfTrue="1" operator="notEqual">
      <formula>0</formula>
    </cfRule>
  </conditionalFormatting>
  <conditionalFormatting sqref="K52">
    <cfRule type="cellIs" dxfId="589" priority="13" stopIfTrue="1" operator="lessThanOrEqual">
      <formula>0.00000001</formula>
    </cfRule>
    <cfRule type="cellIs" dxfId="588" priority="14" stopIfTrue="1" operator="greaterThan">
      <formula>0.00000001</formula>
    </cfRule>
  </conditionalFormatting>
  <conditionalFormatting sqref="K26:M26">
    <cfRule type="cellIs" dxfId="587" priority="11" stopIfTrue="1" operator="equal">
      <formula>"Mixture Computed"</formula>
    </cfRule>
    <cfRule type="cellIs" dxfId="586" priority="12" stopIfTrue="1" operator="equal">
      <formula>"MIXTURE NOT COMPUTED"</formula>
    </cfRule>
  </conditionalFormatting>
  <conditionalFormatting sqref="K56">
    <cfRule type="cellIs" dxfId="585" priority="8" stopIfTrue="1" operator="greaterThanOrEqual">
      <formula>$N$56</formula>
    </cfRule>
    <cfRule type="cellIs" dxfId="584" priority="9" stopIfTrue="1" operator="notBetween">
      <formula>$L$56</formula>
      <formula>$M$56</formula>
    </cfRule>
    <cfRule type="cellIs" dxfId="583" priority="10" stopIfTrue="1" operator="between">
      <formula>$L$56</formula>
      <formula>$M$56</formula>
    </cfRule>
  </conditionalFormatting>
  <conditionalFormatting sqref="K54">
    <cfRule type="cellIs" dxfId="582" priority="5" stopIfTrue="1" operator="greaterThanOrEqual">
      <formula>$N$54</formula>
    </cfRule>
    <cfRule type="cellIs" dxfId="581" priority="6" stopIfTrue="1" operator="notBetween">
      <formula>$L$54</formula>
      <formula>$M$54</formula>
    </cfRule>
    <cfRule type="cellIs" dxfId="580" priority="7" stopIfTrue="1" operator="between">
      <formula>$L$54</formula>
      <formula>$M$54</formula>
    </cfRule>
  </conditionalFormatting>
  <conditionalFormatting sqref="K57">
    <cfRule type="cellIs" dxfId="579" priority="3" stopIfTrue="1" operator="greaterThanOrEqual">
      <formula>$L$57</formula>
    </cfRule>
    <cfRule type="cellIs" dxfId="578" priority="4" stopIfTrue="1" operator="lessThan">
      <formula>$L$57</formula>
    </cfRule>
  </conditionalFormatting>
  <conditionalFormatting sqref="K55">
    <cfRule type="cellIs" dxfId="577" priority="1" stopIfTrue="1" operator="greaterThanOrEqual">
      <formula>0</formula>
    </cfRule>
    <cfRule type="cellIs" dxfId="57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9">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Management\[15141_Vent_Test_Plan_v20_071.xlsm]AO</v>
      </c>
    </row>
    <row r="2" spans="1:12" ht="24" hidden="1" customHeight="1">
      <c r="A2" s="16">
        <f ca="1">FIND("]",A1,1)</f>
        <v>107</v>
      </c>
    </row>
    <row r="3" spans="1:12" ht="23.25" hidden="1" customHeight="1">
      <c r="A3" s="16">
        <f ca="1">LEN(A1)</f>
        <v>109</v>
      </c>
    </row>
    <row r="4" spans="1:12" ht="21" hidden="1" customHeight="1">
      <c r="A4" s="16" t="str">
        <f ca="1">RIGHT(A1,A3-A2)</f>
        <v>AO</v>
      </c>
    </row>
    <row r="5" spans="1:12" ht="20.25" hidden="1" customHeight="1">
      <c r="A5" s="1" t="s">
        <v>790</v>
      </c>
    </row>
    <row r="6" spans="1:12" ht="18.75">
      <c r="A6" s="54" t="str">
        <f ca="1">CONCATENATE(A5,A4)</f>
        <v>Table A-AO</v>
      </c>
      <c r="K6" s="2" t="s">
        <v>792</v>
      </c>
    </row>
    <row r="7" spans="1:12" ht="18.75">
      <c r="A7" s="4" t="s">
        <v>794</v>
      </c>
      <c r="K7" t="s">
        <v>793</v>
      </c>
    </row>
    <row r="8" spans="1:12">
      <c r="A8" s="45" t="e">
        <f ca="1">INDEX(SourceDescription,MATCH($A$4,SourceNumber,0),1,1) &amp; " (" &amp; INDEX(SourceID,MATCH($A$4,SourceNumber,0),1,1) &amp; ")"</f>
        <v>#N/A</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t="e">
        <f ca="1">F14*3.28</f>
        <v>#N/A</v>
      </c>
      <c r="E14" s="37" t="s">
        <v>807</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798</v>
      </c>
      <c r="D15" s="79" t="e">
        <f ca="1">F15*3.28</f>
        <v>#N/A</v>
      </c>
      <c r="E15" s="37" t="s">
        <v>807</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466</v>
      </c>
    </row>
    <row r="16" spans="1:12" ht="20.25">
      <c r="A16" s="33">
        <f t="shared" si="0"/>
        <v>5</v>
      </c>
      <c r="B16" t="str">
        <f t="shared" si="1"/>
        <v>.</v>
      </c>
      <c r="C16" t="s">
        <v>820</v>
      </c>
      <c r="D16" s="79" t="e">
        <f ca="1">F16*3.28^2</f>
        <v>#N/A</v>
      </c>
      <c r="E16" s="37" t="s">
        <v>811</v>
      </c>
      <c r="F16" s="86" t="e">
        <f ca="1">$F$15^2*PI()/4</f>
        <v>#N/A</v>
      </c>
      <c r="G16" s="1097" t="e">
        <f ca="1">G15^2*PI()/4</f>
        <v>#N/A</v>
      </c>
      <c r="H16" s="1112" t="e">
        <f ca="1">H15^2*PI()/4</f>
        <v>#N/A</v>
      </c>
      <c r="I16" s="1102" t="e">
        <f ca="1">$I$15^2*PI()/4</f>
        <v>#N/A</v>
      </c>
    </row>
    <row r="17" spans="1:35" ht="18.75">
      <c r="A17" s="33">
        <f t="shared" si="0"/>
        <v>6</v>
      </c>
      <c r="B17" t="str">
        <f t="shared" si="1"/>
        <v>.</v>
      </c>
      <c r="C17" t="s">
        <v>821</v>
      </c>
      <c r="D17" s="33" t="e">
        <f ca="1">F17*3.28*60</f>
        <v>#N/A</v>
      </c>
      <c r="E17" s="37" t="s">
        <v>808</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822</v>
      </c>
      <c r="D18" s="33" t="e">
        <f ca="1">(F18-273.15)*(9/5)+32</f>
        <v>#N/A</v>
      </c>
      <c r="E18" s="80" t="s">
        <v>812</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813</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#N/A</v>
      </c>
      <c r="E24" s="37" t="s">
        <v>815</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#N/A</v>
      </c>
      <c r="E26" s="37" t="s">
        <v>816</v>
      </c>
      <c r="F26" s="89" t="e">
        <f ca="1">(145.8*$F$18^1.5)/(($F$18+110.4)*10^8*$F$24)</f>
        <v>#N/A</v>
      </c>
      <c r="G26" s="84" t="e">
        <f ca="1">Y33</f>
        <v>#N/A</v>
      </c>
      <c r="H26" s="1113">
        <f>182.7*0.00001</f>
        <v>1.8270000000000001E-3</v>
      </c>
      <c r="I26" s="1104" t="e">
        <f ca="1">(145.8*$F$18^1.5)/(($F$18+110.4)*10^8*$F$24)</f>
        <v>#N/A</v>
      </c>
      <c r="K26" s="1875" t="e">
        <f ca="1">IF(W36=0,"Mixture Computed","Mixture NOT Computed")</f>
        <v>#N/A</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#N/A</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t="e">
        <f ca="1">INDEX(SourceModelRefWS,MATCH($A$4,SourceNumber,0),1,1)</f>
        <v>#N/A</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#N/A</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831</v>
      </c>
      <c r="D33" s="82" t="e">
        <f>F33*3.28*3600/5280</f>
        <v>#VALUE!</v>
      </c>
      <c r="E33" s="37" t="s">
        <v>810</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833</v>
      </c>
      <c r="D35" s="82" t="e">
        <f ca="1">F35*3.28*3600/5280</f>
        <v>#VALUE!</v>
      </c>
      <c r="E35" s="37" t="s">
        <v>810</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840</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804</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841</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843</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842</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844</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845</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575" priority="15" stopIfTrue="1" operator="equal">
      <formula>0</formula>
    </cfRule>
    <cfRule type="cellIs" dxfId="574" priority="16" stopIfTrue="1" operator="notEqual">
      <formula>0</formula>
    </cfRule>
  </conditionalFormatting>
  <conditionalFormatting sqref="K52">
    <cfRule type="cellIs" dxfId="573" priority="13" stopIfTrue="1" operator="lessThanOrEqual">
      <formula>0.00000001</formula>
    </cfRule>
    <cfRule type="cellIs" dxfId="572" priority="14" stopIfTrue="1" operator="greaterThan">
      <formula>0.00000001</formula>
    </cfRule>
  </conditionalFormatting>
  <conditionalFormatting sqref="K26:M26">
    <cfRule type="cellIs" dxfId="571" priority="11" stopIfTrue="1" operator="equal">
      <formula>"Mixture Computed"</formula>
    </cfRule>
    <cfRule type="cellIs" dxfId="570" priority="12" stopIfTrue="1" operator="equal">
      <formula>"MIXTURE NOT COMPUTED"</formula>
    </cfRule>
  </conditionalFormatting>
  <conditionalFormatting sqref="K56">
    <cfRule type="cellIs" dxfId="569" priority="8" stopIfTrue="1" operator="greaterThanOrEqual">
      <formula>$N$56</formula>
    </cfRule>
    <cfRule type="cellIs" dxfId="568" priority="9" stopIfTrue="1" operator="notBetween">
      <formula>$L$56</formula>
      <formula>$M$56</formula>
    </cfRule>
    <cfRule type="cellIs" dxfId="567" priority="10" stopIfTrue="1" operator="between">
      <formula>$L$56</formula>
      <formula>$M$56</formula>
    </cfRule>
  </conditionalFormatting>
  <conditionalFormatting sqref="K54">
    <cfRule type="cellIs" dxfId="566" priority="5" stopIfTrue="1" operator="greaterThanOrEqual">
      <formula>$N$54</formula>
    </cfRule>
    <cfRule type="cellIs" dxfId="565" priority="6" stopIfTrue="1" operator="notBetween">
      <formula>$L$54</formula>
      <formula>$M$54</formula>
    </cfRule>
    <cfRule type="cellIs" dxfId="564" priority="7" stopIfTrue="1" operator="between">
      <formula>$L$54</formula>
      <formula>$M$54</formula>
    </cfRule>
  </conditionalFormatting>
  <conditionalFormatting sqref="K57">
    <cfRule type="cellIs" dxfId="563" priority="3" stopIfTrue="1" operator="greaterThanOrEqual">
      <formula>$L$57</formula>
    </cfRule>
    <cfRule type="cellIs" dxfId="562" priority="4" stopIfTrue="1" operator="lessThan">
      <formula>$L$57</formula>
    </cfRule>
  </conditionalFormatting>
  <conditionalFormatting sqref="K55">
    <cfRule type="cellIs" dxfId="561" priority="1" stopIfTrue="1" operator="greaterThanOrEqual">
      <formula>0</formula>
    </cfRule>
    <cfRule type="cellIs" dxfId="56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60">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Management\[15141_Vent_Test_Plan_v20_071.xlsm]AP</v>
      </c>
    </row>
    <row r="2" spans="1:12" ht="24" hidden="1" customHeight="1">
      <c r="A2" s="16">
        <f ca="1">FIND("]",A1,1)</f>
        <v>107</v>
      </c>
    </row>
    <row r="3" spans="1:12" ht="23.25" hidden="1" customHeight="1">
      <c r="A3" s="16">
        <f ca="1">LEN(A1)</f>
        <v>109</v>
      </c>
    </row>
    <row r="4" spans="1:12" ht="21" hidden="1" customHeight="1">
      <c r="A4" s="16" t="str">
        <f ca="1">RIGHT(A1,A3-A2)</f>
        <v>AP</v>
      </c>
    </row>
    <row r="5" spans="1:12" ht="20.25" hidden="1" customHeight="1">
      <c r="A5" s="1" t="s">
        <v>790</v>
      </c>
    </row>
    <row r="6" spans="1:12" ht="18.75">
      <c r="A6" s="54" t="str">
        <f ca="1">CONCATENATE(A5,A4)</f>
        <v>Table A-AP</v>
      </c>
      <c r="K6" s="2" t="s">
        <v>792</v>
      </c>
    </row>
    <row r="7" spans="1:12" ht="18.75">
      <c r="A7" s="4" t="s">
        <v>794</v>
      </c>
      <c r="K7" t="s">
        <v>793</v>
      </c>
    </row>
    <row r="8" spans="1:12">
      <c r="A8" s="45" t="e">
        <f ca="1">INDEX(SourceDescription,MATCH($A$4,SourceNumber,0),1,1) &amp; " (" &amp; INDEX(SourceID,MATCH($A$4,SourceNumber,0),1,1) &amp; ")"</f>
        <v>#N/A</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t="e">
        <f ca="1">F14*3.28</f>
        <v>#N/A</v>
      </c>
      <c r="E14" s="37" t="s">
        <v>807</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798</v>
      </c>
      <c r="D15" s="79" t="e">
        <f ca="1">F15*3.28</f>
        <v>#N/A</v>
      </c>
      <c r="E15" s="37" t="s">
        <v>807</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466</v>
      </c>
    </row>
    <row r="16" spans="1:12" ht="20.25">
      <c r="A16" s="33">
        <f t="shared" si="0"/>
        <v>5</v>
      </c>
      <c r="B16" t="str">
        <f t="shared" si="1"/>
        <v>.</v>
      </c>
      <c r="C16" t="s">
        <v>820</v>
      </c>
      <c r="D16" s="79" t="e">
        <f ca="1">F16*3.28^2</f>
        <v>#N/A</v>
      </c>
      <c r="E16" s="37" t="s">
        <v>811</v>
      </c>
      <c r="F16" s="86" t="e">
        <f ca="1">$F$15^2*PI()/4</f>
        <v>#N/A</v>
      </c>
      <c r="G16" s="1097" t="e">
        <f ca="1">G15^2*PI()/4</f>
        <v>#N/A</v>
      </c>
      <c r="H16" s="1112" t="e">
        <f ca="1">H15^2*PI()/4</f>
        <v>#N/A</v>
      </c>
      <c r="I16" s="1102" t="e">
        <f ca="1">$I$15^2*PI()/4</f>
        <v>#N/A</v>
      </c>
    </row>
    <row r="17" spans="1:35" ht="18.75">
      <c r="A17" s="33">
        <f t="shared" si="0"/>
        <v>6</v>
      </c>
      <c r="B17" t="str">
        <f t="shared" si="1"/>
        <v>.</v>
      </c>
      <c r="C17" t="s">
        <v>821</v>
      </c>
      <c r="D17" s="33" t="e">
        <f ca="1">F17*3.28*60</f>
        <v>#N/A</v>
      </c>
      <c r="E17" s="37" t="s">
        <v>808</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822</v>
      </c>
      <c r="D18" s="33" t="e">
        <f ca="1">(F18-273.15)*(9/5)+32</f>
        <v>#N/A</v>
      </c>
      <c r="E18" s="80" t="s">
        <v>812</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813</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#N/A</v>
      </c>
      <c r="E24" s="37" t="s">
        <v>815</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#N/A</v>
      </c>
      <c r="E26" s="37" t="s">
        <v>816</v>
      </c>
      <c r="F26" s="89" t="e">
        <f ca="1">(145.8*$F$18^1.5)/(($F$18+110.4)*10^8*$F$24)</f>
        <v>#N/A</v>
      </c>
      <c r="G26" s="84" t="e">
        <f ca="1">Y33</f>
        <v>#N/A</v>
      </c>
      <c r="H26" s="1113">
        <f>182.7*0.00001</f>
        <v>1.8270000000000001E-3</v>
      </c>
      <c r="I26" s="1104" t="e">
        <f ca="1">(145.8*$F$18^1.5)/(($F$18+110.4)*10^8*$F$24)</f>
        <v>#N/A</v>
      </c>
      <c r="K26" s="1875" t="e">
        <f ca="1">IF(W36=0,"Mixture Computed","Mixture NOT Computed")</f>
        <v>#N/A</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#N/A</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t="e">
        <f ca="1">INDEX(SourceModelRefWS,MATCH($A$4,SourceNumber,0),1,1)</f>
        <v>#N/A</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#N/A</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831</v>
      </c>
      <c r="D33" s="82" t="e">
        <f>F33*3.28*3600/5280</f>
        <v>#VALUE!</v>
      </c>
      <c r="E33" s="37" t="s">
        <v>810</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833</v>
      </c>
      <c r="D35" s="82" t="e">
        <f ca="1">F35*3.28*3600/5280</f>
        <v>#VALUE!</v>
      </c>
      <c r="E35" s="37" t="s">
        <v>810</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840</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804</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841</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843</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842</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844</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845</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559" priority="15" stopIfTrue="1" operator="equal">
      <formula>0</formula>
    </cfRule>
    <cfRule type="cellIs" dxfId="558" priority="16" stopIfTrue="1" operator="notEqual">
      <formula>0</formula>
    </cfRule>
  </conditionalFormatting>
  <conditionalFormatting sqref="K52">
    <cfRule type="cellIs" dxfId="557" priority="13" stopIfTrue="1" operator="lessThanOrEqual">
      <formula>0.00000001</formula>
    </cfRule>
    <cfRule type="cellIs" dxfId="556" priority="14" stopIfTrue="1" operator="greaterThan">
      <formula>0.00000001</formula>
    </cfRule>
  </conditionalFormatting>
  <conditionalFormatting sqref="K26:M26">
    <cfRule type="cellIs" dxfId="555" priority="11" stopIfTrue="1" operator="equal">
      <formula>"Mixture Computed"</formula>
    </cfRule>
    <cfRule type="cellIs" dxfId="554" priority="12" stopIfTrue="1" operator="equal">
      <formula>"MIXTURE NOT COMPUTED"</formula>
    </cfRule>
  </conditionalFormatting>
  <conditionalFormatting sqref="K56">
    <cfRule type="cellIs" dxfId="553" priority="8" stopIfTrue="1" operator="greaterThanOrEqual">
      <formula>$N$56</formula>
    </cfRule>
    <cfRule type="cellIs" dxfId="552" priority="9" stopIfTrue="1" operator="notBetween">
      <formula>$L$56</formula>
      <formula>$M$56</formula>
    </cfRule>
    <cfRule type="cellIs" dxfId="551" priority="10" stopIfTrue="1" operator="between">
      <formula>$L$56</formula>
      <formula>$M$56</formula>
    </cfRule>
  </conditionalFormatting>
  <conditionalFormatting sqref="K54">
    <cfRule type="cellIs" dxfId="550" priority="5" stopIfTrue="1" operator="greaterThanOrEqual">
      <formula>$N$54</formula>
    </cfRule>
    <cfRule type="cellIs" dxfId="549" priority="6" stopIfTrue="1" operator="notBetween">
      <formula>$L$54</formula>
      <formula>$M$54</formula>
    </cfRule>
    <cfRule type="cellIs" dxfId="548" priority="7" stopIfTrue="1" operator="between">
      <formula>$L$54</formula>
      <formula>$M$54</formula>
    </cfRule>
  </conditionalFormatting>
  <conditionalFormatting sqref="K57">
    <cfRule type="cellIs" dxfId="547" priority="3" stopIfTrue="1" operator="greaterThanOrEqual">
      <formula>$L$57</formula>
    </cfRule>
    <cfRule type="cellIs" dxfId="546" priority="4" stopIfTrue="1" operator="lessThan">
      <formula>$L$57</formula>
    </cfRule>
  </conditionalFormatting>
  <conditionalFormatting sqref="K55">
    <cfRule type="cellIs" dxfId="545" priority="1" stopIfTrue="1" operator="greaterThanOrEqual">
      <formula>0</formula>
    </cfRule>
    <cfRule type="cellIs" dxfId="54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61">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Management\[15141_Vent_Test_Plan_v20_071.xlsm]AQ</v>
      </c>
    </row>
    <row r="2" spans="1:12" ht="24" hidden="1" customHeight="1">
      <c r="A2" s="16">
        <f ca="1">FIND("]",A1,1)</f>
        <v>107</v>
      </c>
    </row>
    <row r="3" spans="1:12" ht="23.25" hidden="1" customHeight="1">
      <c r="A3" s="16">
        <f ca="1">LEN(A1)</f>
        <v>109</v>
      </c>
    </row>
    <row r="4" spans="1:12" ht="21" hidden="1" customHeight="1">
      <c r="A4" s="16" t="str">
        <f ca="1">RIGHT(A1,A3-A2)</f>
        <v>AQ</v>
      </c>
    </row>
    <row r="5" spans="1:12" ht="20.25" hidden="1" customHeight="1">
      <c r="A5" s="1" t="s">
        <v>790</v>
      </c>
    </row>
    <row r="6" spans="1:12" ht="18.75">
      <c r="A6" s="54" t="str">
        <f ca="1">CONCATENATE(A5,A4)</f>
        <v>Table A-AQ</v>
      </c>
      <c r="K6" s="2" t="s">
        <v>792</v>
      </c>
    </row>
    <row r="7" spans="1:12" ht="18.75">
      <c r="A7" s="4" t="s">
        <v>794</v>
      </c>
      <c r="K7" t="s">
        <v>793</v>
      </c>
    </row>
    <row r="8" spans="1:12">
      <c r="A8" s="45" t="e">
        <f ca="1">INDEX(SourceDescription,MATCH($A$4,SourceNumber,0),1,1) &amp; " (" &amp; INDEX(SourceID,MATCH($A$4,SourceNumber,0),1,1) &amp; ")"</f>
        <v>#N/A</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t="e">
        <f ca="1">F14*3.28</f>
        <v>#N/A</v>
      </c>
      <c r="E14" s="37" t="s">
        <v>807</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798</v>
      </c>
      <c r="D15" s="79" t="e">
        <f ca="1">F15*3.28</f>
        <v>#N/A</v>
      </c>
      <c r="E15" s="37" t="s">
        <v>807</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466</v>
      </c>
    </row>
    <row r="16" spans="1:12" ht="20.25">
      <c r="A16" s="33">
        <f t="shared" si="0"/>
        <v>5</v>
      </c>
      <c r="B16" t="str">
        <f t="shared" si="1"/>
        <v>.</v>
      </c>
      <c r="C16" t="s">
        <v>820</v>
      </c>
      <c r="D16" s="79" t="e">
        <f ca="1">F16*3.28^2</f>
        <v>#N/A</v>
      </c>
      <c r="E16" s="37" t="s">
        <v>811</v>
      </c>
      <c r="F16" s="86" t="e">
        <f ca="1">$F$15^2*PI()/4</f>
        <v>#N/A</v>
      </c>
      <c r="G16" s="1097" t="e">
        <f ca="1">G15^2*PI()/4</f>
        <v>#N/A</v>
      </c>
      <c r="H16" s="1112" t="e">
        <f ca="1">H15^2*PI()/4</f>
        <v>#N/A</v>
      </c>
      <c r="I16" s="1102" t="e">
        <f ca="1">$I$15^2*PI()/4</f>
        <v>#N/A</v>
      </c>
    </row>
    <row r="17" spans="1:35" ht="18.75">
      <c r="A17" s="33">
        <f t="shared" si="0"/>
        <v>6</v>
      </c>
      <c r="B17" t="str">
        <f t="shared" si="1"/>
        <v>.</v>
      </c>
      <c r="C17" t="s">
        <v>821</v>
      </c>
      <c r="D17" s="33" t="e">
        <f ca="1">F17*3.28*60</f>
        <v>#N/A</v>
      </c>
      <c r="E17" s="37" t="s">
        <v>808</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822</v>
      </c>
      <c r="D18" s="33" t="e">
        <f ca="1">(F18-273.15)*(9/5)+32</f>
        <v>#N/A</v>
      </c>
      <c r="E18" s="80" t="s">
        <v>812</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813</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#N/A</v>
      </c>
      <c r="E24" s="37" t="s">
        <v>815</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#N/A</v>
      </c>
      <c r="E26" s="37" t="s">
        <v>816</v>
      </c>
      <c r="F26" s="89" t="e">
        <f ca="1">(145.8*$F$18^1.5)/(($F$18+110.4)*10^8*$F$24)</f>
        <v>#N/A</v>
      </c>
      <c r="G26" s="84" t="e">
        <f ca="1">Y33</f>
        <v>#N/A</v>
      </c>
      <c r="H26" s="1113">
        <f>182.7*0.00001</f>
        <v>1.8270000000000001E-3</v>
      </c>
      <c r="I26" s="1104" t="e">
        <f ca="1">(145.8*$F$18^1.5)/(($F$18+110.4)*10^8*$F$24)</f>
        <v>#N/A</v>
      </c>
      <c r="K26" s="1875" t="e">
        <f ca="1">IF(W36=0,"Mixture Computed","Mixture NOT Computed")</f>
        <v>#N/A</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#N/A</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t="e">
        <f ca="1">INDEX(SourceModelRefWS,MATCH($A$4,SourceNumber,0),1,1)</f>
        <v>#N/A</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#N/A</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831</v>
      </c>
      <c r="D33" s="82" t="e">
        <f>F33*3.28*3600/5280</f>
        <v>#VALUE!</v>
      </c>
      <c r="E33" s="37" t="s">
        <v>810</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833</v>
      </c>
      <c r="D35" s="82" t="e">
        <f ca="1">F35*3.28*3600/5280</f>
        <v>#VALUE!</v>
      </c>
      <c r="E35" s="37" t="s">
        <v>810</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840</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804</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841</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843</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842</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844</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845</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543" priority="15" stopIfTrue="1" operator="equal">
      <formula>0</formula>
    </cfRule>
    <cfRule type="cellIs" dxfId="542" priority="16" stopIfTrue="1" operator="notEqual">
      <formula>0</formula>
    </cfRule>
  </conditionalFormatting>
  <conditionalFormatting sqref="K52">
    <cfRule type="cellIs" dxfId="541" priority="13" stopIfTrue="1" operator="lessThanOrEqual">
      <formula>0.00000001</formula>
    </cfRule>
    <cfRule type="cellIs" dxfId="540" priority="14" stopIfTrue="1" operator="greaterThan">
      <formula>0.00000001</formula>
    </cfRule>
  </conditionalFormatting>
  <conditionalFormatting sqref="K26:M26">
    <cfRule type="cellIs" dxfId="539" priority="11" stopIfTrue="1" operator="equal">
      <formula>"Mixture Computed"</formula>
    </cfRule>
    <cfRule type="cellIs" dxfId="538" priority="12" stopIfTrue="1" operator="equal">
      <formula>"MIXTURE NOT COMPUTED"</formula>
    </cfRule>
  </conditionalFormatting>
  <conditionalFormatting sqref="K56">
    <cfRule type="cellIs" dxfId="537" priority="8" stopIfTrue="1" operator="greaterThanOrEqual">
      <formula>$N$56</formula>
    </cfRule>
    <cfRule type="cellIs" dxfId="536" priority="9" stopIfTrue="1" operator="notBetween">
      <formula>$L$56</formula>
      <formula>$M$56</formula>
    </cfRule>
    <cfRule type="cellIs" dxfId="535" priority="10" stopIfTrue="1" operator="between">
      <formula>$L$56</formula>
      <formula>$M$56</formula>
    </cfRule>
  </conditionalFormatting>
  <conditionalFormatting sqref="K54">
    <cfRule type="cellIs" dxfId="534" priority="5" stopIfTrue="1" operator="greaterThanOrEqual">
      <formula>$N$54</formula>
    </cfRule>
    <cfRule type="cellIs" dxfId="533" priority="6" stopIfTrue="1" operator="notBetween">
      <formula>$L$54</formula>
      <formula>$M$54</formula>
    </cfRule>
    <cfRule type="cellIs" dxfId="532" priority="7" stopIfTrue="1" operator="between">
      <formula>$L$54</formula>
      <formula>$M$54</formula>
    </cfRule>
  </conditionalFormatting>
  <conditionalFormatting sqref="K57">
    <cfRule type="cellIs" dxfId="531" priority="3" stopIfTrue="1" operator="greaterThanOrEqual">
      <formula>$L$57</formula>
    </cfRule>
    <cfRule type="cellIs" dxfId="530" priority="4" stopIfTrue="1" operator="lessThan">
      <formula>$L$57</formula>
    </cfRule>
  </conditionalFormatting>
  <conditionalFormatting sqref="K55">
    <cfRule type="cellIs" dxfId="529" priority="1" stopIfTrue="1" operator="greaterThanOrEqual">
      <formula>0</formula>
    </cfRule>
    <cfRule type="cellIs" dxfId="52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1">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Management\[15141_Vent_Test_Plan_v20_071.xlsm]BA</v>
      </c>
    </row>
    <row r="2" spans="1:12" ht="24" hidden="1" customHeight="1">
      <c r="A2" s="16">
        <f ca="1">FIND("]",A1,1)</f>
        <v>107</v>
      </c>
    </row>
    <row r="3" spans="1:12" ht="23.25" hidden="1" customHeight="1">
      <c r="A3" s="16">
        <f ca="1">LEN(A1)</f>
        <v>109</v>
      </c>
    </row>
    <row r="4" spans="1:12" ht="21" hidden="1" customHeight="1">
      <c r="A4" s="16" t="str">
        <f ca="1">RIGHT(A1,A3-A2)</f>
        <v>BA</v>
      </c>
    </row>
    <row r="5" spans="1:12" ht="20.25" hidden="1" customHeight="1">
      <c r="A5" s="1" t="s">
        <v>790</v>
      </c>
    </row>
    <row r="6" spans="1:12" ht="18.75">
      <c r="A6" s="54" t="str">
        <f ca="1">CONCATENATE(A5,A4)</f>
        <v>Table A-BA</v>
      </c>
      <c r="K6" s="2" t="s">
        <v>792</v>
      </c>
    </row>
    <row r="7" spans="1:12" ht="18.75">
      <c r="A7" s="4" t="s">
        <v>794</v>
      </c>
      <c r="K7" t="s">
        <v>793</v>
      </c>
    </row>
    <row r="8" spans="1:12">
      <c r="A8" s="45" t="str">
        <f ca="1">INDEX(SourceDescription,MATCH($A$4,SourceNumber,0),1,1) &amp; " (" &amp; INDEX(SourceID,MATCH($A$4,SourceNumber,0),1,1) &amp; ")"</f>
        <v>General Exhaust (B2 Gen-1)</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3.4162499999999998</v>
      </c>
      <c r="E15" s="37" t="s">
        <v>807</v>
      </c>
      <c r="F15" s="85">
        <f ca="1">INDEX(SourceExitDiameter,MATCH($A$4,SourceNumber,0),1,1)</f>
        <v>1.0415396341463414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9.1661966601324405</v>
      </c>
      <c r="E16" s="37" t="s">
        <v>811</v>
      </c>
      <c r="F16" s="86">
        <f ca="1">$F$15^2*PI()/4</f>
        <v>0.85200370502420819</v>
      </c>
      <c r="G16" s="1097" t="e">
        <f ca="1">G15^2*PI()/4</f>
        <v>#VALUE!</v>
      </c>
      <c r="H16" s="1112" t="e">
        <f ca="1">H15^2*PI()/4</f>
        <v>#VALUE!</v>
      </c>
      <c r="I16" s="1102" t="e">
        <f ca="1">$I$15^2*PI()/4</f>
        <v>#VALUE!</v>
      </c>
    </row>
    <row r="17" spans="1:35" ht="18.75">
      <c r="A17" s="33">
        <f t="shared" si="0"/>
        <v>6</v>
      </c>
      <c r="B17" t="str">
        <f t="shared" si="1"/>
        <v>.</v>
      </c>
      <c r="C17" t="s">
        <v>821</v>
      </c>
      <c r="D17" s="33">
        <f ca="1">F17*3.28*60</f>
        <v>3000.1538282075935</v>
      </c>
      <c r="E17" s="37" t="s">
        <v>808</v>
      </c>
      <c r="F17" s="85">
        <f ca="1">INDEX(SourceExitVelocity,MATCH($A$4,SourceNumber,0),1,1)</f>
        <v>15.244684086420699</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27499.999999999996</v>
      </c>
      <c r="E19" s="37" t="s">
        <v>813</v>
      </c>
      <c r="F19" s="86">
        <f ca="1">F17*F16</f>
        <v>12.988527323554022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0.34162500000000001</v>
      </c>
      <c r="E49" s="37"/>
      <c r="F49" s="86">
        <f ca="1">$F$15/$F$14</f>
        <v>0.34162500000000001</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527" priority="15" stopIfTrue="1" operator="equal">
      <formula>0</formula>
    </cfRule>
    <cfRule type="cellIs" dxfId="526" priority="16" stopIfTrue="1" operator="notEqual">
      <formula>0</formula>
    </cfRule>
  </conditionalFormatting>
  <conditionalFormatting sqref="K52">
    <cfRule type="cellIs" dxfId="525" priority="13" stopIfTrue="1" operator="lessThanOrEqual">
      <formula>0.00000001</formula>
    </cfRule>
    <cfRule type="cellIs" dxfId="524" priority="14" stopIfTrue="1" operator="greaterThan">
      <formula>0.00000001</formula>
    </cfRule>
  </conditionalFormatting>
  <conditionalFormatting sqref="K26:M26">
    <cfRule type="cellIs" dxfId="523" priority="11" stopIfTrue="1" operator="equal">
      <formula>"Mixture Computed"</formula>
    </cfRule>
    <cfRule type="cellIs" dxfId="522" priority="12" stopIfTrue="1" operator="equal">
      <formula>"MIXTURE NOT COMPUTED"</formula>
    </cfRule>
  </conditionalFormatting>
  <conditionalFormatting sqref="K56">
    <cfRule type="cellIs" dxfId="521" priority="8" stopIfTrue="1" operator="greaterThanOrEqual">
      <formula>$N$56</formula>
    </cfRule>
    <cfRule type="cellIs" dxfId="520" priority="9" stopIfTrue="1" operator="notBetween">
      <formula>$L$56</formula>
      <formula>$M$56</formula>
    </cfRule>
    <cfRule type="cellIs" dxfId="519" priority="10" stopIfTrue="1" operator="between">
      <formula>$L$56</formula>
      <formula>$M$56</formula>
    </cfRule>
  </conditionalFormatting>
  <conditionalFormatting sqref="K54">
    <cfRule type="cellIs" dxfId="518" priority="5" stopIfTrue="1" operator="greaterThanOrEqual">
      <formula>$N$54</formula>
    </cfRule>
    <cfRule type="cellIs" dxfId="517" priority="6" stopIfTrue="1" operator="notBetween">
      <formula>$L$54</formula>
      <formula>$M$54</formula>
    </cfRule>
    <cfRule type="cellIs" dxfId="516" priority="7" stopIfTrue="1" operator="between">
      <formula>$L$54</formula>
      <formula>$M$54</formula>
    </cfRule>
  </conditionalFormatting>
  <conditionalFormatting sqref="K57">
    <cfRule type="cellIs" dxfId="515" priority="3" stopIfTrue="1" operator="greaterThanOrEqual">
      <formula>$L$57</formula>
    </cfRule>
    <cfRule type="cellIs" dxfId="514" priority="4" stopIfTrue="1" operator="lessThan">
      <formula>$L$57</formula>
    </cfRule>
  </conditionalFormatting>
  <conditionalFormatting sqref="K55">
    <cfRule type="cellIs" dxfId="513" priority="1" stopIfTrue="1" operator="greaterThanOrEqual">
      <formula>0</formula>
    </cfRule>
    <cfRule type="cellIs" dxfId="51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2">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Management\[15141_Vent_Test_Plan_v20_071.xlsm]BB</v>
      </c>
    </row>
    <row r="2" spans="1:12" ht="24" hidden="1" customHeight="1">
      <c r="A2" s="16">
        <f ca="1">FIND("]",A1,1)</f>
        <v>107</v>
      </c>
    </row>
    <row r="3" spans="1:12" ht="23.25" hidden="1" customHeight="1">
      <c r="A3" s="16">
        <f ca="1">LEN(A1)</f>
        <v>109</v>
      </c>
    </row>
    <row r="4" spans="1:12" ht="21" hidden="1" customHeight="1">
      <c r="A4" s="16" t="str">
        <f ca="1">RIGHT(A1,A3-A2)</f>
        <v>BB</v>
      </c>
    </row>
    <row r="5" spans="1:12" ht="20.25" hidden="1" customHeight="1">
      <c r="A5" s="1" t="s">
        <v>790</v>
      </c>
    </row>
    <row r="6" spans="1:12" ht="18.75">
      <c r="A6" s="54" t="str">
        <f ca="1">CONCATENATE(A5,A4)</f>
        <v>Table A-BB</v>
      </c>
      <c r="K6" s="2" t="s">
        <v>792</v>
      </c>
    </row>
    <row r="7" spans="1:12" ht="18.75">
      <c r="A7" s="4" t="s">
        <v>794</v>
      </c>
      <c r="K7" t="s">
        <v>793</v>
      </c>
    </row>
    <row r="8" spans="1:12">
      <c r="A8" s="45" t="str">
        <f ca="1">INDEX(SourceDescription,MATCH($A$4,SourceNumber,0),1,1) &amp; " (" &amp; INDEX(SourceID,MATCH($A$4,SourceNumber,0),1,1) &amp; ")"</f>
        <v>General Exhaust (B2 Gen-2)</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3.4162499999999998</v>
      </c>
      <c r="E15" s="37" t="s">
        <v>807</v>
      </c>
      <c r="F15" s="85">
        <f ca="1">INDEX(SourceExitDiameter,MATCH($A$4,SourceNumber,0),1,1)</f>
        <v>1.0415396341463414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9.1661966601324405</v>
      </c>
      <c r="E16" s="37" t="s">
        <v>811</v>
      </c>
      <c r="F16" s="86">
        <f ca="1">$F$15^2*PI()/4</f>
        <v>0.85200370502420819</v>
      </c>
      <c r="G16" s="1097" t="e">
        <f ca="1">G15^2*PI()/4</f>
        <v>#VALUE!</v>
      </c>
      <c r="H16" s="1112" t="e">
        <f ca="1">H15^2*PI()/4</f>
        <v>#VALUE!</v>
      </c>
      <c r="I16" s="1102" t="e">
        <f ca="1">$I$15^2*PI()/4</f>
        <v>#VALUE!</v>
      </c>
    </row>
    <row r="17" spans="1:35" ht="18.75">
      <c r="A17" s="33">
        <f t="shared" si="0"/>
        <v>6</v>
      </c>
      <c r="B17" t="str">
        <f t="shared" si="1"/>
        <v>.</v>
      </c>
      <c r="C17" t="s">
        <v>821</v>
      </c>
      <c r="D17" s="33">
        <f ca="1">F17*3.28*60</f>
        <v>3000.1538282075935</v>
      </c>
      <c r="E17" s="37" t="s">
        <v>808</v>
      </c>
      <c r="F17" s="85">
        <f ca="1">INDEX(SourceExitVelocity,MATCH($A$4,SourceNumber,0),1,1)</f>
        <v>15.244684086420699</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27499.999999999996</v>
      </c>
      <c r="E19" s="37" t="s">
        <v>813</v>
      </c>
      <c r="F19" s="86">
        <f ca="1">F17*F16</f>
        <v>12.988527323554022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0.34162500000000001</v>
      </c>
      <c r="E49" s="37"/>
      <c r="F49" s="86">
        <f ca="1">$F$15/$F$14</f>
        <v>0.34162500000000001</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511" priority="15" stopIfTrue="1" operator="equal">
      <formula>0</formula>
    </cfRule>
    <cfRule type="cellIs" dxfId="510" priority="16" stopIfTrue="1" operator="notEqual">
      <formula>0</formula>
    </cfRule>
  </conditionalFormatting>
  <conditionalFormatting sqref="K52">
    <cfRule type="cellIs" dxfId="509" priority="13" stopIfTrue="1" operator="lessThanOrEqual">
      <formula>0.00000001</formula>
    </cfRule>
    <cfRule type="cellIs" dxfId="508" priority="14" stopIfTrue="1" operator="greaterThan">
      <formula>0.00000001</formula>
    </cfRule>
  </conditionalFormatting>
  <conditionalFormatting sqref="K26:M26">
    <cfRule type="cellIs" dxfId="507" priority="11" stopIfTrue="1" operator="equal">
      <formula>"Mixture Computed"</formula>
    </cfRule>
    <cfRule type="cellIs" dxfId="506" priority="12" stopIfTrue="1" operator="equal">
      <formula>"MIXTURE NOT COMPUTED"</formula>
    </cfRule>
  </conditionalFormatting>
  <conditionalFormatting sqref="K56">
    <cfRule type="cellIs" dxfId="505" priority="8" stopIfTrue="1" operator="greaterThanOrEqual">
      <formula>$N$56</formula>
    </cfRule>
    <cfRule type="cellIs" dxfId="504" priority="9" stopIfTrue="1" operator="notBetween">
      <formula>$L$56</formula>
      <formula>$M$56</formula>
    </cfRule>
    <cfRule type="cellIs" dxfId="503" priority="10" stopIfTrue="1" operator="between">
      <formula>$L$56</formula>
      <formula>$M$56</formula>
    </cfRule>
  </conditionalFormatting>
  <conditionalFormatting sqref="K54">
    <cfRule type="cellIs" dxfId="502" priority="5" stopIfTrue="1" operator="greaterThanOrEqual">
      <formula>$N$54</formula>
    </cfRule>
    <cfRule type="cellIs" dxfId="501" priority="6" stopIfTrue="1" operator="notBetween">
      <formula>$L$54</formula>
      <formula>$M$54</formula>
    </cfRule>
    <cfRule type="cellIs" dxfId="500" priority="7" stopIfTrue="1" operator="between">
      <formula>$L$54</formula>
      <formula>$M$54</formula>
    </cfRule>
  </conditionalFormatting>
  <conditionalFormatting sqref="K57">
    <cfRule type="cellIs" dxfId="499" priority="3" stopIfTrue="1" operator="greaterThanOrEqual">
      <formula>$L$57</formula>
    </cfRule>
    <cfRule type="cellIs" dxfId="498" priority="4" stopIfTrue="1" operator="lessThan">
      <formula>$L$57</formula>
    </cfRule>
  </conditionalFormatting>
  <conditionalFormatting sqref="K55">
    <cfRule type="cellIs" dxfId="497" priority="1" stopIfTrue="1" operator="greaterThanOrEqual">
      <formula>0</formula>
    </cfRule>
    <cfRule type="cellIs" dxfId="49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39">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Management\[15141_Vent_Test_Plan_v20_071.xlsm]BC</v>
      </c>
    </row>
    <row r="2" spans="1:12" ht="24" hidden="1" customHeight="1">
      <c r="A2" s="16">
        <f ca="1">FIND("]",A1,1)</f>
        <v>107</v>
      </c>
    </row>
    <row r="3" spans="1:12" ht="23.25" hidden="1" customHeight="1">
      <c r="A3" s="16">
        <f ca="1">LEN(A1)</f>
        <v>109</v>
      </c>
    </row>
    <row r="4" spans="1:12" ht="21" hidden="1" customHeight="1">
      <c r="A4" s="16" t="str">
        <f ca="1">RIGHT(A1,A3-A2)</f>
        <v>BC</v>
      </c>
    </row>
    <row r="5" spans="1:12" ht="20.25" hidden="1" customHeight="1">
      <c r="A5" s="1" t="s">
        <v>790</v>
      </c>
    </row>
    <row r="6" spans="1:12" ht="18.75">
      <c r="A6" s="54" t="str">
        <f ca="1">CONCATENATE(A5,A4)</f>
        <v>Table A-BC</v>
      </c>
      <c r="K6" s="2" t="s">
        <v>792</v>
      </c>
    </row>
    <row r="7" spans="1:12" ht="18.75">
      <c r="A7" s="4" t="s">
        <v>794</v>
      </c>
      <c r="K7" t="s">
        <v>793</v>
      </c>
    </row>
    <row r="8" spans="1:12">
      <c r="A8" s="45" t="str">
        <f ca="1">INDEX(SourceDescription,MATCH($A$4,SourceNumber,0),1,1) &amp; " (" &amp; INDEX(SourceID,MATCH($A$4,SourceNumber,0),1,1) &amp; ")"</f>
        <v>Fume Hood Exhaust 1 (B2 FE-1)</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2.5233333333333334</v>
      </c>
      <c r="E15" s="37" t="s">
        <v>807</v>
      </c>
      <c r="F15" s="85">
        <f ca="1">INDEX(SourceExitDiameter,MATCH($A$4,SourceNumber,0),1,1)</f>
        <v>0.76930894308943099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5.0007959126304931</v>
      </c>
      <c r="E16" s="37" t="s">
        <v>811</v>
      </c>
      <c r="F16" s="86">
        <f ca="1">$F$15^2*PI()/4</f>
        <v>0.46482710371714137</v>
      </c>
      <c r="G16" s="1097" t="e">
        <f ca="1">G15^2*PI()/4</f>
        <v>#VALUE!</v>
      </c>
      <c r="H16" s="1112" t="e">
        <f ca="1">H15^2*PI()/4</f>
        <v>#VALUE!</v>
      </c>
      <c r="I16" s="1102" t="e">
        <f ca="1">$I$15^2*PI()/4</f>
        <v>#VALUE!</v>
      </c>
    </row>
    <row r="17" spans="1:35" ht="18.75">
      <c r="A17" s="33">
        <f t="shared" si="0"/>
        <v>6</v>
      </c>
      <c r="B17" t="str">
        <f t="shared" si="1"/>
        <v>.</v>
      </c>
      <c r="C17" t="s">
        <v>821</v>
      </c>
      <c r="D17" s="33">
        <f ca="1">F17*3.28*60</f>
        <v>2999.5225284268354</v>
      </c>
      <c r="E17" s="37" t="s">
        <v>808</v>
      </c>
      <c r="F17" s="85">
        <f ca="1">INDEX(SourceExitVelocity,MATCH($A$4,SourceNumber,0),1,1)</f>
        <v>15.241476262331481</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14999.999999999998</v>
      </c>
      <c r="E19" s="37" t="s">
        <v>813</v>
      </c>
      <c r="F19" s="86">
        <f ca="1">F17*F16</f>
        <v>7.0846512673931032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0.25233333333333335</v>
      </c>
      <c r="E49" s="37"/>
      <c r="F49" s="86">
        <f ca="1">$F$15/$F$14</f>
        <v>0.25233333333333335</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95" priority="15" stopIfTrue="1" operator="equal">
      <formula>0</formula>
    </cfRule>
    <cfRule type="cellIs" dxfId="494" priority="16" stopIfTrue="1" operator="notEqual">
      <formula>0</formula>
    </cfRule>
  </conditionalFormatting>
  <conditionalFormatting sqref="K52">
    <cfRule type="cellIs" dxfId="493" priority="13" stopIfTrue="1" operator="lessThanOrEqual">
      <formula>0.00000001</formula>
    </cfRule>
    <cfRule type="cellIs" dxfId="492" priority="14" stopIfTrue="1" operator="greaterThan">
      <formula>0.00000001</formula>
    </cfRule>
  </conditionalFormatting>
  <conditionalFormatting sqref="K26:M26">
    <cfRule type="cellIs" dxfId="491" priority="11" stopIfTrue="1" operator="equal">
      <formula>"Mixture Computed"</formula>
    </cfRule>
    <cfRule type="cellIs" dxfId="490" priority="12" stopIfTrue="1" operator="equal">
      <formula>"MIXTURE NOT COMPUTED"</formula>
    </cfRule>
  </conditionalFormatting>
  <conditionalFormatting sqref="K56">
    <cfRule type="cellIs" dxfId="489" priority="8" stopIfTrue="1" operator="greaterThanOrEqual">
      <formula>$N$56</formula>
    </cfRule>
    <cfRule type="cellIs" dxfId="488" priority="9" stopIfTrue="1" operator="notBetween">
      <formula>$L$56</formula>
      <formula>$M$56</formula>
    </cfRule>
    <cfRule type="cellIs" dxfId="487" priority="10" stopIfTrue="1" operator="between">
      <formula>$L$56</formula>
      <formula>$M$56</formula>
    </cfRule>
  </conditionalFormatting>
  <conditionalFormatting sqref="K54">
    <cfRule type="cellIs" dxfId="486" priority="5" stopIfTrue="1" operator="greaterThanOrEqual">
      <formula>$N$54</formula>
    </cfRule>
    <cfRule type="cellIs" dxfId="485" priority="6" stopIfTrue="1" operator="notBetween">
      <formula>$L$54</formula>
      <formula>$M$54</formula>
    </cfRule>
    <cfRule type="cellIs" dxfId="484" priority="7" stopIfTrue="1" operator="between">
      <formula>$L$54</formula>
      <formula>$M$54</formula>
    </cfRule>
  </conditionalFormatting>
  <conditionalFormatting sqref="K57">
    <cfRule type="cellIs" dxfId="483" priority="3" stopIfTrue="1" operator="greaterThanOrEqual">
      <formula>$L$57</formula>
    </cfRule>
    <cfRule type="cellIs" dxfId="482" priority="4" stopIfTrue="1" operator="lessThan">
      <formula>$L$57</formula>
    </cfRule>
  </conditionalFormatting>
  <conditionalFormatting sqref="K55">
    <cfRule type="cellIs" dxfId="481" priority="1" stopIfTrue="1" operator="greaterThanOrEqual">
      <formula>0</formula>
    </cfRule>
    <cfRule type="cellIs" dxfId="48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0">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Management\[15141_Vent_Test_Plan_v20_071.xlsm]BD</v>
      </c>
    </row>
    <row r="2" spans="1:12" ht="24" hidden="1" customHeight="1">
      <c r="A2" s="16">
        <f ca="1">FIND("]",A1,1)</f>
        <v>107</v>
      </c>
    </row>
    <row r="3" spans="1:12" ht="23.25" hidden="1" customHeight="1">
      <c r="A3" s="16">
        <f ca="1">LEN(A1)</f>
        <v>109</v>
      </c>
    </row>
    <row r="4" spans="1:12" ht="21" hidden="1" customHeight="1">
      <c r="A4" s="16" t="str">
        <f ca="1">RIGHT(A1,A3-A2)</f>
        <v>BD</v>
      </c>
    </row>
    <row r="5" spans="1:12" ht="20.25" hidden="1" customHeight="1">
      <c r="A5" s="1" t="s">
        <v>790</v>
      </c>
    </row>
    <row r="6" spans="1:12" ht="18.75">
      <c r="A6" s="54" t="str">
        <f ca="1">CONCATENATE(A5,A4)</f>
        <v>Table A-BD</v>
      </c>
      <c r="K6" s="2" t="s">
        <v>792</v>
      </c>
    </row>
    <row r="7" spans="1:12" ht="18.75">
      <c r="A7" s="4" t="s">
        <v>794</v>
      </c>
      <c r="K7" t="s">
        <v>793</v>
      </c>
    </row>
    <row r="8" spans="1:12">
      <c r="A8" s="45" t="str">
        <f ca="1">INDEX(SourceDescription,MATCH($A$4,SourceNumber,0),1,1) &amp; " (" &amp; INDEX(SourceID,MATCH($A$4,SourceNumber,0),1,1) &amp; ")"</f>
        <v>Fume Hood Exhaust 2 (B2 FE-2)</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2.5233333333333334</v>
      </c>
      <c r="E15" s="37" t="s">
        <v>807</v>
      </c>
      <c r="F15" s="85">
        <f ca="1">INDEX(SourceExitDiameter,MATCH($A$4,SourceNumber,0),1,1)</f>
        <v>0.76930894308943099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5.0007959126304931</v>
      </c>
      <c r="E16" s="37" t="s">
        <v>811</v>
      </c>
      <c r="F16" s="86">
        <f ca="1">$F$15^2*PI()/4</f>
        <v>0.46482710371714137</v>
      </c>
      <c r="G16" s="1097" t="e">
        <f ca="1">G15^2*PI()/4</f>
        <v>#VALUE!</v>
      </c>
      <c r="H16" s="1112" t="e">
        <f ca="1">H15^2*PI()/4</f>
        <v>#VALUE!</v>
      </c>
      <c r="I16" s="1102" t="e">
        <f ca="1">$I$15^2*PI()/4</f>
        <v>#VALUE!</v>
      </c>
    </row>
    <row r="17" spans="1:35" ht="18.75">
      <c r="A17" s="33">
        <f t="shared" si="0"/>
        <v>6</v>
      </c>
      <c r="B17" t="str">
        <f t="shared" si="1"/>
        <v>.</v>
      </c>
      <c r="C17" t="s">
        <v>821</v>
      </c>
      <c r="D17" s="33">
        <f ca="1">F17*3.28*60</f>
        <v>2999.5225284268354</v>
      </c>
      <c r="E17" s="37" t="s">
        <v>808</v>
      </c>
      <c r="F17" s="85">
        <f ca="1">INDEX(SourceExitVelocity,MATCH($A$4,SourceNumber,0),1,1)</f>
        <v>15.241476262331481</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14999.999999999998</v>
      </c>
      <c r="E19" s="37" t="s">
        <v>813</v>
      </c>
      <c r="F19" s="86">
        <f ca="1">F17*F16</f>
        <v>7.0846512673931032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0.25233333333333335</v>
      </c>
      <c r="E49" s="37"/>
      <c r="F49" s="86">
        <f ca="1">$F$15/$F$14</f>
        <v>0.25233333333333335</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79" priority="15" stopIfTrue="1" operator="equal">
      <formula>0</formula>
    </cfRule>
    <cfRule type="cellIs" dxfId="478" priority="16" stopIfTrue="1" operator="notEqual">
      <formula>0</formula>
    </cfRule>
  </conditionalFormatting>
  <conditionalFormatting sqref="K52">
    <cfRule type="cellIs" dxfId="477" priority="13" stopIfTrue="1" operator="lessThanOrEqual">
      <formula>0.00000001</formula>
    </cfRule>
    <cfRule type="cellIs" dxfId="476" priority="14" stopIfTrue="1" operator="greaterThan">
      <formula>0.00000001</formula>
    </cfRule>
  </conditionalFormatting>
  <conditionalFormatting sqref="K26:M26">
    <cfRule type="cellIs" dxfId="475" priority="11" stopIfTrue="1" operator="equal">
      <formula>"Mixture Computed"</formula>
    </cfRule>
    <cfRule type="cellIs" dxfId="474" priority="12" stopIfTrue="1" operator="equal">
      <formula>"MIXTURE NOT COMPUTED"</formula>
    </cfRule>
  </conditionalFormatting>
  <conditionalFormatting sqref="K56">
    <cfRule type="cellIs" dxfId="473" priority="8" stopIfTrue="1" operator="greaterThanOrEqual">
      <formula>$N$56</formula>
    </cfRule>
    <cfRule type="cellIs" dxfId="472" priority="9" stopIfTrue="1" operator="notBetween">
      <formula>$L$56</formula>
      <formula>$M$56</formula>
    </cfRule>
    <cfRule type="cellIs" dxfId="471" priority="10" stopIfTrue="1" operator="between">
      <formula>$L$56</formula>
      <formula>$M$56</formula>
    </cfRule>
  </conditionalFormatting>
  <conditionalFormatting sqref="K54">
    <cfRule type="cellIs" dxfId="470" priority="5" stopIfTrue="1" operator="greaterThanOrEqual">
      <formula>$N$54</formula>
    </cfRule>
    <cfRule type="cellIs" dxfId="469" priority="6" stopIfTrue="1" operator="notBetween">
      <formula>$L$54</formula>
      <formula>$M$54</formula>
    </cfRule>
    <cfRule type="cellIs" dxfId="468" priority="7" stopIfTrue="1" operator="between">
      <formula>$L$54</formula>
      <formula>$M$54</formula>
    </cfRule>
  </conditionalFormatting>
  <conditionalFormatting sqref="K57">
    <cfRule type="cellIs" dxfId="467" priority="3" stopIfTrue="1" operator="greaterThanOrEqual">
      <formula>$L$57</formula>
    </cfRule>
    <cfRule type="cellIs" dxfId="466" priority="4" stopIfTrue="1" operator="lessThan">
      <formula>$L$57</formula>
    </cfRule>
  </conditionalFormatting>
  <conditionalFormatting sqref="K55">
    <cfRule type="cellIs" dxfId="465" priority="1" stopIfTrue="1" operator="greaterThanOrEqual">
      <formula>0</formula>
    </cfRule>
    <cfRule type="cellIs" dxfId="46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1">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Management\[15141_Vent_Test_Plan_v20_071.xlsm]BE</v>
      </c>
    </row>
    <row r="2" spans="1:12" ht="24" hidden="1" customHeight="1">
      <c r="A2" s="16">
        <f ca="1">FIND("]",A1,1)</f>
        <v>107</v>
      </c>
    </row>
    <row r="3" spans="1:12" ht="23.25" hidden="1" customHeight="1">
      <c r="A3" s="16">
        <f ca="1">LEN(A1)</f>
        <v>109</v>
      </c>
    </row>
    <row r="4" spans="1:12" ht="21" hidden="1" customHeight="1">
      <c r="A4" s="16" t="str">
        <f ca="1">RIGHT(A1,A3-A2)</f>
        <v>BE</v>
      </c>
    </row>
    <row r="5" spans="1:12" ht="20.25" hidden="1" customHeight="1">
      <c r="A5" s="1" t="s">
        <v>790</v>
      </c>
    </row>
    <row r="6" spans="1:12" ht="18.75">
      <c r="A6" s="54" t="str">
        <f ca="1">CONCATENATE(A5,A4)</f>
        <v>Table A-BE</v>
      </c>
      <c r="K6" s="2" t="s">
        <v>792</v>
      </c>
    </row>
    <row r="7" spans="1:12" ht="18.75">
      <c r="A7" s="4" t="s">
        <v>794</v>
      </c>
      <c r="K7" t="s">
        <v>793</v>
      </c>
    </row>
    <row r="8" spans="1:12">
      <c r="A8" s="45" t="str">
        <f ca="1">INDEX(SourceDescription,MATCH($A$4,SourceNumber,0),1,1) &amp; " (" &amp; INDEX(SourceID,MATCH($A$4,SourceNumber,0),1,1) &amp; ")"</f>
        <v>Fume Hood Exhaust 3 (B2 FE-3)</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2.06</v>
      </c>
      <c r="E15" s="37" t="s">
        <v>807</v>
      </c>
      <c r="F15" s="85">
        <f ca="1">INDEX(SourceExitDiameter,MATCH($A$4,SourceNumber,0),1,1)</f>
        <v>0.62804878048780488</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3.3329156461934111</v>
      </c>
      <c r="E16" s="37" t="s">
        <v>811</v>
      </c>
      <c r="F16" s="86">
        <f ca="1">$F$15^2*PI()/4</f>
        <v>0.30979659114677011</v>
      </c>
      <c r="G16" s="1097" t="e">
        <f ca="1">G15^2*PI()/4</f>
        <v>#VALUE!</v>
      </c>
      <c r="H16" s="1112" t="e">
        <f ca="1">H15^2*PI()/4</f>
        <v>#VALUE!</v>
      </c>
      <c r="I16" s="1102" t="e">
        <f ca="1">$I$15^2*PI()/4</f>
        <v>#VALUE!</v>
      </c>
    </row>
    <row r="17" spans="1:35" ht="18.75">
      <c r="A17" s="33">
        <f t="shared" si="0"/>
        <v>6</v>
      </c>
      <c r="B17" t="str">
        <f t="shared" si="1"/>
        <v>.</v>
      </c>
      <c r="C17" t="s">
        <v>821</v>
      </c>
      <c r="D17" s="33">
        <f ca="1">F17*3.28*60</f>
        <v>3000.3759655367207</v>
      </c>
      <c r="E17" s="37" t="s">
        <v>808</v>
      </c>
      <c r="F17" s="85">
        <f ca="1">INDEX(SourceExitVelocity,MATCH($A$4,SourceNumber,0),1,1)</f>
        <v>15.245812833011794</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813</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0.20599999999999999</v>
      </c>
      <c r="E49" s="37"/>
      <c r="F49" s="86">
        <f ca="1">$F$15/$F$14</f>
        <v>0.20599999999999999</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63" priority="15" stopIfTrue="1" operator="equal">
      <formula>0</formula>
    </cfRule>
    <cfRule type="cellIs" dxfId="462" priority="16" stopIfTrue="1" operator="notEqual">
      <formula>0</formula>
    </cfRule>
  </conditionalFormatting>
  <conditionalFormatting sqref="K52">
    <cfRule type="cellIs" dxfId="461" priority="13" stopIfTrue="1" operator="lessThanOrEqual">
      <formula>0.00000001</formula>
    </cfRule>
    <cfRule type="cellIs" dxfId="460" priority="14" stopIfTrue="1" operator="greaterThan">
      <formula>0.00000001</formula>
    </cfRule>
  </conditionalFormatting>
  <conditionalFormatting sqref="K26:M26">
    <cfRule type="cellIs" dxfId="459" priority="11" stopIfTrue="1" operator="equal">
      <formula>"Mixture Computed"</formula>
    </cfRule>
    <cfRule type="cellIs" dxfId="458" priority="12" stopIfTrue="1" operator="equal">
      <formula>"MIXTURE NOT COMPUTED"</formula>
    </cfRule>
  </conditionalFormatting>
  <conditionalFormatting sqref="K56">
    <cfRule type="cellIs" dxfId="457" priority="8" stopIfTrue="1" operator="greaterThanOrEqual">
      <formula>$N$56</formula>
    </cfRule>
    <cfRule type="cellIs" dxfId="456" priority="9" stopIfTrue="1" operator="notBetween">
      <formula>$L$56</formula>
      <formula>$M$56</formula>
    </cfRule>
    <cfRule type="cellIs" dxfId="455" priority="10" stopIfTrue="1" operator="between">
      <formula>$L$56</formula>
      <formula>$M$56</formula>
    </cfRule>
  </conditionalFormatting>
  <conditionalFormatting sqref="K54">
    <cfRule type="cellIs" dxfId="454" priority="5" stopIfTrue="1" operator="greaterThanOrEqual">
      <formula>$N$54</formula>
    </cfRule>
    <cfRule type="cellIs" dxfId="453" priority="6" stopIfTrue="1" operator="notBetween">
      <formula>$L$54</formula>
      <formula>$M$54</formula>
    </cfRule>
    <cfRule type="cellIs" dxfId="452" priority="7" stopIfTrue="1" operator="between">
      <formula>$L$54</formula>
      <formula>$M$54</formula>
    </cfRule>
  </conditionalFormatting>
  <conditionalFormatting sqref="K57">
    <cfRule type="cellIs" dxfId="451" priority="3" stopIfTrue="1" operator="greaterThanOrEqual">
      <formula>$L$57</formula>
    </cfRule>
    <cfRule type="cellIs" dxfId="450" priority="4" stopIfTrue="1" operator="lessThan">
      <formula>$L$57</formula>
    </cfRule>
  </conditionalFormatting>
  <conditionalFormatting sqref="K55">
    <cfRule type="cellIs" dxfId="449" priority="1" stopIfTrue="1" operator="greaterThanOrEqual">
      <formula>0</formula>
    </cfRule>
    <cfRule type="cellIs" dxfId="44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2">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Management\[15141_Vent_Test_Plan_v20_071.xlsm]BF</v>
      </c>
    </row>
    <row r="2" spans="1:12" ht="24" hidden="1" customHeight="1">
      <c r="A2" s="16">
        <f ca="1">FIND("]",A1,1)</f>
        <v>107</v>
      </c>
    </row>
    <row r="3" spans="1:12" ht="23.25" hidden="1" customHeight="1">
      <c r="A3" s="16">
        <f ca="1">LEN(A1)</f>
        <v>109</v>
      </c>
    </row>
    <row r="4" spans="1:12" ht="21" hidden="1" customHeight="1">
      <c r="A4" s="16" t="str">
        <f ca="1">RIGHT(A1,A3-A2)</f>
        <v>BF</v>
      </c>
    </row>
    <row r="5" spans="1:12" ht="20.25" hidden="1" customHeight="1">
      <c r="A5" s="1" t="s">
        <v>790</v>
      </c>
    </row>
    <row r="6" spans="1:12" ht="18.75">
      <c r="A6" s="54" t="str">
        <f ca="1">CONCATENATE(A5,A4)</f>
        <v>Table A-BF</v>
      </c>
      <c r="K6" s="2" t="s">
        <v>792</v>
      </c>
    </row>
    <row r="7" spans="1:12" ht="18.75">
      <c r="A7" s="4" t="s">
        <v>794</v>
      </c>
      <c r="K7" t="s">
        <v>793</v>
      </c>
    </row>
    <row r="8" spans="1:12">
      <c r="A8" s="45" t="str">
        <f ca="1">INDEX(SourceDescription,MATCH($A$4,SourceNumber,0),1,1) &amp; " (" &amp; INDEX(SourceID,MATCH($A$4,SourceNumber,0),1,1) &amp; ")"</f>
        <v>Vivarium Exhaust 1 (B2 Viv-1)</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4.8312499999999998</v>
      </c>
      <c r="E15" s="37" t="s">
        <v>807</v>
      </c>
      <c r="F15" s="85">
        <f ca="1">INDEX(SourceExitDiameter,MATCH($A$4,SourceNumber,0),1,1)</f>
        <v>1.4729420731707317</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18.331960124090383</v>
      </c>
      <c r="E16" s="37" t="s">
        <v>811</v>
      </c>
      <c r="F16" s="86">
        <f ca="1">$F$15^2*PI()/4</f>
        <v>1.7039671441934103</v>
      </c>
      <c r="G16" s="1097" t="e">
        <f ca="1">G15^2*PI()/4</f>
        <v>#VALUE!</v>
      </c>
      <c r="H16" s="1112" t="e">
        <f ca="1">H15^2*PI()/4</f>
        <v>#VALUE!</v>
      </c>
      <c r="I16" s="1102" t="e">
        <f ca="1">$I$15^2*PI()/4</f>
        <v>#VALUE!</v>
      </c>
    </row>
    <row r="17" spans="1:35" ht="18.75">
      <c r="A17" s="33">
        <f t="shared" si="0"/>
        <v>6</v>
      </c>
      <c r="B17" t="str">
        <f t="shared" si="1"/>
        <v>.</v>
      </c>
      <c r="C17" t="s">
        <v>821</v>
      </c>
      <c r="D17" s="33">
        <f ca="1">F17*3.28*60</f>
        <v>3000.224723799362</v>
      </c>
      <c r="E17" s="37" t="s">
        <v>808</v>
      </c>
      <c r="F17" s="85">
        <f ca="1">INDEX(SourceExitVelocity,MATCH($A$4,SourceNumber,0),1,1)</f>
        <v>15.245044328248792</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54999.999999999985</v>
      </c>
      <c r="E19" s="37" t="s">
        <v>813</v>
      </c>
      <c r="F19" s="86">
        <f ca="1">F17*F16</f>
        <v>25.977054647108041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0.48312499999999997</v>
      </c>
      <c r="E49" s="37"/>
      <c r="F49" s="86">
        <f ca="1">$F$15/$F$14</f>
        <v>0.48312499999999997</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47" priority="15" stopIfTrue="1" operator="equal">
      <formula>0</formula>
    </cfRule>
    <cfRule type="cellIs" dxfId="446" priority="16" stopIfTrue="1" operator="notEqual">
      <formula>0</formula>
    </cfRule>
  </conditionalFormatting>
  <conditionalFormatting sqref="K52">
    <cfRule type="cellIs" dxfId="445" priority="13" stopIfTrue="1" operator="lessThanOrEqual">
      <formula>0.00000001</formula>
    </cfRule>
    <cfRule type="cellIs" dxfId="444" priority="14" stopIfTrue="1" operator="greaterThan">
      <formula>0.00000001</formula>
    </cfRule>
  </conditionalFormatting>
  <conditionalFormatting sqref="K26:M26">
    <cfRule type="cellIs" dxfId="443" priority="11" stopIfTrue="1" operator="equal">
      <formula>"Mixture Computed"</formula>
    </cfRule>
    <cfRule type="cellIs" dxfId="442" priority="12" stopIfTrue="1" operator="equal">
      <formula>"MIXTURE NOT COMPUTED"</formula>
    </cfRule>
  </conditionalFormatting>
  <conditionalFormatting sqref="K56">
    <cfRule type="cellIs" dxfId="441" priority="8" stopIfTrue="1" operator="greaterThanOrEqual">
      <formula>$N$56</formula>
    </cfRule>
    <cfRule type="cellIs" dxfId="440" priority="9" stopIfTrue="1" operator="notBetween">
      <formula>$L$56</formula>
      <formula>$M$56</formula>
    </cfRule>
    <cfRule type="cellIs" dxfId="439" priority="10" stopIfTrue="1" operator="between">
      <formula>$L$56</formula>
      <formula>$M$56</formula>
    </cfRule>
  </conditionalFormatting>
  <conditionalFormatting sqref="K54">
    <cfRule type="cellIs" dxfId="438" priority="5" stopIfTrue="1" operator="greaterThanOrEqual">
      <formula>$N$54</formula>
    </cfRule>
    <cfRule type="cellIs" dxfId="437" priority="6" stopIfTrue="1" operator="notBetween">
      <formula>$L$54</formula>
      <formula>$M$54</formula>
    </cfRule>
    <cfRule type="cellIs" dxfId="436" priority="7" stopIfTrue="1" operator="between">
      <formula>$L$54</formula>
      <formula>$M$54</formula>
    </cfRule>
  </conditionalFormatting>
  <conditionalFormatting sqref="K57">
    <cfRule type="cellIs" dxfId="435" priority="3" stopIfTrue="1" operator="greaterThanOrEqual">
      <formula>$L$57</formula>
    </cfRule>
    <cfRule type="cellIs" dxfId="434" priority="4" stopIfTrue="1" operator="lessThan">
      <formula>$L$57</formula>
    </cfRule>
  </conditionalFormatting>
  <conditionalFormatting sqref="K55">
    <cfRule type="cellIs" dxfId="433" priority="1" stopIfTrue="1" operator="greaterThanOrEqual">
      <formula>0</formula>
    </cfRule>
    <cfRule type="cellIs" dxfId="43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Management\[15141_Vent_Test_Plan_v20_071.xlsm]BG</v>
      </c>
    </row>
    <row r="2" spans="1:12" ht="24" hidden="1" customHeight="1">
      <c r="A2" s="16">
        <f ca="1">FIND("]",A1,1)</f>
        <v>107</v>
      </c>
    </row>
    <row r="3" spans="1:12" ht="23.25" hidden="1" customHeight="1">
      <c r="A3" s="16">
        <f ca="1">LEN(A1)</f>
        <v>109</v>
      </c>
    </row>
    <row r="4" spans="1:12" ht="21" hidden="1" customHeight="1">
      <c r="A4" s="16" t="str">
        <f ca="1">RIGHT(A1,A3-A2)</f>
        <v>BG</v>
      </c>
    </row>
    <row r="5" spans="1:12" ht="20.25" hidden="1" customHeight="1">
      <c r="A5" s="1" t="s">
        <v>790</v>
      </c>
    </row>
    <row r="6" spans="1:12" ht="18.75">
      <c r="A6" s="54" t="str">
        <f ca="1">CONCATENATE(A5,A4)</f>
        <v>Table A-BG</v>
      </c>
      <c r="K6" s="2" t="s">
        <v>792</v>
      </c>
    </row>
    <row r="7" spans="1:12" ht="18.75">
      <c r="A7" s="4" t="s">
        <v>794</v>
      </c>
      <c r="K7" t="s">
        <v>793</v>
      </c>
    </row>
    <row r="8" spans="1:12">
      <c r="A8" s="45" t="str">
        <f ca="1">INDEX(SourceDescription,MATCH($A$4,SourceNumber,0),1,1) &amp; " (" &amp; INDEX(SourceID,MATCH($A$4,SourceNumber,0),1,1) &amp; ")"</f>
        <v>Vivarium Exhaust 2 (B2 Viv-2)</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4.8312499999999998</v>
      </c>
      <c r="E15" s="37" t="s">
        <v>807</v>
      </c>
      <c r="F15" s="85">
        <f ca="1">INDEX(SourceExitDiameter,MATCH($A$4,SourceNumber,0),1,1)</f>
        <v>1.4729420731707317</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18.331960124090383</v>
      </c>
      <c r="E16" s="37" t="s">
        <v>811</v>
      </c>
      <c r="F16" s="86">
        <f ca="1">$F$15^2*PI()/4</f>
        <v>1.7039671441934103</v>
      </c>
      <c r="G16" s="1097" t="e">
        <f ca="1">G15^2*PI()/4</f>
        <v>#VALUE!</v>
      </c>
      <c r="H16" s="1112" t="e">
        <f ca="1">H15^2*PI()/4</f>
        <v>#VALUE!</v>
      </c>
      <c r="I16" s="1102" t="e">
        <f ca="1">$I$15^2*PI()/4</f>
        <v>#VALUE!</v>
      </c>
    </row>
    <row r="17" spans="1:35" ht="18.75">
      <c r="A17" s="33">
        <f t="shared" si="0"/>
        <v>6</v>
      </c>
      <c r="B17" t="str">
        <f t="shared" si="1"/>
        <v>.</v>
      </c>
      <c r="C17" t="s">
        <v>821</v>
      </c>
      <c r="D17" s="33">
        <f ca="1">F17*3.28*60</f>
        <v>3000.224723799362</v>
      </c>
      <c r="E17" s="37" t="s">
        <v>808</v>
      </c>
      <c r="F17" s="85">
        <f ca="1">INDEX(SourceExitVelocity,MATCH($A$4,SourceNumber,0),1,1)</f>
        <v>15.245044328248792</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54999.999999999985</v>
      </c>
      <c r="E19" s="37" t="s">
        <v>813</v>
      </c>
      <c r="F19" s="86">
        <f ca="1">F17*F16</f>
        <v>25.977054647108041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0.48312499999999997</v>
      </c>
      <c r="E49" s="37"/>
      <c r="F49" s="86">
        <f ca="1">$F$15/$F$14</f>
        <v>0.48312499999999997</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31" priority="15" stopIfTrue="1" operator="equal">
      <formula>0</formula>
    </cfRule>
    <cfRule type="cellIs" dxfId="430" priority="16" stopIfTrue="1" operator="notEqual">
      <formula>0</formula>
    </cfRule>
  </conditionalFormatting>
  <conditionalFormatting sqref="K52">
    <cfRule type="cellIs" dxfId="429" priority="13" stopIfTrue="1" operator="lessThanOrEqual">
      <formula>0.00000001</formula>
    </cfRule>
    <cfRule type="cellIs" dxfId="428" priority="14" stopIfTrue="1" operator="greaterThan">
      <formula>0.00000001</formula>
    </cfRule>
  </conditionalFormatting>
  <conditionalFormatting sqref="K26:M26">
    <cfRule type="cellIs" dxfId="427" priority="11" stopIfTrue="1" operator="equal">
      <formula>"Mixture Computed"</formula>
    </cfRule>
    <cfRule type="cellIs" dxfId="426" priority="12" stopIfTrue="1" operator="equal">
      <formula>"MIXTURE NOT COMPUTED"</formula>
    </cfRule>
  </conditionalFormatting>
  <conditionalFormatting sqref="K56">
    <cfRule type="cellIs" dxfId="425" priority="8" stopIfTrue="1" operator="greaterThanOrEqual">
      <formula>$N$56</formula>
    </cfRule>
    <cfRule type="cellIs" dxfId="424" priority="9" stopIfTrue="1" operator="notBetween">
      <formula>$L$56</formula>
      <formula>$M$56</formula>
    </cfRule>
    <cfRule type="cellIs" dxfId="423" priority="10" stopIfTrue="1" operator="between">
      <formula>$L$56</formula>
      <formula>$M$56</formula>
    </cfRule>
  </conditionalFormatting>
  <conditionalFormatting sqref="K54">
    <cfRule type="cellIs" dxfId="422" priority="5" stopIfTrue="1" operator="greaterThanOrEqual">
      <formula>$N$54</formula>
    </cfRule>
    <cfRule type="cellIs" dxfId="421" priority="6" stopIfTrue="1" operator="notBetween">
      <formula>$L$54</formula>
      <formula>$M$54</formula>
    </cfRule>
    <cfRule type="cellIs" dxfId="420" priority="7" stopIfTrue="1" operator="between">
      <formula>$L$54</formula>
      <formula>$M$54</formula>
    </cfRule>
  </conditionalFormatting>
  <conditionalFormatting sqref="K57">
    <cfRule type="cellIs" dxfId="419" priority="3" stopIfTrue="1" operator="greaterThanOrEqual">
      <formula>$L$57</formula>
    </cfRule>
    <cfRule type="cellIs" dxfId="418" priority="4" stopIfTrue="1" operator="lessThan">
      <formula>$L$57</formula>
    </cfRule>
  </conditionalFormatting>
  <conditionalFormatting sqref="K55">
    <cfRule type="cellIs" dxfId="417" priority="1" stopIfTrue="1" operator="greaterThanOrEqual">
      <formula>0</formula>
    </cfRule>
    <cfRule type="cellIs" dxfId="41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Management\[15141_Vent_Test_Plan_v20_071.xlsm]BH</v>
      </c>
    </row>
    <row r="2" spans="1:12" ht="24" hidden="1" customHeight="1">
      <c r="A2" s="16">
        <f ca="1">FIND("]",A1,1)</f>
        <v>107</v>
      </c>
    </row>
    <row r="3" spans="1:12" ht="23.25" hidden="1" customHeight="1">
      <c r="A3" s="16">
        <f ca="1">LEN(A1)</f>
        <v>109</v>
      </c>
    </row>
    <row r="4" spans="1:12" ht="21" hidden="1" customHeight="1">
      <c r="A4" s="16" t="str">
        <f ca="1">RIGHT(A1,A3-A2)</f>
        <v>BH</v>
      </c>
    </row>
    <row r="5" spans="1:12" ht="20.25" hidden="1" customHeight="1">
      <c r="A5" s="1" t="s">
        <v>790</v>
      </c>
    </row>
    <row r="6" spans="1:12" ht="18.75">
      <c r="A6" s="54" t="str">
        <f ca="1">CONCATENATE(A5,A4)</f>
        <v>Table A-BH</v>
      </c>
      <c r="K6" s="2" t="s">
        <v>792</v>
      </c>
    </row>
    <row r="7" spans="1:12" ht="18.75">
      <c r="A7" s="4" t="s">
        <v>794</v>
      </c>
      <c r="K7" t="s">
        <v>793</v>
      </c>
    </row>
    <row r="8" spans="1:12">
      <c r="A8" s="45" t="str">
        <f ca="1">INDEX(SourceDescription,MATCH($A$4,SourceNumber,0),1,1) &amp; " (" &amp; INDEX(SourceID,MATCH($A$4,SourceNumber,0),1,1) &amp; ")"</f>
        <v>Vivarium Exhaust 3 (B2 Viv-3)</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4.8312499999999998</v>
      </c>
      <c r="E15" s="37" t="s">
        <v>807</v>
      </c>
      <c r="F15" s="85">
        <f ca="1">INDEX(SourceExitDiameter,MATCH($A$4,SourceNumber,0),1,1)</f>
        <v>1.4729420731707317</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18.331960124090383</v>
      </c>
      <c r="E16" s="37" t="s">
        <v>811</v>
      </c>
      <c r="F16" s="86">
        <f ca="1">$F$15^2*PI()/4</f>
        <v>1.7039671441934103</v>
      </c>
      <c r="G16" s="1097" t="e">
        <f ca="1">G15^2*PI()/4</f>
        <v>#VALUE!</v>
      </c>
      <c r="H16" s="1112" t="e">
        <f ca="1">H15^2*PI()/4</f>
        <v>#VALUE!</v>
      </c>
      <c r="I16" s="1102" t="e">
        <f ca="1">$I$15^2*PI()/4</f>
        <v>#VALUE!</v>
      </c>
    </row>
    <row r="17" spans="1:35" ht="18.75">
      <c r="A17" s="33">
        <f t="shared" si="0"/>
        <v>6</v>
      </c>
      <c r="B17" t="str">
        <f t="shared" si="1"/>
        <v>.</v>
      </c>
      <c r="C17" t="s">
        <v>821</v>
      </c>
      <c r="D17" s="33">
        <f ca="1">F17*3.28*60</f>
        <v>3000.224723799362</v>
      </c>
      <c r="E17" s="37" t="s">
        <v>808</v>
      </c>
      <c r="F17" s="85">
        <f ca="1">INDEX(SourceExitVelocity,MATCH($A$4,SourceNumber,0),1,1)</f>
        <v>15.245044328248792</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54999.999999999985</v>
      </c>
      <c r="E19" s="37" t="s">
        <v>813</v>
      </c>
      <c r="F19" s="86">
        <f ca="1">F17*F16</f>
        <v>25.977054647108041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0.48312499999999997</v>
      </c>
      <c r="E49" s="37"/>
      <c r="F49" s="86">
        <f ca="1">$F$15/$F$14</f>
        <v>0.48312499999999997</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15" priority="15" stopIfTrue="1" operator="equal">
      <formula>0</formula>
    </cfRule>
    <cfRule type="cellIs" dxfId="414" priority="16" stopIfTrue="1" operator="notEqual">
      <formula>0</formula>
    </cfRule>
  </conditionalFormatting>
  <conditionalFormatting sqref="K52">
    <cfRule type="cellIs" dxfId="413" priority="13" stopIfTrue="1" operator="lessThanOrEqual">
      <formula>0.00000001</formula>
    </cfRule>
    <cfRule type="cellIs" dxfId="412" priority="14" stopIfTrue="1" operator="greaterThan">
      <formula>0.00000001</formula>
    </cfRule>
  </conditionalFormatting>
  <conditionalFormatting sqref="K26:M26">
    <cfRule type="cellIs" dxfId="411" priority="11" stopIfTrue="1" operator="equal">
      <formula>"Mixture Computed"</formula>
    </cfRule>
    <cfRule type="cellIs" dxfId="410" priority="12" stopIfTrue="1" operator="equal">
      <formula>"MIXTURE NOT COMPUTED"</formula>
    </cfRule>
  </conditionalFormatting>
  <conditionalFormatting sqref="K56">
    <cfRule type="cellIs" dxfId="409" priority="8" stopIfTrue="1" operator="greaterThanOrEqual">
      <formula>$N$56</formula>
    </cfRule>
    <cfRule type="cellIs" dxfId="408" priority="9" stopIfTrue="1" operator="notBetween">
      <formula>$L$56</formula>
      <formula>$M$56</formula>
    </cfRule>
    <cfRule type="cellIs" dxfId="407" priority="10" stopIfTrue="1" operator="between">
      <formula>$L$56</formula>
      <formula>$M$56</formula>
    </cfRule>
  </conditionalFormatting>
  <conditionalFormatting sqref="K54">
    <cfRule type="cellIs" dxfId="406" priority="5" stopIfTrue="1" operator="greaterThanOrEqual">
      <formula>$N$54</formula>
    </cfRule>
    <cfRule type="cellIs" dxfId="405" priority="6" stopIfTrue="1" operator="notBetween">
      <formula>$L$54</formula>
      <formula>$M$54</formula>
    </cfRule>
    <cfRule type="cellIs" dxfId="404" priority="7" stopIfTrue="1" operator="between">
      <formula>$L$54</formula>
      <formula>$M$54</formula>
    </cfRule>
  </conditionalFormatting>
  <conditionalFormatting sqref="K57">
    <cfRule type="cellIs" dxfId="403" priority="3" stopIfTrue="1" operator="greaterThanOrEqual">
      <formula>$L$57</formula>
    </cfRule>
    <cfRule type="cellIs" dxfId="402" priority="4" stopIfTrue="1" operator="lessThan">
      <formula>$L$57</formula>
    </cfRule>
  </conditionalFormatting>
  <conditionalFormatting sqref="K55">
    <cfRule type="cellIs" dxfId="401" priority="1" stopIfTrue="1" operator="greaterThanOrEqual">
      <formula>0</formula>
    </cfRule>
    <cfRule type="cellIs" dxfId="40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5">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Management\[15141_Vent_Test_Plan_v20_071.xlsm]BI</v>
      </c>
    </row>
    <row r="2" spans="1:12" ht="24" hidden="1" customHeight="1">
      <c r="A2" s="16">
        <f ca="1">FIND("]",A1,1)</f>
        <v>107</v>
      </c>
    </row>
    <row r="3" spans="1:12" ht="23.25" hidden="1" customHeight="1">
      <c r="A3" s="16">
        <f ca="1">LEN(A1)</f>
        <v>109</v>
      </c>
    </row>
    <row r="4" spans="1:12" ht="21" hidden="1" customHeight="1">
      <c r="A4" s="16" t="str">
        <f ca="1">RIGHT(A1,A3-A2)</f>
        <v>BI</v>
      </c>
    </row>
    <row r="5" spans="1:12" ht="20.25" hidden="1" customHeight="1">
      <c r="A5" s="1" t="s">
        <v>790</v>
      </c>
    </row>
    <row r="6" spans="1:12" ht="18.75">
      <c r="A6" s="54" t="str">
        <f ca="1">CONCATENATE(A5,A4)</f>
        <v>Table A-BI</v>
      </c>
      <c r="K6" s="2" t="s">
        <v>792</v>
      </c>
    </row>
    <row r="7" spans="1:12" ht="18.75">
      <c r="A7" s="4" t="s">
        <v>794</v>
      </c>
      <c r="K7" t="s">
        <v>793</v>
      </c>
    </row>
    <row r="8" spans="1:12">
      <c r="A8" s="45" t="str">
        <f ca="1">INDEX(SourceDescription,MATCH($A$4,SourceNumber,0),1,1) &amp; " (" &amp; INDEX(SourceID,MATCH($A$4,SourceNumber,0),1,1) &amp; ")"</f>
        <v>Kitchen Exhaust 1 (B2 Kit-1)</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3.2570833333333331</v>
      </c>
      <c r="E15" s="37" t="s">
        <v>807</v>
      </c>
      <c r="F15" s="85">
        <f ca="1">INDEX(SourceExitDiameter,MATCH($A$4,SourceNumber,0),1,1)</f>
        <v>0.99301321138211385</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8.3319685475873211</v>
      </c>
      <c r="E16" s="37" t="s">
        <v>811</v>
      </c>
      <c r="F16" s="86">
        <f ca="1">$F$15^2*PI()/4</f>
        <v>0.77446168088073719</v>
      </c>
      <c r="G16" s="1097" t="e">
        <f ca="1">G15^2*PI()/4</f>
        <v>#VALUE!</v>
      </c>
      <c r="H16" s="1112" t="e">
        <f ca="1">H15^2*PI()/4</f>
        <v>#VALUE!</v>
      </c>
      <c r="I16" s="1102" t="e">
        <f ca="1">$I$15^2*PI()/4</f>
        <v>#VALUE!</v>
      </c>
    </row>
    <row r="17" spans="1:35" ht="18.75">
      <c r="A17" s="33">
        <f t="shared" si="0"/>
        <v>6</v>
      </c>
      <c r="B17" t="str">
        <f t="shared" si="1"/>
        <v>.</v>
      </c>
      <c r="C17" t="s">
        <v>821</v>
      </c>
      <c r="D17" s="33">
        <f ca="1">F17*3.28*60</f>
        <v>3000.491403347798</v>
      </c>
      <c r="E17" s="37" t="s">
        <v>808</v>
      </c>
      <c r="F17" s="85">
        <f ca="1">INDEX(SourceExitVelocity,MATCH($A$4,SourceNumber,0),1,1)</f>
        <v>15.246399407255073</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24999.999999999993</v>
      </c>
      <c r="E19" s="37" t="s">
        <v>813</v>
      </c>
      <c r="F19" s="86">
        <f ca="1">F17*F16</f>
        <v>11.807752112321838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0.32570833333333332</v>
      </c>
      <c r="E49" s="37"/>
      <c r="F49" s="86">
        <f ca="1">$F$15/$F$14</f>
        <v>0.32570833333333332</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99" priority="15" stopIfTrue="1" operator="equal">
      <formula>0</formula>
    </cfRule>
    <cfRule type="cellIs" dxfId="398" priority="16" stopIfTrue="1" operator="notEqual">
      <formula>0</formula>
    </cfRule>
  </conditionalFormatting>
  <conditionalFormatting sqref="K52">
    <cfRule type="cellIs" dxfId="397" priority="13" stopIfTrue="1" operator="lessThanOrEqual">
      <formula>0.00000001</formula>
    </cfRule>
    <cfRule type="cellIs" dxfId="396" priority="14" stopIfTrue="1" operator="greaterThan">
      <formula>0.00000001</formula>
    </cfRule>
  </conditionalFormatting>
  <conditionalFormatting sqref="K26:M26">
    <cfRule type="cellIs" dxfId="395" priority="11" stopIfTrue="1" operator="equal">
      <formula>"Mixture Computed"</formula>
    </cfRule>
    <cfRule type="cellIs" dxfId="394" priority="12" stopIfTrue="1" operator="equal">
      <formula>"MIXTURE NOT COMPUTED"</formula>
    </cfRule>
  </conditionalFormatting>
  <conditionalFormatting sqref="K56">
    <cfRule type="cellIs" dxfId="393" priority="8" stopIfTrue="1" operator="greaterThanOrEqual">
      <formula>$N$56</formula>
    </cfRule>
    <cfRule type="cellIs" dxfId="392" priority="9" stopIfTrue="1" operator="notBetween">
      <formula>$L$56</formula>
      <formula>$M$56</formula>
    </cfRule>
    <cfRule type="cellIs" dxfId="391" priority="10" stopIfTrue="1" operator="between">
      <formula>$L$56</formula>
      <formula>$M$56</formula>
    </cfRule>
  </conditionalFormatting>
  <conditionalFormatting sqref="K54">
    <cfRule type="cellIs" dxfId="390" priority="5" stopIfTrue="1" operator="greaterThanOrEqual">
      <formula>$N$54</formula>
    </cfRule>
    <cfRule type="cellIs" dxfId="389" priority="6" stopIfTrue="1" operator="notBetween">
      <formula>$L$54</formula>
      <formula>$M$54</formula>
    </cfRule>
    <cfRule type="cellIs" dxfId="388" priority="7" stopIfTrue="1" operator="between">
      <formula>$L$54</formula>
      <formula>$M$54</formula>
    </cfRule>
  </conditionalFormatting>
  <conditionalFormatting sqref="K57">
    <cfRule type="cellIs" dxfId="387" priority="3" stopIfTrue="1" operator="greaterThanOrEqual">
      <formula>$L$57</formula>
    </cfRule>
    <cfRule type="cellIs" dxfId="386" priority="4" stopIfTrue="1" operator="lessThan">
      <formula>$L$57</formula>
    </cfRule>
  </conditionalFormatting>
  <conditionalFormatting sqref="K55">
    <cfRule type="cellIs" dxfId="385" priority="1" stopIfTrue="1" operator="greaterThanOrEqual">
      <formula>0</formula>
    </cfRule>
    <cfRule type="cellIs" dxfId="38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6">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Management\[15141_Vent_Test_Plan_v20_071.xlsm]BJ</v>
      </c>
    </row>
    <row r="2" spans="1:12" ht="24" hidden="1" customHeight="1">
      <c r="A2" s="16">
        <f ca="1">FIND("]",A1,1)</f>
        <v>107</v>
      </c>
    </row>
    <row r="3" spans="1:12" ht="23.25" hidden="1" customHeight="1">
      <c r="A3" s="16">
        <f ca="1">LEN(A1)</f>
        <v>109</v>
      </c>
    </row>
    <row r="4" spans="1:12" ht="21" hidden="1" customHeight="1">
      <c r="A4" s="16" t="str">
        <f ca="1">RIGHT(A1,A3-A2)</f>
        <v>BJ</v>
      </c>
    </row>
    <row r="5" spans="1:12" ht="20.25" hidden="1" customHeight="1">
      <c r="A5" s="1" t="s">
        <v>790</v>
      </c>
    </row>
    <row r="6" spans="1:12" ht="18.75">
      <c r="A6" s="54" t="str">
        <f ca="1">CONCATENATE(A5,A4)</f>
        <v>Table A-BJ</v>
      </c>
      <c r="K6" s="2" t="s">
        <v>792</v>
      </c>
    </row>
    <row r="7" spans="1:12" ht="18.75">
      <c r="A7" s="4" t="s">
        <v>794</v>
      </c>
      <c r="K7" t="s">
        <v>793</v>
      </c>
    </row>
    <row r="8" spans="1:12">
      <c r="A8" s="45" t="str">
        <f ca="1">INDEX(SourceDescription,MATCH($A$4,SourceNumber,0),1,1) &amp; " (" &amp; INDEX(SourceID,MATCH($A$4,SourceNumber,0),1,1) &amp; ")"</f>
        <v>Kitchen Exhaust 2 (B2 Kit-2)</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3.2570833333333331</v>
      </c>
      <c r="E15" s="37" t="s">
        <v>807</v>
      </c>
      <c r="F15" s="85">
        <f ca="1">INDEX(SourceExitDiameter,MATCH($A$4,SourceNumber,0),1,1)</f>
        <v>0.99301321138211385</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8.3319685475873211</v>
      </c>
      <c r="E16" s="37" t="s">
        <v>811</v>
      </c>
      <c r="F16" s="86">
        <f ca="1">$F$15^2*PI()/4</f>
        <v>0.77446168088073719</v>
      </c>
      <c r="G16" s="1097" t="e">
        <f ca="1">G15^2*PI()/4</f>
        <v>#VALUE!</v>
      </c>
      <c r="H16" s="1112" t="e">
        <f ca="1">H15^2*PI()/4</f>
        <v>#VALUE!</v>
      </c>
      <c r="I16" s="1102" t="e">
        <f ca="1">$I$15^2*PI()/4</f>
        <v>#VALUE!</v>
      </c>
    </row>
    <row r="17" spans="1:35" ht="18.75">
      <c r="A17" s="33">
        <f t="shared" si="0"/>
        <v>6</v>
      </c>
      <c r="B17" t="str">
        <f t="shared" si="1"/>
        <v>.</v>
      </c>
      <c r="C17" t="s">
        <v>821</v>
      </c>
      <c r="D17" s="33">
        <f ca="1">F17*3.28*60</f>
        <v>3000.491403347798</v>
      </c>
      <c r="E17" s="37" t="s">
        <v>808</v>
      </c>
      <c r="F17" s="85">
        <f ca="1">INDEX(SourceExitVelocity,MATCH($A$4,SourceNumber,0),1,1)</f>
        <v>15.246399407255073</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24999.999999999993</v>
      </c>
      <c r="E19" s="37" t="s">
        <v>813</v>
      </c>
      <c r="F19" s="86">
        <f ca="1">F17*F16</f>
        <v>11.807752112321838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0.32570833333333332</v>
      </c>
      <c r="E49" s="37"/>
      <c r="F49" s="86">
        <f ca="1">$F$15/$F$14</f>
        <v>0.32570833333333332</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83" priority="15" stopIfTrue="1" operator="equal">
      <formula>0</formula>
    </cfRule>
    <cfRule type="cellIs" dxfId="382" priority="16" stopIfTrue="1" operator="notEqual">
      <formula>0</formula>
    </cfRule>
  </conditionalFormatting>
  <conditionalFormatting sqref="K52">
    <cfRule type="cellIs" dxfId="381" priority="13" stopIfTrue="1" operator="lessThanOrEqual">
      <formula>0.00000001</formula>
    </cfRule>
    <cfRule type="cellIs" dxfId="380" priority="14" stopIfTrue="1" operator="greaterThan">
      <formula>0.00000001</formula>
    </cfRule>
  </conditionalFormatting>
  <conditionalFormatting sqref="K26:M26">
    <cfRule type="cellIs" dxfId="379" priority="11" stopIfTrue="1" operator="equal">
      <formula>"Mixture Computed"</formula>
    </cfRule>
    <cfRule type="cellIs" dxfId="378" priority="12" stopIfTrue="1" operator="equal">
      <formula>"MIXTURE NOT COMPUTED"</formula>
    </cfRule>
  </conditionalFormatting>
  <conditionalFormatting sqref="K56">
    <cfRule type="cellIs" dxfId="377" priority="8" stopIfTrue="1" operator="greaterThanOrEqual">
      <formula>$N$56</formula>
    </cfRule>
    <cfRule type="cellIs" dxfId="376" priority="9" stopIfTrue="1" operator="notBetween">
      <formula>$L$56</formula>
      <formula>$M$56</formula>
    </cfRule>
    <cfRule type="cellIs" dxfId="375" priority="10" stopIfTrue="1" operator="between">
      <formula>$L$56</formula>
      <formula>$M$56</formula>
    </cfRule>
  </conditionalFormatting>
  <conditionalFormatting sqref="K54">
    <cfRule type="cellIs" dxfId="374" priority="5" stopIfTrue="1" operator="greaterThanOrEqual">
      <formula>$N$54</formula>
    </cfRule>
    <cfRule type="cellIs" dxfId="373" priority="6" stopIfTrue="1" operator="notBetween">
      <formula>$L$54</formula>
      <formula>$M$54</formula>
    </cfRule>
    <cfRule type="cellIs" dxfId="372" priority="7" stopIfTrue="1" operator="between">
      <formula>$L$54</formula>
      <formula>$M$54</formula>
    </cfRule>
  </conditionalFormatting>
  <conditionalFormatting sqref="K57">
    <cfRule type="cellIs" dxfId="371" priority="3" stopIfTrue="1" operator="greaterThanOrEqual">
      <formula>$L$57</formula>
    </cfRule>
    <cfRule type="cellIs" dxfId="370" priority="4" stopIfTrue="1" operator="lessThan">
      <formula>$L$57</formula>
    </cfRule>
  </conditionalFormatting>
  <conditionalFormatting sqref="K55">
    <cfRule type="cellIs" dxfId="369" priority="1" stopIfTrue="1" operator="greaterThanOrEqual">
      <formula>0</formula>
    </cfRule>
    <cfRule type="cellIs" dxfId="36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7">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Management\[15141_Vent_Test_Plan_v20_071.xlsm]BK</v>
      </c>
    </row>
    <row r="2" spans="1:12" ht="24" hidden="1" customHeight="1">
      <c r="A2" s="16">
        <f ca="1">FIND("]",A1,1)</f>
        <v>107</v>
      </c>
    </row>
    <row r="3" spans="1:12" ht="23.25" hidden="1" customHeight="1">
      <c r="A3" s="16">
        <f ca="1">LEN(A1)</f>
        <v>109</v>
      </c>
    </row>
    <row r="4" spans="1:12" ht="21" hidden="1" customHeight="1">
      <c r="A4" s="16" t="str">
        <f ca="1">RIGHT(A1,A3-A2)</f>
        <v>BK</v>
      </c>
    </row>
    <row r="5" spans="1:12" ht="20.25" hidden="1" customHeight="1">
      <c r="A5" s="1" t="s">
        <v>790</v>
      </c>
    </row>
    <row r="6" spans="1:12" ht="18.75">
      <c r="A6" s="54" t="str">
        <f ca="1">CONCATENATE(A5,A4)</f>
        <v>Table A-BK</v>
      </c>
      <c r="K6" s="2" t="s">
        <v>792</v>
      </c>
    </row>
    <row r="7" spans="1:12" ht="18.75">
      <c r="A7" s="4" t="s">
        <v>794</v>
      </c>
      <c r="K7" t="s">
        <v>793</v>
      </c>
    </row>
    <row r="8" spans="1:12">
      <c r="A8" s="45" t="str">
        <f ca="1">INDEX(SourceDescription,MATCH($A$4,SourceNumber,0),1,1) &amp; " (" &amp; INDEX(SourceID,MATCH($A$4,SourceNumber,0),1,1) &amp; ")"</f>
        <v>Biological Safety Cabinet 1 (B2 BSL3-1)</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2.06</v>
      </c>
      <c r="E15" s="37" t="s">
        <v>807</v>
      </c>
      <c r="F15" s="85">
        <f ca="1">INDEX(SourceExitDiameter,MATCH($A$4,SourceNumber,0),1,1)</f>
        <v>0.62804878048780488</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3.3329156461934111</v>
      </c>
      <c r="E16" s="37" t="s">
        <v>811</v>
      </c>
      <c r="F16" s="86">
        <f ca="1">$F$15^2*PI()/4</f>
        <v>0.30979659114677011</v>
      </c>
      <c r="G16" s="1097" t="e">
        <f ca="1">G15^2*PI()/4</f>
        <v>#VALUE!</v>
      </c>
      <c r="H16" s="1112" t="e">
        <f ca="1">H15^2*PI()/4</f>
        <v>#VALUE!</v>
      </c>
      <c r="I16" s="1102" t="e">
        <f ca="1">$I$15^2*PI()/4</f>
        <v>#VALUE!</v>
      </c>
    </row>
    <row r="17" spans="1:35" ht="18.75">
      <c r="A17" s="33">
        <f t="shared" si="0"/>
        <v>6</v>
      </c>
      <c r="B17" t="str">
        <f t="shared" si="1"/>
        <v>.</v>
      </c>
      <c r="C17" t="s">
        <v>821</v>
      </c>
      <c r="D17" s="33">
        <f ca="1">F17*3.28*60</f>
        <v>3000.3759655367207</v>
      </c>
      <c r="E17" s="37" t="s">
        <v>808</v>
      </c>
      <c r="F17" s="85">
        <f ca="1">INDEX(SourceExitVelocity,MATCH($A$4,SourceNumber,0),1,1)</f>
        <v>15.245812833011794</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813</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0.20599999999999999</v>
      </c>
      <c r="E49" s="37"/>
      <c r="F49" s="86">
        <f ca="1">$F$15/$F$14</f>
        <v>0.20599999999999999</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67" priority="15" stopIfTrue="1" operator="equal">
      <formula>0</formula>
    </cfRule>
    <cfRule type="cellIs" dxfId="366" priority="16" stopIfTrue="1" operator="notEqual">
      <formula>0</formula>
    </cfRule>
  </conditionalFormatting>
  <conditionalFormatting sqref="K52">
    <cfRule type="cellIs" dxfId="365" priority="13" stopIfTrue="1" operator="lessThanOrEqual">
      <formula>0.00000001</formula>
    </cfRule>
    <cfRule type="cellIs" dxfId="364" priority="14" stopIfTrue="1" operator="greaterThan">
      <formula>0.00000001</formula>
    </cfRule>
  </conditionalFormatting>
  <conditionalFormatting sqref="K26:M26">
    <cfRule type="cellIs" dxfId="363" priority="11" stopIfTrue="1" operator="equal">
      <formula>"Mixture Computed"</formula>
    </cfRule>
    <cfRule type="cellIs" dxfId="362" priority="12" stopIfTrue="1" operator="equal">
      <formula>"MIXTURE NOT COMPUTED"</formula>
    </cfRule>
  </conditionalFormatting>
  <conditionalFormatting sqref="K56">
    <cfRule type="cellIs" dxfId="361" priority="8" stopIfTrue="1" operator="greaterThanOrEqual">
      <formula>$N$56</formula>
    </cfRule>
    <cfRule type="cellIs" dxfId="360" priority="9" stopIfTrue="1" operator="notBetween">
      <formula>$L$56</formula>
      <formula>$M$56</formula>
    </cfRule>
    <cfRule type="cellIs" dxfId="359" priority="10" stopIfTrue="1" operator="between">
      <formula>$L$56</formula>
      <formula>$M$56</formula>
    </cfRule>
  </conditionalFormatting>
  <conditionalFormatting sqref="K54">
    <cfRule type="cellIs" dxfId="358" priority="5" stopIfTrue="1" operator="greaterThanOrEqual">
      <formula>$N$54</formula>
    </cfRule>
    <cfRule type="cellIs" dxfId="357" priority="6" stopIfTrue="1" operator="notBetween">
      <formula>$L$54</formula>
      <formula>$M$54</formula>
    </cfRule>
    <cfRule type="cellIs" dxfId="356" priority="7" stopIfTrue="1" operator="between">
      <formula>$L$54</formula>
      <formula>$M$54</formula>
    </cfRule>
  </conditionalFormatting>
  <conditionalFormatting sqref="K57">
    <cfRule type="cellIs" dxfId="355" priority="3" stopIfTrue="1" operator="greaterThanOrEqual">
      <formula>$L$57</formula>
    </cfRule>
    <cfRule type="cellIs" dxfId="354" priority="4" stopIfTrue="1" operator="lessThan">
      <formula>$L$57</formula>
    </cfRule>
  </conditionalFormatting>
  <conditionalFormatting sqref="K55">
    <cfRule type="cellIs" dxfId="353" priority="1" stopIfTrue="1" operator="greaterThanOrEqual">
      <formula>0</formula>
    </cfRule>
    <cfRule type="cellIs" dxfId="35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4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Management\[15141_Vent_Test_Plan_v20_071.xlsm]BL</v>
      </c>
    </row>
    <row r="2" spans="1:12" ht="24" hidden="1" customHeight="1">
      <c r="A2" s="16">
        <f ca="1">FIND("]",A1,1)</f>
        <v>107</v>
      </c>
    </row>
    <row r="3" spans="1:12" ht="23.25" hidden="1" customHeight="1">
      <c r="A3" s="16">
        <f ca="1">LEN(A1)</f>
        <v>109</v>
      </c>
    </row>
    <row r="4" spans="1:12" ht="21" hidden="1" customHeight="1">
      <c r="A4" s="16" t="str">
        <f ca="1">RIGHT(A1,A3-A2)</f>
        <v>BL</v>
      </c>
    </row>
    <row r="5" spans="1:12" ht="20.25" hidden="1" customHeight="1">
      <c r="A5" s="1" t="s">
        <v>790</v>
      </c>
    </row>
    <row r="6" spans="1:12" ht="18.75">
      <c r="A6" s="54" t="str">
        <f ca="1">CONCATENATE(A5,A4)</f>
        <v>Table A-BL</v>
      </c>
      <c r="K6" s="2" t="s">
        <v>792</v>
      </c>
    </row>
    <row r="7" spans="1:12" ht="18.75">
      <c r="A7" s="4" t="s">
        <v>794</v>
      </c>
      <c r="K7" t="s">
        <v>793</v>
      </c>
    </row>
    <row r="8" spans="1:12">
      <c r="A8" s="45" t="str">
        <f ca="1">INDEX(SourceDescription,MATCH($A$4,SourceNumber,0),1,1) &amp; " (" &amp; INDEX(SourceID,MATCH($A$4,SourceNumber,0),1,1) &amp; ")"</f>
        <v>Biological Safety Cabinet 2 (B2 BSL3-2)</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2.06</v>
      </c>
      <c r="E15" s="37" t="s">
        <v>807</v>
      </c>
      <c r="F15" s="85">
        <f ca="1">INDEX(SourceExitDiameter,MATCH($A$4,SourceNumber,0),1,1)</f>
        <v>0.62804878048780488</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3.3329156461934111</v>
      </c>
      <c r="E16" s="37" t="s">
        <v>811</v>
      </c>
      <c r="F16" s="86">
        <f ca="1">$F$15^2*PI()/4</f>
        <v>0.30979659114677011</v>
      </c>
      <c r="G16" s="1097" t="e">
        <f ca="1">G15^2*PI()/4</f>
        <v>#VALUE!</v>
      </c>
      <c r="H16" s="1112" t="e">
        <f ca="1">H15^2*PI()/4</f>
        <v>#VALUE!</v>
      </c>
      <c r="I16" s="1102" t="e">
        <f ca="1">$I$15^2*PI()/4</f>
        <v>#VALUE!</v>
      </c>
    </row>
    <row r="17" spans="1:35" ht="18.75">
      <c r="A17" s="33">
        <f t="shared" si="0"/>
        <v>6</v>
      </c>
      <c r="B17" t="str">
        <f t="shared" si="1"/>
        <v>.</v>
      </c>
      <c r="C17" t="s">
        <v>821</v>
      </c>
      <c r="D17" s="33">
        <f ca="1">F17*3.28*60</f>
        <v>3000.3759655367207</v>
      </c>
      <c r="E17" s="37" t="s">
        <v>808</v>
      </c>
      <c r="F17" s="85">
        <f ca="1">INDEX(SourceExitVelocity,MATCH($A$4,SourceNumber,0),1,1)</f>
        <v>15.245812833011794</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813</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0.20599999999999999</v>
      </c>
      <c r="E49" s="37"/>
      <c r="F49" s="86">
        <f ca="1">$F$15/$F$14</f>
        <v>0.20599999999999999</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51" priority="15" stopIfTrue="1" operator="equal">
      <formula>0</formula>
    </cfRule>
    <cfRule type="cellIs" dxfId="350" priority="16" stopIfTrue="1" operator="notEqual">
      <formula>0</formula>
    </cfRule>
  </conditionalFormatting>
  <conditionalFormatting sqref="K52">
    <cfRule type="cellIs" dxfId="349" priority="13" stopIfTrue="1" operator="lessThanOrEqual">
      <formula>0.00000001</formula>
    </cfRule>
    <cfRule type="cellIs" dxfId="348" priority="14" stopIfTrue="1" operator="greaterThan">
      <formula>0.00000001</formula>
    </cfRule>
  </conditionalFormatting>
  <conditionalFormatting sqref="K26:M26">
    <cfRule type="cellIs" dxfId="347" priority="11" stopIfTrue="1" operator="equal">
      <formula>"Mixture Computed"</formula>
    </cfRule>
    <cfRule type="cellIs" dxfId="346" priority="12" stopIfTrue="1" operator="equal">
      <formula>"MIXTURE NOT COMPUTED"</formula>
    </cfRule>
  </conditionalFormatting>
  <conditionalFormatting sqref="K56">
    <cfRule type="cellIs" dxfId="345" priority="8" stopIfTrue="1" operator="greaterThanOrEqual">
      <formula>$N$56</formula>
    </cfRule>
    <cfRule type="cellIs" dxfId="344" priority="9" stopIfTrue="1" operator="notBetween">
      <formula>$L$56</formula>
      <formula>$M$56</formula>
    </cfRule>
    <cfRule type="cellIs" dxfId="343" priority="10" stopIfTrue="1" operator="between">
      <formula>$L$56</formula>
      <formula>$M$56</formula>
    </cfRule>
  </conditionalFormatting>
  <conditionalFormatting sqref="K54">
    <cfRule type="cellIs" dxfId="342" priority="5" stopIfTrue="1" operator="greaterThanOrEqual">
      <formula>$N$54</formula>
    </cfRule>
    <cfRule type="cellIs" dxfId="341" priority="6" stopIfTrue="1" operator="notBetween">
      <formula>$L$54</formula>
      <formula>$M$54</formula>
    </cfRule>
    <cfRule type="cellIs" dxfId="340" priority="7" stopIfTrue="1" operator="between">
      <formula>$L$54</formula>
      <formula>$M$54</formula>
    </cfRule>
  </conditionalFormatting>
  <conditionalFormatting sqref="K57">
    <cfRule type="cellIs" dxfId="339" priority="3" stopIfTrue="1" operator="greaterThanOrEqual">
      <formula>$L$57</formula>
    </cfRule>
    <cfRule type="cellIs" dxfId="338" priority="4" stopIfTrue="1" operator="lessThan">
      <formula>$L$57</formula>
    </cfRule>
  </conditionalFormatting>
  <conditionalFormatting sqref="K55">
    <cfRule type="cellIs" dxfId="337" priority="1" stopIfTrue="1" operator="greaterThanOrEqual">
      <formula>0</formula>
    </cfRule>
    <cfRule type="cellIs" dxfId="33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49">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Management\[15141_Vent_Test_Plan_v20_071.xlsm]BM</v>
      </c>
    </row>
    <row r="2" spans="1:12" ht="24" hidden="1" customHeight="1">
      <c r="A2" s="16">
        <f ca="1">FIND("]",A1,1)</f>
        <v>107</v>
      </c>
    </row>
    <row r="3" spans="1:12" ht="23.25" hidden="1" customHeight="1">
      <c r="A3" s="16">
        <f ca="1">LEN(A1)</f>
        <v>109</v>
      </c>
    </row>
    <row r="4" spans="1:12" ht="21" hidden="1" customHeight="1">
      <c r="A4" s="16" t="str">
        <f ca="1">RIGHT(A1,A3-A2)</f>
        <v>BM</v>
      </c>
    </row>
    <row r="5" spans="1:12" ht="20.25" hidden="1" customHeight="1">
      <c r="A5" s="1" t="s">
        <v>790</v>
      </c>
    </row>
    <row r="6" spans="1:12" ht="18.75">
      <c r="A6" s="54" t="str">
        <f ca="1">CONCATENATE(A5,A4)</f>
        <v>Table A-BM</v>
      </c>
      <c r="K6" s="2" t="s">
        <v>792</v>
      </c>
    </row>
    <row r="7" spans="1:12" ht="18.75">
      <c r="A7" s="4" t="s">
        <v>794</v>
      </c>
      <c r="K7" t="s">
        <v>793</v>
      </c>
    </row>
    <row r="8" spans="1:12">
      <c r="A8" s="45" t="str">
        <f ca="1">INDEX(SourceDescription,MATCH($A$4,SourceNumber,0),1,1) &amp; " (" &amp; INDEX(SourceID,MATCH($A$4,SourceNumber,0),1,1) &amp; ")"</f>
        <v>400 hp Diesel Truck (B2 DT)</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0.49999999999999994</v>
      </c>
      <c r="E15" s="37" t="s">
        <v>807</v>
      </c>
      <c r="F15" s="85">
        <f ca="1">INDEX(SourceExitDiameter,MATCH($A$4,SourceNumber,0),1,1)</f>
        <v>0.1524390243902439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0.19634954084936204</v>
      </c>
      <c r="E16" s="37" t="s">
        <v>811</v>
      </c>
      <c r="F16" s="86">
        <f ca="1">$F$15^2*PI()/4</f>
        <v>1.8250812467407986E-2</v>
      </c>
      <c r="G16" s="1097" t="e">
        <f ca="1">G15^2*PI()/4</f>
        <v>#VALUE!</v>
      </c>
      <c r="H16" s="1112" t="e">
        <f ca="1">H15^2*PI()/4</f>
        <v>#VALUE!</v>
      </c>
      <c r="I16" s="1102" t="e">
        <f ca="1">$I$15^2*PI()/4</f>
        <v>#VALUE!</v>
      </c>
    </row>
    <row r="17" spans="1:35" ht="18.75">
      <c r="A17" s="33">
        <f t="shared" si="0"/>
        <v>6</v>
      </c>
      <c r="B17" t="str">
        <f t="shared" si="1"/>
        <v>.</v>
      </c>
      <c r="C17" t="s">
        <v>821</v>
      </c>
      <c r="D17" s="33">
        <f ca="1">F17*3.28*60</f>
        <v>1018.5916357881304</v>
      </c>
      <c r="E17" s="37" t="s">
        <v>808</v>
      </c>
      <c r="F17" s="85">
        <f ca="1">INDEX(SourceExitVelocity,MATCH($A$4,SourceNumber,0),1,1)</f>
        <v>5.1757705070535076</v>
      </c>
      <c r="G17" s="131" t="e">
        <f ca="1">G29*G46</f>
        <v>#VALUE!</v>
      </c>
      <c r="H17" s="86" t="e">
        <f ca="1">H29*H46</f>
        <v>#VALUE!</v>
      </c>
      <c r="I17" s="1102" t="e">
        <f ca="1">I29*I46</f>
        <v>#VALUE!</v>
      </c>
      <c r="J17" s="16"/>
    </row>
    <row r="18" spans="1:35" ht="20.25">
      <c r="A18" s="33">
        <f t="shared" si="0"/>
        <v>7</v>
      </c>
      <c r="B18" t="str">
        <f t="shared" si="1"/>
        <v>.</v>
      </c>
      <c r="C18" t="s">
        <v>822</v>
      </c>
      <c r="D18" s="33">
        <f ca="1">(F18-273.15)*(9/5)+32</f>
        <v>300.00000000000006</v>
      </c>
      <c r="E18" s="80" t="s">
        <v>812</v>
      </c>
      <c r="F18" s="85">
        <f ca="1">INDEX(SourceExitTemperature,MATCH($A$4,SourceNumber,0),1,1)</f>
        <v>422.03888888888889</v>
      </c>
      <c r="G18" s="83">
        <f>G22</f>
        <v>293.14999999999998</v>
      </c>
      <c r="H18" s="351">
        <f>H22</f>
        <v>293.14999999999998</v>
      </c>
      <c r="I18" s="1103" t="e">
        <f ca="1">I22/I53</f>
        <v>#VALUE!</v>
      </c>
    </row>
    <row r="19" spans="1:35" ht="18.75">
      <c r="A19" s="33">
        <f t="shared" si="0"/>
        <v>8</v>
      </c>
      <c r="B19" t="str">
        <f t="shared" si="1"/>
        <v>.</v>
      </c>
      <c r="C19" t="s">
        <v>82</v>
      </c>
      <c r="D19" s="33">
        <f ca="1">F19*3.28^3*60</f>
        <v>199.99999999999997</v>
      </c>
      <c r="E19" s="37" t="s">
        <v>813</v>
      </c>
      <c r="F19" s="86">
        <f ca="1">F17*F16</f>
        <v>9.4462016898574711E-2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4.9999999999999996E-2</v>
      </c>
      <c r="E49" s="37"/>
      <c r="F49" s="86">
        <f ca="1">$F$15/$F$14</f>
        <v>4.9999999999999996E-2</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35" priority="15" stopIfTrue="1" operator="equal">
      <formula>0</formula>
    </cfRule>
    <cfRule type="cellIs" dxfId="334" priority="16" stopIfTrue="1" operator="notEqual">
      <formula>0</formula>
    </cfRule>
  </conditionalFormatting>
  <conditionalFormatting sqref="K52">
    <cfRule type="cellIs" dxfId="333" priority="13" stopIfTrue="1" operator="lessThanOrEqual">
      <formula>0.00000001</formula>
    </cfRule>
    <cfRule type="cellIs" dxfId="332" priority="14" stopIfTrue="1" operator="greaterThan">
      <formula>0.00000001</formula>
    </cfRule>
  </conditionalFormatting>
  <conditionalFormatting sqref="K26:M26">
    <cfRule type="cellIs" dxfId="331" priority="11" stopIfTrue="1" operator="equal">
      <formula>"Mixture Computed"</formula>
    </cfRule>
    <cfRule type="cellIs" dxfId="330" priority="12" stopIfTrue="1" operator="equal">
      <formula>"MIXTURE NOT COMPUTED"</formula>
    </cfRule>
  </conditionalFormatting>
  <conditionalFormatting sqref="K56">
    <cfRule type="cellIs" dxfId="329" priority="8" stopIfTrue="1" operator="greaterThanOrEqual">
      <formula>$N$56</formula>
    </cfRule>
    <cfRule type="cellIs" dxfId="328" priority="9" stopIfTrue="1" operator="notBetween">
      <formula>$L$56</formula>
      <formula>$M$56</formula>
    </cfRule>
    <cfRule type="cellIs" dxfId="327" priority="10" stopIfTrue="1" operator="between">
      <formula>$L$56</formula>
      <formula>$M$56</formula>
    </cfRule>
  </conditionalFormatting>
  <conditionalFormatting sqref="K54">
    <cfRule type="cellIs" dxfId="326" priority="5" stopIfTrue="1" operator="greaterThanOrEqual">
      <formula>$N$54</formula>
    </cfRule>
    <cfRule type="cellIs" dxfId="325" priority="6" stopIfTrue="1" operator="notBetween">
      <formula>$L$54</formula>
      <formula>$M$54</formula>
    </cfRule>
    <cfRule type="cellIs" dxfId="324" priority="7" stopIfTrue="1" operator="between">
      <formula>$L$54</formula>
      <formula>$M$54</formula>
    </cfRule>
  </conditionalFormatting>
  <conditionalFormatting sqref="K57">
    <cfRule type="cellIs" dxfId="323" priority="3" stopIfTrue="1" operator="greaterThanOrEqual">
      <formula>$L$57</formula>
    </cfRule>
    <cfRule type="cellIs" dxfId="322" priority="4" stopIfTrue="1" operator="lessThan">
      <formula>$L$57</formula>
    </cfRule>
  </conditionalFormatting>
  <conditionalFormatting sqref="K55">
    <cfRule type="cellIs" dxfId="321" priority="1" stopIfTrue="1" operator="greaterThanOrEqual">
      <formula>0</formula>
    </cfRule>
    <cfRule type="cellIs" dxfId="32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0">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Management\[15141_Vent_Test_Plan_v20_071.xlsm]BN</v>
      </c>
    </row>
    <row r="2" spans="1:12" ht="24" hidden="1" customHeight="1">
      <c r="A2" s="16">
        <f ca="1">FIND("]",A1,1)</f>
        <v>107</v>
      </c>
    </row>
    <row r="3" spans="1:12" ht="23.25" hidden="1" customHeight="1">
      <c r="A3" s="16">
        <f ca="1">LEN(A1)</f>
        <v>109</v>
      </c>
    </row>
    <row r="4" spans="1:12" ht="21" hidden="1" customHeight="1">
      <c r="A4" s="16" t="str">
        <f ca="1">RIGHT(A1,A3-A2)</f>
        <v>BN</v>
      </c>
    </row>
    <row r="5" spans="1:12" ht="20.25" hidden="1" customHeight="1">
      <c r="A5" s="1" t="s">
        <v>790</v>
      </c>
    </row>
    <row r="6" spans="1:12" ht="18.75">
      <c r="A6" s="54" t="str">
        <f ca="1">CONCATENATE(A5,A4)</f>
        <v>Table A-BN</v>
      </c>
      <c r="K6" s="2" t="s">
        <v>792</v>
      </c>
    </row>
    <row r="7" spans="1:12" ht="18.75">
      <c r="A7" s="4" t="s">
        <v>794</v>
      </c>
      <c r="K7" t="s">
        <v>793</v>
      </c>
    </row>
    <row r="8" spans="1:12">
      <c r="A8" s="45" t="str">
        <f ca="1">INDEX(SourceDescription,MATCH($A$4,SourceNumber,0),1,1) &amp; " (" &amp; INDEX(SourceID,MATCH($A$4,SourceNumber,0),1,1) &amp; ")"</f>
        <v>1500 kW Diesel Generator (B2 DG)</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1.1666666666666667</v>
      </c>
      <c r="E15" s="37" t="s">
        <v>807</v>
      </c>
      <c r="F15" s="85">
        <f ca="1">INDEX(SourceExitDiameter,MATCH($A$4,SourceNumber,0),1,1)</f>
        <v>0.35569105691056913</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1.0690141668465267</v>
      </c>
      <c r="E16" s="37" t="s">
        <v>811</v>
      </c>
      <c r="F16" s="86">
        <f ca="1">$F$15^2*PI()/4</f>
        <v>9.9365534544776812E-2</v>
      </c>
      <c r="G16" s="1097" t="e">
        <f ca="1">G15^2*PI()/4</f>
        <v>#VALUE!</v>
      </c>
      <c r="H16" s="1112" t="e">
        <f ca="1">H15^2*PI()/4</f>
        <v>#VALUE!</v>
      </c>
      <c r="I16" s="1102" t="e">
        <f ca="1">$I$15^2*PI()/4</f>
        <v>#VALUE!</v>
      </c>
    </row>
    <row r="17" spans="1:35" ht="18.75">
      <c r="A17" s="33">
        <f t="shared" si="0"/>
        <v>6</v>
      </c>
      <c r="B17" t="str">
        <f t="shared" si="1"/>
        <v>.</v>
      </c>
      <c r="C17" t="s">
        <v>821</v>
      </c>
      <c r="D17" s="33">
        <f ca="1">F17*3.28*60</f>
        <v>12178.510260911326</v>
      </c>
      <c r="E17" s="37" t="s">
        <v>808</v>
      </c>
      <c r="F17" s="85">
        <f ca="1">INDEX(SourceExitVelocity,MATCH($A$4,SourceNumber,0),1,1)</f>
        <v>61.882674089996577</v>
      </c>
      <c r="G17" s="131" t="e">
        <f ca="1">G29*G46</f>
        <v>#VALUE!</v>
      </c>
      <c r="H17" s="86" t="e">
        <f ca="1">H29*H46</f>
        <v>#VALUE!</v>
      </c>
      <c r="I17" s="1102" t="e">
        <f ca="1">I29*I46</f>
        <v>#VALUE!</v>
      </c>
      <c r="J17" s="16"/>
    </row>
    <row r="18" spans="1:35" ht="20.25">
      <c r="A18" s="33">
        <f t="shared" si="0"/>
        <v>7</v>
      </c>
      <c r="B18" t="str">
        <f t="shared" si="1"/>
        <v>.</v>
      </c>
      <c r="C18" t="s">
        <v>822</v>
      </c>
      <c r="D18" s="33">
        <f ca="1">(F18-273.15)*(9/5)+32</f>
        <v>891.00000000000011</v>
      </c>
      <c r="E18" s="80" t="s">
        <v>812</v>
      </c>
      <c r="F18" s="85">
        <f ca="1">INDEX(SourceExitTemperature,MATCH($A$4,SourceNumber,0),1,1)</f>
        <v>750.37222222222226</v>
      </c>
      <c r="G18" s="83">
        <f>G22</f>
        <v>293.14999999999998</v>
      </c>
      <c r="H18" s="351">
        <f>H22</f>
        <v>293.14999999999998</v>
      </c>
      <c r="I18" s="1103" t="e">
        <f ca="1">I22/I53</f>
        <v>#VALUE!</v>
      </c>
    </row>
    <row r="19" spans="1:35" ht="18.75">
      <c r="A19" s="33">
        <f t="shared" si="0"/>
        <v>8</v>
      </c>
      <c r="B19" t="str">
        <f t="shared" si="1"/>
        <v>.</v>
      </c>
      <c r="C19" t="s">
        <v>82</v>
      </c>
      <c r="D19" s="33">
        <f ca="1">F19*3.28^3*60</f>
        <v>13018.999999999996</v>
      </c>
      <c r="E19" s="37" t="s">
        <v>813</v>
      </c>
      <c r="F19" s="86">
        <f ca="1">F17*F16</f>
        <v>6.1490049900127195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0.11666666666666667</v>
      </c>
      <c r="E49" s="37"/>
      <c r="F49" s="86">
        <f ca="1">$F$15/$F$14</f>
        <v>0.11666666666666667</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19" priority="15" stopIfTrue="1" operator="equal">
      <formula>0</formula>
    </cfRule>
    <cfRule type="cellIs" dxfId="318" priority="16" stopIfTrue="1" operator="notEqual">
      <formula>0</formula>
    </cfRule>
  </conditionalFormatting>
  <conditionalFormatting sqref="K52">
    <cfRule type="cellIs" dxfId="317" priority="13" stopIfTrue="1" operator="lessThanOrEqual">
      <formula>0.00000001</formula>
    </cfRule>
    <cfRule type="cellIs" dxfId="316" priority="14" stopIfTrue="1" operator="greaterThan">
      <formula>0.00000001</formula>
    </cfRule>
  </conditionalFormatting>
  <conditionalFormatting sqref="K26:M26">
    <cfRule type="cellIs" dxfId="315" priority="11" stopIfTrue="1" operator="equal">
      <formula>"Mixture Computed"</formula>
    </cfRule>
    <cfRule type="cellIs" dxfId="314" priority="12" stopIfTrue="1" operator="equal">
      <formula>"MIXTURE NOT COMPUTED"</formula>
    </cfRule>
  </conditionalFormatting>
  <conditionalFormatting sqref="K56">
    <cfRule type="cellIs" dxfId="313" priority="8" stopIfTrue="1" operator="greaterThanOrEqual">
      <formula>$N$56</formula>
    </cfRule>
    <cfRule type="cellIs" dxfId="312" priority="9" stopIfTrue="1" operator="notBetween">
      <formula>$L$56</formula>
      <formula>$M$56</formula>
    </cfRule>
    <cfRule type="cellIs" dxfId="311" priority="10" stopIfTrue="1" operator="between">
      <formula>$L$56</formula>
      <formula>$M$56</formula>
    </cfRule>
  </conditionalFormatting>
  <conditionalFormatting sqref="K54">
    <cfRule type="cellIs" dxfId="310" priority="5" stopIfTrue="1" operator="greaterThanOrEqual">
      <formula>$N$54</formula>
    </cfRule>
    <cfRule type="cellIs" dxfId="309" priority="6" stopIfTrue="1" operator="notBetween">
      <formula>$L$54</formula>
      <formula>$M$54</formula>
    </cfRule>
    <cfRule type="cellIs" dxfId="308" priority="7" stopIfTrue="1" operator="between">
      <formula>$L$54</formula>
      <formula>$M$54</formula>
    </cfRule>
  </conditionalFormatting>
  <conditionalFormatting sqref="K57">
    <cfRule type="cellIs" dxfId="307" priority="3" stopIfTrue="1" operator="greaterThanOrEqual">
      <formula>$L$57</formula>
    </cfRule>
    <cfRule type="cellIs" dxfId="306" priority="4" stopIfTrue="1" operator="lessThan">
      <formula>$L$57</formula>
    </cfRule>
  </conditionalFormatting>
  <conditionalFormatting sqref="K55">
    <cfRule type="cellIs" dxfId="305" priority="1" stopIfTrue="1" operator="greaterThanOrEqual">
      <formula>0</formula>
    </cfRule>
    <cfRule type="cellIs" dxfId="30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Management\[15141_Vent_Test_Plan_v20_071.xlsm]BO</v>
      </c>
    </row>
    <row r="2" spans="1:12" ht="24" hidden="1" customHeight="1">
      <c r="A2" s="16">
        <f ca="1">FIND("]",A1,1)</f>
        <v>107</v>
      </c>
    </row>
    <row r="3" spans="1:12" ht="23.25" hidden="1" customHeight="1">
      <c r="A3" s="16">
        <f ca="1">LEN(A1)</f>
        <v>109</v>
      </c>
    </row>
    <row r="4" spans="1:12" ht="21" hidden="1" customHeight="1">
      <c r="A4" s="16" t="str">
        <f ca="1">RIGHT(A1,A3-A2)</f>
        <v>BO</v>
      </c>
    </row>
    <row r="5" spans="1:12" ht="20.25" hidden="1" customHeight="1">
      <c r="A5" s="1" t="s">
        <v>790</v>
      </c>
    </row>
    <row r="6" spans="1:12" ht="18.75">
      <c r="A6" s="54" t="str">
        <f ca="1">CONCATENATE(A5,A4)</f>
        <v>Table A-BO</v>
      </c>
      <c r="K6" s="2" t="s">
        <v>792</v>
      </c>
    </row>
    <row r="7" spans="1:12" ht="18.75">
      <c r="A7" s="4" t="s">
        <v>794</v>
      </c>
      <c r="K7" t="s">
        <v>793</v>
      </c>
    </row>
    <row r="8" spans="1:12">
      <c r="A8" s="45" t="e">
        <f ca="1">INDEX(SourceDescription,MATCH($A$4,SourceNumber,0),1,1) &amp; " (" &amp; INDEX(SourceID,MATCH($A$4,SourceNumber,0),1,1) &amp; ")"</f>
        <v>#N/A</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t="e">
        <f ca="1">F14*3.28</f>
        <v>#N/A</v>
      </c>
      <c r="E14" s="37" t="s">
        <v>807</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798</v>
      </c>
      <c r="D15" s="79" t="e">
        <f ca="1">F15*3.28</f>
        <v>#N/A</v>
      </c>
      <c r="E15" s="37" t="s">
        <v>807</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466</v>
      </c>
    </row>
    <row r="16" spans="1:12" ht="20.25">
      <c r="A16" s="33">
        <f t="shared" si="0"/>
        <v>5</v>
      </c>
      <c r="B16" t="str">
        <f t="shared" si="1"/>
        <v>.</v>
      </c>
      <c r="C16" t="s">
        <v>820</v>
      </c>
      <c r="D16" s="79" t="e">
        <f ca="1">F16*3.28^2</f>
        <v>#N/A</v>
      </c>
      <c r="E16" s="37" t="s">
        <v>811</v>
      </c>
      <c r="F16" s="86" t="e">
        <f ca="1">$F$15^2*PI()/4</f>
        <v>#N/A</v>
      </c>
      <c r="G16" s="1097" t="e">
        <f ca="1">G15^2*PI()/4</f>
        <v>#N/A</v>
      </c>
      <c r="H16" s="1112" t="e">
        <f ca="1">H15^2*PI()/4</f>
        <v>#N/A</v>
      </c>
      <c r="I16" s="1102" t="e">
        <f ca="1">$I$15^2*PI()/4</f>
        <v>#N/A</v>
      </c>
    </row>
    <row r="17" spans="1:35" ht="18.75">
      <c r="A17" s="33">
        <f t="shared" si="0"/>
        <v>6</v>
      </c>
      <c r="B17" t="str">
        <f t="shared" si="1"/>
        <v>.</v>
      </c>
      <c r="C17" t="s">
        <v>821</v>
      </c>
      <c r="D17" s="33" t="e">
        <f ca="1">F17*3.28*60</f>
        <v>#N/A</v>
      </c>
      <c r="E17" s="37" t="s">
        <v>808</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822</v>
      </c>
      <c r="D18" s="33" t="e">
        <f ca="1">(F18-273.15)*(9/5)+32</f>
        <v>#N/A</v>
      </c>
      <c r="E18" s="80" t="s">
        <v>812</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813</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#N/A</v>
      </c>
      <c r="E24" s="37" t="s">
        <v>815</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#N/A</v>
      </c>
      <c r="E26" s="37" t="s">
        <v>816</v>
      </c>
      <c r="F26" s="89" t="e">
        <f ca="1">(145.8*$F$18^1.5)/(($F$18+110.4)*10^8*$F$24)</f>
        <v>#N/A</v>
      </c>
      <c r="G26" s="84" t="e">
        <f ca="1">Y33</f>
        <v>#N/A</v>
      </c>
      <c r="H26" s="1113">
        <f>182.7*0.00001</f>
        <v>1.8270000000000001E-3</v>
      </c>
      <c r="I26" s="1104" t="e">
        <f ca="1">(145.8*$F$18^1.5)/(($F$18+110.4)*10^8*$F$24)</f>
        <v>#N/A</v>
      </c>
      <c r="K26" s="1875" t="e">
        <f ca="1">IF(W36=0,"Mixture Computed","Mixture NOT Computed")</f>
        <v>#N/A</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#N/A</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t="e">
        <f ca="1">INDEX(SourceModelRefWS,MATCH($A$4,SourceNumber,0),1,1)</f>
        <v>#N/A</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#N/A</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831</v>
      </c>
      <c r="D33" s="82" t="e">
        <f>F33*3.28*3600/5280</f>
        <v>#VALUE!</v>
      </c>
      <c r="E33" s="37" t="s">
        <v>810</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833</v>
      </c>
      <c r="D35" s="82" t="e">
        <f ca="1">F35*3.28*3600/5280</f>
        <v>#VALUE!</v>
      </c>
      <c r="E35" s="37" t="s">
        <v>810</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840</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804</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841</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843</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842</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844</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845</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303" priority="15" stopIfTrue="1" operator="equal">
      <formula>0</formula>
    </cfRule>
    <cfRule type="cellIs" dxfId="302" priority="16" stopIfTrue="1" operator="notEqual">
      <formula>0</formula>
    </cfRule>
  </conditionalFormatting>
  <conditionalFormatting sqref="K52">
    <cfRule type="cellIs" dxfId="301" priority="13" stopIfTrue="1" operator="lessThanOrEqual">
      <formula>0.00000001</formula>
    </cfRule>
    <cfRule type="cellIs" dxfId="300" priority="14" stopIfTrue="1" operator="greaterThan">
      <formula>0.00000001</formula>
    </cfRule>
  </conditionalFormatting>
  <conditionalFormatting sqref="K26:M26">
    <cfRule type="cellIs" dxfId="299" priority="11" stopIfTrue="1" operator="equal">
      <formula>"Mixture Computed"</formula>
    </cfRule>
    <cfRule type="cellIs" dxfId="298" priority="12" stopIfTrue="1" operator="equal">
      <formula>"MIXTURE NOT COMPUTED"</formula>
    </cfRule>
  </conditionalFormatting>
  <conditionalFormatting sqref="K56">
    <cfRule type="cellIs" dxfId="297" priority="8" stopIfTrue="1" operator="greaterThanOrEqual">
      <formula>$N$56</formula>
    </cfRule>
    <cfRule type="cellIs" dxfId="296" priority="9" stopIfTrue="1" operator="notBetween">
      <formula>$L$56</formula>
      <formula>$M$56</formula>
    </cfRule>
    <cfRule type="cellIs" dxfId="295" priority="10" stopIfTrue="1" operator="between">
      <formula>$L$56</formula>
      <formula>$M$56</formula>
    </cfRule>
  </conditionalFormatting>
  <conditionalFormatting sqref="K54">
    <cfRule type="cellIs" dxfId="294" priority="5" stopIfTrue="1" operator="greaterThanOrEqual">
      <formula>$N$54</formula>
    </cfRule>
    <cfRule type="cellIs" dxfId="293" priority="6" stopIfTrue="1" operator="notBetween">
      <formula>$L$54</formula>
      <formula>$M$54</formula>
    </cfRule>
    <cfRule type="cellIs" dxfId="292" priority="7" stopIfTrue="1" operator="between">
      <formula>$L$54</formula>
      <formula>$M$54</formula>
    </cfRule>
  </conditionalFormatting>
  <conditionalFormatting sqref="K57">
    <cfRule type="cellIs" dxfId="291" priority="3" stopIfTrue="1" operator="greaterThanOrEqual">
      <formula>$L$57</formula>
    </cfRule>
    <cfRule type="cellIs" dxfId="290" priority="4" stopIfTrue="1" operator="lessThan">
      <formula>$L$57</formula>
    </cfRule>
  </conditionalFormatting>
  <conditionalFormatting sqref="K55">
    <cfRule type="cellIs" dxfId="289" priority="1" stopIfTrue="1" operator="greaterThanOrEqual">
      <formula>0</formula>
    </cfRule>
    <cfRule type="cellIs" dxfId="28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Management\[15141_Vent_Test_Plan_v20_071.xlsm]BP</v>
      </c>
    </row>
    <row r="2" spans="1:12" ht="24" hidden="1" customHeight="1">
      <c r="A2" s="16">
        <f ca="1">FIND("]",A1,1)</f>
        <v>107</v>
      </c>
    </row>
    <row r="3" spans="1:12" ht="23.25" hidden="1" customHeight="1">
      <c r="A3" s="16">
        <f ca="1">LEN(A1)</f>
        <v>109</v>
      </c>
    </row>
    <row r="4" spans="1:12" ht="21" hidden="1" customHeight="1">
      <c r="A4" s="16" t="str">
        <f ca="1">RIGHT(A1,A3-A2)</f>
        <v>BP</v>
      </c>
    </row>
    <row r="5" spans="1:12" ht="20.25" hidden="1" customHeight="1">
      <c r="A5" s="1" t="s">
        <v>790</v>
      </c>
    </row>
    <row r="6" spans="1:12" ht="18.75">
      <c r="A6" s="54" t="str">
        <f ca="1">CONCATENATE(A5,A4)</f>
        <v>Table A-BP</v>
      </c>
      <c r="K6" s="2" t="s">
        <v>792</v>
      </c>
    </row>
    <row r="7" spans="1:12" ht="18.75">
      <c r="A7" s="4" t="s">
        <v>794</v>
      </c>
      <c r="K7" t="s">
        <v>793</v>
      </c>
    </row>
    <row r="8" spans="1:12">
      <c r="A8" s="45" t="e">
        <f ca="1">INDEX(SourceDescription,MATCH($A$4,SourceNumber,0),1,1) &amp; " (" &amp; INDEX(SourceID,MATCH($A$4,SourceNumber,0),1,1) &amp; ")"</f>
        <v>#N/A</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t="e">
        <f ca="1">F14*3.28</f>
        <v>#N/A</v>
      </c>
      <c r="E14" s="37" t="s">
        <v>807</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798</v>
      </c>
      <c r="D15" s="79" t="e">
        <f ca="1">F15*3.28</f>
        <v>#N/A</v>
      </c>
      <c r="E15" s="37" t="s">
        <v>807</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466</v>
      </c>
    </row>
    <row r="16" spans="1:12" ht="20.25">
      <c r="A16" s="33">
        <f t="shared" si="0"/>
        <v>5</v>
      </c>
      <c r="B16" t="str">
        <f t="shared" si="1"/>
        <v>.</v>
      </c>
      <c r="C16" t="s">
        <v>820</v>
      </c>
      <c r="D16" s="79" t="e">
        <f ca="1">F16*3.28^2</f>
        <v>#N/A</v>
      </c>
      <c r="E16" s="37" t="s">
        <v>811</v>
      </c>
      <c r="F16" s="86" t="e">
        <f ca="1">$F$15^2*PI()/4</f>
        <v>#N/A</v>
      </c>
      <c r="G16" s="1097" t="e">
        <f ca="1">G15^2*PI()/4</f>
        <v>#N/A</v>
      </c>
      <c r="H16" s="1112" t="e">
        <f ca="1">H15^2*PI()/4</f>
        <v>#N/A</v>
      </c>
      <c r="I16" s="1102" t="e">
        <f ca="1">$I$15^2*PI()/4</f>
        <v>#N/A</v>
      </c>
    </row>
    <row r="17" spans="1:35" ht="18.75">
      <c r="A17" s="33">
        <f t="shared" si="0"/>
        <v>6</v>
      </c>
      <c r="B17" t="str">
        <f t="shared" si="1"/>
        <v>.</v>
      </c>
      <c r="C17" t="s">
        <v>821</v>
      </c>
      <c r="D17" s="33" t="e">
        <f ca="1">F17*3.28*60</f>
        <v>#N/A</v>
      </c>
      <c r="E17" s="37" t="s">
        <v>808</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822</v>
      </c>
      <c r="D18" s="33" t="e">
        <f ca="1">(F18-273.15)*(9/5)+32</f>
        <v>#N/A</v>
      </c>
      <c r="E18" s="80" t="s">
        <v>812</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813</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#N/A</v>
      </c>
      <c r="E24" s="37" t="s">
        <v>815</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#N/A</v>
      </c>
      <c r="E26" s="37" t="s">
        <v>816</v>
      </c>
      <c r="F26" s="89" t="e">
        <f ca="1">(145.8*$F$18^1.5)/(($F$18+110.4)*10^8*$F$24)</f>
        <v>#N/A</v>
      </c>
      <c r="G26" s="84" t="e">
        <f ca="1">Y33</f>
        <v>#N/A</v>
      </c>
      <c r="H26" s="1113">
        <f>182.7*0.00001</f>
        <v>1.8270000000000001E-3</v>
      </c>
      <c r="I26" s="1104" t="e">
        <f ca="1">(145.8*$F$18^1.5)/(($F$18+110.4)*10^8*$F$24)</f>
        <v>#N/A</v>
      </c>
      <c r="K26" s="1875" t="e">
        <f ca="1">IF(W36=0,"Mixture Computed","Mixture NOT Computed")</f>
        <v>#N/A</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#N/A</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t="e">
        <f ca="1">INDEX(SourceModelRefWS,MATCH($A$4,SourceNumber,0),1,1)</f>
        <v>#N/A</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#N/A</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831</v>
      </c>
      <c r="D33" s="82" t="e">
        <f>F33*3.28*3600/5280</f>
        <v>#VALUE!</v>
      </c>
      <c r="E33" s="37" t="s">
        <v>810</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833</v>
      </c>
      <c r="D35" s="82" t="e">
        <f ca="1">F35*3.28*3600/5280</f>
        <v>#VALUE!</v>
      </c>
      <c r="E35" s="37" t="s">
        <v>810</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840</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804</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841</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843</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842</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844</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845</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287" priority="15" stopIfTrue="1" operator="equal">
      <formula>0</formula>
    </cfRule>
    <cfRule type="cellIs" dxfId="286" priority="16" stopIfTrue="1" operator="notEqual">
      <formula>0</formula>
    </cfRule>
  </conditionalFormatting>
  <conditionalFormatting sqref="K52">
    <cfRule type="cellIs" dxfId="285" priority="13" stopIfTrue="1" operator="lessThanOrEqual">
      <formula>0.00000001</formula>
    </cfRule>
    <cfRule type="cellIs" dxfId="284" priority="14" stopIfTrue="1" operator="greaterThan">
      <formula>0.00000001</formula>
    </cfRule>
  </conditionalFormatting>
  <conditionalFormatting sqref="K26:M26">
    <cfRule type="cellIs" dxfId="283" priority="11" stopIfTrue="1" operator="equal">
      <formula>"Mixture Computed"</formula>
    </cfRule>
    <cfRule type="cellIs" dxfId="282" priority="12" stopIfTrue="1" operator="equal">
      <formula>"MIXTURE NOT COMPUTED"</formula>
    </cfRule>
  </conditionalFormatting>
  <conditionalFormatting sqref="K56">
    <cfRule type="cellIs" dxfId="281" priority="8" stopIfTrue="1" operator="greaterThanOrEqual">
      <formula>$N$56</formula>
    </cfRule>
    <cfRule type="cellIs" dxfId="280" priority="9" stopIfTrue="1" operator="notBetween">
      <formula>$L$56</formula>
      <formula>$M$56</formula>
    </cfRule>
    <cfRule type="cellIs" dxfId="279" priority="10" stopIfTrue="1" operator="between">
      <formula>$L$56</formula>
      <formula>$M$56</formula>
    </cfRule>
  </conditionalFormatting>
  <conditionalFormatting sqref="K54">
    <cfRule type="cellIs" dxfId="278" priority="5" stopIfTrue="1" operator="greaterThanOrEqual">
      <formula>$N$54</formula>
    </cfRule>
    <cfRule type="cellIs" dxfId="277" priority="6" stopIfTrue="1" operator="notBetween">
      <formula>$L$54</formula>
      <formula>$M$54</formula>
    </cfRule>
    <cfRule type="cellIs" dxfId="276" priority="7" stopIfTrue="1" operator="between">
      <formula>$L$54</formula>
      <formula>$M$54</formula>
    </cfRule>
  </conditionalFormatting>
  <conditionalFormatting sqref="K57">
    <cfRule type="cellIs" dxfId="275" priority="3" stopIfTrue="1" operator="greaterThanOrEqual">
      <formula>$L$57</formula>
    </cfRule>
    <cfRule type="cellIs" dxfId="274" priority="4" stopIfTrue="1" operator="lessThan">
      <formula>$L$57</formula>
    </cfRule>
  </conditionalFormatting>
  <conditionalFormatting sqref="K55">
    <cfRule type="cellIs" dxfId="273" priority="1" stopIfTrue="1" operator="greaterThanOrEqual">
      <formula>0</formula>
    </cfRule>
    <cfRule type="cellIs" dxfId="27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4">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Management\[15141_Vent_Test_Plan_v20_071.xlsm]BQ</v>
      </c>
    </row>
    <row r="2" spans="1:12" ht="24" hidden="1" customHeight="1">
      <c r="A2" s="16">
        <f ca="1">FIND("]",A1,1)</f>
        <v>107</v>
      </c>
    </row>
    <row r="3" spans="1:12" ht="23.25" hidden="1" customHeight="1">
      <c r="A3" s="16">
        <f ca="1">LEN(A1)</f>
        <v>109</v>
      </c>
    </row>
    <row r="4" spans="1:12" ht="21" hidden="1" customHeight="1">
      <c r="A4" s="16" t="str">
        <f ca="1">RIGHT(A1,A3-A2)</f>
        <v>BQ</v>
      </c>
    </row>
    <row r="5" spans="1:12" ht="20.25" hidden="1" customHeight="1">
      <c r="A5" s="1" t="s">
        <v>790</v>
      </c>
    </row>
    <row r="6" spans="1:12" ht="18.75">
      <c r="A6" s="54" t="str">
        <f ca="1">CONCATENATE(A5,A4)</f>
        <v>Table A-BQ</v>
      </c>
      <c r="K6" s="2" t="s">
        <v>792</v>
      </c>
    </row>
    <row r="7" spans="1:12" ht="18.75">
      <c r="A7" s="4" t="s">
        <v>794</v>
      </c>
      <c r="K7" t="s">
        <v>793</v>
      </c>
    </row>
    <row r="8" spans="1:12">
      <c r="A8" s="45" t="e">
        <f ca="1">INDEX(SourceDescription,MATCH($A$4,SourceNumber,0),1,1) &amp; " (" &amp; INDEX(SourceID,MATCH($A$4,SourceNumber,0),1,1) &amp; ")"</f>
        <v>#N/A</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t="e">
        <f ca="1">F14*3.28</f>
        <v>#N/A</v>
      </c>
      <c r="E14" s="37" t="s">
        <v>807</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798</v>
      </c>
      <c r="D15" s="79" t="e">
        <f ca="1">F15*3.28</f>
        <v>#N/A</v>
      </c>
      <c r="E15" s="37" t="s">
        <v>807</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466</v>
      </c>
    </row>
    <row r="16" spans="1:12" ht="20.25">
      <c r="A16" s="33">
        <f t="shared" si="0"/>
        <v>5</v>
      </c>
      <c r="B16" t="str">
        <f t="shared" si="1"/>
        <v>.</v>
      </c>
      <c r="C16" t="s">
        <v>820</v>
      </c>
      <c r="D16" s="79" t="e">
        <f ca="1">F16*3.28^2</f>
        <v>#N/A</v>
      </c>
      <c r="E16" s="37" t="s">
        <v>811</v>
      </c>
      <c r="F16" s="86" t="e">
        <f ca="1">$F$15^2*PI()/4</f>
        <v>#N/A</v>
      </c>
      <c r="G16" s="1097" t="e">
        <f ca="1">G15^2*PI()/4</f>
        <v>#N/A</v>
      </c>
      <c r="H16" s="1112" t="e">
        <f ca="1">H15^2*PI()/4</f>
        <v>#N/A</v>
      </c>
      <c r="I16" s="1102" t="e">
        <f ca="1">$I$15^2*PI()/4</f>
        <v>#N/A</v>
      </c>
    </row>
    <row r="17" spans="1:35" ht="18.75">
      <c r="A17" s="33">
        <f t="shared" si="0"/>
        <v>6</v>
      </c>
      <c r="B17" t="str">
        <f t="shared" si="1"/>
        <v>.</v>
      </c>
      <c r="C17" t="s">
        <v>821</v>
      </c>
      <c r="D17" s="33" t="e">
        <f ca="1">F17*3.28*60</f>
        <v>#N/A</v>
      </c>
      <c r="E17" s="37" t="s">
        <v>808</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822</v>
      </c>
      <c r="D18" s="33" t="e">
        <f ca="1">(F18-273.15)*(9/5)+32</f>
        <v>#N/A</v>
      </c>
      <c r="E18" s="80" t="s">
        <v>812</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813</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#N/A</v>
      </c>
      <c r="E24" s="37" t="s">
        <v>815</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#N/A</v>
      </c>
      <c r="E26" s="37" t="s">
        <v>816</v>
      </c>
      <c r="F26" s="89" t="e">
        <f ca="1">(145.8*$F$18^1.5)/(($F$18+110.4)*10^8*$F$24)</f>
        <v>#N/A</v>
      </c>
      <c r="G26" s="84" t="e">
        <f ca="1">Y33</f>
        <v>#N/A</v>
      </c>
      <c r="H26" s="1113">
        <f>182.7*0.00001</f>
        <v>1.8270000000000001E-3</v>
      </c>
      <c r="I26" s="1104" t="e">
        <f ca="1">(145.8*$F$18^1.5)/(($F$18+110.4)*10^8*$F$24)</f>
        <v>#N/A</v>
      </c>
      <c r="K26" s="1875" t="e">
        <f ca="1">IF(W36=0,"Mixture Computed","Mixture NOT Computed")</f>
        <v>#N/A</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#N/A</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t="e">
        <f ca="1">INDEX(SourceModelRefWS,MATCH($A$4,SourceNumber,0),1,1)</f>
        <v>#N/A</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#N/A</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831</v>
      </c>
      <c r="D33" s="82" t="e">
        <f>F33*3.28*3600/5280</f>
        <v>#VALUE!</v>
      </c>
      <c r="E33" s="37" t="s">
        <v>810</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833</v>
      </c>
      <c r="D35" s="82" t="e">
        <f ca="1">F35*3.28*3600/5280</f>
        <v>#VALUE!</v>
      </c>
      <c r="E35" s="37" t="s">
        <v>810</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840</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804</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841</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843</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842</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844</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845</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271" priority="15" stopIfTrue="1" operator="equal">
      <formula>0</formula>
    </cfRule>
    <cfRule type="cellIs" dxfId="270" priority="16" stopIfTrue="1" operator="notEqual">
      <formula>0</formula>
    </cfRule>
  </conditionalFormatting>
  <conditionalFormatting sqref="K52">
    <cfRule type="cellIs" dxfId="269" priority="13" stopIfTrue="1" operator="lessThanOrEqual">
      <formula>0.00000001</formula>
    </cfRule>
    <cfRule type="cellIs" dxfId="268" priority="14" stopIfTrue="1" operator="greaterThan">
      <formula>0.00000001</formula>
    </cfRule>
  </conditionalFormatting>
  <conditionalFormatting sqref="K26:M26">
    <cfRule type="cellIs" dxfId="267" priority="11" stopIfTrue="1" operator="equal">
      <formula>"Mixture Computed"</formula>
    </cfRule>
    <cfRule type="cellIs" dxfId="266" priority="12" stopIfTrue="1" operator="equal">
      <formula>"MIXTURE NOT COMPUTED"</formula>
    </cfRule>
  </conditionalFormatting>
  <conditionalFormatting sqref="K56">
    <cfRule type="cellIs" dxfId="265" priority="8" stopIfTrue="1" operator="greaterThanOrEqual">
      <formula>$N$56</formula>
    </cfRule>
    <cfRule type="cellIs" dxfId="264" priority="9" stopIfTrue="1" operator="notBetween">
      <formula>$L$56</formula>
      <formula>$M$56</formula>
    </cfRule>
    <cfRule type="cellIs" dxfId="263" priority="10" stopIfTrue="1" operator="between">
      <formula>$L$56</formula>
      <formula>$M$56</formula>
    </cfRule>
  </conditionalFormatting>
  <conditionalFormatting sqref="K54">
    <cfRule type="cellIs" dxfId="262" priority="5" stopIfTrue="1" operator="greaterThanOrEqual">
      <formula>$N$54</formula>
    </cfRule>
    <cfRule type="cellIs" dxfId="261" priority="6" stopIfTrue="1" operator="notBetween">
      <formula>$L$54</formula>
      <formula>$M$54</formula>
    </cfRule>
    <cfRule type="cellIs" dxfId="260" priority="7" stopIfTrue="1" operator="between">
      <formula>$L$54</formula>
      <formula>$M$54</formula>
    </cfRule>
  </conditionalFormatting>
  <conditionalFormatting sqref="K57">
    <cfRule type="cellIs" dxfId="259" priority="3" stopIfTrue="1" operator="greaterThanOrEqual">
      <formula>$L$57</formula>
    </cfRule>
    <cfRule type="cellIs" dxfId="258" priority="4" stopIfTrue="1" operator="lessThan">
      <formula>$L$57</formula>
    </cfRule>
  </conditionalFormatting>
  <conditionalFormatting sqref="K55">
    <cfRule type="cellIs" dxfId="257" priority="1" stopIfTrue="1" operator="greaterThanOrEqual">
      <formula>0</formula>
    </cfRule>
    <cfRule type="cellIs" dxfId="25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51">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Management\[15141_Vent_Test_Plan_v20_071.xlsm]CA</v>
      </c>
    </row>
    <row r="2" spans="1:12" ht="24" hidden="1" customHeight="1">
      <c r="A2" s="16">
        <f ca="1">FIND("]",A1,1)</f>
        <v>107</v>
      </c>
    </row>
    <row r="3" spans="1:12" ht="23.25" hidden="1" customHeight="1">
      <c r="A3" s="16">
        <f ca="1">LEN(A1)</f>
        <v>109</v>
      </c>
    </row>
    <row r="4" spans="1:12" ht="21" hidden="1" customHeight="1">
      <c r="A4" s="16" t="str">
        <f ca="1">RIGHT(A1,A3-A2)</f>
        <v>CA</v>
      </c>
    </row>
    <row r="5" spans="1:12" ht="20.25" hidden="1" customHeight="1">
      <c r="A5" s="1" t="s">
        <v>790</v>
      </c>
    </row>
    <row r="6" spans="1:12" ht="18.75">
      <c r="A6" s="54" t="str">
        <f ca="1">CONCATENATE(A5,A4)</f>
        <v>Table A-CA</v>
      </c>
      <c r="K6" s="2" t="s">
        <v>792</v>
      </c>
    </row>
    <row r="7" spans="1:12" ht="18.75">
      <c r="A7" s="4" t="s">
        <v>794</v>
      </c>
      <c r="K7" t="s">
        <v>793</v>
      </c>
    </row>
    <row r="8" spans="1:12">
      <c r="A8" s="45" t="str">
        <f ca="1">INDEX(SourceDescription,MATCH($A$4,SourceNumber,0),1,1) &amp; " (" &amp; INDEX(SourceID,MATCH($A$4,SourceNumber,0),1,1) &amp; ")"</f>
        <v>Garage Exhaust (B3 Gen-1)</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3.4162499999999998</v>
      </c>
      <c r="E15" s="37" t="s">
        <v>807</v>
      </c>
      <c r="F15" s="85">
        <f ca="1">INDEX(SourceExitDiameter,MATCH($A$4,SourceNumber,0),1,1)</f>
        <v>1.0415396341463414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9.1661966601324405</v>
      </c>
      <c r="E16" s="37" t="s">
        <v>811</v>
      </c>
      <c r="F16" s="86">
        <f ca="1">$F$15^2*PI()/4</f>
        <v>0.85200370502420819</v>
      </c>
      <c r="G16" s="1097" t="e">
        <f ca="1">G15^2*PI()/4</f>
        <v>#VALUE!</v>
      </c>
      <c r="H16" s="1112" t="e">
        <f ca="1">H15^2*PI()/4</f>
        <v>#VALUE!</v>
      </c>
      <c r="I16" s="1102" t="e">
        <f ca="1">$I$15^2*PI()/4</f>
        <v>#VALUE!</v>
      </c>
    </row>
    <row r="17" spans="1:35" ht="18.75">
      <c r="A17" s="33">
        <f t="shared" si="0"/>
        <v>6</v>
      </c>
      <c r="B17" t="str">
        <f t="shared" si="1"/>
        <v>.</v>
      </c>
      <c r="C17" t="s">
        <v>821</v>
      </c>
      <c r="D17" s="33">
        <f ca="1">F17*3.28*60</f>
        <v>3000.1538282075935</v>
      </c>
      <c r="E17" s="37" t="s">
        <v>808</v>
      </c>
      <c r="F17" s="85">
        <f ca="1">INDEX(SourceExitVelocity,MATCH($A$4,SourceNumber,0),1,1)</f>
        <v>15.244684086420699</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27499.999999999996</v>
      </c>
      <c r="E19" s="37" t="s">
        <v>813</v>
      </c>
      <c r="F19" s="86">
        <f ca="1">F17*F16</f>
        <v>12.988527323554022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0.34162500000000001</v>
      </c>
      <c r="E49" s="37"/>
      <c r="F49" s="86">
        <f ca="1">$F$15/$F$14</f>
        <v>0.34162500000000001</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255" priority="15" stopIfTrue="1" operator="equal">
      <formula>0</formula>
    </cfRule>
    <cfRule type="cellIs" dxfId="254" priority="16" stopIfTrue="1" operator="notEqual">
      <formula>0</formula>
    </cfRule>
  </conditionalFormatting>
  <conditionalFormatting sqref="K52">
    <cfRule type="cellIs" dxfId="253" priority="13" stopIfTrue="1" operator="lessThanOrEqual">
      <formula>0.00000001</formula>
    </cfRule>
    <cfRule type="cellIs" dxfId="252" priority="14" stopIfTrue="1" operator="greaterThan">
      <formula>0.00000001</formula>
    </cfRule>
  </conditionalFormatting>
  <conditionalFormatting sqref="K26:M26">
    <cfRule type="cellIs" dxfId="251" priority="11" stopIfTrue="1" operator="equal">
      <formula>"Mixture Computed"</formula>
    </cfRule>
    <cfRule type="cellIs" dxfId="250" priority="12" stopIfTrue="1" operator="equal">
      <formula>"MIXTURE NOT COMPUTED"</formula>
    </cfRule>
  </conditionalFormatting>
  <conditionalFormatting sqref="K56">
    <cfRule type="cellIs" dxfId="249" priority="8" stopIfTrue="1" operator="greaterThanOrEqual">
      <formula>$N$56</formula>
    </cfRule>
    <cfRule type="cellIs" dxfId="248" priority="9" stopIfTrue="1" operator="notBetween">
      <formula>$L$56</formula>
      <formula>$M$56</formula>
    </cfRule>
    <cfRule type="cellIs" dxfId="247" priority="10" stopIfTrue="1" operator="between">
      <formula>$L$56</formula>
      <formula>$M$56</formula>
    </cfRule>
  </conditionalFormatting>
  <conditionalFormatting sqref="K54">
    <cfRule type="cellIs" dxfId="246" priority="5" stopIfTrue="1" operator="greaterThanOrEqual">
      <formula>$N$54</formula>
    </cfRule>
    <cfRule type="cellIs" dxfId="245" priority="6" stopIfTrue="1" operator="notBetween">
      <formula>$L$54</formula>
      <formula>$M$54</formula>
    </cfRule>
    <cfRule type="cellIs" dxfId="244" priority="7" stopIfTrue="1" operator="between">
      <formula>$L$54</formula>
      <formula>$M$54</formula>
    </cfRule>
  </conditionalFormatting>
  <conditionalFormatting sqref="K57">
    <cfRule type="cellIs" dxfId="243" priority="3" stopIfTrue="1" operator="greaterThanOrEqual">
      <formula>$L$57</formula>
    </cfRule>
    <cfRule type="cellIs" dxfId="242" priority="4" stopIfTrue="1" operator="lessThan">
      <formula>$L$57</formula>
    </cfRule>
  </conditionalFormatting>
  <conditionalFormatting sqref="K55">
    <cfRule type="cellIs" dxfId="241" priority="1" stopIfTrue="1" operator="greaterThanOrEqual">
      <formula>0</formula>
    </cfRule>
    <cfRule type="cellIs" dxfId="24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5">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Management\[15141_Vent_Test_Plan_v20_071.xlsm]CB</v>
      </c>
    </row>
    <row r="2" spans="1:12" ht="24" hidden="1" customHeight="1">
      <c r="A2" s="16">
        <f ca="1">FIND("]",A1,1)</f>
        <v>107</v>
      </c>
    </row>
    <row r="3" spans="1:12" ht="23.25" hidden="1" customHeight="1">
      <c r="A3" s="16">
        <f ca="1">LEN(A1)</f>
        <v>109</v>
      </c>
    </row>
    <row r="4" spans="1:12" ht="21" hidden="1" customHeight="1">
      <c r="A4" s="16" t="str">
        <f ca="1">RIGHT(A1,A3-A2)</f>
        <v>CB</v>
      </c>
    </row>
    <row r="5" spans="1:12" ht="20.25" hidden="1" customHeight="1">
      <c r="A5" s="1" t="s">
        <v>790</v>
      </c>
    </row>
    <row r="6" spans="1:12" ht="18.75">
      <c r="A6" s="54" t="str">
        <f ca="1">CONCATENATE(A5,A4)</f>
        <v>Table A-CB</v>
      </c>
      <c r="K6" s="2" t="s">
        <v>792</v>
      </c>
    </row>
    <row r="7" spans="1:12" ht="18.75">
      <c r="A7" s="4" t="s">
        <v>794</v>
      </c>
      <c r="K7" t="s">
        <v>793</v>
      </c>
    </row>
    <row r="8" spans="1:12">
      <c r="A8" s="45" t="str">
        <f ca="1">INDEX(SourceDescription,MATCH($A$4,SourceNumber,0),1,1) &amp; " (" &amp; INDEX(SourceID,MATCH($A$4,SourceNumber,0),1,1) &amp; ")"</f>
        <v>General Exhaust (B3 Gen-2)</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3.4162499999999998</v>
      </c>
      <c r="E15" s="37" t="s">
        <v>807</v>
      </c>
      <c r="F15" s="85">
        <f ca="1">INDEX(SourceExitDiameter,MATCH($A$4,SourceNumber,0),1,1)</f>
        <v>1.0415396341463414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9.1661966601324405</v>
      </c>
      <c r="E16" s="37" t="s">
        <v>811</v>
      </c>
      <c r="F16" s="86">
        <f ca="1">$F$15^2*PI()/4</f>
        <v>0.85200370502420819</v>
      </c>
      <c r="G16" s="1097" t="e">
        <f ca="1">G15^2*PI()/4</f>
        <v>#VALUE!</v>
      </c>
      <c r="H16" s="1112" t="e">
        <f ca="1">H15^2*PI()/4</f>
        <v>#VALUE!</v>
      </c>
      <c r="I16" s="1102" t="e">
        <f ca="1">$I$15^2*PI()/4</f>
        <v>#VALUE!</v>
      </c>
    </row>
    <row r="17" spans="1:35" ht="18.75">
      <c r="A17" s="33">
        <f t="shared" si="0"/>
        <v>6</v>
      </c>
      <c r="B17" t="str">
        <f t="shared" si="1"/>
        <v>.</v>
      </c>
      <c r="C17" t="s">
        <v>821</v>
      </c>
      <c r="D17" s="33">
        <f ca="1">F17*3.28*60</f>
        <v>3000.1538282075935</v>
      </c>
      <c r="E17" s="37" t="s">
        <v>808</v>
      </c>
      <c r="F17" s="85">
        <f ca="1">INDEX(SourceExitVelocity,MATCH($A$4,SourceNumber,0),1,1)</f>
        <v>15.244684086420699</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27499.999999999996</v>
      </c>
      <c r="E19" s="37" t="s">
        <v>813</v>
      </c>
      <c r="F19" s="86">
        <f ca="1">F17*F16</f>
        <v>12.988527323554022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0.34162500000000001</v>
      </c>
      <c r="E49" s="37"/>
      <c r="F49" s="86">
        <f ca="1">$F$15/$F$14</f>
        <v>0.34162500000000001</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239" priority="15" stopIfTrue="1" operator="equal">
      <formula>0</formula>
    </cfRule>
    <cfRule type="cellIs" dxfId="238" priority="16" stopIfTrue="1" operator="notEqual">
      <formula>0</formula>
    </cfRule>
  </conditionalFormatting>
  <conditionalFormatting sqref="K52">
    <cfRule type="cellIs" dxfId="237" priority="13" stopIfTrue="1" operator="lessThanOrEqual">
      <formula>0.00000001</formula>
    </cfRule>
    <cfRule type="cellIs" dxfId="236" priority="14" stopIfTrue="1" operator="greaterThan">
      <formula>0.00000001</formula>
    </cfRule>
  </conditionalFormatting>
  <conditionalFormatting sqref="K26:M26">
    <cfRule type="cellIs" dxfId="235" priority="11" stopIfTrue="1" operator="equal">
      <formula>"Mixture Computed"</formula>
    </cfRule>
    <cfRule type="cellIs" dxfId="234" priority="12" stopIfTrue="1" operator="equal">
      <formula>"MIXTURE NOT COMPUTED"</formula>
    </cfRule>
  </conditionalFormatting>
  <conditionalFormatting sqref="K56">
    <cfRule type="cellIs" dxfId="233" priority="8" stopIfTrue="1" operator="greaterThanOrEqual">
      <formula>$N$56</formula>
    </cfRule>
    <cfRule type="cellIs" dxfId="232" priority="9" stopIfTrue="1" operator="notBetween">
      <formula>$L$56</formula>
      <formula>$M$56</formula>
    </cfRule>
    <cfRule type="cellIs" dxfId="231" priority="10" stopIfTrue="1" operator="between">
      <formula>$L$56</formula>
      <formula>$M$56</formula>
    </cfRule>
  </conditionalFormatting>
  <conditionalFormatting sqref="K54">
    <cfRule type="cellIs" dxfId="230" priority="5" stopIfTrue="1" operator="greaterThanOrEqual">
      <formula>$N$54</formula>
    </cfRule>
    <cfRule type="cellIs" dxfId="229" priority="6" stopIfTrue="1" operator="notBetween">
      <formula>$L$54</formula>
      <formula>$M$54</formula>
    </cfRule>
    <cfRule type="cellIs" dxfId="228" priority="7" stopIfTrue="1" operator="between">
      <formula>$L$54</formula>
      <formula>$M$54</formula>
    </cfRule>
  </conditionalFormatting>
  <conditionalFormatting sqref="K57">
    <cfRule type="cellIs" dxfId="227" priority="3" stopIfTrue="1" operator="greaterThanOrEqual">
      <formula>$L$57</formula>
    </cfRule>
    <cfRule type="cellIs" dxfId="226" priority="4" stopIfTrue="1" operator="lessThan">
      <formula>$L$57</formula>
    </cfRule>
  </conditionalFormatting>
  <conditionalFormatting sqref="K55">
    <cfRule type="cellIs" dxfId="225" priority="1" stopIfTrue="1" operator="greaterThanOrEqual">
      <formula>0</formula>
    </cfRule>
    <cfRule type="cellIs" dxfId="22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6">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Management\[15141_Vent_Test_Plan_v20_071.xlsm]CC</v>
      </c>
    </row>
    <row r="2" spans="1:12" ht="24" hidden="1" customHeight="1">
      <c r="A2" s="16">
        <f ca="1">FIND("]",A1,1)</f>
        <v>107</v>
      </c>
    </row>
    <row r="3" spans="1:12" ht="23.25" hidden="1" customHeight="1">
      <c r="A3" s="16">
        <f ca="1">LEN(A1)</f>
        <v>109</v>
      </c>
    </row>
    <row r="4" spans="1:12" ht="21" hidden="1" customHeight="1">
      <c r="A4" s="16" t="str">
        <f ca="1">RIGHT(A1,A3-A2)</f>
        <v>CC</v>
      </c>
    </row>
    <row r="5" spans="1:12" ht="20.25" hidden="1" customHeight="1">
      <c r="A5" s="1" t="s">
        <v>790</v>
      </c>
    </row>
    <row r="6" spans="1:12" ht="18.75">
      <c r="A6" s="54" t="str">
        <f ca="1">CONCATENATE(A5,A4)</f>
        <v>Table A-CC</v>
      </c>
      <c r="K6" s="2" t="s">
        <v>792</v>
      </c>
    </row>
    <row r="7" spans="1:12" ht="18.75">
      <c r="A7" s="4" t="s">
        <v>794</v>
      </c>
      <c r="K7" t="s">
        <v>793</v>
      </c>
    </row>
    <row r="8" spans="1:12">
      <c r="A8" s="45" t="str">
        <f ca="1">INDEX(SourceDescription,MATCH($A$4,SourceNumber,0),1,1) &amp; " (" &amp; INDEX(SourceID,MATCH($A$4,SourceNumber,0),1,1) &amp; ")"</f>
        <v>Fume Hood Exhaust 1 (B3 FE-1)</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2.5233333333333334</v>
      </c>
      <c r="E15" s="37" t="s">
        <v>807</v>
      </c>
      <c r="F15" s="85">
        <f ca="1">INDEX(SourceExitDiameter,MATCH($A$4,SourceNumber,0),1,1)</f>
        <v>0.76930894308943099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5.0007959126304931</v>
      </c>
      <c r="E16" s="37" t="s">
        <v>811</v>
      </c>
      <c r="F16" s="86">
        <f ca="1">$F$15^2*PI()/4</f>
        <v>0.46482710371714137</v>
      </c>
      <c r="G16" s="1097" t="e">
        <f ca="1">G15^2*PI()/4</f>
        <v>#VALUE!</v>
      </c>
      <c r="H16" s="1112" t="e">
        <f ca="1">H15^2*PI()/4</f>
        <v>#VALUE!</v>
      </c>
      <c r="I16" s="1102" t="e">
        <f ca="1">$I$15^2*PI()/4</f>
        <v>#VALUE!</v>
      </c>
    </row>
    <row r="17" spans="1:35" ht="18.75">
      <c r="A17" s="33">
        <f t="shared" si="0"/>
        <v>6</v>
      </c>
      <c r="B17" t="str">
        <f t="shared" si="1"/>
        <v>.</v>
      </c>
      <c r="C17" t="s">
        <v>821</v>
      </c>
      <c r="D17" s="33">
        <f ca="1">F17*3.28*60</f>
        <v>2999.5225284268354</v>
      </c>
      <c r="E17" s="37" t="s">
        <v>808</v>
      </c>
      <c r="F17" s="85">
        <f ca="1">INDEX(SourceExitVelocity,MATCH($A$4,SourceNumber,0),1,1)</f>
        <v>15.241476262331481</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14999.999999999998</v>
      </c>
      <c r="E19" s="37" t="s">
        <v>813</v>
      </c>
      <c r="F19" s="86">
        <f ca="1">F17*F16</f>
        <v>7.0846512673931032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0.25233333333333335</v>
      </c>
      <c r="E49" s="37"/>
      <c r="F49" s="86">
        <f ca="1">$F$15/$F$14</f>
        <v>0.25233333333333335</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223" priority="15" stopIfTrue="1" operator="equal">
      <formula>0</formula>
    </cfRule>
    <cfRule type="cellIs" dxfId="222" priority="16" stopIfTrue="1" operator="notEqual">
      <formula>0</formula>
    </cfRule>
  </conditionalFormatting>
  <conditionalFormatting sqref="K52">
    <cfRule type="cellIs" dxfId="221" priority="13" stopIfTrue="1" operator="lessThanOrEqual">
      <formula>0.00000001</formula>
    </cfRule>
    <cfRule type="cellIs" dxfId="220" priority="14" stopIfTrue="1" operator="greaterThan">
      <formula>0.00000001</formula>
    </cfRule>
  </conditionalFormatting>
  <conditionalFormatting sqref="K26:M26">
    <cfRule type="cellIs" dxfId="219" priority="11" stopIfTrue="1" operator="equal">
      <formula>"Mixture Computed"</formula>
    </cfRule>
    <cfRule type="cellIs" dxfId="218" priority="12" stopIfTrue="1" operator="equal">
      <formula>"MIXTURE NOT COMPUTED"</formula>
    </cfRule>
  </conditionalFormatting>
  <conditionalFormatting sqref="K56">
    <cfRule type="cellIs" dxfId="217" priority="8" stopIfTrue="1" operator="greaterThanOrEqual">
      <formula>$N$56</formula>
    </cfRule>
    <cfRule type="cellIs" dxfId="216" priority="9" stopIfTrue="1" operator="notBetween">
      <formula>$L$56</formula>
      <formula>$M$56</formula>
    </cfRule>
    <cfRule type="cellIs" dxfId="215" priority="10" stopIfTrue="1" operator="between">
      <formula>$L$56</formula>
      <formula>$M$56</formula>
    </cfRule>
  </conditionalFormatting>
  <conditionalFormatting sqref="K54">
    <cfRule type="cellIs" dxfId="214" priority="5" stopIfTrue="1" operator="greaterThanOrEqual">
      <formula>$N$54</formula>
    </cfRule>
    <cfRule type="cellIs" dxfId="213" priority="6" stopIfTrue="1" operator="notBetween">
      <formula>$L$54</formula>
      <formula>$M$54</formula>
    </cfRule>
    <cfRule type="cellIs" dxfId="212" priority="7" stopIfTrue="1" operator="between">
      <formula>$L$54</formula>
      <formula>$M$54</formula>
    </cfRule>
  </conditionalFormatting>
  <conditionalFormatting sqref="K57">
    <cfRule type="cellIs" dxfId="211" priority="3" stopIfTrue="1" operator="greaterThanOrEqual">
      <formula>$L$57</formula>
    </cfRule>
    <cfRule type="cellIs" dxfId="210" priority="4" stopIfTrue="1" operator="lessThan">
      <formula>$L$57</formula>
    </cfRule>
  </conditionalFormatting>
  <conditionalFormatting sqref="K55">
    <cfRule type="cellIs" dxfId="209" priority="1" stopIfTrue="1" operator="greaterThanOrEqual">
      <formula>0</formula>
    </cfRule>
    <cfRule type="cellIs" dxfId="20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Management\[15141_Vent_Test_Plan_v20_071.xlsm]DA</v>
      </c>
    </row>
    <row r="2" spans="1:12" ht="24" hidden="1" customHeight="1">
      <c r="A2" s="16">
        <f ca="1">FIND("]",A1,1)</f>
        <v>107</v>
      </c>
    </row>
    <row r="3" spans="1:12" ht="23.25" hidden="1" customHeight="1">
      <c r="A3" s="16">
        <f ca="1">LEN(A1)</f>
        <v>109</v>
      </c>
    </row>
    <row r="4" spans="1:12" ht="21" hidden="1" customHeight="1">
      <c r="A4" s="16" t="str">
        <f ca="1">RIGHT(A1,A3-A2)</f>
        <v>DA</v>
      </c>
    </row>
    <row r="5" spans="1:12" ht="20.25" hidden="1" customHeight="1">
      <c r="A5" s="1" t="s">
        <v>790</v>
      </c>
    </row>
    <row r="6" spans="1:12" ht="18.75">
      <c r="A6" s="54" t="str">
        <f ca="1">CONCATENATE(A5,A4)</f>
        <v>Table A-DA</v>
      </c>
      <c r="K6" s="2" t="s">
        <v>792</v>
      </c>
    </row>
    <row r="7" spans="1:12" ht="18.75">
      <c r="A7" s="4" t="s">
        <v>794</v>
      </c>
      <c r="K7" t="s">
        <v>793</v>
      </c>
    </row>
    <row r="8" spans="1:12">
      <c r="A8" s="45" t="str">
        <f ca="1">INDEX(SourceDescription,MATCH($A$4,SourceNumber,0),1,1) &amp; " (" &amp; INDEX(SourceID,MATCH($A$4,SourceNumber,0),1,1) &amp; ")"</f>
        <v>Automobile (Each Vehicle) (AUTO)</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0.99999999999999989</v>
      </c>
      <c r="E14" s="37" t="s">
        <v>807</v>
      </c>
      <c r="F14" s="85">
        <f ca="1">INDEX(SourceHeightAboveBase,MATCH($A$4,SourceNumber,0),1,1)+INDEX(SourceBaseHeightAboveGrade,MATCH($A$4,SourceNumber,0),1,1)</f>
        <v>0.3048780487804878</v>
      </c>
      <c r="G14" s="1095" t="e">
        <f ca="1">F14/SF</f>
        <v>#VALUE!</v>
      </c>
      <c r="H14" s="85" t="e">
        <f ca="1">G14</f>
        <v>#VALUE!</v>
      </c>
      <c r="I14" s="1044">
        <f ca="1">F14</f>
        <v>0.3048780487804878</v>
      </c>
      <c r="J14" s="16"/>
    </row>
    <row r="15" spans="1:12">
      <c r="A15" s="33">
        <f t="shared" si="0"/>
        <v>4</v>
      </c>
      <c r="B15" t="str">
        <f t="shared" si="1"/>
        <v>.</v>
      </c>
      <c r="C15" t="s">
        <v>798</v>
      </c>
      <c r="D15" s="79">
        <f ca="1">F15*3.28</f>
        <v>0.24999999999999997</v>
      </c>
      <c r="E15" s="37" t="s">
        <v>807</v>
      </c>
      <c r="F15" s="85">
        <f ca="1">INDEX(SourceExitDiameter,MATCH($A$4,SourceNumber,0),1,1)</f>
        <v>7.621951219512195E-2</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4.908738521234051E-2</v>
      </c>
      <c r="E16" s="37" t="s">
        <v>811</v>
      </c>
      <c r="F16" s="86">
        <f ca="1">$F$15^2*PI()/4</f>
        <v>4.5627031168519964E-3</v>
      </c>
      <c r="G16" s="1097" t="e">
        <f ca="1">G15^2*PI()/4</f>
        <v>#VALUE!</v>
      </c>
      <c r="H16" s="1112" t="e">
        <f ca="1">H15^2*PI()/4</f>
        <v>#VALUE!</v>
      </c>
      <c r="I16" s="1102" t="e">
        <f ca="1">$I$15^2*PI()/4</f>
        <v>#VALUE!</v>
      </c>
    </row>
    <row r="17" spans="1:35" ht="18.75">
      <c r="A17" s="33">
        <f t="shared" si="0"/>
        <v>6</v>
      </c>
      <c r="B17" t="str">
        <f t="shared" si="1"/>
        <v>.</v>
      </c>
      <c r="C17" t="s">
        <v>821</v>
      </c>
      <c r="D17" s="33">
        <f ca="1">F17*3.28*60</f>
        <v>2037.1832715762607</v>
      </c>
      <c r="E17" s="37" t="s">
        <v>808</v>
      </c>
      <c r="F17" s="85">
        <f ca="1">INDEX(SourceExitVelocity,MATCH($A$4,SourceNumber,0),1,1)</f>
        <v>10.351541014107015</v>
      </c>
      <c r="G17" s="131" t="e">
        <f ca="1">G29*G46</f>
        <v>#VALUE!</v>
      </c>
      <c r="H17" s="86" t="e">
        <f ca="1">H29*H46</f>
        <v>#VALUE!</v>
      </c>
      <c r="I17" s="1102" t="e">
        <f ca="1">I29*I46</f>
        <v>#VALUE!</v>
      </c>
      <c r="J17" s="16"/>
    </row>
    <row r="18" spans="1:35" ht="20.25">
      <c r="A18" s="33">
        <f t="shared" si="0"/>
        <v>7</v>
      </c>
      <c r="B18" t="str">
        <f t="shared" si="1"/>
        <v>.</v>
      </c>
      <c r="C18" t="s">
        <v>822</v>
      </c>
      <c r="D18" s="33" t="e">
        <f ca="1">(F18-273.15)*(9/5)+32</f>
        <v>#VALUE!</v>
      </c>
      <c r="E18" s="80" t="s">
        <v>812</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99.999999999999986</v>
      </c>
      <c r="E19" s="37" t="s">
        <v>813</v>
      </c>
      <c r="F19" s="86">
        <f ca="1">F17*F16</f>
        <v>4.7231008449287355E-2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0.25</v>
      </c>
      <c r="E49" s="37"/>
      <c r="F49" s="86">
        <f ca="1">$F$15/$F$14</f>
        <v>0.25</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207" priority="15" stopIfTrue="1" operator="equal">
      <formula>0</formula>
    </cfRule>
    <cfRule type="cellIs" dxfId="206" priority="16" stopIfTrue="1" operator="notEqual">
      <formula>0</formula>
    </cfRule>
  </conditionalFormatting>
  <conditionalFormatting sqref="K52">
    <cfRule type="cellIs" dxfId="205" priority="13" stopIfTrue="1" operator="lessThanOrEqual">
      <formula>0.00000001</formula>
    </cfRule>
    <cfRule type="cellIs" dxfId="204" priority="14" stopIfTrue="1" operator="greaterThan">
      <formula>0.00000001</formula>
    </cfRule>
  </conditionalFormatting>
  <conditionalFormatting sqref="K26:M26">
    <cfRule type="cellIs" dxfId="203" priority="11" stopIfTrue="1" operator="equal">
      <formula>"Mixture Computed"</formula>
    </cfRule>
    <cfRule type="cellIs" dxfId="202" priority="12" stopIfTrue="1" operator="equal">
      <formula>"MIXTURE NOT COMPUTED"</formula>
    </cfRule>
  </conditionalFormatting>
  <conditionalFormatting sqref="K56">
    <cfRule type="cellIs" dxfId="201" priority="8" stopIfTrue="1" operator="greaterThanOrEqual">
      <formula>$N$56</formula>
    </cfRule>
    <cfRule type="cellIs" dxfId="200" priority="9" stopIfTrue="1" operator="notBetween">
      <formula>$L$56</formula>
      <formula>$M$56</formula>
    </cfRule>
    <cfRule type="cellIs" dxfId="199" priority="10" stopIfTrue="1" operator="between">
      <formula>$L$56</formula>
      <formula>$M$56</formula>
    </cfRule>
  </conditionalFormatting>
  <conditionalFormatting sqref="K54">
    <cfRule type="cellIs" dxfId="198" priority="5" stopIfTrue="1" operator="greaterThanOrEqual">
      <formula>$N$54</formula>
    </cfRule>
    <cfRule type="cellIs" dxfId="197" priority="6" stopIfTrue="1" operator="notBetween">
      <formula>$L$54</formula>
      <formula>$M$54</formula>
    </cfRule>
    <cfRule type="cellIs" dxfId="196" priority="7" stopIfTrue="1" operator="between">
      <formula>$L$54</formula>
      <formula>$M$54</formula>
    </cfRule>
  </conditionalFormatting>
  <conditionalFormatting sqref="K57">
    <cfRule type="cellIs" dxfId="195" priority="3" stopIfTrue="1" operator="greaterThanOrEqual">
      <formula>$L$57</formula>
    </cfRule>
    <cfRule type="cellIs" dxfId="194" priority="4" stopIfTrue="1" operator="lessThan">
      <formula>$L$57</formula>
    </cfRule>
  </conditionalFormatting>
  <conditionalFormatting sqref="K55">
    <cfRule type="cellIs" dxfId="193" priority="1" stopIfTrue="1" operator="greaterThanOrEqual">
      <formula>0</formula>
    </cfRule>
    <cfRule type="cellIs" dxfId="19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Management\[15141_Vent_Test_Plan_v20_071.xlsm]DB</v>
      </c>
    </row>
    <row r="2" spans="1:12" ht="24" hidden="1" customHeight="1">
      <c r="A2" s="16">
        <f ca="1">FIND("]",A1,1)</f>
        <v>107</v>
      </c>
    </row>
    <row r="3" spans="1:12" ht="23.25" hidden="1" customHeight="1">
      <c r="A3" s="16">
        <f ca="1">LEN(A1)</f>
        <v>109</v>
      </c>
    </row>
    <row r="4" spans="1:12" ht="21" hidden="1" customHeight="1">
      <c r="A4" s="16" t="str">
        <f ca="1">RIGHT(A1,A3-A2)</f>
        <v>DB</v>
      </c>
    </row>
    <row r="5" spans="1:12" ht="20.25" hidden="1" customHeight="1">
      <c r="A5" s="1" t="s">
        <v>790</v>
      </c>
    </row>
    <row r="6" spans="1:12" ht="18.75">
      <c r="A6" s="54" t="str">
        <f ca="1">CONCATENATE(A5,A4)</f>
        <v>Table A-DB</v>
      </c>
      <c r="K6" s="2" t="s">
        <v>792</v>
      </c>
    </row>
    <row r="7" spans="1:12" ht="18.75">
      <c r="A7" s="4" t="s">
        <v>794</v>
      </c>
      <c r="K7" t="s">
        <v>793</v>
      </c>
    </row>
    <row r="8" spans="1:12">
      <c r="A8" s="45" t="str">
        <f ca="1">INDEX(SourceDescription,MATCH($A$4,SourceNumber,0),1,1) &amp; " (" &amp; INDEX(SourceID,MATCH($A$4,SourceNumber,0),1,1) &amp; ")"</f>
        <v>200 hp Diesel Truck (DT)</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0.49999999999999994</v>
      </c>
      <c r="E15" s="37" t="s">
        <v>807</v>
      </c>
      <c r="F15" s="85">
        <f ca="1">INDEX(SourceExitDiameter,MATCH($A$4,SourceNumber,0),1,1)</f>
        <v>0.1524390243902439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0.19634954084936204</v>
      </c>
      <c r="E16" s="37" t="s">
        <v>811</v>
      </c>
      <c r="F16" s="86">
        <f ca="1">$F$15^2*PI()/4</f>
        <v>1.8250812467407986E-2</v>
      </c>
      <c r="G16" s="1097" t="e">
        <f ca="1">G15^2*PI()/4</f>
        <v>#VALUE!</v>
      </c>
      <c r="H16" s="1112" t="e">
        <f ca="1">H15^2*PI()/4</f>
        <v>#VALUE!</v>
      </c>
      <c r="I16" s="1102" t="e">
        <f ca="1">$I$15^2*PI()/4</f>
        <v>#VALUE!</v>
      </c>
    </row>
    <row r="17" spans="1:35" ht="18.75">
      <c r="A17" s="33">
        <f t="shared" si="0"/>
        <v>6</v>
      </c>
      <c r="B17" t="str">
        <f t="shared" si="1"/>
        <v>.</v>
      </c>
      <c r="C17" t="s">
        <v>821</v>
      </c>
      <c r="D17" s="33">
        <f ca="1">F17*3.28*60</f>
        <v>509.29581789406518</v>
      </c>
      <c r="E17" s="37" t="s">
        <v>808</v>
      </c>
      <c r="F17" s="85">
        <f ca="1">INDEX(SourceExitVelocity,MATCH($A$4,SourceNumber,0),1,1)</f>
        <v>2.5878852535267538</v>
      </c>
      <c r="G17" s="131" t="e">
        <f ca="1">G29*G46</f>
        <v>#VALUE!</v>
      </c>
      <c r="H17" s="86" t="e">
        <f ca="1">H29*H46</f>
        <v>#VALUE!</v>
      </c>
      <c r="I17" s="1102" t="e">
        <f ca="1">I29*I46</f>
        <v>#VALUE!</v>
      </c>
      <c r="J17" s="16"/>
    </row>
    <row r="18" spans="1:35" ht="20.25">
      <c r="A18" s="33">
        <f t="shared" si="0"/>
        <v>7</v>
      </c>
      <c r="B18" t="str">
        <f t="shared" si="1"/>
        <v>.</v>
      </c>
      <c r="C18" t="s">
        <v>822</v>
      </c>
      <c r="D18" s="33">
        <f ca="1">(F18-273.15)*(9/5)+32</f>
        <v>300.00000000000006</v>
      </c>
      <c r="E18" s="80" t="s">
        <v>812</v>
      </c>
      <c r="F18" s="85">
        <f ca="1">INDEX(SourceExitTemperature,MATCH($A$4,SourceNumber,0),1,1)</f>
        <v>422.03888888888889</v>
      </c>
      <c r="G18" s="83">
        <f>G22</f>
        <v>293.14999999999998</v>
      </c>
      <c r="H18" s="351">
        <f>H22</f>
        <v>293.14999999999998</v>
      </c>
      <c r="I18" s="1103" t="e">
        <f ca="1">I22/I53</f>
        <v>#VALUE!</v>
      </c>
    </row>
    <row r="19" spans="1:35" ht="18.75">
      <c r="A19" s="33">
        <f t="shared" si="0"/>
        <v>8</v>
      </c>
      <c r="B19" t="str">
        <f t="shared" si="1"/>
        <v>.</v>
      </c>
      <c r="C19" t="s">
        <v>82</v>
      </c>
      <c r="D19" s="33">
        <f ca="1">F19*3.28^3*60</f>
        <v>99.999999999999986</v>
      </c>
      <c r="E19" s="37" t="s">
        <v>813</v>
      </c>
      <c r="F19" s="86">
        <f ca="1">F17*F16</f>
        <v>4.7231008449287355E-2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4.9999999999999996E-2</v>
      </c>
      <c r="E49" s="37"/>
      <c r="F49" s="86">
        <f ca="1">$F$15/$F$14</f>
        <v>4.9999999999999996E-2</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191" priority="15" stopIfTrue="1" operator="equal">
      <formula>0</formula>
    </cfRule>
    <cfRule type="cellIs" dxfId="190" priority="16" stopIfTrue="1" operator="notEqual">
      <formula>0</formula>
    </cfRule>
  </conditionalFormatting>
  <conditionalFormatting sqref="K52">
    <cfRule type="cellIs" dxfId="189" priority="13" stopIfTrue="1" operator="lessThanOrEqual">
      <formula>0.00000001</formula>
    </cfRule>
    <cfRule type="cellIs" dxfId="188" priority="14" stopIfTrue="1" operator="greaterThan">
      <formula>0.00000001</formula>
    </cfRule>
  </conditionalFormatting>
  <conditionalFormatting sqref="K26:M26">
    <cfRule type="cellIs" dxfId="187" priority="11" stopIfTrue="1" operator="equal">
      <formula>"Mixture Computed"</formula>
    </cfRule>
    <cfRule type="cellIs" dxfId="186" priority="12" stopIfTrue="1" operator="equal">
      <formula>"MIXTURE NOT COMPUTED"</formula>
    </cfRule>
  </conditionalFormatting>
  <conditionalFormatting sqref="K56">
    <cfRule type="cellIs" dxfId="185" priority="8" stopIfTrue="1" operator="greaterThanOrEqual">
      <formula>$N$56</formula>
    </cfRule>
    <cfRule type="cellIs" dxfId="184" priority="9" stopIfTrue="1" operator="notBetween">
      <formula>$L$56</formula>
      <formula>$M$56</formula>
    </cfRule>
    <cfRule type="cellIs" dxfId="183" priority="10" stopIfTrue="1" operator="between">
      <formula>$L$56</formula>
      <formula>$M$56</formula>
    </cfRule>
  </conditionalFormatting>
  <conditionalFormatting sqref="K54">
    <cfRule type="cellIs" dxfId="182" priority="5" stopIfTrue="1" operator="greaterThanOrEqual">
      <formula>$N$54</formula>
    </cfRule>
    <cfRule type="cellIs" dxfId="181" priority="6" stopIfTrue="1" operator="notBetween">
      <formula>$L$54</formula>
      <formula>$M$54</formula>
    </cfRule>
    <cfRule type="cellIs" dxfId="180" priority="7" stopIfTrue="1" operator="between">
      <formula>$L$54</formula>
      <formula>$M$54</formula>
    </cfRule>
  </conditionalFormatting>
  <conditionalFormatting sqref="K57">
    <cfRule type="cellIs" dxfId="179" priority="3" stopIfTrue="1" operator="greaterThanOrEqual">
      <formula>$L$57</formula>
    </cfRule>
    <cfRule type="cellIs" dxfId="178" priority="4" stopIfTrue="1" operator="lessThan">
      <formula>$L$57</formula>
    </cfRule>
  </conditionalFormatting>
  <conditionalFormatting sqref="K55">
    <cfRule type="cellIs" dxfId="177" priority="1" stopIfTrue="1" operator="greaterThanOrEqual">
      <formula>0</formula>
    </cfRule>
    <cfRule type="cellIs" dxfId="17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\\cppwind\Projects\status\Active\15141 - 651 Gateway\Project Management\[15141_Vent_Test_Plan_v20_071.xlsm]DC</v>
      </c>
    </row>
    <row r="2" spans="1:12" ht="24" hidden="1" customHeight="1">
      <c r="A2" s="16">
        <f ca="1">FIND("]",A1,1)</f>
        <v>107</v>
      </c>
    </row>
    <row r="3" spans="1:12" ht="23.25" hidden="1" customHeight="1">
      <c r="A3" s="16">
        <f ca="1">LEN(A1)</f>
        <v>109</v>
      </c>
    </row>
    <row r="4" spans="1:12" ht="21" hidden="1" customHeight="1">
      <c r="A4" s="16" t="str">
        <f ca="1">RIGHT(A1,A3-A2)</f>
        <v>DC</v>
      </c>
    </row>
    <row r="5" spans="1:12" ht="20.25" hidden="1" customHeight="1">
      <c r="A5" s="1" t="s">
        <v>790</v>
      </c>
    </row>
    <row r="6" spans="1:12" ht="18.75">
      <c r="A6" s="54" t="str">
        <f ca="1">CONCATENATE(A5,A4)</f>
        <v>Table A-DC</v>
      </c>
      <c r="K6" s="2" t="s">
        <v>792</v>
      </c>
    </row>
    <row r="7" spans="1:12" ht="18.75">
      <c r="A7" s="4" t="s">
        <v>794</v>
      </c>
      <c r="K7" t="s">
        <v>793</v>
      </c>
    </row>
    <row r="8" spans="1:12">
      <c r="A8" s="45" t="str">
        <f ca="1">INDEX(SourceDescription,MATCH($A$4,SourceNumber,0),1,1) &amp; " (" &amp; INDEX(SourceID,MATCH($A$4,SourceNumber,0),1,1) &amp; ")"</f>
        <v>200 hp Diesel Ambulance (AMB)</v>
      </c>
    </row>
    <row r="9" spans="1:12">
      <c r="A9" s="16" t="str">
        <f>CONCATENATE("Anemometer Wind Speed =",UAnem1percent," m/s")</f>
        <v>Anemometer Wind Speed =1% Wind m/s</v>
      </c>
    </row>
    <row r="10" spans="1:12">
      <c r="A10" s="100"/>
      <c r="B10" s="31"/>
      <c r="C10" s="31"/>
      <c r="D10" s="1726" t="s">
        <v>805</v>
      </c>
      <c r="E10" s="1727"/>
      <c r="F10" s="375" t="s">
        <v>817</v>
      </c>
      <c r="G10" s="142" t="s">
        <v>704</v>
      </c>
      <c r="H10" s="375" t="s">
        <v>674</v>
      </c>
      <c r="I10" s="143" t="s">
        <v>904</v>
      </c>
    </row>
    <row r="11" spans="1:12">
      <c r="A11" s="1090" t="s">
        <v>795</v>
      </c>
      <c r="D11" s="1754" t="s">
        <v>806</v>
      </c>
      <c r="E11" s="1756"/>
      <c r="F11" s="76" t="s">
        <v>818</v>
      </c>
      <c r="G11" s="77" t="s">
        <v>818</v>
      </c>
      <c r="H11" s="76" t="s">
        <v>586</v>
      </c>
      <c r="I11" s="145" t="s">
        <v>806</v>
      </c>
    </row>
    <row r="12" spans="1:12">
      <c r="A12" s="33">
        <v>1</v>
      </c>
      <c r="B12" t="s">
        <v>796</v>
      </c>
      <c r="C12" s="16" t="str">
        <f>IF(BldgTerrFlag=1,"Typical Building Height, Hb (m)","Terrain Height, Ht (m)")</f>
        <v>Typical Building Height, Hb (m)</v>
      </c>
      <c r="D12" s="78" t="e">
        <f>F12*3.28</f>
        <v>#VALUE!</v>
      </c>
      <c r="E12" s="51" t="s">
        <v>807</v>
      </c>
      <c r="F12" s="350" t="e">
        <f>HbTypical</f>
        <v>#VALUE!</v>
      </c>
      <c r="G12" s="1094" t="e">
        <f>F12/SF</f>
        <v>#VALUE!</v>
      </c>
      <c r="H12" s="350" t="e">
        <f>G12</f>
        <v>#VALUE!</v>
      </c>
      <c r="I12" s="1100" t="e">
        <f>F12</f>
        <v>#VALUE!</v>
      </c>
    </row>
    <row r="13" spans="1:12">
      <c r="A13" s="33">
        <f t="shared" ref="A13:A39" si="0">A12+1</f>
        <v>2</v>
      </c>
      <c r="B13" t="str">
        <f t="shared" ref="B13:B39" si="1">B12</f>
        <v>.</v>
      </c>
      <c r="C13" t="s">
        <v>797</v>
      </c>
      <c r="D13" s="79" t="e">
        <f>F13*3.28</f>
        <v>#VALUE!</v>
      </c>
      <c r="E13" s="37" t="s">
        <v>807</v>
      </c>
      <c r="F13" s="85" t="e">
        <f>ZGrade</f>
        <v>#VALUE!</v>
      </c>
      <c r="G13" s="1095">
        <f>zGradeModel*12*2.54/100</f>
        <v>1524</v>
      </c>
      <c r="H13" s="85">
        <f>G13</f>
        <v>1524</v>
      </c>
      <c r="I13" s="1044" t="e">
        <f>F13</f>
        <v>#VALUE!</v>
      </c>
    </row>
    <row r="14" spans="1:12">
      <c r="A14" s="33">
        <f t="shared" si="0"/>
        <v>3</v>
      </c>
      <c r="B14" t="str">
        <f t="shared" si="1"/>
        <v>.</v>
      </c>
      <c r="C14" t="s">
        <v>800</v>
      </c>
      <c r="D14" s="79">
        <f ca="1">F14*3.28</f>
        <v>10</v>
      </c>
      <c r="E14" s="37" t="s">
        <v>807</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798</v>
      </c>
      <c r="D15" s="79">
        <f ca="1">F15*3.28</f>
        <v>0.49999999999999994</v>
      </c>
      <c r="E15" s="37" t="s">
        <v>807</v>
      </c>
      <c r="F15" s="85">
        <f ca="1">INDEX(SourceExitDiameter,MATCH($A$4,SourceNumber,0),1,1)</f>
        <v>0.1524390243902439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466</v>
      </c>
    </row>
    <row r="16" spans="1:12" ht="20.25">
      <c r="A16" s="33">
        <f t="shared" si="0"/>
        <v>5</v>
      </c>
      <c r="B16" t="str">
        <f t="shared" si="1"/>
        <v>.</v>
      </c>
      <c r="C16" t="s">
        <v>820</v>
      </c>
      <c r="D16" s="79">
        <f ca="1">F16*3.28^2</f>
        <v>0.19634954084936204</v>
      </c>
      <c r="E16" s="37" t="s">
        <v>811</v>
      </c>
      <c r="F16" s="86">
        <f ca="1">$F$15^2*PI()/4</f>
        <v>1.8250812467407986E-2</v>
      </c>
      <c r="G16" s="1097" t="e">
        <f ca="1">G15^2*PI()/4</f>
        <v>#VALUE!</v>
      </c>
      <c r="H16" s="1112" t="e">
        <f ca="1">H15^2*PI()/4</f>
        <v>#VALUE!</v>
      </c>
      <c r="I16" s="1102" t="e">
        <f ca="1">$I$15^2*PI()/4</f>
        <v>#VALUE!</v>
      </c>
    </row>
    <row r="17" spans="1:35" ht="18.75">
      <c r="A17" s="33">
        <f t="shared" si="0"/>
        <v>6</v>
      </c>
      <c r="B17" t="str">
        <f t="shared" si="1"/>
        <v>.</v>
      </c>
      <c r="C17" t="s">
        <v>821</v>
      </c>
      <c r="D17" s="33">
        <f ca="1">F17*3.28*60</f>
        <v>509.29581789406518</v>
      </c>
      <c r="E17" s="37" t="s">
        <v>808</v>
      </c>
      <c r="F17" s="85">
        <f ca="1">INDEX(SourceExitVelocity,MATCH($A$4,SourceNumber,0),1,1)</f>
        <v>2.5878852535267538</v>
      </c>
      <c r="G17" s="131" t="e">
        <f ca="1">G29*G46</f>
        <v>#VALUE!</v>
      </c>
      <c r="H17" s="86" t="e">
        <f ca="1">H29*H46</f>
        <v>#VALUE!</v>
      </c>
      <c r="I17" s="1102" t="e">
        <f ca="1">I29*I46</f>
        <v>#VALUE!</v>
      </c>
      <c r="J17" s="16"/>
    </row>
    <row r="18" spans="1:35" ht="20.25">
      <c r="A18" s="33">
        <f t="shared" si="0"/>
        <v>7</v>
      </c>
      <c r="B18" t="str">
        <f t="shared" si="1"/>
        <v>.</v>
      </c>
      <c r="C18" t="s">
        <v>822</v>
      </c>
      <c r="D18" s="33">
        <f ca="1">(F18-273.15)*(9/5)+32</f>
        <v>300.00000000000006</v>
      </c>
      <c r="E18" s="80" t="s">
        <v>812</v>
      </c>
      <c r="F18" s="85">
        <f ca="1">INDEX(SourceExitTemperature,MATCH($A$4,SourceNumber,0),1,1)</f>
        <v>422.03888888888889</v>
      </c>
      <c r="G18" s="83">
        <f>G22</f>
        <v>293.14999999999998</v>
      </c>
      <c r="H18" s="351">
        <f>H22</f>
        <v>293.14999999999998</v>
      </c>
      <c r="I18" s="1103" t="e">
        <f ca="1">I22/I53</f>
        <v>#VALUE!</v>
      </c>
    </row>
    <row r="19" spans="1:35" ht="18.75">
      <c r="A19" s="33">
        <f t="shared" si="0"/>
        <v>8</v>
      </c>
      <c r="B19" t="str">
        <f t="shared" si="1"/>
        <v>.</v>
      </c>
      <c r="C19" t="s">
        <v>82</v>
      </c>
      <c r="D19" s="33">
        <f ca="1">F19*3.28^3*60</f>
        <v>99.999999999999986</v>
      </c>
      <c r="E19" s="37" t="s">
        <v>813</v>
      </c>
      <c r="F19" s="86">
        <f ca="1">F17*F16</f>
        <v>4.7231008449287355E-2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799</v>
      </c>
      <c r="D20" s="99" t="e">
        <f>IF(ISNUMBER(F20),F20*2.2*3600,NA())</f>
        <v>#N/A</v>
      </c>
      <c r="E20" s="37" t="s">
        <v>809</v>
      </c>
      <c r="F20" s="87" t="e">
        <f>NA()</f>
        <v>#N/A</v>
      </c>
      <c r="G20" s="126" t="e">
        <f>NA()</f>
        <v>#N/A</v>
      </c>
      <c r="H20" s="87" t="e">
        <f>NA()</f>
        <v>#N/A</v>
      </c>
      <c r="I20" s="106" t="e">
        <f>F20</f>
        <v>#N/A</v>
      </c>
      <c r="K20" s="121"/>
    </row>
    <row r="21" spans="1:35" ht="18.75">
      <c r="A21" s="33">
        <f t="shared" si="0"/>
        <v>10</v>
      </c>
      <c r="B21" t="str">
        <f t="shared" si="1"/>
        <v>.</v>
      </c>
      <c r="C21" t="s">
        <v>823</v>
      </c>
      <c r="D21" s="33" t="e">
        <f>F21*100/101325</f>
        <v>#VALUE!</v>
      </c>
      <c r="E21" s="37" t="s">
        <v>814</v>
      </c>
      <c r="F21" s="88" t="e">
        <f>1013*EXP(F13/-8350)</f>
        <v>#VALUE!</v>
      </c>
      <c r="G21" s="131">
        <f>1013*EXP(G13/-8350)</f>
        <v>844.0034094232484</v>
      </c>
      <c r="H21" s="86">
        <f>1013*EXP(H13/-8350)</f>
        <v>844.0034094232484</v>
      </c>
      <c r="I21" s="1044">
        <f>G21</f>
        <v>844.0034094232484</v>
      </c>
      <c r="K21" s="727" t="s">
        <v>905</v>
      </c>
      <c r="L21" s="728"/>
    </row>
    <row r="22" spans="1:35" ht="20.25">
      <c r="A22" s="33">
        <f t="shared" si="0"/>
        <v>11</v>
      </c>
      <c r="B22" t="str">
        <f t="shared" si="1"/>
        <v>.</v>
      </c>
      <c r="C22" t="s">
        <v>824</v>
      </c>
      <c r="D22" s="131" t="e">
        <f>(F22-273.15)*(9/5)+32</f>
        <v>#VALUE!</v>
      </c>
      <c r="E22" s="80" t="s">
        <v>812</v>
      </c>
      <c r="F22" s="85" t="e">
        <f>Ta</f>
        <v>#VALUE!</v>
      </c>
      <c r="G22" s="1095">
        <f>TaModel+273.15</f>
        <v>293.14999999999998</v>
      </c>
      <c r="H22" s="85">
        <f>TaModel+273.15</f>
        <v>293.14999999999998</v>
      </c>
      <c r="I22" s="1044" t="e">
        <f>F22</f>
        <v>#VALUE!</v>
      </c>
      <c r="K22" s="739" t="e">
        <f ca="1">I19*(60*3.28^3)</f>
        <v>#VALUE!</v>
      </c>
      <c r="L22" s="729" t="s">
        <v>906</v>
      </c>
    </row>
    <row r="23" spans="1:35" ht="20.25">
      <c r="A23" s="33">
        <f t="shared" si="0"/>
        <v>12</v>
      </c>
      <c r="B23" t="str">
        <f t="shared" si="1"/>
        <v>.</v>
      </c>
      <c r="C23" t="s">
        <v>70</v>
      </c>
      <c r="D23" s="33" t="e">
        <f>F23*2.2/3.28^3</f>
        <v>#VALUE!</v>
      </c>
      <c r="E23" s="37" t="s">
        <v>815</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808</v>
      </c>
    </row>
    <row r="24" spans="1:35" ht="20.25">
      <c r="A24" s="33">
        <f t="shared" si="0"/>
        <v>13</v>
      </c>
      <c r="B24" t="str">
        <f t="shared" si="1"/>
        <v>.</v>
      </c>
      <c r="C24" t="s">
        <v>71</v>
      </c>
      <c r="D24" s="33" t="e">
        <f ca="1">F24*2.2/3.28^3</f>
        <v>#VALUE!</v>
      </c>
      <c r="E24" s="37" t="s">
        <v>815</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816</v>
      </c>
      <c r="F25" s="89" t="e">
        <f>(145.8*$F$22^1.5)/(($F$22+110.4)*10^8*$F$23)</f>
        <v>#VALUE!</v>
      </c>
      <c r="G25" s="81">
        <f>(145.8*$G$22^1.5)/(($G$22+110.4)*10^8*$G$23)</f>
        <v>1.8078669869592544E-5</v>
      </c>
      <c r="H25" s="89">
        <f>(145.8*$H$22^1.5)/(($H$22+110.4)*10^8*$H$23)</f>
        <v>1.8078669869592544E-5</v>
      </c>
      <c r="I25" s="1104">
        <f>(145.8*$G$22^1.5)/(($G$22+110.4)*10^8*$G$23)</f>
        <v>1.8078669869592544E-5</v>
      </c>
      <c r="K25" s="121"/>
      <c r="AB25" t="s">
        <v>789</v>
      </c>
    </row>
    <row r="26" spans="1:35" ht="20.25">
      <c r="A26" s="33">
        <f t="shared" si="0"/>
        <v>15</v>
      </c>
      <c r="B26" t="str">
        <f t="shared" si="1"/>
        <v>.</v>
      </c>
      <c r="C26" t="s">
        <v>73</v>
      </c>
      <c r="D26" s="81" t="e">
        <f ca="1">F26*3.28^2</f>
        <v>#VALUE!</v>
      </c>
      <c r="E26" s="37" t="s">
        <v>816</v>
      </c>
      <c r="F26" s="89" t="e">
        <f ca="1">(145.8*$F$18^1.5)/(($F$18+110.4)*10^8*$F$24)</f>
        <v>#VALUE!</v>
      </c>
      <c r="G26" s="84">
        <f ca="1">Y33</f>
        <v>1.2614101430548026E-5</v>
      </c>
      <c r="H26" s="1113">
        <f>182.7*0.00001</f>
        <v>1.8270000000000001E-3</v>
      </c>
      <c r="I26" s="1104" t="e">
        <f ca="1">(145.8*$F$18^1.5)/(($F$18+110.4)*10^8*$F$24)</f>
        <v>#VALUE!</v>
      </c>
      <c r="K26" s="1875" t="str">
        <f ca="1">IF(W36=0,"Mixture Computed","Mixture NOT Computed")</f>
        <v>Mixture Computed</v>
      </c>
      <c r="L26" s="1875"/>
      <c r="M26" s="1875"/>
      <c r="AB26" s="100" t="s">
        <v>101</v>
      </c>
      <c r="AC26" s="31"/>
      <c r="AD26" s="31"/>
      <c r="AE26" s="31"/>
      <c r="AF26" s="31"/>
      <c r="AG26" s="31"/>
      <c r="AH26" s="31"/>
      <c r="AI26" s="51"/>
    </row>
    <row r="27" spans="1:35" ht="18.75">
      <c r="A27" s="33">
        <f t="shared" si="0"/>
        <v>16</v>
      </c>
      <c r="B27" t="str">
        <f t="shared" si="1"/>
        <v>.</v>
      </c>
      <c r="C27" t="s">
        <v>825</v>
      </c>
      <c r="D27" s="82" t="e">
        <f>F27*3.28*3600/5280</f>
        <v>#VALUE!</v>
      </c>
      <c r="E27" s="37" t="s">
        <v>810</v>
      </c>
      <c r="F27" s="86" t="e">
        <f>F31*(F28/F32)^F44</f>
        <v>#VALUE!</v>
      </c>
      <c r="G27" s="82" t="e">
        <f ca="1">G29*(G28/G30)^G45</f>
        <v>#VALUE!</v>
      </c>
      <c r="H27" s="88" t="e">
        <f>H29*(H28/H30)^H45</f>
        <v>#VALUE!</v>
      </c>
      <c r="I27" s="1102" t="e">
        <f>I31*(I28/I32)^I44</f>
        <v>#VALUE!</v>
      </c>
      <c r="K27" s="17"/>
      <c r="L27" s="18"/>
      <c r="M27" s="18"/>
      <c r="N27" s="18" t="s">
        <v>735</v>
      </c>
      <c r="O27" s="18"/>
      <c r="P27" s="18"/>
      <c r="Q27" s="18" t="s">
        <v>707</v>
      </c>
      <c r="R27" s="19"/>
      <c r="AB27" s="33" t="s">
        <v>100</v>
      </c>
      <c r="AI27" s="37"/>
    </row>
    <row r="28" spans="1:35" ht="18.75">
      <c r="A28" s="33">
        <f t="shared" si="0"/>
        <v>17</v>
      </c>
      <c r="B28" t="str">
        <f t="shared" si="1"/>
        <v>.</v>
      </c>
      <c r="C28" t="s">
        <v>826</v>
      </c>
      <c r="D28" s="82" t="e">
        <f>F28*3.28</f>
        <v>#VALUE!</v>
      </c>
      <c r="E28" s="37" t="s">
        <v>807</v>
      </c>
      <c r="F28" s="85" t="str">
        <f>Zinf</f>
        <v>Gradient Height</v>
      </c>
      <c r="G28" s="1095" t="e">
        <f>F28/SF</f>
        <v>#VALUE!</v>
      </c>
      <c r="H28" s="85" t="e">
        <f>G28</f>
        <v>#VALUE!</v>
      </c>
      <c r="I28" s="1044" t="str">
        <f>F28</f>
        <v>Gradient Height</v>
      </c>
      <c r="K28" s="20" t="s">
        <v>85</v>
      </c>
      <c r="L28" s="5" t="s">
        <v>778</v>
      </c>
      <c r="M28" s="5"/>
      <c r="N28" s="5" t="s">
        <v>737</v>
      </c>
      <c r="O28" s="5" t="s">
        <v>783</v>
      </c>
      <c r="P28" s="5" t="s">
        <v>736</v>
      </c>
      <c r="Q28" s="5" t="s">
        <v>786</v>
      </c>
      <c r="R28" s="21" t="s">
        <v>84</v>
      </c>
      <c r="AB28" s="33" t="s">
        <v>92</v>
      </c>
      <c r="AI28" s="37"/>
    </row>
    <row r="29" spans="1:35" ht="18.75">
      <c r="A29" s="33">
        <f t="shared" si="0"/>
        <v>18</v>
      </c>
      <c r="B29" t="str">
        <f t="shared" si="1"/>
        <v>.</v>
      </c>
      <c r="C29" t="s">
        <v>827</v>
      </c>
      <c r="D29" s="82" t="e">
        <f>F29*3.28*3600/5280</f>
        <v>#VALUE!</v>
      </c>
      <c r="E29" s="37" t="s">
        <v>810</v>
      </c>
      <c r="F29" s="86" t="e">
        <f>F27*(F30/F28)^F45</f>
        <v>#VALUE!</v>
      </c>
      <c r="G29" s="1095">
        <f ca="1">INDEX(SourceModelRefWS,MATCH($A$4,SourceNumber,0),1,1)</f>
        <v>6.001707317073171</v>
      </c>
      <c r="H29" s="158">
        <v>1.5</v>
      </c>
      <c r="I29" s="1102" t="e">
        <f>I27*(I30/I28)^I45</f>
        <v>#VALUE!</v>
      </c>
      <c r="K29" s="20" t="s">
        <v>779</v>
      </c>
      <c r="L29" s="5" t="s">
        <v>779</v>
      </c>
      <c r="M29" s="5" t="s">
        <v>780</v>
      </c>
      <c r="N29" s="5" t="s">
        <v>784</v>
      </c>
      <c r="O29" s="5" t="s">
        <v>740</v>
      </c>
      <c r="P29" s="5" t="s">
        <v>738</v>
      </c>
      <c r="Q29" s="5" t="s">
        <v>739</v>
      </c>
      <c r="R29" s="21" t="s">
        <v>85</v>
      </c>
      <c r="AB29" s="33"/>
      <c r="AD29" s="46">
        <v>4</v>
      </c>
      <c r="AE29" s="46">
        <v>6</v>
      </c>
      <c r="AI29" s="106">
        <v>8</v>
      </c>
    </row>
    <row r="30" spans="1:35" ht="20.25">
      <c r="A30" s="33">
        <f t="shared" si="0"/>
        <v>19</v>
      </c>
      <c r="B30" t="str">
        <f t="shared" si="1"/>
        <v>.</v>
      </c>
      <c r="C30" t="s">
        <v>828</v>
      </c>
      <c r="D30" s="82" t="e">
        <f>F30*3.28</f>
        <v>#VALUE!</v>
      </c>
      <c r="E30" s="37" t="s">
        <v>807</v>
      </c>
      <c r="F30" s="85" t="str">
        <f>SF</f>
        <v>scale</v>
      </c>
      <c r="G30" s="83" t="e">
        <f>F30/SF</f>
        <v>#VALUE!</v>
      </c>
      <c r="H30" s="351" t="e">
        <f>G30</f>
        <v>#VALUE!</v>
      </c>
      <c r="I30" s="1103" t="str">
        <f>F30</f>
        <v>scale</v>
      </c>
      <c r="K30" s="49"/>
      <c r="L30" s="38"/>
      <c r="M30" s="38"/>
      <c r="N30" s="38" t="s">
        <v>781</v>
      </c>
      <c r="O30" s="38" t="s">
        <v>782</v>
      </c>
      <c r="P30" s="38" t="s">
        <v>785</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829</v>
      </c>
      <c r="D31" s="82" t="e">
        <f>F31*3.28*3600/5280</f>
        <v>#VALUE!</v>
      </c>
      <c r="E31" s="37" t="s">
        <v>810</v>
      </c>
      <c r="F31" s="85" t="str">
        <f>UAnem1percent</f>
        <v>1% Wind</v>
      </c>
      <c r="G31" s="82" t="e">
        <f ca="1">G27*(G32/G28)^G44</f>
        <v>#VALUE!</v>
      </c>
      <c r="H31" s="88" t="e">
        <f>H27*(H32/H28)^H44</f>
        <v>#VALUE!</v>
      </c>
      <c r="I31" s="1044" t="str">
        <f>UAnem1percent</f>
        <v>1% Wind</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830</v>
      </c>
      <c r="D32" s="82" t="e">
        <f>F32*3.28</f>
        <v>#VALUE!</v>
      </c>
      <c r="E32" s="37" t="s">
        <v>807</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831</v>
      </c>
      <c r="D33" s="82" t="e">
        <f>F33*3.28*3600/5280</f>
        <v>#VALUE!</v>
      </c>
      <c r="E33" s="37" t="s">
        <v>810</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832</v>
      </c>
      <c r="D34" s="82" t="e">
        <f>F34*3.28</f>
        <v>#VALUE!</v>
      </c>
      <c r="E34" s="37" t="s">
        <v>807</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833</v>
      </c>
      <c r="D35" s="82" t="e">
        <f ca="1">F35*3.28*3600/5280</f>
        <v>#VALUE!</v>
      </c>
      <c r="E35" s="37" t="s">
        <v>810</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834</v>
      </c>
      <c r="D37" s="82">
        <f>F37*3.28</f>
        <v>9.8399999999999987E-2</v>
      </c>
      <c r="E37" s="37" t="s">
        <v>807</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835</v>
      </c>
      <c r="D38" s="82" t="e">
        <f>F38*3.28</f>
        <v>#VALUE!</v>
      </c>
      <c r="E38" s="37" t="s">
        <v>807</v>
      </c>
      <c r="F38" s="85" t="str">
        <f>ZoSite</f>
        <v>z0</v>
      </c>
      <c r="G38" s="84" t="e">
        <f>F38/SF</f>
        <v>#VALUE!</v>
      </c>
      <c r="H38" s="1114" t="e">
        <f>G38</f>
        <v>#VALUE!</v>
      </c>
      <c r="I38" s="1105" t="str">
        <f>F38</f>
        <v>z0</v>
      </c>
      <c r="AB38" s="5"/>
      <c r="AC38" s="5"/>
    </row>
    <row r="39" spans="1:36" ht="18.75">
      <c r="A39" s="33">
        <f t="shared" si="0"/>
        <v>28</v>
      </c>
      <c r="B39" t="str">
        <f t="shared" si="1"/>
        <v>.</v>
      </c>
      <c r="C39" t="s">
        <v>836</v>
      </c>
      <c r="D39" s="82" t="e">
        <f>F39*3.28*3600/5280</f>
        <v>#VALUE!</v>
      </c>
      <c r="E39" s="37" t="s">
        <v>810</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801</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803</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802</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837</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838</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839</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840</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804</v>
      </c>
      <c r="D49" s="83">
        <f t="shared" ca="1" si="5"/>
        <v>4.9999999999999996E-2</v>
      </c>
      <c r="E49" s="37"/>
      <c r="F49" s="86">
        <f ca="1">$F$15/$F$14</f>
        <v>4.9999999999999996E-2</v>
      </c>
      <c r="G49" s="131" t="e">
        <f ca="1">G15/G14</f>
        <v>#VALUE!</v>
      </c>
      <c r="H49" s="86" t="e">
        <f ca="1">H15/H14</f>
        <v>#VALUE!</v>
      </c>
      <c r="I49" s="1102" t="e">
        <f ca="1">$I$15/$I$14</f>
        <v>#VALUE!</v>
      </c>
    </row>
    <row r="50" spans="1:14" ht="18.75">
      <c r="A50" s="33">
        <f t="shared" si="6"/>
        <v>37</v>
      </c>
      <c r="B50" t="str">
        <f t="shared" si="7"/>
        <v>.</v>
      </c>
      <c r="C50" t="s">
        <v>841</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843</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842</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844</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845</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903</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175" priority="15" stopIfTrue="1" operator="equal">
      <formula>0</formula>
    </cfRule>
    <cfRule type="cellIs" dxfId="174" priority="16" stopIfTrue="1" operator="notEqual">
      <formula>0</formula>
    </cfRule>
  </conditionalFormatting>
  <conditionalFormatting sqref="K52">
    <cfRule type="cellIs" dxfId="173" priority="13" stopIfTrue="1" operator="lessThanOrEqual">
      <formula>0.00000001</formula>
    </cfRule>
    <cfRule type="cellIs" dxfId="172" priority="14" stopIfTrue="1" operator="greaterThan">
      <formula>0.00000001</formula>
    </cfRule>
  </conditionalFormatting>
  <conditionalFormatting sqref="K26:M26">
    <cfRule type="cellIs" dxfId="171" priority="11" stopIfTrue="1" operator="equal">
      <formula>"Mixture Computed"</formula>
    </cfRule>
    <cfRule type="cellIs" dxfId="170" priority="12" stopIfTrue="1" operator="equal">
      <formula>"MIXTURE NOT COMPUTED"</formula>
    </cfRule>
  </conditionalFormatting>
  <conditionalFormatting sqref="K56">
    <cfRule type="cellIs" dxfId="169" priority="8" stopIfTrue="1" operator="greaterThanOrEqual">
      <formula>$N$56</formula>
    </cfRule>
    <cfRule type="cellIs" dxfId="168" priority="9" stopIfTrue="1" operator="notBetween">
      <formula>$L$56</formula>
      <formula>$M$56</formula>
    </cfRule>
    <cfRule type="cellIs" dxfId="167" priority="10" stopIfTrue="1" operator="between">
      <formula>$L$56</formula>
      <formula>$M$56</formula>
    </cfRule>
  </conditionalFormatting>
  <conditionalFormatting sqref="K54">
    <cfRule type="cellIs" dxfId="166" priority="5" stopIfTrue="1" operator="greaterThanOrEqual">
      <formula>$N$54</formula>
    </cfRule>
    <cfRule type="cellIs" dxfId="165" priority="6" stopIfTrue="1" operator="notBetween">
      <formula>$L$54</formula>
      <formula>$M$54</formula>
    </cfRule>
    <cfRule type="cellIs" dxfId="164" priority="7" stopIfTrue="1" operator="between">
      <formula>$L$54</formula>
      <formula>$M$54</formula>
    </cfRule>
  </conditionalFormatting>
  <conditionalFormatting sqref="K57">
    <cfRule type="cellIs" dxfId="163" priority="3" stopIfTrue="1" operator="greaterThanOrEqual">
      <formula>$L$57</formula>
    </cfRule>
    <cfRule type="cellIs" dxfId="162" priority="4" stopIfTrue="1" operator="lessThan">
      <formula>$L$57</formula>
    </cfRule>
  </conditionalFormatting>
  <conditionalFormatting sqref="K55">
    <cfRule type="cellIs" dxfId="161" priority="1" stopIfTrue="1" operator="greaterThanOrEqual">
      <formula>0</formula>
    </cfRule>
    <cfRule type="cellIs" dxfId="16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7">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Management\[15141_Vent_Test_Plan_v20_071.xlsm]1</v>
      </c>
    </row>
    <row r="2" spans="1:11" ht="24" hidden="1" customHeight="1">
      <c r="A2" s="16">
        <f ca="1">FIND("]",A1,1)</f>
        <v>107</v>
      </c>
    </row>
    <row r="3" spans="1:11" ht="23.25" hidden="1" customHeight="1">
      <c r="A3" s="16">
        <f ca="1">LEN(A1)</f>
        <v>108</v>
      </c>
    </row>
    <row r="4" spans="1:11" ht="18" hidden="1" customHeight="1">
      <c r="A4" s="16">
        <f ca="1">VALUE(RIGHT(A1,A3-A2))</f>
        <v>1</v>
      </c>
    </row>
    <row r="5" spans="1:11" ht="18" hidden="1" customHeight="1">
      <c r="A5" s="1" t="s">
        <v>790</v>
      </c>
    </row>
    <row r="6" spans="1:11" ht="18.75">
      <c r="A6" s="54" t="str">
        <f ca="1">CONCATENATE(A5,A4)</f>
        <v>Table A-1</v>
      </c>
      <c r="J6" s="2" t="s">
        <v>792</v>
      </c>
    </row>
    <row r="7" spans="1:11" ht="18.75">
      <c r="A7" s="4" t="s">
        <v>794</v>
      </c>
      <c r="J7" t="s">
        <v>793</v>
      </c>
    </row>
    <row r="8" spans="1:11">
      <c r="A8" s="45" t="str">
        <f ca="1">INDEX(SourceDescription,MATCH($A$4,SourceNumber,0),1,1) &amp; " (" &amp; INDEX(SourceID,MATCH($A$4,SourceNumber,0),1,1) &amp; ")"</f>
        <v>Lab Air Handling Unit 1 (AHU Labs-1)</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f ca="1">F14*3.28</f>
        <v>5</v>
      </c>
      <c r="E14" s="37" t="s">
        <v>807</v>
      </c>
      <c r="F14" s="85">
        <f ca="1">INDEX(SourceHeightAboveBase,MATCH($A$4,SourceNumber,0),1,1)+INDEX(SourceBaseHeightAboveGrade,MATCH($A$4,SourceNumber,0),1,1)</f>
        <v>1.524390243902439</v>
      </c>
      <c r="G14" s="85" t="e">
        <f ca="1">F14/SF</f>
        <v>#VALUE!</v>
      </c>
      <c r="H14" s="1044" t="e">
        <f ca="1">G14</f>
        <v>#VALUE!</v>
      </c>
      <c r="I14" s="16"/>
    </row>
    <row r="15" spans="1:11">
      <c r="A15" s="33">
        <f t="shared" si="0"/>
        <v>4</v>
      </c>
      <c r="B15" t="str">
        <f t="shared" si="1"/>
        <v>.</v>
      </c>
      <c r="C15" t="s">
        <v>798</v>
      </c>
      <c r="D15" s="79">
        <f ca="1">F15*3.28</f>
        <v>14.383333333333331</v>
      </c>
      <c r="E15" s="37" t="s">
        <v>807</v>
      </c>
      <c r="F15" s="85">
        <f ca="1">INDEX(SourceExitDiameter,MATCH($A$4,SourceNumber,0),1,1)</f>
        <v>4.3851626016260159</v>
      </c>
      <c r="G15" s="1111" t="e">
        <f ca="1">INDEX(SelectedModelEquivID,MATCH($A$4,SourceNumber,0),1,1)*(2.54/100)</f>
        <v>#VALUE!</v>
      </c>
      <c r="H15" s="1130" t="e">
        <f ca="1">G15</f>
        <v>#VALUE!</v>
      </c>
      <c r="I15" s="16"/>
      <c r="J15" s="169" t="e">
        <f ca="1">(G15*100/2.54)*32</f>
        <v>#VALUE!</v>
      </c>
      <c r="K15" s="319" t="s">
        <v>466</v>
      </c>
    </row>
    <row r="16" spans="1:11" ht="20.25">
      <c r="A16" s="33">
        <f t="shared" si="0"/>
        <v>5</v>
      </c>
      <c r="B16" t="str">
        <f t="shared" si="1"/>
        <v>.</v>
      </c>
      <c r="C16" t="s">
        <v>820</v>
      </c>
      <c r="D16" s="79">
        <f ca="1">F16*3.28^2</f>
        <v>162.48339020982053</v>
      </c>
      <c r="E16" s="37" t="s">
        <v>811</v>
      </c>
      <c r="F16" s="86">
        <f ca="1">$F$15^2*PI()/4</f>
        <v>15.102932611709972</v>
      </c>
      <c r="G16" s="1112" t="e">
        <f ca="1">G15^2*PI()/4</f>
        <v>#VALUE!</v>
      </c>
      <c r="H16" s="1131" t="e">
        <f ca="1">H15^2*PI()/4</f>
        <v>#VALUE!</v>
      </c>
    </row>
    <row r="17" spans="1:34" ht="18.75">
      <c r="A17" s="33">
        <f t="shared" si="0"/>
        <v>6</v>
      </c>
      <c r="B17" t="str">
        <f t="shared" si="1"/>
        <v>.</v>
      </c>
      <c r="C17" t="s">
        <v>821</v>
      </c>
      <c r="D17" s="33">
        <f ca="1">F17*3.28*60</f>
        <v>615.44752279520048</v>
      </c>
      <c r="E17" s="37" t="s">
        <v>808</v>
      </c>
      <c r="F17" s="85">
        <f ca="1">INDEX(SourceExitVelocity,MATCH($A$4,SourceNumber,0),1,1)</f>
        <v>3.1272739979430924</v>
      </c>
      <c r="G17" s="86" t="e">
        <f ca="1">G29*G46</f>
        <v>#VALUE!</v>
      </c>
      <c r="H17" s="1102" t="e">
        <f ca="1">H29*H46</f>
        <v>#VALUE!</v>
      </c>
      <c r="I17" s="16"/>
    </row>
    <row r="18" spans="1:34" ht="20.25">
      <c r="A18" s="33">
        <f t="shared" si="0"/>
        <v>7</v>
      </c>
      <c r="B18" t="str">
        <f t="shared" si="1"/>
        <v>.</v>
      </c>
      <c r="C18" t="s">
        <v>822</v>
      </c>
      <c r="D18" s="33" t="e">
        <f ca="1">(F18-273.15)*(9/5)+32</f>
        <v>#VALUE!</v>
      </c>
      <c r="E18" s="80" t="s">
        <v>812</v>
      </c>
      <c r="F18" s="85" t="e">
        <f ca="1">INDEX(SourceExitTemperature,MATCH($A$4,SourceNumber,0),1,1)</f>
        <v>#VALUE!</v>
      </c>
      <c r="G18" s="351">
        <f>G22</f>
        <v>293.14999999999998</v>
      </c>
      <c r="H18" s="1103">
        <f>H22</f>
        <v>293.14999999999998</v>
      </c>
    </row>
    <row r="19" spans="1:34" ht="18.75">
      <c r="A19" s="33">
        <f t="shared" si="0"/>
        <v>8</v>
      </c>
      <c r="B19" t="str">
        <f t="shared" si="1"/>
        <v>.</v>
      </c>
      <c r="C19" t="s">
        <v>82</v>
      </c>
      <c r="D19" s="33">
        <f ca="1">F19*3.28^3*60</f>
        <v>99999.999999999971</v>
      </c>
      <c r="E19" s="37" t="s">
        <v>813</v>
      </c>
      <c r="F19" s="86">
        <f ca="1">F17*F16</f>
        <v>47.231008449287351</v>
      </c>
      <c r="G19" s="1112" t="e">
        <f ca="1">G16*G17</f>
        <v>#VALUE!</v>
      </c>
      <c r="H19" s="1131" t="e">
        <f ca="1">H16*H17</f>
        <v>#VALUE!</v>
      </c>
      <c r="I19" s="107" t="s">
        <v>83</v>
      </c>
      <c r="J19" s="121" t="e">
        <f ca="1">G19*100^3</f>
        <v>#VALUE!</v>
      </c>
      <c r="K19" s="121" t="e">
        <f ca="1">H19*100^3</f>
        <v>#VALUE!</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#VALUE!</v>
      </c>
      <c r="E24" s="37" t="s">
        <v>815</v>
      </c>
      <c r="F24" s="88" t="e">
        <f ca="1">(28.96/22.41383)*(273.15/$F$18)*($F$21/1013)</f>
        <v>#VALUE!</v>
      </c>
      <c r="G24" s="86">
        <f ca="1">$G$23*$G$53</f>
        <v>1.0030637736235697</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#VALUE!</v>
      </c>
      <c r="E26" s="37" t="s">
        <v>816</v>
      </c>
      <c r="F26" s="89" t="e">
        <f ca="1">(145.8*$F$18^1.5)/(($F$18+110.4)*10^8*$F$24)</f>
        <v>#VALUE!</v>
      </c>
      <c r="G26" s="1114">
        <f ca="1">X33</f>
        <v>1.4138263848225382E-5</v>
      </c>
      <c r="H26" s="1132">
        <f>182.7*0.00001</f>
        <v>1.8270000000000001E-3</v>
      </c>
      <c r="J26" s="1875" t="str">
        <f ca="1">IF(V36=0,"Mixture Computed","Mixture NOT Computed")</f>
        <v>Mixture Computed</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#VALUE!</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f ca="1">INDEX(SourceModelRefWS,MATCH($A$4,SourceNumber,0),1,1)</f>
        <v>6.001707317073171</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#VALUE!</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f ca="1">(M31*Q31)+(M32*Q32)+(M33*Q33)</f>
        <v>28.963999999999999</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f ca="1">IF($G$53=0.9743,14,9)</f>
        <v>9</v>
      </c>
      <c r="L32" s="109" t="str">
        <f ca="1">INDEX(GasData,MATCH($K32,GasNum,0),2)</f>
        <v>Helium</v>
      </c>
      <c r="M32" s="32">
        <f ca="1">INDEX(GasData,MATCH($K32,GasNum,0),3)</f>
        <v>4.0026000000000002</v>
      </c>
      <c r="N32" s="32">
        <f ca="1">INDEX(GasData,MATCH($K32,GasNum,0),4)</f>
        <v>20</v>
      </c>
      <c r="O32" s="32">
        <f ca="1">INDEX(GasData,MATCH($K32,GasNum,0),5)</f>
        <v>194.1</v>
      </c>
      <c r="P32" s="32">
        <f ca="1">INDEX(GasData,MATCH($K32,GasNum,0),6)</f>
        <v>1.6639390869541433E-4</v>
      </c>
      <c r="Q32" s="133">
        <v>0</v>
      </c>
      <c r="U32" s="107" t="s">
        <v>89</v>
      </c>
      <c r="V32">
        <f ca="1">AH43*10^-6</f>
        <v>1.827E-4</v>
      </c>
      <c r="W32" t="s">
        <v>104</v>
      </c>
      <c r="AA32" s="42">
        <f>AA31</f>
        <v>1</v>
      </c>
      <c r="AB32" s="102">
        <f>AB31+1</f>
        <v>2</v>
      </c>
      <c r="AC32" s="121">
        <f t="shared" ca="1" si="2"/>
        <v>7.2362964073352316</v>
      </c>
      <c r="AD32" s="121">
        <f t="shared" ca="1" si="2"/>
        <v>0.9412673879443586</v>
      </c>
      <c r="AE32">
        <f ca="1">(8^-0.5)*((1+(AC32))^-0.5)*(1+((AD32)^0.5)*((1/AC32)^0.25))^2</f>
        <v>0.31204638814964564</v>
      </c>
      <c r="AF32">
        <f ca="1">VLOOKUP($AB32,$J$31:$Q$33,$AH$29)*AE32</f>
        <v>0</v>
      </c>
    </row>
    <row r="33" spans="1:35" ht="20.25">
      <c r="A33" s="33">
        <f t="shared" si="0"/>
        <v>22</v>
      </c>
      <c r="B33" t="str">
        <f t="shared" si="1"/>
        <v>.</v>
      </c>
      <c r="C33" t="s">
        <v>831</v>
      </c>
      <c r="D33" s="82" t="e">
        <f>F33*3.28*3600/5280</f>
        <v>#VALUE!</v>
      </c>
      <c r="E33" s="37" t="s">
        <v>810</v>
      </c>
      <c r="F33" s="88" t="e">
        <f>F27*(F34/F28)^F45</f>
        <v>#VALUE!</v>
      </c>
      <c r="G33" s="88" t="e">
        <f ca="1">G27*(G34/G28)^G45</f>
        <v>#VALUE!</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f ca="1">V32*22.41383*1000/V31</f>
        <v>0.14138263848225383</v>
      </c>
      <c r="W33" t="s">
        <v>105</v>
      </c>
      <c r="X33">
        <f ca="1">V33/100^2</f>
        <v>1.4138263848225382E-5</v>
      </c>
      <c r="Y33" t="s">
        <v>108</v>
      </c>
      <c r="AA33" s="42">
        <f>AA32</f>
        <v>1</v>
      </c>
      <c r="AB33" s="102">
        <f>AB32+1</f>
        <v>3</v>
      </c>
      <c r="AC33" s="121">
        <f t="shared" si="2"/>
        <v>28.963999999999999</v>
      </c>
      <c r="AD33" s="121">
        <f t="shared" si="2"/>
        <v>182.7</v>
      </c>
      <c r="AE33">
        <f>(8^-0.5)*((1+(AC33))^-0.5)*(1+((AD33)^0.5)*((1/AC33)^0.25))^2</f>
        <v>3.0098578800154878</v>
      </c>
      <c r="AF33">
        <f>VLOOKUP($AB33,$J$31:$Q$33,$AH$29)*AE33</f>
        <v>0</v>
      </c>
      <c r="AG33">
        <f ca="1">SUM(AF31:AF33)</f>
        <v>0.99999999999999978</v>
      </c>
      <c r="AH33">
        <f ca="1">VLOOKUP($AA33,$J$31:$Q$33,$AH$29)*VLOOKUP($AA31,$J$31:$Q$33,$AD$29)/$AG33</f>
        <v>182.70000000000002</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f ca="1">V31/M35</f>
        <v>1</v>
      </c>
      <c r="AA34" s="5"/>
      <c r="AB34" s="5"/>
    </row>
    <row r="35" spans="1:35" ht="18.75">
      <c r="A35" s="33">
        <f t="shared" si="0"/>
        <v>24</v>
      </c>
      <c r="B35" t="str">
        <f t="shared" si="1"/>
        <v>.</v>
      </c>
      <c r="C35" t="s">
        <v>833</v>
      </c>
      <c r="D35" s="82" t="e">
        <f ca="1">F35*3.28*3600/5280</f>
        <v>#VALUE!</v>
      </c>
      <c r="E35" s="37" t="s">
        <v>810</v>
      </c>
      <c r="F35" s="88" t="e">
        <f ca="1">F27*(F14/F28)^F45</f>
        <v>#VALUE!</v>
      </c>
      <c r="G35" s="88" t="e">
        <f ca="1">G27*(G14/G28)^G45</f>
        <v>#VALUE!</v>
      </c>
      <c r="H35" s="277" t="e">
        <f ca="1">H27*(H14/H28)^H45</f>
        <v>#VALUE!</v>
      </c>
      <c r="K35" s="46">
        <v>1</v>
      </c>
      <c r="L35" s="5" t="str">
        <f>INDEX(GasData,MATCH($K35,GasNum,0),2)</f>
        <v>Air</v>
      </c>
      <c r="M35" s="32">
        <f>INDEX(GasData,MATCH($K35,GasNum,0),3)</f>
        <v>28.963999999999999</v>
      </c>
      <c r="N35" s="32"/>
      <c r="O35" s="32"/>
      <c r="P35" s="32"/>
      <c r="Q35" s="133"/>
      <c r="U35" s="107" t="s">
        <v>107</v>
      </c>
      <c r="V35">
        <f ca="1">V34-G53</f>
        <v>0</v>
      </c>
      <c r="AA35" s="46">
        <v>2</v>
      </c>
      <c r="AB35" s="46">
        <v>1</v>
      </c>
      <c r="AC35" s="121">
        <f t="shared" ref="AC35:AD37" ca="1" si="3">VLOOKUP($AA35,$J$31:$Q$33,AC$29)/VLOOKUP($AB35,$J$31:$Q$33,AC$29)</f>
        <v>0.13819223864107169</v>
      </c>
      <c r="AD35" s="121">
        <f t="shared" ca="1" si="3"/>
        <v>1.0623973727422005</v>
      </c>
      <c r="AE35">
        <f ca="1">(8^-0.5)*((1+(AC35))^-0.5)*(1+((AD35)^0.5)*((1/AC35)^0.25))^2</f>
        <v>2.3989571788103832</v>
      </c>
      <c r="AF35">
        <f ca="1">VLOOKUP($AB35,$J$31:$Q$33,$AH$29)*AE35</f>
        <v>2.3989571788103832</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#VALUE!</v>
      </c>
      <c r="H36" s="277" t="e">
        <f>H27*(H12/H28)^H45</f>
        <v>#VALUE!</v>
      </c>
      <c r="U36" s="107" t="s">
        <v>109</v>
      </c>
      <c r="V36" s="121">
        <f ca="1">ROUND(V35,3)</f>
        <v>0</v>
      </c>
      <c r="AA36" s="42">
        <f>AA35</f>
        <v>2</v>
      </c>
      <c r="AB36" s="102">
        <f>AB35+1</f>
        <v>2</v>
      </c>
      <c r="AC36" s="121">
        <f t="shared" ca="1" si="3"/>
        <v>1</v>
      </c>
      <c r="AD36" s="121">
        <f t="shared" ca="1" si="3"/>
        <v>1</v>
      </c>
      <c r="AE36">
        <f ca="1">(8^-0.5)*((1+(AC36))^-0.5)*(1+((AD36)^0.5)*((1/AC36)^0.25))^2</f>
        <v>0.99999999999999978</v>
      </c>
      <c r="AF36">
        <f ca="1">VLOOKUP($AB36,$J$31:$Q$33,$AH$29)*AE36</f>
        <v>0</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f t="shared" ca="1" si="3"/>
        <v>4.0026000000000002</v>
      </c>
      <c r="AD37" s="121">
        <f t="shared" ca="1" si="3"/>
        <v>194.1</v>
      </c>
      <c r="AE37">
        <f ca="1">(8^-0.5)*((1+(AC37))^-0.5)*(1+((AD37)^0.5)*((1/AC37)^0.25))^2</f>
        <v>18.608022962630464</v>
      </c>
      <c r="AF37">
        <f ca="1">VLOOKUP($AB37,$J$31:$Q$33,$AH$29)*AE37</f>
        <v>0</v>
      </c>
      <c r="AG37">
        <f ca="1">SUM(AF35:AF37)</f>
        <v>2.3989571788103832</v>
      </c>
      <c r="AH37">
        <f ca="1">VLOOKUP($AA37,$J$31:$Q$33,$AH$29)*VLOOKUP($AA35,$J$31:$Q$33,$AD$29)/$AG37</f>
        <v>0</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f t="shared" ca="1" si="4"/>
        <v>0.24983760555638834</v>
      </c>
      <c r="AD40" s="121">
        <f t="shared" ca="1" si="4"/>
        <v>5.1519835136527563E-3</v>
      </c>
      <c r="AE40" s="3">
        <f ca="1">(8^-0.5)*((1+(AC40))^-0.5)*(1+((AD40)^0.5)*((1/AC40)^0.25))^2</f>
        <v>0.38372216749214155</v>
      </c>
      <c r="AF40">
        <f ca="1">VLOOKUP($AB40,$J$31:$Q$33,$AH$29)*AE40</f>
        <v>0</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f ca="1">SUM(AF39:AF41)</f>
        <v>0.4771621436057395</v>
      </c>
      <c r="AH41">
        <f ca="1">VLOOKUP($AA41,$J$31:$Q$33,$AH$29)*VLOOKUP($AA39,$J$31:$Q$33,$AD$29)/$AG41</f>
        <v>0</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f ca="1">SUM(AH33:AH41)</f>
        <v>182.70000000000002</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#VALUE!</v>
      </c>
      <c r="E46" s="37"/>
      <c r="F46" s="134" t="e">
        <f ca="1">$F$17/$F$29</f>
        <v>#VALUE!</v>
      </c>
      <c r="G46" s="86" t="e">
        <f ca="1">(G50/(G53*G49^2))^0.5</f>
        <v>#VALUE!</v>
      </c>
      <c r="H46" s="1102" t="e">
        <f ca="1">(H50/(H53*H49^2))^0.5</f>
        <v>#VALUE!</v>
      </c>
      <c r="I46" s="1123"/>
    </row>
    <row r="47" spans="1:35" ht="18.75">
      <c r="A47" s="33">
        <f t="shared" si="6"/>
        <v>34</v>
      </c>
      <c r="B47" t="str">
        <f t="shared" si="7"/>
        <v>.</v>
      </c>
      <c r="C47" t="s">
        <v>840</v>
      </c>
      <c r="D47" s="83" t="e">
        <f t="shared" ca="1" si="5"/>
        <v>#VALUE!</v>
      </c>
      <c r="E47" s="37"/>
      <c r="F47" s="134" t="e">
        <f ca="1">$F$17/$F$35</f>
        <v>#VALUE!</v>
      </c>
      <c r="G47" s="88" t="e">
        <f ca="1">G17/G35</f>
        <v>#VALUE!</v>
      </c>
      <c r="H47" s="277" t="e">
        <f ca="1">H17/H35</f>
        <v>#VALUE!</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86" t="e">
        <f ca="1">G14/G12</f>
        <v>#VALUE!</v>
      </c>
      <c r="H48" s="1102" t="e">
        <f ca="1">H14/H12</f>
        <v>#VALUE!</v>
      </c>
      <c r="I48" s="1124"/>
    </row>
    <row r="49" spans="1:13">
      <c r="A49" s="33">
        <f t="shared" si="6"/>
        <v>36</v>
      </c>
      <c r="B49" t="str">
        <f t="shared" si="7"/>
        <v>.</v>
      </c>
      <c r="C49" t="s">
        <v>804</v>
      </c>
      <c r="D49" s="83">
        <f t="shared" ca="1" si="5"/>
        <v>2.8766666666666665</v>
      </c>
      <c r="E49" s="37"/>
      <c r="F49" s="86">
        <f ca="1">$F$15/$F$14</f>
        <v>2.8766666666666665</v>
      </c>
      <c r="G49" s="86" t="e">
        <f ca="1">G15/G14</f>
        <v>#VALUE!</v>
      </c>
      <c r="H49" s="1102" t="e">
        <f ca="1">H15/H14</f>
        <v>#VALUE!</v>
      </c>
      <c r="I49" s="121"/>
    </row>
    <row r="50" spans="1:13" ht="18.75">
      <c r="A50" s="33">
        <f t="shared" si="6"/>
        <v>37</v>
      </c>
      <c r="B50" t="str">
        <f t="shared" si="7"/>
        <v>.</v>
      </c>
      <c r="C50" t="s">
        <v>841</v>
      </c>
      <c r="D50" s="84" t="e">
        <f t="shared" ca="1" si="5"/>
        <v>#VALUE!</v>
      </c>
      <c r="E50" s="37"/>
      <c r="F50" s="89" t="e">
        <f ca="1">F46^2*F53*F49^2</f>
        <v>#VALUE!</v>
      </c>
      <c r="G50" s="1114" t="e">
        <f ca="1">F50</f>
        <v>#VALUE!</v>
      </c>
      <c r="H50" s="1134" t="e">
        <f ca="1">G50</f>
        <v>#VALUE!</v>
      </c>
      <c r="I50" s="1125"/>
      <c r="J50" s="110" t="e">
        <f ca="1">F50-G50</f>
        <v>#VALUE!</v>
      </c>
      <c r="K50" t="s">
        <v>110</v>
      </c>
    </row>
    <row r="51" spans="1:13" ht="18.75">
      <c r="A51" s="33">
        <f t="shared" si="6"/>
        <v>38</v>
      </c>
      <c r="B51" t="str">
        <f t="shared" si="7"/>
        <v>.</v>
      </c>
      <c r="C51" t="s">
        <v>843</v>
      </c>
      <c r="D51" s="83" t="e">
        <f t="shared" ca="1" si="5"/>
        <v>#VALUE!</v>
      </c>
      <c r="E51" s="37"/>
      <c r="F51" s="86" t="e">
        <f ca="1">IF(F53=1,NA(),((F17^2)/(F15*9.81*((1/F53)-1)))^0.5)</f>
        <v>#VALUE!</v>
      </c>
      <c r="G51" s="1115" t="e">
        <f ca="1">IF(G53=1,NA(),((G17^2)/(G15*9.81*((1/G53)-1)))^0.5)</f>
        <v>#N/A</v>
      </c>
      <c r="H51" s="1107" t="e">
        <f ca="1">IF(H53=1,NA(),((H17^2)/(H15*9.81*((1/H53)-1)))^0.5)</f>
        <v>#VALUE!</v>
      </c>
      <c r="I51" s="1126"/>
      <c r="J51" s="112" t="e">
        <f ca="1">G51-F51</f>
        <v>#N/A</v>
      </c>
      <c r="K51" t="s">
        <v>111</v>
      </c>
    </row>
    <row r="52" spans="1:13" ht="18.75">
      <c r="A52" s="33">
        <f t="shared" si="6"/>
        <v>39</v>
      </c>
      <c r="B52" t="str">
        <f t="shared" si="7"/>
        <v>.</v>
      </c>
      <c r="C52" t="s">
        <v>842</v>
      </c>
      <c r="D52" s="84" t="e">
        <f t="shared" ca="1" si="5"/>
        <v>#VALUE!</v>
      </c>
      <c r="E52" s="37"/>
      <c r="F52" s="138" t="e">
        <f ca="1">0.25*F49*(F53*F46^3)/F51^2</f>
        <v>#VALUE!</v>
      </c>
      <c r="G52" s="1116" t="e">
        <f ca="1">IF(G53=1,NA(),0.25*G49*(G53*G46^3)/G51^2)</f>
        <v>#N/A</v>
      </c>
      <c r="H52" s="1108" t="e">
        <f ca="1">IF(H53=1,NA(),0.25*H49*(H53*H46^3)/H51^2)</f>
        <v>#VALUE!</v>
      </c>
      <c r="I52" s="1127"/>
      <c r="J52" s="111" t="e">
        <f ca="1">G52-F52</f>
        <v>#N/A</v>
      </c>
      <c r="K52" t="s">
        <v>112</v>
      </c>
    </row>
    <row r="53" spans="1:13">
      <c r="A53" s="33">
        <f t="shared" si="6"/>
        <v>40</v>
      </c>
      <c r="B53" t="str">
        <f t="shared" si="7"/>
        <v>.</v>
      </c>
      <c r="C53" t="s">
        <v>844</v>
      </c>
      <c r="D53" s="83" t="e">
        <f t="shared" ca="1" si="5"/>
        <v>#VALUE!</v>
      </c>
      <c r="E53" s="37"/>
      <c r="F53" s="86" t="e">
        <f ca="1">$F$24/$F$23</f>
        <v>#VALUE!</v>
      </c>
      <c r="G53" s="85">
        <f ca="1">INDEX(SourceModelDensityRatio,MATCH($A$4,SourceNumber,0),1,1)</f>
        <v>1</v>
      </c>
      <c r="H53" s="1135">
        <v>0.96719999999999995</v>
      </c>
      <c r="I53" s="1128"/>
      <c r="J53" s="5"/>
      <c r="K53" s="5" t="s">
        <v>116</v>
      </c>
      <c r="L53" s="5" t="s">
        <v>115</v>
      </c>
      <c r="M53" s="5" t="s">
        <v>114</v>
      </c>
    </row>
    <row r="54" spans="1:13" ht="18.75">
      <c r="A54" s="33">
        <f t="shared" si="6"/>
        <v>41</v>
      </c>
      <c r="B54" t="str">
        <f t="shared" si="7"/>
        <v>.</v>
      </c>
      <c r="C54" t="s">
        <v>845</v>
      </c>
      <c r="D54" s="84" t="e">
        <f t="shared" ca="1" si="5"/>
        <v>#VALUE!</v>
      </c>
      <c r="E54" s="37"/>
      <c r="F54" s="89" t="e">
        <f ca="1">(F$15*F$35)/F$25</f>
        <v>#VALUE!</v>
      </c>
      <c r="G54" s="86" t="e">
        <f ca="1">(G$15*G$35)/G$25</f>
        <v>#VALUE!</v>
      </c>
      <c r="H54" s="1102" t="e">
        <f ca="1">(H$15*H$35)/H$25</f>
        <v>#VALUE!</v>
      </c>
      <c r="I54" s="1125"/>
      <c r="J54" s="139" t="e">
        <f ca="1">G54</f>
        <v>#VALUE!</v>
      </c>
      <c r="K54" s="353">
        <v>1000</v>
      </c>
      <c r="L54" s="353">
        <v>90000</v>
      </c>
      <c r="M54" s="353">
        <v>11000</v>
      </c>
    </row>
    <row r="55" spans="1:13" ht="18.75">
      <c r="A55" s="33">
        <f t="shared" si="6"/>
        <v>42</v>
      </c>
      <c r="B55" t="str">
        <f t="shared" si="7"/>
        <v>.</v>
      </c>
      <c r="C55" t="s">
        <v>74</v>
      </c>
      <c r="D55" s="84" t="e">
        <f t="shared" ca="1" si="5"/>
        <v>#VALUE!</v>
      </c>
      <c r="E55" s="37"/>
      <c r="F55" s="89" t="e">
        <f ca="1">(F$15*F$17)/F26</f>
        <v>#VALUE!</v>
      </c>
      <c r="G55" s="86" t="e">
        <f ca="1">(G$15*G$17)/G26</f>
        <v>#VALUE!</v>
      </c>
      <c r="H55" s="1102" t="e">
        <f ca="1">(H$15*H$17)/H26</f>
        <v>#VALUE!</v>
      </c>
      <c r="I55" s="1125"/>
      <c r="J55" s="245" t="e">
        <f ca="1">IF(G53&lt;&gt;1,G55-670,G55-2000)</f>
        <v>#VALUE!</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59" priority="1" stopIfTrue="1" operator="equal">
      <formula>0</formula>
    </cfRule>
    <cfRule type="cellIs" dxfId="158" priority="2" stopIfTrue="1" operator="notEqual">
      <formula>0</formula>
    </cfRule>
  </conditionalFormatting>
  <conditionalFormatting sqref="J52">
    <cfRule type="cellIs" dxfId="157" priority="3" stopIfTrue="1" operator="lessThanOrEqual">
      <formula>0.00000001</formula>
    </cfRule>
    <cfRule type="cellIs" dxfId="156" priority="4" stopIfTrue="1" operator="greaterThan">
      <formula>0.00000001</formula>
    </cfRule>
  </conditionalFormatting>
  <conditionalFormatting sqref="J26:L26">
    <cfRule type="cellIs" dxfId="155" priority="5" stopIfTrue="1" operator="equal">
      <formula>"Mixture Computed"</formula>
    </cfRule>
    <cfRule type="cellIs" dxfId="154" priority="6" stopIfTrue="1" operator="equal">
      <formula>"MIXTURE NOT COMPUTED"</formula>
    </cfRule>
  </conditionalFormatting>
  <conditionalFormatting sqref="J56">
    <cfRule type="cellIs" dxfId="153" priority="7" stopIfTrue="1" operator="greaterThanOrEqual">
      <formula>$M$56</formula>
    </cfRule>
    <cfRule type="cellIs" dxfId="152" priority="8" stopIfTrue="1" operator="notBetween">
      <formula>$K$56</formula>
      <formula>$L$56</formula>
    </cfRule>
    <cfRule type="cellIs" dxfId="151" priority="9" stopIfTrue="1" operator="between">
      <formula>$K$56</formula>
      <formula>$L$56</formula>
    </cfRule>
  </conditionalFormatting>
  <conditionalFormatting sqref="J54">
    <cfRule type="cellIs" dxfId="150" priority="10" stopIfTrue="1" operator="greaterThanOrEqual">
      <formula>$M$54</formula>
    </cfRule>
    <cfRule type="cellIs" dxfId="149" priority="11" stopIfTrue="1" operator="notBetween">
      <formula>$K$54</formula>
      <formula>$L$54</formula>
    </cfRule>
    <cfRule type="cellIs" dxfId="148" priority="12" stopIfTrue="1" operator="between">
      <formula>$K$54</formula>
      <formula>$L$54</formula>
    </cfRule>
  </conditionalFormatting>
  <conditionalFormatting sqref="J57">
    <cfRule type="cellIs" dxfId="147" priority="13" stopIfTrue="1" operator="greaterThanOrEqual">
      <formula>$K$57</formula>
    </cfRule>
    <cfRule type="cellIs" dxfId="146" priority="14" stopIfTrue="1" operator="lessThan">
      <formula>$K$57</formula>
    </cfRule>
  </conditionalFormatting>
  <conditionalFormatting sqref="J55">
    <cfRule type="cellIs" dxfId="145" priority="15" stopIfTrue="1" operator="greaterThanOrEqual">
      <formula>0</formula>
    </cfRule>
    <cfRule type="cellIs" dxfId="144"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8">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Management\[15141_Vent_Test_Plan_v20_071.xlsm]2</v>
      </c>
    </row>
    <row r="2" spans="1:11" ht="24" hidden="1" customHeight="1">
      <c r="A2" s="16">
        <f ca="1">FIND("]",A1,1)</f>
        <v>107</v>
      </c>
    </row>
    <row r="3" spans="1:11" ht="23.25" hidden="1" customHeight="1">
      <c r="A3" s="16">
        <f ca="1">LEN(A1)</f>
        <v>108</v>
      </c>
    </row>
    <row r="4" spans="1:11" ht="21" hidden="1" customHeight="1">
      <c r="A4" s="16">
        <f ca="1">VALUE(RIGHT(A1,A3-A2))</f>
        <v>2</v>
      </c>
    </row>
    <row r="5" spans="1:11" ht="18.75" hidden="1" customHeight="1">
      <c r="A5" s="1" t="s">
        <v>790</v>
      </c>
    </row>
    <row r="6" spans="1:11" ht="18.75">
      <c r="A6" s="54" t="str">
        <f ca="1">CONCATENATE(A5,A4)</f>
        <v>Table A-2</v>
      </c>
      <c r="J6" s="2" t="s">
        <v>792</v>
      </c>
    </row>
    <row r="7" spans="1:11" ht="18.75">
      <c r="A7" s="4" t="s">
        <v>794</v>
      </c>
      <c r="J7" t="s">
        <v>793</v>
      </c>
    </row>
    <row r="8" spans="1:11">
      <c r="A8" s="45" t="str">
        <f ca="1">INDEX(SourceDescription,MATCH($A$4,SourceNumber,0),1,1) &amp; " (" &amp; INDEX(SourceID,MATCH($A$4,SourceNumber,0),1,1) &amp; ")"</f>
        <v>Lab Air Handling Unit 2 (AHU Labs-2)</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f ca="1">F14*3.28</f>
        <v>5</v>
      </c>
      <c r="E14" s="37" t="s">
        <v>807</v>
      </c>
      <c r="F14" s="85">
        <f ca="1">INDEX(SourceHeightAboveBase,MATCH($A$4,SourceNumber,0),1,1)+INDEX(SourceBaseHeightAboveGrade,MATCH($A$4,SourceNumber,0),1,1)</f>
        <v>1.524390243902439</v>
      </c>
      <c r="G14" s="85" t="e">
        <f ca="1">F14/SF</f>
        <v>#VALUE!</v>
      </c>
      <c r="H14" s="1044" t="e">
        <f ca="1">G14</f>
        <v>#VALUE!</v>
      </c>
      <c r="I14" s="16"/>
    </row>
    <row r="15" spans="1:11">
      <c r="A15" s="33">
        <f t="shared" si="0"/>
        <v>4</v>
      </c>
      <c r="B15" t="str">
        <f t="shared" si="1"/>
        <v>.</v>
      </c>
      <c r="C15" t="s">
        <v>798</v>
      </c>
      <c r="D15" s="79">
        <f ca="1">F15*3.28</f>
        <v>14.383333333333331</v>
      </c>
      <c r="E15" s="37" t="s">
        <v>807</v>
      </c>
      <c r="F15" s="85">
        <f ca="1">INDEX(SourceExitDiameter,MATCH($A$4,SourceNumber,0),1,1)</f>
        <v>4.3851626016260159</v>
      </c>
      <c r="G15" s="1111" t="e">
        <f ca="1">INDEX(SelectedModelEquivID,MATCH($A$4,SourceNumber,0),1,1)*(2.54/100)</f>
        <v>#VALUE!</v>
      </c>
      <c r="H15" s="1130" t="e">
        <f ca="1">G15</f>
        <v>#VALUE!</v>
      </c>
      <c r="I15" s="16"/>
      <c r="J15" s="169" t="e">
        <f ca="1">(G15*100/2.54)*32</f>
        <v>#VALUE!</v>
      </c>
      <c r="K15" s="319" t="s">
        <v>466</v>
      </c>
    </row>
    <row r="16" spans="1:11" ht="20.25">
      <c r="A16" s="33">
        <f t="shared" si="0"/>
        <v>5</v>
      </c>
      <c r="B16" t="str">
        <f t="shared" si="1"/>
        <v>.</v>
      </c>
      <c r="C16" t="s">
        <v>820</v>
      </c>
      <c r="D16" s="79">
        <f ca="1">F16*3.28^2</f>
        <v>162.48339020982053</v>
      </c>
      <c r="E16" s="37" t="s">
        <v>811</v>
      </c>
      <c r="F16" s="86">
        <f ca="1">$F$15^2*PI()/4</f>
        <v>15.102932611709972</v>
      </c>
      <c r="G16" s="1112" t="e">
        <f ca="1">G15^2*PI()/4</f>
        <v>#VALUE!</v>
      </c>
      <c r="H16" s="1131" t="e">
        <f ca="1">H15^2*PI()/4</f>
        <v>#VALUE!</v>
      </c>
    </row>
    <row r="17" spans="1:34" ht="18.75">
      <c r="A17" s="33">
        <f t="shared" si="0"/>
        <v>6</v>
      </c>
      <c r="B17" t="str">
        <f t="shared" si="1"/>
        <v>.</v>
      </c>
      <c r="C17" t="s">
        <v>821</v>
      </c>
      <c r="D17" s="33">
        <f ca="1">F17*3.28*60</f>
        <v>1230.895045590401</v>
      </c>
      <c r="E17" s="37" t="s">
        <v>808</v>
      </c>
      <c r="F17" s="85">
        <f ca="1">INDEX(SourceExitVelocity,MATCH($A$4,SourceNumber,0),1,1)</f>
        <v>6.2545479958861847</v>
      </c>
      <c r="G17" s="86" t="e">
        <f ca="1">G29*G46</f>
        <v>#VALUE!</v>
      </c>
      <c r="H17" s="1102" t="e">
        <f ca="1">H29*H46</f>
        <v>#VALUE!</v>
      </c>
      <c r="I17" s="16"/>
    </row>
    <row r="18" spans="1:34" ht="20.25">
      <c r="A18" s="33">
        <f t="shared" si="0"/>
        <v>7</v>
      </c>
      <c r="B18" t="str">
        <f t="shared" si="1"/>
        <v>.</v>
      </c>
      <c r="C18" t="s">
        <v>822</v>
      </c>
      <c r="D18" s="33" t="e">
        <f ca="1">(F18-273.15)*(9/5)+32</f>
        <v>#VALUE!</v>
      </c>
      <c r="E18" s="80" t="s">
        <v>812</v>
      </c>
      <c r="F18" s="85" t="e">
        <f ca="1">INDEX(SourceExitTemperature,MATCH($A$4,SourceNumber,0),1,1)</f>
        <v>#VALUE!</v>
      </c>
      <c r="G18" s="351">
        <f>G22</f>
        <v>293.14999999999998</v>
      </c>
      <c r="H18" s="1103">
        <f>H22</f>
        <v>293.14999999999998</v>
      </c>
    </row>
    <row r="19" spans="1:34" ht="18.75">
      <c r="A19" s="33">
        <f t="shared" si="0"/>
        <v>8</v>
      </c>
      <c r="B19" t="str">
        <f t="shared" si="1"/>
        <v>.</v>
      </c>
      <c r="C19" t="s">
        <v>82</v>
      </c>
      <c r="D19" s="33">
        <f ca="1">F19*3.28^3*60</f>
        <v>199999.99999999994</v>
      </c>
      <c r="E19" s="37" t="s">
        <v>813</v>
      </c>
      <c r="F19" s="86">
        <f ca="1">F17*F16</f>
        <v>94.462016898574703</v>
      </c>
      <c r="G19" s="1112" t="e">
        <f ca="1">G16*G17</f>
        <v>#VALUE!</v>
      </c>
      <c r="H19" s="1131" t="e">
        <f ca="1">H16*H17</f>
        <v>#VALUE!</v>
      </c>
      <c r="I19" s="107" t="s">
        <v>83</v>
      </c>
      <c r="J19" s="121" t="e">
        <f ca="1">G19*100^3</f>
        <v>#VALUE!</v>
      </c>
      <c r="K19" s="121" t="e">
        <f ca="1">H19*100^3</f>
        <v>#VALUE!</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#VALUE!</v>
      </c>
      <c r="E24" s="37" t="s">
        <v>815</v>
      </c>
      <c r="F24" s="88" t="e">
        <f ca="1">(28.96/22.41383)*(273.15/$F$18)*($F$21/1013)</f>
        <v>#VALUE!</v>
      </c>
      <c r="G24" s="86">
        <f ca="1">$G$23*$G$53</f>
        <v>1.0030637736235697</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#VALUE!</v>
      </c>
      <c r="E26" s="37" t="s">
        <v>816</v>
      </c>
      <c r="F26" s="89" t="e">
        <f ca="1">(145.8*$F$18^1.5)/(($F$18+110.4)*10^8*$F$24)</f>
        <v>#VALUE!</v>
      </c>
      <c r="G26" s="1114">
        <f ca="1">X33</f>
        <v>1.4138263848225382E-5</v>
      </c>
      <c r="H26" s="1132">
        <f>182.7*0.00001</f>
        <v>1.8270000000000001E-3</v>
      </c>
      <c r="J26" s="1875" t="str">
        <f ca="1">IF(V36=0,"Mixture Computed","Mixture NOT Computed")</f>
        <v>Mixture Computed</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#VALUE!</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f ca="1">INDEX(SourceModelRefWS,MATCH($A$4,SourceNumber,0),1,1)</f>
        <v>6.001707317073171</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#VALUE!</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f ca="1">(M31*Q31)+(M32*Q32)+(M33*Q33)</f>
        <v>28.963999999999999</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f ca="1">IF($G$53=0.9743,14,9)</f>
        <v>9</v>
      </c>
      <c r="L32" s="109" t="str">
        <f ca="1">INDEX(GasData,MATCH($K32,GasNum,0),2)</f>
        <v>Helium</v>
      </c>
      <c r="M32" s="32">
        <f ca="1">INDEX(GasData,MATCH($K32,GasNum,0),3)</f>
        <v>4.0026000000000002</v>
      </c>
      <c r="N32" s="32">
        <f ca="1">INDEX(GasData,MATCH($K32,GasNum,0),4)</f>
        <v>20</v>
      </c>
      <c r="O32" s="32">
        <f ca="1">INDEX(GasData,MATCH($K32,GasNum,0),5)</f>
        <v>194.1</v>
      </c>
      <c r="P32" s="32">
        <f ca="1">INDEX(GasData,MATCH($K32,GasNum,0),6)</f>
        <v>1.6639390869541433E-4</v>
      </c>
      <c r="Q32" s="133">
        <v>0</v>
      </c>
      <c r="U32" s="107" t="s">
        <v>89</v>
      </c>
      <c r="V32">
        <f ca="1">AH43*10^-6</f>
        <v>1.827E-4</v>
      </c>
      <c r="W32" t="s">
        <v>104</v>
      </c>
      <c r="AA32" s="42">
        <f>AA31</f>
        <v>1</v>
      </c>
      <c r="AB32" s="102">
        <f>AB31+1</f>
        <v>2</v>
      </c>
      <c r="AC32" s="121">
        <f t="shared" ca="1" si="2"/>
        <v>7.2362964073352316</v>
      </c>
      <c r="AD32" s="121">
        <f t="shared" ca="1" si="2"/>
        <v>0.9412673879443586</v>
      </c>
      <c r="AE32">
        <f ca="1">(8^-0.5)*((1+(AC32))^-0.5)*(1+((AD32)^0.5)*((1/AC32)^0.25))^2</f>
        <v>0.31204638814964564</v>
      </c>
      <c r="AF32">
        <f ca="1">VLOOKUP($AB32,$J$31:$Q$33,$AH$29)*AE32</f>
        <v>0</v>
      </c>
    </row>
    <row r="33" spans="1:35" ht="20.25">
      <c r="A33" s="33">
        <f t="shared" si="0"/>
        <v>22</v>
      </c>
      <c r="B33" t="str">
        <f t="shared" si="1"/>
        <v>.</v>
      </c>
      <c r="C33" t="s">
        <v>831</v>
      </c>
      <c r="D33" s="82" t="e">
        <f>F33*3.28*3600/5280</f>
        <v>#VALUE!</v>
      </c>
      <c r="E33" s="37" t="s">
        <v>810</v>
      </c>
      <c r="F33" s="88" t="e">
        <f>F27*(F34/F28)^F45</f>
        <v>#VALUE!</v>
      </c>
      <c r="G33" s="88" t="e">
        <f ca="1">G27*(G34/G28)^G45</f>
        <v>#VALUE!</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f ca="1">V32*22.41383*1000/V31</f>
        <v>0.14138263848225383</v>
      </c>
      <c r="W33" t="s">
        <v>105</v>
      </c>
      <c r="X33">
        <f ca="1">V33/100^2</f>
        <v>1.4138263848225382E-5</v>
      </c>
      <c r="Y33" t="s">
        <v>108</v>
      </c>
      <c r="AA33" s="42">
        <f>AA32</f>
        <v>1</v>
      </c>
      <c r="AB33" s="102">
        <f>AB32+1</f>
        <v>3</v>
      </c>
      <c r="AC33" s="121">
        <f t="shared" si="2"/>
        <v>28.963999999999999</v>
      </c>
      <c r="AD33" s="121">
        <f t="shared" si="2"/>
        <v>182.7</v>
      </c>
      <c r="AE33">
        <f>(8^-0.5)*((1+(AC33))^-0.5)*(1+((AD33)^0.5)*((1/AC33)^0.25))^2</f>
        <v>3.0098578800154878</v>
      </c>
      <c r="AF33">
        <f>VLOOKUP($AB33,$J$31:$Q$33,$AH$29)*AE33</f>
        <v>0</v>
      </c>
      <c r="AG33">
        <f ca="1">SUM(AF31:AF33)</f>
        <v>0.99999999999999978</v>
      </c>
      <c r="AH33">
        <f ca="1">VLOOKUP($AA33,$J$31:$Q$33,$AH$29)*VLOOKUP($AA31,$J$31:$Q$33,$AD$29)/$AG33</f>
        <v>182.70000000000002</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f ca="1">V31/M35</f>
        <v>1</v>
      </c>
      <c r="AA34" s="5"/>
      <c r="AB34" s="5"/>
    </row>
    <row r="35" spans="1:35" ht="18.75">
      <c r="A35" s="33">
        <f t="shared" si="0"/>
        <v>24</v>
      </c>
      <c r="B35" t="str">
        <f t="shared" si="1"/>
        <v>.</v>
      </c>
      <c r="C35" t="s">
        <v>833</v>
      </c>
      <c r="D35" s="82" t="e">
        <f ca="1">F35*3.28*3600/5280</f>
        <v>#VALUE!</v>
      </c>
      <c r="E35" s="37" t="s">
        <v>810</v>
      </c>
      <c r="F35" s="88" t="e">
        <f ca="1">F27*(F14/F28)^F45</f>
        <v>#VALUE!</v>
      </c>
      <c r="G35" s="88" t="e">
        <f ca="1">G27*(G14/G28)^G45</f>
        <v>#VALUE!</v>
      </c>
      <c r="H35" s="277" t="e">
        <f ca="1">H27*(H14/H28)^H45</f>
        <v>#VALUE!</v>
      </c>
      <c r="K35" s="46">
        <v>1</v>
      </c>
      <c r="L35" s="5" t="str">
        <f>INDEX(GasData,MATCH($K35,GasNum,0),2)</f>
        <v>Air</v>
      </c>
      <c r="M35" s="32">
        <f>INDEX(GasData,MATCH($K35,GasNum,0),3)</f>
        <v>28.963999999999999</v>
      </c>
      <c r="N35" s="32"/>
      <c r="O35" s="32"/>
      <c r="P35" s="32"/>
      <c r="Q35" s="133"/>
      <c r="U35" s="107" t="s">
        <v>107</v>
      </c>
      <c r="V35">
        <f ca="1">V34-G53</f>
        <v>0</v>
      </c>
      <c r="AA35" s="46">
        <v>2</v>
      </c>
      <c r="AB35" s="46">
        <v>1</v>
      </c>
      <c r="AC35" s="121">
        <f t="shared" ref="AC35:AD37" ca="1" si="3">VLOOKUP($AA35,$J$31:$Q$33,AC$29)/VLOOKUP($AB35,$J$31:$Q$33,AC$29)</f>
        <v>0.13819223864107169</v>
      </c>
      <c r="AD35" s="121">
        <f t="shared" ca="1" si="3"/>
        <v>1.0623973727422005</v>
      </c>
      <c r="AE35">
        <f ca="1">(8^-0.5)*((1+(AC35))^-0.5)*(1+((AD35)^0.5)*((1/AC35)^0.25))^2</f>
        <v>2.3989571788103832</v>
      </c>
      <c r="AF35">
        <f ca="1">VLOOKUP($AB35,$J$31:$Q$33,$AH$29)*AE35</f>
        <v>2.3989571788103832</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#VALUE!</v>
      </c>
      <c r="H36" s="277" t="e">
        <f>H27*(H12/H28)^H45</f>
        <v>#VALUE!</v>
      </c>
      <c r="U36" s="107" t="s">
        <v>109</v>
      </c>
      <c r="V36" s="121">
        <f ca="1">ROUND(V35,3)</f>
        <v>0</v>
      </c>
      <c r="AA36" s="42">
        <f>AA35</f>
        <v>2</v>
      </c>
      <c r="AB36" s="102">
        <f>AB35+1</f>
        <v>2</v>
      </c>
      <c r="AC36" s="121">
        <f t="shared" ca="1" si="3"/>
        <v>1</v>
      </c>
      <c r="AD36" s="121">
        <f t="shared" ca="1" si="3"/>
        <v>1</v>
      </c>
      <c r="AE36">
        <f ca="1">(8^-0.5)*((1+(AC36))^-0.5)*(1+((AD36)^0.5)*((1/AC36)^0.25))^2</f>
        <v>0.99999999999999978</v>
      </c>
      <c r="AF36">
        <f ca="1">VLOOKUP($AB36,$J$31:$Q$33,$AH$29)*AE36</f>
        <v>0</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f t="shared" ca="1" si="3"/>
        <v>4.0026000000000002</v>
      </c>
      <c r="AD37" s="121">
        <f t="shared" ca="1" si="3"/>
        <v>194.1</v>
      </c>
      <c r="AE37">
        <f ca="1">(8^-0.5)*((1+(AC37))^-0.5)*(1+((AD37)^0.5)*((1/AC37)^0.25))^2</f>
        <v>18.608022962630464</v>
      </c>
      <c r="AF37">
        <f ca="1">VLOOKUP($AB37,$J$31:$Q$33,$AH$29)*AE37</f>
        <v>0</v>
      </c>
      <c r="AG37">
        <f ca="1">SUM(AF35:AF37)</f>
        <v>2.3989571788103832</v>
      </c>
      <c r="AH37">
        <f ca="1">VLOOKUP($AA37,$J$31:$Q$33,$AH$29)*VLOOKUP($AA35,$J$31:$Q$33,$AD$29)/$AG37</f>
        <v>0</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f t="shared" ca="1" si="4"/>
        <v>0.24983760555638834</v>
      </c>
      <c r="AD40" s="121">
        <f t="shared" ca="1" si="4"/>
        <v>5.1519835136527563E-3</v>
      </c>
      <c r="AE40" s="3">
        <f ca="1">(8^-0.5)*((1+(AC40))^-0.5)*(1+((AD40)^0.5)*((1/AC40)^0.25))^2</f>
        <v>0.38372216749214155</v>
      </c>
      <c r="AF40">
        <f ca="1">VLOOKUP($AB40,$J$31:$Q$33,$AH$29)*AE40</f>
        <v>0</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f ca="1">SUM(AF39:AF41)</f>
        <v>0.4771621436057395</v>
      </c>
      <c r="AH41">
        <f ca="1">VLOOKUP($AA41,$J$31:$Q$33,$AH$29)*VLOOKUP($AA39,$J$31:$Q$33,$AD$29)/$AG41</f>
        <v>0</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f ca="1">SUM(AH33:AH41)</f>
        <v>182.70000000000002</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#VALUE!</v>
      </c>
      <c r="E46" s="37"/>
      <c r="F46" s="134" t="e">
        <f ca="1">$F$17/$F$29</f>
        <v>#VALUE!</v>
      </c>
      <c r="G46" s="86" t="e">
        <f ca="1">(G50/(G53*G49^2))^0.5</f>
        <v>#VALUE!</v>
      </c>
      <c r="H46" s="1102" t="e">
        <f ca="1">(H50/(H53*H49^2))^0.5</f>
        <v>#VALUE!</v>
      </c>
      <c r="I46" s="1123"/>
    </row>
    <row r="47" spans="1:35" ht="18.75">
      <c r="A47" s="33">
        <f t="shared" si="6"/>
        <v>34</v>
      </c>
      <c r="B47" t="str">
        <f t="shared" si="7"/>
        <v>.</v>
      </c>
      <c r="C47" t="s">
        <v>840</v>
      </c>
      <c r="D47" s="83" t="e">
        <f t="shared" ca="1" si="5"/>
        <v>#VALUE!</v>
      </c>
      <c r="E47" s="37"/>
      <c r="F47" s="134" t="e">
        <f ca="1">$F$17/$F$35</f>
        <v>#VALUE!</v>
      </c>
      <c r="G47" s="88" t="e">
        <f ca="1">G17/G35</f>
        <v>#VALUE!</v>
      </c>
      <c r="H47" s="277" t="e">
        <f ca="1">H17/H35</f>
        <v>#VALUE!</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86" t="e">
        <f ca="1">G14/G12</f>
        <v>#VALUE!</v>
      </c>
      <c r="H48" s="1102" t="e">
        <f ca="1">H14/H12</f>
        <v>#VALUE!</v>
      </c>
      <c r="I48" s="1124"/>
    </row>
    <row r="49" spans="1:13">
      <c r="A49" s="33">
        <f t="shared" si="6"/>
        <v>36</v>
      </c>
      <c r="B49" t="str">
        <f t="shared" si="7"/>
        <v>.</v>
      </c>
      <c r="C49" t="s">
        <v>804</v>
      </c>
      <c r="D49" s="83">
        <f t="shared" ca="1" si="5"/>
        <v>2.8766666666666665</v>
      </c>
      <c r="E49" s="37"/>
      <c r="F49" s="86">
        <f ca="1">$F$15/$F$14</f>
        <v>2.8766666666666665</v>
      </c>
      <c r="G49" s="86" t="e">
        <f ca="1">G15/G14</f>
        <v>#VALUE!</v>
      </c>
      <c r="H49" s="1102" t="e">
        <f ca="1">H15/H14</f>
        <v>#VALUE!</v>
      </c>
      <c r="I49" s="121"/>
    </row>
    <row r="50" spans="1:13" ht="18.75">
      <c r="A50" s="33">
        <f t="shared" si="6"/>
        <v>37</v>
      </c>
      <c r="B50" t="str">
        <f t="shared" si="7"/>
        <v>.</v>
      </c>
      <c r="C50" t="s">
        <v>841</v>
      </c>
      <c r="D50" s="84" t="e">
        <f t="shared" ca="1" si="5"/>
        <v>#VALUE!</v>
      </c>
      <c r="E50" s="37"/>
      <c r="F50" s="89" t="e">
        <f ca="1">F46^2*F53*F49^2</f>
        <v>#VALUE!</v>
      </c>
      <c r="G50" s="1114" t="e">
        <f ca="1">F50</f>
        <v>#VALUE!</v>
      </c>
      <c r="H50" s="1134" t="e">
        <f ca="1">G50</f>
        <v>#VALUE!</v>
      </c>
      <c r="I50" s="1125"/>
      <c r="J50" s="110" t="e">
        <f ca="1">F50-G50</f>
        <v>#VALUE!</v>
      </c>
      <c r="K50" t="s">
        <v>110</v>
      </c>
    </row>
    <row r="51" spans="1:13" ht="18.75">
      <c r="A51" s="33">
        <f t="shared" si="6"/>
        <v>38</v>
      </c>
      <c r="B51" t="str">
        <f t="shared" si="7"/>
        <v>.</v>
      </c>
      <c r="C51" t="s">
        <v>843</v>
      </c>
      <c r="D51" s="83" t="e">
        <f t="shared" ca="1" si="5"/>
        <v>#VALUE!</v>
      </c>
      <c r="E51" s="37"/>
      <c r="F51" s="86" t="e">
        <f ca="1">IF(F53=1,NA(),((F17^2)/(F15*9.81*((1/F53)-1)))^0.5)</f>
        <v>#VALUE!</v>
      </c>
      <c r="G51" s="1115" t="e">
        <f ca="1">IF(G53=1,NA(),((G17^2)/(G15*9.81*((1/G53)-1)))^0.5)</f>
        <v>#N/A</v>
      </c>
      <c r="H51" s="1107" t="e">
        <f ca="1">IF(H53=1,NA(),((H17^2)/(H15*9.81*((1/H53)-1)))^0.5)</f>
        <v>#VALUE!</v>
      </c>
      <c r="I51" s="1126"/>
      <c r="J51" s="112" t="e">
        <f ca="1">G51-F51</f>
        <v>#N/A</v>
      </c>
      <c r="K51" t="s">
        <v>111</v>
      </c>
    </row>
    <row r="52" spans="1:13" ht="18.75">
      <c r="A52" s="33">
        <f t="shared" si="6"/>
        <v>39</v>
      </c>
      <c r="B52" t="str">
        <f t="shared" si="7"/>
        <v>.</v>
      </c>
      <c r="C52" t="s">
        <v>842</v>
      </c>
      <c r="D52" s="84" t="e">
        <f t="shared" ca="1" si="5"/>
        <v>#VALUE!</v>
      </c>
      <c r="E52" s="37"/>
      <c r="F52" s="138" t="e">
        <f ca="1">0.25*F49*(F53*F46^3)/F51^2</f>
        <v>#VALUE!</v>
      </c>
      <c r="G52" s="1116" t="e">
        <f ca="1">IF(G53=1,NA(),0.25*G49*(G53*G46^3)/G51^2)</f>
        <v>#N/A</v>
      </c>
      <c r="H52" s="1108" t="e">
        <f ca="1">IF(H53=1,NA(),0.25*H49*(H53*H46^3)/H51^2)</f>
        <v>#VALUE!</v>
      </c>
      <c r="I52" s="1127"/>
      <c r="J52" s="111" t="e">
        <f ca="1">G52-F52</f>
        <v>#N/A</v>
      </c>
      <c r="K52" t="s">
        <v>112</v>
      </c>
    </row>
    <row r="53" spans="1:13">
      <c r="A53" s="33">
        <f t="shared" si="6"/>
        <v>40</v>
      </c>
      <c r="B53" t="str">
        <f t="shared" si="7"/>
        <v>.</v>
      </c>
      <c r="C53" t="s">
        <v>844</v>
      </c>
      <c r="D53" s="83" t="e">
        <f t="shared" ca="1" si="5"/>
        <v>#VALUE!</v>
      </c>
      <c r="E53" s="37"/>
      <c r="F53" s="86" t="e">
        <f ca="1">$F$24/$F$23</f>
        <v>#VALUE!</v>
      </c>
      <c r="G53" s="85">
        <f ca="1">INDEX(SourceModelDensityRatio,MATCH($A$4,SourceNumber,0),1,1)</f>
        <v>1</v>
      </c>
      <c r="H53" s="1135">
        <v>0.96719999999999995</v>
      </c>
      <c r="I53" s="1128"/>
      <c r="J53" s="5"/>
      <c r="K53" s="5" t="s">
        <v>116</v>
      </c>
      <c r="L53" s="5" t="s">
        <v>115</v>
      </c>
      <c r="M53" s="5" t="s">
        <v>114</v>
      </c>
    </row>
    <row r="54" spans="1:13" ht="18.75">
      <c r="A54" s="33">
        <f t="shared" si="6"/>
        <v>41</v>
      </c>
      <c r="B54" t="str">
        <f t="shared" si="7"/>
        <v>.</v>
      </c>
      <c r="C54" t="s">
        <v>845</v>
      </c>
      <c r="D54" s="84" t="e">
        <f t="shared" ca="1" si="5"/>
        <v>#VALUE!</v>
      </c>
      <c r="E54" s="37"/>
      <c r="F54" s="89" t="e">
        <f ca="1">(F$15*F$35)/F$25</f>
        <v>#VALUE!</v>
      </c>
      <c r="G54" s="86" t="e">
        <f ca="1">(G$15*G$35)/G$25</f>
        <v>#VALUE!</v>
      </c>
      <c r="H54" s="1102" t="e">
        <f ca="1">(H$15*H$35)/H$25</f>
        <v>#VALUE!</v>
      </c>
      <c r="I54" s="1125"/>
      <c r="J54" s="139" t="e">
        <f ca="1">G54</f>
        <v>#VALUE!</v>
      </c>
      <c r="K54" s="353">
        <v>1000</v>
      </c>
      <c r="L54" s="353">
        <v>90000</v>
      </c>
      <c r="M54" s="353">
        <v>11000</v>
      </c>
    </row>
    <row r="55" spans="1:13" ht="18.75">
      <c r="A55" s="33">
        <f t="shared" si="6"/>
        <v>42</v>
      </c>
      <c r="B55" t="str">
        <f t="shared" si="7"/>
        <v>.</v>
      </c>
      <c r="C55" t="s">
        <v>74</v>
      </c>
      <c r="D55" s="84" t="e">
        <f t="shared" ca="1" si="5"/>
        <v>#VALUE!</v>
      </c>
      <c r="E55" s="37"/>
      <c r="F55" s="89" t="e">
        <f ca="1">(F$15*F$17)/F26</f>
        <v>#VALUE!</v>
      </c>
      <c r="G55" s="86" t="e">
        <f ca="1">(G$15*G$17)/G26</f>
        <v>#VALUE!</v>
      </c>
      <c r="H55" s="1102" t="e">
        <f ca="1">(H$15*H$17)/H26</f>
        <v>#VALUE!</v>
      </c>
      <c r="I55" s="1125"/>
      <c r="J55" s="245" t="e">
        <f ca="1">IF(G53&lt;&gt;1,G55-670,G55-2000)</f>
        <v>#VALUE!</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43" priority="1" stopIfTrue="1" operator="equal">
      <formula>0</formula>
    </cfRule>
    <cfRule type="cellIs" dxfId="142" priority="2" stopIfTrue="1" operator="notEqual">
      <formula>0</formula>
    </cfRule>
  </conditionalFormatting>
  <conditionalFormatting sqref="J52">
    <cfRule type="cellIs" dxfId="141" priority="3" stopIfTrue="1" operator="lessThanOrEqual">
      <formula>0.00000001</formula>
    </cfRule>
    <cfRule type="cellIs" dxfId="140" priority="4" stopIfTrue="1" operator="greaterThan">
      <formula>0.00000001</formula>
    </cfRule>
  </conditionalFormatting>
  <conditionalFormatting sqref="J26:L26">
    <cfRule type="cellIs" dxfId="139" priority="5" stopIfTrue="1" operator="equal">
      <formula>"Mixture Computed"</formula>
    </cfRule>
    <cfRule type="cellIs" dxfId="138" priority="6" stopIfTrue="1" operator="equal">
      <formula>"MIXTURE NOT COMPUTED"</formula>
    </cfRule>
  </conditionalFormatting>
  <conditionalFormatting sqref="J56">
    <cfRule type="cellIs" dxfId="137" priority="7" stopIfTrue="1" operator="greaterThanOrEqual">
      <formula>$M$56</formula>
    </cfRule>
    <cfRule type="cellIs" dxfId="136" priority="8" stopIfTrue="1" operator="notBetween">
      <formula>$K$56</formula>
      <formula>$L$56</formula>
    </cfRule>
    <cfRule type="cellIs" dxfId="135" priority="9" stopIfTrue="1" operator="between">
      <formula>$K$56</formula>
      <formula>$L$56</formula>
    </cfRule>
  </conditionalFormatting>
  <conditionalFormatting sqref="J54">
    <cfRule type="cellIs" dxfId="134" priority="10" stopIfTrue="1" operator="greaterThanOrEqual">
      <formula>$M$54</formula>
    </cfRule>
    <cfRule type="cellIs" dxfId="133" priority="11" stopIfTrue="1" operator="notBetween">
      <formula>$K$54</formula>
      <formula>$L$54</formula>
    </cfRule>
    <cfRule type="cellIs" dxfId="132" priority="12" stopIfTrue="1" operator="between">
      <formula>$K$54</formula>
      <formula>$L$54</formula>
    </cfRule>
  </conditionalFormatting>
  <conditionalFormatting sqref="J57">
    <cfRule type="cellIs" dxfId="131" priority="13" stopIfTrue="1" operator="greaterThanOrEqual">
      <formula>$K$57</formula>
    </cfRule>
    <cfRule type="cellIs" dxfId="130" priority="14" stopIfTrue="1" operator="lessThan">
      <formula>$K$57</formula>
    </cfRule>
  </conditionalFormatting>
  <conditionalFormatting sqref="J55">
    <cfRule type="cellIs" dxfId="129" priority="15" stopIfTrue="1" operator="greaterThanOrEqual">
      <formula>0</formula>
    </cfRule>
    <cfRule type="cellIs" dxfId="128"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9">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Management\[15141_Vent_Test_Plan_v20_071.xlsm]3</v>
      </c>
    </row>
    <row r="2" spans="1:11" ht="24" hidden="1" customHeight="1">
      <c r="A2" s="16">
        <f ca="1">FIND("]",A1,1)</f>
        <v>107</v>
      </c>
    </row>
    <row r="3" spans="1:11" ht="23.25" hidden="1" customHeight="1">
      <c r="A3" s="16">
        <f ca="1">LEN(A1)</f>
        <v>108</v>
      </c>
    </row>
    <row r="4" spans="1:11" ht="21" hidden="1" customHeight="1">
      <c r="A4" s="16">
        <f ca="1">VALUE(RIGHT(A1,A3-A2))</f>
        <v>3</v>
      </c>
    </row>
    <row r="5" spans="1:11" ht="18.75" hidden="1" customHeight="1">
      <c r="A5" s="1" t="s">
        <v>790</v>
      </c>
    </row>
    <row r="6" spans="1:11" ht="18.75">
      <c r="A6" s="54" t="str">
        <f ca="1">CONCATENATE(A5,A4)</f>
        <v>Table A-3</v>
      </c>
      <c r="J6" s="2" t="s">
        <v>792</v>
      </c>
    </row>
    <row r="7" spans="1:11" ht="18.75">
      <c r="A7" s="4" t="s">
        <v>794</v>
      </c>
      <c r="J7" t="s">
        <v>793</v>
      </c>
    </row>
    <row r="8" spans="1:11">
      <c r="A8" s="45" t="str">
        <f ca="1">INDEX(SourceDescription,MATCH($A$4,SourceNumber,0),1,1) &amp; " (" &amp; INDEX(SourceID,MATCH($A$4,SourceNumber,0),1,1) &amp; ")"</f>
        <v>Lab Air Handling Unit 3 (AHU Labs-3)</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f ca="1">F14*3.28</f>
        <v>5</v>
      </c>
      <c r="E14" s="37" t="s">
        <v>807</v>
      </c>
      <c r="F14" s="85">
        <f ca="1">INDEX(SourceHeightAboveBase,MATCH($A$4,SourceNumber,0),1,1)+INDEX(SourceBaseHeightAboveGrade,MATCH($A$4,SourceNumber,0),1,1)</f>
        <v>1.524390243902439</v>
      </c>
      <c r="G14" s="85" t="e">
        <f ca="1">F14/SF</f>
        <v>#VALUE!</v>
      </c>
      <c r="H14" s="1044" t="e">
        <f ca="1">G14</f>
        <v>#VALUE!</v>
      </c>
      <c r="I14" s="16"/>
    </row>
    <row r="15" spans="1:11">
      <c r="A15" s="33">
        <f t="shared" si="0"/>
        <v>4</v>
      </c>
      <c r="B15" t="str">
        <f t="shared" si="1"/>
        <v>.</v>
      </c>
      <c r="C15" t="s">
        <v>798</v>
      </c>
      <c r="D15" s="79">
        <f ca="1">F15*3.28</f>
        <v>14.383333333333331</v>
      </c>
      <c r="E15" s="37" t="s">
        <v>807</v>
      </c>
      <c r="F15" s="85">
        <f ca="1">INDEX(SourceExitDiameter,MATCH($A$4,SourceNumber,0),1,1)</f>
        <v>4.3851626016260159</v>
      </c>
      <c r="G15" s="1111" t="e">
        <f ca="1">INDEX(SelectedModelEquivID,MATCH($A$4,SourceNumber,0),1,1)*(2.54/100)</f>
        <v>#VALUE!</v>
      </c>
      <c r="H15" s="1130" t="e">
        <f ca="1">G15</f>
        <v>#VALUE!</v>
      </c>
      <c r="I15" s="16"/>
      <c r="J15" s="169" t="e">
        <f ca="1">(G15*100/2.54)*32</f>
        <v>#VALUE!</v>
      </c>
      <c r="K15" s="319" t="s">
        <v>466</v>
      </c>
    </row>
    <row r="16" spans="1:11" ht="20.25">
      <c r="A16" s="33">
        <f t="shared" si="0"/>
        <v>5</v>
      </c>
      <c r="B16" t="str">
        <f t="shared" si="1"/>
        <v>.</v>
      </c>
      <c r="C16" t="s">
        <v>820</v>
      </c>
      <c r="D16" s="79">
        <f ca="1">F16*3.28^2</f>
        <v>162.48339020982053</v>
      </c>
      <c r="E16" s="37" t="s">
        <v>811</v>
      </c>
      <c r="F16" s="86">
        <f ca="1">$F$15^2*PI()/4</f>
        <v>15.102932611709972</v>
      </c>
      <c r="G16" s="1112" t="e">
        <f ca="1">G15^2*PI()/4</f>
        <v>#VALUE!</v>
      </c>
      <c r="H16" s="1131" t="e">
        <f ca="1">H15^2*PI()/4</f>
        <v>#VALUE!</v>
      </c>
    </row>
    <row r="17" spans="1:34" ht="18.75">
      <c r="A17" s="33">
        <f t="shared" si="0"/>
        <v>6</v>
      </c>
      <c r="B17" t="str">
        <f t="shared" si="1"/>
        <v>.</v>
      </c>
      <c r="C17" t="s">
        <v>821</v>
      </c>
      <c r="D17" s="33">
        <f ca="1">F17*3.28*60</f>
        <v>2461.7900911808019</v>
      </c>
      <c r="E17" s="37" t="s">
        <v>808</v>
      </c>
      <c r="F17" s="85">
        <f ca="1">INDEX(SourceExitVelocity,MATCH($A$4,SourceNumber,0),1,1)</f>
        <v>12.509095991772369</v>
      </c>
      <c r="G17" s="86" t="e">
        <f ca="1">G29*G46</f>
        <v>#VALUE!</v>
      </c>
      <c r="H17" s="1102" t="e">
        <f ca="1">H29*H46</f>
        <v>#VALUE!</v>
      </c>
      <c r="I17" s="16"/>
    </row>
    <row r="18" spans="1:34" ht="20.25">
      <c r="A18" s="33">
        <f t="shared" si="0"/>
        <v>7</v>
      </c>
      <c r="B18" t="str">
        <f t="shared" si="1"/>
        <v>.</v>
      </c>
      <c r="C18" t="s">
        <v>822</v>
      </c>
      <c r="D18" s="33" t="e">
        <f ca="1">(F18-273.15)*(9/5)+32</f>
        <v>#VALUE!</v>
      </c>
      <c r="E18" s="80" t="s">
        <v>812</v>
      </c>
      <c r="F18" s="85" t="e">
        <f ca="1">INDEX(SourceExitTemperature,MATCH($A$4,SourceNumber,0),1,1)</f>
        <v>#VALUE!</v>
      </c>
      <c r="G18" s="351">
        <f>G22</f>
        <v>293.14999999999998</v>
      </c>
      <c r="H18" s="1103">
        <f>H22</f>
        <v>293.14999999999998</v>
      </c>
    </row>
    <row r="19" spans="1:34" ht="18.75">
      <c r="A19" s="33">
        <f t="shared" si="0"/>
        <v>8</v>
      </c>
      <c r="B19" t="str">
        <f t="shared" si="1"/>
        <v>.</v>
      </c>
      <c r="C19" t="s">
        <v>82</v>
      </c>
      <c r="D19" s="33">
        <f ca="1">F19*3.28^3*60</f>
        <v>399999.99999999988</v>
      </c>
      <c r="E19" s="37" t="s">
        <v>813</v>
      </c>
      <c r="F19" s="86">
        <f ca="1">F17*F16</f>
        <v>188.92403379714941</v>
      </c>
      <c r="G19" s="1112" t="e">
        <f ca="1">G16*G17</f>
        <v>#VALUE!</v>
      </c>
      <c r="H19" s="1131" t="e">
        <f ca="1">H16*H17</f>
        <v>#VALUE!</v>
      </c>
      <c r="I19" s="107" t="s">
        <v>83</v>
      </c>
      <c r="J19" s="121" t="e">
        <f ca="1">G19*100^3</f>
        <v>#VALUE!</v>
      </c>
      <c r="K19" s="121" t="e">
        <f ca="1">H19*100^3</f>
        <v>#VALUE!</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#VALUE!</v>
      </c>
      <c r="E24" s="37" t="s">
        <v>815</v>
      </c>
      <c r="F24" s="88" t="e">
        <f ca="1">(28.96/22.41383)*(273.15/$F$18)*($F$21/1013)</f>
        <v>#VALUE!</v>
      </c>
      <c r="G24" s="86">
        <f ca="1">$G$23*$G$53</f>
        <v>1.0030637736235697</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#VALUE!</v>
      </c>
      <c r="E26" s="37" t="s">
        <v>816</v>
      </c>
      <c r="F26" s="89" t="e">
        <f ca="1">(145.8*$F$18^1.5)/(($F$18+110.4)*10^8*$F$24)</f>
        <v>#VALUE!</v>
      </c>
      <c r="G26" s="1114">
        <f ca="1">X33</f>
        <v>1.4138263848225382E-5</v>
      </c>
      <c r="H26" s="1132">
        <f>182.7*0.00001</f>
        <v>1.8270000000000001E-3</v>
      </c>
      <c r="J26" s="1875" t="str">
        <f ca="1">IF(V36=0,"Mixture Computed","Mixture NOT Computed")</f>
        <v>Mixture Computed</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#VALUE!</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f ca="1">INDEX(SourceModelRefWS,MATCH($A$4,SourceNumber,0),1,1)</f>
        <v>6.001707317073171</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#VALUE!</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f ca="1">(M31*Q31)+(M32*Q32)+(M33*Q33)</f>
        <v>28.963999999999999</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f ca="1">IF($G$53=0.9743,14,9)</f>
        <v>9</v>
      </c>
      <c r="L32" s="109" t="str">
        <f ca="1">INDEX(GasData,MATCH($K32,GasNum,0),2)</f>
        <v>Helium</v>
      </c>
      <c r="M32" s="32">
        <f ca="1">INDEX(GasData,MATCH($K32,GasNum,0),3)</f>
        <v>4.0026000000000002</v>
      </c>
      <c r="N32" s="32">
        <f ca="1">INDEX(GasData,MATCH($K32,GasNum,0),4)</f>
        <v>20</v>
      </c>
      <c r="O32" s="32">
        <f ca="1">INDEX(GasData,MATCH($K32,GasNum,0),5)</f>
        <v>194.1</v>
      </c>
      <c r="P32" s="32">
        <f ca="1">INDEX(GasData,MATCH($K32,GasNum,0),6)</f>
        <v>1.6639390869541433E-4</v>
      </c>
      <c r="Q32" s="133">
        <v>0</v>
      </c>
      <c r="U32" s="107" t="s">
        <v>89</v>
      </c>
      <c r="V32">
        <f ca="1">AH43*10^-6</f>
        <v>1.827E-4</v>
      </c>
      <c r="W32" t="s">
        <v>104</v>
      </c>
      <c r="AA32" s="42">
        <f>AA31</f>
        <v>1</v>
      </c>
      <c r="AB32" s="102">
        <f>AB31+1</f>
        <v>2</v>
      </c>
      <c r="AC32" s="121">
        <f t="shared" ca="1" si="2"/>
        <v>7.2362964073352316</v>
      </c>
      <c r="AD32" s="121">
        <f t="shared" ca="1" si="2"/>
        <v>0.9412673879443586</v>
      </c>
      <c r="AE32">
        <f ca="1">(8^-0.5)*((1+(AC32))^-0.5)*(1+((AD32)^0.5)*((1/AC32)^0.25))^2</f>
        <v>0.31204638814964564</v>
      </c>
      <c r="AF32">
        <f ca="1">VLOOKUP($AB32,$J$31:$Q$33,$AH$29)*AE32</f>
        <v>0</v>
      </c>
    </row>
    <row r="33" spans="1:35" ht="20.25">
      <c r="A33" s="33">
        <f t="shared" si="0"/>
        <v>22</v>
      </c>
      <c r="B33" t="str">
        <f t="shared" si="1"/>
        <v>.</v>
      </c>
      <c r="C33" t="s">
        <v>831</v>
      </c>
      <c r="D33" s="82" t="e">
        <f>F33*3.28*3600/5280</f>
        <v>#VALUE!</v>
      </c>
      <c r="E33" s="37" t="s">
        <v>810</v>
      </c>
      <c r="F33" s="88" t="e">
        <f>F27*(F34/F28)^F45</f>
        <v>#VALUE!</v>
      </c>
      <c r="G33" s="88" t="e">
        <f ca="1">G27*(G34/G28)^G45</f>
        <v>#VALUE!</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f ca="1">V32*22.41383*1000/V31</f>
        <v>0.14138263848225383</v>
      </c>
      <c r="W33" t="s">
        <v>105</v>
      </c>
      <c r="X33">
        <f ca="1">V33/100^2</f>
        <v>1.4138263848225382E-5</v>
      </c>
      <c r="Y33" t="s">
        <v>108</v>
      </c>
      <c r="AA33" s="42">
        <f>AA32</f>
        <v>1</v>
      </c>
      <c r="AB33" s="102">
        <f>AB32+1</f>
        <v>3</v>
      </c>
      <c r="AC33" s="121">
        <f t="shared" si="2"/>
        <v>28.963999999999999</v>
      </c>
      <c r="AD33" s="121">
        <f t="shared" si="2"/>
        <v>182.7</v>
      </c>
      <c r="AE33">
        <f>(8^-0.5)*((1+(AC33))^-0.5)*(1+((AD33)^0.5)*((1/AC33)^0.25))^2</f>
        <v>3.0098578800154878</v>
      </c>
      <c r="AF33">
        <f>VLOOKUP($AB33,$J$31:$Q$33,$AH$29)*AE33</f>
        <v>0</v>
      </c>
      <c r="AG33">
        <f ca="1">SUM(AF31:AF33)</f>
        <v>0.99999999999999978</v>
      </c>
      <c r="AH33">
        <f ca="1">VLOOKUP($AA33,$J$31:$Q$33,$AH$29)*VLOOKUP($AA31,$J$31:$Q$33,$AD$29)/$AG33</f>
        <v>182.70000000000002</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f ca="1">V31/M35</f>
        <v>1</v>
      </c>
      <c r="AA34" s="5"/>
      <c r="AB34" s="5"/>
    </row>
    <row r="35" spans="1:35">
      <c r="A35" s="33">
        <f t="shared" si="0"/>
        <v>24</v>
      </c>
      <c r="B35" t="str">
        <f t="shared" si="1"/>
        <v>.</v>
      </c>
      <c r="C35" t="s">
        <v>868</v>
      </c>
      <c r="D35" s="82" t="e">
        <f ca="1">F35*3.28*3600/5280</f>
        <v>#VALUE!</v>
      </c>
      <c r="E35" s="37" t="s">
        <v>810</v>
      </c>
      <c r="F35" s="88" t="e">
        <f ca="1">F27*(F14/F28)^F45</f>
        <v>#VALUE!</v>
      </c>
      <c r="G35" s="88" t="e">
        <f ca="1">G27*(G14/G28)^G45</f>
        <v>#VALUE!</v>
      </c>
      <c r="H35" s="277" t="e">
        <f ca="1">H27*(H14/H28)^H45</f>
        <v>#VALUE!</v>
      </c>
      <c r="K35" s="46">
        <v>1</v>
      </c>
      <c r="L35" s="5" t="str">
        <f>INDEX(GasData,MATCH($K35,GasNum,0),2)</f>
        <v>Air</v>
      </c>
      <c r="M35" s="32">
        <f>INDEX(GasData,MATCH($K35,GasNum,0),3)</f>
        <v>28.963999999999999</v>
      </c>
      <c r="N35" s="32"/>
      <c r="O35" s="32"/>
      <c r="P35" s="32"/>
      <c r="Q35" s="133"/>
      <c r="U35" s="107" t="s">
        <v>107</v>
      </c>
      <c r="V35">
        <f ca="1">V34-G53</f>
        <v>0</v>
      </c>
      <c r="AA35" s="46">
        <v>2</v>
      </c>
      <c r="AB35" s="46">
        <v>1</v>
      </c>
      <c r="AC35" s="121">
        <f t="shared" ref="AC35:AD37" ca="1" si="3">VLOOKUP($AA35,$J$31:$Q$33,AC$29)/VLOOKUP($AB35,$J$31:$Q$33,AC$29)</f>
        <v>0.13819223864107169</v>
      </c>
      <c r="AD35" s="121">
        <f t="shared" ca="1" si="3"/>
        <v>1.0623973727422005</v>
      </c>
      <c r="AE35">
        <f ca="1">(8^-0.5)*((1+(AC35))^-0.5)*(1+((AD35)^0.5)*((1/AC35)^0.25))^2</f>
        <v>2.3989571788103832</v>
      </c>
      <c r="AF35">
        <f ca="1">VLOOKUP($AB35,$J$31:$Q$33,$AH$29)*AE35</f>
        <v>2.3989571788103832</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#VALUE!</v>
      </c>
      <c r="H36" s="277" t="e">
        <f>H27*(H12/H28)^H45</f>
        <v>#VALUE!</v>
      </c>
      <c r="U36" s="107" t="s">
        <v>109</v>
      </c>
      <c r="V36" s="121">
        <f ca="1">ROUND(V35,3)</f>
        <v>0</v>
      </c>
      <c r="AA36" s="42">
        <f>AA35</f>
        <v>2</v>
      </c>
      <c r="AB36" s="102">
        <f>AB35+1</f>
        <v>2</v>
      </c>
      <c r="AC36" s="121">
        <f t="shared" ca="1" si="3"/>
        <v>1</v>
      </c>
      <c r="AD36" s="121">
        <f t="shared" ca="1" si="3"/>
        <v>1</v>
      </c>
      <c r="AE36">
        <f ca="1">(8^-0.5)*((1+(AC36))^-0.5)*(1+((AD36)^0.5)*((1/AC36)^0.25))^2</f>
        <v>0.99999999999999978</v>
      </c>
      <c r="AF36">
        <f ca="1">VLOOKUP($AB36,$J$31:$Q$33,$AH$29)*AE36</f>
        <v>0</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f t="shared" ca="1" si="3"/>
        <v>4.0026000000000002</v>
      </c>
      <c r="AD37" s="121">
        <f t="shared" ca="1" si="3"/>
        <v>194.1</v>
      </c>
      <c r="AE37">
        <f ca="1">(8^-0.5)*((1+(AC37))^-0.5)*(1+((AD37)^0.5)*((1/AC37)^0.25))^2</f>
        <v>18.608022962630464</v>
      </c>
      <c r="AF37">
        <f ca="1">VLOOKUP($AB37,$J$31:$Q$33,$AH$29)*AE37</f>
        <v>0</v>
      </c>
      <c r="AG37">
        <f ca="1">SUM(AF35:AF37)</f>
        <v>2.3989571788103832</v>
      </c>
      <c r="AH37">
        <f ca="1">VLOOKUP($AA37,$J$31:$Q$33,$AH$29)*VLOOKUP($AA35,$J$31:$Q$33,$AD$29)/$AG37</f>
        <v>0</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f t="shared" ca="1" si="4"/>
        <v>0.24983760555638834</v>
      </c>
      <c r="AD40" s="121">
        <f t="shared" ca="1" si="4"/>
        <v>5.1519835136527563E-3</v>
      </c>
      <c r="AE40" s="3">
        <f ca="1">(8^-0.5)*((1+(AC40))^-0.5)*(1+((AD40)^0.5)*((1/AC40)^0.25))^2</f>
        <v>0.38372216749214155</v>
      </c>
      <c r="AF40">
        <f ca="1">VLOOKUP($AB40,$J$31:$Q$33,$AH$29)*AE40</f>
        <v>0</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f ca="1">SUM(AF39:AF41)</f>
        <v>0.4771621436057395</v>
      </c>
      <c r="AH41">
        <f ca="1">VLOOKUP($AA41,$J$31:$Q$33,$AH$29)*VLOOKUP($AA39,$J$31:$Q$33,$AD$29)/$AG41</f>
        <v>0</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f ca="1">SUM(AH33:AH41)</f>
        <v>182.70000000000002</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#VALUE!</v>
      </c>
      <c r="E46" s="37"/>
      <c r="F46" s="134" t="e">
        <f ca="1">$F$17/$F$29</f>
        <v>#VALUE!</v>
      </c>
      <c r="G46" s="86" t="e">
        <f ca="1">(G50/(G53*G49^2))^0.5</f>
        <v>#VALUE!</v>
      </c>
      <c r="H46" s="1102" t="e">
        <f ca="1">(H50/(H53*H49^2))^0.5</f>
        <v>#VALUE!</v>
      </c>
      <c r="I46" s="1123"/>
    </row>
    <row r="47" spans="1:35" ht="18.75">
      <c r="A47" s="33">
        <f t="shared" si="6"/>
        <v>34</v>
      </c>
      <c r="B47" t="str">
        <f t="shared" si="7"/>
        <v>.</v>
      </c>
      <c r="C47" t="s">
        <v>840</v>
      </c>
      <c r="D47" s="83" t="e">
        <f t="shared" ca="1" si="5"/>
        <v>#VALUE!</v>
      </c>
      <c r="E47" s="37"/>
      <c r="F47" s="134" t="e">
        <f ca="1">$F$17/$F$35</f>
        <v>#VALUE!</v>
      </c>
      <c r="G47" s="88" t="e">
        <f ca="1">G17/G35</f>
        <v>#VALUE!</v>
      </c>
      <c r="H47" s="277" t="e">
        <f ca="1">H17/H35</f>
        <v>#VALUE!</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86" t="e">
        <f ca="1">G14/G12</f>
        <v>#VALUE!</v>
      </c>
      <c r="H48" s="1102" t="e">
        <f ca="1">H14/H12</f>
        <v>#VALUE!</v>
      </c>
      <c r="I48" s="1124"/>
    </row>
    <row r="49" spans="1:13">
      <c r="A49" s="33">
        <f t="shared" si="6"/>
        <v>36</v>
      </c>
      <c r="B49" t="str">
        <f t="shared" si="7"/>
        <v>.</v>
      </c>
      <c r="C49" t="s">
        <v>804</v>
      </c>
      <c r="D49" s="83">
        <f t="shared" ca="1" si="5"/>
        <v>2.8766666666666665</v>
      </c>
      <c r="E49" s="37"/>
      <c r="F49" s="86">
        <f ca="1">$F$15/$F$14</f>
        <v>2.8766666666666665</v>
      </c>
      <c r="G49" s="86" t="e">
        <f ca="1">G15/G14</f>
        <v>#VALUE!</v>
      </c>
      <c r="H49" s="1102" t="e">
        <f ca="1">H15/H14</f>
        <v>#VALUE!</v>
      </c>
      <c r="I49" s="121"/>
    </row>
    <row r="50" spans="1:13" ht="18.75">
      <c r="A50" s="33">
        <f t="shared" si="6"/>
        <v>37</v>
      </c>
      <c r="B50" t="str">
        <f t="shared" si="7"/>
        <v>.</v>
      </c>
      <c r="C50" t="s">
        <v>841</v>
      </c>
      <c r="D50" s="84" t="e">
        <f t="shared" ca="1" si="5"/>
        <v>#VALUE!</v>
      </c>
      <c r="E50" s="37"/>
      <c r="F50" s="89" t="e">
        <f ca="1">F46^2*F53*F49^2</f>
        <v>#VALUE!</v>
      </c>
      <c r="G50" s="1114" t="e">
        <f ca="1">F50</f>
        <v>#VALUE!</v>
      </c>
      <c r="H50" s="1134" t="e">
        <f ca="1">G50</f>
        <v>#VALUE!</v>
      </c>
      <c r="I50" s="1125"/>
      <c r="J50" s="110" t="e">
        <f ca="1">F50-G50</f>
        <v>#VALUE!</v>
      </c>
      <c r="K50" t="s">
        <v>110</v>
      </c>
    </row>
    <row r="51" spans="1:13" ht="18.75">
      <c r="A51" s="33">
        <f t="shared" si="6"/>
        <v>38</v>
      </c>
      <c r="B51" t="str">
        <f t="shared" si="7"/>
        <v>.</v>
      </c>
      <c r="C51" t="s">
        <v>843</v>
      </c>
      <c r="D51" s="83" t="e">
        <f t="shared" ca="1" si="5"/>
        <v>#VALUE!</v>
      </c>
      <c r="E51" s="37"/>
      <c r="F51" s="86" t="e">
        <f ca="1">IF(F53=1,NA(),((F17^2)/(F15*9.81*((1/F53)-1)))^0.5)</f>
        <v>#VALUE!</v>
      </c>
      <c r="G51" s="1115" t="e">
        <f ca="1">IF(G53=1,NA(),((G17^2)/(G15*9.81*((1/G53)-1)))^0.5)</f>
        <v>#N/A</v>
      </c>
      <c r="H51" s="1107" t="e">
        <f ca="1">IF(H53=1,NA(),((H17^2)/(H15*9.81*((1/H53)-1)))^0.5)</f>
        <v>#VALUE!</v>
      </c>
      <c r="I51" s="1126"/>
      <c r="J51" s="112" t="e">
        <f ca="1">G51-F51</f>
        <v>#N/A</v>
      </c>
      <c r="K51" t="s">
        <v>111</v>
      </c>
    </row>
    <row r="52" spans="1:13" ht="18.75">
      <c r="A52" s="33">
        <f t="shared" si="6"/>
        <v>39</v>
      </c>
      <c r="B52" t="str">
        <f t="shared" si="7"/>
        <v>.</v>
      </c>
      <c r="C52" t="s">
        <v>842</v>
      </c>
      <c r="D52" s="84" t="e">
        <f t="shared" ca="1" si="5"/>
        <v>#VALUE!</v>
      </c>
      <c r="E52" s="37"/>
      <c r="F52" s="138" t="e">
        <f ca="1">0.25*F49*(F53*F46^3)/F51^2</f>
        <v>#VALUE!</v>
      </c>
      <c r="G52" s="1116" t="e">
        <f ca="1">IF(G53=1,NA(),0.25*G49*(G53*G46^3)/G51^2)</f>
        <v>#N/A</v>
      </c>
      <c r="H52" s="1108" t="e">
        <f ca="1">IF(H53=1,NA(),0.25*H49*(H53*H46^3)/H51^2)</f>
        <v>#VALUE!</v>
      </c>
      <c r="I52" s="1127"/>
      <c r="J52" s="111" t="e">
        <f ca="1">G52-F52</f>
        <v>#N/A</v>
      </c>
      <c r="K52" t="s">
        <v>112</v>
      </c>
    </row>
    <row r="53" spans="1:13">
      <c r="A53" s="33">
        <f t="shared" si="6"/>
        <v>40</v>
      </c>
      <c r="B53" t="str">
        <f t="shared" si="7"/>
        <v>.</v>
      </c>
      <c r="C53" t="s">
        <v>844</v>
      </c>
      <c r="D53" s="83" t="e">
        <f t="shared" ca="1" si="5"/>
        <v>#VALUE!</v>
      </c>
      <c r="E53" s="37"/>
      <c r="F53" s="86" t="e">
        <f ca="1">$F$24/$F$23</f>
        <v>#VALUE!</v>
      </c>
      <c r="G53" s="85">
        <f ca="1">INDEX(SourceModelDensityRatio,MATCH($A$4,SourceNumber,0),1,1)</f>
        <v>1</v>
      </c>
      <c r="H53" s="1135">
        <v>0.96719999999999995</v>
      </c>
      <c r="I53" s="1128"/>
      <c r="J53" s="5"/>
      <c r="K53" s="5" t="s">
        <v>116</v>
      </c>
      <c r="L53" s="5" t="s">
        <v>115</v>
      </c>
      <c r="M53" s="5" t="s">
        <v>114</v>
      </c>
    </row>
    <row r="54" spans="1:13" ht="18.75">
      <c r="A54" s="33">
        <f t="shared" si="6"/>
        <v>41</v>
      </c>
      <c r="B54" t="str">
        <f t="shared" si="7"/>
        <v>.</v>
      </c>
      <c r="C54" t="s">
        <v>845</v>
      </c>
      <c r="D54" s="84" t="e">
        <f t="shared" ca="1" si="5"/>
        <v>#VALUE!</v>
      </c>
      <c r="E54" s="37"/>
      <c r="F54" s="89" t="e">
        <f ca="1">(F$15*F$35)/F$25</f>
        <v>#VALUE!</v>
      </c>
      <c r="G54" s="86" t="e">
        <f ca="1">(G$15*G$35)/G$25</f>
        <v>#VALUE!</v>
      </c>
      <c r="H54" s="1102" t="e">
        <f ca="1">(H$15*H$35)/H$25</f>
        <v>#VALUE!</v>
      </c>
      <c r="I54" s="1125"/>
      <c r="J54" s="139" t="e">
        <f ca="1">G54</f>
        <v>#VALUE!</v>
      </c>
      <c r="K54" s="353">
        <v>1000</v>
      </c>
      <c r="L54" s="353">
        <v>90000</v>
      </c>
      <c r="M54" s="353">
        <v>11000</v>
      </c>
    </row>
    <row r="55" spans="1:13" ht="18.75">
      <c r="A55" s="33">
        <f t="shared" si="6"/>
        <v>42</v>
      </c>
      <c r="B55" t="str">
        <f t="shared" si="7"/>
        <v>.</v>
      </c>
      <c r="C55" t="s">
        <v>74</v>
      </c>
      <c r="D55" s="84" t="e">
        <f t="shared" ca="1" si="5"/>
        <v>#VALUE!</v>
      </c>
      <c r="E55" s="37"/>
      <c r="F55" s="89" t="e">
        <f ca="1">(F$15*F$17)/F26</f>
        <v>#VALUE!</v>
      </c>
      <c r="G55" s="86" t="e">
        <f ca="1">(G$15*G$17)/G26</f>
        <v>#VALUE!</v>
      </c>
      <c r="H55" s="1102" t="e">
        <f ca="1">(H$15*H$17)/H26</f>
        <v>#VALUE!</v>
      </c>
      <c r="I55" s="1125"/>
      <c r="J55" s="245" t="e">
        <f ca="1">IF(G53&lt;&gt;1,G55-670,G55-2000)</f>
        <v>#VALUE!</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27" priority="1" stopIfTrue="1" operator="equal">
      <formula>0</formula>
    </cfRule>
    <cfRule type="cellIs" dxfId="126" priority="2" stopIfTrue="1" operator="notEqual">
      <formula>0</formula>
    </cfRule>
  </conditionalFormatting>
  <conditionalFormatting sqref="J52">
    <cfRule type="cellIs" dxfId="125" priority="3" stopIfTrue="1" operator="lessThanOrEqual">
      <formula>0.00000001</formula>
    </cfRule>
    <cfRule type="cellIs" dxfId="124" priority="4" stopIfTrue="1" operator="greaterThan">
      <formula>0.00000001</formula>
    </cfRule>
  </conditionalFormatting>
  <conditionalFormatting sqref="J26:L26">
    <cfRule type="cellIs" dxfId="123" priority="5" stopIfTrue="1" operator="equal">
      <formula>"Mixture Computed"</formula>
    </cfRule>
    <cfRule type="cellIs" dxfId="122" priority="6" stopIfTrue="1" operator="equal">
      <formula>"MIXTURE NOT COMPUTED"</formula>
    </cfRule>
  </conditionalFormatting>
  <conditionalFormatting sqref="J56">
    <cfRule type="cellIs" dxfId="121" priority="7" stopIfTrue="1" operator="greaterThanOrEqual">
      <formula>$M$56</formula>
    </cfRule>
    <cfRule type="cellIs" dxfId="120" priority="8" stopIfTrue="1" operator="notBetween">
      <formula>$K$56</formula>
      <formula>$L$56</formula>
    </cfRule>
    <cfRule type="cellIs" dxfId="119" priority="9" stopIfTrue="1" operator="between">
      <formula>$K$56</formula>
      <formula>$L$56</formula>
    </cfRule>
  </conditionalFormatting>
  <conditionalFormatting sqref="J54">
    <cfRule type="cellIs" dxfId="118" priority="10" stopIfTrue="1" operator="greaterThanOrEqual">
      <formula>$M$54</formula>
    </cfRule>
    <cfRule type="cellIs" dxfId="117" priority="11" stopIfTrue="1" operator="notBetween">
      <formula>$K$54</formula>
      <formula>$L$54</formula>
    </cfRule>
    <cfRule type="cellIs" dxfId="116" priority="12" stopIfTrue="1" operator="between">
      <formula>$K$54</formula>
      <formula>$L$54</formula>
    </cfRule>
  </conditionalFormatting>
  <conditionalFormatting sqref="J57">
    <cfRule type="cellIs" dxfId="115" priority="13" stopIfTrue="1" operator="greaterThanOrEqual">
      <formula>$K$57</formula>
    </cfRule>
    <cfRule type="cellIs" dxfId="114" priority="14" stopIfTrue="1" operator="lessThan">
      <formula>$K$57</formula>
    </cfRule>
  </conditionalFormatting>
  <conditionalFormatting sqref="J55">
    <cfRule type="cellIs" dxfId="113" priority="15" stopIfTrue="1" operator="greaterThanOrEqual">
      <formula>0</formula>
    </cfRule>
    <cfRule type="cellIs" dxfId="112"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80">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Management\[15141_Vent_Test_Plan_v20_071.xlsm]4</v>
      </c>
    </row>
    <row r="2" spans="1:11" ht="24" hidden="1" customHeight="1">
      <c r="A2" s="16">
        <f ca="1">FIND("]",A1,1)</f>
        <v>107</v>
      </c>
    </row>
    <row r="3" spans="1:11" ht="23.25" hidden="1" customHeight="1">
      <c r="A3" s="16">
        <f ca="1">LEN(A1)</f>
        <v>108</v>
      </c>
    </row>
    <row r="4" spans="1:11" ht="21" hidden="1" customHeight="1">
      <c r="A4" s="16">
        <f ca="1">VALUE(RIGHT(A1,A3-A2))</f>
        <v>4</v>
      </c>
    </row>
    <row r="5" spans="1:11" ht="18.75" hidden="1" customHeight="1">
      <c r="A5" s="1" t="s">
        <v>790</v>
      </c>
    </row>
    <row r="6" spans="1:11" ht="18.75">
      <c r="A6" s="54" t="str">
        <f ca="1">CONCATENATE(A5,A4)</f>
        <v>Table A-4</v>
      </c>
      <c r="J6" s="2" t="s">
        <v>792</v>
      </c>
    </row>
    <row r="7" spans="1:11" ht="18.75">
      <c r="A7" s="4" t="s">
        <v>794</v>
      </c>
      <c r="J7" t="s">
        <v>793</v>
      </c>
    </row>
    <row r="8" spans="1:11">
      <c r="A8" s="45" t="e">
        <f ca="1">INDEX(SourceDescription,MATCH($A$4,SourceNumber,0),1,1) &amp; " (" &amp; INDEX(SourceID,MATCH($A$4,SourceNumber,0),1,1) &amp; ")"</f>
        <v>#N/A</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t="e">
        <f ca="1">F14*3.28</f>
        <v>#N/A</v>
      </c>
      <c r="E14" s="37" t="s">
        <v>807</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798</v>
      </c>
      <c r="D15" s="79" t="e">
        <f ca="1">F15*3.28</f>
        <v>#N/A</v>
      </c>
      <c r="E15" s="37" t="s">
        <v>807</v>
      </c>
      <c r="F15" s="85" t="e">
        <f ca="1">INDEX(SourceExitDiameter,MATCH($A$4,SourceNumber,0),1,1)</f>
        <v>#N/A</v>
      </c>
      <c r="G15" s="1111" t="e">
        <f ca="1">INDEX(SelectedModelEquivID,MATCH($A$4,SourceNumber,0),1,1)*(2.54/100)</f>
        <v>#N/A</v>
      </c>
      <c r="H15" s="1130" t="e">
        <f ca="1">G15</f>
        <v>#N/A</v>
      </c>
      <c r="I15" s="16"/>
      <c r="J15" s="169" t="e">
        <f ca="1">(G15*100/2.54)*32</f>
        <v>#N/A</v>
      </c>
      <c r="K15" s="319" t="s">
        <v>466</v>
      </c>
    </row>
    <row r="16" spans="1:11" ht="20.25">
      <c r="A16" s="33">
        <f t="shared" si="0"/>
        <v>5</v>
      </c>
      <c r="B16" t="str">
        <f t="shared" si="1"/>
        <v>.</v>
      </c>
      <c r="C16" t="s">
        <v>820</v>
      </c>
      <c r="D16" s="79" t="e">
        <f ca="1">F16*3.28^2</f>
        <v>#N/A</v>
      </c>
      <c r="E16" s="37" t="s">
        <v>811</v>
      </c>
      <c r="F16" s="86" t="e">
        <f ca="1">$F$15^2*PI()/4</f>
        <v>#N/A</v>
      </c>
      <c r="G16" s="1112" t="e">
        <f ca="1">G15^2*PI()/4</f>
        <v>#N/A</v>
      </c>
      <c r="H16" s="1131" t="e">
        <f ca="1">H15^2*PI()/4</f>
        <v>#N/A</v>
      </c>
    </row>
    <row r="17" spans="1:34" ht="18.75">
      <c r="A17" s="33">
        <f t="shared" si="0"/>
        <v>6</v>
      </c>
      <c r="B17" t="str">
        <f t="shared" si="1"/>
        <v>.</v>
      </c>
      <c r="C17" t="s">
        <v>821</v>
      </c>
      <c r="D17" s="33" t="e">
        <f ca="1">F17*3.28*60</f>
        <v>#N/A</v>
      </c>
      <c r="E17" s="37" t="s">
        <v>808</v>
      </c>
      <c r="F17" s="85" t="e">
        <f ca="1">INDEX(SourceExitVelocity,MATCH($A$4,SourceNumber,0),1,1)</f>
        <v>#N/A</v>
      </c>
      <c r="G17" s="86" t="e">
        <f ca="1">G29*G46</f>
        <v>#N/A</v>
      </c>
      <c r="H17" s="1102" t="e">
        <f ca="1">H29*H46</f>
        <v>#N/A</v>
      </c>
      <c r="I17" s="16"/>
    </row>
    <row r="18" spans="1:34" ht="20.25">
      <c r="A18" s="33">
        <f t="shared" si="0"/>
        <v>7</v>
      </c>
      <c r="B18" t="str">
        <f t="shared" si="1"/>
        <v>.</v>
      </c>
      <c r="C18" t="s">
        <v>822</v>
      </c>
      <c r="D18" s="33" t="e">
        <f ca="1">(F18-273.15)*(9/5)+32</f>
        <v>#N/A</v>
      </c>
      <c r="E18" s="80" t="s">
        <v>812</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813</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815</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#N/A</v>
      </c>
      <c r="E26" s="37" t="s">
        <v>816</v>
      </c>
      <c r="F26" s="89" t="e">
        <f ca="1">(145.8*$F$18^1.5)/(($F$18+110.4)*10^8*$F$24)</f>
        <v>#N/A</v>
      </c>
      <c r="G26" s="1114" t="e">
        <f ca="1">X33</f>
        <v>#N/A</v>
      </c>
      <c r="H26" s="1132">
        <f>182.7*0.00001</f>
        <v>1.8270000000000001E-3</v>
      </c>
      <c r="J26" s="1875" t="e">
        <f ca="1">IF(V36=0,"Mixture Computed","Mixture NOT Computed")</f>
        <v>#N/A</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#N/A</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t="e">
        <f ca="1">INDEX(SourceModelRefWS,MATCH($A$4,SourceNumber,0),1,1)</f>
        <v>#N/A</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831</v>
      </c>
      <c r="D33" s="82" t="e">
        <f>F33*3.28*3600/5280</f>
        <v>#VALUE!</v>
      </c>
      <c r="E33" s="37" t="s">
        <v>810</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833</v>
      </c>
      <c r="D35" s="82" t="e">
        <f ca="1">F35*3.28*3600/5280</f>
        <v>#VALUE!</v>
      </c>
      <c r="E35" s="37" t="s">
        <v>810</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840</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804</v>
      </c>
      <c r="D49" s="83" t="e">
        <f t="shared" ca="1" si="5"/>
        <v>#N/A</v>
      </c>
      <c r="E49" s="37"/>
      <c r="F49" s="86" t="e">
        <f ca="1">$F$15/$F$14</f>
        <v>#N/A</v>
      </c>
      <c r="G49" s="86" t="e">
        <f ca="1">G15/G14</f>
        <v>#N/A</v>
      </c>
      <c r="H49" s="1102" t="e">
        <f ca="1">H15/H14</f>
        <v>#N/A</v>
      </c>
      <c r="I49" s="121"/>
    </row>
    <row r="50" spans="1:13" ht="18.75">
      <c r="A50" s="33">
        <f t="shared" si="6"/>
        <v>37</v>
      </c>
      <c r="B50" t="str">
        <f t="shared" si="7"/>
        <v>.</v>
      </c>
      <c r="C50" t="s">
        <v>841</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843</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842</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844</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845</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11" priority="1" stopIfTrue="1" operator="equal">
      <formula>0</formula>
    </cfRule>
    <cfRule type="cellIs" dxfId="110" priority="2" stopIfTrue="1" operator="notEqual">
      <formula>0</formula>
    </cfRule>
  </conditionalFormatting>
  <conditionalFormatting sqref="J52">
    <cfRule type="cellIs" dxfId="109" priority="3" stopIfTrue="1" operator="lessThanOrEqual">
      <formula>0.00000001</formula>
    </cfRule>
    <cfRule type="cellIs" dxfId="108" priority="4" stopIfTrue="1" operator="greaterThan">
      <formula>0.00000001</formula>
    </cfRule>
  </conditionalFormatting>
  <conditionalFormatting sqref="J26:L26">
    <cfRule type="cellIs" dxfId="107" priority="5" stopIfTrue="1" operator="equal">
      <formula>"Mixture Computed"</formula>
    </cfRule>
    <cfRule type="cellIs" dxfId="106" priority="6" stopIfTrue="1" operator="equal">
      <formula>"MIXTURE NOT COMPUTED"</formula>
    </cfRule>
  </conditionalFormatting>
  <conditionalFormatting sqref="J56">
    <cfRule type="cellIs" dxfId="105" priority="7" stopIfTrue="1" operator="greaterThanOrEqual">
      <formula>$M$56</formula>
    </cfRule>
    <cfRule type="cellIs" dxfId="104" priority="8" stopIfTrue="1" operator="notBetween">
      <formula>$K$56</formula>
      <formula>$L$56</formula>
    </cfRule>
    <cfRule type="cellIs" dxfId="103" priority="9" stopIfTrue="1" operator="between">
      <formula>$K$56</formula>
      <formula>$L$56</formula>
    </cfRule>
  </conditionalFormatting>
  <conditionalFormatting sqref="J54">
    <cfRule type="cellIs" dxfId="102" priority="10" stopIfTrue="1" operator="greaterThanOrEqual">
      <formula>$M$54</formula>
    </cfRule>
    <cfRule type="cellIs" dxfId="101" priority="11" stopIfTrue="1" operator="notBetween">
      <formula>$K$54</formula>
      <formula>$L$54</formula>
    </cfRule>
    <cfRule type="cellIs" dxfId="100" priority="12" stopIfTrue="1" operator="between">
      <formula>$K$54</formula>
      <formula>$L$54</formula>
    </cfRule>
  </conditionalFormatting>
  <conditionalFormatting sqref="J57">
    <cfRule type="cellIs" dxfId="99" priority="13" stopIfTrue="1" operator="greaterThanOrEqual">
      <formula>$K$57</formula>
    </cfRule>
    <cfRule type="cellIs" dxfId="98" priority="14" stopIfTrue="1" operator="lessThan">
      <formula>$K$57</formula>
    </cfRule>
  </conditionalFormatting>
  <conditionalFormatting sqref="J55">
    <cfRule type="cellIs" dxfId="97" priority="15" stopIfTrue="1" operator="greaterThanOrEqual">
      <formula>0</formula>
    </cfRule>
    <cfRule type="cellIs" dxfId="96"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81">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Management\[15141_Vent_Test_Plan_v20_071.xlsm]5</v>
      </c>
    </row>
    <row r="2" spans="1:11" ht="24" hidden="1" customHeight="1">
      <c r="A2" s="16">
        <f ca="1">FIND("]",A1,1)</f>
        <v>107</v>
      </c>
    </row>
    <row r="3" spans="1:11" ht="23.25" hidden="1" customHeight="1">
      <c r="A3" s="16">
        <f ca="1">LEN(A1)</f>
        <v>108</v>
      </c>
    </row>
    <row r="4" spans="1:11" ht="21" hidden="1" customHeight="1">
      <c r="A4" s="16">
        <f ca="1">VALUE(RIGHT(A1,A3-A2))</f>
        <v>5</v>
      </c>
    </row>
    <row r="5" spans="1:11" ht="18.75" hidden="1" customHeight="1">
      <c r="A5" s="1" t="s">
        <v>790</v>
      </c>
    </row>
    <row r="6" spans="1:11" ht="18.75">
      <c r="A6" s="54" t="str">
        <f ca="1">CONCATENATE(A5,A4)</f>
        <v>Table A-5</v>
      </c>
      <c r="J6" s="2" t="s">
        <v>792</v>
      </c>
    </row>
    <row r="7" spans="1:11" ht="18.75">
      <c r="A7" s="4" t="s">
        <v>794</v>
      </c>
      <c r="J7" t="s">
        <v>793</v>
      </c>
    </row>
    <row r="8" spans="1:11">
      <c r="A8" s="45" t="e">
        <f ca="1">INDEX(SourceDescription,MATCH($A$4,SourceNumber,0),1,1) &amp; " (" &amp; INDEX(SourceID,MATCH($A$4,SourceNumber,0),1,1) &amp; ")"</f>
        <v>#N/A</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t="e">
        <f ca="1">F14*3.28</f>
        <v>#N/A</v>
      </c>
      <c r="E14" s="37" t="s">
        <v>807</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798</v>
      </c>
      <c r="D15" s="79" t="e">
        <f ca="1">F15*3.28</f>
        <v>#N/A</v>
      </c>
      <c r="E15" s="37" t="s">
        <v>807</v>
      </c>
      <c r="F15" s="85" t="e">
        <f ca="1">INDEX(SourceExitDiameter,MATCH($A$4,SourceNumber,0),1,1)</f>
        <v>#N/A</v>
      </c>
      <c r="G15" s="1111" t="e">
        <f ca="1">INDEX(SelectedModelEquivID,MATCH($A$4,SourceNumber,0),1,1)*(2.54/100)</f>
        <v>#N/A</v>
      </c>
      <c r="H15" s="1130" t="e">
        <f ca="1">G15</f>
        <v>#N/A</v>
      </c>
      <c r="I15" s="16"/>
      <c r="J15" s="169" t="e">
        <f ca="1">(G15*100/2.54)*32</f>
        <v>#N/A</v>
      </c>
      <c r="K15" s="319" t="s">
        <v>466</v>
      </c>
    </row>
    <row r="16" spans="1:11" ht="20.25">
      <c r="A16" s="33">
        <f t="shared" si="0"/>
        <v>5</v>
      </c>
      <c r="B16" t="str">
        <f t="shared" si="1"/>
        <v>.</v>
      </c>
      <c r="C16" t="s">
        <v>820</v>
      </c>
      <c r="D16" s="79" t="e">
        <f ca="1">F16*3.28^2</f>
        <v>#N/A</v>
      </c>
      <c r="E16" s="37" t="s">
        <v>811</v>
      </c>
      <c r="F16" s="86" t="e">
        <f ca="1">$F$15^2*PI()/4</f>
        <v>#N/A</v>
      </c>
      <c r="G16" s="1112" t="e">
        <f ca="1">G15^2*PI()/4</f>
        <v>#N/A</v>
      </c>
      <c r="H16" s="1131" t="e">
        <f ca="1">H15^2*PI()/4</f>
        <v>#N/A</v>
      </c>
    </row>
    <row r="17" spans="1:34" ht="18.75">
      <c r="A17" s="33">
        <f t="shared" si="0"/>
        <v>6</v>
      </c>
      <c r="B17" t="str">
        <f t="shared" si="1"/>
        <v>.</v>
      </c>
      <c r="C17" t="s">
        <v>821</v>
      </c>
      <c r="D17" s="33" t="e">
        <f ca="1">F17*3.28*60</f>
        <v>#N/A</v>
      </c>
      <c r="E17" s="37" t="s">
        <v>808</v>
      </c>
      <c r="F17" s="85" t="e">
        <f ca="1">INDEX(SourceExitVelocity,MATCH($A$4,SourceNumber,0),1,1)</f>
        <v>#N/A</v>
      </c>
      <c r="G17" s="86" t="e">
        <f ca="1">G29*G46</f>
        <v>#N/A</v>
      </c>
      <c r="H17" s="1102" t="e">
        <f ca="1">H29*H46</f>
        <v>#N/A</v>
      </c>
      <c r="I17" s="16"/>
    </row>
    <row r="18" spans="1:34" ht="20.25">
      <c r="A18" s="33">
        <f t="shared" si="0"/>
        <v>7</v>
      </c>
      <c r="B18" t="str">
        <f t="shared" si="1"/>
        <v>.</v>
      </c>
      <c r="C18" t="s">
        <v>822</v>
      </c>
      <c r="D18" s="33" t="e">
        <f ca="1">(F18-273.15)*(9/5)+32</f>
        <v>#N/A</v>
      </c>
      <c r="E18" s="80" t="s">
        <v>812</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813</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815</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#N/A</v>
      </c>
      <c r="E26" s="37" t="s">
        <v>816</v>
      </c>
      <c r="F26" s="89" t="e">
        <f ca="1">(145.8*$F$18^1.5)/(($F$18+110.4)*10^8*$F$24)</f>
        <v>#N/A</v>
      </c>
      <c r="G26" s="1114" t="e">
        <f ca="1">X33</f>
        <v>#N/A</v>
      </c>
      <c r="H26" s="1132">
        <f>182.7*0.00001</f>
        <v>1.8270000000000001E-3</v>
      </c>
      <c r="J26" s="1875" t="e">
        <f ca="1">IF(V36=0,"Mixture Computed","Mixture NOT Computed")</f>
        <v>#N/A</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#N/A</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t="e">
        <f ca="1">INDEX(SourceModelRefWS,MATCH($A$4,SourceNumber,0),1,1)</f>
        <v>#N/A</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831</v>
      </c>
      <c r="D33" s="82" t="e">
        <f>F33*3.28*3600/5280</f>
        <v>#VALUE!</v>
      </c>
      <c r="E33" s="37" t="s">
        <v>810</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833</v>
      </c>
      <c r="D35" s="82" t="e">
        <f ca="1">F35*3.28*3600/5280</f>
        <v>#VALUE!</v>
      </c>
      <c r="E35" s="37" t="s">
        <v>810</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840</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804</v>
      </c>
      <c r="D49" s="83" t="e">
        <f t="shared" ca="1" si="5"/>
        <v>#N/A</v>
      </c>
      <c r="E49" s="37"/>
      <c r="F49" s="86" t="e">
        <f ca="1">$F$15/$F$14</f>
        <v>#N/A</v>
      </c>
      <c r="G49" s="86" t="e">
        <f ca="1">G15/G14</f>
        <v>#N/A</v>
      </c>
      <c r="H49" s="1102" t="e">
        <f ca="1">H15/H14</f>
        <v>#N/A</v>
      </c>
      <c r="I49" s="121"/>
    </row>
    <row r="50" spans="1:13" ht="18.75">
      <c r="A50" s="33">
        <f t="shared" si="6"/>
        <v>37</v>
      </c>
      <c r="B50" t="str">
        <f t="shared" si="7"/>
        <v>.</v>
      </c>
      <c r="C50" t="s">
        <v>841</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843</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842</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844</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845</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95" priority="1" stopIfTrue="1" operator="equal">
      <formula>0</formula>
    </cfRule>
    <cfRule type="cellIs" dxfId="94" priority="2" stopIfTrue="1" operator="notEqual">
      <formula>0</formula>
    </cfRule>
  </conditionalFormatting>
  <conditionalFormatting sqref="J52">
    <cfRule type="cellIs" dxfId="93" priority="3" stopIfTrue="1" operator="lessThanOrEqual">
      <formula>0.00000001</formula>
    </cfRule>
    <cfRule type="cellIs" dxfId="92" priority="4" stopIfTrue="1" operator="greaterThan">
      <formula>0.00000001</formula>
    </cfRule>
  </conditionalFormatting>
  <conditionalFormatting sqref="J26:L26">
    <cfRule type="cellIs" dxfId="91" priority="5" stopIfTrue="1" operator="equal">
      <formula>"Mixture Computed"</formula>
    </cfRule>
    <cfRule type="cellIs" dxfId="90" priority="6" stopIfTrue="1" operator="equal">
      <formula>"MIXTURE NOT COMPUTED"</formula>
    </cfRule>
  </conditionalFormatting>
  <conditionalFormatting sqref="J56">
    <cfRule type="cellIs" dxfId="89" priority="7" stopIfTrue="1" operator="greaterThanOrEqual">
      <formula>$M$56</formula>
    </cfRule>
    <cfRule type="cellIs" dxfId="88" priority="8" stopIfTrue="1" operator="notBetween">
      <formula>$K$56</formula>
      <formula>$L$56</formula>
    </cfRule>
    <cfRule type="cellIs" dxfId="87" priority="9" stopIfTrue="1" operator="between">
      <formula>$K$56</formula>
      <formula>$L$56</formula>
    </cfRule>
  </conditionalFormatting>
  <conditionalFormatting sqref="J54">
    <cfRule type="cellIs" dxfId="86" priority="10" stopIfTrue="1" operator="greaterThanOrEqual">
      <formula>$M$54</formula>
    </cfRule>
    <cfRule type="cellIs" dxfId="85" priority="11" stopIfTrue="1" operator="notBetween">
      <formula>$K$54</formula>
      <formula>$L$54</formula>
    </cfRule>
    <cfRule type="cellIs" dxfId="84" priority="12" stopIfTrue="1" operator="between">
      <formula>$K$54</formula>
      <formula>$L$54</formula>
    </cfRule>
  </conditionalFormatting>
  <conditionalFormatting sqref="J57">
    <cfRule type="cellIs" dxfId="83" priority="13" stopIfTrue="1" operator="greaterThanOrEqual">
      <formula>$K$57</formula>
    </cfRule>
    <cfRule type="cellIs" dxfId="82" priority="14" stopIfTrue="1" operator="lessThan">
      <formula>$K$57</formula>
    </cfRule>
  </conditionalFormatting>
  <conditionalFormatting sqref="J55">
    <cfRule type="cellIs" dxfId="81" priority="15" stopIfTrue="1" operator="greaterThanOrEqual">
      <formula>0</formula>
    </cfRule>
    <cfRule type="cellIs" dxfId="80"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2">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Management\[15141_Vent_Test_Plan_v20_071.xlsm]6</v>
      </c>
    </row>
    <row r="2" spans="1:11" ht="24" hidden="1" customHeight="1">
      <c r="A2" s="16">
        <f ca="1">FIND("]",A1,1)</f>
        <v>107</v>
      </c>
    </row>
    <row r="3" spans="1:11" ht="23.25" hidden="1" customHeight="1">
      <c r="A3" s="16">
        <f ca="1">LEN(A1)</f>
        <v>108</v>
      </c>
    </row>
    <row r="4" spans="1:11" ht="21" hidden="1" customHeight="1">
      <c r="A4" s="16">
        <f ca="1">VALUE(RIGHT(A1,A3-A2))</f>
        <v>6</v>
      </c>
    </row>
    <row r="5" spans="1:11" ht="18.75" hidden="1" customHeight="1">
      <c r="A5" s="1" t="s">
        <v>790</v>
      </c>
    </row>
    <row r="6" spans="1:11" ht="18.75">
      <c r="A6" s="54" t="str">
        <f ca="1">CONCATENATE(A5,A4)</f>
        <v>Table A-6</v>
      </c>
      <c r="J6" s="2" t="s">
        <v>792</v>
      </c>
    </row>
    <row r="7" spans="1:11" ht="18.75">
      <c r="A7" s="4" t="s">
        <v>794</v>
      </c>
      <c r="J7" t="s">
        <v>793</v>
      </c>
    </row>
    <row r="8" spans="1:11">
      <c r="A8" s="45" t="e">
        <f ca="1">INDEX(SourceDescription,MATCH($A$4,SourceNumber,0),1,1) &amp; " (" &amp; INDEX(SourceID,MATCH($A$4,SourceNumber,0),1,1) &amp; ")"</f>
        <v>#N/A</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t="e">
        <f ca="1">F14*3.28</f>
        <v>#N/A</v>
      </c>
      <c r="E14" s="37" t="s">
        <v>807</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798</v>
      </c>
      <c r="D15" s="79" t="e">
        <f ca="1">F15*3.28</f>
        <v>#N/A</v>
      </c>
      <c r="E15" s="37" t="s">
        <v>807</v>
      </c>
      <c r="F15" s="85" t="e">
        <f ca="1">INDEX(SourceExitDiameter,MATCH($A$4,SourceNumber,0),1,1)</f>
        <v>#N/A</v>
      </c>
      <c r="G15" s="1111" t="e">
        <f ca="1">INDEX(SelectedModelEquivID,MATCH($A$4,SourceNumber,0),1,1)*(2.54/100)</f>
        <v>#N/A</v>
      </c>
      <c r="H15" s="1130" t="e">
        <f ca="1">G15</f>
        <v>#N/A</v>
      </c>
      <c r="I15" s="16"/>
      <c r="J15" s="169" t="e">
        <f ca="1">(G15*100/2.54)*32</f>
        <v>#N/A</v>
      </c>
      <c r="K15" s="319" t="s">
        <v>466</v>
      </c>
    </row>
    <row r="16" spans="1:11" ht="20.25">
      <c r="A16" s="33">
        <f t="shared" si="0"/>
        <v>5</v>
      </c>
      <c r="B16" t="str">
        <f t="shared" si="1"/>
        <v>.</v>
      </c>
      <c r="C16" t="s">
        <v>820</v>
      </c>
      <c r="D16" s="79" t="e">
        <f ca="1">F16*3.28^2</f>
        <v>#N/A</v>
      </c>
      <c r="E16" s="37" t="s">
        <v>811</v>
      </c>
      <c r="F16" s="86" t="e">
        <f ca="1">$F$15^2*PI()/4</f>
        <v>#N/A</v>
      </c>
      <c r="G16" s="1112" t="e">
        <f ca="1">G15^2*PI()/4</f>
        <v>#N/A</v>
      </c>
      <c r="H16" s="1131" t="e">
        <f ca="1">H15^2*PI()/4</f>
        <v>#N/A</v>
      </c>
    </row>
    <row r="17" spans="1:34" ht="18.75">
      <c r="A17" s="33">
        <f t="shared" si="0"/>
        <v>6</v>
      </c>
      <c r="B17" t="str">
        <f t="shared" si="1"/>
        <v>.</v>
      </c>
      <c r="C17" t="s">
        <v>821</v>
      </c>
      <c r="D17" s="33" t="e">
        <f ca="1">F17*3.28*60</f>
        <v>#N/A</v>
      </c>
      <c r="E17" s="37" t="s">
        <v>808</v>
      </c>
      <c r="F17" s="85" t="e">
        <f ca="1">INDEX(SourceExitVelocity,MATCH($A$4,SourceNumber,0),1,1)</f>
        <v>#N/A</v>
      </c>
      <c r="G17" s="86" t="e">
        <f ca="1">G29*G46</f>
        <v>#N/A</v>
      </c>
      <c r="H17" s="1102" t="e">
        <f ca="1">H29*H46</f>
        <v>#N/A</v>
      </c>
      <c r="I17" s="16"/>
    </row>
    <row r="18" spans="1:34" ht="20.25">
      <c r="A18" s="33">
        <f t="shared" si="0"/>
        <v>7</v>
      </c>
      <c r="B18" t="str">
        <f t="shared" si="1"/>
        <v>.</v>
      </c>
      <c r="C18" t="s">
        <v>822</v>
      </c>
      <c r="D18" s="33" t="e">
        <f ca="1">(F18-273.15)*(9/5)+32</f>
        <v>#N/A</v>
      </c>
      <c r="E18" s="80" t="s">
        <v>812</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813</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815</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#N/A</v>
      </c>
      <c r="E26" s="37" t="s">
        <v>816</v>
      </c>
      <c r="F26" s="89" t="e">
        <f ca="1">(145.8*$F$18^1.5)/(($F$18+110.4)*10^8*$F$24)</f>
        <v>#N/A</v>
      </c>
      <c r="G26" s="1114" t="e">
        <f ca="1">X33</f>
        <v>#N/A</v>
      </c>
      <c r="H26" s="1132">
        <f>182.7*0.00001</f>
        <v>1.8270000000000001E-3</v>
      </c>
      <c r="J26" s="1875" t="e">
        <f ca="1">IF(V36=0,"Mixture Computed","Mixture NOT Computed")</f>
        <v>#N/A</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#N/A</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t="e">
        <f ca="1">INDEX(SourceModelRefWS,MATCH($A$4,SourceNumber,0),1,1)</f>
        <v>#N/A</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831</v>
      </c>
      <c r="D33" s="82" t="e">
        <f>F33*3.28*3600/5280</f>
        <v>#VALUE!</v>
      </c>
      <c r="E33" s="37" t="s">
        <v>810</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833</v>
      </c>
      <c r="D35" s="82" t="e">
        <f ca="1">F35*3.28*3600/5280</f>
        <v>#VALUE!</v>
      </c>
      <c r="E35" s="37" t="s">
        <v>810</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840</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804</v>
      </c>
      <c r="D49" s="83" t="e">
        <f t="shared" ca="1" si="5"/>
        <v>#N/A</v>
      </c>
      <c r="E49" s="37"/>
      <c r="F49" s="86" t="e">
        <f ca="1">$F$15/$F$14</f>
        <v>#N/A</v>
      </c>
      <c r="G49" s="86" t="e">
        <f ca="1">G15/G14</f>
        <v>#N/A</v>
      </c>
      <c r="H49" s="1102" t="e">
        <f ca="1">H15/H14</f>
        <v>#N/A</v>
      </c>
      <c r="I49" s="121"/>
    </row>
    <row r="50" spans="1:13" ht="18.75">
      <c r="A50" s="33">
        <f t="shared" si="6"/>
        <v>37</v>
      </c>
      <c r="B50" t="str">
        <f t="shared" si="7"/>
        <v>.</v>
      </c>
      <c r="C50" t="s">
        <v>841</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843</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842</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844</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845</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79" priority="1" stopIfTrue="1" operator="equal">
      <formula>0</formula>
    </cfRule>
    <cfRule type="cellIs" dxfId="78" priority="2" stopIfTrue="1" operator="notEqual">
      <formula>0</formula>
    </cfRule>
  </conditionalFormatting>
  <conditionalFormatting sqref="J52">
    <cfRule type="cellIs" dxfId="77" priority="3" stopIfTrue="1" operator="lessThanOrEqual">
      <formula>0.00000001</formula>
    </cfRule>
    <cfRule type="cellIs" dxfId="76" priority="4" stopIfTrue="1" operator="greaterThan">
      <formula>0.00000001</formula>
    </cfRule>
  </conditionalFormatting>
  <conditionalFormatting sqref="J26:L26">
    <cfRule type="cellIs" dxfId="75" priority="5" stopIfTrue="1" operator="equal">
      <formula>"Mixture Computed"</formula>
    </cfRule>
    <cfRule type="cellIs" dxfId="74" priority="6" stopIfTrue="1" operator="equal">
      <formula>"MIXTURE NOT COMPUTED"</formula>
    </cfRule>
  </conditionalFormatting>
  <conditionalFormatting sqref="J56">
    <cfRule type="cellIs" dxfId="73" priority="7" stopIfTrue="1" operator="greaterThanOrEqual">
      <formula>$M$56</formula>
    </cfRule>
    <cfRule type="cellIs" dxfId="72" priority="8" stopIfTrue="1" operator="notBetween">
      <formula>$K$56</formula>
      <formula>$L$56</formula>
    </cfRule>
    <cfRule type="cellIs" dxfId="71" priority="9" stopIfTrue="1" operator="between">
      <formula>$K$56</formula>
      <formula>$L$56</formula>
    </cfRule>
  </conditionalFormatting>
  <conditionalFormatting sqref="J54">
    <cfRule type="cellIs" dxfId="70" priority="10" stopIfTrue="1" operator="greaterThanOrEqual">
      <formula>$M$54</formula>
    </cfRule>
    <cfRule type="cellIs" dxfId="69" priority="11" stopIfTrue="1" operator="notBetween">
      <formula>$K$54</formula>
      <formula>$L$54</formula>
    </cfRule>
    <cfRule type="cellIs" dxfId="68" priority="12" stopIfTrue="1" operator="between">
      <formula>$K$54</formula>
      <formula>$L$54</formula>
    </cfRule>
  </conditionalFormatting>
  <conditionalFormatting sqref="J57">
    <cfRule type="cellIs" dxfId="67" priority="13" stopIfTrue="1" operator="greaterThanOrEqual">
      <formula>$K$57</formula>
    </cfRule>
    <cfRule type="cellIs" dxfId="66" priority="14" stopIfTrue="1" operator="lessThan">
      <formula>$K$57</formula>
    </cfRule>
  </conditionalFormatting>
  <conditionalFormatting sqref="J55">
    <cfRule type="cellIs" dxfId="65" priority="15" stopIfTrue="1" operator="greaterThanOrEqual">
      <formula>0</formula>
    </cfRule>
    <cfRule type="cellIs" dxfId="64"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Management\[15141_Vent_Test_Plan_v20_071.xlsm]7</v>
      </c>
    </row>
    <row r="2" spans="1:11" ht="24" hidden="1" customHeight="1">
      <c r="A2" s="16">
        <f ca="1">FIND("]",A1,1)</f>
        <v>107</v>
      </c>
    </row>
    <row r="3" spans="1:11" ht="23.25" hidden="1" customHeight="1">
      <c r="A3" s="16">
        <f ca="1">LEN(A1)</f>
        <v>108</v>
      </c>
    </row>
    <row r="4" spans="1:11" ht="21" hidden="1" customHeight="1">
      <c r="A4" s="16">
        <f ca="1">VALUE(RIGHT(A1,A3-A2))</f>
        <v>7</v>
      </c>
    </row>
    <row r="5" spans="1:11" ht="18.75" hidden="1" customHeight="1">
      <c r="A5" s="1" t="s">
        <v>790</v>
      </c>
    </row>
    <row r="6" spans="1:11" ht="18.75">
      <c r="A6" s="54" t="str">
        <f ca="1">CONCATENATE(A5,A4)</f>
        <v>Table A-7</v>
      </c>
      <c r="J6" s="2" t="s">
        <v>792</v>
      </c>
    </row>
    <row r="7" spans="1:11" ht="18.75">
      <c r="A7" s="4" t="s">
        <v>794</v>
      </c>
      <c r="J7" t="s">
        <v>793</v>
      </c>
    </row>
    <row r="8" spans="1:11">
      <c r="A8" s="45" t="e">
        <f ca="1">INDEX(SourceDescription,MATCH($A$4,SourceNumber,0),1,1) &amp; " (" &amp; INDEX(SourceID,MATCH($A$4,SourceNumber,0),1,1) &amp; ")"</f>
        <v>#N/A</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t="e">
        <f ca="1">F14*3.28</f>
        <v>#N/A</v>
      </c>
      <c r="E14" s="37" t="s">
        <v>807</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798</v>
      </c>
      <c r="D15" s="79" t="e">
        <f ca="1">F15*3.28</f>
        <v>#N/A</v>
      </c>
      <c r="E15" s="37" t="s">
        <v>807</v>
      </c>
      <c r="F15" s="85" t="e">
        <f ca="1">INDEX(SourceExitDiameter,MATCH($A$4,SourceNumber,0),1,1)</f>
        <v>#N/A</v>
      </c>
      <c r="G15" s="1111" t="e">
        <f ca="1">INDEX(SelectedModelEquivID,MATCH($A$4,SourceNumber,0),1,1)*(2.54/100)</f>
        <v>#N/A</v>
      </c>
      <c r="H15" s="1130" t="e">
        <f ca="1">G15</f>
        <v>#N/A</v>
      </c>
      <c r="I15" s="16"/>
      <c r="J15" s="169" t="e">
        <f ca="1">(G15*100/2.54)*32</f>
        <v>#N/A</v>
      </c>
      <c r="K15" s="319" t="s">
        <v>466</v>
      </c>
    </row>
    <row r="16" spans="1:11" ht="20.25">
      <c r="A16" s="33">
        <f t="shared" si="0"/>
        <v>5</v>
      </c>
      <c r="B16" t="str">
        <f t="shared" si="1"/>
        <v>.</v>
      </c>
      <c r="C16" t="s">
        <v>820</v>
      </c>
      <c r="D16" s="79" t="e">
        <f ca="1">F16*3.28^2</f>
        <v>#N/A</v>
      </c>
      <c r="E16" s="37" t="s">
        <v>811</v>
      </c>
      <c r="F16" s="86" t="e">
        <f ca="1">$F$15^2*PI()/4</f>
        <v>#N/A</v>
      </c>
      <c r="G16" s="1112" t="e">
        <f ca="1">G15^2*PI()/4</f>
        <v>#N/A</v>
      </c>
      <c r="H16" s="1131" t="e">
        <f ca="1">H15^2*PI()/4</f>
        <v>#N/A</v>
      </c>
    </row>
    <row r="17" spans="1:34" ht="18.75">
      <c r="A17" s="33">
        <f t="shared" si="0"/>
        <v>6</v>
      </c>
      <c r="B17" t="str">
        <f t="shared" si="1"/>
        <v>.</v>
      </c>
      <c r="C17" t="s">
        <v>821</v>
      </c>
      <c r="D17" s="33" t="e">
        <f ca="1">F17*3.28*60</f>
        <v>#N/A</v>
      </c>
      <c r="E17" s="37" t="s">
        <v>808</v>
      </c>
      <c r="F17" s="85" t="e">
        <f ca="1">INDEX(SourceExitVelocity,MATCH($A$4,SourceNumber,0),1,1)</f>
        <v>#N/A</v>
      </c>
      <c r="G17" s="86" t="e">
        <f ca="1">G29*G46</f>
        <v>#N/A</v>
      </c>
      <c r="H17" s="1102" t="e">
        <f ca="1">H29*H46</f>
        <v>#N/A</v>
      </c>
      <c r="I17" s="16"/>
    </row>
    <row r="18" spans="1:34" ht="20.25">
      <c r="A18" s="33">
        <f t="shared" si="0"/>
        <v>7</v>
      </c>
      <c r="B18" t="str">
        <f t="shared" si="1"/>
        <v>.</v>
      </c>
      <c r="C18" t="s">
        <v>822</v>
      </c>
      <c r="D18" s="33" t="e">
        <f ca="1">(F18-273.15)*(9/5)+32</f>
        <v>#N/A</v>
      </c>
      <c r="E18" s="80" t="s">
        <v>812</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813</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815</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#N/A</v>
      </c>
      <c r="E26" s="37" t="s">
        <v>816</v>
      </c>
      <c r="F26" s="89" t="e">
        <f ca="1">(145.8*$F$18^1.5)/(($F$18+110.4)*10^8*$F$24)</f>
        <v>#N/A</v>
      </c>
      <c r="G26" s="1114" t="e">
        <f ca="1">X33</f>
        <v>#N/A</v>
      </c>
      <c r="H26" s="1132">
        <f>182.7*0.00001</f>
        <v>1.8270000000000001E-3</v>
      </c>
      <c r="J26" s="1875" t="e">
        <f ca="1">IF(V36=0,"Mixture Computed","Mixture NOT Computed")</f>
        <v>#N/A</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#N/A</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t="e">
        <f ca="1">INDEX(SourceModelRefWS,MATCH($A$4,SourceNumber,0),1,1)</f>
        <v>#N/A</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831</v>
      </c>
      <c r="D33" s="82" t="e">
        <f>F33*3.28*3600/5280</f>
        <v>#VALUE!</v>
      </c>
      <c r="E33" s="37" t="s">
        <v>810</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833</v>
      </c>
      <c r="D35" s="82" t="e">
        <f ca="1">F35*3.28*3600/5280</f>
        <v>#VALUE!</v>
      </c>
      <c r="E35" s="37" t="s">
        <v>810</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840</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804</v>
      </c>
      <c r="D49" s="83" t="e">
        <f t="shared" ca="1" si="5"/>
        <v>#N/A</v>
      </c>
      <c r="E49" s="37"/>
      <c r="F49" s="86" t="e">
        <f ca="1">$F$15/$F$14</f>
        <v>#N/A</v>
      </c>
      <c r="G49" s="86" t="e">
        <f ca="1">G15/G14</f>
        <v>#N/A</v>
      </c>
      <c r="H49" s="1102" t="e">
        <f ca="1">H15/H14</f>
        <v>#N/A</v>
      </c>
      <c r="I49" s="121"/>
    </row>
    <row r="50" spans="1:13" ht="18.75">
      <c r="A50" s="33">
        <f t="shared" si="6"/>
        <v>37</v>
      </c>
      <c r="B50" t="str">
        <f t="shared" si="7"/>
        <v>.</v>
      </c>
      <c r="C50" t="s">
        <v>841</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843</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842</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844</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845</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63" priority="1" stopIfTrue="1" operator="equal">
      <formula>0</formula>
    </cfRule>
    <cfRule type="cellIs" dxfId="62" priority="2" stopIfTrue="1" operator="notEqual">
      <formula>0</formula>
    </cfRule>
  </conditionalFormatting>
  <conditionalFormatting sqref="J52">
    <cfRule type="cellIs" dxfId="61" priority="3" stopIfTrue="1" operator="lessThanOrEqual">
      <formula>0.00000001</formula>
    </cfRule>
    <cfRule type="cellIs" dxfId="60" priority="4" stopIfTrue="1" operator="greaterThan">
      <formula>0.00000001</formula>
    </cfRule>
  </conditionalFormatting>
  <conditionalFormatting sqref="J26:L26">
    <cfRule type="cellIs" dxfId="59" priority="5" stopIfTrue="1" operator="equal">
      <formula>"Mixture Computed"</formula>
    </cfRule>
    <cfRule type="cellIs" dxfId="58" priority="6" stopIfTrue="1" operator="equal">
      <formula>"MIXTURE NOT COMPUTED"</formula>
    </cfRule>
  </conditionalFormatting>
  <conditionalFormatting sqref="J56">
    <cfRule type="cellIs" dxfId="57" priority="7" stopIfTrue="1" operator="greaterThanOrEqual">
      <formula>$M$56</formula>
    </cfRule>
    <cfRule type="cellIs" dxfId="56" priority="8" stopIfTrue="1" operator="notBetween">
      <formula>$K$56</formula>
      <formula>$L$56</formula>
    </cfRule>
    <cfRule type="cellIs" dxfId="55" priority="9" stopIfTrue="1" operator="between">
      <formula>$K$56</formula>
      <formula>$L$56</formula>
    </cfRule>
  </conditionalFormatting>
  <conditionalFormatting sqref="J54">
    <cfRule type="cellIs" dxfId="54" priority="10" stopIfTrue="1" operator="greaterThanOrEqual">
      <formula>$M$54</formula>
    </cfRule>
    <cfRule type="cellIs" dxfId="53" priority="11" stopIfTrue="1" operator="notBetween">
      <formula>$K$54</formula>
      <formula>$L$54</formula>
    </cfRule>
    <cfRule type="cellIs" dxfId="52" priority="12" stopIfTrue="1" operator="between">
      <formula>$K$54</formula>
      <formula>$L$54</formula>
    </cfRule>
  </conditionalFormatting>
  <conditionalFormatting sqref="J57">
    <cfRule type="cellIs" dxfId="51" priority="13" stopIfTrue="1" operator="greaterThanOrEqual">
      <formula>$K$57</formula>
    </cfRule>
    <cfRule type="cellIs" dxfId="50" priority="14" stopIfTrue="1" operator="lessThan">
      <formula>$K$57</formula>
    </cfRule>
  </conditionalFormatting>
  <conditionalFormatting sqref="J55">
    <cfRule type="cellIs" dxfId="49" priority="15" stopIfTrue="1" operator="greaterThanOrEqual">
      <formula>0</formula>
    </cfRule>
    <cfRule type="cellIs" dxfId="48"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4">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Management\[15141_Vent_Test_Plan_v20_071.xlsm]8</v>
      </c>
    </row>
    <row r="2" spans="1:11" ht="24" hidden="1" customHeight="1">
      <c r="A2" s="16">
        <f ca="1">FIND("]",A1,1)</f>
        <v>107</v>
      </c>
    </row>
    <row r="3" spans="1:11" ht="23.25" hidden="1" customHeight="1">
      <c r="A3" s="16">
        <f ca="1">LEN(A1)</f>
        <v>108</v>
      </c>
    </row>
    <row r="4" spans="1:11" ht="21" hidden="1" customHeight="1">
      <c r="A4" s="16">
        <f ca="1">VALUE(RIGHT(A1,A3-A2))</f>
        <v>8</v>
      </c>
    </row>
    <row r="5" spans="1:11" ht="18.75" hidden="1" customHeight="1">
      <c r="A5" s="1" t="s">
        <v>790</v>
      </c>
    </row>
    <row r="6" spans="1:11" ht="18.75">
      <c r="A6" s="54" t="str">
        <f ca="1">CONCATENATE(A5,A4)</f>
        <v>Table A-8</v>
      </c>
      <c r="J6" s="2" t="s">
        <v>792</v>
      </c>
    </row>
    <row r="7" spans="1:11" ht="18.75">
      <c r="A7" s="4" t="s">
        <v>794</v>
      </c>
      <c r="J7" t="s">
        <v>793</v>
      </c>
    </row>
    <row r="8" spans="1:11">
      <c r="A8" s="45" t="e">
        <f ca="1">INDEX(SourceDescription,MATCH($A$4,SourceNumber,0),1,1) &amp; " (" &amp; INDEX(SourceID,MATCH($A$4,SourceNumber,0),1,1) &amp; ")"</f>
        <v>#N/A</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t="e">
        <f ca="1">F14*3.28</f>
        <v>#N/A</v>
      </c>
      <c r="E14" s="37" t="s">
        <v>807</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798</v>
      </c>
      <c r="D15" s="79" t="e">
        <f ca="1">F15*3.28</f>
        <v>#N/A</v>
      </c>
      <c r="E15" s="37" t="s">
        <v>807</v>
      </c>
      <c r="F15" s="85" t="e">
        <f ca="1">INDEX(SourceExitDiameter,MATCH($A$4,SourceNumber,0),1,1)</f>
        <v>#N/A</v>
      </c>
      <c r="G15" s="1111" t="e">
        <f ca="1">INDEX(SelectedModelEquivID,MATCH($A$4,SourceNumber,0),1,1)*(2.54/100)</f>
        <v>#N/A</v>
      </c>
      <c r="H15" s="1130" t="e">
        <f ca="1">G15</f>
        <v>#N/A</v>
      </c>
      <c r="I15" s="16"/>
      <c r="J15" s="169" t="e">
        <f ca="1">(G15*100/2.54)*32</f>
        <v>#N/A</v>
      </c>
      <c r="K15" s="319" t="s">
        <v>466</v>
      </c>
    </row>
    <row r="16" spans="1:11" ht="20.25">
      <c r="A16" s="33">
        <f t="shared" si="0"/>
        <v>5</v>
      </c>
      <c r="B16" t="str">
        <f t="shared" si="1"/>
        <v>.</v>
      </c>
      <c r="C16" t="s">
        <v>820</v>
      </c>
      <c r="D16" s="79" t="e">
        <f ca="1">F16*3.28^2</f>
        <v>#N/A</v>
      </c>
      <c r="E16" s="37" t="s">
        <v>811</v>
      </c>
      <c r="F16" s="86" t="e">
        <f ca="1">$F$15^2*PI()/4</f>
        <v>#N/A</v>
      </c>
      <c r="G16" s="1112" t="e">
        <f ca="1">G15^2*PI()/4</f>
        <v>#N/A</v>
      </c>
      <c r="H16" s="1131" t="e">
        <f ca="1">H15^2*PI()/4</f>
        <v>#N/A</v>
      </c>
    </row>
    <row r="17" spans="1:34" ht="18.75">
      <c r="A17" s="33">
        <f t="shared" si="0"/>
        <v>6</v>
      </c>
      <c r="B17" t="str">
        <f t="shared" si="1"/>
        <v>.</v>
      </c>
      <c r="C17" t="s">
        <v>821</v>
      </c>
      <c r="D17" s="33" t="e">
        <f ca="1">F17*3.28*60</f>
        <v>#N/A</v>
      </c>
      <c r="E17" s="37" t="s">
        <v>808</v>
      </c>
      <c r="F17" s="85" t="e">
        <f ca="1">INDEX(SourceExitVelocity,MATCH($A$4,SourceNumber,0),1,1)</f>
        <v>#N/A</v>
      </c>
      <c r="G17" s="86" t="e">
        <f ca="1">G29*G46</f>
        <v>#N/A</v>
      </c>
      <c r="H17" s="1102" t="e">
        <f ca="1">H29*H46</f>
        <v>#N/A</v>
      </c>
      <c r="I17" s="16"/>
    </row>
    <row r="18" spans="1:34" ht="20.25">
      <c r="A18" s="33">
        <f t="shared" si="0"/>
        <v>7</v>
      </c>
      <c r="B18" t="str">
        <f t="shared" si="1"/>
        <v>.</v>
      </c>
      <c r="C18" t="s">
        <v>822</v>
      </c>
      <c r="D18" s="33" t="e">
        <f ca="1">(F18-273.15)*(9/5)+32</f>
        <v>#N/A</v>
      </c>
      <c r="E18" s="80" t="s">
        <v>812</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813</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815</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#N/A</v>
      </c>
      <c r="E26" s="37" t="s">
        <v>816</v>
      </c>
      <c r="F26" s="89" t="e">
        <f ca="1">(145.8*$F$18^1.5)/(($F$18+110.4)*10^8*$F$24)</f>
        <v>#N/A</v>
      </c>
      <c r="G26" s="1114" t="e">
        <f ca="1">X33</f>
        <v>#N/A</v>
      </c>
      <c r="H26" s="1132">
        <f>182.7*0.00001</f>
        <v>1.8270000000000001E-3</v>
      </c>
      <c r="J26" s="1875" t="e">
        <f ca="1">IF(V36=0,"Mixture Computed","Mixture NOT Computed")</f>
        <v>#N/A</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#N/A</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t="e">
        <f ca="1">INDEX(SourceModelRefWS,MATCH($A$4,SourceNumber,0),1,1)</f>
        <v>#N/A</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831</v>
      </c>
      <c r="D33" s="82" t="e">
        <f>F33*3.28*3600/5280</f>
        <v>#VALUE!</v>
      </c>
      <c r="E33" s="37" t="s">
        <v>810</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833</v>
      </c>
      <c r="D35" s="82" t="e">
        <f ca="1">F35*3.28*3600/5280</f>
        <v>#VALUE!</v>
      </c>
      <c r="E35" s="37" t="s">
        <v>810</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840</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804</v>
      </c>
      <c r="D49" s="83" t="e">
        <f t="shared" ca="1" si="5"/>
        <v>#N/A</v>
      </c>
      <c r="E49" s="37"/>
      <c r="F49" s="86" t="e">
        <f ca="1">$F$15/$F$14</f>
        <v>#N/A</v>
      </c>
      <c r="G49" s="86" t="e">
        <f ca="1">G15/G14</f>
        <v>#N/A</v>
      </c>
      <c r="H49" s="1102" t="e">
        <f ca="1">H15/H14</f>
        <v>#N/A</v>
      </c>
      <c r="I49" s="121"/>
    </row>
    <row r="50" spans="1:13" ht="18.75">
      <c r="A50" s="33">
        <f t="shared" si="6"/>
        <v>37</v>
      </c>
      <c r="B50" t="str">
        <f t="shared" si="7"/>
        <v>.</v>
      </c>
      <c r="C50" t="s">
        <v>841</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843</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842</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844</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845</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47" priority="1" stopIfTrue="1" operator="equal">
      <formula>0</formula>
    </cfRule>
    <cfRule type="cellIs" dxfId="46" priority="2" stopIfTrue="1" operator="notEqual">
      <formula>0</formula>
    </cfRule>
  </conditionalFormatting>
  <conditionalFormatting sqref="J52">
    <cfRule type="cellIs" dxfId="45" priority="3" stopIfTrue="1" operator="lessThanOrEqual">
      <formula>0.00000001</formula>
    </cfRule>
    <cfRule type="cellIs" dxfId="44" priority="4" stopIfTrue="1" operator="greaterThan">
      <formula>0.00000001</formula>
    </cfRule>
  </conditionalFormatting>
  <conditionalFormatting sqref="J26:L26">
    <cfRule type="cellIs" dxfId="43" priority="5" stopIfTrue="1" operator="equal">
      <formula>"Mixture Computed"</formula>
    </cfRule>
    <cfRule type="cellIs" dxfId="42" priority="6" stopIfTrue="1" operator="equal">
      <formula>"MIXTURE NOT COMPUTED"</formula>
    </cfRule>
  </conditionalFormatting>
  <conditionalFormatting sqref="J56">
    <cfRule type="cellIs" dxfId="41" priority="7" stopIfTrue="1" operator="greaterThanOrEqual">
      <formula>$M$56</formula>
    </cfRule>
    <cfRule type="cellIs" dxfId="40" priority="8" stopIfTrue="1" operator="notBetween">
      <formula>$K$56</formula>
      <formula>$L$56</formula>
    </cfRule>
    <cfRule type="cellIs" dxfId="39" priority="9" stopIfTrue="1" operator="between">
      <formula>$K$56</formula>
      <formula>$L$56</formula>
    </cfRule>
  </conditionalFormatting>
  <conditionalFormatting sqref="J54">
    <cfRule type="cellIs" dxfId="38" priority="10" stopIfTrue="1" operator="greaterThanOrEqual">
      <formula>$M$54</formula>
    </cfRule>
    <cfRule type="cellIs" dxfId="37" priority="11" stopIfTrue="1" operator="notBetween">
      <formula>$K$54</formula>
      <formula>$L$54</formula>
    </cfRule>
    <cfRule type="cellIs" dxfId="36" priority="12" stopIfTrue="1" operator="between">
      <formula>$K$54</formula>
      <formula>$L$54</formula>
    </cfRule>
  </conditionalFormatting>
  <conditionalFormatting sqref="J57">
    <cfRule type="cellIs" dxfId="35" priority="13" stopIfTrue="1" operator="greaterThanOrEqual">
      <formula>$K$57</formula>
    </cfRule>
    <cfRule type="cellIs" dxfId="34" priority="14" stopIfTrue="1" operator="lessThan">
      <formula>$K$57</formula>
    </cfRule>
  </conditionalFormatting>
  <conditionalFormatting sqref="J55">
    <cfRule type="cellIs" dxfId="33" priority="15" stopIfTrue="1" operator="greaterThanOrEqual">
      <formula>0</formula>
    </cfRule>
    <cfRule type="cellIs" dxfId="32"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5">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Management\[15141_Vent_Test_Plan_v20_071.xlsm]9</v>
      </c>
    </row>
    <row r="2" spans="1:11" ht="24" hidden="1" customHeight="1">
      <c r="A2" s="16">
        <f ca="1">FIND("]",A1,1)</f>
        <v>107</v>
      </c>
    </row>
    <row r="3" spans="1:11" ht="23.25" hidden="1" customHeight="1">
      <c r="A3" s="16">
        <f ca="1">LEN(A1)</f>
        <v>108</v>
      </c>
    </row>
    <row r="4" spans="1:11" ht="21" hidden="1" customHeight="1">
      <c r="A4" s="16">
        <f ca="1">VALUE(RIGHT(A1,A3-A2))</f>
        <v>9</v>
      </c>
    </row>
    <row r="5" spans="1:11" ht="18.75" hidden="1" customHeight="1">
      <c r="A5" s="1" t="s">
        <v>790</v>
      </c>
    </row>
    <row r="6" spans="1:11" ht="18.75">
      <c r="A6" s="54" t="str">
        <f ca="1">CONCATENATE(A5,A4)</f>
        <v>Table A-9</v>
      </c>
      <c r="J6" s="2" t="s">
        <v>792</v>
      </c>
    </row>
    <row r="7" spans="1:11" ht="18.75">
      <c r="A7" s="4" t="s">
        <v>794</v>
      </c>
      <c r="J7" t="s">
        <v>793</v>
      </c>
    </row>
    <row r="8" spans="1:11">
      <c r="A8" s="45" t="e">
        <f ca="1">INDEX(SourceDescription,MATCH($A$4,SourceNumber,0),1,1) &amp; " (" &amp; INDEX(SourceID,MATCH($A$4,SourceNumber,0),1,1) &amp; ")"</f>
        <v>#N/A</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t="e">
        <f ca="1">F14*3.28</f>
        <v>#N/A</v>
      </c>
      <c r="E14" s="37" t="s">
        <v>807</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798</v>
      </c>
      <c r="D15" s="79" t="e">
        <f ca="1">F15*3.28</f>
        <v>#N/A</v>
      </c>
      <c r="E15" s="37" t="s">
        <v>807</v>
      </c>
      <c r="F15" s="85" t="e">
        <f ca="1">INDEX(SourceExitDiameter,MATCH($A$4,SourceNumber,0),1,1)</f>
        <v>#N/A</v>
      </c>
      <c r="G15" s="1111" t="e">
        <f ca="1">INDEX(SelectedModelEquivID,MATCH($A$4,SourceNumber,0),1,1)*(2.54/100)</f>
        <v>#N/A</v>
      </c>
      <c r="H15" s="1130" t="e">
        <f ca="1">G15</f>
        <v>#N/A</v>
      </c>
      <c r="I15" s="16"/>
      <c r="J15" s="169" t="e">
        <f ca="1">(G15*100/2.54)*32</f>
        <v>#N/A</v>
      </c>
      <c r="K15" s="319" t="s">
        <v>466</v>
      </c>
    </row>
    <row r="16" spans="1:11" ht="20.25">
      <c r="A16" s="33">
        <f t="shared" si="0"/>
        <v>5</v>
      </c>
      <c r="B16" t="str">
        <f t="shared" si="1"/>
        <v>.</v>
      </c>
      <c r="C16" t="s">
        <v>820</v>
      </c>
      <c r="D16" s="79" t="e">
        <f ca="1">F16*3.28^2</f>
        <v>#N/A</v>
      </c>
      <c r="E16" s="37" t="s">
        <v>811</v>
      </c>
      <c r="F16" s="86" t="e">
        <f ca="1">$F$15^2*PI()/4</f>
        <v>#N/A</v>
      </c>
      <c r="G16" s="1112" t="e">
        <f ca="1">G15^2*PI()/4</f>
        <v>#N/A</v>
      </c>
      <c r="H16" s="1131" t="e">
        <f ca="1">H15^2*PI()/4</f>
        <v>#N/A</v>
      </c>
    </row>
    <row r="17" spans="1:34" ht="18.75">
      <c r="A17" s="33">
        <f t="shared" si="0"/>
        <v>6</v>
      </c>
      <c r="B17" t="str">
        <f t="shared" si="1"/>
        <v>.</v>
      </c>
      <c r="C17" t="s">
        <v>821</v>
      </c>
      <c r="D17" s="33" t="e">
        <f ca="1">F17*3.28*60</f>
        <v>#N/A</v>
      </c>
      <c r="E17" s="37" t="s">
        <v>808</v>
      </c>
      <c r="F17" s="85" t="e">
        <f ca="1">INDEX(SourceExitVelocity,MATCH($A$4,SourceNumber,0),1,1)</f>
        <v>#N/A</v>
      </c>
      <c r="G17" s="86" t="e">
        <f ca="1">G29*G46</f>
        <v>#N/A</v>
      </c>
      <c r="H17" s="1102" t="e">
        <f ca="1">H29*H46</f>
        <v>#N/A</v>
      </c>
      <c r="I17" s="16"/>
    </row>
    <row r="18" spans="1:34" ht="20.25">
      <c r="A18" s="33">
        <f t="shared" si="0"/>
        <v>7</v>
      </c>
      <c r="B18" t="str">
        <f t="shared" si="1"/>
        <v>.</v>
      </c>
      <c r="C18" t="s">
        <v>822</v>
      </c>
      <c r="D18" s="33" t="e">
        <f ca="1">(F18-273.15)*(9/5)+32</f>
        <v>#N/A</v>
      </c>
      <c r="E18" s="80" t="s">
        <v>812</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813</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815</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#N/A</v>
      </c>
      <c r="E26" s="37" t="s">
        <v>816</v>
      </c>
      <c r="F26" s="89" t="e">
        <f ca="1">(145.8*$F$18^1.5)/(($F$18+110.4)*10^8*$F$24)</f>
        <v>#N/A</v>
      </c>
      <c r="G26" s="1114" t="e">
        <f ca="1">X33</f>
        <v>#N/A</v>
      </c>
      <c r="H26" s="1132">
        <f>182.7*0.00001</f>
        <v>1.8270000000000001E-3</v>
      </c>
      <c r="J26" s="1875" t="e">
        <f ca="1">IF(V36=0,"Mixture Computed","Mixture NOT Computed")</f>
        <v>#N/A</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#N/A</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t="e">
        <f ca="1">INDEX(SourceModelRefWS,MATCH($A$4,SourceNumber,0),1,1)</f>
        <v>#N/A</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831</v>
      </c>
      <c r="D33" s="82" t="e">
        <f>F33*3.28*3600/5280</f>
        <v>#VALUE!</v>
      </c>
      <c r="E33" s="37" t="s">
        <v>810</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833</v>
      </c>
      <c r="D35" s="82" t="e">
        <f ca="1">F35*3.28*3600/5280</f>
        <v>#VALUE!</v>
      </c>
      <c r="E35" s="37" t="s">
        <v>810</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840</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804</v>
      </c>
      <c r="D49" s="83" t="e">
        <f t="shared" ca="1" si="5"/>
        <v>#N/A</v>
      </c>
      <c r="E49" s="37"/>
      <c r="F49" s="86" t="e">
        <f ca="1">$F$15/$F$14</f>
        <v>#N/A</v>
      </c>
      <c r="G49" s="86" t="e">
        <f ca="1">G15/G14</f>
        <v>#N/A</v>
      </c>
      <c r="H49" s="1102" t="e">
        <f ca="1">H15/H14</f>
        <v>#N/A</v>
      </c>
      <c r="I49" s="121"/>
    </row>
    <row r="50" spans="1:13" ht="18.75">
      <c r="A50" s="33">
        <f t="shared" si="6"/>
        <v>37</v>
      </c>
      <c r="B50" t="str">
        <f t="shared" si="7"/>
        <v>.</v>
      </c>
      <c r="C50" t="s">
        <v>841</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843</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842</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844</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845</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31" priority="1" stopIfTrue="1" operator="equal">
      <formula>0</formula>
    </cfRule>
    <cfRule type="cellIs" dxfId="30" priority="2" stopIfTrue="1" operator="notEqual">
      <formula>0</formula>
    </cfRule>
  </conditionalFormatting>
  <conditionalFormatting sqref="J52">
    <cfRule type="cellIs" dxfId="29" priority="3" stopIfTrue="1" operator="lessThanOrEqual">
      <formula>0.00000001</formula>
    </cfRule>
    <cfRule type="cellIs" dxfId="28" priority="4" stopIfTrue="1" operator="greaterThan">
      <formula>0.00000001</formula>
    </cfRule>
  </conditionalFormatting>
  <conditionalFormatting sqref="J26:L26">
    <cfRule type="cellIs" dxfId="27" priority="5" stopIfTrue="1" operator="equal">
      <formula>"Mixture Computed"</formula>
    </cfRule>
    <cfRule type="cellIs" dxfId="26" priority="6" stopIfTrue="1" operator="equal">
      <formula>"MIXTURE NOT COMPUTED"</formula>
    </cfRule>
  </conditionalFormatting>
  <conditionalFormatting sqref="J56">
    <cfRule type="cellIs" dxfId="25" priority="7" stopIfTrue="1" operator="greaterThanOrEqual">
      <formula>$M$56</formula>
    </cfRule>
    <cfRule type="cellIs" dxfId="24" priority="8" stopIfTrue="1" operator="notBetween">
      <formula>$K$56</formula>
      <formula>$L$56</formula>
    </cfRule>
    <cfRule type="cellIs" dxfId="23" priority="9" stopIfTrue="1" operator="between">
      <formula>$K$56</formula>
      <formula>$L$56</formula>
    </cfRule>
  </conditionalFormatting>
  <conditionalFormatting sqref="J54">
    <cfRule type="cellIs" dxfId="22" priority="10" stopIfTrue="1" operator="greaterThanOrEqual">
      <formula>$M$54</formula>
    </cfRule>
    <cfRule type="cellIs" dxfId="21" priority="11" stopIfTrue="1" operator="notBetween">
      <formula>$K$54</formula>
      <formula>$L$54</formula>
    </cfRule>
    <cfRule type="cellIs" dxfId="20" priority="12" stopIfTrue="1" operator="between">
      <formula>$K$54</formula>
      <formula>$L$54</formula>
    </cfRule>
  </conditionalFormatting>
  <conditionalFormatting sqref="J57">
    <cfRule type="cellIs" dxfId="19" priority="13" stopIfTrue="1" operator="greaterThanOrEqual">
      <formula>$K$57</formula>
    </cfRule>
    <cfRule type="cellIs" dxfId="18" priority="14" stopIfTrue="1" operator="lessThan">
      <formula>$K$57</formula>
    </cfRule>
  </conditionalFormatting>
  <conditionalFormatting sqref="J55">
    <cfRule type="cellIs" dxfId="17" priority="15" stopIfTrue="1" operator="greaterThanOrEqual">
      <formula>0</formula>
    </cfRule>
    <cfRule type="cellIs" dxfId="16"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6">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\\cppwind\Projects\status\Active\15141 - 651 Gateway\Project Management\[15141_Vent_Test_Plan_v20_071.xlsm]10</v>
      </c>
    </row>
    <row r="2" spans="1:11" ht="24" hidden="1" customHeight="1">
      <c r="A2" s="16">
        <f ca="1">FIND("]",A1,1)</f>
        <v>107</v>
      </c>
    </row>
    <row r="3" spans="1:11" ht="23.25" hidden="1" customHeight="1">
      <c r="A3" s="16">
        <f ca="1">LEN(A1)</f>
        <v>109</v>
      </c>
    </row>
    <row r="4" spans="1:11" ht="21" hidden="1" customHeight="1">
      <c r="A4" s="16">
        <f ca="1">VALUE(RIGHT(A1,A3-A2))</f>
        <v>10</v>
      </c>
    </row>
    <row r="5" spans="1:11" ht="18.75" hidden="1" customHeight="1">
      <c r="A5" s="1" t="s">
        <v>790</v>
      </c>
    </row>
    <row r="6" spans="1:11" ht="18.75">
      <c r="A6" s="54" t="str">
        <f ca="1">CONCATENATE(A5,A4)</f>
        <v>Table A-10</v>
      </c>
      <c r="J6" s="2" t="s">
        <v>792</v>
      </c>
    </row>
    <row r="7" spans="1:11" ht="18.75">
      <c r="A7" s="4" t="s">
        <v>794</v>
      </c>
      <c r="J7" t="s">
        <v>793</v>
      </c>
    </row>
    <row r="8" spans="1:11">
      <c r="A8" s="45" t="e">
        <f ca="1">INDEX(SourceDescription,MATCH($A$4,SourceNumber,0),1,1) &amp; " (" &amp; INDEX(SourceID,MATCH($A$4,SourceNumber,0),1,1) &amp; ")"</f>
        <v>#N/A</v>
      </c>
    </row>
    <row r="9" spans="1:11">
      <c r="A9" s="16" t="str">
        <f>CONCATENATE("Anemometer Wind Speed =",UAnem1percent," m/s")</f>
        <v>Anemometer Wind Speed =1% Wind m/s</v>
      </c>
    </row>
    <row r="10" spans="1:11">
      <c r="A10" s="100"/>
      <c r="B10" s="31"/>
      <c r="C10" s="31"/>
      <c r="D10" s="1726" t="s">
        <v>805</v>
      </c>
      <c r="E10" s="1727"/>
      <c r="F10" s="375" t="s">
        <v>817</v>
      </c>
      <c r="G10" s="375" t="s">
        <v>704</v>
      </c>
      <c r="H10" s="143" t="s">
        <v>674</v>
      </c>
    </row>
    <row r="11" spans="1:11">
      <c r="A11" s="1090" t="s">
        <v>795</v>
      </c>
      <c r="D11" s="1754" t="s">
        <v>806</v>
      </c>
      <c r="E11" s="1756"/>
      <c r="F11" s="76" t="s">
        <v>818</v>
      </c>
      <c r="G11" s="76" t="s">
        <v>818</v>
      </c>
      <c r="H11" s="145" t="s">
        <v>586</v>
      </c>
    </row>
    <row r="12" spans="1:11">
      <c r="A12" s="33">
        <v>1</v>
      </c>
      <c r="B12" t="s">
        <v>796</v>
      </c>
      <c r="C12" s="16" t="str">
        <f>IF(BldgTerrFlag=1,"Typical Building Height, Hb (m)","Terrain Height, Ht (m)")</f>
        <v>Typical Building Height, Hb (m)</v>
      </c>
      <c r="D12" s="78" t="e">
        <f>F12*3.28</f>
        <v>#VALUE!</v>
      </c>
      <c r="E12" s="51" t="s">
        <v>807</v>
      </c>
      <c r="F12" s="350" t="e">
        <f>HbTypical</f>
        <v>#VALUE!</v>
      </c>
      <c r="G12" s="350" t="e">
        <f>F12/SF</f>
        <v>#VALUE!</v>
      </c>
      <c r="H12" s="1100" t="e">
        <f>G12</f>
        <v>#VALUE!</v>
      </c>
    </row>
    <row r="13" spans="1:11">
      <c r="A13" s="33">
        <f t="shared" ref="A13:A39" si="0">A12+1</f>
        <v>2</v>
      </c>
      <c r="B13" t="str">
        <f t="shared" ref="B13:B39" si="1">B12</f>
        <v>.</v>
      </c>
      <c r="C13" t="s">
        <v>797</v>
      </c>
      <c r="D13" s="79" t="e">
        <f>F13*3.28</f>
        <v>#VALUE!</v>
      </c>
      <c r="E13" s="37" t="s">
        <v>807</v>
      </c>
      <c r="F13" s="85" t="e">
        <f>ZGrade</f>
        <v>#VALUE!</v>
      </c>
      <c r="G13" s="85">
        <f>zGradeModel*12*2.54/100</f>
        <v>1524</v>
      </c>
      <c r="H13" s="1044">
        <f>G13</f>
        <v>1524</v>
      </c>
    </row>
    <row r="14" spans="1:11">
      <c r="A14" s="33">
        <f t="shared" si="0"/>
        <v>3</v>
      </c>
      <c r="B14" t="str">
        <f t="shared" si="1"/>
        <v>.</v>
      </c>
      <c r="C14" t="s">
        <v>800</v>
      </c>
      <c r="D14" s="79" t="e">
        <f ca="1">F14*3.28</f>
        <v>#N/A</v>
      </c>
      <c r="E14" s="37" t="s">
        <v>807</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798</v>
      </c>
      <c r="D15" s="79" t="e">
        <f ca="1">F15*3.28</f>
        <v>#N/A</v>
      </c>
      <c r="E15" s="37" t="s">
        <v>807</v>
      </c>
      <c r="F15" s="85" t="e">
        <f ca="1">INDEX(SourceExitDiameter,MATCH($A$4,SourceNumber,0),1,1)</f>
        <v>#N/A</v>
      </c>
      <c r="G15" s="1111" t="e">
        <f ca="1">INDEX(SelectedModelEquivID,MATCH($A$4,SourceNumber,0),1,1)*(2.54/100)</f>
        <v>#N/A</v>
      </c>
      <c r="H15" s="1130" t="e">
        <f ca="1">G15</f>
        <v>#N/A</v>
      </c>
      <c r="I15" s="16"/>
      <c r="J15" s="169" t="e">
        <f ca="1">(G15*100/2.54)*32</f>
        <v>#N/A</v>
      </c>
      <c r="K15" s="319" t="s">
        <v>466</v>
      </c>
    </row>
    <row r="16" spans="1:11" ht="20.25">
      <c r="A16" s="33">
        <f t="shared" si="0"/>
        <v>5</v>
      </c>
      <c r="B16" t="str">
        <f t="shared" si="1"/>
        <v>.</v>
      </c>
      <c r="C16" t="s">
        <v>820</v>
      </c>
      <c r="D16" s="79" t="e">
        <f ca="1">F16*3.28^2</f>
        <v>#N/A</v>
      </c>
      <c r="E16" s="37" t="s">
        <v>811</v>
      </c>
      <c r="F16" s="86" t="e">
        <f ca="1">$F$15^2*PI()/4</f>
        <v>#N/A</v>
      </c>
      <c r="G16" s="1112" t="e">
        <f ca="1">G15^2*PI()/4</f>
        <v>#N/A</v>
      </c>
      <c r="H16" s="1131" t="e">
        <f ca="1">H15^2*PI()/4</f>
        <v>#N/A</v>
      </c>
    </row>
    <row r="17" spans="1:34" ht="18.75">
      <c r="A17" s="33">
        <f t="shared" si="0"/>
        <v>6</v>
      </c>
      <c r="B17" t="str">
        <f t="shared" si="1"/>
        <v>.</v>
      </c>
      <c r="C17" t="s">
        <v>821</v>
      </c>
      <c r="D17" s="33" t="e">
        <f ca="1">F17*3.28*60</f>
        <v>#N/A</v>
      </c>
      <c r="E17" s="37" t="s">
        <v>808</v>
      </c>
      <c r="F17" s="85" t="e">
        <f ca="1">INDEX(SourceExitVelocity,MATCH($A$4,SourceNumber,0),1,1)</f>
        <v>#N/A</v>
      </c>
      <c r="G17" s="86" t="e">
        <f ca="1">G29*G46</f>
        <v>#N/A</v>
      </c>
      <c r="H17" s="1102" t="e">
        <f ca="1">H29*H46</f>
        <v>#N/A</v>
      </c>
      <c r="I17" s="16"/>
    </row>
    <row r="18" spans="1:34" ht="20.25">
      <c r="A18" s="33">
        <f t="shared" si="0"/>
        <v>7</v>
      </c>
      <c r="B18" t="str">
        <f t="shared" si="1"/>
        <v>.</v>
      </c>
      <c r="C18" t="s">
        <v>822</v>
      </c>
      <c r="D18" s="33" t="e">
        <f ca="1">(F18-273.15)*(9/5)+32</f>
        <v>#N/A</v>
      </c>
      <c r="E18" s="80" t="s">
        <v>812</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813</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799</v>
      </c>
      <c r="D20" s="99" t="e">
        <f>IF(ISNUMBER(F20),F20*2.2*3600,NA())</f>
        <v>#N/A</v>
      </c>
      <c r="E20" s="37" t="s">
        <v>809</v>
      </c>
      <c r="F20" s="87" t="e">
        <f>NA()</f>
        <v>#N/A</v>
      </c>
      <c r="G20" s="87" t="e">
        <f>NA()</f>
        <v>#N/A</v>
      </c>
      <c r="H20" s="106" t="e">
        <f>NA()</f>
        <v>#N/A</v>
      </c>
      <c r="J20" s="121"/>
    </row>
    <row r="21" spans="1:34" ht="18.75">
      <c r="A21" s="33">
        <f t="shared" si="0"/>
        <v>10</v>
      </c>
      <c r="B21" t="str">
        <f t="shared" si="1"/>
        <v>.</v>
      </c>
      <c r="C21" t="s">
        <v>823</v>
      </c>
      <c r="D21" s="33" t="e">
        <f>F21*100/101325</f>
        <v>#VALUE!</v>
      </c>
      <c r="E21" s="37" t="s">
        <v>814</v>
      </c>
      <c r="F21" s="88" t="e">
        <f>1013*EXP(F13/-8350)</f>
        <v>#VALUE!</v>
      </c>
      <c r="G21" s="86">
        <f>1013*EXP(G13/-8350)</f>
        <v>844.0034094232484</v>
      </c>
      <c r="H21" s="1102">
        <f>1013*EXP(H13/-8350)</f>
        <v>844.0034094232484</v>
      </c>
      <c r="J21" s="121"/>
    </row>
    <row r="22" spans="1:34" ht="20.25">
      <c r="A22" s="33">
        <f t="shared" si="0"/>
        <v>11</v>
      </c>
      <c r="B22" t="str">
        <f t="shared" si="1"/>
        <v>.</v>
      </c>
      <c r="C22" t="s">
        <v>824</v>
      </c>
      <c r="D22" s="131" t="e">
        <f>(F22-273.15)*(9/5)+32</f>
        <v>#VALUE!</v>
      </c>
      <c r="E22" s="80" t="s">
        <v>812</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815</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815</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816</v>
      </c>
      <c r="F25" s="89" t="e">
        <f>(145.8*$F$22^1.5)/(($F$22+110.4)*10^8*$F$23)</f>
        <v>#VALUE!</v>
      </c>
      <c r="G25" s="89">
        <f>(145.8*$G$22^1.5)/(($G$22+110.4)*10^8*$G$23)</f>
        <v>1.8078669869592544E-5</v>
      </c>
      <c r="H25" s="1104">
        <f>(145.8*$H$22^1.5)/(($H$22+110.4)*10^8*$H$23)</f>
        <v>1.8078669869592544E-5</v>
      </c>
      <c r="J25" s="121"/>
      <c r="AA25" t="s">
        <v>789</v>
      </c>
    </row>
    <row r="26" spans="1:34" ht="20.25">
      <c r="A26" s="33">
        <f t="shared" si="0"/>
        <v>15</v>
      </c>
      <c r="B26" t="str">
        <f t="shared" si="1"/>
        <v>.</v>
      </c>
      <c r="C26" t="s">
        <v>73</v>
      </c>
      <c r="D26" s="81" t="e">
        <f ca="1">F26*3.28^2</f>
        <v>#N/A</v>
      </c>
      <c r="E26" s="37" t="s">
        <v>816</v>
      </c>
      <c r="F26" s="89" t="e">
        <f ca="1">(145.8*$F$18^1.5)/(($F$18+110.4)*10^8*$F$24)</f>
        <v>#N/A</v>
      </c>
      <c r="G26" s="1114" t="e">
        <f ca="1">X33</f>
        <v>#N/A</v>
      </c>
      <c r="H26" s="1132">
        <f>182.7*0.00001</f>
        <v>1.8270000000000001E-3</v>
      </c>
      <c r="J26" s="1875" t="e">
        <f ca="1">IF(V36=0,"Mixture Computed","Mixture NOT Computed")</f>
        <v>#N/A</v>
      </c>
      <c r="K26" s="1875"/>
      <c r="L26" s="1875"/>
      <c r="AA26" s="100" t="s">
        <v>101</v>
      </c>
      <c r="AB26" s="31"/>
      <c r="AC26" s="31"/>
      <c r="AD26" s="31"/>
      <c r="AE26" s="31"/>
      <c r="AF26" s="31"/>
      <c r="AG26" s="31"/>
      <c r="AH26" s="51"/>
    </row>
    <row r="27" spans="1:34" ht="18.75">
      <c r="A27" s="33">
        <f t="shared" si="0"/>
        <v>16</v>
      </c>
      <c r="B27" t="str">
        <f t="shared" si="1"/>
        <v>.</v>
      </c>
      <c r="C27" t="s">
        <v>825</v>
      </c>
      <c r="D27" s="82" t="e">
        <f>F27*3.28*3600/5280</f>
        <v>#VALUE!</v>
      </c>
      <c r="E27" s="37" t="s">
        <v>810</v>
      </c>
      <c r="F27" s="86" t="e">
        <f>F31*(F28/F32)^F44</f>
        <v>#VALUE!</v>
      </c>
      <c r="G27" s="88" t="e">
        <f ca="1">G29*(G28/G30)^G45</f>
        <v>#N/A</v>
      </c>
      <c r="H27" s="277" t="e">
        <f>H29*(H28/H30)^H45</f>
        <v>#VALUE!</v>
      </c>
      <c r="J27" s="17"/>
      <c r="K27" s="18"/>
      <c r="L27" s="18"/>
      <c r="M27" s="18" t="s">
        <v>735</v>
      </c>
      <c r="N27" s="18"/>
      <c r="O27" s="18"/>
      <c r="P27" s="18" t="s">
        <v>707</v>
      </c>
      <c r="Q27" s="19"/>
      <c r="AA27" s="33" t="s">
        <v>100</v>
      </c>
      <c r="AH27" s="37"/>
    </row>
    <row r="28" spans="1:34" ht="18.75">
      <c r="A28" s="33">
        <f t="shared" si="0"/>
        <v>17</v>
      </c>
      <c r="B28" t="str">
        <f t="shared" si="1"/>
        <v>.</v>
      </c>
      <c r="C28" t="s">
        <v>826</v>
      </c>
      <c r="D28" s="82" t="e">
        <f>F28*3.28</f>
        <v>#VALUE!</v>
      </c>
      <c r="E28" s="37" t="s">
        <v>807</v>
      </c>
      <c r="F28" s="85" t="str">
        <f>Zinf</f>
        <v>Gradient Height</v>
      </c>
      <c r="G28" s="85" t="e">
        <f>F28/SF</f>
        <v>#VALUE!</v>
      </c>
      <c r="H28" s="1044" t="e">
        <f>G28</f>
        <v>#VALUE!</v>
      </c>
      <c r="J28" s="20" t="s">
        <v>85</v>
      </c>
      <c r="K28" s="5" t="s">
        <v>778</v>
      </c>
      <c r="L28" s="5"/>
      <c r="M28" s="5" t="s">
        <v>737</v>
      </c>
      <c r="N28" s="5" t="s">
        <v>783</v>
      </c>
      <c r="O28" s="5" t="s">
        <v>736</v>
      </c>
      <c r="P28" s="5" t="s">
        <v>786</v>
      </c>
      <c r="Q28" s="21" t="s">
        <v>84</v>
      </c>
      <c r="AA28" s="33" t="s">
        <v>92</v>
      </c>
      <c r="AH28" s="37"/>
    </row>
    <row r="29" spans="1:34" ht="18.75">
      <c r="A29" s="33">
        <f t="shared" si="0"/>
        <v>18</v>
      </c>
      <c r="B29" t="str">
        <f t="shared" si="1"/>
        <v>.</v>
      </c>
      <c r="C29" t="s">
        <v>827</v>
      </c>
      <c r="D29" s="82" t="e">
        <f>F29*3.28*3600/5280</f>
        <v>#VALUE!</v>
      </c>
      <c r="E29" s="37" t="s">
        <v>810</v>
      </c>
      <c r="F29" s="86" t="e">
        <f>F27*(F30/F28)^F45</f>
        <v>#VALUE!</v>
      </c>
      <c r="G29" s="85" t="e">
        <f ca="1">INDEX(SourceModelRefWS,MATCH($A$4,SourceNumber,0),1,1)</f>
        <v>#N/A</v>
      </c>
      <c r="H29" s="1133">
        <v>1.5</v>
      </c>
      <c r="J29" s="20" t="s">
        <v>779</v>
      </c>
      <c r="K29" s="5" t="s">
        <v>779</v>
      </c>
      <c r="L29" s="5" t="s">
        <v>780</v>
      </c>
      <c r="M29" s="5" t="s">
        <v>784</v>
      </c>
      <c r="N29" s="5" t="s">
        <v>740</v>
      </c>
      <c r="O29" s="5" t="s">
        <v>738</v>
      </c>
      <c r="P29" s="5" t="s">
        <v>739</v>
      </c>
      <c r="Q29" s="21" t="s">
        <v>85</v>
      </c>
      <c r="AA29" s="33"/>
      <c r="AC29" s="46">
        <v>4</v>
      </c>
      <c r="AD29" s="46">
        <v>6</v>
      </c>
      <c r="AH29" s="106">
        <v>8</v>
      </c>
    </row>
    <row r="30" spans="1:34" ht="20.25">
      <c r="A30" s="33">
        <f t="shared" si="0"/>
        <v>19</v>
      </c>
      <c r="B30" t="str">
        <f t="shared" si="1"/>
        <v>.</v>
      </c>
      <c r="C30" t="s">
        <v>828</v>
      </c>
      <c r="D30" s="82" t="e">
        <f>F30*3.28</f>
        <v>#VALUE!</v>
      </c>
      <c r="E30" s="37" t="s">
        <v>807</v>
      </c>
      <c r="F30" s="85" t="str">
        <f>SF</f>
        <v>scale</v>
      </c>
      <c r="G30" s="351" t="e">
        <f>F30/SF</f>
        <v>#VALUE!</v>
      </c>
      <c r="H30" s="1103" t="e">
        <f>G30</f>
        <v>#VALUE!</v>
      </c>
      <c r="J30" s="49"/>
      <c r="K30" s="38"/>
      <c r="L30" s="38"/>
      <c r="M30" s="38" t="s">
        <v>781</v>
      </c>
      <c r="N30" s="38" t="s">
        <v>782</v>
      </c>
      <c r="O30" s="38" t="s">
        <v>785</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829</v>
      </c>
      <c r="D31" s="82" t="e">
        <f>F31*3.28*3600/5280</f>
        <v>#VALUE!</v>
      </c>
      <c r="E31" s="37" t="s">
        <v>810</v>
      </c>
      <c r="F31" s="85" t="str">
        <f>UAnem1percent</f>
        <v>1% Wind</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830</v>
      </c>
      <c r="D32" s="82" t="e">
        <f>F32*3.28</f>
        <v>#VALUE!</v>
      </c>
      <c r="E32" s="37" t="s">
        <v>807</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831</v>
      </c>
      <c r="D33" s="82" t="e">
        <f>F33*3.28*3600/5280</f>
        <v>#VALUE!</v>
      </c>
      <c r="E33" s="37" t="s">
        <v>810</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832</v>
      </c>
      <c r="D34" s="82" t="e">
        <f>F34*3.28</f>
        <v>#VALUE!</v>
      </c>
      <c r="E34" s="37" t="s">
        <v>807</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833</v>
      </c>
      <c r="D35" s="82" t="e">
        <f ca="1">F35*3.28*3600/5280</f>
        <v>#VALUE!</v>
      </c>
      <c r="E35" s="37" t="s">
        <v>810</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810</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834</v>
      </c>
      <c r="D37" s="82">
        <f>F37*3.28</f>
        <v>9.8399999999999987E-2</v>
      </c>
      <c r="E37" s="37" t="s">
        <v>807</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835</v>
      </c>
      <c r="D38" s="82" t="e">
        <f>F38*3.28</f>
        <v>#VALUE!</v>
      </c>
      <c r="E38" s="37" t="s">
        <v>807</v>
      </c>
      <c r="F38" s="85" t="str">
        <f>ZoSite</f>
        <v>z0</v>
      </c>
      <c r="G38" s="1114" t="e">
        <f>F38/SF</f>
        <v>#VALUE!</v>
      </c>
      <c r="H38" s="1134" t="e">
        <f>G38</f>
        <v>#VALUE!</v>
      </c>
      <c r="AA38" s="5"/>
      <c r="AB38" s="5"/>
    </row>
    <row r="39" spans="1:35" ht="18.75">
      <c r="A39" s="33">
        <f t="shared" si="0"/>
        <v>28</v>
      </c>
      <c r="B39" t="str">
        <f t="shared" si="1"/>
        <v>.</v>
      </c>
      <c r="C39" t="s">
        <v>836</v>
      </c>
      <c r="D39" s="82" t="e">
        <f>F39*3.28*3600/5280</f>
        <v>#VALUE!</v>
      </c>
      <c r="E39" s="37" t="s">
        <v>810</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801</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803</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802</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837</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838</v>
      </c>
      <c r="D45" s="83" t="e">
        <f t="shared" si="5"/>
        <v>#VALUE!</v>
      </c>
      <c r="E45" s="37"/>
      <c r="F45" s="134" t="e">
        <f>0.24+0.096*LOG($F$38)+0.016*(LOG($F$38))^2</f>
        <v>#VALUE!</v>
      </c>
      <c r="G45" s="351" t="e">
        <f>F45</f>
        <v>#VALUE!</v>
      </c>
      <c r="H45" s="1103" t="e">
        <f>G45</f>
        <v>#VALUE!</v>
      </c>
    </row>
    <row r="46" spans="1:35" ht="18.75">
      <c r="A46" s="33">
        <f t="shared" si="6"/>
        <v>33</v>
      </c>
      <c r="B46" t="str">
        <f t="shared" si="7"/>
        <v>.</v>
      </c>
      <c r="C46" t="s">
        <v>839</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840</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804</v>
      </c>
      <c r="D49" s="83" t="e">
        <f t="shared" ca="1" si="5"/>
        <v>#N/A</v>
      </c>
      <c r="E49" s="37"/>
      <c r="F49" s="86" t="e">
        <f ca="1">$F$15/$F$14</f>
        <v>#N/A</v>
      </c>
      <c r="G49" s="86" t="e">
        <f ca="1">G15/G14</f>
        <v>#N/A</v>
      </c>
      <c r="H49" s="1102" t="e">
        <f ca="1">H15/H14</f>
        <v>#N/A</v>
      </c>
      <c r="I49" s="121"/>
    </row>
    <row r="50" spans="1:13" ht="18.75">
      <c r="A50" s="33">
        <f t="shared" si="6"/>
        <v>37</v>
      </c>
      <c r="B50" t="str">
        <f t="shared" si="7"/>
        <v>.</v>
      </c>
      <c r="C50" t="s">
        <v>841</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843</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842</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844</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845</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903</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5" priority="1" stopIfTrue="1" operator="equal">
      <formula>0</formula>
    </cfRule>
    <cfRule type="cellIs" dxfId="14" priority="2" stopIfTrue="1" operator="notEqual">
      <formula>0</formula>
    </cfRule>
  </conditionalFormatting>
  <conditionalFormatting sqref="J52">
    <cfRule type="cellIs" dxfId="13" priority="3" stopIfTrue="1" operator="lessThanOrEqual">
      <formula>0.00000001</formula>
    </cfRule>
    <cfRule type="cellIs" dxfId="12" priority="4" stopIfTrue="1" operator="greaterThan">
      <formula>0.00000001</formula>
    </cfRule>
  </conditionalFormatting>
  <conditionalFormatting sqref="J26:L26">
    <cfRule type="cellIs" dxfId="11" priority="5" stopIfTrue="1" operator="equal">
      <formula>"Mixture Computed"</formula>
    </cfRule>
    <cfRule type="cellIs" dxfId="10" priority="6" stopIfTrue="1" operator="equal">
      <formula>"MIXTURE NOT COMPUTED"</formula>
    </cfRule>
  </conditionalFormatting>
  <conditionalFormatting sqref="J56">
    <cfRule type="cellIs" dxfId="9" priority="7" stopIfTrue="1" operator="greaterThanOrEqual">
      <formula>$M$56</formula>
    </cfRule>
    <cfRule type="cellIs" dxfId="8" priority="8" stopIfTrue="1" operator="notBetween">
      <formula>$K$56</formula>
      <formula>$L$56</formula>
    </cfRule>
    <cfRule type="cellIs" dxfId="7" priority="9" stopIfTrue="1" operator="between">
      <formula>$K$56</formula>
      <formula>$L$56</formula>
    </cfRule>
  </conditionalFormatting>
  <conditionalFormatting sqref="J54">
    <cfRule type="cellIs" dxfId="6" priority="10" stopIfTrue="1" operator="greaterThanOrEqual">
      <formula>$M$54</formula>
    </cfRule>
    <cfRule type="cellIs" dxfId="5" priority="11" stopIfTrue="1" operator="notBetween">
      <formula>$K$54</formula>
      <formula>$L$54</formula>
    </cfRule>
    <cfRule type="cellIs" dxfId="4" priority="12" stopIfTrue="1" operator="between">
      <formula>$K$54</formula>
      <formula>$L$54</formula>
    </cfRule>
  </conditionalFormatting>
  <conditionalFormatting sqref="J57">
    <cfRule type="cellIs" dxfId="3" priority="13" stopIfTrue="1" operator="greaterThanOrEqual">
      <formula>$K$57</formula>
    </cfRule>
    <cfRule type="cellIs" dxfId="2" priority="14" stopIfTrue="1" operator="lessThan">
      <formula>$K$57</formula>
    </cfRule>
  </conditionalFormatting>
  <conditionalFormatting sqref="J55">
    <cfRule type="cellIs" dxfId="1" priority="15" stopIfTrue="1" operator="greaterThanOrEqual">
      <formula>0</formula>
    </cfRule>
    <cfRule type="cellIs" dxfId="0"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5"/>
  <dimension ref="A1:W35"/>
  <sheetViews>
    <sheetView topLeftCell="F1" zoomScale="75" workbookViewId="0">
      <selection activeCell="W21" sqref="W21"/>
    </sheetView>
  </sheetViews>
  <sheetFormatPr defaultRowHeight="15.75"/>
  <cols>
    <col min="17" max="17" width="16.75" bestFit="1" customWidth="1"/>
    <col min="18" max="18" width="11.125" bestFit="1" customWidth="1"/>
    <col min="19" max="19" width="8.25" bestFit="1" customWidth="1"/>
    <col min="20" max="20" width="14.75" bestFit="1" customWidth="1"/>
    <col min="21" max="21" width="12.625" customWidth="1"/>
  </cols>
  <sheetData>
    <row r="1" spans="1:21">
      <c r="A1" s="1739" t="s">
        <v>711</v>
      </c>
      <c r="B1" s="1739"/>
      <c r="C1" s="1739"/>
      <c r="E1" s="1755" t="s">
        <v>725</v>
      </c>
      <c r="F1" s="1755"/>
      <c r="G1" s="1755"/>
      <c r="H1" s="1755"/>
      <c r="I1" s="1755"/>
      <c r="J1" s="1755"/>
      <c r="K1" s="1755"/>
      <c r="L1" s="1755"/>
      <c r="M1" s="1755"/>
      <c r="N1" s="1755"/>
      <c r="P1" t="s">
        <v>787</v>
      </c>
    </row>
    <row r="2" spans="1:21">
      <c r="A2" s="17"/>
      <c r="B2" s="18" t="s">
        <v>716</v>
      </c>
      <c r="C2" s="51" t="s">
        <v>716</v>
      </c>
      <c r="E2" s="1724" t="s">
        <v>733</v>
      </c>
      <c r="F2" s="1813"/>
      <c r="G2" s="1813"/>
      <c r="H2" s="1813"/>
      <c r="I2" s="1725"/>
      <c r="J2" s="1724" t="s">
        <v>734</v>
      </c>
      <c r="K2" s="1813"/>
      <c r="L2" s="1813"/>
      <c r="M2" s="1813"/>
      <c r="N2" s="1725"/>
      <c r="P2" t="s">
        <v>788</v>
      </c>
    </row>
    <row r="3" spans="1:21">
      <c r="A3" s="20" t="s">
        <v>712</v>
      </c>
      <c r="B3" s="5" t="s">
        <v>671</v>
      </c>
      <c r="C3" s="37" t="s">
        <v>683</v>
      </c>
      <c r="E3" s="20" t="s">
        <v>716</v>
      </c>
      <c r="F3" s="5"/>
      <c r="G3" s="5"/>
      <c r="H3" s="5"/>
      <c r="I3" s="21" t="s">
        <v>716</v>
      </c>
      <c r="J3" s="20" t="s">
        <v>716</v>
      </c>
      <c r="K3" s="5"/>
      <c r="L3" s="5"/>
      <c r="M3" s="5"/>
      <c r="N3" s="21" t="s">
        <v>716</v>
      </c>
    </row>
    <row r="4" spans="1:21" ht="18.75">
      <c r="A4" s="49" t="s">
        <v>714</v>
      </c>
      <c r="B4" s="38" t="s">
        <v>672</v>
      </c>
      <c r="C4" s="53" t="s">
        <v>715</v>
      </c>
      <c r="E4" s="20" t="s">
        <v>683</v>
      </c>
      <c r="F4" s="5" t="s">
        <v>712</v>
      </c>
      <c r="G4" s="5" t="s">
        <v>712</v>
      </c>
      <c r="H4" s="5" t="s">
        <v>713</v>
      </c>
      <c r="I4" s="21" t="s">
        <v>726</v>
      </c>
      <c r="J4" s="20" t="s">
        <v>683</v>
      </c>
      <c r="K4" s="5" t="s">
        <v>712</v>
      </c>
      <c r="L4" s="5" t="s">
        <v>712</v>
      </c>
      <c r="M4" s="5" t="s">
        <v>713</v>
      </c>
      <c r="N4" s="21" t="s">
        <v>726</v>
      </c>
      <c r="P4" s="17"/>
      <c r="Q4" s="18"/>
      <c r="R4" s="18" t="s">
        <v>735</v>
      </c>
      <c r="S4" s="31"/>
      <c r="T4" s="31"/>
      <c r="U4" s="19" t="s">
        <v>707</v>
      </c>
    </row>
    <row r="5" spans="1:21" ht="18.75">
      <c r="A5" s="33">
        <v>2</v>
      </c>
      <c r="B5" s="8">
        <f>A5/32</f>
        <v>6.25E-2</v>
      </c>
      <c r="C5" s="23">
        <f>PI()/2*B5^2</f>
        <v>6.1359231515425647E-3</v>
      </c>
      <c r="E5" s="49" t="s">
        <v>715</v>
      </c>
      <c r="F5" s="38" t="s">
        <v>714</v>
      </c>
      <c r="G5" s="38" t="s">
        <v>672</v>
      </c>
      <c r="H5" s="38" t="s">
        <v>672</v>
      </c>
      <c r="I5" s="50" t="s">
        <v>672</v>
      </c>
      <c r="J5" s="49" t="s">
        <v>715</v>
      </c>
      <c r="K5" s="38" t="s">
        <v>714</v>
      </c>
      <c r="L5" s="38" t="s">
        <v>672</v>
      </c>
      <c r="M5" s="38" t="s">
        <v>672</v>
      </c>
      <c r="N5" s="50" t="s">
        <v>672</v>
      </c>
      <c r="P5" s="20" t="s">
        <v>778</v>
      </c>
      <c r="Q5" s="5"/>
      <c r="R5" s="5" t="s">
        <v>737</v>
      </c>
      <c r="S5" s="5" t="s">
        <v>783</v>
      </c>
      <c r="T5" s="5" t="s">
        <v>736</v>
      </c>
      <c r="U5" s="21" t="s">
        <v>786</v>
      </c>
    </row>
    <row r="6" spans="1:21">
      <c r="A6" s="33">
        <f>A5+1</f>
        <v>3</v>
      </c>
      <c r="B6" s="8">
        <f t="shared" ref="B6:B35" si="0">A6/32</f>
        <v>9.375E-2</v>
      </c>
      <c r="C6" s="23">
        <f t="shared" ref="C6:C35" si="1">PI()/2*B6^2</f>
        <v>1.3805827090970771E-2</v>
      </c>
      <c r="E6" s="22">
        <f t="shared" ref="E6:E20" si="2">I6^2</f>
        <v>1.1902500000000001E-3</v>
      </c>
      <c r="F6" s="1">
        <v>2</v>
      </c>
      <c r="G6" s="8">
        <f>F6/32</f>
        <v>6.25E-2</v>
      </c>
      <c r="H6" s="9">
        <v>1.4E-2</v>
      </c>
      <c r="I6" s="23">
        <f>G6-(2*H6)</f>
        <v>3.4500000000000003E-2</v>
      </c>
      <c r="J6" s="22">
        <f t="shared" ref="J6:J20" si="3">N6^2</f>
        <v>0.48163599999999995</v>
      </c>
      <c r="K6" s="1">
        <v>24</v>
      </c>
      <c r="L6" s="8">
        <f t="shared" ref="L6:L19" si="4">K6/32</f>
        <v>0.75</v>
      </c>
      <c r="M6" s="24">
        <v>2.8000000000000001E-2</v>
      </c>
      <c r="N6" s="23">
        <f t="shared" ref="N6:N19" si="5">L6-(2*M6)</f>
        <v>0.69399999999999995</v>
      </c>
      <c r="P6" s="20" t="s">
        <v>779</v>
      </c>
      <c r="Q6" s="5" t="s">
        <v>780</v>
      </c>
      <c r="R6" s="5" t="s">
        <v>784</v>
      </c>
      <c r="S6" s="5" t="s">
        <v>740</v>
      </c>
      <c r="T6" s="5" t="s">
        <v>738</v>
      </c>
      <c r="U6" s="21" t="s">
        <v>739</v>
      </c>
    </row>
    <row r="7" spans="1:21" ht="18.75">
      <c r="A7" s="33">
        <f t="shared" ref="A7:A35" si="6">A6+1</f>
        <v>4</v>
      </c>
      <c r="B7" s="8">
        <f t="shared" si="0"/>
        <v>0.125</v>
      </c>
      <c r="C7" s="23">
        <f t="shared" si="1"/>
        <v>2.4543692606170259E-2</v>
      </c>
      <c r="E7" s="22">
        <f t="shared" si="2"/>
        <v>4.3230625000000005E-3</v>
      </c>
      <c r="F7" s="1">
        <v>3</v>
      </c>
      <c r="G7" s="8">
        <f t="shared" ref="G7:G20" si="7">F7/32</f>
        <v>9.375E-2</v>
      </c>
      <c r="H7" s="24">
        <v>1.4E-2</v>
      </c>
      <c r="I7" s="23">
        <f t="shared" ref="I7:I20" si="8">G7-(2*H7)</f>
        <v>6.5750000000000003E-2</v>
      </c>
      <c r="J7" s="22">
        <f t="shared" si="3"/>
        <v>0.39879224999999996</v>
      </c>
      <c r="K7" s="1">
        <v>22</v>
      </c>
      <c r="L7" s="8">
        <f t="shared" si="4"/>
        <v>0.6875</v>
      </c>
      <c r="M7" s="24">
        <v>2.8000000000000001E-2</v>
      </c>
      <c r="N7" s="23">
        <f t="shared" si="5"/>
        <v>0.63149999999999995</v>
      </c>
      <c r="P7" s="52"/>
      <c r="Q7" s="41"/>
      <c r="R7" s="38" t="s">
        <v>781</v>
      </c>
      <c r="S7" s="38" t="s">
        <v>782</v>
      </c>
      <c r="T7" s="38" t="s">
        <v>785</v>
      </c>
      <c r="U7" s="50"/>
    </row>
    <row r="8" spans="1:21">
      <c r="A8" s="33">
        <f t="shared" si="6"/>
        <v>5</v>
      </c>
      <c r="B8" s="8">
        <f t="shared" si="0"/>
        <v>0.15625</v>
      </c>
      <c r="C8" s="23">
        <f t="shared" si="1"/>
        <v>3.8349519697141031E-2</v>
      </c>
      <c r="E8" s="22">
        <f t="shared" si="2"/>
        <v>9.4090000000000007E-3</v>
      </c>
      <c r="F8" s="1">
        <v>4</v>
      </c>
      <c r="G8" s="8">
        <f t="shared" si="7"/>
        <v>0.125</v>
      </c>
      <c r="H8" s="24">
        <v>1.4E-2</v>
      </c>
      <c r="I8" s="23">
        <f t="shared" si="8"/>
        <v>9.7000000000000003E-2</v>
      </c>
      <c r="J8" s="22">
        <f t="shared" si="3"/>
        <v>0.32376099999999997</v>
      </c>
      <c r="K8" s="1">
        <v>20</v>
      </c>
      <c r="L8" s="8">
        <f t="shared" si="4"/>
        <v>0.625</v>
      </c>
      <c r="M8" s="24">
        <v>2.8000000000000001E-2</v>
      </c>
      <c r="N8" s="23">
        <f t="shared" si="5"/>
        <v>0.56899999999999995</v>
      </c>
      <c r="P8" s="33">
        <v>1</v>
      </c>
      <c r="Q8" t="s">
        <v>755</v>
      </c>
      <c r="R8">
        <v>28.963999999999999</v>
      </c>
      <c r="S8">
        <v>18</v>
      </c>
      <c r="T8">
        <v>182.7</v>
      </c>
      <c r="U8" s="37">
        <f>(R8/(22.41383*1000))*(273.15/(273.15+S8))</f>
        <v>1.2123468141824372E-3</v>
      </c>
    </row>
    <row r="9" spans="1:21">
      <c r="A9" s="33">
        <f t="shared" si="6"/>
        <v>6</v>
      </c>
      <c r="B9" s="8">
        <f t="shared" si="0"/>
        <v>0.1875</v>
      </c>
      <c r="C9" s="23">
        <f t="shared" si="1"/>
        <v>5.5223308363883082E-2</v>
      </c>
      <c r="E9" s="22">
        <f t="shared" si="2"/>
        <v>1.6448062499999999E-2</v>
      </c>
      <c r="F9" s="1">
        <v>5</v>
      </c>
      <c r="G9" s="8">
        <f t="shared" si="7"/>
        <v>0.15625</v>
      </c>
      <c r="H9" s="24">
        <v>1.4E-2</v>
      </c>
      <c r="I9" s="23">
        <f t="shared" si="8"/>
        <v>0.12825</v>
      </c>
      <c r="J9" s="22">
        <f t="shared" si="3"/>
        <v>0.25654224999999997</v>
      </c>
      <c r="K9" s="1">
        <v>18</v>
      </c>
      <c r="L9" s="8">
        <f t="shared" si="4"/>
        <v>0.5625</v>
      </c>
      <c r="M9" s="24">
        <v>2.8000000000000001E-2</v>
      </c>
      <c r="N9" s="23">
        <f t="shared" si="5"/>
        <v>0.50649999999999995</v>
      </c>
      <c r="P9" s="33">
        <v>2</v>
      </c>
      <c r="Q9" t="s">
        <v>756</v>
      </c>
      <c r="R9">
        <v>17.0304</v>
      </c>
      <c r="S9">
        <v>20</v>
      </c>
      <c r="T9">
        <v>98.2</v>
      </c>
      <c r="U9" s="37">
        <f t="shared" ref="U9:U26" si="9">(R9/(22.41383*1000))*(273.15/(273.15+S9))</f>
        <v>7.0797851962384054E-4</v>
      </c>
    </row>
    <row r="10" spans="1:21">
      <c r="A10" s="33">
        <f t="shared" si="6"/>
        <v>7</v>
      </c>
      <c r="B10" s="8">
        <f t="shared" si="0"/>
        <v>0.21875</v>
      </c>
      <c r="C10" s="23">
        <f t="shared" si="1"/>
        <v>7.5165058606396412E-2</v>
      </c>
      <c r="E10" s="22">
        <f t="shared" si="2"/>
        <v>2.5440250000000001E-2</v>
      </c>
      <c r="F10" s="1">
        <v>6</v>
      </c>
      <c r="G10" s="8">
        <f t="shared" si="7"/>
        <v>0.1875</v>
      </c>
      <c r="H10" s="24">
        <v>1.4E-2</v>
      </c>
      <c r="I10" s="23">
        <f t="shared" si="8"/>
        <v>0.1595</v>
      </c>
      <c r="J10" s="22">
        <f t="shared" si="3"/>
        <v>0.19713600000000001</v>
      </c>
      <c r="K10" s="1">
        <v>16</v>
      </c>
      <c r="L10" s="8">
        <f t="shared" si="4"/>
        <v>0.5</v>
      </c>
      <c r="M10" s="24">
        <v>2.8000000000000001E-2</v>
      </c>
      <c r="N10" s="23">
        <f t="shared" si="5"/>
        <v>0.44400000000000001</v>
      </c>
      <c r="P10" s="33">
        <v>3</v>
      </c>
      <c r="Q10" t="s">
        <v>757</v>
      </c>
      <c r="R10">
        <v>39.948</v>
      </c>
      <c r="S10">
        <v>20</v>
      </c>
      <c r="T10">
        <v>221.7</v>
      </c>
      <c r="U10" s="37">
        <f t="shared" si="9"/>
        <v>1.6606965134073881E-3</v>
      </c>
    </row>
    <row r="11" spans="1:21">
      <c r="A11" s="33">
        <f t="shared" si="6"/>
        <v>8</v>
      </c>
      <c r="B11" s="8">
        <f t="shared" si="0"/>
        <v>0.25</v>
      </c>
      <c r="C11" s="23">
        <f t="shared" si="1"/>
        <v>9.8174770424681035E-2</v>
      </c>
      <c r="E11" s="22">
        <f t="shared" si="2"/>
        <v>3.6385562500000003E-2</v>
      </c>
      <c r="F11" s="1">
        <v>7</v>
      </c>
      <c r="G11" s="8">
        <f t="shared" si="7"/>
        <v>0.21875</v>
      </c>
      <c r="H11" s="24">
        <v>1.4E-2</v>
      </c>
      <c r="I11" s="23">
        <f t="shared" si="8"/>
        <v>0.19075</v>
      </c>
      <c r="J11" s="22">
        <f t="shared" si="3"/>
        <v>0.14554225000000001</v>
      </c>
      <c r="K11" s="1">
        <v>14</v>
      </c>
      <c r="L11" s="8">
        <f t="shared" si="4"/>
        <v>0.4375</v>
      </c>
      <c r="M11" s="24">
        <v>2.8000000000000001E-2</v>
      </c>
      <c r="N11" s="23">
        <f t="shared" si="5"/>
        <v>0.38150000000000001</v>
      </c>
      <c r="P11" s="33">
        <v>4</v>
      </c>
      <c r="Q11" t="s">
        <v>758</v>
      </c>
      <c r="R11">
        <v>58.122999999999998</v>
      </c>
      <c r="S11">
        <v>14.7</v>
      </c>
      <c r="T11">
        <v>8.3999999999999995E-3</v>
      </c>
      <c r="U11" s="37">
        <f t="shared" si="9"/>
        <v>2.4607467465225337E-3</v>
      </c>
    </row>
    <row r="12" spans="1:21">
      <c r="A12" s="33">
        <f t="shared" si="6"/>
        <v>9</v>
      </c>
      <c r="B12" s="8">
        <f t="shared" si="0"/>
        <v>0.28125</v>
      </c>
      <c r="C12" s="23">
        <f t="shared" si="1"/>
        <v>0.12425244381873693</v>
      </c>
      <c r="E12" s="22">
        <f t="shared" si="2"/>
        <v>4.9284000000000001E-2</v>
      </c>
      <c r="F12" s="1">
        <v>8</v>
      </c>
      <c r="G12" s="8">
        <f t="shared" si="7"/>
        <v>0.25</v>
      </c>
      <c r="H12" s="24">
        <v>1.4E-2</v>
      </c>
      <c r="I12" s="23">
        <f t="shared" si="8"/>
        <v>0.222</v>
      </c>
      <c r="J12" s="22">
        <f t="shared" si="3"/>
        <v>0.101761</v>
      </c>
      <c r="K12" s="1">
        <v>12</v>
      </c>
      <c r="L12" s="8">
        <f t="shared" si="4"/>
        <v>0.375</v>
      </c>
      <c r="M12" s="24">
        <v>2.8000000000000001E-2</v>
      </c>
      <c r="N12" s="23">
        <f t="shared" si="5"/>
        <v>0.31900000000000001</v>
      </c>
      <c r="P12" s="33">
        <v>5</v>
      </c>
      <c r="Q12" t="s">
        <v>759</v>
      </c>
      <c r="R12">
        <v>44.009799999999998</v>
      </c>
      <c r="S12">
        <v>20</v>
      </c>
      <c r="T12">
        <v>148</v>
      </c>
      <c r="U12" s="37">
        <f t="shared" si="9"/>
        <v>1.8295514522818782E-3</v>
      </c>
    </row>
    <row r="13" spans="1:21">
      <c r="A13" s="33">
        <f t="shared" si="6"/>
        <v>10</v>
      </c>
      <c r="B13" s="8">
        <f t="shared" si="0"/>
        <v>0.3125</v>
      </c>
      <c r="C13" s="23">
        <f t="shared" si="1"/>
        <v>0.15339807878856412</v>
      </c>
      <c r="E13" s="22">
        <f t="shared" si="2"/>
        <v>6.5792249999999997E-2</v>
      </c>
      <c r="F13" s="1">
        <v>10</v>
      </c>
      <c r="G13" s="8">
        <f t="shared" si="7"/>
        <v>0.3125</v>
      </c>
      <c r="H13" s="9">
        <v>2.8000000000000001E-2</v>
      </c>
      <c r="I13" s="23">
        <f t="shared" si="8"/>
        <v>0.25650000000000001</v>
      </c>
      <c r="J13" s="22">
        <f t="shared" si="3"/>
        <v>6.5792249999999997E-2</v>
      </c>
      <c r="K13" s="1">
        <v>10</v>
      </c>
      <c r="L13" s="8">
        <f t="shared" si="4"/>
        <v>0.3125</v>
      </c>
      <c r="M13" s="9">
        <v>2.8000000000000001E-2</v>
      </c>
      <c r="N13" s="23">
        <f t="shared" si="5"/>
        <v>0.25650000000000001</v>
      </c>
      <c r="P13" s="33">
        <v>6</v>
      </c>
      <c r="Q13" t="s">
        <v>760</v>
      </c>
      <c r="R13">
        <v>28.010399999999997</v>
      </c>
      <c r="S13">
        <v>15</v>
      </c>
      <c r="T13">
        <v>172</v>
      </c>
      <c r="U13" s="37">
        <f t="shared" si="9"/>
        <v>1.1846384323959804E-3</v>
      </c>
    </row>
    <row r="14" spans="1:21">
      <c r="A14" s="33">
        <f t="shared" si="6"/>
        <v>11</v>
      </c>
      <c r="B14" s="8">
        <f t="shared" si="0"/>
        <v>0.34375</v>
      </c>
      <c r="C14" s="23">
        <f t="shared" si="1"/>
        <v>0.18561167533416259</v>
      </c>
      <c r="E14" s="22">
        <f t="shared" si="2"/>
        <v>0.101761</v>
      </c>
      <c r="F14" s="1">
        <v>12</v>
      </c>
      <c r="G14" s="8">
        <f t="shared" si="7"/>
        <v>0.375</v>
      </c>
      <c r="H14" s="24">
        <v>2.8000000000000001E-2</v>
      </c>
      <c r="I14" s="23">
        <f t="shared" si="8"/>
        <v>0.31900000000000001</v>
      </c>
      <c r="J14" s="22">
        <f t="shared" si="3"/>
        <v>4.9284000000000001E-2</v>
      </c>
      <c r="K14" s="1">
        <v>8</v>
      </c>
      <c r="L14" s="8">
        <f t="shared" si="4"/>
        <v>0.25</v>
      </c>
      <c r="M14" s="24">
        <v>1.4E-2</v>
      </c>
      <c r="N14" s="23">
        <f t="shared" si="5"/>
        <v>0.222</v>
      </c>
      <c r="P14" s="33">
        <v>7</v>
      </c>
      <c r="Q14" t="s">
        <v>761</v>
      </c>
      <c r="R14">
        <v>70.906000000000006</v>
      </c>
      <c r="S14">
        <v>20</v>
      </c>
      <c r="T14">
        <v>132.69999999999999</v>
      </c>
      <c r="U14" s="37">
        <f t="shared" si="9"/>
        <v>2.9476656398233769E-3</v>
      </c>
    </row>
    <row r="15" spans="1:21">
      <c r="A15" s="33">
        <f t="shared" si="6"/>
        <v>12</v>
      </c>
      <c r="B15" s="8">
        <f t="shared" si="0"/>
        <v>0.375</v>
      </c>
      <c r="C15" s="23">
        <f t="shared" si="1"/>
        <v>0.22089323345553233</v>
      </c>
      <c r="E15" s="22">
        <f t="shared" si="2"/>
        <v>0.14554225000000001</v>
      </c>
      <c r="F15" s="1">
        <v>14</v>
      </c>
      <c r="G15" s="8">
        <f t="shared" si="7"/>
        <v>0.4375</v>
      </c>
      <c r="H15" s="24">
        <v>2.8000000000000001E-2</v>
      </c>
      <c r="I15" s="23">
        <f t="shared" si="8"/>
        <v>0.38150000000000001</v>
      </c>
      <c r="J15" s="22">
        <f t="shared" si="3"/>
        <v>3.6385562500000003E-2</v>
      </c>
      <c r="K15" s="1">
        <v>7</v>
      </c>
      <c r="L15" s="8">
        <f t="shared" si="4"/>
        <v>0.21875</v>
      </c>
      <c r="M15" s="24">
        <v>1.4E-2</v>
      </c>
      <c r="N15" s="23">
        <f t="shared" si="5"/>
        <v>0.19075</v>
      </c>
      <c r="P15" s="33">
        <v>8</v>
      </c>
      <c r="Q15" t="s">
        <v>762</v>
      </c>
      <c r="R15">
        <v>30.069399999999998</v>
      </c>
      <c r="S15">
        <v>17.2</v>
      </c>
      <c r="T15">
        <v>90.1</v>
      </c>
      <c r="U15" s="37">
        <f t="shared" si="9"/>
        <v>1.2620834250062283E-3</v>
      </c>
    </row>
    <row r="16" spans="1:21">
      <c r="A16" s="33">
        <f t="shared" si="6"/>
        <v>13</v>
      </c>
      <c r="B16" s="8">
        <f t="shared" si="0"/>
        <v>0.40625</v>
      </c>
      <c r="C16" s="23">
        <f t="shared" si="1"/>
        <v>0.25924275315267337</v>
      </c>
      <c r="E16" s="22">
        <f t="shared" si="2"/>
        <v>0.19713600000000001</v>
      </c>
      <c r="F16" s="1">
        <v>16</v>
      </c>
      <c r="G16" s="8">
        <f t="shared" si="7"/>
        <v>0.5</v>
      </c>
      <c r="H16" s="24">
        <v>2.8000000000000001E-2</v>
      </c>
      <c r="I16" s="23">
        <f t="shared" si="8"/>
        <v>0.44400000000000001</v>
      </c>
      <c r="J16" s="22">
        <f t="shared" si="3"/>
        <v>2.5440250000000001E-2</v>
      </c>
      <c r="K16" s="1">
        <v>6</v>
      </c>
      <c r="L16" s="8">
        <f t="shared" si="4"/>
        <v>0.1875</v>
      </c>
      <c r="M16" s="24">
        <v>1.4E-2</v>
      </c>
      <c r="N16" s="23">
        <f t="shared" si="5"/>
        <v>0.1595</v>
      </c>
      <c r="P16" s="33">
        <v>9</v>
      </c>
      <c r="Q16" t="s">
        <v>763</v>
      </c>
      <c r="R16">
        <v>4.0026000000000002</v>
      </c>
      <c r="S16">
        <v>20</v>
      </c>
      <c r="T16">
        <v>194.1</v>
      </c>
      <c r="U16" s="37">
        <f t="shared" si="9"/>
        <v>1.6639390869541433E-4</v>
      </c>
    </row>
    <row r="17" spans="1:23">
      <c r="A17" s="33">
        <f t="shared" si="6"/>
        <v>14</v>
      </c>
      <c r="B17" s="8">
        <f t="shared" si="0"/>
        <v>0.4375</v>
      </c>
      <c r="C17" s="23">
        <f t="shared" si="1"/>
        <v>0.30066023442558565</v>
      </c>
      <c r="E17" s="22">
        <f t="shared" si="2"/>
        <v>0.25654224999999997</v>
      </c>
      <c r="F17" s="1">
        <v>18</v>
      </c>
      <c r="G17" s="8">
        <f t="shared" si="7"/>
        <v>0.5625</v>
      </c>
      <c r="H17" s="24">
        <v>2.8000000000000001E-2</v>
      </c>
      <c r="I17" s="23">
        <f t="shared" si="8"/>
        <v>0.50649999999999995</v>
      </c>
      <c r="J17" s="22">
        <f t="shared" si="3"/>
        <v>1.6448062499999999E-2</v>
      </c>
      <c r="K17" s="1">
        <v>5</v>
      </c>
      <c r="L17" s="8">
        <f t="shared" si="4"/>
        <v>0.15625</v>
      </c>
      <c r="M17" s="24">
        <v>1.4E-2</v>
      </c>
      <c r="N17" s="23">
        <f t="shared" si="5"/>
        <v>0.12825</v>
      </c>
      <c r="P17" s="33">
        <v>10</v>
      </c>
      <c r="Q17" t="s">
        <v>764</v>
      </c>
      <c r="R17">
        <v>2.0158</v>
      </c>
      <c r="S17">
        <v>20.7</v>
      </c>
      <c r="T17">
        <v>87.6</v>
      </c>
      <c r="U17" s="37">
        <f t="shared" si="9"/>
        <v>8.3600115414685729E-5</v>
      </c>
    </row>
    <row r="18" spans="1:23">
      <c r="A18" s="33">
        <f t="shared" si="6"/>
        <v>15</v>
      </c>
      <c r="B18" s="8">
        <f t="shared" si="0"/>
        <v>0.46875</v>
      </c>
      <c r="C18" s="23">
        <f t="shared" si="1"/>
        <v>0.34514567727426926</v>
      </c>
      <c r="E18" s="22">
        <f t="shared" si="2"/>
        <v>0.32376099999999997</v>
      </c>
      <c r="F18" s="1">
        <v>20</v>
      </c>
      <c r="G18" s="8">
        <f t="shared" si="7"/>
        <v>0.625</v>
      </c>
      <c r="H18" s="24">
        <v>2.8000000000000001E-2</v>
      </c>
      <c r="I18" s="23">
        <f t="shared" si="8"/>
        <v>0.56899999999999995</v>
      </c>
      <c r="J18" s="22">
        <f t="shared" si="3"/>
        <v>9.4090000000000007E-3</v>
      </c>
      <c r="K18" s="1">
        <v>4</v>
      </c>
      <c r="L18" s="8">
        <f t="shared" si="4"/>
        <v>0.125</v>
      </c>
      <c r="M18" s="24">
        <v>1.4E-2</v>
      </c>
      <c r="N18" s="23">
        <f t="shared" si="5"/>
        <v>9.7000000000000003E-2</v>
      </c>
      <c r="P18" s="33">
        <v>11</v>
      </c>
      <c r="Q18" t="s">
        <v>765</v>
      </c>
      <c r="R18">
        <v>36.460900000000002</v>
      </c>
      <c r="S18">
        <v>76.7</v>
      </c>
      <c r="T18">
        <v>195</v>
      </c>
      <c r="U18" s="37">
        <f t="shared" si="9"/>
        <v>1.2700787140614955E-3</v>
      </c>
    </row>
    <row r="19" spans="1:23">
      <c r="A19" s="33">
        <f t="shared" si="6"/>
        <v>16</v>
      </c>
      <c r="B19" s="8">
        <f t="shared" si="0"/>
        <v>0.5</v>
      </c>
      <c r="C19" s="23">
        <f t="shared" si="1"/>
        <v>0.39269908169872414</v>
      </c>
      <c r="E19" s="22">
        <f t="shared" si="2"/>
        <v>0.39879224999999996</v>
      </c>
      <c r="F19" s="1">
        <v>22</v>
      </c>
      <c r="G19" s="8">
        <f t="shared" si="7"/>
        <v>0.6875</v>
      </c>
      <c r="H19" s="24">
        <v>2.8000000000000001E-2</v>
      </c>
      <c r="I19" s="23">
        <f t="shared" si="8"/>
        <v>0.63149999999999995</v>
      </c>
      <c r="J19" s="22">
        <f t="shared" si="3"/>
        <v>4.3230625000000005E-3</v>
      </c>
      <c r="K19" s="1">
        <v>3</v>
      </c>
      <c r="L19" s="8">
        <f t="shared" si="4"/>
        <v>9.375E-2</v>
      </c>
      <c r="M19" s="24">
        <v>1.4E-2</v>
      </c>
      <c r="N19" s="23">
        <f t="shared" si="5"/>
        <v>6.5750000000000003E-2</v>
      </c>
      <c r="P19" s="33">
        <v>12</v>
      </c>
      <c r="Q19" t="s">
        <v>766</v>
      </c>
      <c r="R19">
        <v>16.0426</v>
      </c>
      <c r="S19">
        <v>20</v>
      </c>
      <c r="T19">
        <v>108.7</v>
      </c>
      <c r="U19" s="37">
        <f t="shared" si="9"/>
        <v>6.669142356560871E-4</v>
      </c>
    </row>
    <row r="20" spans="1:23">
      <c r="A20" s="33">
        <f t="shared" si="6"/>
        <v>17</v>
      </c>
      <c r="B20" s="8">
        <f t="shared" si="0"/>
        <v>0.53125</v>
      </c>
      <c r="C20" s="23">
        <f t="shared" si="1"/>
        <v>0.44332044769895029</v>
      </c>
      <c r="E20" s="25">
        <f t="shared" si="2"/>
        <v>0.48163599999999995</v>
      </c>
      <c r="F20" s="29">
        <v>24</v>
      </c>
      <c r="G20" s="26">
        <f t="shared" si="7"/>
        <v>0.75</v>
      </c>
      <c r="H20" s="27">
        <v>2.8000000000000001E-2</v>
      </c>
      <c r="I20" s="28">
        <f t="shared" si="8"/>
        <v>0.69399999999999995</v>
      </c>
      <c r="J20" s="25">
        <f t="shared" si="3"/>
        <v>1.1902500000000001E-3</v>
      </c>
      <c r="K20" s="29">
        <v>2</v>
      </c>
      <c r="L20" s="26">
        <f>K20/32</f>
        <v>6.25E-2</v>
      </c>
      <c r="M20" s="30">
        <v>1.4E-2</v>
      </c>
      <c r="N20" s="28">
        <f>L20-(2*M20)</f>
        <v>3.4500000000000003E-2</v>
      </c>
      <c r="P20" s="33">
        <v>13</v>
      </c>
      <c r="Q20" t="s">
        <v>771</v>
      </c>
      <c r="R20">
        <v>30.0061</v>
      </c>
      <c r="S20">
        <v>20</v>
      </c>
      <c r="T20">
        <v>187.6</v>
      </c>
      <c r="U20" s="37">
        <f t="shared" si="9"/>
        <v>1.2473972577088572E-3</v>
      </c>
    </row>
    <row r="21" spans="1:23">
      <c r="A21" s="33">
        <f t="shared" si="6"/>
        <v>18</v>
      </c>
      <c r="B21" s="8">
        <f t="shared" si="0"/>
        <v>0.5625</v>
      </c>
      <c r="C21" s="23">
        <f t="shared" si="1"/>
        <v>0.49700977527494772</v>
      </c>
      <c r="P21" s="33">
        <v>14</v>
      </c>
      <c r="Q21" t="s">
        <v>772</v>
      </c>
      <c r="R21">
        <v>28.013400000000001</v>
      </c>
      <c r="S21">
        <v>10.9</v>
      </c>
      <c r="T21">
        <v>170.7</v>
      </c>
      <c r="U21" s="37">
        <f t="shared" si="9"/>
        <v>1.201866306325089E-3</v>
      </c>
      <c r="W21">
        <f>R21/R8</f>
        <v>0.96717994752106073</v>
      </c>
    </row>
    <row r="22" spans="1:23">
      <c r="A22" s="33">
        <f t="shared" si="6"/>
        <v>19</v>
      </c>
      <c r="B22" s="8">
        <f t="shared" si="0"/>
        <v>0.59375</v>
      </c>
      <c r="C22" s="23">
        <f t="shared" si="1"/>
        <v>0.55376706442671642</v>
      </c>
      <c r="P22" s="33">
        <v>15</v>
      </c>
      <c r="Q22" t="s">
        <v>773</v>
      </c>
      <c r="R22">
        <v>31.998799999999999</v>
      </c>
      <c r="S22">
        <v>19.100000000000001</v>
      </c>
      <c r="T22">
        <v>201.8</v>
      </c>
      <c r="U22" s="37">
        <f t="shared" si="9"/>
        <v>1.334333234843666E-3</v>
      </c>
    </row>
    <row r="23" spans="1:23">
      <c r="A23" s="33">
        <f t="shared" si="6"/>
        <v>20</v>
      </c>
      <c r="B23" s="8">
        <f t="shared" si="0"/>
        <v>0.625</v>
      </c>
      <c r="C23" s="23">
        <f t="shared" si="1"/>
        <v>0.6135923151542565</v>
      </c>
      <c r="P23" s="33">
        <v>16</v>
      </c>
      <c r="Q23" t="s">
        <v>774</v>
      </c>
      <c r="R23">
        <v>44.096200000000003</v>
      </c>
      <c r="S23">
        <v>17.899999999999999</v>
      </c>
      <c r="T23">
        <v>79.5</v>
      </c>
      <c r="U23" s="37">
        <f t="shared" si="9"/>
        <v>1.8463698220873902E-3</v>
      </c>
    </row>
    <row r="24" spans="1:23">
      <c r="A24" s="33">
        <f t="shared" si="6"/>
        <v>21</v>
      </c>
      <c r="B24" s="8">
        <f t="shared" si="0"/>
        <v>0.65625</v>
      </c>
      <c r="C24" s="23">
        <f t="shared" si="1"/>
        <v>0.67648552745756774</v>
      </c>
      <c r="P24" s="33">
        <v>17</v>
      </c>
      <c r="Q24" t="s">
        <v>775</v>
      </c>
      <c r="R24">
        <v>64.058800000000005</v>
      </c>
      <c r="S24">
        <v>18</v>
      </c>
      <c r="T24">
        <v>124.2</v>
      </c>
      <c r="U24" s="37">
        <f t="shared" si="9"/>
        <v>2.6813106649754836E-3</v>
      </c>
    </row>
    <row r="25" spans="1:23">
      <c r="A25" s="33">
        <f t="shared" si="6"/>
        <v>22</v>
      </c>
      <c r="B25" s="8">
        <f t="shared" si="0"/>
        <v>0.6875</v>
      </c>
      <c r="C25" s="23">
        <f t="shared" si="1"/>
        <v>0.74244670133665036</v>
      </c>
      <c r="P25" s="33">
        <v>18</v>
      </c>
      <c r="Q25" t="s">
        <v>776</v>
      </c>
      <c r="R25">
        <v>146.05041800000001</v>
      </c>
      <c r="S25">
        <v>20</v>
      </c>
      <c r="T25">
        <v>1.5299999999999999E-2</v>
      </c>
      <c r="U25" s="37">
        <f t="shared" si="9"/>
        <v>6.0715284858889459E-3</v>
      </c>
    </row>
    <row r="26" spans="1:23">
      <c r="A26" s="33">
        <f t="shared" si="6"/>
        <v>23</v>
      </c>
      <c r="B26" s="8">
        <f t="shared" si="0"/>
        <v>0.71875</v>
      </c>
      <c r="C26" s="23">
        <f t="shared" si="1"/>
        <v>0.81147583679150415</v>
      </c>
      <c r="P26" s="52">
        <v>19</v>
      </c>
      <c r="Q26" s="41" t="s">
        <v>777</v>
      </c>
      <c r="R26" s="41">
        <v>18.0152</v>
      </c>
      <c r="S26" s="41">
        <v>100</v>
      </c>
      <c r="T26" s="41">
        <v>125.5</v>
      </c>
      <c r="U26" s="53">
        <f t="shared" si="9"/>
        <v>5.8835679446907706E-4</v>
      </c>
    </row>
    <row r="27" spans="1:23">
      <c r="A27" s="33">
        <f t="shared" si="6"/>
        <v>24</v>
      </c>
      <c r="B27" s="8">
        <f t="shared" si="0"/>
        <v>0.75</v>
      </c>
      <c r="C27" s="23">
        <f t="shared" si="1"/>
        <v>0.88357293382212931</v>
      </c>
      <c r="P27" s="33">
        <v>20</v>
      </c>
      <c r="Q27" t="s">
        <v>113</v>
      </c>
      <c r="R27" s="1">
        <v>1</v>
      </c>
      <c r="S27" s="1">
        <v>1</v>
      </c>
      <c r="T27" s="1">
        <v>1</v>
      </c>
      <c r="U27" s="113">
        <v>1</v>
      </c>
    </row>
    <row r="28" spans="1:23">
      <c r="A28" s="33">
        <f t="shared" si="6"/>
        <v>25</v>
      </c>
      <c r="B28" s="8">
        <f t="shared" si="0"/>
        <v>0.78125</v>
      </c>
      <c r="C28" s="23">
        <f t="shared" si="1"/>
        <v>0.95873799242852575</v>
      </c>
    </row>
    <row r="29" spans="1:23">
      <c r="A29" s="33">
        <f t="shared" si="6"/>
        <v>26</v>
      </c>
      <c r="B29" s="8">
        <f t="shared" si="0"/>
        <v>0.8125</v>
      </c>
      <c r="C29" s="23">
        <f t="shared" si="1"/>
        <v>1.0369710126106935</v>
      </c>
    </row>
    <row r="30" spans="1:23">
      <c r="A30" s="33">
        <f t="shared" si="6"/>
        <v>27</v>
      </c>
      <c r="B30" s="8">
        <f t="shared" si="0"/>
        <v>0.84375</v>
      </c>
      <c r="C30" s="23">
        <f t="shared" si="1"/>
        <v>1.1182719943686323</v>
      </c>
    </row>
    <row r="31" spans="1:23">
      <c r="A31" s="33">
        <f t="shared" si="6"/>
        <v>28</v>
      </c>
      <c r="B31" s="8">
        <f t="shared" si="0"/>
        <v>0.875</v>
      </c>
      <c r="C31" s="23">
        <f t="shared" si="1"/>
        <v>1.2026409377023426</v>
      </c>
    </row>
    <row r="32" spans="1:23">
      <c r="A32" s="33">
        <f t="shared" si="6"/>
        <v>29</v>
      </c>
      <c r="B32" s="8">
        <f t="shared" si="0"/>
        <v>0.90625</v>
      </c>
      <c r="C32" s="23">
        <f t="shared" si="1"/>
        <v>1.2900778426118242</v>
      </c>
    </row>
    <row r="33" spans="1:3">
      <c r="A33" s="33">
        <f t="shared" si="6"/>
        <v>30</v>
      </c>
      <c r="B33" s="8">
        <f t="shared" si="0"/>
        <v>0.9375</v>
      </c>
      <c r="C33" s="23">
        <f t="shared" si="1"/>
        <v>1.380582709097077</v>
      </c>
    </row>
    <row r="34" spans="1:3">
      <c r="A34" s="33">
        <f t="shared" si="6"/>
        <v>31</v>
      </c>
      <c r="B34" s="8">
        <f t="shared" si="0"/>
        <v>0.96875</v>
      </c>
      <c r="C34" s="23">
        <f t="shared" si="1"/>
        <v>1.4741555371581012</v>
      </c>
    </row>
    <row r="35" spans="1:3">
      <c r="A35" s="52">
        <f t="shared" si="6"/>
        <v>32</v>
      </c>
      <c r="B35" s="26">
        <f t="shared" si="0"/>
        <v>1</v>
      </c>
      <c r="C35" s="28">
        <f t="shared" si="1"/>
        <v>1.5707963267948966</v>
      </c>
    </row>
  </sheetData>
  <mergeCells count="4">
    <mergeCell ref="A1:C1"/>
    <mergeCell ref="E2:I2"/>
    <mergeCell ref="J2:N2"/>
    <mergeCell ref="E1:N1"/>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83</vt:i4>
      </vt:variant>
      <vt:variant>
        <vt:lpstr>Named Ranges</vt:lpstr>
      </vt:variant>
      <vt:variant>
        <vt:i4>236</vt:i4>
      </vt:variant>
    </vt:vector>
  </HeadingPairs>
  <TitlesOfParts>
    <vt:vector size="319" baseType="lpstr">
      <vt:lpstr>Revision Log</vt:lpstr>
      <vt:lpstr>Stack Summary</vt:lpstr>
      <vt:lpstr>QA</vt:lpstr>
      <vt:lpstr>1% Wind</vt:lpstr>
      <vt:lpstr>Receptors</vt:lpstr>
      <vt:lpstr>Combustion Criteria</vt:lpstr>
      <vt:lpstr>Dilution Criteria</vt:lpstr>
      <vt:lpstr>Design Criteria Summary</vt:lpstr>
      <vt:lpstr>Test Plan &amp; Results</vt:lpstr>
      <vt:lpstr>Combustion - Ambient Ratio ARM2</vt:lpstr>
      <vt:lpstr>Probabilities</vt:lpstr>
      <vt:lpstr>Flow Settings</vt:lpstr>
      <vt:lpstr>Flow Input File</vt:lpstr>
      <vt:lpstr>Flow Cal Input File</vt:lpstr>
      <vt:lpstr>ASHRAE SCREENING TOOL</vt:lpstr>
      <vt:lpstr>RTP.inp</vt:lpstr>
      <vt:lpstr>Air Intake Flow Settings</vt:lpstr>
      <vt:lpstr>Flow Vis Settings</vt:lpstr>
      <vt:lpstr>Isolation Criteria</vt:lpstr>
      <vt:lpstr>Results Iso-Wbl - No HEPA</vt:lpstr>
      <vt:lpstr>Results Iso-Wbl - With HEPA</vt:lpstr>
      <vt:lpstr>Results Summary Iso - no wind</vt:lpstr>
      <vt:lpstr>FireCriteria</vt:lpstr>
      <vt:lpstr>EtoCriteria</vt:lpstr>
      <vt:lpstr>Formaldehyde Criteria</vt:lpstr>
      <vt:lpstr>PaintBoothCriteria</vt:lpstr>
      <vt:lpstr>Results Summary Alternate</vt:lpstr>
      <vt:lpstr>NAAQS Combined Results</vt:lpstr>
      <vt:lpstr>Vis Plan WT2&amp;3</vt:lpstr>
      <vt:lpstr>fit and interpolation</vt:lpstr>
      <vt:lpstr>fit and interpolation - V2</vt:lpstr>
      <vt:lpstr>Sample Calcs</vt:lpstr>
      <vt:lpstr>AA</vt:lpstr>
      <vt:lpstr>AB</vt:lpstr>
      <vt:lpstr>AC</vt:lpstr>
      <vt:lpstr>AD</vt:lpstr>
      <vt:lpstr>AE</vt:lpstr>
      <vt:lpstr>AF</vt:lpstr>
      <vt:lpstr>AG</vt:lpstr>
      <vt:lpstr>AH</vt:lpstr>
      <vt:lpstr>AI</vt:lpstr>
      <vt:lpstr>AJ</vt:lpstr>
      <vt:lpstr>AK</vt:lpstr>
      <vt:lpstr>AL</vt:lpstr>
      <vt:lpstr>AM</vt:lpstr>
      <vt:lpstr>AN</vt:lpstr>
      <vt:lpstr>AO</vt:lpstr>
      <vt:lpstr>AP</vt:lpstr>
      <vt:lpstr>AQ</vt:lpstr>
      <vt:lpstr>BA</vt:lpstr>
      <vt:lpstr>BB</vt:lpstr>
      <vt:lpstr>BC</vt:lpstr>
      <vt:lpstr>BD</vt:lpstr>
      <vt:lpstr>BE</vt:lpstr>
      <vt:lpstr>BF</vt:lpstr>
      <vt:lpstr>BG</vt:lpstr>
      <vt:lpstr>BH</vt:lpstr>
      <vt:lpstr>BI</vt:lpstr>
      <vt:lpstr>BJ</vt:lpstr>
      <vt:lpstr>BK</vt:lpstr>
      <vt:lpstr>BL</vt:lpstr>
      <vt:lpstr>BM</vt:lpstr>
      <vt:lpstr>BN</vt:lpstr>
      <vt:lpstr>BO</vt:lpstr>
      <vt:lpstr>BP</vt:lpstr>
      <vt:lpstr>BQ</vt:lpstr>
      <vt:lpstr>CA</vt:lpstr>
      <vt:lpstr>CB</vt:lpstr>
      <vt:lpstr>CC</vt:lpstr>
      <vt:lpstr>DA</vt:lpstr>
      <vt:lpstr>DB</vt:lpstr>
      <vt:lpstr>DC</vt:lpstr>
      <vt:lpstr>1</vt:lpstr>
      <vt:lpstr>2</vt:lpstr>
      <vt:lpstr>3</vt:lpstr>
      <vt:lpstr>4</vt:lpstr>
      <vt:lpstr>5</vt:lpstr>
      <vt:lpstr>6</vt:lpstr>
      <vt:lpstr>7</vt:lpstr>
      <vt:lpstr>8</vt:lpstr>
      <vt:lpstr>9</vt:lpstr>
      <vt:lpstr>10</vt:lpstr>
      <vt:lpstr>Brass and Gas</vt:lpstr>
      <vt:lpstr>Probabilities!_6668probs</vt:lpstr>
      <vt:lpstr>BldgTerrFlag</vt:lpstr>
      <vt:lpstr>CombCriteriaHLm</vt:lpstr>
      <vt:lpstr>CombCriteriaHLmAlt</vt:lpstr>
      <vt:lpstr>CombCriteriaOTm</vt:lpstr>
      <vt:lpstr>CombCriteriaSourceNumber</vt:lpstr>
      <vt:lpstr>CoordIndex</vt:lpstr>
      <vt:lpstr>DesignCriteriaBasis</vt:lpstr>
      <vt:lpstr>DesignCriteriaBasisNumber</vt:lpstr>
      <vt:lpstr>DilutionCriteria</vt:lpstr>
      <vt:lpstr>'Formaldehyde Criteria'!DilutionCriteriaSourceNumber</vt:lpstr>
      <vt:lpstr>DilutionCriteriaSourceNumber</vt:lpstr>
      <vt:lpstr>EA_A</vt:lpstr>
      <vt:lpstr>EA_Cm_Max</vt:lpstr>
      <vt:lpstr>EA_RunNum</vt:lpstr>
      <vt:lpstr>FCalComp1Num</vt:lpstr>
      <vt:lpstr>FCalComp1Perc</vt:lpstr>
      <vt:lpstr>FCalComp2Num</vt:lpstr>
      <vt:lpstr>FCalComp2Perc</vt:lpstr>
      <vt:lpstr>FCalComp3Num</vt:lpstr>
      <vt:lpstr>FCalComp3Perc</vt:lpstr>
      <vt:lpstr>FCalComp4Num</vt:lpstr>
      <vt:lpstr>FCalComp4Perc</vt:lpstr>
      <vt:lpstr>FCalPercTrac</vt:lpstr>
      <vt:lpstr>FCalSpecificWeight</vt:lpstr>
      <vt:lpstr>FCalTracerGas</vt:lpstr>
      <vt:lpstr>FCalWT1FirstRow</vt:lpstr>
      <vt:lpstr>FCalWT2FirstRow</vt:lpstr>
      <vt:lpstr>FCalWT3FirstRow</vt:lpstr>
      <vt:lpstr>FlowSetAnemometerWindSpeeds</vt:lpstr>
      <vt:lpstr>FlowSetAQWindTunnel</vt:lpstr>
      <vt:lpstr>FlowSetSimulationNumbers</vt:lpstr>
      <vt:lpstr>FlowSetWTSettings</vt:lpstr>
      <vt:lpstr>GasData</vt:lpstr>
      <vt:lpstr>GasNum</vt:lpstr>
      <vt:lpstr>HbTypical</vt:lpstr>
      <vt:lpstr>IsoHepa</vt:lpstr>
      <vt:lpstr>IsoNoHepa</vt:lpstr>
      <vt:lpstr>'1'!Print_Area</vt:lpstr>
      <vt:lpstr>'1% Wind'!Print_Area</vt:lpstr>
      <vt:lpstr>'10'!Print_Area</vt:lpstr>
      <vt:lpstr>'2'!Print_Area</vt:lpstr>
      <vt:lpstr>'3'!Print_Area</vt:lpstr>
      <vt:lpstr>'4'!Print_Area</vt:lpstr>
      <vt:lpstr>'5'!Print_Area</vt:lpstr>
      <vt:lpstr>'6'!Print_Area</vt:lpstr>
      <vt:lpstr>'7'!Print_Area</vt:lpstr>
      <vt:lpstr>'8'!Print_Area</vt:lpstr>
      <vt:lpstr>'9'!Print_Area</vt:lpstr>
      <vt:lpstr>AA!Print_Area</vt:lpstr>
      <vt:lpstr>AB!Print_Area</vt:lpstr>
      <vt:lpstr>AC!Print_Area</vt:lpstr>
      <vt:lpstr>AD!Print_Area</vt:lpstr>
      <vt:lpstr>AE!Print_Area</vt:lpstr>
      <vt:lpstr>AF!Print_Area</vt:lpstr>
      <vt:lpstr>AG!Print_Area</vt:lpstr>
      <vt:lpstr>AH!Print_Area</vt:lpstr>
      <vt:lpstr>AI!Print_Area</vt:lpstr>
      <vt:lpstr>'Air Intake Flow Settings'!Print_Area</vt:lpstr>
      <vt:lpstr>AJ!Print_Area</vt:lpstr>
      <vt:lpstr>AK!Print_Area</vt:lpstr>
      <vt:lpstr>AL!Print_Area</vt:lpstr>
      <vt:lpstr>AM!Print_Area</vt:lpstr>
      <vt:lpstr>AN!Print_Area</vt:lpstr>
      <vt:lpstr>AO!Print_Area</vt:lpstr>
      <vt:lpstr>AP!Print_Area</vt:lpstr>
      <vt:lpstr>AQ!Print_Area</vt:lpstr>
      <vt:lpstr>'ASHRAE SCREENING TOOL'!Print_Area</vt:lpstr>
      <vt:lpstr>BA!Print_Area</vt:lpstr>
      <vt:lpstr>BB!Print_Area</vt:lpstr>
      <vt:lpstr>BC!Print_Area</vt:lpstr>
      <vt:lpstr>BD!Print_Area</vt:lpstr>
      <vt:lpstr>BE!Print_Area</vt:lpstr>
      <vt:lpstr>BF!Print_Area</vt:lpstr>
      <vt:lpstr>BG!Print_Area</vt:lpstr>
      <vt:lpstr>BH!Print_Area</vt:lpstr>
      <vt:lpstr>BI!Print_Area</vt:lpstr>
      <vt:lpstr>BJ!Print_Area</vt:lpstr>
      <vt:lpstr>BK!Print_Area</vt:lpstr>
      <vt:lpstr>BL!Print_Area</vt:lpstr>
      <vt:lpstr>BM!Print_Area</vt:lpstr>
      <vt:lpstr>BN!Print_Area</vt:lpstr>
      <vt:lpstr>BO!Print_Area</vt:lpstr>
      <vt:lpstr>BP!Print_Area</vt:lpstr>
      <vt:lpstr>BQ!Print_Area</vt:lpstr>
      <vt:lpstr>CA!Print_Area</vt:lpstr>
      <vt:lpstr>CB!Print_Area</vt:lpstr>
      <vt:lpstr>CC!Print_Area</vt:lpstr>
      <vt:lpstr>'Combustion - Ambient Ratio ARM2'!Print_Area</vt:lpstr>
      <vt:lpstr>'Combustion Criteria'!Print_Area</vt:lpstr>
      <vt:lpstr>DA!Print_Area</vt:lpstr>
      <vt:lpstr>DB!Print_Area</vt:lpstr>
      <vt:lpstr>DC!Print_Area</vt:lpstr>
      <vt:lpstr>'Design Criteria Summary'!Print_Area</vt:lpstr>
      <vt:lpstr>'Dilution Criteria'!Print_Area</vt:lpstr>
      <vt:lpstr>EtoCriteria!Print_Area</vt:lpstr>
      <vt:lpstr>FireCriteria!Print_Area</vt:lpstr>
      <vt:lpstr>'Flow Cal Input File'!Print_Area</vt:lpstr>
      <vt:lpstr>'Flow Settings'!Print_Area</vt:lpstr>
      <vt:lpstr>'Flow Vis Settings'!Print_Area</vt:lpstr>
      <vt:lpstr>'Formaldehyde Criteria'!Print_Area</vt:lpstr>
      <vt:lpstr>'Isolation Criteria'!Print_Area</vt:lpstr>
      <vt:lpstr>'NAAQS Combined Results'!Print_Area</vt:lpstr>
      <vt:lpstr>PaintBoothCriteria!Print_Area</vt:lpstr>
      <vt:lpstr>QA!Print_Area</vt:lpstr>
      <vt:lpstr>Receptors!Print_Area</vt:lpstr>
      <vt:lpstr>'Results Iso-Wbl - No HEPA'!Print_Area</vt:lpstr>
      <vt:lpstr>'Results Iso-Wbl - With HEPA'!Print_Area</vt:lpstr>
      <vt:lpstr>'Results Summary Alternate'!Print_Area</vt:lpstr>
      <vt:lpstr>'Results Summary Iso - no wind'!Print_Area</vt:lpstr>
      <vt:lpstr>'Stack Summary'!Print_Area</vt:lpstr>
      <vt:lpstr>'Test Plan &amp; Results'!Print_Area</vt:lpstr>
      <vt:lpstr>'Vis Plan WT2&amp;3'!Print_Area</vt:lpstr>
      <vt:lpstr>'Air Intake Flow Settings'!Print_Titles</vt:lpstr>
      <vt:lpstr>'ASHRAE SCREENING TOOL'!Print_Titles</vt:lpstr>
      <vt:lpstr>'Combustion - Ambient Ratio ARM2'!Print_Titles</vt:lpstr>
      <vt:lpstr>'Combustion Criteria'!Print_Titles</vt:lpstr>
      <vt:lpstr>'Design Criteria Summary'!Print_Titles</vt:lpstr>
      <vt:lpstr>'Dilution Criteria'!Print_Titles</vt:lpstr>
      <vt:lpstr>'Flow Cal Input File'!Print_Titles</vt:lpstr>
      <vt:lpstr>'Flow Settings'!Print_Titles</vt:lpstr>
      <vt:lpstr>'Flow Vis Settings'!Print_Titles</vt:lpstr>
      <vt:lpstr>'Formaldehyde Criteria'!Print_Titles</vt:lpstr>
      <vt:lpstr>'NAAQS Combined Results'!Print_Titles</vt:lpstr>
      <vt:lpstr>QA!Print_Titles</vt:lpstr>
      <vt:lpstr>Receptors!Print_Titles</vt:lpstr>
      <vt:lpstr>'Results Iso-Wbl - No HEPA'!Print_Titles</vt:lpstr>
      <vt:lpstr>'Results Iso-Wbl - With HEPA'!Print_Titles</vt:lpstr>
      <vt:lpstr>'Results Summary Alternate'!Print_Titles</vt:lpstr>
      <vt:lpstr>'Results Summary Iso - no wind'!Print_Titles</vt:lpstr>
      <vt:lpstr>'Stack Summary'!Print_Titles</vt:lpstr>
      <vt:lpstr>'Test Plan &amp; Results'!Print_Titles</vt:lpstr>
      <vt:lpstr>'Vis Plan WT2&amp;3'!Print_Titles</vt:lpstr>
      <vt:lpstr>Prob_Prob</vt:lpstr>
      <vt:lpstr>Prob_ProbRunandCrit</vt:lpstr>
      <vt:lpstr>Prob_ProbTotal</vt:lpstr>
      <vt:lpstr>Prob_RunNumber</vt:lpstr>
      <vt:lpstr>ReceptorID</vt:lpstr>
      <vt:lpstr>ReceptorNumber</vt:lpstr>
      <vt:lpstr>ReceptorOperating</vt:lpstr>
      <vt:lpstr>RoundBrass</vt:lpstr>
      <vt:lpstr>Roundsize</vt:lpstr>
      <vt:lpstr>RunNumber</vt:lpstr>
      <vt:lpstr>'1% Wind'!sampa</vt:lpstr>
      <vt:lpstr>SelectedModelEquivID</vt:lpstr>
      <vt:lpstr>SelectedModelIDRound</vt:lpstr>
      <vt:lpstr>SelectedModelSizeSquare</vt:lpstr>
      <vt:lpstr>SF</vt:lpstr>
      <vt:lpstr>SourceBaseHeightAboveGrade</vt:lpstr>
      <vt:lpstr>SourceComment</vt:lpstr>
      <vt:lpstr>SourceDescription</vt:lpstr>
      <vt:lpstr>SourceExhaustShapeFlag</vt:lpstr>
      <vt:lpstr>SourceExitDiameter</vt:lpstr>
      <vt:lpstr>SourceExitTemperature</vt:lpstr>
      <vt:lpstr>SourceExitVelocity</vt:lpstr>
      <vt:lpstr>SourceExitVelocityEnglish</vt:lpstr>
      <vt:lpstr>SourceExitVelocityEnglishModeled</vt:lpstr>
      <vt:lpstr>SourceExitVelocityModeled</vt:lpstr>
      <vt:lpstr>SourceHeightAboveBase</vt:lpstr>
      <vt:lpstr>SourceID</vt:lpstr>
      <vt:lpstr>SourceMassFlowRate</vt:lpstr>
      <vt:lpstr>SourceMinimumModelID</vt:lpstr>
      <vt:lpstr>SourceModelDensityRatio</vt:lpstr>
      <vt:lpstr>SourceModelRefWS</vt:lpstr>
      <vt:lpstr>SourceNumber</vt:lpstr>
      <vt:lpstr>SourceOrientation</vt:lpstr>
      <vt:lpstr>SourceProjectName1</vt:lpstr>
      <vt:lpstr>SourceProjectName2</vt:lpstr>
      <vt:lpstr>SourceProjectNumber</vt:lpstr>
      <vt:lpstr>SourceVolumeFlowRate</vt:lpstr>
      <vt:lpstr>SourceVolumeFlowRateEnglish</vt:lpstr>
      <vt:lpstr>SourceVolumeFlowRateEnglishModeled</vt:lpstr>
      <vt:lpstr>SourceVolumeFlowRateModeled</vt:lpstr>
      <vt:lpstr>SquareAreaASC</vt:lpstr>
      <vt:lpstr>SquareAreaDSC</vt:lpstr>
      <vt:lpstr>SquareBrass</vt:lpstr>
      <vt:lpstr>Ta</vt:lpstr>
      <vt:lpstr>TaModel</vt:lpstr>
      <vt:lpstr>TPAchievedCrit1</vt:lpstr>
      <vt:lpstr>TPAchievedCrit2</vt:lpstr>
      <vt:lpstr>TPAchievedCrit3</vt:lpstr>
      <vt:lpstr>TPAchievedCrit4</vt:lpstr>
      <vt:lpstr>TPAirIntakeOperating</vt:lpstr>
      <vt:lpstr>TPBGVoltage</vt:lpstr>
      <vt:lpstr>TPConcentration</vt:lpstr>
      <vt:lpstr>TPcrit1</vt:lpstr>
      <vt:lpstr>TPcrit2</vt:lpstr>
      <vt:lpstr>TPcrit3</vt:lpstr>
      <vt:lpstr>TPcrit4</vt:lpstr>
      <vt:lpstr>TPcritHigh</vt:lpstr>
      <vt:lpstr>TPcritLow</vt:lpstr>
      <vt:lpstr>TPDirection</vt:lpstr>
      <vt:lpstr>TPEnergyAnalysisCM</vt:lpstr>
      <vt:lpstr>TPEnergyAnalysisWS</vt:lpstr>
      <vt:lpstr>TPFidRange</vt:lpstr>
      <vt:lpstr>TPMaxCm</vt:lpstr>
      <vt:lpstr>TPReceptorID1</vt:lpstr>
      <vt:lpstr>TPReceptorID2</vt:lpstr>
      <vt:lpstr>TPReceptorNumRead</vt:lpstr>
      <vt:lpstr>TPRunLetter</vt:lpstr>
      <vt:lpstr>TPRunNumber</vt:lpstr>
      <vt:lpstr>TPSourceHeight</vt:lpstr>
      <vt:lpstr>TPSourceHeightModel</vt:lpstr>
      <vt:lpstr>TPSourceID</vt:lpstr>
      <vt:lpstr>TPSourceLetter</vt:lpstr>
      <vt:lpstr>TPSpeed</vt:lpstr>
      <vt:lpstr>TPStackHeightRead</vt:lpstr>
      <vt:lpstr>TPVolt</vt:lpstr>
      <vt:lpstr>TPWWD</vt:lpstr>
      <vt:lpstr>TPWWS</vt:lpstr>
      <vt:lpstr>UAnem1percent</vt:lpstr>
      <vt:lpstr>VPConcRunNumber</vt:lpstr>
      <vt:lpstr>VPHLm</vt:lpstr>
      <vt:lpstr>VPMaxCm</vt:lpstr>
      <vt:lpstr>VPOTm</vt:lpstr>
      <vt:lpstr>VPPedComment</vt:lpstr>
      <vt:lpstr>VPPedConfiguration</vt:lpstr>
      <vt:lpstr>VPPedLocation</vt:lpstr>
      <vt:lpstr>VPPedRunNumber</vt:lpstr>
      <vt:lpstr>VPPedWD</vt:lpstr>
      <vt:lpstr>VPReceptorID</vt:lpstr>
      <vt:lpstr>VPRunNumber</vt:lpstr>
      <vt:lpstr>VPSourceHeight</vt:lpstr>
      <vt:lpstr>VPSourceID</vt:lpstr>
      <vt:lpstr>VPWWD</vt:lpstr>
      <vt:lpstr>VPWWS</vt:lpstr>
      <vt:lpstr>Xcoord</vt:lpstr>
      <vt:lpstr>Ycoord</vt:lpstr>
      <vt:lpstr>ZAnem</vt:lpstr>
      <vt:lpstr>Zcoord</vt:lpstr>
      <vt:lpstr>ZGrade</vt:lpstr>
      <vt:lpstr>zGradeModel</vt:lpstr>
      <vt:lpstr>Zinf</vt:lpstr>
      <vt:lpstr>ZoAnem</vt:lpstr>
      <vt:lpstr>ZoSite</vt:lpstr>
      <vt:lpstr>ZSite</vt:lpstr>
    </vt:vector>
  </TitlesOfParts>
  <Company>CPP,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Vent Testplan Template</dc:title>
  <dc:subject>Vent Studies</dc:subject>
  <dc:creator>Scott Baldwin</dc:creator>
  <cp:lastModifiedBy>Scott Baldwin</cp:lastModifiedBy>
  <cp:lastPrinted>2017-09-18T23:12:16Z</cp:lastPrinted>
  <dcterms:created xsi:type="dcterms:W3CDTF">2001-01-18T22:08:03Z</dcterms:created>
  <dcterms:modified xsi:type="dcterms:W3CDTF">2021-07-07T17:09:51Z</dcterms:modified>
</cp:coreProperties>
</file>